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emf" ContentType="image/x-emf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23.xml" ContentType="application/vnd.ms-office.chartcolorstyle+xml"/>
  <Override PartName="/xl/charts/colors24.xml" ContentType="application/vnd.ms-office.chartcolorstyle+xml"/>
  <Override PartName="/xl/charts/colors25.xml" ContentType="application/vnd.ms-office.chartcolorstyle+xml"/>
  <Override PartName="/xl/charts/colors26.xml" ContentType="application/vnd.ms-office.chartcolorstyle+xml"/>
  <Override PartName="/xl/charts/colors27.xml" ContentType="application/vnd.ms-office.chartcolorstyle+xml"/>
  <Override PartName="/xl/charts/colors28.xml" ContentType="application/vnd.ms-office.chartcolorstyle+xml"/>
  <Override PartName="/xl/charts/colors29.xml" ContentType="application/vnd.ms-office.chartcolorstyle+xml"/>
  <Override PartName="/xl/charts/colors3.xml" ContentType="application/vnd.ms-office.chartcolorstyle+xml"/>
  <Override PartName="/xl/charts/colors30.xml" ContentType="application/vnd.ms-office.chartcolorstyle+xml"/>
  <Override PartName="/xl/charts/colors31.xml" ContentType="application/vnd.ms-office.chartcolorstyle+xml"/>
  <Override PartName="/xl/charts/colors32.xml" ContentType="application/vnd.ms-office.chartcolorstyle+xml"/>
  <Override PartName="/xl/charts/colors33.xml" ContentType="application/vnd.ms-office.chartcolorstyle+xml"/>
  <Override PartName="/xl/charts/colors34.xml" ContentType="application/vnd.ms-office.chartcolorstyle+xml"/>
  <Override PartName="/xl/charts/colors35.xml" ContentType="application/vnd.ms-office.chartcolorstyle+xml"/>
  <Override PartName="/xl/charts/colors36.xml" ContentType="application/vnd.ms-office.chartcolorstyle+xml"/>
  <Override PartName="/xl/charts/colors37.xml" ContentType="application/vnd.ms-office.chartcolorstyle+xml"/>
  <Override PartName="/xl/charts/colors38.xml" ContentType="application/vnd.ms-office.chartcolorstyle+xml"/>
  <Override PartName="/xl/charts/colors39.xml" ContentType="application/vnd.ms-office.chartcolorstyle+xml"/>
  <Override PartName="/xl/charts/colors4.xml" ContentType="application/vnd.ms-office.chartcolorstyle+xml"/>
  <Override PartName="/xl/charts/colors40.xml" ContentType="application/vnd.ms-office.chartcolorstyle+xml"/>
  <Override PartName="/xl/charts/colors41.xml" ContentType="application/vnd.ms-office.chartcolorstyle+xml"/>
  <Override PartName="/xl/charts/colors42.xml" ContentType="application/vnd.ms-office.chartcolorstyle+xml"/>
  <Override PartName="/xl/charts/colors43.xml" ContentType="application/vnd.ms-office.chartcolorstyle+xml"/>
  <Override PartName="/xl/charts/colors44.xml" ContentType="application/vnd.ms-office.chartcolorstyle+xml"/>
  <Override PartName="/xl/charts/colors45.xml" ContentType="application/vnd.ms-office.chartcolorstyle+xml"/>
  <Override PartName="/xl/charts/colors46.xml" ContentType="application/vnd.ms-office.chartcolorstyle+xml"/>
  <Override PartName="/xl/charts/colors47.xml" ContentType="application/vnd.ms-office.chartcolorstyle+xml"/>
  <Override PartName="/xl/charts/colors48.xml" ContentType="application/vnd.ms-office.chartcolorstyle+xml"/>
  <Override PartName="/xl/charts/colors49.xml" ContentType="application/vnd.ms-office.chartcolorstyle+xml"/>
  <Override PartName="/xl/charts/colors5.xml" ContentType="application/vnd.ms-office.chartcolorstyle+xml"/>
  <Override PartName="/xl/charts/colors50.xml" ContentType="application/vnd.ms-office.chartcolorstyle+xml"/>
  <Override PartName="/xl/charts/colors51.xml" ContentType="application/vnd.ms-office.chartcolorstyle+xml"/>
  <Override PartName="/xl/charts/colors52.xml" ContentType="application/vnd.ms-office.chartcolorstyle+xml"/>
  <Override PartName="/xl/charts/colors53.xml" ContentType="application/vnd.ms-office.chartcolorstyle+xml"/>
  <Override PartName="/xl/charts/colors54.xml" ContentType="application/vnd.ms-office.chartcolorstyle+xml"/>
  <Override PartName="/xl/charts/colors55.xml" ContentType="application/vnd.ms-office.chartcolorstyle+xml"/>
  <Override PartName="/xl/charts/colors56.xml" ContentType="application/vnd.ms-office.chartcolorstyle+xml"/>
  <Override PartName="/xl/charts/colors57.xml" ContentType="application/vnd.ms-office.chartcolorstyle+xml"/>
  <Override PartName="/xl/charts/colors58.xml" ContentType="application/vnd.ms-office.chartcolorstyle+xml"/>
  <Override PartName="/xl/charts/colors59.xml" ContentType="application/vnd.ms-office.chartcolorstyle+xml"/>
  <Override PartName="/xl/charts/colors6.xml" ContentType="application/vnd.ms-office.chartcolorstyle+xml"/>
  <Override PartName="/xl/charts/colors60.xml" ContentType="application/vnd.ms-office.chartcolorstyle+xml"/>
  <Override PartName="/xl/charts/colors61.xml" ContentType="application/vnd.ms-office.chartcolorstyle+xml"/>
  <Override PartName="/xl/charts/colors62.xml" ContentType="application/vnd.ms-office.chartcolorstyle+xml"/>
  <Override PartName="/xl/charts/colors63.xml" ContentType="application/vnd.ms-office.chartcolorstyle+xml"/>
  <Override PartName="/xl/charts/colors64.xml" ContentType="application/vnd.ms-office.chartcolorstyle+xml"/>
  <Override PartName="/xl/charts/colors65.xml" ContentType="application/vnd.ms-office.chartcolorstyle+xml"/>
  <Override PartName="/xl/charts/colors66.xml" ContentType="application/vnd.ms-office.chartcolorstyle+xml"/>
  <Override PartName="/xl/charts/colors67.xml" ContentType="application/vnd.ms-office.chartcolorstyle+xml"/>
  <Override PartName="/xl/charts/colors68.xml" ContentType="application/vnd.ms-office.chartcolorstyle+xml"/>
  <Override PartName="/xl/charts/colors69.xml" ContentType="application/vnd.ms-office.chartcolorstyle+xml"/>
  <Override PartName="/xl/charts/colors7.xml" ContentType="application/vnd.ms-office.chartcolorstyle+xml"/>
  <Override PartName="/xl/charts/colors70.xml" ContentType="application/vnd.ms-office.chartcolorstyle+xml"/>
  <Override PartName="/xl/charts/colors71.xml" ContentType="application/vnd.ms-office.chartcolorstyle+xml"/>
  <Override PartName="/xl/charts/colors72.xml" ContentType="application/vnd.ms-office.chartcolorstyle+xml"/>
  <Override PartName="/xl/charts/colors73.xml" ContentType="application/vnd.ms-office.chartcolorstyle+xml"/>
  <Override PartName="/xl/charts/colors74.xml" ContentType="application/vnd.ms-office.chartcolorstyle+xml"/>
  <Override PartName="/xl/charts/colors75.xml" ContentType="application/vnd.ms-office.chartcolorstyle+xml"/>
  <Override PartName="/xl/charts/colors76.xml" ContentType="application/vnd.ms-office.chartcolorstyle+xml"/>
  <Override PartName="/xl/charts/colors7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23.xml" ContentType="application/vnd.ms-office.chartstyle+xml"/>
  <Override PartName="/xl/charts/style24.xml" ContentType="application/vnd.ms-office.chartstyle+xml"/>
  <Override PartName="/xl/charts/style25.xml" ContentType="application/vnd.ms-office.chartstyle+xml"/>
  <Override PartName="/xl/charts/style26.xml" ContentType="application/vnd.ms-office.chartstyle+xml"/>
  <Override PartName="/xl/charts/style27.xml" ContentType="application/vnd.ms-office.chartstyle+xml"/>
  <Override PartName="/xl/charts/style28.xml" ContentType="application/vnd.ms-office.chartstyle+xml"/>
  <Override PartName="/xl/charts/style29.xml" ContentType="application/vnd.ms-office.chartstyle+xml"/>
  <Override PartName="/xl/charts/style3.xml" ContentType="application/vnd.ms-office.chartstyle+xml"/>
  <Override PartName="/xl/charts/style30.xml" ContentType="application/vnd.ms-office.chartstyle+xml"/>
  <Override PartName="/xl/charts/style31.xml" ContentType="application/vnd.ms-office.chartstyle+xml"/>
  <Override PartName="/xl/charts/style32.xml" ContentType="application/vnd.ms-office.chartstyle+xml"/>
  <Override PartName="/xl/charts/style33.xml" ContentType="application/vnd.ms-office.chartstyle+xml"/>
  <Override PartName="/xl/charts/style34.xml" ContentType="application/vnd.ms-office.chartstyle+xml"/>
  <Override PartName="/xl/charts/style35.xml" ContentType="application/vnd.ms-office.chartstyle+xml"/>
  <Override PartName="/xl/charts/style36.xml" ContentType="application/vnd.ms-office.chartstyle+xml"/>
  <Override PartName="/xl/charts/style37.xml" ContentType="application/vnd.ms-office.chartstyle+xml"/>
  <Override PartName="/xl/charts/style38.xml" ContentType="application/vnd.ms-office.chartstyle+xml"/>
  <Override PartName="/xl/charts/style39.xml" ContentType="application/vnd.ms-office.chartstyle+xml"/>
  <Override PartName="/xl/charts/style4.xml" ContentType="application/vnd.ms-office.chartstyle+xml"/>
  <Override PartName="/xl/charts/style40.xml" ContentType="application/vnd.ms-office.chartstyle+xml"/>
  <Override PartName="/xl/charts/style41.xml" ContentType="application/vnd.ms-office.chartstyle+xml"/>
  <Override PartName="/xl/charts/style42.xml" ContentType="application/vnd.ms-office.chartstyle+xml"/>
  <Override PartName="/xl/charts/style43.xml" ContentType="application/vnd.ms-office.chartstyle+xml"/>
  <Override PartName="/xl/charts/style44.xml" ContentType="application/vnd.ms-office.chartstyle+xml"/>
  <Override PartName="/xl/charts/style45.xml" ContentType="application/vnd.ms-office.chartstyle+xml"/>
  <Override PartName="/xl/charts/style46.xml" ContentType="application/vnd.ms-office.chartstyle+xml"/>
  <Override PartName="/xl/charts/style47.xml" ContentType="application/vnd.ms-office.chartstyle+xml"/>
  <Override PartName="/xl/charts/style48.xml" ContentType="application/vnd.ms-office.chartstyle+xml"/>
  <Override PartName="/xl/charts/style49.xml" ContentType="application/vnd.ms-office.chartstyle+xml"/>
  <Override PartName="/xl/charts/style5.xml" ContentType="application/vnd.ms-office.chartstyle+xml"/>
  <Override PartName="/xl/charts/style50.xml" ContentType="application/vnd.ms-office.chartstyle+xml"/>
  <Override PartName="/xl/charts/style51.xml" ContentType="application/vnd.ms-office.chartstyle+xml"/>
  <Override PartName="/xl/charts/style52.xml" ContentType="application/vnd.ms-office.chartstyle+xml"/>
  <Override PartName="/xl/charts/style53.xml" ContentType="application/vnd.ms-office.chartstyle+xml"/>
  <Override PartName="/xl/charts/style54.xml" ContentType="application/vnd.ms-office.chartstyle+xml"/>
  <Override PartName="/xl/charts/style55.xml" ContentType="application/vnd.ms-office.chartstyle+xml"/>
  <Override PartName="/xl/charts/style56.xml" ContentType="application/vnd.ms-office.chartstyle+xml"/>
  <Override PartName="/xl/charts/style57.xml" ContentType="application/vnd.ms-office.chartstyle+xml"/>
  <Override PartName="/xl/charts/style58.xml" ContentType="application/vnd.ms-office.chartstyle+xml"/>
  <Override PartName="/xl/charts/style59.xml" ContentType="application/vnd.ms-office.chartstyle+xml"/>
  <Override PartName="/xl/charts/style6.xml" ContentType="application/vnd.ms-office.chartstyle+xml"/>
  <Override PartName="/xl/charts/style60.xml" ContentType="application/vnd.ms-office.chartstyle+xml"/>
  <Override PartName="/xl/charts/style61.xml" ContentType="application/vnd.ms-office.chartstyle+xml"/>
  <Override PartName="/xl/charts/style62.xml" ContentType="application/vnd.ms-office.chartstyle+xml"/>
  <Override PartName="/xl/charts/style63.xml" ContentType="application/vnd.ms-office.chartstyle+xml"/>
  <Override PartName="/xl/charts/style64.xml" ContentType="application/vnd.ms-office.chartstyle+xml"/>
  <Override PartName="/xl/charts/style65.xml" ContentType="application/vnd.ms-office.chartstyle+xml"/>
  <Override PartName="/xl/charts/style66.xml" ContentType="application/vnd.ms-office.chartstyle+xml"/>
  <Override PartName="/xl/charts/style67.xml" ContentType="application/vnd.ms-office.chartstyle+xml"/>
  <Override PartName="/xl/charts/style68.xml" ContentType="application/vnd.ms-office.chartstyle+xml"/>
  <Override PartName="/xl/charts/style69.xml" ContentType="application/vnd.ms-office.chartstyle+xml"/>
  <Override PartName="/xl/charts/style7.xml" ContentType="application/vnd.ms-office.chartstyle+xml"/>
  <Override PartName="/xl/charts/style70.xml" ContentType="application/vnd.ms-office.chartstyle+xml"/>
  <Override PartName="/xl/charts/style71.xml" ContentType="application/vnd.ms-office.chartstyle+xml"/>
  <Override PartName="/xl/charts/style72.xml" ContentType="application/vnd.ms-office.chartstyle+xml"/>
  <Override PartName="/xl/charts/style73.xml" ContentType="application/vnd.ms-office.chartstyle+xml"/>
  <Override PartName="/xl/charts/style74.xml" ContentType="application/vnd.ms-office.chartstyle+xml"/>
  <Override PartName="/xl/charts/style75.xml" ContentType="application/vnd.ms-office.chartstyle+xml"/>
  <Override PartName="/xl/charts/style76.xml" ContentType="application/vnd.ms-office.chartstyle+xml"/>
  <Override PartName="/xl/charts/style7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workbookProtection workbookPassword="BF6F" lockStructure="1"/>
  <bookViews>
    <workbookView windowWidth="22188" windowHeight="8544" firstSheet="2" activeTab="10"/>
  </bookViews>
  <sheets>
    <sheet name="ENTRY" sheetId="1" r:id="rId1"/>
    <sheet name="DATEWISE" sheetId="53" r:id="rId2"/>
    <sheet name="STUDENT" sheetId="3" r:id="rId3"/>
    <sheet name="PHOTO" sheetId="27" r:id="rId4"/>
    <sheet name="FLN" sheetId="4" r:id="rId5"/>
    <sheet name="PASHEET" sheetId="12" r:id="rId6"/>
    <sheet name="MARKS" sheetId="22" r:id="rId7"/>
    <sheet name="SCHOOL" sheetId="2" r:id="rId8"/>
    <sheet name="FLNFIX" sheetId="5" r:id="rId9"/>
    <sheet name="FLNTRANSPOSE" sheetId="6" r:id="rId10"/>
    <sheet name="FLNASSESSMENT" sheetId="7" r:id="rId11"/>
    <sheet name="BAR-F1" sheetId="59" r:id="rId12"/>
    <sheet name="ALL-F1" sheetId="65" r:id="rId13"/>
    <sheet name="F1" sheetId="54" r:id="rId14"/>
    <sheet name="F2" sheetId="9" r:id="rId15"/>
    <sheet name="F3.1" sheetId="10" r:id="rId16"/>
    <sheet name="F3.2" sheetId="58" r:id="rId17"/>
    <sheet name="ATTENDANCEINFO" sheetId="64" r:id="rId18"/>
    <sheet name="INFODESK-1" sheetId="60" r:id="rId19"/>
    <sheet name="INFODESK-5" sheetId="62" r:id="rId20"/>
    <sheet name="GRADEINFO" sheetId="63" r:id="rId21"/>
    <sheet name="SUM1" sheetId="21" r:id="rId22"/>
    <sheet name="PASUMMARY" sheetId="26" r:id="rId23"/>
    <sheet name="AB1" sheetId="13" r:id="rId24"/>
    <sheet name="CASESTUDY" sheetId="23" r:id="rId25"/>
    <sheet name="SUCCESS" sheetId="25" r:id="rId26"/>
    <sheet name="PTM" sheetId="24" r:id="rId27"/>
    <sheet name="1to4-2.1-RR" sheetId="29" r:id="rId28"/>
    <sheet name="1to4-2.2-CS" sheetId="30" r:id="rId29"/>
    <sheet name="1to4-2.3-SS" sheetId="47" r:id="rId30"/>
    <sheet name="1to4-2.4-RC" sheetId="32" r:id="rId31"/>
    <sheet name="RR-3.1-5TH" sheetId="50" r:id="rId32"/>
    <sheet name="CS-3.2-5TH" sheetId="51" r:id="rId33"/>
    <sheet name="SS-3.3-5TH" sheetId="52" r:id="rId34"/>
    <sheet name="RC-3.4-5TH" sheetId="49" r:id="rId35"/>
  </sheets>
  <definedNames>
    <definedName name="_xlnm._FilterDatabase" localSheetId="10" hidden="1">FLNASSESSMENT!$A$8:$A$115</definedName>
    <definedName name="_xlnm._FilterDatabase" localSheetId="27" hidden="1">'1to4-2.1-RR'!$A$9:$A$111</definedName>
    <definedName name="_xlnm._FilterDatabase" localSheetId="31" hidden="1">'RR-3.1-5TH'!$A$9:$A$111</definedName>
    <definedName name="PHOTO1">INDEX(PHOTO!$F$4:PHOTO!$F$103,MATCH(PHOTO!$H$2,PHOTO!$A$4:PHOTO!$A$103,0))</definedName>
    <definedName name="PHOTO2" localSheetId="12">INDEX(PHOTO!$F$4:PHOTO!$F$103,MATCH('ALL-F1'!$I$11,PHOTO!$A$4:PHOTO!$A$103,0))</definedName>
    <definedName name="PHOTO2" localSheetId="11">INDEX(PHOTO!$F$4:PHOTO!$F$103,MATCH('BAR-F1'!$I$11,PHOTO!$A$4:PHOTO!$A$103,0))</definedName>
    <definedName name="PHOTO2" localSheetId="13">INDEX(PHOTO!$F$4:PHOTO!$F$103,MATCH('F1'!$I$11,PHOTO!$A$4:PHOTO!$A$103,0))</definedName>
    <definedName name="PHOTO2" localSheetId="19">INDEX(PHOTO!$F$4:PHOTO!$F$103,MATCH(#REF!,PHOTO!$A$4:PHOTO!$A$103,0))</definedName>
    <definedName name="PHOTO2">INDEX(PHOTO!$F$4:PHOTO!$F$103,MATCH(#REF!,PHOTO!$A$4:PHOTO!$A$103,0))</definedName>
    <definedName name="PHOTO3">INDEX(PHOTO!$F$4:PHOTO!$F$103,MATCH('AB1'!$N$12,PHOTO!$A$4:PHOTO!$A$103,0))</definedName>
    <definedName name="PHOTO4">INDEX(PHOTO!$F$4:PHOTO!$F$103,MATCH(SUCCESS!$P$13,PHOTO!$A$4:PHOTO!$A$103,0))</definedName>
    <definedName name="_xlnm.Print_Area" localSheetId="17">ATTENDANCEINFO!$A$1:$M$59</definedName>
    <definedName name="_xlnm.Print_Area" localSheetId="24">CASESTUDY!$A$1:$R$96</definedName>
    <definedName name="_xlnm.Print_Area" localSheetId="20">GRADEINFO!$A$1:$L$57</definedName>
    <definedName name="_xlnm.Print_Area" localSheetId="18">'INFODESK-1'!$A$1:$L$57</definedName>
    <definedName name="_xlnm.Print_Area" localSheetId="19">'INFODESK-5'!$A$1:$L$57</definedName>
    <definedName name="_xlnm.Print_Area" localSheetId="25">SUCCESS!$A$1:$U$47</definedName>
    <definedName name="_xlnm.Print_Titles" localSheetId="10">FLNASSESSMENT!$1:$8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<sst xmlns="http://schemas.openxmlformats.org/spreadsheetml/2006/main" count="19693" uniqueCount="764">
  <si>
    <t>COMMON DETAILS OF SCHOOL :</t>
  </si>
  <si>
    <t>INPUT SHEETS (ENTRY)</t>
  </si>
  <si>
    <t>OUTPUT SHEETS (PRINT)</t>
  </si>
  <si>
    <t>SHORT NAME OF CORPORATION</t>
  </si>
  <si>
    <t>:</t>
  </si>
  <si>
    <t>MCD</t>
  </si>
  <si>
    <t>CORPORATION NAME</t>
  </si>
  <si>
    <t>MUNICIPAL CORPORATION OF DELHI</t>
  </si>
  <si>
    <t>DATEWISE</t>
  </si>
  <si>
    <t>STUDENT FLN ASSESSMENT SHEET</t>
  </si>
  <si>
    <t>NAME OF DEPARTMENT</t>
  </si>
  <si>
    <t>EDUCATION DEPARTMENT</t>
  </si>
  <si>
    <t>ZONE</t>
  </si>
  <si>
    <t>ROHINI ZONE</t>
  </si>
  <si>
    <t>STUDENT</t>
  </si>
  <si>
    <t>STUDENT FLN RECORD - ANNEXURE-F1</t>
  </si>
  <si>
    <t>NAME OF THE SCHOOL</t>
  </si>
  <si>
    <t>MCP NITHARI NO 1 BOYS</t>
  </si>
  <si>
    <t>School U-DISE ID</t>
  </si>
  <si>
    <t>FLN</t>
  </si>
  <si>
    <t>CLASS WISE FLN RECORD - ANNEXURE-F2</t>
  </si>
  <si>
    <t>School U-DISE CODE</t>
  </si>
  <si>
    <t>School Number</t>
  </si>
  <si>
    <t>PHOTO</t>
  </si>
  <si>
    <t>BAR GRAPH - ANNEXURE-F1</t>
  </si>
  <si>
    <t>Ward No.</t>
  </si>
  <si>
    <t>Session</t>
  </si>
  <si>
    <t>2026-27</t>
  </si>
  <si>
    <t>PASHEET</t>
  </si>
  <si>
    <t>P.A. SUMMARY</t>
  </si>
  <si>
    <t>Name of Principal / HOS</t>
  </si>
  <si>
    <t>SHAMBHU DAYAL MEENA</t>
  </si>
  <si>
    <t>Name of Mentor</t>
  </si>
  <si>
    <t>DEVENDER SINGH</t>
  </si>
  <si>
    <t>MARKS</t>
  </si>
  <si>
    <t>STUDENT MARKS CARD - ANNEXURE-AB1</t>
  </si>
  <si>
    <t>Name of S.I. of School</t>
  </si>
  <si>
    <t>Total Students in School</t>
  </si>
  <si>
    <t>ATTENDANCE</t>
  </si>
  <si>
    <t>CASE STUDY</t>
  </si>
  <si>
    <t>Total Students (3rd to 5th) in MB</t>
  </si>
  <si>
    <t>Total Long Absentee (3rd to 5th) in MB</t>
  </si>
  <si>
    <t>SUCCESS STORY</t>
  </si>
  <si>
    <t>Total Available Students in MB</t>
  </si>
  <si>
    <t>Name of Class Teacher</t>
  </si>
  <si>
    <t>INDRAJEET</t>
  </si>
  <si>
    <t>PTM FEEDBACK</t>
  </si>
  <si>
    <t>Class</t>
  </si>
  <si>
    <t>III</t>
  </si>
  <si>
    <t>Section</t>
  </si>
  <si>
    <t>A</t>
  </si>
  <si>
    <t>RESULT REGISTER - ANNEXURE-R2.1 - 1 to 4</t>
  </si>
  <si>
    <t>Total Boys in Class</t>
  </si>
  <si>
    <t>Total Girls in Class</t>
  </si>
  <si>
    <t>CLASS WISE SUMMARY-ANNEXURE-R2.2 - 1 to 4</t>
  </si>
  <si>
    <t>Total Students in the Class</t>
  </si>
  <si>
    <t>Total Working Days (Apr to Sep)</t>
  </si>
  <si>
    <t>SCHOOL WISE SUM - ANNEXURE-R2.3 - 1 to 4</t>
  </si>
  <si>
    <t>Total Working Days (April to March)</t>
  </si>
  <si>
    <t>Date of Result Declaration</t>
  </si>
  <si>
    <t>MARKS SHEET - ANNEXURE-R2.4 - 1 to 4</t>
  </si>
  <si>
    <t>State</t>
  </si>
  <si>
    <t>NEW DELHI</t>
  </si>
  <si>
    <t>BMID of Class Teacher</t>
  </si>
  <si>
    <t>RESULT REGISTER - ANNEXURE-R3.1 - 5TH</t>
  </si>
  <si>
    <t>Contact Number of Teacher</t>
  </si>
  <si>
    <t>Name of Academic Co-ordinator</t>
  </si>
  <si>
    <t>CLASS WISE SUMMARY - ANNEXURE-R3.2 - 5TH</t>
  </si>
  <si>
    <t>Contact No. of Academic Co-ordinator</t>
  </si>
  <si>
    <t>Contact No. of HOS</t>
  </si>
  <si>
    <t>SCHOOL WISE SUM - ANNEXURE-R3.3 - 5TH</t>
  </si>
  <si>
    <t>MARKS SHEET - ANNEXURE-R3.4 - 5TH</t>
  </si>
  <si>
    <t>ALL STUDENTS FLN GRAPH - F1</t>
  </si>
  <si>
    <t>SCHOOL WISE FLN 1 &amp; 2 - ANNEXURE-F3.1</t>
  </si>
  <si>
    <t>SCHOOL WISE FLN 3, 4 &amp; 5 - ANNEXURE-F3.2</t>
  </si>
  <si>
    <t>CLASS INFORMATION DESK - ATTENDNANCE</t>
  </si>
  <si>
    <t>CLASS INFORMATION DESK - FLN CLASS 1 &amp; 2</t>
  </si>
  <si>
    <t>CLASS INFORMATION DESK - FLN CLASS 3, 4 &amp; 5</t>
  </si>
  <si>
    <t>CLASS INFORMATION DESK - TERM GRADES</t>
  </si>
  <si>
    <t>DATES OF FLN ASSESSMENT</t>
  </si>
  <si>
    <t>Total Students
in the Class</t>
  </si>
  <si>
    <t>Total Long
Absentee</t>
  </si>
  <si>
    <t>Total Students
Assessed</t>
  </si>
  <si>
    <t>Total Students
in the SCHOOL
(1st to 2nd)</t>
  </si>
  <si>
    <t>Total Long
Absentee
(1st to 2nd)</t>
  </si>
  <si>
    <t>Total Students
Assessed
(1st to 2nd)</t>
  </si>
  <si>
    <t>CODE</t>
  </si>
  <si>
    <t>HINDI</t>
  </si>
  <si>
    <t>MATHS</t>
  </si>
  <si>
    <t>ENGLISH</t>
  </si>
  <si>
    <t>Total Students
in the SCHOOL
(3rd to 5th)</t>
  </si>
  <si>
    <t>Total Long
Absentee
(3rd to 5th)</t>
  </si>
  <si>
    <t>Total Students
Assessed
(3rd to 5th)</t>
  </si>
  <si>
    <t>Total Students
in the SCHOOL
(1st to 5th)</t>
  </si>
  <si>
    <t>Total Long
Absentee
(1st to 5th)</t>
  </si>
  <si>
    <t>Total Students
Assessed
(1st to 5th)</t>
  </si>
  <si>
    <t>L1</t>
  </si>
  <si>
    <t>L2</t>
  </si>
  <si>
    <t>L3</t>
  </si>
  <si>
    <t>L4</t>
  </si>
  <si>
    <t>L5</t>
  </si>
  <si>
    <t>Ab</t>
  </si>
  <si>
    <t>TOTAL</t>
  </si>
  <si>
    <t>30.04.2026</t>
  </si>
  <si>
    <t>08.05.2026</t>
  </si>
  <si>
    <t>15.07.2026</t>
  </si>
  <si>
    <t>31.07.2026</t>
  </si>
  <si>
    <t>17.08.2026</t>
  </si>
  <si>
    <t>31.08.2026</t>
  </si>
  <si>
    <t>S. No.</t>
  </si>
  <si>
    <t>Class-Section</t>
  </si>
  <si>
    <t>Date of Admission</t>
  </si>
  <si>
    <t>Student Id</t>
  </si>
  <si>
    <t>Student Name</t>
  </si>
  <si>
    <t>Admission
Number</t>
  </si>
  <si>
    <t>DOB</t>
  </si>
  <si>
    <t>Father's Name</t>
  </si>
  <si>
    <t>Mother's Name</t>
  </si>
  <si>
    <t>Bank A/C No.</t>
  </si>
  <si>
    <t>Bank Name</t>
  </si>
  <si>
    <t>IFSC</t>
  </si>
  <si>
    <t>MICR No</t>
  </si>
  <si>
    <t>Aadhar Card
Number</t>
  </si>
  <si>
    <t>Category</t>
  </si>
  <si>
    <t>Gender</t>
  </si>
  <si>
    <t>Religion</t>
  </si>
  <si>
    <t>Family Income</t>
  </si>
  <si>
    <t>Family ID</t>
  </si>
  <si>
    <t>Mobile No</t>
  </si>
  <si>
    <t>Alternate No</t>
  </si>
  <si>
    <t>Address</t>
  </si>
  <si>
    <t>PEN Number</t>
  </si>
  <si>
    <t>Blood Group</t>
  </si>
  <si>
    <t>Date of Birth</t>
  </si>
  <si>
    <t>Month</t>
  </si>
  <si>
    <t>Day</t>
  </si>
  <si>
    <t>Year</t>
  </si>
  <si>
    <t>Month
Value</t>
  </si>
  <si>
    <t>Converted
Date of Birth</t>
  </si>
  <si>
    <t>Date of Birth in Words
(2000 to 2050)</t>
  </si>
  <si>
    <t>NAKSH</t>
  </si>
  <si>
    <t>Oct 29 2018</t>
  </si>
  <si>
    <t>NARESH</t>
  </si>
  <si>
    <t>SHEETAL</t>
  </si>
  <si>
    <t>PLOT NO 6 A, KH NO 36/17 INDER ENCALVE II</t>
  </si>
  <si>
    <t>NAVEEN</t>
  </si>
  <si>
    <t>Jun 26 2018</t>
  </si>
  <si>
    <t>SANJAY</t>
  </si>
  <si>
    <t>KIRAN</t>
  </si>
  <si>
    <t>H NO 71 GALI NO 8 PRATAP VIHAR NITHARI</t>
  </si>
  <si>
    <t>AADITYA KUMAR</t>
  </si>
  <si>
    <t>Jul 22 2018</t>
  </si>
  <si>
    <t>DHARMENDRA KUMAR</t>
  </si>
  <si>
    <t>SUSHILA DEVI</t>
  </si>
  <si>
    <t>D 5/ 155 PREM NAAGR 3</t>
  </si>
  <si>
    <t>PRINCE KUMAR RAY</t>
  </si>
  <si>
    <t>Jun 3 2018</t>
  </si>
  <si>
    <t>RAMSHARAN RAY</t>
  </si>
  <si>
    <t>SOBHA DEVI</t>
  </si>
  <si>
    <t>B 171, GALI NO 4 INDER ENCLAVE PHASE I</t>
  </si>
  <si>
    <t>KIRSHNA</t>
  </si>
  <si>
    <t>Aug 16 2018</t>
  </si>
  <si>
    <t>VISHNU KASHYAP</t>
  </si>
  <si>
    <t>KHUSHBOO DEVI</t>
  </si>
  <si>
    <t>PLOT NO 6, KH NO 36/17 MUBARAKPUR ROAD, A BLOCK , INDER ENCLAVE PHASE-2</t>
  </si>
  <si>
    <t>MD SOPHIYAN ALAM</t>
  </si>
  <si>
    <t>Jun 23 2018</t>
  </si>
  <si>
    <t>MD TABREJ ALAM</t>
  </si>
  <si>
    <t>ISRAT BEGUM</t>
  </si>
  <si>
    <t>KH NO 26/6 BLOCK F INDER ENCLAVE II</t>
  </si>
  <si>
    <t>MD SAUBAN</t>
  </si>
  <si>
    <t>Jan 31 2019</t>
  </si>
  <si>
    <t>MD IRSHAD</t>
  </si>
  <si>
    <t>MUSRAT PARVEEN</t>
  </si>
  <si>
    <t>E49 A INDER ENCLAVE 2</t>
  </si>
  <si>
    <t>DEEPANSHU</t>
  </si>
  <si>
    <t>Jul 26 2018</t>
  </si>
  <si>
    <t>AKHILESH KUMAR</t>
  </si>
  <si>
    <t>GUDIYA DEVI</t>
  </si>
  <si>
    <t>G 225/8 JANTA ENCLAVE PREM NAGAR</t>
  </si>
  <si>
    <t>ANUJ</t>
  </si>
  <si>
    <t>Sep 6 2018</t>
  </si>
  <si>
    <t>RANJEET DAS</t>
  </si>
  <si>
    <t>LALITA DEVI</t>
  </si>
  <si>
    <t>C 441/442 D BLOCK AGAR NAGAR PREM NAGAR 3</t>
  </si>
  <si>
    <t>PIYUSH KUMAR</t>
  </si>
  <si>
    <t>Mar 22 2019</t>
  </si>
  <si>
    <t>MUNNA LAL</t>
  </si>
  <si>
    <t>USHA PRAJAPATI</t>
  </si>
  <si>
    <t>A 198/11 GALI NO 1 GAURAV NAGAR PREM NAGAR 2</t>
  </si>
  <si>
    <t>MD MAHTAB</t>
  </si>
  <si>
    <t>Sep 28 2018</t>
  </si>
  <si>
    <t>MD ASRAF</t>
  </si>
  <si>
    <t>MOVINA PRAVEEN</t>
  </si>
  <si>
    <t>F 172 INDER INCLAVE 2</t>
  </si>
  <si>
    <t>PRADEEP</t>
  </si>
  <si>
    <t>Dec 10 2018</t>
  </si>
  <si>
    <t>RAM BHAWAN</t>
  </si>
  <si>
    <t>REKHA</t>
  </si>
  <si>
    <t>C-2 41-242, BLOCK -D GALI NO 5 AGAR NAGAR PREM NAGAR III</t>
  </si>
  <si>
    <t>MOHD JISAN</t>
  </si>
  <si>
    <t>Jun 28 2018</t>
  </si>
  <si>
    <t>MD ZAMEEL</t>
  </si>
  <si>
    <t>IRFANA KHATUN</t>
  </si>
  <si>
    <t>B-227, PREM NAGAR-III,DELHI</t>
  </si>
  <si>
    <t>KARN KUMAR</t>
  </si>
  <si>
    <t>Aug 7 2018</t>
  </si>
  <si>
    <t>MUKESH RAY</t>
  </si>
  <si>
    <t>RAGINI DEVI</t>
  </si>
  <si>
    <t>B-309,BALJEET VIHAR,KIRARI,DELHI</t>
  </si>
  <si>
    <t>ROKI</t>
  </si>
  <si>
    <t>Jul 23 2018</t>
  </si>
  <si>
    <t>KUAR SINGH</t>
  </si>
  <si>
    <t>PREETI</t>
  </si>
  <si>
    <t>A-1/24,GAURAV NAGAR-II, PREM NAGAR-III</t>
  </si>
  <si>
    <t>MD BILAL</t>
  </si>
  <si>
    <t>Oct 4 2018</t>
  </si>
  <si>
    <t>MD AFROJ</t>
  </si>
  <si>
    <t>SABA PARWEEN</t>
  </si>
  <si>
    <t>H NO-46, INDER ENCLAVE -II, KIRARI</t>
  </si>
  <si>
    <t>GAURAV KUMAR</t>
  </si>
  <si>
    <t>Jan 11 2019</t>
  </si>
  <si>
    <t>HARINDER YADAV</t>
  </si>
  <si>
    <t>KANCHAN YADAV</t>
  </si>
  <si>
    <t>B-504/2 INDER ENCLAVE II KIRARI</t>
  </si>
  <si>
    <t>SAURAV KUMAR</t>
  </si>
  <si>
    <t>HANAM AYUBI</t>
  </si>
  <si>
    <t>Jul 2 2018</t>
  </si>
  <si>
    <t>MD PARWEZ</t>
  </si>
  <si>
    <t>SONI PARWEEN</t>
  </si>
  <si>
    <t>A-53 LAXMI VIHAR PREM NAGAR-3</t>
  </si>
  <si>
    <t>ANKUR</t>
  </si>
  <si>
    <t>Jul 11 2018</t>
  </si>
  <si>
    <t>ASHOK KUMAR GUPTA</t>
  </si>
  <si>
    <t>ANITA DEVI</t>
  </si>
  <si>
    <t>209, GALI NO-7 BLOCK D-1 LAXMI NAGAR PREM NAGAR -3 KIRARI</t>
  </si>
  <si>
    <t>SOBHIT PASWAN</t>
  </si>
  <si>
    <t>SHANKAR PASWAN</t>
  </si>
  <si>
    <t>SONI DEVI</t>
  </si>
  <si>
    <t>H NO-151/1, INDER ENCLAVE PH-1, KIRARI</t>
  </si>
  <si>
    <t>ABHISHEK MUKHIYA</t>
  </si>
  <si>
    <t>May 4 2018</t>
  </si>
  <si>
    <t>ARJUN MUKHIYA</t>
  </si>
  <si>
    <t>SUNITA DEVI</t>
  </si>
  <si>
    <t>D-577 INDER ENCLAVE KIRARI SULEMAN NAGAR</t>
  </si>
  <si>
    <t>NITIN</t>
  </si>
  <si>
    <t>AJAY</t>
  </si>
  <si>
    <t>RADHA</t>
  </si>
  <si>
    <t>H.NO-422 JANTA ENCLAVE GALI NO-11 PREM NAGAR -3 KIRARI SULEMAN NAGAR</t>
  </si>
  <si>
    <t>SOORYA VANSHAL</t>
  </si>
  <si>
    <t>Jun 27 2018</t>
  </si>
  <si>
    <t>KAMLESH KUMAR</t>
  </si>
  <si>
    <t>SARITA</t>
  </si>
  <si>
    <t>PLOT -546 KH NO .-33/13/1 BLOCK -E AGAR NAGAR PREM NAGAR -3 KIRARI SULEMAN NAGAR</t>
  </si>
  <si>
    <t>ANSHU KUMAR PANDIT</t>
  </si>
  <si>
    <t>Aug 31 2018</t>
  </si>
  <si>
    <t>RAMESH KUMAR PANDIT</t>
  </si>
  <si>
    <t>PRATIBHA KUMARI</t>
  </si>
  <si>
    <t>D-32 INDER ENCLAVE PH-2 KIRARI</t>
  </si>
  <si>
    <t>MD ADAN SHEKH</t>
  </si>
  <si>
    <t>Mar 25 2019</t>
  </si>
  <si>
    <t>MD ISHTIKHAR</t>
  </si>
  <si>
    <t>SAHJAHAN KHATOON</t>
  </si>
  <si>
    <t>PLOT NO-43 KHASRA NO -139 148 GALI NO -20 BLOCK - B PREM NAGAR</t>
  </si>
  <si>
    <t>KARTIK</t>
  </si>
  <si>
    <t>Nov 4 2017</t>
  </si>
  <si>
    <t>SUNIL</t>
  </si>
  <si>
    <t>MEENA</t>
  </si>
  <si>
    <t>H.NO -560 INDER ENCLAVE</t>
  </si>
  <si>
    <t>ABDUL REHMAN</t>
  </si>
  <si>
    <t>Oct 30 2018</t>
  </si>
  <si>
    <t>MD LAL BABU</t>
  </si>
  <si>
    <t>SHAIN PRVEEN</t>
  </si>
  <si>
    <t>PLOT NO. 248-A KH.NO 861 BLOCK -A HARI ENCLAVE PHASE -1 KIRARI</t>
  </si>
  <si>
    <t>Oct 1 2018</t>
  </si>
  <si>
    <t>AMAN YADAV</t>
  </si>
  <si>
    <t>KAJAL</t>
  </si>
  <si>
    <t>PLOT NO-1/6 KH.NO-62-66 BRIJ VIHAR PREM NAGAR -3</t>
  </si>
  <si>
    <t>AYAN</t>
  </si>
  <si>
    <t>Jan 25 2018</t>
  </si>
  <si>
    <t>BABU HASAN</t>
  </si>
  <si>
    <t>HURVANO</t>
  </si>
  <si>
    <t>HOUSE NO. 230 PLOT NO. 53 BLK B INDER ENCLAVE</t>
  </si>
  <si>
    <t>RAM CHANDER KUMAR</t>
  </si>
  <si>
    <t>Jul 14 2018</t>
  </si>
  <si>
    <t>AKASH SHARMA</t>
  </si>
  <si>
    <t>RAJANI KUMARI</t>
  </si>
  <si>
    <t>A-14 CHANDAN PARK SHISH MAHAL ENCLAVE PREM NAGAR -3 KIRARI</t>
  </si>
  <si>
    <t>HARSHIT</t>
  </si>
  <si>
    <t>Jul 20 2018</t>
  </si>
  <si>
    <t>ANKIT SINGH</t>
  </si>
  <si>
    <t>JYOTI</t>
  </si>
  <si>
    <t>B-150 G.NO -3 INDER ENCL PH-1</t>
  </si>
  <si>
    <t>HEMANT KUMAR</t>
  </si>
  <si>
    <t>Dec 25 2018</t>
  </si>
  <si>
    <t>PRADEEP KUMAR</t>
  </si>
  <si>
    <t>GEETA KUMARI</t>
  </si>
  <si>
    <t>H.NO -113 GALI NO-9 PRATAP VIHAR PART -3 KIRARI</t>
  </si>
  <si>
    <t>VEERPARTAP SINGH</t>
  </si>
  <si>
    <t>May 3 2018</t>
  </si>
  <si>
    <t>VIJAY SINGH</t>
  </si>
  <si>
    <t>SARITA KUMARI</t>
  </si>
  <si>
    <t>H.NO -511 BLK -B INDER ENCLAVE PH-2</t>
  </si>
  <si>
    <t>NIKHIL KUMAR</t>
  </si>
  <si>
    <t>Jul 25 2017</t>
  </si>
  <si>
    <t>SUNIL KUMAR</t>
  </si>
  <si>
    <t>NEETU</t>
  </si>
  <si>
    <t>E-236 GALI NO -2 PREM NAGAR</t>
  </si>
  <si>
    <t>JITENDRA</t>
  </si>
  <si>
    <t>Aug 18 2018</t>
  </si>
  <si>
    <t>RAM SUMAR</t>
  </si>
  <si>
    <t>POOJA DEVI</t>
  </si>
  <si>
    <t>H.NO-A-204 NEAR SHANI BAZAR PREM NAGAR -3</t>
  </si>
  <si>
    <t>MOHD AYAN</t>
  </si>
  <si>
    <t>BUDHAN MIYAN</t>
  </si>
  <si>
    <t>GULBASA KHATUN</t>
  </si>
  <si>
    <t>H.NO-981 PLOT NO OLD NO-6 KH.NO-19/16 MUBARAKPUR BLOCK -F PH-2</t>
  </si>
  <si>
    <t>RAJA KUMAR</t>
  </si>
  <si>
    <t>May 12 2018</t>
  </si>
  <si>
    <t>AMAR PODDAR</t>
  </si>
  <si>
    <t>SUJITA DEVI</t>
  </si>
  <si>
    <t>H.NO-93 BLK-A SHANTI VIHAR PREM NAGAR PH-3</t>
  </si>
  <si>
    <t>LOVECESH KUMAR</t>
  </si>
  <si>
    <t>Jan 5 2018</t>
  </si>
  <si>
    <t>SANDEEP KUMAR</t>
  </si>
  <si>
    <t>ANJU KUMARI</t>
  </si>
  <si>
    <t>HOUSE NO-150 KH .NO . A/24 GROUND FLOOR NITHARI</t>
  </si>
  <si>
    <t>Father Name</t>
  </si>
  <si>
    <t>Student Photo</t>
  </si>
  <si>
    <t>Name Wise Level</t>
  </si>
  <si>
    <t>Number Wise Level</t>
  </si>
  <si>
    <t>Hindi
Level</t>
  </si>
  <si>
    <t>Maths
Level</t>
  </si>
  <si>
    <t>English
Level</t>
  </si>
  <si>
    <t>FLN
Remarks</t>
  </si>
  <si>
    <t>Alphabets</t>
  </si>
  <si>
    <t>Number Recognition (10-99)</t>
  </si>
  <si>
    <t>Character</t>
  </si>
  <si>
    <t>Words</t>
  </si>
  <si>
    <t>Subtraction</t>
  </si>
  <si>
    <t>Paragraph</t>
  </si>
  <si>
    <t>-</t>
  </si>
  <si>
    <t>Periodic Assessment-01 (20)</t>
  </si>
  <si>
    <t>Periodic Assessment-02 (20)</t>
  </si>
  <si>
    <t>Periodic Assessment-03 (20)</t>
  </si>
  <si>
    <t>Periodic Assessment-04 (20)</t>
  </si>
  <si>
    <t>Periodic Assessment-MID TERM (05)</t>
  </si>
  <si>
    <t>Periodic Assessment-FINAL TERM 05)</t>
  </si>
  <si>
    <t>SEP</t>
  </si>
  <si>
    <t>MAR</t>
  </si>
  <si>
    <t>ENG</t>
  </si>
  <si>
    <t>EVS</t>
  </si>
  <si>
    <t>SST</t>
  </si>
  <si>
    <t>CO-CUR</t>
  </si>
  <si>
    <t>OTHER</t>
  </si>
  <si>
    <t>MID TERM ASSESSMENT</t>
  </si>
  <si>
    <t>FINAL TERM ASSESSMENT</t>
  </si>
  <si>
    <t>Multiple Assessment - MID TERM (05)</t>
  </si>
  <si>
    <t>Portfolio - MID TERM (05)</t>
  </si>
  <si>
    <t>Subject Enrichment - MID TERM (05)</t>
  </si>
  <si>
    <t>MID TERM Assessement (30)</t>
  </si>
  <si>
    <t>Multiple Assessment - FINAL TERM (05)</t>
  </si>
  <si>
    <t>Portfolio - FINAL TERM (05)</t>
  </si>
  <si>
    <t>Subject Enrichment - FINAL TERM (05)</t>
  </si>
  <si>
    <t>FINAL TERM Assessement (30)</t>
  </si>
  <si>
    <t>ANNUAL TERM Assessement (100)</t>
  </si>
  <si>
    <t>ANNUAL TERM Assessement Grade</t>
  </si>
  <si>
    <t>MID TERM Assessement (50)</t>
  </si>
  <si>
    <t>MID TERM Assessement Grade</t>
  </si>
  <si>
    <t>FINAL TERM Assessement (50)</t>
  </si>
  <si>
    <t>FINAL TERM Assessement Grade</t>
  </si>
  <si>
    <t>Total Students
in the SCHOOL (3rd to 5th)</t>
  </si>
  <si>
    <t>Level-I</t>
  </si>
  <si>
    <t>30.09.2023</t>
  </si>
  <si>
    <t>Level-II</t>
  </si>
  <si>
    <t>16.10.2023</t>
  </si>
  <si>
    <t>Level-III</t>
  </si>
  <si>
    <t>31.10.2023</t>
  </si>
  <si>
    <t>Level-IV</t>
  </si>
  <si>
    <t>30.11.2023</t>
  </si>
  <si>
    <t>Level-V</t>
  </si>
  <si>
    <t>15.12.2023</t>
  </si>
  <si>
    <t>Total</t>
  </si>
  <si>
    <t>30.12.2023</t>
  </si>
  <si>
    <t>31.01.2024</t>
  </si>
  <si>
    <t>15.02.2024</t>
  </si>
  <si>
    <t>29.02.2024</t>
  </si>
  <si>
    <t>S. NO.</t>
  </si>
  <si>
    <t>DATES OF FLN
ASSESSMENT</t>
  </si>
  <si>
    <t>Subjects</t>
  </si>
  <si>
    <t>REMARKS</t>
  </si>
  <si>
    <t>STUDENTS ASSESSMENT SHEET : FLN to EXCELLENCE</t>
  </si>
  <si>
    <t>Name of School :</t>
  </si>
  <si>
    <t>School ID :</t>
  </si>
  <si>
    <t>Name of Teacher :</t>
  </si>
  <si>
    <t>Class &amp; Section :</t>
  </si>
  <si>
    <t>Hindi    :</t>
  </si>
  <si>
    <t>Levels :</t>
  </si>
  <si>
    <t>L-1 : Beginner</t>
  </si>
  <si>
    <t>L-2 : Alphabets</t>
  </si>
  <si>
    <t>L-3 : Words</t>
  </si>
  <si>
    <t>L-4 : Paragraph/Story</t>
  </si>
  <si>
    <t>L-5 : Understanding of Story</t>
  </si>
  <si>
    <t>Maths  :</t>
  </si>
  <si>
    <t>L-2 : Digit Recognition (1-9)</t>
  </si>
  <si>
    <t>L-3 : Number Recognition (10-99)</t>
  </si>
  <si>
    <t>L-4 : Subtraction</t>
  </si>
  <si>
    <t>L-5 : Division</t>
  </si>
  <si>
    <t>English :</t>
  </si>
  <si>
    <t>L-2 : Character</t>
  </si>
  <si>
    <t>Sr. No.</t>
  </si>
  <si>
    <t>Admission
No.</t>
  </si>
  <si>
    <t>Student's Name</t>
  </si>
  <si>
    <t>Note : *Ab : Absent / New Admission</t>
  </si>
  <si>
    <t>Regular Students :</t>
  </si>
  <si>
    <t>Long Absentee / New :</t>
  </si>
  <si>
    <t>Total No. of Students :</t>
  </si>
  <si>
    <t>STUDENT'S FLN / EXCELLENCE RECORD</t>
  </si>
  <si>
    <t>(ANNEXURE - F1)</t>
  </si>
  <si>
    <t>NAME OF SCHOOL :</t>
  </si>
  <si>
    <t>NAME OF STUDENT :</t>
  </si>
  <si>
    <t>FATHER'S NAME :</t>
  </si>
  <si>
    <t>ADMISSION NO. :</t>
  </si>
  <si>
    <t>DATE OF BIRTH :</t>
  </si>
  <si>
    <t>CLASS-SEC :</t>
  </si>
  <si>
    <t>ROLL NO. :</t>
  </si>
  <si>
    <t>FLN / EXCELLENCE PROGRESS REPORT</t>
  </si>
  <si>
    <t>ASSESSMENT
DATE</t>
  </si>
  <si>
    <r>
      <rPr>
        <b/>
        <sz val="16"/>
        <color rgb="FF000000"/>
        <rFont val="Times New Roman"/>
        <charset val="134"/>
      </rPr>
      <t>HINDI</t>
    </r>
    <r>
      <rPr>
        <b/>
        <sz val="12"/>
        <color rgb="FF000000"/>
        <rFont val="Times New Roman"/>
        <charset val="134"/>
      </rPr>
      <t xml:space="preserve">
(Green Colour)
Mention Level</t>
    </r>
  </si>
  <si>
    <r>
      <rPr>
        <b/>
        <sz val="16"/>
        <color rgb="FF000000"/>
        <rFont val="Times New Roman"/>
        <charset val="134"/>
      </rPr>
      <t>MATHS</t>
    </r>
    <r>
      <rPr>
        <b/>
        <sz val="12"/>
        <color rgb="FF000000"/>
        <rFont val="Times New Roman"/>
        <charset val="134"/>
      </rPr>
      <t xml:space="preserve">
(Blue Colour)
Mention Level</t>
    </r>
  </si>
  <si>
    <r>
      <rPr>
        <b/>
        <sz val="16"/>
        <color rgb="FF000000"/>
        <rFont val="Times New Roman"/>
        <charset val="134"/>
      </rPr>
      <t>ENGLISH</t>
    </r>
    <r>
      <rPr>
        <b/>
        <sz val="12"/>
        <color rgb="FF000000"/>
        <rFont val="Times New Roman"/>
        <charset val="134"/>
      </rPr>
      <t xml:space="preserve">
(Red Colour)
Mention Level</t>
    </r>
  </si>
  <si>
    <t>FLN / EXCELLENCE PROGRESS : GRAPHICAL PRESENTATION</t>
  </si>
  <si>
    <t>NOTE : USE ONLY LINE GRAPH WITH DIFFERENT COLOUR LINES AS GIVEN - GREEN FOR HINDI, BLUE FOR MATHS &amp; RED FOR ENGLISH.</t>
  </si>
  <si>
    <t>SIGNATURE (CLASS TEACHER)</t>
  </si>
  <si>
    <t>H.O.S. SIGNATURE WITH STAMP</t>
  </si>
  <si>
    <t>CLASS WISE FLN / EXCELLENCE RECORD</t>
  </si>
  <si>
    <t>(ANNEXURE - F2)</t>
  </si>
  <si>
    <t>SCHOOL ID :</t>
  </si>
  <si>
    <t>WARD NO. :</t>
  </si>
  <si>
    <t>ZONE :</t>
  </si>
  <si>
    <t>NAME OF CLASS TEACHER :</t>
  </si>
  <si>
    <t>CLASS - SECTION :</t>
  </si>
  <si>
    <t>BMID :</t>
  </si>
  <si>
    <t>CONTACT NO.</t>
  </si>
  <si>
    <t>FLN / EXCELLENCE Class Wise Progress Report</t>
  </si>
  <si>
    <r>
      <rPr>
        <b/>
        <sz val="11"/>
        <color rgb="FF000000"/>
        <rFont val="Times New Roman"/>
        <charset val="134"/>
      </rPr>
      <t xml:space="preserve">TOTAL
</t>
    </r>
    <r>
      <rPr>
        <b/>
        <sz val="10"/>
        <color rgb="FF000000"/>
        <rFont val="Times New Roman"/>
        <charset val="134"/>
      </rPr>
      <t>ENROLLED
STUDENTS</t>
    </r>
  </si>
  <si>
    <r>
      <rPr>
        <b/>
        <sz val="11"/>
        <color rgb="FF000000"/>
        <rFont val="Times New Roman"/>
        <charset val="134"/>
      </rPr>
      <t xml:space="preserve">TOTAL
</t>
    </r>
    <r>
      <rPr>
        <b/>
        <sz val="10"/>
        <color rgb="FF000000"/>
        <rFont val="Times New Roman"/>
        <charset val="134"/>
      </rPr>
      <t>LONG
ABSENT
STUDENTS</t>
    </r>
  </si>
  <si>
    <r>
      <rPr>
        <b/>
        <sz val="11"/>
        <color rgb="FF000000"/>
        <rFont val="Times New Roman"/>
        <charset val="134"/>
      </rPr>
      <t xml:space="preserve">TOTAL
</t>
    </r>
    <r>
      <rPr>
        <b/>
        <sz val="10"/>
        <color rgb="FF000000"/>
        <rFont val="Times New Roman"/>
        <charset val="134"/>
      </rPr>
      <t>STUDENTS
ASSESSED</t>
    </r>
  </si>
  <si>
    <t>SUB-</t>
  </si>
  <si>
    <t>LEV-</t>
  </si>
  <si>
    <t>LEVEL</t>
  </si>
  <si>
    <t>CLASS WISE FLN / EXCELLENCE CUMULATIVE PROGRESS REPORT : GRAPHICAL PRESENTATION</t>
  </si>
  <si>
    <t>SUBJECT : HINDI</t>
  </si>
  <si>
    <t>SUBJECT : MATHEMATICS</t>
  </si>
  <si>
    <t>SUBJECT : ENGLISH</t>
  </si>
  <si>
    <t>NOTE : USE ONLY LINE GRAPH WITH DIFFERENT COLOUR LINES AS GIVEN : L1- RED, L2- YELLOW, L3- MAGENTA, L4- GREEN AND L5- BLUE.</t>
  </si>
  <si>
    <t>Signature</t>
  </si>
  <si>
    <t>(CLASS TEACHER)</t>
  </si>
  <si>
    <t>(MENTOR)</t>
  </si>
  <si>
    <t>SCHOOL WISE FLN / EXCELLENCE RECORD</t>
  </si>
  <si>
    <t>(ANNEXURE - F3.1)</t>
  </si>
  <si>
    <t>NAME OF HOS :</t>
  </si>
  <si>
    <t>NAME OF ACADEMIC CO. :</t>
  </si>
  <si>
    <t>FLN / EXCELLENCE School Wise Progress Report (CLASS 1 &amp; 2)</t>
  </si>
  <si>
    <t>SCHOOL WISE FLN / EXCELLENCE CUMULATIVE PROGRESS REPORT OF CLASS 1 &amp; 2 : GRAPHICAL PRESENTATION</t>
  </si>
  <si>
    <t>(ACADEMIC CO-ORDINATOR)</t>
  </si>
  <si>
    <t>(ANNEXURE - F3.2)</t>
  </si>
  <si>
    <t>FLN / EXCELLENCE School Wise Progress Report (CLASS 3, 4 &amp; 5)</t>
  </si>
  <si>
    <t>ANNEXURE - CB</t>
  </si>
  <si>
    <t xml:space="preserve">Name of Teacher (Class &amp; Section) having highest No. of students in Level 4 &amp; 5 : </t>
  </si>
  <si>
    <t xml:space="preserve">Name of Teacher (Class &amp; Section) having lowest No. of students in Level 1 &amp; 2 : </t>
  </si>
  <si>
    <t>MID</t>
  </si>
  <si>
    <t>PA-01</t>
  </si>
  <si>
    <t>GENDER</t>
  </si>
  <si>
    <t>CATEGORY</t>
  </si>
  <si>
    <t>MALE</t>
  </si>
  <si>
    <t>FEMALE</t>
  </si>
  <si>
    <t>GRADING</t>
  </si>
  <si>
    <t>OVER ALL</t>
  </si>
  <si>
    <t>BOYS</t>
  </si>
  <si>
    <t>GIRLS</t>
  </si>
  <si>
    <t>MINORITY</t>
  </si>
  <si>
    <t>M</t>
  </si>
  <si>
    <t>F</t>
  </si>
  <si>
    <t>MIN</t>
  </si>
  <si>
    <t>B</t>
  </si>
  <si>
    <t>C</t>
  </si>
  <si>
    <t>D</t>
  </si>
  <si>
    <t>E</t>
  </si>
  <si>
    <t>DAB</t>
  </si>
  <si>
    <t>SC</t>
  </si>
  <si>
    <t>ST</t>
  </si>
  <si>
    <t>OBC</t>
  </si>
  <si>
    <t>PH</t>
  </si>
  <si>
    <t>GEN</t>
  </si>
  <si>
    <t>CO-CURRI</t>
  </si>
  <si>
    <t>PA-02</t>
  </si>
  <si>
    <t>MID TERM</t>
  </si>
  <si>
    <t>PA-03</t>
  </si>
  <si>
    <t>PA-04</t>
  </si>
  <si>
    <t>FINAL TERM</t>
  </si>
  <si>
    <t>ANNUAL TERM</t>
  </si>
  <si>
    <t>P.A. : 01 (20)</t>
  </si>
  <si>
    <t>Subject</t>
  </si>
  <si>
    <t>Grade
A</t>
  </si>
  <si>
    <t>Grade
B</t>
  </si>
  <si>
    <t>Grade
C</t>
  </si>
  <si>
    <t>Grade
D</t>
  </si>
  <si>
    <t>Grade
E</t>
  </si>
  <si>
    <t>Long
Absent</t>
  </si>
  <si>
    <t>Day
Absent</t>
  </si>
  <si>
    <t>Over All
Grade</t>
  </si>
  <si>
    <t>Hindi</t>
  </si>
  <si>
    <t>English</t>
  </si>
  <si>
    <t>Maths</t>
  </si>
  <si>
    <t>Co-Curri</t>
  </si>
  <si>
    <t>P.A. : 02 (20)</t>
  </si>
  <si>
    <t>MID TERM (50)</t>
  </si>
  <si>
    <t>P.A. : 03 (20)</t>
  </si>
  <si>
    <t>P.A. : 04 (20)</t>
  </si>
  <si>
    <t>FINAL TERM (50)</t>
  </si>
  <si>
    <t>ANNUAL TERM (100)</t>
  </si>
  <si>
    <t>ANNEXURE - AB1</t>
  </si>
  <si>
    <t>For Class : 1 to 5</t>
  </si>
  <si>
    <t xml:space="preserve">NAME OF SCHOOL - </t>
  </si>
  <si>
    <t>WARD NO.-</t>
  </si>
  <si>
    <t>ZONE -</t>
  </si>
  <si>
    <t>Name of Student -</t>
  </si>
  <si>
    <t>Date of Birth -</t>
  </si>
  <si>
    <t>Father's Name -</t>
  </si>
  <si>
    <t xml:space="preserve">Mother's Name - </t>
  </si>
  <si>
    <t>Class &amp; Section -</t>
  </si>
  <si>
    <t xml:space="preserve">Admission No. - </t>
  </si>
  <si>
    <t>Roll No.-</t>
  </si>
  <si>
    <t>Contact No. -</t>
  </si>
  <si>
    <t>Date of Admission -</t>
  </si>
  <si>
    <t>Address -</t>
  </si>
  <si>
    <t>P.A. - Mid Term</t>
  </si>
  <si>
    <t>Mid Term Assessment</t>
  </si>
  <si>
    <r>
      <rPr>
        <b/>
        <sz val="12"/>
        <color theme="1"/>
        <rFont val="Times New Roman"/>
        <charset val="134"/>
      </rPr>
      <t>1</t>
    </r>
    <r>
      <rPr>
        <b/>
        <vertAlign val="superscript"/>
        <sz val="12"/>
        <color theme="1"/>
        <rFont val="Times New Roman"/>
        <charset val="134"/>
      </rPr>
      <t>st</t>
    </r>
  </si>
  <si>
    <r>
      <rPr>
        <b/>
        <sz val="12"/>
        <color theme="1"/>
        <rFont val="Times New Roman"/>
        <charset val="134"/>
      </rPr>
      <t>2</t>
    </r>
    <r>
      <rPr>
        <b/>
        <vertAlign val="superscript"/>
        <sz val="12"/>
        <color theme="1"/>
        <rFont val="Times New Roman"/>
        <charset val="134"/>
      </rPr>
      <t>nd</t>
    </r>
  </si>
  <si>
    <t>P.A.</t>
  </si>
  <si>
    <t>M.A.</t>
  </si>
  <si>
    <t>Portfolio</t>
  </si>
  <si>
    <t>S.E.</t>
  </si>
  <si>
    <t>Mid Term</t>
  </si>
  <si>
    <t>Grade</t>
  </si>
  <si>
    <t>Total Marks →</t>
  </si>
  <si>
    <t>S.S.T.</t>
  </si>
  <si>
    <t>Co-Curricular</t>
  </si>
  <si>
    <t>Other ______</t>
  </si>
  <si>
    <t xml:space="preserve">Total Working Days : </t>
  </si>
  <si>
    <t>Total Days of Attendance :</t>
  </si>
  <si>
    <t>Attendance % :</t>
  </si>
  <si>
    <t>P.A. - Final Term</t>
  </si>
  <si>
    <t>Final Term Assessment</t>
  </si>
  <si>
    <t>3rd</t>
  </si>
  <si>
    <r>
      <rPr>
        <b/>
        <sz val="12"/>
        <color theme="1"/>
        <rFont val="Times New Roman"/>
        <charset val="134"/>
      </rPr>
      <t>4</t>
    </r>
    <r>
      <rPr>
        <b/>
        <vertAlign val="superscript"/>
        <sz val="12"/>
        <color theme="1"/>
        <rFont val="Times New Roman"/>
        <charset val="134"/>
      </rPr>
      <t>th</t>
    </r>
  </si>
  <si>
    <t>Final Term</t>
  </si>
  <si>
    <t>Final Assessment Report</t>
  </si>
  <si>
    <r>
      <rPr>
        <b/>
        <sz val="11"/>
        <rFont val="Times New Roman"/>
        <charset val="134"/>
      </rPr>
      <t>Grade Code for
Periodic Assessment</t>
    </r>
    <r>
      <rPr>
        <sz val="11"/>
        <rFont val="Times New Roman"/>
        <charset val="134"/>
      </rPr>
      <t xml:space="preserve">
A: 16-20
B: 12-15
C: 09-11
D: 06-08
E: Less than 06
</t>
    </r>
    <r>
      <rPr>
        <b/>
        <sz val="11"/>
        <rFont val="Times New Roman"/>
        <charset val="134"/>
      </rPr>
      <t>Calculation of P.A. for
Term Assessment of
(5 marks) =</t>
    </r>
    <r>
      <rPr>
        <sz val="11"/>
        <rFont val="Times New Roman"/>
        <charset val="134"/>
      </rPr>
      <t xml:space="preserve">
Marks obtained in
(PA1+PA2) / 8</t>
    </r>
  </si>
  <si>
    <t>Term</t>
  </si>
  <si>
    <r>
      <rPr>
        <b/>
        <sz val="11"/>
        <rFont val="Times New Roman"/>
        <charset val="134"/>
      </rPr>
      <t xml:space="preserve">Grade Code for
Mid-Term Assessment
</t>
    </r>
    <r>
      <rPr>
        <sz val="11"/>
        <rFont val="Times New Roman"/>
        <charset val="134"/>
      </rPr>
      <t xml:space="preserve">A: 41-50  D: 16-22
B: 31-40  E: &lt;16
C: 23-30  </t>
    </r>
  </si>
  <si>
    <r>
      <rPr>
        <b/>
        <sz val="11"/>
        <rFont val="Times New Roman"/>
        <charset val="134"/>
      </rPr>
      <t xml:space="preserve">Grade Code for
Final Assessment
</t>
    </r>
    <r>
      <rPr>
        <sz val="11"/>
        <rFont val="Times New Roman"/>
        <charset val="134"/>
      </rPr>
      <t xml:space="preserve">A: 81-100  E: &lt;33
B: 61-80  
C: 45-60
D: 33-44  </t>
    </r>
  </si>
  <si>
    <t>Score :</t>
  </si>
  <si>
    <t>Result :</t>
  </si>
  <si>
    <t>Class Teacher's Sign.</t>
  </si>
  <si>
    <t>Principal's Sign.</t>
  </si>
  <si>
    <t>Personal Information :</t>
  </si>
  <si>
    <t>Name :</t>
  </si>
  <si>
    <t>Father's Name   :</t>
  </si>
  <si>
    <t>Class &amp; Sec. :</t>
  </si>
  <si>
    <t>Admn. No.</t>
  </si>
  <si>
    <t>School :</t>
  </si>
  <si>
    <t>Roll No. :</t>
  </si>
  <si>
    <t>1. Area of Concern :</t>
  </si>
  <si>
    <t>Attendance :</t>
  </si>
  <si>
    <t>April</t>
  </si>
  <si>
    <t>Oct</t>
  </si>
  <si>
    <t>Level-1</t>
  </si>
  <si>
    <t>Level-2</t>
  </si>
  <si>
    <t>May</t>
  </si>
  <si>
    <t>Nov</t>
  </si>
  <si>
    <t>2. Academic Status :</t>
  </si>
  <si>
    <t>Same School</t>
  </si>
  <si>
    <t>June</t>
  </si>
  <si>
    <t>Dec</t>
  </si>
  <si>
    <t>Previous</t>
  </si>
  <si>
    <t>No School</t>
  </si>
  <si>
    <t>Current</t>
  </si>
  <si>
    <t>July</t>
  </si>
  <si>
    <t>Jan</t>
  </si>
  <si>
    <t>Education :</t>
  </si>
  <si>
    <t>Other School</t>
  </si>
  <si>
    <t>FLN Status :</t>
  </si>
  <si>
    <t>Aug</t>
  </si>
  <si>
    <t>Feb</t>
  </si>
  <si>
    <t>Sep</t>
  </si>
  <si>
    <t>March</t>
  </si>
  <si>
    <t>3. Social &amp; Linguistic background :</t>
  </si>
  <si>
    <t>Total :</t>
  </si>
  <si>
    <t>4. Physical Health :</t>
  </si>
  <si>
    <t>5. Learning Disability (If any) :</t>
  </si>
  <si>
    <t>6. Observation by teacher :</t>
  </si>
  <si>
    <t>7. Area of strength :</t>
  </si>
  <si>
    <t>8. Parents feedback :</t>
  </si>
  <si>
    <t>9. Efforts Done :</t>
  </si>
  <si>
    <t>Counselling of child &amp; Parents.</t>
  </si>
  <si>
    <t>Any Other :</t>
  </si>
  <si>
    <t>Pedagogical intervention by teacher.</t>
  </si>
  <si>
    <t>Discussion with the subject teacher.</t>
  </si>
  <si>
    <t>Discussion with counsellor, special Educator.</t>
  </si>
  <si>
    <t>10. Result / Outcomes :</t>
  </si>
  <si>
    <t>Signature of Class Teacher</t>
  </si>
  <si>
    <t>Parents Signature</t>
  </si>
  <si>
    <t>Signature of HOS</t>
  </si>
  <si>
    <t>Municipal Corporation of Delhi</t>
  </si>
  <si>
    <t>Education Department</t>
  </si>
  <si>
    <t>Success in the field of</t>
  </si>
  <si>
    <t>Name of the Student :</t>
  </si>
  <si>
    <t>Father's Name :</t>
  </si>
  <si>
    <t>Name of Principal :</t>
  </si>
  <si>
    <t>Name of Class Teacher / Subject Teacher :</t>
  </si>
  <si>
    <t>Name of Mentor Teacher :</t>
  </si>
  <si>
    <t xml:space="preserve">Her / His Story of Success : </t>
  </si>
  <si>
    <t xml:space="preserve">We acknowledge your remarkable journey of success and extend our heartfelt </t>
  </si>
  <si>
    <t>appreciation for your significant contribution to MCD. Wishing you a bright future.</t>
  </si>
  <si>
    <t>Class Teacher's Signature</t>
  </si>
  <si>
    <t>Principal's Signature</t>
  </si>
  <si>
    <t>FRONT PAGE</t>
  </si>
  <si>
    <t>Address :</t>
  </si>
  <si>
    <t>Date : ______________   Name of Parent/Guardian : ________________________   Relation : _______________</t>
  </si>
  <si>
    <t>Parent's/Guardian's Feedback</t>
  </si>
  <si>
    <t>Teacher's Feedback</t>
  </si>
  <si>
    <t>Parent's/Guardian's Signature</t>
  </si>
  <si>
    <t>Teacher's Signature</t>
  </si>
  <si>
    <t>BACK PAGE</t>
  </si>
  <si>
    <t>ANNEXURE - R2.1</t>
  </si>
  <si>
    <t>CLASS TEACHER'S NAME :</t>
  </si>
  <si>
    <t>CLASS-SECTION :</t>
  </si>
  <si>
    <t>SR.
NO.</t>
  </si>
  <si>
    <t>ADMISSION
NUMBER</t>
  </si>
  <si>
    <t>NAME OF STUDENT</t>
  </si>
  <si>
    <t>FATHER'S NAME /
MOTHER'S NAME /
GUARDIAN'S NAME</t>
  </si>
  <si>
    <t>RELIGION</t>
  </si>
  <si>
    <t>HINDI/URDU/OTHER LANG.</t>
  </si>
  <si>
    <t>SOCIAL STUDIES</t>
  </si>
  <si>
    <t>CO-CURRICULAR</t>
  </si>
  <si>
    <t>Periodic Assessment</t>
  </si>
  <si>
    <t>Multiple Assessment</t>
  </si>
  <si>
    <t>Subject Enrichment</t>
  </si>
  <si>
    <t>Term Assessment</t>
  </si>
  <si>
    <t>Total Marks</t>
  </si>
  <si>
    <t>Percentage %</t>
  </si>
  <si>
    <t>Final Grades</t>
  </si>
  <si>
    <t>FLN LEVEL</t>
  </si>
  <si>
    <t>Remarks</t>
  </si>
  <si>
    <t>M/F</t>
  </si>
  <si>
    <t>%</t>
  </si>
  <si>
    <t>Grade Code -</t>
  </si>
  <si>
    <t>A : 100-81,     B : 80-61,     C : 60-45,     D : 44-33   &amp;   E : Less than 33 (Provisionally Promoted Under RTE Act)</t>
  </si>
  <si>
    <t>Grade Summary for the Class :</t>
  </si>
  <si>
    <t>SUBJECT</t>
  </si>
  <si>
    <t>CUMMULATIVE GRADES</t>
  </si>
  <si>
    <t>Total
Students</t>
  </si>
  <si>
    <t>Total Students :</t>
  </si>
  <si>
    <t>Result Percentage :</t>
  </si>
  <si>
    <t>Total Students Promoted Under RTE :</t>
  </si>
  <si>
    <t>Hindi/Urdu/Other Language</t>
  </si>
  <si>
    <t>TOTAL STUDENTS PROMOTED TO NEXT CLASS :</t>
  </si>
  <si>
    <t>X</t>
  </si>
  <si>
    <t>Social Studies</t>
  </si>
  <si>
    <t>Co-curricular</t>
  </si>
  <si>
    <t>CLASS TEACHER'S SIGNATURE</t>
  </si>
  <si>
    <t>CHECKER'S SIGNATURE</t>
  </si>
  <si>
    <t>HOS SIGNATURE WITH STAMP</t>
  </si>
  <si>
    <t>School Name :</t>
  </si>
  <si>
    <t>Class Teacher's Name :</t>
  </si>
  <si>
    <t>Class-Section :</t>
  </si>
  <si>
    <t>Grade Summary of the Class :</t>
  </si>
  <si>
    <t>Students
Appeared</t>
  </si>
  <si>
    <t>Grades</t>
  </si>
  <si>
    <t>FLN Level</t>
  </si>
  <si>
    <t>Grade Summary of the Class : OBC</t>
  </si>
  <si>
    <t>Grade Summary of the Class : SC</t>
  </si>
  <si>
    <t>Grade Summary of the Class : ST</t>
  </si>
  <si>
    <t>Grade Summary of the Class : Minority</t>
  </si>
  <si>
    <t>Grade Summary of the Class : PH</t>
  </si>
  <si>
    <t>Grade Summary of the Class : GENERAL</t>
  </si>
  <si>
    <t>Class Standings :</t>
  </si>
  <si>
    <t>Merit Position</t>
  </si>
  <si>
    <t>Name of the Student</t>
  </si>
  <si>
    <t>Maximum
Marks</t>
  </si>
  <si>
    <t>Marks
Obtained</t>
  </si>
  <si>
    <t>Overall
Grades</t>
  </si>
  <si>
    <t>1st</t>
  </si>
  <si>
    <t>2nd</t>
  </si>
  <si>
    <t>_________________</t>
  </si>
  <si>
    <t>___________________</t>
  </si>
  <si>
    <t>Signature Class Teacher</t>
  </si>
  <si>
    <t>Signature Checker</t>
  </si>
  <si>
    <t>HOS Signature with Stamp</t>
  </si>
  <si>
    <t>Ward No. :</t>
  </si>
  <si>
    <t>Zone :</t>
  </si>
  <si>
    <t>Grade Summary of the Class : 1 - 4</t>
  </si>
  <si>
    <t>School Standings : Class - 1 - 4</t>
  </si>
  <si>
    <t>Name of Student :</t>
  </si>
  <si>
    <t>Class - Section :</t>
  </si>
  <si>
    <t>Admission No. :</t>
  </si>
  <si>
    <t>D.O.B. :</t>
  </si>
  <si>
    <t>Contact No. :</t>
  </si>
  <si>
    <t>Mother's Name :</t>
  </si>
  <si>
    <t>Residence Address :</t>
  </si>
  <si>
    <t>FLN
Level</t>
  </si>
  <si>
    <t>Hindi :</t>
  </si>
  <si>
    <t>Mathematics :</t>
  </si>
  <si>
    <t>Remarks :</t>
  </si>
  <si>
    <t>ANNUAL REPORT CARD</t>
  </si>
  <si>
    <t>Mathematics</t>
  </si>
  <si>
    <t>Science</t>
  </si>
  <si>
    <t>Other ______________________</t>
  </si>
  <si>
    <t>Grade Code - A: 100-81, B: 80-61, C: 60-45, D: 44-33 &amp; E: Less than 33 (Provisionally promoted under RTE Act)</t>
  </si>
  <si>
    <t>TOTAL WORKING DAYS</t>
  </si>
  <si>
    <t>TOTAL DAYS OF ATTENDANCE</t>
  </si>
  <si>
    <t>TOTAL SCORE</t>
  </si>
  <si>
    <t>ATTENDANCE %</t>
  </si>
  <si>
    <t>MARKS %</t>
  </si>
  <si>
    <t>.</t>
  </si>
  <si>
    <t>Date :</t>
  </si>
  <si>
    <t>Signature of
Class Teacher</t>
  </si>
  <si>
    <t>Signature with Stamp</t>
  </si>
  <si>
    <t>Place :</t>
  </si>
  <si>
    <t>(Principal/HOS)</t>
  </si>
  <si>
    <t>ANNEXURE - R3.1</t>
  </si>
  <si>
    <t>HINDI/URDU/OTHER LANGUAGE</t>
  </si>
  <si>
    <t>GRACE MARKS</t>
  </si>
  <si>
    <t>Grade Summary for the Class : 5</t>
  </si>
  <si>
    <t>Total Students</t>
  </si>
  <si>
    <t>TOTAL STUDENTS :</t>
  </si>
  <si>
    <t>TOTAL STUDENTS PROMOTED TO NEXT CLASS WITHOUT GRACE MARKS :</t>
  </si>
  <si>
    <t>WITHOUT
GRACE</t>
  </si>
  <si>
    <t>WITH GRACE</t>
  </si>
  <si>
    <t>RE-EXAM</t>
  </si>
  <si>
    <t>E.R.</t>
  </si>
  <si>
    <t>TOTAL STUDENTS PROMOTED TO NEXT CLASS WITH GRACE MARKS :</t>
  </si>
  <si>
    <t>TOTAL STUDENTS HELD BACK (RE-EXAM) :</t>
  </si>
  <si>
    <t>TOTAL STUDENTS HELD BACK (ESSENIAL REPEAT) :</t>
  </si>
  <si>
    <t>RESULT PERCENTAGE :</t>
  </si>
  <si>
    <t>WITH
GRACE</t>
  </si>
  <si>
    <t>Grade Summary of the Class - 5</t>
  </si>
  <si>
    <t>Grace
Marks</t>
  </si>
  <si>
    <t>Hindi/Urdu/Other</t>
  </si>
  <si>
    <t>Signature with
Stamp
(Principal/HOS)</t>
  </si>
  <si>
    <t>Other ______________</t>
  </si>
  <si>
    <t>Total working
days:</t>
  </si>
  <si>
    <t>Total Attend. :</t>
  </si>
  <si>
    <t>Attendance
%</t>
  </si>
  <si>
    <t>Marks%</t>
  </si>
  <si>
    <t>It is certified that</t>
  </si>
  <si>
    <t>Son/Daughter of</t>
  </si>
  <si>
    <t>Smt.</t>
  </si>
  <si>
    <t>and Sh.</t>
  </si>
  <si>
    <t>DOB :</t>
  </si>
  <si>
    <t>School ID: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</si>
</sst>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;;;"/>
    <numFmt numFmtId="181" formatCode="0;\-00;;@"/>
    <numFmt numFmtId="182" formatCode="dd/mm/yyyy"/>
    <numFmt numFmtId="183" formatCode="0\%"/>
    <numFmt numFmtId="184" formatCode="0.00\%"/>
    <numFmt numFmtId="185" formatCode="dd/mmm/yyyy"/>
    <numFmt numFmtId="186" formatCode="dd\/mm\/yyyy"/>
  </numFmts>
  <fonts count="141">
    <font>
      <sz val="11"/>
      <name val="Calibri"/>
      <charset val="134"/>
    </font>
    <font>
      <sz val="11"/>
      <color theme="1"/>
      <name val="Century Schoolbook"/>
      <charset val="134"/>
    </font>
    <font>
      <b/>
      <sz val="16"/>
      <color theme="1"/>
      <name val="Century Schoolbook"/>
      <charset val="134"/>
    </font>
    <font>
      <b/>
      <sz val="11"/>
      <color theme="1"/>
      <name val="Century Schoolbook"/>
      <charset val="134"/>
    </font>
    <font>
      <b/>
      <sz val="14"/>
      <color theme="1"/>
      <name val="Century Schoolbook"/>
      <charset val="134"/>
    </font>
    <font>
      <b/>
      <sz val="13"/>
      <color theme="1"/>
      <name val="Century Schoolbook"/>
      <charset val="134"/>
    </font>
    <font>
      <b/>
      <sz val="12"/>
      <color theme="1"/>
      <name val="Century Schoolbook"/>
      <charset val="134"/>
    </font>
    <font>
      <b/>
      <sz val="12"/>
      <color theme="1"/>
      <name val="Times New Roman"/>
      <charset val="134"/>
    </font>
    <font>
      <b/>
      <sz val="16"/>
      <color theme="1"/>
      <name val="Times New Roman"/>
      <charset val="134"/>
    </font>
    <font>
      <b/>
      <sz val="10"/>
      <color theme="1"/>
      <name val="Century Schoolbook"/>
      <charset val="134"/>
    </font>
    <font>
      <b/>
      <sz val="9"/>
      <color theme="1"/>
      <name val="Century Schoolbook"/>
      <charset val="134"/>
    </font>
    <font>
      <b/>
      <i/>
      <sz val="11"/>
      <color theme="1"/>
      <name val="Century Schoolbook"/>
      <charset val="134"/>
    </font>
    <font>
      <b/>
      <i/>
      <sz val="13"/>
      <color theme="1"/>
      <name val="Century Schoolbook"/>
      <charset val="134"/>
    </font>
    <font>
      <b/>
      <i/>
      <sz val="11.5"/>
      <color theme="1"/>
      <name val="Century Schoolbook"/>
      <charset val="134"/>
    </font>
    <font>
      <b/>
      <i/>
      <sz val="12"/>
      <color theme="1"/>
      <name val="Century Schoolbook"/>
      <charset val="134"/>
    </font>
    <font>
      <b/>
      <i/>
      <sz val="10"/>
      <color theme="1"/>
      <name val="Century Schoolbook"/>
      <charset val="134"/>
    </font>
    <font>
      <b/>
      <sz val="18"/>
      <color theme="1"/>
      <name val="Century Schoolbook"/>
      <charset val="134"/>
    </font>
    <font>
      <b/>
      <sz val="11"/>
      <color theme="1"/>
      <name val="Arial Black"/>
      <charset val="134"/>
    </font>
    <font>
      <b/>
      <sz val="8"/>
      <color theme="1"/>
      <name val="Century Schoolbook"/>
      <charset val="134"/>
    </font>
    <font>
      <sz val="18"/>
      <color theme="1"/>
      <name val="Century Schoolbook"/>
      <charset val="134"/>
    </font>
    <font>
      <sz val="14"/>
      <color theme="1"/>
      <name val="Century Schoolbook"/>
      <charset val="134"/>
    </font>
    <font>
      <sz val="12"/>
      <color theme="1"/>
      <name val="Century Schoolbook"/>
      <charset val="134"/>
    </font>
    <font>
      <b/>
      <sz val="15"/>
      <color theme="1"/>
      <name val="Century Schoolbook"/>
      <charset val="134"/>
    </font>
    <font>
      <sz val="10"/>
      <color theme="1"/>
      <name val="Century Schoolbook"/>
      <charset val="134"/>
    </font>
    <font>
      <b/>
      <sz val="24"/>
      <name val="Times New Roman"/>
      <charset val="134"/>
    </font>
    <font>
      <b/>
      <sz val="13"/>
      <name val="Calibri"/>
      <charset val="134"/>
    </font>
    <font>
      <b/>
      <sz val="11"/>
      <color rgb="FF002060"/>
      <name val="Calibri"/>
      <charset val="134"/>
    </font>
    <font>
      <b/>
      <sz val="24"/>
      <color rgb="FFFF0000"/>
      <name val="Times New Roman"/>
      <charset val="134"/>
    </font>
    <font>
      <b/>
      <sz val="18"/>
      <color rgb="FF002060"/>
      <name val="Calibri"/>
      <charset val="134"/>
    </font>
    <font>
      <b/>
      <u/>
      <sz val="14"/>
      <color rgb="FF002060"/>
      <name val="Times New Roman"/>
      <charset val="134"/>
    </font>
    <font>
      <b/>
      <sz val="13"/>
      <color rgb="FF002060"/>
      <name val="Calibri"/>
      <charset val="134"/>
    </font>
    <font>
      <b/>
      <sz val="13"/>
      <color rgb="FF002060"/>
      <name val="Times New Roman"/>
      <charset val="134"/>
    </font>
    <font>
      <b/>
      <sz val="13"/>
      <name val="Times New Roman"/>
      <charset val="134"/>
    </font>
    <font>
      <b/>
      <sz val="48"/>
      <name val="Times New Roman"/>
      <charset val="134"/>
    </font>
    <font>
      <b/>
      <sz val="25"/>
      <color rgb="FFFF0000"/>
      <name val="Times New Roman"/>
      <charset val="134"/>
    </font>
    <font>
      <b/>
      <u/>
      <sz val="16"/>
      <color rgb="FFFF0000"/>
      <name val="Times New Roman"/>
      <charset val="134"/>
    </font>
    <font>
      <b/>
      <sz val="14"/>
      <color rgb="FF002060"/>
      <name val="Times New Roman"/>
      <charset val="134"/>
    </font>
    <font>
      <i/>
      <sz val="18"/>
      <name val="Brush Script MT"/>
      <charset val="134"/>
    </font>
    <font>
      <i/>
      <sz val="18"/>
      <name val="Old English Text MT"/>
      <charset val="134"/>
    </font>
    <font>
      <b/>
      <sz val="13"/>
      <color rgb="FF002060"/>
      <name val="Ink Free"/>
      <charset val="134"/>
    </font>
    <font>
      <sz val="18"/>
      <name val="Monotype Corsiva"/>
      <charset val="134"/>
    </font>
    <font>
      <sz val="14"/>
      <name val="Monotype Corsiva"/>
      <charset val="134"/>
    </font>
    <font>
      <b/>
      <sz val="11"/>
      <color theme="1"/>
      <name val="Times New Roman"/>
      <charset val="134"/>
    </font>
    <font>
      <b/>
      <sz val="13"/>
      <color theme="1"/>
      <name val="Times New Roman"/>
      <charset val="134"/>
    </font>
    <font>
      <sz val="11"/>
      <name val="Times New Roman"/>
      <charset val="134"/>
    </font>
    <font>
      <b/>
      <i/>
      <sz val="12"/>
      <color theme="1"/>
      <name val="Times New Roman"/>
      <charset val="134"/>
    </font>
    <font>
      <b/>
      <sz val="11"/>
      <name val="Times New Roman"/>
      <charset val="134"/>
    </font>
    <font>
      <b/>
      <sz val="11.5"/>
      <color theme="1"/>
      <name val="Times New Roman"/>
      <charset val="134"/>
    </font>
    <font>
      <sz val="12"/>
      <name val="Times New Roman"/>
      <charset val="134"/>
    </font>
    <font>
      <b/>
      <sz val="12"/>
      <name val="Times New Roman"/>
      <charset val="134"/>
    </font>
    <font>
      <u/>
      <sz val="11"/>
      <name val="Times New Roman"/>
      <charset val="134"/>
    </font>
    <font>
      <b/>
      <sz val="14"/>
      <name val="Times New Roman"/>
      <charset val="134"/>
    </font>
    <font>
      <b/>
      <sz val="14"/>
      <color theme="0"/>
      <name val="Lucida Bright"/>
      <charset val="134"/>
    </font>
    <font>
      <u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0" tint="-0.14996795556505"/>
      <name val="Times New Roman"/>
      <charset val="134"/>
    </font>
    <font>
      <sz val="1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name val="Calibri"/>
      <charset val="134"/>
    </font>
    <font>
      <sz val="14"/>
      <name val="Calibri"/>
      <charset val="134"/>
    </font>
    <font>
      <b/>
      <sz val="14"/>
      <color rgb="FF000000"/>
      <name val="Calibri"/>
      <charset val="134"/>
    </font>
    <font>
      <b/>
      <sz val="12"/>
      <color rgb="FF002060"/>
      <name val="Times New Roman"/>
      <charset val="134"/>
    </font>
    <font>
      <b/>
      <u/>
      <sz val="12"/>
      <color rgb="FFFF0000"/>
      <name val="Times New Roman"/>
      <charset val="134"/>
    </font>
    <font>
      <b/>
      <sz val="18"/>
      <name val="Calibri"/>
      <charset val="134"/>
    </font>
    <font>
      <b/>
      <sz val="14"/>
      <color rgb="FFFF0000"/>
      <name val="Calibri"/>
      <charset val="134"/>
    </font>
    <font>
      <b/>
      <sz val="26"/>
      <color theme="9" tint="-0.499984740745262"/>
      <name val="Calibri"/>
      <charset val="134"/>
    </font>
    <font>
      <b/>
      <sz val="26"/>
      <color rgb="FF7030A0"/>
      <name val="Calibri"/>
      <charset val="134"/>
    </font>
    <font>
      <b/>
      <sz val="26"/>
      <color rgb="FF0070C0"/>
      <name val="Calibri"/>
      <charset val="134"/>
    </font>
    <font>
      <b/>
      <sz val="26"/>
      <color theme="7" tint="-0.249977111117893"/>
      <name val="Calibri"/>
      <charset val="134"/>
    </font>
    <font>
      <b/>
      <sz val="26"/>
      <color rgb="FFFF0000"/>
      <name val="Calibri"/>
      <charset val="134"/>
    </font>
    <font>
      <b/>
      <sz val="26"/>
      <name val="Calibri"/>
      <charset val="134"/>
    </font>
    <font>
      <b/>
      <sz val="26"/>
      <name val="Times New Roman"/>
      <charset val="134"/>
    </font>
    <font>
      <b/>
      <sz val="22"/>
      <name val="Times New Roman"/>
      <charset val="134"/>
    </font>
    <font>
      <b/>
      <u/>
      <sz val="13"/>
      <color rgb="FFFF0000"/>
      <name val="Times New Roman"/>
      <charset val="134"/>
    </font>
    <font>
      <b/>
      <sz val="18"/>
      <color rgb="FF002060"/>
      <name val="Times New Roman"/>
      <charset val="134"/>
    </font>
    <font>
      <b/>
      <sz val="14"/>
      <color rgb="FF002060"/>
      <name val="Calibri"/>
      <charset val="134"/>
    </font>
    <font>
      <b/>
      <sz val="16"/>
      <color rgb="FF002060"/>
      <name val="Calibri"/>
      <charset val="134"/>
    </font>
    <font>
      <b/>
      <sz val="22"/>
      <color rgb="FFFF0000"/>
      <name val="Calibri"/>
      <charset val="134"/>
    </font>
    <font>
      <b/>
      <sz val="22"/>
      <color rgb="FF7030A0"/>
      <name val="Calibri"/>
      <charset val="134"/>
    </font>
    <font>
      <b/>
      <sz val="22"/>
      <color rgb="FF00B050"/>
      <name val="Calibri"/>
      <charset val="134"/>
    </font>
    <font>
      <b/>
      <sz val="22"/>
      <name val="Calibri"/>
      <charset val="134"/>
    </font>
    <font>
      <b/>
      <sz val="22"/>
      <color rgb="FF0070C0"/>
      <name val="Calibri"/>
      <charset val="134"/>
    </font>
    <font>
      <b/>
      <u/>
      <sz val="12"/>
      <color rgb="FF0070C0"/>
      <name val="Calibri"/>
      <charset val="134"/>
    </font>
    <font>
      <b/>
      <sz val="20"/>
      <name val="Times New Roman"/>
      <charset val="134"/>
    </font>
    <font>
      <b/>
      <u/>
      <sz val="14"/>
      <color rgb="FFFF0000"/>
      <name val="Times New Roman"/>
      <charset val="134"/>
    </font>
    <font>
      <b/>
      <sz val="16"/>
      <color rgb="FF002060"/>
      <name val="Times New Roman"/>
      <charset val="134"/>
    </font>
    <font>
      <b/>
      <sz val="16"/>
      <color rgb="FFFF0000"/>
      <name val="Times New Roman"/>
      <charset val="134"/>
    </font>
    <font>
      <b/>
      <sz val="16"/>
      <name val="Times New Roman"/>
      <charset val="134"/>
    </font>
    <font>
      <b/>
      <sz val="18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1"/>
      <color rgb="FF000000"/>
      <name val="Times New Roman"/>
      <charset val="134"/>
    </font>
    <font>
      <b/>
      <sz val="14"/>
      <color rgb="FF000000"/>
      <name val="Times New Roman"/>
      <charset val="134"/>
    </font>
    <font>
      <b/>
      <sz val="20"/>
      <color rgb="FF000000"/>
      <name val="Times New Roman"/>
      <charset val="134"/>
    </font>
    <font>
      <b/>
      <sz val="16"/>
      <color rgb="FF000000"/>
      <name val="Times New Roman"/>
      <charset val="134"/>
    </font>
    <font>
      <b/>
      <sz val="17"/>
      <color rgb="FF000000"/>
      <name val="Times New Roman"/>
      <charset val="134"/>
    </font>
    <font>
      <b/>
      <sz val="18"/>
      <color rgb="FF833B0B"/>
      <name val="Times New Roman"/>
      <charset val="134"/>
    </font>
    <font>
      <sz val="12"/>
      <color rgb="FF000000"/>
      <name val="Times New Roman"/>
      <charset val="134"/>
    </font>
    <font>
      <b/>
      <sz val="11"/>
      <color rgb="FF002060"/>
      <name val="Times New Roman"/>
      <charset val="134"/>
    </font>
    <font>
      <b/>
      <u/>
      <sz val="12"/>
      <color rgb="FF002060"/>
      <name val="Times New Roman"/>
      <charset val="134"/>
    </font>
    <font>
      <sz val="12"/>
      <color theme="2" tint="-0.249977111117893"/>
      <name val="Times New Roman"/>
      <charset val="134"/>
    </font>
    <font>
      <b/>
      <sz val="18"/>
      <color theme="5" tint="-0.499984740745262"/>
      <name val="Times New Roman"/>
      <charset val="134"/>
    </font>
    <font>
      <b/>
      <sz val="10"/>
      <color rgb="FF002060"/>
      <name val="Times New Roman"/>
      <charset val="134"/>
    </font>
    <font>
      <b/>
      <sz val="10"/>
      <color rgb="FF000000"/>
      <name val="Times New Roman"/>
      <charset val="134"/>
    </font>
    <font>
      <b/>
      <sz val="16"/>
      <color rgb="FF000000"/>
      <name val="Calibri"/>
      <charset val="134"/>
    </font>
    <font>
      <sz val="13"/>
      <color rgb="FF000000"/>
      <name val="Calibri"/>
      <charset val="134"/>
    </font>
    <font>
      <b/>
      <sz val="13"/>
      <color rgb="FF000000"/>
      <name val="Calibri"/>
      <charset val="134"/>
    </font>
    <font>
      <sz val="14"/>
      <color rgb="FF000000"/>
      <name val="Calibri"/>
      <charset val="134"/>
    </font>
    <font>
      <sz val="16"/>
      <color rgb="FF000000"/>
      <name val="Calibri"/>
      <charset val="134"/>
    </font>
    <font>
      <b/>
      <sz val="18"/>
      <color rgb="FF000000"/>
      <name val="Calibri"/>
      <charset val="134"/>
    </font>
    <font>
      <sz val="14"/>
      <color rgb="FF000000"/>
      <name val="Times New Roman"/>
      <charset val="134"/>
    </font>
    <font>
      <b/>
      <sz val="14"/>
      <color rgb="FFFFFFFF"/>
      <name val="Calibri"/>
      <charset val="134"/>
    </font>
    <font>
      <sz val="8"/>
      <color theme="1"/>
      <name val="Verdana"/>
      <charset val="134"/>
    </font>
    <font>
      <sz val="11"/>
      <color rgb="FF000000"/>
      <name val="Calibri"/>
      <charset val="134"/>
    </font>
    <font>
      <sz val="18"/>
      <color rgb="FF000000"/>
      <name val="Calibri"/>
      <charset val="134"/>
    </font>
    <font>
      <b/>
      <sz val="14"/>
      <color rgb="FF0070C0"/>
      <name val="Calibri"/>
      <charset val="134"/>
    </font>
    <font>
      <sz val="14"/>
      <color rgb="FFFF0000"/>
      <name val="Calibri"/>
      <charset val="134"/>
    </font>
    <font>
      <b/>
      <sz val="14"/>
      <color rgb="FF800080"/>
      <name val="Calibri"/>
      <charset val="134"/>
    </font>
    <font>
      <b/>
      <sz val="14"/>
      <color rgb="FF0463C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463C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2"/>
      <color theme="1"/>
      <name val="Times New Roman"/>
      <charset val="134"/>
    </font>
  </fonts>
  <fills count="66">
    <fill>
      <patternFill patternType="none"/>
    </fill>
    <fill>
      <patternFill patternType="gray125"/>
    </fill>
    <fill>
      <patternFill patternType="solid">
        <fgColor rgb="FFD6E7AB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BC8AB1"/>
        <bgColor indexed="64"/>
      </patternFill>
    </fill>
    <fill>
      <patternFill patternType="solid">
        <fgColor rgb="FFFF89E0"/>
        <bgColor indexed="64"/>
      </patternFill>
    </fill>
    <fill>
      <patternFill patternType="solid">
        <fgColor rgb="FF84F77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rgb="FF05BEFF"/>
        <bgColor indexed="64"/>
      </patternFill>
    </fill>
    <fill>
      <patternFill patternType="solid">
        <fgColor rgb="FFFFC819"/>
        <bgColor indexed="64"/>
      </patternFill>
    </fill>
    <fill>
      <patternFill patternType="solid">
        <fgColor rgb="FF09FFA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D865"/>
        <bgColor indexed="64"/>
      </patternFill>
    </fill>
    <fill>
      <patternFill patternType="solid">
        <fgColor rgb="FFEDE0ED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medium">
        <color rgb="FFDA00DA"/>
      </bottom>
      <diagonal/>
    </border>
    <border>
      <left style="medium">
        <color rgb="FFDA00DA"/>
      </left>
      <right style="thin">
        <color auto="1"/>
      </right>
      <top/>
      <bottom style="medium">
        <color rgb="FFDA00DA"/>
      </bottom>
      <diagonal/>
    </border>
    <border>
      <left style="thin">
        <color auto="1"/>
      </left>
      <right style="thin">
        <color auto="1"/>
      </right>
      <top/>
      <bottom style="medium">
        <color rgb="FFDA00DA"/>
      </bottom>
      <diagonal/>
    </border>
    <border>
      <left style="thin">
        <color auto="1"/>
      </left>
      <right style="medium">
        <color rgb="FFDA00DA"/>
      </right>
      <top/>
      <bottom style="medium">
        <color rgb="FFDA00DA"/>
      </bottom>
      <diagonal/>
    </border>
    <border>
      <left style="medium">
        <color rgb="FFDA00DA"/>
      </left>
      <right/>
      <top style="medium">
        <color rgb="FFDA00DA"/>
      </top>
      <bottom/>
      <diagonal/>
    </border>
    <border>
      <left/>
      <right/>
      <top style="medium">
        <color rgb="FFDA00DA"/>
      </top>
      <bottom/>
      <diagonal/>
    </border>
    <border>
      <left/>
      <right style="dashed">
        <color rgb="FFCC00FF"/>
      </right>
      <top style="medium">
        <color rgb="FFDA00DA"/>
      </top>
      <bottom/>
      <diagonal/>
    </border>
    <border>
      <left style="dashed">
        <color rgb="FFCC00FF"/>
      </left>
      <right/>
      <top style="medium">
        <color rgb="FFDA00DA"/>
      </top>
      <bottom/>
      <diagonal/>
    </border>
    <border>
      <left/>
      <right style="medium">
        <color rgb="FFDA00DA"/>
      </right>
      <top style="medium">
        <color rgb="FFDA00DA"/>
      </top>
      <bottom/>
      <diagonal/>
    </border>
    <border>
      <left style="medium">
        <color rgb="FFDA00DA"/>
      </left>
      <right/>
      <top/>
      <bottom/>
      <diagonal/>
    </border>
    <border>
      <left/>
      <right style="dashed">
        <color rgb="FFCC00FF"/>
      </right>
      <top/>
      <bottom/>
      <diagonal/>
    </border>
    <border>
      <left style="dashed">
        <color rgb="FFCC00FF"/>
      </left>
      <right/>
      <top/>
      <bottom/>
      <diagonal/>
    </border>
    <border>
      <left/>
      <right style="medium">
        <color rgb="FFDA00DA"/>
      </right>
      <top/>
      <bottom/>
      <diagonal/>
    </border>
    <border>
      <left style="medium">
        <color rgb="FFDA00DA"/>
      </left>
      <right/>
      <top/>
      <bottom style="medium">
        <color rgb="FFDA00DA"/>
      </bottom>
      <diagonal/>
    </border>
    <border>
      <left/>
      <right style="dashed">
        <color rgb="FFCC00FF"/>
      </right>
      <top/>
      <bottom style="medium">
        <color rgb="FFDA00DA"/>
      </bottom>
      <diagonal/>
    </border>
    <border>
      <left style="dashed">
        <color rgb="FFCC00FF"/>
      </left>
      <right/>
      <top/>
      <bottom style="medium">
        <color rgb="FFDA00DA"/>
      </bottom>
      <diagonal/>
    </border>
    <border>
      <left/>
      <right style="medium">
        <color rgb="FFDA00DA"/>
      </right>
      <top/>
      <bottom style="medium">
        <color rgb="FFDA00DA"/>
      </bottom>
      <diagonal/>
    </border>
    <border>
      <left style="medium">
        <color rgb="FFFF47CF"/>
      </left>
      <right style="thin">
        <color auto="1"/>
      </right>
      <top style="medium">
        <color rgb="FFFF47CF"/>
      </top>
      <bottom style="medium">
        <color rgb="FFFF47CF"/>
      </bottom>
      <diagonal/>
    </border>
    <border>
      <left style="thin">
        <color auto="1"/>
      </left>
      <right style="thin">
        <color auto="1"/>
      </right>
      <top style="medium">
        <color rgb="FFFF47CF"/>
      </top>
      <bottom style="medium">
        <color rgb="FFFF47CF"/>
      </bottom>
      <diagonal/>
    </border>
    <border>
      <left style="thin">
        <color auto="1"/>
      </left>
      <right style="medium">
        <color rgb="FFFF47CF"/>
      </right>
      <top style="medium">
        <color rgb="FFFF47CF"/>
      </top>
      <bottom style="medium">
        <color rgb="FFFF47CF"/>
      </bottom>
      <diagonal/>
    </border>
    <border>
      <left style="medium">
        <color rgb="FFFF47CF"/>
      </left>
      <right/>
      <top style="medium">
        <color rgb="FFFF47CF"/>
      </top>
      <bottom/>
      <diagonal/>
    </border>
    <border>
      <left/>
      <right/>
      <top style="medium">
        <color rgb="FFFF47CF"/>
      </top>
      <bottom/>
      <diagonal/>
    </border>
    <border>
      <left style="dashed">
        <color rgb="FFFF47CF"/>
      </left>
      <right/>
      <top style="medium">
        <color rgb="FFFF47CF"/>
      </top>
      <bottom/>
      <diagonal/>
    </border>
    <border>
      <left/>
      <right style="medium">
        <color rgb="FFFF47CF"/>
      </right>
      <top style="medium">
        <color rgb="FFFF47CF"/>
      </top>
      <bottom/>
      <diagonal/>
    </border>
    <border>
      <left style="medium">
        <color rgb="FFFF47CF"/>
      </left>
      <right/>
      <top/>
      <bottom/>
      <diagonal/>
    </border>
    <border>
      <left style="dashed">
        <color rgb="FFFF47CF"/>
      </left>
      <right/>
      <top/>
      <bottom/>
      <diagonal/>
    </border>
    <border>
      <left/>
      <right style="medium">
        <color rgb="FFFF47CF"/>
      </right>
      <top/>
      <bottom/>
      <diagonal/>
    </border>
    <border>
      <left style="medium">
        <color rgb="FFFF47CF"/>
      </left>
      <right/>
      <top/>
      <bottom style="medium">
        <color rgb="FFFF47CF"/>
      </bottom>
      <diagonal/>
    </border>
    <border>
      <left/>
      <right/>
      <top/>
      <bottom style="medium">
        <color rgb="FFFF47CF"/>
      </bottom>
      <diagonal/>
    </border>
    <border>
      <left/>
      <right style="dashed">
        <color rgb="FFFF47CF"/>
      </right>
      <top/>
      <bottom style="medium">
        <color rgb="FFFF47CF"/>
      </bottom>
      <diagonal/>
    </border>
    <border>
      <left style="dashed">
        <color rgb="FFFF47CF"/>
      </left>
      <right/>
      <top/>
      <bottom style="medium">
        <color rgb="FFFF47CF"/>
      </bottom>
      <diagonal/>
    </border>
    <border>
      <left/>
      <right style="medium">
        <color rgb="FFFF47CF"/>
      </right>
      <top/>
      <bottom style="medium">
        <color rgb="FFFF47CF"/>
      </bottom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 style="thin">
        <color auto="1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 style="thin">
        <color auto="1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00B050"/>
      </left>
      <right/>
      <top/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 style="dashed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dashed">
        <color rgb="FF00B050"/>
      </left>
      <right/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 style="dashed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/>
      <right/>
      <top/>
      <bottom style="medium">
        <color rgb="FFF4EE00"/>
      </bottom>
      <diagonal/>
    </border>
    <border>
      <left style="medium">
        <color rgb="FFF4EE00"/>
      </left>
      <right style="thin">
        <color auto="1"/>
      </right>
      <top style="medium">
        <color rgb="FFF4EE00"/>
      </top>
      <bottom style="medium">
        <color rgb="FFF4EE00"/>
      </bottom>
      <diagonal/>
    </border>
    <border>
      <left style="thin">
        <color auto="1"/>
      </left>
      <right style="thin">
        <color auto="1"/>
      </right>
      <top style="medium">
        <color rgb="FFF4EE00"/>
      </top>
      <bottom style="medium">
        <color rgb="FFF4EE00"/>
      </bottom>
      <diagonal/>
    </border>
    <border>
      <left style="thin">
        <color auto="1"/>
      </left>
      <right/>
      <top style="medium">
        <color rgb="FFF4EE00"/>
      </top>
      <bottom style="medium">
        <color rgb="FFF4EE00"/>
      </bottom>
      <diagonal/>
    </border>
    <border>
      <left style="medium">
        <color rgb="FFF4EE00"/>
      </left>
      <right/>
      <top/>
      <bottom/>
      <diagonal/>
    </border>
    <border>
      <left style="medium">
        <color rgb="FFF4EE00"/>
      </left>
      <right/>
      <top style="medium">
        <color rgb="FFF4EE00"/>
      </top>
      <bottom/>
      <diagonal/>
    </border>
    <border>
      <left/>
      <right/>
      <top style="medium">
        <color rgb="FFF4EE00"/>
      </top>
      <bottom/>
      <diagonal/>
    </border>
    <border>
      <left style="dashed">
        <color rgb="FFF4EE00"/>
      </left>
      <right/>
      <top style="medium">
        <color rgb="FFF4EE00"/>
      </top>
      <bottom/>
      <diagonal/>
    </border>
    <border>
      <left/>
      <right style="medium">
        <color rgb="FFF4EE00"/>
      </right>
      <top style="medium">
        <color rgb="FFF4EE00"/>
      </top>
      <bottom/>
      <diagonal/>
    </border>
    <border>
      <left style="dashed">
        <color rgb="FFF4EE00"/>
      </left>
      <right/>
      <top/>
      <bottom/>
      <diagonal/>
    </border>
    <border>
      <left/>
      <right style="medium">
        <color rgb="FFF4EE00"/>
      </right>
      <top/>
      <bottom/>
      <diagonal/>
    </border>
    <border>
      <left style="medium">
        <color rgb="FFF4EE00"/>
      </left>
      <right/>
      <top/>
      <bottom style="medium">
        <color rgb="FFF4EE00"/>
      </bottom>
      <diagonal/>
    </border>
    <border>
      <left style="dashed">
        <color rgb="FFF4EE00"/>
      </left>
      <right/>
      <top/>
      <bottom style="medium">
        <color rgb="FFF4EE00"/>
      </bottom>
      <diagonal/>
    </border>
    <border>
      <left/>
      <right style="medium">
        <color rgb="FFF4EE00"/>
      </right>
      <top/>
      <bottom style="medium">
        <color rgb="FFF4EE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dashed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dashed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dashed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0070C0"/>
      </left>
      <right style="thin">
        <color auto="1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thin">
        <color auto="1"/>
      </right>
      <top style="medium">
        <color rgb="FF0070C0"/>
      </top>
      <bottom style="medium">
        <color rgb="FF0070C0"/>
      </bottom>
      <diagonal/>
    </border>
    <border>
      <left style="thin">
        <color auto="1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dashed">
        <color rgb="FF0070C0"/>
      </right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 style="dashed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dashed">
        <color rgb="FF0070C0"/>
      </left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medium">
        <color rgb="FFFABE00"/>
      </right>
      <top/>
      <bottom/>
      <diagonal/>
    </border>
    <border>
      <left style="medium">
        <color rgb="FFFABE00"/>
      </left>
      <right style="thin">
        <color auto="1"/>
      </right>
      <top style="medium">
        <color rgb="FFFABE00"/>
      </top>
      <bottom style="medium">
        <color rgb="FFFABE00"/>
      </bottom>
      <diagonal/>
    </border>
    <border>
      <left style="thin">
        <color auto="1"/>
      </left>
      <right style="thin">
        <color auto="1"/>
      </right>
      <top style="medium">
        <color rgb="FFFABE00"/>
      </top>
      <bottom style="medium">
        <color rgb="FFFABE00"/>
      </bottom>
      <diagonal/>
    </border>
    <border>
      <left style="thin">
        <color auto="1"/>
      </left>
      <right style="medium">
        <color rgb="FFFABE00"/>
      </right>
      <top style="medium">
        <color rgb="FFFABE00"/>
      </top>
      <bottom style="medium">
        <color rgb="FFFABE00"/>
      </bottom>
      <diagonal/>
    </border>
    <border>
      <left style="medium">
        <color rgb="FFFABE00"/>
      </left>
      <right/>
      <top style="medium">
        <color rgb="FFFABE00"/>
      </top>
      <bottom/>
      <diagonal/>
    </border>
    <border>
      <left/>
      <right/>
      <top style="medium">
        <color rgb="FFFABE00"/>
      </top>
      <bottom/>
      <diagonal/>
    </border>
    <border>
      <left/>
      <right style="dashed">
        <color rgb="FFFABE00"/>
      </right>
      <top style="medium">
        <color rgb="FFFABE00"/>
      </top>
      <bottom/>
      <diagonal/>
    </border>
    <border>
      <left/>
      <right style="medium">
        <color rgb="FFFABE00"/>
      </right>
      <top style="medium">
        <color rgb="FFFABE00"/>
      </top>
      <bottom/>
      <diagonal/>
    </border>
    <border>
      <left style="medium">
        <color rgb="FFFABE00"/>
      </left>
      <right/>
      <top/>
      <bottom/>
      <diagonal/>
    </border>
    <border>
      <left style="dashed">
        <color rgb="FFFABE00"/>
      </left>
      <right/>
      <top/>
      <bottom/>
      <diagonal/>
    </border>
    <border>
      <left style="medium">
        <color rgb="FFFABE00"/>
      </left>
      <right/>
      <top/>
      <bottom style="medium">
        <color rgb="FFFABE00"/>
      </bottom>
      <diagonal/>
    </border>
    <border>
      <left/>
      <right/>
      <top/>
      <bottom style="medium">
        <color rgb="FFFABE00"/>
      </bottom>
      <diagonal/>
    </border>
    <border>
      <left style="dashed">
        <color rgb="FFFABE00"/>
      </left>
      <right/>
      <top/>
      <bottom style="medium">
        <color rgb="FFFABE00"/>
      </bottom>
      <diagonal/>
    </border>
    <border>
      <left/>
      <right style="medium">
        <color rgb="FFFABE00"/>
      </right>
      <top/>
      <bottom style="medium">
        <color rgb="FFFABE0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DDDDDD"/>
      </left>
      <right style="thin">
        <color rgb="FF000000"/>
      </right>
      <top style="thin">
        <color rgb="FFDDDDDD"/>
      </top>
      <bottom style="thin">
        <color rgb="FF000000"/>
      </bottom>
      <diagonal/>
    </border>
    <border>
      <left/>
      <right style="thin">
        <color rgb="FF000000"/>
      </right>
      <top style="thin">
        <color rgb="FFDDDDDD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DDDDD"/>
      </top>
      <bottom style="thin">
        <color rgb="FF000000"/>
      </bottom>
      <diagonal/>
    </border>
    <border>
      <left style="thin">
        <color rgb="FF000000"/>
      </left>
      <right/>
      <top style="thin">
        <color rgb="FFDDDDDD"/>
      </top>
      <bottom style="thin">
        <color rgb="FF000000"/>
      </bottom>
      <diagonal/>
    </border>
    <border>
      <left style="thin">
        <color rgb="FFDDDDDD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20" fillId="0" borderId="0" applyFont="0" applyFill="0" applyBorder="0" applyAlignment="0" applyProtection="0">
      <alignment vertical="center"/>
    </xf>
    <xf numFmtId="177" fontId="120" fillId="0" borderId="0" applyFont="0" applyFill="0" applyBorder="0" applyAlignment="0" applyProtection="0">
      <alignment vertical="center"/>
    </xf>
    <xf numFmtId="9" fontId="120" fillId="0" borderId="0" applyFont="0" applyFill="0" applyBorder="0" applyAlignment="0" applyProtection="0">
      <alignment vertical="center"/>
    </xf>
    <xf numFmtId="178" fontId="120" fillId="0" borderId="0" applyFont="0" applyFill="0" applyBorder="0" applyAlignment="0" applyProtection="0">
      <alignment vertical="center"/>
    </xf>
    <xf numFmtId="179" fontId="120" fillId="0" borderId="0" applyFont="0" applyFill="0" applyBorder="0" applyAlignment="0" applyProtection="0">
      <alignment vertical="center"/>
    </xf>
    <xf numFmtId="0" fontId="121" fillId="0" borderId="0">
      <alignment vertical="top"/>
      <protection locked="0"/>
    </xf>
    <xf numFmtId="0" fontId="122" fillId="0" borderId="0" applyNumberFormat="0" applyFill="0" applyBorder="0" applyAlignment="0" applyProtection="0">
      <alignment vertical="center"/>
    </xf>
    <xf numFmtId="0" fontId="120" fillId="39" borderId="179" applyNumberFormat="0" applyFont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180" applyNumberFormat="0" applyFill="0" applyAlignment="0" applyProtection="0">
      <alignment vertical="center"/>
    </xf>
    <xf numFmtId="0" fontId="127" fillId="0" borderId="180" applyNumberFormat="0" applyFill="0" applyAlignment="0" applyProtection="0">
      <alignment vertical="center"/>
    </xf>
    <xf numFmtId="0" fontId="128" fillId="0" borderId="181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129" fillId="40" borderId="182" applyNumberFormat="0" applyAlignment="0" applyProtection="0">
      <alignment vertical="center"/>
    </xf>
    <xf numFmtId="0" fontId="130" fillId="41" borderId="183" applyNumberFormat="0" applyAlignment="0" applyProtection="0">
      <alignment vertical="center"/>
    </xf>
    <xf numFmtId="0" fontId="131" fillId="41" borderId="182" applyNumberFormat="0" applyAlignment="0" applyProtection="0">
      <alignment vertical="center"/>
    </xf>
    <xf numFmtId="0" fontId="132" fillId="42" borderId="184" applyNumberFormat="0" applyAlignment="0" applyProtection="0">
      <alignment vertical="center"/>
    </xf>
    <xf numFmtId="0" fontId="133" fillId="0" borderId="185" applyNumberFormat="0" applyFill="0" applyAlignment="0" applyProtection="0">
      <alignment vertical="center"/>
    </xf>
    <xf numFmtId="0" fontId="134" fillId="0" borderId="186" applyNumberFormat="0" applyFill="0" applyAlignment="0" applyProtection="0">
      <alignment vertical="center"/>
    </xf>
    <xf numFmtId="0" fontId="135" fillId="43" borderId="0" applyNumberFormat="0" applyBorder="0" applyAlignment="0" applyProtection="0">
      <alignment vertical="center"/>
    </xf>
    <xf numFmtId="0" fontId="136" fillId="44" borderId="0" applyNumberFormat="0" applyBorder="0" applyAlignment="0" applyProtection="0">
      <alignment vertical="center"/>
    </xf>
    <xf numFmtId="0" fontId="137" fillId="45" borderId="0" applyNumberFormat="0" applyBorder="0" applyAlignment="0" applyProtection="0">
      <alignment vertical="center"/>
    </xf>
    <xf numFmtId="0" fontId="138" fillId="46" borderId="0" applyNumberFormat="0" applyBorder="0" applyAlignment="0" applyProtection="0">
      <alignment vertical="center"/>
    </xf>
    <xf numFmtId="0" fontId="139" fillId="47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8" fillId="48" borderId="0" applyNumberFormat="0" applyBorder="0" applyAlignment="0" applyProtection="0">
      <alignment vertical="center"/>
    </xf>
    <xf numFmtId="0" fontId="138" fillId="49" borderId="0" applyNumberFormat="0" applyBorder="0" applyAlignment="0" applyProtection="0">
      <alignment vertical="center"/>
    </xf>
    <xf numFmtId="0" fontId="139" fillId="50" borderId="0" applyNumberFormat="0" applyBorder="0" applyAlignment="0" applyProtection="0">
      <alignment vertical="center"/>
    </xf>
    <xf numFmtId="0" fontId="139" fillId="36" borderId="0" applyNumberFormat="0" applyBorder="0" applyAlignment="0" applyProtection="0">
      <alignment vertical="center"/>
    </xf>
    <xf numFmtId="0" fontId="138" fillId="51" borderId="0" applyNumberFormat="0" applyBorder="0" applyAlignment="0" applyProtection="0">
      <alignment vertical="center"/>
    </xf>
    <xf numFmtId="0" fontId="138" fillId="52" borderId="0" applyNumberFormat="0" applyBorder="0" applyAlignment="0" applyProtection="0">
      <alignment vertical="center"/>
    </xf>
    <xf numFmtId="0" fontId="139" fillId="53" borderId="0" applyNumberFormat="0" applyBorder="0" applyAlignment="0" applyProtection="0">
      <alignment vertical="center"/>
    </xf>
    <xf numFmtId="0" fontId="139" fillId="54" borderId="0" applyNumberFormat="0" applyBorder="0" applyAlignment="0" applyProtection="0">
      <alignment vertical="center"/>
    </xf>
    <xf numFmtId="0" fontId="138" fillId="55" borderId="0" applyNumberFormat="0" applyBorder="0" applyAlignment="0" applyProtection="0">
      <alignment vertical="center"/>
    </xf>
    <xf numFmtId="0" fontId="138" fillId="56" borderId="0" applyNumberFormat="0" applyBorder="0" applyAlignment="0" applyProtection="0">
      <alignment vertical="center"/>
    </xf>
    <xf numFmtId="0" fontId="139" fillId="57" borderId="0" applyNumberFormat="0" applyBorder="0" applyAlignment="0" applyProtection="0">
      <alignment vertical="center"/>
    </xf>
    <xf numFmtId="0" fontId="139" fillId="14" borderId="0" applyNumberFormat="0" applyBorder="0" applyAlignment="0" applyProtection="0">
      <alignment vertical="center"/>
    </xf>
    <xf numFmtId="0" fontId="138" fillId="58" borderId="0" applyNumberFormat="0" applyBorder="0" applyAlignment="0" applyProtection="0">
      <alignment vertical="center"/>
    </xf>
    <xf numFmtId="0" fontId="138" fillId="59" borderId="0" applyNumberFormat="0" applyBorder="0" applyAlignment="0" applyProtection="0">
      <alignment vertical="center"/>
    </xf>
    <xf numFmtId="0" fontId="139" fillId="60" borderId="0" applyNumberFormat="0" applyBorder="0" applyAlignment="0" applyProtection="0">
      <alignment vertical="center"/>
    </xf>
    <xf numFmtId="0" fontId="139" fillId="61" borderId="0" applyNumberFormat="0" applyBorder="0" applyAlignment="0" applyProtection="0">
      <alignment vertical="center"/>
    </xf>
    <xf numFmtId="0" fontId="138" fillId="62" borderId="0" applyNumberFormat="0" applyBorder="0" applyAlignment="0" applyProtection="0">
      <alignment vertical="center"/>
    </xf>
    <xf numFmtId="0" fontId="138" fillId="63" borderId="0" applyNumberFormat="0" applyBorder="0" applyAlignment="0" applyProtection="0">
      <alignment vertical="center"/>
    </xf>
    <xf numFmtId="0" fontId="139" fillId="64" borderId="0" applyNumberFormat="0" applyBorder="0" applyAlignment="0" applyProtection="0">
      <alignment vertical="center"/>
    </xf>
    <xf numFmtId="0" fontId="139" fillId="26" borderId="0" applyNumberFormat="0" applyBorder="0" applyAlignment="0" applyProtection="0">
      <alignment vertical="center"/>
    </xf>
    <xf numFmtId="0" fontId="138" fillId="65" borderId="0" applyNumberFormat="0" applyBorder="0" applyAlignment="0" applyProtection="0">
      <alignment vertical="center"/>
    </xf>
  </cellStyleXfs>
  <cellXfs count="1045">
    <xf numFmtId="0" fontId="0" fillId="0" borderId="0" xfId="0">
      <alignment vertical="center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Border="1" applyAlignment="1" applyProtection="1">
      <alignment vertical="center"/>
      <protection hidden="1"/>
    </xf>
    <xf numFmtId="0" fontId="0" fillId="0" borderId="0" xfId="0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9" xfId="0" applyFont="1" applyBorder="1" applyAlignment="1" applyProtection="1">
      <alignment vertical="center"/>
      <protection hidden="1"/>
    </xf>
    <xf numFmtId="0" fontId="2" fillId="0" borderId="0" xfId="0" applyFont="1" applyBorder="1" applyAlignment="1" applyProtection="1">
      <alignment horizontal="center"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3" fillId="0" borderId="0" xfId="0" applyFont="1" applyBorder="1" applyAlignment="1" applyProtection="1">
      <alignment horizontal="center" vertical="top"/>
      <protection hidden="1"/>
    </xf>
    <xf numFmtId="180" fontId="3" fillId="0" borderId="0" xfId="0" applyNumberFormat="1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0" fontId="3" fillId="0" borderId="11" xfId="0" applyFont="1" applyBorder="1" applyAlignment="1" applyProtection="1">
      <alignment horizontal="left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3" fillId="0" borderId="0" xfId="0" applyFont="1" applyBorder="1" applyAlignment="1" applyProtection="1">
      <alignment horizontal="right" vertical="center"/>
      <protection hidden="1"/>
    </xf>
    <xf numFmtId="0" fontId="3" fillId="0" borderId="11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horizontal="left" vertical="center" shrinkToFit="1"/>
      <protection hidden="1"/>
    </xf>
    <xf numFmtId="181" fontId="3" fillId="0" borderId="11" xfId="0" applyNumberFormat="1" applyFont="1" applyBorder="1" applyAlignment="1" applyProtection="1">
      <alignment horizontal="left" vertical="center" shrinkToFit="1"/>
      <protection hidden="1"/>
    </xf>
    <xf numFmtId="0" fontId="3" fillId="0" borderId="12" xfId="0" applyFont="1" applyBorder="1" applyAlignment="1" applyProtection="1">
      <alignment horizontal="center" vertical="center"/>
      <protection hidden="1"/>
    </xf>
    <xf numFmtId="181" fontId="3" fillId="0" borderId="12" xfId="0" applyNumberFormat="1" applyFont="1" applyBorder="1" applyAlignment="1" applyProtection="1">
      <alignment horizontal="left" vertical="center"/>
      <protection hidden="1"/>
    </xf>
    <xf numFmtId="0" fontId="3" fillId="0" borderId="6" xfId="0" applyFont="1" applyBorder="1" applyAlignment="1" applyProtection="1">
      <alignment horizontal="right" vertical="center"/>
      <protection hidden="1"/>
    </xf>
    <xf numFmtId="182" fontId="3" fillId="0" borderId="12" xfId="0" applyNumberFormat="1" applyFont="1" applyBorder="1" applyAlignment="1" applyProtection="1">
      <alignment horizontal="left" vertical="center"/>
      <protection hidden="1"/>
    </xf>
    <xf numFmtId="181" fontId="3" fillId="0" borderId="11" xfId="0" applyNumberFormat="1" applyFont="1" applyBorder="1" applyAlignment="1" applyProtection="1">
      <alignment horizontal="left" vertical="center"/>
      <protection hidden="1"/>
    </xf>
    <xf numFmtId="0" fontId="3" fillId="0" borderId="0" xfId="0" applyFont="1" applyBorder="1" applyAlignment="1" applyProtection="1">
      <alignment vertical="center"/>
      <protection hidden="1"/>
    </xf>
    <xf numFmtId="0" fontId="3" fillId="0" borderId="5" xfId="0" applyFont="1" applyBorder="1" applyAlignment="1" applyProtection="1">
      <alignment vertical="center"/>
      <protection hidden="1"/>
    </xf>
    <xf numFmtId="0" fontId="3" fillId="0" borderId="6" xfId="0" applyFont="1" applyBorder="1" applyAlignment="1" applyProtection="1">
      <alignment vertical="center"/>
      <protection hidden="1"/>
    </xf>
    <xf numFmtId="0" fontId="3" fillId="0" borderId="7" xfId="0" applyFont="1" applyBorder="1" applyAlignment="1" applyProtection="1">
      <alignment vertical="center"/>
      <protection hidden="1"/>
    </xf>
    <xf numFmtId="0" fontId="3" fillId="0" borderId="9" xfId="0" applyFont="1" applyBorder="1" applyAlignment="1" applyProtection="1">
      <alignment vertical="center"/>
      <protection hidden="1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3" fillId="0" borderId="13" xfId="0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right" vertical="center"/>
      <protection hidden="1"/>
    </xf>
    <xf numFmtId="0" fontId="4" fillId="0" borderId="0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3" fillId="0" borderId="16" xfId="0" applyFont="1" applyBorder="1" applyAlignment="1" applyProtection="1">
      <alignment vertical="center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3" fillId="0" borderId="12" xfId="0" applyFont="1" applyBorder="1" applyAlignment="1" applyProtection="1">
      <alignment vertical="center"/>
      <protection hidden="1"/>
    </xf>
    <xf numFmtId="0" fontId="3" fillId="0" borderId="14" xfId="0" applyFont="1" applyBorder="1" applyAlignment="1" applyProtection="1">
      <alignment vertical="center"/>
      <protection hidden="1"/>
    </xf>
    <xf numFmtId="0" fontId="3" fillId="0" borderId="13" xfId="0" applyFont="1" applyBorder="1" applyAlignment="1" applyProtection="1">
      <alignment horizontal="right" vertical="center"/>
      <protection hidden="1"/>
    </xf>
    <xf numFmtId="0" fontId="3" fillId="0" borderId="14" xfId="0" applyFont="1" applyBorder="1" applyAlignment="1" applyProtection="1">
      <alignment horizontal="right" vertical="center"/>
      <protection hidden="1"/>
    </xf>
    <xf numFmtId="0" fontId="3" fillId="0" borderId="17" xfId="0" applyFont="1" applyBorder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 wrapText="1"/>
      <protection hidden="1"/>
    </xf>
    <xf numFmtId="0" fontId="4" fillId="0" borderId="17" xfId="0" applyFont="1" applyBorder="1" applyAlignment="1" applyProtection="1">
      <alignment horizontal="center" vertical="center"/>
      <protection hidden="1"/>
    </xf>
    <xf numFmtId="0" fontId="6" fillId="0" borderId="17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horizontal="center" vertical="center"/>
      <protection hidden="1"/>
    </xf>
    <xf numFmtId="0" fontId="3" fillId="0" borderId="13" xfId="0" applyFont="1" applyBorder="1" applyAlignment="1" applyProtection="1">
      <alignment horizontal="left" vertical="center"/>
      <protection hidden="1"/>
    </xf>
    <xf numFmtId="0" fontId="3" fillId="0" borderId="14" xfId="0" applyFont="1" applyBorder="1" applyAlignment="1" applyProtection="1">
      <alignment horizontal="left" vertical="center"/>
      <protection hidden="1"/>
    </xf>
    <xf numFmtId="181" fontId="3" fillId="0" borderId="17" xfId="0" applyNumberFormat="1" applyFont="1" applyBorder="1" applyAlignment="1" applyProtection="1">
      <alignment horizontal="center" vertical="center"/>
      <protection hidden="1"/>
    </xf>
    <xf numFmtId="181" fontId="6" fillId="0" borderId="17" xfId="0" applyNumberFormat="1" applyFont="1" applyBorder="1" applyAlignment="1" applyProtection="1">
      <alignment horizontal="center" vertical="center"/>
      <protection hidden="1"/>
    </xf>
    <xf numFmtId="181" fontId="7" fillId="0" borderId="17" xfId="0" applyNumberFormat="1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vertical="center"/>
      <protection hidden="1"/>
    </xf>
    <xf numFmtId="181" fontId="8" fillId="0" borderId="17" xfId="0" applyNumberFormat="1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left" vertical="center"/>
      <protection hidden="1"/>
    </xf>
    <xf numFmtId="180" fontId="9" fillId="0" borderId="0" xfId="0" applyNumberFormat="1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vertical="center"/>
      <protection hidden="1"/>
    </xf>
    <xf numFmtId="0" fontId="10" fillId="0" borderId="17" xfId="0" applyFont="1" applyBorder="1" applyAlignment="1" applyProtection="1">
      <alignment vertical="center"/>
      <protection hidden="1"/>
    </xf>
    <xf numFmtId="0" fontId="10" fillId="0" borderId="17" xfId="0" applyFont="1" applyBorder="1" applyAlignment="1" applyProtection="1">
      <alignment vertical="center" wrapText="1"/>
      <protection hidden="1"/>
    </xf>
    <xf numFmtId="0" fontId="10" fillId="0" borderId="17" xfId="0" applyFont="1" applyBorder="1" applyAlignment="1" applyProtection="1">
      <alignment horizontal="center" vertical="center" wrapText="1"/>
      <protection hidden="1"/>
    </xf>
    <xf numFmtId="183" fontId="3" fillId="0" borderId="17" xfId="0" applyNumberFormat="1" applyFont="1" applyBorder="1" applyAlignment="1" applyProtection="1">
      <alignment horizontal="center" vertical="center"/>
      <protection hidden="1"/>
    </xf>
    <xf numFmtId="184" fontId="3" fillId="0" borderId="17" xfId="0" applyNumberFormat="1" applyFont="1" applyBorder="1" applyAlignment="1" applyProtection="1">
      <alignment horizontal="center" vertical="center"/>
      <protection hidden="1"/>
    </xf>
    <xf numFmtId="0" fontId="3" fillId="0" borderId="20" xfId="0" applyFont="1" applyBorder="1" applyAlignment="1" applyProtection="1">
      <alignment vertical="center"/>
      <protection hidden="1"/>
    </xf>
    <xf numFmtId="0" fontId="3" fillId="0" borderId="21" xfId="0" applyFont="1" applyBorder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3" fillId="0" borderId="9" xfId="0" applyFont="1" applyBorder="1" applyAlignment="1" applyProtection="1">
      <alignment horizontal="center" vertical="top"/>
      <protection hidden="1"/>
    </xf>
    <xf numFmtId="0" fontId="3" fillId="0" borderId="10" xfId="0" applyFont="1" applyBorder="1" applyAlignment="1" applyProtection="1">
      <alignment horizontal="center" vertical="top"/>
      <protection hidden="1"/>
    </xf>
    <xf numFmtId="0" fontId="11" fillId="0" borderId="0" xfId="0" applyFont="1" applyBorder="1" applyAlignment="1" applyProtection="1">
      <alignment horizontal="left" vertical="center"/>
      <protection hidden="1"/>
    </xf>
    <xf numFmtId="181" fontId="12" fillId="0" borderId="11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Border="1" applyAlignment="1" applyProtection="1">
      <alignment horizontal="center" vertical="center"/>
      <protection hidden="1"/>
    </xf>
    <xf numFmtId="0" fontId="11" fillId="0" borderId="0" xfId="0" applyFont="1" applyBorder="1" applyAlignment="1" applyProtection="1">
      <alignment vertical="center"/>
      <protection hidden="1"/>
    </xf>
    <xf numFmtId="181" fontId="12" fillId="0" borderId="11" xfId="0" applyNumberFormat="1" applyFont="1" applyBorder="1" applyAlignment="1" applyProtection="1">
      <alignment horizontal="left" vertical="center" shrinkToFit="1"/>
      <protection hidden="1"/>
    </xf>
    <xf numFmtId="181" fontId="12" fillId="0" borderId="12" xfId="0" applyNumberFormat="1" applyFont="1" applyBorder="1" applyAlignment="1" applyProtection="1">
      <alignment horizontal="left" vertical="center" shrinkToFit="1"/>
      <protection hidden="1"/>
    </xf>
    <xf numFmtId="182" fontId="12" fillId="0" borderId="11" xfId="0" applyNumberFormat="1" applyFont="1" applyBorder="1" applyAlignment="1" applyProtection="1">
      <alignment horizontal="left" vertical="center"/>
      <protection hidden="1"/>
    </xf>
    <xf numFmtId="181" fontId="12" fillId="0" borderId="11" xfId="0" applyNumberFormat="1" applyFont="1" applyBorder="1" applyAlignment="1" applyProtection="1">
      <alignment horizontal="left" vertical="center"/>
      <protection hidden="1"/>
    </xf>
    <xf numFmtId="0" fontId="3" fillId="0" borderId="10" xfId="0" applyFont="1" applyBorder="1" applyAlignment="1" applyProtection="1">
      <alignment horizontal="left" vertical="center"/>
      <protection hidden="1"/>
    </xf>
    <xf numFmtId="182" fontId="13" fillId="0" borderId="11" xfId="0" applyNumberFormat="1" applyFont="1" applyBorder="1" applyAlignment="1" applyProtection="1">
      <alignment horizontal="left" vertical="center"/>
      <protection hidden="1"/>
    </xf>
    <xf numFmtId="0" fontId="14" fillId="0" borderId="0" xfId="0" applyFont="1" applyBorder="1" applyAlignment="1" applyProtection="1">
      <alignment horizontal="center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5" fillId="0" borderId="0" xfId="0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6" xfId="0" applyFont="1" applyBorder="1" applyAlignment="1" applyProtection="1">
      <alignment vertical="center"/>
      <protection hidden="1"/>
    </xf>
    <xf numFmtId="0" fontId="1" fillId="0" borderId="22" xfId="0" applyFont="1" applyBorder="1" applyAlignment="1" applyProtection="1">
      <alignment vertical="center"/>
      <protection hidden="1"/>
    </xf>
    <xf numFmtId="0" fontId="1" fillId="0" borderId="23" xfId="0" applyFont="1" applyBorder="1" applyAlignment="1" applyProtection="1">
      <alignment vertical="center"/>
      <protection hidden="1"/>
    </xf>
    <xf numFmtId="0" fontId="1" fillId="0" borderId="24" xfId="0" applyFont="1" applyBorder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1" fillId="0" borderId="0" xfId="0" applyFont="1" applyAlignment="1" applyProtection="1">
      <protection hidden="1"/>
    </xf>
    <xf numFmtId="0" fontId="16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left" vertical="center" indent="4"/>
      <protection hidden="1"/>
    </xf>
    <xf numFmtId="0" fontId="3" fillId="0" borderId="12" xfId="0" applyFont="1" applyBorder="1" applyAlignment="1" applyProtection="1">
      <alignment horizontal="left" vertical="center"/>
      <protection hidden="1"/>
    </xf>
    <xf numFmtId="0" fontId="6" fillId="0" borderId="11" xfId="0" applyFont="1" applyBorder="1" applyAlignment="1" applyProtection="1">
      <alignment horizontal="left" vertical="center"/>
      <protection hidden="1"/>
    </xf>
    <xf numFmtId="180" fontId="6" fillId="0" borderId="0" xfId="0" applyNumberFormat="1" applyFont="1" applyAlignment="1" applyProtection="1">
      <alignment horizontal="center" vertical="center"/>
      <protection hidden="1"/>
    </xf>
    <xf numFmtId="0" fontId="3" fillId="0" borderId="18" xfId="0" applyFont="1" applyBorder="1" applyAlignment="1" applyProtection="1">
      <alignment horizontal="center" vertical="center"/>
      <protection hidden="1"/>
    </xf>
    <xf numFmtId="0" fontId="3" fillId="0" borderId="17" xfId="0" applyFont="1" applyFill="1" applyBorder="1" applyAlignment="1" applyProtection="1">
      <alignment horizontal="center" vertical="center" wrapText="1"/>
      <protection hidden="1"/>
    </xf>
    <xf numFmtId="0" fontId="3" fillId="0" borderId="25" xfId="0" applyFont="1" applyBorder="1" applyAlignment="1" applyProtection="1">
      <alignment horizontal="center" vertical="center"/>
      <protection hidden="1"/>
    </xf>
    <xf numFmtId="0" fontId="3" fillId="0" borderId="25" xfId="0" applyFont="1" applyBorder="1" applyAlignment="1" applyProtection="1">
      <alignment horizontal="center" vertical="center" wrapText="1"/>
      <protection hidden="1"/>
    </xf>
    <xf numFmtId="0" fontId="17" fillId="0" borderId="18" xfId="0" applyFont="1" applyFill="1" applyBorder="1" applyAlignment="1" applyProtection="1">
      <alignment horizontal="center" vertical="center" wrapText="1"/>
      <protection locked="0"/>
    </xf>
    <xf numFmtId="0" fontId="3" fillId="0" borderId="19" xfId="0" applyFont="1" applyBorder="1" applyAlignment="1" applyProtection="1">
      <alignment horizontal="center" vertical="center" wrapText="1"/>
      <protection hidden="1"/>
    </xf>
    <xf numFmtId="0" fontId="18" fillId="0" borderId="17" xfId="0" applyFont="1" applyBorder="1" applyAlignment="1" applyProtection="1">
      <alignment horizontal="center" vertical="center" wrapText="1"/>
      <protection hidden="1"/>
    </xf>
    <xf numFmtId="0" fontId="18" fillId="0" borderId="17" xfId="0" applyFont="1" applyBorder="1" applyAlignment="1" applyProtection="1">
      <alignment horizontal="center" vertical="center"/>
      <protection hidden="1"/>
    </xf>
    <xf numFmtId="0" fontId="17" fillId="0" borderId="19" xfId="0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left" vertical="center"/>
      <protection hidden="1"/>
    </xf>
    <xf numFmtId="0" fontId="3" fillId="0" borderId="17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  <protection hidden="1"/>
    </xf>
    <xf numFmtId="0" fontId="3" fillId="0" borderId="17" xfId="0" applyFont="1" applyBorder="1" applyAlignment="1" applyProtection="1">
      <alignment horizontal="center" vertical="center" wrapText="1"/>
      <protection hidden="1"/>
    </xf>
    <xf numFmtId="180" fontId="3" fillId="0" borderId="0" xfId="0" applyNumberFormat="1" applyFont="1" applyBorder="1" applyAlignment="1" applyProtection="1">
      <alignment vertical="center"/>
      <protection hidden="1"/>
    </xf>
    <xf numFmtId="0" fontId="3" fillId="0" borderId="13" xfId="0" applyFont="1" applyBorder="1" applyAlignment="1" applyProtection="1">
      <alignment horizontal="left" vertical="center"/>
      <protection locked="0"/>
    </xf>
    <xf numFmtId="0" fontId="3" fillId="0" borderId="12" xfId="0" applyFont="1" applyBorder="1" applyAlignment="1" applyProtection="1">
      <alignment horizontal="left" vertical="center"/>
      <protection locked="0"/>
    </xf>
    <xf numFmtId="0" fontId="3" fillId="0" borderId="14" xfId="0" applyFont="1" applyBorder="1" applyAlignment="1" applyProtection="1">
      <alignment horizontal="left" vertical="center"/>
      <protection locked="0"/>
    </xf>
    <xf numFmtId="0" fontId="3" fillId="0" borderId="13" xfId="0" applyNumberFormat="1" applyFont="1" applyBorder="1" applyAlignment="1" applyProtection="1">
      <alignment horizontal="center" vertical="center"/>
      <protection locked="0"/>
    </xf>
    <xf numFmtId="0" fontId="3" fillId="0" borderId="14" xfId="0" applyNumberFormat="1" applyFont="1" applyBorder="1" applyAlignment="1" applyProtection="1">
      <alignment horizontal="center" vertical="center"/>
      <protection locked="0"/>
    </xf>
    <xf numFmtId="0" fontId="3" fillId="0" borderId="1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184" fontId="3" fillId="0" borderId="17" xfId="0" applyNumberFormat="1" applyFont="1" applyBorder="1" applyAlignment="1" applyProtection="1">
      <alignment horizontal="center" vertical="center"/>
      <protection locked="0"/>
    </xf>
    <xf numFmtId="180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0" fontId="17" fillId="0" borderId="18" xfId="0" applyFont="1" applyFill="1" applyBorder="1" applyAlignment="1" applyProtection="1">
      <alignment horizontal="center" vertical="center" wrapText="1"/>
      <protection hidden="1"/>
    </xf>
    <xf numFmtId="0" fontId="17" fillId="0" borderId="19" xfId="0" applyFont="1" applyFill="1" applyBorder="1" applyAlignment="1" applyProtection="1">
      <alignment horizontal="center" vertical="center" wrapText="1"/>
      <protection hidden="1"/>
    </xf>
    <xf numFmtId="0" fontId="3" fillId="0" borderId="13" xfId="0" applyNumberFormat="1" applyFont="1" applyBorder="1" applyAlignment="1" applyProtection="1">
      <alignment horizontal="center" vertical="center"/>
      <protection hidden="1"/>
    </xf>
    <xf numFmtId="0" fontId="3" fillId="0" borderId="14" xfId="0" applyNumberFormat="1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180" fontId="1" fillId="0" borderId="0" xfId="0" applyNumberFormat="1" applyFont="1" applyAlignment="1" applyProtection="1">
      <protection hidden="1"/>
    </xf>
    <xf numFmtId="0" fontId="16" fillId="0" borderId="0" xfId="0" applyFont="1" applyAlignment="1" applyProtection="1">
      <alignment horizontal="center" vertical="center"/>
      <protection hidden="1"/>
    </xf>
    <xf numFmtId="180" fontId="19" fillId="0" borderId="0" xfId="0" applyNumberFormat="1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80" fontId="20" fillId="0" borderId="0" xfId="0" applyNumberFormat="1" applyFont="1" applyAlignment="1" applyProtection="1">
      <alignment vertical="center"/>
      <protection hidden="1"/>
    </xf>
    <xf numFmtId="0" fontId="22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/>
      <protection hidden="1"/>
    </xf>
    <xf numFmtId="180" fontId="20" fillId="0" borderId="0" xfId="0" applyNumberFormat="1" applyFont="1" applyAlignment="1" applyProtection="1">
      <protection hidden="1"/>
    </xf>
    <xf numFmtId="0" fontId="6" fillId="0" borderId="0" xfId="0" applyFont="1" applyAlignment="1" applyProtection="1">
      <alignment horizontal="right" vertical="center"/>
      <protection hidden="1"/>
    </xf>
    <xf numFmtId="0" fontId="6" fillId="0" borderId="0" xfId="0" applyFont="1" applyBorder="1" applyAlignment="1" applyProtection="1">
      <alignment vertical="center"/>
      <protection hidden="1"/>
    </xf>
    <xf numFmtId="0" fontId="6" fillId="0" borderId="0" xfId="0" applyFont="1" applyBorder="1" applyAlignment="1" applyProtection="1">
      <alignment horizontal="right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180" fontId="6" fillId="0" borderId="0" xfId="0" applyNumberFormat="1" applyFont="1" applyAlignment="1" applyProtection="1">
      <alignment vertical="center"/>
      <protection hidden="1"/>
    </xf>
    <xf numFmtId="0" fontId="3" fillId="0" borderId="17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center" vertical="center" textRotation="90" wrapText="1"/>
      <protection hidden="1"/>
    </xf>
    <xf numFmtId="0" fontId="3" fillId="0" borderId="18" xfId="0" applyFont="1" applyBorder="1" applyAlignment="1" applyProtection="1">
      <alignment horizontal="center" vertical="center" textRotation="90" wrapText="1"/>
      <protection hidden="1"/>
    </xf>
    <xf numFmtId="0" fontId="6" fillId="0" borderId="14" xfId="0" applyFont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 textRotation="90" wrapText="1"/>
      <protection hidden="1"/>
    </xf>
    <xf numFmtId="0" fontId="21" fillId="0" borderId="5" xfId="0" applyFont="1" applyBorder="1" applyAlignment="1" applyProtection="1">
      <alignment horizontal="center" vertical="center"/>
      <protection hidden="1"/>
    </xf>
    <xf numFmtId="0" fontId="21" fillId="0" borderId="18" xfId="0" applyFont="1" applyBorder="1" applyAlignment="1" applyProtection="1">
      <alignment horizontal="center"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180" fontId="21" fillId="0" borderId="0" xfId="0" applyNumberFormat="1" applyFont="1" applyAlignment="1" applyProtection="1">
      <alignment horizontal="center" vertical="center"/>
      <protection hidden="1"/>
    </xf>
    <xf numFmtId="0" fontId="3" fillId="0" borderId="25" xfId="0" applyFont="1" applyBorder="1" applyAlignment="1" applyProtection="1">
      <alignment horizontal="center" vertical="center" textRotation="90" wrapText="1"/>
      <protection hidden="1"/>
    </xf>
    <xf numFmtId="0" fontId="1" fillId="0" borderId="17" xfId="0" applyFont="1" applyBorder="1" applyAlignment="1" applyProtection="1">
      <alignment horizontal="center" vertical="center" textRotation="90" wrapText="1"/>
      <protection hidden="1"/>
    </xf>
    <xf numFmtId="0" fontId="1" fillId="2" borderId="25" xfId="0" applyFont="1" applyFill="1" applyBorder="1" applyAlignment="1" applyProtection="1">
      <alignment horizontal="center" vertical="center" textRotation="90" wrapText="1"/>
      <protection hidden="1"/>
    </xf>
    <xf numFmtId="0" fontId="5" fillId="0" borderId="15" xfId="0" applyFont="1" applyBorder="1" applyAlignment="1" applyProtection="1">
      <alignment horizontal="center" vertical="center" textRotation="90"/>
      <protection hidden="1"/>
    </xf>
    <xf numFmtId="0" fontId="5" fillId="0" borderId="25" xfId="0" applyFont="1" applyBorder="1" applyAlignment="1" applyProtection="1">
      <alignment horizontal="center" vertical="center" textRotation="90"/>
      <protection hidden="1"/>
    </xf>
    <xf numFmtId="0" fontId="5" fillId="0" borderId="11" xfId="0" applyFont="1" applyBorder="1" applyAlignment="1" applyProtection="1">
      <alignment horizontal="center" vertical="center" textRotation="90"/>
      <protection hidden="1"/>
    </xf>
    <xf numFmtId="0" fontId="4" fillId="0" borderId="25" xfId="0" applyFont="1" applyBorder="1" applyAlignment="1" applyProtection="1">
      <alignment horizontal="center" vertical="center"/>
      <protection hidden="1"/>
    </xf>
    <xf numFmtId="0" fontId="3" fillId="0" borderId="19" xfId="0" applyFont="1" applyBorder="1" applyAlignment="1" applyProtection="1">
      <alignment vertical="center" textRotation="90" wrapText="1"/>
      <protection hidden="1"/>
    </xf>
    <xf numFmtId="0" fontId="1" fillId="2" borderId="19" xfId="0" applyFont="1" applyFill="1" applyBorder="1" applyAlignment="1" applyProtection="1">
      <alignment horizontal="center" vertical="center" textRotation="90" wrapText="1"/>
      <protection hidden="1"/>
    </xf>
    <xf numFmtId="0" fontId="23" fillId="0" borderId="17" xfId="0" applyFont="1" applyBorder="1" applyAlignment="1" applyProtection="1">
      <alignment horizontal="center" vertical="center"/>
      <protection hidden="1"/>
    </xf>
    <xf numFmtId="0" fontId="23" fillId="0" borderId="13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left" vertical="center" wrapText="1"/>
      <protection hidden="1"/>
    </xf>
    <xf numFmtId="1" fontId="3" fillId="0" borderId="17" xfId="0" applyNumberFormat="1" applyFont="1" applyBorder="1" applyAlignment="1" applyProtection="1">
      <alignment horizontal="center" vertical="center"/>
      <protection hidden="1"/>
    </xf>
    <xf numFmtId="1" fontId="3" fillId="0" borderId="17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 indent="6"/>
      <protection hidden="1"/>
    </xf>
    <xf numFmtId="180" fontId="1" fillId="0" borderId="0" xfId="0" applyNumberFormat="1" applyFont="1" applyAlignment="1" applyProtection="1">
      <alignment horizontal="center"/>
      <protection hidden="1"/>
    </xf>
    <xf numFmtId="0" fontId="5" fillId="0" borderId="11" xfId="0" applyFont="1" applyBorder="1" applyAlignment="1" applyProtection="1">
      <alignment horizontal="left" vertical="center"/>
      <protection hidden="1"/>
    </xf>
    <xf numFmtId="0" fontId="5" fillId="0" borderId="0" xfId="0" applyFont="1" applyBorder="1" applyAlignment="1" applyProtection="1">
      <alignment horizontal="left" vertical="center"/>
      <protection hidden="1"/>
    </xf>
    <xf numFmtId="180" fontId="5" fillId="0" borderId="0" xfId="0" applyNumberFormat="1" applyFont="1" applyAlignment="1" applyProtection="1">
      <alignment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9" fillId="0" borderId="13" xfId="0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1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9" fillId="0" borderId="7" xfId="0" applyFont="1" applyBorder="1" applyAlignment="1" applyProtection="1">
      <alignment horizontal="center" vertical="center"/>
      <protection hidden="1"/>
    </xf>
    <xf numFmtId="183" fontId="3" fillId="0" borderId="0" xfId="0" applyNumberFormat="1" applyFont="1" applyBorder="1" applyAlignment="1" applyProtection="1">
      <alignment vertical="center"/>
      <protection hidden="1"/>
    </xf>
    <xf numFmtId="180" fontId="3" fillId="0" borderId="0" xfId="0" applyNumberFormat="1" applyFont="1" applyAlignment="1" applyProtection="1">
      <alignment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3" fillId="0" borderId="15" xfId="0" applyFont="1" applyBorder="1" applyAlignment="1" applyProtection="1">
      <alignment horizontal="center" vertical="center"/>
      <protection hidden="1"/>
    </xf>
    <xf numFmtId="0" fontId="3" fillId="0" borderId="16" xfId="0" applyFont="1" applyBorder="1" applyAlignment="1" applyProtection="1">
      <alignment horizontal="center" vertical="center"/>
      <protection hidden="1"/>
    </xf>
    <xf numFmtId="0" fontId="18" fillId="0" borderId="13" xfId="0" applyFont="1" applyBorder="1" applyAlignment="1" applyProtection="1">
      <alignment horizontal="center" vertical="center" wrapText="1"/>
      <protection hidden="1"/>
    </xf>
    <xf numFmtId="0" fontId="18" fillId="0" borderId="14" xfId="0" applyFont="1" applyBorder="1" applyAlignment="1" applyProtection="1">
      <alignment horizontal="center" vertical="center" wrapText="1"/>
      <protection hidden="1"/>
    </xf>
    <xf numFmtId="0" fontId="18" fillId="0" borderId="13" xfId="0" applyFont="1" applyBorder="1" applyAlignment="1" applyProtection="1">
      <alignment horizontal="center" vertical="center"/>
      <protection hidden="1"/>
    </xf>
    <xf numFmtId="0" fontId="18" fillId="0" borderId="14" xfId="0" applyFont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3" fillId="0" borderId="17" xfId="0" applyFont="1" applyBorder="1" applyAlignment="1" applyProtection="1">
      <alignment horizontal="right" vertical="center"/>
      <protection hidden="1"/>
    </xf>
    <xf numFmtId="0" fontId="3" fillId="0" borderId="11" xfId="0" applyFont="1" applyBorder="1" applyAlignment="1" applyProtection="1">
      <alignment horizontal="left" vertical="center" shrinkToFit="1"/>
      <protection hidden="1"/>
    </xf>
    <xf numFmtId="0" fontId="9" fillId="0" borderId="0" xfId="0" applyFont="1" applyBorder="1" applyAlignment="1" applyProtection="1">
      <alignment horizontal="left" vertical="center"/>
      <protection hidden="1"/>
    </xf>
    <xf numFmtId="0" fontId="2" fillId="0" borderId="9" xfId="0" applyFont="1" applyBorder="1" applyAlignment="1" applyProtection="1">
      <alignment vertical="center"/>
      <protection hidden="1"/>
    </xf>
    <xf numFmtId="0" fontId="2" fillId="0" borderId="0" xfId="0" applyFont="1" applyBorder="1" applyAlignment="1" applyProtection="1">
      <alignment vertical="center"/>
      <protection hidden="1"/>
    </xf>
    <xf numFmtId="0" fontId="2" fillId="0" borderId="10" xfId="0" applyFont="1" applyBorder="1" applyAlignment="1" applyProtection="1">
      <alignment vertical="center"/>
      <protection hidden="1"/>
    </xf>
    <xf numFmtId="0" fontId="3" fillId="0" borderId="9" xfId="0" applyFont="1" applyBorder="1" applyAlignment="1" applyProtection="1">
      <alignment vertical="top"/>
      <protection hidden="1"/>
    </xf>
    <xf numFmtId="0" fontId="3" fillId="0" borderId="0" xfId="0" applyFont="1" applyBorder="1" applyAlignment="1" applyProtection="1">
      <alignment vertical="top"/>
      <protection hidden="1"/>
    </xf>
    <xf numFmtId="0" fontId="3" fillId="0" borderId="10" xfId="0" applyFont="1" applyBorder="1" applyAlignment="1" applyProtection="1">
      <alignment vertical="top"/>
      <protection hidden="1"/>
    </xf>
    <xf numFmtId="184" fontId="3" fillId="0" borderId="17" xfId="0" applyNumberFormat="1" applyFont="1" applyBorder="1" applyAlignment="1" applyProtection="1">
      <alignment horizontal="left" vertical="center"/>
      <protection hidden="1"/>
    </xf>
    <xf numFmtId="0" fontId="12" fillId="0" borderId="0" xfId="0" applyFont="1" applyBorder="1" applyAlignment="1" applyProtection="1">
      <alignment vertical="center"/>
      <protection hidden="1"/>
    </xf>
    <xf numFmtId="0" fontId="12" fillId="0" borderId="0" xfId="0" applyFont="1" applyBorder="1" applyAlignment="1" applyProtection="1">
      <alignment vertical="center" shrinkToFit="1"/>
      <protection hidden="1"/>
    </xf>
    <xf numFmtId="182" fontId="12" fillId="0" borderId="0" xfId="0" applyNumberFormat="1" applyFont="1" applyBorder="1" applyAlignment="1" applyProtection="1">
      <alignment vertical="center"/>
      <protection hidden="1"/>
    </xf>
    <xf numFmtId="185" fontId="13" fillId="0" borderId="11" xfId="0" applyNumberFormat="1" applyFont="1" applyBorder="1" applyAlignment="1" applyProtection="1">
      <alignment horizontal="left" vertical="center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protection locked="0"/>
    </xf>
    <xf numFmtId="0" fontId="6" fillId="0" borderId="11" xfId="0" applyFont="1" applyBorder="1" applyAlignment="1" applyProtection="1">
      <alignment horizontal="left" vertical="center"/>
      <protection locked="0"/>
    </xf>
    <xf numFmtId="180" fontId="6" fillId="0" borderId="0" xfId="0" applyNumberFormat="1" applyFont="1" applyAlignment="1" applyProtection="1">
      <alignment horizontal="center" vertical="center"/>
      <protection locked="0"/>
    </xf>
    <xf numFmtId="0" fontId="3" fillId="0" borderId="17" xfId="0" applyFont="1" applyFill="1" applyBorder="1" applyAlignment="1" applyProtection="1">
      <alignment horizontal="center" vertical="center" wrapText="1"/>
      <protection locked="0"/>
    </xf>
    <xf numFmtId="0" fontId="17" fillId="0" borderId="17" xfId="0" applyFont="1" applyFill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 applyProtection="1">
      <alignment horizontal="left"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180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right" vertical="center"/>
      <protection locked="0"/>
    </xf>
    <xf numFmtId="0" fontId="17" fillId="0" borderId="17" xfId="0" applyFont="1" applyFill="1" applyBorder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183" fontId="3" fillId="0" borderId="11" xfId="0" applyNumberFormat="1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vertical="center"/>
      <protection hidden="1"/>
    </xf>
    <xf numFmtId="0" fontId="25" fillId="0" borderId="0" xfId="0" applyFont="1" applyFill="1" applyBorder="1" applyAlignment="1" applyProtection="1">
      <alignment vertical="center"/>
      <protection hidden="1"/>
    </xf>
    <xf numFmtId="0" fontId="25" fillId="0" borderId="0" xfId="0" applyFont="1" applyAlignment="1" applyProtection="1">
      <alignment vertical="center"/>
      <protection hidden="1"/>
    </xf>
    <xf numFmtId="0" fontId="25" fillId="3" borderId="0" xfId="0" applyFont="1" applyFill="1" applyAlignment="1" applyProtection="1">
      <alignment vertical="center"/>
      <protection hidden="1"/>
    </xf>
    <xf numFmtId="0" fontId="26" fillId="0" borderId="0" xfId="0" applyFont="1" applyAlignment="1" applyProtection="1">
      <alignment horizontal="right" vertical="top"/>
      <protection hidden="1"/>
    </xf>
    <xf numFmtId="0" fontId="24" fillId="3" borderId="0" xfId="0" applyFont="1" applyFill="1" applyAlignment="1" applyProtection="1">
      <alignment vertical="center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24" fillId="0" borderId="0" xfId="0" applyFont="1" applyFill="1" applyBorder="1" applyAlignment="1" applyProtection="1">
      <alignment vertical="center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left" vertical="center"/>
      <protection hidden="1"/>
    </xf>
    <xf numFmtId="0" fontId="25" fillId="0" borderId="26" xfId="0" applyFont="1" applyBorder="1" applyAlignment="1" applyProtection="1">
      <alignment horizontal="left" vertical="center" shrinkToFit="1"/>
      <protection hidden="1"/>
    </xf>
    <xf numFmtId="0" fontId="30" fillId="0" borderId="0" xfId="0" applyFont="1" applyAlignment="1" applyProtection="1">
      <alignment horizontal="right" vertical="center"/>
      <protection hidden="1"/>
    </xf>
    <xf numFmtId="0" fontId="25" fillId="0" borderId="0" xfId="0" applyFont="1" applyBorder="1" applyAlignment="1" applyProtection="1">
      <alignment horizontal="left" vertical="center"/>
      <protection hidden="1"/>
    </xf>
    <xf numFmtId="0" fontId="25" fillId="0" borderId="11" xfId="0" applyFont="1" applyBorder="1" applyAlignment="1" applyProtection="1">
      <alignment horizontal="left" vertical="center"/>
      <protection hidden="1"/>
    </xf>
    <xf numFmtId="0" fontId="25" fillId="0" borderId="27" xfId="0" applyFont="1" applyBorder="1" applyAlignment="1" applyProtection="1">
      <alignment vertical="center"/>
      <protection hidden="1"/>
    </xf>
    <xf numFmtId="0" fontId="25" fillId="0" borderId="11" xfId="0" applyFont="1" applyBorder="1" applyAlignment="1" applyProtection="1">
      <alignment horizontal="left" vertical="center" shrinkToFit="1"/>
      <protection hidden="1"/>
    </xf>
    <xf numFmtId="0" fontId="25" fillId="0" borderId="0" xfId="0" applyFont="1" applyBorder="1" applyAlignment="1" applyProtection="1">
      <alignment horizontal="left" vertical="center" shrinkToFit="1"/>
      <protection hidden="1"/>
    </xf>
    <xf numFmtId="0" fontId="30" fillId="0" borderId="0" xfId="0" applyFont="1" applyAlignment="1" applyProtection="1">
      <alignment vertical="center"/>
      <protection hidden="1"/>
    </xf>
    <xf numFmtId="0" fontId="25" fillId="0" borderId="28" xfId="0" applyFont="1" applyBorder="1" applyAlignment="1" applyProtection="1">
      <alignment horizontal="center" vertical="center"/>
      <protection hidden="1"/>
    </xf>
    <xf numFmtId="0" fontId="31" fillId="4" borderId="29" xfId="0" applyFont="1" applyFill="1" applyBorder="1" applyAlignment="1" applyProtection="1">
      <alignment horizontal="center" vertical="center"/>
      <protection hidden="1"/>
    </xf>
    <xf numFmtId="0" fontId="31" fillId="4" borderId="30" xfId="0" applyFont="1" applyFill="1" applyBorder="1" applyAlignment="1" applyProtection="1">
      <alignment horizontal="center" vertical="center"/>
      <protection hidden="1"/>
    </xf>
    <xf numFmtId="0" fontId="31" fillId="4" borderId="31" xfId="0" applyFont="1" applyFill="1" applyBorder="1" applyAlignment="1" applyProtection="1">
      <alignment horizontal="center" vertical="center"/>
      <protection hidden="1"/>
    </xf>
    <xf numFmtId="0" fontId="31" fillId="0" borderId="32" xfId="0" applyFont="1" applyBorder="1" applyAlignment="1" applyProtection="1">
      <alignment horizontal="center" vertical="center"/>
      <protection hidden="1"/>
    </xf>
    <xf numFmtId="0" fontId="31" fillId="0" borderId="33" xfId="0" applyFont="1" applyBorder="1" applyAlignment="1" applyProtection="1">
      <alignment horizontal="center" vertical="center"/>
      <protection hidden="1"/>
    </xf>
    <xf numFmtId="0" fontId="31" fillId="0" borderId="34" xfId="0" applyFont="1" applyBorder="1" applyAlignment="1" applyProtection="1">
      <alignment horizontal="center" vertical="center"/>
      <protection hidden="1"/>
    </xf>
    <xf numFmtId="0" fontId="31" fillId="0" borderId="35" xfId="0" applyFont="1" applyBorder="1" applyAlignment="1" applyProtection="1">
      <alignment horizontal="center" vertical="center"/>
      <protection hidden="1"/>
    </xf>
    <xf numFmtId="0" fontId="31" fillId="0" borderId="36" xfId="0" applyFont="1" applyBorder="1" applyAlignment="1" applyProtection="1">
      <alignment horizontal="center" vertical="center"/>
      <protection hidden="1"/>
    </xf>
    <xf numFmtId="0" fontId="32" fillId="0" borderId="37" xfId="0" applyFont="1" applyBorder="1" applyAlignment="1" applyProtection="1">
      <alignment horizontal="center" vertical="center"/>
      <protection hidden="1"/>
    </xf>
    <xf numFmtId="0" fontId="32" fillId="0" borderId="0" xfId="0" applyFont="1" applyBorder="1" applyAlignment="1" applyProtection="1">
      <alignment horizontal="center" vertical="center"/>
      <protection hidden="1"/>
    </xf>
    <xf numFmtId="0" fontId="32" fillId="0" borderId="38" xfId="0" applyFont="1" applyBorder="1" applyAlignment="1" applyProtection="1">
      <alignment horizontal="center" vertical="center"/>
      <protection hidden="1"/>
    </xf>
    <xf numFmtId="0" fontId="32" fillId="0" borderId="39" xfId="0" applyFont="1" applyBorder="1" applyAlignment="1" applyProtection="1">
      <alignment horizontal="center" vertical="center"/>
      <protection hidden="1"/>
    </xf>
    <xf numFmtId="0" fontId="32" fillId="0" borderId="40" xfId="0" applyFont="1" applyBorder="1" applyAlignment="1" applyProtection="1">
      <alignment horizontal="center" vertical="center"/>
      <protection hidden="1"/>
    </xf>
    <xf numFmtId="0" fontId="31" fillId="0" borderId="41" xfId="0" applyFont="1" applyBorder="1" applyAlignment="1" applyProtection="1">
      <alignment horizontal="left" vertical="center"/>
      <protection hidden="1"/>
    </xf>
    <xf numFmtId="0" fontId="31" fillId="0" borderId="28" xfId="0" applyFont="1" applyBorder="1" applyAlignment="1" applyProtection="1">
      <alignment horizontal="left" vertical="center"/>
      <protection hidden="1"/>
    </xf>
    <xf numFmtId="0" fontId="31" fillId="0" borderId="42" xfId="0" applyFont="1" applyBorder="1" applyAlignment="1" applyProtection="1">
      <alignment horizontal="left" vertical="center"/>
      <protection hidden="1"/>
    </xf>
    <xf numFmtId="0" fontId="31" fillId="0" borderId="43" xfId="0" applyFont="1" applyBorder="1" applyAlignment="1" applyProtection="1">
      <alignment horizontal="right" vertical="center"/>
      <protection hidden="1"/>
    </xf>
    <xf numFmtId="0" fontId="31" fillId="0" borderId="28" xfId="0" applyFont="1" applyBorder="1" applyAlignment="1" applyProtection="1">
      <alignment horizontal="right" vertical="center"/>
      <protection hidden="1"/>
    </xf>
    <xf numFmtId="0" fontId="31" fillId="0" borderId="44" xfId="0" applyFont="1" applyBorder="1" applyAlignment="1" applyProtection="1">
      <alignment horizontal="right" vertical="center"/>
      <protection hidden="1"/>
    </xf>
    <xf numFmtId="0" fontId="31" fillId="5" borderId="45" xfId="0" applyFont="1" applyFill="1" applyBorder="1" applyAlignment="1" applyProtection="1">
      <alignment horizontal="center" vertical="center"/>
      <protection hidden="1"/>
    </xf>
    <xf numFmtId="0" fontId="31" fillId="5" borderId="46" xfId="0" applyFont="1" applyFill="1" applyBorder="1" applyAlignment="1" applyProtection="1">
      <alignment horizontal="center" vertical="center"/>
      <protection hidden="1"/>
    </xf>
    <xf numFmtId="0" fontId="31" fillId="5" borderId="47" xfId="0" applyFont="1" applyFill="1" applyBorder="1" applyAlignment="1" applyProtection="1">
      <alignment horizontal="center" vertical="center"/>
      <protection hidden="1"/>
    </xf>
    <xf numFmtId="0" fontId="31" fillId="0" borderId="48" xfId="0" applyFont="1" applyBorder="1" applyAlignment="1" applyProtection="1">
      <alignment horizontal="center" vertical="center"/>
      <protection hidden="1"/>
    </xf>
    <xf numFmtId="0" fontId="31" fillId="0" borderId="49" xfId="0" applyFont="1" applyBorder="1" applyAlignment="1" applyProtection="1">
      <alignment horizontal="center" vertical="center"/>
      <protection hidden="1"/>
    </xf>
    <xf numFmtId="0" fontId="31" fillId="0" borderId="50" xfId="0" applyFont="1" applyBorder="1" applyAlignment="1" applyProtection="1">
      <alignment horizontal="center" vertical="center"/>
      <protection hidden="1"/>
    </xf>
    <xf numFmtId="0" fontId="31" fillId="0" borderId="51" xfId="0" applyFont="1" applyBorder="1" applyAlignment="1" applyProtection="1">
      <alignment horizontal="center" vertical="center"/>
      <protection hidden="1"/>
    </xf>
    <xf numFmtId="0" fontId="32" fillId="0" borderId="52" xfId="0" applyFont="1" applyBorder="1" applyAlignment="1" applyProtection="1">
      <alignment horizontal="center" vertical="center"/>
      <protection hidden="1"/>
    </xf>
    <xf numFmtId="0" fontId="32" fillId="0" borderId="53" xfId="0" applyFont="1" applyBorder="1" applyAlignment="1" applyProtection="1">
      <alignment horizontal="center" vertical="center"/>
      <protection hidden="1"/>
    </xf>
    <xf numFmtId="0" fontId="32" fillId="0" borderId="54" xfId="0" applyFont="1" applyBorder="1" applyAlignment="1" applyProtection="1">
      <alignment horizontal="center" vertical="center"/>
      <protection hidden="1"/>
    </xf>
    <xf numFmtId="0" fontId="31" fillId="0" borderId="55" xfId="0" applyFont="1" applyBorder="1" applyAlignment="1" applyProtection="1">
      <alignment horizontal="left" vertical="center"/>
      <protection hidden="1"/>
    </xf>
    <xf numFmtId="0" fontId="31" fillId="0" borderId="56" xfId="0" applyFont="1" applyBorder="1" applyAlignment="1" applyProtection="1">
      <alignment horizontal="left" vertical="center"/>
      <protection hidden="1"/>
    </xf>
    <xf numFmtId="0" fontId="31" fillId="0" borderId="57" xfId="0" applyFont="1" applyBorder="1" applyAlignment="1" applyProtection="1">
      <alignment horizontal="left" vertical="center"/>
      <protection hidden="1"/>
    </xf>
    <xf numFmtId="0" fontId="31" fillId="0" borderId="58" xfId="0" applyFont="1" applyBorder="1" applyAlignment="1" applyProtection="1">
      <alignment horizontal="right" vertical="center"/>
      <protection hidden="1"/>
    </xf>
    <xf numFmtId="0" fontId="31" fillId="0" borderId="56" xfId="0" applyFont="1" applyBorder="1" applyAlignment="1" applyProtection="1">
      <alignment horizontal="right" vertical="center"/>
      <protection hidden="1"/>
    </xf>
    <xf numFmtId="0" fontId="31" fillId="0" borderId="59" xfId="0" applyFont="1" applyBorder="1" applyAlignment="1" applyProtection="1">
      <alignment horizontal="right" vertical="center"/>
      <protection hidden="1"/>
    </xf>
    <xf numFmtId="0" fontId="25" fillId="0" borderId="52" xfId="0" applyFont="1" applyBorder="1" applyAlignment="1" applyProtection="1">
      <alignment vertical="center"/>
      <protection hidden="1"/>
    </xf>
    <xf numFmtId="0" fontId="25" fillId="0" borderId="60" xfId="0" applyFont="1" applyBorder="1" applyAlignment="1" applyProtection="1">
      <alignment vertical="center"/>
      <protection hidden="1"/>
    </xf>
    <xf numFmtId="0" fontId="31" fillId="6" borderId="61" xfId="0" applyFont="1" applyFill="1" applyBorder="1" applyAlignment="1" applyProtection="1">
      <alignment horizontal="center" vertical="center"/>
      <protection hidden="1"/>
    </xf>
    <xf numFmtId="0" fontId="31" fillId="6" borderId="62" xfId="0" applyFont="1" applyFill="1" applyBorder="1" applyAlignment="1" applyProtection="1">
      <alignment horizontal="center" vertical="center"/>
      <protection hidden="1"/>
    </xf>
    <xf numFmtId="0" fontId="31" fillId="6" borderId="63" xfId="0" applyFont="1" applyFill="1" applyBorder="1" applyAlignment="1" applyProtection="1">
      <alignment horizontal="center" vertical="center"/>
      <protection hidden="1"/>
    </xf>
    <xf numFmtId="0" fontId="25" fillId="0" borderId="64" xfId="0" applyFont="1" applyBorder="1" applyAlignment="1" applyProtection="1">
      <alignment vertical="center"/>
      <protection hidden="1"/>
    </xf>
    <xf numFmtId="0" fontId="31" fillId="0" borderId="65" xfId="0" applyFont="1" applyBorder="1" applyAlignment="1" applyProtection="1">
      <alignment horizontal="center" vertical="center"/>
      <protection hidden="1"/>
    </xf>
    <xf numFmtId="0" fontId="31" fillId="0" borderId="66" xfId="0" applyFont="1" applyBorder="1" applyAlignment="1" applyProtection="1">
      <alignment horizontal="center" vertical="center"/>
      <protection hidden="1"/>
    </xf>
    <xf numFmtId="0" fontId="31" fillId="0" borderId="67" xfId="0" applyFont="1" applyBorder="1" applyAlignment="1" applyProtection="1">
      <alignment horizontal="center" vertical="center"/>
      <protection hidden="1"/>
    </xf>
    <xf numFmtId="0" fontId="31" fillId="0" borderId="68" xfId="0" applyFont="1" applyBorder="1" applyAlignment="1" applyProtection="1">
      <alignment horizontal="center" vertical="center"/>
      <protection hidden="1"/>
    </xf>
    <xf numFmtId="0" fontId="32" fillId="0" borderId="64" xfId="0" applyFont="1" applyBorder="1" applyAlignment="1" applyProtection="1">
      <alignment horizontal="center" vertical="center"/>
      <protection hidden="1"/>
    </xf>
    <xf numFmtId="0" fontId="32" fillId="0" borderId="69" xfId="0" applyFont="1" applyBorder="1" applyAlignment="1" applyProtection="1">
      <alignment horizontal="center" vertical="center"/>
      <protection hidden="1"/>
    </xf>
    <xf numFmtId="0" fontId="32" fillId="0" borderId="60" xfId="0" applyFont="1" applyBorder="1" applyAlignment="1" applyProtection="1">
      <alignment horizontal="center" vertical="center"/>
      <protection hidden="1"/>
    </xf>
    <xf numFmtId="0" fontId="31" fillId="0" borderId="70" xfId="0" applyFont="1" applyBorder="1" applyAlignment="1" applyProtection="1">
      <alignment horizontal="left" vertical="center"/>
      <protection hidden="1"/>
    </xf>
    <xf numFmtId="0" fontId="31" fillId="0" borderId="71" xfId="0" applyFont="1" applyBorder="1" applyAlignment="1" applyProtection="1">
      <alignment horizontal="left" vertical="center"/>
      <protection hidden="1"/>
    </xf>
    <xf numFmtId="0" fontId="31" fillId="0" borderId="72" xfId="0" applyFont="1" applyBorder="1" applyAlignment="1" applyProtection="1">
      <alignment horizontal="right" vertical="center"/>
      <protection hidden="1"/>
    </xf>
    <xf numFmtId="0" fontId="31" fillId="0" borderId="71" xfId="0" applyFont="1" applyBorder="1" applyAlignment="1" applyProtection="1">
      <alignment horizontal="right" vertical="center"/>
      <protection hidden="1"/>
    </xf>
    <xf numFmtId="0" fontId="31" fillId="0" borderId="73" xfId="0" applyFont="1" applyBorder="1" applyAlignment="1" applyProtection="1">
      <alignment horizontal="right" vertical="center"/>
      <protection hidden="1"/>
    </xf>
    <xf numFmtId="0" fontId="26" fillId="0" borderId="74" xfId="0" applyFont="1" applyBorder="1" applyAlignment="1" applyProtection="1">
      <alignment horizontal="right" vertical="center"/>
      <protection hidden="1"/>
    </xf>
    <xf numFmtId="0" fontId="31" fillId="7" borderId="75" xfId="0" applyFont="1" applyFill="1" applyBorder="1" applyAlignment="1" applyProtection="1">
      <alignment horizontal="center" vertical="center"/>
      <protection hidden="1"/>
    </xf>
    <xf numFmtId="0" fontId="31" fillId="7" borderId="76" xfId="0" applyFont="1" applyFill="1" applyBorder="1" applyAlignment="1" applyProtection="1">
      <alignment horizontal="center" vertical="center"/>
      <protection hidden="1"/>
    </xf>
    <xf numFmtId="0" fontId="31" fillId="7" borderId="77" xfId="0" applyFont="1" applyFill="1" applyBorder="1" applyAlignment="1" applyProtection="1">
      <alignment horizontal="center" vertical="center"/>
      <protection hidden="1"/>
    </xf>
    <xf numFmtId="0" fontId="25" fillId="0" borderId="78" xfId="0" applyFont="1" applyBorder="1" applyAlignment="1" applyProtection="1">
      <alignment vertical="center"/>
      <protection hidden="1"/>
    </xf>
    <xf numFmtId="0" fontId="31" fillId="0" borderId="79" xfId="0" applyFont="1" applyBorder="1" applyAlignment="1" applyProtection="1">
      <alignment horizontal="center" vertical="center"/>
      <protection hidden="1"/>
    </xf>
    <xf numFmtId="0" fontId="31" fillId="0" borderId="80" xfId="0" applyFont="1" applyBorder="1" applyAlignment="1" applyProtection="1">
      <alignment horizontal="center" vertical="center"/>
      <protection hidden="1"/>
    </xf>
    <xf numFmtId="0" fontId="31" fillId="0" borderId="81" xfId="0" applyFont="1" applyBorder="1" applyAlignment="1" applyProtection="1">
      <alignment horizontal="center" vertical="center"/>
      <protection hidden="1"/>
    </xf>
    <xf numFmtId="0" fontId="31" fillId="0" borderId="82" xfId="0" applyFont="1" applyBorder="1" applyAlignment="1" applyProtection="1">
      <alignment horizontal="center" vertical="center"/>
      <protection hidden="1"/>
    </xf>
    <xf numFmtId="0" fontId="32" fillId="0" borderId="78" xfId="0" applyFont="1" applyBorder="1" applyAlignment="1" applyProtection="1">
      <alignment horizontal="center" vertical="center"/>
      <protection hidden="1"/>
    </xf>
    <xf numFmtId="0" fontId="32" fillId="0" borderId="83" xfId="0" applyFont="1" applyBorder="1" applyAlignment="1" applyProtection="1">
      <alignment horizontal="center" vertical="center"/>
      <protection hidden="1"/>
    </xf>
    <xf numFmtId="0" fontId="32" fillId="0" borderId="84" xfId="0" applyFont="1" applyBorder="1" applyAlignment="1" applyProtection="1">
      <alignment horizontal="center" vertical="center"/>
      <protection hidden="1"/>
    </xf>
    <xf numFmtId="0" fontId="31" fillId="0" borderId="85" xfId="0" applyFont="1" applyBorder="1" applyAlignment="1" applyProtection="1">
      <alignment horizontal="left" vertical="center"/>
      <protection hidden="1"/>
    </xf>
    <xf numFmtId="0" fontId="31" fillId="0" borderId="74" xfId="0" applyFont="1" applyBorder="1" applyAlignment="1" applyProtection="1">
      <alignment horizontal="left" vertical="center"/>
      <protection hidden="1"/>
    </xf>
    <xf numFmtId="0" fontId="31" fillId="0" borderId="86" xfId="0" applyFont="1" applyBorder="1" applyAlignment="1" applyProtection="1">
      <alignment horizontal="right" vertical="center"/>
      <protection hidden="1"/>
    </xf>
    <xf numFmtId="0" fontId="31" fillId="0" borderId="74" xfId="0" applyFont="1" applyBorder="1" applyAlignment="1" applyProtection="1">
      <alignment horizontal="right" vertical="center"/>
      <protection hidden="1"/>
    </xf>
    <xf numFmtId="0" fontId="31" fillId="0" borderId="87" xfId="0" applyFont="1" applyBorder="1" applyAlignment="1" applyProtection="1">
      <alignment horizontal="right" vertical="center"/>
      <protection hidden="1"/>
    </xf>
    <xf numFmtId="0" fontId="31" fillId="8" borderId="88" xfId="0" applyFont="1" applyFill="1" applyBorder="1" applyAlignment="1" applyProtection="1">
      <alignment horizontal="center" vertical="center"/>
      <protection hidden="1"/>
    </xf>
    <xf numFmtId="0" fontId="31" fillId="8" borderId="89" xfId="0" applyFont="1" applyFill="1" applyBorder="1" applyAlignment="1" applyProtection="1">
      <alignment horizontal="center" vertical="center"/>
      <protection hidden="1"/>
    </xf>
    <xf numFmtId="0" fontId="31" fillId="8" borderId="90" xfId="0" applyFont="1" applyFill="1" applyBorder="1" applyAlignment="1" applyProtection="1">
      <alignment horizontal="center" vertical="center"/>
      <protection hidden="1"/>
    </xf>
    <xf numFmtId="0" fontId="31" fillId="0" borderId="91" xfId="0" applyFont="1" applyBorder="1" applyAlignment="1" applyProtection="1">
      <alignment horizontal="center" vertical="center"/>
      <protection hidden="1"/>
    </xf>
    <xf numFmtId="0" fontId="31" fillId="0" borderId="92" xfId="0" applyFont="1" applyBorder="1" applyAlignment="1" applyProtection="1">
      <alignment horizontal="center" vertical="center"/>
      <protection hidden="1"/>
    </xf>
    <xf numFmtId="0" fontId="31" fillId="0" borderId="93" xfId="0" applyFont="1" applyBorder="1" applyAlignment="1" applyProtection="1">
      <alignment horizontal="center" vertical="center"/>
      <protection hidden="1"/>
    </xf>
    <xf numFmtId="0" fontId="31" fillId="0" borderId="94" xfId="0" applyFont="1" applyBorder="1" applyAlignment="1" applyProtection="1">
      <alignment horizontal="center" vertical="center"/>
      <protection hidden="1"/>
    </xf>
    <xf numFmtId="0" fontId="32" fillId="0" borderId="95" xfId="0" applyFont="1" applyBorder="1" applyAlignment="1" applyProtection="1">
      <alignment horizontal="center" vertical="center"/>
      <protection hidden="1"/>
    </xf>
    <xf numFmtId="0" fontId="32" fillId="0" borderId="96" xfId="0" applyFont="1" applyBorder="1" applyAlignment="1" applyProtection="1">
      <alignment horizontal="center" vertical="center"/>
      <protection hidden="1"/>
    </xf>
    <xf numFmtId="0" fontId="32" fillId="0" borderId="97" xfId="0" applyFont="1" applyBorder="1" applyAlignment="1" applyProtection="1">
      <alignment horizontal="center" vertical="center"/>
      <protection hidden="1"/>
    </xf>
    <xf numFmtId="0" fontId="31" fillId="0" borderId="98" xfId="0" applyFont="1" applyBorder="1" applyAlignment="1" applyProtection="1">
      <alignment horizontal="left" vertical="center"/>
      <protection hidden="1"/>
    </xf>
    <xf numFmtId="0" fontId="31" fillId="0" borderId="99" xfId="0" applyFont="1" applyBorder="1" applyAlignment="1" applyProtection="1">
      <alignment horizontal="left" vertical="center"/>
      <protection hidden="1"/>
    </xf>
    <xf numFmtId="0" fontId="31" fillId="0" borderId="100" xfId="0" applyFont="1" applyBorder="1" applyAlignment="1" applyProtection="1">
      <alignment horizontal="right" vertical="center"/>
      <protection hidden="1"/>
    </xf>
    <xf numFmtId="0" fontId="31" fillId="0" borderId="99" xfId="0" applyFont="1" applyBorder="1" applyAlignment="1" applyProtection="1">
      <alignment horizontal="right" vertical="center"/>
      <protection hidden="1"/>
    </xf>
    <xf numFmtId="0" fontId="31" fillId="0" borderId="101" xfId="0" applyFont="1" applyBorder="1" applyAlignment="1" applyProtection="1">
      <alignment horizontal="right" vertical="center"/>
      <protection hidden="1"/>
    </xf>
    <xf numFmtId="0" fontId="31" fillId="9" borderId="102" xfId="0" applyFont="1" applyFill="1" applyBorder="1" applyAlignment="1" applyProtection="1">
      <alignment horizontal="center" vertical="center"/>
      <protection hidden="1"/>
    </xf>
    <xf numFmtId="0" fontId="31" fillId="9" borderId="103" xfId="0" applyFont="1" applyFill="1" applyBorder="1" applyAlignment="1" applyProtection="1">
      <alignment horizontal="center" vertical="center"/>
      <protection hidden="1"/>
    </xf>
    <xf numFmtId="0" fontId="31" fillId="9" borderId="104" xfId="0" applyFont="1" applyFill="1" applyBorder="1" applyAlignment="1" applyProtection="1">
      <alignment horizontal="center" vertical="center"/>
      <protection hidden="1"/>
    </xf>
    <xf numFmtId="0" fontId="31" fillId="0" borderId="105" xfId="0" applyFont="1" applyBorder="1" applyAlignment="1" applyProtection="1">
      <alignment horizontal="center" vertical="center"/>
      <protection hidden="1"/>
    </xf>
    <xf numFmtId="0" fontId="31" fillId="0" borderId="106" xfId="0" applyFont="1" applyBorder="1" applyAlignment="1" applyProtection="1">
      <alignment horizontal="center" vertical="center"/>
      <protection hidden="1"/>
    </xf>
    <xf numFmtId="0" fontId="31" fillId="0" borderId="107" xfId="0" applyFont="1" applyBorder="1" applyAlignment="1" applyProtection="1">
      <alignment horizontal="center" vertical="center"/>
      <protection hidden="1"/>
    </xf>
    <xf numFmtId="0" fontId="31" fillId="0" borderId="108" xfId="0" applyFont="1" applyBorder="1" applyAlignment="1" applyProtection="1">
      <alignment horizontal="center" vertical="center"/>
      <protection hidden="1"/>
    </xf>
    <xf numFmtId="0" fontId="32" fillId="0" borderId="109" xfId="0" applyFont="1" applyBorder="1" applyAlignment="1" applyProtection="1">
      <alignment horizontal="center" vertical="center"/>
      <protection hidden="1"/>
    </xf>
    <xf numFmtId="0" fontId="32" fillId="0" borderId="110" xfId="0" applyFont="1" applyBorder="1" applyAlignment="1" applyProtection="1">
      <alignment horizontal="center" vertical="center"/>
      <protection hidden="1"/>
    </xf>
    <xf numFmtId="0" fontId="32" fillId="0" borderId="111" xfId="0" applyFont="1" applyBorder="1" applyAlignment="1" applyProtection="1">
      <alignment horizontal="center" vertical="center"/>
      <protection hidden="1"/>
    </xf>
    <xf numFmtId="0" fontId="31" fillId="0" borderId="112" xfId="0" applyFont="1" applyBorder="1" applyAlignment="1" applyProtection="1">
      <alignment horizontal="left" vertical="center"/>
      <protection hidden="1"/>
    </xf>
    <xf numFmtId="0" fontId="31" fillId="0" borderId="113" xfId="0" applyFont="1" applyBorder="1" applyAlignment="1" applyProtection="1">
      <alignment horizontal="left" vertical="center"/>
      <protection hidden="1"/>
    </xf>
    <xf numFmtId="0" fontId="31" fillId="0" borderId="114" xfId="0" applyFont="1" applyBorder="1" applyAlignment="1" applyProtection="1">
      <alignment horizontal="right" vertical="center"/>
      <protection hidden="1"/>
    </xf>
    <xf numFmtId="0" fontId="31" fillId="0" borderId="113" xfId="0" applyFont="1" applyBorder="1" applyAlignment="1" applyProtection="1">
      <alignment horizontal="right" vertical="center"/>
      <protection hidden="1"/>
    </xf>
    <xf numFmtId="0" fontId="31" fillId="0" borderId="115" xfId="0" applyFont="1" applyBorder="1" applyAlignment="1" applyProtection="1">
      <alignment horizontal="right" vertical="center"/>
      <protection hidden="1"/>
    </xf>
    <xf numFmtId="0" fontId="25" fillId="0" borderId="116" xfId="0" applyFont="1" applyBorder="1" applyAlignment="1" applyProtection="1">
      <alignment vertical="center"/>
      <protection hidden="1"/>
    </xf>
    <xf numFmtId="0" fontId="31" fillId="10" borderId="117" xfId="0" applyFont="1" applyFill="1" applyBorder="1" applyAlignment="1" applyProtection="1">
      <alignment horizontal="center" vertical="center"/>
      <protection hidden="1"/>
    </xf>
    <xf numFmtId="0" fontId="31" fillId="10" borderId="118" xfId="0" applyFont="1" applyFill="1" applyBorder="1" applyAlignment="1" applyProtection="1">
      <alignment horizontal="center" vertical="center"/>
      <protection hidden="1"/>
    </xf>
    <xf numFmtId="0" fontId="31" fillId="10" borderId="119" xfId="0" applyFont="1" applyFill="1" applyBorder="1" applyAlignment="1" applyProtection="1">
      <alignment horizontal="center" vertical="center"/>
      <protection hidden="1"/>
    </xf>
    <xf numFmtId="0" fontId="31" fillId="0" borderId="120" xfId="0" applyFont="1" applyBorder="1" applyAlignment="1" applyProtection="1">
      <alignment horizontal="center" vertical="center"/>
      <protection hidden="1"/>
    </xf>
    <xf numFmtId="0" fontId="31" fillId="0" borderId="121" xfId="0" applyFont="1" applyBorder="1" applyAlignment="1" applyProtection="1">
      <alignment horizontal="center" vertical="center"/>
      <protection hidden="1"/>
    </xf>
    <xf numFmtId="0" fontId="31" fillId="0" borderId="122" xfId="0" applyFont="1" applyBorder="1" applyAlignment="1" applyProtection="1">
      <alignment horizontal="center" vertical="center"/>
      <protection hidden="1"/>
    </xf>
    <xf numFmtId="0" fontId="31" fillId="0" borderId="123" xfId="0" applyFont="1" applyBorder="1" applyAlignment="1" applyProtection="1">
      <alignment horizontal="center" vertical="center"/>
      <protection hidden="1"/>
    </xf>
    <xf numFmtId="0" fontId="32" fillId="0" borderId="124" xfId="0" applyFont="1" applyBorder="1" applyAlignment="1" applyProtection="1">
      <alignment horizontal="center" vertical="center"/>
      <protection hidden="1"/>
    </xf>
    <xf numFmtId="0" fontId="32" fillId="0" borderId="125" xfId="0" applyFont="1" applyBorder="1" applyAlignment="1" applyProtection="1">
      <alignment horizontal="center" vertical="center"/>
      <protection hidden="1"/>
    </xf>
    <xf numFmtId="0" fontId="32" fillId="0" borderId="116" xfId="0" applyFont="1" applyBorder="1" applyAlignment="1" applyProtection="1">
      <alignment horizontal="center" vertical="center"/>
      <protection hidden="1"/>
    </xf>
    <xf numFmtId="0" fontId="31" fillId="0" borderId="126" xfId="0" applyFont="1" applyBorder="1" applyAlignment="1" applyProtection="1">
      <alignment horizontal="left" vertical="center"/>
      <protection hidden="1"/>
    </xf>
    <xf numFmtId="0" fontId="31" fillId="0" borderId="127" xfId="0" applyFont="1" applyBorder="1" applyAlignment="1" applyProtection="1">
      <alignment horizontal="left" vertical="center"/>
      <protection hidden="1"/>
    </xf>
    <xf numFmtId="0" fontId="31" fillId="0" borderId="128" xfId="0" applyFont="1" applyBorder="1" applyAlignment="1" applyProtection="1">
      <alignment horizontal="right" vertical="center"/>
      <protection hidden="1"/>
    </xf>
    <xf numFmtId="0" fontId="31" fillId="0" borderId="127" xfId="0" applyFont="1" applyBorder="1" applyAlignment="1" applyProtection="1">
      <alignment horizontal="right" vertical="center"/>
      <protection hidden="1"/>
    </xf>
    <xf numFmtId="0" fontId="31" fillId="0" borderId="129" xfId="0" applyFont="1" applyBorder="1" applyAlignment="1" applyProtection="1">
      <alignment horizontal="right" vertical="center"/>
      <protection hidden="1"/>
    </xf>
    <xf numFmtId="0" fontId="31" fillId="11" borderId="61" xfId="0" applyFont="1" applyFill="1" applyBorder="1" applyAlignment="1" applyProtection="1">
      <alignment horizontal="center" vertical="center"/>
      <protection hidden="1"/>
    </xf>
    <xf numFmtId="0" fontId="31" fillId="11" borderId="62" xfId="0" applyFont="1" applyFill="1" applyBorder="1" applyAlignment="1" applyProtection="1">
      <alignment horizontal="center" vertical="center"/>
      <protection hidden="1"/>
    </xf>
    <xf numFmtId="0" fontId="31" fillId="11" borderId="63" xfId="0" applyFont="1" applyFill="1" applyBorder="1" applyAlignment="1" applyProtection="1">
      <alignment horizontal="center" vertical="center"/>
      <protection hidden="1"/>
    </xf>
    <xf numFmtId="0" fontId="31" fillId="0" borderId="64" xfId="0" applyFont="1" applyBorder="1" applyAlignment="1" applyProtection="1">
      <alignment horizontal="center" vertical="center"/>
      <protection hidden="1"/>
    </xf>
    <xf numFmtId="0" fontId="31" fillId="0" borderId="0" xfId="0" applyFont="1" applyBorder="1" applyAlignment="1" applyProtection="1">
      <alignment horizontal="center" vertical="center"/>
      <protection hidden="1"/>
    </xf>
    <xf numFmtId="0" fontId="25" fillId="0" borderId="0" xfId="0" applyFont="1" applyFill="1" applyAlignment="1" applyProtection="1">
      <alignment vertical="center"/>
      <protection hidden="1"/>
    </xf>
    <xf numFmtId="0" fontId="33" fillId="12" borderId="0" xfId="0" applyFont="1" applyFill="1" applyBorder="1" applyAlignment="1" applyProtection="1">
      <alignment horizontal="center" vertical="center"/>
      <protection locked="0"/>
    </xf>
    <xf numFmtId="0" fontId="24" fillId="0" borderId="0" xfId="0" applyFont="1" applyFill="1" applyAlignment="1" applyProtection="1">
      <alignment vertical="center"/>
      <protection hidden="1"/>
    </xf>
    <xf numFmtId="0" fontId="34" fillId="0" borderId="0" xfId="0" applyFont="1" applyAlignment="1" applyProtection="1">
      <alignment horizontal="center" vertical="center"/>
      <protection hidden="1"/>
    </xf>
    <xf numFmtId="0" fontId="35" fillId="0" borderId="0" xfId="0" applyFont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left" vertical="center" indent="4"/>
      <protection hidden="1"/>
    </xf>
    <xf numFmtId="0" fontId="37" fillId="0" borderId="26" xfId="0" applyFont="1" applyBorder="1" applyAlignment="1" applyProtection="1">
      <alignment horizontal="left" vertical="center" shrinkToFit="1"/>
      <protection hidden="1"/>
    </xf>
    <xf numFmtId="0" fontId="38" fillId="0" borderId="26" xfId="0" applyFont="1" applyBorder="1" applyAlignment="1" applyProtection="1">
      <alignment horizontal="left" vertical="center" shrinkToFit="1"/>
      <protection hidden="1"/>
    </xf>
    <xf numFmtId="0" fontId="39" fillId="0" borderId="0" xfId="0" applyFont="1" applyAlignment="1" applyProtection="1">
      <alignment vertical="center"/>
      <protection hidden="1"/>
    </xf>
    <xf numFmtId="0" fontId="40" fillId="0" borderId="130" xfId="0" applyFont="1" applyBorder="1" applyAlignment="1" applyProtection="1">
      <alignment horizontal="left" vertical="center" shrinkToFit="1"/>
      <protection hidden="1"/>
    </xf>
    <xf numFmtId="0" fontId="40" fillId="0" borderId="0" xfId="0" applyFont="1" applyAlignment="1" applyProtection="1">
      <alignment vertical="center"/>
      <protection hidden="1"/>
    </xf>
    <xf numFmtId="0" fontId="40" fillId="0" borderId="27" xfId="0" applyFont="1" applyBorder="1" applyAlignment="1" applyProtection="1">
      <alignment horizontal="center" vertical="center"/>
      <protection hidden="1"/>
    </xf>
    <xf numFmtId="0" fontId="40" fillId="0" borderId="0" xfId="0" applyFont="1" applyBorder="1" applyAlignment="1" applyProtection="1">
      <alignment horizontal="center" vertical="center"/>
      <protection hidden="1"/>
    </xf>
    <xf numFmtId="0" fontId="40" fillId="0" borderId="26" xfId="0" applyFont="1" applyBorder="1" applyAlignment="1" applyProtection="1">
      <alignment vertical="center"/>
      <protection hidden="1"/>
    </xf>
    <xf numFmtId="0" fontId="40" fillId="0" borderId="26" xfId="0" applyFont="1" applyBorder="1" applyAlignment="1" applyProtection="1">
      <alignment horizontal="center" vertical="center"/>
      <protection hidden="1"/>
    </xf>
    <xf numFmtId="0" fontId="40" fillId="0" borderId="26" xfId="0" applyFont="1" applyBorder="1" applyAlignment="1" applyProtection="1">
      <alignment horizontal="left" vertical="center" shrinkToFit="1"/>
      <protection hidden="1"/>
    </xf>
    <xf numFmtId="0" fontId="40" fillId="0" borderId="131" xfId="0" applyFont="1" applyBorder="1" applyAlignment="1" applyProtection="1">
      <alignment horizontal="left" vertical="center" shrinkToFit="1"/>
      <protection hidden="1"/>
    </xf>
    <xf numFmtId="0" fontId="36" fillId="0" borderId="132" xfId="0" applyFont="1" applyBorder="1" applyAlignment="1" applyProtection="1">
      <alignment horizontal="left" vertical="center"/>
      <protection hidden="1"/>
    </xf>
    <xf numFmtId="0" fontId="36" fillId="0" borderId="27" xfId="0" applyFont="1" applyBorder="1" applyAlignment="1" applyProtection="1">
      <alignment horizontal="left" vertical="center"/>
      <protection hidden="1"/>
    </xf>
    <xf numFmtId="0" fontId="36" fillId="0" borderId="133" xfId="0" applyFont="1" applyBorder="1" applyAlignment="1" applyProtection="1">
      <alignment horizontal="left" vertical="center"/>
      <protection hidden="1"/>
    </xf>
    <xf numFmtId="0" fontId="25" fillId="0" borderId="134" xfId="0" applyFont="1" applyBorder="1" applyAlignment="1" applyProtection="1">
      <alignment vertical="center"/>
      <protection hidden="1"/>
    </xf>
    <xf numFmtId="0" fontId="41" fillId="0" borderId="130" xfId="0" applyFont="1" applyBorder="1" applyAlignment="1" applyProtection="1">
      <alignment horizontal="left" vertical="center"/>
      <protection hidden="1"/>
    </xf>
    <xf numFmtId="0" fontId="25" fillId="0" borderId="135" xfId="0" applyFont="1" applyBorder="1" applyAlignment="1" applyProtection="1">
      <alignment horizontal="center" vertical="center"/>
      <protection hidden="1"/>
    </xf>
    <xf numFmtId="0" fontId="41" fillId="0" borderId="136" xfId="0" applyFont="1" applyBorder="1" applyAlignment="1" applyProtection="1">
      <alignment horizontal="left" vertical="center"/>
      <protection hidden="1"/>
    </xf>
    <xf numFmtId="0" fontId="41" fillId="0" borderId="137" xfId="0" applyFont="1" applyBorder="1" applyAlignment="1" applyProtection="1">
      <alignment horizontal="left" vertical="center"/>
      <protection hidden="1"/>
    </xf>
    <xf numFmtId="0" fontId="41" fillId="0" borderId="138" xfId="0" applyFont="1" applyBorder="1" applyAlignment="1" applyProtection="1">
      <alignment horizontal="left" vertical="center"/>
      <protection hidden="1"/>
    </xf>
    <xf numFmtId="0" fontId="25" fillId="0" borderId="139" xfId="0" applyFont="1" applyBorder="1" applyAlignment="1" applyProtection="1">
      <alignment vertical="center"/>
      <protection hidden="1"/>
    </xf>
    <xf numFmtId="0" fontId="25" fillId="0" borderId="140" xfId="0" applyFont="1" applyBorder="1" applyAlignment="1" applyProtection="1">
      <alignment horizontal="center" vertical="center"/>
      <protection hidden="1"/>
    </xf>
    <xf numFmtId="0" fontId="36" fillId="0" borderId="0" xfId="0" applyFont="1" applyAlignment="1" applyProtection="1">
      <alignment horizontal="center" vertical="center"/>
      <protection hidden="1"/>
    </xf>
    <xf numFmtId="0" fontId="42" fillId="0" borderId="0" xfId="0" applyFont="1" applyAlignment="1" applyProtection="1">
      <protection hidden="1"/>
    </xf>
    <xf numFmtId="0" fontId="43" fillId="0" borderId="0" xfId="0" applyFont="1" applyAlignment="1" applyProtection="1">
      <protection hidden="1"/>
    </xf>
    <xf numFmtId="0" fontId="44" fillId="0" borderId="0" xfId="0" applyFont="1" applyAlignment="1" applyProtection="1">
      <protection hidden="1"/>
    </xf>
    <xf numFmtId="0" fontId="33" fillId="12" borderId="0" xfId="0" applyFont="1" applyFill="1" applyAlignment="1" applyProtection="1">
      <alignment horizontal="center" vertical="center"/>
      <protection locked="0"/>
    </xf>
    <xf numFmtId="0" fontId="33" fillId="0" borderId="0" xfId="0" applyNumberFormat="1" applyFont="1" applyAlignment="1" applyProtection="1">
      <alignment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0" fontId="46" fillId="0" borderId="0" xfId="0" applyFont="1" applyAlignment="1" applyProtection="1">
      <alignment horizontal="left" vertical="center"/>
      <protection hidden="1"/>
    </xf>
    <xf numFmtId="0" fontId="44" fillId="0" borderId="11" xfId="0" applyFont="1" applyBorder="1" applyAlignment="1" applyProtection="1">
      <alignment horizontal="left" shrinkToFit="1"/>
      <protection hidden="1"/>
    </xf>
    <xf numFmtId="0" fontId="42" fillId="0" borderId="0" xfId="0" applyFont="1" applyAlignment="1" applyProtection="1">
      <alignment horizontal="left" indent="1"/>
      <protection hidden="1"/>
    </xf>
    <xf numFmtId="0" fontId="44" fillId="0" borderId="11" xfId="0" applyFont="1" applyBorder="1" applyAlignment="1" applyProtection="1">
      <alignment horizontal="left"/>
      <protection hidden="1"/>
    </xf>
    <xf numFmtId="0" fontId="46" fillId="0" borderId="0" xfId="0" applyFont="1" applyBorder="1" applyAlignment="1" applyProtection="1">
      <alignment horizontal="right"/>
      <protection hidden="1"/>
    </xf>
    <xf numFmtId="0" fontId="42" fillId="0" borderId="0" xfId="0" applyFont="1" applyAlignment="1" applyProtection="1">
      <alignment horizontal="right"/>
      <protection hidden="1"/>
    </xf>
    <xf numFmtId="0" fontId="44" fillId="0" borderId="0" xfId="0" applyFont="1" applyBorder="1" applyAlignment="1" applyProtection="1"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vertical="center" textRotation="90"/>
      <protection hidden="1"/>
    </xf>
    <xf numFmtId="0" fontId="7" fillId="0" borderId="0" xfId="0" applyFont="1" applyBorder="1" applyAlignment="1" applyProtection="1">
      <protection hidden="1"/>
    </xf>
    <xf numFmtId="0" fontId="44" fillId="0" borderId="0" xfId="0" applyFont="1" applyAlignment="1" applyProtection="1">
      <alignment horizontal="left" vertical="top" wrapText="1"/>
      <protection hidden="1"/>
    </xf>
    <xf numFmtId="0" fontId="44" fillId="0" borderId="0" xfId="0" applyFont="1" applyAlignment="1" applyProtection="1">
      <alignment horizontal="left" vertical="top"/>
      <protection hidden="1"/>
    </xf>
    <xf numFmtId="0" fontId="7" fillId="0" borderId="10" xfId="0" applyFont="1" applyBorder="1" applyAlignment="1" applyProtection="1">
      <alignment horizontal="center" vertical="center" textRotation="90"/>
      <protection hidden="1"/>
    </xf>
    <xf numFmtId="0" fontId="7" fillId="0" borderId="17" xfId="0" applyFont="1" applyBorder="1" applyAlignment="1" applyProtection="1">
      <protection hidden="1"/>
    </xf>
    <xf numFmtId="0" fontId="44" fillId="0" borderId="17" xfId="0" applyFont="1" applyBorder="1" applyAlignment="1" applyProtection="1">
      <alignment horizontal="center"/>
      <protection hidden="1"/>
    </xf>
    <xf numFmtId="0" fontId="7" fillId="0" borderId="17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/>
      <protection hidden="1"/>
    </xf>
    <xf numFmtId="0" fontId="7" fillId="0" borderId="17" xfId="0" applyFont="1" applyBorder="1" applyAlignment="1" applyProtection="1">
      <alignment horizontal="left"/>
      <protection hidden="1"/>
    </xf>
    <xf numFmtId="181" fontId="44" fillId="0" borderId="17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left" indent="4"/>
      <protection hidden="1"/>
    </xf>
    <xf numFmtId="0" fontId="7" fillId="0" borderId="10" xfId="0" applyFont="1" applyBorder="1" applyAlignment="1" applyProtection="1">
      <alignment horizontal="left" indent="4"/>
      <protection hidden="1"/>
    </xf>
    <xf numFmtId="0" fontId="7" fillId="0" borderId="9" xfId="0" applyFont="1" applyBorder="1" applyAlignment="1" applyProtection="1">
      <alignment horizontal="left" indent="4"/>
      <protection hidden="1"/>
    </xf>
    <xf numFmtId="0" fontId="7" fillId="0" borderId="0" xfId="0" applyFont="1" applyBorder="1" applyAlignment="1" applyProtection="1">
      <alignment horizontal="left" indent="4"/>
      <protection hidden="1"/>
    </xf>
    <xf numFmtId="0" fontId="7" fillId="0" borderId="0" xfId="0" applyFont="1" applyBorder="1" applyAlignment="1" applyProtection="1">
      <alignment horizontal="left"/>
      <protection hidden="1"/>
    </xf>
    <xf numFmtId="0" fontId="44" fillId="0" borderId="0" xfId="0" applyFont="1" applyBorder="1" applyAlignment="1" applyProtection="1">
      <alignment horizontal="center"/>
      <protection hidden="1"/>
    </xf>
    <xf numFmtId="0" fontId="7" fillId="0" borderId="0" xfId="0" applyFont="1" applyFill="1" applyBorder="1" applyAlignment="1" applyProtection="1">
      <protection hidden="1"/>
    </xf>
    <xf numFmtId="0" fontId="44" fillId="0" borderId="6" xfId="0" applyFont="1" applyBorder="1" applyAlignment="1" applyProtection="1">
      <alignment horizontal="center"/>
      <protection hidden="1"/>
    </xf>
    <xf numFmtId="183" fontId="44" fillId="0" borderId="0" xfId="0" applyNumberFormat="1" applyFont="1" applyAlignment="1" applyProtection="1">
      <alignment horizontal="center"/>
      <protection hidden="1"/>
    </xf>
    <xf numFmtId="0" fontId="47" fillId="0" borderId="0" xfId="0" applyFont="1" applyAlignment="1" applyProtection="1">
      <alignment horizontal="left"/>
      <protection hidden="1"/>
    </xf>
    <xf numFmtId="0" fontId="47" fillId="0" borderId="9" xfId="0" applyFont="1" applyBorder="1" applyAlignment="1" applyProtection="1">
      <alignment horizontal="center"/>
      <protection hidden="1"/>
    </xf>
    <xf numFmtId="0" fontId="47" fillId="0" borderId="0" xfId="0" applyFont="1" applyAlignment="1" applyProtection="1">
      <alignment horizontal="center"/>
      <protection hidden="1"/>
    </xf>
    <xf numFmtId="0" fontId="43" fillId="0" borderId="0" xfId="0" applyFont="1" applyAlignment="1" applyProtection="1">
      <alignment horizontal="center"/>
      <protection hidden="1"/>
    </xf>
    <xf numFmtId="0" fontId="48" fillId="0" borderId="0" xfId="0" applyFont="1" applyAlignment="1" applyProtection="1">
      <alignment vertical="center"/>
      <protection hidden="1"/>
    </xf>
    <xf numFmtId="0" fontId="49" fillId="0" borderId="0" xfId="0" applyFont="1" applyAlignment="1" applyProtection="1">
      <alignment horizontal="left"/>
      <protection hidden="1"/>
    </xf>
    <xf numFmtId="0" fontId="49" fillId="0" borderId="0" xfId="0" applyFont="1" applyAlignment="1" applyProtection="1">
      <alignment horizontal="left" vertical="center"/>
      <protection hidden="1"/>
    </xf>
    <xf numFmtId="0" fontId="49" fillId="0" borderId="0" xfId="0" applyFont="1" applyAlignment="1" applyProtection="1">
      <alignment vertical="center"/>
      <protection hidden="1"/>
    </xf>
    <xf numFmtId="0" fontId="44" fillId="0" borderId="0" xfId="0" applyFont="1" applyAlignment="1" applyProtection="1">
      <alignment vertical="center"/>
      <protection hidden="1"/>
    </xf>
    <xf numFmtId="0" fontId="44" fillId="0" borderId="141" xfId="0" applyFont="1" applyBorder="1" applyAlignment="1" applyProtection="1">
      <alignment horizontal="center" vertical="center"/>
      <protection hidden="1"/>
    </xf>
    <xf numFmtId="0" fontId="44" fillId="0" borderId="142" xfId="0" applyFont="1" applyBorder="1" applyAlignment="1" applyProtection="1">
      <alignment horizontal="center" vertical="center"/>
      <protection hidden="1"/>
    </xf>
    <xf numFmtId="0" fontId="44" fillId="0" borderId="143" xfId="0" applyFont="1" applyBorder="1" applyAlignment="1" applyProtection="1">
      <alignment horizontal="center" vertical="center"/>
      <protection hidden="1"/>
    </xf>
    <xf numFmtId="0" fontId="44" fillId="0" borderId="144" xfId="0" applyFont="1" applyBorder="1" applyAlignment="1" applyProtection="1">
      <alignment horizontal="center" vertical="center"/>
      <protection hidden="1"/>
    </xf>
    <xf numFmtId="0" fontId="50" fillId="0" borderId="0" xfId="0" applyFont="1" applyAlignment="1" applyProtection="1">
      <alignment horizontal="center" vertical="center"/>
      <protection hidden="1"/>
    </xf>
    <xf numFmtId="0" fontId="44" fillId="0" borderId="145" xfId="0" applyFont="1" applyBorder="1" applyAlignment="1" applyProtection="1">
      <alignment horizontal="center" vertical="center"/>
      <protection hidden="1"/>
    </xf>
    <xf numFmtId="0" fontId="44" fillId="0" borderId="0" xfId="0" applyFont="1" applyBorder="1" applyAlignment="1" applyProtection="1">
      <alignment vertical="center"/>
      <protection hidden="1"/>
    </xf>
    <xf numFmtId="0" fontId="51" fillId="0" borderId="0" xfId="0" applyFont="1" applyBorder="1" applyAlignment="1" applyProtection="1">
      <alignment vertical="center"/>
      <protection hidden="1"/>
    </xf>
    <xf numFmtId="0" fontId="52" fillId="13" borderId="0" xfId="0" applyFont="1" applyFill="1" applyBorder="1" applyAlignment="1" applyProtection="1">
      <alignment horizontal="center" vertical="center"/>
      <protection hidden="1"/>
    </xf>
    <xf numFmtId="0" fontId="53" fillId="0" borderId="0" xfId="0" applyFont="1" applyBorder="1" applyAlignment="1" applyProtection="1">
      <alignment horizontal="center" vertical="center"/>
      <protection hidden="1"/>
    </xf>
    <xf numFmtId="0" fontId="54" fillId="0" borderId="0" xfId="0" applyFont="1" applyBorder="1" applyAlignment="1" applyProtection="1">
      <alignment vertical="center"/>
      <protection hidden="1"/>
    </xf>
    <xf numFmtId="0" fontId="54" fillId="0" borderId="0" xfId="0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left" vertical="center"/>
      <protection hidden="1"/>
    </xf>
    <xf numFmtId="0" fontId="7" fillId="0" borderId="0" xfId="0" applyFont="1" applyBorder="1" applyAlignment="1" applyProtection="1">
      <alignment horizontal="left" vertical="center" shrinkToFit="1"/>
      <protection hidden="1"/>
    </xf>
    <xf numFmtId="0" fontId="7" fillId="0" borderId="0" xfId="0" applyFont="1" applyBorder="1" applyAlignment="1" applyProtection="1">
      <alignment horizontal="center" vertical="center"/>
      <protection hidden="1"/>
    </xf>
    <xf numFmtId="0" fontId="55" fillId="0" borderId="0" xfId="0" applyFont="1" applyBorder="1" applyAlignment="1" applyProtection="1">
      <alignment horizontal="center" vertical="center"/>
      <protection hidden="1"/>
    </xf>
    <xf numFmtId="0" fontId="42" fillId="0" borderId="0" xfId="0" applyFont="1" applyBorder="1" applyAlignment="1" applyProtection="1">
      <alignment horizontal="left" vertical="center"/>
      <protection hidden="1"/>
    </xf>
    <xf numFmtId="0" fontId="42" fillId="0" borderId="0" xfId="0" applyFont="1" applyBorder="1" applyAlignment="1" applyProtection="1">
      <alignment horizontal="right" vertical="center"/>
      <protection hidden="1"/>
    </xf>
    <xf numFmtId="181" fontId="42" fillId="0" borderId="0" xfId="0" applyNumberFormat="1" applyFont="1" applyBorder="1" applyAlignment="1" applyProtection="1">
      <alignment horizontal="left" vertical="center"/>
      <protection hidden="1"/>
    </xf>
    <xf numFmtId="0" fontId="42" fillId="0" borderId="0" xfId="0" applyFont="1" applyBorder="1" applyAlignment="1" applyProtection="1">
      <alignment horizontal="center" vertical="center"/>
      <protection hidden="1"/>
    </xf>
    <xf numFmtId="181" fontId="42" fillId="0" borderId="0" xfId="0" applyNumberFormat="1" applyFont="1" applyBorder="1" applyAlignment="1" applyProtection="1">
      <alignment horizontal="left" vertical="center" shrinkToFit="1"/>
      <protection hidden="1"/>
    </xf>
    <xf numFmtId="0" fontId="42" fillId="0" borderId="0" xfId="0" applyFont="1" applyBorder="1" applyAlignment="1" applyProtection="1">
      <alignment vertical="center" textRotation="90"/>
      <protection hidden="1"/>
    </xf>
    <xf numFmtId="0" fontId="54" fillId="0" borderId="11" xfId="0" applyFont="1" applyBorder="1" applyAlignment="1" applyProtection="1">
      <alignment horizontal="center" vertical="center"/>
      <protection hidden="1"/>
    </xf>
    <xf numFmtId="0" fontId="42" fillId="0" borderId="11" xfId="0" applyFont="1" applyBorder="1" applyAlignment="1" applyProtection="1">
      <alignment horizontal="left" vertical="center"/>
      <protection hidden="1"/>
    </xf>
    <xf numFmtId="0" fontId="54" fillId="0" borderId="5" xfId="0" applyFont="1" applyBorder="1" applyAlignment="1" applyProtection="1">
      <alignment horizontal="center" vertical="center"/>
      <protection hidden="1"/>
    </xf>
    <xf numFmtId="0" fontId="54" fillId="0" borderId="7" xfId="0" applyFont="1" applyBorder="1" applyAlignment="1" applyProtection="1">
      <alignment horizontal="center" vertical="center"/>
      <protection hidden="1"/>
    </xf>
    <xf numFmtId="0" fontId="7" fillId="0" borderId="13" xfId="0" applyFont="1" applyBorder="1" applyAlignment="1" applyProtection="1">
      <alignment horizontal="left" vertical="center"/>
      <protection hidden="1"/>
    </xf>
    <xf numFmtId="0" fontId="7" fillId="0" borderId="12" xfId="0" applyFont="1" applyBorder="1" applyAlignment="1" applyProtection="1">
      <alignment horizontal="left" vertical="center"/>
      <protection hidden="1"/>
    </xf>
    <xf numFmtId="181" fontId="54" fillId="0" borderId="12" xfId="0" applyNumberFormat="1" applyFont="1" applyBorder="1" applyAlignment="1" applyProtection="1">
      <alignment horizontal="left" vertical="center" shrinkToFit="1"/>
      <protection hidden="1"/>
    </xf>
    <xf numFmtId="181" fontId="54" fillId="0" borderId="14" xfId="0" applyNumberFormat="1" applyFont="1" applyBorder="1" applyAlignment="1" applyProtection="1">
      <alignment horizontal="left" vertical="center" shrinkToFit="1"/>
      <protection hidden="1"/>
    </xf>
    <xf numFmtId="181" fontId="7" fillId="0" borderId="13" xfId="0" applyNumberFormat="1" applyFont="1" applyBorder="1" applyAlignment="1" applyProtection="1">
      <alignment horizontal="left" vertical="center"/>
      <protection hidden="1"/>
    </xf>
    <xf numFmtId="181" fontId="7" fillId="0" borderId="12" xfId="0" applyNumberFormat="1" applyFont="1" applyBorder="1" applyAlignment="1" applyProtection="1">
      <alignment horizontal="left" vertical="center"/>
      <protection hidden="1"/>
    </xf>
    <xf numFmtId="185" fontId="55" fillId="0" borderId="12" xfId="0" applyNumberFormat="1" applyFont="1" applyBorder="1" applyAlignment="1" applyProtection="1">
      <alignment horizontal="left" vertical="center"/>
      <protection hidden="1"/>
    </xf>
    <xf numFmtId="185" fontId="55" fillId="0" borderId="14" xfId="0" applyNumberFormat="1" applyFont="1" applyBorder="1" applyAlignment="1" applyProtection="1">
      <alignment horizontal="left" vertical="center"/>
      <protection hidden="1"/>
    </xf>
    <xf numFmtId="0" fontId="7" fillId="0" borderId="0" xfId="0" applyFont="1" applyBorder="1" applyAlignment="1" applyProtection="1">
      <alignment vertical="center"/>
      <protection hidden="1"/>
    </xf>
    <xf numFmtId="0" fontId="54" fillId="0" borderId="9" xfId="0" applyFont="1" applyBorder="1" applyAlignment="1" applyProtection="1">
      <alignment horizontal="center" vertical="center"/>
      <protection hidden="1"/>
    </xf>
    <xf numFmtId="0" fontId="54" fillId="0" borderId="10" xfId="0" applyFont="1" applyBorder="1" applyAlignment="1" applyProtection="1">
      <alignment horizontal="center" vertical="center"/>
      <protection hidden="1"/>
    </xf>
    <xf numFmtId="0" fontId="42" fillId="0" borderId="13" xfId="0" applyFont="1" applyBorder="1" applyAlignment="1" applyProtection="1">
      <alignment horizontal="left" vertical="center"/>
      <protection hidden="1"/>
    </xf>
    <xf numFmtId="0" fontId="42" fillId="0" borderId="12" xfId="0" applyFont="1" applyBorder="1" applyAlignment="1" applyProtection="1">
      <alignment horizontal="left" vertical="center"/>
      <protection hidden="1"/>
    </xf>
    <xf numFmtId="181" fontId="42" fillId="0" borderId="13" xfId="0" applyNumberFormat="1" applyFont="1" applyBorder="1" applyAlignment="1" applyProtection="1">
      <alignment horizontal="left" vertical="center"/>
      <protection hidden="1"/>
    </xf>
    <xf numFmtId="181" fontId="42" fillId="0" borderId="12" xfId="0" applyNumberFormat="1" applyFont="1" applyBorder="1" applyAlignment="1" applyProtection="1">
      <alignment horizontal="left" vertical="center"/>
      <protection hidden="1"/>
    </xf>
    <xf numFmtId="181" fontId="54" fillId="0" borderId="0" xfId="0" applyNumberFormat="1" applyFont="1" applyBorder="1" applyAlignment="1" applyProtection="1">
      <alignment vertical="center"/>
      <protection hidden="1"/>
    </xf>
    <xf numFmtId="181" fontId="54" fillId="0" borderId="12" xfId="0" applyNumberFormat="1" applyFont="1" applyBorder="1" applyAlignment="1" applyProtection="1">
      <alignment horizontal="left" vertical="center"/>
      <protection hidden="1"/>
    </xf>
    <xf numFmtId="181" fontId="54" fillId="0" borderId="14" xfId="0" applyNumberFormat="1" applyFont="1" applyBorder="1" applyAlignment="1" applyProtection="1">
      <alignment horizontal="left" vertical="center"/>
      <protection hidden="1"/>
    </xf>
    <xf numFmtId="181" fontId="42" fillId="0" borderId="13" xfId="0" applyNumberFormat="1" applyFont="1" applyBorder="1" applyAlignment="1" applyProtection="1">
      <alignment vertical="center"/>
      <protection hidden="1"/>
    </xf>
    <xf numFmtId="181" fontId="54" fillId="0" borderId="14" xfId="0" applyNumberFormat="1" applyFont="1" applyBorder="1" applyAlignment="1" applyProtection="1">
      <alignment horizontal="center" vertical="center"/>
      <protection locked="0"/>
    </xf>
    <xf numFmtId="181" fontId="42" fillId="0" borderId="5" xfId="0" applyNumberFormat="1" applyFont="1" applyBorder="1" applyAlignment="1" applyProtection="1">
      <alignment horizontal="center" vertical="center" shrinkToFit="1"/>
      <protection hidden="1"/>
    </xf>
    <xf numFmtId="181" fontId="42" fillId="0" borderId="6" xfId="0" applyNumberFormat="1" applyFont="1" applyBorder="1" applyAlignment="1" applyProtection="1">
      <alignment horizontal="center" vertical="center" shrinkToFit="1"/>
      <protection hidden="1"/>
    </xf>
    <xf numFmtId="186" fontId="54" fillId="0" borderId="6" xfId="0" applyNumberFormat="1" applyFont="1" applyBorder="1" applyAlignment="1" applyProtection="1">
      <alignment horizontal="left" vertical="center" shrinkToFit="1"/>
      <protection hidden="1"/>
    </xf>
    <xf numFmtId="186" fontId="54" fillId="0" borderId="7" xfId="0" applyNumberFormat="1" applyFont="1" applyBorder="1" applyAlignment="1" applyProtection="1">
      <alignment horizontal="left" vertical="center" shrinkToFit="1"/>
      <protection hidden="1"/>
    </xf>
    <xf numFmtId="0" fontId="42" fillId="0" borderId="0" xfId="0" applyFont="1" applyBorder="1" applyAlignment="1" applyProtection="1">
      <alignment vertical="center"/>
      <protection hidden="1"/>
    </xf>
    <xf numFmtId="0" fontId="54" fillId="0" borderId="0" xfId="0" applyFont="1" applyBorder="1" applyAlignment="1" applyProtection="1">
      <alignment horizontal="center" vertical="center" shrinkToFit="1"/>
      <protection hidden="1"/>
    </xf>
    <xf numFmtId="0" fontId="54" fillId="0" borderId="15" xfId="0" applyFont="1" applyBorder="1" applyAlignment="1" applyProtection="1">
      <alignment horizontal="center" vertical="center"/>
      <protection hidden="1"/>
    </xf>
    <xf numFmtId="0" fontId="54" fillId="0" borderId="16" xfId="0" applyFont="1" applyBorder="1" applyAlignment="1" applyProtection="1">
      <alignment horizontal="center" vertical="center"/>
      <protection hidden="1"/>
    </xf>
    <xf numFmtId="0" fontId="49" fillId="0" borderId="0" xfId="0" applyFont="1" applyAlignment="1" applyProtection="1">
      <alignment horizontal="center" vertical="center"/>
      <protection hidden="1"/>
    </xf>
    <xf numFmtId="0" fontId="48" fillId="0" borderId="17" xfId="0" applyFont="1" applyBorder="1" applyAlignment="1" applyProtection="1">
      <alignment vertical="center"/>
      <protection hidden="1"/>
    </xf>
    <xf numFmtId="181" fontId="7" fillId="0" borderId="12" xfId="0" applyNumberFormat="1" applyFont="1" applyBorder="1" applyAlignment="1" applyProtection="1">
      <alignment horizontal="center" vertical="center"/>
      <protection hidden="1"/>
    </xf>
    <xf numFmtId="181" fontId="7" fillId="0" borderId="14" xfId="0" applyNumberFormat="1" applyFont="1" applyBorder="1" applyAlignment="1" applyProtection="1">
      <alignment horizontal="center" vertical="center"/>
      <protection hidden="1"/>
    </xf>
    <xf numFmtId="0" fontId="49" fillId="0" borderId="17" xfId="0" applyFont="1" applyBorder="1" applyAlignment="1" applyProtection="1">
      <alignment horizontal="center" vertical="center"/>
      <protection hidden="1"/>
    </xf>
    <xf numFmtId="0" fontId="49" fillId="0" borderId="12" xfId="0" applyFont="1" applyBorder="1" applyAlignment="1" applyProtection="1">
      <alignment horizontal="center" vertical="center"/>
      <protection hidden="1"/>
    </xf>
    <xf numFmtId="0" fontId="49" fillId="0" borderId="14" xfId="0" applyFont="1" applyBorder="1" applyAlignment="1" applyProtection="1">
      <alignment horizontal="center" vertical="center"/>
      <protection hidden="1"/>
    </xf>
    <xf numFmtId="0" fontId="49" fillId="0" borderId="13" xfId="0" applyFont="1" applyBorder="1" applyAlignment="1" applyProtection="1">
      <alignment horizontal="center" vertical="center"/>
      <protection hidden="1"/>
    </xf>
    <xf numFmtId="0" fontId="48" fillId="0" borderId="12" xfId="0" applyFont="1" applyBorder="1" applyAlignment="1" applyProtection="1">
      <alignment vertical="center"/>
      <protection hidden="1"/>
    </xf>
    <xf numFmtId="0" fontId="48" fillId="0" borderId="14" xfId="0" applyFont="1" applyBorder="1" applyAlignment="1" applyProtection="1">
      <alignment vertical="center"/>
      <protection hidden="1"/>
    </xf>
    <xf numFmtId="181" fontId="44" fillId="0" borderId="17" xfId="0" applyNumberFormat="1" applyFont="1" applyBorder="1" applyAlignment="1" applyProtection="1">
      <alignment vertical="center"/>
      <protection hidden="1"/>
    </xf>
    <xf numFmtId="181" fontId="48" fillId="0" borderId="13" xfId="0" applyNumberFormat="1" applyFont="1" applyBorder="1" applyAlignment="1" applyProtection="1">
      <alignment horizontal="center" vertical="center"/>
      <protection hidden="1"/>
    </xf>
    <xf numFmtId="181" fontId="48" fillId="0" borderId="14" xfId="0" applyNumberFormat="1" applyFont="1" applyBorder="1" applyAlignment="1" applyProtection="1">
      <alignment horizontal="center" vertical="center"/>
      <protection hidden="1"/>
    </xf>
    <xf numFmtId="181" fontId="48" fillId="0" borderId="17" xfId="0" applyNumberFormat="1" applyFont="1" applyBorder="1" applyAlignment="1" applyProtection="1">
      <alignment horizontal="center" vertical="center"/>
      <protection hidden="1"/>
    </xf>
    <xf numFmtId="181" fontId="44" fillId="0" borderId="0" xfId="0" applyNumberFormat="1" applyFont="1" applyAlignment="1" applyProtection="1">
      <alignment vertical="center"/>
      <protection hidden="1"/>
    </xf>
    <xf numFmtId="181" fontId="49" fillId="0" borderId="17" xfId="0" applyNumberFormat="1" applyFont="1" applyBorder="1" applyAlignment="1" applyProtection="1">
      <alignment horizontal="center" vertical="center"/>
      <protection hidden="1"/>
    </xf>
    <xf numFmtId="181" fontId="49" fillId="0" borderId="13" xfId="0" applyNumberFormat="1" applyFont="1" applyBorder="1" applyAlignment="1" applyProtection="1">
      <alignment horizontal="center" vertical="center"/>
      <protection hidden="1"/>
    </xf>
    <xf numFmtId="181" fontId="48" fillId="0" borderId="12" xfId="0" applyNumberFormat="1" applyFont="1" applyBorder="1" applyAlignment="1" applyProtection="1">
      <alignment horizontal="center" vertical="center"/>
      <protection hidden="1"/>
    </xf>
    <xf numFmtId="181" fontId="49" fillId="0" borderId="12" xfId="0" applyNumberFormat="1" applyFont="1" applyBorder="1" applyAlignment="1" applyProtection="1">
      <alignment horizontal="center" vertical="center"/>
      <protection hidden="1"/>
    </xf>
    <xf numFmtId="0" fontId="44" fillId="0" borderId="17" xfId="0" applyFont="1" applyBorder="1" applyAlignment="1" applyProtection="1">
      <alignment vertical="center"/>
      <protection hidden="1"/>
    </xf>
    <xf numFmtId="0" fontId="48" fillId="0" borderId="12" xfId="0" applyFont="1" applyBorder="1" applyAlignment="1" applyProtection="1">
      <alignment horizontal="center" vertical="center"/>
      <protection hidden="1"/>
    </xf>
    <xf numFmtId="0" fontId="48" fillId="0" borderId="14" xfId="0" applyFont="1" applyBorder="1" applyAlignment="1" applyProtection="1">
      <alignment horizontal="center" vertical="center"/>
      <protection hidden="1"/>
    </xf>
    <xf numFmtId="0" fontId="44" fillId="0" borderId="0" xfId="0" applyFont="1" applyAlignment="1" applyProtection="1">
      <alignment horizontal="center"/>
      <protection hidden="1"/>
    </xf>
    <xf numFmtId="0" fontId="44" fillId="0" borderId="11" xfId="0" applyFont="1" applyBorder="1" applyAlignment="1" applyProtection="1">
      <alignment horizontal="center"/>
      <protection hidden="1"/>
    </xf>
    <xf numFmtId="181" fontId="44" fillId="0" borderId="11" xfId="0" applyNumberFormat="1" applyFont="1" applyBorder="1" applyAlignment="1" applyProtection="1">
      <alignment horizontal="center"/>
      <protection hidden="1"/>
    </xf>
    <xf numFmtId="0" fontId="44" fillId="0" borderId="11" xfId="0" applyFont="1" applyBorder="1" applyAlignment="1" applyProtection="1">
      <protection hidden="1"/>
    </xf>
    <xf numFmtId="183" fontId="44" fillId="0" borderId="11" xfId="0" applyNumberFormat="1" applyFont="1" applyBorder="1" applyAlignment="1" applyProtection="1">
      <alignment horizontal="center"/>
      <protection hidden="1"/>
    </xf>
    <xf numFmtId="0" fontId="44" fillId="0" borderId="5" xfId="0" applyFont="1" applyBorder="1" applyAlignment="1" applyProtection="1">
      <alignment horizontal="left" vertical="top" wrapText="1"/>
      <protection hidden="1"/>
    </xf>
    <xf numFmtId="0" fontId="44" fillId="0" borderId="7" xfId="0" applyFont="1" applyBorder="1" applyAlignment="1" applyProtection="1">
      <alignment horizontal="left" vertical="top"/>
      <protection hidden="1"/>
    </xf>
    <xf numFmtId="0" fontId="44" fillId="0" borderId="13" xfId="0" applyFont="1" applyBorder="1" applyAlignment="1" applyProtection="1">
      <alignment vertical="center"/>
      <protection hidden="1"/>
    </xf>
    <xf numFmtId="0" fontId="44" fillId="0" borderId="12" xfId="0" applyFont="1" applyBorder="1" applyAlignment="1" applyProtection="1">
      <alignment vertical="center"/>
      <protection hidden="1"/>
    </xf>
    <xf numFmtId="0" fontId="44" fillId="0" borderId="14" xfId="0" applyFont="1" applyBorder="1" applyAlignment="1" applyProtection="1">
      <alignment vertical="center"/>
      <protection hidden="1"/>
    </xf>
    <xf numFmtId="0" fontId="46" fillId="0" borderId="5" xfId="0" applyFont="1" applyBorder="1" applyAlignment="1" applyProtection="1">
      <alignment horizontal="left" vertical="top" wrapText="1"/>
      <protection hidden="1"/>
    </xf>
    <xf numFmtId="0" fontId="46" fillId="0" borderId="7" xfId="0" applyFont="1" applyBorder="1" applyAlignment="1" applyProtection="1">
      <alignment horizontal="left" vertical="top"/>
      <protection hidden="1"/>
    </xf>
    <xf numFmtId="0" fontId="44" fillId="0" borderId="9" xfId="0" applyFont="1" applyBorder="1" applyAlignment="1" applyProtection="1">
      <alignment horizontal="left" vertical="top"/>
      <protection hidden="1"/>
    </xf>
    <xf numFmtId="0" fontId="44" fillId="0" borderId="10" xfId="0" applyFont="1" applyBorder="1" applyAlignment="1" applyProtection="1">
      <alignment horizontal="left" vertical="top"/>
      <protection hidden="1"/>
    </xf>
    <xf numFmtId="0" fontId="48" fillId="0" borderId="13" xfId="0" applyFont="1" applyBorder="1" applyAlignment="1" applyProtection="1">
      <alignment horizontal="left" vertical="center" indent="2"/>
      <protection hidden="1"/>
    </xf>
    <xf numFmtId="0" fontId="48" fillId="0" borderId="12" xfId="0" applyFont="1" applyBorder="1" applyAlignment="1" applyProtection="1">
      <alignment horizontal="left" vertical="center" indent="2"/>
      <protection hidden="1"/>
    </xf>
    <xf numFmtId="0" fontId="48" fillId="0" borderId="14" xfId="0" applyFont="1" applyBorder="1" applyAlignment="1" applyProtection="1">
      <alignment horizontal="left" vertical="center" indent="2"/>
      <protection hidden="1"/>
    </xf>
    <xf numFmtId="0" fontId="46" fillId="0" borderId="9" xfId="0" applyFont="1" applyBorder="1" applyAlignment="1" applyProtection="1">
      <alignment horizontal="left" vertical="top"/>
      <protection hidden="1"/>
    </xf>
    <xf numFmtId="0" fontId="46" fillId="0" borderId="10" xfId="0" applyFont="1" applyBorder="1" applyAlignment="1" applyProtection="1">
      <alignment horizontal="left" vertical="top"/>
      <protection hidden="1"/>
    </xf>
    <xf numFmtId="181" fontId="44" fillId="0" borderId="17" xfId="0" applyNumberFormat="1" applyFont="1" applyBorder="1" applyAlignment="1" applyProtection="1">
      <alignment horizontal="left" vertical="center" indent="2"/>
      <protection hidden="1"/>
    </xf>
    <xf numFmtId="0" fontId="46" fillId="0" borderId="15" xfId="0" applyFont="1" applyBorder="1" applyAlignment="1" applyProtection="1">
      <alignment horizontal="left" vertical="top"/>
      <protection hidden="1"/>
    </xf>
    <xf numFmtId="0" fontId="46" fillId="0" borderId="16" xfId="0" applyFont="1" applyBorder="1" applyAlignment="1" applyProtection="1">
      <alignment horizontal="left" vertical="top"/>
      <protection hidden="1"/>
    </xf>
    <xf numFmtId="0" fontId="44" fillId="0" borderId="15" xfId="0" applyFont="1" applyBorder="1" applyAlignment="1" applyProtection="1">
      <alignment horizontal="left" vertical="top"/>
      <protection hidden="1"/>
    </xf>
    <xf numFmtId="0" fontId="44" fillId="0" borderId="16" xfId="0" applyFont="1" applyBorder="1" applyAlignment="1" applyProtection="1">
      <alignment horizontal="left" vertical="top"/>
      <protection hidden="1"/>
    </xf>
    <xf numFmtId="0" fontId="46" fillId="0" borderId="17" xfId="0" applyFont="1" applyBorder="1" applyAlignment="1" applyProtection="1">
      <alignment horizontal="left" vertical="center" indent="2"/>
      <protection hidden="1"/>
    </xf>
    <xf numFmtId="180" fontId="44" fillId="0" borderId="0" xfId="0" applyNumberFormat="1" applyFont="1" applyBorder="1" applyAlignment="1" applyProtection="1">
      <alignment horizontal="center"/>
      <protection hidden="1"/>
    </xf>
    <xf numFmtId="0" fontId="44" fillId="0" borderId="0" xfId="0" applyFont="1" applyBorder="1" applyAlignment="1" applyProtection="1">
      <alignment horizontal="left"/>
      <protection hidden="1"/>
    </xf>
    <xf numFmtId="0" fontId="49" fillId="0" borderId="0" xfId="0" applyFont="1" applyBorder="1" applyAlignment="1" applyProtection="1">
      <alignment horizontal="left"/>
      <protection hidden="1"/>
    </xf>
    <xf numFmtId="0" fontId="49" fillId="0" borderId="0" xfId="0" applyFont="1" applyAlignment="1" applyProtection="1">
      <protection hidden="1"/>
    </xf>
    <xf numFmtId="181" fontId="49" fillId="0" borderId="11" xfId="0" applyNumberFormat="1" applyFont="1" applyBorder="1" applyAlignment="1" applyProtection="1">
      <alignment horizontal="right"/>
      <protection hidden="1"/>
    </xf>
    <xf numFmtId="0" fontId="49" fillId="0" borderId="11" xfId="0" applyFont="1" applyBorder="1" applyAlignment="1" applyProtection="1">
      <alignment horizontal="left"/>
      <protection hidden="1"/>
    </xf>
    <xf numFmtId="184" fontId="49" fillId="0" borderId="0" xfId="0" applyNumberFormat="1" applyFont="1" applyBorder="1" applyAlignment="1" applyProtection="1">
      <alignment horizontal="center" vertical="center" shrinkToFit="1"/>
      <protection hidden="1"/>
    </xf>
    <xf numFmtId="0" fontId="49" fillId="0" borderId="0" xfId="0" applyFont="1" applyBorder="1" applyAlignment="1" applyProtection="1">
      <alignment horizontal="center" vertical="center"/>
      <protection hidden="1"/>
    </xf>
    <xf numFmtId="0" fontId="49" fillId="0" borderId="0" xfId="0" applyFont="1" applyBorder="1" applyAlignment="1" applyProtection="1">
      <alignment horizontal="center"/>
      <protection hidden="1"/>
    </xf>
    <xf numFmtId="0" fontId="56" fillId="0" borderId="0" xfId="0" applyFont="1" applyAlignment="1" applyProtection="1">
      <alignment horizontal="center" vertical="center"/>
      <protection hidden="1"/>
    </xf>
    <xf numFmtId="0" fontId="44" fillId="0" borderId="146" xfId="0" applyFont="1" applyBorder="1" applyAlignment="1" applyProtection="1">
      <alignment horizontal="center" vertical="center"/>
      <protection hidden="1"/>
    </xf>
    <xf numFmtId="0" fontId="44" fillId="0" borderId="147" xfId="0" applyFont="1" applyBorder="1" applyAlignment="1" applyProtection="1">
      <alignment horizontal="center" vertical="center"/>
      <protection hidden="1"/>
    </xf>
    <xf numFmtId="0" fontId="44" fillId="0" borderId="148" xfId="0" applyFont="1" applyBorder="1" applyAlignment="1" applyProtection="1">
      <alignment horizontal="center" vertical="center"/>
      <protection hidden="1"/>
    </xf>
    <xf numFmtId="0" fontId="44" fillId="0" borderId="142" xfId="0" applyFont="1" applyBorder="1" applyAlignment="1" applyProtection="1">
      <alignment vertical="center"/>
      <protection hidden="1"/>
    </xf>
    <xf numFmtId="0" fontId="0" fillId="0" borderId="0" xfId="0" applyAlignment="1" applyProtection="1">
      <protection hidden="1"/>
    </xf>
    <xf numFmtId="0" fontId="0" fillId="0" borderId="0" xfId="0" applyAlignment="1" applyProtection="1">
      <alignment horizontal="center" vertical="center"/>
      <protection hidden="1"/>
    </xf>
    <xf numFmtId="0" fontId="57" fillId="0" borderId="0" xfId="0" applyFont="1" applyAlignment="1" applyProtection="1">
      <alignment horizontal="center"/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9" fillId="0" borderId="17" xfId="0" applyFont="1" applyBorder="1" applyAlignment="1" applyProtection="1">
      <alignment horizontal="left" vertical="center"/>
      <protection hidden="1"/>
    </xf>
    <xf numFmtId="0" fontId="59" fillId="0" borderId="17" xfId="0" applyFont="1" applyBorder="1" applyAlignment="1" applyProtection="1">
      <alignment horizontal="center" vertical="center" wrapText="1"/>
      <protection hidden="1"/>
    </xf>
    <xf numFmtId="0" fontId="59" fillId="0" borderId="13" xfId="0" applyFont="1" applyBorder="1" applyAlignment="1" applyProtection="1">
      <alignment horizontal="center" vertical="center"/>
      <protection hidden="1"/>
    </xf>
    <xf numFmtId="0" fontId="60" fillId="0" borderId="17" xfId="0" applyFont="1" applyBorder="1" applyAlignment="1" applyProtection="1">
      <alignment horizontal="center" vertical="center" wrapText="1"/>
      <protection hidden="1"/>
    </xf>
    <xf numFmtId="0" fontId="60" fillId="0" borderId="17" xfId="0" applyFont="1" applyBorder="1" applyAlignment="1" applyProtection="1">
      <alignment horizontal="center" vertical="center"/>
      <protection hidden="1"/>
    </xf>
    <xf numFmtId="0" fontId="57" fillId="0" borderId="17" xfId="0" applyFont="1" applyBorder="1" applyAlignment="1" applyProtection="1">
      <alignment horizontal="center"/>
      <protection hidden="1"/>
    </xf>
    <xf numFmtId="0" fontId="57" fillId="0" borderId="13" xfId="0" applyFont="1" applyBorder="1" applyAlignment="1" applyProtection="1">
      <alignment horizontal="center" vertical="center"/>
      <protection hidden="1"/>
    </xf>
    <xf numFmtId="0" fontId="59" fillId="0" borderId="0" xfId="0" applyFont="1" applyBorder="1" applyAlignment="1" applyProtection="1">
      <alignment horizontal="left" vertical="center"/>
      <protection hidden="1"/>
    </xf>
    <xf numFmtId="0" fontId="57" fillId="0" borderId="0" xfId="0" applyFont="1" applyBorder="1" applyAlignment="1" applyProtection="1">
      <alignment horizontal="center"/>
      <protection hidden="1"/>
    </xf>
    <xf numFmtId="0" fontId="57" fillId="0" borderId="0" xfId="0" applyFont="1" applyBorder="1" applyAlignment="1" applyProtection="1">
      <alignment horizontal="center" vertical="center"/>
      <protection hidden="1"/>
    </xf>
    <xf numFmtId="0" fontId="57" fillId="0" borderId="0" xfId="0" applyFont="1" applyAlignment="1" applyProtection="1">
      <protection hidden="1"/>
    </xf>
    <xf numFmtId="0" fontId="59" fillId="0" borderId="17" xfId="0" applyFont="1" applyBorder="1" applyAlignment="1" applyProtection="1">
      <alignment horizontal="center" vertical="center"/>
      <protection hidden="1"/>
    </xf>
    <xf numFmtId="0" fontId="57" fillId="0" borderId="17" xfId="0" applyFont="1" applyBorder="1" applyAlignment="1" applyProtection="1">
      <alignment horizontal="center" vertical="center"/>
      <protection hidden="1"/>
    </xf>
    <xf numFmtId="0" fontId="59" fillId="0" borderId="17" xfId="0" applyFont="1" applyBorder="1" applyAlignment="1" applyProtection="1">
      <alignment vertical="center"/>
      <protection hidden="1"/>
    </xf>
    <xf numFmtId="0" fontId="57" fillId="0" borderId="17" xfId="0" applyNumberFormat="1" applyFont="1" applyBorder="1" applyAlignment="1" applyProtection="1">
      <alignment horizontal="center"/>
      <protection hidden="1"/>
    </xf>
    <xf numFmtId="0" fontId="61" fillId="0" borderId="0" xfId="0" applyFont="1" applyAlignment="1" applyProtection="1">
      <alignment horizontal="center" vertical="center"/>
      <protection hidden="1"/>
    </xf>
    <xf numFmtId="0" fontId="62" fillId="0" borderId="17" xfId="0" applyFont="1" applyFill="1" applyBorder="1" applyAlignment="1" applyProtection="1">
      <alignment horizontal="center" vertical="center"/>
      <protection hidden="1"/>
    </xf>
    <xf numFmtId="0" fontId="62" fillId="0" borderId="17" xfId="0" applyFont="1" applyFill="1" applyBorder="1" applyAlignment="1" applyProtection="1">
      <alignment horizontal="center" vertical="center" wrapText="1"/>
      <protection hidden="1"/>
    </xf>
    <xf numFmtId="0" fontId="61" fillId="0" borderId="17" xfId="0" applyFont="1" applyBorder="1" applyAlignment="1" applyProtection="1">
      <alignment horizontal="center" vertical="center"/>
      <protection hidden="1"/>
    </xf>
    <xf numFmtId="0" fontId="61" fillId="0" borderId="0" xfId="0" applyNumberFormat="1" applyFont="1" applyAlignment="1" applyProtection="1">
      <alignment horizontal="center"/>
      <protection hidden="1"/>
    </xf>
    <xf numFmtId="0" fontId="61" fillId="0" borderId="0" xfId="0" applyNumberFormat="1" applyFont="1" applyAlignment="1" applyProtection="1">
      <alignment horizontal="center" wrapText="1"/>
      <protection hidden="1"/>
    </xf>
    <xf numFmtId="0" fontId="59" fillId="0" borderId="0" xfId="0" applyNumberFormat="1" applyFont="1" applyAlignment="1" applyProtection="1">
      <alignment horizontal="center" wrapText="1"/>
      <protection hidden="1"/>
    </xf>
    <xf numFmtId="0" fontId="61" fillId="0" borderId="0" xfId="0" applyNumberFormat="1" applyFont="1" applyAlignment="1" applyProtection="1">
      <protection hidden="1"/>
    </xf>
    <xf numFmtId="0" fontId="61" fillId="0" borderId="0" xfId="0" applyFont="1" applyAlignment="1" applyProtection="1">
      <protection hidden="1"/>
    </xf>
    <xf numFmtId="0" fontId="61" fillId="0" borderId="17" xfId="0" applyFont="1" applyFill="1" applyBorder="1" applyAlignment="1" applyProtection="1">
      <alignment horizontal="center" vertical="center"/>
      <protection hidden="1"/>
    </xf>
    <xf numFmtId="0" fontId="61" fillId="0" borderId="17" xfId="0" applyFont="1" applyFill="1" applyBorder="1" applyAlignment="1" applyProtection="1">
      <alignment horizontal="left" vertical="center"/>
      <protection hidden="1"/>
    </xf>
    <xf numFmtId="0" fontId="61" fillId="0" borderId="0" xfId="0" applyFont="1" applyAlignment="1" applyProtection="1">
      <alignment horizontal="center"/>
      <protection hidden="1"/>
    </xf>
    <xf numFmtId="0" fontId="0" fillId="14" borderId="0" xfId="0" applyFill="1" applyProtection="1">
      <alignment vertical="center"/>
      <protection hidden="1"/>
    </xf>
    <xf numFmtId="0" fontId="63" fillId="14" borderId="0" xfId="0" applyFont="1" applyFill="1" applyAlignment="1" applyProtection="1">
      <alignment horizontal="center" vertical="center"/>
      <protection hidden="1"/>
    </xf>
    <xf numFmtId="0" fontId="64" fillId="14" borderId="0" xfId="0" applyFont="1" applyFill="1" applyAlignment="1" applyProtection="1">
      <alignment horizontal="left" vertical="center" shrinkToFit="1"/>
      <protection hidden="1"/>
    </xf>
    <xf numFmtId="0" fontId="0" fillId="15" borderId="0" xfId="0" applyFill="1" applyProtection="1">
      <alignment vertical="center"/>
      <protection hidden="1"/>
    </xf>
    <xf numFmtId="0" fontId="65" fillId="15" borderId="0" xfId="0" applyFont="1" applyFill="1" applyAlignment="1" applyProtection="1">
      <alignment horizontal="center"/>
      <protection hidden="1"/>
    </xf>
    <xf numFmtId="0" fontId="24" fillId="12" borderId="0" xfId="0" applyNumberFormat="1" applyFont="1" applyFill="1" applyAlignment="1" applyProtection="1">
      <alignment horizontal="center" vertical="center"/>
      <protection locked="0"/>
    </xf>
    <xf numFmtId="0" fontId="66" fillId="15" borderId="0" xfId="0" applyFont="1" applyFill="1" applyAlignment="1" applyProtection="1">
      <alignment horizontal="left" vertical="center" indent="1"/>
      <protection hidden="1"/>
    </xf>
    <xf numFmtId="0" fontId="66" fillId="15" borderId="0" xfId="0" applyFont="1" applyFill="1" applyAlignment="1" applyProtection="1">
      <alignment horizontal="left" vertical="center" indent="5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0" fontId="68" fillId="0" borderId="0" xfId="0" applyFont="1" applyAlignment="1" applyProtection="1">
      <alignment horizontal="center" vertical="center"/>
      <protection hidden="1"/>
    </xf>
    <xf numFmtId="0" fontId="69" fillId="0" borderId="0" xfId="0" applyFont="1" applyAlignment="1" applyProtection="1">
      <alignment horizontal="center" vertical="center"/>
      <protection hidden="1"/>
    </xf>
    <xf numFmtId="0" fontId="70" fillId="0" borderId="0" xfId="0" applyFont="1" applyAlignment="1" applyProtection="1">
      <alignment horizontal="center" vertical="center"/>
      <protection hidden="1"/>
    </xf>
    <xf numFmtId="0" fontId="71" fillId="0" borderId="0" xfId="0" applyFont="1" applyAlignment="1" applyProtection="1">
      <alignment horizontal="center" vertical="center"/>
      <protection hidden="1"/>
    </xf>
    <xf numFmtId="0" fontId="72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top"/>
      <protection hidden="1"/>
    </xf>
    <xf numFmtId="0" fontId="49" fillId="16" borderId="0" xfId="0" applyFont="1" applyFill="1" applyAlignment="1" applyProtection="1">
      <alignment horizontal="right" vertical="center"/>
      <protection hidden="1"/>
    </xf>
    <xf numFmtId="0" fontId="51" fillId="0" borderId="0" xfId="0" applyFont="1" applyFill="1" applyAlignment="1" applyProtection="1">
      <alignment vertical="top"/>
      <protection hidden="1"/>
    </xf>
    <xf numFmtId="0" fontId="73" fillId="12" borderId="0" xfId="0" applyFont="1" applyFill="1" applyAlignment="1" applyProtection="1">
      <alignment horizontal="center" vertical="center"/>
      <protection locked="0"/>
    </xf>
    <xf numFmtId="0" fontId="0" fillId="16" borderId="0" xfId="0" applyFill="1" applyProtection="1">
      <alignment vertical="center"/>
      <protection hidden="1"/>
    </xf>
    <xf numFmtId="0" fontId="74" fillId="12" borderId="0" xfId="0" applyFont="1" applyFill="1" applyAlignment="1" applyProtection="1">
      <alignment horizontal="center" vertical="center"/>
      <protection locked="0"/>
    </xf>
    <xf numFmtId="0" fontId="31" fillId="16" borderId="0" xfId="0" applyFont="1" applyFill="1" applyAlignment="1" applyProtection="1">
      <alignment horizontal="center" vertical="center"/>
      <protection hidden="1"/>
    </xf>
    <xf numFmtId="0" fontId="0" fillId="16" borderId="0" xfId="0" applyFill="1" applyAlignment="1" applyProtection="1">
      <alignment vertical="center"/>
      <protection hidden="1"/>
    </xf>
    <xf numFmtId="0" fontId="75" fillId="16" borderId="0" xfId="0" applyFont="1" applyFill="1" applyAlignment="1" applyProtection="1">
      <alignment horizontal="left" vertical="center" shrinkToFit="1"/>
      <protection hidden="1"/>
    </xf>
    <xf numFmtId="0" fontId="76" fillId="17" borderId="0" xfId="0" applyFont="1" applyFill="1" applyAlignment="1" applyProtection="1">
      <alignment horizontal="center" vertical="center"/>
      <protection hidden="1"/>
    </xf>
    <xf numFmtId="0" fontId="77" fillId="18" borderId="0" xfId="0" applyFont="1" applyFill="1" applyAlignment="1" applyProtection="1">
      <alignment horizontal="center" vertical="center"/>
      <protection hidden="1"/>
    </xf>
    <xf numFmtId="0" fontId="66" fillId="18" borderId="0" xfId="0" applyFont="1" applyFill="1" applyAlignment="1" applyProtection="1">
      <alignment horizontal="center" vertical="center"/>
      <protection hidden="1"/>
    </xf>
    <xf numFmtId="0" fontId="0" fillId="18" borderId="0" xfId="0" applyFill="1" applyProtection="1">
      <alignment vertical="center"/>
      <protection hidden="1"/>
    </xf>
    <xf numFmtId="0" fontId="78" fillId="18" borderId="0" xfId="0" applyFont="1" applyFill="1" applyAlignment="1" applyProtection="1">
      <alignment horizontal="center" vertical="top"/>
      <protection hidden="1"/>
    </xf>
    <xf numFmtId="0" fontId="77" fillId="18" borderId="0" xfId="0" applyFont="1" applyFill="1" applyAlignment="1" applyProtection="1">
      <alignment vertical="center"/>
      <protection hidden="1"/>
    </xf>
    <xf numFmtId="0" fontId="79" fillId="0" borderId="0" xfId="0" applyFont="1" applyAlignment="1" applyProtection="1">
      <alignment horizontal="left" vertical="center" indent="7"/>
      <protection hidden="1"/>
    </xf>
    <xf numFmtId="0" fontId="80" fillId="0" borderId="0" xfId="0" applyFont="1" applyAlignment="1" applyProtection="1">
      <alignment horizontal="left" vertical="center" indent="7"/>
      <protection hidden="1"/>
    </xf>
    <xf numFmtId="0" fontId="81" fillId="0" borderId="0" xfId="0" applyFont="1" applyAlignment="1" applyProtection="1">
      <alignment horizontal="left" vertical="center" indent="7"/>
      <protection hidden="1"/>
    </xf>
    <xf numFmtId="0" fontId="82" fillId="0" borderId="0" xfId="0" applyFont="1" applyAlignment="1" applyProtection="1">
      <alignment horizontal="left" vertical="center" indent="7"/>
      <protection hidden="1"/>
    </xf>
    <xf numFmtId="0" fontId="83" fillId="0" borderId="0" xfId="0" applyFont="1" applyAlignment="1" applyProtection="1">
      <alignment horizontal="left" vertical="center" indent="7"/>
      <protection hidden="1"/>
    </xf>
    <xf numFmtId="0" fontId="81" fillId="0" borderId="0" xfId="0" applyFont="1" applyAlignment="1" applyProtection="1">
      <alignment horizontal="left" vertical="center" indent="6"/>
      <protection hidden="1"/>
    </xf>
    <xf numFmtId="0" fontId="82" fillId="0" borderId="0" xfId="0" applyFont="1" applyAlignment="1" applyProtection="1">
      <alignment horizontal="left" vertical="center" indent="6"/>
      <protection hidden="1"/>
    </xf>
    <xf numFmtId="0" fontId="83" fillId="0" borderId="0" xfId="0" applyFont="1" applyAlignment="1" applyProtection="1">
      <alignment horizontal="left" vertical="center" indent="6"/>
      <protection hidden="1"/>
    </xf>
    <xf numFmtId="0" fontId="78" fillId="18" borderId="0" xfId="0" applyFont="1" applyFill="1" applyAlignment="1" applyProtection="1">
      <alignment horizontal="left" vertical="top" indent="4"/>
      <protection hidden="1"/>
    </xf>
    <xf numFmtId="0" fontId="0" fillId="0" borderId="0" xfId="0" applyFont="1" applyAlignment="1" applyProtection="1">
      <alignment horizontal="left" vertical="center"/>
      <protection hidden="1"/>
    </xf>
    <xf numFmtId="0" fontId="84" fillId="0" borderId="0" xfId="0" applyFont="1" applyBorder="1" applyAlignment="1" applyProtection="1">
      <alignment horizontal="left" vertical="center" shrinkToFit="1"/>
      <protection hidden="1"/>
    </xf>
    <xf numFmtId="0" fontId="76" fillId="17" borderId="0" xfId="0" applyFont="1" applyFill="1" applyAlignment="1" applyProtection="1">
      <alignment horizontal="center"/>
      <protection hidden="1"/>
    </xf>
    <xf numFmtId="0" fontId="78" fillId="18" borderId="0" xfId="0" applyFont="1" applyFill="1" applyAlignment="1" applyProtection="1">
      <alignment horizontal="center" vertical="center"/>
      <protection hidden="1"/>
    </xf>
    <xf numFmtId="0" fontId="79" fillId="0" borderId="0" xfId="0" applyFont="1" applyAlignment="1" applyProtection="1">
      <alignment horizontal="center" vertical="center"/>
      <protection hidden="1"/>
    </xf>
    <xf numFmtId="0" fontId="80" fillId="0" borderId="0" xfId="0" applyFont="1" applyAlignment="1" applyProtection="1">
      <alignment horizontal="center" vertical="center"/>
      <protection hidden="1"/>
    </xf>
    <xf numFmtId="0" fontId="81" fillId="0" borderId="0" xfId="0" applyFont="1" applyAlignment="1" applyProtection="1">
      <alignment horizontal="center" vertical="center"/>
      <protection hidden="1"/>
    </xf>
    <xf numFmtId="0" fontId="82" fillId="0" borderId="0" xfId="0" applyFont="1" applyAlignment="1" applyProtection="1">
      <alignment horizontal="center" vertical="center"/>
      <protection hidden="1"/>
    </xf>
    <xf numFmtId="0" fontId="83" fillId="0" borderId="0" xfId="0" applyFont="1" applyAlignment="1" applyProtection="1">
      <alignment horizontal="center" vertical="center"/>
      <protection hidden="1"/>
    </xf>
    <xf numFmtId="0" fontId="78" fillId="18" borderId="0" xfId="0" applyFont="1" applyFill="1" applyAlignment="1" applyProtection="1">
      <alignment horizontal="center"/>
      <protection hidden="1"/>
    </xf>
    <xf numFmtId="0" fontId="79" fillId="0" borderId="0" xfId="0" applyFont="1" applyAlignment="1" applyProtection="1">
      <alignment horizontal="left" vertical="center"/>
      <protection hidden="1"/>
    </xf>
    <xf numFmtId="0" fontId="80" fillId="0" borderId="0" xfId="0" applyFont="1" applyAlignment="1" applyProtection="1">
      <alignment horizontal="left" vertical="center"/>
      <protection hidden="1"/>
    </xf>
    <xf numFmtId="0" fontId="81" fillId="0" borderId="0" xfId="0" applyFont="1" applyAlignment="1" applyProtection="1">
      <alignment horizontal="left" vertical="center"/>
      <protection hidden="1"/>
    </xf>
    <xf numFmtId="0" fontId="82" fillId="0" borderId="0" xfId="0" applyFont="1" applyAlignment="1" applyProtection="1">
      <alignment horizontal="left" vertical="center"/>
      <protection hidden="1"/>
    </xf>
    <xf numFmtId="0" fontId="83" fillId="0" borderId="0" xfId="0" applyFont="1" applyAlignment="1" applyProtection="1">
      <alignment horizontal="left" vertical="center"/>
      <protection hidden="1"/>
    </xf>
    <xf numFmtId="0" fontId="79" fillId="0" borderId="0" xfId="0" applyFont="1" applyAlignment="1" applyProtection="1">
      <alignment horizontal="left"/>
      <protection hidden="1"/>
    </xf>
    <xf numFmtId="0" fontId="80" fillId="0" borderId="0" xfId="0" applyFont="1" applyAlignment="1" applyProtection="1">
      <alignment horizontal="left"/>
      <protection hidden="1"/>
    </xf>
    <xf numFmtId="0" fontId="81" fillId="0" borderId="0" xfId="0" applyFont="1" applyAlignment="1" applyProtection="1">
      <alignment horizontal="left"/>
      <protection hidden="1"/>
    </xf>
    <xf numFmtId="0" fontId="82" fillId="0" borderId="0" xfId="0" applyFont="1" applyAlignment="1" applyProtection="1">
      <alignment horizontal="left"/>
      <protection hidden="1"/>
    </xf>
    <xf numFmtId="0" fontId="83" fillId="0" borderId="0" xfId="0" applyFont="1" applyAlignment="1" applyProtection="1">
      <alignment horizontal="left"/>
      <protection hidden="1"/>
    </xf>
    <xf numFmtId="0" fontId="85" fillId="12" borderId="0" xfId="0" applyFont="1" applyFill="1" applyAlignment="1" applyProtection="1">
      <alignment horizontal="center" vertical="center"/>
      <protection locked="0"/>
    </xf>
    <xf numFmtId="0" fontId="86" fillId="0" borderId="0" xfId="0" applyFont="1" applyAlignment="1" applyProtection="1">
      <alignment horizontal="left" vertical="center" shrinkToFit="1"/>
      <protection hidden="1"/>
    </xf>
    <xf numFmtId="0" fontId="87" fillId="0" borderId="0" xfId="0" applyFont="1" applyAlignment="1" applyProtection="1">
      <alignment horizontal="center" vertical="center"/>
      <protection hidden="1"/>
    </xf>
    <xf numFmtId="0" fontId="88" fillId="0" borderId="0" xfId="0" applyFont="1" applyAlignment="1" applyProtection="1">
      <alignment horizontal="left" vertical="center" indent="6"/>
      <protection hidden="1"/>
    </xf>
    <xf numFmtId="0" fontId="87" fillId="0" borderId="0" xfId="0" applyFont="1" applyAlignment="1" applyProtection="1">
      <alignment horizontal="center" vertical="center" shrinkToFit="1"/>
      <protection hidden="1"/>
    </xf>
    <xf numFmtId="0" fontId="0" fillId="19" borderId="0" xfId="0" applyFill="1" applyProtection="1">
      <alignment vertical="center"/>
      <protection hidden="1"/>
    </xf>
    <xf numFmtId="0" fontId="89" fillId="19" borderId="0" xfId="0" applyFont="1" applyFill="1" applyAlignment="1" applyProtection="1">
      <alignment horizontal="center" vertical="center"/>
      <protection hidden="1"/>
    </xf>
    <xf numFmtId="0" fontId="90" fillId="0" borderId="0" xfId="0" applyFont="1" applyAlignment="1" applyProtection="1">
      <alignment horizontal="center" vertical="center"/>
      <protection hidden="1"/>
    </xf>
    <xf numFmtId="0" fontId="91" fillId="0" borderId="0" xfId="0" applyFont="1" applyFill="1" applyAlignment="1" applyProtection="1">
      <alignment horizontal="center" vertical="center"/>
      <protection hidden="1"/>
    </xf>
    <xf numFmtId="0" fontId="92" fillId="0" borderId="0" xfId="0" applyFont="1" applyAlignment="1" applyProtection="1">
      <alignment horizontal="center" vertical="center"/>
      <protection hidden="1"/>
    </xf>
    <xf numFmtId="0" fontId="93" fillId="0" borderId="0" xfId="0" applyFont="1" applyAlignment="1" applyProtection="1">
      <alignment horizontal="center" vertical="center"/>
      <protection hidden="1"/>
    </xf>
    <xf numFmtId="0" fontId="91" fillId="0" borderId="0" xfId="0" applyFont="1" applyAlignment="1" applyProtection="1">
      <alignment horizontal="center" vertical="center"/>
      <protection hidden="1"/>
    </xf>
    <xf numFmtId="0" fontId="94" fillId="0" borderId="0" xfId="0" applyFont="1" applyAlignment="1" applyProtection="1">
      <alignment horizontal="center" vertical="center"/>
      <protection hidden="1"/>
    </xf>
    <xf numFmtId="0" fontId="95" fillId="0" borderId="0" xfId="0" applyFont="1" applyAlignment="1" applyProtection="1">
      <alignment horizontal="center" vertical="center"/>
      <protection hidden="1"/>
    </xf>
    <xf numFmtId="0" fontId="96" fillId="0" borderId="0" xfId="0" applyFont="1" applyBorder="1" applyAlignment="1" applyProtection="1">
      <alignment horizontal="center" vertical="top"/>
      <protection hidden="1"/>
    </xf>
    <xf numFmtId="0" fontId="91" fillId="0" borderId="1" xfId="0" applyFont="1" applyBorder="1" applyAlignment="1" applyProtection="1">
      <alignment horizontal="center" vertical="center"/>
      <protection hidden="1"/>
    </xf>
    <xf numFmtId="0" fontId="91" fillId="0" borderId="2" xfId="0" applyFont="1" applyBorder="1" applyAlignment="1" applyProtection="1">
      <alignment horizontal="left" vertical="center"/>
      <protection hidden="1"/>
    </xf>
    <xf numFmtId="0" fontId="91" fillId="0" borderId="3" xfId="0" applyFont="1" applyBorder="1" applyAlignment="1" applyProtection="1">
      <alignment horizontal="center" vertical="center"/>
      <protection hidden="1"/>
    </xf>
    <xf numFmtId="0" fontId="91" fillId="0" borderId="4" xfId="0" applyFont="1" applyBorder="1" applyAlignment="1" applyProtection="1">
      <alignment horizontal="center" vertical="center"/>
      <protection hidden="1"/>
    </xf>
    <xf numFmtId="0" fontId="91" fillId="0" borderId="17" xfId="0" applyFont="1" applyBorder="1" applyAlignment="1" applyProtection="1">
      <alignment horizontal="left" vertical="center"/>
      <protection hidden="1"/>
    </xf>
    <xf numFmtId="0" fontId="91" fillId="0" borderId="8" xfId="0" applyFont="1" applyBorder="1" applyAlignment="1" applyProtection="1">
      <alignment horizontal="center" vertical="center"/>
      <protection hidden="1"/>
    </xf>
    <xf numFmtId="0" fontId="91" fillId="0" borderId="13" xfId="0" applyFont="1" applyBorder="1" applyAlignment="1" applyProtection="1">
      <alignment horizontal="left" vertical="center"/>
      <protection hidden="1"/>
    </xf>
    <xf numFmtId="0" fontId="91" fillId="0" borderId="12" xfId="0" applyFont="1" applyBorder="1" applyAlignment="1" applyProtection="1">
      <alignment horizontal="left" vertical="center"/>
      <protection hidden="1"/>
    </xf>
    <xf numFmtId="0" fontId="91" fillId="0" borderId="14" xfId="0" applyFont="1" applyBorder="1" applyAlignment="1" applyProtection="1">
      <alignment horizontal="left" vertical="center"/>
      <protection hidden="1"/>
    </xf>
    <xf numFmtId="0" fontId="91" fillId="0" borderId="12" xfId="0" applyNumberFormat="1" applyFont="1" applyBorder="1" applyAlignment="1" applyProtection="1">
      <alignment horizontal="center" vertical="center"/>
      <protection hidden="1"/>
    </xf>
    <xf numFmtId="0" fontId="91" fillId="0" borderId="12" xfId="0" applyFont="1" applyBorder="1" applyAlignment="1" applyProtection="1">
      <alignment vertical="center"/>
      <protection hidden="1"/>
    </xf>
    <xf numFmtId="0" fontId="91" fillId="0" borderId="14" xfId="0" applyFont="1" applyBorder="1" applyAlignment="1" applyProtection="1">
      <alignment vertical="center"/>
      <protection hidden="1"/>
    </xf>
    <xf numFmtId="0" fontId="91" fillId="0" borderId="12" xfId="0" applyNumberFormat="1" applyFont="1" applyBorder="1" applyAlignment="1" applyProtection="1">
      <alignment horizontal="left" vertical="center"/>
      <protection hidden="1"/>
    </xf>
    <xf numFmtId="0" fontId="91" fillId="0" borderId="14" xfId="0" applyNumberFormat="1" applyFont="1" applyBorder="1" applyAlignment="1" applyProtection="1">
      <alignment horizontal="left" vertical="center"/>
      <protection hidden="1"/>
    </xf>
    <xf numFmtId="0" fontId="91" fillId="0" borderId="0" xfId="0" applyFont="1" applyBorder="1" applyAlignment="1" applyProtection="1">
      <alignment horizontal="center" vertical="center"/>
      <protection hidden="1"/>
    </xf>
    <xf numFmtId="0" fontId="92" fillId="0" borderId="0" xfId="0" applyFont="1" applyBorder="1" applyAlignment="1" applyProtection="1">
      <alignment horizontal="center" vertical="center"/>
      <protection hidden="1"/>
    </xf>
    <xf numFmtId="0" fontId="90" fillId="0" borderId="4" xfId="0" applyFont="1" applyBorder="1" applyAlignment="1" applyProtection="1">
      <alignment horizontal="center" vertical="center"/>
      <protection hidden="1"/>
    </xf>
    <xf numFmtId="0" fontId="97" fillId="12" borderId="17" xfId="0" applyFont="1" applyFill="1" applyBorder="1" applyAlignment="1" applyProtection="1">
      <alignment horizontal="center" vertical="center"/>
      <protection hidden="1"/>
    </xf>
    <xf numFmtId="0" fontId="90" fillId="0" borderId="8" xfId="0" applyFont="1" applyBorder="1" applyAlignment="1" applyProtection="1">
      <alignment horizontal="center" vertical="center"/>
      <protection hidden="1"/>
    </xf>
    <xf numFmtId="0" fontId="91" fillId="0" borderId="4" xfId="0" applyFont="1" applyFill="1" applyBorder="1" applyAlignment="1" applyProtection="1">
      <alignment horizontal="center" vertical="center"/>
      <protection hidden="1"/>
    </xf>
    <xf numFmtId="180" fontId="95" fillId="0" borderId="17" xfId="0" applyNumberFormat="1" applyFont="1" applyFill="1" applyBorder="1" applyAlignment="1" applyProtection="1">
      <alignment horizontal="center" vertical="center"/>
      <protection locked="0"/>
    </xf>
    <xf numFmtId="0" fontId="92" fillId="0" borderId="18" xfId="0" applyFont="1" applyBorder="1" applyAlignment="1" applyProtection="1">
      <alignment horizontal="center" vertical="center" wrapText="1"/>
      <protection hidden="1"/>
    </xf>
    <xf numFmtId="0" fontId="92" fillId="0" borderId="17" xfId="0" applyFont="1" applyFill="1" applyBorder="1" applyAlignment="1" applyProtection="1">
      <alignment horizontal="center" vertical="center"/>
      <protection hidden="1"/>
    </xf>
    <xf numFmtId="0" fontId="91" fillId="0" borderId="17" xfId="0" applyFont="1" applyFill="1" applyBorder="1" applyAlignment="1" applyProtection="1">
      <alignment horizontal="center" vertical="center"/>
      <protection hidden="1"/>
    </xf>
    <xf numFmtId="0" fontId="91" fillId="0" borderId="8" xfId="0" applyFont="1" applyFill="1" applyBorder="1" applyAlignment="1" applyProtection="1">
      <alignment horizontal="center" vertical="center"/>
      <protection hidden="1"/>
    </xf>
    <xf numFmtId="0" fontId="92" fillId="0" borderId="4" xfId="0" applyFont="1" applyBorder="1" applyAlignment="1" applyProtection="1">
      <alignment horizontal="center" vertical="center"/>
      <protection hidden="1"/>
    </xf>
    <xf numFmtId="0" fontId="92" fillId="0" borderId="19" xfId="0" applyFont="1" applyBorder="1" applyAlignment="1" applyProtection="1">
      <alignment horizontal="center" vertical="center" wrapText="1"/>
      <protection hidden="1"/>
    </xf>
    <xf numFmtId="0" fontId="92" fillId="0" borderId="17" xfId="0" applyFont="1" applyBorder="1" applyAlignment="1" applyProtection="1">
      <alignment horizontal="center" vertical="center"/>
      <protection hidden="1"/>
    </xf>
    <xf numFmtId="0" fontId="92" fillId="0" borderId="8" xfId="0" applyFont="1" applyBorder="1" applyAlignment="1" applyProtection="1">
      <alignment horizontal="center" vertical="center"/>
      <protection hidden="1"/>
    </xf>
    <xf numFmtId="181" fontId="91" fillId="0" borderId="18" xfId="0" applyNumberFormat="1" applyFont="1" applyBorder="1" applyAlignment="1" applyProtection="1">
      <alignment horizontal="center" vertical="center"/>
      <protection locked="0"/>
    </xf>
    <xf numFmtId="181" fontId="91" fillId="0" borderId="17" xfId="0" applyNumberFormat="1" applyFont="1" applyBorder="1" applyAlignment="1" applyProtection="1">
      <alignment horizontal="center" vertical="center"/>
      <protection hidden="1"/>
    </xf>
    <xf numFmtId="181" fontId="92" fillId="0" borderId="17" xfId="0" applyNumberFormat="1" applyFont="1" applyBorder="1" applyAlignment="1" applyProtection="1">
      <alignment horizontal="center" vertical="center"/>
      <protection hidden="1"/>
    </xf>
    <xf numFmtId="0" fontId="91" fillId="0" borderId="17" xfId="0" applyFont="1" applyBorder="1" applyAlignment="1" applyProtection="1">
      <alignment horizontal="center" vertical="center"/>
      <protection hidden="1"/>
    </xf>
    <xf numFmtId="2" fontId="91" fillId="0" borderId="17" xfId="0" applyNumberFormat="1" applyFont="1" applyBorder="1" applyAlignment="1" applyProtection="1">
      <alignment horizontal="center" vertical="center"/>
      <protection hidden="1"/>
    </xf>
    <xf numFmtId="181" fontId="91" fillId="0" borderId="19" xfId="0" applyNumberFormat="1" applyFont="1" applyBorder="1" applyAlignment="1" applyProtection="1">
      <alignment horizontal="center" vertical="center"/>
      <protection locked="0"/>
    </xf>
    <xf numFmtId="2" fontId="98" fillId="0" borderId="17" xfId="0" applyNumberFormat="1" applyFont="1" applyBorder="1" applyAlignment="1" applyProtection="1">
      <alignment horizontal="center" vertical="center"/>
      <protection hidden="1"/>
    </xf>
    <xf numFmtId="181" fontId="91" fillId="0" borderId="18" xfId="0" applyNumberFormat="1" applyFont="1" applyBorder="1" applyAlignment="1" applyProtection="1">
      <alignment horizontal="center" vertical="center"/>
      <protection hidden="1"/>
    </xf>
    <xf numFmtId="181" fontId="91" fillId="0" borderId="19" xfId="0" applyNumberFormat="1" applyFont="1" applyBorder="1" applyAlignment="1" applyProtection="1">
      <alignment horizontal="center" vertical="center"/>
      <protection hidden="1"/>
    </xf>
    <xf numFmtId="2" fontId="91" fillId="0" borderId="0" xfId="0" applyNumberFormat="1" applyFont="1" applyBorder="1" applyAlignment="1" applyProtection="1">
      <alignment horizontal="center" vertical="center"/>
      <protection hidden="1"/>
    </xf>
    <xf numFmtId="0" fontId="93" fillId="0" borderId="4" xfId="0" applyFont="1" applyBorder="1" applyAlignment="1" applyProtection="1">
      <alignment horizontal="center" vertical="center"/>
      <protection hidden="1"/>
    </xf>
    <xf numFmtId="0" fontId="36" fillId="0" borderId="0" xfId="0" applyFont="1" applyBorder="1" applyAlignment="1" applyProtection="1">
      <alignment horizontal="center" vertical="center"/>
      <protection hidden="1"/>
    </xf>
    <xf numFmtId="0" fontId="93" fillId="0" borderId="8" xfId="0" applyFont="1" applyBorder="1" applyAlignment="1" applyProtection="1">
      <alignment horizontal="center" vertical="center"/>
      <protection hidden="1"/>
    </xf>
    <xf numFmtId="0" fontId="93" fillId="0" borderId="17" xfId="0" applyFont="1" applyBorder="1" applyAlignment="1" applyProtection="1">
      <alignment horizontal="center" vertical="center"/>
      <protection hidden="1"/>
    </xf>
    <xf numFmtId="2" fontId="93" fillId="0" borderId="17" xfId="0" applyNumberFormat="1" applyFont="1" applyBorder="1" applyAlignment="1" applyProtection="1">
      <alignment horizontal="center" vertical="center"/>
      <protection hidden="1"/>
    </xf>
    <xf numFmtId="0" fontId="36" fillId="0" borderId="149" xfId="0" applyFont="1" applyBorder="1" applyAlignment="1" applyProtection="1">
      <alignment horizontal="center" vertical="center"/>
      <protection hidden="1"/>
    </xf>
    <xf numFmtId="0" fontId="36" fillId="0" borderId="150" xfId="0" applyFont="1" applyBorder="1" applyAlignment="1" applyProtection="1">
      <alignment horizontal="center" vertical="center"/>
      <protection hidden="1"/>
    </xf>
    <xf numFmtId="0" fontId="36" fillId="0" borderId="151" xfId="0" applyFont="1" applyBorder="1" applyAlignment="1" applyProtection="1">
      <alignment horizontal="center" vertical="center"/>
      <protection hidden="1"/>
    </xf>
    <xf numFmtId="0" fontId="93" fillId="0" borderId="0" xfId="0" applyFont="1" applyBorder="1" applyAlignment="1" applyProtection="1">
      <alignment horizontal="center" vertical="center"/>
      <protection hidden="1"/>
    </xf>
    <xf numFmtId="2" fontId="93" fillId="0" borderId="0" xfId="0" applyNumberFormat="1" applyFont="1" applyBorder="1" applyAlignment="1" applyProtection="1">
      <alignment horizontal="center" vertical="center"/>
      <protection hidden="1"/>
    </xf>
    <xf numFmtId="0" fontId="91" fillId="0" borderId="152" xfId="0" applyFont="1" applyBorder="1" applyAlignment="1" applyProtection="1">
      <alignment horizontal="center" vertical="center"/>
      <protection hidden="1"/>
    </xf>
    <xf numFmtId="0" fontId="91" fillId="0" borderId="6" xfId="0" applyFont="1" applyBorder="1" applyAlignment="1" applyProtection="1">
      <alignment horizontal="center" vertical="center"/>
      <protection hidden="1"/>
    </xf>
    <xf numFmtId="0" fontId="92" fillId="0" borderId="6" xfId="0" applyFont="1" applyBorder="1" applyAlignment="1" applyProtection="1">
      <alignment horizontal="center" vertical="center"/>
      <protection hidden="1"/>
    </xf>
    <xf numFmtId="0" fontId="91" fillId="0" borderId="153" xfId="0" applyFont="1" applyBorder="1" applyAlignment="1" applyProtection="1">
      <alignment horizontal="center" vertical="center"/>
      <protection hidden="1"/>
    </xf>
    <xf numFmtId="0" fontId="91" fillId="0" borderId="22" xfId="0" applyFont="1" applyBorder="1" applyAlignment="1" applyProtection="1">
      <alignment horizontal="center" vertical="center"/>
      <protection hidden="1"/>
    </xf>
    <xf numFmtId="0" fontId="91" fillId="0" borderId="23" xfId="0" applyFont="1" applyBorder="1" applyAlignment="1" applyProtection="1">
      <alignment horizontal="center" vertical="center"/>
      <protection hidden="1"/>
    </xf>
    <xf numFmtId="0" fontId="92" fillId="0" borderId="23" xfId="0" applyFont="1" applyBorder="1" applyAlignment="1" applyProtection="1">
      <alignment horizontal="center" vertical="center"/>
      <protection hidden="1"/>
    </xf>
    <xf numFmtId="0" fontId="91" fillId="0" borderId="24" xfId="0" applyFont="1" applyBorder="1" applyAlignment="1" applyProtection="1">
      <alignment horizontal="center" vertical="center"/>
      <protection hidden="1"/>
    </xf>
    <xf numFmtId="0" fontId="99" fillId="0" borderId="0" xfId="0" applyFont="1" applyBorder="1" applyAlignment="1" applyProtection="1">
      <alignment horizontal="center" vertical="center"/>
      <protection hidden="1"/>
    </xf>
    <xf numFmtId="0" fontId="63" fillId="0" borderId="0" xfId="0" applyFont="1" applyBorder="1" applyAlignment="1" applyProtection="1">
      <alignment horizontal="center" vertical="center"/>
      <protection hidden="1"/>
    </xf>
    <xf numFmtId="0" fontId="100" fillId="0" borderId="0" xfId="0" applyFont="1" applyBorder="1" applyAlignment="1" applyProtection="1">
      <alignment horizontal="center" vertical="center"/>
      <protection hidden="1"/>
    </xf>
    <xf numFmtId="0" fontId="101" fillId="0" borderId="23" xfId="0" applyFont="1" applyBorder="1" applyAlignment="1" applyProtection="1">
      <alignment horizontal="center" vertical="center"/>
      <protection hidden="1"/>
    </xf>
    <xf numFmtId="0" fontId="91" fillId="0" borderId="12" xfId="0" applyFont="1" applyBorder="1" applyAlignment="1" applyProtection="1">
      <alignment horizontal="center" vertical="center"/>
      <protection hidden="1"/>
    </xf>
    <xf numFmtId="0" fontId="94" fillId="0" borderId="0" xfId="0" applyFont="1" applyAlignment="1" applyProtection="1">
      <alignment vertical="center"/>
      <protection hidden="1"/>
    </xf>
    <xf numFmtId="0" fontId="95" fillId="0" borderId="0" xfId="0" applyFont="1" applyAlignment="1" applyProtection="1">
      <alignment vertical="center"/>
      <protection hidden="1"/>
    </xf>
    <xf numFmtId="0" fontId="90" fillId="0" borderId="0" xfId="0" applyFont="1" applyAlignment="1" applyProtection="1">
      <alignment vertical="center"/>
      <protection hidden="1"/>
    </xf>
    <xf numFmtId="0" fontId="96" fillId="0" borderId="23" xfId="0" applyFont="1" applyBorder="1" applyAlignment="1" applyProtection="1">
      <alignment horizontal="center" vertical="top"/>
      <protection hidden="1"/>
    </xf>
    <xf numFmtId="0" fontId="94" fillId="0" borderId="23" xfId="0" applyFont="1" applyBorder="1" applyAlignment="1" applyProtection="1">
      <alignment horizontal="center" vertical="center"/>
      <protection hidden="1"/>
    </xf>
    <xf numFmtId="0" fontId="91" fillId="0" borderId="2" xfId="0" applyFont="1" applyBorder="1" applyAlignment="1" applyProtection="1">
      <alignment horizontal="center" vertical="center"/>
      <protection hidden="1"/>
    </xf>
    <xf numFmtId="181" fontId="91" fillId="0" borderId="17" xfId="0" applyNumberFormat="1" applyFont="1" applyBorder="1" applyAlignment="1" applyProtection="1">
      <alignment horizontal="left" vertical="center"/>
      <protection hidden="1"/>
    </xf>
    <xf numFmtId="185" fontId="91" fillId="0" borderId="17" xfId="0" applyNumberFormat="1" applyFont="1" applyBorder="1" applyAlignment="1" applyProtection="1">
      <alignment horizontal="left" vertical="center"/>
      <protection hidden="1"/>
    </xf>
    <xf numFmtId="0" fontId="91" fillId="0" borderId="17" xfId="0" applyFont="1" applyBorder="1" applyAlignment="1" applyProtection="1">
      <alignment horizontal="right" vertical="center"/>
      <protection hidden="1"/>
    </xf>
    <xf numFmtId="0" fontId="91" fillId="0" borderId="13" xfId="0" applyFont="1" applyBorder="1" applyAlignment="1" applyProtection="1">
      <alignment vertical="center"/>
      <protection hidden="1"/>
    </xf>
    <xf numFmtId="0" fontId="91" fillId="0" borderId="12" xfId="0" applyFont="1" applyBorder="1" applyAlignment="1" applyProtection="1">
      <alignment horizontal="center" vertical="center"/>
      <protection locked="0"/>
    </xf>
    <xf numFmtId="0" fontId="91" fillId="0" borderId="0" xfId="0" applyFont="1" applyBorder="1" applyAlignment="1" applyProtection="1">
      <alignment vertical="center"/>
      <protection hidden="1"/>
    </xf>
    <xf numFmtId="0" fontId="98" fillId="0" borderId="0" xfId="0" applyFont="1" applyBorder="1" applyAlignment="1" applyProtection="1">
      <alignment horizontal="left" vertical="center"/>
      <protection hidden="1"/>
    </xf>
    <xf numFmtId="0" fontId="91" fillId="0" borderId="0" xfId="0" applyFont="1" applyBorder="1" applyProtection="1">
      <alignment vertical="center"/>
      <protection hidden="1"/>
    </xf>
    <xf numFmtId="0" fontId="91" fillId="0" borderId="0" xfId="0" applyFont="1" applyBorder="1" applyAlignment="1" applyProtection="1">
      <alignment horizontal="left" vertical="center"/>
      <protection hidden="1"/>
    </xf>
    <xf numFmtId="0" fontId="102" fillId="12" borderId="13" xfId="0" applyFont="1" applyFill="1" applyBorder="1" applyAlignment="1" applyProtection="1">
      <alignment horizontal="center" vertical="center"/>
      <protection hidden="1"/>
    </xf>
    <xf numFmtId="0" fontId="102" fillId="12" borderId="12" xfId="0" applyFont="1" applyFill="1" applyBorder="1" applyAlignment="1" applyProtection="1">
      <alignment horizontal="center" vertical="center"/>
      <protection hidden="1"/>
    </xf>
    <xf numFmtId="0" fontId="102" fillId="12" borderId="14" xfId="0" applyFont="1" applyFill="1" applyBorder="1" applyAlignment="1" applyProtection="1">
      <alignment horizontal="center" vertical="center"/>
      <protection hidden="1"/>
    </xf>
    <xf numFmtId="180" fontId="93" fillId="0" borderId="17" xfId="0" applyNumberFormat="1" applyFont="1" applyBorder="1" applyAlignment="1" applyProtection="1">
      <alignment horizontal="center" vertical="center"/>
      <protection hidden="1"/>
    </xf>
    <xf numFmtId="0" fontId="93" fillId="0" borderId="17" xfId="0" applyFont="1" applyBorder="1" applyAlignment="1" applyProtection="1">
      <alignment horizontal="center" vertical="center" wrapText="1"/>
      <protection hidden="1"/>
    </xf>
    <xf numFmtId="0" fontId="91" fillId="0" borderId="17" xfId="0" applyFont="1" applyBorder="1" applyAlignment="1" applyProtection="1">
      <alignment horizontal="center" vertical="center" wrapText="1"/>
      <protection hidden="1"/>
    </xf>
    <xf numFmtId="181" fontId="93" fillId="0" borderId="17" xfId="0" applyNumberFormat="1" applyFont="1" applyBorder="1" applyAlignment="1" applyProtection="1">
      <alignment horizontal="center" vertical="center"/>
      <protection hidden="1"/>
    </xf>
    <xf numFmtId="181" fontId="93" fillId="0" borderId="13" xfId="0" applyNumberFormat="1" applyFont="1" applyBorder="1" applyAlignment="1" applyProtection="1">
      <alignment horizontal="left" vertical="center"/>
      <protection hidden="1"/>
    </xf>
    <xf numFmtId="181" fontId="93" fillId="0" borderId="12" xfId="0" applyNumberFormat="1" applyFont="1" applyBorder="1" applyAlignment="1" applyProtection="1">
      <alignment horizontal="left" vertical="center"/>
      <protection hidden="1"/>
    </xf>
    <xf numFmtId="181" fontId="93" fillId="0" borderId="14" xfId="0" applyNumberFormat="1" applyFont="1" applyBorder="1" applyAlignment="1" applyProtection="1">
      <alignment horizontal="left" vertical="center"/>
      <protection hidden="1"/>
    </xf>
    <xf numFmtId="181" fontId="93" fillId="0" borderId="6" xfId="0" applyNumberFormat="1" applyFont="1" applyBorder="1" applyAlignment="1" applyProtection="1">
      <alignment horizontal="center" vertical="center"/>
      <protection hidden="1"/>
    </xf>
    <xf numFmtId="0" fontId="93" fillId="0" borderId="6" xfId="0" applyNumberFormat="1" applyFont="1" applyBorder="1" applyAlignment="1" applyProtection="1">
      <alignment horizontal="center" vertical="center"/>
      <protection hidden="1"/>
    </xf>
    <xf numFmtId="0" fontId="93" fillId="0" borderId="6" xfId="0" applyNumberFormat="1" applyFont="1" applyBorder="1" applyAlignment="1" applyProtection="1">
      <alignment horizontal="left" vertical="center"/>
      <protection hidden="1"/>
    </xf>
    <xf numFmtId="0" fontId="36" fillId="0" borderId="13" xfId="0" applyFont="1" applyBorder="1" applyAlignment="1" applyProtection="1">
      <alignment horizontal="center" vertical="center"/>
      <protection hidden="1"/>
    </xf>
    <xf numFmtId="0" fontId="36" fillId="0" borderId="12" xfId="0" applyFont="1" applyBorder="1" applyAlignment="1" applyProtection="1">
      <alignment horizontal="center" vertical="center"/>
      <protection hidden="1"/>
    </xf>
    <xf numFmtId="0" fontId="36" fillId="0" borderId="14" xfId="0" applyFont="1" applyBorder="1" applyAlignment="1" applyProtection="1">
      <alignment horizontal="center" vertical="center"/>
      <protection hidden="1"/>
    </xf>
    <xf numFmtId="0" fontId="91" fillId="0" borderId="9" xfId="0" applyFont="1" applyBorder="1" applyAlignment="1" applyProtection="1">
      <alignment horizontal="center" vertical="center"/>
      <protection hidden="1"/>
    </xf>
    <xf numFmtId="0" fontId="91" fillId="0" borderId="10" xfId="0" applyFont="1" applyBorder="1" applyAlignment="1" applyProtection="1">
      <alignment horizontal="center" vertical="center"/>
      <protection hidden="1"/>
    </xf>
    <xf numFmtId="0" fontId="91" fillId="0" borderId="15" xfId="0" applyFont="1" applyBorder="1" applyAlignment="1" applyProtection="1">
      <alignment horizontal="center" vertical="center"/>
      <protection hidden="1"/>
    </xf>
    <xf numFmtId="0" fontId="91" fillId="0" borderId="11" xfId="0" applyFont="1" applyBorder="1" applyAlignment="1" applyProtection="1">
      <alignment horizontal="center" vertical="center"/>
      <protection hidden="1"/>
    </xf>
    <xf numFmtId="0" fontId="91" fillId="0" borderId="16" xfId="0" applyFont="1" applyBorder="1" applyAlignment="1" applyProtection="1">
      <alignment horizontal="center" vertical="center"/>
      <protection hidden="1"/>
    </xf>
    <xf numFmtId="0" fontId="103" fillId="0" borderId="0" xfId="0" applyFont="1" applyBorder="1" applyAlignment="1" applyProtection="1">
      <alignment horizontal="left" vertical="center"/>
      <protection hidden="1"/>
    </xf>
    <xf numFmtId="0" fontId="104" fillId="0" borderId="0" xfId="0" applyFont="1" applyBorder="1" applyAlignment="1" applyProtection="1">
      <alignment horizontal="left" vertical="center"/>
      <protection hidden="1"/>
    </xf>
    <xf numFmtId="0" fontId="105" fillId="0" borderId="0" xfId="0" applyFont="1" applyAlignment="1" applyProtection="1">
      <alignment horizontal="center" vertical="center"/>
      <protection hidden="1"/>
    </xf>
    <xf numFmtId="0" fontId="106" fillId="0" borderId="0" xfId="0" applyFont="1" applyAlignment="1" applyProtection="1">
      <alignment horizontal="left" vertical="center"/>
      <protection hidden="1"/>
    </xf>
    <xf numFmtId="0" fontId="107" fillId="0" borderId="0" xfId="0" applyFont="1" applyAlignment="1" applyProtection="1">
      <alignment horizontal="center" vertical="center"/>
      <protection hidden="1"/>
    </xf>
    <xf numFmtId="0" fontId="106" fillId="0" borderId="0" xfId="0" applyFont="1" applyAlignment="1" applyProtection="1">
      <alignment horizontal="center" vertical="center"/>
      <protection hidden="1"/>
    </xf>
    <xf numFmtId="0" fontId="105" fillId="0" borderId="11" xfId="0" applyFont="1" applyBorder="1" applyAlignment="1" applyProtection="1">
      <alignment horizontal="center" vertical="center"/>
      <protection hidden="1"/>
    </xf>
    <xf numFmtId="0" fontId="107" fillId="0" borderId="17" xfId="0" applyFont="1" applyBorder="1" applyAlignment="1" applyProtection="1">
      <alignment horizontal="left" vertical="center"/>
      <protection hidden="1"/>
    </xf>
    <xf numFmtId="0" fontId="106" fillId="0" borderId="13" xfId="0" applyFont="1" applyBorder="1" applyAlignment="1" applyProtection="1">
      <alignment horizontal="left" vertical="center"/>
      <protection hidden="1"/>
    </xf>
    <xf numFmtId="0" fontId="106" fillId="0" borderId="12" xfId="0" applyFont="1" applyBorder="1" applyAlignment="1" applyProtection="1">
      <alignment horizontal="left" vertical="center"/>
      <protection hidden="1"/>
    </xf>
    <xf numFmtId="0" fontId="106" fillId="0" borderId="14" xfId="0" applyFont="1" applyBorder="1" applyAlignment="1" applyProtection="1">
      <alignment horizontal="left" vertical="center"/>
      <protection hidden="1"/>
    </xf>
    <xf numFmtId="0" fontId="107" fillId="0" borderId="13" xfId="0" applyFont="1" applyBorder="1" applyAlignment="1" applyProtection="1">
      <alignment horizontal="left" vertical="center"/>
      <protection hidden="1"/>
    </xf>
    <xf numFmtId="0" fontId="107" fillId="0" borderId="14" xfId="0" applyFont="1" applyBorder="1" applyAlignment="1" applyProtection="1">
      <alignment horizontal="left" vertical="center"/>
      <protection hidden="1"/>
    </xf>
    <xf numFmtId="0" fontId="107" fillId="0" borderId="17" xfId="0" applyFont="1" applyBorder="1" applyProtection="1">
      <alignment vertical="center"/>
      <protection hidden="1"/>
    </xf>
    <xf numFmtId="0" fontId="106" fillId="0" borderId="17" xfId="0" applyFont="1" applyBorder="1" applyAlignment="1" applyProtection="1">
      <alignment horizontal="left" vertical="center"/>
      <protection hidden="1"/>
    </xf>
    <xf numFmtId="0" fontId="107" fillId="0" borderId="18" xfId="0" applyFont="1" applyBorder="1" applyAlignment="1" applyProtection="1">
      <alignment horizontal="center" vertical="center"/>
      <protection locked="0"/>
    </xf>
    <xf numFmtId="0" fontId="107" fillId="0" borderId="18" xfId="0" applyFont="1" applyBorder="1" applyAlignment="1" applyProtection="1">
      <alignment horizontal="center" vertical="center" wrapText="1"/>
      <protection hidden="1"/>
    </xf>
    <xf numFmtId="0" fontId="107" fillId="0" borderId="18" xfId="0" applyFont="1" applyBorder="1" applyAlignment="1" applyProtection="1">
      <alignment horizontal="center" vertical="center"/>
      <protection hidden="1"/>
    </xf>
    <xf numFmtId="0" fontId="107" fillId="0" borderId="17" xfId="0" applyFont="1" applyBorder="1" applyAlignment="1" applyProtection="1">
      <alignment horizontal="center" vertical="center"/>
      <protection locked="0"/>
    </xf>
    <xf numFmtId="0" fontId="107" fillId="0" borderId="17" xfId="0" applyFont="1" applyBorder="1" applyAlignment="1" applyProtection="1">
      <alignment horizontal="center" vertical="center"/>
      <protection hidden="1"/>
    </xf>
    <xf numFmtId="0" fontId="107" fillId="0" borderId="19" xfId="0" applyFont="1" applyBorder="1" applyAlignment="1" applyProtection="1">
      <alignment horizontal="center" vertical="center"/>
      <protection locked="0"/>
    </xf>
    <xf numFmtId="0" fontId="107" fillId="0" borderId="19" xfId="0" applyFont="1" applyBorder="1" applyAlignment="1" applyProtection="1">
      <alignment horizontal="center" vertical="center" wrapText="1"/>
      <protection hidden="1"/>
    </xf>
    <xf numFmtId="0" fontId="107" fillId="0" borderId="19" xfId="0" applyFont="1" applyBorder="1" applyAlignment="1" applyProtection="1">
      <alignment horizontal="center" vertical="center"/>
      <protection hidden="1"/>
    </xf>
    <xf numFmtId="0" fontId="106" fillId="0" borderId="17" xfId="0" applyFont="1" applyBorder="1" applyAlignment="1" applyProtection="1">
      <alignment horizontal="center" vertical="center"/>
      <protection hidden="1"/>
    </xf>
    <xf numFmtId="181" fontId="106" fillId="0" borderId="17" xfId="0" applyNumberFormat="1" applyFont="1" applyBorder="1" applyAlignment="1" applyProtection="1">
      <alignment horizontal="center" vertical="center"/>
      <protection hidden="1"/>
    </xf>
    <xf numFmtId="181" fontId="106" fillId="0" borderId="17" xfId="0" applyNumberFormat="1" applyFont="1" applyBorder="1" applyAlignment="1" applyProtection="1">
      <alignment horizontal="left" vertical="center"/>
      <protection hidden="1"/>
    </xf>
    <xf numFmtId="0" fontId="106" fillId="0" borderId="18" xfId="0" applyFont="1" applyBorder="1" applyAlignment="1" applyProtection="1">
      <alignment horizontal="center" vertical="center"/>
      <protection hidden="1"/>
    </xf>
    <xf numFmtId="0" fontId="106" fillId="0" borderId="5" xfId="0" applyFont="1" applyBorder="1" applyAlignment="1" applyProtection="1">
      <alignment horizontal="center" vertical="center"/>
      <protection hidden="1"/>
    </xf>
    <xf numFmtId="0" fontId="106" fillId="0" borderId="0" xfId="0" applyFont="1" applyBorder="1" applyAlignment="1" applyProtection="1">
      <alignment horizontal="center" vertical="center"/>
      <protection hidden="1"/>
    </xf>
    <xf numFmtId="0" fontId="62" fillId="0" borderId="6" xfId="0" applyFont="1" applyBorder="1" applyAlignment="1" applyProtection="1">
      <alignment horizontal="left" vertical="center"/>
      <protection hidden="1"/>
    </xf>
    <xf numFmtId="0" fontId="62" fillId="0" borderId="7" xfId="0" applyFont="1" applyBorder="1" applyAlignment="1" applyProtection="1">
      <alignment horizontal="left" vertical="center"/>
      <protection hidden="1"/>
    </xf>
    <xf numFmtId="0" fontId="106" fillId="0" borderId="9" xfId="0" applyFont="1" applyBorder="1" applyAlignment="1" applyProtection="1">
      <alignment horizontal="center" vertical="center"/>
      <protection hidden="1"/>
    </xf>
    <xf numFmtId="0" fontId="62" fillId="0" borderId="0" xfId="0" applyFont="1" applyBorder="1" applyAlignment="1" applyProtection="1">
      <alignment horizontal="left" vertical="center"/>
      <protection hidden="1"/>
    </xf>
    <xf numFmtId="0" fontId="62" fillId="0" borderId="10" xfId="0" applyFont="1" applyBorder="1" applyAlignment="1" applyProtection="1">
      <alignment horizontal="left" vertical="center"/>
      <protection hidden="1"/>
    </xf>
    <xf numFmtId="0" fontId="106" fillId="0" borderId="0" xfId="0" applyFont="1" applyBorder="1" applyAlignment="1" applyProtection="1">
      <alignment horizontal="left" vertical="center"/>
      <protection hidden="1"/>
    </xf>
    <xf numFmtId="0" fontId="106" fillId="0" borderId="10" xfId="0" applyFont="1" applyBorder="1" applyAlignment="1" applyProtection="1">
      <alignment horizontal="left" vertical="center"/>
      <protection hidden="1"/>
    </xf>
    <xf numFmtId="0" fontId="107" fillId="0" borderId="0" xfId="0" applyFont="1" applyBorder="1" applyAlignment="1" applyProtection="1">
      <alignment horizontal="left" vertical="center"/>
      <protection hidden="1"/>
    </xf>
    <xf numFmtId="0" fontId="107" fillId="0" borderId="10" xfId="0" applyFont="1" applyBorder="1" applyAlignment="1" applyProtection="1">
      <alignment horizontal="left" vertical="center"/>
      <protection hidden="1"/>
    </xf>
    <xf numFmtId="0" fontId="106" fillId="0" borderId="15" xfId="0" applyFont="1" applyBorder="1" applyAlignment="1" applyProtection="1">
      <alignment horizontal="center" vertical="center"/>
      <protection hidden="1"/>
    </xf>
    <xf numFmtId="0" fontId="106" fillId="0" borderId="11" xfId="0" applyFont="1" applyBorder="1" applyAlignment="1" applyProtection="1">
      <alignment horizontal="center" vertical="center"/>
      <protection hidden="1"/>
    </xf>
    <xf numFmtId="0" fontId="106" fillId="0" borderId="11" xfId="0" applyFont="1" applyBorder="1" applyAlignment="1" applyProtection="1">
      <alignment horizontal="left" vertical="center"/>
      <protection hidden="1"/>
    </xf>
    <xf numFmtId="0" fontId="106" fillId="0" borderId="16" xfId="0" applyFont="1" applyBorder="1" applyAlignment="1" applyProtection="1">
      <alignment horizontal="left" vertical="center"/>
      <protection hidden="1"/>
    </xf>
    <xf numFmtId="0" fontId="108" fillId="0" borderId="0" xfId="0" applyFont="1" applyAlignment="1" applyProtection="1">
      <alignment horizontal="center" vertical="center"/>
      <protection hidden="1"/>
    </xf>
    <xf numFmtId="0" fontId="62" fillId="12" borderId="17" xfId="0" applyFont="1" applyFill="1" applyBorder="1" applyAlignment="1" applyProtection="1">
      <alignment horizontal="center" vertical="center"/>
      <protection hidden="1"/>
    </xf>
    <xf numFmtId="0" fontId="105" fillId="12" borderId="17" xfId="0" applyFont="1" applyFill="1" applyBorder="1" applyAlignment="1" applyProtection="1">
      <alignment horizontal="center" vertical="center" wrapText="1"/>
      <protection hidden="1"/>
    </xf>
    <xf numFmtId="0" fontId="62" fillId="0" borderId="17" xfId="0" applyFont="1" applyBorder="1" applyAlignment="1" applyProtection="1">
      <alignment horizontal="center" vertical="center"/>
      <protection hidden="1"/>
    </xf>
    <xf numFmtId="0" fontId="108" fillId="0" borderId="17" xfId="0" applyFont="1" applyBorder="1" applyAlignment="1" applyProtection="1">
      <alignment horizontal="center" vertical="center"/>
      <protection hidden="1"/>
    </xf>
    <xf numFmtId="0" fontId="108" fillId="0" borderId="0" xfId="0" applyFont="1" applyAlignment="1" applyProtection="1">
      <alignment horizontal="left" vertical="center"/>
      <protection hidden="1"/>
    </xf>
    <xf numFmtId="0" fontId="108" fillId="0" borderId="0" xfId="0" applyFont="1" applyFill="1" applyAlignment="1" applyProtection="1">
      <alignment horizontal="center" vertical="center"/>
      <protection hidden="1"/>
    </xf>
    <xf numFmtId="0" fontId="62" fillId="12" borderId="17" xfId="0" applyFont="1" applyFill="1" applyBorder="1" applyAlignment="1" applyProtection="1">
      <alignment horizontal="center" vertical="center" wrapText="1"/>
      <protection hidden="1"/>
    </xf>
    <xf numFmtId="0" fontId="62" fillId="12" borderId="17" xfId="0" applyFont="1" applyFill="1" applyBorder="1" applyAlignment="1" applyProtection="1">
      <alignment horizontal="left" vertical="center"/>
      <protection hidden="1"/>
    </xf>
    <xf numFmtId="0" fontId="62" fillId="20" borderId="17" xfId="0" applyFont="1" applyFill="1" applyBorder="1" applyAlignment="1" applyProtection="1">
      <alignment horizontal="center" vertical="center" wrapText="1"/>
      <protection hidden="1"/>
    </xf>
    <xf numFmtId="0" fontId="62" fillId="21" borderId="17" xfId="0" applyFont="1" applyFill="1" applyBorder="1" applyAlignment="1" applyProtection="1">
      <alignment horizontal="center" vertical="center" wrapText="1"/>
      <protection hidden="1"/>
    </xf>
    <xf numFmtId="0" fontId="108" fillId="12" borderId="17" xfId="0" applyFont="1" applyFill="1" applyBorder="1" applyAlignment="1" applyProtection="1">
      <alignment horizontal="center" vertical="center"/>
      <protection hidden="1"/>
    </xf>
    <xf numFmtId="0" fontId="108" fillId="20" borderId="17" xfId="0" applyFont="1" applyFill="1" applyBorder="1" applyAlignment="1" applyProtection="1">
      <alignment horizontal="center" vertical="center"/>
      <protection hidden="1"/>
    </xf>
    <xf numFmtId="0" fontId="62" fillId="21" borderId="17" xfId="0" applyFont="1" applyFill="1" applyBorder="1" applyAlignment="1" applyProtection="1">
      <alignment horizontal="center" vertic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108" fillId="20" borderId="17" xfId="0" applyFont="1" applyFill="1" applyBorder="1" applyAlignment="1" applyProtection="1">
      <alignment horizontal="left" vertical="center"/>
      <protection hidden="1"/>
    </xf>
    <xf numFmtId="0" fontId="108" fillId="0" borderId="17" xfId="0" applyFont="1" applyFill="1" applyBorder="1" applyAlignment="1" applyProtection="1">
      <alignment horizontal="center" vertical="center"/>
      <protection hidden="1"/>
    </xf>
    <xf numFmtId="0" fontId="109" fillId="0" borderId="0" xfId="0" applyFont="1" applyAlignment="1" applyProtection="1">
      <alignment horizontal="center" vertical="center"/>
      <protection hidden="1"/>
    </xf>
    <xf numFmtId="0" fontId="109" fillId="0" borderId="0" xfId="0" applyFont="1" applyAlignment="1" applyProtection="1">
      <alignment horizontal="left" vertical="center"/>
      <protection hidden="1"/>
    </xf>
    <xf numFmtId="0" fontId="110" fillId="12" borderId="17" xfId="0" applyFont="1" applyFill="1" applyBorder="1" applyAlignment="1" applyProtection="1">
      <alignment horizontal="center" vertical="center"/>
      <protection hidden="1"/>
    </xf>
    <xf numFmtId="0" fontId="93" fillId="12" borderId="154" xfId="0" applyFont="1" applyFill="1" applyBorder="1" applyAlignment="1" applyProtection="1">
      <alignment horizontal="center" vertical="center"/>
      <protection hidden="1"/>
    </xf>
    <xf numFmtId="0" fontId="93" fillId="20" borderId="155" xfId="0" applyFont="1" applyFill="1" applyBorder="1" applyAlignment="1" applyProtection="1">
      <alignment horizontal="center" vertical="center" wrapText="1"/>
      <protection hidden="1"/>
    </xf>
    <xf numFmtId="0" fontId="93" fillId="20" borderId="156" xfId="0" applyFont="1" applyFill="1" applyBorder="1" applyAlignment="1" applyProtection="1">
      <alignment horizontal="center" vertical="center" wrapText="1"/>
      <protection hidden="1"/>
    </xf>
    <xf numFmtId="182" fontId="93" fillId="20" borderId="156" xfId="0" applyNumberFormat="1" applyFont="1" applyFill="1" applyBorder="1" applyAlignment="1" applyProtection="1">
      <alignment horizontal="center" vertical="center" wrapText="1"/>
      <protection hidden="1"/>
    </xf>
    <xf numFmtId="0" fontId="93" fillId="20" borderId="157" xfId="0" applyFont="1" applyFill="1" applyBorder="1" applyAlignment="1" applyProtection="1">
      <alignment horizontal="center" vertical="center" wrapText="1"/>
      <protection hidden="1"/>
    </xf>
    <xf numFmtId="0" fontId="105" fillId="12" borderId="17" xfId="0" applyFont="1" applyFill="1" applyBorder="1" applyAlignment="1" applyProtection="1">
      <alignment horizontal="center" vertical="center"/>
      <protection hidden="1"/>
    </xf>
    <xf numFmtId="0" fontId="105" fillId="20" borderId="17" xfId="0" applyFont="1" applyFill="1" applyBorder="1" applyAlignment="1" applyProtection="1">
      <alignment horizontal="center" vertical="center" wrapText="1"/>
      <protection hidden="1"/>
    </xf>
    <xf numFmtId="0" fontId="105" fillId="20" borderId="17" xfId="0" applyFont="1" applyFill="1" applyBorder="1" applyAlignment="1" applyProtection="1">
      <alignment horizontal="center" vertical="center"/>
      <protection hidden="1"/>
    </xf>
    <xf numFmtId="0" fontId="105" fillId="22" borderId="17" xfId="0" applyFont="1" applyFill="1" applyBorder="1" applyAlignment="1" applyProtection="1">
      <alignment horizontal="center" vertical="center"/>
      <protection hidden="1"/>
    </xf>
    <xf numFmtId="0" fontId="105" fillId="22" borderId="17" xfId="0" applyFont="1" applyFill="1" applyBorder="1" applyAlignment="1" applyProtection="1">
      <alignment horizontal="left" vertical="center"/>
      <protection hidden="1"/>
    </xf>
    <xf numFmtId="0" fontId="109" fillId="0" borderId="17" xfId="0" applyFont="1" applyBorder="1" applyAlignment="1" applyProtection="1">
      <alignment horizontal="left" vertical="center"/>
      <protection locked="0"/>
    </xf>
    <xf numFmtId="0" fontId="93" fillId="20" borderId="158" xfId="0" applyFont="1" applyFill="1" applyBorder="1" applyAlignment="1" applyProtection="1">
      <alignment horizontal="center" vertical="center"/>
      <protection hidden="1"/>
    </xf>
    <xf numFmtId="0" fontId="111" fillId="0" borderId="16" xfId="0" applyFont="1" applyBorder="1" applyAlignment="1" applyProtection="1">
      <alignment horizontal="center" vertical="center"/>
      <protection locked="0"/>
    </xf>
    <xf numFmtId="0" fontId="111" fillId="0" borderId="19" xfId="0" applyFont="1" applyBorder="1" applyAlignment="1" applyProtection="1">
      <alignment horizontal="center" vertical="center"/>
      <protection locked="0"/>
    </xf>
    <xf numFmtId="0" fontId="111" fillId="0" borderId="159" xfId="0" applyFont="1" applyBorder="1" applyAlignment="1" applyProtection="1">
      <alignment horizontal="center" vertical="center"/>
      <protection locked="0"/>
    </xf>
    <xf numFmtId="2" fontId="111" fillId="0" borderId="0" xfId="0" applyNumberFormat="1" applyFont="1" applyBorder="1" applyAlignment="1" applyProtection="1">
      <alignment horizontal="center" vertical="center"/>
      <protection hidden="1"/>
    </xf>
    <xf numFmtId="0" fontId="93" fillId="20" borderId="160" xfId="0" applyFont="1" applyFill="1" applyBorder="1" applyAlignment="1" applyProtection="1">
      <alignment horizontal="center" vertical="center"/>
      <protection hidden="1"/>
    </xf>
    <xf numFmtId="0" fontId="105" fillId="23" borderId="17" xfId="0" applyFont="1" applyFill="1" applyBorder="1" applyAlignment="1" applyProtection="1">
      <alignment horizontal="center" vertical="center"/>
      <protection hidden="1"/>
    </xf>
    <xf numFmtId="0" fontId="105" fillId="0" borderId="17" xfId="0" applyFont="1" applyBorder="1" applyAlignment="1" applyProtection="1">
      <alignment horizontal="center" vertical="center"/>
      <protection locked="0"/>
    </xf>
    <xf numFmtId="0" fontId="109" fillId="0" borderId="17" xfId="0" applyFont="1" applyBorder="1" applyAlignment="1" applyProtection="1">
      <alignment horizontal="center" vertical="center"/>
      <protection locked="0"/>
    </xf>
    <xf numFmtId="0" fontId="109" fillId="20" borderId="17" xfId="0" applyFont="1" applyFill="1" applyBorder="1" applyAlignment="1" applyProtection="1">
      <alignment horizontal="center" vertical="center"/>
      <protection hidden="1"/>
    </xf>
    <xf numFmtId="0" fontId="93" fillId="20" borderId="161" xfId="0" applyFont="1" applyFill="1" applyBorder="1" applyAlignment="1" applyProtection="1">
      <alignment horizontal="center" vertical="center"/>
      <protection hidden="1"/>
    </xf>
    <xf numFmtId="0" fontId="111" fillId="0" borderId="14" xfId="0" applyFont="1" applyBorder="1" applyAlignment="1" applyProtection="1">
      <alignment horizontal="center" vertical="center"/>
      <protection locked="0"/>
    </xf>
    <xf numFmtId="0" fontId="111" fillId="0" borderId="17" xfId="0" applyFont="1" applyBorder="1" applyAlignment="1" applyProtection="1">
      <alignment horizontal="center" vertical="center"/>
      <protection locked="0"/>
    </xf>
    <xf numFmtId="0" fontId="111" fillId="0" borderId="162" xfId="0" applyFont="1" applyBorder="1" applyAlignment="1" applyProtection="1">
      <alignment horizontal="center" vertical="center"/>
      <protection locked="0"/>
    </xf>
    <xf numFmtId="0" fontId="93" fillId="20" borderId="163" xfId="0" applyFont="1" applyFill="1" applyBorder="1" applyAlignment="1" applyProtection="1">
      <alignment horizontal="center" vertical="center"/>
      <protection hidden="1"/>
    </xf>
    <xf numFmtId="0" fontId="111" fillId="0" borderId="164" xfId="0" applyFont="1" applyBorder="1" applyAlignment="1" applyProtection="1">
      <alignment horizontal="center" vertical="center"/>
      <protection locked="0"/>
    </xf>
    <xf numFmtId="0" fontId="111" fillId="0" borderId="165" xfId="0" applyFont="1" applyBorder="1" applyAlignment="1" applyProtection="1">
      <alignment horizontal="center" vertical="center"/>
      <protection locked="0"/>
    </xf>
    <xf numFmtId="0" fontId="111" fillId="0" borderId="166" xfId="0" applyFont="1" applyBorder="1" applyAlignment="1" applyProtection="1">
      <alignment horizontal="center" vertical="center"/>
      <protection locked="0"/>
    </xf>
    <xf numFmtId="182" fontId="105" fillId="0" borderId="17" xfId="0" applyNumberFormat="1" applyFont="1" applyBorder="1" applyAlignment="1" applyProtection="1">
      <alignment horizontal="center" vertical="center"/>
      <protection locked="0"/>
    </xf>
    <xf numFmtId="0" fontId="93" fillId="20" borderId="154" xfId="0" applyFont="1" applyFill="1" applyBorder="1" applyAlignment="1" applyProtection="1">
      <alignment horizontal="center" vertical="center"/>
      <protection hidden="1"/>
    </xf>
    <xf numFmtId="0" fontId="93" fillId="20" borderId="155" xfId="0" applyFont="1" applyFill="1" applyBorder="1" applyAlignment="1" applyProtection="1">
      <alignment horizontal="center" vertical="center"/>
      <protection hidden="1"/>
    </xf>
    <xf numFmtId="0" fontId="93" fillId="20" borderId="156" xfId="0" applyFont="1" applyFill="1" applyBorder="1" applyAlignment="1" applyProtection="1">
      <alignment horizontal="center" vertical="center"/>
      <protection hidden="1"/>
    </xf>
    <xf numFmtId="0" fontId="93" fillId="20" borderId="157" xfId="0" applyFont="1" applyFill="1" applyBorder="1" applyAlignment="1" applyProtection="1">
      <alignment horizontal="center" vertical="center"/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1" fillId="0" borderId="0" xfId="0" applyFont="1" applyAlignment="1" applyProtection="1">
      <alignment horizontal="left" vertical="center"/>
      <protection hidden="1"/>
    </xf>
    <xf numFmtId="0" fontId="61" fillId="16" borderId="0" xfId="0" applyFont="1" applyFill="1" applyAlignment="1" applyProtection="1">
      <alignment horizontal="center" vertical="center"/>
      <protection hidden="1"/>
    </xf>
    <xf numFmtId="0" fontId="62" fillId="14" borderId="17" xfId="0" applyFont="1" applyFill="1" applyBorder="1" applyAlignment="1" applyProtection="1">
      <alignment horizontal="center" vertical="center"/>
      <protection hidden="1"/>
    </xf>
    <xf numFmtId="0" fontId="62" fillId="14" borderId="17" xfId="0" applyFont="1" applyFill="1" applyBorder="1" applyAlignment="1" applyProtection="1">
      <alignment horizontal="center" vertical="center" wrapText="1"/>
      <protection hidden="1"/>
    </xf>
    <xf numFmtId="0" fontId="60" fillId="12" borderId="13" xfId="0" applyFont="1" applyFill="1" applyBorder="1" applyAlignment="1" applyProtection="1">
      <alignment horizontal="center" vertical="center"/>
      <protection hidden="1"/>
    </xf>
    <xf numFmtId="0" fontId="60" fillId="12" borderId="12" xfId="0" applyFont="1" applyFill="1" applyBorder="1" applyAlignment="1" applyProtection="1">
      <alignment horizontal="center" vertical="center"/>
      <protection hidden="1"/>
    </xf>
    <xf numFmtId="0" fontId="60" fillId="12" borderId="14" xfId="0" applyFont="1" applyFill="1" applyBorder="1" applyAlignment="1" applyProtection="1">
      <alignment horizontal="center" vertical="center"/>
      <protection hidden="1"/>
    </xf>
    <xf numFmtId="0" fontId="60" fillId="24" borderId="13" xfId="0" applyFont="1" applyFill="1" applyBorder="1" applyAlignment="1" applyProtection="1">
      <alignment horizontal="center" vertical="center"/>
      <protection hidden="1"/>
    </xf>
    <xf numFmtId="0" fontId="60" fillId="24" borderId="12" xfId="0" applyFont="1" applyFill="1" applyBorder="1" applyAlignment="1" applyProtection="1">
      <alignment horizontal="center" vertical="center"/>
      <protection hidden="1"/>
    </xf>
    <xf numFmtId="0" fontId="60" fillId="24" borderId="14" xfId="0" applyFont="1" applyFill="1" applyBorder="1" applyAlignment="1" applyProtection="1">
      <alignment horizontal="center" vertical="center"/>
      <protection hidden="1"/>
    </xf>
    <xf numFmtId="0" fontId="61" fillId="12" borderId="17" xfId="0" applyFont="1" applyFill="1" applyBorder="1" applyAlignment="1" applyProtection="1">
      <alignment horizontal="center" vertical="center"/>
      <protection hidden="1"/>
    </xf>
    <xf numFmtId="0" fontId="61" fillId="25" borderId="0" xfId="0" applyFont="1" applyFill="1" applyAlignment="1" applyProtection="1">
      <alignment horizontal="center" vertical="center"/>
      <protection hidden="1"/>
    </xf>
    <xf numFmtId="0" fontId="61" fillId="16" borderId="17" xfId="0" applyFont="1" applyFill="1" applyBorder="1" applyAlignment="1" applyProtection="1">
      <alignment horizontal="center" vertical="center"/>
      <protection hidden="1"/>
    </xf>
    <xf numFmtId="0" fontId="60" fillId="26" borderId="17" xfId="0" applyFont="1" applyFill="1" applyBorder="1" applyAlignment="1" applyProtection="1">
      <alignment horizontal="center" vertical="center"/>
      <protection hidden="1"/>
    </xf>
    <xf numFmtId="0" fontId="60" fillId="27" borderId="17" xfId="0" applyFont="1" applyFill="1" applyBorder="1" applyAlignment="1" applyProtection="1">
      <alignment horizontal="center" vertical="center"/>
      <protection hidden="1"/>
    </xf>
    <xf numFmtId="0" fontId="60" fillId="28" borderId="17" xfId="0" applyFont="1" applyFill="1" applyBorder="1" applyAlignment="1" applyProtection="1">
      <alignment horizontal="center" vertical="center"/>
      <protection hidden="1"/>
    </xf>
    <xf numFmtId="0" fontId="60" fillId="25" borderId="17" xfId="0" applyFont="1" applyFill="1" applyBorder="1" applyAlignment="1" applyProtection="1">
      <alignment horizontal="center" vertical="center"/>
      <protection hidden="1"/>
    </xf>
    <xf numFmtId="0" fontId="60" fillId="12" borderId="17" xfId="0" applyFont="1" applyFill="1" applyBorder="1" applyAlignment="1" applyProtection="1">
      <alignment horizontal="center" vertical="center"/>
      <protection hidden="1"/>
    </xf>
    <xf numFmtId="0" fontId="60" fillId="16" borderId="17" xfId="0" applyFont="1" applyFill="1" applyBorder="1" applyAlignment="1" applyProtection="1">
      <alignment horizontal="center" vertical="center"/>
      <protection hidden="1"/>
    </xf>
    <xf numFmtId="0" fontId="61" fillId="16" borderId="17" xfId="0" applyFont="1" applyFill="1" applyBorder="1" applyAlignment="1" applyProtection="1">
      <alignment horizontal="left" vertical="center"/>
      <protection hidden="1"/>
    </xf>
    <xf numFmtId="0" fontId="61" fillId="0" borderId="17" xfId="0" applyFont="1" applyBorder="1" applyAlignment="1" applyProtection="1">
      <alignment horizontal="center" vertical="center"/>
      <protection locked="0"/>
    </xf>
    <xf numFmtId="0" fontId="61" fillId="26" borderId="17" xfId="0" applyFont="1" applyFill="1" applyBorder="1" applyAlignment="1" applyProtection="1">
      <alignment horizontal="center" vertical="center"/>
      <protection hidden="1"/>
    </xf>
    <xf numFmtId="0" fontId="61" fillId="27" borderId="17" xfId="0" applyFont="1" applyFill="1" applyBorder="1" applyAlignment="1" applyProtection="1">
      <alignment horizontal="center" vertical="center"/>
      <protection hidden="1"/>
    </xf>
    <xf numFmtId="0" fontId="61" fillId="28" borderId="17" xfId="0" applyFont="1" applyFill="1" applyBorder="1" applyAlignment="1" applyProtection="1">
      <alignment horizontal="center" vertical="center"/>
      <protection hidden="1"/>
    </xf>
    <xf numFmtId="0" fontId="61" fillId="25" borderId="17" xfId="0" applyFont="1" applyFill="1" applyBorder="1" applyAlignment="1" applyProtection="1">
      <alignment horizontal="center" vertical="center"/>
      <protection hidden="1"/>
    </xf>
    <xf numFmtId="0" fontId="61" fillId="12" borderId="17" xfId="0" applyNumberFormat="1" applyFont="1" applyFill="1" applyBorder="1" applyAlignment="1" applyProtection="1">
      <alignment horizontal="center" vertical="center"/>
      <protection hidden="1"/>
    </xf>
    <xf numFmtId="0" fontId="61" fillId="25" borderId="17" xfId="0" applyNumberFormat="1" applyFont="1" applyFill="1" applyBorder="1" applyAlignment="1" applyProtection="1">
      <alignment horizontal="center" vertical="center"/>
      <protection hidden="1"/>
    </xf>
    <xf numFmtId="0" fontId="61" fillId="16" borderId="17" xfId="0" applyNumberFormat="1" applyFont="1" applyFill="1" applyBorder="1" applyAlignment="1" applyProtection="1">
      <alignment horizontal="center" vertical="center"/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12" borderId="0" xfId="6" applyFont="1" applyFill="1" applyAlignment="1" applyProtection="1">
      <alignment horizontal="center" vertical="center"/>
      <protection hidden="1"/>
    </xf>
    <xf numFmtId="0" fontId="60" fillId="12" borderId="17" xfId="6" applyFont="1" applyFill="1" applyBorder="1" applyAlignment="1" applyProtection="1">
      <alignment horizontal="center" vertical="top"/>
      <protection hidden="1"/>
    </xf>
    <xf numFmtId="0" fontId="60" fillId="12" borderId="17" xfId="6" applyFont="1" applyFill="1" applyBorder="1" applyAlignment="1" applyProtection="1">
      <alignment horizontal="center" vertical="center"/>
      <protection hidden="1"/>
    </xf>
    <xf numFmtId="0" fontId="61" fillId="0" borderId="17" xfId="0" applyFont="1" applyFill="1" applyBorder="1" applyAlignment="1" applyProtection="1">
      <alignment horizontal="center" vertical="center"/>
      <protection locked="0"/>
    </xf>
    <xf numFmtId="0" fontId="60" fillId="0" borderId="17" xfId="0" applyFont="1" applyBorder="1" applyAlignment="1" applyProtection="1">
      <alignment horizontal="center" vertical="center"/>
      <protection locked="0"/>
    </xf>
    <xf numFmtId="0" fontId="62" fillId="21" borderId="13" xfId="0" applyFont="1" applyFill="1" applyBorder="1" applyAlignment="1" applyProtection="1">
      <alignment horizontal="center" vertical="center"/>
      <protection hidden="1"/>
    </xf>
    <xf numFmtId="0" fontId="62" fillId="21" borderId="12" xfId="0" applyFont="1" applyFill="1" applyBorder="1" applyAlignment="1" applyProtection="1">
      <alignment horizontal="center" vertical="center"/>
      <protection hidden="1"/>
    </xf>
    <xf numFmtId="0" fontId="62" fillId="21" borderId="14" xfId="0" applyFont="1" applyFill="1" applyBorder="1" applyAlignment="1" applyProtection="1">
      <alignment horizontal="center" vertical="center"/>
      <protection hidden="1"/>
    </xf>
    <xf numFmtId="0" fontId="108" fillId="0" borderId="17" xfId="0" applyFont="1" applyFill="1" applyBorder="1" applyAlignment="1" applyProtection="1">
      <alignment horizontal="center" vertical="center"/>
      <protection locked="0"/>
    </xf>
    <xf numFmtId="0" fontId="108" fillId="29" borderId="17" xfId="0" applyFont="1" applyFill="1" applyBorder="1" applyAlignment="1" applyProtection="1">
      <alignment horizontal="center" vertical="center"/>
      <protection locked="0" hidden="1"/>
    </xf>
    <xf numFmtId="0" fontId="108" fillId="0" borderId="17" xfId="0" applyFont="1" applyBorder="1" applyAlignment="1" applyProtection="1">
      <alignment horizontal="left" vertical="center"/>
      <protection locked="0"/>
    </xf>
    <xf numFmtId="0" fontId="108" fillId="0" borderId="17" xfId="0" applyFont="1" applyBorder="1" applyAlignment="1" applyProtection="1">
      <alignment horizontal="center" vertical="center"/>
      <protection locked="0"/>
    </xf>
    <xf numFmtId="0" fontId="62" fillId="30" borderId="17" xfId="0" applyFont="1" applyFill="1" applyBorder="1" applyAlignment="1" applyProtection="1">
      <alignment horizontal="center" vertical="center"/>
      <protection hidden="1"/>
    </xf>
    <xf numFmtId="0" fontId="62" fillId="30" borderId="17" xfId="0" applyFont="1" applyFill="1" applyBorder="1" applyAlignment="1" applyProtection="1">
      <alignment horizontal="center" vertical="center" wrapText="1"/>
      <protection hidden="1"/>
    </xf>
    <xf numFmtId="0" fontId="60" fillId="30" borderId="17" xfId="0" applyFont="1" applyFill="1" applyBorder="1" applyAlignment="1" applyProtection="1">
      <alignment horizontal="center" vertical="center"/>
      <protection hidden="1"/>
    </xf>
    <xf numFmtId="0" fontId="82" fillId="12" borderId="0" xfId="0" applyFont="1" applyFill="1" applyAlignment="1" applyProtection="1">
      <alignment horizontal="center" vertical="center"/>
      <protection locked="0"/>
    </xf>
    <xf numFmtId="0" fontId="60" fillId="30" borderId="18" xfId="0" applyFont="1" applyFill="1" applyBorder="1" applyAlignment="1" applyProtection="1">
      <alignment horizontal="center" vertical="center"/>
      <protection hidden="1"/>
    </xf>
    <xf numFmtId="0" fontId="61" fillId="14" borderId="17" xfId="0" applyFont="1" applyFill="1" applyBorder="1" applyAlignment="1" applyProtection="1">
      <alignment horizontal="center" vertical="center"/>
      <protection hidden="1"/>
    </xf>
    <xf numFmtId="0" fontId="108" fillId="14" borderId="17" xfId="0" applyFont="1" applyFill="1" applyBorder="1" applyAlignment="1" applyProtection="1">
      <alignment horizontal="center" vertical="center"/>
      <protection hidden="1"/>
    </xf>
    <xf numFmtId="0" fontId="108" fillId="14" borderId="17" xfId="0" applyFont="1" applyFill="1" applyBorder="1" applyAlignment="1" applyProtection="1">
      <alignment horizontal="left" vertical="center"/>
      <protection hidden="1"/>
    </xf>
    <xf numFmtId="0" fontId="108" fillId="14" borderId="13" xfId="0" applyFont="1" applyFill="1" applyBorder="1" applyAlignment="1" applyProtection="1">
      <alignment horizontal="left" vertical="center"/>
      <protection hidden="1"/>
    </xf>
    <xf numFmtId="0" fontId="61" fillId="0" borderId="0" xfId="0" applyFont="1" applyBorder="1" applyAlignment="1" applyProtection="1">
      <alignment horizontal="center" vertical="center"/>
      <protection hidden="1"/>
    </xf>
    <xf numFmtId="182" fontId="108" fillId="0" borderId="0" xfId="0" applyNumberFormat="1" applyFont="1" applyAlignment="1" applyProtection="1">
      <alignment horizontal="center" vertical="center"/>
      <protection hidden="1"/>
    </xf>
    <xf numFmtId="49" fontId="108" fillId="0" borderId="0" xfId="0" applyNumberFormat="1" applyFont="1" applyAlignment="1" applyProtection="1">
      <alignment horizontal="left" vertical="center"/>
      <protection hidden="1"/>
    </xf>
    <xf numFmtId="1" fontId="108" fillId="0" borderId="0" xfId="0" applyNumberFormat="1" applyFont="1" applyAlignment="1" applyProtection="1">
      <alignment horizontal="center" vertical="center"/>
      <protection hidden="1"/>
    </xf>
    <xf numFmtId="0" fontId="112" fillId="31" borderId="167" xfId="0" applyFont="1" applyFill="1" applyBorder="1" applyAlignment="1" applyProtection="1">
      <alignment horizontal="center" vertical="center" wrapText="1"/>
      <protection hidden="1"/>
    </xf>
    <xf numFmtId="0" fontId="112" fillId="31" borderId="168" xfId="0" applyFont="1" applyFill="1" applyBorder="1" applyAlignment="1" applyProtection="1">
      <alignment horizontal="center" vertical="center" wrapText="1"/>
      <protection hidden="1"/>
    </xf>
    <xf numFmtId="182" fontId="112" fillId="31" borderId="168" xfId="0" applyNumberFormat="1" applyFont="1" applyFill="1" applyBorder="1" applyAlignment="1" applyProtection="1">
      <alignment horizontal="center" vertical="center" wrapText="1"/>
      <protection hidden="1"/>
    </xf>
    <xf numFmtId="0" fontId="112" fillId="31" borderId="169" xfId="0" applyFont="1" applyFill="1" applyBorder="1" applyAlignment="1" applyProtection="1">
      <alignment horizontal="center" vertical="center" wrapText="1"/>
      <protection hidden="1"/>
    </xf>
    <xf numFmtId="49" fontId="112" fillId="31" borderId="169" xfId="0" applyNumberFormat="1" applyFont="1" applyFill="1" applyBorder="1" applyAlignment="1" applyProtection="1">
      <alignment horizontal="center" vertical="center" wrapText="1"/>
      <protection hidden="1"/>
    </xf>
    <xf numFmtId="1" fontId="112" fillId="31" borderId="169" xfId="0" applyNumberFormat="1" applyFont="1" applyFill="1" applyBorder="1" applyAlignment="1" applyProtection="1">
      <alignment horizontal="center" vertical="center" wrapText="1"/>
      <protection hidden="1"/>
    </xf>
    <xf numFmtId="0" fontId="112" fillId="31" borderId="170" xfId="0" applyFont="1" applyFill="1" applyBorder="1" applyAlignment="1" applyProtection="1">
      <alignment horizontal="center" vertical="center" wrapText="1"/>
      <protection hidden="1"/>
    </xf>
    <xf numFmtId="0" fontId="112" fillId="31" borderId="17" xfId="0" applyFont="1" applyFill="1" applyBorder="1" applyAlignment="1" applyProtection="1">
      <alignment horizontal="center" vertical="center" wrapText="1"/>
      <protection hidden="1"/>
    </xf>
    <xf numFmtId="0" fontId="105" fillId="32" borderId="17" xfId="0" applyFont="1" applyFill="1" applyBorder="1" applyAlignment="1" applyProtection="1">
      <alignment horizontal="center" vertical="center"/>
      <protection hidden="1"/>
    </xf>
    <xf numFmtId="0" fontId="105" fillId="32" borderId="17" xfId="0" applyFont="1" applyFill="1" applyBorder="1" applyAlignment="1" applyProtection="1">
      <alignment horizontal="center" vertical="center" wrapText="1"/>
      <protection hidden="1"/>
    </xf>
    <xf numFmtId="0" fontId="105" fillId="32" borderId="17" xfId="0" applyNumberFormat="1" applyFont="1" applyFill="1" applyBorder="1" applyAlignment="1" applyProtection="1">
      <alignment horizontal="center" vertical="center"/>
      <protection hidden="1"/>
    </xf>
    <xf numFmtId="0" fontId="105" fillId="32" borderId="17" xfId="0" applyFont="1" applyFill="1" applyBorder="1" applyAlignment="1" applyProtection="1">
      <alignment horizontal="left" vertical="center"/>
      <protection hidden="1"/>
    </xf>
    <xf numFmtId="0" fontId="62" fillId="32" borderId="17" xfId="0" applyFont="1" applyFill="1" applyBorder="1" applyAlignment="1" applyProtection="1">
      <alignment horizontal="center" vertical="center"/>
      <protection hidden="1"/>
    </xf>
    <xf numFmtId="0" fontId="108" fillId="33" borderId="171" xfId="0" applyFont="1" applyFill="1" applyBorder="1" applyAlignment="1" applyProtection="1">
      <alignment horizontal="center" vertical="center" wrapText="1"/>
      <protection hidden="1"/>
    </xf>
    <xf numFmtId="0" fontId="108" fillId="33" borderId="172" xfId="0" applyFont="1" applyFill="1" applyBorder="1" applyAlignment="1" applyProtection="1">
      <alignment horizontal="center" vertical="center" wrapText="1"/>
      <protection hidden="1"/>
    </xf>
    <xf numFmtId="182" fontId="108" fillId="33" borderId="172" xfId="0" applyNumberFormat="1" applyFont="1" applyFill="1" applyBorder="1" applyAlignment="1" applyProtection="1">
      <alignment horizontal="center" vertical="center" wrapText="1"/>
      <protection locked="0"/>
    </xf>
    <xf numFmtId="0" fontId="113" fillId="33" borderId="17" xfId="0" applyFont="1" applyFill="1" applyBorder="1" applyAlignment="1" applyProtection="1">
      <alignment horizontal="center" vertical="center" wrapText="1"/>
      <protection locked="0"/>
    </xf>
    <xf numFmtId="0" fontId="113" fillId="33" borderId="17" xfId="0" applyFont="1" applyFill="1" applyBorder="1" applyAlignment="1" applyProtection="1">
      <alignment horizontal="left" vertical="center" wrapText="1"/>
      <protection locked="0"/>
    </xf>
    <xf numFmtId="0" fontId="113" fillId="33" borderId="17" xfId="0" applyFont="1" applyFill="1" applyBorder="1" applyAlignment="1" applyProtection="1">
      <alignment vertical="center" wrapText="1"/>
      <protection locked="0"/>
    </xf>
    <xf numFmtId="0" fontId="113" fillId="33" borderId="173" xfId="0" applyFont="1" applyFill="1" applyBorder="1" applyAlignment="1" applyProtection="1">
      <alignment vertical="center" wrapText="1"/>
      <protection locked="0"/>
    </xf>
    <xf numFmtId="0" fontId="108" fillId="33" borderId="173" xfId="0" applyFont="1" applyFill="1" applyBorder="1" applyAlignment="1" applyProtection="1">
      <alignment horizontal="center" vertical="center" wrapText="1"/>
      <protection locked="0"/>
    </xf>
    <xf numFmtId="0" fontId="108" fillId="0" borderId="0" xfId="0" applyFont="1" applyAlignment="1" applyProtection="1">
      <alignment horizontal="center" vertical="center"/>
      <protection locked="0"/>
    </xf>
    <xf numFmtId="0" fontId="109" fillId="0" borderId="17" xfId="0" applyFont="1" applyBorder="1" applyAlignment="1" applyProtection="1">
      <alignment horizontal="center"/>
      <protection hidden="1"/>
    </xf>
    <xf numFmtId="0" fontId="109" fillId="34" borderId="17" xfId="0" applyFont="1" applyFill="1" applyBorder="1" applyAlignment="1" applyProtection="1">
      <alignment horizontal="center"/>
      <protection hidden="1"/>
    </xf>
    <xf numFmtId="182" fontId="109" fillId="0" borderId="17" xfId="0" applyNumberFormat="1" applyFont="1" applyFill="1" applyBorder="1" applyAlignment="1" applyProtection="1">
      <alignment horizontal="center"/>
      <protection hidden="1"/>
    </xf>
    <xf numFmtId="0" fontId="109" fillId="0" borderId="17" xfId="0" applyNumberFormat="1" applyFont="1" applyBorder="1" applyAlignment="1" applyProtection="1">
      <alignment horizontal="center"/>
      <protection hidden="1"/>
    </xf>
    <xf numFmtId="0" fontId="109" fillId="0" borderId="17" xfId="0" applyFont="1" applyBorder="1" applyAlignment="1" applyProtection="1">
      <alignment horizontal="left"/>
      <protection hidden="1"/>
    </xf>
    <xf numFmtId="0" fontId="108" fillId="35" borderId="171" xfId="0" applyFont="1" applyFill="1" applyBorder="1" applyAlignment="1" applyProtection="1">
      <alignment horizontal="center" vertical="center" wrapText="1"/>
      <protection hidden="1"/>
    </xf>
    <xf numFmtId="0" fontId="108" fillId="35" borderId="172" xfId="0" applyFont="1" applyFill="1" applyBorder="1" applyAlignment="1" applyProtection="1">
      <alignment horizontal="center" vertical="center" wrapText="1"/>
      <protection hidden="1"/>
    </xf>
    <xf numFmtId="182" fontId="108" fillId="35" borderId="172" xfId="0" applyNumberFormat="1" applyFont="1" applyFill="1" applyBorder="1" applyAlignment="1" applyProtection="1">
      <alignment horizontal="center" vertical="center" wrapText="1"/>
      <protection locked="0"/>
    </xf>
    <xf numFmtId="0" fontId="113" fillId="35" borderId="17" xfId="0" applyFont="1" applyFill="1" applyBorder="1" applyAlignment="1" applyProtection="1">
      <alignment horizontal="center" vertical="center" wrapText="1"/>
      <protection locked="0"/>
    </xf>
    <xf numFmtId="0" fontId="113" fillId="35" borderId="17" xfId="0" applyFont="1" applyFill="1" applyBorder="1" applyAlignment="1" applyProtection="1">
      <alignment horizontal="left" vertical="center" wrapText="1"/>
      <protection locked="0"/>
    </xf>
    <xf numFmtId="0" fontId="113" fillId="35" borderId="17" xfId="0" applyFont="1" applyFill="1" applyBorder="1" applyAlignment="1" applyProtection="1">
      <alignment vertical="center" wrapText="1"/>
      <protection locked="0"/>
    </xf>
    <xf numFmtId="0" fontId="113" fillId="35" borderId="173" xfId="0" applyFont="1" applyFill="1" applyBorder="1" applyAlignment="1" applyProtection="1">
      <alignment vertical="center" wrapText="1"/>
      <protection locked="0"/>
    </xf>
    <xf numFmtId="0" fontId="108" fillId="35" borderId="173" xfId="0" applyFont="1" applyFill="1" applyBorder="1" applyAlignment="1" applyProtection="1">
      <alignment horizontal="center" vertical="center" wrapText="1"/>
      <protection locked="0"/>
    </xf>
    <xf numFmtId="49" fontId="108" fillId="35" borderId="173" xfId="0" applyNumberFormat="1" applyFont="1" applyFill="1" applyBorder="1" applyAlignment="1" applyProtection="1">
      <alignment horizontal="left" vertical="center" wrapText="1"/>
      <protection locked="0"/>
    </xf>
    <xf numFmtId="0" fontId="108" fillId="35" borderId="173" xfId="0" applyFont="1" applyFill="1" applyBorder="1" applyAlignment="1" applyProtection="1">
      <alignment horizontal="left" vertical="center" wrapText="1"/>
      <protection locked="0"/>
    </xf>
    <xf numFmtId="1" fontId="108" fillId="35" borderId="173" xfId="0" applyNumberFormat="1" applyFont="1" applyFill="1" applyBorder="1" applyAlignment="1" applyProtection="1">
      <alignment horizontal="center" vertical="center" wrapText="1"/>
      <protection locked="0"/>
    </xf>
    <xf numFmtId="0" fontId="108" fillId="35" borderId="174" xfId="0" applyFont="1" applyFill="1" applyBorder="1" applyAlignment="1" applyProtection="1">
      <alignment horizontal="center" vertical="center" wrapText="1"/>
      <protection locked="0"/>
    </xf>
    <xf numFmtId="49" fontId="108" fillId="33" borderId="173" xfId="0" applyNumberFormat="1" applyFont="1" applyFill="1" applyBorder="1" applyAlignment="1" applyProtection="1">
      <alignment horizontal="left" vertical="center" wrapText="1"/>
      <protection locked="0"/>
    </xf>
    <xf numFmtId="0" fontId="108" fillId="33" borderId="173" xfId="0" applyFont="1" applyFill="1" applyBorder="1" applyAlignment="1" applyProtection="1">
      <alignment horizontal="left" vertical="center" wrapText="1"/>
      <protection locked="0"/>
    </xf>
    <xf numFmtId="1" fontId="108" fillId="33" borderId="173" xfId="0" applyNumberFormat="1" applyFont="1" applyFill="1" applyBorder="1" applyAlignment="1" applyProtection="1">
      <alignment horizontal="center" vertical="center" wrapText="1"/>
      <protection locked="0"/>
    </xf>
    <xf numFmtId="0" fontId="108" fillId="33" borderId="174" xfId="0" applyFont="1" applyFill="1" applyBorder="1" applyAlignment="1" applyProtection="1">
      <alignment horizontal="center" vertical="center" wrapText="1"/>
      <protection locked="0"/>
    </xf>
    <xf numFmtId="0" fontId="113" fillId="35" borderId="173" xfId="0" applyFont="1" applyFill="1" applyBorder="1" applyAlignment="1" applyProtection="1">
      <alignment horizontal="center" vertical="center" wrapText="1"/>
      <protection locked="0"/>
    </xf>
    <xf numFmtId="0" fontId="113" fillId="35" borderId="173" xfId="0" applyFont="1" applyFill="1" applyBorder="1" applyAlignment="1" applyProtection="1">
      <alignment horizontal="left" vertical="center" wrapText="1"/>
      <protection locked="0"/>
    </xf>
    <xf numFmtId="0" fontId="113" fillId="33" borderId="173" xfId="0" applyFont="1" applyFill="1" applyBorder="1" applyAlignment="1" applyProtection="1">
      <alignment horizontal="center" vertical="center" wrapText="1"/>
      <protection locked="0"/>
    </xf>
    <xf numFmtId="0" fontId="113" fillId="33" borderId="173" xfId="0" applyFont="1" applyFill="1" applyBorder="1" applyAlignment="1" applyProtection="1">
      <alignment horizontal="left" vertical="center" wrapText="1"/>
      <protection locked="0"/>
    </xf>
    <xf numFmtId="0" fontId="108" fillId="33" borderId="174" xfId="0" applyFont="1" applyFill="1" applyBorder="1" applyAlignment="1" applyProtection="1">
      <alignment horizontal="left" vertical="center" wrapText="1"/>
      <protection locked="0"/>
    </xf>
    <xf numFmtId="0" fontId="108" fillId="35" borderId="174" xfId="0" applyFont="1" applyFill="1" applyBorder="1" applyAlignment="1" applyProtection="1">
      <alignment horizontal="left" vertical="center" wrapText="1"/>
      <protection locked="0"/>
    </xf>
    <xf numFmtId="0" fontId="108" fillId="33" borderId="175" xfId="0" applyFont="1" applyFill="1" applyBorder="1" applyAlignment="1" applyProtection="1">
      <alignment horizontal="center" vertical="center" wrapText="1"/>
      <protection hidden="1"/>
    </xf>
    <xf numFmtId="182" fontId="108" fillId="33" borderId="176" xfId="0" applyNumberFormat="1" applyFont="1" applyFill="1" applyBorder="1" applyAlignment="1" applyProtection="1">
      <alignment horizontal="center" vertical="center" wrapText="1"/>
      <protection locked="0"/>
    </xf>
    <xf numFmtId="0" fontId="108" fillId="33" borderId="177" xfId="0" applyFont="1" applyFill="1" applyBorder="1" applyAlignment="1" applyProtection="1">
      <alignment horizontal="center" vertical="center" wrapText="1"/>
      <protection locked="0"/>
    </xf>
    <xf numFmtId="0" fontId="108" fillId="33" borderId="177" xfId="0" applyFont="1" applyFill="1" applyBorder="1" applyAlignment="1" applyProtection="1">
      <alignment horizontal="left" vertical="center" wrapText="1"/>
      <protection locked="0"/>
    </xf>
    <xf numFmtId="49" fontId="108" fillId="33" borderId="177" xfId="0" applyNumberFormat="1" applyFont="1" applyFill="1" applyBorder="1" applyAlignment="1" applyProtection="1">
      <alignment horizontal="left" vertical="center" wrapText="1"/>
      <protection locked="0"/>
    </xf>
    <xf numFmtId="1" fontId="108" fillId="33" borderId="177" xfId="0" applyNumberFormat="1" applyFont="1" applyFill="1" applyBorder="1" applyAlignment="1" applyProtection="1">
      <alignment horizontal="center" vertical="center" wrapText="1"/>
      <protection locked="0"/>
    </xf>
    <xf numFmtId="0" fontId="108" fillId="33" borderId="178" xfId="0" applyFont="1" applyFill="1" applyBorder="1" applyAlignment="1" applyProtection="1">
      <alignment horizontal="center" vertical="center" wrapText="1"/>
      <protection locked="0"/>
    </xf>
    <xf numFmtId="0" fontId="108" fillId="33" borderId="178" xfId="0" applyFont="1" applyFill="1" applyBorder="1" applyAlignment="1" applyProtection="1">
      <alignment horizontal="left" vertical="center" wrapText="1"/>
      <protection locked="0"/>
    </xf>
    <xf numFmtId="0" fontId="108" fillId="35" borderId="17" xfId="0" applyFont="1" applyFill="1" applyBorder="1" applyAlignment="1" applyProtection="1">
      <alignment horizontal="center" vertical="center" wrapText="1"/>
      <protection hidden="1"/>
    </xf>
    <xf numFmtId="182" fontId="108" fillId="35" borderId="17" xfId="0" applyNumberFormat="1" applyFont="1" applyFill="1" applyBorder="1" applyAlignment="1" applyProtection="1">
      <alignment horizontal="center" vertical="center" wrapText="1"/>
      <protection locked="0"/>
    </xf>
    <xf numFmtId="0" fontId="108" fillId="35" borderId="17" xfId="0" applyFont="1" applyFill="1" applyBorder="1" applyAlignment="1" applyProtection="1">
      <alignment horizontal="center" vertical="center" wrapText="1"/>
      <protection locked="0"/>
    </xf>
    <xf numFmtId="0" fontId="108" fillId="35" borderId="17" xfId="0" applyFont="1" applyFill="1" applyBorder="1" applyAlignment="1" applyProtection="1">
      <alignment horizontal="left" vertical="center" wrapText="1"/>
      <protection locked="0"/>
    </xf>
    <xf numFmtId="49" fontId="108" fillId="35" borderId="17" xfId="0" applyNumberFormat="1" applyFont="1" applyFill="1" applyBorder="1" applyAlignment="1" applyProtection="1">
      <alignment horizontal="left" vertical="center" wrapText="1"/>
      <protection locked="0"/>
    </xf>
    <xf numFmtId="1" fontId="108" fillId="35" borderId="17" xfId="0" applyNumberFormat="1" applyFont="1" applyFill="1" applyBorder="1" applyAlignment="1" applyProtection="1">
      <alignment horizontal="center" vertical="center" wrapText="1"/>
      <protection locked="0"/>
    </xf>
    <xf numFmtId="0" fontId="108" fillId="35" borderId="13" xfId="0" applyFont="1" applyFill="1" applyBorder="1" applyAlignment="1" applyProtection="1">
      <alignment horizontal="center" vertical="center" wrapText="1"/>
      <protection locked="0"/>
    </xf>
    <xf numFmtId="0" fontId="108" fillId="35" borderId="13" xfId="0" applyFont="1" applyFill="1" applyBorder="1" applyAlignment="1" applyProtection="1">
      <alignment horizontal="left" vertical="center" wrapText="1"/>
      <protection locked="0"/>
    </xf>
    <xf numFmtId="0" fontId="108" fillId="33" borderId="17" xfId="0" applyFont="1" applyFill="1" applyBorder="1" applyAlignment="1" applyProtection="1">
      <alignment horizontal="center" vertical="center" wrapText="1"/>
      <protection hidden="1"/>
    </xf>
    <xf numFmtId="182" fontId="108" fillId="0" borderId="17" xfId="0" applyNumberFormat="1" applyFont="1" applyBorder="1" applyAlignment="1" applyProtection="1">
      <alignment horizontal="center" vertical="center"/>
      <protection locked="0"/>
    </xf>
    <xf numFmtId="49" fontId="108" fillId="0" borderId="17" xfId="0" applyNumberFormat="1" applyFont="1" applyBorder="1" applyAlignment="1" applyProtection="1">
      <alignment horizontal="left" vertical="center"/>
      <protection locked="0"/>
    </xf>
    <xf numFmtId="1" fontId="108" fillId="0" borderId="17" xfId="0" applyNumberFormat="1" applyFont="1" applyBorder="1" applyAlignment="1" applyProtection="1">
      <alignment horizontal="center" vertical="center"/>
      <protection locked="0"/>
    </xf>
    <xf numFmtId="0" fontId="108" fillId="0" borderId="13" xfId="0" applyFont="1" applyBorder="1" applyAlignment="1" applyProtection="1">
      <alignment horizontal="center" vertical="center"/>
      <protection locked="0"/>
    </xf>
    <xf numFmtId="0" fontId="108" fillId="0" borderId="13" xfId="0" applyFont="1" applyBorder="1" applyAlignment="1" applyProtection="1">
      <alignment horizontal="left" vertical="center"/>
      <protection locked="0"/>
    </xf>
    <xf numFmtId="0" fontId="105" fillId="36" borderId="17" xfId="0" applyFont="1" applyFill="1" applyBorder="1" applyAlignment="1" applyProtection="1">
      <alignment horizontal="center" vertical="center" wrapText="1"/>
      <protection hidden="1"/>
    </xf>
    <xf numFmtId="0" fontId="105" fillId="36" borderId="13" xfId="0" applyFont="1" applyFill="1" applyBorder="1" applyAlignment="1" applyProtection="1">
      <alignment horizontal="center" vertical="center" wrapText="1"/>
      <protection hidden="1"/>
    </xf>
    <xf numFmtId="0" fontId="59" fillId="36" borderId="13" xfId="0" applyFont="1" applyFill="1" applyBorder="1" applyAlignment="1" applyProtection="1">
      <alignment horizontal="center" vertical="center" wrapText="1"/>
      <protection hidden="1"/>
    </xf>
    <xf numFmtId="0" fontId="59" fillId="36" borderId="12" xfId="0" applyFont="1" applyFill="1" applyBorder="1" applyAlignment="1" applyProtection="1">
      <alignment horizontal="center" vertical="center"/>
      <protection hidden="1"/>
    </xf>
    <xf numFmtId="0" fontId="59" fillId="36" borderId="14" xfId="0" applyFont="1" applyFill="1" applyBorder="1" applyAlignment="1" applyProtection="1">
      <alignment horizontal="center" vertical="center"/>
      <protection hidden="1"/>
    </xf>
    <xf numFmtId="0" fontId="105" fillId="26" borderId="17" xfId="0" applyFont="1" applyFill="1" applyBorder="1" applyAlignment="1" applyProtection="1">
      <alignment horizontal="center" vertical="center" wrapText="1"/>
      <protection hidden="1"/>
    </xf>
    <xf numFmtId="0" fontId="105" fillId="26" borderId="13" xfId="0" applyFont="1" applyFill="1" applyBorder="1" applyAlignment="1" applyProtection="1">
      <alignment horizontal="center" vertical="center" wrapText="1"/>
      <protection hidden="1"/>
    </xf>
    <xf numFmtId="0" fontId="59" fillId="26" borderId="13" xfId="0" applyFont="1" applyFill="1" applyBorder="1" applyAlignment="1" applyProtection="1">
      <alignment horizontal="center" vertical="center" wrapText="1"/>
      <protection hidden="1"/>
    </xf>
    <xf numFmtId="0" fontId="59" fillId="26" borderId="12" xfId="0" applyFont="1" applyFill="1" applyBorder="1" applyAlignment="1" applyProtection="1">
      <alignment horizontal="center" vertical="center"/>
      <protection hidden="1"/>
    </xf>
    <xf numFmtId="0" fontId="59" fillId="26" borderId="14" xfId="0" applyFont="1" applyFill="1" applyBorder="1" applyAlignment="1" applyProtection="1">
      <alignment horizontal="center" vertical="center"/>
      <protection hidden="1"/>
    </xf>
    <xf numFmtId="0" fontId="105" fillId="14" borderId="17" xfId="0" applyFont="1" applyFill="1" applyBorder="1" applyAlignment="1" applyProtection="1">
      <alignment horizontal="center" vertical="center" wrapText="1"/>
      <protection hidden="1"/>
    </xf>
    <xf numFmtId="0" fontId="105" fillId="14" borderId="13" xfId="0" applyFont="1" applyFill="1" applyBorder="1" applyAlignment="1" applyProtection="1">
      <alignment horizontal="center" vertical="center" wrapText="1"/>
      <protection hidden="1"/>
    </xf>
    <xf numFmtId="0" fontId="59" fillId="14" borderId="13" xfId="0" applyFont="1" applyFill="1" applyBorder="1" applyAlignment="1" applyProtection="1">
      <alignment horizontal="center" vertical="center" wrapText="1"/>
      <protection hidden="1"/>
    </xf>
    <xf numFmtId="0" fontId="59" fillId="14" borderId="12" xfId="0" applyFont="1" applyFill="1" applyBorder="1" applyAlignment="1" applyProtection="1">
      <alignment horizontal="center" vertical="center"/>
      <protection hidden="1"/>
    </xf>
    <xf numFmtId="0" fontId="59" fillId="14" borderId="14" xfId="0" applyFont="1" applyFill="1" applyBorder="1" applyAlignment="1" applyProtection="1">
      <alignment horizontal="center" vertical="center"/>
      <protection hidden="1"/>
    </xf>
    <xf numFmtId="0" fontId="59" fillId="26" borderId="12" xfId="0" applyFont="1" applyFill="1" applyBorder="1" applyAlignment="1" applyProtection="1">
      <alignment horizontal="center" vertical="center" wrapText="1"/>
      <protection hidden="1"/>
    </xf>
    <xf numFmtId="0" fontId="59" fillId="26" borderId="14" xfId="0" applyFont="1" applyFill="1" applyBorder="1" applyAlignment="1" applyProtection="1">
      <alignment horizontal="center" vertical="center" wrapText="1"/>
      <protection hidden="1"/>
    </xf>
    <xf numFmtId="0" fontId="59" fillId="36" borderId="17" xfId="0" applyFont="1" applyFill="1" applyBorder="1" applyAlignment="1" applyProtection="1">
      <alignment horizontal="center" vertical="center"/>
      <protection hidden="1"/>
    </xf>
    <xf numFmtId="0" fontId="105" fillId="36" borderId="17" xfId="0" applyFont="1" applyFill="1" applyBorder="1" applyAlignment="1" applyProtection="1">
      <alignment horizontal="center" vertical="center"/>
      <protection hidden="1"/>
    </xf>
    <xf numFmtId="0" fontId="59" fillId="26" borderId="17" xfId="0" applyFont="1" applyFill="1" applyBorder="1" applyAlignment="1" applyProtection="1">
      <alignment horizontal="center" vertical="center"/>
      <protection hidden="1"/>
    </xf>
    <xf numFmtId="0" fontId="105" fillId="26" borderId="17" xfId="0" applyFont="1" applyFill="1" applyBorder="1" applyAlignment="1" applyProtection="1">
      <alignment horizontal="center" vertical="center"/>
      <protection hidden="1"/>
    </xf>
    <xf numFmtId="0" fontId="59" fillId="14" borderId="17" xfId="0" applyFont="1" applyFill="1" applyBorder="1" applyAlignment="1" applyProtection="1">
      <alignment horizontal="center" vertical="center"/>
      <protection hidden="1"/>
    </xf>
    <xf numFmtId="0" fontId="105" fillId="14" borderId="17" xfId="0" applyFont="1" applyFill="1" applyBorder="1" applyAlignment="1" applyProtection="1">
      <alignment horizontal="center" vertical="center"/>
      <protection hidden="1"/>
    </xf>
    <xf numFmtId="0" fontId="59" fillId="0" borderId="17" xfId="0" applyFont="1" applyBorder="1" applyAlignment="1" applyProtection="1">
      <alignment horizontal="center" vertical="center"/>
      <protection locked="0"/>
    </xf>
    <xf numFmtId="0" fontId="114" fillId="0" borderId="0" xfId="0" applyFont="1" applyAlignment="1" applyProtection="1">
      <alignment horizontal="center" vertical="center"/>
      <protection hidden="1"/>
    </xf>
    <xf numFmtId="0" fontId="114" fillId="0" borderId="0" xfId="0" applyFont="1" applyAlignment="1" applyProtection="1">
      <alignment horizontal="left" vertical="center"/>
      <protection hidden="1"/>
    </xf>
    <xf numFmtId="0" fontId="115" fillId="37" borderId="17" xfId="0" applyFont="1" applyFill="1" applyBorder="1" applyAlignment="1" applyProtection="1">
      <alignment horizontal="center" vertical="center"/>
      <protection hidden="1"/>
    </xf>
    <xf numFmtId="0" fontId="110" fillId="37" borderId="17" xfId="0" applyFont="1" applyFill="1" applyBorder="1" applyAlignment="1" applyProtection="1">
      <alignment horizontal="center" vertical="center"/>
      <protection hidden="1"/>
    </xf>
    <xf numFmtId="0" fontId="105" fillId="34" borderId="17" xfId="0" applyFont="1" applyFill="1" applyBorder="1" applyAlignment="1" applyProtection="1">
      <alignment horizontal="center" vertical="center"/>
      <protection hidden="1"/>
    </xf>
    <xf numFmtId="0" fontId="105" fillId="34" borderId="17" xfId="0" applyFont="1" applyFill="1" applyBorder="1" applyAlignment="1" applyProtection="1">
      <alignment horizontal="left" vertical="center"/>
      <protection hidden="1"/>
    </xf>
    <xf numFmtId="0" fontId="105" fillId="0" borderId="17" xfId="0" applyFont="1" applyFill="1" applyBorder="1" applyAlignment="1" applyProtection="1">
      <alignment horizontal="left" vertical="center"/>
      <protection locked="0"/>
    </xf>
    <xf numFmtId="0" fontId="108" fillId="0" borderId="12" xfId="0" applyFont="1" applyBorder="1" applyAlignment="1" applyProtection="1">
      <alignment horizontal="center" vertical="center"/>
      <protection hidden="1"/>
    </xf>
    <xf numFmtId="0" fontId="66" fillId="16" borderId="13" xfId="6" applyFont="1" applyFill="1" applyBorder="1" applyAlignment="1" applyProtection="1">
      <alignment horizontal="center" vertical="top"/>
      <protection hidden="1"/>
    </xf>
    <xf numFmtId="0" fontId="66" fillId="16" borderId="12" xfId="6" applyFont="1" applyFill="1" applyBorder="1" applyAlignment="1" applyProtection="1">
      <alignment horizontal="center" vertical="top"/>
      <protection hidden="1"/>
    </xf>
    <xf numFmtId="0" fontId="66" fillId="16" borderId="14" xfId="6" applyFont="1" applyFill="1" applyBorder="1" applyAlignment="1" applyProtection="1">
      <alignment horizontal="center" vertical="top"/>
      <protection hidden="1"/>
    </xf>
    <xf numFmtId="0" fontId="116" fillId="20" borderId="17" xfId="6" applyFont="1" applyFill="1" applyBorder="1" applyAlignment="1" applyProtection="1">
      <alignment horizontal="center" vertical="center"/>
      <protection hidden="1"/>
    </xf>
    <xf numFmtId="0" fontId="117" fillId="0" borderId="0" xfId="0" applyFont="1" applyAlignment="1" applyProtection="1">
      <alignment horizontal="center" vertical="center"/>
      <protection hidden="1"/>
    </xf>
    <xf numFmtId="0" fontId="66" fillId="38" borderId="17" xfId="6" applyFont="1" applyFill="1" applyBorder="1" applyAlignment="1" applyProtection="1">
      <alignment horizontal="center" vertical="center"/>
      <protection hidden="1"/>
    </xf>
    <xf numFmtId="0" fontId="118" fillId="26" borderId="13" xfId="6" applyFont="1" applyFill="1" applyBorder="1" applyAlignment="1" applyProtection="1">
      <alignment horizontal="center" vertical="top"/>
      <protection hidden="1"/>
    </xf>
    <xf numFmtId="0" fontId="118" fillId="26" borderId="12" xfId="6" applyFont="1" applyFill="1" applyBorder="1" applyAlignment="1" applyProtection="1">
      <alignment horizontal="center" vertical="top"/>
      <protection hidden="1"/>
    </xf>
    <xf numFmtId="0" fontId="118" fillId="26" borderId="14" xfId="6" applyFont="1" applyFill="1" applyBorder="1" applyAlignment="1" applyProtection="1">
      <alignment horizontal="center" vertical="top"/>
      <protection hidden="1"/>
    </xf>
    <xf numFmtId="0" fontId="119" fillId="26" borderId="13" xfId="6" applyFont="1" applyFill="1" applyBorder="1" applyAlignment="1" applyProtection="1">
      <alignment horizontal="center" vertical="top"/>
      <protection hidden="1"/>
    </xf>
    <xf numFmtId="0" fontId="119" fillId="26" borderId="12" xfId="6" applyFont="1" applyFill="1" applyBorder="1" applyAlignment="1" applyProtection="1">
      <alignment horizontal="center" vertical="top"/>
      <protection hidden="1"/>
    </xf>
    <xf numFmtId="0" fontId="119" fillId="26" borderId="14" xfId="6" applyFont="1" applyFill="1" applyBorder="1" applyAlignment="1" applyProtection="1">
      <alignment horizontal="center" vertical="top"/>
      <protection hidden="1"/>
    </xf>
    <xf numFmtId="49" fontId="105" fillId="0" borderId="17" xfId="0" applyNumberFormat="1" applyFont="1" applyFill="1" applyBorder="1" applyAlignment="1" applyProtection="1">
      <alignment horizontal="left" vertical="center"/>
      <protection locked="0"/>
    </xf>
    <xf numFmtId="0" fontId="66" fillId="16" borderId="17" xfId="6" applyFont="1" applyFill="1" applyBorder="1" applyAlignment="1" applyProtection="1">
      <alignment horizontal="center" vertical="center"/>
      <protection hidden="1"/>
    </xf>
    <xf numFmtId="0" fontId="116" fillId="26" borderId="17" xfId="6" applyFont="1" applyFill="1" applyBorder="1" applyAlignment="1" applyProtection="1">
      <alignment horizontal="center" vertical="center"/>
      <protection hidden="1"/>
    </xf>
    <xf numFmtId="0" fontId="66" fillId="16" borderId="17" xfId="6" applyFont="1" applyFill="1" applyBorder="1" applyAlignment="1" applyProtection="1">
      <alignment horizontal="center" vertical="top"/>
      <protection hidden="1"/>
    </xf>
    <xf numFmtId="0" fontId="119" fillId="26" borderId="17" xfId="6" applyFont="1" applyFill="1" applyBorder="1" applyAlignment="1" applyProtection="1">
      <alignment horizontal="center" vertical="top"/>
      <protection hidden="1"/>
    </xf>
    <xf numFmtId="182" fontId="105" fillId="0" borderId="17" xfId="0" applyNumberFormat="1" applyFont="1" applyFill="1" applyBorder="1" applyAlignment="1" applyProtection="1">
      <alignment horizontal="left" vertical="center"/>
      <protection locked="0"/>
    </xf>
    <xf numFmtId="0" fontId="116" fillId="26" borderId="13" xfId="6" applyFont="1" applyFill="1" applyBorder="1" applyAlignment="1" applyProtection="1">
      <alignment horizontal="center" vertical="top"/>
      <protection hidden="1"/>
    </xf>
    <xf numFmtId="0" fontId="116" fillId="26" borderId="12" xfId="6" applyFont="1" applyFill="1" applyBorder="1" applyAlignment="1" applyProtection="1">
      <alignment horizontal="center" vertical="top"/>
      <protection hidden="1"/>
    </xf>
    <xf numFmtId="0" fontId="116" fillId="26" borderId="14" xfId="6" applyFont="1" applyFill="1" applyBorder="1" applyAlignment="1" applyProtection="1">
      <alignment horizontal="center" vertical="top"/>
      <protection hidden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ont>
        <color rgb="FFFF00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theme="0"/>
      </font>
    </dxf>
    <dxf>
      <fill>
        <patternFill patternType="solid">
          <bgColor theme="9" tint="0.399914548173467"/>
        </patternFill>
      </fill>
    </dxf>
    <dxf>
      <fill>
        <patternFill patternType="solid">
          <bgColor theme="4" tint="0.399914548173467"/>
        </patternFill>
      </fill>
    </dxf>
    <dxf>
      <fill>
        <patternFill patternType="solid">
          <bgColor theme="7" tint="0.399914548173467"/>
        </patternFill>
      </fill>
    </dxf>
  </dxfs>
  <tableStyles count="0" defaultTableStyle="TableStyleMedium2" defaultPivotStyle="PivotStyleLight16"/>
  <colors>
    <mruColors>
      <color rgb="000097CC"/>
      <color rgb="0009FFAD"/>
      <color rgb="00D60093"/>
      <color rgb="00D6E7AB"/>
      <color rgb="00CDC6B3"/>
      <color rgb="00F3EC5F"/>
      <color rgb="00CAC110"/>
      <color rgb="00CCCC00"/>
      <color rgb="00BDCC86"/>
      <color rgb="0000A4D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9" Type="http://schemas.openxmlformats.org/officeDocument/2006/relationships/styles" Target="styles.xml"/><Relationship Id="rId38" Type="http://schemas.openxmlformats.org/officeDocument/2006/relationships/sharedStrings" Target="sharedStrings.xml"/><Relationship Id="rId37" Type="http://schemas.openxmlformats.org/officeDocument/2006/relationships/theme" Target="theme/theme1.xml"/><Relationship Id="rId36" Type="http://schemas.openxmlformats.org/officeDocument/2006/relationships/customXml" Target="../customXml/item1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solidFill>
              <a:srgbClr val="92D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delete val="1"/>
          </c:dLbls>
          <c:cat>
            <c:strRef>
              <c:f>'BAR-F1'!$C$15:$C$35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'BAR-F1'!$D$15:$D$35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delete val="1"/>
          </c:dLbls>
          <c:cat>
            <c:strRef>
              <c:f>'BAR-F1'!$C$15:$C$35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'BAR-F1'!$E$15:$E$35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rgbClr val="FF0000"/>
              </a:solidFill>
            </a:ln>
            <a:effectLst/>
          </c:spPr>
          <c:invertIfNegative val="0"/>
          <c:dLbls>
            <c:delete val="1"/>
          </c:dLbls>
          <c:cat>
            <c:strRef>
              <c:f>'BAR-F1'!$C$15:$C$35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'BAR-F1'!$F$15:$F$35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762920"/>
        <c:axId val="3013265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'BAR-F1'!$C$15:$C$35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'BAR-F1'!$C$15:$C$35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'BAR-F1'!$C$15:$C$35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96762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1326536"/>
        <c:crosses val="autoZero"/>
        <c:auto val="1"/>
        <c:lblAlgn val="ctr"/>
        <c:lblOffset val="100"/>
        <c:noMultiLvlLbl val="0"/>
      </c:catAx>
      <c:valAx>
        <c:axId val="3013265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2967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21aa325-6f00-4129-ba8d-f25078597d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'ALL-F1'!$D$15:$D$35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'ALL-F1'!$E$15:$E$35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'ALL-F1'!$F$15:$F$35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924312"/>
        <c:axId val="2959054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'ALL-F1'!$C$15:$C$35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'ALL-F1'!$C$15:$C$35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'ALL-F1'!$C$15:$C$35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09243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295905496"/>
        <c:crosses val="autoZero"/>
        <c:auto val="1"/>
        <c:lblAlgn val="ctr"/>
        <c:lblOffset val="100"/>
        <c:noMultiLvlLbl val="0"/>
      </c:catAx>
      <c:valAx>
        <c:axId val="2959054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0924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3da6ce0-310e-470f-ad47-c2596bb2d1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'ALL-F1'!$C$70:$C$90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'ALL-F1'!$D$70:$D$90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'ALL-F1'!$C$70:$C$90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'ALL-F1'!$E$70:$E$90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'ALL-F1'!$C$70:$C$90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'ALL-F1'!$F$70:$F$90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240688"/>
        <c:axId val="2922980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'ALL-F1'!$C$70:$C$90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'ALL-F1'!$C$70:$C$90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'ALL-F1'!$C$70:$C$90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2406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292298008"/>
        <c:crosses val="autoZero"/>
        <c:auto val="1"/>
        <c:lblAlgn val="ctr"/>
        <c:lblOffset val="100"/>
        <c:noMultiLvlLbl val="0"/>
      </c:catAx>
      <c:valAx>
        <c:axId val="29229800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24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1acfaef-3283-4383-afdf-e3fdd4b6adc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'ALL-F1'!$C$125:$C$145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'ALL-F1'!$D$125:$D$145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'ALL-F1'!$C$125:$C$145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'ALL-F1'!$E$125:$E$145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'ALL-F1'!$C$125:$C$145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'ALL-F1'!$F$125:$F$145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295656"/>
        <c:axId val="2922948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'ALL-F1'!$C$125:$C$145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'ALL-F1'!$C$125:$C$145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'ALL-F1'!$C$125:$C$145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922956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292294872"/>
        <c:crosses val="autoZero"/>
        <c:auto val="1"/>
        <c:lblAlgn val="ctr"/>
        <c:lblOffset val="100"/>
        <c:noMultiLvlLbl val="0"/>
      </c:catAx>
      <c:valAx>
        <c:axId val="29229487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292295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6df57ef-9f56-47d2-8c39-e0ba3b8db3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'ALL-F1'!$C$180:$C$200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'ALL-F1'!$D$180:$D$200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'ALL-F1'!$C$180:$C$200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'ALL-F1'!$E$180:$E$200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'ALL-F1'!$C$180:$C$200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'ALL-F1'!$F$180:$F$200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377328"/>
        <c:axId val="305375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'ALL-F1'!$C$180:$C$200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'ALL-F1'!$C$180:$C$200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'ALL-F1'!$C$180:$C$200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377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5760"/>
        <c:crosses val="autoZero"/>
        <c:auto val="1"/>
        <c:lblAlgn val="ctr"/>
        <c:lblOffset val="100"/>
        <c:noMultiLvlLbl val="0"/>
      </c:catAx>
      <c:valAx>
        <c:axId val="30537576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9ed9f35-709c-40dd-8ce0-4c8734c9f2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'ALL-F1'!$C$235:$C$255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'ALL-F1'!$D$235:$D$255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'ALL-F1'!$C$235:$C$255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'ALL-F1'!$E$235:$E$255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'ALL-F1'!$C$235:$C$255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'ALL-F1'!$F$235:$F$255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374192"/>
        <c:axId val="3053738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'ALL-F1'!$C$235:$C$255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'ALL-F1'!$C$235:$C$255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'ALL-F1'!$C$235:$C$255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374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3800"/>
        <c:crosses val="autoZero"/>
        <c:auto val="1"/>
        <c:lblAlgn val="ctr"/>
        <c:lblOffset val="100"/>
        <c:noMultiLvlLbl val="0"/>
      </c:catAx>
      <c:valAx>
        <c:axId val="30537380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647b601-7185-413f-82d3-a9caff8d91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'ALL-F1'!$C$290:$C$310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'ALL-F1'!$D$290:$D$310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'ALL-F1'!$C$290:$C$310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'ALL-F1'!$E$290:$E$310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'ALL-F1'!$C$290:$C$310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'ALL-F1'!$F$290:$F$310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378112"/>
        <c:axId val="305378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'ALL-F1'!$C$290:$C$310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'ALL-F1'!$C$290:$C$310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'ALL-F1'!$C$290:$C$310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3781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8504"/>
        <c:crosses val="autoZero"/>
        <c:auto val="1"/>
        <c:lblAlgn val="ctr"/>
        <c:lblOffset val="100"/>
        <c:noMultiLvlLbl val="0"/>
      </c:catAx>
      <c:valAx>
        <c:axId val="3053785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881edb2-1988-4214-9d29-4851e547cb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'ALL-F1'!$C$345:$C$365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'ALL-F1'!$D$345:$D$365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'ALL-F1'!$C$345:$C$365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'ALL-F1'!$E$345:$E$365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'ALL-F1'!$C$345:$C$365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'ALL-F1'!$F$345:$F$365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372232"/>
        <c:axId val="30537536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'ALL-F1'!$C$345:$C$365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'ALL-F1'!$C$345:$C$365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'ALL-F1'!$C$345:$C$365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3722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5368"/>
        <c:crosses val="autoZero"/>
        <c:auto val="1"/>
        <c:lblAlgn val="ctr"/>
        <c:lblOffset val="100"/>
        <c:noMultiLvlLbl val="0"/>
      </c:catAx>
      <c:valAx>
        <c:axId val="30537536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ce58d49-3a1b-4b53-bc10-b791d169d6a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'ALL-F1'!$C$400:$C$420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'ALL-F1'!$D$400:$D$420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'ALL-F1'!$C$400:$C$420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'ALL-F1'!$E$400:$E$420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'ALL-F1'!$C$400:$C$420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'ALL-F1'!$F$400:$F$420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379288"/>
        <c:axId val="3053745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'ALL-F1'!$C$400:$C$420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'ALL-F1'!$C$400:$C$420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'ALL-F1'!$C$400:$C$420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379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4584"/>
        <c:crosses val="autoZero"/>
        <c:auto val="1"/>
        <c:lblAlgn val="ctr"/>
        <c:lblOffset val="100"/>
        <c:noMultiLvlLbl val="0"/>
      </c:catAx>
      <c:valAx>
        <c:axId val="3053745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9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d0a3f6e-6cc2-4eed-a58c-f8ad8deed7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'ALL-F1'!$C$455:$C$475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'ALL-F1'!$D$455:$D$475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'ALL-F1'!$C$455:$C$475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'ALL-F1'!$E$455:$E$475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'ALL-F1'!$C$455:$C$475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'ALL-F1'!$F$455:$F$475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376936"/>
        <c:axId val="3053718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'ALL-F1'!$C$455:$C$475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'ALL-F1'!$C$455:$C$475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'ALL-F1'!$C$455:$C$475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3769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1840"/>
        <c:crosses val="autoZero"/>
        <c:auto val="1"/>
        <c:lblAlgn val="ctr"/>
        <c:lblOffset val="100"/>
        <c:noMultiLvlLbl val="0"/>
      </c:catAx>
      <c:valAx>
        <c:axId val="30537184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6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6d0f727-4ba5-43c0-ab99-414537f8dd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'ALL-F1'!$C$510:$C$530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'ALL-F1'!$D$510:$D$530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'ALL-F1'!$C$510:$C$530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'ALL-F1'!$E$510:$E$530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'ALL-F1'!$C$510:$C$530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'ALL-F1'!$F$510:$F$530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374976"/>
        <c:axId val="305373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'ALL-F1'!$C$510:$C$530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'ALL-F1'!$C$510:$C$530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'ALL-F1'!$C$510:$C$530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374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3016"/>
        <c:crosses val="autoZero"/>
        <c:auto val="1"/>
        <c:lblAlgn val="ctr"/>
        <c:lblOffset val="100"/>
        <c:noMultiLvlLbl val="0"/>
      </c:catAx>
      <c:valAx>
        <c:axId val="3053730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37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50e4032-a458-4da4-86bd-987e682b34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'ALL-F1'!$C$565:$C$585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'ALL-F1'!$D$565:$D$585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'ALL-F1'!$C$565:$C$585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'ALL-F1'!$E$565:$E$585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'ALL-F1'!$C$565:$C$585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'ALL-F1'!$F$565:$F$585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51128"/>
        <c:axId val="3054523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'ALL-F1'!$C$565:$C$585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'ALL-F1'!$C$565:$C$585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'ALL-F1'!$C$565:$C$585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451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2304"/>
        <c:crosses val="autoZero"/>
        <c:auto val="1"/>
        <c:lblAlgn val="ctr"/>
        <c:lblOffset val="100"/>
        <c:noMultiLvlLbl val="0"/>
      </c:catAx>
      <c:valAx>
        <c:axId val="3054523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1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609a9d6-d3ba-41cd-a9a3-5dd06d5840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'ALL-F1'!$C$620:$C$640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'ALL-F1'!$D$620:$D$640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'ALL-F1'!$C$620:$C$640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'ALL-F1'!$E$620:$E$640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'ALL-F1'!$C$620:$C$640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'ALL-F1'!$F$620:$F$640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57792"/>
        <c:axId val="30545308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'ALL-F1'!$C$620:$C$640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'ALL-F1'!$C$620:$C$640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'ALL-F1'!$C$620:$C$640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457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3088"/>
        <c:crosses val="autoZero"/>
        <c:auto val="1"/>
        <c:lblAlgn val="ctr"/>
        <c:lblOffset val="100"/>
        <c:noMultiLvlLbl val="0"/>
      </c:catAx>
      <c:valAx>
        <c:axId val="305453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f384ea1-d8b7-4a93-a763-215cc19199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'ALL-F1'!$C$675:$C$695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'ALL-F1'!$D$675:$D$695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'ALL-F1'!$C$675:$C$695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'ALL-F1'!$E$675:$E$695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'ALL-F1'!$C$675:$C$695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'ALL-F1'!$F$675:$F$695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58184"/>
        <c:axId val="3054526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'ALL-F1'!$C$675:$C$695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'ALL-F1'!$C$675:$C$695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'ALL-F1'!$C$675:$C$695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4581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2696"/>
        <c:crosses val="autoZero"/>
        <c:auto val="1"/>
        <c:lblAlgn val="ctr"/>
        <c:lblOffset val="100"/>
        <c:noMultiLvlLbl val="0"/>
      </c:catAx>
      <c:valAx>
        <c:axId val="3054526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8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fa7ef07-0813-4582-a531-e3a5abd949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'ALL-F1'!$C$730:$C$750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'ALL-F1'!$D$730:$D$750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'ALL-F1'!$C$730:$C$750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'ALL-F1'!$E$730:$E$750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'ALL-F1'!$C$730:$C$750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'ALL-F1'!$F$730:$F$750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53480"/>
        <c:axId val="3054538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'ALL-F1'!$C$730:$C$750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'ALL-F1'!$C$730:$C$750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'ALL-F1'!$C$730:$C$750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453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3872"/>
        <c:crosses val="autoZero"/>
        <c:auto val="1"/>
        <c:lblAlgn val="ctr"/>
        <c:lblOffset val="100"/>
        <c:noMultiLvlLbl val="0"/>
      </c:catAx>
      <c:valAx>
        <c:axId val="30545387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95534be-441a-4df5-8d31-0b09daf6ce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'ALL-F1'!$C$785:$C$805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'ALL-F1'!$D$785:$D$805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'ALL-F1'!$C$785:$C$805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'ALL-F1'!$E$785:$E$805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'ALL-F1'!$C$785:$C$805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'ALL-F1'!$F$785:$F$805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55048"/>
        <c:axId val="305454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'ALL-F1'!$C$785:$C$805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'ALL-F1'!$C$785:$C$805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'ALL-F1'!$C$785:$C$805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455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4264"/>
        <c:crosses val="autoZero"/>
        <c:auto val="1"/>
        <c:lblAlgn val="ctr"/>
        <c:lblOffset val="100"/>
        <c:noMultiLvlLbl val="0"/>
      </c:catAx>
      <c:valAx>
        <c:axId val="30545426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e549d18-0130-4809-a6ce-dc277ea8f31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'ALL-F1'!$C$840:$C$860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'ALL-F1'!$D$840:$D$860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'ALL-F1'!$C$840:$C$860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'ALL-F1'!$E$840:$E$860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'ALL-F1'!$C$840:$C$860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'ALL-F1'!$F$840:$F$860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55832"/>
        <c:axId val="3054574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'ALL-F1'!$C$840:$C$860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'ALL-F1'!$C$840:$C$860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'ALL-F1'!$C$840:$C$860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455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7400"/>
        <c:crosses val="autoZero"/>
        <c:auto val="1"/>
        <c:lblAlgn val="ctr"/>
        <c:lblOffset val="100"/>
        <c:noMultiLvlLbl val="0"/>
      </c:catAx>
      <c:valAx>
        <c:axId val="30545740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98fff25-80c4-4c1b-b548-0082a49a59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'ALL-F1'!$C$895:$C$915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'ALL-F1'!$D$895:$D$915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'ALL-F1'!$C$895:$C$915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'ALL-F1'!$E$895:$E$915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'ALL-F1'!$C$895:$C$915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'ALL-F1'!$F$895:$F$915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5451912"/>
        <c:axId val="3054562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'ALL-F1'!$C$895:$C$915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'ALL-F1'!$C$895:$C$915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'ALL-F1'!$C$895:$C$915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5451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6224"/>
        <c:crosses val="autoZero"/>
        <c:auto val="1"/>
        <c:lblAlgn val="ctr"/>
        <c:lblOffset val="100"/>
        <c:noMultiLvlLbl val="0"/>
      </c:catAx>
      <c:valAx>
        <c:axId val="305456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545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c9e475d-80f1-4a87-aab4-8d617a48d0a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'ALL-F1'!$C$950:$C$970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'ALL-F1'!$D$950:$D$970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'ALL-F1'!$C$950:$C$970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'ALL-F1'!$E$950:$E$970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'ALL-F1'!$C$950:$C$970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'ALL-F1'!$F$950:$F$970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85856"/>
        <c:axId val="306180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'ALL-F1'!$C$950:$C$970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'ALL-F1'!$C$950:$C$970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'ALL-F1'!$C$950:$C$970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185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0760"/>
        <c:crosses val="autoZero"/>
        <c:auto val="1"/>
        <c:lblAlgn val="ctr"/>
        <c:lblOffset val="100"/>
        <c:noMultiLvlLbl val="0"/>
      </c:catAx>
      <c:valAx>
        <c:axId val="30618076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5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5ea716f-105f-40f0-9baa-eb46c0b1e6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'ALL-F1'!$C$1005:$C$1025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'ALL-F1'!$D$1005:$D$1025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'ALL-F1'!$C$1005:$C$1025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'ALL-F1'!$E$1005:$E$1025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'ALL-F1'!$C$1005:$C$1025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'ALL-F1'!$F$1005:$F$1025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84680"/>
        <c:axId val="30618507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'ALL-F1'!$C$1005:$C$1025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'ALL-F1'!$C$1005:$C$1025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'ALL-F1'!$C$1005:$C$1025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1846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5072"/>
        <c:crosses val="autoZero"/>
        <c:auto val="1"/>
        <c:lblAlgn val="ctr"/>
        <c:lblOffset val="100"/>
        <c:noMultiLvlLbl val="0"/>
      </c:catAx>
      <c:valAx>
        <c:axId val="30618507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d3754e4-8fe1-48b9-8138-6af0d946fd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'ALL-F1'!$C$1060:$C$1080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'ALL-F1'!$D$1060:$D$1080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'ALL-F1'!$C$1060:$C$1080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'ALL-F1'!$E$1060:$E$1080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'ALL-F1'!$C$1060:$C$1080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'ALL-F1'!$F$1060:$F$1080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85464"/>
        <c:axId val="3061799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'ALL-F1'!$C$1060:$C$1080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'ALL-F1'!$C$1060:$C$1080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'ALL-F1'!$C$1060:$C$1080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185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79976"/>
        <c:crosses val="autoZero"/>
        <c:auto val="1"/>
        <c:lblAlgn val="ctr"/>
        <c:lblOffset val="100"/>
        <c:noMultiLvlLbl val="0"/>
      </c:catAx>
      <c:valAx>
        <c:axId val="3061799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0a15938-5922-46a5-9317-983d84613d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'ALL-F1'!$C$1115:$C$1135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'ALL-F1'!$D$1115:$D$1135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'ALL-F1'!$C$1115:$C$1135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'ALL-F1'!$E$1115:$E$1135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'ALL-F1'!$C$1115:$C$1135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'ALL-F1'!$F$1115:$F$1135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81152"/>
        <c:axId val="3061815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'ALL-F1'!$C$1115:$C$1135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'ALL-F1'!$C$1115:$C$1135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'ALL-F1'!$C$1115:$C$1135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181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1544"/>
        <c:crosses val="autoZero"/>
        <c:auto val="1"/>
        <c:lblAlgn val="ctr"/>
        <c:lblOffset val="100"/>
        <c:noMultiLvlLbl val="0"/>
      </c:catAx>
      <c:valAx>
        <c:axId val="30618154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86424f1-641f-47a6-ac60-de4511c8263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'ALL-F1'!$C$1170:$C$1190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'ALL-F1'!$D$1170:$D$1190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'ALL-F1'!$C$1170:$C$1190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'ALL-F1'!$E$1170:$E$1190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'ALL-F1'!$C$1170:$C$1190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'ALL-F1'!$F$1170:$F$1190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82328"/>
        <c:axId val="306182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'ALL-F1'!$C$1170:$C$1190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'ALL-F1'!$C$1170:$C$1190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'ALL-F1'!$C$1170:$C$1190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1823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2720"/>
        <c:crosses val="autoZero"/>
        <c:auto val="1"/>
        <c:lblAlgn val="ctr"/>
        <c:lblOffset val="100"/>
        <c:noMultiLvlLbl val="0"/>
      </c:catAx>
      <c:valAx>
        <c:axId val="3061827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2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3d59821b-32d4-45e9-8cc8-a741a88a2b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'ALL-F1'!$C$1225:$C$1245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'ALL-F1'!$D$1225:$D$1245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'ALL-F1'!$C$1225:$C$1245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'ALL-F1'!$E$1225:$E$1245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'ALL-F1'!$C$1225:$C$1245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'ALL-F1'!$F$1225:$F$1245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87032"/>
        <c:axId val="3061835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'ALL-F1'!$C$1225:$C$1245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'ALL-F1'!$C$1225:$C$1245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'ALL-F1'!$C$1225:$C$1245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187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3504"/>
        <c:crosses val="autoZero"/>
        <c:auto val="1"/>
        <c:lblAlgn val="ctr"/>
        <c:lblOffset val="100"/>
        <c:noMultiLvlLbl val="0"/>
      </c:catAx>
      <c:valAx>
        <c:axId val="3061835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c07702d-cf98-4268-8923-1832f209e8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'ALL-F1'!$C$1280:$C$1300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'ALL-F1'!$D$1280:$D$1300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'ALL-F1'!$C$1280:$C$1300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'ALL-F1'!$E$1280:$E$1300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'ALL-F1'!$C$1280:$C$1300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'ALL-F1'!$F$1280:$F$1300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184288"/>
        <c:axId val="2922972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'ALL-F1'!$C$1280:$C$1300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'ALL-F1'!$C$1280:$C$1300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'ALL-F1'!$C$1280:$C$1300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184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292297224"/>
        <c:crosses val="autoZero"/>
        <c:auto val="1"/>
        <c:lblAlgn val="ctr"/>
        <c:lblOffset val="100"/>
        <c:noMultiLvlLbl val="0"/>
      </c:catAx>
      <c:valAx>
        <c:axId val="2922972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18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74d8d85-2f60-429b-9ce2-15c2730209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'ALL-F1'!$C$1335:$C$1355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'ALL-F1'!$D$1335:$D$1355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'ALL-F1'!$C$1335:$C$1355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'ALL-F1'!$E$1335:$E$1355</c:f>
              <c:numCache>
                <c:formatCode>0;\-00;;@</c:formatCode>
                <c:ptCount val="2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'ALL-F1'!$C$1335:$C$1355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'ALL-F1'!$F$1335:$F$1355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296832"/>
        <c:axId val="3068092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'ALL-F1'!$C$1335:$C$1355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'ALL-F1'!$C$1335:$C$1355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'ALL-F1'!$C$1335:$C$1355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2922968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09200"/>
        <c:crosses val="autoZero"/>
        <c:auto val="1"/>
        <c:lblAlgn val="ctr"/>
        <c:lblOffset val="100"/>
        <c:noMultiLvlLbl val="0"/>
      </c:catAx>
      <c:valAx>
        <c:axId val="30680920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29229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b83064f-cae8-434f-8050-17ffcdd8630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'ALL-F1'!$C$1390:$C$1410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'ALL-F1'!$D$1390:$D$1410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'ALL-F1'!$C$1390:$C$1410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'ALL-F1'!$E$1390:$E$1410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'ALL-F1'!$C$1390:$C$1410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'ALL-F1'!$F$1390:$F$1410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06848"/>
        <c:axId val="3068084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'ALL-F1'!$C$1390:$C$1410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'ALL-F1'!$C$1390:$C$1410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'ALL-F1'!$C$1390:$C$1410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806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08416"/>
        <c:crosses val="autoZero"/>
        <c:auto val="1"/>
        <c:lblAlgn val="ctr"/>
        <c:lblOffset val="100"/>
        <c:noMultiLvlLbl val="0"/>
      </c:catAx>
      <c:valAx>
        <c:axId val="3068084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0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6094051-cac6-4e66-9a43-dea0530eac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'ALL-F1'!$C$1445:$C$1465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'ALL-F1'!$D$1445:$D$1465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'ALL-F1'!$C$1445:$C$1465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'ALL-F1'!$E$1445:$E$1465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'ALL-F1'!$C$1445:$C$1465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'ALL-F1'!$F$1445:$F$1465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07240"/>
        <c:axId val="30681390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'ALL-F1'!$C$1445:$C$1465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'ALL-F1'!$C$1445:$C$1465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'ALL-F1'!$C$1445:$C$1465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8072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13904"/>
        <c:crosses val="autoZero"/>
        <c:auto val="1"/>
        <c:lblAlgn val="ctr"/>
        <c:lblOffset val="100"/>
        <c:noMultiLvlLbl val="0"/>
      </c:catAx>
      <c:valAx>
        <c:axId val="30681390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07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a56618f-3ad7-42a6-a6f4-c4d26213d4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'ALL-F1'!$C$1500:$C$1520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'ALL-F1'!$D$1500:$D$1520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'ALL-F1'!$C$1500:$C$1520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'ALL-F1'!$E$1500:$E$1520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'ALL-F1'!$C$1500:$C$1520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'ALL-F1'!$F$1500:$F$1520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13120"/>
        <c:axId val="306811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'ALL-F1'!$C$1500:$C$1520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'ALL-F1'!$C$1500:$C$1520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'ALL-F1'!$C$1500:$C$1520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8131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11944"/>
        <c:crosses val="autoZero"/>
        <c:auto val="1"/>
        <c:lblAlgn val="ctr"/>
        <c:lblOffset val="100"/>
        <c:noMultiLvlLbl val="0"/>
      </c:catAx>
      <c:valAx>
        <c:axId val="30681194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1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97fe036-162f-4fe7-9bdb-4854589097f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'ALL-F1'!$C$1555:$C$1575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'ALL-F1'!$D$1555:$D$1575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'ALL-F1'!$C$1555:$C$1575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'ALL-F1'!$E$1555:$E$1575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'ALL-F1'!$C$1555:$C$1575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'ALL-F1'!$F$1555:$F$1575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10768"/>
        <c:axId val="3068080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'ALL-F1'!$C$1555:$C$1575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'ALL-F1'!$C$1555:$C$1575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'ALL-F1'!$C$1555:$C$1575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8107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08024"/>
        <c:crosses val="autoZero"/>
        <c:auto val="1"/>
        <c:lblAlgn val="ctr"/>
        <c:lblOffset val="100"/>
        <c:noMultiLvlLbl val="0"/>
      </c:catAx>
      <c:valAx>
        <c:axId val="3068080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1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c4da55b-1124-4d35-8953-d65763d1ce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'ALL-F1'!$C$1610:$C$1630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'ALL-F1'!$D$1610:$D$1630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'ALL-F1'!$C$1610:$C$1630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'ALL-F1'!$E$1610:$E$1630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'ALL-F1'!$C$1610:$C$1630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'ALL-F1'!$F$1610:$F$1630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08808"/>
        <c:axId val="3068135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'ALL-F1'!$C$1610:$C$1630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'ALL-F1'!$C$1610:$C$1630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'ALL-F1'!$C$1610:$C$1630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8088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13512"/>
        <c:crosses val="autoZero"/>
        <c:auto val="1"/>
        <c:lblAlgn val="ctr"/>
        <c:lblOffset val="100"/>
        <c:noMultiLvlLbl val="0"/>
      </c:catAx>
      <c:valAx>
        <c:axId val="30681351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0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55a901a-f82c-40cb-87b8-57fa12e8e8f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'ALL-F1'!$C$1665:$C$1685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'ALL-F1'!$D$1665:$D$1685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'ALL-F1'!$C$1665:$C$1685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'ALL-F1'!$E$1665:$E$1685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'ALL-F1'!$C$1665:$C$1685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'ALL-F1'!$F$1665:$F$1685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814296"/>
        <c:axId val="3068115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'ALL-F1'!$C$1665:$C$1685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'ALL-F1'!$C$1665:$C$1685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'ALL-F1'!$C$1665:$C$1685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6814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11552"/>
        <c:crosses val="autoZero"/>
        <c:auto val="1"/>
        <c:lblAlgn val="ctr"/>
        <c:lblOffset val="100"/>
        <c:noMultiLvlLbl val="0"/>
      </c:catAx>
      <c:valAx>
        <c:axId val="30681155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681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2425624-5fd9-4d70-ad9a-5f37f768c2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'ALL-F1'!$C$1720:$C$1740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'ALL-F1'!$D$1720:$D$1740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'ALL-F1'!$C$1720:$C$1740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'ALL-F1'!$E$1720:$E$1740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'ALL-F1'!$C$1720:$C$1740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'ALL-F1'!$F$1720:$F$1740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48568"/>
        <c:axId val="3074462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'ALL-F1'!$C$1720:$C$1740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'ALL-F1'!$C$1720:$C$1740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'ALL-F1'!$C$1720:$C$1740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74485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6216"/>
        <c:crosses val="autoZero"/>
        <c:auto val="1"/>
        <c:lblAlgn val="ctr"/>
        <c:lblOffset val="100"/>
        <c:noMultiLvlLbl val="0"/>
      </c:catAx>
      <c:valAx>
        <c:axId val="307446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8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ebd6e5d-1119-4add-8abf-02c1cc7625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'ALL-F1'!$C$1775:$C$1795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'ALL-F1'!$D$1775:$D$1795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'ALL-F1'!$C$1775:$C$1795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'ALL-F1'!$E$1775:$E$1795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'ALL-F1'!$C$1775:$C$1795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'ALL-F1'!$F$1775:$F$1795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47000"/>
        <c:axId val="3074513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'ALL-F1'!$C$1775:$C$1795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'ALL-F1'!$C$1775:$C$1795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'ALL-F1'!$C$1775:$C$1795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7447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51312"/>
        <c:crosses val="autoZero"/>
        <c:auto val="1"/>
        <c:lblAlgn val="ctr"/>
        <c:lblOffset val="100"/>
        <c:noMultiLvlLbl val="0"/>
      </c:catAx>
      <c:valAx>
        <c:axId val="30745131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7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7331254-713d-46b2-965a-3b7511e68c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'ALL-F1'!$C$1830:$C$1850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'ALL-F1'!$D$1830:$D$1850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'ALL-F1'!$C$1830:$C$1850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'ALL-F1'!$E$1830:$E$1850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'ALL-F1'!$C$1830:$C$1850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'ALL-F1'!$F$1830:$F$1850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48960"/>
        <c:axId val="3074505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'ALL-F1'!$C$1830:$C$1850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'ALL-F1'!$C$1830:$C$1850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'ALL-F1'!$C$1830:$C$1850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74489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50528"/>
        <c:crosses val="autoZero"/>
        <c:auto val="1"/>
        <c:lblAlgn val="ctr"/>
        <c:lblOffset val="100"/>
        <c:noMultiLvlLbl val="0"/>
      </c:catAx>
      <c:valAx>
        <c:axId val="30745052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bad437e-995c-4bd6-b6d8-313b3ac5e5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'ALL-F1'!$C$1885:$C$1905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'ALL-F1'!$D$1885:$D$1905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'ALL-F1'!$C$1885:$C$1905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'ALL-F1'!$E$1885:$E$1905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'ALL-F1'!$C$1885:$C$1905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'ALL-F1'!$F$1885:$F$1905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47392"/>
        <c:axId val="3074477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'ALL-F1'!$C$1885:$C$1905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'ALL-F1'!$C$1885:$C$1905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'ALL-F1'!$C$1885:$C$1905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7447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7784"/>
        <c:crosses val="autoZero"/>
        <c:auto val="1"/>
        <c:lblAlgn val="ctr"/>
        <c:lblOffset val="100"/>
        <c:noMultiLvlLbl val="0"/>
      </c:catAx>
      <c:valAx>
        <c:axId val="3074477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84c7913-92ed-4200-b3af-0eb5e1828a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'ALL-F1'!$C$1940:$C$1960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'ALL-F1'!$D$1940:$D$1960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'ALL-F1'!$C$1940:$C$1960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'ALL-F1'!$E$1940:$E$1960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'ALL-F1'!$C$1940:$C$1960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'ALL-F1'!$F$1940:$F$1960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51704"/>
        <c:axId val="3074481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'ALL-F1'!$C$1940:$C$1960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'ALL-F1'!$C$1940:$C$1960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'ALL-F1'!$C$1940:$C$1960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7451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8176"/>
        <c:crosses val="autoZero"/>
        <c:auto val="1"/>
        <c:lblAlgn val="ctr"/>
        <c:lblOffset val="100"/>
        <c:noMultiLvlLbl val="0"/>
      </c:catAx>
      <c:valAx>
        <c:axId val="3074481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5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cae3ee6-c190-4fdc-a6d8-dbdd4a4c1f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'ALL-F1'!$C$1995:$C$2015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'ALL-F1'!$D$1995:$D$2015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'ALL-F1'!$C$1995:$C$2015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'ALL-F1'!$E$1995:$E$2015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'ALL-F1'!$C$1995:$C$2015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'ALL-F1'!$F$1995:$F$2015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50920"/>
        <c:axId val="307452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'ALL-F1'!$C$1995:$C$2015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'ALL-F1'!$C$1995:$C$2015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'ALL-F1'!$C$1995:$C$2015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7450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52096"/>
        <c:crosses val="autoZero"/>
        <c:auto val="1"/>
        <c:lblAlgn val="ctr"/>
        <c:lblOffset val="100"/>
        <c:noMultiLvlLbl val="0"/>
      </c:catAx>
      <c:valAx>
        <c:axId val="3074520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5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f75ee4f-3c71-4753-9d23-3543165fe7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'ALL-F1'!$C$2050:$C$2070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'ALL-F1'!$D$2050:$D$2070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'ALL-F1'!$C$2050:$C$2070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'ALL-F1'!$E$2050:$E$2070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'ALL-F1'!$C$2050:$C$2070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'ALL-F1'!$F$2050:$F$2070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453272"/>
        <c:axId val="3074458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'ALL-F1'!$C$2050:$C$2070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'ALL-F1'!$C$2050:$C$2070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'ALL-F1'!$C$2050:$C$2070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74532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45824"/>
        <c:crosses val="autoZero"/>
        <c:auto val="1"/>
        <c:lblAlgn val="ctr"/>
        <c:lblOffset val="100"/>
        <c:noMultiLvlLbl val="0"/>
      </c:catAx>
      <c:valAx>
        <c:axId val="3074458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7453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3158eec-5888-4a5e-a256-c795d5f3235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'ALL-F1'!$C$2105:$C$2125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'ALL-F1'!$D$2105:$D$2125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'ALL-F1'!$C$2105:$C$2125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'ALL-F1'!$E$2105:$E$2125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'ALL-F1'!$C$2105:$C$2125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'ALL-F1'!$F$2105:$F$2125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41696"/>
        <c:axId val="30813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'ALL-F1'!$C$2105:$C$2125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'ALL-F1'!$C$2105:$C$2125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'ALL-F1'!$C$2105:$C$2125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81416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4640"/>
        <c:crosses val="autoZero"/>
        <c:auto val="1"/>
        <c:lblAlgn val="ctr"/>
        <c:lblOffset val="100"/>
        <c:noMultiLvlLbl val="0"/>
      </c:catAx>
      <c:valAx>
        <c:axId val="30813464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4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f83a156-bb44-4aab-960d-4b7ccc8648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'ALL-F1'!$C$2160:$C$2180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'ALL-F1'!$D$2160:$D$2180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'ALL-F1'!$C$2160:$C$2180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'ALL-F1'!$E$2160:$E$2180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'ALL-F1'!$C$2160:$C$2180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'ALL-F1'!$F$2160:$F$2180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38952"/>
        <c:axId val="30813699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'ALL-F1'!$C$2160:$C$2180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'ALL-F1'!$C$2160:$C$2180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'ALL-F1'!$C$2160:$C$2180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8138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6992"/>
        <c:crosses val="autoZero"/>
        <c:auto val="1"/>
        <c:lblAlgn val="ctr"/>
        <c:lblOffset val="100"/>
        <c:noMultiLvlLbl val="0"/>
      </c:catAx>
      <c:valAx>
        <c:axId val="30813699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137fa37-969d-46dc-afcd-ebb3db578e5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'ALL-F1'!$C$2215:$C$2235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'ALL-F1'!$D$2215:$D$2235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'ALL-F1'!$C$2215:$C$2235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'ALL-F1'!$E$2215:$E$2235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'ALL-F1'!$C$2215:$C$2235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'ALL-F1'!$F$2215:$F$2235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39736"/>
        <c:axId val="3081373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'ALL-F1'!$C$2215:$C$2235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'ALL-F1'!$C$2215:$C$2235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'ALL-F1'!$C$2215:$C$2235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8139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7384"/>
        <c:crosses val="autoZero"/>
        <c:auto val="1"/>
        <c:lblAlgn val="ctr"/>
        <c:lblOffset val="100"/>
        <c:noMultiLvlLbl val="0"/>
      </c:catAx>
      <c:valAx>
        <c:axId val="3081373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ea7e483-599b-423d-8773-80b3ad4fa9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'ALL-F1'!$C$2270:$C$2290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'ALL-F1'!$D$2270:$D$2290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'ALL-F1'!$C$2270:$C$2290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'ALL-F1'!$E$2270:$E$2290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'ALL-F1'!$C$2270:$C$2290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'ALL-F1'!$F$2270:$F$2290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38168"/>
        <c:axId val="308138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'ALL-F1'!$C$2270:$C$2290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'ALL-F1'!$C$2270:$C$2290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'ALL-F1'!$C$2270:$C$2290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8138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8560"/>
        <c:crosses val="autoZero"/>
        <c:auto val="1"/>
        <c:lblAlgn val="ctr"/>
        <c:lblOffset val="100"/>
        <c:noMultiLvlLbl val="0"/>
      </c:catAx>
      <c:valAx>
        <c:axId val="30813856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de5c52e-42bc-45e5-a01a-c1a1dd5682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'ALL-F1'!$C$2325:$C$2345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'ALL-F1'!$D$2325:$D$2345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'ALL-F1'!$C$2325:$C$2345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'ALL-F1'!$E$2325:$E$2345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'ALL-F1'!$C$2325:$C$2345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'ALL-F1'!$F$2325:$F$2345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39344"/>
        <c:axId val="308140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'ALL-F1'!$C$2325:$C$2345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'ALL-F1'!$C$2325:$C$2345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'ALL-F1'!$C$2325:$C$2345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8139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40128"/>
        <c:crosses val="autoZero"/>
        <c:auto val="1"/>
        <c:lblAlgn val="ctr"/>
        <c:lblOffset val="100"/>
        <c:noMultiLvlLbl val="0"/>
      </c:catAx>
      <c:valAx>
        <c:axId val="30814012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484def8-9100-4fdd-9e9f-4d77158d07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'ALL-F1'!$C$2380:$C$2400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'ALL-F1'!$D$2380:$D$2400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'ALL-F1'!$C$2380:$C$2400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'ALL-F1'!$E$2380:$E$2400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'ALL-F1'!$C$2380:$C$2400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'ALL-F1'!$F$2380:$F$2400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40912"/>
        <c:axId val="308134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'ALL-F1'!$C$2380:$C$2400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'ALL-F1'!$C$2380:$C$2400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'ALL-F1'!$C$2380:$C$2400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8140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4248"/>
        <c:crosses val="autoZero"/>
        <c:auto val="1"/>
        <c:lblAlgn val="ctr"/>
        <c:lblOffset val="100"/>
        <c:noMultiLvlLbl val="0"/>
      </c:catAx>
      <c:valAx>
        <c:axId val="30813424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4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cc78b15-a64a-4290-b3f8-0cf27f1c23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'ALL-F1'!$C$2435:$C$2455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'ALL-F1'!$D$2435:$D$2455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'ALL-F1'!$C$2435:$C$2455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'ALL-F1'!$E$2435:$E$2455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'ALL-F1'!$C$2435:$C$2455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'ALL-F1'!$F$2435:$F$2455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8135816"/>
        <c:axId val="3090897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'ALL-F1'!$C$2435:$C$2455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'ALL-F1'!$C$2435:$C$2455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'ALL-F1'!$C$2435:$C$2455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8135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9736"/>
        <c:crosses val="autoZero"/>
        <c:auto val="1"/>
        <c:lblAlgn val="ctr"/>
        <c:lblOffset val="100"/>
        <c:noMultiLvlLbl val="0"/>
      </c:catAx>
      <c:valAx>
        <c:axId val="3090897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813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035c08c-ae1c-4a83-bab0-df87e760862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'ALL-F1'!$C$2490:$C$2510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'ALL-F1'!$D$2490:$D$2510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'ALL-F1'!$C$2490:$C$2510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'ALL-F1'!$E$2490:$E$2510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'ALL-F1'!$C$2490:$C$2510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'ALL-F1'!$F$2490:$F$2510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086600"/>
        <c:axId val="309085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'ALL-F1'!$C$2490:$C$2510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'ALL-F1'!$C$2490:$C$2510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'ALL-F1'!$C$2490:$C$2510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0866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5424"/>
        <c:crosses val="autoZero"/>
        <c:auto val="1"/>
        <c:lblAlgn val="ctr"/>
        <c:lblOffset val="100"/>
        <c:noMultiLvlLbl val="0"/>
      </c:catAx>
      <c:valAx>
        <c:axId val="3090854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6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f46fe5e-974d-4b77-9ca0-411e4cae06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'ALL-F1'!$C$2545:$C$2565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'ALL-F1'!$D$2545:$D$2565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'ALL-F1'!$C$2545:$C$2565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'ALL-F1'!$E$2545:$E$2565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'ALL-F1'!$C$2545:$C$2565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'ALL-F1'!$F$2545:$F$2565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090128"/>
        <c:axId val="3090858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'ALL-F1'!$C$2545:$C$2565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'ALL-F1'!$C$2545:$C$2565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'ALL-F1'!$C$2545:$C$2565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090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5816"/>
        <c:crosses val="autoZero"/>
        <c:auto val="1"/>
        <c:lblAlgn val="ctr"/>
        <c:lblOffset val="100"/>
        <c:noMultiLvlLbl val="0"/>
      </c:catAx>
      <c:valAx>
        <c:axId val="3090858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9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bdad2ee-8881-43d1-894b-eb1cc137e31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'ALL-F1'!$C$2600:$C$2620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'ALL-F1'!$D$2600:$D$2620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'ALL-F1'!$C$2600:$C$2620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'ALL-F1'!$E$2600:$E$2620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'ALL-F1'!$C$2600:$C$2620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'ALL-F1'!$F$2600:$F$2620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085032"/>
        <c:axId val="30909091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'ALL-F1'!$C$2600:$C$2620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'ALL-F1'!$C$2600:$C$2620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'ALL-F1'!$C$2600:$C$2620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0850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90912"/>
        <c:crosses val="autoZero"/>
        <c:auto val="1"/>
        <c:lblAlgn val="ctr"/>
        <c:lblOffset val="100"/>
        <c:noMultiLvlLbl val="0"/>
      </c:catAx>
      <c:valAx>
        <c:axId val="30909091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a89495e-a24c-4c70-8fdc-14561518669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'ALL-F1'!$C$2655:$C$2675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'ALL-F1'!$D$2655:$D$2675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'ALL-F1'!$C$2655:$C$2675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'ALL-F1'!$E$2655:$E$2675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'ALL-F1'!$C$2655:$C$2675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'ALL-F1'!$F$2655:$F$2675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087776"/>
        <c:axId val="3090862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'ALL-F1'!$C$2655:$C$2675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'ALL-F1'!$C$2655:$C$2675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'ALL-F1'!$C$2655:$C$2675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087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6208"/>
        <c:crosses val="autoZero"/>
        <c:auto val="1"/>
        <c:lblAlgn val="ctr"/>
        <c:lblOffset val="100"/>
        <c:noMultiLvlLbl val="0"/>
      </c:catAx>
      <c:valAx>
        <c:axId val="30908620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7121512-d659-45ba-88e6-fc8bcc9ce7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'ALL-F1'!$C$2710:$C$2730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'ALL-F1'!$D$2710:$D$2730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'ALL-F1'!$C$2710:$C$2730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'ALL-F1'!$E$2710:$E$2730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'ALL-F1'!$C$2710:$C$2730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'ALL-F1'!$F$2710:$F$2730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088952"/>
        <c:axId val="30908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'ALL-F1'!$C$2710:$C$2730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'ALL-F1'!$C$2710:$C$2730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'ALL-F1'!$C$2710:$C$2730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0889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4640"/>
        <c:crosses val="autoZero"/>
        <c:auto val="1"/>
        <c:lblAlgn val="ctr"/>
        <c:lblOffset val="100"/>
        <c:noMultiLvlLbl val="0"/>
      </c:catAx>
      <c:valAx>
        <c:axId val="30908464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8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71c37a94-01d6-429a-aad5-0959dc508b4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'ALL-F1'!$C$2765:$C$2785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'ALL-F1'!$D$2765:$D$2785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'ALL-F1'!$C$2765:$C$2785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'ALL-F1'!$E$2765:$E$2785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'ALL-F1'!$C$2765:$C$2785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'ALL-F1'!$F$2765:$F$2785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089344"/>
        <c:axId val="3090916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'ALL-F1'!$C$2765:$C$2785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'ALL-F1'!$C$2765:$C$2785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'ALL-F1'!$C$2765:$C$2785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089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91696"/>
        <c:crosses val="autoZero"/>
        <c:auto val="1"/>
        <c:lblAlgn val="ctr"/>
        <c:lblOffset val="100"/>
        <c:noMultiLvlLbl val="0"/>
      </c:catAx>
      <c:valAx>
        <c:axId val="3090916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08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61e5de3-6441-4443-9b30-4621a376515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'ALL-F1'!$C$2820:$C$2840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'ALL-F1'!$D$2820:$D$2840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'ALL-F1'!$C$2820:$C$2840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'ALL-F1'!$E$2820:$E$2840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'ALL-F1'!$C$2820:$C$2840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'ALL-F1'!$F$2820:$F$2840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908168"/>
        <c:axId val="30990503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'ALL-F1'!$C$2820:$C$2840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'ALL-F1'!$C$2820:$C$2840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'ALL-F1'!$C$2820:$C$2840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90816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5032"/>
        <c:crosses val="autoZero"/>
        <c:auto val="1"/>
        <c:lblAlgn val="ctr"/>
        <c:lblOffset val="100"/>
        <c:noMultiLvlLbl val="0"/>
      </c:catAx>
      <c:valAx>
        <c:axId val="309905032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8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ad73d90-2f59-492d-8bf1-304d9b5d36d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'ALL-F1'!$C$2875:$C$2895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'ALL-F1'!$D$2875:$D$2895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'ALL-F1'!$C$2875:$C$2895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'ALL-F1'!$E$2875:$E$2895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'ALL-F1'!$C$2875:$C$2895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'ALL-F1'!$F$2875:$F$2895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909736"/>
        <c:axId val="3099066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'ALL-F1'!$C$2875:$C$2895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'ALL-F1'!$C$2875:$C$2895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'ALL-F1'!$C$2875:$C$2895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909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6600"/>
        <c:crosses val="autoZero"/>
        <c:auto val="1"/>
        <c:lblAlgn val="ctr"/>
        <c:lblOffset val="100"/>
        <c:noMultiLvlLbl val="0"/>
      </c:catAx>
      <c:valAx>
        <c:axId val="30990660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0b54a06-65e1-4ef1-8fde-8ae2808b50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'ALL-F1'!$C$2930:$C$2950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'ALL-F1'!$D$2930:$D$2950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'ALL-F1'!$C$2930:$C$2950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'ALL-F1'!$E$2930:$E$2950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'ALL-F1'!$C$2930:$C$2950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'ALL-F1'!$F$2930:$F$2950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908560"/>
        <c:axId val="3099101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'ALL-F1'!$C$2930:$C$2950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'ALL-F1'!$C$2930:$C$2950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'ALL-F1'!$C$2930:$C$2950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908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10128"/>
        <c:crosses val="autoZero"/>
        <c:auto val="1"/>
        <c:lblAlgn val="ctr"/>
        <c:lblOffset val="100"/>
        <c:noMultiLvlLbl val="0"/>
      </c:catAx>
      <c:valAx>
        <c:axId val="30991012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ef82c03-7645-4212-a4e8-d2f17fa89be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'ALL-F1'!$C$2985:$C$3005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'ALL-F1'!$D$2985:$D$3005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'ALL-F1'!$C$2985:$C$3005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'ALL-F1'!$E$2985:$E$3005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'ALL-F1'!$C$2985:$C$3005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'ALL-F1'!$F$2985:$F$3005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910912"/>
        <c:axId val="309905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'ALL-F1'!$C$2985:$C$3005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'ALL-F1'!$C$2985:$C$3005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'ALL-F1'!$C$2985:$C$3005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910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5424"/>
        <c:crosses val="autoZero"/>
        <c:auto val="1"/>
        <c:lblAlgn val="ctr"/>
        <c:lblOffset val="100"/>
        <c:noMultiLvlLbl val="0"/>
      </c:catAx>
      <c:valAx>
        <c:axId val="3099054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1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c990192-ef40-460a-8acb-fed425a79b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'ALL-F1'!$C$3040:$C$3060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'ALL-F1'!$D$3040:$D$3060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'ALL-F1'!$C$3040:$C$3060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'ALL-F1'!$E$3040:$E$3060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'ALL-F1'!$C$3040:$C$3060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'ALL-F1'!$F$3040:$F$3060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906208"/>
        <c:axId val="309904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'ALL-F1'!$C$3040:$C$3060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'ALL-F1'!$C$3040:$C$3060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'ALL-F1'!$C$3040:$C$3060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906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4640"/>
        <c:crosses val="autoZero"/>
        <c:auto val="1"/>
        <c:lblAlgn val="ctr"/>
        <c:lblOffset val="100"/>
        <c:noMultiLvlLbl val="0"/>
      </c:catAx>
      <c:valAx>
        <c:axId val="30990464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98ce0af-aaee-4f57-ab24-1cb6f684a8c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'ALL-F1'!$C$3095:$C$3115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'ALL-F1'!$D$3095:$D$3115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'ALL-F1'!$C$3095:$C$3115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'ALL-F1'!$E$3095:$E$3115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'ALL-F1'!$C$3095:$C$3115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'ALL-F1'!$F$3095:$F$3115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905816"/>
        <c:axId val="3099077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'ALL-F1'!$C$3095:$C$3115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'ALL-F1'!$C$3095:$C$3115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'ALL-F1'!$C$3095:$C$3115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905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7776"/>
        <c:crosses val="autoZero"/>
        <c:auto val="1"/>
        <c:lblAlgn val="ctr"/>
        <c:lblOffset val="100"/>
        <c:noMultiLvlLbl val="0"/>
      </c:catAx>
      <c:valAx>
        <c:axId val="3099077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d60a5f9-3fa1-4565-935d-89e8c8d1059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'ALL-F1'!$C$3150:$C$3170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'ALL-F1'!$D$3150:$D$3170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'ALL-F1'!$C$3150:$C$3170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'ALL-F1'!$E$3150:$E$3170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'ALL-F1'!$C$3150:$C$3170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'ALL-F1'!$F$3150:$F$3170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9907384"/>
        <c:axId val="3099093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'ALL-F1'!$C$3150:$C$3170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'ALL-F1'!$C$3150:$C$3170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'ALL-F1'!$C$3150:$C$3170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99073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9344"/>
        <c:crosses val="autoZero"/>
        <c:auto val="1"/>
        <c:lblAlgn val="ctr"/>
        <c:lblOffset val="100"/>
        <c:noMultiLvlLbl val="0"/>
      </c:catAx>
      <c:valAx>
        <c:axId val="30990934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9907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2d0f931-5f77-4dcb-b693-2d85833ec7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'ALL-F1'!$C$3205:$C$3225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'ALL-F1'!$D$3205:$D$3225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'ALL-F1'!$C$3205:$C$3225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'ALL-F1'!$E$3205:$E$3225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'ALL-F1'!$C$3205:$C$3225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'ALL-F1'!$F$3205:$F$3225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1464"/>
        <c:axId val="30431460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'ALL-F1'!$C$3205:$C$3225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'ALL-F1'!$C$3205:$C$3225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'ALL-F1'!$C$3205:$C$3225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1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4600"/>
        <c:crosses val="autoZero"/>
        <c:auto val="1"/>
        <c:lblAlgn val="ctr"/>
        <c:lblOffset val="100"/>
        <c:noMultiLvlLbl val="0"/>
      </c:catAx>
      <c:valAx>
        <c:axId val="30431460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1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f1a65dc-0086-49b9-b0f9-1273429ca3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'ALL-F1'!$C$3260:$C$3280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'ALL-F1'!$D$3260:$D$3280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'ALL-F1'!$C$3260:$C$3280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'ALL-F1'!$E$3260:$E$3280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'ALL-F1'!$C$3260:$C$3280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'ALL-F1'!$F$3260:$F$3280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3816"/>
        <c:axId val="304307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'ALL-F1'!$C$3260:$C$3280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'ALL-F1'!$C$3260:$C$3280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'ALL-F1'!$C$3260:$C$3280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38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07936"/>
        <c:crosses val="autoZero"/>
        <c:auto val="1"/>
        <c:lblAlgn val="ctr"/>
        <c:lblOffset val="100"/>
        <c:noMultiLvlLbl val="0"/>
      </c:catAx>
      <c:valAx>
        <c:axId val="30430793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3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dbf852bd-ef54-479e-a351-7b02ad919e5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'ALL-F1'!$C$3315:$C$3335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'ALL-F1'!$D$3315:$D$3335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'ALL-F1'!$C$3315:$C$3335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'ALL-F1'!$E$3315:$E$3335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'ALL-F1'!$C$3315:$C$3335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'ALL-F1'!$F$3315:$F$3335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1072"/>
        <c:axId val="304312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'ALL-F1'!$C$3315:$C$3335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'ALL-F1'!$C$3315:$C$3335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'ALL-F1'!$C$3315:$C$3335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107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2640"/>
        <c:crosses val="autoZero"/>
        <c:auto val="1"/>
        <c:lblAlgn val="ctr"/>
        <c:lblOffset val="100"/>
        <c:noMultiLvlLbl val="0"/>
      </c:catAx>
      <c:valAx>
        <c:axId val="30431264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bab6c1c-1c39-4764-914e-a08eda0ec6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'ALL-F1'!$C$3370:$C$3390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'ALL-F1'!$D$3370:$D$3390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'ALL-F1'!$C$3370:$C$3390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'ALL-F1'!$E$3370:$E$3390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'ALL-F1'!$C$3370:$C$3390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'ALL-F1'!$F$3370:$F$3390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1856"/>
        <c:axId val="304312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'ALL-F1'!$C$3370:$C$3390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'ALL-F1'!$C$3370:$C$3390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'ALL-F1'!$C$3370:$C$3390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18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2248"/>
        <c:crosses val="autoZero"/>
        <c:auto val="1"/>
        <c:lblAlgn val="ctr"/>
        <c:lblOffset val="100"/>
        <c:noMultiLvlLbl val="0"/>
      </c:catAx>
      <c:valAx>
        <c:axId val="30431224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f5221f6-5f7f-4fb1-83d2-2c36c6ddcaa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'ALL-F1'!$C$3425:$C$3445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'ALL-F1'!$D$3425:$D$3445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'ALL-F1'!$C$3425:$C$3445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'ALL-F1'!$E$3425:$E$3445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'ALL-F1'!$C$3425:$C$3445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'ALL-F1'!$F$3425:$F$3445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7736"/>
        <c:axId val="3043106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'ALL-F1'!$C$3425:$C$3445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'ALL-F1'!$C$3425:$C$3445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'ALL-F1'!$C$3425:$C$3445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7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0680"/>
        <c:crosses val="autoZero"/>
        <c:auto val="1"/>
        <c:lblAlgn val="ctr"/>
        <c:lblOffset val="100"/>
        <c:noMultiLvlLbl val="0"/>
      </c:catAx>
      <c:valAx>
        <c:axId val="30431068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a42b343-3151-478c-a582-63627c7400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'ALL-F1'!$C$3480:$C$3500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'ALL-F1'!$D$3480:$D$3500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'ALL-F1'!$C$3480:$C$3500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'ALL-F1'!$E$3480:$E$3500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'ALL-F1'!$C$3480:$C$3500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'ALL-F1'!$F$3480:$F$3500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4208"/>
        <c:axId val="30430832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'ALL-F1'!$C$3480:$C$3500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'ALL-F1'!$C$3480:$C$3500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'ALL-F1'!$C$3480:$C$3500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42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08328"/>
        <c:crosses val="autoZero"/>
        <c:auto val="1"/>
        <c:lblAlgn val="ctr"/>
        <c:lblOffset val="100"/>
        <c:noMultiLvlLbl val="0"/>
      </c:catAx>
      <c:valAx>
        <c:axId val="30430832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f996d4a-31b3-4566-aeb1-fdc3094239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'ALL-F1'!$C$3535:$C$3555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'ALL-F1'!$D$3535:$D$3555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'ALL-F1'!$C$3535:$C$3555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'ALL-F1'!$E$3535:$E$3555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'ALL-F1'!$C$3535:$C$3555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'ALL-F1'!$F$3535:$F$3555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8128"/>
        <c:axId val="30431342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'ALL-F1'!$C$3535:$C$3555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'ALL-F1'!$C$3535:$C$3555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'ALL-F1'!$C$3535:$C$3555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81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3424"/>
        <c:crosses val="autoZero"/>
        <c:auto val="1"/>
        <c:lblAlgn val="ctr"/>
        <c:lblOffset val="100"/>
        <c:noMultiLvlLbl val="0"/>
      </c:catAx>
      <c:valAx>
        <c:axId val="30431342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6989efe-3dc2-4f28-84cf-b658a8627b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'ALL-F1'!$C$3590:$C$3610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'ALL-F1'!$D$3590:$D$3610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'ALL-F1'!$C$3590:$C$3610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'ALL-F1'!$E$3590:$E$3610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'ALL-F1'!$C$3590:$C$3610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'ALL-F1'!$F$3590:$F$3610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07152"/>
        <c:axId val="304316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'ALL-F1'!$C$3590:$C$3610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'ALL-F1'!$C$3590:$C$3610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'ALL-F1'!$C$3590:$C$3610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07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6560"/>
        <c:crosses val="autoZero"/>
        <c:auto val="1"/>
        <c:lblAlgn val="ctr"/>
        <c:lblOffset val="100"/>
        <c:noMultiLvlLbl val="0"/>
      </c:catAx>
      <c:valAx>
        <c:axId val="30431656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0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06619da3-1dac-4a72-a63c-1eec7acb1c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'ALL-F1'!$C$3645:$C$3665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'ALL-F1'!$D$3645:$D$3665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'ALL-F1'!$C$3645:$C$3665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'ALL-F1'!$E$3645:$E$3665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'ALL-F1'!$C$3645:$C$3665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'ALL-F1'!$F$3645:$F$3665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09896"/>
        <c:axId val="304318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'ALL-F1'!$C$3645:$C$3665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'ALL-F1'!$C$3645:$C$3665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'ALL-F1'!$C$3645:$C$3665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098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8520"/>
        <c:crosses val="autoZero"/>
        <c:auto val="1"/>
        <c:lblAlgn val="ctr"/>
        <c:lblOffset val="100"/>
        <c:noMultiLvlLbl val="0"/>
      </c:catAx>
      <c:valAx>
        <c:axId val="3043185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0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441cc08-c599-4db9-8289-2edbb36c01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'ALL-F1'!$C$3700:$C$3720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'ALL-F1'!$D$3700:$D$3720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'ALL-F1'!$C$3700:$C$3720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'ALL-F1'!$E$3700:$E$3720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'ALL-F1'!$C$3700:$C$3720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'ALL-F1'!$F$3700:$F$3720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10288"/>
        <c:axId val="304308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'ALL-F1'!$C$3700:$C$3720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'ALL-F1'!$C$3700:$C$3720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'ALL-F1'!$C$3700:$C$3720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102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08720"/>
        <c:crosses val="autoZero"/>
        <c:auto val="1"/>
        <c:lblAlgn val="ctr"/>
        <c:lblOffset val="100"/>
        <c:noMultiLvlLbl val="0"/>
      </c:catAx>
      <c:valAx>
        <c:axId val="3043087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77f0211-13f9-4f83-ab3d-b0f03564f1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'ALL-F1'!$C$3755:$C$3775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'ALL-F1'!$D$3755:$D$3775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'ALL-F1'!$C$3755:$C$3775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'ALL-F1'!$E$3755:$E$3775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'ALL-F1'!$C$3755:$C$3775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'ALL-F1'!$F$3755:$F$3775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22440"/>
        <c:axId val="3043196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'ALL-F1'!$C$3755:$C$3775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'ALL-F1'!$C$3755:$C$3775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'ALL-F1'!$C$3755:$C$3775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224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19696"/>
        <c:crosses val="autoZero"/>
        <c:auto val="1"/>
        <c:lblAlgn val="ctr"/>
        <c:lblOffset val="100"/>
        <c:noMultiLvlLbl val="0"/>
      </c:catAx>
      <c:valAx>
        <c:axId val="3043196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22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3fe6fcc-cb9c-4c4e-9b83-84bb679278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'ALL-F1'!$C$3810:$C$3830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'ALL-F1'!$D$3810:$D$3830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'ALL-F1'!$C$3810:$C$3830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'ALL-F1'!$E$3810:$E$3830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'ALL-F1'!$C$3810:$C$3830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'ALL-F1'!$F$3810:$F$3830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20088"/>
        <c:axId val="30432048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'ALL-F1'!$C$3810:$C$3830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'ALL-F1'!$C$3810:$C$3830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'ALL-F1'!$C$3810:$C$3830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20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20480"/>
        <c:crosses val="autoZero"/>
        <c:auto val="1"/>
        <c:lblAlgn val="ctr"/>
        <c:lblOffset val="100"/>
        <c:noMultiLvlLbl val="0"/>
      </c:catAx>
      <c:valAx>
        <c:axId val="30432048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20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f9e7ec6-8450-4bdf-bcc8-56352e1cbb8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'ALL-F1'!$C$3865:$C$3885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'ALL-F1'!$D$3865:$D$3885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'ALL-F1'!$C$3865:$C$3885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'ALL-F1'!$E$3865:$E$3885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'ALL-F1'!$C$3865:$C$3885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'ALL-F1'!$F$3865:$F$3885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4321264"/>
        <c:axId val="30432165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'ALL-F1'!$C$3865:$C$3885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'ALL-F1'!$C$3865:$C$3885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'ALL-F1'!$C$3865:$C$3885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043212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21656"/>
        <c:crosses val="autoZero"/>
        <c:auto val="1"/>
        <c:lblAlgn val="ctr"/>
        <c:lblOffset val="100"/>
        <c:noMultiLvlLbl val="0"/>
      </c:catAx>
      <c:valAx>
        <c:axId val="30432165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0432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c6aee44-f799-41ba-b94c-66516d33b97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'ALL-F1'!$C$3920:$C$3940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'ALL-F1'!$D$3920:$D$3940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'ALL-F1'!$C$3920:$C$3940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'ALL-F1'!$E$3920:$E$3940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'ALL-F1'!$C$3920:$C$3940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'ALL-F1'!$F$3920:$F$3940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3056"/>
        <c:axId val="3112865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'ALL-F1'!$C$3920:$C$3940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'ALL-F1'!$C$3920:$C$3940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'ALL-F1'!$C$3920:$C$3940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1128305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6584"/>
        <c:crosses val="autoZero"/>
        <c:auto val="1"/>
        <c:lblAlgn val="ctr"/>
        <c:lblOffset val="100"/>
        <c:noMultiLvlLbl val="0"/>
      </c:catAx>
      <c:valAx>
        <c:axId val="31128658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67c81805-5037-4684-a519-d1c4c79e18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'ALL-F1'!$C$3975:$C$3995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'ALL-F1'!$D$3975:$D$3995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'ALL-F1'!$C$3975:$C$3995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'ALL-F1'!$E$3975:$E$3995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'ALL-F1'!$C$3975:$C$3995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'ALL-F1'!$F$3975:$F$3995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76784"/>
        <c:axId val="3112799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'ALL-F1'!$C$3975:$C$3995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'ALL-F1'!$C$3975:$C$3995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'ALL-F1'!$C$3975:$C$3995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11276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9920"/>
        <c:crosses val="autoZero"/>
        <c:auto val="1"/>
        <c:lblAlgn val="ctr"/>
        <c:lblOffset val="100"/>
        <c:noMultiLvlLbl val="0"/>
      </c:catAx>
      <c:valAx>
        <c:axId val="311279920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951a4d1-5ad6-4ee3-a0e3-f368f7ee42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'ALL-F1'!$C$4030:$C$4050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'ALL-F1'!$D$4030:$D$4050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'ALL-F1'!$C$4030:$C$4050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'ALL-F1'!$E$4030:$E$4050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'ALL-F1'!$C$4030:$C$4050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'ALL-F1'!$F$4030:$F$4050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6976"/>
        <c:axId val="31127717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'ALL-F1'!$C$4030:$C$4050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'ALL-F1'!$C$4030:$C$4050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'ALL-F1'!$C$4030:$C$4050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11286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7176"/>
        <c:crosses val="autoZero"/>
        <c:auto val="1"/>
        <c:lblAlgn val="ctr"/>
        <c:lblOffset val="100"/>
        <c:noMultiLvlLbl val="0"/>
      </c:catAx>
      <c:valAx>
        <c:axId val="31127717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0d64d63-24d4-45ff-8363-526a3fbfee0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'ALL-F1'!$C$4085:$C$4105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'ALL-F1'!$D$4085:$D$4105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'ALL-F1'!$C$4085:$C$4105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'ALL-F1'!$E$4085:$E$4105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'ALL-F1'!$C$4085:$C$4105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'ALL-F1'!$F$4085:$F$4105</c:f>
              <c:numCache>
                <c:formatCode>0;\-00;;@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0704"/>
        <c:axId val="311278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'ALL-F1'!$C$4085:$C$4105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'ALL-F1'!$C$4085:$C$4105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'ALL-F1'!$C$4085:$C$4105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112807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8744"/>
        <c:crosses val="autoZero"/>
        <c:auto val="1"/>
        <c:lblAlgn val="ctr"/>
        <c:lblOffset val="100"/>
        <c:noMultiLvlLbl val="0"/>
      </c:catAx>
      <c:valAx>
        <c:axId val="311278744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52a22c57-98ed-417e-80e2-5f47f8f01c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"HINDI"</c:f>
              <c:strCache>
                <c:ptCount val="1"/>
                <c:pt idx="0">
                  <c:v>HINDI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'F1'!$D$15:$D$35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"MATHS"</c:f>
              <c:strCache>
                <c:ptCount val="1"/>
                <c:pt idx="0">
                  <c:v>MATHS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'F1'!$E$15:$E$35</c:f>
              <c:numCache>
                <c:formatCode>0;\-00;;@</c:formatCode>
                <c:ptCount val="2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"ENGLISH"</c:f>
              <c:strCache>
                <c:ptCount val="1"/>
                <c:pt idx="0">
                  <c:v>ENGLISH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strRef>
              <c:f>'F1'!$C$15:$C$35</c:f>
              <c:strCache>
                <c:ptCount val="21"/>
                <c:pt idx="0" c:formatCode="0;\-00;;@">
                  <c:v>30.04.2026</c:v>
                </c:pt>
                <c:pt idx="1" c:formatCode="0;\-00;;@">
                  <c:v>08.05.2026</c:v>
                </c:pt>
                <c:pt idx="2" c:formatCode="0;\-00;;@">
                  <c:v>15.07.2026</c:v>
                </c:pt>
                <c:pt idx="3" c:formatCode="0;\-00;;@">
                  <c:v>31.07.2026</c:v>
                </c:pt>
                <c:pt idx="4" c:formatCode="0;\-00;;@">
                  <c:v>17.08.2026</c:v>
                </c:pt>
                <c:pt idx="5" c:formatCode="0;\-00;;@">
                  <c:v>31.08.2026</c:v>
                </c:pt>
                <c:pt idx="6" c:formatCode="0;\-00;;@">
                  <c:v/>
                </c:pt>
                <c:pt idx="7" c:formatCode="0;\-00;;@">
                  <c:v/>
                </c:pt>
                <c:pt idx="8" c:formatCode="0;\-00;;@">
                  <c:v/>
                </c:pt>
                <c:pt idx="9" c:formatCode="0;\-00;;@">
                  <c:v/>
                </c:pt>
                <c:pt idx="10" c:formatCode="0;\-00;;@">
                  <c:v/>
                </c:pt>
                <c:pt idx="11" c:formatCode="0;\-00;;@">
                  <c:v/>
                </c:pt>
                <c:pt idx="12" c:formatCode="0;\-00;;@">
                  <c:v/>
                </c:pt>
                <c:pt idx="13" c:formatCode="0;\-00;;@">
                  <c:v/>
                </c:pt>
                <c:pt idx="14" c:formatCode="0;\-00;;@">
                  <c:v/>
                </c:pt>
                <c:pt idx="15" c:formatCode="0;\-00;;@">
                  <c:v/>
                </c:pt>
                <c:pt idx="16" c:formatCode="0;\-00;;@">
                  <c:v/>
                </c:pt>
                <c:pt idx="17" c:formatCode="0;\-00;;@">
                  <c:v/>
                </c:pt>
                <c:pt idx="18" c:formatCode="0;\-00;;@">
                  <c:v/>
                </c:pt>
                <c:pt idx="19" c:formatCode="0;\-00;;@">
                  <c:v/>
                </c:pt>
                <c:pt idx="20" c:formatCode="0;\-00;;@">
                  <c:v/>
                </c:pt>
              </c:strCache>
            </c:strRef>
          </c:cat>
          <c:val>
            <c:numRef>
              <c:f>'F1'!$F$15:$F$35</c:f>
              <c:numCache>
                <c:formatCode>0;\-00;;@</c:formatCode>
                <c:ptCount val="2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75608"/>
        <c:axId val="3112810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'F1'!$C$15:$C$35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'F1'!$C$15:$C$35</c15:sqref>
                        </c15:formulaRef>
                      </c:ext>
                    </c:extLst>
                    <c:numCache>
                      <c:formatCode>0;\-00;;@</c:formatCode>
                      <c:ptCount val="2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</c:numCache>
                  </c:numRef>
                </c:val>
                <c:smooth val="0"/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'F1'!$C$15:$C$35</c15:sqref>
                        </c15:formulaRef>
                      </c:ext>
                    </c:extLst>
                    <c:strCache>
                      <c:ptCount val="21"/>
                      <c:pt idx="0" c:formatCode="0;\-00;;@">
                        <c:v>30.04.2026</c:v>
                      </c:pt>
                      <c:pt idx="1" c:formatCode="0;\-00;;@">
                        <c:v>08.05.2026</c:v>
                      </c:pt>
                      <c:pt idx="2" c:formatCode="0;\-00;;@">
                        <c:v>15.07.2026</c:v>
                      </c:pt>
                      <c:pt idx="3" c:formatCode="0;\-00;;@">
                        <c:v>31.07.2026</c:v>
                      </c:pt>
                      <c:pt idx="4" c:formatCode="0;\-00;;@">
                        <c:v>17.08.2026</c:v>
                      </c:pt>
                      <c:pt idx="5" c:formatCode="0;\-00;;@">
                        <c:v>31.08.2026</c:v>
                      </c:pt>
                      <c:pt idx="6" c:formatCode="0;\-00;;@">
                        <c:v/>
                      </c:pt>
                      <c:pt idx="7" c:formatCode="0;\-00;;@">
                        <c:v/>
                      </c:pt>
                      <c:pt idx="8" c:formatCode="0;\-00;;@">
                        <c:v/>
                      </c:pt>
                      <c:pt idx="9" c:formatCode="0;\-00;;@">
                        <c:v/>
                      </c:pt>
                      <c:pt idx="10" c:formatCode="0;\-00;;@">
                        <c:v/>
                      </c:pt>
                      <c:pt idx="11" c:formatCode="0;\-00;;@">
                        <c:v/>
                      </c:pt>
                      <c:pt idx="12" c:formatCode="0;\-00;;@">
                        <c:v/>
                      </c:pt>
                      <c:pt idx="13" c:formatCode="0;\-00;;@">
                        <c:v/>
                      </c:pt>
                      <c:pt idx="14" c:formatCode="0;\-00;;@">
                        <c:v/>
                      </c:pt>
                      <c:pt idx="15" c:formatCode="0;\-00;;@">
                        <c:v/>
                      </c:pt>
                      <c:pt idx="16" c:formatCode="0;\-00;;@">
                        <c:v/>
                      </c:pt>
                      <c:pt idx="17" c:formatCode="0;\-00;;@">
                        <c:v/>
                      </c:pt>
                      <c:pt idx="18" c:formatCode="0;\-00;;@">
                        <c:v/>
                      </c:pt>
                      <c:pt idx="19" c:formatCode="0;\-00;;@">
                        <c:v/>
                      </c:pt>
                      <c:pt idx="20" c:formatCode="0;\-00;;@">
                        <c:v/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{1}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catAx>
        <c:axId val="311275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5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1096"/>
        <c:crosses val="autoZero"/>
        <c:auto val="1"/>
        <c:lblAlgn val="ctr"/>
        <c:lblOffset val="100"/>
        <c:noMultiLvlLbl val="0"/>
      </c:catAx>
      <c:valAx>
        <c:axId val="31128109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LEVEL-&quot;General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5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9dbaadf4-93f0-4389-8888-2c2b25cb4e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'F2'!$AA$15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'F2'!$AB$14:$AK$14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'F2'!$AB$15:$AK$15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'F2'!$AA$16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'F2'!$AB$14:$AK$14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'F2'!$AB$16:$AK$16</c:f>
              <c:numCache>
                <c:formatCode>0.00</c:formatCode>
                <c:ptCount val="10"/>
                <c:pt idx="0">
                  <c:v>77.7777777777778</c:v>
                </c:pt>
                <c:pt idx="1">
                  <c:v>77.7777777777778</c:v>
                </c:pt>
                <c:pt idx="2">
                  <c:v>77.7777777777778</c:v>
                </c:pt>
                <c:pt idx="3">
                  <c:v>77.7777777777778</c:v>
                </c:pt>
                <c:pt idx="4">
                  <c:v>77.7777777777778</c:v>
                </c:pt>
                <c:pt idx="5">
                  <c:v>44.4444444444444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'F2'!$AA$17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'F2'!$AB$14:$AK$14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'F2'!$AB$17:$AK$17</c:f>
              <c:numCache>
                <c:formatCode>0.00</c:formatCode>
                <c:ptCount val="10"/>
                <c:pt idx="0">
                  <c:v>13.8888888888889</c:v>
                </c:pt>
                <c:pt idx="1">
                  <c:v>13.8888888888889</c:v>
                </c:pt>
                <c:pt idx="2">
                  <c:v>13.8888888888889</c:v>
                </c:pt>
                <c:pt idx="3">
                  <c:v>13.8888888888889</c:v>
                </c:pt>
                <c:pt idx="4">
                  <c:v>13.8888888888889</c:v>
                </c:pt>
                <c:pt idx="5">
                  <c:v>33.3333333333333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'F2'!$AA$18</c:f>
              <c:strCache>
                <c:ptCount val="1"/>
                <c:pt idx="0">
                  <c:v>L4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'F2'!$AB$14:$AK$14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'F2'!$AB$18:$AK$18</c:f>
              <c:numCache>
                <c:formatCode>0.00</c:formatCode>
                <c:ptCount val="10"/>
                <c:pt idx="0">
                  <c:v>8.33333333333333</c:v>
                </c:pt>
                <c:pt idx="1">
                  <c:v>8.33333333333333</c:v>
                </c:pt>
                <c:pt idx="2">
                  <c:v>8.33333333333333</c:v>
                </c:pt>
                <c:pt idx="3">
                  <c:v>8.33333333333333</c:v>
                </c:pt>
                <c:pt idx="4">
                  <c:v>8.33333333333333</c:v>
                </c:pt>
                <c:pt idx="5">
                  <c:v>22.2222222222222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'F2'!$AA$19</c:f>
              <c:strCache>
                <c:ptCount val="1"/>
                <c:pt idx="0">
                  <c:v>L5</c:v>
                </c:pt>
              </c:strCache>
            </c:strRef>
          </c:tx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'F2'!$AB$14:$AK$14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'F2'!$AB$19:$AK$19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6192"/>
        <c:axId val="311279136"/>
      </c:lineChart>
      <c:catAx>
        <c:axId val="31128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9136"/>
        <c:crosses val="autoZero"/>
        <c:auto val="1"/>
        <c:lblAlgn val="ctr"/>
        <c:lblOffset val="100"/>
        <c:noMultiLvlLbl val="0"/>
      </c:catAx>
      <c:valAx>
        <c:axId val="3112791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619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98734b-6d6f-433d-bccb-ca93afd3f46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'F2'!$AA$23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'F2'!$AB$22:$AK$22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'F2'!$AB$23:$AK$23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'F2'!$AA$24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'F2'!$AB$22:$AK$22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'F2'!$AB$24:$AK$24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'F2'!$AA$25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'F2'!$AB$22:$AK$22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'F2'!$AB$25:$AK$25</c:f>
              <c:numCache>
                <c:formatCode>0.00</c:formatCode>
                <c:ptCount val="10"/>
                <c:pt idx="0">
                  <c:v>75</c:v>
                </c:pt>
                <c:pt idx="1">
                  <c:v>75</c:v>
                </c:pt>
                <c:pt idx="2">
                  <c:v>75</c:v>
                </c:pt>
                <c:pt idx="3">
                  <c:v>75</c:v>
                </c:pt>
                <c:pt idx="4">
                  <c:v>75</c:v>
                </c:pt>
                <c:pt idx="5">
                  <c:v>63.8888888888889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'F2'!$AA$26</c:f>
              <c:strCache>
                <c:ptCount val="1"/>
                <c:pt idx="0">
                  <c:v>L4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'F2'!$AB$22:$AK$22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'F2'!$AB$26:$AK$26</c:f>
              <c:numCache>
                <c:formatCode>0.00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36.1111111111111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'F2'!$AA$27</c:f>
              <c:strCache>
                <c:ptCount val="1"/>
                <c:pt idx="0">
                  <c:v>L5</c:v>
                </c:pt>
              </c:strCache>
            </c:strRef>
          </c:tx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'F2'!$AB$22:$AK$22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'F2'!$AB$27:$AK$27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7368"/>
        <c:axId val="311277568"/>
      </c:lineChart>
      <c:catAx>
        <c:axId val="31128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7568"/>
        <c:crosses val="autoZero"/>
        <c:auto val="1"/>
        <c:lblAlgn val="ctr"/>
        <c:lblOffset val="100"/>
        <c:noMultiLvlLbl val="0"/>
      </c:catAx>
      <c:valAx>
        <c:axId val="3112775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736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f1c5c0-b01b-44ae-a5fe-5d9bf7c6f1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'F2'!$AA$31</c:f>
              <c:strCache>
                <c:ptCount val="1"/>
                <c:pt idx="0">
                  <c:v>L1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'F2'!$AB$30:$AK$30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'F2'!$AB$31:$AK$31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'F2'!$AA$32</c:f>
              <c:strCache>
                <c:ptCount val="1"/>
                <c:pt idx="0">
                  <c:v>L2</c:v>
                </c:pt>
              </c:strCache>
            </c:strRef>
          </c:tx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'F2'!$AB$30:$AK$30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'F2'!$AB$32:$AK$32</c:f>
              <c:numCache>
                <c:formatCode>0.00</c:formatCode>
                <c:ptCount val="10"/>
                <c:pt idx="0">
                  <c:v>86.1111111111111</c:v>
                </c:pt>
                <c:pt idx="1">
                  <c:v>86.1111111111111</c:v>
                </c:pt>
                <c:pt idx="2">
                  <c:v>86.1111111111111</c:v>
                </c:pt>
                <c:pt idx="3">
                  <c:v>86.1111111111111</c:v>
                </c:pt>
                <c:pt idx="4">
                  <c:v>86.1111111111111</c:v>
                </c:pt>
                <c:pt idx="5">
                  <c:v>75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'F2'!$AA$33</c:f>
              <c:strCache>
                <c:ptCount val="1"/>
                <c:pt idx="0">
                  <c:v>L3</c:v>
                </c:pt>
              </c:strCache>
            </c:strRef>
          </c:tx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'F2'!$AB$30:$AK$30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'F2'!$AB$33:$AK$33</c:f>
              <c:numCache>
                <c:formatCode>0.00</c:formatCode>
                <c:ptCount val="10"/>
                <c:pt idx="0">
                  <c:v>13.8888888888889</c:v>
                </c:pt>
                <c:pt idx="1">
                  <c:v>13.8888888888889</c:v>
                </c:pt>
                <c:pt idx="2">
                  <c:v>13.8888888888889</c:v>
                </c:pt>
                <c:pt idx="3">
                  <c:v>13.8888888888889</c:v>
                </c:pt>
                <c:pt idx="4">
                  <c:v>13.8888888888889</c:v>
                </c:pt>
                <c:pt idx="5">
                  <c:v>16.6666666666667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'F2'!$AA$34</c:f>
              <c:strCache>
                <c:ptCount val="1"/>
                <c:pt idx="0">
                  <c:v>L4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'F2'!$AB$30:$AK$30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'F2'!$AB$34:$AK$34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8.33333333333333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'F2'!$AA$35</c:f>
              <c:strCache>
                <c:ptCount val="1"/>
                <c:pt idx="0">
                  <c:v>L5</c:v>
                </c:pt>
              </c:strCache>
            </c:strRef>
          </c:tx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cat>
            <c:strRef>
              <c:f>'F2'!$AB$30:$AK$30</c:f>
              <c:strCache>
                <c:ptCount val="10"/>
                <c:pt idx="0">
                  <c:v>30.04.2026</c:v>
                </c:pt>
                <c:pt idx="1">
                  <c:v>08.05.2026</c:v>
                </c:pt>
                <c:pt idx="2">
                  <c:v>15.07.2026</c:v>
                </c:pt>
                <c:pt idx="3">
                  <c:v>31.07.2026</c:v>
                </c:pt>
                <c:pt idx="4">
                  <c:v>17.08.2026</c:v>
                </c:pt>
                <c:pt idx="5">
                  <c:v>31.08.2026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'F2'!$AB$35:$AK$35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4232"/>
        <c:axId val="311279528"/>
      </c:lineChart>
      <c:catAx>
        <c:axId val="31128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79528"/>
        <c:crosses val="autoZero"/>
        <c:auto val="1"/>
        <c:lblAlgn val="ctr"/>
        <c:lblOffset val="100"/>
        <c:noMultiLvlLbl val="0"/>
      </c:catAx>
      <c:valAx>
        <c:axId val="31127952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</a:p>
        </c:txPr>
        <c:crossAx val="3112842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ff06b7-a1c3-4eec-a87a-dbda03818c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F3.1!$AB$15:$AK$15</c:f>
              <c:numCache>
                <c:formatCode>0.00</c:formatCode>
                <c:ptCount val="10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F3.1!$AA$15</c15:sqref>
                        </c15:formulaRef>
                      </c:ext>
                    </c:extLst>
                    <c:strCache>
                      <c:ptCount val="1"/>
                      <c:pt idx="0">
                        <c:v>L1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F3.1!$AB$16:$AK$16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F3.1!$AA$16</c15:sqref>
                        </c15:formulaRef>
                      </c:ext>
                    </c:extLst>
                    <c:strCache>
                      <c:ptCount val="1"/>
                      <c:pt idx="0">
                        <c:v>L2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F3.1!$AB$17:$AK$17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F3.1!$AA$17</c15:sqref>
                        </c15:formulaRef>
                      </c:ext>
                    </c:extLst>
                    <c:strCache>
                      <c:ptCount val="1"/>
                      <c:pt idx="0">
                        <c:v>L3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F3.1!$AB$18:$AK$18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F3.1!$AA$18</c15:sqref>
                        </c15:formulaRef>
                      </c:ext>
                    </c:extLst>
                    <c:strCache>
                      <c:ptCount val="1"/>
                      <c:pt idx="0">
                        <c:v>L4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F3.1!$AB$19:$AK$19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F3.1!$AA$19</c15:sqref>
                        </c15:formulaRef>
                      </c:ext>
                    </c:extLst>
                    <c:strCache>
                      <c:ptCount val="1"/>
                      <c:pt idx="0">
                        <c:v>L5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1880"/>
        <c:axId val="311282272"/>
      </c:lineChart>
      <c:catAx>
        <c:axId val="31128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2272"/>
        <c:crosses val="autoZero"/>
        <c:auto val="1"/>
        <c:lblAlgn val="ctr"/>
        <c:lblOffset val="100"/>
        <c:noMultiLvlLbl val="0"/>
      </c:catAx>
      <c:valAx>
        <c:axId val="311282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1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ab8783-cd21-4d32-a4d0-a91e1986606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F3.1!$AB$23:$AK$23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F3.1!$AA$23</c15:sqref>
                        </c15:formulaRef>
                      </c:ext>
                    </c:extLst>
                    <c:strCache>
                      <c:ptCount val="1"/>
                      <c:pt idx="0">
                        <c:v>L1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F3.1!$AB$24:$AK$24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F3.1!$AA$24</c15:sqref>
                        </c15:formulaRef>
                      </c:ext>
                    </c:extLst>
                    <c:strCache>
                      <c:ptCount val="1"/>
                      <c:pt idx="0">
                        <c:v>L2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F3.1!$AB$25:$AK$25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F3.1!$AA$25</c15:sqref>
                        </c15:formulaRef>
                      </c:ext>
                    </c:extLst>
                    <c:strCache>
                      <c:ptCount val="1"/>
                      <c:pt idx="0">
                        <c:v>L3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F3.1!$AB$26:$AK$26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F3.1!$AA$26</c15:sqref>
                        </c15:formulaRef>
                      </c:ext>
                    </c:extLst>
                    <c:strCache>
                      <c:ptCount val="1"/>
                      <c:pt idx="0">
                        <c:v>L4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F3.1!$AB$27:$AK$27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F3.1!$AA$27</c15:sqref>
                        </c15:formulaRef>
                      </c:ext>
                    </c:extLst>
                    <c:strCache>
                      <c:ptCount val="1"/>
                      <c:pt idx="0">
                        <c:v>L5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2664"/>
        <c:axId val="311283448"/>
      </c:lineChart>
      <c:catAx>
        <c:axId val="311282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3448"/>
        <c:crosses val="autoZero"/>
        <c:auto val="1"/>
        <c:lblAlgn val="ctr"/>
        <c:lblOffset val="100"/>
        <c:noMultiLvlLbl val="0"/>
      </c:catAx>
      <c:valAx>
        <c:axId val="31128344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266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195727-2a1a-44c8-8138-6da366d1eea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F3.1!$AB$31:$AK$31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F3.1!$AA$31</c15:sqref>
                        </c15:formulaRef>
                      </c:ext>
                    </c:extLst>
                    <c:strCache>
                      <c:ptCount val="1"/>
                      <c:pt idx="0">
                        <c:v>L1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F3.1!$AB$32:$AK$32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F3.1!$AA$32</c15:sqref>
                        </c15:formulaRef>
                      </c:ext>
                    </c:extLst>
                    <c:strCache>
                      <c:ptCount val="1"/>
                      <c:pt idx="0">
                        <c:v>L2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F3.1!$AB$33:$AK$33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F3.1!$AA$33</c15:sqref>
                        </c15:formulaRef>
                      </c:ext>
                    </c:extLst>
                    <c:strCache>
                      <c:ptCount val="1"/>
                      <c:pt idx="0">
                        <c:v>L3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F3.1!$AB$34:$AK$34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F3.1!$AA$34</c15:sqref>
                        </c15:formulaRef>
                      </c:ext>
                    </c:extLst>
                    <c:strCache>
                      <c:ptCount val="1"/>
                      <c:pt idx="0">
                        <c:v>L4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F3.1!$AB$35:$AK$35</c:f>
              <c:numCache>
                <c:formatCode>0.00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F3.1!$AA$35</c15:sqref>
                        </c15:formulaRef>
                      </c:ext>
                    </c:extLst>
                    <c:strCache>
                      <c:ptCount val="1"/>
                      <c:pt idx="0">
                        <c:v>L5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F3.1!$AB$30:$AK$30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4624"/>
        <c:axId val="311285016"/>
      </c:lineChart>
      <c:catAx>
        <c:axId val="31128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5016"/>
        <c:crosses val="autoZero"/>
        <c:auto val="1"/>
        <c:lblAlgn val="ctr"/>
        <c:lblOffset val="100"/>
        <c:noMultiLvlLbl val="0"/>
      </c:catAx>
      <c:valAx>
        <c:axId val="3112850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462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70d7b5-ea7d-4717-bbef-e2b2021cf2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F3.2!$AB$15:$AK$15</c:f>
              <c:numCache>
                <c:formatCode>0.00</c:formatCode>
                <c:ptCount val="10"/>
                <c:pt idx="0">
                  <c:v>1.75438596491228</c:v>
                </c:pt>
                <c:pt idx="1">
                  <c:v>1.68776371308017</c:v>
                </c:pt>
                <c:pt idx="2">
                  <c:v>1.19047619047619</c:v>
                </c:pt>
                <c:pt idx="3">
                  <c:v>1.15681233933162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F3.2!$AA$15</c15:sqref>
                        </c15:formulaRef>
                      </c:ext>
                    </c:extLst>
                    <c:strCache>
                      <c:ptCount val="1"/>
                      <c:pt idx="0">
                        <c:v>L1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F3.2!$AB$16:$AK$16</c:f>
              <c:numCache>
                <c:formatCode>0.00</c:formatCode>
                <c:ptCount val="10"/>
                <c:pt idx="0">
                  <c:v>15.4970760233918</c:v>
                </c:pt>
                <c:pt idx="1">
                  <c:v>19.2686357243319</c:v>
                </c:pt>
                <c:pt idx="2">
                  <c:v>17.1957671957672</c:v>
                </c:pt>
                <c:pt idx="3">
                  <c:v>16.452442159383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F3.2!$AA$16</c15:sqref>
                        </c15:formulaRef>
                      </c:ext>
                    </c:extLst>
                    <c:strCache>
                      <c:ptCount val="1"/>
                      <c:pt idx="0">
                        <c:v>L2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F3.2!$AB$17:$AK$17</c:f>
              <c:numCache>
                <c:formatCode>0.00</c:formatCode>
                <c:ptCount val="10"/>
                <c:pt idx="0">
                  <c:v>56.7251461988304</c:v>
                </c:pt>
                <c:pt idx="1">
                  <c:v>54.5710267229255</c:v>
                </c:pt>
                <c:pt idx="2">
                  <c:v>57.4074074074074</c:v>
                </c:pt>
                <c:pt idx="3">
                  <c:v>59.3830334190231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F3.2!$AA$17</c15:sqref>
                        </c15:formulaRef>
                      </c:ext>
                    </c:extLst>
                    <c:strCache>
                      <c:ptCount val="1"/>
                      <c:pt idx="0">
                        <c:v>L3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F3.2!$AB$18:$AK$18</c:f>
              <c:numCache>
                <c:formatCode>0.00</c:formatCode>
                <c:ptCount val="10"/>
                <c:pt idx="0">
                  <c:v>22.6608187134503</c:v>
                </c:pt>
                <c:pt idx="1">
                  <c:v>21.2376933895921</c:v>
                </c:pt>
                <c:pt idx="2">
                  <c:v>20.3703703703704</c:v>
                </c:pt>
                <c:pt idx="3">
                  <c:v>19.280205655527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F3.2!$AA$18</c15:sqref>
                        </c15:formulaRef>
                      </c:ext>
                    </c:extLst>
                    <c:strCache>
                      <c:ptCount val="1"/>
                      <c:pt idx="0">
                        <c:v>L4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F3.2!$AB$19:$AK$19</c:f>
              <c:numCache>
                <c:formatCode>0.00</c:formatCode>
                <c:ptCount val="10"/>
                <c:pt idx="0">
                  <c:v>3.3625730994152</c:v>
                </c:pt>
                <c:pt idx="1">
                  <c:v>3.23488045007032</c:v>
                </c:pt>
                <c:pt idx="2">
                  <c:v>3.83597883597884</c:v>
                </c:pt>
                <c:pt idx="3">
                  <c:v>3.72750642673522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F3.2!$AA$19</c15:sqref>
                        </c15:formulaRef>
                      </c:ext>
                    </c:extLst>
                    <c:strCache>
                      <c:ptCount val="1"/>
                      <c:pt idx="0">
                        <c:v>L5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F3.2!$AB$14:$AK$14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8152"/>
        <c:axId val="311290896"/>
      </c:lineChart>
      <c:catAx>
        <c:axId val="31128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90896"/>
        <c:crosses val="autoZero"/>
        <c:auto val="1"/>
        <c:lblAlgn val="ctr"/>
        <c:lblOffset val="100"/>
        <c:noMultiLvlLbl val="0"/>
      </c:catAx>
      <c:valAx>
        <c:axId val="311290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81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b3acfc-e184-4197-863c-78749ce486e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F3.2!$AB$23:$AK$23</c:f>
              <c:numCache>
                <c:formatCode>0.00</c:formatCode>
                <c:ptCount val="10"/>
                <c:pt idx="0">
                  <c:v>1.75438596491228</c:v>
                </c:pt>
                <c:pt idx="1">
                  <c:v>1.68776371308017</c:v>
                </c:pt>
                <c:pt idx="2">
                  <c:v>1.19047619047619</c:v>
                </c:pt>
                <c:pt idx="3">
                  <c:v>1.15681233933162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F3.2!$AA$23</c15:sqref>
                        </c15:formulaRef>
                      </c:ext>
                    </c:extLst>
                    <c:strCache>
                      <c:ptCount val="1"/>
                      <c:pt idx="0">
                        <c:v>L1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F3.2!$AB$24:$AK$24</c:f>
              <c:numCache>
                <c:formatCode>0.00</c:formatCode>
                <c:ptCount val="10"/>
                <c:pt idx="0">
                  <c:v>14.0350877192982</c:v>
                </c:pt>
                <c:pt idx="1">
                  <c:v>17.8621659634318</c:v>
                </c:pt>
                <c:pt idx="2">
                  <c:v>15.4761904761905</c:v>
                </c:pt>
                <c:pt idx="3">
                  <c:v>14.7814910025707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F3.2!$AA$24</c15:sqref>
                        </c15:formulaRef>
                      </c:ext>
                    </c:extLst>
                    <c:strCache>
                      <c:ptCount val="1"/>
                      <c:pt idx="0">
                        <c:v>L2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F3.2!$AB$25:$AK$25</c:f>
              <c:numCache>
                <c:formatCode>0.00</c:formatCode>
                <c:ptCount val="10"/>
                <c:pt idx="0">
                  <c:v>56.140350877193</c:v>
                </c:pt>
                <c:pt idx="1">
                  <c:v>54.0084388185654</c:v>
                </c:pt>
                <c:pt idx="2">
                  <c:v>55.026455026455</c:v>
                </c:pt>
                <c:pt idx="3">
                  <c:v>57.0694087403599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F3.2!$AA$25</c15:sqref>
                        </c15:formulaRef>
                      </c:ext>
                    </c:extLst>
                    <c:strCache>
                      <c:ptCount val="1"/>
                      <c:pt idx="0">
                        <c:v>L3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F3.2!$AB$26:$AK$26</c:f>
              <c:numCache>
                <c:formatCode>0.00</c:formatCode>
                <c:ptCount val="10"/>
                <c:pt idx="0">
                  <c:v>24.7076023391813</c:v>
                </c:pt>
                <c:pt idx="1">
                  <c:v>23.2067510548523</c:v>
                </c:pt>
                <c:pt idx="2">
                  <c:v>25</c:v>
                </c:pt>
                <c:pt idx="3">
                  <c:v>23.7789203084833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F3.2!$AA$26</c15:sqref>
                        </c15:formulaRef>
                      </c:ext>
                    </c:extLst>
                    <c:strCache>
                      <c:ptCount val="1"/>
                      <c:pt idx="0">
                        <c:v>L4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F3.2!$AB$27:$AK$27</c:f>
              <c:numCache>
                <c:formatCode>0.00</c:formatCode>
                <c:ptCount val="10"/>
                <c:pt idx="0">
                  <c:v>3.3625730994152</c:v>
                </c:pt>
                <c:pt idx="1">
                  <c:v>3.23488045007032</c:v>
                </c:pt>
                <c:pt idx="2">
                  <c:v>3.30687830687831</c:v>
                </c:pt>
                <c:pt idx="3">
                  <c:v>3.2133676092545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F3.2!$AA$27</c15:sqref>
                        </c15:formulaRef>
                      </c:ext>
                    </c:extLst>
                    <c:strCache>
                      <c:ptCount val="1"/>
                      <c:pt idx="0">
                        <c:v>L5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F3.2!$AB$22:$AK$22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88544"/>
        <c:axId val="311289720"/>
      </c:lineChart>
      <c:catAx>
        <c:axId val="31128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9720"/>
        <c:crosses val="autoZero"/>
        <c:auto val="1"/>
        <c:lblAlgn val="ctr"/>
        <c:lblOffset val="100"/>
        <c:noMultiLvlLbl val="0"/>
      </c:catAx>
      <c:valAx>
        <c:axId val="3112897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854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5931e7-79f7-4bba-9273-d52d7950cc5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 cmpd="sng" algn="ctr">
              <a:solidFill>
                <a:srgbClr val="FF00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F3.2!$AB$31:$AK$31</c:f>
              <c:numCache>
                <c:formatCode>0.00</c:formatCode>
                <c:ptCount val="10"/>
                <c:pt idx="0">
                  <c:v>1.75438596491228</c:v>
                </c:pt>
                <c:pt idx="1">
                  <c:v>1.68776371308017</c:v>
                </c:pt>
                <c:pt idx="2">
                  <c:v>1.19047619047619</c:v>
                </c:pt>
                <c:pt idx="3">
                  <c:v>1.15681233933162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F3.2!$AA$31</c15:sqref>
                        </c15:formulaRef>
                      </c:ext>
                    </c:extLst>
                    <c:strCache>
                      <c:ptCount val="1"/>
                      <c:pt idx="0">
                        <c:v>L1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ln w="19050" cap="rnd" cmpd="sng" algn="ctr">
              <a:solidFill>
                <a:srgbClr val="FFFF0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F3.2!$AB$32:$AK$32</c:f>
              <c:numCache>
                <c:formatCode>0.00</c:formatCode>
                <c:ptCount val="10"/>
                <c:pt idx="0">
                  <c:v>20.1754385964912</c:v>
                </c:pt>
                <c:pt idx="1">
                  <c:v>23.7693389592124</c:v>
                </c:pt>
                <c:pt idx="2">
                  <c:v>23.6772486772487</c:v>
                </c:pt>
                <c:pt idx="3">
                  <c:v>22.6221079691517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F3.2!$AA$32</c15:sqref>
                        </c15:formulaRef>
                      </c:ext>
                    </c:extLst>
                    <c:strCache>
                      <c:ptCount val="1"/>
                      <c:pt idx="0">
                        <c:v>L2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ln w="19050" cap="rnd" cmpd="sng" algn="ctr">
              <a:solidFill>
                <a:srgbClr val="D60093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F3.2!$AB$33:$AK$33</c:f>
              <c:numCache>
                <c:formatCode>0.00</c:formatCode>
                <c:ptCount val="10"/>
                <c:pt idx="0">
                  <c:v>54.6783625730994</c:v>
                </c:pt>
                <c:pt idx="1">
                  <c:v>52.6019690576653</c:v>
                </c:pt>
                <c:pt idx="2">
                  <c:v>54.3650793650794</c:v>
                </c:pt>
                <c:pt idx="3">
                  <c:v>56.5552699228792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F3.2!$AA$33</c15:sqref>
                        </c15:formulaRef>
                      </c:ext>
                    </c:extLst>
                    <c:strCache>
                      <c:ptCount val="1"/>
                      <c:pt idx="0">
                        <c:v>L3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ln w="19050" cap="rnd" cmpd="sng" algn="ctr">
              <a:solidFill>
                <a:srgbClr val="00B05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F3.2!$AB$34:$AK$34</c:f>
              <c:numCache>
                <c:formatCode>0.00</c:formatCode>
                <c:ptCount val="10"/>
                <c:pt idx="0">
                  <c:v>20.0292397660819</c:v>
                </c:pt>
                <c:pt idx="1">
                  <c:v>18.7060478199719</c:v>
                </c:pt>
                <c:pt idx="2">
                  <c:v>17.5925925925926</c:v>
                </c:pt>
                <c:pt idx="3">
                  <c:v>16.5809768637532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F3.2!$AA$34</c15:sqref>
                        </c15:formulaRef>
                      </c:ext>
                    </c:extLst>
                    <c:strCache>
                      <c:ptCount val="1"/>
                      <c:pt idx="0">
                        <c:v>L4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ln w="19050" cap="rnd" cmpd="sng" algn="ctr">
              <a:solidFill>
                <a:srgbClr val="0070C0"/>
              </a:solidFill>
              <a:prstDash val="solid"/>
              <a:round/>
            </a:ln>
            <a:effectLst/>
          </c:spPr>
          <c:dLbls>
            <c:delete val="1"/>
          </c:dLbls>
          <c:val>
            <c:numRef>
              <c:f>F3.2!$AB$35:$AK$35</c:f>
              <c:numCache>
                <c:formatCode>0.00</c:formatCode>
                <c:ptCount val="10"/>
                <c:pt idx="0">
                  <c:v>3.3625730994152</c:v>
                </c:pt>
                <c:pt idx="1">
                  <c:v>3.23488045007032</c:v>
                </c:pt>
                <c:pt idx="2">
                  <c:v>3.17460317460317</c:v>
                </c:pt>
                <c:pt idx="3">
                  <c:v>3.08483290488432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F3.2!$AA$35</c15:sqref>
                        </c15:formulaRef>
                      </c:ext>
                    </c:extLst>
                    <c:strCache>
                      <c:ptCount val="1"/>
                      <c:pt idx="0">
                        <c:v>L5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F3.2!$AB$30:$AK$30</c15:sqref>
                        </c15:formulaRef>
                      </c:ext>
                    </c:extLst>
                    <c:strCache>
                      <c:ptCount val="10"/>
                      <c:pt idx="0">
                        <c:v>30.04.2026</c:v>
                      </c:pt>
                      <c:pt idx="1">
                        <c:v>08.05.2026</c:v>
                      </c:pt>
                      <c:pt idx="2">
                        <c:v>15.07.2026</c:v>
                      </c:pt>
                      <c:pt idx="3">
                        <c:v>31.07.2026</c:v>
                      </c:pt>
                      <c:pt idx="4">
                        <c:v>17.08.2026</c:v>
                      </c:pt>
                      <c:pt idx="5">
                        <c:v>31.08.2026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290112"/>
        <c:axId val="311288936"/>
      </c:lineChart>
      <c:catAx>
        <c:axId val="31129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88936"/>
        <c:crosses val="autoZero"/>
        <c:auto val="1"/>
        <c:lblAlgn val="ctr"/>
        <c:lblOffset val="100"/>
        <c:noMultiLvlLbl val="0"/>
      </c:catAx>
      <c:valAx>
        <c:axId val="31128893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\%" sourceLinked="0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1129011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e23f97d-1d4b-4df4-a2c9-3b64c6f8082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0.xml"/><Relationship Id="rId8" Type="http://schemas.openxmlformats.org/officeDocument/2006/relationships/chart" Target="../charts/chart9.xml"/><Relationship Id="rId77" Type="http://schemas.openxmlformats.org/officeDocument/2006/relationships/image" Target="../media/image3.png"/><Relationship Id="rId76" Type="http://schemas.openxmlformats.org/officeDocument/2006/relationships/image" Target="../media/image2.png"/><Relationship Id="rId75" Type="http://schemas.openxmlformats.org/officeDocument/2006/relationships/chart" Target="../charts/chart76.xml"/><Relationship Id="rId74" Type="http://schemas.openxmlformats.org/officeDocument/2006/relationships/chart" Target="../charts/chart75.xml"/><Relationship Id="rId73" Type="http://schemas.openxmlformats.org/officeDocument/2006/relationships/chart" Target="../charts/chart74.xml"/><Relationship Id="rId72" Type="http://schemas.openxmlformats.org/officeDocument/2006/relationships/chart" Target="../charts/chart73.xml"/><Relationship Id="rId71" Type="http://schemas.openxmlformats.org/officeDocument/2006/relationships/chart" Target="../charts/chart72.xml"/><Relationship Id="rId70" Type="http://schemas.openxmlformats.org/officeDocument/2006/relationships/chart" Target="../charts/chart71.xml"/><Relationship Id="rId7" Type="http://schemas.openxmlformats.org/officeDocument/2006/relationships/chart" Target="../charts/chart8.xml"/><Relationship Id="rId69" Type="http://schemas.openxmlformats.org/officeDocument/2006/relationships/chart" Target="../charts/chart70.xml"/><Relationship Id="rId68" Type="http://schemas.openxmlformats.org/officeDocument/2006/relationships/chart" Target="../charts/chart69.xml"/><Relationship Id="rId67" Type="http://schemas.openxmlformats.org/officeDocument/2006/relationships/chart" Target="../charts/chart68.xml"/><Relationship Id="rId66" Type="http://schemas.openxmlformats.org/officeDocument/2006/relationships/chart" Target="../charts/chart67.xml"/><Relationship Id="rId65" Type="http://schemas.openxmlformats.org/officeDocument/2006/relationships/chart" Target="../charts/chart66.xml"/><Relationship Id="rId64" Type="http://schemas.openxmlformats.org/officeDocument/2006/relationships/chart" Target="../charts/chart65.xml"/><Relationship Id="rId63" Type="http://schemas.openxmlformats.org/officeDocument/2006/relationships/chart" Target="../charts/chart64.xml"/><Relationship Id="rId62" Type="http://schemas.openxmlformats.org/officeDocument/2006/relationships/chart" Target="../charts/chart63.xml"/><Relationship Id="rId61" Type="http://schemas.openxmlformats.org/officeDocument/2006/relationships/chart" Target="../charts/chart62.xml"/><Relationship Id="rId60" Type="http://schemas.openxmlformats.org/officeDocument/2006/relationships/chart" Target="../charts/chart61.xml"/><Relationship Id="rId6" Type="http://schemas.openxmlformats.org/officeDocument/2006/relationships/chart" Target="../charts/chart7.xml"/><Relationship Id="rId59" Type="http://schemas.openxmlformats.org/officeDocument/2006/relationships/chart" Target="../charts/chart60.xml"/><Relationship Id="rId58" Type="http://schemas.openxmlformats.org/officeDocument/2006/relationships/chart" Target="../charts/chart59.xml"/><Relationship Id="rId57" Type="http://schemas.openxmlformats.org/officeDocument/2006/relationships/chart" Target="../charts/chart58.xml"/><Relationship Id="rId56" Type="http://schemas.openxmlformats.org/officeDocument/2006/relationships/chart" Target="../charts/chart57.xml"/><Relationship Id="rId55" Type="http://schemas.openxmlformats.org/officeDocument/2006/relationships/chart" Target="../charts/chart56.xml"/><Relationship Id="rId54" Type="http://schemas.openxmlformats.org/officeDocument/2006/relationships/chart" Target="../charts/chart55.xml"/><Relationship Id="rId53" Type="http://schemas.openxmlformats.org/officeDocument/2006/relationships/chart" Target="../charts/chart54.xml"/><Relationship Id="rId52" Type="http://schemas.openxmlformats.org/officeDocument/2006/relationships/chart" Target="../charts/chart53.xml"/><Relationship Id="rId51" Type="http://schemas.openxmlformats.org/officeDocument/2006/relationships/chart" Target="../charts/chart52.xml"/><Relationship Id="rId50" Type="http://schemas.openxmlformats.org/officeDocument/2006/relationships/chart" Target="../charts/chart51.xml"/><Relationship Id="rId5" Type="http://schemas.openxmlformats.org/officeDocument/2006/relationships/chart" Target="../charts/chart6.xml"/><Relationship Id="rId49" Type="http://schemas.openxmlformats.org/officeDocument/2006/relationships/chart" Target="../charts/chart50.xml"/><Relationship Id="rId48" Type="http://schemas.openxmlformats.org/officeDocument/2006/relationships/chart" Target="../charts/chart49.xml"/><Relationship Id="rId47" Type="http://schemas.openxmlformats.org/officeDocument/2006/relationships/chart" Target="../charts/chart48.xml"/><Relationship Id="rId46" Type="http://schemas.openxmlformats.org/officeDocument/2006/relationships/chart" Target="../charts/chart47.xml"/><Relationship Id="rId45" Type="http://schemas.openxmlformats.org/officeDocument/2006/relationships/chart" Target="../charts/chart46.xml"/><Relationship Id="rId44" Type="http://schemas.openxmlformats.org/officeDocument/2006/relationships/chart" Target="../charts/chart45.xml"/><Relationship Id="rId43" Type="http://schemas.openxmlformats.org/officeDocument/2006/relationships/chart" Target="../charts/chart44.xml"/><Relationship Id="rId42" Type="http://schemas.openxmlformats.org/officeDocument/2006/relationships/chart" Target="../charts/chart43.xml"/><Relationship Id="rId41" Type="http://schemas.openxmlformats.org/officeDocument/2006/relationships/chart" Target="../charts/chart42.xml"/><Relationship Id="rId40" Type="http://schemas.openxmlformats.org/officeDocument/2006/relationships/chart" Target="../charts/chart41.xml"/><Relationship Id="rId4" Type="http://schemas.openxmlformats.org/officeDocument/2006/relationships/chart" Target="../charts/chart5.xml"/><Relationship Id="rId39" Type="http://schemas.openxmlformats.org/officeDocument/2006/relationships/chart" Target="../charts/chart40.xml"/><Relationship Id="rId38" Type="http://schemas.openxmlformats.org/officeDocument/2006/relationships/chart" Target="../charts/chart39.xml"/><Relationship Id="rId37" Type="http://schemas.openxmlformats.org/officeDocument/2006/relationships/chart" Target="../charts/chart38.xml"/><Relationship Id="rId36" Type="http://schemas.openxmlformats.org/officeDocument/2006/relationships/chart" Target="../charts/chart37.xml"/><Relationship Id="rId35" Type="http://schemas.openxmlformats.org/officeDocument/2006/relationships/chart" Target="../charts/chart36.xml"/><Relationship Id="rId34" Type="http://schemas.openxmlformats.org/officeDocument/2006/relationships/chart" Target="../charts/chart35.xml"/><Relationship Id="rId33" Type="http://schemas.openxmlformats.org/officeDocument/2006/relationships/chart" Target="../charts/chart34.xml"/><Relationship Id="rId32" Type="http://schemas.openxmlformats.org/officeDocument/2006/relationships/chart" Target="../charts/chart33.xml"/><Relationship Id="rId31" Type="http://schemas.openxmlformats.org/officeDocument/2006/relationships/chart" Target="../charts/chart32.xml"/><Relationship Id="rId30" Type="http://schemas.openxmlformats.org/officeDocument/2006/relationships/chart" Target="../charts/chart31.xml"/><Relationship Id="rId3" Type="http://schemas.openxmlformats.org/officeDocument/2006/relationships/chart" Target="../charts/chart4.xml"/><Relationship Id="rId29" Type="http://schemas.openxmlformats.org/officeDocument/2006/relationships/chart" Target="../charts/chart30.xml"/><Relationship Id="rId28" Type="http://schemas.openxmlformats.org/officeDocument/2006/relationships/chart" Target="../charts/chart29.xml"/><Relationship Id="rId27" Type="http://schemas.openxmlformats.org/officeDocument/2006/relationships/chart" Target="../charts/chart28.xml"/><Relationship Id="rId26" Type="http://schemas.openxmlformats.org/officeDocument/2006/relationships/chart" Target="../charts/chart27.xml"/><Relationship Id="rId25" Type="http://schemas.openxmlformats.org/officeDocument/2006/relationships/chart" Target="../charts/chart26.xml"/><Relationship Id="rId24" Type="http://schemas.openxmlformats.org/officeDocument/2006/relationships/chart" Target="../charts/chart25.xml"/><Relationship Id="rId23" Type="http://schemas.openxmlformats.org/officeDocument/2006/relationships/chart" Target="../charts/chart24.xml"/><Relationship Id="rId22" Type="http://schemas.openxmlformats.org/officeDocument/2006/relationships/chart" Target="../charts/chart23.xml"/><Relationship Id="rId21" Type="http://schemas.openxmlformats.org/officeDocument/2006/relationships/chart" Target="../charts/chart22.xml"/><Relationship Id="rId20" Type="http://schemas.openxmlformats.org/officeDocument/2006/relationships/chart" Target="../charts/chart21.xml"/><Relationship Id="rId2" Type="http://schemas.openxmlformats.org/officeDocument/2006/relationships/chart" Target="../charts/chart3.xml"/><Relationship Id="rId19" Type="http://schemas.openxmlformats.org/officeDocument/2006/relationships/chart" Target="../charts/chart20.xml"/><Relationship Id="rId18" Type="http://schemas.openxmlformats.org/officeDocument/2006/relationships/chart" Target="../charts/chart19.xml"/><Relationship Id="rId17" Type="http://schemas.openxmlformats.org/officeDocument/2006/relationships/chart" Target="../charts/chart18.xml"/><Relationship Id="rId16" Type="http://schemas.openxmlformats.org/officeDocument/2006/relationships/chart" Target="../charts/chart17.xml"/><Relationship Id="rId15" Type="http://schemas.openxmlformats.org/officeDocument/2006/relationships/chart" Target="../charts/chart16.xml"/><Relationship Id="rId14" Type="http://schemas.openxmlformats.org/officeDocument/2006/relationships/chart" Target="../charts/chart15.xml"/><Relationship Id="rId13" Type="http://schemas.openxmlformats.org/officeDocument/2006/relationships/chart" Target="../charts/chart14.xml"/><Relationship Id="rId12" Type="http://schemas.openxmlformats.org/officeDocument/2006/relationships/chart" Target="../charts/chart13.xml"/><Relationship Id="rId11" Type="http://schemas.openxmlformats.org/officeDocument/2006/relationships/chart" Target="../charts/chart12.xml"/><Relationship Id="rId10" Type="http://schemas.openxmlformats.org/officeDocument/2006/relationships/chart" Target="../charts/chart11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../media/image4.emf"/><Relationship Id="rId1" Type="http://schemas.openxmlformats.org/officeDocument/2006/relationships/chart" Target="../charts/chart77.xml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chart" Target="../charts/chart80.xml"/><Relationship Id="rId2" Type="http://schemas.openxmlformats.org/officeDocument/2006/relationships/chart" Target="../charts/chart79.xml"/><Relationship Id="rId1" Type="http://schemas.openxmlformats.org/officeDocument/2006/relationships/chart" Target="../charts/chart78.xml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chart" Target="../charts/chart83.xml"/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8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chart" Target="../charts/chart86.xml"/><Relationship Id="rId2" Type="http://schemas.openxmlformats.org/officeDocument/2006/relationships/chart" Target="../charts/chart85.xml"/><Relationship Id="rId1" Type="http://schemas.openxmlformats.org/officeDocument/2006/relationships/chart" Target="../charts/chart8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png"/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5.xml.rels><?xml version="1.0" encoding="UTF-8" standalone="yes"?>
<Relationships xmlns="http://schemas.openxmlformats.org/package/2006/relationships"><Relationship Id="rId4" Type="http://schemas.openxmlformats.org/officeDocument/2006/relationships/image" Target="../media/image16.png"/><Relationship Id="rId3" Type="http://schemas.openxmlformats.org/officeDocument/2006/relationships/image" Target="../media/image1.emf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jpeg"/><Relationship Id="rId1" Type="http://schemas.openxmlformats.org/officeDocument/2006/relationships/image" Target="../media/image17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jpeg"/><Relationship Id="rId1" Type="http://schemas.openxmlformats.org/officeDocument/2006/relationships/image" Target="../media/image20.png"/></Relationships>
</file>

<file path=xl/drawings/_rels/drawing18.xml.rels><?xml version="1.0" encoding="UTF-8" standalone="yes"?>
<Relationships xmlns="http://schemas.openxmlformats.org/package/2006/relationships"><Relationship Id="rId4" Type="http://schemas.openxmlformats.org/officeDocument/2006/relationships/image" Target="../media/image23.jpeg"/><Relationship Id="rId3" Type="http://schemas.openxmlformats.org/officeDocument/2006/relationships/image" Target="../media/image21.jpeg"/><Relationship Id="rId2" Type="http://schemas.openxmlformats.org/officeDocument/2006/relationships/image" Target="../media/image22.png"/><Relationship Id="rId1" Type="http://schemas.openxmlformats.org/officeDocument/2006/relationships/image" Target="../media/image2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495300</xdr:colOff>
      <xdr:row>1</xdr:row>
      <xdr:rowOff>9525</xdr:rowOff>
    </xdr:from>
    <xdr:to>
      <xdr:col>8</xdr:col>
      <xdr:colOff>123825</xdr:colOff>
      <xdr:row>1</xdr:row>
      <xdr:rowOff>247650</xdr:rowOff>
    </xdr:to>
    <xdr:sp>
      <xdr:nvSpPr>
        <xdr:cNvPr id="2" name="Down Arrow 1"/>
        <xdr:cNvSpPr/>
      </xdr:nvSpPr>
      <xdr:spPr>
        <a:xfrm>
          <a:off x="10565765" y="306705"/>
          <a:ext cx="255270" cy="2381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504825</xdr:colOff>
      <xdr:row>1</xdr:row>
      <xdr:rowOff>9525</xdr:rowOff>
    </xdr:from>
    <xdr:to>
      <xdr:col>15</xdr:col>
      <xdr:colOff>133350</xdr:colOff>
      <xdr:row>1</xdr:row>
      <xdr:rowOff>247650</xdr:rowOff>
    </xdr:to>
    <xdr:sp>
      <xdr:nvSpPr>
        <xdr:cNvPr id="3" name="Down Arrow 2"/>
        <xdr:cNvSpPr/>
      </xdr:nvSpPr>
      <xdr:spPr>
        <a:xfrm>
          <a:off x="14962505" y="306705"/>
          <a:ext cx="255270" cy="238125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57151</xdr:colOff>
      <xdr:row>44</xdr:row>
      <xdr:rowOff>38100</xdr:rowOff>
    </xdr:from>
    <xdr:to>
      <xdr:col>5</xdr:col>
      <xdr:colOff>1200151</xdr:colOff>
      <xdr:row>44</xdr:row>
      <xdr:rowOff>1476375</xdr:rowOff>
    </xdr:to>
    <xdr:sp>
      <xdr:nvSpPr>
        <xdr:cNvPr id="43" name="Rectangle 42"/>
        <xdr:cNvSpPr/>
      </xdr:nvSpPr>
      <xdr:spPr>
        <a:xfrm>
          <a:off x="7247255" y="6343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45</xdr:row>
      <xdr:rowOff>38100</xdr:rowOff>
    </xdr:from>
    <xdr:to>
      <xdr:col>5</xdr:col>
      <xdr:colOff>1200151</xdr:colOff>
      <xdr:row>45</xdr:row>
      <xdr:rowOff>1476375</xdr:rowOff>
    </xdr:to>
    <xdr:sp>
      <xdr:nvSpPr>
        <xdr:cNvPr id="44" name="Rectangle 43"/>
        <xdr:cNvSpPr/>
      </xdr:nvSpPr>
      <xdr:spPr>
        <a:xfrm>
          <a:off x="7247255" y="6496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46</xdr:row>
      <xdr:rowOff>38100</xdr:rowOff>
    </xdr:from>
    <xdr:to>
      <xdr:col>5</xdr:col>
      <xdr:colOff>1200151</xdr:colOff>
      <xdr:row>46</xdr:row>
      <xdr:rowOff>1476375</xdr:rowOff>
    </xdr:to>
    <xdr:sp>
      <xdr:nvSpPr>
        <xdr:cNvPr id="45" name="Rectangle 44"/>
        <xdr:cNvSpPr/>
      </xdr:nvSpPr>
      <xdr:spPr>
        <a:xfrm>
          <a:off x="7247255" y="6648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47</xdr:row>
      <xdr:rowOff>38100</xdr:rowOff>
    </xdr:from>
    <xdr:to>
      <xdr:col>5</xdr:col>
      <xdr:colOff>1200151</xdr:colOff>
      <xdr:row>47</xdr:row>
      <xdr:rowOff>1476375</xdr:rowOff>
    </xdr:to>
    <xdr:sp>
      <xdr:nvSpPr>
        <xdr:cNvPr id="46" name="Rectangle 45"/>
        <xdr:cNvSpPr/>
      </xdr:nvSpPr>
      <xdr:spPr>
        <a:xfrm>
          <a:off x="7247255" y="6800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48</xdr:row>
      <xdr:rowOff>38100</xdr:rowOff>
    </xdr:from>
    <xdr:to>
      <xdr:col>5</xdr:col>
      <xdr:colOff>1200151</xdr:colOff>
      <xdr:row>48</xdr:row>
      <xdr:rowOff>1476375</xdr:rowOff>
    </xdr:to>
    <xdr:sp>
      <xdr:nvSpPr>
        <xdr:cNvPr id="47" name="Rectangle 46"/>
        <xdr:cNvSpPr/>
      </xdr:nvSpPr>
      <xdr:spPr>
        <a:xfrm>
          <a:off x="7247255" y="6953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49</xdr:row>
      <xdr:rowOff>38100</xdr:rowOff>
    </xdr:from>
    <xdr:to>
      <xdr:col>5</xdr:col>
      <xdr:colOff>1200151</xdr:colOff>
      <xdr:row>49</xdr:row>
      <xdr:rowOff>1476375</xdr:rowOff>
    </xdr:to>
    <xdr:sp>
      <xdr:nvSpPr>
        <xdr:cNvPr id="48" name="Rectangle 47"/>
        <xdr:cNvSpPr/>
      </xdr:nvSpPr>
      <xdr:spPr>
        <a:xfrm>
          <a:off x="7247255" y="7105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50</xdr:row>
      <xdr:rowOff>38100</xdr:rowOff>
    </xdr:from>
    <xdr:to>
      <xdr:col>5</xdr:col>
      <xdr:colOff>1200151</xdr:colOff>
      <xdr:row>50</xdr:row>
      <xdr:rowOff>1476375</xdr:rowOff>
    </xdr:to>
    <xdr:sp>
      <xdr:nvSpPr>
        <xdr:cNvPr id="49" name="Rectangle 48"/>
        <xdr:cNvSpPr/>
      </xdr:nvSpPr>
      <xdr:spPr>
        <a:xfrm>
          <a:off x="7247255" y="7258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51</xdr:row>
      <xdr:rowOff>38100</xdr:rowOff>
    </xdr:from>
    <xdr:to>
      <xdr:col>5</xdr:col>
      <xdr:colOff>1200151</xdr:colOff>
      <xdr:row>51</xdr:row>
      <xdr:rowOff>1476375</xdr:rowOff>
    </xdr:to>
    <xdr:sp>
      <xdr:nvSpPr>
        <xdr:cNvPr id="50" name="Rectangle 49"/>
        <xdr:cNvSpPr/>
      </xdr:nvSpPr>
      <xdr:spPr>
        <a:xfrm>
          <a:off x="7247255" y="7410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52</xdr:row>
      <xdr:rowOff>38100</xdr:rowOff>
    </xdr:from>
    <xdr:to>
      <xdr:col>5</xdr:col>
      <xdr:colOff>1200151</xdr:colOff>
      <xdr:row>52</xdr:row>
      <xdr:rowOff>1476375</xdr:rowOff>
    </xdr:to>
    <xdr:sp>
      <xdr:nvSpPr>
        <xdr:cNvPr id="51" name="Rectangle 50"/>
        <xdr:cNvSpPr/>
      </xdr:nvSpPr>
      <xdr:spPr>
        <a:xfrm>
          <a:off x="7247255" y="7562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53</xdr:row>
      <xdr:rowOff>38100</xdr:rowOff>
    </xdr:from>
    <xdr:to>
      <xdr:col>5</xdr:col>
      <xdr:colOff>1200151</xdr:colOff>
      <xdr:row>53</xdr:row>
      <xdr:rowOff>1476375</xdr:rowOff>
    </xdr:to>
    <xdr:sp>
      <xdr:nvSpPr>
        <xdr:cNvPr id="52" name="Rectangle 51"/>
        <xdr:cNvSpPr/>
      </xdr:nvSpPr>
      <xdr:spPr>
        <a:xfrm>
          <a:off x="7247255" y="7715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54</xdr:row>
      <xdr:rowOff>38100</xdr:rowOff>
    </xdr:from>
    <xdr:to>
      <xdr:col>5</xdr:col>
      <xdr:colOff>1200151</xdr:colOff>
      <xdr:row>54</xdr:row>
      <xdr:rowOff>1476375</xdr:rowOff>
    </xdr:to>
    <xdr:sp>
      <xdr:nvSpPr>
        <xdr:cNvPr id="53" name="Rectangle 52"/>
        <xdr:cNvSpPr/>
      </xdr:nvSpPr>
      <xdr:spPr>
        <a:xfrm>
          <a:off x="7247255" y="7867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55</xdr:row>
      <xdr:rowOff>38100</xdr:rowOff>
    </xdr:from>
    <xdr:to>
      <xdr:col>5</xdr:col>
      <xdr:colOff>1200151</xdr:colOff>
      <xdr:row>55</xdr:row>
      <xdr:rowOff>1476375</xdr:rowOff>
    </xdr:to>
    <xdr:sp>
      <xdr:nvSpPr>
        <xdr:cNvPr id="54" name="Rectangle 53"/>
        <xdr:cNvSpPr/>
      </xdr:nvSpPr>
      <xdr:spPr>
        <a:xfrm>
          <a:off x="7247255" y="8020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56</xdr:row>
      <xdr:rowOff>38100</xdr:rowOff>
    </xdr:from>
    <xdr:to>
      <xdr:col>5</xdr:col>
      <xdr:colOff>1200151</xdr:colOff>
      <xdr:row>56</xdr:row>
      <xdr:rowOff>1476375</xdr:rowOff>
    </xdr:to>
    <xdr:sp>
      <xdr:nvSpPr>
        <xdr:cNvPr id="55" name="Rectangle 54"/>
        <xdr:cNvSpPr/>
      </xdr:nvSpPr>
      <xdr:spPr>
        <a:xfrm>
          <a:off x="7247255" y="8172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57</xdr:row>
      <xdr:rowOff>38100</xdr:rowOff>
    </xdr:from>
    <xdr:to>
      <xdr:col>5</xdr:col>
      <xdr:colOff>1200151</xdr:colOff>
      <xdr:row>57</xdr:row>
      <xdr:rowOff>1476375</xdr:rowOff>
    </xdr:to>
    <xdr:sp>
      <xdr:nvSpPr>
        <xdr:cNvPr id="56" name="Rectangle 55"/>
        <xdr:cNvSpPr/>
      </xdr:nvSpPr>
      <xdr:spPr>
        <a:xfrm>
          <a:off x="7247255" y="8324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58</xdr:row>
      <xdr:rowOff>38100</xdr:rowOff>
    </xdr:from>
    <xdr:to>
      <xdr:col>5</xdr:col>
      <xdr:colOff>1200151</xdr:colOff>
      <xdr:row>58</xdr:row>
      <xdr:rowOff>1476375</xdr:rowOff>
    </xdr:to>
    <xdr:sp>
      <xdr:nvSpPr>
        <xdr:cNvPr id="57" name="Rectangle 56"/>
        <xdr:cNvSpPr/>
      </xdr:nvSpPr>
      <xdr:spPr>
        <a:xfrm>
          <a:off x="7247255" y="8477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59</xdr:row>
      <xdr:rowOff>38100</xdr:rowOff>
    </xdr:from>
    <xdr:to>
      <xdr:col>5</xdr:col>
      <xdr:colOff>1200151</xdr:colOff>
      <xdr:row>59</xdr:row>
      <xdr:rowOff>1476375</xdr:rowOff>
    </xdr:to>
    <xdr:sp>
      <xdr:nvSpPr>
        <xdr:cNvPr id="58" name="Rectangle 57"/>
        <xdr:cNvSpPr/>
      </xdr:nvSpPr>
      <xdr:spPr>
        <a:xfrm>
          <a:off x="7247255" y="8629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60</xdr:row>
      <xdr:rowOff>38100</xdr:rowOff>
    </xdr:from>
    <xdr:to>
      <xdr:col>5</xdr:col>
      <xdr:colOff>1200151</xdr:colOff>
      <xdr:row>60</xdr:row>
      <xdr:rowOff>1476375</xdr:rowOff>
    </xdr:to>
    <xdr:sp>
      <xdr:nvSpPr>
        <xdr:cNvPr id="59" name="Rectangle 58"/>
        <xdr:cNvSpPr/>
      </xdr:nvSpPr>
      <xdr:spPr>
        <a:xfrm>
          <a:off x="7247255" y="8782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61</xdr:row>
      <xdr:rowOff>38100</xdr:rowOff>
    </xdr:from>
    <xdr:to>
      <xdr:col>5</xdr:col>
      <xdr:colOff>1200151</xdr:colOff>
      <xdr:row>61</xdr:row>
      <xdr:rowOff>1476375</xdr:rowOff>
    </xdr:to>
    <xdr:sp>
      <xdr:nvSpPr>
        <xdr:cNvPr id="60" name="Rectangle 59"/>
        <xdr:cNvSpPr/>
      </xdr:nvSpPr>
      <xdr:spPr>
        <a:xfrm>
          <a:off x="7247255" y="8934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62</xdr:row>
      <xdr:rowOff>38100</xdr:rowOff>
    </xdr:from>
    <xdr:to>
      <xdr:col>5</xdr:col>
      <xdr:colOff>1200151</xdr:colOff>
      <xdr:row>62</xdr:row>
      <xdr:rowOff>1476375</xdr:rowOff>
    </xdr:to>
    <xdr:sp>
      <xdr:nvSpPr>
        <xdr:cNvPr id="61" name="Rectangle 60"/>
        <xdr:cNvSpPr/>
      </xdr:nvSpPr>
      <xdr:spPr>
        <a:xfrm>
          <a:off x="7247255" y="9086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63</xdr:row>
      <xdr:rowOff>38100</xdr:rowOff>
    </xdr:from>
    <xdr:to>
      <xdr:col>5</xdr:col>
      <xdr:colOff>1200151</xdr:colOff>
      <xdr:row>63</xdr:row>
      <xdr:rowOff>1476375</xdr:rowOff>
    </xdr:to>
    <xdr:sp>
      <xdr:nvSpPr>
        <xdr:cNvPr id="62" name="Rectangle 61"/>
        <xdr:cNvSpPr/>
      </xdr:nvSpPr>
      <xdr:spPr>
        <a:xfrm>
          <a:off x="7247255" y="9239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64</xdr:row>
      <xdr:rowOff>38100</xdr:rowOff>
    </xdr:from>
    <xdr:to>
      <xdr:col>5</xdr:col>
      <xdr:colOff>1200151</xdr:colOff>
      <xdr:row>64</xdr:row>
      <xdr:rowOff>1476375</xdr:rowOff>
    </xdr:to>
    <xdr:sp>
      <xdr:nvSpPr>
        <xdr:cNvPr id="63" name="Rectangle 62"/>
        <xdr:cNvSpPr/>
      </xdr:nvSpPr>
      <xdr:spPr>
        <a:xfrm>
          <a:off x="7247255" y="9391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65</xdr:row>
      <xdr:rowOff>38100</xdr:rowOff>
    </xdr:from>
    <xdr:to>
      <xdr:col>5</xdr:col>
      <xdr:colOff>1200151</xdr:colOff>
      <xdr:row>65</xdr:row>
      <xdr:rowOff>1476375</xdr:rowOff>
    </xdr:to>
    <xdr:sp>
      <xdr:nvSpPr>
        <xdr:cNvPr id="64" name="Rectangle 63"/>
        <xdr:cNvSpPr/>
      </xdr:nvSpPr>
      <xdr:spPr>
        <a:xfrm>
          <a:off x="7247255" y="9544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66</xdr:row>
      <xdr:rowOff>38100</xdr:rowOff>
    </xdr:from>
    <xdr:to>
      <xdr:col>5</xdr:col>
      <xdr:colOff>1200151</xdr:colOff>
      <xdr:row>66</xdr:row>
      <xdr:rowOff>1476375</xdr:rowOff>
    </xdr:to>
    <xdr:sp>
      <xdr:nvSpPr>
        <xdr:cNvPr id="65" name="Rectangle 64"/>
        <xdr:cNvSpPr/>
      </xdr:nvSpPr>
      <xdr:spPr>
        <a:xfrm>
          <a:off x="7247255" y="9696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67</xdr:row>
      <xdr:rowOff>38100</xdr:rowOff>
    </xdr:from>
    <xdr:to>
      <xdr:col>5</xdr:col>
      <xdr:colOff>1200151</xdr:colOff>
      <xdr:row>67</xdr:row>
      <xdr:rowOff>1476375</xdr:rowOff>
    </xdr:to>
    <xdr:sp>
      <xdr:nvSpPr>
        <xdr:cNvPr id="66" name="Rectangle 65"/>
        <xdr:cNvSpPr/>
      </xdr:nvSpPr>
      <xdr:spPr>
        <a:xfrm>
          <a:off x="7247255" y="9848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68</xdr:row>
      <xdr:rowOff>38100</xdr:rowOff>
    </xdr:from>
    <xdr:to>
      <xdr:col>5</xdr:col>
      <xdr:colOff>1200151</xdr:colOff>
      <xdr:row>68</xdr:row>
      <xdr:rowOff>1476375</xdr:rowOff>
    </xdr:to>
    <xdr:sp>
      <xdr:nvSpPr>
        <xdr:cNvPr id="67" name="Rectangle 66"/>
        <xdr:cNvSpPr/>
      </xdr:nvSpPr>
      <xdr:spPr>
        <a:xfrm>
          <a:off x="7247255" y="10001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69</xdr:row>
      <xdr:rowOff>38100</xdr:rowOff>
    </xdr:from>
    <xdr:to>
      <xdr:col>5</xdr:col>
      <xdr:colOff>1200151</xdr:colOff>
      <xdr:row>69</xdr:row>
      <xdr:rowOff>1476375</xdr:rowOff>
    </xdr:to>
    <xdr:sp>
      <xdr:nvSpPr>
        <xdr:cNvPr id="68" name="Rectangle 67"/>
        <xdr:cNvSpPr/>
      </xdr:nvSpPr>
      <xdr:spPr>
        <a:xfrm>
          <a:off x="7247255" y="10153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70</xdr:row>
      <xdr:rowOff>38100</xdr:rowOff>
    </xdr:from>
    <xdr:to>
      <xdr:col>5</xdr:col>
      <xdr:colOff>1200151</xdr:colOff>
      <xdr:row>70</xdr:row>
      <xdr:rowOff>1476375</xdr:rowOff>
    </xdr:to>
    <xdr:sp>
      <xdr:nvSpPr>
        <xdr:cNvPr id="69" name="Rectangle 68"/>
        <xdr:cNvSpPr/>
      </xdr:nvSpPr>
      <xdr:spPr>
        <a:xfrm>
          <a:off x="7247255" y="10306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71</xdr:row>
      <xdr:rowOff>38100</xdr:rowOff>
    </xdr:from>
    <xdr:to>
      <xdr:col>5</xdr:col>
      <xdr:colOff>1200151</xdr:colOff>
      <xdr:row>71</xdr:row>
      <xdr:rowOff>1476375</xdr:rowOff>
    </xdr:to>
    <xdr:sp>
      <xdr:nvSpPr>
        <xdr:cNvPr id="70" name="Rectangle 69"/>
        <xdr:cNvSpPr/>
      </xdr:nvSpPr>
      <xdr:spPr>
        <a:xfrm>
          <a:off x="7247255" y="10458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72</xdr:row>
      <xdr:rowOff>38100</xdr:rowOff>
    </xdr:from>
    <xdr:to>
      <xdr:col>5</xdr:col>
      <xdr:colOff>1200151</xdr:colOff>
      <xdr:row>72</xdr:row>
      <xdr:rowOff>1476375</xdr:rowOff>
    </xdr:to>
    <xdr:sp>
      <xdr:nvSpPr>
        <xdr:cNvPr id="71" name="Rectangle 70"/>
        <xdr:cNvSpPr/>
      </xdr:nvSpPr>
      <xdr:spPr>
        <a:xfrm>
          <a:off x="7247255" y="10610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73</xdr:row>
      <xdr:rowOff>38100</xdr:rowOff>
    </xdr:from>
    <xdr:to>
      <xdr:col>5</xdr:col>
      <xdr:colOff>1200151</xdr:colOff>
      <xdr:row>73</xdr:row>
      <xdr:rowOff>1476375</xdr:rowOff>
    </xdr:to>
    <xdr:sp>
      <xdr:nvSpPr>
        <xdr:cNvPr id="72" name="Rectangle 71"/>
        <xdr:cNvSpPr/>
      </xdr:nvSpPr>
      <xdr:spPr>
        <a:xfrm>
          <a:off x="7247255" y="10763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74</xdr:row>
      <xdr:rowOff>38100</xdr:rowOff>
    </xdr:from>
    <xdr:to>
      <xdr:col>5</xdr:col>
      <xdr:colOff>1200151</xdr:colOff>
      <xdr:row>74</xdr:row>
      <xdr:rowOff>1476375</xdr:rowOff>
    </xdr:to>
    <xdr:sp>
      <xdr:nvSpPr>
        <xdr:cNvPr id="73" name="Rectangle 72"/>
        <xdr:cNvSpPr/>
      </xdr:nvSpPr>
      <xdr:spPr>
        <a:xfrm>
          <a:off x="7247255" y="10915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75</xdr:row>
      <xdr:rowOff>38100</xdr:rowOff>
    </xdr:from>
    <xdr:to>
      <xdr:col>5</xdr:col>
      <xdr:colOff>1200151</xdr:colOff>
      <xdr:row>75</xdr:row>
      <xdr:rowOff>1476375</xdr:rowOff>
    </xdr:to>
    <xdr:sp>
      <xdr:nvSpPr>
        <xdr:cNvPr id="74" name="Rectangle 73"/>
        <xdr:cNvSpPr/>
      </xdr:nvSpPr>
      <xdr:spPr>
        <a:xfrm>
          <a:off x="7247255" y="11068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76</xdr:row>
      <xdr:rowOff>38100</xdr:rowOff>
    </xdr:from>
    <xdr:to>
      <xdr:col>5</xdr:col>
      <xdr:colOff>1200151</xdr:colOff>
      <xdr:row>76</xdr:row>
      <xdr:rowOff>1476375</xdr:rowOff>
    </xdr:to>
    <xdr:sp>
      <xdr:nvSpPr>
        <xdr:cNvPr id="75" name="Rectangle 74"/>
        <xdr:cNvSpPr/>
      </xdr:nvSpPr>
      <xdr:spPr>
        <a:xfrm>
          <a:off x="7247255" y="11220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77</xdr:row>
      <xdr:rowOff>38100</xdr:rowOff>
    </xdr:from>
    <xdr:to>
      <xdr:col>5</xdr:col>
      <xdr:colOff>1200151</xdr:colOff>
      <xdr:row>77</xdr:row>
      <xdr:rowOff>1476375</xdr:rowOff>
    </xdr:to>
    <xdr:sp>
      <xdr:nvSpPr>
        <xdr:cNvPr id="76" name="Rectangle 75"/>
        <xdr:cNvSpPr/>
      </xdr:nvSpPr>
      <xdr:spPr>
        <a:xfrm>
          <a:off x="7247255" y="11372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78</xdr:row>
      <xdr:rowOff>38100</xdr:rowOff>
    </xdr:from>
    <xdr:to>
      <xdr:col>5</xdr:col>
      <xdr:colOff>1200151</xdr:colOff>
      <xdr:row>78</xdr:row>
      <xdr:rowOff>1476375</xdr:rowOff>
    </xdr:to>
    <xdr:sp>
      <xdr:nvSpPr>
        <xdr:cNvPr id="77" name="Rectangle 76"/>
        <xdr:cNvSpPr/>
      </xdr:nvSpPr>
      <xdr:spPr>
        <a:xfrm>
          <a:off x="7247255" y="11525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79</xdr:row>
      <xdr:rowOff>38100</xdr:rowOff>
    </xdr:from>
    <xdr:to>
      <xdr:col>5</xdr:col>
      <xdr:colOff>1200151</xdr:colOff>
      <xdr:row>79</xdr:row>
      <xdr:rowOff>1476375</xdr:rowOff>
    </xdr:to>
    <xdr:sp>
      <xdr:nvSpPr>
        <xdr:cNvPr id="78" name="Rectangle 77"/>
        <xdr:cNvSpPr/>
      </xdr:nvSpPr>
      <xdr:spPr>
        <a:xfrm>
          <a:off x="7247255" y="11677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80</xdr:row>
      <xdr:rowOff>38100</xdr:rowOff>
    </xdr:from>
    <xdr:to>
      <xdr:col>5</xdr:col>
      <xdr:colOff>1200151</xdr:colOff>
      <xdr:row>80</xdr:row>
      <xdr:rowOff>1476375</xdr:rowOff>
    </xdr:to>
    <xdr:sp>
      <xdr:nvSpPr>
        <xdr:cNvPr id="79" name="Rectangle 78"/>
        <xdr:cNvSpPr/>
      </xdr:nvSpPr>
      <xdr:spPr>
        <a:xfrm>
          <a:off x="7247255" y="11830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81</xdr:row>
      <xdr:rowOff>38100</xdr:rowOff>
    </xdr:from>
    <xdr:to>
      <xdr:col>5</xdr:col>
      <xdr:colOff>1200151</xdr:colOff>
      <xdr:row>81</xdr:row>
      <xdr:rowOff>1476375</xdr:rowOff>
    </xdr:to>
    <xdr:sp>
      <xdr:nvSpPr>
        <xdr:cNvPr id="80" name="Rectangle 79"/>
        <xdr:cNvSpPr/>
      </xdr:nvSpPr>
      <xdr:spPr>
        <a:xfrm>
          <a:off x="7247255" y="11982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82</xdr:row>
      <xdr:rowOff>38100</xdr:rowOff>
    </xdr:from>
    <xdr:to>
      <xdr:col>5</xdr:col>
      <xdr:colOff>1200151</xdr:colOff>
      <xdr:row>82</xdr:row>
      <xdr:rowOff>1476375</xdr:rowOff>
    </xdr:to>
    <xdr:sp>
      <xdr:nvSpPr>
        <xdr:cNvPr id="81" name="Rectangle 80"/>
        <xdr:cNvSpPr/>
      </xdr:nvSpPr>
      <xdr:spPr>
        <a:xfrm>
          <a:off x="7247255" y="12134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83</xdr:row>
      <xdr:rowOff>38100</xdr:rowOff>
    </xdr:from>
    <xdr:to>
      <xdr:col>5</xdr:col>
      <xdr:colOff>1200151</xdr:colOff>
      <xdr:row>83</xdr:row>
      <xdr:rowOff>1476375</xdr:rowOff>
    </xdr:to>
    <xdr:sp>
      <xdr:nvSpPr>
        <xdr:cNvPr id="82" name="Rectangle 81"/>
        <xdr:cNvSpPr/>
      </xdr:nvSpPr>
      <xdr:spPr>
        <a:xfrm>
          <a:off x="7247255" y="12287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84</xdr:row>
      <xdr:rowOff>38100</xdr:rowOff>
    </xdr:from>
    <xdr:to>
      <xdr:col>5</xdr:col>
      <xdr:colOff>1200151</xdr:colOff>
      <xdr:row>84</xdr:row>
      <xdr:rowOff>1476375</xdr:rowOff>
    </xdr:to>
    <xdr:sp>
      <xdr:nvSpPr>
        <xdr:cNvPr id="83" name="Rectangle 82"/>
        <xdr:cNvSpPr/>
      </xdr:nvSpPr>
      <xdr:spPr>
        <a:xfrm>
          <a:off x="7247255" y="12439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85</xdr:row>
      <xdr:rowOff>38100</xdr:rowOff>
    </xdr:from>
    <xdr:to>
      <xdr:col>5</xdr:col>
      <xdr:colOff>1200151</xdr:colOff>
      <xdr:row>85</xdr:row>
      <xdr:rowOff>1476375</xdr:rowOff>
    </xdr:to>
    <xdr:sp>
      <xdr:nvSpPr>
        <xdr:cNvPr id="84" name="Rectangle 83"/>
        <xdr:cNvSpPr/>
      </xdr:nvSpPr>
      <xdr:spPr>
        <a:xfrm>
          <a:off x="7247255" y="12592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86</xdr:row>
      <xdr:rowOff>38100</xdr:rowOff>
    </xdr:from>
    <xdr:to>
      <xdr:col>5</xdr:col>
      <xdr:colOff>1200151</xdr:colOff>
      <xdr:row>86</xdr:row>
      <xdr:rowOff>1476375</xdr:rowOff>
    </xdr:to>
    <xdr:sp>
      <xdr:nvSpPr>
        <xdr:cNvPr id="85" name="Rectangle 84"/>
        <xdr:cNvSpPr/>
      </xdr:nvSpPr>
      <xdr:spPr>
        <a:xfrm>
          <a:off x="7247255" y="12744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87</xdr:row>
      <xdr:rowOff>38100</xdr:rowOff>
    </xdr:from>
    <xdr:to>
      <xdr:col>5</xdr:col>
      <xdr:colOff>1200151</xdr:colOff>
      <xdr:row>87</xdr:row>
      <xdr:rowOff>1476375</xdr:rowOff>
    </xdr:to>
    <xdr:sp>
      <xdr:nvSpPr>
        <xdr:cNvPr id="86" name="Rectangle 85"/>
        <xdr:cNvSpPr/>
      </xdr:nvSpPr>
      <xdr:spPr>
        <a:xfrm>
          <a:off x="7247255" y="12896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88</xdr:row>
      <xdr:rowOff>38100</xdr:rowOff>
    </xdr:from>
    <xdr:to>
      <xdr:col>5</xdr:col>
      <xdr:colOff>1200151</xdr:colOff>
      <xdr:row>88</xdr:row>
      <xdr:rowOff>1476375</xdr:rowOff>
    </xdr:to>
    <xdr:sp>
      <xdr:nvSpPr>
        <xdr:cNvPr id="87" name="Rectangle 86"/>
        <xdr:cNvSpPr/>
      </xdr:nvSpPr>
      <xdr:spPr>
        <a:xfrm>
          <a:off x="7247255" y="13049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89</xdr:row>
      <xdr:rowOff>38100</xdr:rowOff>
    </xdr:from>
    <xdr:to>
      <xdr:col>5</xdr:col>
      <xdr:colOff>1200151</xdr:colOff>
      <xdr:row>89</xdr:row>
      <xdr:rowOff>1476375</xdr:rowOff>
    </xdr:to>
    <xdr:sp>
      <xdr:nvSpPr>
        <xdr:cNvPr id="88" name="Rectangle 87"/>
        <xdr:cNvSpPr/>
      </xdr:nvSpPr>
      <xdr:spPr>
        <a:xfrm>
          <a:off x="7247255" y="13201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90</xdr:row>
      <xdr:rowOff>38100</xdr:rowOff>
    </xdr:from>
    <xdr:to>
      <xdr:col>5</xdr:col>
      <xdr:colOff>1200151</xdr:colOff>
      <xdr:row>90</xdr:row>
      <xdr:rowOff>1476375</xdr:rowOff>
    </xdr:to>
    <xdr:sp>
      <xdr:nvSpPr>
        <xdr:cNvPr id="89" name="Rectangle 88"/>
        <xdr:cNvSpPr/>
      </xdr:nvSpPr>
      <xdr:spPr>
        <a:xfrm>
          <a:off x="7247255" y="13354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91</xdr:row>
      <xdr:rowOff>38100</xdr:rowOff>
    </xdr:from>
    <xdr:to>
      <xdr:col>5</xdr:col>
      <xdr:colOff>1200151</xdr:colOff>
      <xdr:row>91</xdr:row>
      <xdr:rowOff>1476375</xdr:rowOff>
    </xdr:to>
    <xdr:sp>
      <xdr:nvSpPr>
        <xdr:cNvPr id="90" name="Rectangle 89"/>
        <xdr:cNvSpPr/>
      </xdr:nvSpPr>
      <xdr:spPr>
        <a:xfrm>
          <a:off x="7247255" y="13506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92</xdr:row>
      <xdr:rowOff>38100</xdr:rowOff>
    </xdr:from>
    <xdr:to>
      <xdr:col>5</xdr:col>
      <xdr:colOff>1200151</xdr:colOff>
      <xdr:row>92</xdr:row>
      <xdr:rowOff>1476375</xdr:rowOff>
    </xdr:to>
    <xdr:sp>
      <xdr:nvSpPr>
        <xdr:cNvPr id="91" name="Rectangle 90"/>
        <xdr:cNvSpPr/>
      </xdr:nvSpPr>
      <xdr:spPr>
        <a:xfrm>
          <a:off x="7247255" y="13658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93</xdr:row>
      <xdr:rowOff>38100</xdr:rowOff>
    </xdr:from>
    <xdr:to>
      <xdr:col>5</xdr:col>
      <xdr:colOff>1200151</xdr:colOff>
      <xdr:row>93</xdr:row>
      <xdr:rowOff>1476375</xdr:rowOff>
    </xdr:to>
    <xdr:sp>
      <xdr:nvSpPr>
        <xdr:cNvPr id="92" name="Rectangle 91"/>
        <xdr:cNvSpPr/>
      </xdr:nvSpPr>
      <xdr:spPr>
        <a:xfrm>
          <a:off x="7247255" y="13811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94</xdr:row>
      <xdr:rowOff>38100</xdr:rowOff>
    </xdr:from>
    <xdr:to>
      <xdr:col>5</xdr:col>
      <xdr:colOff>1200151</xdr:colOff>
      <xdr:row>94</xdr:row>
      <xdr:rowOff>1476375</xdr:rowOff>
    </xdr:to>
    <xdr:sp>
      <xdr:nvSpPr>
        <xdr:cNvPr id="93" name="Rectangle 92"/>
        <xdr:cNvSpPr/>
      </xdr:nvSpPr>
      <xdr:spPr>
        <a:xfrm>
          <a:off x="7247255" y="13963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95</xdr:row>
      <xdr:rowOff>38100</xdr:rowOff>
    </xdr:from>
    <xdr:to>
      <xdr:col>5</xdr:col>
      <xdr:colOff>1200151</xdr:colOff>
      <xdr:row>95</xdr:row>
      <xdr:rowOff>1476375</xdr:rowOff>
    </xdr:to>
    <xdr:sp>
      <xdr:nvSpPr>
        <xdr:cNvPr id="94" name="Rectangle 93"/>
        <xdr:cNvSpPr/>
      </xdr:nvSpPr>
      <xdr:spPr>
        <a:xfrm>
          <a:off x="7247255" y="14116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96</xdr:row>
      <xdr:rowOff>38100</xdr:rowOff>
    </xdr:from>
    <xdr:to>
      <xdr:col>5</xdr:col>
      <xdr:colOff>1200151</xdr:colOff>
      <xdr:row>96</xdr:row>
      <xdr:rowOff>1476375</xdr:rowOff>
    </xdr:to>
    <xdr:sp>
      <xdr:nvSpPr>
        <xdr:cNvPr id="95" name="Rectangle 94"/>
        <xdr:cNvSpPr/>
      </xdr:nvSpPr>
      <xdr:spPr>
        <a:xfrm>
          <a:off x="7247255" y="14268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97</xdr:row>
      <xdr:rowOff>38100</xdr:rowOff>
    </xdr:from>
    <xdr:to>
      <xdr:col>5</xdr:col>
      <xdr:colOff>1200151</xdr:colOff>
      <xdr:row>97</xdr:row>
      <xdr:rowOff>1476375</xdr:rowOff>
    </xdr:to>
    <xdr:sp>
      <xdr:nvSpPr>
        <xdr:cNvPr id="96" name="Rectangle 95"/>
        <xdr:cNvSpPr/>
      </xdr:nvSpPr>
      <xdr:spPr>
        <a:xfrm>
          <a:off x="7247255" y="14420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98</xdr:row>
      <xdr:rowOff>38100</xdr:rowOff>
    </xdr:from>
    <xdr:to>
      <xdr:col>5</xdr:col>
      <xdr:colOff>1200151</xdr:colOff>
      <xdr:row>98</xdr:row>
      <xdr:rowOff>1476375</xdr:rowOff>
    </xdr:to>
    <xdr:sp>
      <xdr:nvSpPr>
        <xdr:cNvPr id="97" name="Rectangle 96"/>
        <xdr:cNvSpPr/>
      </xdr:nvSpPr>
      <xdr:spPr>
        <a:xfrm>
          <a:off x="7247255" y="14573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99</xdr:row>
      <xdr:rowOff>38100</xdr:rowOff>
    </xdr:from>
    <xdr:to>
      <xdr:col>5</xdr:col>
      <xdr:colOff>1200151</xdr:colOff>
      <xdr:row>99</xdr:row>
      <xdr:rowOff>1476375</xdr:rowOff>
    </xdr:to>
    <xdr:sp>
      <xdr:nvSpPr>
        <xdr:cNvPr id="98" name="Rectangle 97"/>
        <xdr:cNvSpPr/>
      </xdr:nvSpPr>
      <xdr:spPr>
        <a:xfrm>
          <a:off x="7247255" y="14725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100</xdr:row>
      <xdr:rowOff>38100</xdr:rowOff>
    </xdr:from>
    <xdr:to>
      <xdr:col>5</xdr:col>
      <xdr:colOff>1200151</xdr:colOff>
      <xdr:row>100</xdr:row>
      <xdr:rowOff>1476375</xdr:rowOff>
    </xdr:to>
    <xdr:sp>
      <xdr:nvSpPr>
        <xdr:cNvPr id="99" name="Rectangle 98"/>
        <xdr:cNvSpPr/>
      </xdr:nvSpPr>
      <xdr:spPr>
        <a:xfrm>
          <a:off x="7247255" y="14878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101</xdr:row>
      <xdr:rowOff>38100</xdr:rowOff>
    </xdr:from>
    <xdr:to>
      <xdr:col>5</xdr:col>
      <xdr:colOff>1200151</xdr:colOff>
      <xdr:row>101</xdr:row>
      <xdr:rowOff>1476375</xdr:rowOff>
    </xdr:to>
    <xdr:sp>
      <xdr:nvSpPr>
        <xdr:cNvPr id="100" name="Rectangle 99"/>
        <xdr:cNvSpPr/>
      </xdr:nvSpPr>
      <xdr:spPr>
        <a:xfrm>
          <a:off x="7247255" y="15030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102</xdr:row>
      <xdr:rowOff>38100</xdr:rowOff>
    </xdr:from>
    <xdr:to>
      <xdr:col>5</xdr:col>
      <xdr:colOff>1200151</xdr:colOff>
      <xdr:row>102</xdr:row>
      <xdr:rowOff>1476375</xdr:rowOff>
    </xdr:to>
    <xdr:sp>
      <xdr:nvSpPr>
        <xdr:cNvPr id="101" name="Rectangle 100"/>
        <xdr:cNvSpPr/>
      </xdr:nvSpPr>
      <xdr:spPr>
        <a:xfrm>
          <a:off x="7247255" y="15182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</xdr:row>
      <xdr:rowOff>38100</xdr:rowOff>
    </xdr:from>
    <xdr:to>
      <xdr:col>5</xdr:col>
      <xdr:colOff>1200151</xdr:colOff>
      <xdr:row>3</xdr:row>
      <xdr:rowOff>1476375</xdr:rowOff>
    </xdr:to>
    <xdr:sp>
      <xdr:nvSpPr>
        <xdr:cNvPr id="103" name="Rectangle 102"/>
        <xdr:cNvSpPr/>
      </xdr:nvSpPr>
      <xdr:spPr>
        <a:xfrm>
          <a:off x="7247255" y="952500"/>
          <a:ext cx="1143000" cy="14382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</xdr:row>
      <xdr:rowOff>38100</xdr:rowOff>
    </xdr:from>
    <xdr:to>
      <xdr:col>5</xdr:col>
      <xdr:colOff>1200151</xdr:colOff>
      <xdr:row>4</xdr:row>
      <xdr:rowOff>1476375</xdr:rowOff>
    </xdr:to>
    <xdr:sp>
      <xdr:nvSpPr>
        <xdr:cNvPr id="105" name="Rectangle 104"/>
        <xdr:cNvSpPr/>
      </xdr:nvSpPr>
      <xdr:spPr>
        <a:xfrm>
          <a:off x="7247255" y="2476500"/>
          <a:ext cx="1143000" cy="1438275"/>
        </a:xfrm>
        <a:prstGeom prst="rect">
          <a:avLst/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5</xdr:row>
      <xdr:rowOff>38100</xdr:rowOff>
    </xdr:from>
    <xdr:to>
      <xdr:col>5</xdr:col>
      <xdr:colOff>1200151</xdr:colOff>
      <xdr:row>5</xdr:row>
      <xdr:rowOff>1476375</xdr:rowOff>
    </xdr:to>
    <xdr:sp>
      <xdr:nvSpPr>
        <xdr:cNvPr id="106" name="Rectangle 105"/>
        <xdr:cNvSpPr/>
      </xdr:nvSpPr>
      <xdr:spPr>
        <a:xfrm>
          <a:off x="7247255" y="400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6</xdr:row>
      <xdr:rowOff>38100</xdr:rowOff>
    </xdr:from>
    <xdr:to>
      <xdr:col>5</xdr:col>
      <xdr:colOff>1200151</xdr:colOff>
      <xdr:row>6</xdr:row>
      <xdr:rowOff>1476375</xdr:rowOff>
    </xdr:to>
    <xdr:sp>
      <xdr:nvSpPr>
        <xdr:cNvPr id="107" name="Rectangle 106"/>
        <xdr:cNvSpPr/>
      </xdr:nvSpPr>
      <xdr:spPr>
        <a:xfrm>
          <a:off x="7247255" y="552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7</xdr:row>
      <xdr:rowOff>38100</xdr:rowOff>
    </xdr:from>
    <xdr:to>
      <xdr:col>5</xdr:col>
      <xdr:colOff>1200151</xdr:colOff>
      <xdr:row>7</xdr:row>
      <xdr:rowOff>1476375</xdr:rowOff>
    </xdr:to>
    <xdr:sp>
      <xdr:nvSpPr>
        <xdr:cNvPr id="108" name="Rectangle 107"/>
        <xdr:cNvSpPr/>
      </xdr:nvSpPr>
      <xdr:spPr>
        <a:xfrm>
          <a:off x="7247255" y="704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8</xdr:row>
      <xdr:rowOff>38100</xdr:rowOff>
    </xdr:from>
    <xdr:to>
      <xdr:col>5</xdr:col>
      <xdr:colOff>1200151</xdr:colOff>
      <xdr:row>8</xdr:row>
      <xdr:rowOff>1476375</xdr:rowOff>
    </xdr:to>
    <xdr:sp>
      <xdr:nvSpPr>
        <xdr:cNvPr id="109" name="Rectangle 108"/>
        <xdr:cNvSpPr/>
      </xdr:nvSpPr>
      <xdr:spPr>
        <a:xfrm>
          <a:off x="7247255" y="857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9</xdr:row>
      <xdr:rowOff>38100</xdr:rowOff>
    </xdr:from>
    <xdr:to>
      <xdr:col>5</xdr:col>
      <xdr:colOff>1200151</xdr:colOff>
      <xdr:row>9</xdr:row>
      <xdr:rowOff>1476375</xdr:rowOff>
    </xdr:to>
    <xdr:sp>
      <xdr:nvSpPr>
        <xdr:cNvPr id="110" name="Rectangle 109"/>
        <xdr:cNvSpPr/>
      </xdr:nvSpPr>
      <xdr:spPr>
        <a:xfrm>
          <a:off x="7247255" y="1009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10</xdr:row>
      <xdr:rowOff>38100</xdr:rowOff>
    </xdr:from>
    <xdr:to>
      <xdr:col>5</xdr:col>
      <xdr:colOff>1200151</xdr:colOff>
      <xdr:row>10</xdr:row>
      <xdr:rowOff>1476375</xdr:rowOff>
    </xdr:to>
    <xdr:sp>
      <xdr:nvSpPr>
        <xdr:cNvPr id="111" name="Rectangle 110"/>
        <xdr:cNvSpPr/>
      </xdr:nvSpPr>
      <xdr:spPr>
        <a:xfrm>
          <a:off x="7247255" y="1162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11</xdr:row>
      <xdr:rowOff>38100</xdr:rowOff>
    </xdr:from>
    <xdr:to>
      <xdr:col>5</xdr:col>
      <xdr:colOff>1200151</xdr:colOff>
      <xdr:row>11</xdr:row>
      <xdr:rowOff>1476375</xdr:rowOff>
    </xdr:to>
    <xdr:sp>
      <xdr:nvSpPr>
        <xdr:cNvPr id="112" name="Rectangle 111"/>
        <xdr:cNvSpPr/>
      </xdr:nvSpPr>
      <xdr:spPr>
        <a:xfrm>
          <a:off x="7247255" y="1314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12</xdr:row>
      <xdr:rowOff>38100</xdr:rowOff>
    </xdr:from>
    <xdr:to>
      <xdr:col>5</xdr:col>
      <xdr:colOff>1200151</xdr:colOff>
      <xdr:row>12</xdr:row>
      <xdr:rowOff>1476375</xdr:rowOff>
    </xdr:to>
    <xdr:sp>
      <xdr:nvSpPr>
        <xdr:cNvPr id="113" name="Rectangle 112"/>
        <xdr:cNvSpPr/>
      </xdr:nvSpPr>
      <xdr:spPr>
        <a:xfrm>
          <a:off x="7247255" y="1466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13</xdr:row>
      <xdr:rowOff>38100</xdr:rowOff>
    </xdr:from>
    <xdr:to>
      <xdr:col>5</xdr:col>
      <xdr:colOff>1200151</xdr:colOff>
      <xdr:row>13</xdr:row>
      <xdr:rowOff>1476375</xdr:rowOff>
    </xdr:to>
    <xdr:sp>
      <xdr:nvSpPr>
        <xdr:cNvPr id="114" name="Rectangle 113"/>
        <xdr:cNvSpPr/>
      </xdr:nvSpPr>
      <xdr:spPr>
        <a:xfrm>
          <a:off x="7247255" y="1619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14</xdr:row>
      <xdr:rowOff>38100</xdr:rowOff>
    </xdr:from>
    <xdr:to>
      <xdr:col>5</xdr:col>
      <xdr:colOff>1200151</xdr:colOff>
      <xdr:row>14</xdr:row>
      <xdr:rowOff>1476375</xdr:rowOff>
    </xdr:to>
    <xdr:sp>
      <xdr:nvSpPr>
        <xdr:cNvPr id="115" name="Rectangle 114"/>
        <xdr:cNvSpPr/>
      </xdr:nvSpPr>
      <xdr:spPr>
        <a:xfrm>
          <a:off x="7247255" y="1771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15</xdr:row>
      <xdr:rowOff>38100</xdr:rowOff>
    </xdr:from>
    <xdr:to>
      <xdr:col>5</xdr:col>
      <xdr:colOff>1200151</xdr:colOff>
      <xdr:row>15</xdr:row>
      <xdr:rowOff>1476375</xdr:rowOff>
    </xdr:to>
    <xdr:sp>
      <xdr:nvSpPr>
        <xdr:cNvPr id="116" name="Rectangle 115"/>
        <xdr:cNvSpPr/>
      </xdr:nvSpPr>
      <xdr:spPr>
        <a:xfrm>
          <a:off x="7247255" y="1924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16</xdr:row>
      <xdr:rowOff>38100</xdr:rowOff>
    </xdr:from>
    <xdr:to>
      <xdr:col>5</xdr:col>
      <xdr:colOff>1200151</xdr:colOff>
      <xdr:row>16</xdr:row>
      <xdr:rowOff>1476375</xdr:rowOff>
    </xdr:to>
    <xdr:sp>
      <xdr:nvSpPr>
        <xdr:cNvPr id="117" name="Rectangle 116"/>
        <xdr:cNvSpPr/>
      </xdr:nvSpPr>
      <xdr:spPr>
        <a:xfrm>
          <a:off x="7247255" y="2076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17</xdr:row>
      <xdr:rowOff>38100</xdr:rowOff>
    </xdr:from>
    <xdr:to>
      <xdr:col>5</xdr:col>
      <xdr:colOff>1200151</xdr:colOff>
      <xdr:row>17</xdr:row>
      <xdr:rowOff>1476375</xdr:rowOff>
    </xdr:to>
    <xdr:sp>
      <xdr:nvSpPr>
        <xdr:cNvPr id="118" name="Rectangle 117"/>
        <xdr:cNvSpPr/>
      </xdr:nvSpPr>
      <xdr:spPr>
        <a:xfrm>
          <a:off x="7247255" y="2228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18</xdr:row>
      <xdr:rowOff>38100</xdr:rowOff>
    </xdr:from>
    <xdr:to>
      <xdr:col>5</xdr:col>
      <xdr:colOff>1200151</xdr:colOff>
      <xdr:row>18</xdr:row>
      <xdr:rowOff>1476375</xdr:rowOff>
    </xdr:to>
    <xdr:sp>
      <xdr:nvSpPr>
        <xdr:cNvPr id="119" name="Rectangle 118"/>
        <xdr:cNvSpPr/>
      </xdr:nvSpPr>
      <xdr:spPr>
        <a:xfrm>
          <a:off x="7247255" y="2381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19</xdr:row>
      <xdr:rowOff>38100</xdr:rowOff>
    </xdr:from>
    <xdr:to>
      <xdr:col>5</xdr:col>
      <xdr:colOff>1200151</xdr:colOff>
      <xdr:row>19</xdr:row>
      <xdr:rowOff>1476375</xdr:rowOff>
    </xdr:to>
    <xdr:sp>
      <xdr:nvSpPr>
        <xdr:cNvPr id="120" name="Rectangle 119"/>
        <xdr:cNvSpPr/>
      </xdr:nvSpPr>
      <xdr:spPr>
        <a:xfrm>
          <a:off x="7247255" y="2533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20</xdr:row>
      <xdr:rowOff>38100</xdr:rowOff>
    </xdr:from>
    <xdr:to>
      <xdr:col>5</xdr:col>
      <xdr:colOff>1200151</xdr:colOff>
      <xdr:row>20</xdr:row>
      <xdr:rowOff>1476375</xdr:rowOff>
    </xdr:to>
    <xdr:sp>
      <xdr:nvSpPr>
        <xdr:cNvPr id="121" name="Rectangle 120"/>
        <xdr:cNvSpPr/>
      </xdr:nvSpPr>
      <xdr:spPr>
        <a:xfrm>
          <a:off x="7247255" y="2686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21</xdr:row>
      <xdr:rowOff>38100</xdr:rowOff>
    </xdr:from>
    <xdr:to>
      <xdr:col>5</xdr:col>
      <xdr:colOff>1200151</xdr:colOff>
      <xdr:row>21</xdr:row>
      <xdr:rowOff>1476375</xdr:rowOff>
    </xdr:to>
    <xdr:sp>
      <xdr:nvSpPr>
        <xdr:cNvPr id="122" name="Rectangle 121"/>
        <xdr:cNvSpPr/>
      </xdr:nvSpPr>
      <xdr:spPr>
        <a:xfrm>
          <a:off x="7247255" y="2838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22</xdr:row>
      <xdr:rowOff>38100</xdr:rowOff>
    </xdr:from>
    <xdr:to>
      <xdr:col>5</xdr:col>
      <xdr:colOff>1200151</xdr:colOff>
      <xdr:row>22</xdr:row>
      <xdr:rowOff>1476375</xdr:rowOff>
    </xdr:to>
    <xdr:sp>
      <xdr:nvSpPr>
        <xdr:cNvPr id="123" name="Rectangle 122"/>
        <xdr:cNvSpPr/>
      </xdr:nvSpPr>
      <xdr:spPr>
        <a:xfrm>
          <a:off x="7247255" y="2990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23</xdr:row>
      <xdr:rowOff>38100</xdr:rowOff>
    </xdr:from>
    <xdr:to>
      <xdr:col>5</xdr:col>
      <xdr:colOff>1200151</xdr:colOff>
      <xdr:row>23</xdr:row>
      <xdr:rowOff>1476375</xdr:rowOff>
    </xdr:to>
    <xdr:sp>
      <xdr:nvSpPr>
        <xdr:cNvPr id="124" name="Rectangle 123"/>
        <xdr:cNvSpPr/>
      </xdr:nvSpPr>
      <xdr:spPr>
        <a:xfrm>
          <a:off x="7247255" y="3143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24</xdr:row>
      <xdr:rowOff>38100</xdr:rowOff>
    </xdr:from>
    <xdr:to>
      <xdr:col>5</xdr:col>
      <xdr:colOff>1200151</xdr:colOff>
      <xdr:row>24</xdr:row>
      <xdr:rowOff>1476375</xdr:rowOff>
    </xdr:to>
    <xdr:sp>
      <xdr:nvSpPr>
        <xdr:cNvPr id="125" name="Rectangle 124"/>
        <xdr:cNvSpPr/>
      </xdr:nvSpPr>
      <xdr:spPr>
        <a:xfrm>
          <a:off x="7247255" y="3295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25</xdr:row>
      <xdr:rowOff>38100</xdr:rowOff>
    </xdr:from>
    <xdr:to>
      <xdr:col>5</xdr:col>
      <xdr:colOff>1200151</xdr:colOff>
      <xdr:row>25</xdr:row>
      <xdr:rowOff>1476375</xdr:rowOff>
    </xdr:to>
    <xdr:sp>
      <xdr:nvSpPr>
        <xdr:cNvPr id="126" name="Rectangle 125"/>
        <xdr:cNvSpPr/>
      </xdr:nvSpPr>
      <xdr:spPr>
        <a:xfrm>
          <a:off x="7247255" y="3448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26</xdr:row>
      <xdr:rowOff>38100</xdr:rowOff>
    </xdr:from>
    <xdr:to>
      <xdr:col>5</xdr:col>
      <xdr:colOff>1200151</xdr:colOff>
      <xdr:row>26</xdr:row>
      <xdr:rowOff>1476375</xdr:rowOff>
    </xdr:to>
    <xdr:sp>
      <xdr:nvSpPr>
        <xdr:cNvPr id="127" name="Rectangle 126"/>
        <xdr:cNvSpPr/>
      </xdr:nvSpPr>
      <xdr:spPr>
        <a:xfrm>
          <a:off x="7247255" y="3600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27</xdr:row>
      <xdr:rowOff>38100</xdr:rowOff>
    </xdr:from>
    <xdr:to>
      <xdr:col>5</xdr:col>
      <xdr:colOff>1200151</xdr:colOff>
      <xdr:row>27</xdr:row>
      <xdr:rowOff>1476375</xdr:rowOff>
    </xdr:to>
    <xdr:sp>
      <xdr:nvSpPr>
        <xdr:cNvPr id="128" name="Rectangle 127"/>
        <xdr:cNvSpPr/>
      </xdr:nvSpPr>
      <xdr:spPr>
        <a:xfrm>
          <a:off x="7247255" y="3752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28</xdr:row>
      <xdr:rowOff>38100</xdr:rowOff>
    </xdr:from>
    <xdr:to>
      <xdr:col>5</xdr:col>
      <xdr:colOff>1200151</xdr:colOff>
      <xdr:row>28</xdr:row>
      <xdr:rowOff>1476375</xdr:rowOff>
    </xdr:to>
    <xdr:sp>
      <xdr:nvSpPr>
        <xdr:cNvPr id="129" name="Rectangle 128"/>
        <xdr:cNvSpPr/>
      </xdr:nvSpPr>
      <xdr:spPr>
        <a:xfrm>
          <a:off x="7247255" y="3905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29</xdr:row>
      <xdr:rowOff>38100</xdr:rowOff>
    </xdr:from>
    <xdr:to>
      <xdr:col>5</xdr:col>
      <xdr:colOff>1200151</xdr:colOff>
      <xdr:row>29</xdr:row>
      <xdr:rowOff>1476375</xdr:rowOff>
    </xdr:to>
    <xdr:sp>
      <xdr:nvSpPr>
        <xdr:cNvPr id="130" name="Rectangle 129"/>
        <xdr:cNvSpPr/>
      </xdr:nvSpPr>
      <xdr:spPr>
        <a:xfrm>
          <a:off x="7247255" y="4057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30</xdr:row>
      <xdr:rowOff>38100</xdr:rowOff>
    </xdr:from>
    <xdr:to>
      <xdr:col>5</xdr:col>
      <xdr:colOff>1200151</xdr:colOff>
      <xdr:row>30</xdr:row>
      <xdr:rowOff>1476375</xdr:rowOff>
    </xdr:to>
    <xdr:sp>
      <xdr:nvSpPr>
        <xdr:cNvPr id="131" name="Rectangle 130"/>
        <xdr:cNvSpPr/>
      </xdr:nvSpPr>
      <xdr:spPr>
        <a:xfrm>
          <a:off x="7247255" y="4210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31</xdr:row>
      <xdr:rowOff>38100</xdr:rowOff>
    </xdr:from>
    <xdr:to>
      <xdr:col>5</xdr:col>
      <xdr:colOff>1200151</xdr:colOff>
      <xdr:row>31</xdr:row>
      <xdr:rowOff>1476375</xdr:rowOff>
    </xdr:to>
    <xdr:sp>
      <xdr:nvSpPr>
        <xdr:cNvPr id="132" name="Rectangle 131"/>
        <xdr:cNvSpPr/>
      </xdr:nvSpPr>
      <xdr:spPr>
        <a:xfrm>
          <a:off x="7247255" y="4362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32</xdr:row>
      <xdr:rowOff>38100</xdr:rowOff>
    </xdr:from>
    <xdr:to>
      <xdr:col>5</xdr:col>
      <xdr:colOff>1200151</xdr:colOff>
      <xdr:row>32</xdr:row>
      <xdr:rowOff>1476375</xdr:rowOff>
    </xdr:to>
    <xdr:sp>
      <xdr:nvSpPr>
        <xdr:cNvPr id="133" name="Rectangle 132"/>
        <xdr:cNvSpPr/>
      </xdr:nvSpPr>
      <xdr:spPr>
        <a:xfrm>
          <a:off x="7247255" y="4514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33</xdr:row>
      <xdr:rowOff>38100</xdr:rowOff>
    </xdr:from>
    <xdr:to>
      <xdr:col>5</xdr:col>
      <xdr:colOff>1200151</xdr:colOff>
      <xdr:row>33</xdr:row>
      <xdr:rowOff>1476375</xdr:rowOff>
    </xdr:to>
    <xdr:sp>
      <xdr:nvSpPr>
        <xdr:cNvPr id="134" name="Rectangle 133"/>
        <xdr:cNvSpPr/>
      </xdr:nvSpPr>
      <xdr:spPr>
        <a:xfrm>
          <a:off x="7247255" y="4667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34</xdr:row>
      <xdr:rowOff>38100</xdr:rowOff>
    </xdr:from>
    <xdr:to>
      <xdr:col>5</xdr:col>
      <xdr:colOff>1200151</xdr:colOff>
      <xdr:row>34</xdr:row>
      <xdr:rowOff>1476375</xdr:rowOff>
    </xdr:to>
    <xdr:sp>
      <xdr:nvSpPr>
        <xdr:cNvPr id="135" name="Rectangle 134"/>
        <xdr:cNvSpPr/>
      </xdr:nvSpPr>
      <xdr:spPr>
        <a:xfrm>
          <a:off x="7247255" y="4819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35</xdr:row>
      <xdr:rowOff>38100</xdr:rowOff>
    </xdr:from>
    <xdr:to>
      <xdr:col>5</xdr:col>
      <xdr:colOff>1200151</xdr:colOff>
      <xdr:row>35</xdr:row>
      <xdr:rowOff>1476375</xdr:rowOff>
    </xdr:to>
    <xdr:sp>
      <xdr:nvSpPr>
        <xdr:cNvPr id="136" name="Rectangle 135"/>
        <xdr:cNvSpPr/>
      </xdr:nvSpPr>
      <xdr:spPr>
        <a:xfrm>
          <a:off x="7247255" y="4972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36</xdr:row>
      <xdr:rowOff>38100</xdr:rowOff>
    </xdr:from>
    <xdr:to>
      <xdr:col>5</xdr:col>
      <xdr:colOff>1200151</xdr:colOff>
      <xdr:row>36</xdr:row>
      <xdr:rowOff>1476375</xdr:rowOff>
    </xdr:to>
    <xdr:sp>
      <xdr:nvSpPr>
        <xdr:cNvPr id="137" name="Rectangle 136"/>
        <xdr:cNvSpPr/>
      </xdr:nvSpPr>
      <xdr:spPr>
        <a:xfrm>
          <a:off x="7247255" y="5124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37</xdr:row>
      <xdr:rowOff>38100</xdr:rowOff>
    </xdr:from>
    <xdr:to>
      <xdr:col>5</xdr:col>
      <xdr:colOff>1200151</xdr:colOff>
      <xdr:row>37</xdr:row>
      <xdr:rowOff>1476375</xdr:rowOff>
    </xdr:to>
    <xdr:sp>
      <xdr:nvSpPr>
        <xdr:cNvPr id="138" name="Rectangle 137"/>
        <xdr:cNvSpPr/>
      </xdr:nvSpPr>
      <xdr:spPr>
        <a:xfrm>
          <a:off x="7247255" y="5276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38</xdr:row>
      <xdr:rowOff>38100</xdr:rowOff>
    </xdr:from>
    <xdr:to>
      <xdr:col>5</xdr:col>
      <xdr:colOff>1200151</xdr:colOff>
      <xdr:row>38</xdr:row>
      <xdr:rowOff>1476375</xdr:rowOff>
    </xdr:to>
    <xdr:sp>
      <xdr:nvSpPr>
        <xdr:cNvPr id="139" name="Rectangle 138"/>
        <xdr:cNvSpPr/>
      </xdr:nvSpPr>
      <xdr:spPr>
        <a:xfrm>
          <a:off x="7247255" y="5429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39</xdr:row>
      <xdr:rowOff>38100</xdr:rowOff>
    </xdr:from>
    <xdr:to>
      <xdr:col>5</xdr:col>
      <xdr:colOff>1200151</xdr:colOff>
      <xdr:row>39</xdr:row>
      <xdr:rowOff>1476375</xdr:rowOff>
    </xdr:to>
    <xdr:sp>
      <xdr:nvSpPr>
        <xdr:cNvPr id="140" name="Rectangle 139"/>
        <xdr:cNvSpPr/>
      </xdr:nvSpPr>
      <xdr:spPr>
        <a:xfrm>
          <a:off x="7247255" y="55816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40</xdr:row>
      <xdr:rowOff>38100</xdr:rowOff>
    </xdr:from>
    <xdr:to>
      <xdr:col>5</xdr:col>
      <xdr:colOff>1200151</xdr:colOff>
      <xdr:row>40</xdr:row>
      <xdr:rowOff>1476375</xdr:rowOff>
    </xdr:to>
    <xdr:sp>
      <xdr:nvSpPr>
        <xdr:cNvPr id="141" name="Rectangle 140"/>
        <xdr:cNvSpPr/>
      </xdr:nvSpPr>
      <xdr:spPr>
        <a:xfrm>
          <a:off x="7247255" y="57340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41</xdr:row>
      <xdr:rowOff>38100</xdr:rowOff>
    </xdr:from>
    <xdr:to>
      <xdr:col>5</xdr:col>
      <xdr:colOff>1200151</xdr:colOff>
      <xdr:row>41</xdr:row>
      <xdr:rowOff>1476375</xdr:rowOff>
    </xdr:to>
    <xdr:sp>
      <xdr:nvSpPr>
        <xdr:cNvPr id="142" name="Rectangle 141"/>
        <xdr:cNvSpPr/>
      </xdr:nvSpPr>
      <xdr:spPr>
        <a:xfrm>
          <a:off x="7247255" y="58864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42</xdr:row>
      <xdr:rowOff>38100</xdr:rowOff>
    </xdr:from>
    <xdr:to>
      <xdr:col>5</xdr:col>
      <xdr:colOff>1200151</xdr:colOff>
      <xdr:row>42</xdr:row>
      <xdr:rowOff>1476375</xdr:rowOff>
    </xdr:to>
    <xdr:sp>
      <xdr:nvSpPr>
        <xdr:cNvPr id="143" name="Rectangle 142"/>
        <xdr:cNvSpPr/>
      </xdr:nvSpPr>
      <xdr:spPr>
        <a:xfrm>
          <a:off x="7247255" y="60388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57151</xdr:colOff>
      <xdr:row>43</xdr:row>
      <xdr:rowOff>38100</xdr:rowOff>
    </xdr:from>
    <xdr:to>
      <xdr:col>5</xdr:col>
      <xdr:colOff>1200151</xdr:colOff>
      <xdr:row>43</xdr:row>
      <xdr:rowOff>1476375</xdr:rowOff>
    </xdr:to>
    <xdr:sp>
      <xdr:nvSpPr>
        <xdr:cNvPr id="144" name="Rectangle 143"/>
        <xdr:cNvSpPr/>
      </xdr:nvSpPr>
      <xdr:spPr>
        <a:xfrm>
          <a:off x="7247255" y="61912500"/>
          <a:ext cx="1143000" cy="1438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3</xdr:row>
          <xdr:rowOff>0</xdr:rowOff>
        </xdr:from>
        <xdr:to>
          <xdr:col>8</xdr:col>
          <xdr:colOff>32385</xdr:colOff>
          <xdr:row>4</xdr:row>
          <xdr:rowOff>30480</xdr:rowOff>
        </xdr:to>
        <xdr:pic>
          <xdr:nvPicPr>
            <xdr:cNvPr id="19596" name="Picture 103"/>
            <xdr:cNvPicPr>
              <a:picLocks noChangeAspect="1" noChangeArrowheads="1"/>
              <a:extLst>
                <a:ext uri="{84589F7E-364E-4C9E-8A38-B11213B215E9}">
                  <a14:cameraTool cellRange="PHOTO1" spid="_x0000_s114688"/>
                </a:ext>
              </a:extLst>
            </xdr:cNvPicPr>
          </xdr:nvPicPr>
          <xdr:blipFill>
            <a:blip r:embed="rId1"/>
            <a:srcRect/>
            <a:stretch>
              <a:fillRect/>
            </a:stretch>
          </xdr:blipFill>
          <xdr:spPr>
            <a:xfrm>
              <a:off x="9100185" y="914400"/>
              <a:ext cx="1315720" cy="155448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47624</xdr:colOff>
      <xdr:row>37</xdr:row>
      <xdr:rowOff>57151</xdr:rowOff>
    </xdr:from>
    <xdr:to>
      <xdr:col>9</xdr:col>
      <xdr:colOff>600075</xdr:colOff>
      <xdr:row>46</xdr:row>
      <xdr:rowOff>152400</xdr:rowOff>
    </xdr:to>
    <xdr:graphicFrame>
      <xdr:nvGraphicFramePr>
        <xdr:cNvPr id="2" name="Chart 1"/>
        <xdr:cNvGraphicFramePr/>
      </xdr:nvGraphicFramePr>
      <xdr:xfrm>
        <a:off x="86360" y="983615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57150</xdr:colOff>
          <xdr:row>0</xdr:row>
          <xdr:rowOff>19051</xdr:rowOff>
        </xdr:from>
        <xdr:to>
          <xdr:col>9</xdr:col>
          <xdr:colOff>561594</xdr:colOff>
          <xdr:row>4</xdr:row>
          <xdr:rowOff>273725</xdr:rowOff>
        </xdr:to>
        <xdr:pic>
          <xdr:nvPicPr>
            <xdr:cNvPr id="3" name="Picture 2"/>
            <xdr:cNvPicPr>
              <a:picLocks noChangeAspect="1" noChangeArrowheads="1"/>
              <a:extLst>
                <a:ext uri="{84589F7E-364E-4C9E-8A38-B11213B215E9}">
                  <a14:cameraTool cellRange="PHOTO2" spid="_x0000_s81921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267575" y="19050"/>
              <a:ext cx="1170305" cy="140525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2</xdr:col>
      <xdr:colOff>95250</xdr:colOff>
      <xdr:row>0</xdr:row>
      <xdr:rowOff>76201</xdr:rowOff>
    </xdr:from>
    <xdr:to>
      <xdr:col>2</xdr:col>
      <xdr:colOff>1295400</xdr:colOff>
      <xdr:row>4</xdr:row>
      <xdr:rowOff>276226</xdr:rowOff>
    </xdr:to>
    <xdr:sp>
      <xdr:nvSpPr>
        <xdr:cNvPr id="4" name="Rectangle 3"/>
        <xdr:cNvSpPr/>
      </xdr:nvSpPr>
      <xdr:spPr>
        <a:xfrm>
          <a:off x="418465" y="76200"/>
          <a:ext cx="1200150" cy="1350645"/>
        </a:xfrm>
        <a:prstGeom prst="rect">
          <a:avLst/>
        </a:prstGeom>
        <a:blipFill dpi="0" rotWithShape="1">
          <a:blip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942975</xdr:colOff>
      <xdr:row>9</xdr:row>
      <xdr:rowOff>142876</xdr:rowOff>
    </xdr:from>
    <xdr:to>
      <xdr:col>8</xdr:col>
      <xdr:colOff>247650</xdr:colOff>
      <xdr:row>35</xdr:row>
      <xdr:rowOff>1</xdr:rowOff>
    </xdr:to>
    <xdr:sp>
      <xdr:nvSpPr>
        <xdr:cNvPr id="5" name="Rectangle 4"/>
        <xdr:cNvSpPr/>
      </xdr:nvSpPr>
      <xdr:spPr>
        <a:xfrm>
          <a:off x="1266190" y="2494280"/>
          <a:ext cx="6191885" cy="6903085"/>
        </a:xfrm>
        <a:prstGeom prst="rect">
          <a:avLst/>
        </a:prstGeom>
        <a:blipFill dpi="0" rotWithShape="1">
          <a:blip r:embed="rId4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47624</xdr:colOff>
      <xdr:row>37</xdr:row>
      <xdr:rowOff>57151</xdr:rowOff>
    </xdr:from>
    <xdr:to>
      <xdr:col>9</xdr:col>
      <xdr:colOff>600075</xdr:colOff>
      <xdr:row>46</xdr:row>
      <xdr:rowOff>152400</xdr:rowOff>
    </xdr:to>
    <xdr:graphicFrame>
      <xdr:nvGraphicFramePr>
        <xdr:cNvPr id="2" name="Chart 1"/>
        <xdr:cNvGraphicFramePr/>
      </xdr:nvGraphicFramePr>
      <xdr:xfrm>
        <a:off x="86360" y="983615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95250</xdr:colOff>
      <xdr:row>0</xdr:row>
      <xdr:rowOff>76201</xdr:rowOff>
    </xdr:from>
    <xdr:to>
      <xdr:col>2</xdr:col>
      <xdr:colOff>1295400</xdr:colOff>
      <xdr:row>4</xdr:row>
      <xdr:rowOff>276226</xdr:rowOff>
    </xdr:to>
    <xdr:sp>
      <xdr:nvSpPr>
        <xdr:cNvPr id="4" name="Rectangle 3"/>
        <xdr:cNvSpPr/>
      </xdr:nvSpPr>
      <xdr:spPr>
        <a:xfrm>
          <a:off x="418465" y="7620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9</xdr:row>
      <xdr:rowOff>104776</xdr:rowOff>
    </xdr:from>
    <xdr:to>
      <xdr:col>8</xdr:col>
      <xdr:colOff>238125</xdr:colOff>
      <xdr:row>34</xdr:row>
      <xdr:rowOff>209551</xdr:rowOff>
    </xdr:to>
    <xdr:sp>
      <xdr:nvSpPr>
        <xdr:cNvPr id="5" name="Rectangle 4"/>
        <xdr:cNvSpPr/>
      </xdr:nvSpPr>
      <xdr:spPr>
        <a:xfrm>
          <a:off x="1256665" y="245618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0</xdr:row>
      <xdr:rowOff>38100</xdr:rowOff>
    </xdr:from>
    <xdr:to>
      <xdr:col>9</xdr:col>
      <xdr:colOff>571500</xdr:colOff>
      <xdr:row>4</xdr:row>
      <xdr:rowOff>266700</xdr:rowOff>
    </xdr:to>
    <xdr:sp>
      <xdr:nvSpPr>
        <xdr:cNvPr id="6" name="Rectangle 5"/>
        <xdr:cNvSpPr/>
      </xdr:nvSpPr>
      <xdr:spPr>
        <a:xfrm>
          <a:off x="7286625" y="3810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0</xdr:row>
      <xdr:rowOff>219075</xdr:rowOff>
    </xdr:from>
    <xdr:to>
      <xdr:col>9</xdr:col>
      <xdr:colOff>457200</xdr:colOff>
      <xdr:row>4</xdr:row>
      <xdr:rowOff>104775</xdr:rowOff>
    </xdr:to>
    <xdr:sp>
      <xdr:nvSpPr>
        <xdr:cNvPr id="7" name="TextBox 6"/>
        <xdr:cNvSpPr txBox="1"/>
      </xdr:nvSpPr>
      <xdr:spPr>
        <a:xfrm>
          <a:off x="7400925" y="21907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92</xdr:row>
      <xdr:rowOff>57151</xdr:rowOff>
    </xdr:from>
    <xdr:to>
      <xdr:col>9</xdr:col>
      <xdr:colOff>600075</xdr:colOff>
      <xdr:row>101</xdr:row>
      <xdr:rowOff>152400</xdr:rowOff>
    </xdr:to>
    <xdr:graphicFrame>
      <xdr:nvGraphicFramePr>
        <xdr:cNvPr id="8" name="Chart 7"/>
        <xdr:cNvGraphicFramePr/>
      </xdr:nvGraphicFramePr>
      <xdr:xfrm>
        <a:off x="86360" y="2305748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</xdr:col>
      <xdr:colOff>95250</xdr:colOff>
      <xdr:row>55</xdr:row>
      <xdr:rowOff>76201</xdr:rowOff>
    </xdr:from>
    <xdr:to>
      <xdr:col>2</xdr:col>
      <xdr:colOff>1295400</xdr:colOff>
      <xdr:row>59</xdr:row>
      <xdr:rowOff>276226</xdr:rowOff>
    </xdr:to>
    <xdr:sp>
      <xdr:nvSpPr>
        <xdr:cNvPr id="9" name="Rectangle 8"/>
        <xdr:cNvSpPr/>
      </xdr:nvSpPr>
      <xdr:spPr>
        <a:xfrm>
          <a:off x="418465" y="1329753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64</xdr:row>
      <xdr:rowOff>104776</xdr:rowOff>
    </xdr:from>
    <xdr:to>
      <xdr:col>8</xdr:col>
      <xdr:colOff>238125</xdr:colOff>
      <xdr:row>89</xdr:row>
      <xdr:rowOff>209551</xdr:rowOff>
    </xdr:to>
    <xdr:sp>
      <xdr:nvSpPr>
        <xdr:cNvPr id="10" name="Rectangle 9"/>
        <xdr:cNvSpPr/>
      </xdr:nvSpPr>
      <xdr:spPr>
        <a:xfrm>
          <a:off x="1256665" y="1567751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55</xdr:row>
      <xdr:rowOff>38100</xdr:rowOff>
    </xdr:from>
    <xdr:to>
      <xdr:col>9</xdr:col>
      <xdr:colOff>571500</xdr:colOff>
      <xdr:row>59</xdr:row>
      <xdr:rowOff>266700</xdr:rowOff>
    </xdr:to>
    <xdr:sp>
      <xdr:nvSpPr>
        <xdr:cNvPr id="11" name="Rectangle 10"/>
        <xdr:cNvSpPr/>
      </xdr:nvSpPr>
      <xdr:spPr>
        <a:xfrm>
          <a:off x="7286625" y="1325943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55</xdr:row>
      <xdr:rowOff>219075</xdr:rowOff>
    </xdr:from>
    <xdr:to>
      <xdr:col>9</xdr:col>
      <xdr:colOff>457200</xdr:colOff>
      <xdr:row>59</xdr:row>
      <xdr:rowOff>104775</xdr:rowOff>
    </xdr:to>
    <xdr:sp>
      <xdr:nvSpPr>
        <xdr:cNvPr id="12" name="TextBox 11"/>
        <xdr:cNvSpPr txBox="1"/>
      </xdr:nvSpPr>
      <xdr:spPr>
        <a:xfrm>
          <a:off x="7400925" y="1344041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147</xdr:row>
      <xdr:rowOff>57151</xdr:rowOff>
    </xdr:from>
    <xdr:to>
      <xdr:col>9</xdr:col>
      <xdr:colOff>600075</xdr:colOff>
      <xdr:row>156</xdr:row>
      <xdr:rowOff>152400</xdr:rowOff>
    </xdr:to>
    <xdr:graphicFrame>
      <xdr:nvGraphicFramePr>
        <xdr:cNvPr id="13" name="Chart 12"/>
        <xdr:cNvGraphicFramePr/>
      </xdr:nvGraphicFramePr>
      <xdr:xfrm>
        <a:off x="86360" y="3627882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95250</xdr:colOff>
      <xdr:row>110</xdr:row>
      <xdr:rowOff>76201</xdr:rowOff>
    </xdr:from>
    <xdr:to>
      <xdr:col>2</xdr:col>
      <xdr:colOff>1295400</xdr:colOff>
      <xdr:row>114</xdr:row>
      <xdr:rowOff>276226</xdr:rowOff>
    </xdr:to>
    <xdr:sp>
      <xdr:nvSpPr>
        <xdr:cNvPr id="14" name="Rectangle 13"/>
        <xdr:cNvSpPr/>
      </xdr:nvSpPr>
      <xdr:spPr>
        <a:xfrm>
          <a:off x="418465" y="2651887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119</xdr:row>
      <xdr:rowOff>104776</xdr:rowOff>
    </xdr:from>
    <xdr:to>
      <xdr:col>8</xdr:col>
      <xdr:colOff>238125</xdr:colOff>
      <xdr:row>144</xdr:row>
      <xdr:rowOff>209551</xdr:rowOff>
    </xdr:to>
    <xdr:sp>
      <xdr:nvSpPr>
        <xdr:cNvPr id="15" name="Rectangle 14"/>
        <xdr:cNvSpPr/>
      </xdr:nvSpPr>
      <xdr:spPr>
        <a:xfrm>
          <a:off x="1256665" y="2889885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110</xdr:row>
      <xdr:rowOff>38100</xdr:rowOff>
    </xdr:from>
    <xdr:to>
      <xdr:col>9</xdr:col>
      <xdr:colOff>571500</xdr:colOff>
      <xdr:row>114</xdr:row>
      <xdr:rowOff>266700</xdr:rowOff>
    </xdr:to>
    <xdr:sp>
      <xdr:nvSpPr>
        <xdr:cNvPr id="16" name="Rectangle 15"/>
        <xdr:cNvSpPr/>
      </xdr:nvSpPr>
      <xdr:spPr>
        <a:xfrm>
          <a:off x="7286625" y="2648077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110</xdr:row>
      <xdr:rowOff>219075</xdr:rowOff>
    </xdr:from>
    <xdr:to>
      <xdr:col>9</xdr:col>
      <xdr:colOff>457200</xdr:colOff>
      <xdr:row>114</xdr:row>
      <xdr:rowOff>104775</xdr:rowOff>
    </xdr:to>
    <xdr:sp>
      <xdr:nvSpPr>
        <xdr:cNvPr id="17" name="TextBox 16"/>
        <xdr:cNvSpPr txBox="1"/>
      </xdr:nvSpPr>
      <xdr:spPr>
        <a:xfrm>
          <a:off x="7400925" y="2666174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202</xdr:row>
      <xdr:rowOff>57151</xdr:rowOff>
    </xdr:from>
    <xdr:to>
      <xdr:col>9</xdr:col>
      <xdr:colOff>600075</xdr:colOff>
      <xdr:row>211</xdr:row>
      <xdr:rowOff>152400</xdr:rowOff>
    </xdr:to>
    <xdr:graphicFrame>
      <xdr:nvGraphicFramePr>
        <xdr:cNvPr id="18" name="Chart 17"/>
        <xdr:cNvGraphicFramePr/>
      </xdr:nvGraphicFramePr>
      <xdr:xfrm>
        <a:off x="86360" y="4950015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</xdr:col>
      <xdr:colOff>95250</xdr:colOff>
      <xdr:row>165</xdr:row>
      <xdr:rowOff>76201</xdr:rowOff>
    </xdr:from>
    <xdr:to>
      <xdr:col>2</xdr:col>
      <xdr:colOff>1295400</xdr:colOff>
      <xdr:row>169</xdr:row>
      <xdr:rowOff>276226</xdr:rowOff>
    </xdr:to>
    <xdr:sp>
      <xdr:nvSpPr>
        <xdr:cNvPr id="19" name="Rectangle 18"/>
        <xdr:cNvSpPr/>
      </xdr:nvSpPr>
      <xdr:spPr>
        <a:xfrm>
          <a:off x="418465" y="3974020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174</xdr:row>
      <xdr:rowOff>104776</xdr:rowOff>
    </xdr:from>
    <xdr:to>
      <xdr:col>8</xdr:col>
      <xdr:colOff>238125</xdr:colOff>
      <xdr:row>199</xdr:row>
      <xdr:rowOff>209551</xdr:rowOff>
    </xdr:to>
    <xdr:sp>
      <xdr:nvSpPr>
        <xdr:cNvPr id="20" name="Rectangle 19"/>
        <xdr:cNvSpPr/>
      </xdr:nvSpPr>
      <xdr:spPr>
        <a:xfrm>
          <a:off x="1256665" y="4212018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165</xdr:row>
      <xdr:rowOff>38100</xdr:rowOff>
    </xdr:from>
    <xdr:to>
      <xdr:col>9</xdr:col>
      <xdr:colOff>571500</xdr:colOff>
      <xdr:row>169</xdr:row>
      <xdr:rowOff>266700</xdr:rowOff>
    </xdr:to>
    <xdr:sp>
      <xdr:nvSpPr>
        <xdr:cNvPr id="21" name="Rectangle 20"/>
        <xdr:cNvSpPr/>
      </xdr:nvSpPr>
      <xdr:spPr>
        <a:xfrm>
          <a:off x="7286625" y="3970210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165</xdr:row>
      <xdr:rowOff>219075</xdr:rowOff>
    </xdr:from>
    <xdr:to>
      <xdr:col>9</xdr:col>
      <xdr:colOff>457200</xdr:colOff>
      <xdr:row>169</xdr:row>
      <xdr:rowOff>104775</xdr:rowOff>
    </xdr:to>
    <xdr:sp>
      <xdr:nvSpPr>
        <xdr:cNvPr id="22" name="TextBox 21"/>
        <xdr:cNvSpPr txBox="1"/>
      </xdr:nvSpPr>
      <xdr:spPr>
        <a:xfrm>
          <a:off x="7400925" y="3988308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257</xdr:row>
      <xdr:rowOff>57151</xdr:rowOff>
    </xdr:from>
    <xdr:to>
      <xdr:col>9</xdr:col>
      <xdr:colOff>600075</xdr:colOff>
      <xdr:row>266</xdr:row>
      <xdr:rowOff>152400</xdr:rowOff>
    </xdr:to>
    <xdr:graphicFrame>
      <xdr:nvGraphicFramePr>
        <xdr:cNvPr id="23" name="Chart 22"/>
        <xdr:cNvGraphicFramePr/>
      </xdr:nvGraphicFramePr>
      <xdr:xfrm>
        <a:off x="86360" y="6272149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2</xdr:col>
      <xdr:colOff>95250</xdr:colOff>
      <xdr:row>220</xdr:row>
      <xdr:rowOff>76201</xdr:rowOff>
    </xdr:from>
    <xdr:to>
      <xdr:col>2</xdr:col>
      <xdr:colOff>1295400</xdr:colOff>
      <xdr:row>224</xdr:row>
      <xdr:rowOff>276226</xdr:rowOff>
    </xdr:to>
    <xdr:sp>
      <xdr:nvSpPr>
        <xdr:cNvPr id="24" name="Rectangle 23"/>
        <xdr:cNvSpPr/>
      </xdr:nvSpPr>
      <xdr:spPr>
        <a:xfrm>
          <a:off x="418465" y="5296154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229</xdr:row>
      <xdr:rowOff>104776</xdr:rowOff>
    </xdr:from>
    <xdr:to>
      <xdr:col>8</xdr:col>
      <xdr:colOff>238125</xdr:colOff>
      <xdr:row>254</xdr:row>
      <xdr:rowOff>209551</xdr:rowOff>
    </xdr:to>
    <xdr:sp>
      <xdr:nvSpPr>
        <xdr:cNvPr id="25" name="Rectangle 24"/>
        <xdr:cNvSpPr/>
      </xdr:nvSpPr>
      <xdr:spPr>
        <a:xfrm>
          <a:off x="1256665" y="5534152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220</xdr:row>
      <xdr:rowOff>38100</xdr:rowOff>
    </xdr:from>
    <xdr:to>
      <xdr:col>9</xdr:col>
      <xdr:colOff>571500</xdr:colOff>
      <xdr:row>224</xdr:row>
      <xdr:rowOff>266700</xdr:rowOff>
    </xdr:to>
    <xdr:sp>
      <xdr:nvSpPr>
        <xdr:cNvPr id="26" name="Rectangle 25"/>
        <xdr:cNvSpPr/>
      </xdr:nvSpPr>
      <xdr:spPr>
        <a:xfrm>
          <a:off x="7286625" y="5292344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220</xdr:row>
      <xdr:rowOff>219075</xdr:rowOff>
    </xdr:from>
    <xdr:to>
      <xdr:col>9</xdr:col>
      <xdr:colOff>457200</xdr:colOff>
      <xdr:row>224</xdr:row>
      <xdr:rowOff>104775</xdr:rowOff>
    </xdr:to>
    <xdr:sp>
      <xdr:nvSpPr>
        <xdr:cNvPr id="27" name="TextBox 26"/>
        <xdr:cNvSpPr txBox="1"/>
      </xdr:nvSpPr>
      <xdr:spPr>
        <a:xfrm>
          <a:off x="7400925" y="5310441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312</xdr:row>
      <xdr:rowOff>57151</xdr:rowOff>
    </xdr:from>
    <xdr:to>
      <xdr:col>9</xdr:col>
      <xdr:colOff>600075</xdr:colOff>
      <xdr:row>321</xdr:row>
      <xdr:rowOff>152400</xdr:rowOff>
    </xdr:to>
    <xdr:graphicFrame>
      <xdr:nvGraphicFramePr>
        <xdr:cNvPr id="28" name="Chart 27"/>
        <xdr:cNvGraphicFramePr/>
      </xdr:nvGraphicFramePr>
      <xdr:xfrm>
        <a:off x="86360" y="7594282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2</xdr:col>
      <xdr:colOff>95250</xdr:colOff>
      <xdr:row>275</xdr:row>
      <xdr:rowOff>76201</xdr:rowOff>
    </xdr:from>
    <xdr:to>
      <xdr:col>2</xdr:col>
      <xdr:colOff>1295400</xdr:colOff>
      <xdr:row>279</xdr:row>
      <xdr:rowOff>276226</xdr:rowOff>
    </xdr:to>
    <xdr:sp>
      <xdr:nvSpPr>
        <xdr:cNvPr id="29" name="Rectangle 28"/>
        <xdr:cNvSpPr/>
      </xdr:nvSpPr>
      <xdr:spPr>
        <a:xfrm>
          <a:off x="418465" y="6618287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284</xdr:row>
      <xdr:rowOff>104776</xdr:rowOff>
    </xdr:from>
    <xdr:to>
      <xdr:col>8</xdr:col>
      <xdr:colOff>238125</xdr:colOff>
      <xdr:row>309</xdr:row>
      <xdr:rowOff>209551</xdr:rowOff>
    </xdr:to>
    <xdr:sp>
      <xdr:nvSpPr>
        <xdr:cNvPr id="30" name="Rectangle 29"/>
        <xdr:cNvSpPr/>
      </xdr:nvSpPr>
      <xdr:spPr>
        <a:xfrm>
          <a:off x="1256665" y="6856285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275</xdr:row>
      <xdr:rowOff>38100</xdr:rowOff>
    </xdr:from>
    <xdr:to>
      <xdr:col>9</xdr:col>
      <xdr:colOff>571500</xdr:colOff>
      <xdr:row>279</xdr:row>
      <xdr:rowOff>266700</xdr:rowOff>
    </xdr:to>
    <xdr:sp>
      <xdr:nvSpPr>
        <xdr:cNvPr id="31" name="Rectangle 30"/>
        <xdr:cNvSpPr/>
      </xdr:nvSpPr>
      <xdr:spPr>
        <a:xfrm>
          <a:off x="7286625" y="6614477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275</xdr:row>
      <xdr:rowOff>219075</xdr:rowOff>
    </xdr:from>
    <xdr:to>
      <xdr:col>9</xdr:col>
      <xdr:colOff>457200</xdr:colOff>
      <xdr:row>279</xdr:row>
      <xdr:rowOff>104775</xdr:rowOff>
    </xdr:to>
    <xdr:sp>
      <xdr:nvSpPr>
        <xdr:cNvPr id="32" name="TextBox 31"/>
        <xdr:cNvSpPr txBox="1"/>
      </xdr:nvSpPr>
      <xdr:spPr>
        <a:xfrm>
          <a:off x="7400925" y="6632575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367</xdr:row>
      <xdr:rowOff>57151</xdr:rowOff>
    </xdr:from>
    <xdr:to>
      <xdr:col>9</xdr:col>
      <xdr:colOff>600075</xdr:colOff>
      <xdr:row>376</xdr:row>
      <xdr:rowOff>152400</xdr:rowOff>
    </xdr:to>
    <xdr:graphicFrame>
      <xdr:nvGraphicFramePr>
        <xdr:cNvPr id="33" name="Chart 32"/>
        <xdr:cNvGraphicFramePr/>
      </xdr:nvGraphicFramePr>
      <xdr:xfrm>
        <a:off x="86360" y="8916416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2</xdr:col>
      <xdr:colOff>95250</xdr:colOff>
      <xdr:row>330</xdr:row>
      <xdr:rowOff>76201</xdr:rowOff>
    </xdr:from>
    <xdr:to>
      <xdr:col>2</xdr:col>
      <xdr:colOff>1295400</xdr:colOff>
      <xdr:row>334</xdr:row>
      <xdr:rowOff>276226</xdr:rowOff>
    </xdr:to>
    <xdr:sp>
      <xdr:nvSpPr>
        <xdr:cNvPr id="34" name="Rectangle 33"/>
        <xdr:cNvSpPr/>
      </xdr:nvSpPr>
      <xdr:spPr>
        <a:xfrm>
          <a:off x="418465" y="7940421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339</xdr:row>
      <xdr:rowOff>104776</xdr:rowOff>
    </xdr:from>
    <xdr:to>
      <xdr:col>8</xdr:col>
      <xdr:colOff>238125</xdr:colOff>
      <xdr:row>364</xdr:row>
      <xdr:rowOff>209551</xdr:rowOff>
    </xdr:to>
    <xdr:sp>
      <xdr:nvSpPr>
        <xdr:cNvPr id="35" name="Rectangle 34"/>
        <xdr:cNvSpPr/>
      </xdr:nvSpPr>
      <xdr:spPr>
        <a:xfrm>
          <a:off x="1256665" y="8178419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330</xdr:row>
      <xdr:rowOff>38100</xdr:rowOff>
    </xdr:from>
    <xdr:to>
      <xdr:col>9</xdr:col>
      <xdr:colOff>571500</xdr:colOff>
      <xdr:row>334</xdr:row>
      <xdr:rowOff>266700</xdr:rowOff>
    </xdr:to>
    <xdr:sp>
      <xdr:nvSpPr>
        <xdr:cNvPr id="36" name="Rectangle 35"/>
        <xdr:cNvSpPr/>
      </xdr:nvSpPr>
      <xdr:spPr>
        <a:xfrm>
          <a:off x="7286625" y="7936611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330</xdr:row>
      <xdr:rowOff>219075</xdr:rowOff>
    </xdr:from>
    <xdr:to>
      <xdr:col>9</xdr:col>
      <xdr:colOff>457200</xdr:colOff>
      <xdr:row>334</xdr:row>
      <xdr:rowOff>104775</xdr:rowOff>
    </xdr:to>
    <xdr:sp>
      <xdr:nvSpPr>
        <xdr:cNvPr id="37" name="TextBox 36"/>
        <xdr:cNvSpPr txBox="1"/>
      </xdr:nvSpPr>
      <xdr:spPr>
        <a:xfrm>
          <a:off x="7400925" y="7954708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422</xdr:row>
      <xdr:rowOff>57151</xdr:rowOff>
    </xdr:from>
    <xdr:to>
      <xdr:col>9</xdr:col>
      <xdr:colOff>600075</xdr:colOff>
      <xdr:row>431</xdr:row>
      <xdr:rowOff>152400</xdr:rowOff>
    </xdr:to>
    <xdr:graphicFrame>
      <xdr:nvGraphicFramePr>
        <xdr:cNvPr id="38" name="Chart 37"/>
        <xdr:cNvGraphicFramePr/>
      </xdr:nvGraphicFramePr>
      <xdr:xfrm>
        <a:off x="86360" y="10238549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2</xdr:col>
      <xdr:colOff>95250</xdr:colOff>
      <xdr:row>385</xdr:row>
      <xdr:rowOff>76201</xdr:rowOff>
    </xdr:from>
    <xdr:to>
      <xdr:col>2</xdr:col>
      <xdr:colOff>1295400</xdr:colOff>
      <xdr:row>389</xdr:row>
      <xdr:rowOff>276226</xdr:rowOff>
    </xdr:to>
    <xdr:sp>
      <xdr:nvSpPr>
        <xdr:cNvPr id="39" name="Rectangle 38"/>
        <xdr:cNvSpPr/>
      </xdr:nvSpPr>
      <xdr:spPr>
        <a:xfrm>
          <a:off x="418465" y="9262554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394</xdr:row>
      <xdr:rowOff>104776</xdr:rowOff>
    </xdr:from>
    <xdr:to>
      <xdr:col>8</xdr:col>
      <xdr:colOff>238125</xdr:colOff>
      <xdr:row>419</xdr:row>
      <xdr:rowOff>209551</xdr:rowOff>
    </xdr:to>
    <xdr:sp>
      <xdr:nvSpPr>
        <xdr:cNvPr id="40" name="Rectangle 39"/>
        <xdr:cNvSpPr/>
      </xdr:nvSpPr>
      <xdr:spPr>
        <a:xfrm>
          <a:off x="1256665" y="9500552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385</xdr:row>
      <xdr:rowOff>38100</xdr:rowOff>
    </xdr:from>
    <xdr:to>
      <xdr:col>9</xdr:col>
      <xdr:colOff>571500</xdr:colOff>
      <xdr:row>389</xdr:row>
      <xdr:rowOff>266700</xdr:rowOff>
    </xdr:to>
    <xdr:sp>
      <xdr:nvSpPr>
        <xdr:cNvPr id="41" name="Rectangle 40"/>
        <xdr:cNvSpPr/>
      </xdr:nvSpPr>
      <xdr:spPr>
        <a:xfrm>
          <a:off x="7286625" y="9258744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385</xdr:row>
      <xdr:rowOff>219075</xdr:rowOff>
    </xdr:from>
    <xdr:to>
      <xdr:col>9</xdr:col>
      <xdr:colOff>457200</xdr:colOff>
      <xdr:row>389</xdr:row>
      <xdr:rowOff>104775</xdr:rowOff>
    </xdr:to>
    <xdr:sp>
      <xdr:nvSpPr>
        <xdr:cNvPr id="42" name="TextBox 41"/>
        <xdr:cNvSpPr txBox="1"/>
      </xdr:nvSpPr>
      <xdr:spPr>
        <a:xfrm>
          <a:off x="7400925" y="9276842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477</xdr:row>
      <xdr:rowOff>57151</xdr:rowOff>
    </xdr:from>
    <xdr:to>
      <xdr:col>9</xdr:col>
      <xdr:colOff>600075</xdr:colOff>
      <xdr:row>486</xdr:row>
      <xdr:rowOff>152400</xdr:rowOff>
    </xdr:to>
    <xdr:graphicFrame>
      <xdr:nvGraphicFramePr>
        <xdr:cNvPr id="43" name="Chart 42"/>
        <xdr:cNvGraphicFramePr/>
      </xdr:nvGraphicFramePr>
      <xdr:xfrm>
        <a:off x="86360" y="11560683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2</xdr:col>
      <xdr:colOff>95250</xdr:colOff>
      <xdr:row>440</xdr:row>
      <xdr:rowOff>76201</xdr:rowOff>
    </xdr:from>
    <xdr:to>
      <xdr:col>2</xdr:col>
      <xdr:colOff>1295400</xdr:colOff>
      <xdr:row>444</xdr:row>
      <xdr:rowOff>276226</xdr:rowOff>
    </xdr:to>
    <xdr:sp>
      <xdr:nvSpPr>
        <xdr:cNvPr id="44" name="Rectangle 43"/>
        <xdr:cNvSpPr/>
      </xdr:nvSpPr>
      <xdr:spPr>
        <a:xfrm>
          <a:off x="418465" y="10584688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449</xdr:row>
      <xdr:rowOff>104776</xdr:rowOff>
    </xdr:from>
    <xdr:to>
      <xdr:col>8</xdr:col>
      <xdr:colOff>238125</xdr:colOff>
      <xdr:row>474</xdr:row>
      <xdr:rowOff>209551</xdr:rowOff>
    </xdr:to>
    <xdr:sp>
      <xdr:nvSpPr>
        <xdr:cNvPr id="45" name="Rectangle 44"/>
        <xdr:cNvSpPr/>
      </xdr:nvSpPr>
      <xdr:spPr>
        <a:xfrm>
          <a:off x="1256665" y="10822686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440</xdr:row>
      <xdr:rowOff>38100</xdr:rowOff>
    </xdr:from>
    <xdr:to>
      <xdr:col>9</xdr:col>
      <xdr:colOff>571500</xdr:colOff>
      <xdr:row>444</xdr:row>
      <xdr:rowOff>266700</xdr:rowOff>
    </xdr:to>
    <xdr:sp>
      <xdr:nvSpPr>
        <xdr:cNvPr id="46" name="Rectangle 45"/>
        <xdr:cNvSpPr/>
      </xdr:nvSpPr>
      <xdr:spPr>
        <a:xfrm>
          <a:off x="7286625" y="10580878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440</xdr:row>
      <xdr:rowOff>219075</xdr:rowOff>
    </xdr:from>
    <xdr:to>
      <xdr:col>9</xdr:col>
      <xdr:colOff>457200</xdr:colOff>
      <xdr:row>444</xdr:row>
      <xdr:rowOff>104775</xdr:rowOff>
    </xdr:to>
    <xdr:sp>
      <xdr:nvSpPr>
        <xdr:cNvPr id="47" name="TextBox 46"/>
        <xdr:cNvSpPr txBox="1"/>
      </xdr:nvSpPr>
      <xdr:spPr>
        <a:xfrm>
          <a:off x="7400925" y="10598975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532</xdr:row>
      <xdr:rowOff>57151</xdr:rowOff>
    </xdr:from>
    <xdr:to>
      <xdr:col>9</xdr:col>
      <xdr:colOff>600075</xdr:colOff>
      <xdr:row>541</xdr:row>
      <xdr:rowOff>152400</xdr:rowOff>
    </xdr:to>
    <xdr:graphicFrame>
      <xdr:nvGraphicFramePr>
        <xdr:cNvPr id="48" name="Chart 47"/>
        <xdr:cNvGraphicFramePr/>
      </xdr:nvGraphicFramePr>
      <xdr:xfrm>
        <a:off x="86360" y="12882816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2</xdr:col>
      <xdr:colOff>95250</xdr:colOff>
      <xdr:row>495</xdr:row>
      <xdr:rowOff>76201</xdr:rowOff>
    </xdr:from>
    <xdr:to>
      <xdr:col>2</xdr:col>
      <xdr:colOff>1295400</xdr:colOff>
      <xdr:row>499</xdr:row>
      <xdr:rowOff>276226</xdr:rowOff>
    </xdr:to>
    <xdr:sp>
      <xdr:nvSpPr>
        <xdr:cNvPr id="49" name="Rectangle 48"/>
        <xdr:cNvSpPr/>
      </xdr:nvSpPr>
      <xdr:spPr>
        <a:xfrm>
          <a:off x="418465" y="11906821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504</xdr:row>
      <xdr:rowOff>104776</xdr:rowOff>
    </xdr:from>
    <xdr:to>
      <xdr:col>8</xdr:col>
      <xdr:colOff>238125</xdr:colOff>
      <xdr:row>529</xdr:row>
      <xdr:rowOff>209551</xdr:rowOff>
    </xdr:to>
    <xdr:sp>
      <xdr:nvSpPr>
        <xdr:cNvPr id="50" name="Rectangle 49"/>
        <xdr:cNvSpPr/>
      </xdr:nvSpPr>
      <xdr:spPr>
        <a:xfrm>
          <a:off x="1256665" y="12144819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495</xdr:row>
      <xdr:rowOff>38100</xdr:rowOff>
    </xdr:from>
    <xdr:to>
      <xdr:col>9</xdr:col>
      <xdr:colOff>571500</xdr:colOff>
      <xdr:row>499</xdr:row>
      <xdr:rowOff>266700</xdr:rowOff>
    </xdr:to>
    <xdr:sp>
      <xdr:nvSpPr>
        <xdr:cNvPr id="51" name="Rectangle 50"/>
        <xdr:cNvSpPr/>
      </xdr:nvSpPr>
      <xdr:spPr>
        <a:xfrm>
          <a:off x="7286625" y="11903011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495</xdr:row>
      <xdr:rowOff>219075</xdr:rowOff>
    </xdr:from>
    <xdr:to>
      <xdr:col>9</xdr:col>
      <xdr:colOff>457200</xdr:colOff>
      <xdr:row>499</xdr:row>
      <xdr:rowOff>104775</xdr:rowOff>
    </xdr:to>
    <xdr:sp>
      <xdr:nvSpPr>
        <xdr:cNvPr id="52" name="TextBox 51"/>
        <xdr:cNvSpPr txBox="1"/>
      </xdr:nvSpPr>
      <xdr:spPr>
        <a:xfrm>
          <a:off x="7400925" y="11921109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587</xdr:row>
      <xdr:rowOff>57151</xdr:rowOff>
    </xdr:from>
    <xdr:to>
      <xdr:col>9</xdr:col>
      <xdr:colOff>600075</xdr:colOff>
      <xdr:row>596</xdr:row>
      <xdr:rowOff>152400</xdr:rowOff>
    </xdr:to>
    <xdr:graphicFrame>
      <xdr:nvGraphicFramePr>
        <xdr:cNvPr id="53" name="Chart 52"/>
        <xdr:cNvGraphicFramePr/>
      </xdr:nvGraphicFramePr>
      <xdr:xfrm>
        <a:off x="86360" y="14204950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2</xdr:col>
      <xdr:colOff>95250</xdr:colOff>
      <xdr:row>550</xdr:row>
      <xdr:rowOff>76201</xdr:rowOff>
    </xdr:from>
    <xdr:to>
      <xdr:col>2</xdr:col>
      <xdr:colOff>1295400</xdr:colOff>
      <xdr:row>554</xdr:row>
      <xdr:rowOff>276226</xdr:rowOff>
    </xdr:to>
    <xdr:sp>
      <xdr:nvSpPr>
        <xdr:cNvPr id="54" name="Rectangle 53"/>
        <xdr:cNvSpPr/>
      </xdr:nvSpPr>
      <xdr:spPr>
        <a:xfrm>
          <a:off x="418465" y="13228955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559</xdr:row>
      <xdr:rowOff>104776</xdr:rowOff>
    </xdr:from>
    <xdr:to>
      <xdr:col>8</xdr:col>
      <xdr:colOff>238125</xdr:colOff>
      <xdr:row>584</xdr:row>
      <xdr:rowOff>209551</xdr:rowOff>
    </xdr:to>
    <xdr:sp>
      <xdr:nvSpPr>
        <xdr:cNvPr id="55" name="Rectangle 54"/>
        <xdr:cNvSpPr/>
      </xdr:nvSpPr>
      <xdr:spPr>
        <a:xfrm>
          <a:off x="1256665" y="13466953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550</xdr:row>
      <xdr:rowOff>38100</xdr:rowOff>
    </xdr:from>
    <xdr:to>
      <xdr:col>9</xdr:col>
      <xdr:colOff>571500</xdr:colOff>
      <xdr:row>554</xdr:row>
      <xdr:rowOff>266700</xdr:rowOff>
    </xdr:to>
    <xdr:sp>
      <xdr:nvSpPr>
        <xdr:cNvPr id="56" name="Rectangle 55"/>
        <xdr:cNvSpPr/>
      </xdr:nvSpPr>
      <xdr:spPr>
        <a:xfrm>
          <a:off x="7286625" y="13225145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550</xdr:row>
      <xdr:rowOff>219075</xdr:rowOff>
    </xdr:from>
    <xdr:to>
      <xdr:col>9</xdr:col>
      <xdr:colOff>457200</xdr:colOff>
      <xdr:row>554</xdr:row>
      <xdr:rowOff>104775</xdr:rowOff>
    </xdr:to>
    <xdr:sp>
      <xdr:nvSpPr>
        <xdr:cNvPr id="57" name="TextBox 56"/>
        <xdr:cNvSpPr txBox="1"/>
      </xdr:nvSpPr>
      <xdr:spPr>
        <a:xfrm>
          <a:off x="7400925" y="13243242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642</xdr:row>
      <xdr:rowOff>57151</xdr:rowOff>
    </xdr:from>
    <xdr:to>
      <xdr:col>9</xdr:col>
      <xdr:colOff>600075</xdr:colOff>
      <xdr:row>651</xdr:row>
      <xdr:rowOff>152400</xdr:rowOff>
    </xdr:to>
    <xdr:graphicFrame>
      <xdr:nvGraphicFramePr>
        <xdr:cNvPr id="58" name="Chart 57"/>
        <xdr:cNvGraphicFramePr/>
      </xdr:nvGraphicFramePr>
      <xdr:xfrm>
        <a:off x="86360" y="15527083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2</xdr:col>
      <xdr:colOff>95250</xdr:colOff>
      <xdr:row>605</xdr:row>
      <xdr:rowOff>76201</xdr:rowOff>
    </xdr:from>
    <xdr:to>
      <xdr:col>2</xdr:col>
      <xdr:colOff>1295400</xdr:colOff>
      <xdr:row>609</xdr:row>
      <xdr:rowOff>276226</xdr:rowOff>
    </xdr:to>
    <xdr:sp>
      <xdr:nvSpPr>
        <xdr:cNvPr id="59" name="Rectangle 58"/>
        <xdr:cNvSpPr/>
      </xdr:nvSpPr>
      <xdr:spPr>
        <a:xfrm>
          <a:off x="418465" y="14551088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614</xdr:row>
      <xdr:rowOff>104776</xdr:rowOff>
    </xdr:from>
    <xdr:to>
      <xdr:col>8</xdr:col>
      <xdr:colOff>238125</xdr:colOff>
      <xdr:row>639</xdr:row>
      <xdr:rowOff>209551</xdr:rowOff>
    </xdr:to>
    <xdr:sp>
      <xdr:nvSpPr>
        <xdr:cNvPr id="60" name="Rectangle 59"/>
        <xdr:cNvSpPr/>
      </xdr:nvSpPr>
      <xdr:spPr>
        <a:xfrm>
          <a:off x="1256665" y="14789086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605</xdr:row>
      <xdr:rowOff>38100</xdr:rowOff>
    </xdr:from>
    <xdr:to>
      <xdr:col>9</xdr:col>
      <xdr:colOff>571500</xdr:colOff>
      <xdr:row>609</xdr:row>
      <xdr:rowOff>266700</xdr:rowOff>
    </xdr:to>
    <xdr:sp>
      <xdr:nvSpPr>
        <xdr:cNvPr id="61" name="Rectangle 60"/>
        <xdr:cNvSpPr/>
      </xdr:nvSpPr>
      <xdr:spPr>
        <a:xfrm>
          <a:off x="7286625" y="14547278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605</xdr:row>
      <xdr:rowOff>219075</xdr:rowOff>
    </xdr:from>
    <xdr:to>
      <xdr:col>9</xdr:col>
      <xdr:colOff>457200</xdr:colOff>
      <xdr:row>609</xdr:row>
      <xdr:rowOff>104775</xdr:rowOff>
    </xdr:to>
    <xdr:sp>
      <xdr:nvSpPr>
        <xdr:cNvPr id="62" name="TextBox 61"/>
        <xdr:cNvSpPr txBox="1"/>
      </xdr:nvSpPr>
      <xdr:spPr>
        <a:xfrm>
          <a:off x="7400925" y="14565376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697</xdr:row>
      <xdr:rowOff>57151</xdr:rowOff>
    </xdr:from>
    <xdr:to>
      <xdr:col>9</xdr:col>
      <xdr:colOff>600075</xdr:colOff>
      <xdr:row>706</xdr:row>
      <xdr:rowOff>152400</xdr:rowOff>
    </xdr:to>
    <xdr:graphicFrame>
      <xdr:nvGraphicFramePr>
        <xdr:cNvPr id="63" name="Chart 62"/>
        <xdr:cNvGraphicFramePr/>
      </xdr:nvGraphicFramePr>
      <xdr:xfrm>
        <a:off x="86360" y="16849217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2</xdr:col>
      <xdr:colOff>95250</xdr:colOff>
      <xdr:row>660</xdr:row>
      <xdr:rowOff>76201</xdr:rowOff>
    </xdr:from>
    <xdr:to>
      <xdr:col>2</xdr:col>
      <xdr:colOff>1295400</xdr:colOff>
      <xdr:row>664</xdr:row>
      <xdr:rowOff>276226</xdr:rowOff>
    </xdr:to>
    <xdr:sp>
      <xdr:nvSpPr>
        <xdr:cNvPr id="64" name="Rectangle 63"/>
        <xdr:cNvSpPr/>
      </xdr:nvSpPr>
      <xdr:spPr>
        <a:xfrm>
          <a:off x="418465" y="15873222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669</xdr:row>
      <xdr:rowOff>104776</xdr:rowOff>
    </xdr:from>
    <xdr:to>
      <xdr:col>8</xdr:col>
      <xdr:colOff>238125</xdr:colOff>
      <xdr:row>694</xdr:row>
      <xdr:rowOff>209551</xdr:rowOff>
    </xdr:to>
    <xdr:sp>
      <xdr:nvSpPr>
        <xdr:cNvPr id="65" name="Rectangle 64"/>
        <xdr:cNvSpPr/>
      </xdr:nvSpPr>
      <xdr:spPr>
        <a:xfrm>
          <a:off x="1256665" y="16111220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660</xdr:row>
      <xdr:rowOff>38100</xdr:rowOff>
    </xdr:from>
    <xdr:to>
      <xdr:col>9</xdr:col>
      <xdr:colOff>571500</xdr:colOff>
      <xdr:row>664</xdr:row>
      <xdr:rowOff>266700</xdr:rowOff>
    </xdr:to>
    <xdr:sp>
      <xdr:nvSpPr>
        <xdr:cNvPr id="66" name="Rectangle 65"/>
        <xdr:cNvSpPr/>
      </xdr:nvSpPr>
      <xdr:spPr>
        <a:xfrm>
          <a:off x="7286625" y="15869412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660</xdr:row>
      <xdr:rowOff>219075</xdr:rowOff>
    </xdr:from>
    <xdr:to>
      <xdr:col>9</xdr:col>
      <xdr:colOff>457200</xdr:colOff>
      <xdr:row>664</xdr:row>
      <xdr:rowOff>104775</xdr:rowOff>
    </xdr:to>
    <xdr:sp>
      <xdr:nvSpPr>
        <xdr:cNvPr id="67" name="TextBox 66"/>
        <xdr:cNvSpPr txBox="1"/>
      </xdr:nvSpPr>
      <xdr:spPr>
        <a:xfrm>
          <a:off x="7400925" y="15887509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752</xdr:row>
      <xdr:rowOff>57151</xdr:rowOff>
    </xdr:from>
    <xdr:to>
      <xdr:col>9</xdr:col>
      <xdr:colOff>600075</xdr:colOff>
      <xdr:row>761</xdr:row>
      <xdr:rowOff>152400</xdr:rowOff>
    </xdr:to>
    <xdr:graphicFrame>
      <xdr:nvGraphicFramePr>
        <xdr:cNvPr id="68" name="Chart 67"/>
        <xdr:cNvGraphicFramePr/>
      </xdr:nvGraphicFramePr>
      <xdr:xfrm>
        <a:off x="86360" y="18171350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absolute">
    <xdr:from>
      <xdr:col>2</xdr:col>
      <xdr:colOff>95250</xdr:colOff>
      <xdr:row>715</xdr:row>
      <xdr:rowOff>76201</xdr:rowOff>
    </xdr:from>
    <xdr:to>
      <xdr:col>2</xdr:col>
      <xdr:colOff>1295400</xdr:colOff>
      <xdr:row>719</xdr:row>
      <xdr:rowOff>276226</xdr:rowOff>
    </xdr:to>
    <xdr:sp>
      <xdr:nvSpPr>
        <xdr:cNvPr id="69" name="Rectangle 68"/>
        <xdr:cNvSpPr/>
      </xdr:nvSpPr>
      <xdr:spPr>
        <a:xfrm>
          <a:off x="418465" y="17195355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724</xdr:row>
      <xdr:rowOff>104776</xdr:rowOff>
    </xdr:from>
    <xdr:to>
      <xdr:col>8</xdr:col>
      <xdr:colOff>238125</xdr:colOff>
      <xdr:row>749</xdr:row>
      <xdr:rowOff>209551</xdr:rowOff>
    </xdr:to>
    <xdr:sp>
      <xdr:nvSpPr>
        <xdr:cNvPr id="70" name="Rectangle 69"/>
        <xdr:cNvSpPr/>
      </xdr:nvSpPr>
      <xdr:spPr>
        <a:xfrm>
          <a:off x="1256665" y="17433353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715</xdr:row>
      <xdr:rowOff>38100</xdr:rowOff>
    </xdr:from>
    <xdr:to>
      <xdr:col>9</xdr:col>
      <xdr:colOff>571500</xdr:colOff>
      <xdr:row>719</xdr:row>
      <xdr:rowOff>266700</xdr:rowOff>
    </xdr:to>
    <xdr:sp>
      <xdr:nvSpPr>
        <xdr:cNvPr id="71" name="Rectangle 70"/>
        <xdr:cNvSpPr/>
      </xdr:nvSpPr>
      <xdr:spPr>
        <a:xfrm>
          <a:off x="7286625" y="17191545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715</xdr:row>
      <xdr:rowOff>219075</xdr:rowOff>
    </xdr:from>
    <xdr:to>
      <xdr:col>9</xdr:col>
      <xdr:colOff>457200</xdr:colOff>
      <xdr:row>719</xdr:row>
      <xdr:rowOff>104775</xdr:rowOff>
    </xdr:to>
    <xdr:sp>
      <xdr:nvSpPr>
        <xdr:cNvPr id="72" name="TextBox 71"/>
        <xdr:cNvSpPr txBox="1"/>
      </xdr:nvSpPr>
      <xdr:spPr>
        <a:xfrm>
          <a:off x="7400925" y="17209643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807</xdr:row>
      <xdr:rowOff>57151</xdr:rowOff>
    </xdr:from>
    <xdr:to>
      <xdr:col>9</xdr:col>
      <xdr:colOff>600075</xdr:colOff>
      <xdr:row>816</xdr:row>
      <xdr:rowOff>152400</xdr:rowOff>
    </xdr:to>
    <xdr:graphicFrame>
      <xdr:nvGraphicFramePr>
        <xdr:cNvPr id="73" name="Chart 72"/>
        <xdr:cNvGraphicFramePr/>
      </xdr:nvGraphicFramePr>
      <xdr:xfrm>
        <a:off x="86360" y="19493484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absolute">
    <xdr:from>
      <xdr:col>2</xdr:col>
      <xdr:colOff>95250</xdr:colOff>
      <xdr:row>770</xdr:row>
      <xdr:rowOff>76201</xdr:rowOff>
    </xdr:from>
    <xdr:to>
      <xdr:col>2</xdr:col>
      <xdr:colOff>1295400</xdr:colOff>
      <xdr:row>774</xdr:row>
      <xdr:rowOff>276226</xdr:rowOff>
    </xdr:to>
    <xdr:sp>
      <xdr:nvSpPr>
        <xdr:cNvPr id="74" name="Rectangle 73"/>
        <xdr:cNvSpPr/>
      </xdr:nvSpPr>
      <xdr:spPr>
        <a:xfrm>
          <a:off x="418465" y="18517489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779</xdr:row>
      <xdr:rowOff>104776</xdr:rowOff>
    </xdr:from>
    <xdr:to>
      <xdr:col>8</xdr:col>
      <xdr:colOff>238125</xdr:colOff>
      <xdr:row>804</xdr:row>
      <xdr:rowOff>209551</xdr:rowOff>
    </xdr:to>
    <xdr:sp>
      <xdr:nvSpPr>
        <xdr:cNvPr id="75" name="Rectangle 74"/>
        <xdr:cNvSpPr/>
      </xdr:nvSpPr>
      <xdr:spPr>
        <a:xfrm>
          <a:off x="1256665" y="18755487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770</xdr:row>
      <xdr:rowOff>38100</xdr:rowOff>
    </xdr:from>
    <xdr:to>
      <xdr:col>9</xdr:col>
      <xdr:colOff>571500</xdr:colOff>
      <xdr:row>774</xdr:row>
      <xdr:rowOff>266700</xdr:rowOff>
    </xdr:to>
    <xdr:sp>
      <xdr:nvSpPr>
        <xdr:cNvPr id="76" name="Rectangle 75"/>
        <xdr:cNvSpPr/>
      </xdr:nvSpPr>
      <xdr:spPr>
        <a:xfrm>
          <a:off x="7286625" y="18513679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770</xdr:row>
      <xdr:rowOff>219075</xdr:rowOff>
    </xdr:from>
    <xdr:to>
      <xdr:col>9</xdr:col>
      <xdr:colOff>457200</xdr:colOff>
      <xdr:row>774</xdr:row>
      <xdr:rowOff>104775</xdr:rowOff>
    </xdr:to>
    <xdr:sp>
      <xdr:nvSpPr>
        <xdr:cNvPr id="77" name="TextBox 76"/>
        <xdr:cNvSpPr txBox="1"/>
      </xdr:nvSpPr>
      <xdr:spPr>
        <a:xfrm>
          <a:off x="7400925" y="18531776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862</xdr:row>
      <xdr:rowOff>57151</xdr:rowOff>
    </xdr:from>
    <xdr:to>
      <xdr:col>9</xdr:col>
      <xdr:colOff>600075</xdr:colOff>
      <xdr:row>871</xdr:row>
      <xdr:rowOff>152400</xdr:rowOff>
    </xdr:to>
    <xdr:graphicFrame>
      <xdr:nvGraphicFramePr>
        <xdr:cNvPr id="78" name="Chart 77"/>
        <xdr:cNvGraphicFramePr/>
      </xdr:nvGraphicFramePr>
      <xdr:xfrm>
        <a:off x="86360" y="20815617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absolute">
    <xdr:from>
      <xdr:col>2</xdr:col>
      <xdr:colOff>95250</xdr:colOff>
      <xdr:row>825</xdr:row>
      <xdr:rowOff>76201</xdr:rowOff>
    </xdr:from>
    <xdr:to>
      <xdr:col>2</xdr:col>
      <xdr:colOff>1295400</xdr:colOff>
      <xdr:row>829</xdr:row>
      <xdr:rowOff>276226</xdr:rowOff>
    </xdr:to>
    <xdr:sp>
      <xdr:nvSpPr>
        <xdr:cNvPr id="79" name="Rectangle 78"/>
        <xdr:cNvSpPr/>
      </xdr:nvSpPr>
      <xdr:spPr>
        <a:xfrm>
          <a:off x="418465" y="19839622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834</xdr:row>
      <xdr:rowOff>104776</xdr:rowOff>
    </xdr:from>
    <xdr:to>
      <xdr:col>8</xdr:col>
      <xdr:colOff>238125</xdr:colOff>
      <xdr:row>859</xdr:row>
      <xdr:rowOff>209551</xdr:rowOff>
    </xdr:to>
    <xdr:sp>
      <xdr:nvSpPr>
        <xdr:cNvPr id="80" name="Rectangle 79"/>
        <xdr:cNvSpPr/>
      </xdr:nvSpPr>
      <xdr:spPr>
        <a:xfrm>
          <a:off x="1256665" y="20077620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825</xdr:row>
      <xdr:rowOff>38100</xdr:rowOff>
    </xdr:from>
    <xdr:to>
      <xdr:col>9</xdr:col>
      <xdr:colOff>571500</xdr:colOff>
      <xdr:row>829</xdr:row>
      <xdr:rowOff>266700</xdr:rowOff>
    </xdr:to>
    <xdr:sp>
      <xdr:nvSpPr>
        <xdr:cNvPr id="81" name="Rectangle 80"/>
        <xdr:cNvSpPr/>
      </xdr:nvSpPr>
      <xdr:spPr>
        <a:xfrm>
          <a:off x="7286625" y="19835812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825</xdr:row>
      <xdr:rowOff>219075</xdr:rowOff>
    </xdr:from>
    <xdr:to>
      <xdr:col>9</xdr:col>
      <xdr:colOff>457200</xdr:colOff>
      <xdr:row>829</xdr:row>
      <xdr:rowOff>104775</xdr:rowOff>
    </xdr:to>
    <xdr:sp>
      <xdr:nvSpPr>
        <xdr:cNvPr id="82" name="TextBox 81"/>
        <xdr:cNvSpPr txBox="1"/>
      </xdr:nvSpPr>
      <xdr:spPr>
        <a:xfrm>
          <a:off x="7400925" y="19853910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917</xdr:row>
      <xdr:rowOff>57151</xdr:rowOff>
    </xdr:from>
    <xdr:to>
      <xdr:col>9</xdr:col>
      <xdr:colOff>600075</xdr:colOff>
      <xdr:row>926</xdr:row>
      <xdr:rowOff>152400</xdr:rowOff>
    </xdr:to>
    <xdr:graphicFrame>
      <xdr:nvGraphicFramePr>
        <xdr:cNvPr id="83" name="Chart 82"/>
        <xdr:cNvGraphicFramePr/>
      </xdr:nvGraphicFramePr>
      <xdr:xfrm>
        <a:off x="86360" y="22137751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absolute">
    <xdr:from>
      <xdr:col>2</xdr:col>
      <xdr:colOff>95250</xdr:colOff>
      <xdr:row>880</xdr:row>
      <xdr:rowOff>76201</xdr:rowOff>
    </xdr:from>
    <xdr:to>
      <xdr:col>2</xdr:col>
      <xdr:colOff>1295400</xdr:colOff>
      <xdr:row>884</xdr:row>
      <xdr:rowOff>276226</xdr:rowOff>
    </xdr:to>
    <xdr:sp>
      <xdr:nvSpPr>
        <xdr:cNvPr id="84" name="Rectangle 83"/>
        <xdr:cNvSpPr/>
      </xdr:nvSpPr>
      <xdr:spPr>
        <a:xfrm>
          <a:off x="418465" y="21161756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889</xdr:row>
      <xdr:rowOff>104776</xdr:rowOff>
    </xdr:from>
    <xdr:to>
      <xdr:col>8</xdr:col>
      <xdr:colOff>238125</xdr:colOff>
      <xdr:row>914</xdr:row>
      <xdr:rowOff>209551</xdr:rowOff>
    </xdr:to>
    <xdr:sp>
      <xdr:nvSpPr>
        <xdr:cNvPr id="85" name="Rectangle 84"/>
        <xdr:cNvSpPr/>
      </xdr:nvSpPr>
      <xdr:spPr>
        <a:xfrm>
          <a:off x="1256665" y="21399754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880</xdr:row>
      <xdr:rowOff>38100</xdr:rowOff>
    </xdr:from>
    <xdr:to>
      <xdr:col>9</xdr:col>
      <xdr:colOff>571500</xdr:colOff>
      <xdr:row>884</xdr:row>
      <xdr:rowOff>266700</xdr:rowOff>
    </xdr:to>
    <xdr:sp>
      <xdr:nvSpPr>
        <xdr:cNvPr id="86" name="Rectangle 85"/>
        <xdr:cNvSpPr/>
      </xdr:nvSpPr>
      <xdr:spPr>
        <a:xfrm>
          <a:off x="7286625" y="21157946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880</xdr:row>
      <xdr:rowOff>219075</xdr:rowOff>
    </xdr:from>
    <xdr:to>
      <xdr:col>9</xdr:col>
      <xdr:colOff>457200</xdr:colOff>
      <xdr:row>884</xdr:row>
      <xdr:rowOff>104775</xdr:rowOff>
    </xdr:to>
    <xdr:sp>
      <xdr:nvSpPr>
        <xdr:cNvPr id="87" name="TextBox 86"/>
        <xdr:cNvSpPr txBox="1"/>
      </xdr:nvSpPr>
      <xdr:spPr>
        <a:xfrm>
          <a:off x="7400925" y="21176043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972</xdr:row>
      <xdr:rowOff>57151</xdr:rowOff>
    </xdr:from>
    <xdr:to>
      <xdr:col>9</xdr:col>
      <xdr:colOff>600075</xdr:colOff>
      <xdr:row>981</xdr:row>
      <xdr:rowOff>152400</xdr:rowOff>
    </xdr:to>
    <xdr:graphicFrame>
      <xdr:nvGraphicFramePr>
        <xdr:cNvPr id="88" name="Chart 87"/>
        <xdr:cNvGraphicFramePr/>
      </xdr:nvGraphicFramePr>
      <xdr:xfrm>
        <a:off x="86360" y="23459884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absolute">
    <xdr:from>
      <xdr:col>2</xdr:col>
      <xdr:colOff>95250</xdr:colOff>
      <xdr:row>935</xdr:row>
      <xdr:rowOff>76201</xdr:rowOff>
    </xdr:from>
    <xdr:to>
      <xdr:col>2</xdr:col>
      <xdr:colOff>1295400</xdr:colOff>
      <xdr:row>939</xdr:row>
      <xdr:rowOff>276226</xdr:rowOff>
    </xdr:to>
    <xdr:sp>
      <xdr:nvSpPr>
        <xdr:cNvPr id="89" name="Rectangle 88"/>
        <xdr:cNvSpPr/>
      </xdr:nvSpPr>
      <xdr:spPr>
        <a:xfrm>
          <a:off x="418465" y="22483889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944</xdr:row>
      <xdr:rowOff>104776</xdr:rowOff>
    </xdr:from>
    <xdr:to>
      <xdr:col>8</xdr:col>
      <xdr:colOff>238125</xdr:colOff>
      <xdr:row>969</xdr:row>
      <xdr:rowOff>209551</xdr:rowOff>
    </xdr:to>
    <xdr:sp>
      <xdr:nvSpPr>
        <xdr:cNvPr id="90" name="Rectangle 89"/>
        <xdr:cNvSpPr/>
      </xdr:nvSpPr>
      <xdr:spPr>
        <a:xfrm>
          <a:off x="1256665" y="22721887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935</xdr:row>
      <xdr:rowOff>38100</xdr:rowOff>
    </xdr:from>
    <xdr:to>
      <xdr:col>9</xdr:col>
      <xdr:colOff>571500</xdr:colOff>
      <xdr:row>939</xdr:row>
      <xdr:rowOff>266700</xdr:rowOff>
    </xdr:to>
    <xdr:sp>
      <xdr:nvSpPr>
        <xdr:cNvPr id="91" name="Rectangle 90"/>
        <xdr:cNvSpPr/>
      </xdr:nvSpPr>
      <xdr:spPr>
        <a:xfrm>
          <a:off x="7286625" y="22480079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935</xdr:row>
      <xdr:rowOff>219075</xdr:rowOff>
    </xdr:from>
    <xdr:to>
      <xdr:col>9</xdr:col>
      <xdr:colOff>457200</xdr:colOff>
      <xdr:row>939</xdr:row>
      <xdr:rowOff>104775</xdr:rowOff>
    </xdr:to>
    <xdr:sp>
      <xdr:nvSpPr>
        <xdr:cNvPr id="92" name="TextBox 91"/>
        <xdr:cNvSpPr txBox="1"/>
      </xdr:nvSpPr>
      <xdr:spPr>
        <a:xfrm>
          <a:off x="7400925" y="22498177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1027</xdr:row>
      <xdr:rowOff>57151</xdr:rowOff>
    </xdr:from>
    <xdr:to>
      <xdr:col>9</xdr:col>
      <xdr:colOff>600075</xdr:colOff>
      <xdr:row>1036</xdr:row>
      <xdr:rowOff>152400</xdr:rowOff>
    </xdr:to>
    <xdr:graphicFrame>
      <xdr:nvGraphicFramePr>
        <xdr:cNvPr id="93" name="Chart 92"/>
        <xdr:cNvGraphicFramePr/>
      </xdr:nvGraphicFramePr>
      <xdr:xfrm>
        <a:off x="86360" y="24782018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absolute">
    <xdr:from>
      <xdr:col>2</xdr:col>
      <xdr:colOff>95250</xdr:colOff>
      <xdr:row>990</xdr:row>
      <xdr:rowOff>76201</xdr:rowOff>
    </xdr:from>
    <xdr:to>
      <xdr:col>2</xdr:col>
      <xdr:colOff>1295400</xdr:colOff>
      <xdr:row>994</xdr:row>
      <xdr:rowOff>276226</xdr:rowOff>
    </xdr:to>
    <xdr:sp>
      <xdr:nvSpPr>
        <xdr:cNvPr id="94" name="Rectangle 93"/>
        <xdr:cNvSpPr/>
      </xdr:nvSpPr>
      <xdr:spPr>
        <a:xfrm>
          <a:off x="418465" y="23806023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999</xdr:row>
      <xdr:rowOff>104776</xdr:rowOff>
    </xdr:from>
    <xdr:to>
      <xdr:col>8</xdr:col>
      <xdr:colOff>238125</xdr:colOff>
      <xdr:row>1024</xdr:row>
      <xdr:rowOff>209551</xdr:rowOff>
    </xdr:to>
    <xdr:sp>
      <xdr:nvSpPr>
        <xdr:cNvPr id="95" name="Rectangle 94"/>
        <xdr:cNvSpPr/>
      </xdr:nvSpPr>
      <xdr:spPr>
        <a:xfrm>
          <a:off x="1256665" y="24044021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990</xdr:row>
      <xdr:rowOff>38100</xdr:rowOff>
    </xdr:from>
    <xdr:to>
      <xdr:col>9</xdr:col>
      <xdr:colOff>571500</xdr:colOff>
      <xdr:row>994</xdr:row>
      <xdr:rowOff>266700</xdr:rowOff>
    </xdr:to>
    <xdr:sp>
      <xdr:nvSpPr>
        <xdr:cNvPr id="96" name="Rectangle 95"/>
        <xdr:cNvSpPr/>
      </xdr:nvSpPr>
      <xdr:spPr>
        <a:xfrm>
          <a:off x="7286625" y="23802213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990</xdr:row>
      <xdr:rowOff>219075</xdr:rowOff>
    </xdr:from>
    <xdr:to>
      <xdr:col>9</xdr:col>
      <xdr:colOff>457200</xdr:colOff>
      <xdr:row>994</xdr:row>
      <xdr:rowOff>104775</xdr:rowOff>
    </xdr:to>
    <xdr:sp>
      <xdr:nvSpPr>
        <xdr:cNvPr id="97" name="TextBox 96"/>
        <xdr:cNvSpPr txBox="1"/>
      </xdr:nvSpPr>
      <xdr:spPr>
        <a:xfrm>
          <a:off x="7400925" y="23820310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1082</xdr:row>
      <xdr:rowOff>57151</xdr:rowOff>
    </xdr:from>
    <xdr:to>
      <xdr:col>9</xdr:col>
      <xdr:colOff>600075</xdr:colOff>
      <xdr:row>1091</xdr:row>
      <xdr:rowOff>152400</xdr:rowOff>
    </xdr:to>
    <xdr:graphicFrame>
      <xdr:nvGraphicFramePr>
        <xdr:cNvPr id="98" name="Chart 97"/>
        <xdr:cNvGraphicFramePr/>
      </xdr:nvGraphicFramePr>
      <xdr:xfrm>
        <a:off x="86360" y="26104151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absolute">
    <xdr:from>
      <xdr:col>2</xdr:col>
      <xdr:colOff>95250</xdr:colOff>
      <xdr:row>1045</xdr:row>
      <xdr:rowOff>76201</xdr:rowOff>
    </xdr:from>
    <xdr:to>
      <xdr:col>2</xdr:col>
      <xdr:colOff>1295400</xdr:colOff>
      <xdr:row>1049</xdr:row>
      <xdr:rowOff>276226</xdr:rowOff>
    </xdr:to>
    <xdr:sp>
      <xdr:nvSpPr>
        <xdr:cNvPr id="99" name="Rectangle 98"/>
        <xdr:cNvSpPr/>
      </xdr:nvSpPr>
      <xdr:spPr>
        <a:xfrm>
          <a:off x="418465" y="25128156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1054</xdr:row>
      <xdr:rowOff>104776</xdr:rowOff>
    </xdr:from>
    <xdr:to>
      <xdr:col>8</xdr:col>
      <xdr:colOff>238125</xdr:colOff>
      <xdr:row>1079</xdr:row>
      <xdr:rowOff>209551</xdr:rowOff>
    </xdr:to>
    <xdr:sp>
      <xdr:nvSpPr>
        <xdr:cNvPr id="100" name="Rectangle 99"/>
        <xdr:cNvSpPr/>
      </xdr:nvSpPr>
      <xdr:spPr>
        <a:xfrm>
          <a:off x="1256665" y="25366154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1045</xdr:row>
      <xdr:rowOff>38100</xdr:rowOff>
    </xdr:from>
    <xdr:to>
      <xdr:col>9</xdr:col>
      <xdr:colOff>571500</xdr:colOff>
      <xdr:row>1049</xdr:row>
      <xdr:rowOff>266700</xdr:rowOff>
    </xdr:to>
    <xdr:sp>
      <xdr:nvSpPr>
        <xdr:cNvPr id="101" name="Rectangle 100"/>
        <xdr:cNvSpPr/>
      </xdr:nvSpPr>
      <xdr:spPr>
        <a:xfrm>
          <a:off x="7286625" y="25124346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1045</xdr:row>
      <xdr:rowOff>219075</xdr:rowOff>
    </xdr:from>
    <xdr:to>
      <xdr:col>9</xdr:col>
      <xdr:colOff>457200</xdr:colOff>
      <xdr:row>1049</xdr:row>
      <xdr:rowOff>104775</xdr:rowOff>
    </xdr:to>
    <xdr:sp>
      <xdr:nvSpPr>
        <xdr:cNvPr id="102" name="TextBox 101"/>
        <xdr:cNvSpPr txBox="1"/>
      </xdr:nvSpPr>
      <xdr:spPr>
        <a:xfrm>
          <a:off x="7400925" y="25142444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1137</xdr:row>
      <xdr:rowOff>57151</xdr:rowOff>
    </xdr:from>
    <xdr:to>
      <xdr:col>9</xdr:col>
      <xdr:colOff>600075</xdr:colOff>
      <xdr:row>1146</xdr:row>
      <xdr:rowOff>152400</xdr:rowOff>
    </xdr:to>
    <xdr:graphicFrame>
      <xdr:nvGraphicFramePr>
        <xdr:cNvPr id="103" name="Chart 102"/>
        <xdr:cNvGraphicFramePr/>
      </xdr:nvGraphicFramePr>
      <xdr:xfrm>
        <a:off x="86360" y="27426285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absolute">
    <xdr:from>
      <xdr:col>2</xdr:col>
      <xdr:colOff>95250</xdr:colOff>
      <xdr:row>1100</xdr:row>
      <xdr:rowOff>76201</xdr:rowOff>
    </xdr:from>
    <xdr:to>
      <xdr:col>2</xdr:col>
      <xdr:colOff>1295400</xdr:colOff>
      <xdr:row>1104</xdr:row>
      <xdr:rowOff>276226</xdr:rowOff>
    </xdr:to>
    <xdr:sp>
      <xdr:nvSpPr>
        <xdr:cNvPr id="104" name="Rectangle 103"/>
        <xdr:cNvSpPr/>
      </xdr:nvSpPr>
      <xdr:spPr>
        <a:xfrm>
          <a:off x="418465" y="26450290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1109</xdr:row>
      <xdr:rowOff>104776</xdr:rowOff>
    </xdr:from>
    <xdr:to>
      <xdr:col>8</xdr:col>
      <xdr:colOff>238125</xdr:colOff>
      <xdr:row>1134</xdr:row>
      <xdr:rowOff>209551</xdr:rowOff>
    </xdr:to>
    <xdr:sp>
      <xdr:nvSpPr>
        <xdr:cNvPr id="105" name="Rectangle 104"/>
        <xdr:cNvSpPr/>
      </xdr:nvSpPr>
      <xdr:spPr>
        <a:xfrm>
          <a:off x="1256665" y="26688288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1100</xdr:row>
      <xdr:rowOff>38100</xdr:rowOff>
    </xdr:from>
    <xdr:to>
      <xdr:col>9</xdr:col>
      <xdr:colOff>571500</xdr:colOff>
      <xdr:row>1104</xdr:row>
      <xdr:rowOff>266700</xdr:rowOff>
    </xdr:to>
    <xdr:sp>
      <xdr:nvSpPr>
        <xdr:cNvPr id="106" name="Rectangle 105"/>
        <xdr:cNvSpPr/>
      </xdr:nvSpPr>
      <xdr:spPr>
        <a:xfrm>
          <a:off x="7286625" y="26446480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1100</xdr:row>
      <xdr:rowOff>219075</xdr:rowOff>
    </xdr:from>
    <xdr:to>
      <xdr:col>9</xdr:col>
      <xdr:colOff>457200</xdr:colOff>
      <xdr:row>1104</xdr:row>
      <xdr:rowOff>104775</xdr:rowOff>
    </xdr:to>
    <xdr:sp>
      <xdr:nvSpPr>
        <xdr:cNvPr id="107" name="TextBox 106"/>
        <xdr:cNvSpPr txBox="1"/>
      </xdr:nvSpPr>
      <xdr:spPr>
        <a:xfrm>
          <a:off x="7400925" y="26464577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1192</xdr:row>
      <xdr:rowOff>57151</xdr:rowOff>
    </xdr:from>
    <xdr:to>
      <xdr:col>9</xdr:col>
      <xdr:colOff>600075</xdr:colOff>
      <xdr:row>1201</xdr:row>
      <xdr:rowOff>152400</xdr:rowOff>
    </xdr:to>
    <xdr:graphicFrame>
      <xdr:nvGraphicFramePr>
        <xdr:cNvPr id="108" name="Chart 107"/>
        <xdr:cNvGraphicFramePr/>
      </xdr:nvGraphicFramePr>
      <xdr:xfrm>
        <a:off x="86360" y="28748418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absolute">
    <xdr:from>
      <xdr:col>2</xdr:col>
      <xdr:colOff>95250</xdr:colOff>
      <xdr:row>1155</xdr:row>
      <xdr:rowOff>76201</xdr:rowOff>
    </xdr:from>
    <xdr:to>
      <xdr:col>2</xdr:col>
      <xdr:colOff>1295400</xdr:colOff>
      <xdr:row>1159</xdr:row>
      <xdr:rowOff>276226</xdr:rowOff>
    </xdr:to>
    <xdr:sp>
      <xdr:nvSpPr>
        <xdr:cNvPr id="109" name="Rectangle 108"/>
        <xdr:cNvSpPr/>
      </xdr:nvSpPr>
      <xdr:spPr>
        <a:xfrm>
          <a:off x="418465" y="27772423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1164</xdr:row>
      <xdr:rowOff>104776</xdr:rowOff>
    </xdr:from>
    <xdr:to>
      <xdr:col>8</xdr:col>
      <xdr:colOff>238125</xdr:colOff>
      <xdr:row>1189</xdr:row>
      <xdr:rowOff>209551</xdr:rowOff>
    </xdr:to>
    <xdr:sp>
      <xdr:nvSpPr>
        <xdr:cNvPr id="110" name="Rectangle 109"/>
        <xdr:cNvSpPr/>
      </xdr:nvSpPr>
      <xdr:spPr>
        <a:xfrm>
          <a:off x="1256665" y="28010421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1155</xdr:row>
      <xdr:rowOff>38100</xdr:rowOff>
    </xdr:from>
    <xdr:to>
      <xdr:col>9</xdr:col>
      <xdr:colOff>571500</xdr:colOff>
      <xdr:row>1159</xdr:row>
      <xdr:rowOff>266700</xdr:rowOff>
    </xdr:to>
    <xdr:sp>
      <xdr:nvSpPr>
        <xdr:cNvPr id="111" name="Rectangle 110"/>
        <xdr:cNvSpPr/>
      </xdr:nvSpPr>
      <xdr:spPr>
        <a:xfrm>
          <a:off x="7286625" y="27768613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1155</xdr:row>
      <xdr:rowOff>219075</xdr:rowOff>
    </xdr:from>
    <xdr:to>
      <xdr:col>9</xdr:col>
      <xdr:colOff>457200</xdr:colOff>
      <xdr:row>1159</xdr:row>
      <xdr:rowOff>104775</xdr:rowOff>
    </xdr:to>
    <xdr:sp>
      <xdr:nvSpPr>
        <xdr:cNvPr id="112" name="TextBox 111"/>
        <xdr:cNvSpPr txBox="1"/>
      </xdr:nvSpPr>
      <xdr:spPr>
        <a:xfrm>
          <a:off x="7400925" y="27786711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1247</xdr:row>
      <xdr:rowOff>57151</xdr:rowOff>
    </xdr:from>
    <xdr:to>
      <xdr:col>9</xdr:col>
      <xdr:colOff>600075</xdr:colOff>
      <xdr:row>1256</xdr:row>
      <xdr:rowOff>152400</xdr:rowOff>
    </xdr:to>
    <xdr:graphicFrame>
      <xdr:nvGraphicFramePr>
        <xdr:cNvPr id="113" name="Chart 112"/>
        <xdr:cNvGraphicFramePr/>
      </xdr:nvGraphicFramePr>
      <xdr:xfrm>
        <a:off x="86360" y="30070552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absolute">
    <xdr:from>
      <xdr:col>2</xdr:col>
      <xdr:colOff>95250</xdr:colOff>
      <xdr:row>1210</xdr:row>
      <xdr:rowOff>76201</xdr:rowOff>
    </xdr:from>
    <xdr:to>
      <xdr:col>2</xdr:col>
      <xdr:colOff>1295400</xdr:colOff>
      <xdr:row>1214</xdr:row>
      <xdr:rowOff>276226</xdr:rowOff>
    </xdr:to>
    <xdr:sp>
      <xdr:nvSpPr>
        <xdr:cNvPr id="114" name="Rectangle 113"/>
        <xdr:cNvSpPr/>
      </xdr:nvSpPr>
      <xdr:spPr>
        <a:xfrm>
          <a:off x="418465" y="29094557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1219</xdr:row>
      <xdr:rowOff>104776</xdr:rowOff>
    </xdr:from>
    <xdr:to>
      <xdr:col>8</xdr:col>
      <xdr:colOff>238125</xdr:colOff>
      <xdr:row>1244</xdr:row>
      <xdr:rowOff>209551</xdr:rowOff>
    </xdr:to>
    <xdr:sp>
      <xdr:nvSpPr>
        <xdr:cNvPr id="115" name="Rectangle 114"/>
        <xdr:cNvSpPr/>
      </xdr:nvSpPr>
      <xdr:spPr>
        <a:xfrm>
          <a:off x="1256665" y="29332555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1210</xdr:row>
      <xdr:rowOff>38100</xdr:rowOff>
    </xdr:from>
    <xdr:to>
      <xdr:col>9</xdr:col>
      <xdr:colOff>571500</xdr:colOff>
      <xdr:row>1214</xdr:row>
      <xdr:rowOff>266700</xdr:rowOff>
    </xdr:to>
    <xdr:sp>
      <xdr:nvSpPr>
        <xdr:cNvPr id="116" name="Rectangle 115"/>
        <xdr:cNvSpPr/>
      </xdr:nvSpPr>
      <xdr:spPr>
        <a:xfrm>
          <a:off x="7286625" y="29090747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1210</xdr:row>
      <xdr:rowOff>219075</xdr:rowOff>
    </xdr:from>
    <xdr:to>
      <xdr:col>9</xdr:col>
      <xdr:colOff>457200</xdr:colOff>
      <xdr:row>1214</xdr:row>
      <xdr:rowOff>104775</xdr:rowOff>
    </xdr:to>
    <xdr:sp>
      <xdr:nvSpPr>
        <xdr:cNvPr id="117" name="TextBox 116"/>
        <xdr:cNvSpPr txBox="1"/>
      </xdr:nvSpPr>
      <xdr:spPr>
        <a:xfrm>
          <a:off x="7400925" y="29108844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1302</xdr:row>
      <xdr:rowOff>57151</xdr:rowOff>
    </xdr:from>
    <xdr:to>
      <xdr:col>9</xdr:col>
      <xdr:colOff>600075</xdr:colOff>
      <xdr:row>1311</xdr:row>
      <xdr:rowOff>152400</xdr:rowOff>
    </xdr:to>
    <xdr:graphicFrame>
      <xdr:nvGraphicFramePr>
        <xdr:cNvPr id="118" name="Chart 117"/>
        <xdr:cNvGraphicFramePr/>
      </xdr:nvGraphicFramePr>
      <xdr:xfrm>
        <a:off x="86360" y="31392685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absolute">
    <xdr:from>
      <xdr:col>2</xdr:col>
      <xdr:colOff>95250</xdr:colOff>
      <xdr:row>1265</xdr:row>
      <xdr:rowOff>76201</xdr:rowOff>
    </xdr:from>
    <xdr:to>
      <xdr:col>2</xdr:col>
      <xdr:colOff>1295400</xdr:colOff>
      <xdr:row>1269</xdr:row>
      <xdr:rowOff>276226</xdr:rowOff>
    </xdr:to>
    <xdr:sp>
      <xdr:nvSpPr>
        <xdr:cNvPr id="119" name="Rectangle 118"/>
        <xdr:cNvSpPr/>
      </xdr:nvSpPr>
      <xdr:spPr>
        <a:xfrm>
          <a:off x="418465" y="30416690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1274</xdr:row>
      <xdr:rowOff>104776</xdr:rowOff>
    </xdr:from>
    <xdr:to>
      <xdr:col>8</xdr:col>
      <xdr:colOff>238125</xdr:colOff>
      <xdr:row>1299</xdr:row>
      <xdr:rowOff>209551</xdr:rowOff>
    </xdr:to>
    <xdr:sp>
      <xdr:nvSpPr>
        <xdr:cNvPr id="120" name="Rectangle 119"/>
        <xdr:cNvSpPr/>
      </xdr:nvSpPr>
      <xdr:spPr>
        <a:xfrm>
          <a:off x="1256665" y="30654688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1265</xdr:row>
      <xdr:rowOff>38100</xdr:rowOff>
    </xdr:from>
    <xdr:to>
      <xdr:col>9</xdr:col>
      <xdr:colOff>571500</xdr:colOff>
      <xdr:row>1269</xdr:row>
      <xdr:rowOff>266700</xdr:rowOff>
    </xdr:to>
    <xdr:sp>
      <xdr:nvSpPr>
        <xdr:cNvPr id="121" name="Rectangle 120"/>
        <xdr:cNvSpPr/>
      </xdr:nvSpPr>
      <xdr:spPr>
        <a:xfrm>
          <a:off x="7286625" y="30412880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1265</xdr:row>
      <xdr:rowOff>219075</xdr:rowOff>
    </xdr:from>
    <xdr:to>
      <xdr:col>9</xdr:col>
      <xdr:colOff>457200</xdr:colOff>
      <xdr:row>1269</xdr:row>
      <xdr:rowOff>104775</xdr:rowOff>
    </xdr:to>
    <xdr:sp>
      <xdr:nvSpPr>
        <xdr:cNvPr id="122" name="TextBox 121"/>
        <xdr:cNvSpPr txBox="1"/>
      </xdr:nvSpPr>
      <xdr:spPr>
        <a:xfrm>
          <a:off x="7400925" y="30430978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1357</xdr:row>
      <xdr:rowOff>57151</xdr:rowOff>
    </xdr:from>
    <xdr:to>
      <xdr:col>9</xdr:col>
      <xdr:colOff>600075</xdr:colOff>
      <xdr:row>1366</xdr:row>
      <xdr:rowOff>152400</xdr:rowOff>
    </xdr:to>
    <xdr:graphicFrame>
      <xdr:nvGraphicFramePr>
        <xdr:cNvPr id="123" name="Chart 122"/>
        <xdr:cNvGraphicFramePr/>
      </xdr:nvGraphicFramePr>
      <xdr:xfrm>
        <a:off x="86360" y="32714819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absolute">
    <xdr:from>
      <xdr:col>2</xdr:col>
      <xdr:colOff>95250</xdr:colOff>
      <xdr:row>1320</xdr:row>
      <xdr:rowOff>76201</xdr:rowOff>
    </xdr:from>
    <xdr:to>
      <xdr:col>2</xdr:col>
      <xdr:colOff>1295400</xdr:colOff>
      <xdr:row>1324</xdr:row>
      <xdr:rowOff>276226</xdr:rowOff>
    </xdr:to>
    <xdr:sp>
      <xdr:nvSpPr>
        <xdr:cNvPr id="124" name="Rectangle 123"/>
        <xdr:cNvSpPr/>
      </xdr:nvSpPr>
      <xdr:spPr>
        <a:xfrm>
          <a:off x="418465" y="31738824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1329</xdr:row>
      <xdr:rowOff>104776</xdr:rowOff>
    </xdr:from>
    <xdr:to>
      <xdr:col>8</xdr:col>
      <xdr:colOff>238125</xdr:colOff>
      <xdr:row>1354</xdr:row>
      <xdr:rowOff>209551</xdr:rowOff>
    </xdr:to>
    <xdr:sp>
      <xdr:nvSpPr>
        <xdr:cNvPr id="125" name="Rectangle 124"/>
        <xdr:cNvSpPr/>
      </xdr:nvSpPr>
      <xdr:spPr>
        <a:xfrm>
          <a:off x="1256665" y="31976822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1320</xdr:row>
      <xdr:rowOff>38100</xdr:rowOff>
    </xdr:from>
    <xdr:to>
      <xdr:col>9</xdr:col>
      <xdr:colOff>571500</xdr:colOff>
      <xdr:row>1324</xdr:row>
      <xdr:rowOff>266700</xdr:rowOff>
    </xdr:to>
    <xdr:sp>
      <xdr:nvSpPr>
        <xdr:cNvPr id="126" name="Rectangle 125"/>
        <xdr:cNvSpPr/>
      </xdr:nvSpPr>
      <xdr:spPr>
        <a:xfrm>
          <a:off x="7286625" y="31735014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1320</xdr:row>
      <xdr:rowOff>219075</xdr:rowOff>
    </xdr:from>
    <xdr:to>
      <xdr:col>9</xdr:col>
      <xdr:colOff>457200</xdr:colOff>
      <xdr:row>1324</xdr:row>
      <xdr:rowOff>104775</xdr:rowOff>
    </xdr:to>
    <xdr:sp>
      <xdr:nvSpPr>
        <xdr:cNvPr id="127" name="TextBox 126"/>
        <xdr:cNvSpPr txBox="1"/>
      </xdr:nvSpPr>
      <xdr:spPr>
        <a:xfrm>
          <a:off x="7400925" y="31753111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1412</xdr:row>
      <xdr:rowOff>57151</xdr:rowOff>
    </xdr:from>
    <xdr:to>
      <xdr:col>9</xdr:col>
      <xdr:colOff>600075</xdr:colOff>
      <xdr:row>1421</xdr:row>
      <xdr:rowOff>152400</xdr:rowOff>
    </xdr:to>
    <xdr:graphicFrame>
      <xdr:nvGraphicFramePr>
        <xdr:cNvPr id="128" name="Chart 127"/>
        <xdr:cNvGraphicFramePr/>
      </xdr:nvGraphicFramePr>
      <xdr:xfrm>
        <a:off x="86360" y="34036952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absolute">
    <xdr:from>
      <xdr:col>2</xdr:col>
      <xdr:colOff>95250</xdr:colOff>
      <xdr:row>1375</xdr:row>
      <xdr:rowOff>76201</xdr:rowOff>
    </xdr:from>
    <xdr:to>
      <xdr:col>2</xdr:col>
      <xdr:colOff>1295400</xdr:colOff>
      <xdr:row>1379</xdr:row>
      <xdr:rowOff>276226</xdr:rowOff>
    </xdr:to>
    <xdr:sp>
      <xdr:nvSpPr>
        <xdr:cNvPr id="129" name="Rectangle 128"/>
        <xdr:cNvSpPr/>
      </xdr:nvSpPr>
      <xdr:spPr>
        <a:xfrm>
          <a:off x="418465" y="33060957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1384</xdr:row>
      <xdr:rowOff>104776</xdr:rowOff>
    </xdr:from>
    <xdr:to>
      <xdr:col>8</xdr:col>
      <xdr:colOff>238125</xdr:colOff>
      <xdr:row>1409</xdr:row>
      <xdr:rowOff>209551</xdr:rowOff>
    </xdr:to>
    <xdr:sp>
      <xdr:nvSpPr>
        <xdr:cNvPr id="130" name="Rectangle 129"/>
        <xdr:cNvSpPr/>
      </xdr:nvSpPr>
      <xdr:spPr>
        <a:xfrm>
          <a:off x="1256665" y="33298955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1375</xdr:row>
      <xdr:rowOff>38100</xdr:rowOff>
    </xdr:from>
    <xdr:to>
      <xdr:col>9</xdr:col>
      <xdr:colOff>571500</xdr:colOff>
      <xdr:row>1379</xdr:row>
      <xdr:rowOff>266700</xdr:rowOff>
    </xdr:to>
    <xdr:sp>
      <xdr:nvSpPr>
        <xdr:cNvPr id="131" name="Rectangle 130"/>
        <xdr:cNvSpPr/>
      </xdr:nvSpPr>
      <xdr:spPr>
        <a:xfrm>
          <a:off x="7286625" y="33057147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1375</xdr:row>
      <xdr:rowOff>219075</xdr:rowOff>
    </xdr:from>
    <xdr:to>
      <xdr:col>9</xdr:col>
      <xdr:colOff>457200</xdr:colOff>
      <xdr:row>1379</xdr:row>
      <xdr:rowOff>104775</xdr:rowOff>
    </xdr:to>
    <xdr:sp>
      <xdr:nvSpPr>
        <xdr:cNvPr id="132" name="TextBox 131"/>
        <xdr:cNvSpPr txBox="1"/>
      </xdr:nvSpPr>
      <xdr:spPr>
        <a:xfrm>
          <a:off x="7400925" y="33075245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1467</xdr:row>
      <xdr:rowOff>57151</xdr:rowOff>
    </xdr:from>
    <xdr:to>
      <xdr:col>9</xdr:col>
      <xdr:colOff>600075</xdr:colOff>
      <xdr:row>1476</xdr:row>
      <xdr:rowOff>152400</xdr:rowOff>
    </xdr:to>
    <xdr:graphicFrame>
      <xdr:nvGraphicFramePr>
        <xdr:cNvPr id="133" name="Chart 132"/>
        <xdr:cNvGraphicFramePr/>
      </xdr:nvGraphicFramePr>
      <xdr:xfrm>
        <a:off x="86360" y="35359086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absolute">
    <xdr:from>
      <xdr:col>2</xdr:col>
      <xdr:colOff>95250</xdr:colOff>
      <xdr:row>1430</xdr:row>
      <xdr:rowOff>76201</xdr:rowOff>
    </xdr:from>
    <xdr:to>
      <xdr:col>2</xdr:col>
      <xdr:colOff>1295400</xdr:colOff>
      <xdr:row>1434</xdr:row>
      <xdr:rowOff>276226</xdr:rowOff>
    </xdr:to>
    <xdr:sp>
      <xdr:nvSpPr>
        <xdr:cNvPr id="134" name="Rectangle 133"/>
        <xdr:cNvSpPr/>
      </xdr:nvSpPr>
      <xdr:spPr>
        <a:xfrm>
          <a:off x="418465" y="34383091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1439</xdr:row>
      <xdr:rowOff>104776</xdr:rowOff>
    </xdr:from>
    <xdr:to>
      <xdr:col>8</xdr:col>
      <xdr:colOff>238125</xdr:colOff>
      <xdr:row>1464</xdr:row>
      <xdr:rowOff>209551</xdr:rowOff>
    </xdr:to>
    <xdr:sp>
      <xdr:nvSpPr>
        <xdr:cNvPr id="135" name="Rectangle 134"/>
        <xdr:cNvSpPr/>
      </xdr:nvSpPr>
      <xdr:spPr>
        <a:xfrm>
          <a:off x="1256665" y="34621089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1430</xdr:row>
      <xdr:rowOff>38100</xdr:rowOff>
    </xdr:from>
    <xdr:to>
      <xdr:col>9</xdr:col>
      <xdr:colOff>571500</xdr:colOff>
      <xdr:row>1434</xdr:row>
      <xdr:rowOff>266700</xdr:rowOff>
    </xdr:to>
    <xdr:sp>
      <xdr:nvSpPr>
        <xdr:cNvPr id="136" name="Rectangle 135"/>
        <xdr:cNvSpPr/>
      </xdr:nvSpPr>
      <xdr:spPr>
        <a:xfrm>
          <a:off x="7286625" y="34379281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1430</xdr:row>
      <xdr:rowOff>219075</xdr:rowOff>
    </xdr:from>
    <xdr:to>
      <xdr:col>9</xdr:col>
      <xdr:colOff>457200</xdr:colOff>
      <xdr:row>1434</xdr:row>
      <xdr:rowOff>104775</xdr:rowOff>
    </xdr:to>
    <xdr:sp>
      <xdr:nvSpPr>
        <xdr:cNvPr id="137" name="TextBox 136"/>
        <xdr:cNvSpPr txBox="1"/>
      </xdr:nvSpPr>
      <xdr:spPr>
        <a:xfrm>
          <a:off x="7400925" y="34397378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1522</xdr:row>
      <xdr:rowOff>57151</xdr:rowOff>
    </xdr:from>
    <xdr:to>
      <xdr:col>9</xdr:col>
      <xdr:colOff>600075</xdr:colOff>
      <xdr:row>1531</xdr:row>
      <xdr:rowOff>152400</xdr:rowOff>
    </xdr:to>
    <xdr:graphicFrame>
      <xdr:nvGraphicFramePr>
        <xdr:cNvPr id="138" name="Chart 137"/>
        <xdr:cNvGraphicFramePr/>
      </xdr:nvGraphicFramePr>
      <xdr:xfrm>
        <a:off x="86360" y="36681219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absolute">
    <xdr:from>
      <xdr:col>2</xdr:col>
      <xdr:colOff>95250</xdr:colOff>
      <xdr:row>1485</xdr:row>
      <xdr:rowOff>76201</xdr:rowOff>
    </xdr:from>
    <xdr:to>
      <xdr:col>2</xdr:col>
      <xdr:colOff>1295400</xdr:colOff>
      <xdr:row>1489</xdr:row>
      <xdr:rowOff>276226</xdr:rowOff>
    </xdr:to>
    <xdr:sp>
      <xdr:nvSpPr>
        <xdr:cNvPr id="139" name="Rectangle 138"/>
        <xdr:cNvSpPr/>
      </xdr:nvSpPr>
      <xdr:spPr>
        <a:xfrm>
          <a:off x="418465" y="35705224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1494</xdr:row>
      <xdr:rowOff>104776</xdr:rowOff>
    </xdr:from>
    <xdr:to>
      <xdr:col>8</xdr:col>
      <xdr:colOff>238125</xdr:colOff>
      <xdr:row>1519</xdr:row>
      <xdr:rowOff>209551</xdr:rowOff>
    </xdr:to>
    <xdr:sp>
      <xdr:nvSpPr>
        <xdr:cNvPr id="140" name="Rectangle 139"/>
        <xdr:cNvSpPr/>
      </xdr:nvSpPr>
      <xdr:spPr>
        <a:xfrm>
          <a:off x="1256665" y="35943222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1485</xdr:row>
      <xdr:rowOff>38100</xdr:rowOff>
    </xdr:from>
    <xdr:to>
      <xdr:col>9</xdr:col>
      <xdr:colOff>571500</xdr:colOff>
      <xdr:row>1489</xdr:row>
      <xdr:rowOff>266700</xdr:rowOff>
    </xdr:to>
    <xdr:sp>
      <xdr:nvSpPr>
        <xdr:cNvPr id="141" name="Rectangle 140"/>
        <xdr:cNvSpPr/>
      </xdr:nvSpPr>
      <xdr:spPr>
        <a:xfrm>
          <a:off x="7286625" y="35701414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1485</xdr:row>
      <xdr:rowOff>219075</xdr:rowOff>
    </xdr:from>
    <xdr:to>
      <xdr:col>9</xdr:col>
      <xdr:colOff>457200</xdr:colOff>
      <xdr:row>1489</xdr:row>
      <xdr:rowOff>104775</xdr:rowOff>
    </xdr:to>
    <xdr:sp>
      <xdr:nvSpPr>
        <xdr:cNvPr id="142" name="TextBox 141"/>
        <xdr:cNvSpPr txBox="1"/>
      </xdr:nvSpPr>
      <xdr:spPr>
        <a:xfrm>
          <a:off x="7400925" y="35719512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1577</xdr:row>
      <xdr:rowOff>57151</xdr:rowOff>
    </xdr:from>
    <xdr:to>
      <xdr:col>9</xdr:col>
      <xdr:colOff>600075</xdr:colOff>
      <xdr:row>1586</xdr:row>
      <xdr:rowOff>152400</xdr:rowOff>
    </xdr:to>
    <xdr:graphicFrame>
      <xdr:nvGraphicFramePr>
        <xdr:cNvPr id="143" name="Chart 142"/>
        <xdr:cNvGraphicFramePr/>
      </xdr:nvGraphicFramePr>
      <xdr:xfrm>
        <a:off x="86360" y="38003353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absolute">
    <xdr:from>
      <xdr:col>2</xdr:col>
      <xdr:colOff>95250</xdr:colOff>
      <xdr:row>1540</xdr:row>
      <xdr:rowOff>76201</xdr:rowOff>
    </xdr:from>
    <xdr:to>
      <xdr:col>2</xdr:col>
      <xdr:colOff>1295400</xdr:colOff>
      <xdr:row>1544</xdr:row>
      <xdr:rowOff>276226</xdr:rowOff>
    </xdr:to>
    <xdr:sp>
      <xdr:nvSpPr>
        <xdr:cNvPr id="144" name="Rectangle 143"/>
        <xdr:cNvSpPr/>
      </xdr:nvSpPr>
      <xdr:spPr>
        <a:xfrm>
          <a:off x="418465" y="37027358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1549</xdr:row>
      <xdr:rowOff>104776</xdr:rowOff>
    </xdr:from>
    <xdr:to>
      <xdr:col>8</xdr:col>
      <xdr:colOff>238125</xdr:colOff>
      <xdr:row>1574</xdr:row>
      <xdr:rowOff>209551</xdr:rowOff>
    </xdr:to>
    <xdr:sp>
      <xdr:nvSpPr>
        <xdr:cNvPr id="145" name="Rectangle 144"/>
        <xdr:cNvSpPr/>
      </xdr:nvSpPr>
      <xdr:spPr>
        <a:xfrm>
          <a:off x="1256665" y="37265356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1540</xdr:row>
      <xdr:rowOff>38100</xdr:rowOff>
    </xdr:from>
    <xdr:to>
      <xdr:col>9</xdr:col>
      <xdr:colOff>571500</xdr:colOff>
      <xdr:row>1544</xdr:row>
      <xdr:rowOff>266700</xdr:rowOff>
    </xdr:to>
    <xdr:sp>
      <xdr:nvSpPr>
        <xdr:cNvPr id="146" name="Rectangle 145"/>
        <xdr:cNvSpPr/>
      </xdr:nvSpPr>
      <xdr:spPr>
        <a:xfrm>
          <a:off x="7286625" y="37023548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1540</xdr:row>
      <xdr:rowOff>219075</xdr:rowOff>
    </xdr:from>
    <xdr:to>
      <xdr:col>9</xdr:col>
      <xdr:colOff>457200</xdr:colOff>
      <xdr:row>1544</xdr:row>
      <xdr:rowOff>104775</xdr:rowOff>
    </xdr:to>
    <xdr:sp>
      <xdr:nvSpPr>
        <xdr:cNvPr id="147" name="TextBox 146"/>
        <xdr:cNvSpPr txBox="1"/>
      </xdr:nvSpPr>
      <xdr:spPr>
        <a:xfrm>
          <a:off x="7400925" y="37041645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1632</xdr:row>
      <xdr:rowOff>57151</xdr:rowOff>
    </xdr:from>
    <xdr:to>
      <xdr:col>9</xdr:col>
      <xdr:colOff>600075</xdr:colOff>
      <xdr:row>1641</xdr:row>
      <xdr:rowOff>152400</xdr:rowOff>
    </xdr:to>
    <xdr:graphicFrame>
      <xdr:nvGraphicFramePr>
        <xdr:cNvPr id="148" name="Chart 147"/>
        <xdr:cNvGraphicFramePr/>
      </xdr:nvGraphicFramePr>
      <xdr:xfrm>
        <a:off x="86360" y="39325486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absolute">
    <xdr:from>
      <xdr:col>2</xdr:col>
      <xdr:colOff>95250</xdr:colOff>
      <xdr:row>1595</xdr:row>
      <xdr:rowOff>76201</xdr:rowOff>
    </xdr:from>
    <xdr:to>
      <xdr:col>2</xdr:col>
      <xdr:colOff>1295400</xdr:colOff>
      <xdr:row>1599</xdr:row>
      <xdr:rowOff>276226</xdr:rowOff>
    </xdr:to>
    <xdr:sp>
      <xdr:nvSpPr>
        <xdr:cNvPr id="149" name="Rectangle 148"/>
        <xdr:cNvSpPr/>
      </xdr:nvSpPr>
      <xdr:spPr>
        <a:xfrm>
          <a:off x="418465" y="38349491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1604</xdr:row>
      <xdr:rowOff>104776</xdr:rowOff>
    </xdr:from>
    <xdr:to>
      <xdr:col>8</xdr:col>
      <xdr:colOff>238125</xdr:colOff>
      <xdr:row>1629</xdr:row>
      <xdr:rowOff>209551</xdr:rowOff>
    </xdr:to>
    <xdr:sp>
      <xdr:nvSpPr>
        <xdr:cNvPr id="150" name="Rectangle 149"/>
        <xdr:cNvSpPr/>
      </xdr:nvSpPr>
      <xdr:spPr>
        <a:xfrm>
          <a:off x="1256665" y="38587489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1595</xdr:row>
      <xdr:rowOff>38100</xdr:rowOff>
    </xdr:from>
    <xdr:to>
      <xdr:col>9</xdr:col>
      <xdr:colOff>571500</xdr:colOff>
      <xdr:row>1599</xdr:row>
      <xdr:rowOff>266700</xdr:rowOff>
    </xdr:to>
    <xdr:sp>
      <xdr:nvSpPr>
        <xdr:cNvPr id="151" name="Rectangle 150"/>
        <xdr:cNvSpPr/>
      </xdr:nvSpPr>
      <xdr:spPr>
        <a:xfrm>
          <a:off x="7286625" y="38345681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1595</xdr:row>
      <xdr:rowOff>219075</xdr:rowOff>
    </xdr:from>
    <xdr:to>
      <xdr:col>9</xdr:col>
      <xdr:colOff>457200</xdr:colOff>
      <xdr:row>1599</xdr:row>
      <xdr:rowOff>104775</xdr:rowOff>
    </xdr:to>
    <xdr:sp>
      <xdr:nvSpPr>
        <xdr:cNvPr id="152" name="TextBox 151"/>
        <xdr:cNvSpPr txBox="1"/>
      </xdr:nvSpPr>
      <xdr:spPr>
        <a:xfrm>
          <a:off x="7400925" y="38363779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1687</xdr:row>
      <xdr:rowOff>57151</xdr:rowOff>
    </xdr:from>
    <xdr:to>
      <xdr:col>9</xdr:col>
      <xdr:colOff>600075</xdr:colOff>
      <xdr:row>1696</xdr:row>
      <xdr:rowOff>152400</xdr:rowOff>
    </xdr:to>
    <xdr:graphicFrame>
      <xdr:nvGraphicFramePr>
        <xdr:cNvPr id="153" name="Chart 152"/>
        <xdr:cNvGraphicFramePr/>
      </xdr:nvGraphicFramePr>
      <xdr:xfrm>
        <a:off x="86360" y="40647620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absolute">
    <xdr:from>
      <xdr:col>2</xdr:col>
      <xdr:colOff>95250</xdr:colOff>
      <xdr:row>1650</xdr:row>
      <xdr:rowOff>76201</xdr:rowOff>
    </xdr:from>
    <xdr:to>
      <xdr:col>2</xdr:col>
      <xdr:colOff>1295400</xdr:colOff>
      <xdr:row>1654</xdr:row>
      <xdr:rowOff>276226</xdr:rowOff>
    </xdr:to>
    <xdr:sp>
      <xdr:nvSpPr>
        <xdr:cNvPr id="154" name="Rectangle 153"/>
        <xdr:cNvSpPr/>
      </xdr:nvSpPr>
      <xdr:spPr>
        <a:xfrm>
          <a:off x="418465" y="39671625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1659</xdr:row>
      <xdr:rowOff>104776</xdr:rowOff>
    </xdr:from>
    <xdr:to>
      <xdr:col>8</xdr:col>
      <xdr:colOff>238125</xdr:colOff>
      <xdr:row>1684</xdr:row>
      <xdr:rowOff>209551</xdr:rowOff>
    </xdr:to>
    <xdr:sp>
      <xdr:nvSpPr>
        <xdr:cNvPr id="155" name="Rectangle 154"/>
        <xdr:cNvSpPr/>
      </xdr:nvSpPr>
      <xdr:spPr>
        <a:xfrm>
          <a:off x="1256665" y="39909623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1650</xdr:row>
      <xdr:rowOff>38100</xdr:rowOff>
    </xdr:from>
    <xdr:to>
      <xdr:col>9</xdr:col>
      <xdr:colOff>571500</xdr:colOff>
      <xdr:row>1654</xdr:row>
      <xdr:rowOff>266700</xdr:rowOff>
    </xdr:to>
    <xdr:sp>
      <xdr:nvSpPr>
        <xdr:cNvPr id="156" name="Rectangle 155"/>
        <xdr:cNvSpPr/>
      </xdr:nvSpPr>
      <xdr:spPr>
        <a:xfrm>
          <a:off x="7286625" y="39667815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1650</xdr:row>
      <xdr:rowOff>219075</xdr:rowOff>
    </xdr:from>
    <xdr:to>
      <xdr:col>9</xdr:col>
      <xdr:colOff>457200</xdr:colOff>
      <xdr:row>1654</xdr:row>
      <xdr:rowOff>104775</xdr:rowOff>
    </xdr:to>
    <xdr:sp>
      <xdr:nvSpPr>
        <xdr:cNvPr id="157" name="TextBox 156"/>
        <xdr:cNvSpPr txBox="1"/>
      </xdr:nvSpPr>
      <xdr:spPr>
        <a:xfrm>
          <a:off x="7400925" y="39685912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1742</xdr:row>
      <xdr:rowOff>57151</xdr:rowOff>
    </xdr:from>
    <xdr:to>
      <xdr:col>9</xdr:col>
      <xdr:colOff>600075</xdr:colOff>
      <xdr:row>1751</xdr:row>
      <xdr:rowOff>152400</xdr:rowOff>
    </xdr:to>
    <xdr:graphicFrame>
      <xdr:nvGraphicFramePr>
        <xdr:cNvPr id="158" name="Chart 157"/>
        <xdr:cNvGraphicFramePr/>
      </xdr:nvGraphicFramePr>
      <xdr:xfrm>
        <a:off x="86360" y="41969753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absolute">
    <xdr:from>
      <xdr:col>2</xdr:col>
      <xdr:colOff>95250</xdr:colOff>
      <xdr:row>1705</xdr:row>
      <xdr:rowOff>76201</xdr:rowOff>
    </xdr:from>
    <xdr:to>
      <xdr:col>2</xdr:col>
      <xdr:colOff>1295400</xdr:colOff>
      <xdr:row>1709</xdr:row>
      <xdr:rowOff>276226</xdr:rowOff>
    </xdr:to>
    <xdr:sp>
      <xdr:nvSpPr>
        <xdr:cNvPr id="159" name="Rectangle 158"/>
        <xdr:cNvSpPr/>
      </xdr:nvSpPr>
      <xdr:spPr>
        <a:xfrm>
          <a:off x="418465" y="40993758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1714</xdr:row>
      <xdr:rowOff>104776</xdr:rowOff>
    </xdr:from>
    <xdr:to>
      <xdr:col>8</xdr:col>
      <xdr:colOff>238125</xdr:colOff>
      <xdr:row>1739</xdr:row>
      <xdr:rowOff>209551</xdr:rowOff>
    </xdr:to>
    <xdr:sp>
      <xdr:nvSpPr>
        <xdr:cNvPr id="160" name="Rectangle 159"/>
        <xdr:cNvSpPr/>
      </xdr:nvSpPr>
      <xdr:spPr>
        <a:xfrm>
          <a:off x="1256665" y="41231756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1705</xdr:row>
      <xdr:rowOff>38100</xdr:rowOff>
    </xdr:from>
    <xdr:to>
      <xdr:col>9</xdr:col>
      <xdr:colOff>571500</xdr:colOff>
      <xdr:row>1709</xdr:row>
      <xdr:rowOff>266700</xdr:rowOff>
    </xdr:to>
    <xdr:sp>
      <xdr:nvSpPr>
        <xdr:cNvPr id="161" name="Rectangle 160"/>
        <xdr:cNvSpPr/>
      </xdr:nvSpPr>
      <xdr:spPr>
        <a:xfrm>
          <a:off x="7286625" y="40989948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1705</xdr:row>
      <xdr:rowOff>219075</xdr:rowOff>
    </xdr:from>
    <xdr:to>
      <xdr:col>9</xdr:col>
      <xdr:colOff>457200</xdr:colOff>
      <xdr:row>1709</xdr:row>
      <xdr:rowOff>104775</xdr:rowOff>
    </xdr:to>
    <xdr:sp>
      <xdr:nvSpPr>
        <xdr:cNvPr id="162" name="TextBox 161"/>
        <xdr:cNvSpPr txBox="1"/>
      </xdr:nvSpPr>
      <xdr:spPr>
        <a:xfrm>
          <a:off x="7400925" y="41008046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1797</xdr:row>
      <xdr:rowOff>57151</xdr:rowOff>
    </xdr:from>
    <xdr:to>
      <xdr:col>9</xdr:col>
      <xdr:colOff>600075</xdr:colOff>
      <xdr:row>1806</xdr:row>
      <xdr:rowOff>152400</xdr:rowOff>
    </xdr:to>
    <xdr:graphicFrame>
      <xdr:nvGraphicFramePr>
        <xdr:cNvPr id="163" name="Chart 162"/>
        <xdr:cNvGraphicFramePr/>
      </xdr:nvGraphicFramePr>
      <xdr:xfrm>
        <a:off x="86360" y="43291887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absolute">
    <xdr:from>
      <xdr:col>2</xdr:col>
      <xdr:colOff>95250</xdr:colOff>
      <xdr:row>1760</xdr:row>
      <xdr:rowOff>76201</xdr:rowOff>
    </xdr:from>
    <xdr:to>
      <xdr:col>2</xdr:col>
      <xdr:colOff>1295400</xdr:colOff>
      <xdr:row>1764</xdr:row>
      <xdr:rowOff>276226</xdr:rowOff>
    </xdr:to>
    <xdr:sp>
      <xdr:nvSpPr>
        <xdr:cNvPr id="164" name="Rectangle 163"/>
        <xdr:cNvSpPr/>
      </xdr:nvSpPr>
      <xdr:spPr>
        <a:xfrm>
          <a:off x="418465" y="42315892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1769</xdr:row>
      <xdr:rowOff>104776</xdr:rowOff>
    </xdr:from>
    <xdr:to>
      <xdr:col>8</xdr:col>
      <xdr:colOff>238125</xdr:colOff>
      <xdr:row>1794</xdr:row>
      <xdr:rowOff>209551</xdr:rowOff>
    </xdr:to>
    <xdr:sp>
      <xdr:nvSpPr>
        <xdr:cNvPr id="165" name="Rectangle 164"/>
        <xdr:cNvSpPr/>
      </xdr:nvSpPr>
      <xdr:spPr>
        <a:xfrm>
          <a:off x="1256665" y="42553890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1760</xdr:row>
      <xdr:rowOff>38100</xdr:rowOff>
    </xdr:from>
    <xdr:to>
      <xdr:col>9</xdr:col>
      <xdr:colOff>571500</xdr:colOff>
      <xdr:row>1764</xdr:row>
      <xdr:rowOff>266700</xdr:rowOff>
    </xdr:to>
    <xdr:sp>
      <xdr:nvSpPr>
        <xdr:cNvPr id="166" name="Rectangle 165"/>
        <xdr:cNvSpPr/>
      </xdr:nvSpPr>
      <xdr:spPr>
        <a:xfrm>
          <a:off x="7286625" y="42312082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1760</xdr:row>
      <xdr:rowOff>219075</xdr:rowOff>
    </xdr:from>
    <xdr:to>
      <xdr:col>9</xdr:col>
      <xdr:colOff>457200</xdr:colOff>
      <xdr:row>1764</xdr:row>
      <xdr:rowOff>104775</xdr:rowOff>
    </xdr:to>
    <xdr:sp>
      <xdr:nvSpPr>
        <xdr:cNvPr id="167" name="TextBox 166"/>
        <xdr:cNvSpPr txBox="1"/>
      </xdr:nvSpPr>
      <xdr:spPr>
        <a:xfrm>
          <a:off x="7400925" y="42330179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1852</xdr:row>
      <xdr:rowOff>57151</xdr:rowOff>
    </xdr:from>
    <xdr:to>
      <xdr:col>9</xdr:col>
      <xdr:colOff>600075</xdr:colOff>
      <xdr:row>1861</xdr:row>
      <xdr:rowOff>152400</xdr:rowOff>
    </xdr:to>
    <xdr:graphicFrame>
      <xdr:nvGraphicFramePr>
        <xdr:cNvPr id="168" name="Chart 167"/>
        <xdr:cNvGraphicFramePr/>
      </xdr:nvGraphicFramePr>
      <xdr:xfrm>
        <a:off x="86360" y="44614020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absolute">
    <xdr:from>
      <xdr:col>2</xdr:col>
      <xdr:colOff>95250</xdr:colOff>
      <xdr:row>1815</xdr:row>
      <xdr:rowOff>76201</xdr:rowOff>
    </xdr:from>
    <xdr:to>
      <xdr:col>2</xdr:col>
      <xdr:colOff>1295400</xdr:colOff>
      <xdr:row>1819</xdr:row>
      <xdr:rowOff>276226</xdr:rowOff>
    </xdr:to>
    <xdr:sp>
      <xdr:nvSpPr>
        <xdr:cNvPr id="169" name="Rectangle 168"/>
        <xdr:cNvSpPr/>
      </xdr:nvSpPr>
      <xdr:spPr>
        <a:xfrm>
          <a:off x="418465" y="43638025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1824</xdr:row>
      <xdr:rowOff>104776</xdr:rowOff>
    </xdr:from>
    <xdr:to>
      <xdr:col>8</xdr:col>
      <xdr:colOff>238125</xdr:colOff>
      <xdr:row>1849</xdr:row>
      <xdr:rowOff>209551</xdr:rowOff>
    </xdr:to>
    <xdr:sp>
      <xdr:nvSpPr>
        <xdr:cNvPr id="170" name="Rectangle 169"/>
        <xdr:cNvSpPr/>
      </xdr:nvSpPr>
      <xdr:spPr>
        <a:xfrm>
          <a:off x="1256665" y="43876023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1815</xdr:row>
      <xdr:rowOff>38100</xdr:rowOff>
    </xdr:from>
    <xdr:to>
      <xdr:col>9</xdr:col>
      <xdr:colOff>571500</xdr:colOff>
      <xdr:row>1819</xdr:row>
      <xdr:rowOff>266700</xdr:rowOff>
    </xdr:to>
    <xdr:sp>
      <xdr:nvSpPr>
        <xdr:cNvPr id="171" name="Rectangle 170"/>
        <xdr:cNvSpPr/>
      </xdr:nvSpPr>
      <xdr:spPr>
        <a:xfrm>
          <a:off x="7286625" y="43634215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1815</xdr:row>
      <xdr:rowOff>219075</xdr:rowOff>
    </xdr:from>
    <xdr:to>
      <xdr:col>9</xdr:col>
      <xdr:colOff>457200</xdr:colOff>
      <xdr:row>1819</xdr:row>
      <xdr:rowOff>104775</xdr:rowOff>
    </xdr:to>
    <xdr:sp>
      <xdr:nvSpPr>
        <xdr:cNvPr id="172" name="TextBox 171"/>
        <xdr:cNvSpPr txBox="1"/>
      </xdr:nvSpPr>
      <xdr:spPr>
        <a:xfrm>
          <a:off x="7400925" y="43652313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1907</xdr:row>
      <xdr:rowOff>57151</xdr:rowOff>
    </xdr:from>
    <xdr:to>
      <xdr:col>9</xdr:col>
      <xdr:colOff>600075</xdr:colOff>
      <xdr:row>1916</xdr:row>
      <xdr:rowOff>152400</xdr:rowOff>
    </xdr:to>
    <xdr:graphicFrame>
      <xdr:nvGraphicFramePr>
        <xdr:cNvPr id="173" name="Chart 172"/>
        <xdr:cNvGraphicFramePr/>
      </xdr:nvGraphicFramePr>
      <xdr:xfrm>
        <a:off x="86360" y="45936154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absolute">
    <xdr:from>
      <xdr:col>2</xdr:col>
      <xdr:colOff>95250</xdr:colOff>
      <xdr:row>1870</xdr:row>
      <xdr:rowOff>76201</xdr:rowOff>
    </xdr:from>
    <xdr:to>
      <xdr:col>2</xdr:col>
      <xdr:colOff>1295400</xdr:colOff>
      <xdr:row>1874</xdr:row>
      <xdr:rowOff>276226</xdr:rowOff>
    </xdr:to>
    <xdr:sp>
      <xdr:nvSpPr>
        <xdr:cNvPr id="174" name="Rectangle 173"/>
        <xdr:cNvSpPr/>
      </xdr:nvSpPr>
      <xdr:spPr>
        <a:xfrm>
          <a:off x="418465" y="44960159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1879</xdr:row>
      <xdr:rowOff>104776</xdr:rowOff>
    </xdr:from>
    <xdr:to>
      <xdr:col>8</xdr:col>
      <xdr:colOff>238125</xdr:colOff>
      <xdr:row>1904</xdr:row>
      <xdr:rowOff>209551</xdr:rowOff>
    </xdr:to>
    <xdr:sp>
      <xdr:nvSpPr>
        <xdr:cNvPr id="175" name="Rectangle 174"/>
        <xdr:cNvSpPr/>
      </xdr:nvSpPr>
      <xdr:spPr>
        <a:xfrm>
          <a:off x="1256665" y="45198157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1870</xdr:row>
      <xdr:rowOff>38100</xdr:rowOff>
    </xdr:from>
    <xdr:to>
      <xdr:col>9</xdr:col>
      <xdr:colOff>571500</xdr:colOff>
      <xdr:row>1874</xdr:row>
      <xdr:rowOff>266700</xdr:rowOff>
    </xdr:to>
    <xdr:sp>
      <xdr:nvSpPr>
        <xdr:cNvPr id="176" name="Rectangle 175"/>
        <xdr:cNvSpPr/>
      </xdr:nvSpPr>
      <xdr:spPr>
        <a:xfrm>
          <a:off x="7286625" y="44956349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1870</xdr:row>
      <xdr:rowOff>219075</xdr:rowOff>
    </xdr:from>
    <xdr:to>
      <xdr:col>9</xdr:col>
      <xdr:colOff>457200</xdr:colOff>
      <xdr:row>1874</xdr:row>
      <xdr:rowOff>104775</xdr:rowOff>
    </xdr:to>
    <xdr:sp>
      <xdr:nvSpPr>
        <xdr:cNvPr id="177" name="TextBox 176"/>
        <xdr:cNvSpPr txBox="1"/>
      </xdr:nvSpPr>
      <xdr:spPr>
        <a:xfrm>
          <a:off x="7400925" y="44974446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1962</xdr:row>
      <xdr:rowOff>57151</xdr:rowOff>
    </xdr:from>
    <xdr:to>
      <xdr:col>9</xdr:col>
      <xdr:colOff>600075</xdr:colOff>
      <xdr:row>1971</xdr:row>
      <xdr:rowOff>152400</xdr:rowOff>
    </xdr:to>
    <xdr:graphicFrame>
      <xdr:nvGraphicFramePr>
        <xdr:cNvPr id="178" name="Chart 177"/>
        <xdr:cNvGraphicFramePr/>
      </xdr:nvGraphicFramePr>
      <xdr:xfrm>
        <a:off x="86360" y="47258287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absolute">
    <xdr:from>
      <xdr:col>2</xdr:col>
      <xdr:colOff>95250</xdr:colOff>
      <xdr:row>1925</xdr:row>
      <xdr:rowOff>76201</xdr:rowOff>
    </xdr:from>
    <xdr:to>
      <xdr:col>2</xdr:col>
      <xdr:colOff>1295400</xdr:colOff>
      <xdr:row>1929</xdr:row>
      <xdr:rowOff>276226</xdr:rowOff>
    </xdr:to>
    <xdr:sp>
      <xdr:nvSpPr>
        <xdr:cNvPr id="179" name="Rectangle 178"/>
        <xdr:cNvSpPr/>
      </xdr:nvSpPr>
      <xdr:spPr>
        <a:xfrm>
          <a:off x="418465" y="46282292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1934</xdr:row>
      <xdr:rowOff>104776</xdr:rowOff>
    </xdr:from>
    <xdr:to>
      <xdr:col>8</xdr:col>
      <xdr:colOff>238125</xdr:colOff>
      <xdr:row>1959</xdr:row>
      <xdr:rowOff>209551</xdr:rowOff>
    </xdr:to>
    <xdr:sp>
      <xdr:nvSpPr>
        <xdr:cNvPr id="180" name="Rectangle 179"/>
        <xdr:cNvSpPr/>
      </xdr:nvSpPr>
      <xdr:spPr>
        <a:xfrm>
          <a:off x="1256665" y="46520290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1925</xdr:row>
      <xdr:rowOff>38100</xdr:rowOff>
    </xdr:from>
    <xdr:to>
      <xdr:col>9</xdr:col>
      <xdr:colOff>571500</xdr:colOff>
      <xdr:row>1929</xdr:row>
      <xdr:rowOff>266700</xdr:rowOff>
    </xdr:to>
    <xdr:sp>
      <xdr:nvSpPr>
        <xdr:cNvPr id="181" name="Rectangle 180"/>
        <xdr:cNvSpPr/>
      </xdr:nvSpPr>
      <xdr:spPr>
        <a:xfrm>
          <a:off x="7286625" y="46278482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1925</xdr:row>
      <xdr:rowOff>219075</xdr:rowOff>
    </xdr:from>
    <xdr:to>
      <xdr:col>9</xdr:col>
      <xdr:colOff>457200</xdr:colOff>
      <xdr:row>1929</xdr:row>
      <xdr:rowOff>104775</xdr:rowOff>
    </xdr:to>
    <xdr:sp>
      <xdr:nvSpPr>
        <xdr:cNvPr id="182" name="TextBox 181"/>
        <xdr:cNvSpPr txBox="1"/>
      </xdr:nvSpPr>
      <xdr:spPr>
        <a:xfrm>
          <a:off x="7400925" y="46296580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2017</xdr:row>
      <xdr:rowOff>57151</xdr:rowOff>
    </xdr:from>
    <xdr:to>
      <xdr:col>9</xdr:col>
      <xdr:colOff>600075</xdr:colOff>
      <xdr:row>2026</xdr:row>
      <xdr:rowOff>152400</xdr:rowOff>
    </xdr:to>
    <xdr:graphicFrame>
      <xdr:nvGraphicFramePr>
        <xdr:cNvPr id="183" name="Chart 182"/>
        <xdr:cNvGraphicFramePr/>
      </xdr:nvGraphicFramePr>
      <xdr:xfrm>
        <a:off x="86360" y="48580421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absolute">
    <xdr:from>
      <xdr:col>2</xdr:col>
      <xdr:colOff>95250</xdr:colOff>
      <xdr:row>1980</xdr:row>
      <xdr:rowOff>76201</xdr:rowOff>
    </xdr:from>
    <xdr:to>
      <xdr:col>2</xdr:col>
      <xdr:colOff>1295400</xdr:colOff>
      <xdr:row>1984</xdr:row>
      <xdr:rowOff>276226</xdr:rowOff>
    </xdr:to>
    <xdr:sp>
      <xdr:nvSpPr>
        <xdr:cNvPr id="184" name="Rectangle 183"/>
        <xdr:cNvSpPr/>
      </xdr:nvSpPr>
      <xdr:spPr>
        <a:xfrm>
          <a:off x="418465" y="47604426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1989</xdr:row>
      <xdr:rowOff>104776</xdr:rowOff>
    </xdr:from>
    <xdr:to>
      <xdr:col>8</xdr:col>
      <xdr:colOff>238125</xdr:colOff>
      <xdr:row>2014</xdr:row>
      <xdr:rowOff>209551</xdr:rowOff>
    </xdr:to>
    <xdr:sp>
      <xdr:nvSpPr>
        <xdr:cNvPr id="185" name="Rectangle 184"/>
        <xdr:cNvSpPr/>
      </xdr:nvSpPr>
      <xdr:spPr>
        <a:xfrm>
          <a:off x="1256665" y="47842424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1980</xdr:row>
      <xdr:rowOff>38100</xdr:rowOff>
    </xdr:from>
    <xdr:to>
      <xdr:col>9</xdr:col>
      <xdr:colOff>571500</xdr:colOff>
      <xdr:row>1984</xdr:row>
      <xdr:rowOff>266700</xdr:rowOff>
    </xdr:to>
    <xdr:sp>
      <xdr:nvSpPr>
        <xdr:cNvPr id="186" name="Rectangle 185"/>
        <xdr:cNvSpPr/>
      </xdr:nvSpPr>
      <xdr:spPr>
        <a:xfrm>
          <a:off x="7286625" y="47600616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1980</xdr:row>
      <xdr:rowOff>219075</xdr:rowOff>
    </xdr:from>
    <xdr:to>
      <xdr:col>9</xdr:col>
      <xdr:colOff>457200</xdr:colOff>
      <xdr:row>1984</xdr:row>
      <xdr:rowOff>104775</xdr:rowOff>
    </xdr:to>
    <xdr:sp>
      <xdr:nvSpPr>
        <xdr:cNvPr id="187" name="TextBox 186"/>
        <xdr:cNvSpPr txBox="1"/>
      </xdr:nvSpPr>
      <xdr:spPr>
        <a:xfrm>
          <a:off x="7400925" y="47618713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2072</xdr:row>
      <xdr:rowOff>57151</xdr:rowOff>
    </xdr:from>
    <xdr:to>
      <xdr:col>9</xdr:col>
      <xdr:colOff>600075</xdr:colOff>
      <xdr:row>2081</xdr:row>
      <xdr:rowOff>152400</xdr:rowOff>
    </xdr:to>
    <xdr:graphicFrame>
      <xdr:nvGraphicFramePr>
        <xdr:cNvPr id="188" name="Chart 187"/>
        <xdr:cNvGraphicFramePr/>
      </xdr:nvGraphicFramePr>
      <xdr:xfrm>
        <a:off x="86360" y="49902554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absolute">
    <xdr:from>
      <xdr:col>2</xdr:col>
      <xdr:colOff>95250</xdr:colOff>
      <xdr:row>2035</xdr:row>
      <xdr:rowOff>76201</xdr:rowOff>
    </xdr:from>
    <xdr:to>
      <xdr:col>2</xdr:col>
      <xdr:colOff>1295400</xdr:colOff>
      <xdr:row>2039</xdr:row>
      <xdr:rowOff>276226</xdr:rowOff>
    </xdr:to>
    <xdr:sp>
      <xdr:nvSpPr>
        <xdr:cNvPr id="189" name="Rectangle 188"/>
        <xdr:cNvSpPr/>
      </xdr:nvSpPr>
      <xdr:spPr>
        <a:xfrm>
          <a:off x="418465" y="48926559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2044</xdr:row>
      <xdr:rowOff>104776</xdr:rowOff>
    </xdr:from>
    <xdr:to>
      <xdr:col>8</xdr:col>
      <xdr:colOff>238125</xdr:colOff>
      <xdr:row>2069</xdr:row>
      <xdr:rowOff>209551</xdr:rowOff>
    </xdr:to>
    <xdr:sp>
      <xdr:nvSpPr>
        <xdr:cNvPr id="190" name="Rectangle 189"/>
        <xdr:cNvSpPr/>
      </xdr:nvSpPr>
      <xdr:spPr>
        <a:xfrm>
          <a:off x="1256665" y="49164557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2035</xdr:row>
      <xdr:rowOff>38100</xdr:rowOff>
    </xdr:from>
    <xdr:to>
      <xdr:col>9</xdr:col>
      <xdr:colOff>571500</xdr:colOff>
      <xdr:row>2039</xdr:row>
      <xdr:rowOff>266700</xdr:rowOff>
    </xdr:to>
    <xdr:sp>
      <xdr:nvSpPr>
        <xdr:cNvPr id="191" name="Rectangle 190"/>
        <xdr:cNvSpPr/>
      </xdr:nvSpPr>
      <xdr:spPr>
        <a:xfrm>
          <a:off x="7286625" y="48922749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2035</xdr:row>
      <xdr:rowOff>219075</xdr:rowOff>
    </xdr:from>
    <xdr:to>
      <xdr:col>9</xdr:col>
      <xdr:colOff>457200</xdr:colOff>
      <xdr:row>2039</xdr:row>
      <xdr:rowOff>104775</xdr:rowOff>
    </xdr:to>
    <xdr:sp>
      <xdr:nvSpPr>
        <xdr:cNvPr id="192" name="TextBox 191"/>
        <xdr:cNvSpPr txBox="1"/>
      </xdr:nvSpPr>
      <xdr:spPr>
        <a:xfrm>
          <a:off x="7400925" y="48940847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2127</xdr:row>
      <xdr:rowOff>57151</xdr:rowOff>
    </xdr:from>
    <xdr:to>
      <xdr:col>9</xdr:col>
      <xdr:colOff>600075</xdr:colOff>
      <xdr:row>2136</xdr:row>
      <xdr:rowOff>152400</xdr:rowOff>
    </xdr:to>
    <xdr:graphicFrame>
      <xdr:nvGraphicFramePr>
        <xdr:cNvPr id="193" name="Chart 192"/>
        <xdr:cNvGraphicFramePr/>
      </xdr:nvGraphicFramePr>
      <xdr:xfrm>
        <a:off x="86360" y="51224688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absolute">
    <xdr:from>
      <xdr:col>2</xdr:col>
      <xdr:colOff>95250</xdr:colOff>
      <xdr:row>2090</xdr:row>
      <xdr:rowOff>76201</xdr:rowOff>
    </xdr:from>
    <xdr:to>
      <xdr:col>2</xdr:col>
      <xdr:colOff>1295400</xdr:colOff>
      <xdr:row>2094</xdr:row>
      <xdr:rowOff>276226</xdr:rowOff>
    </xdr:to>
    <xdr:sp>
      <xdr:nvSpPr>
        <xdr:cNvPr id="194" name="Rectangle 193"/>
        <xdr:cNvSpPr/>
      </xdr:nvSpPr>
      <xdr:spPr>
        <a:xfrm>
          <a:off x="418465" y="50248693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2099</xdr:row>
      <xdr:rowOff>104776</xdr:rowOff>
    </xdr:from>
    <xdr:to>
      <xdr:col>8</xdr:col>
      <xdr:colOff>238125</xdr:colOff>
      <xdr:row>2124</xdr:row>
      <xdr:rowOff>209551</xdr:rowOff>
    </xdr:to>
    <xdr:sp>
      <xdr:nvSpPr>
        <xdr:cNvPr id="195" name="Rectangle 194"/>
        <xdr:cNvSpPr/>
      </xdr:nvSpPr>
      <xdr:spPr>
        <a:xfrm>
          <a:off x="1256665" y="50486691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2090</xdr:row>
      <xdr:rowOff>38100</xdr:rowOff>
    </xdr:from>
    <xdr:to>
      <xdr:col>9</xdr:col>
      <xdr:colOff>571500</xdr:colOff>
      <xdr:row>2094</xdr:row>
      <xdr:rowOff>266700</xdr:rowOff>
    </xdr:to>
    <xdr:sp>
      <xdr:nvSpPr>
        <xdr:cNvPr id="196" name="Rectangle 195"/>
        <xdr:cNvSpPr/>
      </xdr:nvSpPr>
      <xdr:spPr>
        <a:xfrm>
          <a:off x="7286625" y="50244883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2090</xdr:row>
      <xdr:rowOff>219075</xdr:rowOff>
    </xdr:from>
    <xdr:to>
      <xdr:col>9</xdr:col>
      <xdr:colOff>457200</xdr:colOff>
      <xdr:row>2094</xdr:row>
      <xdr:rowOff>104775</xdr:rowOff>
    </xdr:to>
    <xdr:sp>
      <xdr:nvSpPr>
        <xdr:cNvPr id="197" name="TextBox 196"/>
        <xdr:cNvSpPr txBox="1"/>
      </xdr:nvSpPr>
      <xdr:spPr>
        <a:xfrm>
          <a:off x="7400925" y="50262980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2182</xdr:row>
      <xdr:rowOff>57151</xdr:rowOff>
    </xdr:from>
    <xdr:to>
      <xdr:col>9</xdr:col>
      <xdr:colOff>600075</xdr:colOff>
      <xdr:row>2191</xdr:row>
      <xdr:rowOff>152400</xdr:rowOff>
    </xdr:to>
    <xdr:graphicFrame>
      <xdr:nvGraphicFramePr>
        <xdr:cNvPr id="198" name="Chart 197"/>
        <xdr:cNvGraphicFramePr/>
      </xdr:nvGraphicFramePr>
      <xdr:xfrm>
        <a:off x="86360" y="52546821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absolute">
    <xdr:from>
      <xdr:col>2</xdr:col>
      <xdr:colOff>95250</xdr:colOff>
      <xdr:row>2145</xdr:row>
      <xdr:rowOff>76201</xdr:rowOff>
    </xdr:from>
    <xdr:to>
      <xdr:col>2</xdr:col>
      <xdr:colOff>1295400</xdr:colOff>
      <xdr:row>2149</xdr:row>
      <xdr:rowOff>276226</xdr:rowOff>
    </xdr:to>
    <xdr:sp>
      <xdr:nvSpPr>
        <xdr:cNvPr id="199" name="Rectangle 198"/>
        <xdr:cNvSpPr/>
      </xdr:nvSpPr>
      <xdr:spPr>
        <a:xfrm>
          <a:off x="418465" y="51570826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2154</xdr:row>
      <xdr:rowOff>104776</xdr:rowOff>
    </xdr:from>
    <xdr:to>
      <xdr:col>8</xdr:col>
      <xdr:colOff>238125</xdr:colOff>
      <xdr:row>2179</xdr:row>
      <xdr:rowOff>209551</xdr:rowOff>
    </xdr:to>
    <xdr:sp>
      <xdr:nvSpPr>
        <xdr:cNvPr id="200" name="Rectangle 199"/>
        <xdr:cNvSpPr/>
      </xdr:nvSpPr>
      <xdr:spPr>
        <a:xfrm>
          <a:off x="1256665" y="51808824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2145</xdr:row>
      <xdr:rowOff>38100</xdr:rowOff>
    </xdr:from>
    <xdr:to>
      <xdr:col>9</xdr:col>
      <xdr:colOff>571500</xdr:colOff>
      <xdr:row>2149</xdr:row>
      <xdr:rowOff>266700</xdr:rowOff>
    </xdr:to>
    <xdr:sp>
      <xdr:nvSpPr>
        <xdr:cNvPr id="201" name="Rectangle 200"/>
        <xdr:cNvSpPr/>
      </xdr:nvSpPr>
      <xdr:spPr>
        <a:xfrm>
          <a:off x="7286625" y="51567016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2145</xdr:row>
      <xdr:rowOff>219075</xdr:rowOff>
    </xdr:from>
    <xdr:to>
      <xdr:col>9</xdr:col>
      <xdr:colOff>457200</xdr:colOff>
      <xdr:row>2149</xdr:row>
      <xdr:rowOff>104775</xdr:rowOff>
    </xdr:to>
    <xdr:sp>
      <xdr:nvSpPr>
        <xdr:cNvPr id="202" name="TextBox 201"/>
        <xdr:cNvSpPr txBox="1"/>
      </xdr:nvSpPr>
      <xdr:spPr>
        <a:xfrm>
          <a:off x="7400925" y="51585114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2237</xdr:row>
      <xdr:rowOff>57151</xdr:rowOff>
    </xdr:from>
    <xdr:to>
      <xdr:col>9</xdr:col>
      <xdr:colOff>600075</xdr:colOff>
      <xdr:row>2246</xdr:row>
      <xdr:rowOff>152400</xdr:rowOff>
    </xdr:to>
    <xdr:graphicFrame>
      <xdr:nvGraphicFramePr>
        <xdr:cNvPr id="203" name="Chart 202"/>
        <xdr:cNvGraphicFramePr/>
      </xdr:nvGraphicFramePr>
      <xdr:xfrm>
        <a:off x="86360" y="53868955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absolute">
    <xdr:from>
      <xdr:col>2</xdr:col>
      <xdr:colOff>95250</xdr:colOff>
      <xdr:row>2200</xdr:row>
      <xdr:rowOff>76201</xdr:rowOff>
    </xdr:from>
    <xdr:to>
      <xdr:col>2</xdr:col>
      <xdr:colOff>1295400</xdr:colOff>
      <xdr:row>2204</xdr:row>
      <xdr:rowOff>276226</xdr:rowOff>
    </xdr:to>
    <xdr:sp>
      <xdr:nvSpPr>
        <xdr:cNvPr id="204" name="Rectangle 203"/>
        <xdr:cNvSpPr/>
      </xdr:nvSpPr>
      <xdr:spPr>
        <a:xfrm>
          <a:off x="418465" y="52892960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2209</xdr:row>
      <xdr:rowOff>104776</xdr:rowOff>
    </xdr:from>
    <xdr:to>
      <xdr:col>8</xdr:col>
      <xdr:colOff>238125</xdr:colOff>
      <xdr:row>2234</xdr:row>
      <xdr:rowOff>209551</xdr:rowOff>
    </xdr:to>
    <xdr:sp>
      <xdr:nvSpPr>
        <xdr:cNvPr id="205" name="Rectangle 204"/>
        <xdr:cNvSpPr/>
      </xdr:nvSpPr>
      <xdr:spPr>
        <a:xfrm>
          <a:off x="1256665" y="53130958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2200</xdr:row>
      <xdr:rowOff>38100</xdr:rowOff>
    </xdr:from>
    <xdr:to>
      <xdr:col>9</xdr:col>
      <xdr:colOff>571500</xdr:colOff>
      <xdr:row>2204</xdr:row>
      <xdr:rowOff>266700</xdr:rowOff>
    </xdr:to>
    <xdr:sp>
      <xdr:nvSpPr>
        <xdr:cNvPr id="206" name="Rectangle 205"/>
        <xdr:cNvSpPr/>
      </xdr:nvSpPr>
      <xdr:spPr>
        <a:xfrm>
          <a:off x="7286625" y="52889150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2200</xdr:row>
      <xdr:rowOff>219075</xdr:rowOff>
    </xdr:from>
    <xdr:to>
      <xdr:col>9</xdr:col>
      <xdr:colOff>457200</xdr:colOff>
      <xdr:row>2204</xdr:row>
      <xdr:rowOff>104775</xdr:rowOff>
    </xdr:to>
    <xdr:sp>
      <xdr:nvSpPr>
        <xdr:cNvPr id="207" name="TextBox 206"/>
        <xdr:cNvSpPr txBox="1"/>
      </xdr:nvSpPr>
      <xdr:spPr>
        <a:xfrm>
          <a:off x="7400925" y="52907247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2292</xdr:row>
      <xdr:rowOff>57151</xdr:rowOff>
    </xdr:from>
    <xdr:to>
      <xdr:col>9</xdr:col>
      <xdr:colOff>600075</xdr:colOff>
      <xdr:row>2301</xdr:row>
      <xdr:rowOff>152400</xdr:rowOff>
    </xdr:to>
    <xdr:graphicFrame>
      <xdr:nvGraphicFramePr>
        <xdr:cNvPr id="208" name="Chart 207"/>
        <xdr:cNvGraphicFramePr/>
      </xdr:nvGraphicFramePr>
      <xdr:xfrm>
        <a:off x="86360" y="55191088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absolute">
    <xdr:from>
      <xdr:col>2</xdr:col>
      <xdr:colOff>95250</xdr:colOff>
      <xdr:row>2255</xdr:row>
      <xdr:rowOff>76201</xdr:rowOff>
    </xdr:from>
    <xdr:to>
      <xdr:col>2</xdr:col>
      <xdr:colOff>1295400</xdr:colOff>
      <xdr:row>2259</xdr:row>
      <xdr:rowOff>276226</xdr:rowOff>
    </xdr:to>
    <xdr:sp>
      <xdr:nvSpPr>
        <xdr:cNvPr id="209" name="Rectangle 208"/>
        <xdr:cNvSpPr/>
      </xdr:nvSpPr>
      <xdr:spPr>
        <a:xfrm>
          <a:off x="418465" y="54215093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2264</xdr:row>
      <xdr:rowOff>104776</xdr:rowOff>
    </xdr:from>
    <xdr:to>
      <xdr:col>8</xdr:col>
      <xdr:colOff>238125</xdr:colOff>
      <xdr:row>2289</xdr:row>
      <xdr:rowOff>209551</xdr:rowOff>
    </xdr:to>
    <xdr:sp>
      <xdr:nvSpPr>
        <xdr:cNvPr id="210" name="Rectangle 209"/>
        <xdr:cNvSpPr/>
      </xdr:nvSpPr>
      <xdr:spPr>
        <a:xfrm>
          <a:off x="1256665" y="54453091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2255</xdr:row>
      <xdr:rowOff>38100</xdr:rowOff>
    </xdr:from>
    <xdr:to>
      <xdr:col>9</xdr:col>
      <xdr:colOff>571500</xdr:colOff>
      <xdr:row>2259</xdr:row>
      <xdr:rowOff>266700</xdr:rowOff>
    </xdr:to>
    <xdr:sp>
      <xdr:nvSpPr>
        <xdr:cNvPr id="211" name="Rectangle 210"/>
        <xdr:cNvSpPr/>
      </xdr:nvSpPr>
      <xdr:spPr>
        <a:xfrm>
          <a:off x="7286625" y="54211283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2255</xdr:row>
      <xdr:rowOff>219075</xdr:rowOff>
    </xdr:from>
    <xdr:to>
      <xdr:col>9</xdr:col>
      <xdr:colOff>457200</xdr:colOff>
      <xdr:row>2259</xdr:row>
      <xdr:rowOff>104775</xdr:rowOff>
    </xdr:to>
    <xdr:sp>
      <xdr:nvSpPr>
        <xdr:cNvPr id="212" name="TextBox 211"/>
        <xdr:cNvSpPr txBox="1"/>
      </xdr:nvSpPr>
      <xdr:spPr>
        <a:xfrm>
          <a:off x="7400925" y="54229381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2347</xdr:row>
      <xdr:rowOff>57151</xdr:rowOff>
    </xdr:from>
    <xdr:to>
      <xdr:col>9</xdr:col>
      <xdr:colOff>600075</xdr:colOff>
      <xdr:row>2356</xdr:row>
      <xdr:rowOff>152400</xdr:rowOff>
    </xdr:to>
    <xdr:graphicFrame>
      <xdr:nvGraphicFramePr>
        <xdr:cNvPr id="213" name="Chart 212"/>
        <xdr:cNvGraphicFramePr/>
      </xdr:nvGraphicFramePr>
      <xdr:xfrm>
        <a:off x="86360" y="56513222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absolute">
    <xdr:from>
      <xdr:col>2</xdr:col>
      <xdr:colOff>95250</xdr:colOff>
      <xdr:row>2310</xdr:row>
      <xdr:rowOff>76201</xdr:rowOff>
    </xdr:from>
    <xdr:to>
      <xdr:col>2</xdr:col>
      <xdr:colOff>1295400</xdr:colOff>
      <xdr:row>2314</xdr:row>
      <xdr:rowOff>276226</xdr:rowOff>
    </xdr:to>
    <xdr:sp>
      <xdr:nvSpPr>
        <xdr:cNvPr id="214" name="Rectangle 213"/>
        <xdr:cNvSpPr/>
      </xdr:nvSpPr>
      <xdr:spPr>
        <a:xfrm>
          <a:off x="418465" y="55537227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2319</xdr:row>
      <xdr:rowOff>104776</xdr:rowOff>
    </xdr:from>
    <xdr:to>
      <xdr:col>8</xdr:col>
      <xdr:colOff>238125</xdr:colOff>
      <xdr:row>2344</xdr:row>
      <xdr:rowOff>209551</xdr:rowOff>
    </xdr:to>
    <xdr:sp>
      <xdr:nvSpPr>
        <xdr:cNvPr id="215" name="Rectangle 214"/>
        <xdr:cNvSpPr/>
      </xdr:nvSpPr>
      <xdr:spPr>
        <a:xfrm>
          <a:off x="1256665" y="55775225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2310</xdr:row>
      <xdr:rowOff>38100</xdr:rowOff>
    </xdr:from>
    <xdr:to>
      <xdr:col>9</xdr:col>
      <xdr:colOff>571500</xdr:colOff>
      <xdr:row>2314</xdr:row>
      <xdr:rowOff>266700</xdr:rowOff>
    </xdr:to>
    <xdr:sp>
      <xdr:nvSpPr>
        <xdr:cNvPr id="216" name="Rectangle 215"/>
        <xdr:cNvSpPr/>
      </xdr:nvSpPr>
      <xdr:spPr>
        <a:xfrm>
          <a:off x="7286625" y="55533417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2310</xdr:row>
      <xdr:rowOff>219075</xdr:rowOff>
    </xdr:from>
    <xdr:to>
      <xdr:col>9</xdr:col>
      <xdr:colOff>457200</xdr:colOff>
      <xdr:row>2314</xdr:row>
      <xdr:rowOff>104775</xdr:rowOff>
    </xdr:to>
    <xdr:sp>
      <xdr:nvSpPr>
        <xdr:cNvPr id="217" name="TextBox 216"/>
        <xdr:cNvSpPr txBox="1"/>
      </xdr:nvSpPr>
      <xdr:spPr>
        <a:xfrm>
          <a:off x="7400925" y="55551514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2402</xdr:row>
      <xdr:rowOff>57151</xdr:rowOff>
    </xdr:from>
    <xdr:to>
      <xdr:col>9</xdr:col>
      <xdr:colOff>600075</xdr:colOff>
      <xdr:row>2411</xdr:row>
      <xdr:rowOff>152400</xdr:rowOff>
    </xdr:to>
    <xdr:graphicFrame>
      <xdr:nvGraphicFramePr>
        <xdr:cNvPr id="218" name="Chart 217"/>
        <xdr:cNvGraphicFramePr/>
      </xdr:nvGraphicFramePr>
      <xdr:xfrm>
        <a:off x="86360" y="57835355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absolute">
    <xdr:from>
      <xdr:col>2</xdr:col>
      <xdr:colOff>95250</xdr:colOff>
      <xdr:row>2365</xdr:row>
      <xdr:rowOff>76201</xdr:rowOff>
    </xdr:from>
    <xdr:to>
      <xdr:col>2</xdr:col>
      <xdr:colOff>1295400</xdr:colOff>
      <xdr:row>2369</xdr:row>
      <xdr:rowOff>276226</xdr:rowOff>
    </xdr:to>
    <xdr:sp>
      <xdr:nvSpPr>
        <xdr:cNvPr id="219" name="Rectangle 218"/>
        <xdr:cNvSpPr/>
      </xdr:nvSpPr>
      <xdr:spPr>
        <a:xfrm>
          <a:off x="418465" y="56859360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2374</xdr:row>
      <xdr:rowOff>104776</xdr:rowOff>
    </xdr:from>
    <xdr:to>
      <xdr:col>8</xdr:col>
      <xdr:colOff>238125</xdr:colOff>
      <xdr:row>2399</xdr:row>
      <xdr:rowOff>209551</xdr:rowOff>
    </xdr:to>
    <xdr:sp>
      <xdr:nvSpPr>
        <xdr:cNvPr id="220" name="Rectangle 219"/>
        <xdr:cNvSpPr/>
      </xdr:nvSpPr>
      <xdr:spPr>
        <a:xfrm>
          <a:off x="1256665" y="57097358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2365</xdr:row>
      <xdr:rowOff>38100</xdr:rowOff>
    </xdr:from>
    <xdr:to>
      <xdr:col>9</xdr:col>
      <xdr:colOff>571500</xdr:colOff>
      <xdr:row>2369</xdr:row>
      <xdr:rowOff>266700</xdr:rowOff>
    </xdr:to>
    <xdr:sp>
      <xdr:nvSpPr>
        <xdr:cNvPr id="221" name="Rectangle 220"/>
        <xdr:cNvSpPr/>
      </xdr:nvSpPr>
      <xdr:spPr>
        <a:xfrm>
          <a:off x="7286625" y="56855550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2365</xdr:row>
      <xdr:rowOff>219075</xdr:rowOff>
    </xdr:from>
    <xdr:to>
      <xdr:col>9</xdr:col>
      <xdr:colOff>457200</xdr:colOff>
      <xdr:row>2369</xdr:row>
      <xdr:rowOff>104775</xdr:rowOff>
    </xdr:to>
    <xdr:sp>
      <xdr:nvSpPr>
        <xdr:cNvPr id="222" name="TextBox 221"/>
        <xdr:cNvSpPr txBox="1"/>
      </xdr:nvSpPr>
      <xdr:spPr>
        <a:xfrm>
          <a:off x="7400925" y="56873648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2457</xdr:row>
      <xdr:rowOff>57151</xdr:rowOff>
    </xdr:from>
    <xdr:to>
      <xdr:col>9</xdr:col>
      <xdr:colOff>600075</xdr:colOff>
      <xdr:row>2466</xdr:row>
      <xdr:rowOff>152400</xdr:rowOff>
    </xdr:to>
    <xdr:graphicFrame>
      <xdr:nvGraphicFramePr>
        <xdr:cNvPr id="223" name="Chart 222"/>
        <xdr:cNvGraphicFramePr/>
      </xdr:nvGraphicFramePr>
      <xdr:xfrm>
        <a:off x="86360" y="59157489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absolute">
    <xdr:from>
      <xdr:col>2</xdr:col>
      <xdr:colOff>95250</xdr:colOff>
      <xdr:row>2420</xdr:row>
      <xdr:rowOff>76201</xdr:rowOff>
    </xdr:from>
    <xdr:to>
      <xdr:col>2</xdr:col>
      <xdr:colOff>1295400</xdr:colOff>
      <xdr:row>2424</xdr:row>
      <xdr:rowOff>276226</xdr:rowOff>
    </xdr:to>
    <xdr:sp>
      <xdr:nvSpPr>
        <xdr:cNvPr id="224" name="Rectangle 223"/>
        <xdr:cNvSpPr/>
      </xdr:nvSpPr>
      <xdr:spPr>
        <a:xfrm>
          <a:off x="418465" y="58181494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2429</xdr:row>
      <xdr:rowOff>104776</xdr:rowOff>
    </xdr:from>
    <xdr:to>
      <xdr:col>8</xdr:col>
      <xdr:colOff>238125</xdr:colOff>
      <xdr:row>2454</xdr:row>
      <xdr:rowOff>209551</xdr:rowOff>
    </xdr:to>
    <xdr:sp>
      <xdr:nvSpPr>
        <xdr:cNvPr id="225" name="Rectangle 224"/>
        <xdr:cNvSpPr/>
      </xdr:nvSpPr>
      <xdr:spPr>
        <a:xfrm>
          <a:off x="1256665" y="58419492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2420</xdr:row>
      <xdr:rowOff>38100</xdr:rowOff>
    </xdr:from>
    <xdr:to>
      <xdr:col>9</xdr:col>
      <xdr:colOff>571500</xdr:colOff>
      <xdr:row>2424</xdr:row>
      <xdr:rowOff>266700</xdr:rowOff>
    </xdr:to>
    <xdr:sp>
      <xdr:nvSpPr>
        <xdr:cNvPr id="226" name="Rectangle 225"/>
        <xdr:cNvSpPr/>
      </xdr:nvSpPr>
      <xdr:spPr>
        <a:xfrm>
          <a:off x="7286625" y="58177684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2420</xdr:row>
      <xdr:rowOff>219075</xdr:rowOff>
    </xdr:from>
    <xdr:to>
      <xdr:col>9</xdr:col>
      <xdr:colOff>457200</xdr:colOff>
      <xdr:row>2424</xdr:row>
      <xdr:rowOff>104775</xdr:rowOff>
    </xdr:to>
    <xdr:sp>
      <xdr:nvSpPr>
        <xdr:cNvPr id="227" name="TextBox 226"/>
        <xdr:cNvSpPr txBox="1"/>
      </xdr:nvSpPr>
      <xdr:spPr>
        <a:xfrm>
          <a:off x="7400925" y="58195781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2512</xdr:row>
      <xdr:rowOff>57151</xdr:rowOff>
    </xdr:from>
    <xdr:to>
      <xdr:col>9</xdr:col>
      <xdr:colOff>600075</xdr:colOff>
      <xdr:row>2521</xdr:row>
      <xdr:rowOff>152400</xdr:rowOff>
    </xdr:to>
    <xdr:graphicFrame>
      <xdr:nvGraphicFramePr>
        <xdr:cNvPr id="228" name="Chart 227"/>
        <xdr:cNvGraphicFramePr/>
      </xdr:nvGraphicFramePr>
      <xdr:xfrm>
        <a:off x="86360" y="60479622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absolute">
    <xdr:from>
      <xdr:col>2</xdr:col>
      <xdr:colOff>95250</xdr:colOff>
      <xdr:row>2475</xdr:row>
      <xdr:rowOff>76201</xdr:rowOff>
    </xdr:from>
    <xdr:to>
      <xdr:col>2</xdr:col>
      <xdr:colOff>1295400</xdr:colOff>
      <xdr:row>2479</xdr:row>
      <xdr:rowOff>276226</xdr:rowOff>
    </xdr:to>
    <xdr:sp>
      <xdr:nvSpPr>
        <xdr:cNvPr id="229" name="Rectangle 228"/>
        <xdr:cNvSpPr/>
      </xdr:nvSpPr>
      <xdr:spPr>
        <a:xfrm>
          <a:off x="418465" y="59503627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2484</xdr:row>
      <xdr:rowOff>104776</xdr:rowOff>
    </xdr:from>
    <xdr:to>
      <xdr:col>8</xdr:col>
      <xdr:colOff>238125</xdr:colOff>
      <xdr:row>2509</xdr:row>
      <xdr:rowOff>209551</xdr:rowOff>
    </xdr:to>
    <xdr:sp>
      <xdr:nvSpPr>
        <xdr:cNvPr id="230" name="Rectangle 229"/>
        <xdr:cNvSpPr/>
      </xdr:nvSpPr>
      <xdr:spPr>
        <a:xfrm>
          <a:off x="1256665" y="59741625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2475</xdr:row>
      <xdr:rowOff>38100</xdr:rowOff>
    </xdr:from>
    <xdr:to>
      <xdr:col>9</xdr:col>
      <xdr:colOff>571500</xdr:colOff>
      <xdr:row>2479</xdr:row>
      <xdr:rowOff>266700</xdr:rowOff>
    </xdr:to>
    <xdr:sp>
      <xdr:nvSpPr>
        <xdr:cNvPr id="231" name="Rectangle 230"/>
        <xdr:cNvSpPr/>
      </xdr:nvSpPr>
      <xdr:spPr>
        <a:xfrm>
          <a:off x="7286625" y="59499817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2475</xdr:row>
      <xdr:rowOff>219075</xdr:rowOff>
    </xdr:from>
    <xdr:to>
      <xdr:col>9</xdr:col>
      <xdr:colOff>457200</xdr:colOff>
      <xdr:row>2479</xdr:row>
      <xdr:rowOff>104775</xdr:rowOff>
    </xdr:to>
    <xdr:sp>
      <xdr:nvSpPr>
        <xdr:cNvPr id="232" name="TextBox 231"/>
        <xdr:cNvSpPr txBox="1"/>
      </xdr:nvSpPr>
      <xdr:spPr>
        <a:xfrm>
          <a:off x="7400925" y="59517915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2567</xdr:row>
      <xdr:rowOff>57151</xdr:rowOff>
    </xdr:from>
    <xdr:to>
      <xdr:col>9</xdr:col>
      <xdr:colOff>600075</xdr:colOff>
      <xdr:row>2576</xdr:row>
      <xdr:rowOff>152400</xdr:rowOff>
    </xdr:to>
    <xdr:graphicFrame>
      <xdr:nvGraphicFramePr>
        <xdr:cNvPr id="233" name="Chart 232"/>
        <xdr:cNvGraphicFramePr/>
      </xdr:nvGraphicFramePr>
      <xdr:xfrm>
        <a:off x="86360" y="61801756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absolute">
    <xdr:from>
      <xdr:col>2</xdr:col>
      <xdr:colOff>95250</xdr:colOff>
      <xdr:row>2530</xdr:row>
      <xdr:rowOff>76201</xdr:rowOff>
    </xdr:from>
    <xdr:to>
      <xdr:col>2</xdr:col>
      <xdr:colOff>1295400</xdr:colOff>
      <xdr:row>2534</xdr:row>
      <xdr:rowOff>276226</xdr:rowOff>
    </xdr:to>
    <xdr:sp>
      <xdr:nvSpPr>
        <xdr:cNvPr id="234" name="Rectangle 233"/>
        <xdr:cNvSpPr/>
      </xdr:nvSpPr>
      <xdr:spPr>
        <a:xfrm>
          <a:off x="418465" y="60825761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2539</xdr:row>
      <xdr:rowOff>104776</xdr:rowOff>
    </xdr:from>
    <xdr:to>
      <xdr:col>8</xdr:col>
      <xdr:colOff>238125</xdr:colOff>
      <xdr:row>2564</xdr:row>
      <xdr:rowOff>209551</xdr:rowOff>
    </xdr:to>
    <xdr:sp>
      <xdr:nvSpPr>
        <xdr:cNvPr id="235" name="Rectangle 234"/>
        <xdr:cNvSpPr/>
      </xdr:nvSpPr>
      <xdr:spPr>
        <a:xfrm>
          <a:off x="1256665" y="61063759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2530</xdr:row>
      <xdr:rowOff>38100</xdr:rowOff>
    </xdr:from>
    <xdr:to>
      <xdr:col>9</xdr:col>
      <xdr:colOff>571500</xdr:colOff>
      <xdr:row>2534</xdr:row>
      <xdr:rowOff>266700</xdr:rowOff>
    </xdr:to>
    <xdr:sp>
      <xdr:nvSpPr>
        <xdr:cNvPr id="236" name="Rectangle 235"/>
        <xdr:cNvSpPr/>
      </xdr:nvSpPr>
      <xdr:spPr>
        <a:xfrm>
          <a:off x="7286625" y="60821951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2530</xdr:row>
      <xdr:rowOff>219075</xdr:rowOff>
    </xdr:from>
    <xdr:to>
      <xdr:col>9</xdr:col>
      <xdr:colOff>457200</xdr:colOff>
      <xdr:row>2534</xdr:row>
      <xdr:rowOff>104775</xdr:rowOff>
    </xdr:to>
    <xdr:sp>
      <xdr:nvSpPr>
        <xdr:cNvPr id="237" name="TextBox 236"/>
        <xdr:cNvSpPr txBox="1"/>
      </xdr:nvSpPr>
      <xdr:spPr>
        <a:xfrm>
          <a:off x="7400925" y="60840048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2622</xdr:row>
      <xdr:rowOff>57151</xdr:rowOff>
    </xdr:from>
    <xdr:to>
      <xdr:col>9</xdr:col>
      <xdr:colOff>600075</xdr:colOff>
      <xdr:row>2631</xdr:row>
      <xdr:rowOff>152400</xdr:rowOff>
    </xdr:to>
    <xdr:graphicFrame>
      <xdr:nvGraphicFramePr>
        <xdr:cNvPr id="238" name="Chart 237"/>
        <xdr:cNvGraphicFramePr/>
      </xdr:nvGraphicFramePr>
      <xdr:xfrm>
        <a:off x="86360" y="63123889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absolute">
    <xdr:from>
      <xdr:col>2</xdr:col>
      <xdr:colOff>95250</xdr:colOff>
      <xdr:row>2585</xdr:row>
      <xdr:rowOff>76201</xdr:rowOff>
    </xdr:from>
    <xdr:to>
      <xdr:col>2</xdr:col>
      <xdr:colOff>1295400</xdr:colOff>
      <xdr:row>2589</xdr:row>
      <xdr:rowOff>276226</xdr:rowOff>
    </xdr:to>
    <xdr:sp>
      <xdr:nvSpPr>
        <xdr:cNvPr id="239" name="Rectangle 238"/>
        <xdr:cNvSpPr/>
      </xdr:nvSpPr>
      <xdr:spPr>
        <a:xfrm>
          <a:off x="418465" y="62147894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2594</xdr:row>
      <xdr:rowOff>104776</xdr:rowOff>
    </xdr:from>
    <xdr:to>
      <xdr:col>8</xdr:col>
      <xdr:colOff>238125</xdr:colOff>
      <xdr:row>2619</xdr:row>
      <xdr:rowOff>209551</xdr:rowOff>
    </xdr:to>
    <xdr:sp>
      <xdr:nvSpPr>
        <xdr:cNvPr id="240" name="Rectangle 239"/>
        <xdr:cNvSpPr/>
      </xdr:nvSpPr>
      <xdr:spPr>
        <a:xfrm>
          <a:off x="1256665" y="62385892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2585</xdr:row>
      <xdr:rowOff>38100</xdr:rowOff>
    </xdr:from>
    <xdr:to>
      <xdr:col>9</xdr:col>
      <xdr:colOff>571500</xdr:colOff>
      <xdr:row>2589</xdr:row>
      <xdr:rowOff>266700</xdr:rowOff>
    </xdr:to>
    <xdr:sp>
      <xdr:nvSpPr>
        <xdr:cNvPr id="241" name="Rectangle 240"/>
        <xdr:cNvSpPr/>
      </xdr:nvSpPr>
      <xdr:spPr>
        <a:xfrm>
          <a:off x="7286625" y="62144084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2585</xdr:row>
      <xdr:rowOff>219075</xdr:rowOff>
    </xdr:from>
    <xdr:to>
      <xdr:col>9</xdr:col>
      <xdr:colOff>457200</xdr:colOff>
      <xdr:row>2589</xdr:row>
      <xdr:rowOff>104775</xdr:rowOff>
    </xdr:to>
    <xdr:sp>
      <xdr:nvSpPr>
        <xdr:cNvPr id="242" name="TextBox 241"/>
        <xdr:cNvSpPr txBox="1"/>
      </xdr:nvSpPr>
      <xdr:spPr>
        <a:xfrm>
          <a:off x="7400925" y="62162182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2677</xdr:row>
      <xdr:rowOff>57151</xdr:rowOff>
    </xdr:from>
    <xdr:to>
      <xdr:col>9</xdr:col>
      <xdr:colOff>600075</xdr:colOff>
      <xdr:row>2686</xdr:row>
      <xdr:rowOff>152400</xdr:rowOff>
    </xdr:to>
    <xdr:graphicFrame>
      <xdr:nvGraphicFramePr>
        <xdr:cNvPr id="243" name="Chart 242"/>
        <xdr:cNvGraphicFramePr/>
      </xdr:nvGraphicFramePr>
      <xdr:xfrm>
        <a:off x="86360" y="64446023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absolute">
    <xdr:from>
      <xdr:col>2</xdr:col>
      <xdr:colOff>95250</xdr:colOff>
      <xdr:row>2640</xdr:row>
      <xdr:rowOff>76201</xdr:rowOff>
    </xdr:from>
    <xdr:to>
      <xdr:col>2</xdr:col>
      <xdr:colOff>1295400</xdr:colOff>
      <xdr:row>2644</xdr:row>
      <xdr:rowOff>276226</xdr:rowOff>
    </xdr:to>
    <xdr:sp>
      <xdr:nvSpPr>
        <xdr:cNvPr id="244" name="Rectangle 243"/>
        <xdr:cNvSpPr/>
      </xdr:nvSpPr>
      <xdr:spPr>
        <a:xfrm>
          <a:off x="418465" y="63470028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2649</xdr:row>
      <xdr:rowOff>104776</xdr:rowOff>
    </xdr:from>
    <xdr:to>
      <xdr:col>8</xdr:col>
      <xdr:colOff>238125</xdr:colOff>
      <xdr:row>2674</xdr:row>
      <xdr:rowOff>209551</xdr:rowOff>
    </xdr:to>
    <xdr:sp>
      <xdr:nvSpPr>
        <xdr:cNvPr id="245" name="Rectangle 244"/>
        <xdr:cNvSpPr/>
      </xdr:nvSpPr>
      <xdr:spPr>
        <a:xfrm>
          <a:off x="1256665" y="63708026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2640</xdr:row>
      <xdr:rowOff>38100</xdr:rowOff>
    </xdr:from>
    <xdr:to>
      <xdr:col>9</xdr:col>
      <xdr:colOff>571500</xdr:colOff>
      <xdr:row>2644</xdr:row>
      <xdr:rowOff>266700</xdr:rowOff>
    </xdr:to>
    <xdr:sp>
      <xdr:nvSpPr>
        <xdr:cNvPr id="246" name="Rectangle 245"/>
        <xdr:cNvSpPr/>
      </xdr:nvSpPr>
      <xdr:spPr>
        <a:xfrm>
          <a:off x="7286625" y="63466218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2640</xdr:row>
      <xdr:rowOff>219075</xdr:rowOff>
    </xdr:from>
    <xdr:to>
      <xdr:col>9</xdr:col>
      <xdr:colOff>457200</xdr:colOff>
      <xdr:row>2644</xdr:row>
      <xdr:rowOff>104775</xdr:rowOff>
    </xdr:to>
    <xdr:sp>
      <xdr:nvSpPr>
        <xdr:cNvPr id="247" name="TextBox 246"/>
        <xdr:cNvSpPr txBox="1"/>
      </xdr:nvSpPr>
      <xdr:spPr>
        <a:xfrm>
          <a:off x="7400925" y="63484315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2732</xdr:row>
      <xdr:rowOff>57151</xdr:rowOff>
    </xdr:from>
    <xdr:to>
      <xdr:col>9</xdr:col>
      <xdr:colOff>600075</xdr:colOff>
      <xdr:row>2741</xdr:row>
      <xdr:rowOff>152400</xdr:rowOff>
    </xdr:to>
    <xdr:graphicFrame>
      <xdr:nvGraphicFramePr>
        <xdr:cNvPr id="248" name="Chart 247"/>
        <xdr:cNvGraphicFramePr/>
      </xdr:nvGraphicFramePr>
      <xdr:xfrm>
        <a:off x="86360" y="65768156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absolute">
    <xdr:from>
      <xdr:col>2</xdr:col>
      <xdr:colOff>95250</xdr:colOff>
      <xdr:row>2695</xdr:row>
      <xdr:rowOff>76201</xdr:rowOff>
    </xdr:from>
    <xdr:to>
      <xdr:col>2</xdr:col>
      <xdr:colOff>1295400</xdr:colOff>
      <xdr:row>2699</xdr:row>
      <xdr:rowOff>276226</xdr:rowOff>
    </xdr:to>
    <xdr:sp>
      <xdr:nvSpPr>
        <xdr:cNvPr id="249" name="Rectangle 248"/>
        <xdr:cNvSpPr/>
      </xdr:nvSpPr>
      <xdr:spPr>
        <a:xfrm>
          <a:off x="418465" y="64792161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2704</xdr:row>
      <xdr:rowOff>104776</xdr:rowOff>
    </xdr:from>
    <xdr:to>
      <xdr:col>8</xdr:col>
      <xdr:colOff>238125</xdr:colOff>
      <xdr:row>2729</xdr:row>
      <xdr:rowOff>209551</xdr:rowOff>
    </xdr:to>
    <xdr:sp>
      <xdr:nvSpPr>
        <xdr:cNvPr id="250" name="Rectangle 249"/>
        <xdr:cNvSpPr/>
      </xdr:nvSpPr>
      <xdr:spPr>
        <a:xfrm>
          <a:off x="1256665" y="65030159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2695</xdr:row>
      <xdr:rowOff>38100</xdr:rowOff>
    </xdr:from>
    <xdr:to>
      <xdr:col>9</xdr:col>
      <xdr:colOff>571500</xdr:colOff>
      <xdr:row>2699</xdr:row>
      <xdr:rowOff>266700</xdr:rowOff>
    </xdr:to>
    <xdr:sp>
      <xdr:nvSpPr>
        <xdr:cNvPr id="251" name="Rectangle 250"/>
        <xdr:cNvSpPr/>
      </xdr:nvSpPr>
      <xdr:spPr>
        <a:xfrm>
          <a:off x="7286625" y="64788351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2695</xdr:row>
      <xdr:rowOff>219075</xdr:rowOff>
    </xdr:from>
    <xdr:to>
      <xdr:col>9</xdr:col>
      <xdr:colOff>457200</xdr:colOff>
      <xdr:row>2699</xdr:row>
      <xdr:rowOff>104775</xdr:rowOff>
    </xdr:to>
    <xdr:sp>
      <xdr:nvSpPr>
        <xdr:cNvPr id="252" name="TextBox 251"/>
        <xdr:cNvSpPr txBox="1"/>
      </xdr:nvSpPr>
      <xdr:spPr>
        <a:xfrm>
          <a:off x="7400925" y="64806449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2787</xdr:row>
      <xdr:rowOff>57151</xdr:rowOff>
    </xdr:from>
    <xdr:to>
      <xdr:col>9</xdr:col>
      <xdr:colOff>600075</xdr:colOff>
      <xdr:row>2796</xdr:row>
      <xdr:rowOff>152400</xdr:rowOff>
    </xdr:to>
    <xdr:graphicFrame>
      <xdr:nvGraphicFramePr>
        <xdr:cNvPr id="253" name="Chart 252"/>
        <xdr:cNvGraphicFramePr/>
      </xdr:nvGraphicFramePr>
      <xdr:xfrm>
        <a:off x="86360" y="67090290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absolute">
    <xdr:from>
      <xdr:col>2</xdr:col>
      <xdr:colOff>95250</xdr:colOff>
      <xdr:row>2750</xdr:row>
      <xdr:rowOff>76201</xdr:rowOff>
    </xdr:from>
    <xdr:to>
      <xdr:col>2</xdr:col>
      <xdr:colOff>1295400</xdr:colOff>
      <xdr:row>2754</xdr:row>
      <xdr:rowOff>276226</xdr:rowOff>
    </xdr:to>
    <xdr:sp>
      <xdr:nvSpPr>
        <xdr:cNvPr id="254" name="Rectangle 253"/>
        <xdr:cNvSpPr/>
      </xdr:nvSpPr>
      <xdr:spPr>
        <a:xfrm>
          <a:off x="418465" y="66114295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2759</xdr:row>
      <xdr:rowOff>104776</xdr:rowOff>
    </xdr:from>
    <xdr:to>
      <xdr:col>8</xdr:col>
      <xdr:colOff>238125</xdr:colOff>
      <xdr:row>2784</xdr:row>
      <xdr:rowOff>209551</xdr:rowOff>
    </xdr:to>
    <xdr:sp>
      <xdr:nvSpPr>
        <xdr:cNvPr id="255" name="Rectangle 254"/>
        <xdr:cNvSpPr/>
      </xdr:nvSpPr>
      <xdr:spPr>
        <a:xfrm>
          <a:off x="1256665" y="66352293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2750</xdr:row>
      <xdr:rowOff>38100</xdr:rowOff>
    </xdr:from>
    <xdr:to>
      <xdr:col>9</xdr:col>
      <xdr:colOff>571500</xdr:colOff>
      <xdr:row>2754</xdr:row>
      <xdr:rowOff>266700</xdr:rowOff>
    </xdr:to>
    <xdr:sp>
      <xdr:nvSpPr>
        <xdr:cNvPr id="256" name="Rectangle 255"/>
        <xdr:cNvSpPr/>
      </xdr:nvSpPr>
      <xdr:spPr>
        <a:xfrm>
          <a:off x="7286625" y="66110485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2750</xdr:row>
      <xdr:rowOff>219075</xdr:rowOff>
    </xdr:from>
    <xdr:to>
      <xdr:col>9</xdr:col>
      <xdr:colOff>457200</xdr:colOff>
      <xdr:row>2754</xdr:row>
      <xdr:rowOff>104775</xdr:rowOff>
    </xdr:to>
    <xdr:sp>
      <xdr:nvSpPr>
        <xdr:cNvPr id="257" name="TextBox 256"/>
        <xdr:cNvSpPr txBox="1"/>
      </xdr:nvSpPr>
      <xdr:spPr>
        <a:xfrm>
          <a:off x="7400925" y="66128582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2842</xdr:row>
      <xdr:rowOff>57151</xdr:rowOff>
    </xdr:from>
    <xdr:to>
      <xdr:col>9</xdr:col>
      <xdr:colOff>600075</xdr:colOff>
      <xdr:row>2851</xdr:row>
      <xdr:rowOff>152400</xdr:rowOff>
    </xdr:to>
    <xdr:graphicFrame>
      <xdr:nvGraphicFramePr>
        <xdr:cNvPr id="258" name="Chart 257"/>
        <xdr:cNvGraphicFramePr/>
      </xdr:nvGraphicFramePr>
      <xdr:xfrm>
        <a:off x="86360" y="68412423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absolute">
    <xdr:from>
      <xdr:col>2</xdr:col>
      <xdr:colOff>95250</xdr:colOff>
      <xdr:row>2805</xdr:row>
      <xdr:rowOff>76201</xdr:rowOff>
    </xdr:from>
    <xdr:to>
      <xdr:col>2</xdr:col>
      <xdr:colOff>1295400</xdr:colOff>
      <xdr:row>2809</xdr:row>
      <xdr:rowOff>276226</xdr:rowOff>
    </xdr:to>
    <xdr:sp>
      <xdr:nvSpPr>
        <xdr:cNvPr id="259" name="Rectangle 258"/>
        <xdr:cNvSpPr/>
      </xdr:nvSpPr>
      <xdr:spPr>
        <a:xfrm>
          <a:off x="418465" y="67436428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2814</xdr:row>
      <xdr:rowOff>104776</xdr:rowOff>
    </xdr:from>
    <xdr:to>
      <xdr:col>8</xdr:col>
      <xdr:colOff>238125</xdr:colOff>
      <xdr:row>2839</xdr:row>
      <xdr:rowOff>209551</xdr:rowOff>
    </xdr:to>
    <xdr:sp>
      <xdr:nvSpPr>
        <xdr:cNvPr id="260" name="Rectangle 259"/>
        <xdr:cNvSpPr/>
      </xdr:nvSpPr>
      <xdr:spPr>
        <a:xfrm>
          <a:off x="1256665" y="67674426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2805</xdr:row>
      <xdr:rowOff>38100</xdr:rowOff>
    </xdr:from>
    <xdr:to>
      <xdr:col>9</xdr:col>
      <xdr:colOff>571500</xdr:colOff>
      <xdr:row>2809</xdr:row>
      <xdr:rowOff>266700</xdr:rowOff>
    </xdr:to>
    <xdr:sp>
      <xdr:nvSpPr>
        <xdr:cNvPr id="261" name="Rectangle 260"/>
        <xdr:cNvSpPr/>
      </xdr:nvSpPr>
      <xdr:spPr>
        <a:xfrm>
          <a:off x="7286625" y="67432618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2805</xdr:row>
      <xdr:rowOff>219075</xdr:rowOff>
    </xdr:from>
    <xdr:to>
      <xdr:col>9</xdr:col>
      <xdr:colOff>457200</xdr:colOff>
      <xdr:row>2809</xdr:row>
      <xdr:rowOff>104775</xdr:rowOff>
    </xdr:to>
    <xdr:sp>
      <xdr:nvSpPr>
        <xdr:cNvPr id="262" name="TextBox 261"/>
        <xdr:cNvSpPr txBox="1"/>
      </xdr:nvSpPr>
      <xdr:spPr>
        <a:xfrm>
          <a:off x="7400925" y="67450716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2897</xdr:row>
      <xdr:rowOff>57151</xdr:rowOff>
    </xdr:from>
    <xdr:to>
      <xdr:col>9</xdr:col>
      <xdr:colOff>600075</xdr:colOff>
      <xdr:row>2906</xdr:row>
      <xdr:rowOff>152400</xdr:rowOff>
    </xdr:to>
    <xdr:graphicFrame>
      <xdr:nvGraphicFramePr>
        <xdr:cNvPr id="263" name="Chart 262"/>
        <xdr:cNvGraphicFramePr/>
      </xdr:nvGraphicFramePr>
      <xdr:xfrm>
        <a:off x="86360" y="69734557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absolute">
    <xdr:from>
      <xdr:col>2</xdr:col>
      <xdr:colOff>95250</xdr:colOff>
      <xdr:row>2860</xdr:row>
      <xdr:rowOff>76201</xdr:rowOff>
    </xdr:from>
    <xdr:to>
      <xdr:col>2</xdr:col>
      <xdr:colOff>1295400</xdr:colOff>
      <xdr:row>2864</xdr:row>
      <xdr:rowOff>276226</xdr:rowOff>
    </xdr:to>
    <xdr:sp>
      <xdr:nvSpPr>
        <xdr:cNvPr id="264" name="Rectangle 263"/>
        <xdr:cNvSpPr/>
      </xdr:nvSpPr>
      <xdr:spPr>
        <a:xfrm>
          <a:off x="418465" y="68758562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2869</xdr:row>
      <xdr:rowOff>104776</xdr:rowOff>
    </xdr:from>
    <xdr:to>
      <xdr:col>8</xdr:col>
      <xdr:colOff>238125</xdr:colOff>
      <xdr:row>2894</xdr:row>
      <xdr:rowOff>209551</xdr:rowOff>
    </xdr:to>
    <xdr:sp>
      <xdr:nvSpPr>
        <xdr:cNvPr id="265" name="Rectangle 264"/>
        <xdr:cNvSpPr/>
      </xdr:nvSpPr>
      <xdr:spPr>
        <a:xfrm>
          <a:off x="1256665" y="68996560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2860</xdr:row>
      <xdr:rowOff>38100</xdr:rowOff>
    </xdr:from>
    <xdr:to>
      <xdr:col>9</xdr:col>
      <xdr:colOff>571500</xdr:colOff>
      <xdr:row>2864</xdr:row>
      <xdr:rowOff>266700</xdr:rowOff>
    </xdr:to>
    <xdr:sp>
      <xdr:nvSpPr>
        <xdr:cNvPr id="266" name="Rectangle 265"/>
        <xdr:cNvSpPr/>
      </xdr:nvSpPr>
      <xdr:spPr>
        <a:xfrm>
          <a:off x="7286625" y="68754752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2860</xdr:row>
      <xdr:rowOff>219075</xdr:rowOff>
    </xdr:from>
    <xdr:to>
      <xdr:col>9</xdr:col>
      <xdr:colOff>457200</xdr:colOff>
      <xdr:row>2864</xdr:row>
      <xdr:rowOff>104775</xdr:rowOff>
    </xdr:to>
    <xdr:sp>
      <xdr:nvSpPr>
        <xdr:cNvPr id="267" name="TextBox 266"/>
        <xdr:cNvSpPr txBox="1"/>
      </xdr:nvSpPr>
      <xdr:spPr>
        <a:xfrm>
          <a:off x="7400925" y="68772849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2952</xdr:row>
      <xdr:rowOff>57151</xdr:rowOff>
    </xdr:from>
    <xdr:to>
      <xdr:col>9</xdr:col>
      <xdr:colOff>600075</xdr:colOff>
      <xdr:row>2961</xdr:row>
      <xdr:rowOff>152400</xdr:rowOff>
    </xdr:to>
    <xdr:graphicFrame>
      <xdr:nvGraphicFramePr>
        <xdr:cNvPr id="268" name="Chart 267"/>
        <xdr:cNvGraphicFramePr/>
      </xdr:nvGraphicFramePr>
      <xdr:xfrm>
        <a:off x="86360" y="71056690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absolute">
    <xdr:from>
      <xdr:col>2</xdr:col>
      <xdr:colOff>95250</xdr:colOff>
      <xdr:row>2915</xdr:row>
      <xdr:rowOff>76201</xdr:rowOff>
    </xdr:from>
    <xdr:to>
      <xdr:col>2</xdr:col>
      <xdr:colOff>1295400</xdr:colOff>
      <xdr:row>2919</xdr:row>
      <xdr:rowOff>276226</xdr:rowOff>
    </xdr:to>
    <xdr:sp>
      <xdr:nvSpPr>
        <xdr:cNvPr id="269" name="Rectangle 268"/>
        <xdr:cNvSpPr/>
      </xdr:nvSpPr>
      <xdr:spPr>
        <a:xfrm>
          <a:off x="418465" y="70080695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2924</xdr:row>
      <xdr:rowOff>104776</xdr:rowOff>
    </xdr:from>
    <xdr:to>
      <xdr:col>8</xdr:col>
      <xdr:colOff>238125</xdr:colOff>
      <xdr:row>2949</xdr:row>
      <xdr:rowOff>209551</xdr:rowOff>
    </xdr:to>
    <xdr:sp>
      <xdr:nvSpPr>
        <xdr:cNvPr id="270" name="Rectangle 269"/>
        <xdr:cNvSpPr/>
      </xdr:nvSpPr>
      <xdr:spPr>
        <a:xfrm>
          <a:off x="1256665" y="70318693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2915</xdr:row>
      <xdr:rowOff>38100</xdr:rowOff>
    </xdr:from>
    <xdr:to>
      <xdr:col>9</xdr:col>
      <xdr:colOff>571500</xdr:colOff>
      <xdr:row>2919</xdr:row>
      <xdr:rowOff>266700</xdr:rowOff>
    </xdr:to>
    <xdr:sp>
      <xdr:nvSpPr>
        <xdr:cNvPr id="271" name="Rectangle 270"/>
        <xdr:cNvSpPr/>
      </xdr:nvSpPr>
      <xdr:spPr>
        <a:xfrm>
          <a:off x="7286625" y="70076885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2915</xdr:row>
      <xdr:rowOff>219075</xdr:rowOff>
    </xdr:from>
    <xdr:to>
      <xdr:col>9</xdr:col>
      <xdr:colOff>457200</xdr:colOff>
      <xdr:row>2919</xdr:row>
      <xdr:rowOff>104775</xdr:rowOff>
    </xdr:to>
    <xdr:sp>
      <xdr:nvSpPr>
        <xdr:cNvPr id="272" name="TextBox 271"/>
        <xdr:cNvSpPr txBox="1"/>
      </xdr:nvSpPr>
      <xdr:spPr>
        <a:xfrm>
          <a:off x="7400925" y="70094983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3007</xdr:row>
      <xdr:rowOff>57151</xdr:rowOff>
    </xdr:from>
    <xdr:to>
      <xdr:col>9</xdr:col>
      <xdr:colOff>600075</xdr:colOff>
      <xdr:row>3016</xdr:row>
      <xdr:rowOff>152400</xdr:rowOff>
    </xdr:to>
    <xdr:graphicFrame>
      <xdr:nvGraphicFramePr>
        <xdr:cNvPr id="273" name="Chart 272"/>
        <xdr:cNvGraphicFramePr/>
      </xdr:nvGraphicFramePr>
      <xdr:xfrm>
        <a:off x="86360" y="72378824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absolute">
    <xdr:from>
      <xdr:col>2</xdr:col>
      <xdr:colOff>95250</xdr:colOff>
      <xdr:row>2970</xdr:row>
      <xdr:rowOff>76201</xdr:rowOff>
    </xdr:from>
    <xdr:to>
      <xdr:col>2</xdr:col>
      <xdr:colOff>1295400</xdr:colOff>
      <xdr:row>2974</xdr:row>
      <xdr:rowOff>276226</xdr:rowOff>
    </xdr:to>
    <xdr:sp>
      <xdr:nvSpPr>
        <xdr:cNvPr id="274" name="Rectangle 273"/>
        <xdr:cNvSpPr/>
      </xdr:nvSpPr>
      <xdr:spPr>
        <a:xfrm>
          <a:off x="418465" y="71402829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2979</xdr:row>
      <xdr:rowOff>104776</xdr:rowOff>
    </xdr:from>
    <xdr:to>
      <xdr:col>8</xdr:col>
      <xdr:colOff>238125</xdr:colOff>
      <xdr:row>3004</xdr:row>
      <xdr:rowOff>209551</xdr:rowOff>
    </xdr:to>
    <xdr:sp>
      <xdr:nvSpPr>
        <xdr:cNvPr id="275" name="Rectangle 274"/>
        <xdr:cNvSpPr/>
      </xdr:nvSpPr>
      <xdr:spPr>
        <a:xfrm>
          <a:off x="1256665" y="71640827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2970</xdr:row>
      <xdr:rowOff>38100</xdr:rowOff>
    </xdr:from>
    <xdr:to>
      <xdr:col>9</xdr:col>
      <xdr:colOff>571500</xdr:colOff>
      <xdr:row>2974</xdr:row>
      <xdr:rowOff>266700</xdr:rowOff>
    </xdr:to>
    <xdr:sp>
      <xdr:nvSpPr>
        <xdr:cNvPr id="276" name="Rectangle 275"/>
        <xdr:cNvSpPr/>
      </xdr:nvSpPr>
      <xdr:spPr>
        <a:xfrm>
          <a:off x="7286625" y="71399019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2970</xdr:row>
      <xdr:rowOff>219075</xdr:rowOff>
    </xdr:from>
    <xdr:to>
      <xdr:col>9</xdr:col>
      <xdr:colOff>457200</xdr:colOff>
      <xdr:row>2974</xdr:row>
      <xdr:rowOff>104775</xdr:rowOff>
    </xdr:to>
    <xdr:sp>
      <xdr:nvSpPr>
        <xdr:cNvPr id="277" name="TextBox 276"/>
        <xdr:cNvSpPr txBox="1"/>
      </xdr:nvSpPr>
      <xdr:spPr>
        <a:xfrm>
          <a:off x="7400925" y="71417116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3062</xdr:row>
      <xdr:rowOff>57151</xdr:rowOff>
    </xdr:from>
    <xdr:to>
      <xdr:col>9</xdr:col>
      <xdr:colOff>600075</xdr:colOff>
      <xdr:row>3071</xdr:row>
      <xdr:rowOff>152400</xdr:rowOff>
    </xdr:to>
    <xdr:graphicFrame>
      <xdr:nvGraphicFramePr>
        <xdr:cNvPr id="278" name="Chart 277"/>
        <xdr:cNvGraphicFramePr/>
      </xdr:nvGraphicFramePr>
      <xdr:xfrm>
        <a:off x="86360" y="73700957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absolute">
    <xdr:from>
      <xdr:col>2</xdr:col>
      <xdr:colOff>95250</xdr:colOff>
      <xdr:row>3025</xdr:row>
      <xdr:rowOff>76201</xdr:rowOff>
    </xdr:from>
    <xdr:to>
      <xdr:col>2</xdr:col>
      <xdr:colOff>1295400</xdr:colOff>
      <xdr:row>3029</xdr:row>
      <xdr:rowOff>276226</xdr:rowOff>
    </xdr:to>
    <xdr:sp>
      <xdr:nvSpPr>
        <xdr:cNvPr id="279" name="Rectangle 278"/>
        <xdr:cNvSpPr/>
      </xdr:nvSpPr>
      <xdr:spPr>
        <a:xfrm>
          <a:off x="418465" y="72724962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3034</xdr:row>
      <xdr:rowOff>104776</xdr:rowOff>
    </xdr:from>
    <xdr:to>
      <xdr:col>8</xdr:col>
      <xdr:colOff>238125</xdr:colOff>
      <xdr:row>3059</xdr:row>
      <xdr:rowOff>209551</xdr:rowOff>
    </xdr:to>
    <xdr:sp>
      <xdr:nvSpPr>
        <xdr:cNvPr id="280" name="Rectangle 279"/>
        <xdr:cNvSpPr/>
      </xdr:nvSpPr>
      <xdr:spPr>
        <a:xfrm>
          <a:off x="1256665" y="72962960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3025</xdr:row>
      <xdr:rowOff>38100</xdr:rowOff>
    </xdr:from>
    <xdr:to>
      <xdr:col>9</xdr:col>
      <xdr:colOff>571500</xdr:colOff>
      <xdr:row>3029</xdr:row>
      <xdr:rowOff>266700</xdr:rowOff>
    </xdr:to>
    <xdr:sp>
      <xdr:nvSpPr>
        <xdr:cNvPr id="281" name="Rectangle 280"/>
        <xdr:cNvSpPr/>
      </xdr:nvSpPr>
      <xdr:spPr>
        <a:xfrm>
          <a:off x="7286625" y="72721152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3025</xdr:row>
      <xdr:rowOff>219075</xdr:rowOff>
    </xdr:from>
    <xdr:to>
      <xdr:col>9</xdr:col>
      <xdr:colOff>457200</xdr:colOff>
      <xdr:row>3029</xdr:row>
      <xdr:rowOff>104775</xdr:rowOff>
    </xdr:to>
    <xdr:sp>
      <xdr:nvSpPr>
        <xdr:cNvPr id="282" name="TextBox 281"/>
        <xdr:cNvSpPr txBox="1"/>
      </xdr:nvSpPr>
      <xdr:spPr>
        <a:xfrm>
          <a:off x="7400925" y="72739250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3117</xdr:row>
      <xdr:rowOff>57151</xdr:rowOff>
    </xdr:from>
    <xdr:to>
      <xdr:col>9</xdr:col>
      <xdr:colOff>600075</xdr:colOff>
      <xdr:row>3126</xdr:row>
      <xdr:rowOff>152400</xdr:rowOff>
    </xdr:to>
    <xdr:graphicFrame>
      <xdr:nvGraphicFramePr>
        <xdr:cNvPr id="283" name="Chart 282"/>
        <xdr:cNvGraphicFramePr/>
      </xdr:nvGraphicFramePr>
      <xdr:xfrm>
        <a:off x="86360" y="75023091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absolute">
    <xdr:from>
      <xdr:col>2</xdr:col>
      <xdr:colOff>95250</xdr:colOff>
      <xdr:row>3080</xdr:row>
      <xdr:rowOff>76201</xdr:rowOff>
    </xdr:from>
    <xdr:to>
      <xdr:col>2</xdr:col>
      <xdr:colOff>1295400</xdr:colOff>
      <xdr:row>3084</xdr:row>
      <xdr:rowOff>276226</xdr:rowOff>
    </xdr:to>
    <xdr:sp>
      <xdr:nvSpPr>
        <xdr:cNvPr id="284" name="Rectangle 283"/>
        <xdr:cNvSpPr/>
      </xdr:nvSpPr>
      <xdr:spPr>
        <a:xfrm>
          <a:off x="418465" y="74047096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3089</xdr:row>
      <xdr:rowOff>104776</xdr:rowOff>
    </xdr:from>
    <xdr:to>
      <xdr:col>8</xdr:col>
      <xdr:colOff>238125</xdr:colOff>
      <xdr:row>3114</xdr:row>
      <xdr:rowOff>209551</xdr:rowOff>
    </xdr:to>
    <xdr:sp>
      <xdr:nvSpPr>
        <xdr:cNvPr id="285" name="Rectangle 284"/>
        <xdr:cNvSpPr/>
      </xdr:nvSpPr>
      <xdr:spPr>
        <a:xfrm>
          <a:off x="1256665" y="74285094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3080</xdr:row>
      <xdr:rowOff>38100</xdr:rowOff>
    </xdr:from>
    <xdr:to>
      <xdr:col>9</xdr:col>
      <xdr:colOff>571500</xdr:colOff>
      <xdr:row>3084</xdr:row>
      <xdr:rowOff>266700</xdr:rowOff>
    </xdr:to>
    <xdr:sp>
      <xdr:nvSpPr>
        <xdr:cNvPr id="286" name="Rectangle 285"/>
        <xdr:cNvSpPr/>
      </xdr:nvSpPr>
      <xdr:spPr>
        <a:xfrm>
          <a:off x="7286625" y="74043286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3080</xdr:row>
      <xdr:rowOff>219075</xdr:rowOff>
    </xdr:from>
    <xdr:to>
      <xdr:col>9</xdr:col>
      <xdr:colOff>457200</xdr:colOff>
      <xdr:row>3084</xdr:row>
      <xdr:rowOff>104775</xdr:rowOff>
    </xdr:to>
    <xdr:sp>
      <xdr:nvSpPr>
        <xdr:cNvPr id="287" name="TextBox 286"/>
        <xdr:cNvSpPr txBox="1"/>
      </xdr:nvSpPr>
      <xdr:spPr>
        <a:xfrm>
          <a:off x="7400925" y="74061383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3172</xdr:row>
      <xdr:rowOff>57151</xdr:rowOff>
    </xdr:from>
    <xdr:to>
      <xdr:col>9</xdr:col>
      <xdr:colOff>600075</xdr:colOff>
      <xdr:row>3181</xdr:row>
      <xdr:rowOff>152400</xdr:rowOff>
    </xdr:to>
    <xdr:graphicFrame>
      <xdr:nvGraphicFramePr>
        <xdr:cNvPr id="288" name="Chart 287"/>
        <xdr:cNvGraphicFramePr/>
      </xdr:nvGraphicFramePr>
      <xdr:xfrm>
        <a:off x="86360" y="76345224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absolute">
    <xdr:from>
      <xdr:col>2</xdr:col>
      <xdr:colOff>95250</xdr:colOff>
      <xdr:row>3135</xdr:row>
      <xdr:rowOff>76201</xdr:rowOff>
    </xdr:from>
    <xdr:to>
      <xdr:col>2</xdr:col>
      <xdr:colOff>1295400</xdr:colOff>
      <xdr:row>3139</xdr:row>
      <xdr:rowOff>276226</xdr:rowOff>
    </xdr:to>
    <xdr:sp>
      <xdr:nvSpPr>
        <xdr:cNvPr id="289" name="Rectangle 288"/>
        <xdr:cNvSpPr/>
      </xdr:nvSpPr>
      <xdr:spPr>
        <a:xfrm>
          <a:off x="418465" y="75369229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3144</xdr:row>
      <xdr:rowOff>104776</xdr:rowOff>
    </xdr:from>
    <xdr:to>
      <xdr:col>8</xdr:col>
      <xdr:colOff>238125</xdr:colOff>
      <xdr:row>3169</xdr:row>
      <xdr:rowOff>209551</xdr:rowOff>
    </xdr:to>
    <xdr:sp>
      <xdr:nvSpPr>
        <xdr:cNvPr id="290" name="Rectangle 289"/>
        <xdr:cNvSpPr/>
      </xdr:nvSpPr>
      <xdr:spPr>
        <a:xfrm>
          <a:off x="1256665" y="75607227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3135</xdr:row>
      <xdr:rowOff>38100</xdr:rowOff>
    </xdr:from>
    <xdr:to>
      <xdr:col>9</xdr:col>
      <xdr:colOff>571500</xdr:colOff>
      <xdr:row>3139</xdr:row>
      <xdr:rowOff>266700</xdr:rowOff>
    </xdr:to>
    <xdr:sp>
      <xdr:nvSpPr>
        <xdr:cNvPr id="291" name="Rectangle 290"/>
        <xdr:cNvSpPr/>
      </xdr:nvSpPr>
      <xdr:spPr>
        <a:xfrm>
          <a:off x="7286625" y="75365419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3135</xdr:row>
      <xdr:rowOff>219075</xdr:rowOff>
    </xdr:from>
    <xdr:to>
      <xdr:col>9</xdr:col>
      <xdr:colOff>457200</xdr:colOff>
      <xdr:row>3139</xdr:row>
      <xdr:rowOff>104775</xdr:rowOff>
    </xdr:to>
    <xdr:sp>
      <xdr:nvSpPr>
        <xdr:cNvPr id="292" name="TextBox 291"/>
        <xdr:cNvSpPr txBox="1"/>
      </xdr:nvSpPr>
      <xdr:spPr>
        <a:xfrm>
          <a:off x="7400925" y="75383517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3227</xdr:row>
      <xdr:rowOff>57151</xdr:rowOff>
    </xdr:from>
    <xdr:to>
      <xdr:col>9</xdr:col>
      <xdr:colOff>600075</xdr:colOff>
      <xdr:row>3236</xdr:row>
      <xdr:rowOff>152400</xdr:rowOff>
    </xdr:to>
    <xdr:graphicFrame>
      <xdr:nvGraphicFramePr>
        <xdr:cNvPr id="293" name="Chart 292"/>
        <xdr:cNvGraphicFramePr/>
      </xdr:nvGraphicFramePr>
      <xdr:xfrm>
        <a:off x="86360" y="77667358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absolute">
    <xdr:from>
      <xdr:col>2</xdr:col>
      <xdr:colOff>95250</xdr:colOff>
      <xdr:row>3190</xdr:row>
      <xdr:rowOff>76201</xdr:rowOff>
    </xdr:from>
    <xdr:to>
      <xdr:col>2</xdr:col>
      <xdr:colOff>1295400</xdr:colOff>
      <xdr:row>3194</xdr:row>
      <xdr:rowOff>276226</xdr:rowOff>
    </xdr:to>
    <xdr:sp>
      <xdr:nvSpPr>
        <xdr:cNvPr id="294" name="Rectangle 293"/>
        <xdr:cNvSpPr/>
      </xdr:nvSpPr>
      <xdr:spPr>
        <a:xfrm>
          <a:off x="418465" y="76691363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3199</xdr:row>
      <xdr:rowOff>104776</xdr:rowOff>
    </xdr:from>
    <xdr:to>
      <xdr:col>8</xdr:col>
      <xdr:colOff>238125</xdr:colOff>
      <xdr:row>3224</xdr:row>
      <xdr:rowOff>209551</xdr:rowOff>
    </xdr:to>
    <xdr:sp>
      <xdr:nvSpPr>
        <xdr:cNvPr id="295" name="Rectangle 294"/>
        <xdr:cNvSpPr/>
      </xdr:nvSpPr>
      <xdr:spPr>
        <a:xfrm>
          <a:off x="1256665" y="76929361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3190</xdr:row>
      <xdr:rowOff>38100</xdr:rowOff>
    </xdr:from>
    <xdr:to>
      <xdr:col>9</xdr:col>
      <xdr:colOff>571500</xdr:colOff>
      <xdr:row>3194</xdr:row>
      <xdr:rowOff>266700</xdr:rowOff>
    </xdr:to>
    <xdr:sp>
      <xdr:nvSpPr>
        <xdr:cNvPr id="296" name="Rectangle 295"/>
        <xdr:cNvSpPr/>
      </xdr:nvSpPr>
      <xdr:spPr>
        <a:xfrm>
          <a:off x="7286625" y="76687553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3190</xdr:row>
      <xdr:rowOff>219075</xdr:rowOff>
    </xdr:from>
    <xdr:to>
      <xdr:col>9</xdr:col>
      <xdr:colOff>457200</xdr:colOff>
      <xdr:row>3194</xdr:row>
      <xdr:rowOff>104775</xdr:rowOff>
    </xdr:to>
    <xdr:sp>
      <xdr:nvSpPr>
        <xdr:cNvPr id="297" name="TextBox 296"/>
        <xdr:cNvSpPr txBox="1"/>
      </xdr:nvSpPr>
      <xdr:spPr>
        <a:xfrm>
          <a:off x="7400925" y="76705650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3282</xdr:row>
      <xdr:rowOff>57151</xdr:rowOff>
    </xdr:from>
    <xdr:to>
      <xdr:col>9</xdr:col>
      <xdr:colOff>600075</xdr:colOff>
      <xdr:row>3291</xdr:row>
      <xdr:rowOff>152400</xdr:rowOff>
    </xdr:to>
    <xdr:graphicFrame>
      <xdr:nvGraphicFramePr>
        <xdr:cNvPr id="298" name="Chart 297"/>
        <xdr:cNvGraphicFramePr/>
      </xdr:nvGraphicFramePr>
      <xdr:xfrm>
        <a:off x="86360" y="78989491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absolute">
    <xdr:from>
      <xdr:col>2</xdr:col>
      <xdr:colOff>95250</xdr:colOff>
      <xdr:row>3245</xdr:row>
      <xdr:rowOff>76201</xdr:rowOff>
    </xdr:from>
    <xdr:to>
      <xdr:col>2</xdr:col>
      <xdr:colOff>1295400</xdr:colOff>
      <xdr:row>3249</xdr:row>
      <xdr:rowOff>276226</xdr:rowOff>
    </xdr:to>
    <xdr:sp>
      <xdr:nvSpPr>
        <xdr:cNvPr id="299" name="Rectangle 298"/>
        <xdr:cNvSpPr/>
      </xdr:nvSpPr>
      <xdr:spPr>
        <a:xfrm>
          <a:off x="418465" y="78013496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3254</xdr:row>
      <xdr:rowOff>104776</xdr:rowOff>
    </xdr:from>
    <xdr:to>
      <xdr:col>8</xdr:col>
      <xdr:colOff>238125</xdr:colOff>
      <xdr:row>3279</xdr:row>
      <xdr:rowOff>209551</xdr:rowOff>
    </xdr:to>
    <xdr:sp>
      <xdr:nvSpPr>
        <xdr:cNvPr id="300" name="Rectangle 299"/>
        <xdr:cNvSpPr/>
      </xdr:nvSpPr>
      <xdr:spPr>
        <a:xfrm>
          <a:off x="1256665" y="78251494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3245</xdr:row>
      <xdr:rowOff>38100</xdr:rowOff>
    </xdr:from>
    <xdr:to>
      <xdr:col>9</xdr:col>
      <xdr:colOff>571500</xdr:colOff>
      <xdr:row>3249</xdr:row>
      <xdr:rowOff>266700</xdr:rowOff>
    </xdr:to>
    <xdr:sp>
      <xdr:nvSpPr>
        <xdr:cNvPr id="301" name="Rectangle 300"/>
        <xdr:cNvSpPr/>
      </xdr:nvSpPr>
      <xdr:spPr>
        <a:xfrm>
          <a:off x="7286625" y="78009686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3245</xdr:row>
      <xdr:rowOff>219075</xdr:rowOff>
    </xdr:from>
    <xdr:to>
      <xdr:col>9</xdr:col>
      <xdr:colOff>457200</xdr:colOff>
      <xdr:row>3249</xdr:row>
      <xdr:rowOff>104775</xdr:rowOff>
    </xdr:to>
    <xdr:sp>
      <xdr:nvSpPr>
        <xdr:cNvPr id="302" name="TextBox 301"/>
        <xdr:cNvSpPr txBox="1"/>
      </xdr:nvSpPr>
      <xdr:spPr>
        <a:xfrm>
          <a:off x="7400925" y="78027784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3337</xdr:row>
      <xdr:rowOff>57151</xdr:rowOff>
    </xdr:from>
    <xdr:to>
      <xdr:col>9</xdr:col>
      <xdr:colOff>600075</xdr:colOff>
      <xdr:row>3346</xdr:row>
      <xdr:rowOff>152400</xdr:rowOff>
    </xdr:to>
    <xdr:graphicFrame>
      <xdr:nvGraphicFramePr>
        <xdr:cNvPr id="303" name="Chart 302"/>
        <xdr:cNvGraphicFramePr/>
      </xdr:nvGraphicFramePr>
      <xdr:xfrm>
        <a:off x="86360" y="80311625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absolute">
    <xdr:from>
      <xdr:col>2</xdr:col>
      <xdr:colOff>95250</xdr:colOff>
      <xdr:row>3300</xdr:row>
      <xdr:rowOff>76201</xdr:rowOff>
    </xdr:from>
    <xdr:to>
      <xdr:col>2</xdr:col>
      <xdr:colOff>1295400</xdr:colOff>
      <xdr:row>3304</xdr:row>
      <xdr:rowOff>276226</xdr:rowOff>
    </xdr:to>
    <xdr:sp>
      <xdr:nvSpPr>
        <xdr:cNvPr id="304" name="Rectangle 303"/>
        <xdr:cNvSpPr/>
      </xdr:nvSpPr>
      <xdr:spPr>
        <a:xfrm>
          <a:off x="418465" y="79335630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3309</xdr:row>
      <xdr:rowOff>104776</xdr:rowOff>
    </xdr:from>
    <xdr:to>
      <xdr:col>8</xdr:col>
      <xdr:colOff>238125</xdr:colOff>
      <xdr:row>3334</xdr:row>
      <xdr:rowOff>209551</xdr:rowOff>
    </xdr:to>
    <xdr:sp>
      <xdr:nvSpPr>
        <xdr:cNvPr id="305" name="Rectangle 304"/>
        <xdr:cNvSpPr/>
      </xdr:nvSpPr>
      <xdr:spPr>
        <a:xfrm>
          <a:off x="1256665" y="79573628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3300</xdr:row>
      <xdr:rowOff>38100</xdr:rowOff>
    </xdr:from>
    <xdr:to>
      <xdr:col>9</xdr:col>
      <xdr:colOff>571500</xdr:colOff>
      <xdr:row>3304</xdr:row>
      <xdr:rowOff>266700</xdr:rowOff>
    </xdr:to>
    <xdr:sp>
      <xdr:nvSpPr>
        <xdr:cNvPr id="306" name="Rectangle 305"/>
        <xdr:cNvSpPr/>
      </xdr:nvSpPr>
      <xdr:spPr>
        <a:xfrm>
          <a:off x="7286625" y="79331820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3300</xdr:row>
      <xdr:rowOff>219075</xdr:rowOff>
    </xdr:from>
    <xdr:to>
      <xdr:col>9</xdr:col>
      <xdr:colOff>457200</xdr:colOff>
      <xdr:row>3304</xdr:row>
      <xdr:rowOff>104775</xdr:rowOff>
    </xdr:to>
    <xdr:sp>
      <xdr:nvSpPr>
        <xdr:cNvPr id="307" name="TextBox 306"/>
        <xdr:cNvSpPr txBox="1"/>
      </xdr:nvSpPr>
      <xdr:spPr>
        <a:xfrm>
          <a:off x="7400925" y="79349917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3392</xdr:row>
      <xdr:rowOff>57151</xdr:rowOff>
    </xdr:from>
    <xdr:to>
      <xdr:col>9</xdr:col>
      <xdr:colOff>600075</xdr:colOff>
      <xdr:row>3401</xdr:row>
      <xdr:rowOff>152400</xdr:rowOff>
    </xdr:to>
    <xdr:graphicFrame>
      <xdr:nvGraphicFramePr>
        <xdr:cNvPr id="308" name="Chart 307"/>
        <xdr:cNvGraphicFramePr/>
      </xdr:nvGraphicFramePr>
      <xdr:xfrm>
        <a:off x="86360" y="81633758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absolute">
    <xdr:from>
      <xdr:col>2</xdr:col>
      <xdr:colOff>95250</xdr:colOff>
      <xdr:row>3355</xdr:row>
      <xdr:rowOff>76201</xdr:rowOff>
    </xdr:from>
    <xdr:to>
      <xdr:col>2</xdr:col>
      <xdr:colOff>1295400</xdr:colOff>
      <xdr:row>3359</xdr:row>
      <xdr:rowOff>276226</xdr:rowOff>
    </xdr:to>
    <xdr:sp>
      <xdr:nvSpPr>
        <xdr:cNvPr id="309" name="Rectangle 308"/>
        <xdr:cNvSpPr/>
      </xdr:nvSpPr>
      <xdr:spPr>
        <a:xfrm>
          <a:off x="418465" y="80657763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3364</xdr:row>
      <xdr:rowOff>104776</xdr:rowOff>
    </xdr:from>
    <xdr:to>
      <xdr:col>8</xdr:col>
      <xdr:colOff>238125</xdr:colOff>
      <xdr:row>3389</xdr:row>
      <xdr:rowOff>209551</xdr:rowOff>
    </xdr:to>
    <xdr:sp>
      <xdr:nvSpPr>
        <xdr:cNvPr id="310" name="Rectangle 309"/>
        <xdr:cNvSpPr/>
      </xdr:nvSpPr>
      <xdr:spPr>
        <a:xfrm>
          <a:off x="1256665" y="80895761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3355</xdr:row>
      <xdr:rowOff>38100</xdr:rowOff>
    </xdr:from>
    <xdr:to>
      <xdr:col>9</xdr:col>
      <xdr:colOff>571500</xdr:colOff>
      <xdr:row>3359</xdr:row>
      <xdr:rowOff>266700</xdr:rowOff>
    </xdr:to>
    <xdr:sp>
      <xdr:nvSpPr>
        <xdr:cNvPr id="311" name="Rectangle 310"/>
        <xdr:cNvSpPr/>
      </xdr:nvSpPr>
      <xdr:spPr>
        <a:xfrm>
          <a:off x="7286625" y="80653953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3355</xdr:row>
      <xdr:rowOff>219075</xdr:rowOff>
    </xdr:from>
    <xdr:to>
      <xdr:col>9</xdr:col>
      <xdr:colOff>457200</xdr:colOff>
      <xdr:row>3359</xdr:row>
      <xdr:rowOff>104775</xdr:rowOff>
    </xdr:to>
    <xdr:sp>
      <xdr:nvSpPr>
        <xdr:cNvPr id="312" name="TextBox 311"/>
        <xdr:cNvSpPr txBox="1"/>
      </xdr:nvSpPr>
      <xdr:spPr>
        <a:xfrm>
          <a:off x="7400925" y="80672051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3447</xdr:row>
      <xdr:rowOff>57151</xdr:rowOff>
    </xdr:from>
    <xdr:to>
      <xdr:col>9</xdr:col>
      <xdr:colOff>600075</xdr:colOff>
      <xdr:row>3456</xdr:row>
      <xdr:rowOff>152400</xdr:rowOff>
    </xdr:to>
    <xdr:graphicFrame>
      <xdr:nvGraphicFramePr>
        <xdr:cNvPr id="313" name="Chart 312"/>
        <xdr:cNvGraphicFramePr/>
      </xdr:nvGraphicFramePr>
      <xdr:xfrm>
        <a:off x="86360" y="82955892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absolute">
    <xdr:from>
      <xdr:col>2</xdr:col>
      <xdr:colOff>95250</xdr:colOff>
      <xdr:row>3410</xdr:row>
      <xdr:rowOff>76201</xdr:rowOff>
    </xdr:from>
    <xdr:to>
      <xdr:col>2</xdr:col>
      <xdr:colOff>1295400</xdr:colOff>
      <xdr:row>3414</xdr:row>
      <xdr:rowOff>276226</xdr:rowOff>
    </xdr:to>
    <xdr:sp>
      <xdr:nvSpPr>
        <xdr:cNvPr id="314" name="Rectangle 313"/>
        <xdr:cNvSpPr/>
      </xdr:nvSpPr>
      <xdr:spPr>
        <a:xfrm>
          <a:off x="418465" y="81979897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3419</xdr:row>
      <xdr:rowOff>104776</xdr:rowOff>
    </xdr:from>
    <xdr:to>
      <xdr:col>8</xdr:col>
      <xdr:colOff>238125</xdr:colOff>
      <xdr:row>3444</xdr:row>
      <xdr:rowOff>209551</xdr:rowOff>
    </xdr:to>
    <xdr:sp>
      <xdr:nvSpPr>
        <xdr:cNvPr id="315" name="Rectangle 314"/>
        <xdr:cNvSpPr/>
      </xdr:nvSpPr>
      <xdr:spPr>
        <a:xfrm>
          <a:off x="1256665" y="82217895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3410</xdr:row>
      <xdr:rowOff>38100</xdr:rowOff>
    </xdr:from>
    <xdr:to>
      <xdr:col>9</xdr:col>
      <xdr:colOff>571500</xdr:colOff>
      <xdr:row>3414</xdr:row>
      <xdr:rowOff>266700</xdr:rowOff>
    </xdr:to>
    <xdr:sp>
      <xdr:nvSpPr>
        <xdr:cNvPr id="316" name="Rectangle 315"/>
        <xdr:cNvSpPr/>
      </xdr:nvSpPr>
      <xdr:spPr>
        <a:xfrm>
          <a:off x="7286625" y="81976087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3410</xdr:row>
      <xdr:rowOff>219075</xdr:rowOff>
    </xdr:from>
    <xdr:to>
      <xdr:col>9</xdr:col>
      <xdr:colOff>457200</xdr:colOff>
      <xdr:row>3414</xdr:row>
      <xdr:rowOff>104775</xdr:rowOff>
    </xdr:to>
    <xdr:sp>
      <xdr:nvSpPr>
        <xdr:cNvPr id="317" name="TextBox 316"/>
        <xdr:cNvSpPr txBox="1"/>
      </xdr:nvSpPr>
      <xdr:spPr>
        <a:xfrm>
          <a:off x="7400925" y="81994184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3502</xdr:row>
      <xdr:rowOff>57151</xdr:rowOff>
    </xdr:from>
    <xdr:to>
      <xdr:col>9</xdr:col>
      <xdr:colOff>600075</xdr:colOff>
      <xdr:row>3511</xdr:row>
      <xdr:rowOff>152400</xdr:rowOff>
    </xdr:to>
    <xdr:graphicFrame>
      <xdr:nvGraphicFramePr>
        <xdr:cNvPr id="318" name="Chart 317"/>
        <xdr:cNvGraphicFramePr/>
      </xdr:nvGraphicFramePr>
      <xdr:xfrm>
        <a:off x="86360" y="84278025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absolute">
    <xdr:from>
      <xdr:col>2</xdr:col>
      <xdr:colOff>95250</xdr:colOff>
      <xdr:row>3465</xdr:row>
      <xdr:rowOff>76201</xdr:rowOff>
    </xdr:from>
    <xdr:to>
      <xdr:col>2</xdr:col>
      <xdr:colOff>1295400</xdr:colOff>
      <xdr:row>3469</xdr:row>
      <xdr:rowOff>276226</xdr:rowOff>
    </xdr:to>
    <xdr:sp>
      <xdr:nvSpPr>
        <xdr:cNvPr id="319" name="Rectangle 318"/>
        <xdr:cNvSpPr/>
      </xdr:nvSpPr>
      <xdr:spPr>
        <a:xfrm>
          <a:off x="418465" y="83302030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3474</xdr:row>
      <xdr:rowOff>104776</xdr:rowOff>
    </xdr:from>
    <xdr:to>
      <xdr:col>8</xdr:col>
      <xdr:colOff>238125</xdr:colOff>
      <xdr:row>3499</xdr:row>
      <xdr:rowOff>209551</xdr:rowOff>
    </xdr:to>
    <xdr:sp>
      <xdr:nvSpPr>
        <xdr:cNvPr id="320" name="Rectangle 319"/>
        <xdr:cNvSpPr/>
      </xdr:nvSpPr>
      <xdr:spPr>
        <a:xfrm>
          <a:off x="1256665" y="83540028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3465</xdr:row>
      <xdr:rowOff>38100</xdr:rowOff>
    </xdr:from>
    <xdr:to>
      <xdr:col>9</xdr:col>
      <xdr:colOff>571500</xdr:colOff>
      <xdr:row>3469</xdr:row>
      <xdr:rowOff>266700</xdr:rowOff>
    </xdr:to>
    <xdr:sp>
      <xdr:nvSpPr>
        <xdr:cNvPr id="321" name="Rectangle 320"/>
        <xdr:cNvSpPr/>
      </xdr:nvSpPr>
      <xdr:spPr>
        <a:xfrm>
          <a:off x="7286625" y="83298220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3465</xdr:row>
      <xdr:rowOff>219075</xdr:rowOff>
    </xdr:from>
    <xdr:to>
      <xdr:col>9</xdr:col>
      <xdr:colOff>457200</xdr:colOff>
      <xdr:row>3469</xdr:row>
      <xdr:rowOff>104775</xdr:rowOff>
    </xdr:to>
    <xdr:sp>
      <xdr:nvSpPr>
        <xdr:cNvPr id="322" name="TextBox 321"/>
        <xdr:cNvSpPr txBox="1"/>
      </xdr:nvSpPr>
      <xdr:spPr>
        <a:xfrm>
          <a:off x="7400925" y="83316318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3557</xdr:row>
      <xdr:rowOff>57151</xdr:rowOff>
    </xdr:from>
    <xdr:to>
      <xdr:col>9</xdr:col>
      <xdr:colOff>600075</xdr:colOff>
      <xdr:row>3566</xdr:row>
      <xdr:rowOff>152400</xdr:rowOff>
    </xdr:to>
    <xdr:graphicFrame>
      <xdr:nvGraphicFramePr>
        <xdr:cNvPr id="323" name="Chart 322"/>
        <xdr:cNvGraphicFramePr/>
      </xdr:nvGraphicFramePr>
      <xdr:xfrm>
        <a:off x="86360" y="85600159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absolute">
    <xdr:from>
      <xdr:col>2</xdr:col>
      <xdr:colOff>95250</xdr:colOff>
      <xdr:row>3520</xdr:row>
      <xdr:rowOff>76201</xdr:rowOff>
    </xdr:from>
    <xdr:to>
      <xdr:col>2</xdr:col>
      <xdr:colOff>1295400</xdr:colOff>
      <xdr:row>3524</xdr:row>
      <xdr:rowOff>276226</xdr:rowOff>
    </xdr:to>
    <xdr:sp>
      <xdr:nvSpPr>
        <xdr:cNvPr id="324" name="Rectangle 323"/>
        <xdr:cNvSpPr/>
      </xdr:nvSpPr>
      <xdr:spPr>
        <a:xfrm>
          <a:off x="418465" y="84624164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3529</xdr:row>
      <xdr:rowOff>104776</xdr:rowOff>
    </xdr:from>
    <xdr:to>
      <xdr:col>8</xdr:col>
      <xdr:colOff>238125</xdr:colOff>
      <xdr:row>3554</xdr:row>
      <xdr:rowOff>209551</xdr:rowOff>
    </xdr:to>
    <xdr:sp>
      <xdr:nvSpPr>
        <xdr:cNvPr id="325" name="Rectangle 324"/>
        <xdr:cNvSpPr/>
      </xdr:nvSpPr>
      <xdr:spPr>
        <a:xfrm>
          <a:off x="1256665" y="84862162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3520</xdr:row>
      <xdr:rowOff>38100</xdr:rowOff>
    </xdr:from>
    <xdr:to>
      <xdr:col>9</xdr:col>
      <xdr:colOff>571500</xdr:colOff>
      <xdr:row>3524</xdr:row>
      <xdr:rowOff>266700</xdr:rowOff>
    </xdr:to>
    <xdr:sp>
      <xdr:nvSpPr>
        <xdr:cNvPr id="326" name="Rectangle 325"/>
        <xdr:cNvSpPr/>
      </xdr:nvSpPr>
      <xdr:spPr>
        <a:xfrm>
          <a:off x="7286625" y="84620354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3520</xdr:row>
      <xdr:rowOff>219075</xdr:rowOff>
    </xdr:from>
    <xdr:to>
      <xdr:col>9</xdr:col>
      <xdr:colOff>457200</xdr:colOff>
      <xdr:row>3524</xdr:row>
      <xdr:rowOff>104775</xdr:rowOff>
    </xdr:to>
    <xdr:sp>
      <xdr:nvSpPr>
        <xdr:cNvPr id="327" name="TextBox 326"/>
        <xdr:cNvSpPr txBox="1"/>
      </xdr:nvSpPr>
      <xdr:spPr>
        <a:xfrm>
          <a:off x="7400925" y="84638451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3612</xdr:row>
      <xdr:rowOff>57151</xdr:rowOff>
    </xdr:from>
    <xdr:to>
      <xdr:col>9</xdr:col>
      <xdr:colOff>600075</xdr:colOff>
      <xdr:row>3621</xdr:row>
      <xdr:rowOff>152400</xdr:rowOff>
    </xdr:to>
    <xdr:graphicFrame>
      <xdr:nvGraphicFramePr>
        <xdr:cNvPr id="328" name="Chart 327"/>
        <xdr:cNvGraphicFramePr/>
      </xdr:nvGraphicFramePr>
      <xdr:xfrm>
        <a:off x="86360" y="86922292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absolute">
    <xdr:from>
      <xdr:col>2</xdr:col>
      <xdr:colOff>95250</xdr:colOff>
      <xdr:row>3575</xdr:row>
      <xdr:rowOff>76201</xdr:rowOff>
    </xdr:from>
    <xdr:to>
      <xdr:col>2</xdr:col>
      <xdr:colOff>1295400</xdr:colOff>
      <xdr:row>3579</xdr:row>
      <xdr:rowOff>276226</xdr:rowOff>
    </xdr:to>
    <xdr:sp>
      <xdr:nvSpPr>
        <xdr:cNvPr id="329" name="Rectangle 328"/>
        <xdr:cNvSpPr/>
      </xdr:nvSpPr>
      <xdr:spPr>
        <a:xfrm>
          <a:off x="418465" y="85946297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3584</xdr:row>
      <xdr:rowOff>104776</xdr:rowOff>
    </xdr:from>
    <xdr:to>
      <xdr:col>8</xdr:col>
      <xdr:colOff>238125</xdr:colOff>
      <xdr:row>3609</xdr:row>
      <xdr:rowOff>209551</xdr:rowOff>
    </xdr:to>
    <xdr:sp>
      <xdr:nvSpPr>
        <xdr:cNvPr id="330" name="Rectangle 329"/>
        <xdr:cNvSpPr/>
      </xdr:nvSpPr>
      <xdr:spPr>
        <a:xfrm>
          <a:off x="1256665" y="86184295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3575</xdr:row>
      <xdr:rowOff>38100</xdr:rowOff>
    </xdr:from>
    <xdr:to>
      <xdr:col>9</xdr:col>
      <xdr:colOff>571500</xdr:colOff>
      <xdr:row>3579</xdr:row>
      <xdr:rowOff>266700</xdr:rowOff>
    </xdr:to>
    <xdr:sp>
      <xdr:nvSpPr>
        <xdr:cNvPr id="331" name="Rectangle 330"/>
        <xdr:cNvSpPr/>
      </xdr:nvSpPr>
      <xdr:spPr>
        <a:xfrm>
          <a:off x="7286625" y="85942487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3575</xdr:row>
      <xdr:rowOff>219075</xdr:rowOff>
    </xdr:from>
    <xdr:to>
      <xdr:col>9</xdr:col>
      <xdr:colOff>457200</xdr:colOff>
      <xdr:row>3579</xdr:row>
      <xdr:rowOff>104775</xdr:rowOff>
    </xdr:to>
    <xdr:sp>
      <xdr:nvSpPr>
        <xdr:cNvPr id="332" name="TextBox 331"/>
        <xdr:cNvSpPr txBox="1"/>
      </xdr:nvSpPr>
      <xdr:spPr>
        <a:xfrm>
          <a:off x="7400925" y="85960585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3667</xdr:row>
      <xdr:rowOff>57151</xdr:rowOff>
    </xdr:from>
    <xdr:to>
      <xdr:col>9</xdr:col>
      <xdr:colOff>600075</xdr:colOff>
      <xdr:row>3676</xdr:row>
      <xdr:rowOff>152400</xdr:rowOff>
    </xdr:to>
    <xdr:graphicFrame>
      <xdr:nvGraphicFramePr>
        <xdr:cNvPr id="333" name="Chart 332"/>
        <xdr:cNvGraphicFramePr/>
      </xdr:nvGraphicFramePr>
      <xdr:xfrm>
        <a:off x="86360" y="88244426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absolute">
    <xdr:from>
      <xdr:col>2</xdr:col>
      <xdr:colOff>95250</xdr:colOff>
      <xdr:row>3630</xdr:row>
      <xdr:rowOff>76201</xdr:rowOff>
    </xdr:from>
    <xdr:to>
      <xdr:col>2</xdr:col>
      <xdr:colOff>1295400</xdr:colOff>
      <xdr:row>3634</xdr:row>
      <xdr:rowOff>276226</xdr:rowOff>
    </xdr:to>
    <xdr:sp>
      <xdr:nvSpPr>
        <xdr:cNvPr id="334" name="Rectangle 333"/>
        <xdr:cNvSpPr/>
      </xdr:nvSpPr>
      <xdr:spPr>
        <a:xfrm>
          <a:off x="418465" y="87268431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3639</xdr:row>
      <xdr:rowOff>104776</xdr:rowOff>
    </xdr:from>
    <xdr:to>
      <xdr:col>8</xdr:col>
      <xdr:colOff>238125</xdr:colOff>
      <xdr:row>3664</xdr:row>
      <xdr:rowOff>209551</xdr:rowOff>
    </xdr:to>
    <xdr:sp>
      <xdr:nvSpPr>
        <xdr:cNvPr id="335" name="Rectangle 334"/>
        <xdr:cNvSpPr/>
      </xdr:nvSpPr>
      <xdr:spPr>
        <a:xfrm>
          <a:off x="1256665" y="87506429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3630</xdr:row>
      <xdr:rowOff>38100</xdr:rowOff>
    </xdr:from>
    <xdr:to>
      <xdr:col>9</xdr:col>
      <xdr:colOff>571500</xdr:colOff>
      <xdr:row>3634</xdr:row>
      <xdr:rowOff>266700</xdr:rowOff>
    </xdr:to>
    <xdr:sp>
      <xdr:nvSpPr>
        <xdr:cNvPr id="336" name="Rectangle 335"/>
        <xdr:cNvSpPr/>
      </xdr:nvSpPr>
      <xdr:spPr>
        <a:xfrm>
          <a:off x="7286625" y="87264621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3630</xdr:row>
      <xdr:rowOff>219075</xdr:rowOff>
    </xdr:from>
    <xdr:to>
      <xdr:col>9</xdr:col>
      <xdr:colOff>457200</xdr:colOff>
      <xdr:row>3634</xdr:row>
      <xdr:rowOff>104775</xdr:rowOff>
    </xdr:to>
    <xdr:sp>
      <xdr:nvSpPr>
        <xdr:cNvPr id="337" name="TextBox 336"/>
        <xdr:cNvSpPr txBox="1"/>
      </xdr:nvSpPr>
      <xdr:spPr>
        <a:xfrm>
          <a:off x="7400925" y="87282718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3722</xdr:row>
      <xdr:rowOff>57151</xdr:rowOff>
    </xdr:from>
    <xdr:to>
      <xdr:col>9</xdr:col>
      <xdr:colOff>600075</xdr:colOff>
      <xdr:row>3731</xdr:row>
      <xdr:rowOff>152400</xdr:rowOff>
    </xdr:to>
    <xdr:graphicFrame>
      <xdr:nvGraphicFramePr>
        <xdr:cNvPr id="338" name="Chart 337"/>
        <xdr:cNvGraphicFramePr/>
      </xdr:nvGraphicFramePr>
      <xdr:xfrm>
        <a:off x="86360" y="89566559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absolute">
    <xdr:from>
      <xdr:col>2</xdr:col>
      <xdr:colOff>95250</xdr:colOff>
      <xdr:row>3685</xdr:row>
      <xdr:rowOff>76201</xdr:rowOff>
    </xdr:from>
    <xdr:to>
      <xdr:col>2</xdr:col>
      <xdr:colOff>1295400</xdr:colOff>
      <xdr:row>3689</xdr:row>
      <xdr:rowOff>276226</xdr:rowOff>
    </xdr:to>
    <xdr:sp>
      <xdr:nvSpPr>
        <xdr:cNvPr id="339" name="Rectangle 338"/>
        <xdr:cNvSpPr/>
      </xdr:nvSpPr>
      <xdr:spPr>
        <a:xfrm>
          <a:off x="418465" y="88590564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3694</xdr:row>
      <xdr:rowOff>104776</xdr:rowOff>
    </xdr:from>
    <xdr:to>
      <xdr:col>8</xdr:col>
      <xdr:colOff>238125</xdr:colOff>
      <xdr:row>3719</xdr:row>
      <xdr:rowOff>209551</xdr:rowOff>
    </xdr:to>
    <xdr:sp>
      <xdr:nvSpPr>
        <xdr:cNvPr id="340" name="Rectangle 339"/>
        <xdr:cNvSpPr/>
      </xdr:nvSpPr>
      <xdr:spPr>
        <a:xfrm>
          <a:off x="1256665" y="88828562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3685</xdr:row>
      <xdr:rowOff>38100</xdr:rowOff>
    </xdr:from>
    <xdr:to>
      <xdr:col>9</xdr:col>
      <xdr:colOff>571500</xdr:colOff>
      <xdr:row>3689</xdr:row>
      <xdr:rowOff>266700</xdr:rowOff>
    </xdr:to>
    <xdr:sp>
      <xdr:nvSpPr>
        <xdr:cNvPr id="341" name="Rectangle 340"/>
        <xdr:cNvSpPr/>
      </xdr:nvSpPr>
      <xdr:spPr>
        <a:xfrm>
          <a:off x="7286625" y="88586754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3685</xdr:row>
      <xdr:rowOff>219075</xdr:rowOff>
    </xdr:from>
    <xdr:to>
      <xdr:col>9</xdr:col>
      <xdr:colOff>457200</xdr:colOff>
      <xdr:row>3689</xdr:row>
      <xdr:rowOff>104775</xdr:rowOff>
    </xdr:to>
    <xdr:sp>
      <xdr:nvSpPr>
        <xdr:cNvPr id="342" name="TextBox 341"/>
        <xdr:cNvSpPr txBox="1"/>
      </xdr:nvSpPr>
      <xdr:spPr>
        <a:xfrm>
          <a:off x="7400925" y="88604852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3777</xdr:row>
      <xdr:rowOff>57151</xdr:rowOff>
    </xdr:from>
    <xdr:to>
      <xdr:col>9</xdr:col>
      <xdr:colOff>600075</xdr:colOff>
      <xdr:row>3786</xdr:row>
      <xdr:rowOff>152400</xdr:rowOff>
    </xdr:to>
    <xdr:graphicFrame>
      <xdr:nvGraphicFramePr>
        <xdr:cNvPr id="343" name="Chart 342"/>
        <xdr:cNvGraphicFramePr/>
      </xdr:nvGraphicFramePr>
      <xdr:xfrm>
        <a:off x="86360" y="90888693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absolute">
    <xdr:from>
      <xdr:col>2</xdr:col>
      <xdr:colOff>95250</xdr:colOff>
      <xdr:row>3740</xdr:row>
      <xdr:rowOff>76201</xdr:rowOff>
    </xdr:from>
    <xdr:to>
      <xdr:col>2</xdr:col>
      <xdr:colOff>1295400</xdr:colOff>
      <xdr:row>3744</xdr:row>
      <xdr:rowOff>276226</xdr:rowOff>
    </xdr:to>
    <xdr:sp>
      <xdr:nvSpPr>
        <xdr:cNvPr id="344" name="Rectangle 343"/>
        <xdr:cNvSpPr/>
      </xdr:nvSpPr>
      <xdr:spPr>
        <a:xfrm>
          <a:off x="418465" y="89912698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3749</xdr:row>
      <xdr:rowOff>104776</xdr:rowOff>
    </xdr:from>
    <xdr:to>
      <xdr:col>8</xdr:col>
      <xdr:colOff>238125</xdr:colOff>
      <xdr:row>3774</xdr:row>
      <xdr:rowOff>209551</xdr:rowOff>
    </xdr:to>
    <xdr:sp>
      <xdr:nvSpPr>
        <xdr:cNvPr id="345" name="Rectangle 344"/>
        <xdr:cNvSpPr/>
      </xdr:nvSpPr>
      <xdr:spPr>
        <a:xfrm>
          <a:off x="1256665" y="90150696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3740</xdr:row>
      <xdr:rowOff>38100</xdr:rowOff>
    </xdr:from>
    <xdr:to>
      <xdr:col>9</xdr:col>
      <xdr:colOff>571500</xdr:colOff>
      <xdr:row>3744</xdr:row>
      <xdr:rowOff>266700</xdr:rowOff>
    </xdr:to>
    <xdr:sp>
      <xdr:nvSpPr>
        <xdr:cNvPr id="346" name="Rectangle 345"/>
        <xdr:cNvSpPr/>
      </xdr:nvSpPr>
      <xdr:spPr>
        <a:xfrm>
          <a:off x="7286625" y="89908888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3740</xdr:row>
      <xdr:rowOff>219075</xdr:rowOff>
    </xdr:from>
    <xdr:to>
      <xdr:col>9</xdr:col>
      <xdr:colOff>457200</xdr:colOff>
      <xdr:row>3744</xdr:row>
      <xdr:rowOff>104775</xdr:rowOff>
    </xdr:to>
    <xdr:sp>
      <xdr:nvSpPr>
        <xdr:cNvPr id="347" name="TextBox 346"/>
        <xdr:cNvSpPr txBox="1"/>
      </xdr:nvSpPr>
      <xdr:spPr>
        <a:xfrm>
          <a:off x="7400925" y="89926985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3832</xdr:row>
      <xdr:rowOff>57151</xdr:rowOff>
    </xdr:from>
    <xdr:to>
      <xdr:col>9</xdr:col>
      <xdr:colOff>600075</xdr:colOff>
      <xdr:row>3841</xdr:row>
      <xdr:rowOff>152400</xdr:rowOff>
    </xdr:to>
    <xdr:graphicFrame>
      <xdr:nvGraphicFramePr>
        <xdr:cNvPr id="348" name="Chart 347"/>
        <xdr:cNvGraphicFramePr/>
      </xdr:nvGraphicFramePr>
      <xdr:xfrm>
        <a:off x="86360" y="92210826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absolute">
    <xdr:from>
      <xdr:col>2</xdr:col>
      <xdr:colOff>95250</xdr:colOff>
      <xdr:row>3795</xdr:row>
      <xdr:rowOff>76201</xdr:rowOff>
    </xdr:from>
    <xdr:to>
      <xdr:col>2</xdr:col>
      <xdr:colOff>1295400</xdr:colOff>
      <xdr:row>3799</xdr:row>
      <xdr:rowOff>276226</xdr:rowOff>
    </xdr:to>
    <xdr:sp>
      <xdr:nvSpPr>
        <xdr:cNvPr id="349" name="Rectangle 348"/>
        <xdr:cNvSpPr/>
      </xdr:nvSpPr>
      <xdr:spPr>
        <a:xfrm>
          <a:off x="418465" y="91234831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3804</xdr:row>
      <xdr:rowOff>104776</xdr:rowOff>
    </xdr:from>
    <xdr:to>
      <xdr:col>8</xdr:col>
      <xdr:colOff>238125</xdr:colOff>
      <xdr:row>3829</xdr:row>
      <xdr:rowOff>209551</xdr:rowOff>
    </xdr:to>
    <xdr:sp>
      <xdr:nvSpPr>
        <xdr:cNvPr id="350" name="Rectangle 349"/>
        <xdr:cNvSpPr/>
      </xdr:nvSpPr>
      <xdr:spPr>
        <a:xfrm>
          <a:off x="1256665" y="91472829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3795</xdr:row>
      <xdr:rowOff>38100</xdr:rowOff>
    </xdr:from>
    <xdr:to>
      <xdr:col>9</xdr:col>
      <xdr:colOff>571500</xdr:colOff>
      <xdr:row>3799</xdr:row>
      <xdr:rowOff>266700</xdr:rowOff>
    </xdr:to>
    <xdr:sp>
      <xdr:nvSpPr>
        <xdr:cNvPr id="351" name="Rectangle 350"/>
        <xdr:cNvSpPr/>
      </xdr:nvSpPr>
      <xdr:spPr>
        <a:xfrm>
          <a:off x="7286625" y="91231021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3795</xdr:row>
      <xdr:rowOff>219075</xdr:rowOff>
    </xdr:from>
    <xdr:to>
      <xdr:col>9</xdr:col>
      <xdr:colOff>457200</xdr:colOff>
      <xdr:row>3799</xdr:row>
      <xdr:rowOff>104775</xdr:rowOff>
    </xdr:to>
    <xdr:sp>
      <xdr:nvSpPr>
        <xdr:cNvPr id="352" name="TextBox 351"/>
        <xdr:cNvSpPr txBox="1"/>
      </xdr:nvSpPr>
      <xdr:spPr>
        <a:xfrm>
          <a:off x="7400925" y="91249119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3887</xdr:row>
      <xdr:rowOff>57151</xdr:rowOff>
    </xdr:from>
    <xdr:to>
      <xdr:col>9</xdr:col>
      <xdr:colOff>600075</xdr:colOff>
      <xdr:row>3896</xdr:row>
      <xdr:rowOff>152400</xdr:rowOff>
    </xdr:to>
    <xdr:graphicFrame>
      <xdr:nvGraphicFramePr>
        <xdr:cNvPr id="353" name="Chart 352"/>
        <xdr:cNvGraphicFramePr/>
      </xdr:nvGraphicFramePr>
      <xdr:xfrm>
        <a:off x="86360" y="93532960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absolute">
    <xdr:from>
      <xdr:col>2</xdr:col>
      <xdr:colOff>95250</xdr:colOff>
      <xdr:row>3850</xdr:row>
      <xdr:rowOff>76201</xdr:rowOff>
    </xdr:from>
    <xdr:to>
      <xdr:col>2</xdr:col>
      <xdr:colOff>1295400</xdr:colOff>
      <xdr:row>3854</xdr:row>
      <xdr:rowOff>276226</xdr:rowOff>
    </xdr:to>
    <xdr:sp>
      <xdr:nvSpPr>
        <xdr:cNvPr id="354" name="Rectangle 353"/>
        <xdr:cNvSpPr/>
      </xdr:nvSpPr>
      <xdr:spPr>
        <a:xfrm>
          <a:off x="418465" y="92556965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3859</xdr:row>
      <xdr:rowOff>104776</xdr:rowOff>
    </xdr:from>
    <xdr:to>
      <xdr:col>8</xdr:col>
      <xdr:colOff>238125</xdr:colOff>
      <xdr:row>3884</xdr:row>
      <xdr:rowOff>209551</xdr:rowOff>
    </xdr:to>
    <xdr:sp>
      <xdr:nvSpPr>
        <xdr:cNvPr id="355" name="Rectangle 354"/>
        <xdr:cNvSpPr/>
      </xdr:nvSpPr>
      <xdr:spPr>
        <a:xfrm>
          <a:off x="1256665" y="92794963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3850</xdr:row>
      <xdr:rowOff>38100</xdr:rowOff>
    </xdr:from>
    <xdr:to>
      <xdr:col>9</xdr:col>
      <xdr:colOff>571500</xdr:colOff>
      <xdr:row>3854</xdr:row>
      <xdr:rowOff>266700</xdr:rowOff>
    </xdr:to>
    <xdr:sp>
      <xdr:nvSpPr>
        <xdr:cNvPr id="356" name="Rectangle 355"/>
        <xdr:cNvSpPr/>
      </xdr:nvSpPr>
      <xdr:spPr>
        <a:xfrm>
          <a:off x="7286625" y="92553155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3850</xdr:row>
      <xdr:rowOff>219075</xdr:rowOff>
    </xdr:from>
    <xdr:to>
      <xdr:col>9</xdr:col>
      <xdr:colOff>457200</xdr:colOff>
      <xdr:row>3854</xdr:row>
      <xdr:rowOff>104775</xdr:rowOff>
    </xdr:to>
    <xdr:sp>
      <xdr:nvSpPr>
        <xdr:cNvPr id="357" name="TextBox 356"/>
        <xdr:cNvSpPr txBox="1"/>
      </xdr:nvSpPr>
      <xdr:spPr>
        <a:xfrm>
          <a:off x="7400925" y="92571252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3942</xdr:row>
      <xdr:rowOff>57151</xdr:rowOff>
    </xdr:from>
    <xdr:to>
      <xdr:col>9</xdr:col>
      <xdr:colOff>600075</xdr:colOff>
      <xdr:row>3951</xdr:row>
      <xdr:rowOff>152400</xdr:rowOff>
    </xdr:to>
    <xdr:graphicFrame>
      <xdr:nvGraphicFramePr>
        <xdr:cNvPr id="358" name="Chart 357"/>
        <xdr:cNvGraphicFramePr/>
      </xdr:nvGraphicFramePr>
      <xdr:xfrm>
        <a:off x="86360" y="94855093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absolute">
    <xdr:from>
      <xdr:col>2</xdr:col>
      <xdr:colOff>95250</xdr:colOff>
      <xdr:row>3905</xdr:row>
      <xdr:rowOff>76201</xdr:rowOff>
    </xdr:from>
    <xdr:to>
      <xdr:col>2</xdr:col>
      <xdr:colOff>1295400</xdr:colOff>
      <xdr:row>3909</xdr:row>
      <xdr:rowOff>276226</xdr:rowOff>
    </xdr:to>
    <xdr:sp>
      <xdr:nvSpPr>
        <xdr:cNvPr id="359" name="Rectangle 358"/>
        <xdr:cNvSpPr/>
      </xdr:nvSpPr>
      <xdr:spPr>
        <a:xfrm>
          <a:off x="418465" y="93879098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3914</xdr:row>
      <xdr:rowOff>104776</xdr:rowOff>
    </xdr:from>
    <xdr:to>
      <xdr:col>8</xdr:col>
      <xdr:colOff>238125</xdr:colOff>
      <xdr:row>3939</xdr:row>
      <xdr:rowOff>209551</xdr:rowOff>
    </xdr:to>
    <xdr:sp>
      <xdr:nvSpPr>
        <xdr:cNvPr id="360" name="Rectangle 359"/>
        <xdr:cNvSpPr/>
      </xdr:nvSpPr>
      <xdr:spPr>
        <a:xfrm>
          <a:off x="1256665" y="94117096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3905</xdr:row>
      <xdr:rowOff>38100</xdr:rowOff>
    </xdr:from>
    <xdr:to>
      <xdr:col>9</xdr:col>
      <xdr:colOff>571500</xdr:colOff>
      <xdr:row>3909</xdr:row>
      <xdr:rowOff>266700</xdr:rowOff>
    </xdr:to>
    <xdr:sp>
      <xdr:nvSpPr>
        <xdr:cNvPr id="361" name="Rectangle 360"/>
        <xdr:cNvSpPr/>
      </xdr:nvSpPr>
      <xdr:spPr>
        <a:xfrm>
          <a:off x="7286625" y="93875288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3905</xdr:row>
      <xdr:rowOff>219075</xdr:rowOff>
    </xdr:from>
    <xdr:to>
      <xdr:col>9</xdr:col>
      <xdr:colOff>457200</xdr:colOff>
      <xdr:row>3909</xdr:row>
      <xdr:rowOff>104775</xdr:rowOff>
    </xdr:to>
    <xdr:sp>
      <xdr:nvSpPr>
        <xdr:cNvPr id="362" name="TextBox 361"/>
        <xdr:cNvSpPr txBox="1"/>
      </xdr:nvSpPr>
      <xdr:spPr>
        <a:xfrm>
          <a:off x="7400925" y="93893386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3997</xdr:row>
      <xdr:rowOff>57151</xdr:rowOff>
    </xdr:from>
    <xdr:to>
      <xdr:col>9</xdr:col>
      <xdr:colOff>600075</xdr:colOff>
      <xdr:row>4006</xdr:row>
      <xdr:rowOff>152400</xdr:rowOff>
    </xdr:to>
    <xdr:graphicFrame>
      <xdr:nvGraphicFramePr>
        <xdr:cNvPr id="363" name="Chart 362"/>
        <xdr:cNvGraphicFramePr/>
      </xdr:nvGraphicFramePr>
      <xdr:xfrm>
        <a:off x="86360" y="96177227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absolute">
    <xdr:from>
      <xdr:col>2</xdr:col>
      <xdr:colOff>95250</xdr:colOff>
      <xdr:row>3960</xdr:row>
      <xdr:rowOff>76201</xdr:rowOff>
    </xdr:from>
    <xdr:to>
      <xdr:col>2</xdr:col>
      <xdr:colOff>1295400</xdr:colOff>
      <xdr:row>3964</xdr:row>
      <xdr:rowOff>276226</xdr:rowOff>
    </xdr:to>
    <xdr:sp>
      <xdr:nvSpPr>
        <xdr:cNvPr id="364" name="Rectangle 363"/>
        <xdr:cNvSpPr/>
      </xdr:nvSpPr>
      <xdr:spPr>
        <a:xfrm>
          <a:off x="418465" y="95201232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3969</xdr:row>
      <xdr:rowOff>104776</xdr:rowOff>
    </xdr:from>
    <xdr:to>
      <xdr:col>8</xdr:col>
      <xdr:colOff>238125</xdr:colOff>
      <xdr:row>3994</xdr:row>
      <xdr:rowOff>209551</xdr:rowOff>
    </xdr:to>
    <xdr:sp>
      <xdr:nvSpPr>
        <xdr:cNvPr id="365" name="Rectangle 364"/>
        <xdr:cNvSpPr/>
      </xdr:nvSpPr>
      <xdr:spPr>
        <a:xfrm>
          <a:off x="1256665" y="95439230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3960</xdr:row>
      <xdr:rowOff>38100</xdr:rowOff>
    </xdr:from>
    <xdr:to>
      <xdr:col>9</xdr:col>
      <xdr:colOff>571500</xdr:colOff>
      <xdr:row>3964</xdr:row>
      <xdr:rowOff>266700</xdr:rowOff>
    </xdr:to>
    <xdr:sp>
      <xdr:nvSpPr>
        <xdr:cNvPr id="366" name="Rectangle 365"/>
        <xdr:cNvSpPr/>
      </xdr:nvSpPr>
      <xdr:spPr>
        <a:xfrm>
          <a:off x="7286625" y="95197422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3960</xdr:row>
      <xdr:rowOff>219075</xdr:rowOff>
    </xdr:from>
    <xdr:to>
      <xdr:col>9</xdr:col>
      <xdr:colOff>457200</xdr:colOff>
      <xdr:row>3964</xdr:row>
      <xdr:rowOff>104775</xdr:rowOff>
    </xdr:to>
    <xdr:sp>
      <xdr:nvSpPr>
        <xdr:cNvPr id="367" name="TextBox 366"/>
        <xdr:cNvSpPr txBox="1"/>
      </xdr:nvSpPr>
      <xdr:spPr>
        <a:xfrm>
          <a:off x="7400925" y="95215519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4052</xdr:row>
      <xdr:rowOff>57151</xdr:rowOff>
    </xdr:from>
    <xdr:to>
      <xdr:col>9</xdr:col>
      <xdr:colOff>600075</xdr:colOff>
      <xdr:row>4061</xdr:row>
      <xdr:rowOff>152400</xdr:rowOff>
    </xdr:to>
    <xdr:graphicFrame>
      <xdr:nvGraphicFramePr>
        <xdr:cNvPr id="368" name="Chart 367"/>
        <xdr:cNvGraphicFramePr/>
      </xdr:nvGraphicFramePr>
      <xdr:xfrm>
        <a:off x="86360" y="974993605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absolute">
    <xdr:from>
      <xdr:col>2</xdr:col>
      <xdr:colOff>95250</xdr:colOff>
      <xdr:row>4015</xdr:row>
      <xdr:rowOff>76201</xdr:rowOff>
    </xdr:from>
    <xdr:to>
      <xdr:col>2</xdr:col>
      <xdr:colOff>1295400</xdr:colOff>
      <xdr:row>4019</xdr:row>
      <xdr:rowOff>276226</xdr:rowOff>
    </xdr:to>
    <xdr:sp>
      <xdr:nvSpPr>
        <xdr:cNvPr id="369" name="Rectangle 368"/>
        <xdr:cNvSpPr/>
      </xdr:nvSpPr>
      <xdr:spPr>
        <a:xfrm>
          <a:off x="418465" y="965233655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4024</xdr:row>
      <xdr:rowOff>104776</xdr:rowOff>
    </xdr:from>
    <xdr:to>
      <xdr:col>8</xdr:col>
      <xdr:colOff>238125</xdr:colOff>
      <xdr:row>4049</xdr:row>
      <xdr:rowOff>209551</xdr:rowOff>
    </xdr:to>
    <xdr:sp>
      <xdr:nvSpPr>
        <xdr:cNvPr id="370" name="Rectangle 369"/>
        <xdr:cNvSpPr/>
      </xdr:nvSpPr>
      <xdr:spPr>
        <a:xfrm>
          <a:off x="1256665" y="967613635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4015</xdr:row>
      <xdr:rowOff>38100</xdr:rowOff>
    </xdr:from>
    <xdr:to>
      <xdr:col>9</xdr:col>
      <xdr:colOff>571500</xdr:colOff>
      <xdr:row>4019</xdr:row>
      <xdr:rowOff>266700</xdr:rowOff>
    </xdr:to>
    <xdr:sp>
      <xdr:nvSpPr>
        <xdr:cNvPr id="371" name="Rectangle 370"/>
        <xdr:cNvSpPr/>
      </xdr:nvSpPr>
      <xdr:spPr>
        <a:xfrm>
          <a:off x="7286625" y="965195555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4015</xdr:row>
      <xdr:rowOff>219075</xdr:rowOff>
    </xdr:from>
    <xdr:to>
      <xdr:col>9</xdr:col>
      <xdr:colOff>457200</xdr:colOff>
      <xdr:row>4019</xdr:row>
      <xdr:rowOff>104775</xdr:rowOff>
    </xdr:to>
    <xdr:sp>
      <xdr:nvSpPr>
        <xdr:cNvPr id="372" name="TextBox 371"/>
        <xdr:cNvSpPr txBox="1"/>
      </xdr:nvSpPr>
      <xdr:spPr>
        <a:xfrm>
          <a:off x="7400925" y="965376530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absolute">
    <xdr:from>
      <xdr:col>1</xdr:col>
      <xdr:colOff>47624</xdr:colOff>
      <xdr:row>4107</xdr:row>
      <xdr:rowOff>57151</xdr:rowOff>
    </xdr:from>
    <xdr:to>
      <xdr:col>9</xdr:col>
      <xdr:colOff>600075</xdr:colOff>
      <xdr:row>4116</xdr:row>
      <xdr:rowOff>152400</xdr:rowOff>
    </xdr:to>
    <xdr:graphicFrame>
      <xdr:nvGraphicFramePr>
        <xdr:cNvPr id="373" name="Chart 372"/>
        <xdr:cNvGraphicFramePr/>
      </xdr:nvGraphicFramePr>
      <xdr:xfrm>
        <a:off x="86360" y="98821494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absolute">
    <xdr:from>
      <xdr:col>2</xdr:col>
      <xdr:colOff>95250</xdr:colOff>
      <xdr:row>4070</xdr:row>
      <xdr:rowOff>76201</xdr:rowOff>
    </xdr:from>
    <xdr:to>
      <xdr:col>2</xdr:col>
      <xdr:colOff>1295400</xdr:colOff>
      <xdr:row>4074</xdr:row>
      <xdr:rowOff>276226</xdr:rowOff>
    </xdr:to>
    <xdr:sp>
      <xdr:nvSpPr>
        <xdr:cNvPr id="374" name="Rectangle 373"/>
        <xdr:cNvSpPr/>
      </xdr:nvSpPr>
      <xdr:spPr>
        <a:xfrm>
          <a:off x="418465" y="978454990"/>
          <a:ext cx="1200150" cy="1350645"/>
        </a:xfrm>
        <a:prstGeom prst="rect">
          <a:avLst/>
        </a:prstGeom>
        <a:blipFill dpi="0" rotWithShape="1">
          <a:blip r:embed="rId7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4079</xdr:row>
      <xdr:rowOff>104776</xdr:rowOff>
    </xdr:from>
    <xdr:to>
      <xdr:col>8</xdr:col>
      <xdr:colOff>238125</xdr:colOff>
      <xdr:row>4104</xdr:row>
      <xdr:rowOff>209551</xdr:rowOff>
    </xdr:to>
    <xdr:sp>
      <xdr:nvSpPr>
        <xdr:cNvPr id="375" name="Rectangle 374"/>
        <xdr:cNvSpPr/>
      </xdr:nvSpPr>
      <xdr:spPr>
        <a:xfrm>
          <a:off x="1256665" y="980834970"/>
          <a:ext cx="6191885" cy="6895465"/>
        </a:xfrm>
        <a:prstGeom prst="rect">
          <a:avLst/>
        </a:prstGeom>
        <a:blipFill dpi="0" rotWithShape="1">
          <a:blip r:embed="rId77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76200</xdr:colOff>
      <xdr:row>4070</xdr:row>
      <xdr:rowOff>38100</xdr:rowOff>
    </xdr:from>
    <xdr:to>
      <xdr:col>9</xdr:col>
      <xdr:colOff>571500</xdr:colOff>
      <xdr:row>4074</xdr:row>
      <xdr:rowOff>266700</xdr:rowOff>
    </xdr:to>
    <xdr:sp>
      <xdr:nvSpPr>
        <xdr:cNvPr id="376" name="Rectangle 375"/>
        <xdr:cNvSpPr/>
      </xdr:nvSpPr>
      <xdr:spPr>
        <a:xfrm>
          <a:off x="7286625" y="978416890"/>
          <a:ext cx="1161415" cy="137922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190500</xdr:colOff>
      <xdr:row>4070</xdr:row>
      <xdr:rowOff>219075</xdr:rowOff>
    </xdr:from>
    <xdr:to>
      <xdr:col>9</xdr:col>
      <xdr:colOff>457200</xdr:colOff>
      <xdr:row>4074</xdr:row>
      <xdr:rowOff>104775</xdr:rowOff>
    </xdr:to>
    <xdr:sp>
      <xdr:nvSpPr>
        <xdr:cNvPr id="377" name="TextBox 376"/>
        <xdr:cNvSpPr txBox="1"/>
      </xdr:nvSpPr>
      <xdr:spPr>
        <a:xfrm>
          <a:off x="7400925" y="978597865"/>
          <a:ext cx="932815" cy="10363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Passport</a:t>
          </a:r>
          <a:r>
            <a:rPr lang="en-US" sz="14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Size Photo of Student</a:t>
          </a:r>
          <a:endParaRPr lang="en-US" sz="14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47624</xdr:colOff>
      <xdr:row>37</xdr:row>
      <xdr:rowOff>57151</xdr:rowOff>
    </xdr:from>
    <xdr:to>
      <xdr:col>9</xdr:col>
      <xdr:colOff>600075</xdr:colOff>
      <xdr:row>46</xdr:row>
      <xdr:rowOff>152400</xdr:rowOff>
    </xdr:to>
    <xdr:graphicFrame>
      <xdr:nvGraphicFramePr>
        <xdr:cNvPr id="9" name="Chart 8"/>
        <xdr:cNvGraphicFramePr/>
      </xdr:nvGraphicFramePr>
      <xdr:xfrm>
        <a:off x="86360" y="9836150"/>
        <a:ext cx="8390255" cy="18783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47625</xdr:colOff>
          <xdr:row>0</xdr:row>
          <xdr:rowOff>19050</xdr:rowOff>
        </xdr:from>
        <xdr:to>
          <xdr:col>9</xdr:col>
          <xdr:colOff>551504</xdr:colOff>
          <xdr:row>4</xdr:row>
          <xdr:rowOff>290153</xdr:rowOff>
        </xdr:to>
        <xdr:pic>
          <xdr:nvPicPr>
            <xdr:cNvPr id="12" name="Picture 11"/>
            <xdr:cNvPicPr>
              <a:picLocks noChangeAspect="1" noChangeArrowheads="1"/>
              <a:extLst>
                <a:ext uri="{84589F7E-364E-4C9E-8A38-B11213B215E9}">
                  <a14:cameraTool cellRange="PHOTO2" spid="_x0000_s49153"/>
                </a:ext>
              </a:extLst>
            </xdr:cNvPicPr>
          </xdr:nvPicPr>
          <xdr:blipFill>
            <a:blip r:embed="rId2"/>
            <a:srcRect/>
            <a:stretch>
              <a:fillRect/>
            </a:stretch>
          </xdr:blipFill>
          <xdr:spPr>
            <a:xfrm>
              <a:off x="7258050" y="19050"/>
              <a:ext cx="1169670" cy="142113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2</xdr:col>
      <xdr:colOff>95250</xdr:colOff>
      <xdr:row>0</xdr:row>
      <xdr:rowOff>76201</xdr:rowOff>
    </xdr:from>
    <xdr:to>
      <xdr:col>2</xdr:col>
      <xdr:colOff>1295400</xdr:colOff>
      <xdr:row>4</xdr:row>
      <xdr:rowOff>276226</xdr:rowOff>
    </xdr:to>
    <xdr:sp>
      <xdr:nvSpPr>
        <xdr:cNvPr id="13" name="Rectangle 12"/>
        <xdr:cNvSpPr/>
      </xdr:nvSpPr>
      <xdr:spPr>
        <a:xfrm>
          <a:off x="418465" y="76200"/>
          <a:ext cx="1200150" cy="1350645"/>
        </a:xfrm>
        <a:prstGeom prst="rect">
          <a:avLst/>
        </a:prstGeom>
        <a:blipFill dpi="0" rotWithShape="1">
          <a:blip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933450</xdr:colOff>
      <xdr:row>9</xdr:row>
      <xdr:rowOff>104776</xdr:rowOff>
    </xdr:from>
    <xdr:to>
      <xdr:col>8</xdr:col>
      <xdr:colOff>238125</xdr:colOff>
      <xdr:row>34</xdr:row>
      <xdr:rowOff>209551</xdr:rowOff>
    </xdr:to>
    <xdr:sp>
      <xdr:nvSpPr>
        <xdr:cNvPr id="14" name="Rectangle 13"/>
        <xdr:cNvSpPr/>
      </xdr:nvSpPr>
      <xdr:spPr>
        <a:xfrm>
          <a:off x="1256665" y="2456180"/>
          <a:ext cx="6191885" cy="6895465"/>
        </a:xfrm>
        <a:prstGeom prst="rect">
          <a:avLst/>
        </a:prstGeom>
        <a:blipFill dpi="0" rotWithShape="1">
          <a:blip r:embed="rId4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56983</xdr:colOff>
      <xdr:row>36</xdr:row>
      <xdr:rowOff>50787</xdr:rowOff>
    </xdr:from>
    <xdr:to>
      <xdr:col>21</xdr:col>
      <xdr:colOff>380713</xdr:colOff>
      <xdr:row>46</xdr:row>
      <xdr:rowOff>139079</xdr:rowOff>
    </xdr:to>
    <xdr:graphicFrame>
      <xdr:nvGraphicFramePr>
        <xdr:cNvPr id="2" name="图表 1"/>
        <xdr:cNvGraphicFramePr/>
      </xdr:nvGraphicFramePr>
      <xdr:xfrm>
        <a:off x="115570" y="8296275"/>
        <a:ext cx="10815955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56983</xdr:colOff>
      <xdr:row>49</xdr:row>
      <xdr:rowOff>50787</xdr:rowOff>
    </xdr:from>
    <xdr:to>
      <xdr:col>21</xdr:col>
      <xdr:colOff>380197</xdr:colOff>
      <xdr:row>59</xdr:row>
      <xdr:rowOff>139079</xdr:rowOff>
    </xdr:to>
    <xdr:graphicFrame>
      <xdr:nvGraphicFramePr>
        <xdr:cNvPr id="3" name="图表 2"/>
        <xdr:cNvGraphicFramePr/>
      </xdr:nvGraphicFramePr>
      <xdr:xfrm>
        <a:off x="115570" y="10780395"/>
        <a:ext cx="10815320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56983</xdr:colOff>
      <xdr:row>62</xdr:row>
      <xdr:rowOff>50787</xdr:rowOff>
    </xdr:from>
    <xdr:to>
      <xdr:col>21</xdr:col>
      <xdr:colOff>380197</xdr:colOff>
      <xdr:row>72</xdr:row>
      <xdr:rowOff>139079</xdr:rowOff>
    </xdr:to>
    <xdr:graphicFrame>
      <xdr:nvGraphicFramePr>
        <xdr:cNvPr id="4" name="图表 3"/>
        <xdr:cNvGraphicFramePr/>
      </xdr:nvGraphicFramePr>
      <xdr:xfrm>
        <a:off x="115570" y="13264515"/>
        <a:ext cx="10815320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219075</xdr:colOff>
      <xdr:row>0</xdr:row>
      <xdr:rowOff>66675</xdr:rowOff>
    </xdr:from>
    <xdr:to>
      <xdr:col>3</xdr:col>
      <xdr:colOff>400050</xdr:colOff>
      <xdr:row>4</xdr:row>
      <xdr:rowOff>266700</xdr:rowOff>
    </xdr:to>
    <xdr:sp>
      <xdr:nvSpPr>
        <xdr:cNvPr id="7" name="Rectangle 6"/>
        <xdr:cNvSpPr/>
      </xdr:nvSpPr>
      <xdr:spPr>
        <a:xfrm>
          <a:off x="660400" y="66675"/>
          <a:ext cx="1229360" cy="1350645"/>
        </a:xfrm>
        <a:prstGeom prst="rect">
          <a:avLst/>
        </a:prstGeom>
        <a:blipFill dpi="0" rotWithShape="1"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17</xdr:col>
      <xdr:colOff>314325</xdr:colOff>
      <xdr:row>0</xdr:row>
      <xdr:rowOff>66675</xdr:rowOff>
    </xdr:from>
    <xdr:to>
      <xdr:col>20</xdr:col>
      <xdr:colOff>171450</xdr:colOff>
      <xdr:row>4</xdr:row>
      <xdr:rowOff>266700</xdr:rowOff>
    </xdr:to>
    <xdr:sp>
      <xdr:nvSpPr>
        <xdr:cNvPr id="8" name="Rectangle 7"/>
        <xdr:cNvSpPr/>
      </xdr:nvSpPr>
      <xdr:spPr>
        <a:xfrm>
          <a:off x="9023985" y="66675"/>
          <a:ext cx="1238250" cy="1350645"/>
        </a:xfrm>
        <a:prstGeom prst="rect">
          <a:avLst/>
        </a:prstGeom>
        <a:blipFill dpi="0" rotWithShape="1"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590550</xdr:colOff>
      <xdr:row>9</xdr:row>
      <xdr:rowOff>19050</xdr:rowOff>
    </xdr:from>
    <xdr:to>
      <xdr:col>15</xdr:col>
      <xdr:colOff>266701</xdr:colOff>
      <xdr:row>33</xdr:row>
      <xdr:rowOff>190501</xdr:rowOff>
    </xdr:to>
    <xdr:sp>
      <xdr:nvSpPr>
        <xdr:cNvPr id="5" name="Rectangle 4"/>
        <xdr:cNvSpPr/>
      </xdr:nvSpPr>
      <xdr:spPr>
        <a:xfrm>
          <a:off x="2805430" y="2385060"/>
          <a:ext cx="5250180" cy="5306060"/>
        </a:xfrm>
        <a:prstGeom prst="rect">
          <a:avLst/>
        </a:prstGeom>
        <a:blipFill dpi="0" rotWithShape="1">
          <a:blip r:embed="rId5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56983</xdr:colOff>
      <xdr:row>36</xdr:row>
      <xdr:rowOff>50787</xdr:rowOff>
    </xdr:from>
    <xdr:to>
      <xdr:col>21</xdr:col>
      <xdr:colOff>380713</xdr:colOff>
      <xdr:row>46</xdr:row>
      <xdr:rowOff>139079</xdr:rowOff>
    </xdr:to>
    <xdr:graphicFrame>
      <xdr:nvGraphicFramePr>
        <xdr:cNvPr id="2" name="图表 1"/>
        <xdr:cNvGraphicFramePr/>
      </xdr:nvGraphicFramePr>
      <xdr:xfrm>
        <a:off x="115570" y="8319770"/>
        <a:ext cx="10815955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56983</xdr:colOff>
      <xdr:row>49</xdr:row>
      <xdr:rowOff>50787</xdr:rowOff>
    </xdr:from>
    <xdr:to>
      <xdr:col>21</xdr:col>
      <xdr:colOff>380197</xdr:colOff>
      <xdr:row>59</xdr:row>
      <xdr:rowOff>139079</xdr:rowOff>
    </xdr:to>
    <xdr:graphicFrame>
      <xdr:nvGraphicFramePr>
        <xdr:cNvPr id="3" name="图表 2"/>
        <xdr:cNvGraphicFramePr/>
      </xdr:nvGraphicFramePr>
      <xdr:xfrm>
        <a:off x="115570" y="10803890"/>
        <a:ext cx="10815320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56983</xdr:colOff>
      <xdr:row>62</xdr:row>
      <xdr:rowOff>50787</xdr:rowOff>
    </xdr:from>
    <xdr:to>
      <xdr:col>21</xdr:col>
      <xdr:colOff>380197</xdr:colOff>
      <xdr:row>72</xdr:row>
      <xdr:rowOff>139079</xdr:rowOff>
    </xdr:to>
    <xdr:graphicFrame>
      <xdr:nvGraphicFramePr>
        <xdr:cNvPr id="4" name="图表 3"/>
        <xdr:cNvGraphicFramePr/>
      </xdr:nvGraphicFramePr>
      <xdr:xfrm>
        <a:off x="115570" y="13288010"/>
        <a:ext cx="10815320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219075</xdr:colOff>
      <xdr:row>0</xdr:row>
      <xdr:rowOff>66675</xdr:rowOff>
    </xdr:from>
    <xdr:to>
      <xdr:col>3</xdr:col>
      <xdr:colOff>400050</xdr:colOff>
      <xdr:row>4</xdr:row>
      <xdr:rowOff>266700</xdr:rowOff>
    </xdr:to>
    <xdr:sp>
      <xdr:nvSpPr>
        <xdr:cNvPr id="6" name="Rectangle 5"/>
        <xdr:cNvSpPr/>
      </xdr:nvSpPr>
      <xdr:spPr>
        <a:xfrm>
          <a:off x="660400" y="66675"/>
          <a:ext cx="1229360" cy="1350645"/>
        </a:xfrm>
        <a:prstGeom prst="rect">
          <a:avLst/>
        </a:prstGeom>
        <a:blipFill dpi="0" rotWithShape="1"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17</xdr:col>
      <xdr:colOff>314325</xdr:colOff>
      <xdr:row>0</xdr:row>
      <xdr:rowOff>66675</xdr:rowOff>
    </xdr:from>
    <xdr:to>
      <xdr:col>20</xdr:col>
      <xdr:colOff>171450</xdr:colOff>
      <xdr:row>4</xdr:row>
      <xdr:rowOff>266700</xdr:rowOff>
    </xdr:to>
    <xdr:sp>
      <xdr:nvSpPr>
        <xdr:cNvPr id="7" name="Rectangle 6"/>
        <xdr:cNvSpPr/>
      </xdr:nvSpPr>
      <xdr:spPr>
        <a:xfrm>
          <a:off x="9023985" y="66675"/>
          <a:ext cx="1238250" cy="1350645"/>
        </a:xfrm>
        <a:prstGeom prst="rect">
          <a:avLst/>
        </a:prstGeom>
        <a:blipFill dpi="0" rotWithShape="1"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657225</xdr:colOff>
      <xdr:row>9</xdr:row>
      <xdr:rowOff>85725</xdr:rowOff>
    </xdr:from>
    <xdr:to>
      <xdr:col>16</xdr:col>
      <xdr:colOff>19050</xdr:colOff>
      <xdr:row>34</xdr:row>
      <xdr:rowOff>9525</xdr:rowOff>
    </xdr:to>
    <xdr:sp>
      <xdr:nvSpPr>
        <xdr:cNvPr id="8" name="Rectangle 7"/>
        <xdr:cNvSpPr/>
      </xdr:nvSpPr>
      <xdr:spPr>
        <a:xfrm>
          <a:off x="2872105" y="2301240"/>
          <a:ext cx="5396230" cy="5430520"/>
        </a:xfrm>
        <a:prstGeom prst="rect">
          <a:avLst/>
        </a:prstGeom>
        <a:blipFill dpi="0" rotWithShape="1">
          <a:blip r:embed="rId5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56983</xdr:colOff>
      <xdr:row>36</xdr:row>
      <xdr:rowOff>50787</xdr:rowOff>
    </xdr:from>
    <xdr:to>
      <xdr:col>21</xdr:col>
      <xdr:colOff>380713</xdr:colOff>
      <xdr:row>46</xdr:row>
      <xdr:rowOff>139079</xdr:rowOff>
    </xdr:to>
    <xdr:graphicFrame>
      <xdr:nvGraphicFramePr>
        <xdr:cNvPr id="2" name="图表 1"/>
        <xdr:cNvGraphicFramePr/>
      </xdr:nvGraphicFramePr>
      <xdr:xfrm>
        <a:off x="115570" y="8319770"/>
        <a:ext cx="10815955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56983</xdr:colOff>
      <xdr:row>49</xdr:row>
      <xdr:rowOff>50787</xdr:rowOff>
    </xdr:from>
    <xdr:to>
      <xdr:col>21</xdr:col>
      <xdr:colOff>380197</xdr:colOff>
      <xdr:row>59</xdr:row>
      <xdr:rowOff>139079</xdr:rowOff>
    </xdr:to>
    <xdr:graphicFrame>
      <xdr:nvGraphicFramePr>
        <xdr:cNvPr id="3" name="图表 2"/>
        <xdr:cNvGraphicFramePr/>
      </xdr:nvGraphicFramePr>
      <xdr:xfrm>
        <a:off x="115570" y="10803890"/>
        <a:ext cx="10815320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56983</xdr:colOff>
      <xdr:row>62</xdr:row>
      <xdr:rowOff>50787</xdr:rowOff>
    </xdr:from>
    <xdr:to>
      <xdr:col>21</xdr:col>
      <xdr:colOff>380197</xdr:colOff>
      <xdr:row>72</xdr:row>
      <xdr:rowOff>139079</xdr:rowOff>
    </xdr:to>
    <xdr:graphicFrame>
      <xdr:nvGraphicFramePr>
        <xdr:cNvPr id="4" name="图表 3"/>
        <xdr:cNvGraphicFramePr/>
      </xdr:nvGraphicFramePr>
      <xdr:xfrm>
        <a:off x="115570" y="13288010"/>
        <a:ext cx="10815320" cy="2070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219075</xdr:colOff>
      <xdr:row>0</xdr:row>
      <xdr:rowOff>66675</xdr:rowOff>
    </xdr:from>
    <xdr:to>
      <xdr:col>3</xdr:col>
      <xdr:colOff>400050</xdr:colOff>
      <xdr:row>4</xdr:row>
      <xdr:rowOff>266700</xdr:rowOff>
    </xdr:to>
    <xdr:sp>
      <xdr:nvSpPr>
        <xdr:cNvPr id="5" name="Rectangle 4"/>
        <xdr:cNvSpPr/>
      </xdr:nvSpPr>
      <xdr:spPr>
        <a:xfrm>
          <a:off x="660400" y="66675"/>
          <a:ext cx="1229360" cy="1350645"/>
        </a:xfrm>
        <a:prstGeom prst="rect">
          <a:avLst/>
        </a:prstGeom>
        <a:blipFill dpi="0" rotWithShape="1"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17</xdr:col>
      <xdr:colOff>314325</xdr:colOff>
      <xdr:row>0</xdr:row>
      <xdr:rowOff>66675</xdr:rowOff>
    </xdr:from>
    <xdr:to>
      <xdr:col>20</xdr:col>
      <xdr:colOff>171450</xdr:colOff>
      <xdr:row>4</xdr:row>
      <xdr:rowOff>266700</xdr:rowOff>
    </xdr:to>
    <xdr:sp>
      <xdr:nvSpPr>
        <xdr:cNvPr id="6" name="Rectangle 5"/>
        <xdr:cNvSpPr/>
      </xdr:nvSpPr>
      <xdr:spPr>
        <a:xfrm>
          <a:off x="9023985" y="66675"/>
          <a:ext cx="1238250" cy="1350645"/>
        </a:xfrm>
        <a:prstGeom prst="rect">
          <a:avLst/>
        </a:prstGeom>
        <a:blipFill dpi="0" rotWithShape="1"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4</xdr:col>
      <xdr:colOff>619125</xdr:colOff>
      <xdr:row>9</xdr:row>
      <xdr:rowOff>57149</xdr:rowOff>
    </xdr:from>
    <xdr:to>
      <xdr:col>15</xdr:col>
      <xdr:colOff>428625</xdr:colOff>
      <xdr:row>33</xdr:row>
      <xdr:rowOff>180974</xdr:rowOff>
    </xdr:to>
    <xdr:sp>
      <xdr:nvSpPr>
        <xdr:cNvPr id="8" name="Rectangle 7"/>
        <xdr:cNvSpPr/>
      </xdr:nvSpPr>
      <xdr:spPr>
        <a:xfrm>
          <a:off x="2834005" y="2272030"/>
          <a:ext cx="5383530" cy="5432425"/>
        </a:xfrm>
        <a:prstGeom prst="rect">
          <a:avLst/>
        </a:prstGeom>
        <a:blipFill dpi="0" rotWithShape="1">
          <a:blip r:embed="rId5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44604</xdr:colOff>
      <xdr:row>58</xdr:row>
      <xdr:rowOff>133349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65390" cy="107778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33013</xdr:colOff>
      <xdr:row>52</xdr:row>
      <xdr:rowOff>66674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5950" cy="971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33013</xdr:colOff>
      <xdr:row>51</xdr:row>
      <xdr:rowOff>25009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65950" cy="955929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11</xdr:col>
      <xdr:colOff>231227</xdr:colOff>
      <xdr:row>55</xdr:row>
      <xdr:rowOff>133350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125335" cy="10252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6</xdr:col>
      <xdr:colOff>28573</xdr:colOff>
      <xdr:row>2</xdr:row>
      <xdr:rowOff>38101</xdr:rowOff>
    </xdr:from>
    <xdr:to>
      <xdr:col>11</xdr:col>
      <xdr:colOff>742950</xdr:colOff>
      <xdr:row>2</xdr:row>
      <xdr:rowOff>276225</xdr:rowOff>
    </xdr:to>
    <xdr:sp>
      <xdr:nvSpPr>
        <xdr:cNvPr id="4" name="Rectangle 3"/>
        <xdr:cNvSpPr/>
      </xdr:nvSpPr>
      <xdr:spPr>
        <a:xfrm>
          <a:off x="2389505" y="278130"/>
          <a:ext cx="4221480" cy="238125"/>
        </a:xfrm>
        <a:prstGeom prst="rect">
          <a:avLst/>
        </a:prstGeom>
        <a:noFill/>
        <a:ln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415965</xdr:colOff>
      <xdr:row>1</xdr:row>
      <xdr:rowOff>18118</xdr:rowOff>
    </xdr:from>
    <xdr:to>
      <xdr:col>2</xdr:col>
      <xdr:colOff>466725</xdr:colOff>
      <xdr:row>4</xdr:row>
      <xdr:rowOff>129426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980" y="82550"/>
          <a:ext cx="1010920" cy="778510"/>
        </a:xfrm>
        <a:prstGeom prst="rect">
          <a:avLst/>
        </a:prstGeom>
      </xdr:spPr>
    </xdr:pic>
    <xdr:clientData/>
  </xdr:twoCellAnchor>
  <xdr:twoCellAnchor editAs="absolute">
    <xdr:from>
      <xdr:col>15</xdr:col>
      <xdr:colOff>47626</xdr:colOff>
      <xdr:row>1</xdr:row>
      <xdr:rowOff>114300</xdr:rowOff>
    </xdr:from>
    <xdr:to>
      <xdr:col>16</xdr:col>
      <xdr:colOff>553980</xdr:colOff>
      <xdr:row>7</xdr:row>
      <xdr:rowOff>104776</xdr:rowOff>
    </xdr:to>
    <xdr:pic>
      <xdr:nvPicPr>
        <xdr:cNvPr id="6" name="Picture 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0850" y="179070"/>
          <a:ext cx="1103630" cy="125222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15</xdr:col>
          <xdr:colOff>38100</xdr:colOff>
          <xdr:row>8</xdr:row>
          <xdr:rowOff>38100</xdr:rowOff>
        </xdr:from>
        <xdr:to>
          <xdr:col>18</xdr:col>
          <xdr:colOff>99060</xdr:colOff>
          <xdr:row>15</xdr:row>
          <xdr:rowOff>205740</xdr:rowOff>
        </xdr:to>
        <xdr:pic>
          <xdr:nvPicPr>
            <xdr:cNvPr id="4226" name="Picture 6"/>
            <xdr:cNvPicPr>
              <a:picLocks noChangeAspect="1" noChangeArrowheads="1"/>
              <a:extLst>
                <a:ext uri="{84589F7E-364E-4C9E-8A38-B11213B215E9}">
                  <a14:cameraTool cellRange="PHOTO3" spid="_x0000_s115712"/>
                </a:ext>
              </a:extLst>
            </xdr:cNvPicPr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8061325" y="1593215"/>
              <a:ext cx="1315085" cy="156337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9523</xdr:rowOff>
    </xdr:from>
    <xdr:to>
      <xdr:col>17</xdr:col>
      <xdr:colOff>361950</xdr:colOff>
      <xdr:row>95</xdr:row>
      <xdr:rowOff>66674</xdr:rowOff>
    </xdr:to>
    <xdr:sp>
      <xdr:nvSpPr>
        <xdr:cNvPr id="16" name="Rectangle 15"/>
        <xdr:cNvSpPr/>
      </xdr:nvSpPr>
      <xdr:spPr>
        <a:xfrm>
          <a:off x="0" y="8890"/>
          <a:ext cx="10626090" cy="17532350"/>
        </a:xfrm>
        <a:prstGeom prst="rect">
          <a:avLst/>
        </a:prstGeom>
        <a:blipFill dpi="0" rotWithShape="1">
          <a:blip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276223</xdr:colOff>
      <xdr:row>22</xdr:row>
      <xdr:rowOff>19051</xdr:rowOff>
    </xdr:from>
    <xdr:to>
      <xdr:col>15</xdr:col>
      <xdr:colOff>514348</xdr:colOff>
      <xdr:row>26</xdr:row>
      <xdr:rowOff>152401</xdr:rowOff>
    </xdr:to>
    <xdr:sp>
      <xdr:nvSpPr>
        <xdr:cNvPr id="2" name="Round Diagonal Corner Rectangle 1"/>
        <xdr:cNvSpPr/>
      </xdr:nvSpPr>
      <xdr:spPr>
        <a:xfrm flipH="1">
          <a:off x="784860" y="4211955"/>
          <a:ext cx="8935085" cy="92964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35</xdr:row>
      <xdr:rowOff>0</xdr:rowOff>
    </xdr:from>
    <xdr:to>
      <xdr:col>15</xdr:col>
      <xdr:colOff>512445</xdr:colOff>
      <xdr:row>39</xdr:row>
      <xdr:rowOff>0</xdr:rowOff>
    </xdr:to>
    <xdr:sp>
      <xdr:nvSpPr>
        <xdr:cNvPr id="3" name="Round Diagonal Corner Rectangle 2"/>
        <xdr:cNvSpPr/>
      </xdr:nvSpPr>
      <xdr:spPr>
        <a:xfrm flipH="1">
          <a:off x="785495" y="6749415"/>
          <a:ext cx="8933180" cy="70104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42</xdr:row>
      <xdr:rowOff>0</xdr:rowOff>
    </xdr:from>
    <xdr:to>
      <xdr:col>15</xdr:col>
      <xdr:colOff>512445</xdr:colOff>
      <xdr:row>46</xdr:row>
      <xdr:rowOff>0</xdr:rowOff>
    </xdr:to>
    <xdr:sp>
      <xdr:nvSpPr>
        <xdr:cNvPr id="4" name="Round Diagonal Corner Rectangle 3"/>
        <xdr:cNvSpPr/>
      </xdr:nvSpPr>
      <xdr:spPr>
        <a:xfrm flipH="1">
          <a:off x="785495" y="7999095"/>
          <a:ext cx="8933180" cy="70104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49</xdr:row>
      <xdr:rowOff>0</xdr:rowOff>
    </xdr:from>
    <xdr:to>
      <xdr:col>15</xdr:col>
      <xdr:colOff>512445</xdr:colOff>
      <xdr:row>53</xdr:row>
      <xdr:rowOff>0</xdr:rowOff>
    </xdr:to>
    <xdr:sp>
      <xdr:nvSpPr>
        <xdr:cNvPr id="5" name="Round Diagonal Corner Rectangle 4"/>
        <xdr:cNvSpPr/>
      </xdr:nvSpPr>
      <xdr:spPr>
        <a:xfrm flipH="1">
          <a:off x="785495" y="9248775"/>
          <a:ext cx="8933180" cy="70104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56</xdr:row>
      <xdr:rowOff>0</xdr:rowOff>
    </xdr:from>
    <xdr:to>
      <xdr:col>15</xdr:col>
      <xdr:colOff>512445</xdr:colOff>
      <xdr:row>60</xdr:row>
      <xdr:rowOff>0</xdr:rowOff>
    </xdr:to>
    <xdr:sp>
      <xdr:nvSpPr>
        <xdr:cNvPr id="6" name="Round Diagonal Corner Rectangle 5"/>
        <xdr:cNvSpPr/>
      </xdr:nvSpPr>
      <xdr:spPr>
        <a:xfrm flipH="1">
          <a:off x="785495" y="10498455"/>
          <a:ext cx="8933180" cy="70104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63</xdr:row>
      <xdr:rowOff>0</xdr:rowOff>
    </xdr:from>
    <xdr:to>
      <xdr:col>15</xdr:col>
      <xdr:colOff>512445</xdr:colOff>
      <xdr:row>66</xdr:row>
      <xdr:rowOff>0</xdr:rowOff>
    </xdr:to>
    <xdr:sp>
      <xdr:nvSpPr>
        <xdr:cNvPr id="7" name="Round Diagonal Corner Rectangle 6"/>
        <xdr:cNvSpPr/>
      </xdr:nvSpPr>
      <xdr:spPr>
        <a:xfrm flipH="1">
          <a:off x="785495" y="11748135"/>
          <a:ext cx="8933180" cy="52578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69</xdr:row>
      <xdr:rowOff>0</xdr:rowOff>
    </xdr:from>
    <xdr:to>
      <xdr:col>15</xdr:col>
      <xdr:colOff>512445</xdr:colOff>
      <xdr:row>73</xdr:row>
      <xdr:rowOff>0</xdr:rowOff>
    </xdr:to>
    <xdr:sp>
      <xdr:nvSpPr>
        <xdr:cNvPr id="8" name="Round Diagonal Corner Rectangle 7"/>
        <xdr:cNvSpPr/>
      </xdr:nvSpPr>
      <xdr:spPr>
        <a:xfrm flipH="1">
          <a:off x="785495" y="12822555"/>
          <a:ext cx="8933180" cy="70104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76</xdr:row>
      <xdr:rowOff>9525</xdr:rowOff>
    </xdr:from>
    <xdr:to>
      <xdr:col>15</xdr:col>
      <xdr:colOff>512445</xdr:colOff>
      <xdr:row>81</xdr:row>
      <xdr:rowOff>114300</xdr:rowOff>
    </xdr:to>
    <xdr:sp>
      <xdr:nvSpPr>
        <xdr:cNvPr id="9" name="Round Diagonal Corner Rectangle 8"/>
        <xdr:cNvSpPr/>
      </xdr:nvSpPr>
      <xdr:spPr>
        <a:xfrm flipH="1">
          <a:off x="785495" y="14081760"/>
          <a:ext cx="8933180" cy="1042035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276225</xdr:colOff>
      <xdr:row>85</xdr:row>
      <xdr:rowOff>0</xdr:rowOff>
    </xdr:from>
    <xdr:to>
      <xdr:col>15</xdr:col>
      <xdr:colOff>512445</xdr:colOff>
      <xdr:row>88</xdr:row>
      <xdr:rowOff>0</xdr:rowOff>
    </xdr:to>
    <xdr:sp>
      <xdr:nvSpPr>
        <xdr:cNvPr id="10" name="Round Diagonal Corner Rectangle 9"/>
        <xdr:cNvSpPr/>
      </xdr:nvSpPr>
      <xdr:spPr>
        <a:xfrm flipH="1">
          <a:off x="785495" y="15684500"/>
          <a:ext cx="8933180" cy="525780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1</xdr:col>
      <xdr:colOff>104775</xdr:colOff>
      <xdr:row>15</xdr:row>
      <xdr:rowOff>133350</xdr:rowOff>
    </xdr:from>
    <xdr:to>
      <xdr:col>17</xdr:col>
      <xdr:colOff>9526</xdr:colOff>
      <xdr:row>20</xdr:row>
      <xdr:rowOff>5715</xdr:rowOff>
    </xdr:to>
    <xdr:sp>
      <xdr:nvSpPr>
        <xdr:cNvPr id="12" name="Round Diagonal Corner Rectangle 11"/>
        <xdr:cNvSpPr/>
      </xdr:nvSpPr>
      <xdr:spPr>
        <a:xfrm>
          <a:off x="359410" y="2922270"/>
          <a:ext cx="9914255" cy="901065"/>
        </a:xfrm>
        <a:prstGeom prst="round2Diag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2</xdr:col>
      <xdr:colOff>285750</xdr:colOff>
      <xdr:row>3</xdr:row>
      <xdr:rowOff>5716</xdr:rowOff>
    </xdr:from>
    <xdr:to>
      <xdr:col>4</xdr:col>
      <xdr:colOff>276225</xdr:colOff>
      <xdr:row>10</xdr:row>
      <xdr:rowOff>142876</xdr:rowOff>
    </xdr:to>
    <xdr:sp>
      <xdr:nvSpPr>
        <xdr:cNvPr id="17" name="Rectangle 16"/>
        <xdr:cNvSpPr/>
      </xdr:nvSpPr>
      <xdr:spPr>
        <a:xfrm>
          <a:off x="795020" y="531495"/>
          <a:ext cx="1332230" cy="1379220"/>
        </a:xfrm>
        <a:prstGeom prst="rect">
          <a:avLst/>
        </a:prstGeom>
        <a:blipFill dpi="0" rotWithShape="1">
          <a:blip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19050</xdr:rowOff>
    </xdr:from>
    <xdr:to>
      <xdr:col>20</xdr:col>
      <xdr:colOff>352425</xdr:colOff>
      <xdr:row>45</xdr:row>
      <xdr:rowOff>209550</xdr:rowOff>
    </xdr:to>
    <xdr:sp>
      <xdr:nvSpPr>
        <xdr:cNvPr id="6" name="Rectangle 5"/>
        <xdr:cNvSpPr/>
      </xdr:nvSpPr>
      <xdr:spPr>
        <a:xfrm>
          <a:off x="0" y="19050"/>
          <a:ext cx="9061450" cy="13672820"/>
        </a:xfrm>
        <a:prstGeom prst="rect">
          <a:avLst/>
        </a:prstGeom>
        <a:blipFill dpi="0" rotWithShape="1">
          <a:blip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8</xdr:col>
      <xdr:colOff>161925</xdr:colOff>
      <xdr:row>8</xdr:row>
      <xdr:rowOff>198626</xdr:rowOff>
    </xdr:from>
    <xdr:to>
      <xdr:col>12</xdr:col>
      <xdr:colOff>762000</xdr:colOff>
      <xdr:row>12</xdr:row>
      <xdr:rowOff>68074</xdr:rowOff>
    </xdr:to>
    <xdr:pic>
      <xdr:nvPicPr>
        <xdr:cNvPr id="2" name="Picture 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380" y="2093595"/>
          <a:ext cx="3813175" cy="753745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428625</xdr:colOff>
      <xdr:row>14</xdr:row>
      <xdr:rowOff>180975</xdr:rowOff>
    </xdr:from>
    <xdr:to>
      <xdr:col>15</xdr:col>
      <xdr:colOff>495300</xdr:colOff>
      <xdr:row>17</xdr:row>
      <xdr:rowOff>371475</xdr:rowOff>
    </xdr:to>
    <xdr:sp>
      <xdr:nvSpPr>
        <xdr:cNvPr id="5" name="Rectangle 4"/>
        <xdr:cNvSpPr/>
      </xdr:nvSpPr>
      <xdr:spPr>
        <a:xfrm>
          <a:off x="6698615" y="3665220"/>
          <a:ext cx="1222375" cy="1527810"/>
        </a:xfrm>
        <a:prstGeom prst="rect">
          <a:avLst/>
        </a:prstGeom>
        <a:noFill/>
        <a:ln w="19050">
          <a:solidFill>
            <a:srgbClr val="0097C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447675</xdr:colOff>
          <xdr:row>14</xdr:row>
          <xdr:rowOff>228600</xdr:rowOff>
        </xdr:from>
        <xdr:to>
          <xdr:col>15</xdr:col>
          <xdr:colOff>476250</xdr:colOff>
          <xdr:row>17</xdr:row>
          <xdr:rowOff>323850</xdr:rowOff>
        </xdr:to>
        <xdr:pic>
          <xdr:nvPicPr>
            <xdr:cNvPr id="6272" name="Picture 5"/>
            <xdr:cNvPicPr>
              <a:picLocks noChangeAspect="1" noChangeArrowheads="1"/>
              <a:extLst>
                <a:ext uri="{84589F7E-364E-4C9E-8A38-B11213B215E9}">
                  <a14:cameraTool cellRange="PHOTO4" spid="_x0000_s116736"/>
                </a:ext>
              </a:extLst>
            </xdr:cNvPicPr>
          </xdr:nvPicPr>
          <xdr:blipFill>
            <a:blip r:embed="rId3"/>
            <a:srcRect/>
            <a:stretch>
              <a:fillRect/>
            </a:stretch>
          </xdr:blipFill>
          <xdr:spPr>
            <a:xfrm>
              <a:off x="6717665" y="3712845"/>
              <a:ext cx="1184275" cy="143256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5</xdr:col>
      <xdr:colOff>390525</xdr:colOff>
      <xdr:row>6</xdr:row>
      <xdr:rowOff>152400</xdr:rowOff>
    </xdr:from>
    <xdr:to>
      <xdr:col>7</xdr:col>
      <xdr:colOff>428626</xdr:colOff>
      <xdr:row>12</xdr:row>
      <xdr:rowOff>9525</xdr:rowOff>
    </xdr:to>
    <xdr:sp>
      <xdr:nvSpPr>
        <xdr:cNvPr id="7" name="Rectangle 6"/>
        <xdr:cNvSpPr/>
      </xdr:nvSpPr>
      <xdr:spPr>
        <a:xfrm>
          <a:off x="782955" y="1356360"/>
          <a:ext cx="1233170" cy="1432560"/>
        </a:xfrm>
        <a:prstGeom prst="rect">
          <a:avLst/>
        </a:prstGeom>
        <a:blipFill dpi="0" rotWithShape="1">
          <a:blip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4</xdr:col>
      <xdr:colOff>476250</xdr:colOff>
      <xdr:row>5</xdr:row>
      <xdr:rowOff>161925</xdr:rowOff>
    </xdr:from>
    <xdr:to>
      <xdr:col>10</xdr:col>
      <xdr:colOff>200025</xdr:colOff>
      <xdr:row>9</xdr:row>
      <xdr:rowOff>142875</xdr:rowOff>
    </xdr:to>
    <xdr:pic>
      <xdr:nvPicPr>
        <xdr:cNvPr id="7" name="Picture 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" t="37712" r="-284" b="31312"/>
        <a:stretch>
          <a:fillRect/>
        </a:stretch>
      </xdr:blipFill>
      <xdr:spPr>
        <a:xfrm>
          <a:off x="2239645" y="1384935"/>
          <a:ext cx="3837305" cy="864870"/>
        </a:xfrm>
        <a:prstGeom prst="rect">
          <a:avLst/>
        </a:prstGeom>
      </xdr:spPr>
    </xdr:pic>
    <xdr:clientData/>
  </xdr:twoCellAnchor>
  <xdr:twoCellAnchor editAs="absolute">
    <xdr:from>
      <xdr:col>11</xdr:col>
      <xdr:colOff>143108</xdr:colOff>
      <xdr:row>2</xdr:row>
      <xdr:rowOff>9525</xdr:rowOff>
    </xdr:from>
    <xdr:to>
      <xdr:col>13</xdr:col>
      <xdr:colOff>257175</xdr:colOff>
      <xdr:row>7</xdr:row>
      <xdr:rowOff>1</xdr:rowOff>
    </xdr:to>
    <xdr:pic>
      <xdr:nvPicPr>
        <xdr:cNvPr id="8" name="Picture 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6545" y="333375"/>
          <a:ext cx="1367790" cy="1331595"/>
        </a:xfrm>
        <a:prstGeom prst="rect">
          <a:avLst/>
        </a:prstGeom>
      </xdr:spPr>
    </xdr:pic>
    <xdr:clientData/>
  </xdr:twoCellAnchor>
  <xdr:twoCellAnchor editAs="absolute">
    <xdr:from>
      <xdr:col>2</xdr:col>
      <xdr:colOff>219075</xdr:colOff>
      <xdr:row>1</xdr:row>
      <xdr:rowOff>152932</xdr:rowOff>
    </xdr:from>
    <xdr:to>
      <xdr:col>4</xdr:col>
      <xdr:colOff>57150</xdr:colOff>
      <xdr:row>7</xdr:row>
      <xdr:rowOff>123824</xdr:rowOff>
    </xdr:to>
    <xdr:pic>
      <xdr:nvPicPr>
        <xdr:cNvPr id="9" name="Picture 8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920" y="255270"/>
          <a:ext cx="1444625" cy="153289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2</xdr:col>
      <xdr:colOff>9525</xdr:colOff>
      <xdr:row>1</xdr:row>
      <xdr:rowOff>19050</xdr:rowOff>
    </xdr:from>
    <xdr:to>
      <xdr:col>4</xdr:col>
      <xdr:colOff>219075</xdr:colOff>
      <xdr:row>6</xdr:row>
      <xdr:rowOff>1751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382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</xdr:row>
      <xdr:rowOff>28575</xdr:rowOff>
    </xdr:from>
    <xdr:to>
      <xdr:col>16</xdr:col>
      <xdr:colOff>28575</xdr:colOff>
      <xdr:row>6</xdr:row>
      <xdr:rowOff>4926</xdr:rowOff>
    </xdr:to>
    <xdr:pic>
      <xdr:nvPicPr>
        <xdr:cNvPr id="5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33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</xdr:row>
      <xdr:rowOff>85726</xdr:rowOff>
    </xdr:from>
    <xdr:to>
      <xdr:col>13</xdr:col>
      <xdr:colOff>561975</xdr:colOff>
      <xdr:row>33</xdr:row>
      <xdr:rowOff>66675</xdr:rowOff>
    </xdr:to>
    <xdr:sp>
      <xdr:nvSpPr>
        <xdr:cNvPr id="8" name="Rectangle 7"/>
        <xdr:cNvSpPr/>
      </xdr:nvSpPr>
      <xdr:spPr>
        <a:xfrm>
          <a:off x="1016635" y="34099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</xdr:row>
      <xdr:rowOff>0</xdr:rowOff>
    </xdr:from>
    <xdr:to>
      <xdr:col>10</xdr:col>
      <xdr:colOff>561975</xdr:colOff>
      <xdr:row>4</xdr:row>
      <xdr:rowOff>0</xdr:rowOff>
    </xdr:to>
    <xdr:sp>
      <xdr:nvSpPr>
        <xdr:cNvPr id="3" name="TextBox 2"/>
        <xdr:cNvSpPr txBox="1"/>
      </xdr:nvSpPr>
      <xdr:spPr>
        <a:xfrm>
          <a:off x="3109595" y="53403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57</xdr:row>
      <xdr:rowOff>19050</xdr:rowOff>
    </xdr:from>
    <xdr:to>
      <xdr:col>4</xdr:col>
      <xdr:colOff>219075</xdr:colOff>
      <xdr:row>62</xdr:row>
      <xdr:rowOff>1751</xdr:rowOff>
    </xdr:to>
    <xdr:pic>
      <xdr:nvPicPr>
        <xdr:cNvPr id="403" name="Picture 4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45628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57</xdr:row>
      <xdr:rowOff>28575</xdr:rowOff>
    </xdr:from>
    <xdr:to>
      <xdr:col>16</xdr:col>
      <xdr:colOff>28575</xdr:colOff>
      <xdr:row>62</xdr:row>
      <xdr:rowOff>4926</xdr:rowOff>
    </xdr:to>
    <xdr:pic>
      <xdr:nvPicPr>
        <xdr:cNvPr id="404" name="Picture 4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346581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58</xdr:row>
      <xdr:rowOff>85726</xdr:rowOff>
    </xdr:from>
    <xdr:to>
      <xdr:col>13</xdr:col>
      <xdr:colOff>561975</xdr:colOff>
      <xdr:row>89</xdr:row>
      <xdr:rowOff>66675</xdr:rowOff>
    </xdr:to>
    <xdr:sp>
      <xdr:nvSpPr>
        <xdr:cNvPr id="405" name="Rectangle 404"/>
        <xdr:cNvSpPr/>
      </xdr:nvSpPr>
      <xdr:spPr>
        <a:xfrm>
          <a:off x="1016635" y="1371346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59</xdr:row>
      <xdr:rowOff>0</xdr:rowOff>
    </xdr:from>
    <xdr:to>
      <xdr:col>10</xdr:col>
      <xdr:colOff>561975</xdr:colOff>
      <xdr:row>60</xdr:row>
      <xdr:rowOff>0</xdr:rowOff>
    </xdr:to>
    <xdr:sp>
      <xdr:nvSpPr>
        <xdr:cNvPr id="406" name="TextBox 405"/>
        <xdr:cNvSpPr txBox="1"/>
      </xdr:nvSpPr>
      <xdr:spPr>
        <a:xfrm>
          <a:off x="3109595" y="1390650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113</xdr:row>
      <xdr:rowOff>19050</xdr:rowOff>
    </xdr:from>
    <xdr:to>
      <xdr:col>4</xdr:col>
      <xdr:colOff>219075</xdr:colOff>
      <xdr:row>118</xdr:row>
      <xdr:rowOff>1751</xdr:rowOff>
    </xdr:to>
    <xdr:pic>
      <xdr:nvPicPr>
        <xdr:cNvPr id="1779" name="Picture 17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682875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113</xdr:row>
      <xdr:rowOff>28575</xdr:rowOff>
    </xdr:from>
    <xdr:to>
      <xdr:col>16</xdr:col>
      <xdr:colOff>28575</xdr:colOff>
      <xdr:row>118</xdr:row>
      <xdr:rowOff>4926</xdr:rowOff>
    </xdr:to>
    <xdr:pic>
      <xdr:nvPicPr>
        <xdr:cNvPr id="1780" name="Picture 17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683827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114</xdr:row>
      <xdr:rowOff>85726</xdr:rowOff>
    </xdr:from>
    <xdr:to>
      <xdr:col>13</xdr:col>
      <xdr:colOff>561975</xdr:colOff>
      <xdr:row>145</xdr:row>
      <xdr:rowOff>66675</xdr:rowOff>
    </xdr:to>
    <xdr:sp>
      <xdr:nvSpPr>
        <xdr:cNvPr id="1781" name="Rectangle 1780"/>
        <xdr:cNvSpPr/>
      </xdr:nvSpPr>
      <xdr:spPr>
        <a:xfrm>
          <a:off x="1016635" y="2708592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115</xdr:row>
      <xdr:rowOff>0</xdr:rowOff>
    </xdr:from>
    <xdr:to>
      <xdr:col>10</xdr:col>
      <xdr:colOff>561975</xdr:colOff>
      <xdr:row>116</xdr:row>
      <xdr:rowOff>0</xdr:rowOff>
    </xdr:to>
    <xdr:sp>
      <xdr:nvSpPr>
        <xdr:cNvPr id="1782" name="TextBox 1781"/>
        <xdr:cNvSpPr txBox="1"/>
      </xdr:nvSpPr>
      <xdr:spPr>
        <a:xfrm>
          <a:off x="3109595" y="2727896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169</xdr:row>
      <xdr:rowOff>19050</xdr:rowOff>
    </xdr:from>
    <xdr:to>
      <xdr:col>4</xdr:col>
      <xdr:colOff>219075</xdr:colOff>
      <xdr:row>174</xdr:row>
      <xdr:rowOff>1751</xdr:rowOff>
    </xdr:to>
    <xdr:pic>
      <xdr:nvPicPr>
        <xdr:cNvPr id="1783" name="Picture 17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020121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169</xdr:row>
      <xdr:rowOff>28575</xdr:rowOff>
    </xdr:from>
    <xdr:to>
      <xdr:col>16</xdr:col>
      <xdr:colOff>28575</xdr:colOff>
      <xdr:row>174</xdr:row>
      <xdr:rowOff>4926</xdr:rowOff>
    </xdr:to>
    <xdr:pic>
      <xdr:nvPicPr>
        <xdr:cNvPr id="1784" name="Picture 17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021074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170</xdr:row>
      <xdr:rowOff>85726</xdr:rowOff>
    </xdr:from>
    <xdr:to>
      <xdr:col>13</xdr:col>
      <xdr:colOff>561975</xdr:colOff>
      <xdr:row>201</xdr:row>
      <xdr:rowOff>66675</xdr:rowOff>
    </xdr:to>
    <xdr:sp>
      <xdr:nvSpPr>
        <xdr:cNvPr id="1785" name="Rectangle 1784"/>
        <xdr:cNvSpPr/>
      </xdr:nvSpPr>
      <xdr:spPr>
        <a:xfrm>
          <a:off x="1016635" y="4045839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171</xdr:row>
      <xdr:rowOff>0</xdr:rowOff>
    </xdr:from>
    <xdr:to>
      <xdr:col>10</xdr:col>
      <xdr:colOff>561975</xdr:colOff>
      <xdr:row>172</xdr:row>
      <xdr:rowOff>0</xdr:rowOff>
    </xdr:to>
    <xdr:sp>
      <xdr:nvSpPr>
        <xdr:cNvPr id="1786" name="TextBox 1785"/>
        <xdr:cNvSpPr txBox="1"/>
      </xdr:nvSpPr>
      <xdr:spPr>
        <a:xfrm>
          <a:off x="3109595" y="4065143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225</xdr:row>
      <xdr:rowOff>19050</xdr:rowOff>
    </xdr:from>
    <xdr:to>
      <xdr:col>4</xdr:col>
      <xdr:colOff>219075</xdr:colOff>
      <xdr:row>230</xdr:row>
      <xdr:rowOff>1751</xdr:rowOff>
    </xdr:to>
    <xdr:pic>
      <xdr:nvPicPr>
        <xdr:cNvPr id="1787" name="Picture 17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357368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225</xdr:row>
      <xdr:rowOff>28575</xdr:rowOff>
    </xdr:from>
    <xdr:to>
      <xdr:col>16</xdr:col>
      <xdr:colOff>28575</xdr:colOff>
      <xdr:row>230</xdr:row>
      <xdr:rowOff>4926</xdr:rowOff>
    </xdr:to>
    <xdr:pic>
      <xdr:nvPicPr>
        <xdr:cNvPr id="1788" name="Picture 17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358320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226</xdr:row>
      <xdr:rowOff>85726</xdr:rowOff>
    </xdr:from>
    <xdr:to>
      <xdr:col>13</xdr:col>
      <xdr:colOff>561975</xdr:colOff>
      <xdr:row>257</xdr:row>
      <xdr:rowOff>66675</xdr:rowOff>
    </xdr:to>
    <xdr:sp>
      <xdr:nvSpPr>
        <xdr:cNvPr id="1789" name="Rectangle 1788"/>
        <xdr:cNvSpPr/>
      </xdr:nvSpPr>
      <xdr:spPr>
        <a:xfrm>
          <a:off x="1016635" y="5383085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227</xdr:row>
      <xdr:rowOff>0</xdr:rowOff>
    </xdr:from>
    <xdr:to>
      <xdr:col>10</xdr:col>
      <xdr:colOff>561975</xdr:colOff>
      <xdr:row>228</xdr:row>
      <xdr:rowOff>0</xdr:rowOff>
    </xdr:to>
    <xdr:sp>
      <xdr:nvSpPr>
        <xdr:cNvPr id="1790" name="TextBox 1789"/>
        <xdr:cNvSpPr txBox="1"/>
      </xdr:nvSpPr>
      <xdr:spPr>
        <a:xfrm>
          <a:off x="3109595" y="5402389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281</xdr:row>
      <xdr:rowOff>19050</xdr:rowOff>
    </xdr:from>
    <xdr:to>
      <xdr:col>4</xdr:col>
      <xdr:colOff>219075</xdr:colOff>
      <xdr:row>286</xdr:row>
      <xdr:rowOff>1751</xdr:rowOff>
    </xdr:to>
    <xdr:pic>
      <xdr:nvPicPr>
        <xdr:cNvPr id="1791" name="Picture 17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694614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281</xdr:row>
      <xdr:rowOff>28575</xdr:rowOff>
    </xdr:from>
    <xdr:to>
      <xdr:col>16</xdr:col>
      <xdr:colOff>28575</xdr:colOff>
      <xdr:row>286</xdr:row>
      <xdr:rowOff>4926</xdr:rowOff>
    </xdr:to>
    <xdr:pic>
      <xdr:nvPicPr>
        <xdr:cNvPr id="1792" name="Picture 17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69556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282</xdr:row>
      <xdr:rowOff>85726</xdr:rowOff>
    </xdr:from>
    <xdr:to>
      <xdr:col>13</xdr:col>
      <xdr:colOff>561975</xdr:colOff>
      <xdr:row>313</xdr:row>
      <xdr:rowOff>66675</xdr:rowOff>
    </xdr:to>
    <xdr:sp>
      <xdr:nvSpPr>
        <xdr:cNvPr id="1793" name="Rectangle 1792"/>
        <xdr:cNvSpPr/>
      </xdr:nvSpPr>
      <xdr:spPr>
        <a:xfrm>
          <a:off x="1016635" y="6720332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283</xdr:row>
      <xdr:rowOff>0</xdr:rowOff>
    </xdr:from>
    <xdr:to>
      <xdr:col>10</xdr:col>
      <xdr:colOff>561975</xdr:colOff>
      <xdr:row>284</xdr:row>
      <xdr:rowOff>0</xdr:rowOff>
    </xdr:to>
    <xdr:sp>
      <xdr:nvSpPr>
        <xdr:cNvPr id="1794" name="TextBox 1793"/>
        <xdr:cNvSpPr txBox="1"/>
      </xdr:nvSpPr>
      <xdr:spPr>
        <a:xfrm>
          <a:off x="3109595" y="6739636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337</xdr:row>
      <xdr:rowOff>19050</xdr:rowOff>
    </xdr:from>
    <xdr:to>
      <xdr:col>4</xdr:col>
      <xdr:colOff>219075</xdr:colOff>
      <xdr:row>342</xdr:row>
      <xdr:rowOff>1751</xdr:rowOff>
    </xdr:to>
    <xdr:pic>
      <xdr:nvPicPr>
        <xdr:cNvPr id="1795" name="Picture 17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031861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337</xdr:row>
      <xdr:rowOff>28575</xdr:rowOff>
    </xdr:from>
    <xdr:to>
      <xdr:col>16</xdr:col>
      <xdr:colOff>28575</xdr:colOff>
      <xdr:row>342</xdr:row>
      <xdr:rowOff>4926</xdr:rowOff>
    </xdr:to>
    <xdr:pic>
      <xdr:nvPicPr>
        <xdr:cNvPr id="1796" name="Picture 17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032813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338</xdr:row>
      <xdr:rowOff>85726</xdr:rowOff>
    </xdr:from>
    <xdr:to>
      <xdr:col>13</xdr:col>
      <xdr:colOff>561975</xdr:colOff>
      <xdr:row>369</xdr:row>
      <xdr:rowOff>66675</xdr:rowOff>
    </xdr:to>
    <xdr:sp>
      <xdr:nvSpPr>
        <xdr:cNvPr id="1797" name="Rectangle 1796"/>
        <xdr:cNvSpPr/>
      </xdr:nvSpPr>
      <xdr:spPr>
        <a:xfrm>
          <a:off x="1016635" y="8057578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339</xdr:row>
      <xdr:rowOff>0</xdr:rowOff>
    </xdr:from>
    <xdr:to>
      <xdr:col>10</xdr:col>
      <xdr:colOff>561975</xdr:colOff>
      <xdr:row>340</xdr:row>
      <xdr:rowOff>0</xdr:rowOff>
    </xdr:to>
    <xdr:sp>
      <xdr:nvSpPr>
        <xdr:cNvPr id="1798" name="TextBox 1797"/>
        <xdr:cNvSpPr txBox="1"/>
      </xdr:nvSpPr>
      <xdr:spPr>
        <a:xfrm>
          <a:off x="3109595" y="8076882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393</xdr:row>
      <xdr:rowOff>19050</xdr:rowOff>
    </xdr:from>
    <xdr:to>
      <xdr:col>4</xdr:col>
      <xdr:colOff>219075</xdr:colOff>
      <xdr:row>398</xdr:row>
      <xdr:rowOff>1751</xdr:rowOff>
    </xdr:to>
    <xdr:pic>
      <xdr:nvPicPr>
        <xdr:cNvPr id="1799" name="Picture 17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369107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393</xdr:row>
      <xdr:rowOff>28575</xdr:rowOff>
    </xdr:from>
    <xdr:to>
      <xdr:col>16</xdr:col>
      <xdr:colOff>28575</xdr:colOff>
      <xdr:row>398</xdr:row>
      <xdr:rowOff>4926</xdr:rowOff>
    </xdr:to>
    <xdr:pic>
      <xdr:nvPicPr>
        <xdr:cNvPr id="1800" name="Picture 17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370060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394</xdr:row>
      <xdr:rowOff>85726</xdr:rowOff>
    </xdr:from>
    <xdr:to>
      <xdr:col>13</xdr:col>
      <xdr:colOff>561975</xdr:colOff>
      <xdr:row>425</xdr:row>
      <xdr:rowOff>66675</xdr:rowOff>
    </xdr:to>
    <xdr:sp>
      <xdr:nvSpPr>
        <xdr:cNvPr id="1801" name="Rectangle 1800"/>
        <xdr:cNvSpPr/>
      </xdr:nvSpPr>
      <xdr:spPr>
        <a:xfrm>
          <a:off x="1016635" y="9394825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395</xdr:row>
      <xdr:rowOff>0</xdr:rowOff>
    </xdr:from>
    <xdr:to>
      <xdr:col>10</xdr:col>
      <xdr:colOff>561975</xdr:colOff>
      <xdr:row>396</xdr:row>
      <xdr:rowOff>0</xdr:rowOff>
    </xdr:to>
    <xdr:sp>
      <xdr:nvSpPr>
        <xdr:cNvPr id="1802" name="TextBox 1801"/>
        <xdr:cNvSpPr txBox="1"/>
      </xdr:nvSpPr>
      <xdr:spPr>
        <a:xfrm>
          <a:off x="3109595" y="9414129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449</xdr:row>
      <xdr:rowOff>19050</xdr:rowOff>
    </xdr:from>
    <xdr:to>
      <xdr:col>4</xdr:col>
      <xdr:colOff>219075</xdr:colOff>
      <xdr:row>454</xdr:row>
      <xdr:rowOff>1751</xdr:rowOff>
    </xdr:to>
    <xdr:pic>
      <xdr:nvPicPr>
        <xdr:cNvPr id="1803" name="Picture 18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706354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449</xdr:row>
      <xdr:rowOff>28575</xdr:rowOff>
    </xdr:from>
    <xdr:to>
      <xdr:col>16</xdr:col>
      <xdr:colOff>28575</xdr:colOff>
      <xdr:row>454</xdr:row>
      <xdr:rowOff>4926</xdr:rowOff>
    </xdr:to>
    <xdr:pic>
      <xdr:nvPicPr>
        <xdr:cNvPr id="1804" name="Picture 18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707306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450</xdr:row>
      <xdr:rowOff>85726</xdr:rowOff>
    </xdr:from>
    <xdr:to>
      <xdr:col>13</xdr:col>
      <xdr:colOff>561975</xdr:colOff>
      <xdr:row>481</xdr:row>
      <xdr:rowOff>66675</xdr:rowOff>
    </xdr:to>
    <xdr:sp>
      <xdr:nvSpPr>
        <xdr:cNvPr id="1805" name="Rectangle 1804"/>
        <xdr:cNvSpPr/>
      </xdr:nvSpPr>
      <xdr:spPr>
        <a:xfrm>
          <a:off x="1016635" y="10732071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451</xdr:row>
      <xdr:rowOff>0</xdr:rowOff>
    </xdr:from>
    <xdr:to>
      <xdr:col>10</xdr:col>
      <xdr:colOff>561975</xdr:colOff>
      <xdr:row>452</xdr:row>
      <xdr:rowOff>0</xdr:rowOff>
    </xdr:to>
    <xdr:sp>
      <xdr:nvSpPr>
        <xdr:cNvPr id="1806" name="TextBox 1805"/>
        <xdr:cNvSpPr txBox="1"/>
      </xdr:nvSpPr>
      <xdr:spPr>
        <a:xfrm>
          <a:off x="3109595" y="10751375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505</xdr:row>
      <xdr:rowOff>19050</xdr:rowOff>
    </xdr:from>
    <xdr:to>
      <xdr:col>4</xdr:col>
      <xdr:colOff>219075</xdr:colOff>
      <xdr:row>510</xdr:row>
      <xdr:rowOff>1751</xdr:rowOff>
    </xdr:to>
    <xdr:pic>
      <xdr:nvPicPr>
        <xdr:cNvPr id="1807" name="Picture 18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043600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505</xdr:row>
      <xdr:rowOff>28575</xdr:rowOff>
    </xdr:from>
    <xdr:to>
      <xdr:col>16</xdr:col>
      <xdr:colOff>28575</xdr:colOff>
      <xdr:row>510</xdr:row>
      <xdr:rowOff>4926</xdr:rowOff>
    </xdr:to>
    <xdr:pic>
      <xdr:nvPicPr>
        <xdr:cNvPr id="1808" name="Picture 18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044553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506</xdr:row>
      <xdr:rowOff>85726</xdr:rowOff>
    </xdr:from>
    <xdr:to>
      <xdr:col>13</xdr:col>
      <xdr:colOff>561975</xdr:colOff>
      <xdr:row>537</xdr:row>
      <xdr:rowOff>66675</xdr:rowOff>
    </xdr:to>
    <xdr:sp>
      <xdr:nvSpPr>
        <xdr:cNvPr id="1809" name="Rectangle 1808"/>
        <xdr:cNvSpPr/>
      </xdr:nvSpPr>
      <xdr:spPr>
        <a:xfrm>
          <a:off x="1016635" y="12069318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507</xdr:row>
      <xdr:rowOff>0</xdr:rowOff>
    </xdr:from>
    <xdr:to>
      <xdr:col>10</xdr:col>
      <xdr:colOff>561975</xdr:colOff>
      <xdr:row>508</xdr:row>
      <xdr:rowOff>0</xdr:rowOff>
    </xdr:to>
    <xdr:sp>
      <xdr:nvSpPr>
        <xdr:cNvPr id="1810" name="TextBox 1809"/>
        <xdr:cNvSpPr txBox="1"/>
      </xdr:nvSpPr>
      <xdr:spPr>
        <a:xfrm>
          <a:off x="3109595" y="12088622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561</xdr:row>
      <xdr:rowOff>19050</xdr:rowOff>
    </xdr:from>
    <xdr:to>
      <xdr:col>4</xdr:col>
      <xdr:colOff>219075</xdr:colOff>
      <xdr:row>566</xdr:row>
      <xdr:rowOff>1751</xdr:rowOff>
    </xdr:to>
    <xdr:pic>
      <xdr:nvPicPr>
        <xdr:cNvPr id="1811" name="Picture 18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380847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561</xdr:row>
      <xdr:rowOff>28575</xdr:rowOff>
    </xdr:from>
    <xdr:to>
      <xdr:col>16</xdr:col>
      <xdr:colOff>28575</xdr:colOff>
      <xdr:row>566</xdr:row>
      <xdr:rowOff>4926</xdr:rowOff>
    </xdr:to>
    <xdr:pic>
      <xdr:nvPicPr>
        <xdr:cNvPr id="1812" name="Picture 18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338179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562</xdr:row>
      <xdr:rowOff>85726</xdr:rowOff>
    </xdr:from>
    <xdr:to>
      <xdr:col>13</xdr:col>
      <xdr:colOff>561975</xdr:colOff>
      <xdr:row>593</xdr:row>
      <xdr:rowOff>66675</xdr:rowOff>
    </xdr:to>
    <xdr:sp>
      <xdr:nvSpPr>
        <xdr:cNvPr id="1813" name="Rectangle 1812"/>
        <xdr:cNvSpPr/>
      </xdr:nvSpPr>
      <xdr:spPr>
        <a:xfrm>
          <a:off x="1016635" y="13406564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563</xdr:row>
      <xdr:rowOff>0</xdr:rowOff>
    </xdr:from>
    <xdr:to>
      <xdr:col>10</xdr:col>
      <xdr:colOff>561975</xdr:colOff>
      <xdr:row>564</xdr:row>
      <xdr:rowOff>0</xdr:rowOff>
    </xdr:to>
    <xdr:sp>
      <xdr:nvSpPr>
        <xdr:cNvPr id="1814" name="TextBox 1813"/>
        <xdr:cNvSpPr txBox="1"/>
      </xdr:nvSpPr>
      <xdr:spPr>
        <a:xfrm>
          <a:off x="3109595" y="13425868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617</xdr:row>
      <xdr:rowOff>19050</xdr:rowOff>
    </xdr:from>
    <xdr:to>
      <xdr:col>4</xdr:col>
      <xdr:colOff>219075</xdr:colOff>
      <xdr:row>622</xdr:row>
      <xdr:rowOff>1751</xdr:rowOff>
    </xdr:to>
    <xdr:pic>
      <xdr:nvPicPr>
        <xdr:cNvPr id="1815" name="Picture 18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4718093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617</xdr:row>
      <xdr:rowOff>28575</xdr:rowOff>
    </xdr:from>
    <xdr:to>
      <xdr:col>16</xdr:col>
      <xdr:colOff>28575</xdr:colOff>
      <xdr:row>622</xdr:row>
      <xdr:rowOff>4926</xdr:rowOff>
    </xdr:to>
    <xdr:pic>
      <xdr:nvPicPr>
        <xdr:cNvPr id="1816" name="Picture 18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4719046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618</xdr:row>
      <xdr:rowOff>85726</xdr:rowOff>
    </xdr:from>
    <xdr:to>
      <xdr:col>13</xdr:col>
      <xdr:colOff>561975</xdr:colOff>
      <xdr:row>649</xdr:row>
      <xdr:rowOff>66675</xdr:rowOff>
    </xdr:to>
    <xdr:sp>
      <xdr:nvSpPr>
        <xdr:cNvPr id="1817" name="Rectangle 1816"/>
        <xdr:cNvSpPr/>
      </xdr:nvSpPr>
      <xdr:spPr>
        <a:xfrm>
          <a:off x="1016635" y="14743811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619</xdr:row>
      <xdr:rowOff>0</xdr:rowOff>
    </xdr:from>
    <xdr:to>
      <xdr:col>10</xdr:col>
      <xdr:colOff>561975</xdr:colOff>
      <xdr:row>620</xdr:row>
      <xdr:rowOff>0</xdr:rowOff>
    </xdr:to>
    <xdr:sp>
      <xdr:nvSpPr>
        <xdr:cNvPr id="1818" name="TextBox 1817"/>
        <xdr:cNvSpPr txBox="1"/>
      </xdr:nvSpPr>
      <xdr:spPr>
        <a:xfrm>
          <a:off x="3109595" y="14763115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673</xdr:row>
      <xdr:rowOff>19050</xdr:rowOff>
    </xdr:from>
    <xdr:to>
      <xdr:col>4</xdr:col>
      <xdr:colOff>219075</xdr:colOff>
      <xdr:row>678</xdr:row>
      <xdr:rowOff>1751</xdr:rowOff>
    </xdr:to>
    <xdr:pic>
      <xdr:nvPicPr>
        <xdr:cNvPr id="1819" name="Picture 18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6055340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673</xdr:row>
      <xdr:rowOff>28575</xdr:rowOff>
    </xdr:from>
    <xdr:to>
      <xdr:col>16</xdr:col>
      <xdr:colOff>28575</xdr:colOff>
      <xdr:row>678</xdr:row>
      <xdr:rowOff>4926</xdr:rowOff>
    </xdr:to>
    <xdr:pic>
      <xdr:nvPicPr>
        <xdr:cNvPr id="1820" name="Picture 18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6056292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674</xdr:row>
      <xdr:rowOff>85726</xdr:rowOff>
    </xdr:from>
    <xdr:to>
      <xdr:col>13</xdr:col>
      <xdr:colOff>561975</xdr:colOff>
      <xdr:row>705</xdr:row>
      <xdr:rowOff>66675</xdr:rowOff>
    </xdr:to>
    <xdr:sp>
      <xdr:nvSpPr>
        <xdr:cNvPr id="1821" name="Rectangle 1820"/>
        <xdr:cNvSpPr/>
      </xdr:nvSpPr>
      <xdr:spPr>
        <a:xfrm>
          <a:off x="1016635" y="16081057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675</xdr:row>
      <xdr:rowOff>0</xdr:rowOff>
    </xdr:from>
    <xdr:to>
      <xdr:col>10</xdr:col>
      <xdr:colOff>561975</xdr:colOff>
      <xdr:row>676</xdr:row>
      <xdr:rowOff>0</xdr:rowOff>
    </xdr:to>
    <xdr:sp>
      <xdr:nvSpPr>
        <xdr:cNvPr id="1822" name="TextBox 1821"/>
        <xdr:cNvSpPr txBox="1"/>
      </xdr:nvSpPr>
      <xdr:spPr>
        <a:xfrm>
          <a:off x="3109595" y="16100361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729</xdr:row>
      <xdr:rowOff>19050</xdr:rowOff>
    </xdr:from>
    <xdr:to>
      <xdr:col>4</xdr:col>
      <xdr:colOff>219075</xdr:colOff>
      <xdr:row>734</xdr:row>
      <xdr:rowOff>1751</xdr:rowOff>
    </xdr:to>
    <xdr:pic>
      <xdr:nvPicPr>
        <xdr:cNvPr id="1823" name="Picture 18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7392586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729</xdr:row>
      <xdr:rowOff>28575</xdr:rowOff>
    </xdr:from>
    <xdr:to>
      <xdr:col>16</xdr:col>
      <xdr:colOff>28575</xdr:colOff>
      <xdr:row>734</xdr:row>
      <xdr:rowOff>4926</xdr:rowOff>
    </xdr:to>
    <xdr:pic>
      <xdr:nvPicPr>
        <xdr:cNvPr id="1824" name="Picture 18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7393539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730</xdr:row>
      <xdr:rowOff>85726</xdr:rowOff>
    </xdr:from>
    <xdr:to>
      <xdr:col>13</xdr:col>
      <xdr:colOff>561975</xdr:colOff>
      <xdr:row>761</xdr:row>
      <xdr:rowOff>66675</xdr:rowOff>
    </xdr:to>
    <xdr:sp>
      <xdr:nvSpPr>
        <xdr:cNvPr id="1825" name="Rectangle 1824"/>
        <xdr:cNvSpPr/>
      </xdr:nvSpPr>
      <xdr:spPr>
        <a:xfrm>
          <a:off x="1016635" y="17418304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731</xdr:row>
      <xdr:rowOff>0</xdr:rowOff>
    </xdr:from>
    <xdr:to>
      <xdr:col>10</xdr:col>
      <xdr:colOff>561975</xdr:colOff>
      <xdr:row>732</xdr:row>
      <xdr:rowOff>0</xdr:rowOff>
    </xdr:to>
    <xdr:sp>
      <xdr:nvSpPr>
        <xdr:cNvPr id="1826" name="TextBox 1825"/>
        <xdr:cNvSpPr txBox="1"/>
      </xdr:nvSpPr>
      <xdr:spPr>
        <a:xfrm>
          <a:off x="3109595" y="17437608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785</xdr:row>
      <xdr:rowOff>19050</xdr:rowOff>
    </xdr:from>
    <xdr:to>
      <xdr:col>4</xdr:col>
      <xdr:colOff>219075</xdr:colOff>
      <xdr:row>790</xdr:row>
      <xdr:rowOff>1751</xdr:rowOff>
    </xdr:to>
    <xdr:pic>
      <xdr:nvPicPr>
        <xdr:cNvPr id="1827" name="Picture 182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8729833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785</xdr:row>
      <xdr:rowOff>28575</xdr:rowOff>
    </xdr:from>
    <xdr:to>
      <xdr:col>16</xdr:col>
      <xdr:colOff>28575</xdr:colOff>
      <xdr:row>790</xdr:row>
      <xdr:rowOff>4926</xdr:rowOff>
    </xdr:to>
    <xdr:pic>
      <xdr:nvPicPr>
        <xdr:cNvPr id="1828" name="Picture 18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8730785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786</xdr:row>
      <xdr:rowOff>85726</xdr:rowOff>
    </xdr:from>
    <xdr:to>
      <xdr:col>13</xdr:col>
      <xdr:colOff>561975</xdr:colOff>
      <xdr:row>817</xdr:row>
      <xdr:rowOff>66675</xdr:rowOff>
    </xdr:to>
    <xdr:sp>
      <xdr:nvSpPr>
        <xdr:cNvPr id="1829" name="Rectangle 1828"/>
        <xdr:cNvSpPr/>
      </xdr:nvSpPr>
      <xdr:spPr>
        <a:xfrm>
          <a:off x="1016635" y="18755550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787</xdr:row>
      <xdr:rowOff>0</xdr:rowOff>
    </xdr:from>
    <xdr:to>
      <xdr:col>10</xdr:col>
      <xdr:colOff>561975</xdr:colOff>
      <xdr:row>788</xdr:row>
      <xdr:rowOff>0</xdr:rowOff>
    </xdr:to>
    <xdr:sp>
      <xdr:nvSpPr>
        <xdr:cNvPr id="1830" name="TextBox 1829"/>
        <xdr:cNvSpPr txBox="1"/>
      </xdr:nvSpPr>
      <xdr:spPr>
        <a:xfrm>
          <a:off x="3109595" y="18774854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841</xdr:row>
      <xdr:rowOff>19050</xdr:rowOff>
    </xdr:from>
    <xdr:to>
      <xdr:col>4</xdr:col>
      <xdr:colOff>219075</xdr:colOff>
      <xdr:row>846</xdr:row>
      <xdr:rowOff>1751</xdr:rowOff>
    </xdr:to>
    <xdr:pic>
      <xdr:nvPicPr>
        <xdr:cNvPr id="1831" name="Picture 18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0067079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841</xdr:row>
      <xdr:rowOff>28575</xdr:rowOff>
    </xdr:from>
    <xdr:to>
      <xdr:col>16</xdr:col>
      <xdr:colOff>28575</xdr:colOff>
      <xdr:row>846</xdr:row>
      <xdr:rowOff>4926</xdr:rowOff>
    </xdr:to>
    <xdr:pic>
      <xdr:nvPicPr>
        <xdr:cNvPr id="1832" name="Picture 18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006803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842</xdr:row>
      <xdr:rowOff>85726</xdr:rowOff>
    </xdr:from>
    <xdr:to>
      <xdr:col>13</xdr:col>
      <xdr:colOff>561975</xdr:colOff>
      <xdr:row>873</xdr:row>
      <xdr:rowOff>66675</xdr:rowOff>
    </xdr:to>
    <xdr:sp>
      <xdr:nvSpPr>
        <xdr:cNvPr id="1833" name="Rectangle 1832"/>
        <xdr:cNvSpPr/>
      </xdr:nvSpPr>
      <xdr:spPr>
        <a:xfrm>
          <a:off x="1016635" y="20092797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843</xdr:row>
      <xdr:rowOff>0</xdr:rowOff>
    </xdr:from>
    <xdr:to>
      <xdr:col>10</xdr:col>
      <xdr:colOff>561975</xdr:colOff>
      <xdr:row>844</xdr:row>
      <xdr:rowOff>0</xdr:rowOff>
    </xdr:to>
    <xdr:sp>
      <xdr:nvSpPr>
        <xdr:cNvPr id="1834" name="TextBox 1833"/>
        <xdr:cNvSpPr txBox="1"/>
      </xdr:nvSpPr>
      <xdr:spPr>
        <a:xfrm>
          <a:off x="3109595" y="20112101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897</xdr:row>
      <xdr:rowOff>19050</xdr:rowOff>
    </xdr:from>
    <xdr:to>
      <xdr:col>4</xdr:col>
      <xdr:colOff>219075</xdr:colOff>
      <xdr:row>902</xdr:row>
      <xdr:rowOff>1751</xdr:rowOff>
    </xdr:to>
    <xdr:pic>
      <xdr:nvPicPr>
        <xdr:cNvPr id="1835" name="Picture 18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1404326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897</xdr:row>
      <xdr:rowOff>28575</xdr:rowOff>
    </xdr:from>
    <xdr:to>
      <xdr:col>16</xdr:col>
      <xdr:colOff>28575</xdr:colOff>
      <xdr:row>902</xdr:row>
      <xdr:rowOff>4926</xdr:rowOff>
    </xdr:to>
    <xdr:pic>
      <xdr:nvPicPr>
        <xdr:cNvPr id="1836" name="Picture 18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1405278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898</xdr:row>
      <xdr:rowOff>85726</xdr:rowOff>
    </xdr:from>
    <xdr:to>
      <xdr:col>13</xdr:col>
      <xdr:colOff>561975</xdr:colOff>
      <xdr:row>929</xdr:row>
      <xdr:rowOff>66675</xdr:rowOff>
    </xdr:to>
    <xdr:sp>
      <xdr:nvSpPr>
        <xdr:cNvPr id="1837" name="Rectangle 1836"/>
        <xdr:cNvSpPr/>
      </xdr:nvSpPr>
      <xdr:spPr>
        <a:xfrm>
          <a:off x="1016635" y="21430043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899</xdr:row>
      <xdr:rowOff>0</xdr:rowOff>
    </xdr:from>
    <xdr:to>
      <xdr:col>10</xdr:col>
      <xdr:colOff>561975</xdr:colOff>
      <xdr:row>900</xdr:row>
      <xdr:rowOff>0</xdr:rowOff>
    </xdr:to>
    <xdr:sp>
      <xdr:nvSpPr>
        <xdr:cNvPr id="1838" name="TextBox 1837"/>
        <xdr:cNvSpPr txBox="1"/>
      </xdr:nvSpPr>
      <xdr:spPr>
        <a:xfrm>
          <a:off x="3109595" y="21449347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953</xdr:row>
      <xdr:rowOff>19050</xdr:rowOff>
    </xdr:from>
    <xdr:to>
      <xdr:col>4</xdr:col>
      <xdr:colOff>219075</xdr:colOff>
      <xdr:row>958</xdr:row>
      <xdr:rowOff>1751</xdr:rowOff>
    </xdr:to>
    <xdr:pic>
      <xdr:nvPicPr>
        <xdr:cNvPr id="1839" name="Picture 18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2741572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953</xdr:row>
      <xdr:rowOff>28575</xdr:rowOff>
    </xdr:from>
    <xdr:to>
      <xdr:col>16</xdr:col>
      <xdr:colOff>28575</xdr:colOff>
      <xdr:row>958</xdr:row>
      <xdr:rowOff>4926</xdr:rowOff>
    </xdr:to>
    <xdr:pic>
      <xdr:nvPicPr>
        <xdr:cNvPr id="1840" name="Picture 18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2742525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954</xdr:row>
      <xdr:rowOff>85726</xdr:rowOff>
    </xdr:from>
    <xdr:to>
      <xdr:col>13</xdr:col>
      <xdr:colOff>561975</xdr:colOff>
      <xdr:row>985</xdr:row>
      <xdr:rowOff>66675</xdr:rowOff>
    </xdr:to>
    <xdr:sp>
      <xdr:nvSpPr>
        <xdr:cNvPr id="1841" name="Rectangle 1840"/>
        <xdr:cNvSpPr/>
      </xdr:nvSpPr>
      <xdr:spPr>
        <a:xfrm>
          <a:off x="1016635" y="22767290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955</xdr:row>
      <xdr:rowOff>0</xdr:rowOff>
    </xdr:from>
    <xdr:to>
      <xdr:col>10</xdr:col>
      <xdr:colOff>561975</xdr:colOff>
      <xdr:row>956</xdr:row>
      <xdr:rowOff>0</xdr:rowOff>
    </xdr:to>
    <xdr:sp>
      <xdr:nvSpPr>
        <xdr:cNvPr id="1842" name="TextBox 1841"/>
        <xdr:cNvSpPr txBox="1"/>
      </xdr:nvSpPr>
      <xdr:spPr>
        <a:xfrm>
          <a:off x="3109595" y="22786594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1009</xdr:row>
      <xdr:rowOff>19050</xdr:rowOff>
    </xdr:from>
    <xdr:to>
      <xdr:col>4</xdr:col>
      <xdr:colOff>219075</xdr:colOff>
      <xdr:row>1014</xdr:row>
      <xdr:rowOff>1751</xdr:rowOff>
    </xdr:to>
    <xdr:pic>
      <xdr:nvPicPr>
        <xdr:cNvPr id="1843" name="Picture 18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4078819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1009</xdr:row>
      <xdr:rowOff>28575</xdr:rowOff>
    </xdr:from>
    <xdr:to>
      <xdr:col>16</xdr:col>
      <xdr:colOff>28575</xdr:colOff>
      <xdr:row>1014</xdr:row>
      <xdr:rowOff>4926</xdr:rowOff>
    </xdr:to>
    <xdr:pic>
      <xdr:nvPicPr>
        <xdr:cNvPr id="1844" name="Picture 18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4079771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1010</xdr:row>
      <xdr:rowOff>85726</xdr:rowOff>
    </xdr:from>
    <xdr:to>
      <xdr:col>13</xdr:col>
      <xdr:colOff>561975</xdr:colOff>
      <xdr:row>1041</xdr:row>
      <xdr:rowOff>66675</xdr:rowOff>
    </xdr:to>
    <xdr:sp>
      <xdr:nvSpPr>
        <xdr:cNvPr id="1845" name="Rectangle 1844"/>
        <xdr:cNvSpPr/>
      </xdr:nvSpPr>
      <xdr:spPr>
        <a:xfrm>
          <a:off x="1016635" y="24104536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1011</xdr:row>
      <xdr:rowOff>0</xdr:rowOff>
    </xdr:from>
    <xdr:to>
      <xdr:col>10</xdr:col>
      <xdr:colOff>561975</xdr:colOff>
      <xdr:row>1012</xdr:row>
      <xdr:rowOff>0</xdr:rowOff>
    </xdr:to>
    <xdr:sp>
      <xdr:nvSpPr>
        <xdr:cNvPr id="1846" name="TextBox 1845"/>
        <xdr:cNvSpPr txBox="1"/>
      </xdr:nvSpPr>
      <xdr:spPr>
        <a:xfrm>
          <a:off x="3109595" y="24123840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1065</xdr:row>
      <xdr:rowOff>19050</xdr:rowOff>
    </xdr:from>
    <xdr:to>
      <xdr:col>4</xdr:col>
      <xdr:colOff>219075</xdr:colOff>
      <xdr:row>1070</xdr:row>
      <xdr:rowOff>1751</xdr:rowOff>
    </xdr:to>
    <xdr:pic>
      <xdr:nvPicPr>
        <xdr:cNvPr id="1847" name="Picture 18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5416065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1065</xdr:row>
      <xdr:rowOff>28575</xdr:rowOff>
    </xdr:from>
    <xdr:to>
      <xdr:col>16</xdr:col>
      <xdr:colOff>28575</xdr:colOff>
      <xdr:row>1070</xdr:row>
      <xdr:rowOff>4926</xdr:rowOff>
    </xdr:to>
    <xdr:pic>
      <xdr:nvPicPr>
        <xdr:cNvPr id="1848" name="Picture 18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5417018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1066</xdr:row>
      <xdr:rowOff>85726</xdr:rowOff>
    </xdr:from>
    <xdr:to>
      <xdr:col>13</xdr:col>
      <xdr:colOff>561975</xdr:colOff>
      <xdr:row>1097</xdr:row>
      <xdr:rowOff>66675</xdr:rowOff>
    </xdr:to>
    <xdr:sp>
      <xdr:nvSpPr>
        <xdr:cNvPr id="1849" name="Rectangle 1848"/>
        <xdr:cNvSpPr/>
      </xdr:nvSpPr>
      <xdr:spPr>
        <a:xfrm>
          <a:off x="1016635" y="25441783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1067</xdr:row>
      <xdr:rowOff>0</xdr:rowOff>
    </xdr:from>
    <xdr:to>
      <xdr:col>10</xdr:col>
      <xdr:colOff>561975</xdr:colOff>
      <xdr:row>1068</xdr:row>
      <xdr:rowOff>0</xdr:rowOff>
    </xdr:to>
    <xdr:sp>
      <xdr:nvSpPr>
        <xdr:cNvPr id="1850" name="TextBox 1849"/>
        <xdr:cNvSpPr txBox="1"/>
      </xdr:nvSpPr>
      <xdr:spPr>
        <a:xfrm>
          <a:off x="3109595" y="25461087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1121</xdr:row>
      <xdr:rowOff>19050</xdr:rowOff>
    </xdr:from>
    <xdr:to>
      <xdr:col>4</xdr:col>
      <xdr:colOff>219075</xdr:colOff>
      <xdr:row>1126</xdr:row>
      <xdr:rowOff>1751</xdr:rowOff>
    </xdr:to>
    <xdr:pic>
      <xdr:nvPicPr>
        <xdr:cNvPr id="1851" name="Picture 18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6753312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1121</xdr:row>
      <xdr:rowOff>28575</xdr:rowOff>
    </xdr:from>
    <xdr:to>
      <xdr:col>16</xdr:col>
      <xdr:colOff>28575</xdr:colOff>
      <xdr:row>1126</xdr:row>
      <xdr:rowOff>4926</xdr:rowOff>
    </xdr:to>
    <xdr:pic>
      <xdr:nvPicPr>
        <xdr:cNvPr id="1852" name="Picture 18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675426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1122</xdr:row>
      <xdr:rowOff>85726</xdr:rowOff>
    </xdr:from>
    <xdr:to>
      <xdr:col>13</xdr:col>
      <xdr:colOff>561975</xdr:colOff>
      <xdr:row>1153</xdr:row>
      <xdr:rowOff>66675</xdr:rowOff>
    </xdr:to>
    <xdr:sp>
      <xdr:nvSpPr>
        <xdr:cNvPr id="1853" name="Rectangle 1852"/>
        <xdr:cNvSpPr/>
      </xdr:nvSpPr>
      <xdr:spPr>
        <a:xfrm>
          <a:off x="1016635" y="26779029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1123</xdr:row>
      <xdr:rowOff>0</xdr:rowOff>
    </xdr:from>
    <xdr:to>
      <xdr:col>10</xdr:col>
      <xdr:colOff>561975</xdr:colOff>
      <xdr:row>1124</xdr:row>
      <xdr:rowOff>0</xdr:rowOff>
    </xdr:to>
    <xdr:sp>
      <xdr:nvSpPr>
        <xdr:cNvPr id="1854" name="TextBox 1853"/>
        <xdr:cNvSpPr txBox="1"/>
      </xdr:nvSpPr>
      <xdr:spPr>
        <a:xfrm>
          <a:off x="3109595" y="26798333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1177</xdr:row>
      <xdr:rowOff>19050</xdr:rowOff>
    </xdr:from>
    <xdr:to>
      <xdr:col>4</xdr:col>
      <xdr:colOff>219075</xdr:colOff>
      <xdr:row>1182</xdr:row>
      <xdr:rowOff>1751</xdr:rowOff>
    </xdr:to>
    <xdr:pic>
      <xdr:nvPicPr>
        <xdr:cNvPr id="1855" name="Picture 18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8090558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1177</xdr:row>
      <xdr:rowOff>28575</xdr:rowOff>
    </xdr:from>
    <xdr:to>
      <xdr:col>16</xdr:col>
      <xdr:colOff>28575</xdr:colOff>
      <xdr:row>1182</xdr:row>
      <xdr:rowOff>4926</xdr:rowOff>
    </xdr:to>
    <xdr:pic>
      <xdr:nvPicPr>
        <xdr:cNvPr id="1856" name="Picture 18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8091511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1178</xdr:row>
      <xdr:rowOff>85726</xdr:rowOff>
    </xdr:from>
    <xdr:to>
      <xdr:col>13</xdr:col>
      <xdr:colOff>561975</xdr:colOff>
      <xdr:row>1209</xdr:row>
      <xdr:rowOff>66675</xdr:rowOff>
    </xdr:to>
    <xdr:sp>
      <xdr:nvSpPr>
        <xdr:cNvPr id="1857" name="Rectangle 1856"/>
        <xdr:cNvSpPr/>
      </xdr:nvSpPr>
      <xdr:spPr>
        <a:xfrm>
          <a:off x="1016635" y="28116276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1179</xdr:row>
      <xdr:rowOff>0</xdr:rowOff>
    </xdr:from>
    <xdr:to>
      <xdr:col>10</xdr:col>
      <xdr:colOff>561975</xdr:colOff>
      <xdr:row>1180</xdr:row>
      <xdr:rowOff>0</xdr:rowOff>
    </xdr:to>
    <xdr:sp>
      <xdr:nvSpPr>
        <xdr:cNvPr id="1858" name="TextBox 1857"/>
        <xdr:cNvSpPr txBox="1"/>
      </xdr:nvSpPr>
      <xdr:spPr>
        <a:xfrm>
          <a:off x="3109595" y="28135580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1233</xdr:row>
      <xdr:rowOff>19050</xdr:rowOff>
    </xdr:from>
    <xdr:to>
      <xdr:col>4</xdr:col>
      <xdr:colOff>219075</xdr:colOff>
      <xdr:row>1238</xdr:row>
      <xdr:rowOff>1751</xdr:rowOff>
    </xdr:to>
    <xdr:pic>
      <xdr:nvPicPr>
        <xdr:cNvPr id="1859" name="Picture 18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9427805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1233</xdr:row>
      <xdr:rowOff>28575</xdr:rowOff>
    </xdr:from>
    <xdr:to>
      <xdr:col>16</xdr:col>
      <xdr:colOff>28575</xdr:colOff>
      <xdr:row>1238</xdr:row>
      <xdr:rowOff>4926</xdr:rowOff>
    </xdr:to>
    <xdr:pic>
      <xdr:nvPicPr>
        <xdr:cNvPr id="1860" name="Picture 18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29428757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1234</xdr:row>
      <xdr:rowOff>85726</xdr:rowOff>
    </xdr:from>
    <xdr:to>
      <xdr:col>13</xdr:col>
      <xdr:colOff>561975</xdr:colOff>
      <xdr:row>1265</xdr:row>
      <xdr:rowOff>66675</xdr:rowOff>
    </xdr:to>
    <xdr:sp>
      <xdr:nvSpPr>
        <xdr:cNvPr id="1861" name="Rectangle 1860"/>
        <xdr:cNvSpPr/>
      </xdr:nvSpPr>
      <xdr:spPr>
        <a:xfrm>
          <a:off x="1016635" y="29453522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1235</xdr:row>
      <xdr:rowOff>0</xdr:rowOff>
    </xdr:from>
    <xdr:to>
      <xdr:col>10</xdr:col>
      <xdr:colOff>561975</xdr:colOff>
      <xdr:row>1236</xdr:row>
      <xdr:rowOff>0</xdr:rowOff>
    </xdr:to>
    <xdr:sp>
      <xdr:nvSpPr>
        <xdr:cNvPr id="1862" name="TextBox 1861"/>
        <xdr:cNvSpPr txBox="1"/>
      </xdr:nvSpPr>
      <xdr:spPr>
        <a:xfrm>
          <a:off x="3109595" y="29472826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1289</xdr:row>
      <xdr:rowOff>19050</xdr:rowOff>
    </xdr:from>
    <xdr:to>
      <xdr:col>4</xdr:col>
      <xdr:colOff>219075</xdr:colOff>
      <xdr:row>1294</xdr:row>
      <xdr:rowOff>1751</xdr:rowOff>
    </xdr:to>
    <xdr:pic>
      <xdr:nvPicPr>
        <xdr:cNvPr id="1863" name="Picture 18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0765051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1289</xdr:row>
      <xdr:rowOff>28575</xdr:rowOff>
    </xdr:from>
    <xdr:to>
      <xdr:col>16</xdr:col>
      <xdr:colOff>28575</xdr:colOff>
      <xdr:row>1294</xdr:row>
      <xdr:rowOff>4926</xdr:rowOff>
    </xdr:to>
    <xdr:pic>
      <xdr:nvPicPr>
        <xdr:cNvPr id="1864" name="Picture 18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30766004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1290</xdr:row>
      <xdr:rowOff>85726</xdr:rowOff>
    </xdr:from>
    <xdr:to>
      <xdr:col>13</xdr:col>
      <xdr:colOff>561975</xdr:colOff>
      <xdr:row>1321</xdr:row>
      <xdr:rowOff>66675</xdr:rowOff>
    </xdr:to>
    <xdr:sp>
      <xdr:nvSpPr>
        <xdr:cNvPr id="1865" name="Rectangle 1864"/>
        <xdr:cNvSpPr/>
      </xdr:nvSpPr>
      <xdr:spPr>
        <a:xfrm>
          <a:off x="1016635" y="30790769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1291</xdr:row>
      <xdr:rowOff>0</xdr:rowOff>
    </xdr:from>
    <xdr:to>
      <xdr:col>10</xdr:col>
      <xdr:colOff>561975</xdr:colOff>
      <xdr:row>1292</xdr:row>
      <xdr:rowOff>0</xdr:rowOff>
    </xdr:to>
    <xdr:sp>
      <xdr:nvSpPr>
        <xdr:cNvPr id="1866" name="TextBox 1865"/>
        <xdr:cNvSpPr txBox="1"/>
      </xdr:nvSpPr>
      <xdr:spPr>
        <a:xfrm>
          <a:off x="3109595" y="30810073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1345</xdr:row>
      <xdr:rowOff>19050</xdr:rowOff>
    </xdr:from>
    <xdr:to>
      <xdr:col>4</xdr:col>
      <xdr:colOff>219075</xdr:colOff>
      <xdr:row>1350</xdr:row>
      <xdr:rowOff>1751</xdr:rowOff>
    </xdr:to>
    <xdr:pic>
      <xdr:nvPicPr>
        <xdr:cNvPr id="1867" name="Picture 18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2102298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1345</xdr:row>
      <xdr:rowOff>28575</xdr:rowOff>
    </xdr:from>
    <xdr:to>
      <xdr:col>16</xdr:col>
      <xdr:colOff>28575</xdr:colOff>
      <xdr:row>1350</xdr:row>
      <xdr:rowOff>4926</xdr:rowOff>
    </xdr:to>
    <xdr:pic>
      <xdr:nvPicPr>
        <xdr:cNvPr id="1868" name="Picture 18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32103250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1346</xdr:row>
      <xdr:rowOff>85726</xdr:rowOff>
    </xdr:from>
    <xdr:to>
      <xdr:col>13</xdr:col>
      <xdr:colOff>561975</xdr:colOff>
      <xdr:row>1377</xdr:row>
      <xdr:rowOff>66675</xdr:rowOff>
    </xdr:to>
    <xdr:sp>
      <xdr:nvSpPr>
        <xdr:cNvPr id="1869" name="Rectangle 1868"/>
        <xdr:cNvSpPr/>
      </xdr:nvSpPr>
      <xdr:spPr>
        <a:xfrm>
          <a:off x="1016635" y="32128015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1347</xdr:row>
      <xdr:rowOff>0</xdr:rowOff>
    </xdr:from>
    <xdr:to>
      <xdr:col>10</xdr:col>
      <xdr:colOff>561975</xdr:colOff>
      <xdr:row>1348</xdr:row>
      <xdr:rowOff>0</xdr:rowOff>
    </xdr:to>
    <xdr:sp>
      <xdr:nvSpPr>
        <xdr:cNvPr id="1870" name="TextBox 1869"/>
        <xdr:cNvSpPr txBox="1"/>
      </xdr:nvSpPr>
      <xdr:spPr>
        <a:xfrm>
          <a:off x="3109595" y="32147319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1401</xdr:row>
      <xdr:rowOff>19050</xdr:rowOff>
    </xdr:from>
    <xdr:to>
      <xdr:col>4</xdr:col>
      <xdr:colOff>219075</xdr:colOff>
      <xdr:row>1406</xdr:row>
      <xdr:rowOff>1751</xdr:rowOff>
    </xdr:to>
    <xdr:pic>
      <xdr:nvPicPr>
        <xdr:cNvPr id="1871" name="Picture 187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3439544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1401</xdr:row>
      <xdr:rowOff>28575</xdr:rowOff>
    </xdr:from>
    <xdr:to>
      <xdr:col>16</xdr:col>
      <xdr:colOff>28575</xdr:colOff>
      <xdr:row>1406</xdr:row>
      <xdr:rowOff>4926</xdr:rowOff>
    </xdr:to>
    <xdr:pic>
      <xdr:nvPicPr>
        <xdr:cNvPr id="1872" name="Picture 187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3344049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1402</xdr:row>
      <xdr:rowOff>85726</xdr:rowOff>
    </xdr:from>
    <xdr:to>
      <xdr:col>13</xdr:col>
      <xdr:colOff>561975</xdr:colOff>
      <xdr:row>1433</xdr:row>
      <xdr:rowOff>66675</xdr:rowOff>
    </xdr:to>
    <xdr:sp>
      <xdr:nvSpPr>
        <xdr:cNvPr id="1873" name="Rectangle 1872"/>
        <xdr:cNvSpPr/>
      </xdr:nvSpPr>
      <xdr:spPr>
        <a:xfrm>
          <a:off x="1016635" y="33465262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1403</xdr:row>
      <xdr:rowOff>0</xdr:rowOff>
    </xdr:from>
    <xdr:to>
      <xdr:col>10</xdr:col>
      <xdr:colOff>561975</xdr:colOff>
      <xdr:row>1404</xdr:row>
      <xdr:rowOff>0</xdr:rowOff>
    </xdr:to>
    <xdr:sp>
      <xdr:nvSpPr>
        <xdr:cNvPr id="1874" name="TextBox 1873"/>
        <xdr:cNvSpPr txBox="1"/>
      </xdr:nvSpPr>
      <xdr:spPr>
        <a:xfrm>
          <a:off x="3109595" y="33484566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1457</xdr:row>
      <xdr:rowOff>19050</xdr:rowOff>
    </xdr:from>
    <xdr:to>
      <xdr:col>4</xdr:col>
      <xdr:colOff>219075</xdr:colOff>
      <xdr:row>1462</xdr:row>
      <xdr:rowOff>1751</xdr:rowOff>
    </xdr:to>
    <xdr:pic>
      <xdr:nvPicPr>
        <xdr:cNvPr id="1875" name="Picture 187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4776791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1457</xdr:row>
      <xdr:rowOff>28575</xdr:rowOff>
    </xdr:from>
    <xdr:to>
      <xdr:col>16</xdr:col>
      <xdr:colOff>28575</xdr:colOff>
      <xdr:row>1462</xdr:row>
      <xdr:rowOff>4926</xdr:rowOff>
    </xdr:to>
    <xdr:pic>
      <xdr:nvPicPr>
        <xdr:cNvPr id="1876" name="Picture 187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34777743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1458</xdr:row>
      <xdr:rowOff>85726</xdr:rowOff>
    </xdr:from>
    <xdr:to>
      <xdr:col>13</xdr:col>
      <xdr:colOff>561975</xdr:colOff>
      <xdr:row>1489</xdr:row>
      <xdr:rowOff>66675</xdr:rowOff>
    </xdr:to>
    <xdr:sp>
      <xdr:nvSpPr>
        <xdr:cNvPr id="1877" name="Rectangle 1876"/>
        <xdr:cNvSpPr/>
      </xdr:nvSpPr>
      <xdr:spPr>
        <a:xfrm>
          <a:off x="1016635" y="34802508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1459</xdr:row>
      <xdr:rowOff>0</xdr:rowOff>
    </xdr:from>
    <xdr:to>
      <xdr:col>10</xdr:col>
      <xdr:colOff>561975</xdr:colOff>
      <xdr:row>1460</xdr:row>
      <xdr:rowOff>0</xdr:rowOff>
    </xdr:to>
    <xdr:sp>
      <xdr:nvSpPr>
        <xdr:cNvPr id="1878" name="TextBox 1877"/>
        <xdr:cNvSpPr txBox="1"/>
      </xdr:nvSpPr>
      <xdr:spPr>
        <a:xfrm>
          <a:off x="3109595" y="34821812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1513</xdr:row>
      <xdr:rowOff>19050</xdr:rowOff>
    </xdr:from>
    <xdr:to>
      <xdr:col>4</xdr:col>
      <xdr:colOff>219075</xdr:colOff>
      <xdr:row>1518</xdr:row>
      <xdr:rowOff>1751</xdr:rowOff>
    </xdr:to>
    <xdr:pic>
      <xdr:nvPicPr>
        <xdr:cNvPr id="1879" name="Picture 18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6114037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1513</xdr:row>
      <xdr:rowOff>28575</xdr:rowOff>
    </xdr:from>
    <xdr:to>
      <xdr:col>16</xdr:col>
      <xdr:colOff>28575</xdr:colOff>
      <xdr:row>1518</xdr:row>
      <xdr:rowOff>4926</xdr:rowOff>
    </xdr:to>
    <xdr:pic>
      <xdr:nvPicPr>
        <xdr:cNvPr id="1880" name="Picture 18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36114990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1514</xdr:row>
      <xdr:rowOff>85726</xdr:rowOff>
    </xdr:from>
    <xdr:to>
      <xdr:col>13</xdr:col>
      <xdr:colOff>561975</xdr:colOff>
      <xdr:row>1545</xdr:row>
      <xdr:rowOff>66675</xdr:rowOff>
    </xdr:to>
    <xdr:sp>
      <xdr:nvSpPr>
        <xdr:cNvPr id="1881" name="Rectangle 1880"/>
        <xdr:cNvSpPr/>
      </xdr:nvSpPr>
      <xdr:spPr>
        <a:xfrm>
          <a:off x="1016635" y="36139755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1515</xdr:row>
      <xdr:rowOff>0</xdr:rowOff>
    </xdr:from>
    <xdr:to>
      <xdr:col>10</xdr:col>
      <xdr:colOff>561975</xdr:colOff>
      <xdr:row>1516</xdr:row>
      <xdr:rowOff>0</xdr:rowOff>
    </xdr:to>
    <xdr:sp>
      <xdr:nvSpPr>
        <xdr:cNvPr id="1882" name="TextBox 1881"/>
        <xdr:cNvSpPr txBox="1"/>
      </xdr:nvSpPr>
      <xdr:spPr>
        <a:xfrm>
          <a:off x="3109595" y="36159059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1569</xdr:row>
      <xdr:rowOff>19050</xdr:rowOff>
    </xdr:from>
    <xdr:to>
      <xdr:col>4</xdr:col>
      <xdr:colOff>219075</xdr:colOff>
      <xdr:row>1574</xdr:row>
      <xdr:rowOff>1751</xdr:rowOff>
    </xdr:to>
    <xdr:pic>
      <xdr:nvPicPr>
        <xdr:cNvPr id="1883" name="Picture 18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7451284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1569</xdr:row>
      <xdr:rowOff>28575</xdr:rowOff>
    </xdr:from>
    <xdr:to>
      <xdr:col>16</xdr:col>
      <xdr:colOff>28575</xdr:colOff>
      <xdr:row>1574</xdr:row>
      <xdr:rowOff>4926</xdr:rowOff>
    </xdr:to>
    <xdr:pic>
      <xdr:nvPicPr>
        <xdr:cNvPr id="1884" name="Picture 18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37452236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1570</xdr:row>
      <xdr:rowOff>85726</xdr:rowOff>
    </xdr:from>
    <xdr:to>
      <xdr:col>13</xdr:col>
      <xdr:colOff>561975</xdr:colOff>
      <xdr:row>1601</xdr:row>
      <xdr:rowOff>66675</xdr:rowOff>
    </xdr:to>
    <xdr:sp>
      <xdr:nvSpPr>
        <xdr:cNvPr id="1885" name="Rectangle 1884"/>
        <xdr:cNvSpPr/>
      </xdr:nvSpPr>
      <xdr:spPr>
        <a:xfrm>
          <a:off x="1016635" y="37477001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1571</xdr:row>
      <xdr:rowOff>0</xdr:rowOff>
    </xdr:from>
    <xdr:to>
      <xdr:col>10</xdr:col>
      <xdr:colOff>561975</xdr:colOff>
      <xdr:row>1572</xdr:row>
      <xdr:rowOff>0</xdr:rowOff>
    </xdr:to>
    <xdr:sp>
      <xdr:nvSpPr>
        <xdr:cNvPr id="1886" name="TextBox 1885"/>
        <xdr:cNvSpPr txBox="1"/>
      </xdr:nvSpPr>
      <xdr:spPr>
        <a:xfrm>
          <a:off x="3109595" y="37496305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1625</xdr:row>
      <xdr:rowOff>19050</xdr:rowOff>
    </xdr:from>
    <xdr:to>
      <xdr:col>4</xdr:col>
      <xdr:colOff>219075</xdr:colOff>
      <xdr:row>1630</xdr:row>
      <xdr:rowOff>1751</xdr:rowOff>
    </xdr:to>
    <xdr:pic>
      <xdr:nvPicPr>
        <xdr:cNvPr id="1887" name="Picture 18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8788530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1625</xdr:row>
      <xdr:rowOff>28575</xdr:rowOff>
    </xdr:from>
    <xdr:to>
      <xdr:col>16</xdr:col>
      <xdr:colOff>28575</xdr:colOff>
      <xdr:row>1630</xdr:row>
      <xdr:rowOff>4926</xdr:rowOff>
    </xdr:to>
    <xdr:pic>
      <xdr:nvPicPr>
        <xdr:cNvPr id="1888" name="Picture 18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38789483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1626</xdr:row>
      <xdr:rowOff>85726</xdr:rowOff>
    </xdr:from>
    <xdr:to>
      <xdr:col>13</xdr:col>
      <xdr:colOff>561975</xdr:colOff>
      <xdr:row>1657</xdr:row>
      <xdr:rowOff>66675</xdr:rowOff>
    </xdr:to>
    <xdr:sp>
      <xdr:nvSpPr>
        <xdr:cNvPr id="1889" name="Rectangle 1888"/>
        <xdr:cNvSpPr/>
      </xdr:nvSpPr>
      <xdr:spPr>
        <a:xfrm>
          <a:off x="1016635" y="38814248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1627</xdr:row>
      <xdr:rowOff>0</xdr:rowOff>
    </xdr:from>
    <xdr:to>
      <xdr:col>10</xdr:col>
      <xdr:colOff>561975</xdr:colOff>
      <xdr:row>1628</xdr:row>
      <xdr:rowOff>0</xdr:rowOff>
    </xdr:to>
    <xdr:sp>
      <xdr:nvSpPr>
        <xdr:cNvPr id="1890" name="TextBox 1889"/>
        <xdr:cNvSpPr txBox="1"/>
      </xdr:nvSpPr>
      <xdr:spPr>
        <a:xfrm>
          <a:off x="3109595" y="38833552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1681</xdr:row>
      <xdr:rowOff>19050</xdr:rowOff>
    </xdr:from>
    <xdr:to>
      <xdr:col>4</xdr:col>
      <xdr:colOff>219075</xdr:colOff>
      <xdr:row>1686</xdr:row>
      <xdr:rowOff>1751</xdr:rowOff>
    </xdr:to>
    <xdr:pic>
      <xdr:nvPicPr>
        <xdr:cNvPr id="1891" name="Picture 18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0125777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1681</xdr:row>
      <xdr:rowOff>28575</xdr:rowOff>
    </xdr:from>
    <xdr:to>
      <xdr:col>16</xdr:col>
      <xdr:colOff>28575</xdr:colOff>
      <xdr:row>1686</xdr:row>
      <xdr:rowOff>4926</xdr:rowOff>
    </xdr:to>
    <xdr:pic>
      <xdr:nvPicPr>
        <xdr:cNvPr id="1892" name="Picture 18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012672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1682</xdr:row>
      <xdr:rowOff>85726</xdr:rowOff>
    </xdr:from>
    <xdr:to>
      <xdr:col>13</xdr:col>
      <xdr:colOff>561975</xdr:colOff>
      <xdr:row>1713</xdr:row>
      <xdr:rowOff>66675</xdr:rowOff>
    </xdr:to>
    <xdr:sp>
      <xdr:nvSpPr>
        <xdr:cNvPr id="1893" name="Rectangle 1892"/>
        <xdr:cNvSpPr/>
      </xdr:nvSpPr>
      <xdr:spPr>
        <a:xfrm>
          <a:off x="1016635" y="40151494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1683</xdr:row>
      <xdr:rowOff>0</xdr:rowOff>
    </xdr:from>
    <xdr:to>
      <xdr:col>10</xdr:col>
      <xdr:colOff>561975</xdr:colOff>
      <xdr:row>1684</xdr:row>
      <xdr:rowOff>0</xdr:rowOff>
    </xdr:to>
    <xdr:sp>
      <xdr:nvSpPr>
        <xdr:cNvPr id="1894" name="TextBox 1893"/>
        <xdr:cNvSpPr txBox="1"/>
      </xdr:nvSpPr>
      <xdr:spPr>
        <a:xfrm>
          <a:off x="3109595" y="40170798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1737</xdr:row>
      <xdr:rowOff>19050</xdr:rowOff>
    </xdr:from>
    <xdr:to>
      <xdr:col>4</xdr:col>
      <xdr:colOff>219075</xdr:colOff>
      <xdr:row>1742</xdr:row>
      <xdr:rowOff>1751</xdr:rowOff>
    </xdr:to>
    <xdr:pic>
      <xdr:nvPicPr>
        <xdr:cNvPr id="1895" name="Picture 18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1463023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1737</xdr:row>
      <xdr:rowOff>28575</xdr:rowOff>
    </xdr:from>
    <xdr:to>
      <xdr:col>16</xdr:col>
      <xdr:colOff>28575</xdr:colOff>
      <xdr:row>1742</xdr:row>
      <xdr:rowOff>4926</xdr:rowOff>
    </xdr:to>
    <xdr:pic>
      <xdr:nvPicPr>
        <xdr:cNvPr id="1896" name="Picture 18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1463976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1738</xdr:row>
      <xdr:rowOff>85726</xdr:rowOff>
    </xdr:from>
    <xdr:to>
      <xdr:col>13</xdr:col>
      <xdr:colOff>561975</xdr:colOff>
      <xdr:row>1769</xdr:row>
      <xdr:rowOff>66675</xdr:rowOff>
    </xdr:to>
    <xdr:sp>
      <xdr:nvSpPr>
        <xdr:cNvPr id="1897" name="Rectangle 1896"/>
        <xdr:cNvSpPr/>
      </xdr:nvSpPr>
      <xdr:spPr>
        <a:xfrm>
          <a:off x="1016635" y="41488741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1739</xdr:row>
      <xdr:rowOff>0</xdr:rowOff>
    </xdr:from>
    <xdr:to>
      <xdr:col>10</xdr:col>
      <xdr:colOff>561975</xdr:colOff>
      <xdr:row>1740</xdr:row>
      <xdr:rowOff>0</xdr:rowOff>
    </xdr:to>
    <xdr:sp>
      <xdr:nvSpPr>
        <xdr:cNvPr id="1898" name="TextBox 1897"/>
        <xdr:cNvSpPr txBox="1"/>
      </xdr:nvSpPr>
      <xdr:spPr>
        <a:xfrm>
          <a:off x="3109595" y="41508045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1793</xdr:row>
      <xdr:rowOff>19050</xdr:rowOff>
    </xdr:from>
    <xdr:to>
      <xdr:col>4</xdr:col>
      <xdr:colOff>219075</xdr:colOff>
      <xdr:row>1798</xdr:row>
      <xdr:rowOff>1751</xdr:rowOff>
    </xdr:to>
    <xdr:pic>
      <xdr:nvPicPr>
        <xdr:cNvPr id="1899" name="Picture 18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2800270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1793</xdr:row>
      <xdr:rowOff>28575</xdr:rowOff>
    </xdr:from>
    <xdr:to>
      <xdr:col>16</xdr:col>
      <xdr:colOff>28575</xdr:colOff>
      <xdr:row>1798</xdr:row>
      <xdr:rowOff>4926</xdr:rowOff>
    </xdr:to>
    <xdr:pic>
      <xdr:nvPicPr>
        <xdr:cNvPr id="1900" name="Picture 18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2801222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1794</xdr:row>
      <xdr:rowOff>85726</xdr:rowOff>
    </xdr:from>
    <xdr:to>
      <xdr:col>13</xdr:col>
      <xdr:colOff>561975</xdr:colOff>
      <xdr:row>1825</xdr:row>
      <xdr:rowOff>66675</xdr:rowOff>
    </xdr:to>
    <xdr:sp>
      <xdr:nvSpPr>
        <xdr:cNvPr id="1901" name="Rectangle 1900"/>
        <xdr:cNvSpPr/>
      </xdr:nvSpPr>
      <xdr:spPr>
        <a:xfrm>
          <a:off x="1016635" y="42825987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1795</xdr:row>
      <xdr:rowOff>0</xdr:rowOff>
    </xdr:from>
    <xdr:to>
      <xdr:col>10</xdr:col>
      <xdr:colOff>561975</xdr:colOff>
      <xdr:row>1796</xdr:row>
      <xdr:rowOff>0</xdr:rowOff>
    </xdr:to>
    <xdr:sp>
      <xdr:nvSpPr>
        <xdr:cNvPr id="1902" name="TextBox 1901"/>
        <xdr:cNvSpPr txBox="1"/>
      </xdr:nvSpPr>
      <xdr:spPr>
        <a:xfrm>
          <a:off x="3109595" y="42845291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1849</xdr:row>
      <xdr:rowOff>19050</xdr:rowOff>
    </xdr:from>
    <xdr:to>
      <xdr:col>4</xdr:col>
      <xdr:colOff>219075</xdr:colOff>
      <xdr:row>1854</xdr:row>
      <xdr:rowOff>1751</xdr:rowOff>
    </xdr:to>
    <xdr:pic>
      <xdr:nvPicPr>
        <xdr:cNvPr id="1903" name="Picture 19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4137516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1849</xdr:row>
      <xdr:rowOff>28575</xdr:rowOff>
    </xdr:from>
    <xdr:to>
      <xdr:col>16</xdr:col>
      <xdr:colOff>28575</xdr:colOff>
      <xdr:row>1854</xdr:row>
      <xdr:rowOff>4926</xdr:rowOff>
    </xdr:to>
    <xdr:pic>
      <xdr:nvPicPr>
        <xdr:cNvPr id="1904" name="Picture 19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4138469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1850</xdr:row>
      <xdr:rowOff>85726</xdr:rowOff>
    </xdr:from>
    <xdr:to>
      <xdr:col>13</xdr:col>
      <xdr:colOff>561975</xdr:colOff>
      <xdr:row>1881</xdr:row>
      <xdr:rowOff>66675</xdr:rowOff>
    </xdr:to>
    <xdr:sp>
      <xdr:nvSpPr>
        <xdr:cNvPr id="1905" name="Rectangle 1904"/>
        <xdr:cNvSpPr/>
      </xdr:nvSpPr>
      <xdr:spPr>
        <a:xfrm>
          <a:off x="1016635" y="44163234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1851</xdr:row>
      <xdr:rowOff>0</xdr:rowOff>
    </xdr:from>
    <xdr:to>
      <xdr:col>10</xdr:col>
      <xdr:colOff>561975</xdr:colOff>
      <xdr:row>1852</xdr:row>
      <xdr:rowOff>0</xdr:rowOff>
    </xdr:to>
    <xdr:sp>
      <xdr:nvSpPr>
        <xdr:cNvPr id="1906" name="TextBox 1905"/>
        <xdr:cNvSpPr txBox="1"/>
      </xdr:nvSpPr>
      <xdr:spPr>
        <a:xfrm>
          <a:off x="3109595" y="44182538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1905</xdr:row>
      <xdr:rowOff>19050</xdr:rowOff>
    </xdr:from>
    <xdr:to>
      <xdr:col>4</xdr:col>
      <xdr:colOff>219075</xdr:colOff>
      <xdr:row>1910</xdr:row>
      <xdr:rowOff>1751</xdr:rowOff>
    </xdr:to>
    <xdr:pic>
      <xdr:nvPicPr>
        <xdr:cNvPr id="1907" name="Picture 19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5474763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1905</xdr:row>
      <xdr:rowOff>28575</xdr:rowOff>
    </xdr:from>
    <xdr:to>
      <xdr:col>16</xdr:col>
      <xdr:colOff>28575</xdr:colOff>
      <xdr:row>1910</xdr:row>
      <xdr:rowOff>4926</xdr:rowOff>
    </xdr:to>
    <xdr:pic>
      <xdr:nvPicPr>
        <xdr:cNvPr id="1908" name="Picture 19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5475715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1906</xdr:row>
      <xdr:rowOff>85726</xdr:rowOff>
    </xdr:from>
    <xdr:to>
      <xdr:col>13</xdr:col>
      <xdr:colOff>561975</xdr:colOff>
      <xdr:row>1937</xdr:row>
      <xdr:rowOff>66675</xdr:rowOff>
    </xdr:to>
    <xdr:sp>
      <xdr:nvSpPr>
        <xdr:cNvPr id="1909" name="Rectangle 1908"/>
        <xdr:cNvSpPr/>
      </xdr:nvSpPr>
      <xdr:spPr>
        <a:xfrm>
          <a:off x="1016635" y="45500480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1907</xdr:row>
      <xdr:rowOff>0</xdr:rowOff>
    </xdr:from>
    <xdr:to>
      <xdr:col>10</xdr:col>
      <xdr:colOff>561975</xdr:colOff>
      <xdr:row>1908</xdr:row>
      <xdr:rowOff>0</xdr:rowOff>
    </xdr:to>
    <xdr:sp>
      <xdr:nvSpPr>
        <xdr:cNvPr id="1910" name="TextBox 1909"/>
        <xdr:cNvSpPr txBox="1"/>
      </xdr:nvSpPr>
      <xdr:spPr>
        <a:xfrm>
          <a:off x="3109595" y="45519784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1961</xdr:row>
      <xdr:rowOff>19050</xdr:rowOff>
    </xdr:from>
    <xdr:to>
      <xdr:col>4</xdr:col>
      <xdr:colOff>219075</xdr:colOff>
      <xdr:row>1966</xdr:row>
      <xdr:rowOff>1751</xdr:rowOff>
    </xdr:to>
    <xdr:pic>
      <xdr:nvPicPr>
        <xdr:cNvPr id="1911" name="Picture 19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6812009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1961</xdr:row>
      <xdr:rowOff>28575</xdr:rowOff>
    </xdr:from>
    <xdr:to>
      <xdr:col>16</xdr:col>
      <xdr:colOff>28575</xdr:colOff>
      <xdr:row>1966</xdr:row>
      <xdr:rowOff>4926</xdr:rowOff>
    </xdr:to>
    <xdr:pic>
      <xdr:nvPicPr>
        <xdr:cNvPr id="1912" name="Picture 19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681296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1962</xdr:row>
      <xdr:rowOff>85726</xdr:rowOff>
    </xdr:from>
    <xdr:to>
      <xdr:col>13</xdr:col>
      <xdr:colOff>561975</xdr:colOff>
      <xdr:row>1993</xdr:row>
      <xdr:rowOff>66675</xdr:rowOff>
    </xdr:to>
    <xdr:sp>
      <xdr:nvSpPr>
        <xdr:cNvPr id="1913" name="Rectangle 1912"/>
        <xdr:cNvSpPr/>
      </xdr:nvSpPr>
      <xdr:spPr>
        <a:xfrm>
          <a:off x="1016635" y="46837727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1963</xdr:row>
      <xdr:rowOff>0</xdr:rowOff>
    </xdr:from>
    <xdr:to>
      <xdr:col>10</xdr:col>
      <xdr:colOff>561975</xdr:colOff>
      <xdr:row>1964</xdr:row>
      <xdr:rowOff>0</xdr:rowOff>
    </xdr:to>
    <xdr:sp>
      <xdr:nvSpPr>
        <xdr:cNvPr id="1914" name="TextBox 1913"/>
        <xdr:cNvSpPr txBox="1"/>
      </xdr:nvSpPr>
      <xdr:spPr>
        <a:xfrm>
          <a:off x="3109595" y="46857031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2017</xdr:row>
      <xdr:rowOff>19050</xdr:rowOff>
    </xdr:from>
    <xdr:to>
      <xdr:col>4</xdr:col>
      <xdr:colOff>219075</xdr:colOff>
      <xdr:row>2022</xdr:row>
      <xdr:rowOff>1751</xdr:rowOff>
    </xdr:to>
    <xdr:pic>
      <xdr:nvPicPr>
        <xdr:cNvPr id="1915" name="Picture 19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8149256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2017</xdr:row>
      <xdr:rowOff>28575</xdr:rowOff>
    </xdr:from>
    <xdr:to>
      <xdr:col>16</xdr:col>
      <xdr:colOff>28575</xdr:colOff>
      <xdr:row>2022</xdr:row>
      <xdr:rowOff>4926</xdr:rowOff>
    </xdr:to>
    <xdr:pic>
      <xdr:nvPicPr>
        <xdr:cNvPr id="1916" name="Picture 19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8150208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2018</xdr:row>
      <xdr:rowOff>85726</xdr:rowOff>
    </xdr:from>
    <xdr:to>
      <xdr:col>13</xdr:col>
      <xdr:colOff>561975</xdr:colOff>
      <xdr:row>2049</xdr:row>
      <xdr:rowOff>66675</xdr:rowOff>
    </xdr:to>
    <xdr:sp>
      <xdr:nvSpPr>
        <xdr:cNvPr id="1917" name="Rectangle 1916"/>
        <xdr:cNvSpPr/>
      </xdr:nvSpPr>
      <xdr:spPr>
        <a:xfrm>
          <a:off x="1016635" y="48174973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2019</xdr:row>
      <xdr:rowOff>0</xdr:rowOff>
    </xdr:from>
    <xdr:to>
      <xdr:col>10</xdr:col>
      <xdr:colOff>561975</xdr:colOff>
      <xdr:row>2020</xdr:row>
      <xdr:rowOff>0</xdr:rowOff>
    </xdr:to>
    <xdr:sp>
      <xdr:nvSpPr>
        <xdr:cNvPr id="1918" name="TextBox 1917"/>
        <xdr:cNvSpPr txBox="1"/>
      </xdr:nvSpPr>
      <xdr:spPr>
        <a:xfrm>
          <a:off x="3109595" y="48194277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2073</xdr:row>
      <xdr:rowOff>19050</xdr:rowOff>
    </xdr:from>
    <xdr:to>
      <xdr:col>4</xdr:col>
      <xdr:colOff>219075</xdr:colOff>
      <xdr:row>2078</xdr:row>
      <xdr:rowOff>1751</xdr:rowOff>
    </xdr:to>
    <xdr:pic>
      <xdr:nvPicPr>
        <xdr:cNvPr id="1919" name="Picture 19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9486502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2073</xdr:row>
      <xdr:rowOff>28575</xdr:rowOff>
    </xdr:from>
    <xdr:to>
      <xdr:col>16</xdr:col>
      <xdr:colOff>28575</xdr:colOff>
      <xdr:row>2078</xdr:row>
      <xdr:rowOff>4926</xdr:rowOff>
    </xdr:to>
    <xdr:pic>
      <xdr:nvPicPr>
        <xdr:cNvPr id="1920" name="Picture 19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49487455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2074</xdr:row>
      <xdr:rowOff>85726</xdr:rowOff>
    </xdr:from>
    <xdr:to>
      <xdr:col>13</xdr:col>
      <xdr:colOff>561975</xdr:colOff>
      <xdr:row>2105</xdr:row>
      <xdr:rowOff>66675</xdr:rowOff>
    </xdr:to>
    <xdr:sp>
      <xdr:nvSpPr>
        <xdr:cNvPr id="1921" name="Rectangle 1920"/>
        <xdr:cNvSpPr/>
      </xdr:nvSpPr>
      <xdr:spPr>
        <a:xfrm>
          <a:off x="1016635" y="49512220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2075</xdr:row>
      <xdr:rowOff>0</xdr:rowOff>
    </xdr:from>
    <xdr:to>
      <xdr:col>10</xdr:col>
      <xdr:colOff>561975</xdr:colOff>
      <xdr:row>2076</xdr:row>
      <xdr:rowOff>0</xdr:rowOff>
    </xdr:to>
    <xdr:sp>
      <xdr:nvSpPr>
        <xdr:cNvPr id="1922" name="TextBox 1921"/>
        <xdr:cNvSpPr txBox="1"/>
      </xdr:nvSpPr>
      <xdr:spPr>
        <a:xfrm>
          <a:off x="3109595" y="49531524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2129</xdr:row>
      <xdr:rowOff>19050</xdr:rowOff>
    </xdr:from>
    <xdr:to>
      <xdr:col>4</xdr:col>
      <xdr:colOff>219075</xdr:colOff>
      <xdr:row>2134</xdr:row>
      <xdr:rowOff>1751</xdr:rowOff>
    </xdr:to>
    <xdr:pic>
      <xdr:nvPicPr>
        <xdr:cNvPr id="1923" name="Picture 19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0823749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2129</xdr:row>
      <xdr:rowOff>28575</xdr:rowOff>
    </xdr:from>
    <xdr:to>
      <xdr:col>16</xdr:col>
      <xdr:colOff>28575</xdr:colOff>
      <xdr:row>2134</xdr:row>
      <xdr:rowOff>4926</xdr:rowOff>
    </xdr:to>
    <xdr:pic>
      <xdr:nvPicPr>
        <xdr:cNvPr id="1924" name="Picture 19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0824701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2130</xdr:row>
      <xdr:rowOff>85726</xdr:rowOff>
    </xdr:from>
    <xdr:to>
      <xdr:col>13</xdr:col>
      <xdr:colOff>561975</xdr:colOff>
      <xdr:row>2161</xdr:row>
      <xdr:rowOff>66675</xdr:rowOff>
    </xdr:to>
    <xdr:sp>
      <xdr:nvSpPr>
        <xdr:cNvPr id="1925" name="Rectangle 1924"/>
        <xdr:cNvSpPr/>
      </xdr:nvSpPr>
      <xdr:spPr>
        <a:xfrm>
          <a:off x="1016635" y="50849466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2131</xdr:row>
      <xdr:rowOff>0</xdr:rowOff>
    </xdr:from>
    <xdr:to>
      <xdr:col>10</xdr:col>
      <xdr:colOff>561975</xdr:colOff>
      <xdr:row>2132</xdr:row>
      <xdr:rowOff>0</xdr:rowOff>
    </xdr:to>
    <xdr:sp>
      <xdr:nvSpPr>
        <xdr:cNvPr id="1926" name="TextBox 1925"/>
        <xdr:cNvSpPr txBox="1"/>
      </xdr:nvSpPr>
      <xdr:spPr>
        <a:xfrm>
          <a:off x="3109595" y="50868770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2185</xdr:row>
      <xdr:rowOff>19050</xdr:rowOff>
    </xdr:from>
    <xdr:to>
      <xdr:col>4</xdr:col>
      <xdr:colOff>219075</xdr:colOff>
      <xdr:row>2190</xdr:row>
      <xdr:rowOff>1751</xdr:rowOff>
    </xdr:to>
    <xdr:pic>
      <xdr:nvPicPr>
        <xdr:cNvPr id="1927" name="Picture 192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2160995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2185</xdr:row>
      <xdr:rowOff>28575</xdr:rowOff>
    </xdr:from>
    <xdr:to>
      <xdr:col>16</xdr:col>
      <xdr:colOff>28575</xdr:colOff>
      <xdr:row>2190</xdr:row>
      <xdr:rowOff>4926</xdr:rowOff>
    </xdr:to>
    <xdr:pic>
      <xdr:nvPicPr>
        <xdr:cNvPr id="1928" name="Picture 19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2161948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2186</xdr:row>
      <xdr:rowOff>85726</xdr:rowOff>
    </xdr:from>
    <xdr:to>
      <xdr:col>13</xdr:col>
      <xdr:colOff>561975</xdr:colOff>
      <xdr:row>2217</xdr:row>
      <xdr:rowOff>66675</xdr:rowOff>
    </xdr:to>
    <xdr:sp>
      <xdr:nvSpPr>
        <xdr:cNvPr id="1929" name="Rectangle 1928"/>
        <xdr:cNvSpPr/>
      </xdr:nvSpPr>
      <xdr:spPr>
        <a:xfrm>
          <a:off x="1016635" y="52186713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2187</xdr:row>
      <xdr:rowOff>0</xdr:rowOff>
    </xdr:from>
    <xdr:to>
      <xdr:col>10</xdr:col>
      <xdr:colOff>561975</xdr:colOff>
      <xdr:row>2188</xdr:row>
      <xdr:rowOff>0</xdr:rowOff>
    </xdr:to>
    <xdr:sp>
      <xdr:nvSpPr>
        <xdr:cNvPr id="1930" name="TextBox 1929"/>
        <xdr:cNvSpPr txBox="1"/>
      </xdr:nvSpPr>
      <xdr:spPr>
        <a:xfrm>
          <a:off x="3109595" y="52206017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2241</xdr:row>
      <xdr:rowOff>19050</xdr:rowOff>
    </xdr:from>
    <xdr:to>
      <xdr:col>4</xdr:col>
      <xdr:colOff>219075</xdr:colOff>
      <xdr:row>2246</xdr:row>
      <xdr:rowOff>1751</xdr:rowOff>
    </xdr:to>
    <xdr:pic>
      <xdr:nvPicPr>
        <xdr:cNvPr id="1931" name="Picture 19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3498242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2241</xdr:row>
      <xdr:rowOff>28575</xdr:rowOff>
    </xdr:from>
    <xdr:to>
      <xdr:col>16</xdr:col>
      <xdr:colOff>28575</xdr:colOff>
      <xdr:row>2246</xdr:row>
      <xdr:rowOff>4926</xdr:rowOff>
    </xdr:to>
    <xdr:pic>
      <xdr:nvPicPr>
        <xdr:cNvPr id="1932" name="Picture 19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349919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2242</xdr:row>
      <xdr:rowOff>85726</xdr:rowOff>
    </xdr:from>
    <xdr:to>
      <xdr:col>13</xdr:col>
      <xdr:colOff>561975</xdr:colOff>
      <xdr:row>2273</xdr:row>
      <xdr:rowOff>66675</xdr:rowOff>
    </xdr:to>
    <xdr:sp>
      <xdr:nvSpPr>
        <xdr:cNvPr id="1933" name="Rectangle 1932"/>
        <xdr:cNvSpPr/>
      </xdr:nvSpPr>
      <xdr:spPr>
        <a:xfrm>
          <a:off x="1016635" y="53523959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2243</xdr:row>
      <xdr:rowOff>0</xdr:rowOff>
    </xdr:from>
    <xdr:to>
      <xdr:col>10</xdr:col>
      <xdr:colOff>561975</xdr:colOff>
      <xdr:row>2244</xdr:row>
      <xdr:rowOff>0</xdr:rowOff>
    </xdr:to>
    <xdr:sp>
      <xdr:nvSpPr>
        <xdr:cNvPr id="1934" name="TextBox 1933"/>
        <xdr:cNvSpPr txBox="1"/>
      </xdr:nvSpPr>
      <xdr:spPr>
        <a:xfrm>
          <a:off x="3109595" y="53543263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2297</xdr:row>
      <xdr:rowOff>19050</xdr:rowOff>
    </xdr:from>
    <xdr:to>
      <xdr:col>4</xdr:col>
      <xdr:colOff>219075</xdr:colOff>
      <xdr:row>2302</xdr:row>
      <xdr:rowOff>1751</xdr:rowOff>
    </xdr:to>
    <xdr:pic>
      <xdr:nvPicPr>
        <xdr:cNvPr id="1935" name="Picture 19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4835488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2297</xdr:row>
      <xdr:rowOff>28575</xdr:rowOff>
    </xdr:from>
    <xdr:to>
      <xdr:col>16</xdr:col>
      <xdr:colOff>28575</xdr:colOff>
      <xdr:row>2302</xdr:row>
      <xdr:rowOff>4926</xdr:rowOff>
    </xdr:to>
    <xdr:pic>
      <xdr:nvPicPr>
        <xdr:cNvPr id="1936" name="Picture 19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4836441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2298</xdr:row>
      <xdr:rowOff>85726</xdr:rowOff>
    </xdr:from>
    <xdr:to>
      <xdr:col>13</xdr:col>
      <xdr:colOff>561975</xdr:colOff>
      <xdr:row>2329</xdr:row>
      <xdr:rowOff>66675</xdr:rowOff>
    </xdr:to>
    <xdr:sp>
      <xdr:nvSpPr>
        <xdr:cNvPr id="1937" name="Rectangle 1936"/>
        <xdr:cNvSpPr/>
      </xdr:nvSpPr>
      <xdr:spPr>
        <a:xfrm>
          <a:off x="1016635" y="54861206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2299</xdr:row>
      <xdr:rowOff>0</xdr:rowOff>
    </xdr:from>
    <xdr:to>
      <xdr:col>10</xdr:col>
      <xdr:colOff>561975</xdr:colOff>
      <xdr:row>2300</xdr:row>
      <xdr:rowOff>0</xdr:rowOff>
    </xdr:to>
    <xdr:sp>
      <xdr:nvSpPr>
        <xdr:cNvPr id="1938" name="TextBox 1937"/>
        <xdr:cNvSpPr txBox="1"/>
      </xdr:nvSpPr>
      <xdr:spPr>
        <a:xfrm>
          <a:off x="3109595" y="54880510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2353</xdr:row>
      <xdr:rowOff>19050</xdr:rowOff>
    </xdr:from>
    <xdr:to>
      <xdr:col>4</xdr:col>
      <xdr:colOff>219075</xdr:colOff>
      <xdr:row>2358</xdr:row>
      <xdr:rowOff>1751</xdr:rowOff>
    </xdr:to>
    <xdr:pic>
      <xdr:nvPicPr>
        <xdr:cNvPr id="1939" name="Picture 19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6172735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2353</xdr:row>
      <xdr:rowOff>28575</xdr:rowOff>
    </xdr:from>
    <xdr:to>
      <xdr:col>16</xdr:col>
      <xdr:colOff>28575</xdr:colOff>
      <xdr:row>2358</xdr:row>
      <xdr:rowOff>4926</xdr:rowOff>
    </xdr:to>
    <xdr:pic>
      <xdr:nvPicPr>
        <xdr:cNvPr id="1940" name="Picture 19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6173687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2354</xdr:row>
      <xdr:rowOff>85726</xdr:rowOff>
    </xdr:from>
    <xdr:to>
      <xdr:col>13</xdr:col>
      <xdr:colOff>561975</xdr:colOff>
      <xdr:row>2385</xdr:row>
      <xdr:rowOff>66675</xdr:rowOff>
    </xdr:to>
    <xdr:sp>
      <xdr:nvSpPr>
        <xdr:cNvPr id="1941" name="Rectangle 1940"/>
        <xdr:cNvSpPr/>
      </xdr:nvSpPr>
      <xdr:spPr>
        <a:xfrm>
          <a:off x="1016635" y="56198452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2355</xdr:row>
      <xdr:rowOff>0</xdr:rowOff>
    </xdr:from>
    <xdr:to>
      <xdr:col>10</xdr:col>
      <xdr:colOff>561975</xdr:colOff>
      <xdr:row>2356</xdr:row>
      <xdr:rowOff>0</xdr:rowOff>
    </xdr:to>
    <xdr:sp>
      <xdr:nvSpPr>
        <xdr:cNvPr id="1942" name="TextBox 1941"/>
        <xdr:cNvSpPr txBox="1"/>
      </xdr:nvSpPr>
      <xdr:spPr>
        <a:xfrm>
          <a:off x="3109595" y="56217756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2409</xdr:row>
      <xdr:rowOff>19050</xdr:rowOff>
    </xdr:from>
    <xdr:to>
      <xdr:col>4</xdr:col>
      <xdr:colOff>219075</xdr:colOff>
      <xdr:row>2414</xdr:row>
      <xdr:rowOff>1751</xdr:rowOff>
    </xdr:to>
    <xdr:pic>
      <xdr:nvPicPr>
        <xdr:cNvPr id="1943" name="Picture 19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7509981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2409</xdr:row>
      <xdr:rowOff>28575</xdr:rowOff>
    </xdr:from>
    <xdr:to>
      <xdr:col>16</xdr:col>
      <xdr:colOff>28575</xdr:colOff>
      <xdr:row>2414</xdr:row>
      <xdr:rowOff>4926</xdr:rowOff>
    </xdr:to>
    <xdr:pic>
      <xdr:nvPicPr>
        <xdr:cNvPr id="1944" name="Picture 19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7510934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2410</xdr:row>
      <xdr:rowOff>85726</xdr:rowOff>
    </xdr:from>
    <xdr:to>
      <xdr:col>13</xdr:col>
      <xdr:colOff>561975</xdr:colOff>
      <xdr:row>2441</xdr:row>
      <xdr:rowOff>66675</xdr:rowOff>
    </xdr:to>
    <xdr:sp>
      <xdr:nvSpPr>
        <xdr:cNvPr id="1945" name="Rectangle 1944"/>
        <xdr:cNvSpPr/>
      </xdr:nvSpPr>
      <xdr:spPr>
        <a:xfrm>
          <a:off x="1016635" y="57535699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2411</xdr:row>
      <xdr:rowOff>0</xdr:rowOff>
    </xdr:from>
    <xdr:to>
      <xdr:col>10</xdr:col>
      <xdr:colOff>561975</xdr:colOff>
      <xdr:row>2412</xdr:row>
      <xdr:rowOff>0</xdr:rowOff>
    </xdr:to>
    <xdr:sp>
      <xdr:nvSpPr>
        <xdr:cNvPr id="1946" name="TextBox 1945"/>
        <xdr:cNvSpPr txBox="1"/>
      </xdr:nvSpPr>
      <xdr:spPr>
        <a:xfrm>
          <a:off x="3109595" y="57555003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2465</xdr:row>
      <xdr:rowOff>19050</xdr:rowOff>
    </xdr:from>
    <xdr:to>
      <xdr:col>4</xdr:col>
      <xdr:colOff>219075</xdr:colOff>
      <xdr:row>2470</xdr:row>
      <xdr:rowOff>1751</xdr:rowOff>
    </xdr:to>
    <xdr:pic>
      <xdr:nvPicPr>
        <xdr:cNvPr id="1947" name="Picture 19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8847228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2465</xdr:row>
      <xdr:rowOff>28575</xdr:rowOff>
    </xdr:from>
    <xdr:to>
      <xdr:col>16</xdr:col>
      <xdr:colOff>28575</xdr:colOff>
      <xdr:row>2470</xdr:row>
      <xdr:rowOff>4926</xdr:rowOff>
    </xdr:to>
    <xdr:pic>
      <xdr:nvPicPr>
        <xdr:cNvPr id="1948" name="Picture 19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58848180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2466</xdr:row>
      <xdr:rowOff>85726</xdr:rowOff>
    </xdr:from>
    <xdr:to>
      <xdr:col>13</xdr:col>
      <xdr:colOff>561975</xdr:colOff>
      <xdr:row>2497</xdr:row>
      <xdr:rowOff>66675</xdr:rowOff>
    </xdr:to>
    <xdr:sp>
      <xdr:nvSpPr>
        <xdr:cNvPr id="1949" name="Rectangle 1948"/>
        <xdr:cNvSpPr/>
      </xdr:nvSpPr>
      <xdr:spPr>
        <a:xfrm>
          <a:off x="1016635" y="58872945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2467</xdr:row>
      <xdr:rowOff>0</xdr:rowOff>
    </xdr:from>
    <xdr:to>
      <xdr:col>10</xdr:col>
      <xdr:colOff>561975</xdr:colOff>
      <xdr:row>2468</xdr:row>
      <xdr:rowOff>0</xdr:rowOff>
    </xdr:to>
    <xdr:sp>
      <xdr:nvSpPr>
        <xdr:cNvPr id="1950" name="TextBox 1949"/>
        <xdr:cNvSpPr txBox="1"/>
      </xdr:nvSpPr>
      <xdr:spPr>
        <a:xfrm>
          <a:off x="3109595" y="58892249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2521</xdr:row>
      <xdr:rowOff>19050</xdr:rowOff>
    </xdr:from>
    <xdr:to>
      <xdr:col>4</xdr:col>
      <xdr:colOff>219075</xdr:colOff>
      <xdr:row>2526</xdr:row>
      <xdr:rowOff>1751</xdr:rowOff>
    </xdr:to>
    <xdr:pic>
      <xdr:nvPicPr>
        <xdr:cNvPr id="1951" name="Picture 19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0184474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2521</xdr:row>
      <xdr:rowOff>28575</xdr:rowOff>
    </xdr:from>
    <xdr:to>
      <xdr:col>16</xdr:col>
      <xdr:colOff>28575</xdr:colOff>
      <xdr:row>2526</xdr:row>
      <xdr:rowOff>4926</xdr:rowOff>
    </xdr:to>
    <xdr:pic>
      <xdr:nvPicPr>
        <xdr:cNvPr id="1952" name="Picture 19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018542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2522</xdr:row>
      <xdr:rowOff>85726</xdr:rowOff>
    </xdr:from>
    <xdr:to>
      <xdr:col>13</xdr:col>
      <xdr:colOff>561975</xdr:colOff>
      <xdr:row>2553</xdr:row>
      <xdr:rowOff>66675</xdr:rowOff>
    </xdr:to>
    <xdr:sp>
      <xdr:nvSpPr>
        <xdr:cNvPr id="1953" name="Rectangle 1952"/>
        <xdr:cNvSpPr/>
      </xdr:nvSpPr>
      <xdr:spPr>
        <a:xfrm>
          <a:off x="1016635" y="60210192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2523</xdr:row>
      <xdr:rowOff>0</xdr:rowOff>
    </xdr:from>
    <xdr:to>
      <xdr:col>10</xdr:col>
      <xdr:colOff>561975</xdr:colOff>
      <xdr:row>2524</xdr:row>
      <xdr:rowOff>0</xdr:rowOff>
    </xdr:to>
    <xdr:sp>
      <xdr:nvSpPr>
        <xdr:cNvPr id="1954" name="TextBox 1953"/>
        <xdr:cNvSpPr txBox="1"/>
      </xdr:nvSpPr>
      <xdr:spPr>
        <a:xfrm>
          <a:off x="3109595" y="60229496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2577</xdr:row>
      <xdr:rowOff>19050</xdr:rowOff>
    </xdr:from>
    <xdr:to>
      <xdr:col>4</xdr:col>
      <xdr:colOff>219075</xdr:colOff>
      <xdr:row>2582</xdr:row>
      <xdr:rowOff>1751</xdr:rowOff>
    </xdr:to>
    <xdr:pic>
      <xdr:nvPicPr>
        <xdr:cNvPr id="1955" name="Picture 19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1521721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2577</xdr:row>
      <xdr:rowOff>28575</xdr:rowOff>
    </xdr:from>
    <xdr:to>
      <xdr:col>16</xdr:col>
      <xdr:colOff>28575</xdr:colOff>
      <xdr:row>2582</xdr:row>
      <xdr:rowOff>4926</xdr:rowOff>
    </xdr:to>
    <xdr:pic>
      <xdr:nvPicPr>
        <xdr:cNvPr id="1956" name="Picture 19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1522673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2578</xdr:row>
      <xdr:rowOff>85726</xdr:rowOff>
    </xdr:from>
    <xdr:to>
      <xdr:col>13</xdr:col>
      <xdr:colOff>561975</xdr:colOff>
      <xdr:row>2609</xdr:row>
      <xdr:rowOff>66675</xdr:rowOff>
    </xdr:to>
    <xdr:sp>
      <xdr:nvSpPr>
        <xdr:cNvPr id="1957" name="Rectangle 1956"/>
        <xdr:cNvSpPr/>
      </xdr:nvSpPr>
      <xdr:spPr>
        <a:xfrm>
          <a:off x="1016635" y="61547438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2579</xdr:row>
      <xdr:rowOff>0</xdr:rowOff>
    </xdr:from>
    <xdr:to>
      <xdr:col>10</xdr:col>
      <xdr:colOff>561975</xdr:colOff>
      <xdr:row>2580</xdr:row>
      <xdr:rowOff>0</xdr:rowOff>
    </xdr:to>
    <xdr:sp>
      <xdr:nvSpPr>
        <xdr:cNvPr id="1958" name="TextBox 1957"/>
        <xdr:cNvSpPr txBox="1"/>
      </xdr:nvSpPr>
      <xdr:spPr>
        <a:xfrm>
          <a:off x="3109595" y="61566742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2633</xdr:row>
      <xdr:rowOff>19050</xdr:rowOff>
    </xdr:from>
    <xdr:to>
      <xdr:col>4</xdr:col>
      <xdr:colOff>219075</xdr:colOff>
      <xdr:row>2638</xdr:row>
      <xdr:rowOff>1751</xdr:rowOff>
    </xdr:to>
    <xdr:pic>
      <xdr:nvPicPr>
        <xdr:cNvPr id="1959" name="Picture 19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2858967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2633</xdr:row>
      <xdr:rowOff>28575</xdr:rowOff>
    </xdr:from>
    <xdr:to>
      <xdr:col>16</xdr:col>
      <xdr:colOff>28575</xdr:colOff>
      <xdr:row>2638</xdr:row>
      <xdr:rowOff>4926</xdr:rowOff>
    </xdr:to>
    <xdr:pic>
      <xdr:nvPicPr>
        <xdr:cNvPr id="1960" name="Picture 19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2859920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2634</xdr:row>
      <xdr:rowOff>85726</xdr:rowOff>
    </xdr:from>
    <xdr:to>
      <xdr:col>13</xdr:col>
      <xdr:colOff>561975</xdr:colOff>
      <xdr:row>2665</xdr:row>
      <xdr:rowOff>66675</xdr:rowOff>
    </xdr:to>
    <xdr:sp>
      <xdr:nvSpPr>
        <xdr:cNvPr id="1961" name="Rectangle 1960"/>
        <xdr:cNvSpPr/>
      </xdr:nvSpPr>
      <xdr:spPr>
        <a:xfrm>
          <a:off x="1016635" y="62884685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2635</xdr:row>
      <xdr:rowOff>0</xdr:rowOff>
    </xdr:from>
    <xdr:to>
      <xdr:col>10</xdr:col>
      <xdr:colOff>561975</xdr:colOff>
      <xdr:row>2636</xdr:row>
      <xdr:rowOff>0</xdr:rowOff>
    </xdr:to>
    <xdr:sp>
      <xdr:nvSpPr>
        <xdr:cNvPr id="1962" name="TextBox 1961"/>
        <xdr:cNvSpPr txBox="1"/>
      </xdr:nvSpPr>
      <xdr:spPr>
        <a:xfrm>
          <a:off x="3109595" y="62903989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2689</xdr:row>
      <xdr:rowOff>19050</xdr:rowOff>
    </xdr:from>
    <xdr:to>
      <xdr:col>4</xdr:col>
      <xdr:colOff>219075</xdr:colOff>
      <xdr:row>2694</xdr:row>
      <xdr:rowOff>1751</xdr:rowOff>
    </xdr:to>
    <xdr:pic>
      <xdr:nvPicPr>
        <xdr:cNvPr id="1963" name="Picture 19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4196214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2689</xdr:row>
      <xdr:rowOff>28575</xdr:rowOff>
    </xdr:from>
    <xdr:to>
      <xdr:col>16</xdr:col>
      <xdr:colOff>28575</xdr:colOff>
      <xdr:row>2694</xdr:row>
      <xdr:rowOff>4926</xdr:rowOff>
    </xdr:to>
    <xdr:pic>
      <xdr:nvPicPr>
        <xdr:cNvPr id="1964" name="Picture 19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4197166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2690</xdr:row>
      <xdr:rowOff>85726</xdr:rowOff>
    </xdr:from>
    <xdr:to>
      <xdr:col>13</xdr:col>
      <xdr:colOff>561975</xdr:colOff>
      <xdr:row>2721</xdr:row>
      <xdr:rowOff>66675</xdr:rowOff>
    </xdr:to>
    <xdr:sp>
      <xdr:nvSpPr>
        <xdr:cNvPr id="1965" name="Rectangle 1964"/>
        <xdr:cNvSpPr/>
      </xdr:nvSpPr>
      <xdr:spPr>
        <a:xfrm>
          <a:off x="1016635" y="64221931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2691</xdr:row>
      <xdr:rowOff>0</xdr:rowOff>
    </xdr:from>
    <xdr:to>
      <xdr:col>10</xdr:col>
      <xdr:colOff>561975</xdr:colOff>
      <xdr:row>2692</xdr:row>
      <xdr:rowOff>0</xdr:rowOff>
    </xdr:to>
    <xdr:sp>
      <xdr:nvSpPr>
        <xdr:cNvPr id="1966" name="TextBox 1965"/>
        <xdr:cNvSpPr txBox="1"/>
      </xdr:nvSpPr>
      <xdr:spPr>
        <a:xfrm>
          <a:off x="3109595" y="64241235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2745</xdr:row>
      <xdr:rowOff>19050</xdr:rowOff>
    </xdr:from>
    <xdr:to>
      <xdr:col>4</xdr:col>
      <xdr:colOff>219075</xdr:colOff>
      <xdr:row>2750</xdr:row>
      <xdr:rowOff>1751</xdr:rowOff>
    </xdr:to>
    <xdr:pic>
      <xdr:nvPicPr>
        <xdr:cNvPr id="1967" name="Picture 19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5533460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2745</xdr:row>
      <xdr:rowOff>28575</xdr:rowOff>
    </xdr:from>
    <xdr:to>
      <xdr:col>16</xdr:col>
      <xdr:colOff>28575</xdr:colOff>
      <xdr:row>2750</xdr:row>
      <xdr:rowOff>4926</xdr:rowOff>
    </xdr:to>
    <xdr:pic>
      <xdr:nvPicPr>
        <xdr:cNvPr id="1968" name="Picture 19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5534413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2746</xdr:row>
      <xdr:rowOff>85726</xdr:rowOff>
    </xdr:from>
    <xdr:to>
      <xdr:col>13</xdr:col>
      <xdr:colOff>561975</xdr:colOff>
      <xdr:row>2777</xdr:row>
      <xdr:rowOff>66675</xdr:rowOff>
    </xdr:to>
    <xdr:sp>
      <xdr:nvSpPr>
        <xdr:cNvPr id="1969" name="Rectangle 1968"/>
        <xdr:cNvSpPr/>
      </xdr:nvSpPr>
      <xdr:spPr>
        <a:xfrm>
          <a:off x="1016635" y="65559178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2747</xdr:row>
      <xdr:rowOff>0</xdr:rowOff>
    </xdr:from>
    <xdr:to>
      <xdr:col>10</xdr:col>
      <xdr:colOff>561975</xdr:colOff>
      <xdr:row>2748</xdr:row>
      <xdr:rowOff>0</xdr:rowOff>
    </xdr:to>
    <xdr:sp>
      <xdr:nvSpPr>
        <xdr:cNvPr id="1970" name="TextBox 1969"/>
        <xdr:cNvSpPr txBox="1"/>
      </xdr:nvSpPr>
      <xdr:spPr>
        <a:xfrm>
          <a:off x="3109595" y="65578482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2801</xdr:row>
      <xdr:rowOff>19050</xdr:rowOff>
    </xdr:from>
    <xdr:to>
      <xdr:col>4</xdr:col>
      <xdr:colOff>219075</xdr:colOff>
      <xdr:row>2806</xdr:row>
      <xdr:rowOff>1751</xdr:rowOff>
    </xdr:to>
    <xdr:pic>
      <xdr:nvPicPr>
        <xdr:cNvPr id="1971" name="Picture 197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6870707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2801</xdr:row>
      <xdr:rowOff>28575</xdr:rowOff>
    </xdr:from>
    <xdr:to>
      <xdr:col>16</xdr:col>
      <xdr:colOff>28575</xdr:colOff>
      <xdr:row>2806</xdr:row>
      <xdr:rowOff>4926</xdr:rowOff>
    </xdr:to>
    <xdr:pic>
      <xdr:nvPicPr>
        <xdr:cNvPr id="1972" name="Picture 197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687165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2802</xdr:row>
      <xdr:rowOff>85726</xdr:rowOff>
    </xdr:from>
    <xdr:to>
      <xdr:col>13</xdr:col>
      <xdr:colOff>561975</xdr:colOff>
      <xdr:row>2833</xdr:row>
      <xdr:rowOff>66675</xdr:rowOff>
    </xdr:to>
    <xdr:sp>
      <xdr:nvSpPr>
        <xdr:cNvPr id="1973" name="Rectangle 1972"/>
        <xdr:cNvSpPr/>
      </xdr:nvSpPr>
      <xdr:spPr>
        <a:xfrm>
          <a:off x="1016635" y="66896424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2803</xdr:row>
      <xdr:rowOff>0</xdr:rowOff>
    </xdr:from>
    <xdr:to>
      <xdr:col>10</xdr:col>
      <xdr:colOff>561975</xdr:colOff>
      <xdr:row>2804</xdr:row>
      <xdr:rowOff>0</xdr:rowOff>
    </xdr:to>
    <xdr:sp>
      <xdr:nvSpPr>
        <xdr:cNvPr id="1974" name="TextBox 1973"/>
        <xdr:cNvSpPr txBox="1"/>
      </xdr:nvSpPr>
      <xdr:spPr>
        <a:xfrm>
          <a:off x="3109595" y="66915728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2857</xdr:row>
      <xdr:rowOff>19050</xdr:rowOff>
    </xdr:from>
    <xdr:to>
      <xdr:col>4</xdr:col>
      <xdr:colOff>219075</xdr:colOff>
      <xdr:row>2862</xdr:row>
      <xdr:rowOff>1751</xdr:rowOff>
    </xdr:to>
    <xdr:pic>
      <xdr:nvPicPr>
        <xdr:cNvPr id="1975" name="Picture 197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8207953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2857</xdr:row>
      <xdr:rowOff>28575</xdr:rowOff>
    </xdr:from>
    <xdr:to>
      <xdr:col>16</xdr:col>
      <xdr:colOff>28575</xdr:colOff>
      <xdr:row>2862</xdr:row>
      <xdr:rowOff>4926</xdr:rowOff>
    </xdr:to>
    <xdr:pic>
      <xdr:nvPicPr>
        <xdr:cNvPr id="1976" name="Picture 197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8208906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2858</xdr:row>
      <xdr:rowOff>85726</xdr:rowOff>
    </xdr:from>
    <xdr:to>
      <xdr:col>13</xdr:col>
      <xdr:colOff>561975</xdr:colOff>
      <xdr:row>2889</xdr:row>
      <xdr:rowOff>66675</xdr:rowOff>
    </xdr:to>
    <xdr:sp>
      <xdr:nvSpPr>
        <xdr:cNvPr id="1977" name="Rectangle 1976"/>
        <xdr:cNvSpPr/>
      </xdr:nvSpPr>
      <xdr:spPr>
        <a:xfrm>
          <a:off x="1016635" y="68233671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2859</xdr:row>
      <xdr:rowOff>0</xdr:rowOff>
    </xdr:from>
    <xdr:to>
      <xdr:col>10</xdr:col>
      <xdr:colOff>561975</xdr:colOff>
      <xdr:row>2860</xdr:row>
      <xdr:rowOff>0</xdr:rowOff>
    </xdr:to>
    <xdr:sp>
      <xdr:nvSpPr>
        <xdr:cNvPr id="1978" name="TextBox 1977"/>
        <xdr:cNvSpPr txBox="1"/>
      </xdr:nvSpPr>
      <xdr:spPr>
        <a:xfrm>
          <a:off x="3109595" y="68252975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2913</xdr:row>
      <xdr:rowOff>19050</xdr:rowOff>
    </xdr:from>
    <xdr:to>
      <xdr:col>4</xdr:col>
      <xdr:colOff>219075</xdr:colOff>
      <xdr:row>2918</xdr:row>
      <xdr:rowOff>1751</xdr:rowOff>
    </xdr:to>
    <xdr:pic>
      <xdr:nvPicPr>
        <xdr:cNvPr id="1979" name="Picture 19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9545200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2913</xdr:row>
      <xdr:rowOff>28575</xdr:rowOff>
    </xdr:from>
    <xdr:to>
      <xdr:col>16</xdr:col>
      <xdr:colOff>28575</xdr:colOff>
      <xdr:row>2918</xdr:row>
      <xdr:rowOff>4926</xdr:rowOff>
    </xdr:to>
    <xdr:pic>
      <xdr:nvPicPr>
        <xdr:cNvPr id="1980" name="Picture 19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69546152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2914</xdr:row>
      <xdr:rowOff>85726</xdr:rowOff>
    </xdr:from>
    <xdr:to>
      <xdr:col>13</xdr:col>
      <xdr:colOff>561975</xdr:colOff>
      <xdr:row>2945</xdr:row>
      <xdr:rowOff>66675</xdr:rowOff>
    </xdr:to>
    <xdr:sp>
      <xdr:nvSpPr>
        <xdr:cNvPr id="1981" name="Rectangle 1980"/>
        <xdr:cNvSpPr/>
      </xdr:nvSpPr>
      <xdr:spPr>
        <a:xfrm>
          <a:off x="1016635" y="69570917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2915</xdr:row>
      <xdr:rowOff>0</xdr:rowOff>
    </xdr:from>
    <xdr:to>
      <xdr:col>10</xdr:col>
      <xdr:colOff>561975</xdr:colOff>
      <xdr:row>2916</xdr:row>
      <xdr:rowOff>0</xdr:rowOff>
    </xdr:to>
    <xdr:sp>
      <xdr:nvSpPr>
        <xdr:cNvPr id="1982" name="TextBox 1981"/>
        <xdr:cNvSpPr txBox="1"/>
      </xdr:nvSpPr>
      <xdr:spPr>
        <a:xfrm>
          <a:off x="3109595" y="69590221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2969</xdr:row>
      <xdr:rowOff>19050</xdr:rowOff>
    </xdr:from>
    <xdr:to>
      <xdr:col>4</xdr:col>
      <xdr:colOff>219075</xdr:colOff>
      <xdr:row>2974</xdr:row>
      <xdr:rowOff>1751</xdr:rowOff>
    </xdr:to>
    <xdr:pic>
      <xdr:nvPicPr>
        <xdr:cNvPr id="1983" name="Picture 19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0882446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2969</xdr:row>
      <xdr:rowOff>28575</xdr:rowOff>
    </xdr:from>
    <xdr:to>
      <xdr:col>16</xdr:col>
      <xdr:colOff>28575</xdr:colOff>
      <xdr:row>2974</xdr:row>
      <xdr:rowOff>4926</xdr:rowOff>
    </xdr:to>
    <xdr:pic>
      <xdr:nvPicPr>
        <xdr:cNvPr id="1984" name="Picture 19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70883399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2970</xdr:row>
      <xdr:rowOff>85726</xdr:rowOff>
    </xdr:from>
    <xdr:to>
      <xdr:col>13</xdr:col>
      <xdr:colOff>561975</xdr:colOff>
      <xdr:row>3001</xdr:row>
      <xdr:rowOff>66675</xdr:rowOff>
    </xdr:to>
    <xdr:sp>
      <xdr:nvSpPr>
        <xdr:cNvPr id="1985" name="Rectangle 1984"/>
        <xdr:cNvSpPr/>
      </xdr:nvSpPr>
      <xdr:spPr>
        <a:xfrm>
          <a:off x="1016635" y="70908164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2971</xdr:row>
      <xdr:rowOff>0</xdr:rowOff>
    </xdr:from>
    <xdr:to>
      <xdr:col>10</xdr:col>
      <xdr:colOff>561975</xdr:colOff>
      <xdr:row>2972</xdr:row>
      <xdr:rowOff>0</xdr:rowOff>
    </xdr:to>
    <xdr:sp>
      <xdr:nvSpPr>
        <xdr:cNvPr id="1986" name="TextBox 1985"/>
        <xdr:cNvSpPr txBox="1"/>
      </xdr:nvSpPr>
      <xdr:spPr>
        <a:xfrm>
          <a:off x="3109595" y="70927468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3025</xdr:row>
      <xdr:rowOff>19050</xdr:rowOff>
    </xdr:from>
    <xdr:to>
      <xdr:col>4</xdr:col>
      <xdr:colOff>219075</xdr:colOff>
      <xdr:row>3030</xdr:row>
      <xdr:rowOff>1751</xdr:rowOff>
    </xdr:to>
    <xdr:pic>
      <xdr:nvPicPr>
        <xdr:cNvPr id="1987" name="Picture 19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2219693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3025</xdr:row>
      <xdr:rowOff>28575</xdr:rowOff>
    </xdr:from>
    <xdr:to>
      <xdr:col>16</xdr:col>
      <xdr:colOff>28575</xdr:colOff>
      <xdr:row>3030</xdr:row>
      <xdr:rowOff>4926</xdr:rowOff>
    </xdr:to>
    <xdr:pic>
      <xdr:nvPicPr>
        <xdr:cNvPr id="1988" name="Picture 19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72220645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3026</xdr:row>
      <xdr:rowOff>85726</xdr:rowOff>
    </xdr:from>
    <xdr:to>
      <xdr:col>13</xdr:col>
      <xdr:colOff>561975</xdr:colOff>
      <xdr:row>3057</xdr:row>
      <xdr:rowOff>66675</xdr:rowOff>
    </xdr:to>
    <xdr:sp>
      <xdr:nvSpPr>
        <xdr:cNvPr id="1989" name="Rectangle 1988"/>
        <xdr:cNvSpPr/>
      </xdr:nvSpPr>
      <xdr:spPr>
        <a:xfrm>
          <a:off x="1016635" y="72245410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3027</xdr:row>
      <xdr:rowOff>0</xdr:rowOff>
    </xdr:from>
    <xdr:to>
      <xdr:col>10</xdr:col>
      <xdr:colOff>561975</xdr:colOff>
      <xdr:row>3028</xdr:row>
      <xdr:rowOff>0</xdr:rowOff>
    </xdr:to>
    <xdr:sp>
      <xdr:nvSpPr>
        <xdr:cNvPr id="1990" name="TextBox 1989"/>
        <xdr:cNvSpPr txBox="1"/>
      </xdr:nvSpPr>
      <xdr:spPr>
        <a:xfrm>
          <a:off x="3109595" y="72264714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3081</xdr:row>
      <xdr:rowOff>19050</xdr:rowOff>
    </xdr:from>
    <xdr:to>
      <xdr:col>4</xdr:col>
      <xdr:colOff>219075</xdr:colOff>
      <xdr:row>3086</xdr:row>
      <xdr:rowOff>1751</xdr:rowOff>
    </xdr:to>
    <xdr:pic>
      <xdr:nvPicPr>
        <xdr:cNvPr id="1991" name="Picture 19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3556939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3081</xdr:row>
      <xdr:rowOff>28575</xdr:rowOff>
    </xdr:from>
    <xdr:to>
      <xdr:col>16</xdr:col>
      <xdr:colOff>28575</xdr:colOff>
      <xdr:row>3086</xdr:row>
      <xdr:rowOff>4926</xdr:rowOff>
    </xdr:to>
    <xdr:pic>
      <xdr:nvPicPr>
        <xdr:cNvPr id="1992" name="Picture 19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7355789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3082</xdr:row>
      <xdr:rowOff>85726</xdr:rowOff>
    </xdr:from>
    <xdr:to>
      <xdr:col>13</xdr:col>
      <xdr:colOff>561975</xdr:colOff>
      <xdr:row>3113</xdr:row>
      <xdr:rowOff>66675</xdr:rowOff>
    </xdr:to>
    <xdr:sp>
      <xdr:nvSpPr>
        <xdr:cNvPr id="1993" name="Rectangle 1992"/>
        <xdr:cNvSpPr/>
      </xdr:nvSpPr>
      <xdr:spPr>
        <a:xfrm>
          <a:off x="1016635" y="73582657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3083</xdr:row>
      <xdr:rowOff>0</xdr:rowOff>
    </xdr:from>
    <xdr:to>
      <xdr:col>10</xdr:col>
      <xdr:colOff>561975</xdr:colOff>
      <xdr:row>3084</xdr:row>
      <xdr:rowOff>0</xdr:rowOff>
    </xdr:to>
    <xdr:sp>
      <xdr:nvSpPr>
        <xdr:cNvPr id="1994" name="TextBox 1993"/>
        <xdr:cNvSpPr txBox="1"/>
      </xdr:nvSpPr>
      <xdr:spPr>
        <a:xfrm>
          <a:off x="3109595" y="73601961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3137</xdr:row>
      <xdr:rowOff>19050</xdr:rowOff>
    </xdr:from>
    <xdr:to>
      <xdr:col>4</xdr:col>
      <xdr:colOff>219075</xdr:colOff>
      <xdr:row>3142</xdr:row>
      <xdr:rowOff>1751</xdr:rowOff>
    </xdr:to>
    <xdr:pic>
      <xdr:nvPicPr>
        <xdr:cNvPr id="1995" name="Picture 19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4894186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3137</xdr:row>
      <xdr:rowOff>28575</xdr:rowOff>
    </xdr:from>
    <xdr:to>
      <xdr:col>16</xdr:col>
      <xdr:colOff>28575</xdr:colOff>
      <xdr:row>3142</xdr:row>
      <xdr:rowOff>4926</xdr:rowOff>
    </xdr:to>
    <xdr:pic>
      <xdr:nvPicPr>
        <xdr:cNvPr id="1996" name="Picture 19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74895138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3138</xdr:row>
      <xdr:rowOff>85726</xdr:rowOff>
    </xdr:from>
    <xdr:to>
      <xdr:col>13</xdr:col>
      <xdr:colOff>561975</xdr:colOff>
      <xdr:row>3169</xdr:row>
      <xdr:rowOff>66675</xdr:rowOff>
    </xdr:to>
    <xdr:sp>
      <xdr:nvSpPr>
        <xdr:cNvPr id="1997" name="Rectangle 1996"/>
        <xdr:cNvSpPr/>
      </xdr:nvSpPr>
      <xdr:spPr>
        <a:xfrm>
          <a:off x="1016635" y="74919903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3139</xdr:row>
      <xdr:rowOff>0</xdr:rowOff>
    </xdr:from>
    <xdr:to>
      <xdr:col>10</xdr:col>
      <xdr:colOff>561975</xdr:colOff>
      <xdr:row>3140</xdr:row>
      <xdr:rowOff>0</xdr:rowOff>
    </xdr:to>
    <xdr:sp>
      <xdr:nvSpPr>
        <xdr:cNvPr id="1998" name="TextBox 1997"/>
        <xdr:cNvSpPr txBox="1"/>
      </xdr:nvSpPr>
      <xdr:spPr>
        <a:xfrm>
          <a:off x="3109595" y="74939207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3193</xdr:row>
      <xdr:rowOff>19050</xdr:rowOff>
    </xdr:from>
    <xdr:to>
      <xdr:col>4</xdr:col>
      <xdr:colOff>219075</xdr:colOff>
      <xdr:row>3198</xdr:row>
      <xdr:rowOff>1751</xdr:rowOff>
    </xdr:to>
    <xdr:pic>
      <xdr:nvPicPr>
        <xdr:cNvPr id="1999" name="Picture 19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6231432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3193</xdr:row>
      <xdr:rowOff>28575</xdr:rowOff>
    </xdr:from>
    <xdr:to>
      <xdr:col>16</xdr:col>
      <xdr:colOff>28575</xdr:colOff>
      <xdr:row>3198</xdr:row>
      <xdr:rowOff>4926</xdr:rowOff>
    </xdr:to>
    <xdr:pic>
      <xdr:nvPicPr>
        <xdr:cNvPr id="2000" name="Picture 19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76232385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3194</xdr:row>
      <xdr:rowOff>85726</xdr:rowOff>
    </xdr:from>
    <xdr:to>
      <xdr:col>13</xdr:col>
      <xdr:colOff>561975</xdr:colOff>
      <xdr:row>3225</xdr:row>
      <xdr:rowOff>66675</xdr:rowOff>
    </xdr:to>
    <xdr:sp>
      <xdr:nvSpPr>
        <xdr:cNvPr id="2001" name="Rectangle 2000"/>
        <xdr:cNvSpPr/>
      </xdr:nvSpPr>
      <xdr:spPr>
        <a:xfrm>
          <a:off x="1016635" y="76257150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3195</xdr:row>
      <xdr:rowOff>0</xdr:rowOff>
    </xdr:from>
    <xdr:to>
      <xdr:col>10</xdr:col>
      <xdr:colOff>561975</xdr:colOff>
      <xdr:row>3196</xdr:row>
      <xdr:rowOff>0</xdr:rowOff>
    </xdr:to>
    <xdr:sp>
      <xdr:nvSpPr>
        <xdr:cNvPr id="2002" name="TextBox 2001"/>
        <xdr:cNvSpPr txBox="1"/>
      </xdr:nvSpPr>
      <xdr:spPr>
        <a:xfrm>
          <a:off x="3109595" y="76276454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3249</xdr:row>
      <xdr:rowOff>19050</xdr:rowOff>
    </xdr:from>
    <xdr:to>
      <xdr:col>4</xdr:col>
      <xdr:colOff>219075</xdr:colOff>
      <xdr:row>3254</xdr:row>
      <xdr:rowOff>1751</xdr:rowOff>
    </xdr:to>
    <xdr:pic>
      <xdr:nvPicPr>
        <xdr:cNvPr id="2003" name="Picture 20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7568679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3249</xdr:row>
      <xdr:rowOff>28575</xdr:rowOff>
    </xdr:from>
    <xdr:to>
      <xdr:col>16</xdr:col>
      <xdr:colOff>28575</xdr:colOff>
      <xdr:row>3254</xdr:row>
      <xdr:rowOff>4926</xdr:rowOff>
    </xdr:to>
    <xdr:pic>
      <xdr:nvPicPr>
        <xdr:cNvPr id="2004" name="Picture 20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77569631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3250</xdr:row>
      <xdr:rowOff>85726</xdr:rowOff>
    </xdr:from>
    <xdr:to>
      <xdr:col>13</xdr:col>
      <xdr:colOff>561975</xdr:colOff>
      <xdr:row>3281</xdr:row>
      <xdr:rowOff>66675</xdr:rowOff>
    </xdr:to>
    <xdr:sp>
      <xdr:nvSpPr>
        <xdr:cNvPr id="2005" name="Rectangle 2004"/>
        <xdr:cNvSpPr/>
      </xdr:nvSpPr>
      <xdr:spPr>
        <a:xfrm>
          <a:off x="1016635" y="77594396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3251</xdr:row>
      <xdr:rowOff>0</xdr:rowOff>
    </xdr:from>
    <xdr:to>
      <xdr:col>10</xdr:col>
      <xdr:colOff>561975</xdr:colOff>
      <xdr:row>3252</xdr:row>
      <xdr:rowOff>0</xdr:rowOff>
    </xdr:to>
    <xdr:sp>
      <xdr:nvSpPr>
        <xdr:cNvPr id="2006" name="TextBox 2005"/>
        <xdr:cNvSpPr txBox="1"/>
      </xdr:nvSpPr>
      <xdr:spPr>
        <a:xfrm>
          <a:off x="3109595" y="77613700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3305</xdr:row>
      <xdr:rowOff>19050</xdr:rowOff>
    </xdr:from>
    <xdr:to>
      <xdr:col>4</xdr:col>
      <xdr:colOff>219075</xdr:colOff>
      <xdr:row>3310</xdr:row>
      <xdr:rowOff>1751</xdr:rowOff>
    </xdr:to>
    <xdr:pic>
      <xdr:nvPicPr>
        <xdr:cNvPr id="2007" name="Picture 20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8905925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3305</xdr:row>
      <xdr:rowOff>28575</xdr:rowOff>
    </xdr:from>
    <xdr:to>
      <xdr:col>16</xdr:col>
      <xdr:colOff>28575</xdr:colOff>
      <xdr:row>3310</xdr:row>
      <xdr:rowOff>4926</xdr:rowOff>
    </xdr:to>
    <xdr:pic>
      <xdr:nvPicPr>
        <xdr:cNvPr id="2008" name="Picture 20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78906878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3306</xdr:row>
      <xdr:rowOff>85726</xdr:rowOff>
    </xdr:from>
    <xdr:to>
      <xdr:col>13</xdr:col>
      <xdr:colOff>561975</xdr:colOff>
      <xdr:row>3337</xdr:row>
      <xdr:rowOff>66675</xdr:rowOff>
    </xdr:to>
    <xdr:sp>
      <xdr:nvSpPr>
        <xdr:cNvPr id="2009" name="Rectangle 2008"/>
        <xdr:cNvSpPr/>
      </xdr:nvSpPr>
      <xdr:spPr>
        <a:xfrm>
          <a:off x="1016635" y="78931643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3307</xdr:row>
      <xdr:rowOff>0</xdr:rowOff>
    </xdr:from>
    <xdr:to>
      <xdr:col>10</xdr:col>
      <xdr:colOff>561975</xdr:colOff>
      <xdr:row>3308</xdr:row>
      <xdr:rowOff>0</xdr:rowOff>
    </xdr:to>
    <xdr:sp>
      <xdr:nvSpPr>
        <xdr:cNvPr id="2010" name="TextBox 2009"/>
        <xdr:cNvSpPr txBox="1"/>
      </xdr:nvSpPr>
      <xdr:spPr>
        <a:xfrm>
          <a:off x="3109595" y="78950947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3361</xdr:row>
      <xdr:rowOff>19050</xdr:rowOff>
    </xdr:from>
    <xdr:to>
      <xdr:col>4</xdr:col>
      <xdr:colOff>219075</xdr:colOff>
      <xdr:row>3366</xdr:row>
      <xdr:rowOff>1751</xdr:rowOff>
    </xdr:to>
    <xdr:pic>
      <xdr:nvPicPr>
        <xdr:cNvPr id="2011" name="Picture 20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0243172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3361</xdr:row>
      <xdr:rowOff>28575</xdr:rowOff>
    </xdr:from>
    <xdr:to>
      <xdr:col>16</xdr:col>
      <xdr:colOff>28575</xdr:colOff>
      <xdr:row>3366</xdr:row>
      <xdr:rowOff>4926</xdr:rowOff>
    </xdr:to>
    <xdr:pic>
      <xdr:nvPicPr>
        <xdr:cNvPr id="2012" name="Picture 20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024412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3362</xdr:row>
      <xdr:rowOff>85726</xdr:rowOff>
    </xdr:from>
    <xdr:to>
      <xdr:col>13</xdr:col>
      <xdr:colOff>561975</xdr:colOff>
      <xdr:row>3393</xdr:row>
      <xdr:rowOff>66675</xdr:rowOff>
    </xdr:to>
    <xdr:sp>
      <xdr:nvSpPr>
        <xdr:cNvPr id="2013" name="Rectangle 2012"/>
        <xdr:cNvSpPr/>
      </xdr:nvSpPr>
      <xdr:spPr>
        <a:xfrm>
          <a:off x="1016635" y="80268889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3363</xdr:row>
      <xdr:rowOff>0</xdr:rowOff>
    </xdr:from>
    <xdr:to>
      <xdr:col>10</xdr:col>
      <xdr:colOff>561975</xdr:colOff>
      <xdr:row>3364</xdr:row>
      <xdr:rowOff>0</xdr:rowOff>
    </xdr:to>
    <xdr:sp>
      <xdr:nvSpPr>
        <xdr:cNvPr id="2014" name="TextBox 2013"/>
        <xdr:cNvSpPr txBox="1"/>
      </xdr:nvSpPr>
      <xdr:spPr>
        <a:xfrm>
          <a:off x="3109595" y="80288193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3417</xdr:row>
      <xdr:rowOff>19050</xdr:rowOff>
    </xdr:from>
    <xdr:to>
      <xdr:col>4</xdr:col>
      <xdr:colOff>219075</xdr:colOff>
      <xdr:row>3422</xdr:row>
      <xdr:rowOff>1751</xdr:rowOff>
    </xdr:to>
    <xdr:pic>
      <xdr:nvPicPr>
        <xdr:cNvPr id="2015" name="Picture 20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1580418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3417</xdr:row>
      <xdr:rowOff>28575</xdr:rowOff>
    </xdr:from>
    <xdr:to>
      <xdr:col>16</xdr:col>
      <xdr:colOff>28575</xdr:colOff>
      <xdr:row>3422</xdr:row>
      <xdr:rowOff>4926</xdr:rowOff>
    </xdr:to>
    <xdr:pic>
      <xdr:nvPicPr>
        <xdr:cNvPr id="2016" name="Picture 20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1581371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3418</xdr:row>
      <xdr:rowOff>85726</xdr:rowOff>
    </xdr:from>
    <xdr:to>
      <xdr:col>13</xdr:col>
      <xdr:colOff>561975</xdr:colOff>
      <xdr:row>3449</xdr:row>
      <xdr:rowOff>66675</xdr:rowOff>
    </xdr:to>
    <xdr:sp>
      <xdr:nvSpPr>
        <xdr:cNvPr id="2017" name="Rectangle 2016"/>
        <xdr:cNvSpPr/>
      </xdr:nvSpPr>
      <xdr:spPr>
        <a:xfrm>
          <a:off x="1016635" y="81606136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3419</xdr:row>
      <xdr:rowOff>0</xdr:rowOff>
    </xdr:from>
    <xdr:to>
      <xdr:col>10</xdr:col>
      <xdr:colOff>561975</xdr:colOff>
      <xdr:row>3420</xdr:row>
      <xdr:rowOff>0</xdr:rowOff>
    </xdr:to>
    <xdr:sp>
      <xdr:nvSpPr>
        <xdr:cNvPr id="2018" name="TextBox 2017"/>
        <xdr:cNvSpPr txBox="1"/>
      </xdr:nvSpPr>
      <xdr:spPr>
        <a:xfrm>
          <a:off x="3109595" y="81625440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3473</xdr:row>
      <xdr:rowOff>19050</xdr:rowOff>
    </xdr:from>
    <xdr:to>
      <xdr:col>4</xdr:col>
      <xdr:colOff>219075</xdr:colOff>
      <xdr:row>3478</xdr:row>
      <xdr:rowOff>1751</xdr:rowOff>
    </xdr:to>
    <xdr:pic>
      <xdr:nvPicPr>
        <xdr:cNvPr id="2019" name="Picture 20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2917665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3473</xdr:row>
      <xdr:rowOff>28575</xdr:rowOff>
    </xdr:from>
    <xdr:to>
      <xdr:col>16</xdr:col>
      <xdr:colOff>28575</xdr:colOff>
      <xdr:row>3478</xdr:row>
      <xdr:rowOff>4926</xdr:rowOff>
    </xdr:to>
    <xdr:pic>
      <xdr:nvPicPr>
        <xdr:cNvPr id="2020" name="Picture 20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2918617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3474</xdr:row>
      <xdr:rowOff>85726</xdr:rowOff>
    </xdr:from>
    <xdr:to>
      <xdr:col>13</xdr:col>
      <xdr:colOff>561975</xdr:colOff>
      <xdr:row>3505</xdr:row>
      <xdr:rowOff>66675</xdr:rowOff>
    </xdr:to>
    <xdr:sp>
      <xdr:nvSpPr>
        <xdr:cNvPr id="2021" name="Rectangle 2020"/>
        <xdr:cNvSpPr/>
      </xdr:nvSpPr>
      <xdr:spPr>
        <a:xfrm>
          <a:off x="1016635" y="82943382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3475</xdr:row>
      <xdr:rowOff>0</xdr:rowOff>
    </xdr:from>
    <xdr:to>
      <xdr:col>10</xdr:col>
      <xdr:colOff>561975</xdr:colOff>
      <xdr:row>3476</xdr:row>
      <xdr:rowOff>0</xdr:rowOff>
    </xdr:to>
    <xdr:sp>
      <xdr:nvSpPr>
        <xdr:cNvPr id="2022" name="TextBox 2021"/>
        <xdr:cNvSpPr txBox="1"/>
      </xdr:nvSpPr>
      <xdr:spPr>
        <a:xfrm>
          <a:off x="3109595" y="82962686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3529</xdr:row>
      <xdr:rowOff>19050</xdr:rowOff>
    </xdr:from>
    <xdr:to>
      <xdr:col>4</xdr:col>
      <xdr:colOff>219075</xdr:colOff>
      <xdr:row>3534</xdr:row>
      <xdr:rowOff>1751</xdr:rowOff>
    </xdr:to>
    <xdr:pic>
      <xdr:nvPicPr>
        <xdr:cNvPr id="2023" name="Picture 20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4254911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3529</xdr:row>
      <xdr:rowOff>28575</xdr:rowOff>
    </xdr:from>
    <xdr:to>
      <xdr:col>16</xdr:col>
      <xdr:colOff>28575</xdr:colOff>
      <xdr:row>3534</xdr:row>
      <xdr:rowOff>4926</xdr:rowOff>
    </xdr:to>
    <xdr:pic>
      <xdr:nvPicPr>
        <xdr:cNvPr id="2024" name="Picture 20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4255864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3530</xdr:row>
      <xdr:rowOff>85726</xdr:rowOff>
    </xdr:from>
    <xdr:to>
      <xdr:col>13</xdr:col>
      <xdr:colOff>561975</xdr:colOff>
      <xdr:row>3561</xdr:row>
      <xdr:rowOff>66675</xdr:rowOff>
    </xdr:to>
    <xdr:sp>
      <xdr:nvSpPr>
        <xdr:cNvPr id="2025" name="Rectangle 2024"/>
        <xdr:cNvSpPr/>
      </xdr:nvSpPr>
      <xdr:spPr>
        <a:xfrm>
          <a:off x="1016635" y="84280629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3531</xdr:row>
      <xdr:rowOff>0</xdr:rowOff>
    </xdr:from>
    <xdr:to>
      <xdr:col>10</xdr:col>
      <xdr:colOff>561975</xdr:colOff>
      <xdr:row>3532</xdr:row>
      <xdr:rowOff>0</xdr:rowOff>
    </xdr:to>
    <xdr:sp>
      <xdr:nvSpPr>
        <xdr:cNvPr id="2026" name="TextBox 2025"/>
        <xdr:cNvSpPr txBox="1"/>
      </xdr:nvSpPr>
      <xdr:spPr>
        <a:xfrm>
          <a:off x="3109595" y="84299933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3585</xdr:row>
      <xdr:rowOff>19050</xdr:rowOff>
    </xdr:from>
    <xdr:to>
      <xdr:col>4</xdr:col>
      <xdr:colOff>219075</xdr:colOff>
      <xdr:row>3590</xdr:row>
      <xdr:rowOff>1751</xdr:rowOff>
    </xdr:to>
    <xdr:pic>
      <xdr:nvPicPr>
        <xdr:cNvPr id="2027" name="Picture 202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5592158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3585</xdr:row>
      <xdr:rowOff>28575</xdr:rowOff>
    </xdr:from>
    <xdr:to>
      <xdr:col>16</xdr:col>
      <xdr:colOff>28575</xdr:colOff>
      <xdr:row>3590</xdr:row>
      <xdr:rowOff>4926</xdr:rowOff>
    </xdr:to>
    <xdr:pic>
      <xdr:nvPicPr>
        <xdr:cNvPr id="2028" name="Picture 20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5593110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3586</xdr:row>
      <xdr:rowOff>85726</xdr:rowOff>
    </xdr:from>
    <xdr:to>
      <xdr:col>13</xdr:col>
      <xdr:colOff>561975</xdr:colOff>
      <xdr:row>3617</xdr:row>
      <xdr:rowOff>66675</xdr:rowOff>
    </xdr:to>
    <xdr:sp>
      <xdr:nvSpPr>
        <xdr:cNvPr id="2029" name="Rectangle 2028"/>
        <xdr:cNvSpPr/>
      </xdr:nvSpPr>
      <xdr:spPr>
        <a:xfrm>
          <a:off x="1016635" y="85617875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3587</xdr:row>
      <xdr:rowOff>0</xdr:rowOff>
    </xdr:from>
    <xdr:to>
      <xdr:col>10</xdr:col>
      <xdr:colOff>561975</xdr:colOff>
      <xdr:row>3588</xdr:row>
      <xdr:rowOff>0</xdr:rowOff>
    </xdr:to>
    <xdr:sp>
      <xdr:nvSpPr>
        <xdr:cNvPr id="2030" name="TextBox 2029"/>
        <xdr:cNvSpPr txBox="1"/>
      </xdr:nvSpPr>
      <xdr:spPr>
        <a:xfrm>
          <a:off x="3109595" y="85637179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3641</xdr:row>
      <xdr:rowOff>19050</xdr:rowOff>
    </xdr:from>
    <xdr:to>
      <xdr:col>4</xdr:col>
      <xdr:colOff>219075</xdr:colOff>
      <xdr:row>3646</xdr:row>
      <xdr:rowOff>1751</xdr:rowOff>
    </xdr:to>
    <xdr:pic>
      <xdr:nvPicPr>
        <xdr:cNvPr id="2031" name="Picture 20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6929404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3641</xdr:row>
      <xdr:rowOff>28575</xdr:rowOff>
    </xdr:from>
    <xdr:to>
      <xdr:col>16</xdr:col>
      <xdr:colOff>28575</xdr:colOff>
      <xdr:row>3646</xdr:row>
      <xdr:rowOff>4926</xdr:rowOff>
    </xdr:to>
    <xdr:pic>
      <xdr:nvPicPr>
        <xdr:cNvPr id="2032" name="Picture 20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693035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3642</xdr:row>
      <xdr:rowOff>85726</xdr:rowOff>
    </xdr:from>
    <xdr:to>
      <xdr:col>13</xdr:col>
      <xdr:colOff>561975</xdr:colOff>
      <xdr:row>3673</xdr:row>
      <xdr:rowOff>66675</xdr:rowOff>
    </xdr:to>
    <xdr:sp>
      <xdr:nvSpPr>
        <xdr:cNvPr id="2033" name="Rectangle 2032"/>
        <xdr:cNvSpPr/>
      </xdr:nvSpPr>
      <xdr:spPr>
        <a:xfrm>
          <a:off x="1016635" y="86955122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3643</xdr:row>
      <xdr:rowOff>0</xdr:rowOff>
    </xdr:from>
    <xdr:to>
      <xdr:col>10</xdr:col>
      <xdr:colOff>561975</xdr:colOff>
      <xdr:row>3644</xdr:row>
      <xdr:rowOff>0</xdr:rowOff>
    </xdr:to>
    <xdr:sp>
      <xdr:nvSpPr>
        <xdr:cNvPr id="2034" name="TextBox 2033"/>
        <xdr:cNvSpPr txBox="1"/>
      </xdr:nvSpPr>
      <xdr:spPr>
        <a:xfrm>
          <a:off x="3109595" y="86974426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3697</xdr:row>
      <xdr:rowOff>19050</xdr:rowOff>
    </xdr:from>
    <xdr:to>
      <xdr:col>4</xdr:col>
      <xdr:colOff>219075</xdr:colOff>
      <xdr:row>3702</xdr:row>
      <xdr:rowOff>1751</xdr:rowOff>
    </xdr:to>
    <xdr:pic>
      <xdr:nvPicPr>
        <xdr:cNvPr id="2035" name="Picture 20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8266651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3697</xdr:row>
      <xdr:rowOff>28575</xdr:rowOff>
    </xdr:from>
    <xdr:to>
      <xdr:col>16</xdr:col>
      <xdr:colOff>28575</xdr:colOff>
      <xdr:row>3702</xdr:row>
      <xdr:rowOff>4926</xdr:rowOff>
    </xdr:to>
    <xdr:pic>
      <xdr:nvPicPr>
        <xdr:cNvPr id="2036" name="Picture 20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8267603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3698</xdr:row>
      <xdr:rowOff>85726</xdr:rowOff>
    </xdr:from>
    <xdr:to>
      <xdr:col>13</xdr:col>
      <xdr:colOff>561975</xdr:colOff>
      <xdr:row>3729</xdr:row>
      <xdr:rowOff>66675</xdr:rowOff>
    </xdr:to>
    <xdr:sp>
      <xdr:nvSpPr>
        <xdr:cNvPr id="2037" name="Rectangle 2036"/>
        <xdr:cNvSpPr/>
      </xdr:nvSpPr>
      <xdr:spPr>
        <a:xfrm>
          <a:off x="1016635" y="88292368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3699</xdr:row>
      <xdr:rowOff>0</xdr:rowOff>
    </xdr:from>
    <xdr:to>
      <xdr:col>10</xdr:col>
      <xdr:colOff>561975</xdr:colOff>
      <xdr:row>3700</xdr:row>
      <xdr:rowOff>0</xdr:rowOff>
    </xdr:to>
    <xdr:sp>
      <xdr:nvSpPr>
        <xdr:cNvPr id="2038" name="TextBox 2037"/>
        <xdr:cNvSpPr txBox="1"/>
      </xdr:nvSpPr>
      <xdr:spPr>
        <a:xfrm>
          <a:off x="3109595" y="88311672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3753</xdr:row>
      <xdr:rowOff>19050</xdr:rowOff>
    </xdr:from>
    <xdr:to>
      <xdr:col>4</xdr:col>
      <xdr:colOff>219075</xdr:colOff>
      <xdr:row>3758</xdr:row>
      <xdr:rowOff>1751</xdr:rowOff>
    </xdr:to>
    <xdr:pic>
      <xdr:nvPicPr>
        <xdr:cNvPr id="2039" name="Picture 20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9603897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3753</xdr:row>
      <xdr:rowOff>28575</xdr:rowOff>
    </xdr:from>
    <xdr:to>
      <xdr:col>16</xdr:col>
      <xdr:colOff>28575</xdr:colOff>
      <xdr:row>3758</xdr:row>
      <xdr:rowOff>4926</xdr:rowOff>
    </xdr:to>
    <xdr:pic>
      <xdr:nvPicPr>
        <xdr:cNvPr id="2040" name="Picture 20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89604850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3754</xdr:row>
      <xdr:rowOff>85726</xdr:rowOff>
    </xdr:from>
    <xdr:to>
      <xdr:col>13</xdr:col>
      <xdr:colOff>561975</xdr:colOff>
      <xdr:row>3785</xdr:row>
      <xdr:rowOff>66675</xdr:rowOff>
    </xdr:to>
    <xdr:sp>
      <xdr:nvSpPr>
        <xdr:cNvPr id="2041" name="Rectangle 2040"/>
        <xdr:cNvSpPr/>
      </xdr:nvSpPr>
      <xdr:spPr>
        <a:xfrm>
          <a:off x="1016635" y="89629615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3755</xdr:row>
      <xdr:rowOff>0</xdr:rowOff>
    </xdr:from>
    <xdr:to>
      <xdr:col>10</xdr:col>
      <xdr:colOff>561975</xdr:colOff>
      <xdr:row>3756</xdr:row>
      <xdr:rowOff>0</xdr:rowOff>
    </xdr:to>
    <xdr:sp>
      <xdr:nvSpPr>
        <xdr:cNvPr id="2042" name="TextBox 2041"/>
        <xdr:cNvSpPr txBox="1"/>
      </xdr:nvSpPr>
      <xdr:spPr>
        <a:xfrm>
          <a:off x="3109595" y="89648919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3809</xdr:row>
      <xdr:rowOff>19050</xdr:rowOff>
    </xdr:from>
    <xdr:to>
      <xdr:col>4</xdr:col>
      <xdr:colOff>219075</xdr:colOff>
      <xdr:row>3814</xdr:row>
      <xdr:rowOff>1751</xdr:rowOff>
    </xdr:to>
    <xdr:pic>
      <xdr:nvPicPr>
        <xdr:cNvPr id="2043" name="Picture 20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0941144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3809</xdr:row>
      <xdr:rowOff>28575</xdr:rowOff>
    </xdr:from>
    <xdr:to>
      <xdr:col>16</xdr:col>
      <xdr:colOff>28575</xdr:colOff>
      <xdr:row>3814</xdr:row>
      <xdr:rowOff>4926</xdr:rowOff>
    </xdr:to>
    <xdr:pic>
      <xdr:nvPicPr>
        <xdr:cNvPr id="2044" name="Picture 20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0942096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3810</xdr:row>
      <xdr:rowOff>85726</xdr:rowOff>
    </xdr:from>
    <xdr:to>
      <xdr:col>13</xdr:col>
      <xdr:colOff>561975</xdr:colOff>
      <xdr:row>3841</xdr:row>
      <xdr:rowOff>66675</xdr:rowOff>
    </xdr:to>
    <xdr:sp>
      <xdr:nvSpPr>
        <xdr:cNvPr id="2045" name="Rectangle 2044"/>
        <xdr:cNvSpPr/>
      </xdr:nvSpPr>
      <xdr:spPr>
        <a:xfrm>
          <a:off x="1016635" y="90966861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3811</xdr:row>
      <xdr:rowOff>0</xdr:rowOff>
    </xdr:from>
    <xdr:to>
      <xdr:col>10</xdr:col>
      <xdr:colOff>561975</xdr:colOff>
      <xdr:row>3812</xdr:row>
      <xdr:rowOff>0</xdr:rowOff>
    </xdr:to>
    <xdr:sp>
      <xdr:nvSpPr>
        <xdr:cNvPr id="2046" name="TextBox 2045"/>
        <xdr:cNvSpPr txBox="1"/>
      </xdr:nvSpPr>
      <xdr:spPr>
        <a:xfrm>
          <a:off x="3109595" y="90986165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3865</xdr:row>
      <xdr:rowOff>19050</xdr:rowOff>
    </xdr:from>
    <xdr:to>
      <xdr:col>4</xdr:col>
      <xdr:colOff>219075</xdr:colOff>
      <xdr:row>3870</xdr:row>
      <xdr:rowOff>1751</xdr:rowOff>
    </xdr:to>
    <xdr:pic>
      <xdr:nvPicPr>
        <xdr:cNvPr id="2047" name="Picture 20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2278390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3865</xdr:row>
      <xdr:rowOff>28575</xdr:rowOff>
    </xdr:from>
    <xdr:to>
      <xdr:col>16</xdr:col>
      <xdr:colOff>28575</xdr:colOff>
      <xdr:row>3870</xdr:row>
      <xdr:rowOff>4926</xdr:rowOff>
    </xdr:to>
    <xdr:pic>
      <xdr:nvPicPr>
        <xdr:cNvPr id="2048" name="Picture 20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2279343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3866</xdr:row>
      <xdr:rowOff>85726</xdr:rowOff>
    </xdr:from>
    <xdr:to>
      <xdr:col>13</xdr:col>
      <xdr:colOff>561975</xdr:colOff>
      <xdr:row>3897</xdr:row>
      <xdr:rowOff>66675</xdr:rowOff>
    </xdr:to>
    <xdr:sp>
      <xdr:nvSpPr>
        <xdr:cNvPr id="2049" name="Rectangle 2048"/>
        <xdr:cNvSpPr/>
      </xdr:nvSpPr>
      <xdr:spPr>
        <a:xfrm>
          <a:off x="1016635" y="92304108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3867</xdr:row>
      <xdr:rowOff>0</xdr:rowOff>
    </xdr:from>
    <xdr:to>
      <xdr:col>10</xdr:col>
      <xdr:colOff>561975</xdr:colOff>
      <xdr:row>3868</xdr:row>
      <xdr:rowOff>0</xdr:rowOff>
    </xdr:to>
    <xdr:sp>
      <xdr:nvSpPr>
        <xdr:cNvPr id="2050" name="TextBox 2049"/>
        <xdr:cNvSpPr txBox="1"/>
      </xdr:nvSpPr>
      <xdr:spPr>
        <a:xfrm>
          <a:off x="3109595" y="92323412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3921</xdr:row>
      <xdr:rowOff>19050</xdr:rowOff>
    </xdr:from>
    <xdr:to>
      <xdr:col>4</xdr:col>
      <xdr:colOff>219075</xdr:colOff>
      <xdr:row>3926</xdr:row>
      <xdr:rowOff>1751</xdr:rowOff>
    </xdr:to>
    <xdr:pic>
      <xdr:nvPicPr>
        <xdr:cNvPr id="2051" name="Picture 20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3615637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3921</xdr:row>
      <xdr:rowOff>28575</xdr:rowOff>
    </xdr:from>
    <xdr:to>
      <xdr:col>16</xdr:col>
      <xdr:colOff>28575</xdr:colOff>
      <xdr:row>3926</xdr:row>
      <xdr:rowOff>4926</xdr:rowOff>
    </xdr:to>
    <xdr:pic>
      <xdr:nvPicPr>
        <xdr:cNvPr id="2052" name="Picture 20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361658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3922</xdr:row>
      <xdr:rowOff>85726</xdr:rowOff>
    </xdr:from>
    <xdr:to>
      <xdr:col>13</xdr:col>
      <xdr:colOff>561975</xdr:colOff>
      <xdr:row>3953</xdr:row>
      <xdr:rowOff>66675</xdr:rowOff>
    </xdr:to>
    <xdr:sp>
      <xdr:nvSpPr>
        <xdr:cNvPr id="2053" name="Rectangle 2052"/>
        <xdr:cNvSpPr/>
      </xdr:nvSpPr>
      <xdr:spPr>
        <a:xfrm>
          <a:off x="1016635" y="93641354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3923</xdr:row>
      <xdr:rowOff>0</xdr:rowOff>
    </xdr:from>
    <xdr:to>
      <xdr:col>10</xdr:col>
      <xdr:colOff>561975</xdr:colOff>
      <xdr:row>3924</xdr:row>
      <xdr:rowOff>0</xdr:rowOff>
    </xdr:to>
    <xdr:sp>
      <xdr:nvSpPr>
        <xdr:cNvPr id="2054" name="TextBox 2053"/>
        <xdr:cNvSpPr txBox="1"/>
      </xdr:nvSpPr>
      <xdr:spPr>
        <a:xfrm>
          <a:off x="3109595" y="93660658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3977</xdr:row>
      <xdr:rowOff>19050</xdr:rowOff>
    </xdr:from>
    <xdr:to>
      <xdr:col>4</xdr:col>
      <xdr:colOff>219075</xdr:colOff>
      <xdr:row>3982</xdr:row>
      <xdr:rowOff>1751</xdr:rowOff>
    </xdr:to>
    <xdr:pic>
      <xdr:nvPicPr>
        <xdr:cNvPr id="2055" name="Picture 20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4952883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3977</xdr:row>
      <xdr:rowOff>28575</xdr:rowOff>
    </xdr:from>
    <xdr:to>
      <xdr:col>16</xdr:col>
      <xdr:colOff>28575</xdr:colOff>
      <xdr:row>3982</xdr:row>
      <xdr:rowOff>4926</xdr:rowOff>
    </xdr:to>
    <xdr:pic>
      <xdr:nvPicPr>
        <xdr:cNvPr id="2056" name="Picture 20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4953836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3978</xdr:row>
      <xdr:rowOff>85726</xdr:rowOff>
    </xdr:from>
    <xdr:to>
      <xdr:col>13</xdr:col>
      <xdr:colOff>561975</xdr:colOff>
      <xdr:row>4009</xdr:row>
      <xdr:rowOff>66675</xdr:rowOff>
    </xdr:to>
    <xdr:sp>
      <xdr:nvSpPr>
        <xdr:cNvPr id="2057" name="Rectangle 2056"/>
        <xdr:cNvSpPr/>
      </xdr:nvSpPr>
      <xdr:spPr>
        <a:xfrm>
          <a:off x="1016635" y="94978601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3979</xdr:row>
      <xdr:rowOff>0</xdr:rowOff>
    </xdr:from>
    <xdr:to>
      <xdr:col>10</xdr:col>
      <xdr:colOff>561975</xdr:colOff>
      <xdr:row>3980</xdr:row>
      <xdr:rowOff>0</xdr:rowOff>
    </xdr:to>
    <xdr:sp>
      <xdr:nvSpPr>
        <xdr:cNvPr id="2058" name="TextBox 2057"/>
        <xdr:cNvSpPr txBox="1"/>
      </xdr:nvSpPr>
      <xdr:spPr>
        <a:xfrm>
          <a:off x="3109595" y="94997905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4033</xdr:row>
      <xdr:rowOff>19050</xdr:rowOff>
    </xdr:from>
    <xdr:to>
      <xdr:col>4</xdr:col>
      <xdr:colOff>219075</xdr:colOff>
      <xdr:row>4038</xdr:row>
      <xdr:rowOff>1751</xdr:rowOff>
    </xdr:to>
    <xdr:pic>
      <xdr:nvPicPr>
        <xdr:cNvPr id="2059" name="Picture 20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6290130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4033</xdr:row>
      <xdr:rowOff>28575</xdr:rowOff>
    </xdr:from>
    <xdr:to>
      <xdr:col>16</xdr:col>
      <xdr:colOff>28575</xdr:colOff>
      <xdr:row>4038</xdr:row>
      <xdr:rowOff>4926</xdr:rowOff>
    </xdr:to>
    <xdr:pic>
      <xdr:nvPicPr>
        <xdr:cNvPr id="2060" name="Picture 20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6291082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4034</xdr:row>
      <xdr:rowOff>85726</xdr:rowOff>
    </xdr:from>
    <xdr:to>
      <xdr:col>13</xdr:col>
      <xdr:colOff>561975</xdr:colOff>
      <xdr:row>4065</xdr:row>
      <xdr:rowOff>66675</xdr:rowOff>
    </xdr:to>
    <xdr:sp>
      <xdr:nvSpPr>
        <xdr:cNvPr id="2061" name="Rectangle 2060"/>
        <xdr:cNvSpPr/>
      </xdr:nvSpPr>
      <xdr:spPr>
        <a:xfrm>
          <a:off x="1016635" y="96315847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4035</xdr:row>
      <xdr:rowOff>0</xdr:rowOff>
    </xdr:from>
    <xdr:to>
      <xdr:col>10</xdr:col>
      <xdr:colOff>561975</xdr:colOff>
      <xdr:row>4036</xdr:row>
      <xdr:rowOff>0</xdr:rowOff>
    </xdr:to>
    <xdr:sp>
      <xdr:nvSpPr>
        <xdr:cNvPr id="2062" name="TextBox 2061"/>
        <xdr:cNvSpPr txBox="1"/>
      </xdr:nvSpPr>
      <xdr:spPr>
        <a:xfrm>
          <a:off x="3109595" y="96335151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4089</xdr:row>
      <xdr:rowOff>19050</xdr:rowOff>
    </xdr:from>
    <xdr:to>
      <xdr:col>4</xdr:col>
      <xdr:colOff>219075</xdr:colOff>
      <xdr:row>4094</xdr:row>
      <xdr:rowOff>1751</xdr:rowOff>
    </xdr:to>
    <xdr:pic>
      <xdr:nvPicPr>
        <xdr:cNvPr id="2063" name="Picture 20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7627376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4089</xdr:row>
      <xdr:rowOff>28575</xdr:rowOff>
    </xdr:from>
    <xdr:to>
      <xdr:col>16</xdr:col>
      <xdr:colOff>28575</xdr:colOff>
      <xdr:row>4094</xdr:row>
      <xdr:rowOff>4926</xdr:rowOff>
    </xdr:to>
    <xdr:pic>
      <xdr:nvPicPr>
        <xdr:cNvPr id="2064" name="Picture 20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7628329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4090</xdr:row>
      <xdr:rowOff>85726</xdr:rowOff>
    </xdr:from>
    <xdr:to>
      <xdr:col>13</xdr:col>
      <xdr:colOff>561975</xdr:colOff>
      <xdr:row>4121</xdr:row>
      <xdr:rowOff>66675</xdr:rowOff>
    </xdr:to>
    <xdr:sp>
      <xdr:nvSpPr>
        <xdr:cNvPr id="2065" name="Rectangle 2064"/>
        <xdr:cNvSpPr/>
      </xdr:nvSpPr>
      <xdr:spPr>
        <a:xfrm>
          <a:off x="1016635" y="97653094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4091</xdr:row>
      <xdr:rowOff>0</xdr:rowOff>
    </xdr:from>
    <xdr:to>
      <xdr:col>10</xdr:col>
      <xdr:colOff>561975</xdr:colOff>
      <xdr:row>4092</xdr:row>
      <xdr:rowOff>0</xdr:rowOff>
    </xdr:to>
    <xdr:sp>
      <xdr:nvSpPr>
        <xdr:cNvPr id="2066" name="TextBox 2065"/>
        <xdr:cNvSpPr txBox="1"/>
      </xdr:nvSpPr>
      <xdr:spPr>
        <a:xfrm>
          <a:off x="3109595" y="97672398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4145</xdr:row>
      <xdr:rowOff>19050</xdr:rowOff>
    </xdr:from>
    <xdr:to>
      <xdr:col>4</xdr:col>
      <xdr:colOff>219075</xdr:colOff>
      <xdr:row>4150</xdr:row>
      <xdr:rowOff>1751</xdr:rowOff>
    </xdr:to>
    <xdr:pic>
      <xdr:nvPicPr>
        <xdr:cNvPr id="2067" name="Picture 20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8964623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4145</xdr:row>
      <xdr:rowOff>28575</xdr:rowOff>
    </xdr:from>
    <xdr:to>
      <xdr:col>16</xdr:col>
      <xdr:colOff>28575</xdr:colOff>
      <xdr:row>4150</xdr:row>
      <xdr:rowOff>4926</xdr:rowOff>
    </xdr:to>
    <xdr:pic>
      <xdr:nvPicPr>
        <xdr:cNvPr id="2068" name="Picture 20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98965575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4146</xdr:row>
      <xdr:rowOff>85726</xdr:rowOff>
    </xdr:from>
    <xdr:to>
      <xdr:col>13</xdr:col>
      <xdr:colOff>561975</xdr:colOff>
      <xdr:row>4177</xdr:row>
      <xdr:rowOff>66675</xdr:rowOff>
    </xdr:to>
    <xdr:sp>
      <xdr:nvSpPr>
        <xdr:cNvPr id="2069" name="Rectangle 2068"/>
        <xdr:cNvSpPr/>
      </xdr:nvSpPr>
      <xdr:spPr>
        <a:xfrm>
          <a:off x="1016635" y="98990340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4147</xdr:row>
      <xdr:rowOff>0</xdr:rowOff>
    </xdr:from>
    <xdr:to>
      <xdr:col>10</xdr:col>
      <xdr:colOff>561975</xdr:colOff>
      <xdr:row>4148</xdr:row>
      <xdr:rowOff>0</xdr:rowOff>
    </xdr:to>
    <xdr:sp>
      <xdr:nvSpPr>
        <xdr:cNvPr id="2070" name="TextBox 2069"/>
        <xdr:cNvSpPr txBox="1"/>
      </xdr:nvSpPr>
      <xdr:spPr>
        <a:xfrm>
          <a:off x="3109595" y="99009644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4201</xdr:row>
      <xdr:rowOff>19050</xdr:rowOff>
    </xdr:from>
    <xdr:to>
      <xdr:col>4</xdr:col>
      <xdr:colOff>219075</xdr:colOff>
      <xdr:row>4206</xdr:row>
      <xdr:rowOff>1751</xdr:rowOff>
    </xdr:to>
    <xdr:pic>
      <xdr:nvPicPr>
        <xdr:cNvPr id="2071" name="Picture 207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0301869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4201</xdr:row>
      <xdr:rowOff>28575</xdr:rowOff>
    </xdr:from>
    <xdr:to>
      <xdr:col>16</xdr:col>
      <xdr:colOff>28575</xdr:colOff>
      <xdr:row>4206</xdr:row>
      <xdr:rowOff>4926</xdr:rowOff>
    </xdr:to>
    <xdr:pic>
      <xdr:nvPicPr>
        <xdr:cNvPr id="2072" name="Picture 207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030282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4202</xdr:row>
      <xdr:rowOff>85726</xdr:rowOff>
    </xdr:from>
    <xdr:to>
      <xdr:col>13</xdr:col>
      <xdr:colOff>561975</xdr:colOff>
      <xdr:row>4233</xdr:row>
      <xdr:rowOff>66675</xdr:rowOff>
    </xdr:to>
    <xdr:sp>
      <xdr:nvSpPr>
        <xdr:cNvPr id="2073" name="Rectangle 2072"/>
        <xdr:cNvSpPr/>
      </xdr:nvSpPr>
      <xdr:spPr>
        <a:xfrm>
          <a:off x="1016635" y="100327587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4203</xdr:row>
      <xdr:rowOff>0</xdr:rowOff>
    </xdr:from>
    <xdr:to>
      <xdr:col>10</xdr:col>
      <xdr:colOff>561975</xdr:colOff>
      <xdr:row>4204</xdr:row>
      <xdr:rowOff>0</xdr:rowOff>
    </xdr:to>
    <xdr:sp>
      <xdr:nvSpPr>
        <xdr:cNvPr id="2074" name="TextBox 2073"/>
        <xdr:cNvSpPr txBox="1"/>
      </xdr:nvSpPr>
      <xdr:spPr>
        <a:xfrm>
          <a:off x="3109595" y="100346891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4257</xdr:row>
      <xdr:rowOff>19050</xdr:rowOff>
    </xdr:from>
    <xdr:to>
      <xdr:col>4</xdr:col>
      <xdr:colOff>219075</xdr:colOff>
      <xdr:row>4262</xdr:row>
      <xdr:rowOff>1751</xdr:rowOff>
    </xdr:to>
    <xdr:pic>
      <xdr:nvPicPr>
        <xdr:cNvPr id="2075" name="Picture 207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1639116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4257</xdr:row>
      <xdr:rowOff>28575</xdr:rowOff>
    </xdr:from>
    <xdr:to>
      <xdr:col>16</xdr:col>
      <xdr:colOff>28575</xdr:colOff>
      <xdr:row>4262</xdr:row>
      <xdr:rowOff>4926</xdr:rowOff>
    </xdr:to>
    <xdr:pic>
      <xdr:nvPicPr>
        <xdr:cNvPr id="2076" name="Picture 207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1640068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4258</xdr:row>
      <xdr:rowOff>85726</xdr:rowOff>
    </xdr:from>
    <xdr:to>
      <xdr:col>13</xdr:col>
      <xdr:colOff>561975</xdr:colOff>
      <xdr:row>4289</xdr:row>
      <xdr:rowOff>66675</xdr:rowOff>
    </xdr:to>
    <xdr:sp>
      <xdr:nvSpPr>
        <xdr:cNvPr id="2077" name="Rectangle 2076"/>
        <xdr:cNvSpPr/>
      </xdr:nvSpPr>
      <xdr:spPr>
        <a:xfrm>
          <a:off x="1016635" y="101664833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4259</xdr:row>
      <xdr:rowOff>0</xdr:rowOff>
    </xdr:from>
    <xdr:to>
      <xdr:col>10</xdr:col>
      <xdr:colOff>561975</xdr:colOff>
      <xdr:row>4260</xdr:row>
      <xdr:rowOff>0</xdr:rowOff>
    </xdr:to>
    <xdr:sp>
      <xdr:nvSpPr>
        <xdr:cNvPr id="2078" name="TextBox 2077"/>
        <xdr:cNvSpPr txBox="1"/>
      </xdr:nvSpPr>
      <xdr:spPr>
        <a:xfrm>
          <a:off x="3109595" y="101684137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4313</xdr:row>
      <xdr:rowOff>19050</xdr:rowOff>
    </xdr:from>
    <xdr:to>
      <xdr:col>4</xdr:col>
      <xdr:colOff>219075</xdr:colOff>
      <xdr:row>4318</xdr:row>
      <xdr:rowOff>1751</xdr:rowOff>
    </xdr:to>
    <xdr:pic>
      <xdr:nvPicPr>
        <xdr:cNvPr id="2079" name="Picture 20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2976362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4313</xdr:row>
      <xdr:rowOff>28575</xdr:rowOff>
    </xdr:from>
    <xdr:to>
      <xdr:col>16</xdr:col>
      <xdr:colOff>28575</xdr:colOff>
      <xdr:row>4318</xdr:row>
      <xdr:rowOff>4926</xdr:rowOff>
    </xdr:to>
    <xdr:pic>
      <xdr:nvPicPr>
        <xdr:cNvPr id="2080" name="Picture 20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2977315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4314</xdr:row>
      <xdr:rowOff>85726</xdr:rowOff>
    </xdr:from>
    <xdr:to>
      <xdr:col>13</xdr:col>
      <xdr:colOff>561975</xdr:colOff>
      <xdr:row>4345</xdr:row>
      <xdr:rowOff>66675</xdr:rowOff>
    </xdr:to>
    <xdr:sp>
      <xdr:nvSpPr>
        <xdr:cNvPr id="2081" name="Rectangle 2080"/>
        <xdr:cNvSpPr/>
      </xdr:nvSpPr>
      <xdr:spPr>
        <a:xfrm>
          <a:off x="1016635" y="103002080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4315</xdr:row>
      <xdr:rowOff>0</xdr:rowOff>
    </xdr:from>
    <xdr:to>
      <xdr:col>10</xdr:col>
      <xdr:colOff>561975</xdr:colOff>
      <xdr:row>4316</xdr:row>
      <xdr:rowOff>0</xdr:rowOff>
    </xdr:to>
    <xdr:sp>
      <xdr:nvSpPr>
        <xdr:cNvPr id="2082" name="TextBox 2081"/>
        <xdr:cNvSpPr txBox="1"/>
      </xdr:nvSpPr>
      <xdr:spPr>
        <a:xfrm>
          <a:off x="3109595" y="103021384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4369</xdr:row>
      <xdr:rowOff>19050</xdr:rowOff>
    </xdr:from>
    <xdr:to>
      <xdr:col>4</xdr:col>
      <xdr:colOff>219075</xdr:colOff>
      <xdr:row>4374</xdr:row>
      <xdr:rowOff>1751</xdr:rowOff>
    </xdr:to>
    <xdr:pic>
      <xdr:nvPicPr>
        <xdr:cNvPr id="2083" name="Picture 20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4313609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4369</xdr:row>
      <xdr:rowOff>28575</xdr:rowOff>
    </xdr:from>
    <xdr:to>
      <xdr:col>16</xdr:col>
      <xdr:colOff>28575</xdr:colOff>
      <xdr:row>4374</xdr:row>
      <xdr:rowOff>4926</xdr:rowOff>
    </xdr:to>
    <xdr:pic>
      <xdr:nvPicPr>
        <xdr:cNvPr id="2084" name="Picture 20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4314561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4370</xdr:row>
      <xdr:rowOff>85726</xdr:rowOff>
    </xdr:from>
    <xdr:to>
      <xdr:col>13</xdr:col>
      <xdr:colOff>561975</xdr:colOff>
      <xdr:row>4401</xdr:row>
      <xdr:rowOff>66675</xdr:rowOff>
    </xdr:to>
    <xdr:sp>
      <xdr:nvSpPr>
        <xdr:cNvPr id="2085" name="Rectangle 2084"/>
        <xdr:cNvSpPr/>
      </xdr:nvSpPr>
      <xdr:spPr>
        <a:xfrm>
          <a:off x="1016635" y="104339326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4371</xdr:row>
      <xdr:rowOff>0</xdr:rowOff>
    </xdr:from>
    <xdr:to>
      <xdr:col>10</xdr:col>
      <xdr:colOff>561975</xdr:colOff>
      <xdr:row>4372</xdr:row>
      <xdr:rowOff>0</xdr:rowOff>
    </xdr:to>
    <xdr:sp>
      <xdr:nvSpPr>
        <xdr:cNvPr id="2086" name="TextBox 2085"/>
        <xdr:cNvSpPr txBox="1"/>
      </xdr:nvSpPr>
      <xdr:spPr>
        <a:xfrm>
          <a:off x="3109595" y="104358630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4425</xdr:row>
      <xdr:rowOff>19050</xdr:rowOff>
    </xdr:from>
    <xdr:to>
      <xdr:col>4</xdr:col>
      <xdr:colOff>219075</xdr:colOff>
      <xdr:row>4430</xdr:row>
      <xdr:rowOff>1751</xdr:rowOff>
    </xdr:to>
    <xdr:pic>
      <xdr:nvPicPr>
        <xdr:cNvPr id="2087" name="Picture 20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5650855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4425</xdr:row>
      <xdr:rowOff>28575</xdr:rowOff>
    </xdr:from>
    <xdr:to>
      <xdr:col>16</xdr:col>
      <xdr:colOff>28575</xdr:colOff>
      <xdr:row>4430</xdr:row>
      <xdr:rowOff>4926</xdr:rowOff>
    </xdr:to>
    <xdr:pic>
      <xdr:nvPicPr>
        <xdr:cNvPr id="2088" name="Picture 20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5651808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4426</xdr:row>
      <xdr:rowOff>85726</xdr:rowOff>
    </xdr:from>
    <xdr:to>
      <xdr:col>13</xdr:col>
      <xdr:colOff>561975</xdr:colOff>
      <xdr:row>4457</xdr:row>
      <xdr:rowOff>66675</xdr:rowOff>
    </xdr:to>
    <xdr:sp>
      <xdr:nvSpPr>
        <xdr:cNvPr id="2089" name="Rectangle 2088"/>
        <xdr:cNvSpPr/>
      </xdr:nvSpPr>
      <xdr:spPr>
        <a:xfrm>
          <a:off x="1016635" y="105676573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4427</xdr:row>
      <xdr:rowOff>0</xdr:rowOff>
    </xdr:from>
    <xdr:to>
      <xdr:col>10</xdr:col>
      <xdr:colOff>561975</xdr:colOff>
      <xdr:row>4428</xdr:row>
      <xdr:rowOff>0</xdr:rowOff>
    </xdr:to>
    <xdr:sp>
      <xdr:nvSpPr>
        <xdr:cNvPr id="2090" name="TextBox 2089"/>
        <xdr:cNvSpPr txBox="1"/>
      </xdr:nvSpPr>
      <xdr:spPr>
        <a:xfrm>
          <a:off x="3109595" y="105695877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4481</xdr:row>
      <xdr:rowOff>19050</xdr:rowOff>
    </xdr:from>
    <xdr:to>
      <xdr:col>4</xdr:col>
      <xdr:colOff>219075</xdr:colOff>
      <xdr:row>4486</xdr:row>
      <xdr:rowOff>1751</xdr:rowOff>
    </xdr:to>
    <xdr:pic>
      <xdr:nvPicPr>
        <xdr:cNvPr id="2091" name="Picture 20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6988102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4481</xdr:row>
      <xdr:rowOff>28575</xdr:rowOff>
    </xdr:from>
    <xdr:to>
      <xdr:col>16</xdr:col>
      <xdr:colOff>28575</xdr:colOff>
      <xdr:row>4486</xdr:row>
      <xdr:rowOff>4926</xdr:rowOff>
    </xdr:to>
    <xdr:pic>
      <xdr:nvPicPr>
        <xdr:cNvPr id="2092" name="Picture 20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698905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4482</xdr:row>
      <xdr:rowOff>85726</xdr:rowOff>
    </xdr:from>
    <xdr:to>
      <xdr:col>13</xdr:col>
      <xdr:colOff>561975</xdr:colOff>
      <xdr:row>4513</xdr:row>
      <xdr:rowOff>66675</xdr:rowOff>
    </xdr:to>
    <xdr:sp>
      <xdr:nvSpPr>
        <xdr:cNvPr id="2093" name="Rectangle 2092"/>
        <xdr:cNvSpPr/>
      </xdr:nvSpPr>
      <xdr:spPr>
        <a:xfrm>
          <a:off x="1016635" y="107013819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4483</xdr:row>
      <xdr:rowOff>0</xdr:rowOff>
    </xdr:from>
    <xdr:to>
      <xdr:col>10</xdr:col>
      <xdr:colOff>561975</xdr:colOff>
      <xdr:row>4484</xdr:row>
      <xdr:rowOff>0</xdr:rowOff>
    </xdr:to>
    <xdr:sp>
      <xdr:nvSpPr>
        <xdr:cNvPr id="2094" name="TextBox 2093"/>
        <xdr:cNvSpPr txBox="1"/>
      </xdr:nvSpPr>
      <xdr:spPr>
        <a:xfrm>
          <a:off x="3109595" y="107033123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4537</xdr:row>
      <xdr:rowOff>19050</xdr:rowOff>
    </xdr:from>
    <xdr:to>
      <xdr:col>4</xdr:col>
      <xdr:colOff>219075</xdr:colOff>
      <xdr:row>4542</xdr:row>
      <xdr:rowOff>1751</xdr:rowOff>
    </xdr:to>
    <xdr:pic>
      <xdr:nvPicPr>
        <xdr:cNvPr id="2095" name="Picture 20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8325348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4537</xdr:row>
      <xdr:rowOff>28575</xdr:rowOff>
    </xdr:from>
    <xdr:to>
      <xdr:col>16</xdr:col>
      <xdr:colOff>28575</xdr:colOff>
      <xdr:row>4542</xdr:row>
      <xdr:rowOff>4926</xdr:rowOff>
    </xdr:to>
    <xdr:pic>
      <xdr:nvPicPr>
        <xdr:cNvPr id="2096" name="Picture 20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8326301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4538</xdr:row>
      <xdr:rowOff>85726</xdr:rowOff>
    </xdr:from>
    <xdr:to>
      <xdr:col>13</xdr:col>
      <xdr:colOff>561975</xdr:colOff>
      <xdr:row>4569</xdr:row>
      <xdr:rowOff>66675</xdr:rowOff>
    </xdr:to>
    <xdr:sp>
      <xdr:nvSpPr>
        <xdr:cNvPr id="2097" name="Rectangle 2096"/>
        <xdr:cNvSpPr/>
      </xdr:nvSpPr>
      <xdr:spPr>
        <a:xfrm>
          <a:off x="1016635" y="108351066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4539</xdr:row>
      <xdr:rowOff>0</xdr:rowOff>
    </xdr:from>
    <xdr:to>
      <xdr:col>10</xdr:col>
      <xdr:colOff>561975</xdr:colOff>
      <xdr:row>4540</xdr:row>
      <xdr:rowOff>0</xdr:rowOff>
    </xdr:to>
    <xdr:sp>
      <xdr:nvSpPr>
        <xdr:cNvPr id="2098" name="TextBox 2097"/>
        <xdr:cNvSpPr txBox="1"/>
      </xdr:nvSpPr>
      <xdr:spPr>
        <a:xfrm>
          <a:off x="3109595" y="108370370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4593</xdr:row>
      <xdr:rowOff>19050</xdr:rowOff>
    </xdr:from>
    <xdr:to>
      <xdr:col>4</xdr:col>
      <xdr:colOff>219075</xdr:colOff>
      <xdr:row>4598</xdr:row>
      <xdr:rowOff>1751</xdr:rowOff>
    </xdr:to>
    <xdr:pic>
      <xdr:nvPicPr>
        <xdr:cNvPr id="2099" name="Picture 20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9662595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4593</xdr:row>
      <xdr:rowOff>28575</xdr:rowOff>
    </xdr:from>
    <xdr:to>
      <xdr:col>16</xdr:col>
      <xdr:colOff>28575</xdr:colOff>
      <xdr:row>4598</xdr:row>
      <xdr:rowOff>4926</xdr:rowOff>
    </xdr:to>
    <xdr:pic>
      <xdr:nvPicPr>
        <xdr:cNvPr id="2100" name="Picture 20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09663547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4594</xdr:row>
      <xdr:rowOff>85726</xdr:rowOff>
    </xdr:from>
    <xdr:to>
      <xdr:col>13</xdr:col>
      <xdr:colOff>561975</xdr:colOff>
      <xdr:row>4625</xdr:row>
      <xdr:rowOff>66675</xdr:rowOff>
    </xdr:to>
    <xdr:sp>
      <xdr:nvSpPr>
        <xdr:cNvPr id="2101" name="Rectangle 2100"/>
        <xdr:cNvSpPr/>
      </xdr:nvSpPr>
      <xdr:spPr>
        <a:xfrm>
          <a:off x="1016635" y="109688312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4595</xdr:row>
      <xdr:rowOff>0</xdr:rowOff>
    </xdr:from>
    <xdr:to>
      <xdr:col>10</xdr:col>
      <xdr:colOff>561975</xdr:colOff>
      <xdr:row>4596</xdr:row>
      <xdr:rowOff>0</xdr:rowOff>
    </xdr:to>
    <xdr:sp>
      <xdr:nvSpPr>
        <xdr:cNvPr id="2102" name="TextBox 2101"/>
        <xdr:cNvSpPr txBox="1"/>
      </xdr:nvSpPr>
      <xdr:spPr>
        <a:xfrm>
          <a:off x="3109595" y="109707616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4649</xdr:row>
      <xdr:rowOff>19050</xdr:rowOff>
    </xdr:from>
    <xdr:to>
      <xdr:col>4</xdr:col>
      <xdr:colOff>219075</xdr:colOff>
      <xdr:row>4654</xdr:row>
      <xdr:rowOff>1751</xdr:rowOff>
    </xdr:to>
    <xdr:pic>
      <xdr:nvPicPr>
        <xdr:cNvPr id="2103" name="Picture 21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0999841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4649</xdr:row>
      <xdr:rowOff>28575</xdr:rowOff>
    </xdr:from>
    <xdr:to>
      <xdr:col>16</xdr:col>
      <xdr:colOff>28575</xdr:colOff>
      <xdr:row>4654</xdr:row>
      <xdr:rowOff>4926</xdr:rowOff>
    </xdr:to>
    <xdr:pic>
      <xdr:nvPicPr>
        <xdr:cNvPr id="2104" name="Picture 21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11000794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4650</xdr:row>
      <xdr:rowOff>85726</xdr:rowOff>
    </xdr:from>
    <xdr:to>
      <xdr:col>13</xdr:col>
      <xdr:colOff>561975</xdr:colOff>
      <xdr:row>4681</xdr:row>
      <xdr:rowOff>66675</xdr:rowOff>
    </xdr:to>
    <xdr:sp>
      <xdr:nvSpPr>
        <xdr:cNvPr id="2105" name="Rectangle 2104"/>
        <xdr:cNvSpPr/>
      </xdr:nvSpPr>
      <xdr:spPr>
        <a:xfrm>
          <a:off x="1016635" y="111025559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4651</xdr:row>
      <xdr:rowOff>0</xdr:rowOff>
    </xdr:from>
    <xdr:to>
      <xdr:col>10</xdr:col>
      <xdr:colOff>561975</xdr:colOff>
      <xdr:row>4652</xdr:row>
      <xdr:rowOff>0</xdr:rowOff>
    </xdr:to>
    <xdr:sp>
      <xdr:nvSpPr>
        <xdr:cNvPr id="2106" name="TextBox 2105"/>
        <xdr:cNvSpPr txBox="1"/>
      </xdr:nvSpPr>
      <xdr:spPr>
        <a:xfrm>
          <a:off x="3109595" y="111044863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4705</xdr:row>
      <xdr:rowOff>19050</xdr:rowOff>
    </xdr:from>
    <xdr:to>
      <xdr:col>4</xdr:col>
      <xdr:colOff>219075</xdr:colOff>
      <xdr:row>4710</xdr:row>
      <xdr:rowOff>1751</xdr:rowOff>
    </xdr:to>
    <xdr:pic>
      <xdr:nvPicPr>
        <xdr:cNvPr id="2107" name="Picture 21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2337088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4705</xdr:row>
      <xdr:rowOff>28575</xdr:rowOff>
    </xdr:from>
    <xdr:to>
      <xdr:col>16</xdr:col>
      <xdr:colOff>28575</xdr:colOff>
      <xdr:row>4710</xdr:row>
      <xdr:rowOff>4926</xdr:rowOff>
    </xdr:to>
    <xdr:pic>
      <xdr:nvPicPr>
        <xdr:cNvPr id="2108" name="Picture 21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12338040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4706</xdr:row>
      <xdr:rowOff>85726</xdr:rowOff>
    </xdr:from>
    <xdr:to>
      <xdr:col>13</xdr:col>
      <xdr:colOff>561975</xdr:colOff>
      <xdr:row>4737</xdr:row>
      <xdr:rowOff>66675</xdr:rowOff>
    </xdr:to>
    <xdr:sp>
      <xdr:nvSpPr>
        <xdr:cNvPr id="2109" name="Rectangle 2108"/>
        <xdr:cNvSpPr/>
      </xdr:nvSpPr>
      <xdr:spPr>
        <a:xfrm>
          <a:off x="1016635" y="112362805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4707</xdr:row>
      <xdr:rowOff>0</xdr:rowOff>
    </xdr:from>
    <xdr:to>
      <xdr:col>10</xdr:col>
      <xdr:colOff>561975</xdr:colOff>
      <xdr:row>4708</xdr:row>
      <xdr:rowOff>0</xdr:rowOff>
    </xdr:to>
    <xdr:sp>
      <xdr:nvSpPr>
        <xdr:cNvPr id="2110" name="TextBox 2109"/>
        <xdr:cNvSpPr txBox="1"/>
      </xdr:nvSpPr>
      <xdr:spPr>
        <a:xfrm>
          <a:off x="3109595" y="112382109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4761</xdr:row>
      <xdr:rowOff>19050</xdr:rowOff>
    </xdr:from>
    <xdr:to>
      <xdr:col>4</xdr:col>
      <xdr:colOff>219075</xdr:colOff>
      <xdr:row>4766</xdr:row>
      <xdr:rowOff>1751</xdr:rowOff>
    </xdr:to>
    <xdr:pic>
      <xdr:nvPicPr>
        <xdr:cNvPr id="2111" name="Picture 21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3674334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4761</xdr:row>
      <xdr:rowOff>28575</xdr:rowOff>
    </xdr:from>
    <xdr:to>
      <xdr:col>16</xdr:col>
      <xdr:colOff>28575</xdr:colOff>
      <xdr:row>4766</xdr:row>
      <xdr:rowOff>4926</xdr:rowOff>
    </xdr:to>
    <xdr:pic>
      <xdr:nvPicPr>
        <xdr:cNvPr id="2112" name="Picture 21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1367528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4762</xdr:row>
      <xdr:rowOff>85726</xdr:rowOff>
    </xdr:from>
    <xdr:to>
      <xdr:col>13</xdr:col>
      <xdr:colOff>561975</xdr:colOff>
      <xdr:row>4793</xdr:row>
      <xdr:rowOff>66675</xdr:rowOff>
    </xdr:to>
    <xdr:sp>
      <xdr:nvSpPr>
        <xdr:cNvPr id="2113" name="Rectangle 2112"/>
        <xdr:cNvSpPr/>
      </xdr:nvSpPr>
      <xdr:spPr>
        <a:xfrm>
          <a:off x="1016635" y="113700052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4763</xdr:row>
      <xdr:rowOff>0</xdr:rowOff>
    </xdr:from>
    <xdr:to>
      <xdr:col>10</xdr:col>
      <xdr:colOff>561975</xdr:colOff>
      <xdr:row>4764</xdr:row>
      <xdr:rowOff>0</xdr:rowOff>
    </xdr:to>
    <xdr:sp>
      <xdr:nvSpPr>
        <xdr:cNvPr id="2114" name="TextBox 2113"/>
        <xdr:cNvSpPr txBox="1"/>
      </xdr:nvSpPr>
      <xdr:spPr>
        <a:xfrm>
          <a:off x="3109595" y="113719356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4817</xdr:row>
      <xdr:rowOff>19050</xdr:rowOff>
    </xdr:from>
    <xdr:to>
      <xdr:col>4</xdr:col>
      <xdr:colOff>219075</xdr:colOff>
      <xdr:row>4822</xdr:row>
      <xdr:rowOff>1751</xdr:rowOff>
    </xdr:to>
    <xdr:pic>
      <xdr:nvPicPr>
        <xdr:cNvPr id="2115" name="Picture 21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5011581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4817</xdr:row>
      <xdr:rowOff>28575</xdr:rowOff>
    </xdr:from>
    <xdr:to>
      <xdr:col>16</xdr:col>
      <xdr:colOff>28575</xdr:colOff>
      <xdr:row>4822</xdr:row>
      <xdr:rowOff>4926</xdr:rowOff>
    </xdr:to>
    <xdr:pic>
      <xdr:nvPicPr>
        <xdr:cNvPr id="2116" name="Picture 2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15012533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4818</xdr:row>
      <xdr:rowOff>85726</xdr:rowOff>
    </xdr:from>
    <xdr:to>
      <xdr:col>13</xdr:col>
      <xdr:colOff>561975</xdr:colOff>
      <xdr:row>4849</xdr:row>
      <xdr:rowOff>66675</xdr:rowOff>
    </xdr:to>
    <xdr:sp>
      <xdr:nvSpPr>
        <xdr:cNvPr id="2117" name="Rectangle 2116"/>
        <xdr:cNvSpPr/>
      </xdr:nvSpPr>
      <xdr:spPr>
        <a:xfrm>
          <a:off x="1016635" y="115037298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4819</xdr:row>
      <xdr:rowOff>0</xdr:rowOff>
    </xdr:from>
    <xdr:to>
      <xdr:col>10</xdr:col>
      <xdr:colOff>561975</xdr:colOff>
      <xdr:row>4820</xdr:row>
      <xdr:rowOff>0</xdr:rowOff>
    </xdr:to>
    <xdr:sp>
      <xdr:nvSpPr>
        <xdr:cNvPr id="2118" name="TextBox 2117"/>
        <xdr:cNvSpPr txBox="1"/>
      </xdr:nvSpPr>
      <xdr:spPr>
        <a:xfrm>
          <a:off x="3109595" y="115056602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4873</xdr:row>
      <xdr:rowOff>19050</xdr:rowOff>
    </xdr:from>
    <xdr:to>
      <xdr:col>4</xdr:col>
      <xdr:colOff>219075</xdr:colOff>
      <xdr:row>4878</xdr:row>
      <xdr:rowOff>1751</xdr:rowOff>
    </xdr:to>
    <xdr:pic>
      <xdr:nvPicPr>
        <xdr:cNvPr id="2119" name="Picture 21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6348827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4873</xdr:row>
      <xdr:rowOff>28575</xdr:rowOff>
    </xdr:from>
    <xdr:to>
      <xdr:col>16</xdr:col>
      <xdr:colOff>28575</xdr:colOff>
      <xdr:row>4878</xdr:row>
      <xdr:rowOff>4926</xdr:rowOff>
    </xdr:to>
    <xdr:pic>
      <xdr:nvPicPr>
        <xdr:cNvPr id="2120" name="Picture 21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16349780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4874</xdr:row>
      <xdr:rowOff>85726</xdr:rowOff>
    </xdr:from>
    <xdr:to>
      <xdr:col>13</xdr:col>
      <xdr:colOff>561975</xdr:colOff>
      <xdr:row>4905</xdr:row>
      <xdr:rowOff>66675</xdr:rowOff>
    </xdr:to>
    <xdr:sp>
      <xdr:nvSpPr>
        <xdr:cNvPr id="2121" name="Rectangle 2120"/>
        <xdr:cNvSpPr/>
      </xdr:nvSpPr>
      <xdr:spPr>
        <a:xfrm>
          <a:off x="1016635" y="116374545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4875</xdr:row>
      <xdr:rowOff>0</xdr:rowOff>
    </xdr:from>
    <xdr:to>
      <xdr:col>10</xdr:col>
      <xdr:colOff>561975</xdr:colOff>
      <xdr:row>4876</xdr:row>
      <xdr:rowOff>0</xdr:rowOff>
    </xdr:to>
    <xdr:sp>
      <xdr:nvSpPr>
        <xdr:cNvPr id="2122" name="TextBox 2121"/>
        <xdr:cNvSpPr txBox="1"/>
      </xdr:nvSpPr>
      <xdr:spPr>
        <a:xfrm>
          <a:off x="3109595" y="116393849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4929</xdr:row>
      <xdr:rowOff>19050</xdr:rowOff>
    </xdr:from>
    <xdr:to>
      <xdr:col>4</xdr:col>
      <xdr:colOff>219075</xdr:colOff>
      <xdr:row>4934</xdr:row>
      <xdr:rowOff>1751</xdr:rowOff>
    </xdr:to>
    <xdr:pic>
      <xdr:nvPicPr>
        <xdr:cNvPr id="2123" name="Picture 21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7686074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4929</xdr:row>
      <xdr:rowOff>28575</xdr:rowOff>
    </xdr:from>
    <xdr:to>
      <xdr:col>16</xdr:col>
      <xdr:colOff>28575</xdr:colOff>
      <xdr:row>4934</xdr:row>
      <xdr:rowOff>4926</xdr:rowOff>
    </xdr:to>
    <xdr:pic>
      <xdr:nvPicPr>
        <xdr:cNvPr id="2124" name="Picture 21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17687026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4930</xdr:row>
      <xdr:rowOff>85726</xdr:rowOff>
    </xdr:from>
    <xdr:to>
      <xdr:col>13</xdr:col>
      <xdr:colOff>561975</xdr:colOff>
      <xdr:row>4961</xdr:row>
      <xdr:rowOff>66675</xdr:rowOff>
    </xdr:to>
    <xdr:sp>
      <xdr:nvSpPr>
        <xdr:cNvPr id="2125" name="Rectangle 2124"/>
        <xdr:cNvSpPr/>
      </xdr:nvSpPr>
      <xdr:spPr>
        <a:xfrm>
          <a:off x="1016635" y="117711791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4931</xdr:row>
      <xdr:rowOff>0</xdr:rowOff>
    </xdr:from>
    <xdr:to>
      <xdr:col>10</xdr:col>
      <xdr:colOff>561975</xdr:colOff>
      <xdr:row>4932</xdr:row>
      <xdr:rowOff>0</xdr:rowOff>
    </xdr:to>
    <xdr:sp>
      <xdr:nvSpPr>
        <xdr:cNvPr id="2126" name="TextBox 2125"/>
        <xdr:cNvSpPr txBox="1"/>
      </xdr:nvSpPr>
      <xdr:spPr>
        <a:xfrm>
          <a:off x="3109595" y="117731095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4985</xdr:row>
      <xdr:rowOff>19050</xdr:rowOff>
    </xdr:from>
    <xdr:to>
      <xdr:col>4</xdr:col>
      <xdr:colOff>219075</xdr:colOff>
      <xdr:row>4990</xdr:row>
      <xdr:rowOff>1751</xdr:rowOff>
    </xdr:to>
    <xdr:pic>
      <xdr:nvPicPr>
        <xdr:cNvPr id="2127" name="Picture 212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9023320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4985</xdr:row>
      <xdr:rowOff>28575</xdr:rowOff>
    </xdr:from>
    <xdr:to>
      <xdr:col>16</xdr:col>
      <xdr:colOff>28575</xdr:colOff>
      <xdr:row>4990</xdr:row>
      <xdr:rowOff>4926</xdr:rowOff>
    </xdr:to>
    <xdr:pic>
      <xdr:nvPicPr>
        <xdr:cNvPr id="2128" name="Picture 21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19024273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4986</xdr:row>
      <xdr:rowOff>85726</xdr:rowOff>
    </xdr:from>
    <xdr:to>
      <xdr:col>13</xdr:col>
      <xdr:colOff>561975</xdr:colOff>
      <xdr:row>5017</xdr:row>
      <xdr:rowOff>66675</xdr:rowOff>
    </xdr:to>
    <xdr:sp>
      <xdr:nvSpPr>
        <xdr:cNvPr id="2129" name="Rectangle 2128"/>
        <xdr:cNvSpPr/>
      </xdr:nvSpPr>
      <xdr:spPr>
        <a:xfrm>
          <a:off x="1016635" y="119049038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4987</xdr:row>
      <xdr:rowOff>0</xdr:rowOff>
    </xdr:from>
    <xdr:to>
      <xdr:col>10</xdr:col>
      <xdr:colOff>561975</xdr:colOff>
      <xdr:row>4988</xdr:row>
      <xdr:rowOff>0</xdr:rowOff>
    </xdr:to>
    <xdr:sp>
      <xdr:nvSpPr>
        <xdr:cNvPr id="2130" name="TextBox 2129"/>
        <xdr:cNvSpPr txBox="1"/>
      </xdr:nvSpPr>
      <xdr:spPr>
        <a:xfrm>
          <a:off x="3109595" y="119068342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5041</xdr:row>
      <xdr:rowOff>19050</xdr:rowOff>
    </xdr:from>
    <xdr:to>
      <xdr:col>4</xdr:col>
      <xdr:colOff>219075</xdr:colOff>
      <xdr:row>5046</xdr:row>
      <xdr:rowOff>1751</xdr:rowOff>
    </xdr:to>
    <xdr:pic>
      <xdr:nvPicPr>
        <xdr:cNvPr id="2131" name="Picture 21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0360567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5041</xdr:row>
      <xdr:rowOff>28575</xdr:rowOff>
    </xdr:from>
    <xdr:to>
      <xdr:col>16</xdr:col>
      <xdr:colOff>28575</xdr:colOff>
      <xdr:row>5046</xdr:row>
      <xdr:rowOff>4926</xdr:rowOff>
    </xdr:to>
    <xdr:pic>
      <xdr:nvPicPr>
        <xdr:cNvPr id="2132" name="Picture 21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036151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5042</xdr:row>
      <xdr:rowOff>85726</xdr:rowOff>
    </xdr:from>
    <xdr:to>
      <xdr:col>13</xdr:col>
      <xdr:colOff>561975</xdr:colOff>
      <xdr:row>5073</xdr:row>
      <xdr:rowOff>66675</xdr:rowOff>
    </xdr:to>
    <xdr:sp>
      <xdr:nvSpPr>
        <xdr:cNvPr id="2133" name="Rectangle 2132"/>
        <xdr:cNvSpPr/>
      </xdr:nvSpPr>
      <xdr:spPr>
        <a:xfrm>
          <a:off x="1016635" y="120386284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5043</xdr:row>
      <xdr:rowOff>0</xdr:rowOff>
    </xdr:from>
    <xdr:to>
      <xdr:col>10</xdr:col>
      <xdr:colOff>561975</xdr:colOff>
      <xdr:row>5044</xdr:row>
      <xdr:rowOff>0</xdr:rowOff>
    </xdr:to>
    <xdr:sp>
      <xdr:nvSpPr>
        <xdr:cNvPr id="2134" name="TextBox 2133"/>
        <xdr:cNvSpPr txBox="1"/>
      </xdr:nvSpPr>
      <xdr:spPr>
        <a:xfrm>
          <a:off x="3109595" y="120405588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5097</xdr:row>
      <xdr:rowOff>19050</xdr:rowOff>
    </xdr:from>
    <xdr:to>
      <xdr:col>4</xdr:col>
      <xdr:colOff>219075</xdr:colOff>
      <xdr:row>5102</xdr:row>
      <xdr:rowOff>1751</xdr:rowOff>
    </xdr:to>
    <xdr:pic>
      <xdr:nvPicPr>
        <xdr:cNvPr id="2135" name="Picture 21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1697813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5097</xdr:row>
      <xdr:rowOff>28575</xdr:rowOff>
    </xdr:from>
    <xdr:to>
      <xdr:col>16</xdr:col>
      <xdr:colOff>28575</xdr:colOff>
      <xdr:row>5102</xdr:row>
      <xdr:rowOff>4926</xdr:rowOff>
    </xdr:to>
    <xdr:pic>
      <xdr:nvPicPr>
        <xdr:cNvPr id="2136" name="Picture 21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1698766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5098</xdr:row>
      <xdr:rowOff>85726</xdr:rowOff>
    </xdr:from>
    <xdr:to>
      <xdr:col>13</xdr:col>
      <xdr:colOff>561975</xdr:colOff>
      <xdr:row>5129</xdr:row>
      <xdr:rowOff>66675</xdr:rowOff>
    </xdr:to>
    <xdr:sp>
      <xdr:nvSpPr>
        <xdr:cNvPr id="2137" name="Rectangle 2136"/>
        <xdr:cNvSpPr/>
      </xdr:nvSpPr>
      <xdr:spPr>
        <a:xfrm>
          <a:off x="1016635" y="121723531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5099</xdr:row>
      <xdr:rowOff>0</xdr:rowOff>
    </xdr:from>
    <xdr:to>
      <xdr:col>10</xdr:col>
      <xdr:colOff>561975</xdr:colOff>
      <xdr:row>5100</xdr:row>
      <xdr:rowOff>0</xdr:rowOff>
    </xdr:to>
    <xdr:sp>
      <xdr:nvSpPr>
        <xdr:cNvPr id="2138" name="TextBox 2137"/>
        <xdr:cNvSpPr txBox="1"/>
      </xdr:nvSpPr>
      <xdr:spPr>
        <a:xfrm>
          <a:off x="3109595" y="121742835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5153</xdr:row>
      <xdr:rowOff>19050</xdr:rowOff>
    </xdr:from>
    <xdr:to>
      <xdr:col>4</xdr:col>
      <xdr:colOff>219075</xdr:colOff>
      <xdr:row>5158</xdr:row>
      <xdr:rowOff>1751</xdr:rowOff>
    </xdr:to>
    <xdr:pic>
      <xdr:nvPicPr>
        <xdr:cNvPr id="2139" name="Picture 21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3035060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5153</xdr:row>
      <xdr:rowOff>28575</xdr:rowOff>
    </xdr:from>
    <xdr:to>
      <xdr:col>16</xdr:col>
      <xdr:colOff>28575</xdr:colOff>
      <xdr:row>5158</xdr:row>
      <xdr:rowOff>4926</xdr:rowOff>
    </xdr:to>
    <xdr:pic>
      <xdr:nvPicPr>
        <xdr:cNvPr id="2140" name="Picture 21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3036012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5154</xdr:row>
      <xdr:rowOff>85726</xdr:rowOff>
    </xdr:from>
    <xdr:to>
      <xdr:col>13</xdr:col>
      <xdr:colOff>561975</xdr:colOff>
      <xdr:row>5185</xdr:row>
      <xdr:rowOff>66675</xdr:rowOff>
    </xdr:to>
    <xdr:sp>
      <xdr:nvSpPr>
        <xdr:cNvPr id="2141" name="Rectangle 2140"/>
        <xdr:cNvSpPr/>
      </xdr:nvSpPr>
      <xdr:spPr>
        <a:xfrm>
          <a:off x="1016635" y="123060777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5155</xdr:row>
      <xdr:rowOff>0</xdr:rowOff>
    </xdr:from>
    <xdr:to>
      <xdr:col>10</xdr:col>
      <xdr:colOff>561975</xdr:colOff>
      <xdr:row>5156</xdr:row>
      <xdr:rowOff>0</xdr:rowOff>
    </xdr:to>
    <xdr:sp>
      <xdr:nvSpPr>
        <xdr:cNvPr id="2142" name="TextBox 2141"/>
        <xdr:cNvSpPr txBox="1"/>
      </xdr:nvSpPr>
      <xdr:spPr>
        <a:xfrm>
          <a:off x="3109595" y="123080081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5209</xdr:row>
      <xdr:rowOff>19050</xdr:rowOff>
    </xdr:from>
    <xdr:to>
      <xdr:col>4</xdr:col>
      <xdr:colOff>219075</xdr:colOff>
      <xdr:row>5214</xdr:row>
      <xdr:rowOff>1751</xdr:rowOff>
    </xdr:to>
    <xdr:pic>
      <xdr:nvPicPr>
        <xdr:cNvPr id="2143" name="Picture 21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4372306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5209</xdr:row>
      <xdr:rowOff>28575</xdr:rowOff>
    </xdr:from>
    <xdr:to>
      <xdr:col>16</xdr:col>
      <xdr:colOff>28575</xdr:colOff>
      <xdr:row>5214</xdr:row>
      <xdr:rowOff>4926</xdr:rowOff>
    </xdr:to>
    <xdr:pic>
      <xdr:nvPicPr>
        <xdr:cNvPr id="2144" name="Picture 21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4373259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5210</xdr:row>
      <xdr:rowOff>85726</xdr:rowOff>
    </xdr:from>
    <xdr:to>
      <xdr:col>13</xdr:col>
      <xdr:colOff>561975</xdr:colOff>
      <xdr:row>5241</xdr:row>
      <xdr:rowOff>66675</xdr:rowOff>
    </xdr:to>
    <xdr:sp>
      <xdr:nvSpPr>
        <xdr:cNvPr id="2145" name="Rectangle 2144"/>
        <xdr:cNvSpPr/>
      </xdr:nvSpPr>
      <xdr:spPr>
        <a:xfrm>
          <a:off x="1016635" y="124398024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5211</xdr:row>
      <xdr:rowOff>0</xdr:rowOff>
    </xdr:from>
    <xdr:to>
      <xdr:col>10</xdr:col>
      <xdr:colOff>561975</xdr:colOff>
      <xdr:row>5212</xdr:row>
      <xdr:rowOff>0</xdr:rowOff>
    </xdr:to>
    <xdr:sp>
      <xdr:nvSpPr>
        <xdr:cNvPr id="2146" name="TextBox 2145"/>
        <xdr:cNvSpPr txBox="1"/>
      </xdr:nvSpPr>
      <xdr:spPr>
        <a:xfrm>
          <a:off x="3109595" y="124417328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5265</xdr:row>
      <xdr:rowOff>19050</xdr:rowOff>
    </xdr:from>
    <xdr:to>
      <xdr:col>4</xdr:col>
      <xdr:colOff>219075</xdr:colOff>
      <xdr:row>5270</xdr:row>
      <xdr:rowOff>1751</xdr:rowOff>
    </xdr:to>
    <xdr:pic>
      <xdr:nvPicPr>
        <xdr:cNvPr id="2147" name="Picture 21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5709553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5265</xdr:row>
      <xdr:rowOff>28575</xdr:rowOff>
    </xdr:from>
    <xdr:to>
      <xdr:col>16</xdr:col>
      <xdr:colOff>28575</xdr:colOff>
      <xdr:row>5270</xdr:row>
      <xdr:rowOff>4926</xdr:rowOff>
    </xdr:to>
    <xdr:pic>
      <xdr:nvPicPr>
        <xdr:cNvPr id="2148" name="Picture 21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5710505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5266</xdr:row>
      <xdr:rowOff>85726</xdr:rowOff>
    </xdr:from>
    <xdr:to>
      <xdr:col>13</xdr:col>
      <xdr:colOff>561975</xdr:colOff>
      <xdr:row>5297</xdr:row>
      <xdr:rowOff>66675</xdr:rowOff>
    </xdr:to>
    <xdr:sp>
      <xdr:nvSpPr>
        <xdr:cNvPr id="2149" name="Rectangle 2148"/>
        <xdr:cNvSpPr/>
      </xdr:nvSpPr>
      <xdr:spPr>
        <a:xfrm>
          <a:off x="1016635" y="125735270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5267</xdr:row>
      <xdr:rowOff>0</xdr:rowOff>
    </xdr:from>
    <xdr:to>
      <xdr:col>10</xdr:col>
      <xdr:colOff>561975</xdr:colOff>
      <xdr:row>5268</xdr:row>
      <xdr:rowOff>0</xdr:rowOff>
    </xdr:to>
    <xdr:sp>
      <xdr:nvSpPr>
        <xdr:cNvPr id="2150" name="TextBox 2149"/>
        <xdr:cNvSpPr txBox="1"/>
      </xdr:nvSpPr>
      <xdr:spPr>
        <a:xfrm>
          <a:off x="3109595" y="125754574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5321</xdr:row>
      <xdr:rowOff>19050</xdr:rowOff>
    </xdr:from>
    <xdr:to>
      <xdr:col>4</xdr:col>
      <xdr:colOff>219075</xdr:colOff>
      <xdr:row>5326</xdr:row>
      <xdr:rowOff>1751</xdr:rowOff>
    </xdr:to>
    <xdr:pic>
      <xdr:nvPicPr>
        <xdr:cNvPr id="2151" name="Picture 21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7046799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5321</xdr:row>
      <xdr:rowOff>28575</xdr:rowOff>
    </xdr:from>
    <xdr:to>
      <xdr:col>16</xdr:col>
      <xdr:colOff>28575</xdr:colOff>
      <xdr:row>5326</xdr:row>
      <xdr:rowOff>4926</xdr:rowOff>
    </xdr:to>
    <xdr:pic>
      <xdr:nvPicPr>
        <xdr:cNvPr id="2152" name="Picture 21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704775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5322</xdr:row>
      <xdr:rowOff>85726</xdr:rowOff>
    </xdr:from>
    <xdr:to>
      <xdr:col>13</xdr:col>
      <xdr:colOff>561975</xdr:colOff>
      <xdr:row>5353</xdr:row>
      <xdr:rowOff>66675</xdr:rowOff>
    </xdr:to>
    <xdr:sp>
      <xdr:nvSpPr>
        <xdr:cNvPr id="2153" name="Rectangle 2152"/>
        <xdr:cNvSpPr/>
      </xdr:nvSpPr>
      <xdr:spPr>
        <a:xfrm>
          <a:off x="1016635" y="127072517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5323</xdr:row>
      <xdr:rowOff>0</xdr:rowOff>
    </xdr:from>
    <xdr:to>
      <xdr:col>10</xdr:col>
      <xdr:colOff>561975</xdr:colOff>
      <xdr:row>5324</xdr:row>
      <xdr:rowOff>0</xdr:rowOff>
    </xdr:to>
    <xdr:sp>
      <xdr:nvSpPr>
        <xdr:cNvPr id="2154" name="TextBox 2153"/>
        <xdr:cNvSpPr txBox="1"/>
      </xdr:nvSpPr>
      <xdr:spPr>
        <a:xfrm>
          <a:off x="3109595" y="127091821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5377</xdr:row>
      <xdr:rowOff>19050</xdr:rowOff>
    </xdr:from>
    <xdr:to>
      <xdr:col>4</xdr:col>
      <xdr:colOff>219075</xdr:colOff>
      <xdr:row>5382</xdr:row>
      <xdr:rowOff>1751</xdr:rowOff>
    </xdr:to>
    <xdr:pic>
      <xdr:nvPicPr>
        <xdr:cNvPr id="2155" name="Picture 21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8384046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5377</xdr:row>
      <xdr:rowOff>28575</xdr:rowOff>
    </xdr:from>
    <xdr:to>
      <xdr:col>16</xdr:col>
      <xdr:colOff>28575</xdr:colOff>
      <xdr:row>5382</xdr:row>
      <xdr:rowOff>4926</xdr:rowOff>
    </xdr:to>
    <xdr:pic>
      <xdr:nvPicPr>
        <xdr:cNvPr id="2156" name="Picture 21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8384998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5378</xdr:row>
      <xdr:rowOff>85726</xdr:rowOff>
    </xdr:from>
    <xdr:to>
      <xdr:col>13</xdr:col>
      <xdr:colOff>561975</xdr:colOff>
      <xdr:row>5409</xdr:row>
      <xdr:rowOff>66675</xdr:rowOff>
    </xdr:to>
    <xdr:sp>
      <xdr:nvSpPr>
        <xdr:cNvPr id="2157" name="Rectangle 2156"/>
        <xdr:cNvSpPr/>
      </xdr:nvSpPr>
      <xdr:spPr>
        <a:xfrm>
          <a:off x="1016635" y="128409763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5379</xdr:row>
      <xdr:rowOff>0</xdr:rowOff>
    </xdr:from>
    <xdr:to>
      <xdr:col>10</xdr:col>
      <xdr:colOff>561975</xdr:colOff>
      <xdr:row>5380</xdr:row>
      <xdr:rowOff>0</xdr:rowOff>
    </xdr:to>
    <xdr:sp>
      <xdr:nvSpPr>
        <xdr:cNvPr id="2158" name="TextBox 2157"/>
        <xdr:cNvSpPr txBox="1"/>
      </xdr:nvSpPr>
      <xdr:spPr>
        <a:xfrm>
          <a:off x="3109595" y="128429067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5433</xdr:row>
      <xdr:rowOff>19050</xdr:rowOff>
    </xdr:from>
    <xdr:to>
      <xdr:col>4</xdr:col>
      <xdr:colOff>219075</xdr:colOff>
      <xdr:row>5438</xdr:row>
      <xdr:rowOff>1751</xdr:rowOff>
    </xdr:to>
    <xdr:pic>
      <xdr:nvPicPr>
        <xdr:cNvPr id="2159" name="Picture 21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9721292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5433</xdr:row>
      <xdr:rowOff>28575</xdr:rowOff>
    </xdr:from>
    <xdr:to>
      <xdr:col>16</xdr:col>
      <xdr:colOff>28575</xdr:colOff>
      <xdr:row>5438</xdr:row>
      <xdr:rowOff>4926</xdr:rowOff>
    </xdr:to>
    <xdr:pic>
      <xdr:nvPicPr>
        <xdr:cNvPr id="2160" name="Picture 21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29722245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5434</xdr:row>
      <xdr:rowOff>85726</xdr:rowOff>
    </xdr:from>
    <xdr:to>
      <xdr:col>13</xdr:col>
      <xdr:colOff>561975</xdr:colOff>
      <xdr:row>5465</xdr:row>
      <xdr:rowOff>66675</xdr:rowOff>
    </xdr:to>
    <xdr:sp>
      <xdr:nvSpPr>
        <xdr:cNvPr id="2161" name="Rectangle 2160"/>
        <xdr:cNvSpPr/>
      </xdr:nvSpPr>
      <xdr:spPr>
        <a:xfrm>
          <a:off x="1016635" y="129747010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5435</xdr:row>
      <xdr:rowOff>0</xdr:rowOff>
    </xdr:from>
    <xdr:to>
      <xdr:col>10</xdr:col>
      <xdr:colOff>561975</xdr:colOff>
      <xdr:row>5436</xdr:row>
      <xdr:rowOff>0</xdr:rowOff>
    </xdr:to>
    <xdr:sp>
      <xdr:nvSpPr>
        <xdr:cNvPr id="2162" name="TextBox 2161"/>
        <xdr:cNvSpPr txBox="1"/>
      </xdr:nvSpPr>
      <xdr:spPr>
        <a:xfrm>
          <a:off x="3109595" y="129766314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5489</xdr:row>
      <xdr:rowOff>19050</xdr:rowOff>
    </xdr:from>
    <xdr:to>
      <xdr:col>4</xdr:col>
      <xdr:colOff>219075</xdr:colOff>
      <xdr:row>5494</xdr:row>
      <xdr:rowOff>1751</xdr:rowOff>
    </xdr:to>
    <xdr:pic>
      <xdr:nvPicPr>
        <xdr:cNvPr id="2163" name="Picture 21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10585390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5489</xdr:row>
      <xdr:rowOff>28575</xdr:rowOff>
    </xdr:from>
    <xdr:to>
      <xdr:col>16</xdr:col>
      <xdr:colOff>28575</xdr:colOff>
      <xdr:row>5494</xdr:row>
      <xdr:rowOff>4926</xdr:rowOff>
    </xdr:to>
    <xdr:pic>
      <xdr:nvPicPr>
        <xdr:cNvPr id="2164" name="Picture 21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31059491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5490</xdr:row>
      <xdr:rowOff>85726</xdr:rowOff>
    </xdr:from>
    <xdr:to>
      <xdr:col>13</xdr:col>
      <xdr:colOff>561975</xdr:colOff>
      <xdr:row>5521</xdr:row>
      <xdr:rowOff>66675</xdr:rowOff>
    </xdr:to>
    <xdr:sp>
      <xdr:nvSpPr>
        <xdr:cNvPr id="2165" name="Rectangle 2164"/>
        <xdr:cNvSpPr/>
      </xdr:nvSpPr>
      <xdr:spPr>
        <a:xfrm>
          <a:off x="1016635" y="1310842565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5491</xdr:row>
      <xdr:rowOff>0</xdr:rowOff>
    </xdr:from>
    <xdr:to>
      <xdr:col>10</xdr:col>
      <xdr:colOff>561975</xdr:colOff>
      <xdr:row>5492</xdr:row>
      <xdr:rowOff>0</xdr:rowOff>
    </xdr:to>
    <xdr:sp>
      <xdr:nvSpPr>
        <xdr:cNvPr id="2166" name="TextBox 2165"/>
        <xdr:cNvSpPr txBox="1"/>
      </xdr:nvSpPr>
      <xdr:spPr>
        <a:xfrm>
          <a:off x="3109595" y="1311035605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5545</xdr:row>
      <xdr:rowOff>19050</xdr:rowOff>
    </xdr:from>
    <xdr:to>
      <xdr:col>4</xdr:col>
      <xdr:colOff>219075</xdr:colOff>
      <xdr:row>5550</xdr:row>
      <xdr:rowOff>1751</xdr:rowOff>
    </xdr:to>
    <xdr:pic>
      <xdr:nvPicPr>
        <xdr:cNvPr id="2167" name="Picture 21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23957855"/>
          <a:ext cx="1179195" cy="128778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5545</xdr:row>
      <xdr:rowOff>28575</xdr:rowOff>
    </xdr:from>
    <xdr:to>
      <xdr:col>16</xdr:col>
      <xdr:colOff>28575</xdr:colOff>
      <xdr:row>5550</xdr:row>
      <xdr:rowOff>4926</xdr:rowOff>
    </xdr:to>
    <xdr:pic>
      <xdr:nvPicPr>
        <xdr:cNvPr id="2168" name="Picture 21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8110" y="132396738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5546</xdr:row>
      <xdr:rowOff>85726</xdr:rowOff>
    </xdr:from>
    <xdr:to>
      <xdr:col>13</xdr:col>
      <xdr:colOff>561975</xdr:colOff>
      <xdr:row>5577</xdr:row>
      <xdr:rowOff>66675</xdr:rowOff>
    </xdr:to>
    <xdr:sp>
      <xdr:nvSpPr>
        <xdr:cNvPr id="2169" name="Rectangle 2168"/>
        <xdr:cNvSpPr/>
      </xdr:nvSpPr>
      <xdr:spPr>
        <a:xfrm>
          <a:off x="1016635" y="1324215030"/>
          <a:ext cx="6931025" cy="7708265"/>
        </a:xfrm>
        <a:prstGeom prst="rect">
          <a:avLst/>
        </a:prstGeom>
        <a:blipFill dpi="0" rotWithShape="1">
          <a:blip r:embed="rId2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5547</xdr:row>
      <xdr:rowOff>0</xdr:rowOff>
    </xdr:from>
    <xdr:to>
      <xdr:col>10</xdr:col>
      <xdr:colOff>561975</xdr:colOff>
      <xdr:row>5548</xdr:row>
      <xdr:rowOff>0</xdr:rowOff>
    </xdr:to>
    <xdr:sp>
      <xdr:nvSpPr>
        <xdr:cNvPr id="2170" name="TextBox 2169"/>
        <xdr:cNvSpPr txBox="1"/>
      </xdr:nvSpPr>
      <xdr:spPr>
        <a:xfrm>
          <a:off x="3109595" y="1324408070"/>
          <a:ext cx="265366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5</xdr:col>
      <xdr:colOff>419100</xdr:colOff>
      <xdr:row>39</xdr:row>
      <xdr:rowOff>9525</xdr:rowOff>
    </xdr:from>
    <xdr:to>
      <xdr:col>12</xdr:col>
      <xdr:colOff>180974</xdr:colOff>
      <xdr:row>39</xdr:row>
      <xdr:rowOff>257175</xdr:rowOff>
    </xdr:to>
    <xdr:sp>
      <xdr:nvSpPr>
        <xdr:cNvPr id="2" name="TextBox 1"/>
        <xdr:cNvSpPr txBox="1"/>
      </xdr:nvSpPr>
      <xdr:spPr>
        <a:xfrm>
          <a:off x="2359025" y="92335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</xdr:row>
      <xdr:rowOff>19050</xdr:rowOff>
    </xdr:from>
    <xdr:to>
      <xdr:col>4</xdr:col>
      <xdr:colOff>219075</xdr:colOff>
      <xdr:row>5</xdr:row>
      <xdr:rowOff>271626</xdr:rowOff>
    </xdr:to>
    <xdr:pic>
      <xdr:nvPicPr>
        <xdr:cNvPr id="3" name="Picture 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38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</xdr:row>
      <xdr:rowOff>28575</xdr:rowOff>
    </xdr:from>
    <xdr:to>
      <xdr:col>16</xdr:col>
      <xdr:colOff>28575</xdr:colOff>
      <xdr:row>6</xdr:row>
      <xdr:rowOff>4926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33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37</xdr:row>
      <xdr:rowOff>28575</xdr:rowOff>
    </xdr:from>
    <xdr:to>
      <xdr:col>4</xdr:col>
      <xdr:colOff>171451</xdr:colOff>
      <xdr:row>41</xdr:row>
      <xdr:rowOff>219075</xdr:rowOff>
    </xdr:to>
    <xdr:pic>
      <xdr:nvPicPr>
        <xdr:cNvPr id="5" name="Picture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8474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37</xdr:row>
      <xdr:rowOff>38100</xdr:rowOff>
    </xdr:from>
    <xdr:to>
      <xdr:col>15</xdr:col>
      <xdr:colOff>161926</xdr:colOff>
      <xdr:row>42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8569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</xdr:row>
      <xdr:rowOff>85726</xdr:rowOff>
    </xdr:from>
    <xdr:to>
      <xdr:col>13</xdr:col>
      <xdr:colOff>561975</xdr:colOff>
      <xdr:row>35</xdr:row>
      <xdr:rowOff>66675</xdr:rowOff>
    </xdr:to>
    <xdr:sp>
      <xdr:nvSpPr>
        <xdr:cNvPr id="7" name="Rectangle 6"/>
        <xdr:cNvSpPr/>
      </xdr:nvSpPr>
      <xdr:spPr>
        <a:xfrm>
          <a:off x="1016635" y="3409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36</xdr:row>
      <xdr:rowOff>76200</xdr:rowOff>
    </xdr:from>
    <xdr:to>
      <xdr:col>11</xdr:col>
      <xdr:colOff>552450</xdr:colOff>
      <xdr:row>53</xdr:row>
      <xdr:rowOff>247651</xdr:rowOff>
    </xdr:to>
    <xdr:sp>
      <xdr:nvSpPr>
        <xdr:cNvPr id="8" name="Rectangle 7"/>
        <xdr:cNvSpPr/>
      </xdr:nvSpPr>
      <xdr:spPr>
        <a:xfrm>
          <a:off x="2530475" y="87687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</xdr:row>
      <xdr:rowOff>0</xdr:rowOff>
    </xdr:from>
    <xdr:to>
      <xdr:col>10</xdr:col>
      <xdr:colOff>561975</xdr:colOff>
      <xdr:row>4</xdr:row>
      <xdr:rowOff>0</xdr:rowOff>
    </xdr:to>
    <xdr:sp>
      <xdr:nvSpPr>
        <xdr:cNvPr id="9" name="TextBox 8"/>
        <xdr:cNvSpPr txBox="1"/>
      </xdr:nvSpPr>
      <xdr:spPr>
        <a:xfrm>
          <a:off x="3109595" y="5340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96</xdr:row>
      <xdr:rowOff>9525</xdr:rowOff>
    </xdr:from>
    <xdr:to>
      <xdr:col>12</xdr:col>
      <xdr:colOff>180974</xdr:colOff>
      <xdr:row>96</xdr:row>
      <xdr:rowOff>257175</xdr:rowOff>
    </xdr:to>
    <xdr:sp>
      <xdr:nvSpPr>
        <xdr:cNvPr id="834" name="TextBox 833"/>
        <xdr:cNvSpPr txBox="1"/>
      </xdr:nvSpPr>
      <xdr:spPr>
        <a:xfrm>
          <a:off x="2359025" y="228447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58</xdr:row>
      <xdr:rowOff>19050</xdr:rowOff>
    </xdr:from>
    <xdr:to>
      <xdr:col>4</xdr:col>
      <xdr:colOff>219075</xdr:colOff>
      <xdr:row>62</xdr:row>
      <xdr:rowOff>271626</xdr:rowOff>
    </xdr:to>
    <xdr:pic>
      <xdr:nvPicPr>
        <xdr:cNvPr id="835" name="Picture 8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6950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58</xdr:row>
      <xdr:rowOff>28575</xdr:rowOff>
    </xdr:from>
    <xdr:to>
      <xdr:col>16</xdr:col>
      <xdr:colOff>28575</xdr:colOff>
      <xdr:row>63</xdr:row>
      <xdr:rowOff>4926</xdr:rowOff>
    </xdr:to>
    <xdr:pic>
      <xdr:nvPicPr>
        <xdr:cNvPr id="836" name="Picture 8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37045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94</xdr:row>
      <xdr:rowOff>28575</xdr:rowOff>
    </xdr:from>
    <xdr:to>
      <xdr:col>4</xdr:col>
      <xdr:colOff>171451</xdr:colOff>
      <xdr:row>98</xdr:row>
      <xdr:rowOff>219075</xdr:rowOff>
    </xdr:to>
    <xdr:pic>
      <xdr:nvPicPr>
        <xdr:cNvPr id="837" name="Picture 83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24586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94</xdr:row>
      <xdr:rowOff>38100</xdr:rowOff>
    </xdr:from>
    <xdr:to>
      <xdr:col>15</xdr:col>
      <xdr:colOff>161926</xdr:colOff>
      <xdr:row>99</xdr:row>
      <xdr:rowOff>0</xdr:rowOff>
    </xdr:to>
    <xdr:pic>
      <xdr:nvPicPr>
        <xdr:cNvPr id="838" name="Picture 83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24682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59</xdr:row>
      <xdr:rowOff>85726</xdr:rowOff>
    </xdr:from>
    <xdr:to>
      <xdr:col>13</xdr:col>
      <xdr:colOff>561975</xdr:colOff>
      <xdr:row>92</xdr:row>
      <xdr:rowOff>66675</xdr:rowOff>
    </xdr:to>
    <xdr:sp>
      <xdr:nvSpPr>
        <xdr:cNvPr id="839" name="Rectangle 838"/>
        <xdr:cNvSpPr/>
      </xdr:nvSpPr>
      <xdr:spPr>
        <a:xfrm>
          <a:off x="1016635" y="139522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93</xdr:row>
      <xdr:rowOff>76200</xdr:rowOff>
    </xdr:from>
    <xdr:to>
      <xdr:col>11</xdr:col>
      <xdr:colOff>552450</xdr:colOff>
      <xdr:row>110</xdr:row>
      <xdr:rowOff>247651</xdr:rowOff>
    </xdr:to>
    <xdr:sp>
      <xdr:nvSpPr>
        <xdr:cNvPr id="840" name="Rectangle 839"/>
        <xdr:cNvSpPr/>
      </xdr:nvSpPr>
      <xdr:spPr>
        <a:xfrm>
          <a:off x="2530475" y="223799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60</xdr:row>
      <xdr:rowOff>0</xdr:rowOff>
    </xdr:from>
    <xdr:to>
      <xdr:col>10</xdr:col>
      <xdr:colOff>561975</xdr:colOff>
      <xdr:row>61</xdr:row>
      <xdr:rowOff>0</xdr:rowOff>
    </xdr:to>
    <xdr:sp>
      <xdr:nvSpPr>
        <xdr:cNvPr id="841" name="TextBox 840"/>
        <xdr:cNvSpPr txBox="1"/>
      </xdr:nvSpPr>
      <xdr:spPr>
        <a:xfrm>
          <a:off x="3109595" y="141452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153</xdr:row>
      <xdr:rowOff>9525</xdr:rowOff>
    </xdr:from>
    <xdr:to>
      <xdr:col>12</xdr:col>
      <xdr:colOff>180974</xdr:colOff>
      <xdr:row>153</xdr:row>
      <xdr:rowOff>257175</xdr:rowOff>
    </xdr:to>
    <xdr:sp>
      <xdr:nvSpPr>
        <xdr:cNvPr id="842" name="TextBox 841"/>
        <xdr:cNvSpPr txBox="1"/>
      </xdr:nvSpPr>
      <xdr:spPr>
        <a:xfrm>
          <a:off x="2359025" y="364559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115</xdr:row>
      <xdr:rowOff>19050</xdr:rowOff>
    </xdr:from>
    <xdr:to>
      <xdr:col>4</xdr:col>
      <xdr:colOff>219075</xdr:colOff>
      <xdr:row>119</xdr:row>
      <xdr:rowOff>271626</xdr:rowOff>
    </xdr:to>
    <xdr:pic>
      <xdr:nvPicPr>
        <xdr:cNvPr id="843" name="Picture 8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73062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115</xdr:row>
      <xdr:rowOff>28575</xdr:rowOff>
    </xdr:from>
    <xdr:to>
      <xdr:col>16</xdr:col>
      <xdr:colOff>28575</xdr:colOff>
      <xdr:row>120</xdr:row>
      <xdr:rowOff>4926</xdr:rowOff>
    </xdr:to>
    <xdr:pic>
      <xdr:nvPicPr>
        <xdr:cNvPr id="844" name="Picture 8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73157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151</xdr:row>
      <xdr:rowOff>28575</xdr:rowOff>
    </xdr:from>
    <xdr:to>
      <xdr:col>4</xdr:col>
      <xdr:colOff>171451</xdr:colOff>
      <xdr:row>155</xdr:row>
      <xdr:rowOff>219075</xdr:rowOff>
    </xdr:to>
    <xdr:pic>
      <xdr:nvPicPr>
        <xdr:cNvPr id="845" name="Picture 84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60699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151</xdr:row>
      <xdr:rowOff>38100</xdr:rowOff>
    </xdr:from>
    <xdr:to>
      <xdr:col>15</xdr:col>
      <xdr:colOff>161926</xdr:colOff>
      <xdr:row>156</xdr:row>
      <xdr:rowOff>0</xdr:rowOff>
    </xdr:to>
    <xdr:pic>
      <xdr:nvPicPr>
        <xdr:cNvPr id="846" name="Picture 84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60794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116</xdr:row>
      <xdr:rowOff>85726</xdr:rowOff>
    </xdr:from>
    <xdr:to>
      <xdr:col>13</xdr:col>
      <xdr:colOff>561975</xdr:colOff>
      <xdr:row>149</xdr:row>
      <xdr:rowOff>66675</xdr:rowOff>
    </xdr:to>
    <xdr:sp>
      <xdr:nvSpPr>
        <xdr:cNvPr id="847" name="Rectangle 846"/>
        <xdr:cNvSpPr/>
      </xdr:nvSpPr>
      <xdr:spPr>
        <a:xfrm>
          <a:off x="1016635" y="275634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150</xdr:row>
      <xdr:rowOff>76200</xdr:rowOff>
    </xdr:from>
    <xdr:to>
      <xdr:col>11</xdr:col>
      <xdr:colOff>552450</xdr:colOff>
      <xdr:row>167</xdr:row>
      <xdr:rowOff>247651</xdr:rowOff>
    </xdr:to>
    <xdr:sp>
      <xdr:nvSpPr>
        <xdr:cNvPr id="848" name="Rectangle 847"/>
        <xdr:cNvSpPr/>
      </xdr:nvSpPr>
      <xdr:spPr>
        <a:xfrm>
          <a:off x="2530475" y="359911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117</xdr:row>
      <xdr:rowOff>0</xdr:rowOff>
    </xdr:from>
    <xdr:to>
      <xdr:col>10</xdr:col>
      <xdr:colOff>561975</xdr:colOff>
      <xdr:row>118</xdr:row>
      <xdr:rowOff>0</xdr:rowOff>
    </xdr:to>
    <xdr:sp>
      <xdr:nvSpPr>
        <xdr:cNvPr id="849" name="TextBox 848"/>
        <xdr:cNvSpPr txBox="1"/>
      </xdr:nvSpPr>
      <xdr:spPr>
        <a:xfrm>
          <a:off x="3109595" y="277564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210</xdr:row>
      <xdr:rowOff>9525</xdr:rowOff>
    </xdr:from>
    <xdr:to>
      <xdr:col>12</xdr:col>
      <xdr:colOff>180974</xdr:colOff>
      <xdr:row>210</xdr:row>
      <xdr:rowOff>257175</xdr:rowOff>
    </xdr:to>
    <xdr:sp>
      <xdr:nvSpPr>
        <xdr:cNvPr id="850" name="TextBox 849"/>
        <xdr:cNvSpPr txBox="1"/>
      </xdr:nvSpPr>
      <xdr:spPr>
        <a:xfrm>
          <a:off x="2359025" y="500672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172</xdr:row>
      <xdr:rowOff>19050</xdr:rowOff>
    </xdr:from>
    <xdr:to>
      <xdr:col>4</xdr:col>
      <xdr:colOff>219075</xdr:colOff>
      <xdr:row>176</xdr:row>
      <xdr:rowOff>271626</xdr:rowOff>
    </xdr:to>
    <xdr:pic>
      <xdr:nvPicPr>
        <xdr:cNvPr id="851" name="Picture 8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09174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172</xdr:row>
      <xdr:rowOff>28575</xdr:rowOff>
    </xdr:from>
    <xdr:to>
      <xdr:col>16</xdr:col>
      <xdr:colOff>28575</xdr:colOff>
      <xdr:row>177</xdr:row>
      <xdr:rowOff>4926</xdr:rowOff>
    </xdr:to>
    <xdr:pic>
      <xdr:nvPicPr>
        <xdr:cNvPr id="852" name="Picture 8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09270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208</xdr:row>
      <xdr:rowOff>28575</xdr:rowOff>
    </xdr:from>
    <xdr:to>
      <xdr:col>4</xdr:col>
      <xdr:colOff>171451</xdr:colOff>
      <xdr:row>212</xdr:row>
      <xdr:rowOff>219075</xdr:rowOff>
    </xdr:to>
    <xdr:pic>
      <xdr:nvPicPr>
        <xdr:cNvPr id="853" name="Picture 85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96811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208</xdr:row>
      <xdr:rowOff>38100</xdr:rowOff>
    </xdr:from>
    <xdr:to>
      <xdr:col>15</xdr:col>
      <xdr:colOff>161926</xdr:colOff>
      <xdr:row>213</xdr:row>
      <xdr:rowOff>0</xdr:rowOff>
    </xdr:to>
    <xdr:pic>
      <xdr:nvPicPr>
        <xdr:cNvPr id="854" name="Picture 85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96906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173</xdr:row>
      <xdr:rowOff>85726</xdr:rowOff>
    </xdr:from>
    <xdr:to>
      <xdr:col>13</xdr:col>
      <xdr:colOff>561975</xdr:colOff>
      <xdr:row>206</xdr:row>
      <xdr:rowOff>66675</xdr:rowOff>
    </xdr:to>
    <xdr:sp>
      <xdr:nvSpPr>
        <xdr:cNvPr id="855" name="Rectangle 854"/>
        <xdr:cNvSpPr/>
      </xdr:nvSpPr>
      <xdr:spPr>
        <a:xfrm>
          <a:off x="1016635" y="411746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207</xdr:row>
      <xdr:rowOff>76200</xdr:rowOff>
    </xdr:from>
    <xdr:to>
      <xdr:col>11</xdr:col>
      <xdr:colOff>552450</xdr:colOff>
      <xdr:row>224</xdr:row>
      <xdr:rowOff>247651</xdr:rowOff>
    </xdr:to>
    <xdr:sp>
      <xdr:nvSpPr>
        <xdr:cNvPr id="856" name="Rectangle 855"/>
        <xdr:cNvSpPr/>
      </xdr:nvSpPr>
      <xdr:spPr>
        <a:xfrm>
          <a:off x="2530475" y="496023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174</xdr:row>
      <xdr:rowOff>0</xdr:rowOff>
    </xdr:from>
    <xdr:to>
      <xdr:col>10</xdr:col>
      <xdr:colOff>561975</xdr:colOff>
      <xdr:row>175</xdr:row>
      <xdr:rowOff>0</xdr:rowOff>
    </xdr:to>
    <xdr:sp>
      <xdr:nvSpPr>
        <xdr:cNvPr id="857" name="TextBox 856"/>
        <xdr:cNvSpPr txBox="1"/>
      </xdr:nvSpPr>
      <xdr:spPr>
        <a:xfrm>
          <a:off x="3109595" y="413677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267</xdr:row>
      <xdr:rowOff>9525</xdr:rowOff>
    </xdr:from>
    <xdr:to>
      <xdr:col>12</xdr:col>
      <xdr:colOff>180974</xdr:colOff>
      <xdr:row>267</xdr:row>
      <xdr:rowOff>257175</xdr:rowOff>
    </xdr:to>
    <xdr:sp>
      <xdr:nvSpPr>
        <xdr:cNvPr id="858" name="TextBox 857"/>
        <xdr:cNvSpPr txBox="1"/>
      </xdr:nvSpPr>
      <xdr:spPr>
        <a:xfrm>
          <a:off x="2359025" y="636784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229</xdr:row>
      <xdr:rowOff>19050</xdr:rowOff>
    </xdr:from>
    <xdr:to>
      <xdr:col>4</xdr:col>
      <xdr:colOff>219075</xdr:colOff>
      <xdr:row>233</xdr:row>
      <xdr:rowOff>271626</xdr:rowOff>
    </xdr:to>
    <xdr:pic>
      <xdr:nvPicPr>
        <xdr:cNvPr id="859" name="Picture 8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45287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229</xdr:row>
      <xdr:rowOff>28575</xdr:rowOff>
    </xdr:from>
    <xdr:to>
      <xdr:col>16</xdr:col>
      <xdr:colOff>28575</xdr:colOff>
      <xdr:row>234</xdr:row>
      <xdr:rowOff>4926</xdr:rowOff>
    </xdr:to>
    <xdr:pic>
      <xdr:nvPicPr>
        <xdr:cNvPr id="860" name="Picture 8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45382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265</xdr:row>
      <xdr:rowOff>28575</xdr:rowOff>
    </xdr:from>
    <xdr:to>
      <xdr:col>4</xdr:col>
      <xdr:colOff>171451</xdr:colOff>
      <xdr:row>269</xdr:row>
      <xdr:rowOff>219075</xdr:rowOff>
    </xdr:to>
    <xdr:pic>
      <xdr:nvPicPr>
        <xdr:cNvPr id="861" name="Picture 86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32923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265</xdr:row>
      <xdr:rowOff>38100</xdr:rowOff>
    </xdr:from>
    <xdr:to>
      <xdr:col>15</xdr:col>
      <xdr:colOff>161926</xdr:colOff>
      <xdr:row>270</xdr:row>
      <xdr:rowOff>0</xdr:rowOff>
    </xdr:to>
    <xdr:pic>
      <xdr:nvPicPr>
        <xdr:cNvPr id="862" name="Picture 86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33018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230</xdr:row>
      <xdr:rowOff>85726</xdr:rowOff>
    </xdr:from>
    <xdr:to>
      <xdr:col>13</xdr:col>
      <xdr:colOff>561975</xdr:colOff>
      <xdr:row>263</xdr:row>
      <xdr:rowOff>66675</xdr:rowOff>
    </xdr:to>
    <xdr:sp>
      <xdr:nvSpPr>
        <xdr:cNvPr id="863" name="Rectangle 862"/>
        <xdr:cNvSpPr/>
      </xdr:nvSpPr>
      <xdr:spPr>
        <a:xfrm>
          <a:off x="1016635" y="547858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264</xdr:row>
      <xdr:rowOff>76200</xdr:rowOff>
    </xdr:from>
    <xdr:to>
      <xdr:col>11</xdr:col>
      <xdr:colOff>552450</xdr:colOff>
      <xdr:row>281</xdr:row>
      <xdr:rowOff>247651</xdr:rowOff>
    </xdr:to>
    <xdr:sp>
      <xdr:nvSpPr>
        <xdr:cNvPr id="864" name="Rectangle 863"/>
        <xdr:cNvSpPr/>
      </xdr:nvSpPr>
      <xdr:spPr>
        <a:xfrm>
          <a:off x="2530475" y="632136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231</xdr:row>
      <xdr:rowOff>0</xdr:rowOff>
    </xdr:from>
    <xdr:to>
      <xdr:col>10</xdr:col>
      <xdr:colOff>561975</xdr:colOff>
      <xdr:row>232</xdr:row>
      <xdr:rowOff>0</xdr:rowOff>
    </xdr:to>
    <xdr:sp>
      <xdr:nvSpPr>
        <xdr:cNvPr id="865" name="TextBox 864"/>
        <xdr:cNvSpPr txBox="1"/>
      </xdr:nvSpPr>
      <xdr:spPr>
        <a:xfrm>
          <a:off x="3109595" y="549789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324</xdr:row>
      <xdr:rowOff>9525</xdr:rowOff>
    </xdr:from>
    <xdr:to>
      <xdr:col>12</xdr:col>
      <xdr:colOff>180974</xdr:colOff>
      <xdr:row>324</xdr:row>
      <xdr:rowOff>257175</xdr:rowOff>
    </xdr:to>
    <xdr:sp>
      <xdr:nvSpPr>
        <xdr:cNvPr id="866" name="TextBox 865"/>
        <xdr:cNvSpPr txBox="1"/>
      </xdr:nvSpPr>
      <xdr:spPr>
        <a:xfrm>
          <a:off x="2359025" y="772896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286</xdr:row>
      <xdr:rowOff>19050</xdr:rowOff>
    </xdr:from>
    <xdr:to>
      <xdr:col>4</xdr:col>
      <xdr:colOff>219075</xdr:colOff>
      <xdr:row>290</xdr:row>
      <xdr:rowOff>271626</xdr:rowOff>
    </xdr:to>
    <xdr:pic>
      <xdr:nvPicPr>
        <xdr:cNvPr id="867" name="Picture 8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81399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286</xdr:row>
      <xdr:rowOff>28575</xdr:rowOff>
    </xdr:from>
    <xdr:to>
      <xdr:col>16</xdr:col>
      <xdr:colOff>28575</xdr:colOff>
      <xdr:row>291</xdr:row>
      <xdr:rowOff>4926</xdr:rowOff>
    </xdr:to>
    <xdr:pic>
      <xdr:nvPicPr>
        <xdr:cNvPr id="868" name="Picture 8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81494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322</xdr:row>
      <xdr:rowOff>28575</xdr:rowOff>
    </xdr:from>
    <xdr:to>
      <xdr:col>4</xdr:col>
      <xdr:colOff>171451</xdr:colOff>
      <xdr:row>326</xdr:row>
      <xdr:rowOff>219075</xdr:rowOff>
    </xdr:to>
    <xdr:pic>
      <xdr:nvPicPr>
        <xdr:cNvPr id="869" name="Picture 86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69035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322</xdr:row>
      <xdr:rowOff>38100</xdr:rowOff>
    </xdr:from>
    <xdr:to>
      <xdr:col>15</xdr:col>
      <xdr:colOff>161926</xdr:colOff>
      <xdr:row>327</xdr:row>
      <xdr:rowOff>0</xdr:rowOff>
    </xdr:to>
    <xdr:pic>
      <xdr:nvPicPr>
        <xdr:cNvPr id="870" name="Picture 86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69131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287</xdr:row>
      <xdr:rowOff>85726</xdr:rowOff>
    </xdr:from>
    <xdr:to>
      <xdr:col>13</xdr:col>
      <xdr:colOff>561975</xdr:colOff>
      <xdr:row>320</xdr:row>
      <xdr:rowOff>66675</xdr:rowOff>
    </xdr:to>
    <xdr:sp>
      <xdr:nvSpPr>
        <xdr:cNvPr id="871" name="Rectangle 870"/>
        <xdr:cNvSpPr/>
      </xdr:nvSpPr>
      <xdr:spPr>
        <a:xfrm>
          <a:off x="1016635" y="683971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321</xdr:row>
      <xdr:rowOff>76200</xdr:rowOff>
    </xdr:from>
    <xdr:to>
      <xdr:col>11</xdr:col>
      <xdr:colOff>552450</xdr:colOff>
      <xdr:row>338</xdr:row>
      <xdr:rowOff>247651</xdr:rowOff>
    </xdr:to>
    <xdr:sp>
      <xdr:nvSpPr>
        <xdr:cNvPr id="872" name="Rectangle 871"/>
        <xdr:cNvSpPr/>
      </xdr:nvSpPr>
      <xdr:spPr>
        <a:xfrm>
          <a:off x="2530475" y="768248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288</xdr:row>
      <xdr:rowOff>0</xdr:rowOff>
    </xdr:from>
    <xdr:to>
      <xdr:col>10</xdr:col>
      <xdr:colOff>561975</xdr:colOff>
      <xdr:row>289</xdr:row>
      <xdr:rowOff>0</xdr:rowOff>
    </xdr:to>
    <xdr:sp>
      <xdr:nvSpPr>
        <xdr:cNvPr id="873" name="TextBox 872"/>
        <xdr:cNvSpPr txBox="1"/>
      </xdr:nvSpPr>
      <xdr:spPr>
        <a:xfrm>
          <a:off x="3109595" y="685901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381</xdr:row>
      <xdr:rowOff>9525</xdr:rowOff>
    </xdr:from>
    <xdr:to>
      <xdr:col>12</xdr:col>
      <xdr:colOff>180974</xdr:colOff>
      <xdr:row>381</xdr:row>
      <xdr:rowOff>257175</xdr:rowOff>
    </xdr:to>
    <xdr:sp>
      <xdr:nvSpPr>
        <xdr:cNvPr id="874" name="TextBox 873"/>
        <xdr:cNvSpPr txBox="1"/>
      </xdr:nvSpPr>
      <xdr:spPr>
        <a:xfrm>
          <a:off x="2359025" y="909008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343</xdr:row>
      <xdr:rowOff>19050</xdr:rowOff>
    </xdr:from>
    <xdr:to>
      <xdr:col>4</xdr:col>
      <xdr:colOff>219075</xdr:colOff>
      <xdr:row>347</xdr:row>
      <xdr:rowOff>271626</xdr:rowOff>
    </xdr:to>
    <xdr:pic>
      <xdr:nvPicPr>
        <xdr:cNvPr id="875" name="Picture 87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17511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343</xdr:row>
      <xdr:rowOff>28575</xdr:rowOff>
    </xdr:from>
    <xdr:to>
      <xdr:col>16</xdr:col>
      <xdr:colOff>28575</xdr:colOff>
      <xdr:row>348</xdr:row>
      <xdr:rowOff>4926</xdr:rowOff>
    </xdr:to>
    <xdr:pic>
      <xdr:nvPicPr>
        <xdr:cNvPr id="876" name="Picture 87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17606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379</xdr:row>
      <xdr:rowOff>28575</xdr:rowOff>
    </xdr:from>
    <xdr:to>
      <xdr:col>4</xdr:col>
      <xdr:colOff>171451</xdr:colOff>
      <xdr:row>383</xdr:row>
      <xdr:rowOff>219075</xdr:rowOff>
    </xdr:to>
    <xdr:pic>
      <xdr:nvPicPr>
        <xdr:cNvPr id="877" name="Picture 87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05148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379</xdr:row>
      <xdr:rowOff>38100</xdr:rowOff>
    </xdr:from>
    <xdr:to>
      <xdr:col>15</xdr:col>
      <xdr:colOff>161926</xdr:colOff>
      <xdr:row>384</xdr:row>
      <xdr:rowOff>0</xdr:rowOff>
    </xdr:to>
    <xdr:pic>
      <xdr:nvPicPr>
        <xdr:cNvPr id="878" name="Picture 87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05243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344</xdr:row>
      <xdr:rowOff>85726</xdr:rowOff>
    </xdr:from>
    <xdr:to>
      <xdr:col>13</xdr:col>
      <xdr:colOff>561975</xdr:colOff>
      <xdr:row>377</xdr:row>
      <xdr:rowOff>66675</xdr:rowOff>
    </xdr:to>
    <xdr:sp>
      <xdr:nvSpPr>
        <xdr:cNvPr id="879" name="Rectangle 878"/>
        <xdr:cNvSpPr/>
      </xdr:nvSpPr>
      <xdr:spPr>
        <a:xfrm>
          <a:off x="1016635" y="820083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378</xdr:row>
      <xdr:rowOff>76200</xdr:rowOff>
    </xdr:from>
    <xdr:to>
      <xdr:col>11</xdr:col>
      <xdr:colOff>552450</xdr:colOff>
      <xdr:row>395</xdr:row>
      <xdr:rowOff>247651</xdr:rowOff>
    </xdr:to>
    <xdr:sp>
      <xdr:nvSpPr>
        <xdr:cNvPr id="880" name="Rectangle 879"/>
        <xdr:cNvSpPr/>
      </xdr:nvSpPr>
      <xdr:spPr>
        <a:xfrm>
          <a:off x="2530475" y="904360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345</xdr:row>
      <xdr:rowOff>0</xdr:rowOff>
    </xdr:from>
    <xdr:to>
      <xdr:col>10</xdr:col>
      <xdr:colOff>561975</xdr:colOff>
      <xdr:row>346</xdr:row>
      <xdr:rowOff>0</xdr:rowOff>
    </xdr:to>
    <xdr:sp>
      <xdr:nvSpPr>
        <xdr:cNvPr id="881" name="TextBox 880"/>
        <xdr:cNvSpPr txBox="1"/>
      </xdr:nvSpPr>
      <xdr:spPr>
        <a:xfrm>
          <a:off x="3109595" y="822013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438</xdr:row>
      <xdr:rowOff>9525</xdr:rowOff>
    </xdr:from>
    <xdr:to>
      <xdr:col>12</xdr:col>
      <xdr:colOff>180974</xdr:colOff>
      <xdr:row>438</xdr:row>
      <xdr:rowOff>257175</xdr:rowOff>
    </xdr:to>
    <xdr:sp>
      <xdr:nvSpPr>
        <xdr:cNvPr id="882" name="TextBox 881"/>
        <xdr:cNvSpPr txBox="1"/>
      </xdr:nvSpPr>
      <xdr:spPr>
        <a:xfrm>
          <a:off x="2359025" y="1045121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400</xdr:row>
      <xdr:rowOff>19050</xdr:rowOff>
    </xdr:from>
    <xdr:to>
      <xdr:col>4</xdr:col>
      <xdr:colOff>219075</xdr:colOff>
      <xdr:row>404</xdr:row>
      <xdr:rowOff>271626</xdr:rowOff>
    </xdr:to>
    <xdr:pic>
      <xdr:nvPicPr>
        <xdr:cNvPr id="883" name="Picture 8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53623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400</xdr:row>
      <xdr:rowOff>28575</xdr:rowOff>
    </xdr:from>
    <xdr:to>
      <xdr:col>16</xdr:col>
      <xdr:colOff>28575</xdr:colOff>
      <xdr:row>405</xdr:row>
      <xdr:rowOff>4926</xdr:rowOff>
    </xdr:to>
    <xdr:pic>
      <xdr:nvPicPr>
        <xdr:cNvPr id="884" name="Picture 8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53719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436</xdr:row>
      <xdr:rowOff>28575</xdr:rowOff>
    </xdr:from>
    <xdr:to>
      <xdr:col>4</xdr:col>
      <xdr:colOff>171451</xdr:colOff>
      <xdr:row>440</xdr:row>
      <xdr:rowOff>219075</xdr:rowOff>
    </xdr:to>
    <xdr:pic>
      <xdr:nvPicPr>
        <xdr:cNvPr id="885" name="Picture 88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41260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436</xdr:row>
      <xdr:rowOff>38100</xdr:rowOff>
    </xdr:from>
    <xdr:to>
      <xdr:col>15</xdr:col>
      <xdr:colOff>161926</xdr:colOff>
      <xdr:row>441</xdr:row>
      <xdr:rowOff>0</xdr:rowOff>
    </xdr:to>
    <xdr:pic>
      <xdr:nvPicPr>
        <xdr:cNvPr id="886" name="Picture 88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41355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401</xdr:row>
      <xdr:rowOff>85726</xdr:rowOff>
    </xdr:from>
    <xdr:to>
      <xdr:col>13</xdr:col>
      <xdr:colOff>561975</xdr:colOff>
      <xdr:row>434</xdr:row>
      <xdr:rowOff>66675</xdr:rowOff>
    </xdr:to>
    <xdr:sp>
      <xdr:nvSpPr>
        <xdr:cNvPr id="887" name="Rectangle 886"/>
        <xdr:cNvSpPr/>
      </xdr:nvSpPr>
      <xdr:spPr>
        <a:xfrm>
          <a:off x="1016635" y="956195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435</xdr:row>
      <xdr:rowOff>76200</xdr:rowOff>
    </xdr:from>
    <xdr:to>
      <xdr:col>11</xdr:col>
      <xdr:colOff>552450</xdr:colOff>
      <xdr:row>452</xdr:row>
      <xdr:rowOff>247651</xdr:rowOff>
    </xdr:to>
    <xdr:sp>
      <xdr:nvSpPr>
        <xdr:cNvPr id="888" name="Rectangle 887"/>
        <xdr:cNvSpPr/>
      </xdr:nvSpPr>
      <xdr:spPr>
        <a:xfrm>
          <a:off x="2530475" y="1040472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402</xdr:row>
      <xdr:rowOff>0</xdr:rowOff>
    </xdr:from>
    <xdr:to>
      <xdr:col>10</xdr:col>
      <xdr:colOff>561975</xdr:colOff>
      <xdr:row>403</xdr:row>
      <xdr:rowOff>0</xdr:rowOff>
    </xdr:to>
    <xdr:sp>
      <xdr:nvSpPr>
        <xdr:cNvPr id="889" name="TextBox 888"/>
        <xdr:cNvSpPr txBox="1"/>
      </xdr:nvSpPr>
      <xdr:spPr>
        <a:xfrm>
          <a:off x="3109595" y="958126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495</xdr:row>
      <xdr:rowOff>9525</xdr:rowOff>
    </xdr:from>
    <xdr:to>
      <xdr:col>12</xdr:col>
      <xdr:colOff>180974</xdr:colOff>
      <xdr:row>495</xdr:row>
      <xdr:rowOff>257175</xdr:rowOff>
    </xdr:to>
    <xdr:sp>
      <xdr:nvSpPr>
        <xdr:cNvPr id="890" name="TextBox 889"/>
        <xdr:cNvSpPr txBox="1"/>
      </xdr:nvSpPr>
      <xdr:spPr>
        <a:xfrm>
          <a:off x="2359025" y="1181233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457</xdr:row>
      <xdr:rowOff>19050</xdr:rowOff>
    </xdr:from>
    <xdr:to>
      <xdr:col>4</xdr:col>
      <xdr:colOff>219075</xdr:colOff>
      <xdr:row>461</xdr:row>
      <xdr:rowOff>271626</xdr:rowOff>
    </xdr:to>
    <xdr:pic>
      <xdr:nvPicPr>
        <xdr:cNvPr id="891" name="Picture 8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89736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457</xdr:row>
      <xdr:rowOff>28575</xdr:rowOff>
    </xdr:from>
    <xdr:to>
      <xdr:col>16</xdr:col>
      <xdr:colOff>28575</xdr:colOff>
      <xdr:row>462</xdr:row>
      <xdr:rowOff>4926</xdr:rowOff>
    </xdr:to>
    <xdr:pic>
      <xdr:nvPicPr>
        <xdr:cNvPr id="892" name="Picture 8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89831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493</xdr:row>
      <xdr:rowOff>28575</xdr:rowOff>
    </xdr:from>
    <xdr:to>
      <xdr:col>4</xdr:col>
      <xdr:colOff>171451</xdr:colOff>
      <xdr:row>497</xdr:row>
      <xdr:rowOff>219075</xdr:rowOff>
    </xdr:to>
    <xdr:pic>
      <xdr:nvPicPr>
        <xdr:cNvPr id="893" name="Picture 89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77372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493</xdr:row>
      <xdr:rowOff>38100</xdr:rowOff>
    </xdr:from>
    <xdr:to>
      <xdr:col>15</xdr:col>
      <xdr:colOff>161926</xdr:colOff>
      <xdr:row>498</xdr:row>
      <xdr:rowOff>0</xdr:rowOff>
    </xdr:to>
    <xdr:pic>
      <xdr:nvPicPr>
        <xdr:cNvPr id="894" name="Picture 89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77467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458</xdr:row>
      <xdr:rowOff>85726</xdr:rowOff>
    </xdr:from>
    <xdr:to>
      <xdr:col>13</xdr:col>
      <xdr:colOff>561975</xdr:colOff>
      <xdr:row>491</xdr:row>
      <xdr:rowOff>66675</xdr:rowOff>
    </xdr:to>
    <xdr:sp>
      <xdr:nvSpPr>
        <xdr:cNvPr id="895" name="Rectangle 894"/>
        <xdr:cNvSpPr/>
      </xdr:nvSpPr>
      <xdr:spPr>
        <a:xfrm>
          <a:off x="1016635" y="1092307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492</xdr:row>
      <xdr:rowOff>76200</xdr:rowOff>
    </xdr:from>
    <xdr:to>
      <xdr:col>11</xdr:col>
      <xdr:colOff>552450</xdr:colOff>
      <xdr:row>509</xdr:row>
      <xdr:rowOff>247651</xdr:rowOff>
    </xdr:to>
    <xdr:sp>
      <xdr:nvSpPr>
        <xdr:cNvPr id="896" name="Rectangle 895"/>
        <xdr:cNvSpPr/>
      </xdr:nvSpPr>
      <xdr:spPr>
        <a:xfrm>
          <a:off x="2530475" y="1176585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459</xdr:row>
      <xdr:rowOff>0</xdr:rowOff>
    </xdr:from>
    <xdr:to>
      <xdr:col>10</xdr:col>
      <xdr:colOff>561975</xdr:colOff>
      <xdr:row>460</xdr:row>
      <xdr:rowOff>0</xdr:rowOff>
    </xdr:to>
    <xdr:sp>
      <xdr:nvSpPr>
        <xdr:cNvPr id="897" name="TextBox 896"/>
        <xdr:cNvSpPr txBox="1"/>
      </xdr:nvSpPr>
      <xdr:spPr>
        <a:xfrm>
          <a:off x="3109595" y="1094238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552</xdr:row>
      <xdr:rowOff>9525</xdr:rowOff>
    </xdr:from>
    <xdr:to>
      <xdr:col>12</xdr:col>
      <xdr:colOff>180974</xdr:colOff>
      <xdr:row>552</xdr:row>
      <xdr:rowOff>257175</xdr:rowOff>
    </xdr:to>
    <xdr:sp>
      <xdr:nvSpPr>
        <xdr:cNvPr id="898" name="TextBox 897"/>
        <xdr:cNvSpPr txBox="1"/>
      </xdr:nvSpPr>
      <xdr:spPr>
        <a:xfrm>
          <a:off x="2359025" y="1317345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514</xdr:row>
      <xdr:rowOff>19050</xdr:rowOff>
    </xdr:from>
    <xdr:to>
      <xdr:col>4</xdr:col>
      <xdr:colOff>219075</xdr:colOff>
      <xdr:row>518</xdr:row>
      <xdr:rowOff>271626</xdr:rowOff>
    </xdr:to>
    <xdr:pic>
      <xdr:nvPicPr>
        <xdr:cNvPr id="899" name="Picture 8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25848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514</xdr:row>
      <xdr:rowOff>28575</xdr:rowOff>
    </xdr:from>
    <xdr:to>
      <xdr:col>16</xdr:col>
      <xdr:colOff>28575</xdr:colOff>
      <xdr:row>519</xdr:row>
      <xdr:rowOff>4926</xdr:rowOff>
    </xdr:to>
    <xdr:pic>
      <xdr:nvPicPr>
        <xdr:cNvPr id="900" name="Picture 8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25943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550</xdr:row>
      <xdr:rowOff>28575</xdr:rowOff>
    </xdr:from>
    <xdr:to>
      <xdr:col>4</xdr:col>
      <xdr:colOff>171451</xdr:colOff>
      <xdr:row>554</xdr:row>
      <xdr:rowOff>219075</xdr:rowOff>
    </xdr:to>
    <xdr:pic>
      <xdr:nvPicPr>
        <xdr:cNvPr id="901" name="Picture 90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313484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550</xdr:row>
      <xdr:rowOff>38100</xdr:rowOff>
    </xdr:from>
    <xdr:to>
      <xdr:col>15</xdr:col>
      <xdr:colOff>161926</xdr:colOff>
      <xdr:row>555</xdr:row>
      <xdr:rowOff>0</xdr:rowOff>
    </xdr:to>
    <xdr:pic>
      <xdr:nvPicPr>
        <xdr:cNvPr id="902" name="Picture 90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313580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515</xdr:row>
      <xdr:rowOff>85726</xdr:rowOff>
    </xdr:from>
    <xdr:to>
      <xdr:col>13</xdr:col>
      <xdr:colOff>561975</xdr:colOff>
      <xdr:row>548</xdr:row>
      <xdr:rowOff>66675</xdr:rowOff>
    </xdr:to>
    <xdr:sp>
      <xdr:nvSpPr>
        <xdr:cNvPr id="903" name="Rectangle 902"/>
        <xdr:cNvSpPr/>
      </xdr:nvSpPr>
      <xdr:spPr>
        <a:xfrm>
          <a:off x="1016635" y="1228420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549</xdr:row>
      <xdr:rowOff>76200</xdr:rowOff>
    </xdr:from>
    <xdr:to>
      <xdr:col>11</xdr:col>
      <xdr:colOff>552450</xdr:colOff>
      <xdr:row>566</xdr:row>
      <xdr:rowOff>247651</xdr:rowOff>
    </xdr:to>
    <xdr:sp>
      <xdr:nvSpPr>
        <xdr:cNvPr id="904" name="Rectangle 903"/>
        <xdr:cNvSpPr/>
      </xdr:nvSpPr>
      <xdr:spPr>
        <a:xfrm>
          <a:off x="2530475" y="1312697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516</xdr:row>
      <xdr:rowOff>0</xdr:rowOff>
    </xdr:from>
    <xdr:to>
      <xdr:col>10</xdr:col>
      <xdr:colOff>561975</xdr:colOff>
      <xdr:row>517</xdr:row>
      <xdr:rowOff>0</xdr:rowOff>
    </xdr:to>
    <xdr:sp>
      <xdr:nvSpPr>
        <xdr:cNvPr id="905" name="TextBox 904"/>
        <xdr:cNvSpPr txBox="1"/>
      </xdr:nvSpPr>
      <xdr:spPr>
        <a:xfrm>
          <a:off x="3109595" y="1230350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609</xdr:row>
      <xdr:rowOff>9525</xdr:rowOff>
    </xdr:from>
    <xdr:to>
      <xdr:col>12</xdr:col>
      <xdr:colOff>180974</xdr:colOff>
      <xdr:row>609</xdr:row>
      <xdr:rowOff>257175</xdr:rowOff>
    </xdr:to>
    <xdr:sp>
      <xdr:nvSpPr>
        <xdr:cNvPr id="906" name="TextBox 905"/>
        <xdr:cNvSpPr txBox="1"/>
      </xdr:nvSpPr>
      <xdr:spPr>
        <a:xfrm>
          <a:off x="2359025" y="1453457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571</xdr:row>
      <xdr:rowOff>19050</xdr:rowOff>
    </xdr:from>
    <xdr:to>
      <xdr:col>4</xdr:col>
      <xdr:colOff>219075</xdr:colOff>
      <xdr:row>575</xdr:row>
      <xdr:rowOff>271626</xdr:rowOff>
    </xdr:to>
    <xdr:pic>
      <xdr:nvPicPr>
        <xdr:cNvPr id="907" name="Picture 9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61960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571</xdr:row>
      <xdr:rowOff>28575</xdr:rowOff>
    </xdr:from>
    <xdr:to>
      <xdr:col>16</xdr:col>
      <xdr:colOff>28575</xdr:colOff>
      <xdr:row>576</xdr:row>
      <xdr:rowOff>4926</xdr:rowOff>
    </xdr:to>
    <xdr:pic>
      <xdr:nvPicPr>
        <xdr:cNvPr id="908" name="Picture 9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362055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607</xdr:row>
      <xdr:rowOff>28575</xdr:rowOff>
    </xdr:from>
    <xdr:to>
      <xdr:col>4</xdr:col>
      <xdr:colOff>171451</xdr:colOff>
      <xdr:row>611</xdr:row>
      <xdr:rowOff>219075</xdr:rowOff>
    </xdr:to>
    <xdr:pic>
      <xdr:nvPicPr>
        <xdr:cNvPr id="909" name="Picture 90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449597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607</xdr:row>
      <xdr:rowOff>38100</xdr:rowOff>
    </xdr:from>
    <xdr:to>
      <xdr:col>15</xdr:col>
      <xdr:colOff>161926</xdr:colOff>
      <xdr:row>612</xdr:row>
      <xdr:rowOff>0</xdr:rowOff>
    </xdr:to>
    <xdr:pic>
      <xdr:nvPicPr>
        <xdr:cNvPr id="910" name="Picture 90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449692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572</xdr:row>
      <xdr:rowOff>85726</xdr:rowOff>
    </xdr:from>
    <xdr:to>
      <xdr:col>13</xdr:col>
      <xdr:colOff>561975</xdr:colOff>
      <xdr:row>605</xdr:row>
      <xdr:rowOff>66675</xdr:rowOff>
    </xdr:to>
    <xdr:sp>
      <xdr:nvSpPr>
        <xdr:cNvPr id="911" name="Rectangle 910"/>
        <xdr:cNvSpPr/>
      </xdr:nvSpPr>
      <xdr:spPr>
        <a:xfrm>
          <a:off x="1016635" y="1364532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606</xdr:row>
      <xdr:rowOff>76200</xdr:rowOff>
    </xdr:from>
    <xdr:to>
      <xdr:col>11</xdr:col>
      <xdr:colOff>552450</xdr:colOff>
      <xdr:row>623</xdr:row>
      <xdr:rowOff>247651</xdr:rowOff>
    </xdr:to>
    <xdr:sp>
      <xdr:nvSpPr>
        <xdr:cNvPr id="912" name="Rectangle 911"/>
        <xdr:cNvSpPr/>
      </xdr:nvSpPr>
      <xdr:spPr>
        <a:xfrm>
          <a:off x="2530475" y="1448809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573</xdr:row>
      <xdr:rowOff>0</xdr:rowOff>
    </xdr:from>
    <xdr:to>
      <xdr:col>10</xdr:col>
      <xdr:colOff>561975</xdr:colOff>
      <xdr:row>574</xdr:row>
      <xdr:rowOff>0</xdr:rowOff>
    </xdr:to>
    <xdr:sp>
      <xdr:nvSpPr>
        <xdr:cNvPr id="913" name="TextBox 912"/>
        <xdr:cNvSpPr txBox="1"/>
      </xdr:nvSpPr>
      <xdr:spPr>
        <a:xfrm>
          <a:off x="3109595" y="1366462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666</xdr:row>
      <xdr:rowOff>9525</xdr:rowOff>
    </xdr:from>
    <xdr:to>
      <xdr:col>12</xdr:col>
      <xdr:colOff>180974</xdr:colOff>
      <xdr:row>666</xdr:row>
      <xdr:rowOff>257175</xdr:rowOff>
    </xdr:to>
    <xdr:sp>
      <xdr:nvSpPr>
        <xdr:cNvPr id="914" name="TextBox 913"/>
        <xdr:cNvSpPr txBox="1"/>
      </xdr:nvSpPr>
      <xdr:spPr>
        <a:xfrm>
          <a:off x="2359025" y="1589570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628</xdr:row>
      <xdr:rowOff>19050</xdr:rowOff>
    </xdr:from>
    <xdr:to>
      <xdr:col>4</xdr:col>
      <xdr:colOff>219075</xdr:colOff>
      <xdr:row>632</xdr:row>
      <xdr:rowOff>271626</xdr:rowOff>
    </xdr:to>
    <xdr:pic>
      <xdr:nvPicPr>
        <xdr:cNvPr id="915" name="Picture 9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498072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628</xdr:row>
      <xdr:rowOff>28575</xdr:rowOff>
    </xdr:from>
    <xdr:to>
      <xdr:col>16</xdr:col>
      <xdr:colOff>28575</xdr:colOff>
      <xdr:row>633</xdr:row>
      <xdr:rowOff>4926</xdr:rowOff>
    </xdr:to>
    <xdr:pic>
      <xdr:nvPicPr>
        <xdr:cNvPr id="916" name="Picture 9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498168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664</xdr:row>
      <xdr:rowOff>28575</xdr:rowOff>
    </xdr:from>
    <xdr:to>
      <xdr:col>4</xdr:col>
      <xdr:colOff>171451</xdr:colOff>
      <xdr:row>668</xdr:row>
      <xdr:rowOff>219075</xdr:rowOff>
    </xdr:to>
    <xdr:pic>
      <xdr:nvPicPr>
        <xdr:cNvPr id="917" name="Picture 9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585709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664</xdr:row>
      <xdr:rowOff>38100</xdr:rowOff>
    </xdr:from>
    <xdr:to>
      <xdr:col>15</xdr:col>
      <xdr:colOff>161926</xdr:colOff>
      <xdr:row>669</xdr:row>
      <xdr:rowOff>0</xdr:rowOff>
    </xdr:to>
    <xdr:pic>
      <xdr:nvPicPr>
        <xdr:cNvPr id="918" name="Picture 91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585804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629</xdr:row>
      <xdr:rowOff>85726</xdr:rowOff>
    </xdr:from>
    <xdr:to>
      <xdr:col>13</xdr:col>
      <xdr:colOff>561975</xdr:colOff>
      <xdr:row>662</xdr:row>
      <xdr:rowOff>66675</xdr:rowOff>
    </xdr:to>
    <xdr:sp>
      <xdr:nvSpPr>
        <xdr:cNvPr id="919" name="Rectangle 918"/>
        <xdr:cNvSpPr/>
      </xdr:nvSpPr>
      <xdr:spPr>
        <a:xfrm>
          <a:off x="1016635" y="1500644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663</xdr:row>
      <xdr:rowOff>76200</xdr:rowOff>
    </xdr:from>
    <xdr:to>
      <xdr:col>11</xdr:col>
      <xdr:colOff>552450</xdr:colOff>
      <xdr:row>680</xdr:row>
      <xdr:rowOff>247651</xdr:rowOff>
    </xdr:to>
    <xdr:sp>
      <xdr:nvSpPr>
        <xdr:cNvPr id="920" name="Rectangle 919"/>
        <xdr:cNvSpPr/>
      </xdr:nvSpPr>
      <xdr:spPr>
        <a:xfrm>
          <a:off x="2530475" y="1584921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630</xdr:row>
      <xdr:rowOff>0</xdr:rowOff>
    </xdr:from>
    <xdr:to>
      <xdr:col>10</xdr:col>
      <xdr:colOff>561975</xdr:colOff>
      <xdr:row>631</xdr:row>
      <xdr:rowOff>0</xdr:rowOff>
    </xdr:to>
    <xdr:sp>
      <xdr:nvSpPr>
        <xdr:cNvPr id="921" name="TextBox 920"/>
        <xdr:cNvSpPr txBox="1"/>
      </xdr:nvSpPr>
      <xdr:spPr>
        <a:xfrm>
          <a:off x="3109595" y="1502575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723</xdr:row>
      <xdr:rowOff>9525</xdr:rowOff>
    </xdr:from>
    <xdr:to>
      <xdr:col>12</xdr:col>
      <xdr:colOff>180974</xdr:colOff>
      <xdr:row>723</xdr:row>
      <xdr:rowOff>257175</xdr:rowOff>
    </xdr:to>
    <xdr:sp>
      <xdr:nvSpPr>
        <xdr:cNvPr id="922" name="TextBox 921"/>
        <xdr:cNvSpPr txBox="1"/>
      </xdr:nvSpPr>
      <xdr:spPr>
        <a:xfrm>
          <a:off x="2359025" y="1725682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685</xdr:row>
      <xdr:rowOff>19050</xdr:rowOff>
    </xdr:from>
    <xdr:to>
      <xdr:col>4</xdr:col>
      <xdr:colOff>219075</xdr:colOff>
      <xdr:row>689</xdr:row>
      <xdr:rowOff>271626</xdr:rowOff>
    </xdr:to>
    <xdr:pic>
      <xdr:nvPicPr>
        <xdr:cNvPr id="923" name="Picture 9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634185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685</xdr:row>
      <xdr:rowOff>28575</xdr:rowOff>
    </xdr:from>
    <xdr:to>
      <xdr:col>16</xdr:col>
      <xdr:colOff>28575</xdr:colOff>
      <xdr:row>690</xdr:row>
      <xdr:rowOff>4926</xdr:rowOff>
    </xdr:to>
    <xdr:pic>
      <xdr:nvPicPr>
        <xdr:cNvPr id="924" name="Picture 9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634280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721</xdr:row>
      <xdr:rowOff>28575</xdr:rowOff>
    </xdr:from>
    <xdr:to>
      <xdr:col>4</xdr:col>
      <xdr:colOff>171451</xdr:colOff>
      <xdr:row>725</xdr:row>
      <xdr:rowOff>219075</xdr:rowOff>
    </xdr:to>
    <xdr:pic>
      <xdr:nvPicPr>
        <xdr:cNvPr id="925" name="Picture 92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721821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721</xdr:row>
      <xdr:rowOff>38100</xdr:rowOff>
    </xdr:from>
    <xdr:to>
      <xdr:col>15</xdr:col>
      <xdr:colOff>161926</xdr:colOff>
      <xdr:row>726</xdr:row>
      <xdr:rowOff>0</xdr:rowOff>
    </xdr:to>
    <xdr:pic>
      <xdr:nvPicPr>
        <xdr:cNvPr id="926" name="Picture 92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721916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686</xdr:row>
      <xdr:rowOff>85726</xdr:rowOff>
    </xdr:from>
    <xdr:to>
      <xdr:col>13</xdr:col>
      <xdr:colOff>561975</xdr:colOff>
      <xdr:row>719</xdr:row>
      <xdr:rowOff>66675</xdr:rowOff>
    </xdr:to>
    <xdr:sp>
      <xdr:nvSpPr>
        <xdr:cNvPr id="927" name="Rectangle 926"/>
        <xdr:cNvSpPr/>
      </xdr:nvSpPr>
      <xdr:spPr>
        <a:xfrm>
          <a:off x="1016635" y="1636756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720</xdr:row>
      <xdr:rowOff>76200</xdr:rowOff>
    </xdr:from>
    <xdr:to>
      <xdr:col>11</xdr:col>
      <xdr:colOff>552450</xdr:colOff>
      <xdr:row>737</xdr:row>
      <xdr:rowOff>247651</xdr:rowOff>
    </xdr:to>
    <xdr:sp>
      <xdr:nvSpPr>
        <xdr:cNvPr id="928" name="Rectangle 927"/>
        <xdr:cNvSpPr/>
      </xdr:nvSpPr>
      <xdr:spPr>
        <a:xfrm>
          <a:off x="2530475" y="1721034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687</xdr:row>
      <xdr:rowOff>0</xdr:rowOff>
    </xdr:from>
    <xdr:to>
      <xdr:col>10</xdr:col>
      <xdr:colOff>561975</xdr:colOff>
      <xdr:row>688</xdr:row>
      <xdr:rowOff>0</xdr:rowOff>
    </xdr:to>
    <xdr:sp>
      <xdr:nvSpPr>
        <xdr:cNvPr id="929" name="TextBox 928"/>
        <xdr:cNvSpPr txBox="1"/>
      </xdr:nvSpPr>
      <xdr:spPr>
        <a:xfrm>
          <a:off x="3109595" y="1638687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780</xdr:row>
      <xdr:rowOff>9525</xdr:rowOff>
    </xdr:from>
    <xdr:to>
      <xdr:col>12</xdr:col>
      <xdr:colOff>180974</xdr:colOff>
      <xdr:row>780</xdr:row>
      <xdr:rowOff>257175</xdr:rowOff>
    </xdr:to>
    <xdr:sp>
      <xdr:nvSpPr>
        <xdr:cNvPr id="930" name="TextBox 929"/>
        <xdr:cNvSpPr txBox="1"/>
      </xdr:nvSpPr>
      <xdr:spPr>
        <a:xfrm>
          <a:off x="2359025" y="1861794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742</xdr:row>
      <xdr:rowOff>19050</xdr:rowOff>
    </xdr:from>
    <xdr:to>
      <xdr:col>4</xdr:col>
      <xdr:colOff>219075</xdr:colOff>
      <xdr:row>746</xdr:row>
      <xdr:rowOff>271626</xdr:rowOff>
    </xdr:to>
    <xdr:pic>
      <xdr:nvPicPr>
        <xdr:cNvPr id="931" name="Picture 9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770297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742</xdr:row>
      <xdr:rowOff>28575</xdr:rowOff>
    </xdr:from>
    <xdr:to>
      <xdr:col>16</xdr:col>
      <xdr:colOff>28575</xdr:colOff>
      <xdr:row>747</xdr:row>
      <xdr:rowOff>4926</xdr:rowOff>
    </xdr:to>
    <xdr:pic>
      <xdr:nvPicPr>
        <xdr:cNvPr id="932" name="Picture 9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770392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778</xdr:row>
      <xdr:rowOff>28575</xdr:rowOff>
    </xdr:from>
    <xdr:to>
      <xdr:col>4</xdr:col>
      <xdr:colOff>171451</xdr:colOff>
      <xdr:row>782</xdr:row>
      <xdr:rowOff>219075</xdr:rowOff>
    </xdr:to>
    <xdr:pic>
      <xdr:nvPicPr>
        <xdr:cNvPr id="933" name="Picture 93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857933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778</xdr:row>
      <xdr:rowOff>38100</xdr:rowOff>
    </xdr:from>
    <xdr:to>
      <xdr:col>15</xdr:col>
      <xdr:colOff>161926</xdr:colOff>
      <xdr:row>783</xdr:row>
      <xdr:rowOff>0</xdr:rowOff>
    </xdr:to>
    <xdr:pic>
      <xdr:nvPicPr>
        <xdr:cNvPr id="934" name="Picture 93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858029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743</xdr:row>
      <xdr:rowOff>85726</xdr:rowOff>
    </xdr:from>
    <xdr:to>
      <xdr:col>13</xdr:col>
      <xdr:colOff>561975</xdr:colOff>
      <xdr:row>776</xdr:row>
      <xdr:rowOff>66675</xdr:rowOff>
    </xdr:to>
    <xdr:sp>
      <xdr:nvSpPr>
        <xdr:cNvPr id="935" name="Rectangle 934"/>
        <xdr:cNvSpPr/>
      </xdr:nvSpPr>
      <xdr:spPr>
        <a:xfrm>
          <a:off x="1016635" y="1772869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777</xdr:row>
      <xdr:rowOff>76200</xdr:rowOff>
    </xdr:from>
    <xdr:to>
      <xdr:col>11</xdr:col>
      <xdr:colOff>552450</xdr:colOff>
      <xdr:row>794</xdr:row>
      <xdr:rowOff>247651</xdr:rowOff>
    </xdr:to>
    <xdr:sp>
      <xdr:nvSpPr>
        <xdr:cNvPr id="936" name="Rectangle 935"/>
        <xdr:cNvSpPr/>
      </xdr:nvSpPr>
      <xdr:spPr>
        <a:xfrm>
          <a:off x="2530475" y="1857146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744</xdr:row>
      <xdr:rowOff>0</xdr:rowOff>
    </xdr:from>
    <xdr:to>
      <xdr:col>10</xdr:col>
      <xdr:colOff>561975</xdr:colOff>
      <xdr:row>745</xdr:row>
      <xdr:rowOff>0</xdr:rowOff>
    </xdr:to>
    <xdr:sp>
      <xdr:nvSpPr>
        <xdr:cNvPr id="937" name="TextBox 936"/>
        <xdr:cNvSpPr txBox="1"/>
      </xdr:nvSpPr>
      <xdr:spPr>
        <a:xfrm>
          <a:off x="3109595" y="1774799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837</xdr:row>
      <xdr:rowOff>9525</xdr:rowOff>
    </xdr:from>
    <xdr:to>
      <xdr:col>12</xdr:col>
      <xdr:colOff>180974</xdr:colOff>
      <xdr:row>837</xdr:row>
      <xdr:rowOff>257175</xdr:rowOff>
    </xdr:to>
    <xdr:sp>
      <xdr:nvSpPr>
        <xdr:cNvPr id="938" name="TextBox 937"/>
        <xdr:cNvSpPr txBox="1"/>
      </xdr:nvSpPr>
      <xdr:spPr>
        <a:xfrm>
          <a:off x="2359025" y="1997906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799</xdr:row>
      <xdr:rowOff>19050</xdr:rowOff>
    </xdr:from>
    <xdr:to>
      <xdr:col>4</xdr:col>
      <xdr:colOff>219075</xdr:colOff>
      <xdr:row>803</xdr:row>
      <xdr:rowOff>271626</xdr:rowOff>
    </xdr:to>
    <xdr:pic>
      <xdr:nvPicPr>
        <xdr:cNvPr id="939" name="Picture 9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906409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799</xdr:row>
      <xdr:rowOff>28575</xdr:rowOff>
    </xdr:from>
    <xdr:to>
      <xdr:col>16</xdr:col>
      <xdr:colOff>28575</xdr:colOff>
      <xdr:row>804</xdr:row>
      <xdr:rowOff>4926</xdr:rowOff>
    </xdr:to>
    <xdr:pic>
      <xdr:nvPicPr>
        <xdr:cNvPr id="940" name="Picture 9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906504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835</xdr:row>
      <xdr:rowOff>28575</xdr:rowOff>
    </xdr:from>
    <xdr:to>
      <xdr:col>4</xdr:col>
      <xdr:colOff>171451</xdr:colOff>
      <xdr:row>839</xdr:row>
      <xdr:rowOff>219075</xdr:rowOff>
    </xdr:to>
    <xdr:pic>
      <xdr:nvPicPr>
        <xdr:cNvPr id="941" name="Picture 9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994046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835</xdr:row>
      <xdr:rowOff>38100</xdr:rowOff>
    </xdr:from>
    <xdr:to>
      <xdr:col>15</xdr:col>
      <xdr:colOff>161926</xdr:colOff>
      <xdr:row>840</xdr:row>
      <xdr:rowOff>0</xdr:rowOff>
    </xdr:to>
    <xdr:pic>
      <xdr:nvPicPr>
        <xdr:cNvPr id="942" name="Picture 94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994141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800</xdr:row>
      <xdr:rowOff>85726</xdr:rowOff>
    </xdr:from>
    <xdr:to>
      <xdr:col>13</xdr:col>
      <xdr:colOff>561975</xdr:colOff>
      <xdr:row>833</xdr:row>
      <xdr:rowOff>66675</xdr:rowOff>
    </xdr:to>
    <xdr:sp>
      <xdr:nvSpPr>
        <xdr:cNvPr id="943" name="Rectangle 942"/>
        <xdr:cNvSpPr/>
      </xdr:nvSpPr>
      <xdr:spPr>
        <a:xfrm>
          <a:off x="1016635" y="1908981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834</xdr:row>
      <xdr:rowOff>76200</xdr:rowOff>
    </xdr:from>
    <xdr:to>
      <xdr:col>11</xdr:col>
      <xdr:colOff>552450</xdr:colOff>
      <xdr:row>851</xdr:row>
      <xdr:rowOff>247651</xdr:rowOff>
    </xdr:to>
    <xdr:sp>
      <xdr:nvSpPr>
        <xdr:cNvPr id="944" name="Rectangle 943"/>
        <xdr:cNvSpPr/>
      </xdr:nvSpPr>
      <xdr:spPr>
        <a:xfrm>
          <a:off x="2530475" y="1993258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801</xdr:row>
      <xdr:rowOff>0</xdr:rowOff>
    </xdr:from>
    <xdr:to>
      <xdr:col>10</xdr:col>
      <xdr:colOff>561975</xdr:colOff>
      <xdr:row>802</xdr:row>
      <xdr:rowOff>0</xdr:rowOff>
    </xdr:to>
    <xdr:sp>
      <xdr:nvSpPr>
        <xdr:cNvPr id="945" name="TextBox 944"/>
        <xdr:cNvSpPr txBox="1"/>
      </xdr:nvSpPr>
      <xdr:spPr>
        <a:xfrm>
          <a:off x="3109595" y="1910911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894</xdr:row>
      <xdr:rowOff>9525</xdr:rowOff>
    </xdr:from>
    <xdr:to>
      <xdr:col>12</xdr:col>
      <xdr:colOff>180974</xdr:colOff>
      <xdr:row>894</xdr:row>
      <xdr:rowOff>257175</xdr:rowOff>
    </xdr:to>
    <xdr:sp>
      <xdr:nvSpPr>
        <xdr:cNvPr id="946" name="TextBox 945"/>
        <xdr:cNvSpPr txBox="1"/>
      </xdr:nvSpPr>
      <xdr:spPr>
        <a:xfrm>
          <a:off x="2359025" y="2134019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856</xdr:row>
      <xdr:rowOff>19050</xdr:rowOff>
    </xdr:from>
    <xdr:to>
      <xdr:col>4</xdr:col>
      <xdr:colOff>219075</xdr:colOff>
      <xdr:row>860</xdr:row>
      <xdr:rowOff>271626</xdr:rowOff>
    </xdr:to>
    <xdr:pic>
      <xdr:nvPicPr>
        <xdr:cNvPr id="947" name="Picture 9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042521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856</xdr:row>
      <xdr:rowOff>28575</xdr:rowOff>
    </xdr:from>
    <xdr:to>
      <xdr:col>16</xdr:col>
      <xdr:colOff>28575</xdr:colOff>
      <xdr:row>861</xdr:row>
      <xdr:rowOff>4926</xdr:rowOff>
    </xdr:to>
    <xdr:pic>
      <xdr:nvPicPr>
        <xdr:cNvPr id="948" name="Picture 9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042617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892</xdr:row>
      <xdr:rowOff>28575</xdr:rowOff>
    </xdr:from>
    <xdr:to>
      <xdr:col>4</xdr:col>
      <xdr:colOff>171451</xdr:colOff>
      <xdr:row>896</xdr:row>
      <xdr:rowOff>219075</xdr:rowOff>
    </xdr:to>
    <xdr:pic>
      <xdr:nvPicPr>
        <xdr:cNvPr id="949" name="Picture 94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130158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892</xdr:row>
      <xdr:rowOff>38100</xdr:rowOff>
    </xdr:from>
    <xdr:to>
      <xdr:col>15</xdr:col>
      <xdr:colOff>161926</xdr:colOff>
      <xdr:row>897</xdr:row>
      <xdr:rowOff>0</xdr:rowOff>
    </xdr:to>
    <xdr:pic>
      <xdr:nvPicPr>
        <xdr:cNvPr id="950" name="Picture 94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130253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857</xdr:row>
      <xdr:rowOff>85726</xdr:rowOff>
    </xdr:from>
    <xdr:to>
      <xdr:col>13</xdr:col>
      <xdr:colOff>561975</xdr:colOff>
      <xdr:row>890</xdr:row>
      <xdr:rowOff>66675</xdr:rowOff>
    </xdr:to>
    <xdr:sp>
      <xdr:nvSpPr>
        <xdr:cNvPr id="951" name="Rectangle 950"/>
        <xdr:cNvSpPr/>
      </xdr:nvSpPr>
      <xdr:spPr>
        <a:xfrm>
          <a:off x="1016635" y="2045093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891</xdr:row>
      <xdr:rowOff>76200</xdr:rowOff>
    </xdr:from>
    <xdr:to>
      <xdr:col>11</xdr:col>
      <xdr:colOff>552450</xdr:colOff>
      <xdr:row>908</xdr:row>
      <xdr:rowOff>247651</xdr:rowOff>
    </xdr:to>
    <xdr:sp>
      <xdr:nvSpPr>
        <xdr:cNvPr id="952" name="Rectangle 951"/>
        <xdr:cNvSpPr/>
      </xdr:nvSpPr>
      <xdr:spPr>
        <a:xfrm>
          <a:off x="2530475" y="2129370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858</xdr:row>
      <xdr:rowOff>0</xdr:rowOff>
    </xdr:from>
    <xdr:to>
      <xdr:col>10</xdr:col>
      <xdr:colOff>561975</xdr:colOff>
      <xdr:row>859</xdr:row>
      <xdr:rowOff>0</xdr:rowOff>
    </xdr:to>
    <xdr:sp>
      <xdr:nvSpPr>
        <xdr:cNvPr id="953" name="TextBox 952"/>
        <xdr:cNvSpPr txBox="1"/>
      </xdr:nvSpPr>
      <xdr:spPr>
        <a:xfrm>
          <a:off x="3109595" y="2047024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951</xdr:row>
      <xdr:rowOff>9525</xdr:rowOff>
    </xdr:from>
    <xdr:to>
      <xdr:col>12</xdr:col>
      <xdr:colOff>180974</xdr:colOff>
      <xdr:row>951</xdr:row>
      <xdr:rowOff>257175</xdr:rowOff>
    </xdr:to>
    <xdr:sp>
      <xdr:nvSpPr>
        <xdr:cNvPr id="954" name="TextBox 953"/>
        <xdr:cNvSpPr txBox="1"/>
      </xdr:nvSpPr>
      <xdr:spPr>
        <a:xfrm>
          <a:off x="2359025" y="2270131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913</xdr:row>
      <xdr:rowOff>19050</xdr:rowOff>
    </xdr:from>
    <xdr:to>
      <xdr:col>4</xdr:col>
      <xdr:colOff>219075</xdr:colOff>
      <xdr:row>917</xdr:row>
      <xdr:rowOff>271626</xdr:rowOff>
    </xdr:to>
    <xdr:pic>
      <xdr:nvPicPr>
        <xdr:cNvPr id="955" name="Picture 9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178634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913</xdr:row>
      <xdr:rowOff>28575</xdr:rowOff>
    </xdr:from>
    <xdr:to>
      <xdr:col>16</xdr:col>
      <xdr:colOff>28575</xdr:colOff>
      <xdr:row>918</xdr:row>
      <xdr:rowOff>4926</xdr:rowOff>
    </xdr:to>
    <xdr:pic>
      <xdr:nvPicPr>
        <xdr:cNvPr id="956" name="Picture 9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178729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949</xdr:row>
      <xdr:rowOff>28575</xdr:rowOff>
    </xdr:from>
    <xdr:to>
      <xdr:col>4</xdr:col>
      <xdr:colOff>171451</xdr:colOff>
      <xdr:row>953</xdr:row>
      <xdr:rowOff>219075</xdr:rowOff>
    </xdr:to>
    <xdr:pic>
      <xdr:nvPicPr>
        <xdr:cNvPr id="957" name="Picture 95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266270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949</xdr:row>
      <xdr:rowOff>38100</xdr:rowOff>
    </xdr:from>
    <xdr:to>
      <xdr:col>15</xdr:col>
      <xdr:colOff>161926</xdr:colOff>
      <xdr:row>954</xdr:row>
      <xdr:rowOff>0</xdr:rowOff>
    </xdr:to>
    <xdr:pic>
      <xdr:nvPicPr>
        <xdr:cNvPr id="958" name="Picture 95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266365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914</xdr:row>
      <xdr:rowOff>85726</xdr:rowOff>
    </xdr:from>
    <xdr:to>
      <xdr:col>13</xdr:col>
      <xdr:colOff>561975</xdr:colOff>
      <xdr:row>947</xdr:row>
      <xdr:rowOff>66675</xdr:rowOff>
    </xdr:to>
    <xdr:sp>
      <xdr:nvSpPr>
        <xdr:cNvPr id="959" name="Rectangle 958"/>
        <xdr:cNvSpPr/>
      </xdr:nvSpPr>
      <xdr:spPr>
        <a:xfrm>
          <a:off x="1016635" y="2181205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948</xdr:row>
      <xdr:rowOff>76200</xdr:rowOff>
    </xdr:from>
    <xdr:to>
      <xdr:col>11</xdr:col>
      <xdr:colOff>552450</xdr:colOff>
      <xdr:row>965</xdr:row>
      <xdr:rowOff>247651</xdr:rowOff>
    </xdr:to>
    <xdr:sp>
      <xdr:nvSpPr>
        <xdr:cNvPr id="960" name="Rectangle 959"/>
        <xdr:cNvSpPr/>
      </xdr:nvSpPr>
      <xdr:spPr>
        <a:xfrm>
          <a:off x="2530475" y="2265483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915</xdr:row>
      <xdr:rowOff>0</xdr:rowOff>
    </xdr:from>
    <xdr:to>
      <xdr:col>10</xdr:col>
      <xdr:colOff>561975</xdr:colOff>
      <xdr:row>916</xdr:row>
      <xdr:rowOff>0</xdr:rowOff>
    </xdr:to>
    <xdr:sp>
      <xdr:nvSpPr>
        <xdr:cNvPr id="961" name="TextBox 960"/>
        <xdr:cNvSpPr txBox="1"/>
      </xdr:nvSpPr>
      <xdr:spPr>
        <a:xfrm>
          <a:off x="3109595" y="2183136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1008</xdr:row>
      <xdr:rowOff>9525</xdr:rowOff>
    </xdr:from>
    <xdr:to>
      <xdr:col>12</xdr:col>
      <xdr:colOff>180974</xdr:colOff>
      <xdr:row>1008</xdr:row>
      <xdr:rowOff>257175</xdr:rowOff>
    </xdr:to>
    <xdr:sp>
      <xdr:nvSpPr>
        <xdr:cNvPr id="962" name="TextBox 961"/>
        <xdr:cNvSpPr txBox="1"/>
      </xdr:nvSpPr>
      <xdr:spPr>
        <a:xfrm>
          <a:off x="2359025" y="2406243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970</xdr:row>
      <xdr:rowOff>19050</xdr:rowOff>
    </xdr:from>
    <xdr:to>
      <xdr:col>4</xdr:col>
      <xdr:colOff>219075</xdr:colOff>
      <xdr:row>974</xdr:row>
      <xdr:rowOff>271626</xdr:rowOff>
    </xdr:to>
    <xdr:pic>
      <xdr:nvPicPr>
        <xdr:cNvPr id="963" name="Picture 9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314746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970</xdr:row>
      <xdr:rowOff>28575</xdr:rowOff>
    </xdr:from>
    <xdr:to>
      <xdr:col>16</xdr:col>
      <xdr:colOff>28575</xdr:colOff>
      <xdr:row>975</xdr:row>
      <xdr:rowOff>4926</xdr:rowOff>
    </xdr:to>
    <xdr:pic>
      <xdr:nvPicPr>
        <xdr:cNvPr id="964" name="Picture 9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314841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1006</xdr:row>
      <xdr:rowOff>28575</xdr:rowOff>
    </xdr:from>
    <xdr:to>
      <xdr:col>4</xdr:col>
      <xdr:colOff>171451</xdr:colOff>
      <xdr:row>1010</xdr:row>
      <xdr:rowOff>219075</xdr:rowOff>
    </xdr:to>
    <xdr:pic>
      <xdr:nvPicPr>
        <xdr:cNvPr id="965" name="Picture 96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402382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1006</xdr:row>
      <xdr:rowOff>38100</xdr:rowOff>
    </xdr:from>
    <xdr:to>
      <xdr:col>15</xdr:col>
      <xdr:colOff>161926</xdr:colOff>
      <xdr:row>1011</xdr:row>
      <xdr:rowOff>0</xdr:rowOff>
    </xdr:to>
    <xdr:pic>
      <xdr:nvPicPr>
        <xdr:cNvPr id="966" name="Picture 96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402478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971</xdr:row>
      <xdr:rowOff>85726</xdr:rowOff>
    </xdr:from>
    <xdr:to>
      <xdr:col>13</xdr:col>
      <xdr:colOff>561975</xdr:colOff>
      <xdr:row>1004</xdr:row>
      <xdr:rowOff>66675</xdr:rowOff>
    </xdr:to>
    <xdr:sp>
      <xdr:nvSpPr>
        <xdr:cNvPr id="967" name="Rectangle 966"/>
        <xdr:cNvSpPr/>
      </xdr:nvSpPr>
      <xdr:spPr>
        <a:xfrm>
          <a:off x="1016635" y="2317318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1005</xdr:row>
      <xdr:rowOff>76200</xdr:rowOff>
    </xdr:from>
    <xdr:to>
      <xdr:col>11</xdr:col>
      <xdr:colOff>552450</xdr:colOff>
      <xdr:row>1022</xdr:row>
      <xdr:rowOff>247651</xdr:rowOff>
    </xdr:to>
    <xdr:sp>
      <xdr:nvSpPr>
        <xdr:cNvPr id="968" name="Rectangle 967"/>
        <xdr:cNvSpPr/>
      </xdr:nvSpPr>
      <xdr:spPr>
        <a:xfrm>
          <a:off x="2530475" y="2401595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972</xdr:row>
      <xdr:rowOff>0</xdr:rowOff>
    </xdr:from>
    <xdr:to>
      <xdr:col>10</xdr:col>
      <xdr:colOff>561975</xdr:colOff>
      <xdr:row>973</xdr:row>
      <xdr:rowOff>0</xdr:rowOff>
    </xdr:to>
    <xdr:sp>
      <xdr:nvSpPr>
        <xdr:cNvPr id="969" name="TextBox 968"/>
        <xdr:cNvSpPr txBox="1"/>
      </xdr:nvSpPr>
      <xdr:spPr>
        <a:xfrm>
          <a:off x="3109595" y="2319248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1065</xdr:row>
      <xdr:rowOff>9525</xdr:rowOff>
    </xdr:from>
    <xdr:to>
      <xdr:col>12</xdr:col>
      <xdr:colOff>180974</xdr:colOff>
      <xdr:row>1065</xdr:row>
      <xdr:rowOff>257175</xdr:rowOff>
    </xdr:to>
    <xdr:sp>
      <xdr:nvSpPr>
        <xdr:cNvPr id="970" name="TextBox 969"/>
        <xdr:cNvSpPr txBox="1"/>
      </xdr:nvSpPr>
      <xdr:spPr>
        <a:xfrm>
          <a:off x="2359025" y="2542355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1027</xdr:row>
      <xdr:rowOff>19050</xdr:rowOff>
    </xdr:from>
    <xdr:to>
      <xdr:col>4</xdr:col>
      <xdr:colOff>219075</xdr:colOff>
      <xdr:row>1031</xdr:row>
      <xdr:rowOff>271626</xdr:rowOff>
    </xdr:to>
    <xdr:pic>
      <xdr:nvPicPr>
        <xdr:cNvPr id="971" name="Picture 97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450858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1027</xdr:row>
      <xdr:rowOff>28575</xdr:rowOff>
    </xdr:from>
    <xdr:to>
      <xdr:col>16</xdr:col>
      <xdr:colOff>28575</xdr:colOff>
      <xdr:row>1032</xdr:row>
      <xdr:rowOff>4926</xdr:rowOff>
    </xdr:to>
    <xdr:pic>
      <xdr:nvPicPr>
        <xdr:cNvPr id="972" name="Picture 97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450953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1063</xdr:row>
      <xdr:rowOff>28575</xdr:rowOff>
    </xdr:from>
    <xdr:to>
      <xdr:col>4</xdr:col>
      <xdr:colOff>171451</xdr:colOff>
      <xdr:row>1067</xdr:row>
      <xdr:rowOff>219075</xdr:rowOff>
    </xdr:to>
    <xdr:pic>
      <xdr:nvPicPr>
        <xdr:cNvPr id="973" name="Picture 97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538495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1063</xdr:row>
      <xdr:rowOff>38100</xdr:rowOff>
    </xdr:from>
    <xdr:to>
      <xdr:col>15</xdr:col>
      <xdr:colOff>161926</xdr:colOff>
      <xdr:row>1068</xdr:row>
      <xdr:rowOff>0</xdr:rowOff>
    </xdr:to>
    <xdr:pic>
      <xdr:nvPicPr>
        <xdr:cNvPr id="974" name="Picture 97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538590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1028</xdr:row>
      <xdr:rowOff>85726</xdr:rowOff>
    </xdr:from>
    <xdr:to>
      <xdr:col>13</xdr:col>
      <xdr:colOff>561975</xdr:colOff>
      <xdr:row>1061</xdr:row>
      <xdr:rowOff>66675</xdr:rowOff>
    </xdr:to>
    <xdr:sp>
      <xdr:nvSpPr>
        <xdr:cNvPr id="975" name="Rectangle 974"/>
        <xdr:cNvSpPr/>
      </xdr:nvSpPr>
      <xdr:spPr>
        <a:xfrm>
          <a:off x="1016635" y="2453430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1062</xdr:row>
      <xdr:rowOff>76200</xdr:rowOff>
    </xdr:from>
    <xdr:to>
      <xdr:col>11</xdr:col>
      <xdr:colOff>552450</xdr:colOff>
      <xdr:row>1079</xdr:row>
      <xdr:rowOff>247651</xdr:rowOff>
    </xdr:to>
    <xdr:sp>
      <xdr:nvSpPr>
        <xdr:cNvPr id="976" name="Rectangle 975"/>
        <xdr:cNvSpPr/>
      </xdr:nvSpPr>
      <xdr:spPr>
        <a:xfrm>
          <a:off x="2530475" y="2537707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1029</xdr:row>
      <xdr:rowOff>0</xdr:rowOff>
    </xdr:from>
    <xdr:to>
      <xdr:col>10</xdr:col>
      <xdr:colOff>561975</xdr:colOff>
      <xdr:row>1030</xdr:row>
      <xdr:rowOff>0</xdr:rowOff>
    </xdr:to>
    <xdr:sp>
      <xdr:nvSpPr>
        <xdr:cNvPr id="977" name="TextBox 976"/>
        <xdr:cNvSpPr txBox="1"/>
      </xdr:nvSpPr>
      <xdr:spPr>
        <a:xfrm>
          <a:off x="3109595" y="2455360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1122</xdr:row>
      <xdr:rowOff>9525</xdr:rowOff>
    </xdr:from>
    <xdr:to>
      <xdr:col>12</xdr:col>
      <xdr:colOff>180974</xdr:colOff>
      <xdr:row>1122</xdr:row>
      <xdr:rowOff>257175</xdr:rowOff>
    </xdr:to>
    <xdr:sp>
      <xdr:nvSpPr>
        <xdr:cNvPr id="978" name="TextBox 977"/>
        <xdr:cNvSpPr txBox="1"/>
      </xdr:nvSpPr>
      <xdr:spPr>
        <a:xfrm>
          <a:off x="2359025" y="2678468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1084</xdr:row>
      <xdr:rowOff>19050</xdr:rowOff>
    </xdr:from>
    <xdr:to>
      <xdr:col>4</xdr:col>
      <xdr:colOff>219075</xdr:colOff>
      <xdr:row>1088</xdr:row>
      <xdr:rowOff>271626</xdr:rowOff>
    </xdr:to>
    <xdr:pic>
      <xdr:nvPicPr>
        <xdr:cNvPr id="979" name="Picture 9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586970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1084</xdr:row>
      <xdr:rowOff>28575</xdr:rowOff>
    </xdr:from>
    <xdr:to>
      <xdr:col>16</xdr:col>
      <xdr:colOff>28575</xdr:colOff>
      <xdr:row>1089</xdr:row>
      <xdr:rowOff>4926</xdr:rowOff>
    </xdr:to>
    <xdr:pic>
      <xdr:nvPicPr>
        <xdr:cNvPr id="980" name="Picture 9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587066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1120</xdr:row>
      <xdr:rowOff>28575</xdr:rowOff>
    </xdr:from>
    <xdr:to>
      <xdr:col>4</xdr:col>
      <xdr:colOff>171451</xdr:colOff>
      <xdr:row>1124</xdr:row>
      <xdr:rowOff>219075</xdr:rowOff>
    </xdr:to>
    <xdr:pic>
      <xdr:nvPicPr>
        <xdr:cNvPr id="981" name="Picture 98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674607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1120</xdr:row>
      <xdr:rowOff>38100</xdr:rowOff>
    </xdr:from>
    <xdr:to>
      <xdr:col>15</xdr:col>
      <xdr:colOff>161926</xdr:colOff>
      <xdr:row>1125</xdr:row>
      <xdr:rowOff>0</xdr:rowOff>
    </xdr:to>
    <xdr:pic>
      <xdr:nvPicPr>
        <xdr:cNvPr id="982" name="Picture 98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674702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1085</xdr:row>
      <xdr:rowOff>85726</xdr:rowOff>
    </xdr:from>
    <xdr:to>
      <xdr:col>13</xdr:col>
      <xdr:colOff>561975</xdr:colOff>
      <xdr:row>1118</xdr:row>
      <xdr:rowOff>66675</xdr:rowOff>
    </xdr:to>
    <xdr:sp>
      <xdr:nvSpPr>
        <xdr:cNvPr id="983" name="Rectangle 982"/>
        <xdr:cNvSpPr/>
      </xdr:nvSpPr>
      <xdr:spPr>
        <a:xfrm>
          <a:off x="1016635" y="2589542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1119</xdr:row>
      <xdr:rowOff>76200</xdr:rowOff>
    </xdr:from>
    <xdr:to>
      <xdr:col>11</xdr:col>
      <xdr:colOff>552450</xdr:colOff>
      <xdr:row>1136</xdr:row>
      <xdr:rowOff>247651</xdr:rowOff>
    </xdr:to>
    <xdr:sp>
      <xdr:nvSpPr>
        <xdr:cNvPr id="984" name="Rectangle 983"/>
        <xdr:cNvSpPr/>
      </xdr:nvSpPr>
      <xdr:spPr>
        <a:xfrm>
          <a:off x="2530475" y="2673819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1086</xdr:row>
      <xdr:rowOff>0</xdr:rowOff>
    </xdr:from>
    <xdr:to>
      <xdr:col>10</xdr:col>
      <xdr:colOff>561975</xdr:colOff>
      <xdr:row>1087</xdr:row>
      <xdr:rowOff>0</xdr:rowOff>
    </xdr:to>
    <xdr:sp>
      <xdr:nvSpPr>
        <xdr:cNvPr id="985" name="TextBox 984"/>
        <xdr:cNvSpPr txBox="1"/>
      </xdr:nvSpPr>
      <xdr:spPr>
        <a:xfrm>
          <a:off x="3109595" y="2591473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1179</xdr:row>
      <xdr:rowOff>9525</xdr:rowOff>
    </xdr:from>
    <xdr:to>
      <xdr:col>12</xdr:col>
      <xdr:colOff>180974</xdr:colOff>
      <xdr:row>1179</xdr:row>
      <xdr:rowOff>257175</xdr:rowOff>
    </xdr:to>
    <xdr:sp>
      <xdr:nvSpPr>
        <xdr:cNvPr id="986" name="TextBox 985"/>
        <xdr:cNvSpPr txBox="1"/>
      </xdr:nvSpPr>
      <xdr:spPr>
        <a:xfrm>
          <a:off x="2359025" y="2814580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1141</xdr:row>
      <xdr:rowOff>19050</xdr:rowOff>
    </xdr:from>
    <xdr:to>
      <xdr:col>4</xdr:col>
      <xdr:colOff>219075</xdr:colOff>
      <xdr:row>1145</xdr:row>
      <xdr:rowOff>271626</xdr:rowOff>
    </xdr:to>
    <xdr:pic>
      <xdr:nvPicPr>
        <xdr:cNvPr id="987" name="Picture 9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723083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1141</xdr:row>
      <xdr:rowOff>28575</xdr:rowOff>
    </xdr:from>
    <xdr:to>
      <xdr:col>16</xdr:col>
      <xdr:colOff>28575</xdr:colOff>
      <xdr:row>1146</xdr:row>
      <xdr:rowOff>4926</xdr:rowOff>
    </xdr:to>
    <xdr:pic>
      <xdr:nvPicPr>
        <xdr:cNvPr id="988" name="Picture 9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723178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1177</xdr:row>
      <xdr:rowOff>28575</xdr:rowOff>
    </xdr:from>
    <xdr:to>
      <xdr:col>4</xdr:col>
      <xdr:colOff>171451</xdr:colOff>
      <xdr:row>1181</xdr:row>
      <xdr:rowOff>219075</xdr:rowOff>
    </xdr:to>
    <xdr:pic>
      <xdr:nvPicPr>
        <xdr:cNvPr id="989" name="Picture 98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810719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1177</xdr:row>
      <xdr:rowOff>38100</xdr:rowOff>
    </xdr:from>
    <xdr:to>
      <xdr:col>15</xdr:col>
      <xdr:colOff>161926</xdr:colOff>
      <xdr:row>1182</xdr:row>
      <xdr:rowOff>0</xdr:rowOff>
    </xdr:to>
    <xdr:pic>
      <xdr:nvPicPr>
        <xdr:cNvPr id="990" name="Picture 98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810814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1142</xdr:row>
      <xdr:rowOff>85726</xdr:rowOff>
    </xdr:from>
    <xdr:to>
      <xdr:col>13</xdr:col>
      <xdr:colOff>561975</xdr:colOff>
      <xdr:row>1175</xdr:row>
      <xdr:rowOff>66675</xdr:rowOff>
    </xdr:to>
    <xdr:sp>
      <xdr:nvSpPr>
        <xdr:cNvPr id="991" name="Rectangle 990"/>
        <xdr:cNvSpPr/>
      </xdr:nvSpPr>
      <xdr:spPr>
        <a:xfrm>
          <a:off x="1016635" y="2725654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1176</xdr:row>
      <xdr:rowOff>76200</xdr:rowOff>
    </xdr:from>
    <xdr:to>
      <xdr:col>11</xdr:col>
      <xdr:colOff>552450</xdr:colOff>
      <xdr:row>1193</xdr:row>
      <xdr:rowOff>247651</xdr:rowOff>
    </xdr:to>
    <xdr:sp>
      <xdr:nvSpPr>
        <xdr:cNvPr id="992" name="Rectangle 991"/>
        <xdr:cNvSpPr/>
      </xdr:nvSpPr>
      <xdr:spPr>
        <a:xfrm>
          <a:off x="2530475" y="2809932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1143</xdr:row>
      <xdr:rowOff>0</xdr:rowOff>
    </xdr:from>
    <xdr:to>
      <xdr:col>10</xdr:col>
      <xdr:colOff>561975</xdr:colOff>
      <xdr:row>1144</xdr:row>
      <xdr:rowOff>0</xdr:rowOff>
    </xdr:to>
    <xdr:sp>
      <xdr:nvSpPr>
        <xdr:cNvPr id="993" name="TextBox 992"/>
        <xdr:cNvSpPr txBox="1"/>
      </xdr:nvSpPr>
      <xdr:spPr>
        <a:xfrm>
          <a:off x="3109595" y="2727585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1236</xdr:row>
      <xdr:rowOff>9525</xdr:rowOff>
    </xdr:from>
    <xdr:to>
      <xdr:col>12</xdr:col>
      <xdr:colOff>180974</xdr:colOff>
      <xdr:row>1236</xdr:row>
      <xdr:rowOff>257175</xdr:rowOff>
    </xdr:to>
    <xdr:sp>
      <xdr:nvSpPr>
        <xdr:cNvPr id="994" name="TextBox 993"/>
        <xdr:cNvSpPr txBox="1"/>
      </xdr:nvSpPr>
      <xdr:spPr>
        <a:xfrm>
          <a:off x="2359025" y="2950692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1198</xdr:row>
      <xdr:rowOff>19050</xdr:rowOff>
    </xdr:from>
    <xdr:to>
      <xdr:col>4</xdr:col>
      <xdr:colOff>219075</xdr:colOff>
      <xdr:row>1202</xdr:row>
      <xdr:rowOff>271626</xdr:rowOff>
    </xdr:to>
    <xdr:pic>
      <xdr:nvPicPr>
        <xdr:cNvPr id="995" name="Picture 9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859195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1198</xdr:row>
      <xdr:rowOff>28575</xdr:rowOff>
    </xdr:from>
    <xdr:to>
      <xdr:col>16</xdr:col>
      <xdr:colOff>28575</xdr:colOff>
      <xdr:row>1203</xdr:row>
      <xdr:rowOff>4926</xdr:rowOff>
    </xdr:to>
    <xdr:pic>
      <xdr:nvPicPr>
        <xdr:cNvPr id="996" name="Picture 9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859290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1234</xdr:row>
      <xdr:rowOff>28575</xdr:rowOff>
    </xdr:from>
    <xdr:to>
      <xdr:col>4</xdr:col>
      <xdr:colOff>171451</xdr:colOff>
      <xdr:row>1238</xdr:row>
      <xdr:rowOff>219075</xdr:rowOff>
    </xdr:to>
    <xdr:pic>
      <xdr:nvPicPr>
        <xdr:cNvPr id="997" name="Picture 99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2946831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1234</xdr:row>
      <xdr:rowOff>38100</xdr:rowOff>
    </xdr:from>
    <xdr:to>
      <xdr:col>15</xdr:col>
      <xdr:colOff>161926</xdr:colOff>
      <xdr:row>1239</xdr:row>
      <xdr:rowOff>0</xdr:rowOff>
    </xdr:to>
    <xdr:pic>
      <xdr:nvPicPr>
        <xdr:cNvPr id="998" name="Picture 9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2946927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1199</xdr:row>
      <xdr:rowOff>85726</xdr:rowOff>
    </xdr:from>
    <xdr:to>
      <xdr:col>13</xdr:col>
      <xdr:colOff>561975</xdr:colOff>
      <xdr:row>1232</xdr:row>
      <xdr:rowOff>66675</xdr:rowOff>
    </xdr:to>
    <xdr:sp>
      <xdr:nvSpPr>
        <xdr:cNvPr id="999" name="Rectangle 998"/>
        <xdr:cNvSpPr/>
      </xdr:nvSpPr>
      <xdr:spPr>
        <a:xfrm>
          <a:off x="1016635" y="2861767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1233</xdr:row>
      <xdr:rowOff>76200</xdr:rowOff>
    </xdr:from>
    <xdr:to>
      <xdr:col>11</xdr:col>
      <xdr:colOff>552450</xdr:colOff>
      <xdr:row>1250</xdr:row>
      <xdr:rowOff>247651</xdr:rowOff>
    </xdr:to>
    <xdr:sp>
      <xdr:nvSpPr>
        <xdr:cNvPr id="1000" name="Rectangle 999"/>
        <xdr:cNvSpPr/>
      </xdr:nvSpPr>
      <xdr:spPr>
        <a:xfrm>
          <a:off x="2530475" y="2946044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1200</xdr:row>
      <xdr:rowOff>0</xdr:rowOff>
    </xdr:from>
    <xdr:to>
      <xdr:col>10</xdr:col>
      <xdr:colOff>561975</xdr:colOff>
      <xdr:row>1201</xdr:row>
      <xdr:rowOff>0</xdr:rowOff>
    </xdr:to>
    <xdr:sp>
      <xdr:nvSpPr>
        <xdr:cNvPr id="1001" name="TextBox 1000"/>
        <xdr:cNvSpPr txBox="1"/>
      </xdr:nvSpPr>
      <xdr:spPr>
        <a:xfrm>
          <a:off x="3109595" y="2863697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1293</xdr:row>
      <xdr:rowOff>9525</xdr:rowOff>
    </xdr:from>
    <xdr:to>
      <xdr:col>12</xdr:col>
      <xdr:colOff>180974</xdr:colOff>
      <xdr:row>1293</xdr:row>
      <xdr:rowOff>257175</xdr:rowOff>
    </xdr:to>
    <xdr:sp>
      <xdr:nvSpPr>
        <xdr:cNvPr id="1002" name="TextBox 1001"/>
        <xdr:cNvSpPr txBox="1"/>
      </xdr:nvSpPr>
      <xdr:spPr>
        <a:xfrm>
          <a:off x="2359025" y="3086804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1255</xdr:row>
      <xdr:rowOff>19050</xdr:rowOff>
    </xdr:from>
    <xdr:to>
      <xdr:col>4</xdr:col>
      <xdr:colOff>219075</xdr:colOff>
      <xdr:row>1259</xdr:row>
      <xdr:rowOff>271626</xdr:rowOff>
    </xdr:to>
    <xdr:pic>
      <xdr:nvPicPr>
        <xdr:cNvPr id="1003" name="Picture 10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2995307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1255</xdr:row>
      <xdr:rowOff>28575</xdr:rowOff>
    </xdr:from>
    <xdr:to>
      <xdr:col>16</xdr:col>
      <xdr:colOff>28575</xdr:colOff>
      <xdr:row>1260</xdr:row>
      <xdr:rowOff>4926</xdr:rowOff>
    </xdr:to>
    <xdr:pic>
      <xdr:nvPicPr>
        <xdr:cNvPr id="1004" name="Picture 10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2995402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1291</xdr:row>
      <xdr:rowOff>28575</xdr:rowOff>
    </xdr:from>
    <xdr:to>
      <xdr:col>4</xdr:col>
      <xdr:colOff>171451</xdr:colOff>
      <xdr:row>1295</xdr:row>
      <xdr:rowOff>219075</xdr:rowOff>
    </xdr:to>
    <xdr:pic>
      <xdr:nvPicPr>
        <xdr:cNvPr id="1005" name="Picture 100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082944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1291</xdr:row>
      <xdr:rowOff>38100</xdr:rowOff>
    </xdr:from>
    <xdr:to>
      <xdr:col>15</xdr:col>
      <xdr:colOff>161926</xdr:colOff>
      <xdr:row>1296</xdr:row>
      <xdr:rowOff>0</xdr:rowOff>
    </xdr:to>
    <xdr:pic>
      <xdr:nvPicPr>
        <xdr:cNvPr id="1006" name="Picture 100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083039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1256</xdr:row>
      <xdr:rowOff>85726</xdr:rowOff>
    </xdr:from>
    <xdr:to>
      <xdr:col>13</xdr:col>
      <xdr:colOff>561975</xdr:colOff>
      <xdr:row>1289</xdr:row>
      <xdr:rowOff>66675</xdr:rowOff>
    </xdr:to>
    <xdr:sp>
      <xdr:nvSpPr>
        <xdr:cNvPr id="1007" name="Rectangle 1006"/>
        <xdr:cNvSpPr/>
      </xdr:nvSpPr>
      <xdr:spPr>
        <a:xfrm>
          <a:off x="1016635" y="2997879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1290</xdr:row>
      <xdr:rowOff>76200</xdr:rowOff>
    </xdr:from>
    <xdr:to>
      <xdr:col>11</xdr:col>
      <xdr:colOff>552450</xdr:colOff>
      <xdr:row>1307</xdr:row>
      <xdr:rowOff>247651</xdr:rowOff>
    </xdr:to>
    <xdr:sp>
      <xdr:nvSpPr>
        <xdr:cNvPr id="1008" name="Rectangle 1007"/>
        <xdr:cNvSpPr/>
      </xdr:nvSpPr>
      <xdr:spPr>
        <a:xfrm>
          <a:off x="2530475" y="3082156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1257</xdr:row>
      <xdr:rowOff>0</xdr:rowOff>
    </xdr:from>
    <xdr:to>
      <xdr:col>10</xdr:col>
      <xdr:colOff>561975</xdr:colOff>
      <xdr:row>1258</xdr:row>
      <xdr:rowOff>0</xdr:rowOff>
    </xdr:to>
    <xdr:sp>
      <xdr:nvSpPr>
        <xdr:cNvPr id="1009" name="TextBox 1008"/>
        <xdr:cNvSpPr txBox="1"/>
      </xdr:nvSpPr>
      <xdr:spPr>
        <a:xfrm>
          <a:off x="3109595" y="2999809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1350</xdr:row>
      <xdr:rowOff>9525</xdr:rowOff>
    </xdr:from>
    <xdr:to>
      <xdr:col>12</xdr:col>
      <xdr:colOff>180974</xdr:colOff>
      <xdr:row>1350</xdr:row>
      <xdr:rowOff>257175</xdr:rowOff>
    </xdr:to>
    <xdr:sp>
      <xdr:nvSpPr>
        <xdr:cNvPr id="1010" name="TextBox 1009"/>
        <xdr:cNvSpPr txBox="1"/>
      </xdr:nvSpPr>
      <xdr:spPr>
        <a:xfrm>
          <a:off x="2359025" y="3222917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1312</xdr:row>
      <xdr:rowOff>19050</xdr:rowOff>
    </xdr:from>
    <xdr:to>
      <xdr:col>4</xdr:col>
      <xdr:colOff>219075</xdr:colOff>
      <xdr:row>1316</xdr:row>
      <xdr:rowOff>271626</xdr:rowOff>
    </xdr:to>
    <xdr:pic>
      <xdr:nvPicPr>
        <xdr:cNvPr id="1011" name="Picture 10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131419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1312</xdr:row>
      <xdr:rowOff>28575</xdr:rowOff>
    </xdr:from>
    <xdr:to>
      <xdr:col>16</xdr:col>
      <xdr:colOff>28575</xdr:colOff>
      <xdr:row>1317</xdr:row>
      <xdr:rowOff>4926</xdr:rowOff>
    </xdr:to>
    <xdr:pic>
      <xdr:nvPicPr>
        <xdr:cNvPr id="1012" name="Picture 10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3131515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1348</xdr:row>
      <xdr:rowOff>28575</xdr:rowOff>
    </xdr:from>
    <xdr:to>
      <xdr:col>4</xdr:col>
      <xdr:colOff>171451</xdr:colOff>
      <xdr:row>1352</xdr:row>
      <xdr:rowOff>219075</xdr:rowOff>
    </xdr:to>
    <xdr:pic>
      <xdr:nvPicPr>
        <xdr:cNvPr id="1013" name="Picture 101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219056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1348</xdr:row>
      <xdr:rowOff>38100</xdr:rowOff>
    </xdr:from>
    <xdr:to>
      <xdr:col>15</xdr:col>
      <xdr:colOff>161926</xdr:colOff>
      <xdr:row>1353</xdr:row>
      <xdr:rowOff>0</xdr:rowOff>
    </xdr:to>
    <xdr:pic>
      <xdr:nvPicPr>
        <xdr:cNvPr id="1014" name="Picture 101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219151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1313</xdr:row>
      <xdr:rowOff>85726</xdr:rowOff>
    </xdr:from>
    <xdr:to>
      <xdr:col>13</xdr:col>
      <xdr:colOff>561975</xdr:colOff>
      <xdr:row>1346</xdr:row>
      <xdr:rowOff>66675</xdr:rowOff>
    </xdr:to>
    <xdr:sp>
      <xdr:nvSpPr>
        <xdr:cNvPr id="1015" name="Rectangle 1014"/>
        <xdr:cNvSpPr/>
      </xdr:nvSpPr>
      <xdr:spPr>
        <a:xfrm>
          <a:off x="1016635" y="3133991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1347</xdr:row>
      <xdr:rowOff>76200</xdr:rowOff>
    </xdr:from>
    <xdr:to>
      <xdr:col>11</xdr:col>
      <xdr:colOff>552450</xdr:colOff>
      <xdr:row>1364</xdr:row>
      <xdr:rowOff>247651</xdr:rowOff>
    </xdr:to>
    <xdr:sp>
      <xdr:nvSpPr>
        <xdr:cNvPr id="1016" name="Rectangle 1015"/>
        <xdr:cNvSpPr/>
      </xdr:nvSpPr>
      <xdr:spPr>
        <a:xfrm>
          <a:off x="2530475" y="3218268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1314</xdr:row>
      <xdr:rowOff>0</xdr:rowOff>
    </xdr:from>
    <xdr:to>
      <xdr:col>10</xdr:col>
      <xdr:colOff>561975</xdr:colOff>
      <xdr:row>1315</xdr:row>
      <xdr:rowOff>0</xdr:rowOff>
    </xdr:to>
    <xdr:sp>
      <xdr:nvSpPr>
        <xdr:cNvPr id="1017" name="TextBox 1016"/>
        <xdr:cNvSpPr txBox="1"/>
      </xdr:nvSpPr>
      <xdr:spPr>
        <a:xfrm>
          <a:off x="3109595" y="3135922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1407</xdr:row>
      <xdr:rowOff>9525</xdr:rowOff>
    </xdr:from>
    <xdr:to>
      <xdr:col>12</xdr:col>
      <xdr:colOff>180974</xdr:colOff>
      <xdr:row>1407</xdr:row>
      <xdr:rowOff>257175</xdr:rowOff>
    </xdr:to>
    <xdr:sp>
      <xdr:nvSpPr>
        <xdr:cNvPr id="1018" name="TextBox 1017"/>
        <xdr:cNvSpPr txBox="1"/>
      </xdr:nvSpPr>
      <xdr:spPr>
        <a:xfrm>
          <a:off x="2359025" y="3359029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1369</xdr:row>
      <xdr:rowOff>19050</xdr:rowOff>
    </xdr:from>
    <xdr:to>
      <xdr:col>4</xdr:col>
      <xdr:colOff>219075</xdr:colOff>
      <xdr:row>1373</xdr:row>
      <xdr:rowOff>271626</xdr:rowOff>
    </xdr:to>
    <xdr:pic>
      <xdr:nvPicPr>
        <xdr:cNvPr id="1019" name="Picture 10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267532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1369</xdr:row>
      <xdr:rowOff>28575</xdr:rowOff>
    </xdr:from>
    <xdr:to>
      <xdr:col>16</xdr:col>
      <xdr:colOff>28575</xdr:colOff>
      <xdr:row>1374</xdr:row>
      <xdr:rowOff>4926</xdr:rowOff>
    </xdr:to>
    <xdr:pic>
      <xdr:nvPicPr>
        <xdr:cNvPr id="1020" name="Picture 10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3267627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1405</xdr:row>
      <xdr:rowOff>28575</xdr:rowOff>
    </xdr:from>
    <xdr:to>
      <xdr:col>4</xdr:col>
      <xdr:colOff>171451</xdr:colOff>
      <xdr:row>1409</xdr:row>
      <xdr:rowOff>219075</xdr:rowOff>
    </xdr:to>
    <xdr:pic>
      <xdr:nvPicPr>
        <xdr:cNvPr id="1021" name="Picture 102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355168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1405</xdr:row>
      <xdr:rowOff>38100</xdr:rowOff>
    </xdr:from>
    <xdr:to>
      <xdr:col>15</xdr:col>
      <xdr:colOff>161926</xdr:colOff>
      <xdr:row>1410</xdr:row>
      <xdr:rowOff>0</xdr:rowOff>
    </xdr:to>
    <xdr:pic>
      <xdr:nvPicPr>
        <xdr:cNvPr id="1022" name="Picture 10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355263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1370</xdr:row>
      <xdr:rowOff>85726</xdr:rowOff>
    </xdr:from>
    <xdr:to>
      <xdr:col>13</xdr:col>
      <xdr:colOff>561975</xdr:colOff>
      <xdr:row>1403</xdr:row>
      <xdr:rowOff>66675</xdr:rowOff>
    </xdr:to>
    <xdr:sp>
      <xdr:nvSpPr>
        <xdr:cNvPr id="1023" name="Rectangle 1022"/>
        <xdr:cNvSpPr/>
      </xdr:nvSpPr>
      <xdr:spPr>
        <a:xfrm>
          <a:off x="1016635" y="3270103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1404</xdr:row>
      <xdr:rowOff>76200</xdr:rowOff>
    </xdr:from>
    <xdr:to>
      <xdr:col>11</xdr:col>
      <xdr:colOff>552450</xdr:colOff>
      <xdr:row>1421</xdr:row>
      <xdr:rowOff>247651</xdr:rowOff>
    </xdr:to>
    <xdr:sp>
      <xdr:nvSpPr>
        <xdr:cNvPr id="1024" name="Rectangle 1023"/>
        <xdr:cNvSpPr/>
      </xdr:nvSpPr>
      <xdr:spPr>
        <a:xfrm>
          <a:off x="2530475" y="3354381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1371</xdr:row>
      <xdr:rowOff>0</xdr:rowOff>
    </xdr:from>
    <xdr:to>
      <xdr:col>10</xdr:col>
      <xdr:colOff>561975</xdr:colOff>
      <xdr:row>1372</xdr:row>
      <xdr:rowOff>0</xdr:rowOff>
    </xdr:to>
    <xdr:sp>
      <xdr:nvSpPr>
        <xdr:cNvPr id="1025" name="TextBox 1024"/>
        <xdr:cNvSpPr txBox="1"/>
      </xdr:nvSpPr>
      <xdr:spPr>
        <a:xfrm>
          <a:off x="3109595" y="3272034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1464</xdr:row>
      <xdr:rowOff>9525</xdr:rowOff>
    </xdr:from>
    <xdr:to>
      <xdr:col>12</xdr:col>
      <xdr:colOff>180974</xdr:colOff>
      <xdr:row>1464</xdr:row>
      <xdr:rowOff>257175</xdr:rowOff>
    </xdr:to>
    <xdr:sp>
      <xdr:nvSpPr>
        <xdr:cNvPr id="1026" name="TextBox 1025"/>
        <xdr:cNvSpPr txBox="1"/>
      </xdr:nvSpPr>
      <xdr:spPr>
        <a:xfrm>
          <a:off x="2359025" y="3495141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1426</xdr:row>
      <xdr:rowOff>19050</xdr:rowOff>
    </xdr:from>
    <xdr:to>
      <xdr:col>4</xdr:col>
      <xdr:colOff>219075</xdr:colOff>
      <xdr:row>1430</xdr:row>
      <xdr:rowOff>271626</xdr:rowOff>
    </xdr:to>
    <xdr:pic>
      <xdr:nvPicPr>
        <xdr:cNvPr id="1027" name="Picture 102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403644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1426</xdr:row>
      <xdr:rowOff>28575</xdr:rowOff>
    </xdr:from>
    <xdr:to>
      <xdr:col>16</xdr:col>
      <xdr:colOff>28575</xdr:colOff>
      <xdr:row>1431</xdr:row>
      <xdr:rowOff>4926</xdr:rowOff>
    </xdr:to>
    <xdr:pic>
      <xdr:nvPicPr>
        <xdr:cNvPr id="1028" name="Picture 10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3403739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1462</xdr:row>
      <xdr:rowOff>28575</xdr:rowOff>
    </xdr:from>
    <xdr:to>
      <xdr:col>4</xdr:col>
      <xdr:colOff>171451</xdr:colOff>
      <xdr:row>1466</xdr:row>
      <xdr:rowOff>219075</xdr:rowOff>
    </xdr:to>
    <xdr:pic>
      <xdr:nvPicPr>
        <xdr:cNvPr id="1029" name="Picture 102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491280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1462</xdr:row>
      <xdr:rowOff>38100</xdr:rowOff>
    </xdr:from>
    <xdr:to>
      <xdr:col>15</xdr:col>
      <xdr:colOff>161926</xdr:colOff>
      <xdr:row>1467</xdr:row>
      <xdr:rowOff>0</xdr:rowOff>
    </xdr:to>
    <xdr:pic>
      <xdr:nvPicPr>
        <xdr:cNvPr id="1030" name="Picture 102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491376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1427</xdr:row>
      <xdr:rowOff>85726</xdr:rowOff>
    </xdr:from>
    <xdr:to>
      <xdr:col>13</xdr:col>
      <xdr:colOff>561975</xdr:colOff>
      <xdr:row>1460</xdr:row>
      <xdr:rowOff>66675</xdr:rowOff>
    </xdr:to>
    <xdr:sp>
      <xdr:nvSpPr>
        <xdr:cNvPr id="1031" name="Rectangle 1030"/>
        <xdr:cNvSpPr/>
      </xdr:nvSpPr>
      <xdr:spPr>
        <a:xfrm>
          <a:off x="1016635" y="3406216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1461</xdr:row>
      <xdr:rowOff>76200</xdr:rowOff>
    </xdr:from>
    <xdr:to>
      <xdr:col>11</xdr:col>
      <xdr:colOff>552450</xdr:colOff>
      <xdr:row>1478</xdr:row>
      <xdr:rowOff>247651</xdr:rowOff>
    </xdr:to>
    <xdr:sp>
      <xdr:nvSpPr>
        <xdr:cNvPr id="1032" name="Rectangle 1031"/>
        <xdr:cNvSpPr/>
      </xdr:nvSpPr>
      <xdr:spPr>
        <a:xfrm>
          <a:off x="2530475" y="3490493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1428</xdr:row>
      <xdr:rowOff>0</xdr:rowOff>
    </xdr:from>
    <xdr:to>
      <xdr:col>10</xdr:col>
      <xdr:colOff>561975</xdr:colOff>
      <xdr:row>1429</xdr:row>
      <xdr:rowOff>0</xdr:rowOff>
    </xdr:to>
    <xdr:sp>
      <xdr:nvSpPr>
        <xdr:cNvPr id="1033" name="TextBox 1032"/>
        <xdr:cNvSpPr txBox="1"/>
      </xdr:nvSpPr>
      <xdr:spPr>
        <a:xfrm>
          <a:off x="3109595" y="3408146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1521</xdr:row>
      <xdr:rowOff>9525</xdr:rowOff>
    </xdr:from>
    <xdr:to>
      <xdr:col>12</xdr:col>
      <xdr:colOff>180974</xdr:colOff>
      <xdr:row>1521</xdr:row>
      <xdr:rowOff>257175</xdr:rowOff>
    </xdr:to>
    <xdr:sp>
      <xdr:nvSpPr>
        <xdr:cNvPr id="1034" name="TextBox 1033"/>
        <xdr:cNvSpPr txBox="1"/>
      </xdr:nvSpPr>
      <xdr:spPr>
        <a:xfrm>
          <a:off x="2359025" y="3631253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1483</xdr:row>
      <xdr:rowOff>19050</xdr:rowOff>
    </xdr:from>
    <xdr:to>
      <xdr:col>4</xdr:col>
      <xdr:colOff>219075</xdr:colOff>
      <xdr:row>1487</xdr:row>
      <xdr:rowOff>271626</xdr:rowOff>
    </xdr:to>
    <xdr:pic>
      <xdr:nvPicPr>
        <xdr:cNvPr id="1035" name="Picture 10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539756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1483</xdr:row>
      <xdr:rowOff>28575</xdr:rowOff>
    </xdr:from>
    <xdr:to>
      <xdr:col>16</xdr:col>
      <xdr:colOff>28575</xdr:colOff>
      <xdr:row>1488</xdr:row>
      <xdr:rowOff>4926</xdr:rowOff>
    </xdr:to>
    <xdr:pic>
      <xdr:nvPicPr>
        <xdr:cNvPr id="1036" name="Picture 10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3539851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1519</xdr:row>
      <xdr:rowOff>28575</xdr:rowOff>
    </xdr:from>
    <xdr:to>
      <xdr:col>4</xdr:col>
      <xdr:colOff>171451</xdr:colOff>
      <xdr:row>1523</xdr:row>
      <xdr:rowOff>219075</xdr:rowOff>
    </xdr:to>
    <xdr:pic>
      <xdr:nvPicPr>
        <xdr:cNvPr id="1037" name="Picture 103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627393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1519</xdr:row>
      <xdr:rowOff>38100</xdr:rowOff>
    </xdr:from>
    <xdr:to>
      <xdr:col>15</xdr:col>
      <xdr:colOff>161926</xdr:colOff>
      <xdr:row>1524</xdr:row>
      <xdr:rowOff>0</xdr:rowOff>
    </xdr:to>
    <xdr:pic>
      <xdr:nvPicPr>
        <xdr:cNvPr id="1038" name="Picture 103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627488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1484</xdr:row>
      <xdr:rowOff>85726</xdr:rowOff>
    </xdr:from>
    <xdr:to>
      <xdr:col>13</xdr:col>
      <xdr:colOff>561975</xdr:colOff>
      <xdr:row>1517</xdr:row>
      <xdr:rowOff>66675</xdr:rowOff>
    </xdr:to>
    <xdr:sp>
      <xdr:nvSpPr>
        <xdr:cNvPr id="1039" name="Rectangle 1038"/>
        <xdr:cNvSpPr/>
      </xdr:nvSpPr>
      <xdr:spPr>
        <a:xfrm>
          <a:off x="1016635" y="3542328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1518</xdr:row>
      <xdr:rowOff>76200</xdr:rowOff>
    </xdr:from>
    <xdr:to>
      <xdr:col>11</xdr:col>
      <xdr:colOff>552450</xdr:colOff>
      <xdr:row>1535</xdr:row>
      <xdr:rowOff>247651</xdr:rowOff>
    </xdr:to>
    <xdr:sp>
      <xdr:nvSpPr>
        <xdr:cNvPr id="1040" name="Rectangle 1039"/>
        <xdr:cNvSpPr/>
      </xdr:nvSpPr>
      <xdr:spPr>
        <a:xfrm>
          <a:off x="2530475" y="3626605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1485</xdr:row>
      <xdr:rowOff>0</xdr:rowOff>
    </xdr:from>
    <xdr:to>
      <xdr:col>10</xdr:col>
      <xdr:colOff>561975</xdr:colOff>
      <xdr:row>1486</xdr:row>
      <xdr:rowOff>0</xdr:rowOff>
    </xdr:to>
    <xdr:sp>
      <xdr:nvSpPr>
        <xdr:cNvPr id="1041" name="TextBox 1040"/>
        <xdr:cNvSpPr txBox="1"/>
      </xdr:nvSpPr>
      <xdr:spPr>
        <a:xfrm>
          <a:off x="3109595" y="3544258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1578</xdr:row>
      <xdr:rowOff>9525</xdr:rowOff>
    </xdr:from>
    <xdr:to>
      <xdr:col>12</xdr:col>
      <xdr:colOff>180974</xdr:colOff>
      <xdr:row>1578</xdr:row>
      <xdr:rowOff>257175</xdr:rowOff>
    </xdr:to>
    <xdr:sp>
      <xdr:nvSpPr>
        <xdr:cNvPr id="1042" name="TextBox 1041"/>
        <xdr:cNvSpPr txBox="1"/>
      </xdr:nvSpPr>
      <xdr:spPr>
        <a:xfrm>
          <a:off x="2359025" y="3767366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1540</xdr:row>
      <xdr:rowOff>19050</xdr:rowOff>
    </xdr:from>
    <xdr:to>
      <xdr:col>4</xdr:col>
      <xdr:colOff>219075</xdr:colOff>
      <xdr:row>1544</xdr:row>
      <xdr:rowOff>271626</xdr:rowOff>
    </xdr:to>
    <xdr:pic>
      <xdr:nvPicPr>
        <xdr:cNvPr id="1043" name="Picture 10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675868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1540</xdr:row>
      <xdr:rowOff>28575</xdr:rowOff>
    </xdr:from>
    <xdr:to>
      <xdr:col>16</xdr:col>
      <xdr:colOff>28575</xdr:colOff>
      <xdr:row>1545</xdr:row>
      <xdr:rowOff>4926</xdr:rowOff>
    </xdr:to>
    <xdr:pic>
      <xdr:nvPicPr>
        <xdr:cNvPr id="1044" name="Picture 10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3675964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1576</xdr:row>
      <xdr:rowOff>28575</xdr:rowOff>
    </xdr:from>
    <xdr:to>
      <xdr:col>4</xdr:col>
      <xdr:colOff>171451</xdr:colOff>
      <xdr:row>1580</xdr:row>
      <xdr:rowOff>219075</xdr:rowOff>
    </xdr:to>
    <xdr:pic>
      <xdr:nvPicPr>
        <xdr:cNvPr id="1045" name="Picture 104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763505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1576</xdr:row>
      <xdr:rowOff>38100</xdr:rowOff>
    </xdr:from>
    <xdr:to>
      <xdr:col>15</xdr:col>
      <xdr:colOff>161926</xdr:colOff>
      <xdr:row>1581</xdr:row>
      <xdr:rowOff>0</xdr:rowOff>
    </xdr:to>
    <xdr:pic>
      <xdr:nvPicPr>
        <xdr:cNvPr id="1046" name="Picture 104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763600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1541</xdr:row>
      <xdr:rowOff>85726</xdr:rowOff>
    </xdr:from>
    <xdr:to>
      <xdr:col>13</xdr:col>
      <xdr:colOff>561975</xdr:colOff>
      <xdr:row>1574</xdr:row>
      <xdr:rowOff>66675</xdr:rowOff>
    </xdr:to>
    <xdr:sp>
      <xdr:nvSpPr>
        <xdr:cNvPr id="1047" name="Rectangle 1046"/>
        <xdr:cNvSpPr/>
      </xdr:nvSpPr>
      <xdr:spPr>
        <a:xfrm>
          <a:off x="1016635" y="3678440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1575</xdr:row>
      <xdr:rowOff>76200</xdr:rowOff>
    </xdr:from>
    <xdr:to>
      <xdr:col>11</xdr:col>
      <xdr:colOff>552450</xdr:colOff>
      <xdr:row>1592</xdr:row>
      <xdr:rowOff>247651</xdr:rowOff>
    </xdr:to>
    <xdr:sp>
      <xdr:nvSpPr>
        <xdr:cNvPr id="1048" name="Rectangle 1047"/>
        <xdr:cNvSpPr/>
      </xdr:nvSpPr>
      <xdr:spPr>
        <a:xfrm>
          <a:off x="2530475" y="3762717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1542</xdr:row>
      <xdr:rowOff>0</xdr:rowOff>
    </xdr:from>
    <xdr:to>
      <xdr:col>10</xdr:col>
      <xdr:colOff>561975</xdr:colOff>
      <xdr:row>1543</xdr:row>
      <xdr:rowOff>0</xdr:rowOff>
    </xdr:to>
    <xdr:sp>
      <xdr:nvSpPr>
        <xdr:cNvPr id="1049" name="TextBox 1048"/>
        <xdr:cNvSpPr txBox="1"/>
      </xdr:nvSpPr>
      <xdr:spPr>
        <a:xfrm>
          <a:off x="3109595" y="3680371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1635</xdr:row>
      <xdr:rowOff>9525</xdr:rowOff>
    </xdr:from>
    <xdr:to>
      <xdr:col>12</xdr:col>
      <xdr:colOff>180974</xdr:colOff>
      <xdr:row>1635</xdr:row>
      <xdr:rowOff>257175</xdr:rowOff>
    </xdr:to>
    <xdr:sp>
      <xdr:nvSpPr>
        <xdr:cNvPr id="1050" name="TextBox 1049"/>
        <xdr:cNvSpPr txBox="1"/>
      </xdr:nvSpPr>
      <xdr:spPr>
        <a:xfrm>
          <a:off x="2359025" y="3903478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1597</xdr:row>
      <xdr:rowOff>19050</xdr:rowOff>
    </xdr:from>
    <xdr:to>
      <xdr:col>4</xdr:col>
      <xdr:colOff>219075</xdr:colOff>
      <xdr:row>1601</xdr:row>
      <xdr:rowOff>271626</xdr:rowOff>
    </xdr:to>
    <xdr:pic>
      <xdr:nvPicPr>
        <xdr:cNvPr id="1051" name="Picture 10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811981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1597</xdr:row>
      <xdr:rowOff>28575</xdr:rowOff>
    </xdr:from>
    <xdr:to>
      <xdr:col>16</xdr:col>
      <xdr:colOff>28575</xdr:colOff>
      <xdr:row>1602</xdr:row>
      <xdr:rowOff>4926</xdr:rowOff>
    </xdr:to>
    <xdr:pic>
      <xdr:nvPicPr>
        <xdr:cNvPr id="1052" name="Picture 10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3812076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1633</xdr:row>
      <xdr:rowOff>28575</xdr:rowOff>
    </xdr:from>
    <xdr:to>
      <xdr:col>4</xdr:col>
      <xdr:colOff>171451</xdr:colOff>
      <xdr:row>1637</xdr:row>
      <xdr:rowOff>219075</xdr:rowOff>
    </xdr:to>
    <xdr:pic>
      <xdr:nvPicPr>
        <xdr:cNvPr id="1053" name="Picture 105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3899617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1633</xdr:row>
      <xdr:rowOff>38100</xdr:rowOff>
    </xdr:from>
    <xdr:to>
      <xdr:col>15</xdr:col>
      <xdr:colOff>161926</xdr:colOff>
      <xdr:row>1638</xdr:row>
      <xdr:rowOff>0</xdr:rowOff>
    </xdr:to>
    <xdr:pic>
      <xdr:nvPicPr>
        <xdr:cNvPr id="1054" name="Picture 105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3899712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1598</xdr:row>
      <xdr:rowOff>85726</xdr:rowOff>
    </xdr:from>
    <xdr:to>
      <xdr:col>13</xdr:col>
      <xdr:colOff>561975</xdr:colOff>
      <xdr:row>1631</xdr:row>
      <xdr:rowOff>66675</xdr:rowOff>
    </xdr:to>
    <xdr:sp>
      <xdr:nvSpPr>
        <xdr:cNvPr id="1055" name="Rectangle 1054"/>
        <xdr:cNvSpPr/>
      </xdr:nvSpPr>
      <xdr:spPr>
        <a:xfrm>
          <a:off x="1016635" y="3814552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1632</xdr:row>
      <xdr:rowOff>76200</xdr:rowOff>
    </xdr:from>
    <xdr:to>
      <xdr:col>11</xdr:col>
      <xdr:colOff>552450</xdr:colOff>
      <xdr:row>1649</xdr:row>
      <xdr:rowOff>247651</xdr:rowOff>
    </xdr:to>
    <xdr:sp>
      <xdr:nvSpPr>
        <xdr:cNvPr id="1056" name="Rectangle 1055"/>
        <xdr:cNvSpPr/>
      </xdr:nvSpPr>
      <xdr:spPr>
        <a:xfrm>
          <a:off x="2530475" y="3898830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1599</xdr:row>
      <xdr:rowOff>0</xdr:rowOff>
    </xdr:from>
    <xdr:to>
      <xdr:col>10</xdr:col>
      <xdr:colOff>561975</xdr:colOff>
      <xdr:row>1600</xdr:row>
      <xdr:rowOff>0</xdr:rowOff>
    </xdr:to>
    <xdr:sp>
      <xdr:nvSpPr>
        <xdr:cNvPr id="1057" name="TextBox 1056"/>
        <xdr:cNvSpPr txBox="1"/>
      </xdr:nvSpPr>
      <xdr:spPr>
        <a:xfrm>
          <a:off x="3109595" y="3816483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1692</xdr:row>
      <xdr:rowOff>9525</xdr:rowOff>
    </xdr:from>
    <xdr:to>
      <xdr:col>12</xdr:col>
      <xdr:colOff>180974</xdr:colOff>
      <xdr:row>1692</xdr:row>
      <xdr:rowOff>257175</xdr:rowOff>
    </xdr:to>
    <xdr:sp>
      <xdr:nvSpPr>
        <xdr:cNvPr id="1058" name="TextBox 1057"/>
        <xdr:cNvSpPr txBox="1"/>
      </xdr:nvSpPr>
      <xdr:spPr>
        <a:xfrm>
          <a:off x="2359025" y="4039590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1654</xdr:row>
      <xdr:rowOff>19050</xdr:rowOff>
    </xdr:from>
    <xdr:to>
      <xdr:col>4</xdr:col>
      <xdr:colOff>219075</xdr:colOff>
      <xdr:row>1658</xdr:row>
      <xdr:rowOff>271626</xdr:rowOff>
    </xdr:to>
    <xdr:pic>
      <xdr:nvPicPr>
        <xdr:cNvPr id="1059" name="Picture 10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3948093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1654</xdr:row>
      <xdr:rowOff>28575</xdr:rowOff>
    </xdr:from>
    <xdr:to>
      <xdr:col>16</xdr:col>
      <xdr:colOff>28575</xdr:colOff>
      <xdr:row>1659</xdr:row>
      <xdr:rowOff>4926</xdr:rowOff>
    </xdr:to>
    <xdr:pic>
      <xdr:nvPicPr>
        <xdr:cNvPr id="1060" name="Picture 10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3948188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1690</xdr:row>
      <xdr:rowOff>28575</xdr:rowOff>
    </xdr:from>
    <xdr:to>
      <xdr:col>4</xdr:col>
      <xdr:colOff>171451</xdr:colOff>
      <xdr:row>1694</xdr:row>
      <xdr:rowOff>219075</xdr:rowOff>
    </xdr:to>
    <xdr:pic>
      <xdr:nvPicPr>
        <xdr:cNvPr id="1061" name="Picture 106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035729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1690</xdr:row>
      <xdr:rowOff>38100</xdr:rowOff>
    </xdr:from>
    <xdr:to>
      <xdr:col>15</xdr:col>
      <xdr:colOff>161926</xdr:colOff>
      <xdr:row>1695</xdr:row>
      <xdr:rowOff>0</xdr:rowOff>
    </xdr:to>
    <xdr:pic>
      <xdr:nvPicPr>
        <xdr:cNvPr id="1062" name="Picture 106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035825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1655</xdr:row>
      <xdr:rowOff>85726</xdr:rowOff>
    </xdr:from>
    <xdr:to>
      <xdr:col>13</xdr:col>
      <xdr:colOff>561975</xdr:colOff>
      <xdr:row>1688</xdr:row>
      <xdr:rowOff>66675</xdr:rowOff>
    </xdr:to>
    <xdr:sp>
      <xdr:nvSpPr>
        <xdr:cNvPr id="1063" name="Rectangle 1062"/>
        <xdr:cNvSpPr/>
      </xdr:nvSpPr>
      <xdr:spPr>
        <a:xfrm>
          <a:off x="1016635" y="3950665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1689</xdr:row>
      <xdr:rowOff>76200</xdr:rowOff>
    </xdr:from>
    <xdr:to>
      <xdr:col>11</xdr:col>
      <xdr:colOff>552450</xdr:colOff>
      <xdr:row>1706</xdr:row>
      <xdr:rowOff>247651</xdr:rowOff>
    </xdr:to>
    <xdr:sp>
      <xdr:nvSpPr>
        <xdr:cNvPr id="1064" name="Rectangle 1063"/>
        <xdr:cNvSpPr/>
      </xdr:nvSpPr>
      <xdr:spPr>
        <a:xfrm>
          <a:off x="2530475" y="4034942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1656</xdr:row>
      <xdr:rowOff>0</xdr:rowOff>
    </xdr:from>
    <xdr:to>
      <xdr:col>10</xdr:col>
      <xdr:colOff>561975</xdr:colOff>
      <xdr:row>1657</xdr:row>
      <xdr:rowOff>0</xdr:rowOff>
    </xdr:to>
    <xdr:sp>
      <xdr:nvSpPr>
        <xdr:cNvPr id="1065" name="TextBox 1064"/>
        <xdr:cNvSpPr txBox="1"/>
      </xdr:nvSpPr>
      <xdr:spPr>
        <a:xfrm>
          <a:off x="3109595" y="3952595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1749</xdr:row>
      <xdr:rowOff>9525</xdr:rowOff>
    </xdr:from>
    <xdr:to>
      <xdr:col>12</xdr:col>
      <xdr:colOff>180974</xdr:colOff>
      <xdr:row>1749</xdr:row>
      <xdr:rowOff>257175</xdr:rowOff>
    </xdr:to>
    <xdr:sp>
      <xdr:nvSpPr>
        <xdr:cNvPr id="1066" name="TextBox 1065"/>
        <xdr:cNvSpPr txBox="1"/>
      </xdr:nvSpPr>
      <xdr:spPr>
        <a:xfrm>
          <a:off x="2359025" y="4175702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1711</xdr:row>
      <xdr:rowOff>19050</xdr:rowOff>
    </xdr:from>
    <xdr:to>
      <xdr:col>4</xdr:col>
      <xdr:colOff>219075</xdr:colOff>
      <xdr:row>1715</xdr:row>
      <xdr:rowOff>271626</xdr:rowOff>
    </xdr:to>
    <xdr:pic>
      <xdr:nvPicPr>
        <xdr:cNvPr id="1067" name="Picture 10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084205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1711</xdr:row>
      <xdr:rowOff>28575</xdr:rowOff>
    </xdr:from>
    <xdr:to>
      <xdr:col>16</xdr:col>
      <xdr:colOff>28575</xdr:colOff>
      <xdr:row>1716</xdr:row>
      <xdr:rowOff>4926</xdr:rowOff>
    </xdr:to>
    <xdr:pic>
      <xdr:nvPicPr>
        <xdr:cNvPr id="1068" name="Picture 10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084300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1747</xdr:row>
      <xdr:rowOff>28575</xdr:rowOff>
    </xdr:from>
    <xdr:to>
      <xdr:col>4</xdr:col>
      <xdr:colOff>171451</xdr:colOff>
      <xdr:row>1751</xdr:row>
      <xdr:rowOff>219075</xdr:rowOff>
    </xdr:to>
    <xdr:pic>
      <xdr:nvPicPr>
        <xdr:cNvPr id="1069" name="Picture 106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171842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1747</xdr:row>
      <xdr:rowOff>38100</xdr:rowOff>
    </xdr:from>
    <xdr:to>
      <xdr:col>15</xdr:col>
      <xdr:colOff>161926</xdr:colOff>
      <xdr:row>1752</xdr:row>
      <xdr:rowOff>0</xdr:rowOff>
    </xdr:to>
    <xdr:pic>
      <xdr:nvPicPr>
        <xdr:cNvPr id="1070" name="Picture 106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171937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1712</xdr:row>
      <xdr:rowOff>85726</xdr:rowOff>
    </xdr:from>
    <xdr:to>
      <xdr:col>13</xdr:col>
      <xdr:colOff>561975</xdr:colOff>
      <xdr:row>1745</xdr:row>
      <xdr:rowOff>66675</xdr:rowOff>
    </xdr:to>
    <xdr:sp>
      <xdr:nvSpPr>
        <xdr:cNvPr id="1071" name="Rectangle 1070"/>
        <xdr:cNvSpPr/>
      </xdr:nvSpPr>
      <xdr:spPr>
        <a:xfrm>
          <a:off x="1016635" y="4086777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1746</xdr:row>
      <xdr:rowOff>76200</xdr:rowOff>
    </xdr:from>
    <xdr:to>
      <xdr:col>11</xdr:col>
      <xdr:colOff>552450</xdr:colOff>
      <xdr:row>1763</xdr:row>
      <xdr:rowOff>247651</xdr:rowOff>
    </xdr:to>
    <xdr:sp>
      <xdr:nvSpPr>
        <xdr:cNvPr id="1072" name="Rectangle 1071"/>
        <xdr:cNvSpPr/>
      </xdr:nvSpPr>
      <xdr:spPr>
        <a:xfrm>
          <a:off x="2530475" y="4171054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1713</xdr:row>
      <xdr:rowOff>0</xdr:rowOff>
    </xdr:from>
    <xdr:to>
      <xdr:col>10</xdr:col>
      <xdr:colOff>561975</xdr:colOff>
      <xdr:row>1714</xdr:row>
      <xdr:rowOff>0</xdr:rowOff>
    </xdr:to>
    <xdr:sp>
      <xdr:nvSpPr>
        <xdr:cNvPr id="1073" name="TextBox 1072"/>
        <xdr:cNvSpPr txBox="1"/>
      </xdr:nvSpPr>
      <xdr:spPr>
        <a:xfrm>
          <a:off x="3109595" y="4088707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1806</xdr:row>
      <xdr:rowOff>9525</xdr:rowOff>
    </xdr:from>
    <xdr:to>
      <xdr:col>12</xdr:col>
      <xdr:colOff>180974</xdr:colOff>
      <xdr:row>1806</xdr:row>
      <xdr:rowOff>257175</xdr:rowOff>
    </xdr:to>
    <xdr:sp>
      <xdr:nvSpPr>
        <xdr:cNvPr id="1074" name="TextBox 1073"/>
        <xdr:cNvSpPr txBox="1"/>
      </xdr:nvSpPr>
      <xdr:spPr>
        <a:xfrm>
          <a:off x="2359025" y="4311815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1768</xdr:row>
      <xdr:rowOff>19050</xdr:rowOff>
    </xdr:from>
    <xdr:to>
      <xdr:col>4</xdr:col>
      <xdr:colOff>219075</xdr:colOff>
      <xdr:row>1772</xdr:row>
      <xdr:rowOff>271626</xdr:rowOff>
    </xdr:to>
    <xdr:pic>
      <xdr:nvPicPr>
        <xdr:cNvPr id="1075" name="Picture 107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220317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1768</xdr:row>
      <xdr:rowOff>28575</xdr:rowOff>
    </xdr:from>
    <xdr:to>
      <xdr:col>16</xdr:col>
      <xdr:colOff>28575</xdr:colOff>
      <xdr:row>1773</xdr:row>
      <xdr:rowOff>4926</xdr:rowOff>
    </xdr:to>
    <xdr:pic>
      <xdr:nvPicPr>
        <xdr:cNvPr id="1076" name="Picture 107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220413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1804</xdr:row>
      <xdr:rowOff>28575</xdr:rowOff>
    </xdr:from>
    <xdr:to>
      <xdr:col>4</xdr:col>
      <xdr:colOff>171451</xdr:colOff>
      <xdr:row>1808</xdr:row>
      <xdr:rowOff>219075</xdr:rowOff>
    </xdr:to>
    <xdr:pic>
      <xdr:nvPicPr>
        <xdr:cNvPr id="1077" name="Picture 107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307954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1804</xdr:row>
      <xdr:rowOff>38100</xdr:rowOff>
    </xdr:from>
    <xdr:to>
      <xdr:col>15</xdr:col>
      <xdr:colOff>161926</xdr:colOff>
      <xdr:row>1809</xdr:row>
      <xdr:rowOff>0</xdr:rowOff>
    </xdr:to>
    <xdr:pic>
      <xdr:nvPicPr>
        <xdr:cNvPr id="1078" name="Picture 107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308049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1769</xdr:row>
      <xdr:rowOff>85726</xdr:rowOff>
    </xdr:from>
    <xdr:to>
      <xdr:col>13</xdr:col>
      <xdr:colOff>561975</xdr:colOff>
      <xdr:row>1802</xdr:row>
      <xdr:rowOff>66675</xdr:rowOff>
    </xdr:to>
    <xdr:sp>
      <xdr:nvSpPr>
        <xdr:cNvPr id="1079" name="Rectangle 1078"/>
        <xdr:cNvSpPr/>
      </xdr:nvSpPr>
      <xdr:spPr>
        <a:xfrm>
          <a:off x="1016635" y="4222889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1803</xdr:row>
      <xdr:rowOff>76200</xdr:rowOff>
    </xdr:from>
    <xdr:to>
      <xdr:col>11</xdr:col>
      <xdr:colOff>552450</xdr:colOff>
      <xdr:row>1820</xdr:row>
      <xdr:rowOff>247651</xdr:rowOff>
    </xdr:to>
    <xdr:sp>
      <xdr:nvSpPr>
        <xdr:cNvPr id="1080" name="Rectangle 1079"/>
        <xdr:cNvSpPr/>
      </xdr:nvSpPr>
      <xdr:spPr>
        <a:xfrm>
          <a:off x="2530475" y="4307166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1770</xdr:row>
      <xdr:rowOff>0</xdr:rowOff>
    </xdr:from>
    <xdr:to>
      <xdr:col>10</xdr:col>
      <xdr:colOff>561975</xdr:colOff>
      <xdr:row>1771</xdr:row>
      <xdr:rowOff>0</xdr:rowOff>
    </xdr:to>
    <xdr:sp>
      <xdr:nvSpPr>
        <xdr:cNvPr id="1081" name="TextBox 1080"/>
        <xdr:cNvSpPr txBox="1"/>
      </xdr:nvSpPr>
      <xdr:spPr>
        <a:xfrm>
          <a:off x="3109595" y="4224820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1863</xdr:row>
      <xdr:rowOff>9525</xdr:rowOff>
    </xdr:from>
    <xdr:to>
      <xdr:col>12</xdr:col>
      <xdr:colOff>180974</xdr:colOff>
      <xdr:row>1863</xdr:row>
      <xdr:rowOff>257175</xdr:rowOff>
    </xdr:to>
    <xdr:sp>
      <xdr:nvSpPr>
        <xdr:cNvPr id="1082" name="TextBox 1081"/>
        <xdr:cNvSpPr txBox="1"/>
      </xdr:nvSpPr>
      <xdr:spPr>
        <a:xfrm>
          <a:off x="2359025" y="4447927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1825</xdr:row>
      <xdr:rowOff>19050</xdr:rowOff>
    </xdr:from>
    <xdr:to>
      <xdr:col>4</xdr:col>
      <xdr:colOff>219075</xdr:colOff>
      <xdr:row>1829</xdr:row>
      <xdr:rowOff>271626</xdr:rowOff>
    </xdr:to>
    <xdr:pic>
      <xdr:nvPicPr>
        <xdr:cNvPr id="1083" name="Picture 10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356430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1825</xdr:row>
      <xdr:rowOff>28575</xdr:rowOff>
    </xdr:from>
    <xdr:to>
      <xdr:col>16</xdr:col>
      <xdr:colOff>28575</xdr:colOff>
      <xdr:row>1830</xdr:row>
      <xdr:rowOff>4926</xdr:rowOff>
    </xdr:to>
    <xdr:pic>
      <xdr:nvPicPr>
        <xdr:cNvPr id="1084" name="Picture 10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356525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1861</xdr:row>
      <xdr:rowOff>28575</xdr:rowOff>
    </xdr:from>
    <xdr:to>
      <xdr:col>4</xdr:col>
      <xdr:colOff>171451</xdr:colOff>
      <xdr:row>1865</xdr:row>
      <xdr:rowOff>219075</xdr:rowOff>
    </xdr:to>
    <xdr:pic>
      <xdr:nvPicPr>
        <xdr:cNvPr id="1085" name="Picture 108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444066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1861</xdr:row>
      <xdr:rowOff>38100</xdr:rowOff>
    </xdr:from>
    <xdr:to>
      <xdr:col>15</xdr:col>
      <xdr:colOff>161926</xdr:colOff>
      <xdr:row>1866</xdr:row>
      <xdr:rowOff>0</xdr:rowOff>
    </xdr:to>
    <xdr:pic>
      <xdr:nvPicPr>
        <xdr:cNvPr id="1086" name="Picture 108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444161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1826</xdr:row>
      <xdr:rowOff>85726</xdr:rowOff>
    </xdr:from>
    <xdr:to>
      <xdr:col>13</xdr:col>
      <xdr:colOff>561975</xdr:colOff>
      <xdr:row>1859</xdr:row>
      <xdr:rowOff>66675</xdr:rowOff>
    </xdr:to>
    <xdr:sp>
      <xdr:nvSpPr>
        <xdr:cNvPr id="1087" name="Rectangle 1086"/>
        <xdr:cNvSpPr/>
      </xdr:nvSpPr>
      <xdr:spPr>
        <a:xfrm>
          <a:off x="1016635" y="4359001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1860</xdr:row>
      <xdr:rowOff>76200</xdr:rowOff>
    </xdr:from>
    <xdr:to>
      <xdr:col>11</xdr:col>
      <xdr:colOff>552450</xdr:colOff>
      <xdr:row>1877</xdr:row>
      <xdr:rowOff>247651</xdr:rowOff>
    </xdr:to>
    <xdr:sp>
      <xdr:nvSpPr>
        <xdr:cNvPr id="1088" name="Rectangle 1087"/>
        <xdr:cNvSpPr/>
      </xdr:nvSpPr>
      <xdr:spPr>
        <a:xfrm>
          <a:off x="2530475" y="4443279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1827</xdr:row>
      <xdr:rowOff>0</xdr:rowOff>
    </xdr:from>
    <xdr:to>
      <xdr:col>10</xdr:col>
      <xdr:colOff>561975</xdr:colOff>
      <xdr:row>1828</xdr:row>
      <xdr:rowOff>0</xdr:rowOff>
    </xdr:to>
    <xdr:sp>
      <xdr:nvSpPr>
        <xdr:cNvPr id="1089" name="TextBox 1088"/>
        <xdr:cNvSpPr txBox="1"/>
      </xdr:nvSpPr>
      <xdr:spPr>
        <a:xfrm>
          <a:off x="3109595" y="4360932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1920</xdr:row>
      <xdr:rowOff>9525</xdr:rowOff>
    </xdr:from>
    <xdr:to>
      <xdr:col>12</xdr:col>
      <xdr:colOff>180974</xdr:colOff>
      <xdr:row>1920</xdr:row>
      <xdr:rowOff>257175</xdr:rowOff>
    </xdr:to>
    <xdr:sp>
      <xdr:nvSpPr>
        <xdr:cNvPr id="1090" name="TextBox 1089"/>
        <xdr:cNvSpPr txBox="1"/>
      </xdr:nvSpPr>
      <xdr:spPr>
        <a:xfrm>
          <a:off x="2359025" y="4584039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1882</xdr:row>
      <xdr:rowOff>19050</xdr:rowOff>
    </xdr:from>
    <xdr:to>
      <xdr:col>4</xdr:col>
      <xdr:colOff>219075</xdr:colOff>
      <xdr:row>1886</xdr:row>
      <xdr:rowOff>271626</xdr:rowOff>
    </xdr:to>
    <xdr:pic>
      <xdr:nvPicPr>
        <xdr:cNvPr id="1091" name="Picture 10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492542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1882</xdr:row>
      <xdr:rowOff>28575</xdr:rowOff>
    </xdr:from>
    <xdr:to>
      <xdr:col>16</xdr:col>
      <xdr:colOff>28575</xdr:colOff>
      <xdr:row>1887</xdr:row>
      <xdr:rowOff>4926</xdr:rowOff>
    </xdr:to>
    <xdr:pic>
      <xdr:nvPicPr>
        <xdr:cNvPr id="1092" name="Picture 10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492637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1918</xdr:row>
      <xdr:rowOff>28575</xdr:rowOff>
    </xdr:from>
    <xdr:to>
      <xdr:col>4</xdr:col>
      <xdr:colOff>171451</xdr:colOff>
      <xdr:row>1922</xdr:row>
      <xdr:rowOff>219075</xdr:rowOff>
    </xdr:to>
    <xdr:pic>
      <xdr:nvPicPr>
        <xdr:cNvPr id="1093" name="Picture 109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580178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1918</xdr:row>
      <xdr:rowOff>38100</xdr:rowOff>
    </xdr:from>
    <xdr:to>
      <xdr:col>15</xdr:col>
      <xdr:colOff>161926</xdr:colOff>
      <xdr:row>1923</xdr:row>
      <xdr:rowOff>0</xdr:rowOff>
    </xdr:to>
    <xdr:pic>
      <xdr:nvPicPr>
        <xdr:cNvPr id="1094" name="Picture 109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580274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1883</xdr:row>
      <xdr:rowOff>85726</xdr:rowOff>
    </xdr:from>
    <xdr:to>
      <xdr:col>13</xdr:col>
      <xdr:colOff>561975</xdr:colOff>
      <xdr:row>1916</xdr:row>
      <xdr:rowOff>66675</xdr:rowOff>
    </xdr:to>
    <xdr:sp>
      <xdr:nvSpPr>
        <xdr:cNvPr id="1095" name="Rectangle 1094"/>
        <xdr:cNvSpPr/>
      </xdr:nvSpPr>
      <xdr:spPr>
        <a:xfrm>
          <a:off x="1016635" y="4495114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1917</xdr:row>
      <xdr:rowOff>76200</xdr:rowOff>
    </xdr:from>
    <xdr:to>
      <xdr:col>11</xdr:col>
      <xdr:colOff>552450</xdr:colOff>
      <xdr:row>1934</xdr:row>
      <xdr:rowOff>247651</xdr:rowOff>
    </xdr:to>
    <xdr:sp>
      <xdr:nvSpPr>
        <xdr:cNvPr id="1096" name="Rectangle 1095"/>
        <xdr:cNvSpPr/>
      </xdr:nvSpPr>
      <xdr:spPr>
        <a:xfrm>
          <a:off x="2530475" y="4579391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1884</xdr:row>
      <xdr:rowOff>0</xdr:rowOff>
    </xdr:from>
    <xdr:to>
      <xdr:col>10</xdr:col>
      <xdr:colOff>561975</xdr:colOff>
      <xdr:row>1885</xdr:row>
      <xdr:rowOff>0</xdr:rowOff>
    </xdr:to>
    <xdr:sp>
      <xdr:nvSpPr>
        <xdr:cNvPr id="1097" name="TextBox 1096"/>
        <xdr:cNvSpPr txBox="1"/>
      </xdr:nvSpPr>
      <xdr:spPr>
        <a:xfrm>
          <a:off x="3109595" y="4497044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1977</xdr:row>
      <xdr:rowOff>9525</xdr:rowOff>
    </xdr:from>
    <xdr:to>
      <xdr:col>12</xdr:col>
      <xdr:colOff>180974</xdr:colOff>
      <xdr:row>1977</xdr:row>
      <xdr:rowOff>257175</xdr:rowOff>
    </xdr:to>
    <xdr:sp>
      <xdr:nvSpPr>
        <xdr:cNvPr id="1098" name="TextBox 1097"/>
        <xdr:cNvSpPr txBox="1"/>
      </xdr:nvSpPr>
      <xdr:spPr>
        <a:xfrm>
          <a:off x="2359025" y="4720151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1939</xdr:row>
      <xdr:rowOff>19050</xdr:rowOff>
    </xdr:from>
    <xdr:to>
      <xdr:col>4</xdr:col>
      <xdr:colOff>219075</xdr:colOff>
      <xdr:row>1943</xdr:row>
      <xdr:rowOff>271626</xdr:rowOff>
    </xdr:to>
    <xdr:pic>
      <xdr:nvPicPr>
        <xdr:cNvPr id="1099" name="Picture 10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628654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1939</xdr:row>
      <xdr:rowOff>28575</xdr:rowOff>
    </xdr:from>
    <xdr:to>
      <xdr:col>16</xdr:col>
      <xdr:colOff>28575</xdr:colOff>
      <xdr:row>1944</xdr:row>
      <xdr:rowOff>4926</xdr:rowOff>
    </xdr:to>
    <xdr:pic>
      <xdr:nvPicPr>
        <xdr:cNvPr id="1100" name="Picture 10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628749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1975</xdr:row>
      <xdr:rowOff>28575</xdr:rowOff>
    </xdr:from>
    <xdr:to>
      <xdr:col>4</xdr:col>
      <xdr:colOff>171451</xdr:colOff>
      <xdr:row>1979</xdr:row>
      <xdr:rowOff>219075</xdr:rowOff>
    </xdr:to>
    <xdr:pic>
      <xdr:nvPicPr>
        <xdr:cNvPr id="1101" name="Picture 110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716291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1975</xdr:row>
      <xdr:rowOff>38100</xdr:rowOff>
    </xdr:from>
    <xdr:to>
      <xdr:col>15</xdr:col>
      <xdr:colOff>161926</xdr:colOff>
      <xdr:row>1980</xdr:row>
      <xdr:rowOff>0</xdr:rowOff>
    </xdr:to>
    <xdr:pic>
      <xdr:nvPicPr>
        <xdr:cNvPr id="1102" name="Picture 110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716386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1940</xdr:row>
      <xdr:rowOff>85726</xdr:rowOff>
    </xdr:from>
    <xdr:to>
      <xdr:col>13</xdr:col>
      <xdr:colOff>561975</xdr:colOff>
      <xdr:row>1973</xdr:row>
      <xdr:rowOff>66675</xdr:rowOff>
    </xdr:to>
    <xdr:sp>
      <xdr:nvSpPr>
        <xdr:cNvPr id="1103" name="Rectangle 1102"/>
        <xdr:cNvSpPr/>
      </xdr:nvSpPr>
      <xdr:spPr>
        <a:xfrm>
          <a:off x="1016635" y="4631226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1974</xdr:row>
      <xdr:rowOff>76200</xdr:rowOff>
    </xdr:from>
    <xdr:to>
      <xdr:col>11</xdr:col>
      <xdr:colOff>552450</xdr:colOff>
      <xdr:row>1991</xdr:row>
      <xdr:rowOff>247651</xdr:rowOff>
    </xdr:to>
    <xdr:sp>
      <xdr:nvSpPr>
        <xdr:cNvPr id="1104" name="Rectangle 1103"/>
        <xdr:cNvSpPr/>
      </xdr:nvSpPr>
      <xdr:spPr>
        <a:xfrm>
          <a:off x="2530475" y="4715503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1941</xdr:row>
      <xdr:rowOff>0</xdr:rowOff>
    </xdr:from>
    <xdr:to>
      <xdr:col>10</xdr:col>
      <xdr:colOff>561975</xdr:colOff>
      <xdr:row>1942</xdr:row>
      <xdr:rowOff>0</xdr:rowOff>
    </xdr:to>
    <xdr:sp>
      <xdr:nvSpPr>
        <xdr:cNvPr id="1105" name="TextBox 1104"/>
        <xdr:cNvSpPr txBox="1"/>
      </xdr:nvSpPr>
      <xdr:spPr>
        <a:xfrm>
          <a:off x="3109595" y="4633156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2034</xdr:row>
      <xdr:rowOff>9525</xdr:rowOff>
    </xdr:from>
    <xdr:to>
      <xdr:col>12</xdr:col>
      <xdr:colOff>180974</xdr:colOff>
      <xdr:row>2034</xdr:row>
      <xdr:rowOff>257175</xdr:rowOff>
    </xdr:to>
    <xdr:sp>
      <xdr:nvSpPr>
        <xdr:cNvPr id="1106" name="TextBox 1105"/>
        <xdr:cNvSpPr txBox="1"/>
      </xdr:nvSpPr>
      <xdr:spPr>
        <a:xfrm>
          <a:off x="2359025" y="4856264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1996</xdr:row>
      <xdr:rowOff>19050</xdr:rowOff>
    </xdr:from>
    <xdr:to>
      <xdr:col>4</xdr:col>
      <xdr:colOff>219075</xdr:colOff>
      <xdr:row>2000</xdr:row>
      <xdr:rowOff>271626</xdr:rowOff>
    </xdr:to>
    <xdr:pic>
      <xdr:nvPicPr>
        <xdr:cNvPr id="1107" name="Picture 11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764766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1996</xdr:row>
      <xdr:rowOff>28575</xdr:rowOff>
    </xdr:from>
    <xdr:to>
      <xdr:col>16</xdr:col>
      <xdr:colOff>28575</xdr:colOff>
      <xdr:row>2001</xdr:row>
      <xdr:rowOff>4926</xdr:rowOff>
    </xdr:to>
    <xdr:pic>
      <xdr:nvPicPr>
        <xdr:cNvPr id="1108" name="Picture 11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764862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2032</xdr:row>
      <xdr:rowOff>28575</xdr:rowOff>
    </xdr:from>
    <xdr:to>
      <xdr:col>4</xdr:col>
      <xdr:colOff>171451</xdr:colOff>
      <xdr:row>2036</xdr:row>
      <xdr:rowOff>219075</xdr:rowOff>
    </xdr:to>
    <xdr:pic>
      <xdr:nvPicPr>
        <xdr:cNvPr id="1109" name="Picture 110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852403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2032</xdr:row>
      <xdr:rowOff>38100</xdr:rowOff>
    </xdr:from>
    <xdr:to>
      <xdr:col>15</xdr:col>
      <xdr:colOff>161926</xdr:colOff>
      <xdr:row>2037</xdr:row>
      <xdr:rowOff>0</xdr:rowOff>
    </xdr:to>
    <xdr:pic>
      <xdr:nvPicPr>
        <xdr:cNvPr id="1110" name="Picture 110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852498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1997</xdr:row>
      <xdr:rowOff>85726</xdr:rowOff>
    </xdr:from>
    <xdr:to>
      <xdr:col>13</xdr:col>
      <xdr:colOff>561975</xdr:colOff>
      <xdr:row>2030</xdr:row>
      <xdr:rowOff>66675</xdr:rowOff>
    </xdr:to>
    <xdr:sp>
      <xdr:nvSpPr>
        <xdr:cNvPr id="1111" name="Rectangle 1110"/>
        <xdr:cNvSpPr/>
      </xdr:nvSpPr>
      <xdr:spPr>
        <a:xfrm>
          <a:off x="1016635" y="4767338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2031</xdr:row>
      <xdr:rowOff>76200</xdr:rowOff>
    </xdr:from>
    <xdr:to>
      <xdr:col>11</xdr:col>
      <xdr:colOff>552450</xdr:colOff>
      <xdr:row>2048</xdr:row>
      <xdr:rowOff>247651</xdr:rowOff>
    </xdr:to>
    <xdr:sp>
      <xdr:nvSpPr>
        <xdr:cNvPr id="1112" name="Rectangle 1111"/>
        <xdr:cNvSpPr/>
      </xdr:nvSpPr>
      <xdr:spPr>
        <a:xfrm>
          <a:off x="2530475" y="4851615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1998</xdr:row>
      <xdr:rowOff>0</xdr:rowOff>
    </xdr:from>
    <xdr:to>
      <xdr:col>10</xdr:col>
      <xdr:colOff>561975</xdr:colOff>
      <xdr:row>1999</xdr:row>
      <xdr:rowOff>0</xdr:rowOff>
    </xdr:to>
    <xdr:sp>
      <xdr:nvSpPr>
        <xdr:cNvPr id="1113" name="TextBox 1112"/>
        <xdr:cNvSpPr txBox="1"/>
      </xdr:nvSpPr>
      <xdr:spPr>
        <a:xfrm>
          <a:off x="3109595" y="4769269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2091</xdr:row>
      <xdr:rowOff>9525</xdr:rowOff>
    </xdr:from>
    <xdr:to>
      <xdr:col>12</xdr:col>
      <xdr:colOff>180974</xdr:colOff>
      <xdr:row>2091</xdr:row>
      <xdr:rowOff>257175</xdr:rowOff>
    </xdr:to>
    <xdr:sp>
      <xdr:nvSpPr>
        <xdr:cNvPr id="1114" name="TextBox 1113"/>
        <xdr:cNvSpPr txBox="1"/>
      </xdr:nvSpPr>
      <xdr:spPr>
        <a:xfrm>
          <a:off x="2359025" y="4992376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2053</xdr:row>
      <xdr:rowOff>19050</xdr:rowOff>
    </xdr:from>
    <xdr:to>
      <xdr:col>4</xdr:col>
      <xdr:colOff>219075</xdr:colOff>
      <xdr:row>2057</xdr:row>
      <xdr:rowOff>271626</xdr:rowOff>
    </xdr:to>
    <xdr:pic>
      <xdr:nvPicPr>
        <xdr:cNvPr id="1115" name="Picture 11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4900879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2053</xdr:row>
      <xdr:rowOff>28575</xdr:rowOff>
    </xdr:from>
    <xdr:to>
      <xdr:col>16</xdr:col>
      <xdr:colOff>28575</xdr:colOff>
      <xdr:row>2058</xdr:row>
      <xdr:rowOff>4926</xdr:rowOff>
    </xdr:to>
    <xdr:pic>
      <xdr:nvPicPr>
        <xdr:cNvPr id="1116" name="Picture 11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4900974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2089</xdr:row>
      <xdr:rowOff>28575</xdr:rowOff>
    </xdr:from>
    <xdr:to>
      <xdr:col>4</xdr:col>
      <xdr:colOff>171451</xdr:colOff>
      <xdr:row>2093</xdr:row>
      <xdr:rowOff>219075</xdr:rowOff>
    </xdr:to>
    <xdr:pic>
      <xdr:nvPicPr>
        <xdr:cNvPr id="1117" name="Picture 11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4988515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2089</xdr:row>
      <xdr:rowOff>38100</xdr:rowOff>
    </xdr:from>
    <xdr:to>
      <xdr:col>15</xdr:col>
      <xdr:colOff>161926</xdr:colOff>
      <xdr:row>2094</xdr:row>
      <xdr:rowOff>0</xdr:rowOff>
    </xdr:to>
    <xdr:pic>
      <xdr:nvPicPr>
        <xdr:cNvPr id="1118" name="Picture 111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4988610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2054</xdr:row>
      <xdr:rowOff>85726</xdr:rowOff>
    </xdr:from>
    <xdr:to>
      <xdr:col>13</xdr:col>
      <xdr:colOff>561975</xdr:colOff>
      <xdr:row>2087</xdr:row>
      <xdr:rowOff>66675</xdr:rowOff>
    </xdr:to>
    <xdr:sp>
      <xdr:nvSpPr>
        <xdr:cNvPr id="1119" name="Rectangle 1118"/>
        <xdr:cNvSpPr/>
      </xdr:nvSpPr>
      <xdr:spPr>
        <a:xfrm>
          <a:off x="1016635" y="4903450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2088</xdr:row>
      <xdr:rowOff>76200</xdr:rowOff>
    </xdr:from>
    <xdr:to>
      <xdr:col>11</xdr:col>
      <xdr:colOff>552450</xdr:colOff>
      <xdr:row>2105</xdr:row>
      <xdr:rowOff>247651</xdr:rowOff>
    </xdr:to>
    <xdr:sp>
      <xdr:nvSpPr>
        <xdr:cNvPr id="1120" name="Rectangle 1119"/>
        <xdr:cNvSpPr/>
      </xdr:nvSpPr>
      <xdr:spPr>
        <a:xfrm>
          <a:off x="2530475" y="4987728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2055</xdr:row>
      <xdr:rowOff>0</xdr:rowOff>
    </xdr:from>
    <xdr:to>
      <xdr:col>10</xdr:col>
      <xdr:colOff>561975</xdr:colOff>
      <xdr:row>2056</xdr:row>
      <xdr:rowOff>0</xdr:rowOff>
    </xdr:to>
    <xdr:sp>
      <xdr:nvSpPr>
        <xdr:cNvPr id="1121" name="TextBox 1120"/>
        <xdr:cNvSpPr txBox="1"/>
      </xdr:nvSpPr>
      <xdr:spPr>
        <a:xfrm>
          <a:off x="3109595" y="4905381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2148</xdr:row>
      <xdr:rowOff>9525</xdr:rowOff>
    </xdr:from>
    <xdr:to>
      <xdr:col>12</xdr:col>
      <xdr:colOff>180974</xdr:colOff>
      <xdr:row>2148</xdr:row>
      <xdr:rowOff>257175</xdr:rowOff>
    </xdr:to>
    <xdr:sp>
      <xdr:nvSpPr>
        <xdr:cNvPr id="1122" name="TextBox 1121"/>
        <xdr:cNvSpPr txBox="1"/>
      </xdr:nvSpPr>
      <xdr:spPr>
        <a:xfrm>
          <a:off x="2359025" y="5128488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2110</xdr:row>
      <xdr:rowOff>19050</xdr:rowOff>
    </xdr:from>
    <xdr:to>
      <xdr:col>4</xdr:col>
      <xdr:colOff>219075</xdr:colOff>
      <xdr:row>2114</xdr:row>
      <xdr:rowOff>271626</xdr:rowOff>
    </xdr:to>
    <xdr:pic>
      <xdr:nvPicPr>
        <xdr:cNvPr id="1123" name="Picture 11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036991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2110</xdr:row>
      <xdr:rowOff>28575</xdr:rowOff>
    </xdr:from>
    <xdr:to>
      <xdr:col>16</xdr:col>
      <xdr:colOff>28575</xdr:colOff>
      <xdr:row>2115</xdr:row>
      <xdr:rowOff>4926</xdr:rowOff>
    </xdr:to>
    <xdr:pic>
      <xdr:nvPicPr>
        <xdr:cNvPr id="1124" name="Picture 11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037086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2146</xdr:row>
      <xdr:rowOff>28575</xdr:rowOff>
    </xdr:from>
    <xdr:to>
      <xdr:col>4</xdr:col>
      <xdr:colOff>171451</xdr:colOff>
      <xdr:row>2150</xdr:row>
      <xdr:rowOff>219075</xdr:rowOff>
    </xdr:to>
    <xdr:pic>
      <xdr:nvPicPr>
        <xdr:cNvPr id="1125" name="Picture 112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5124627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2146</xdr:row>
      <xdr:rowOff>38100</xdr:rowOff>
    </xdr:from>
    <xdr:to>
      <xdr:col>15</xdr:col>
      <xdr:colOff>161926</xdr:colOff>
      <xdr:row>2151</xdr:row>
      <xdr:rowOff>0</xdr:rowOff>
    </xdr:to>
    <xdr:pic>
      <xdr:nvPicPr>
        <xdr:cNvPr id="1126" name="Picture 112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5124723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2111</xdr:row>
      <xdr:rowOff>85726</xdr:rowOff>
    </xdr:from>
    <xdr:to>
      <xdr:col>13</xdr:col>
      <xdr:colOff>561975</xdr:colOff>
      <xdr:row>2144</xdr:row>
      <xdr:rowOff>66675</xdr:rowOff>
    </xdr:to>
    <xdr:sp>
      <xdr:nvSpPr>
        <xdr:cNvPr id="1127" name="Rectangle 1126"/>
        <xdr:cNvSpPr/>
      </xdr:nvSpPr>
      <xdr:spPr>
        <a:xfrm>
          <a:off x="1016635" y="5039563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2145</xdr:row>
      <xdr:rowOff>76200</xdr:rowOff>
    </xdr:from>
    <xdr:to>
      <xdr:col>11</xdr:col>
      <xdr:colOff>552450</xdr:colOff>
      <xdr:row>2162</xdr:row>
      <xdr:rowOff>247651</xdr:rowOff>
    </xdr:to>
    <xdr:sp>
      <xdr:nvSpPr>
        <xdr:cNvPr id="1128" name="Rectangle 1127"/>
        <xdr:cNvSpPr/>
      </xdr:nvSpPr>
      <xdr:spPr>
        <a:xfrm>
          <a:off x="2530475" y="5123840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2112</xdr:row>
      <xdr:rowOff>0</xdr:rowOff>
    </xdr:from>
    <xdr:to>
      <xdr:col>10</xdr:col>
      <xdr:colOff>561975</xdr:colOff>
      <xdr:row>2113</xdr:row>
      <xdr:rowOff>0</xdr:rowOff>
    </xdr:to>
    <xdr:sp>
      <xdr:nvSpPr>
        <xdr:cNvPr id="1129" name="TextBox 1128"/>
        <xdr:cNvSpPr txBox="1"/>
      </xdr:nvSpPr>
      <xdr:spPr>
        <a:xfrm>
          <a:off x="3109595" y="5041493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2205</xdr:row>
      <xdr:rowOff>9525</xdr:rowOff>
    </xdr:from>
    <xdr:to>
      <xdr:col>12</xdr:col>
      <xdr:colOff>180974</xdr:colOff>
      <xdr:row>2205</xdr:row>
      <xdr:rowOff>257175</xdr:rowOff>
    </xdr:to>
    <xdr:sp>
      <xdr:nvSpPr>
        <xdr:cNvPr id="1130" name="TextBox 1129"/>
        <xdr:cNvSpPr txBox="1"/>
      </xdr:nvSpPr>
      <xdr:spPr>
        <a:xfrm>
          <a:off x="2359025" y="5264600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2167</xdr:row>
      <xdr:rowOff>19050</xdr:rowOff>
    </xdr:from>
    <xdr:to>
      <xdr:col>4</xdr:col>
      <xdr:colOff>219075</xdr:colOff>
      <xdr:row>2171</xdr:row>
      <xdr:rowOff>271626</xdr:rowOff>
    </xdr:to>
    <xdr:pic>
      <xdr:nvPicPr>
        <xdr:cNvPr id="1131" name="Picture 11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173103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2167</xdr:row>
      <xdr:rowOff>28575</xdr:rowOff>
    </xdr:from>
    <xdr:to>
      <xdr:col>16</xdr:col>
      <xdr:colOff>28575</xdr:colOff>
      <xdr:row>2172</xdr:row>
      <xdr:rowOff>4926</xdr:rowOff>
    </xdr:to>
    <xdr:pic>
      <xdr:nvPicPr>
        <xdr:cNvPr id="1132" name="Picture 11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173198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2203</xdr:row>
      <xdr:rowOff>28575</xdr:rowOff>
    </xdr:from>
    <xdr:to>
      <xdr:col>4</xdr:col>
      <xdr:colOff>171451</xdr:colOff>
      <xdr:row>2207</xdr:row>
      <xdr:rowOff>219075</xdr:rowOff>
    </xdr:to>
    <xdr:pic>
      <xdr:nvPicPr>
        <xdr:cNvPr id="1133" name="Picture 113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5260740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2203</xdr:row>
      <xdr:rowOff>38100</xdr:rowOff>
    </xdr:from>
    <xdr:to>
      <xdr:col>15</xdr:col>
      <xdr:colOff>161926</xdr:colOff>
      <xdr:row>2208</xdr:row>
      <xdr:rowOff>0</xdr:rowOff>
    </xdr:to>
    <xdr:pic>
      <xdr:nvPicPr>
        <xdr:cNvPr id="1134" name="Picture 113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5260835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2168</xdr:row>
      <xdr:rowOff>85726</xdr:rowOff>
    </xdr:from>
    <xdr:to>
      <xdr:col>13</xdr:col>
      <xdr:colOff>561975</xdr:colOff>
      <xdr:row>2201</xdr:row>
      <xdr:rowOff>66675</xdr:rowOff>
    </xdr:to>
    <xdr:sp>
      <xdr:nvSpPr>
        <xdr:cNvPr id="1135" name="Rectangle 1134"/>
        <xdr:cNvSpPr/>
      </xdr:nvSpPr>
      <xdr:spPr>
        <a:xfrm>
          <a:off x="1016635" y="5175675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2202</xdr:row>
      <xdr:rowOff>76200</xdr:rowOff>
    </xdr:from>
    <xdr:to>
      <xdr:col>11</xdr:col>
      <xdr:colOff>552450</xdr:colOff>
      <xdr:row>2219</xdr:row>
      <xdr:rowOff>247651</xdr:rowOff>
    </xdr:to>
    <xdr:sp>
      <xdr:nvSpPr>
        <xdr:cNvPr id="1136" name="Rectangle 1135"/>
        <xdr:cNvSpPr/>
      </xdr:nvSpPr>
      <xdr:spPr>
        <a:xfrm>
          <a:off x="2530475" y="5259952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2169</xdr:row>
      <xdr:rowOff>0</xdr:rowOff>
    </xdr:from>
    <xdr:to>
      <xdr:col>10</xdr:col>
      <xdr:colOff>561975</xdr:colOff>
      <xdr:row>2170</xdr:row>
      <xdr:rowOff>0</xdr:rowOff>
    </xdr:to>
    <xdr:sp>
      <xdr:nvSpPr>
        <xdr:cNvPr id="1137" name="TextBox 1136"/>
        <xdr:cNvSpPr txBox="1"/>
      </xdr:nvSpPr>
      <xdr:spPr>
        <a:xfrm>
          <a:off x="3109595" y="5177605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2262</xdr:row>
      <xdr:rowOff>9525</xdr:rowOff>
    </xdr:from>
    <xdr:to>
      <xdr:col>12</xdr:col>
      <xdr:colOff>180974</xdr:colOff>
      <xdr:row>2262</xdr:row>
      <xdr:rowOff>257175</xdr:rowOff>
    </xdr:to>
    <xdr:sp>
      <xdr:nvSpPr>
        <xdr:cNvPr id="1138" name="TextBox 1137"/>
        <xdr:cNvSpPr txBox="1"/>
      </xdr:nvSpPr>
      <xdr:spPr>
        <a:xfrm>
          <a:off x="2359025" y="5400713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2224</xdr:row>
      <xdr:rowOff>19050</xdr:rowOff>
    </xdr:from>
    <xdr:to>
      <xdr:col>4</xdr:col>
      <xdr:colOff>219075</xdr:colOff>
      <xdr:row>2228</xdr:row>
      <xdr:rowOff>271626</xdr:rowOff>
    </xdr:to>
    <xdr:pic>
      <xdr:nvPicPr>
        <xdr:cNvPr id="1139" name="Picture 11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309215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2224</xdr:row>
      <xdr:rowOff>28575</xdr:rowOff>
    </xdr:from>
    <xdr:to>
      <xdr:col>16</xdr:col>
      <xdr:colOff>28575</xdr:colOff>
      <xdr:row>2229</xdr:row>
      <xdr:rowOff>4926</xdr:rowOff>
    </xdr:to>
    <xdr:pic>
      <xdr:nvPicPr>
        <xdr:cNvPr id="1140" name="Picture 11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309311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2260</xdr:row>
      <xdr:rowOff>28575</xdr:rowOff>
    </xdr:from>
    <xdr:to>
      <xdr:col>4</xdr:col>
      <xdr:colOff>171451</xdr:colOff>
      <xdr:row>2264</xdr:row>
      <xdr:rowOff>219075</xdr:rowOff>
    </xdr:to>
    <xdr:pic>
      <xdr:nvPicPr>
        <xdr:cNvPr id="1141" name="Picture 11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5396852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2260</xdr:row>
      <xdr:rowOff>38100</xdr:rowOff>
    </xdr:from>
    <xdr:to>
      <xdr:col>15</xdr:col>
      <xdr:colOff>161926</xdr:colOff>
      <xdr:row>2265</xdr:row>
      <xdr:rowOff>0</xdr:rowOff>
    </xdr:to>
    <xdr:pic>
      <xdr:nvPicPr>
        <xdr:cNvPr id="1142" name="Picture 114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5396947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2225</xdr:row>
      <xdr:rowOff>85726</xdr:rowOff>
    </xdr:from>
    <xdr:to>
      <xdr:col>13</xdr:col>
      <xdr:colOff>561975</xdr:colOff>
      <xdr:row>2258</xdr:row>
      <xdr:rowOff>66675</xdr:rowOff>
    </xdr:to>
    <xdr:sp>
      <xdr:nvSpPr>
        <xdr:cNvPr id="1143" name="Rectangle 1142"/>
        <xdr:cNvSpPr/>
      </xdr:nvSpPr>
      <xdr:spPr>
        <a:xfrm>
          <a:off x="1016635" y="5311787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2259</xdr:row>
      <xdr:rowOff>76200</xdr:rowOff>
    </xdr:from>
    <xdr:to>
      <xdr:col>11</xdr:col>
      <xdr:colOff>552450</xdr:colOff>
      <xdr:row>2276</xdr:row>
      <xdr:rowOff>247651</xdr:rowOff>
    </xdr:to>
    <xdr:sp>
      <xdr:nvSpPr>
        <xdr:cNvPr id="1144" name="Rectangle 1143"/>
        <xdr:cNvSpPr/>
      </xdr:nvSpPr>
      <xdr:spPr>
        <a:xfrm>
          <a:off x="2530475" y="5396064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2226</xdr:row>
      <xdr:rowOff>0</xdr:rowOff>
    </xdr:from>
    <xdr:to>
      <xdr:col>10</xdr:col>
      <xdr:colOff>561975</xdr:colOff>
      <xdr:row>2227</xdr:row>
      <xdr:rowOff>0</xdr:rowOff>
    </xdr:to>
    <xdr:sp>
      <xdr:nvSpPr>
        <xdr:cNvPr id="1145" name="TextBox 1144"/>
        <xdr:cNvSpPr txBox="1"/>
      </xdr:nvSpPr>
      <xdr:spPr>
        <a:xfrm>
          <a:off x="3109595" y="5313718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2319</xdr:row>
      <xdr:rowOff>9525</xdr:rowOff>
    </xdr:from>
    <xdr:to>
      <xdr:col>12</xdr:col>
      <xdr:colOff>180974</xdr:colOff>
      <xdr:row>2319</xdr:row>
      <xdr:rowOff>257175</xdr:rowOff>
    </xdr:to>
    <xdr:sp>
      <xdr:nvSpPr>
        <xdr:cNvPr id="1146" name="TextBox 1145"/>
        <xdr:cNvSpPr txBox="1"/>
      </xdr:nvSpPr>
      <xdr:spPr>
        <a:xfrm>
          <a:off x="2359025" y="5536825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2281</xdr:row>
      <xdr:rowOff>19050</xdr:rowOff>
    </xdr:from>
    <xdr:to>
      <xdr:col>4</xdr:col>
      <xdr:colOff>219075</xdr:colOff>
      <xdr:row>2285</xdr:row>
      <xdr:rowOff>271626</xdr:rowOff>
    </xdr:to>
    <xdr:pic>
      <xdr:nvPicPr>
        <xdr:cNvPr id="1147" name="Picture 11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445328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2281</xdr:row>
      <xdr:rowOff>28575</xdr:rowOff>
    </xdr:from>
    <xdr:to>
      <xdr:col>16</xdr:col>
      <xdr:colOff>28575</xdr:colOff>
      <xdr:row>2286</xdr:row>
      <xdr:rowOff>4926</xdr:rowOff>
    </xdr:to>
    <xdr:pic>
      <xdr:nvPicPr>
        <xdr:cNvPr id="1148" name="Picture 11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445423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2317</xdr:row>
      <xdr:rowOff>28575</xdr:rowOff>
    </xdr:from>
    <xdr:to>
      <xdr:col>4</xdr:col>
      <xdr:colOff>171451</xdr:colOff>
      <xdr:row>2321</xdr:row>
      <xdr:rowOff>219075</xdr:rowOff>
    </xdr:to>
    <xdr:pic>
      <xdr:nvPicPr>
        <xdr:cNvPr id="1149" name="Picture 114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5532964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2317</xdr:row>
      <xdr:rowOff>38100</xdr:rowOff>
    </xdr:from>
    <xdr:to>
      <xdr:col>15</xdr:col>
      <xdr:colOff>161926</xdr:colOff>
      <xdr:row>2322</xdr:row>
      <xdr:rowOff>0</xdr:rowOff>
    </xdr:to>
    <xdr:pic>
      <xdr:nvPicPr>
        <xdr:cNvPr id="1150" name="Picture 114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5533059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2282</xdr:row>
      <xdr:rowOff>85726</xdr:rowOff>
    </xdr:from>
    <xdr:to>
      <xdr:col>13</xdr:col>
      <xdr:colOff>561975</xdr:colOff>
      <xdr:row>2315</xdr:row>
      <xdr:rowOff>66675</xdr:rowOff>
    </xdr:to>
    <xdr:sp>
      <xdr:nvSpPr>
        <xdr:cNvPr id="1151" name="Rectangle 1150"/>
        <xdr:cNvSpPr/>
      </xdr:nvSpPr>
      <xdr:spPr>
        <a:xfrm>
          <a:off x="1016635" y="5447899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2316</xdr:row>
      <xdr:rowOff>76200</xdr:rowOff>
    </xdr:from>
    <xdr:to>
      <xdr:col>11</xdr:col>
      <xdr:colOff>552450</xdr:colOff>
      <xdr:row>2333</xdr:row>
      <xdr:rowOff>247651</xdr:rowOff>
    </xdr:to>
    <xdr:sp>
      <xdr:nvSpPr>
        <xdr:cNvPr id="1152" name="Rectangle 1151"/>
        <xdr:cNvSpPr/>
      </xdr:nvSpPr>
      <xdr:spPr>
        <a:xfrm>
          <a:off x="2530475" y="5532177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2283</xdr:row>
      <xdr:rowOff>0</xdr:rowOff>
    </xdr:from>
    <xdr:to>
      <xdr:col>10</xdr:col>
      <xdr:colOff>561975</xdr:colOff>
      <xdr:row>2284</xdr:row>
      <xdr:rowOff>0</xdr:rowOff>
    </xdr:to>
    <xdr:sp>
      <xdr:nvSpPr>
        <xdr:cNvPr id="1153" name="TextBox 1152"/>
        <xdr:cNvSpPr txBox="1"/>
      </xdr:nvSpPr>
      <xdr:spPr>
        <a:xfrm>
          <a:off x="3109595" y="5449830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2376</xdr:row>
      <xdr:rowOff>9525</xdr:rowOff>
    </xdr:from>
    <xdr:to>
      <xdr:col>12</xdr:col>
      <xdr:colOff>180974</xdr:colOff>
      <xdr:row>2376</xdr:row>
      <xdr:rowOff>257175</xdr:rowOff>
    </xdr:to>
    <xdr:sp>
      <xdr:nvSpPr>
        <xdr:cNvPr id="1154" name="TextBox 1153"/>
        <xdr:cNvSpPr txBox="1"/>
      </xdr:nvSpPr>
      <xdr:spPr>
        <a:xfrm>
          <a:off x="2359025" y="5672937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2338</xdr:row>
      <xdr:rowOff>19050</xdr:rowOff>
    </xdr:from>
    <xdr:to>
      <xdr:col>4</xdr:col>
      <xdr:colOff>219075</xdr:colOff>
      <xdr:row>2342</xdr:row>
      <xdr:rowOff>271626</xdr:rowOff>
    </xdr:to>
    <xdr:pic>
      <xdr:nvPicPr>
        <xdr:cNvPr id="1155" name="Picture 11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581440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2338</xdr:row>
      <xdr:rowOff>28575</xdr:rowOff>
    </xdr:from>
    <xdr:to>
      <xdr:col>16</xdr:col>
      <xdr:colOff>28575</xdr:colOff>
      <xdr:row>2343</xdr:row>
      <xdr:rowOff>4926</xdr:rowOff>
    </xdr:to>
    <xdr:pic>
      <xdr:nvPicPr>
        <xdr:cNvPr id="1156" name="Picture 11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581535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2374</xdr:row>
      <xdr:rowOff>28575</xdr:rowOff>
    </xdr:from>
    <xdr:to>
      <xdr:col>4</xdr:col>
      <xdr:colOff>171451</xdr:colOff>
      <xdr:row>2378</xdr:row>
      <xdr:rowOff>219075</xdr:rowOff>
    </xdr:to>
    <xdr:pic>
      <xdr:nvPicPr>
        <xdr:cNvPr id="1157" name="Picture 115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5669076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2374</xdr:row>
      <xdr:rowOff>38100</xdr:rowOff>
    </xdr:from>
    <xdr:to>
      <xdr:col>15</xdr:col>
      <xdr:colOff>161926</xdr:colOff>
      <xdr:row>2379</xdr:row>
      <xdr:rowOff>0</xdr:rowOff>
    </xdr:to>
    <xdr:pic>
      <xdr:nvPicPr>
        <xdr:cNvPr id="1158" name="Picture 115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5669172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2339</xdr:row>
      <xdr:rowOff>85726</xdr:rowOff>
    </xdr:from>
    <xdr:to>
      <xdr:col>13</xdr:col>
      <xdr:colOff>561975</xdr:colOff>
      <xdr:row>2372</xdr:row>
      <xdr:rowOff>66675</xdr:rowOff>
    </xdr:to>
    <xdr:sp>
      <xdr:nvSpPr>
        <xdr:cNvPr id="1159" name="Rectangle 1158"/>
        <xdr:cNvSpPr/>
      </xdr:nvSpPr>
      <xdr:spPr>
        <a:xfrm>
          <a:off x="1016635" y="5584012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2373</xdr:row>
      <xdr:rowOff>76200</xdr:rowOff>
    </xdr:from>
    <xdr:to>
      <xdr:col>11</xdr:col>
      <xdr:colOff>552450</xdr:colOff>
      <xdr:row>2390</xdr:row>
      <xdr:rowOff>247651</xdr:rowOff>
    </xdr:to>
    <xdr:sp>
      <xdr:nvSpPr>
        <xdr:cNvPr id="1160" name="Rectangle 1159"/>
        <xdr:cNvSpPr/>
      </xdr:nvSpPr>
      <xdr:spPr>
        <a:xfrm>
          <a:off x="2530475" y="5668289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2340</xdr:row>
      <xdr:rowOff>0</xdr:rowOff>
    </xdr:from>
    <xdr:to>
      <xdr:col>10</xdr:col>
      <xdr:colOff>561975</xdr:colOff>
      <xdr:row>2341</xdr:row>
      <xdr:rowOff>0</xdr:rowOff>
    </xdr:to>
    <xdr:sp>
      <xdr:nvSpPr>
        <xdr:cNvPr id="1161" name="TextBox 1160"/>
        <xdr:cNvSpPr txBox="1"/>
      </xdr:nvSpPr>
      <xdr:spPr>
        <a:xfrm>
          <a:off x="3109595" y="5585942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2433</xdr:row>
      <xdr:rowOff>9525</xdr:rowOff>
    </xdr:from>
    <xdr:to>
      <xdr:col>12</xdr:col>
      <xdr:colOff>180974</xdr:colOff>
      <xdr:row>2433</xdr:row>
      <xdr:rowOff>257175</xdr:rowOff>
    </xdr:to>
    <xdr:sp>
      <xdr:nvSpPr>
        <xdr:cNvPr id="1162" name="TextBox 1161"/>
        <xdr:cNvSpPr txBox="1"/>
      </xdr:nvSpPr>
      <xdr:spPr>
        <a:xfrm>
          <a:off x="2359025" y="5809049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2395</xdr:row>
      <xdr:rowOff>19050</xdr:rowOff>
    </xdr:from>
    <xdr:to>
      <xdr:col>4</xdr:col>
      <xdr:colOff>219075</xdr:colOff>
      <xdr:row>2399</xdr:row>
      <xdr:rowOff>271626</xdr:rowOff>
    </xdr:to>
    <xdr:pic>
      <xdr:nvPicPr>
        <xdr:cNvPr id="1163" name="Picture 11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717552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2395</xdr:row>
      <xdr:rowOff>28575</xdr:rowOff>
    </xdr:from>
    <xdr:to>
      <xdr:col>16</xdr:col>
      <xdr:colOff>28575</xdr:colOff>
      <xdr:row>2400</xdr:row>
      <xdr:rowOff>4926</xdr:rowOff>
    </xdr:to>
    <xdr:pic>
      <xdr:nvPicPr>
        <xdr:cNvPr id="1164" name="Picture 11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717647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2431</xdr:row>
      <xdr:rowOff>28575</xdr:rowOff>
    </xdr:from>
    <xdr:to>
      <xdr:col>4</xdr:col>
      <xdr:colOff>171451</xdr:colOff>
      <xdr:row>2435</xdr:row>
      <xdr:rowOff>219075</xdr:rowOff>
    </xdr:to>
    <xdr:pic>
      <xdr:nvPicPr>
        <xdr:cNvPr id="1165" name="Picture 116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5805189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2431</xdr:row>
      <xdr:rowOff>38100</xdr:rowOff>
    </xdr:from>
    <xdr:to>
      <xdr:col>15</xdr:col>
      <xdr:colOff>161926</xdr:colOff>
      <xdr:row>2436</xdr:row>
      <xdr:rowOff>0</xdr:rowOff>
    </xdr:to>
    <xdr:pic>
      <xdr:nvPicPr>
        <xdr:cNvPr id="1166" name="Picture 116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5805284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2396</xdr:row>
      <xdr:rowOff>85726</xdr:rowOff>
    </xdr:from>
    <xdr:to>
      <xdr:col>13</xdr:col>
      <xdr:colOff>561975</xdr:colOff>
      <xdr:row>2429</xdr:row>
      <xdr:rowOff>66675</xdr:rowOff>
    </xdr:to>
    <xdr:sp>
      <xdr:nvSpPr>
        <xdr:cNvPr id="1167" name="Rectangle 1166"/>
        <xdr:cNvSpPr/>
      </xdr:nvSpPr>
      <xdr:spPr>
        <a:xfrm>
          <a:off x="1016635" y="5720124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2430</xdr:row>
      <xdr:rowOff>76200</xdr:rowOff>
    </xdr:from>
    <xdr:to>
      <xdr:col>11</xdr:col>
      <xdr:colOff>552450</xdr:colOff>
      <xdr:row>2447</xdr:row>
      <xdr:rowOff>247651</xdr:rowOff>
    </xdr:to>
    <xdr:sp>
      <xdr:nvSpPr>
        <xdr:cNvPr id="1168" name="Rectangle 1167"/>
        <xdr:cNvSpPr/>
      </xdr:nvSpPr>
      <xdr:spPr>
        <a:xfrm>
          <a:off x="2530475" y="5804401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2397</xdr:row>
      <xdr:rowOff>0</xdr:rowOff>
    </xdr:from>
    <xdr:to>
      <xdr:col>10</xdr:col>
      <xdr:colOff>561975</xdr:colOff>
      <xdr:row>2398</xdr:row>
      <xdr:rowOff>0</xdr:rowOff>
    </xdr:to>
    <xdr:sp>
      <xdr:nvSpPr>
        <xdr:cNvPr id="1169" name="TextBox 1168"/>
        <xdr:cNvSpPr txBox="1"/>
      </xdr:nvSpPr>
      <xdr:spPr>
        <a:xfrm>
          <a:off x="3109595" y="5722054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2490</xdr:row>
      <xdr:rowOff>9525</xdr:rowOff>
    </xdr:from>
    <xdr:to>
      <xdr:col>12</xdr:col>
      <xdr:colOff>180974</xdr:colOff>
      <xdr:row>2490</xdr:row>
      <xdr:rowOff>257175</xdr:rowOff>
    </xdr:to>
    <xdr:sp>
      <xdr:nvSpPr>
        <xdr:cNvPr id="1170" name="TextBox 1169"/>
        <xdr:cNvSpPr txBox="1"/>
      </xdr:nvSpPr>
      <xdr:spPr>
        <a:xfrm>
          <a:off x="2359025" y="5945162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2452</xdr:row>
      <xdr:rowOff>19050</xdr:rowOff>
    </xdr:from>
    <xdr:to>
      <xdr:col>4</xdr:col>
      <xdr:colOff>219075</xdr:colOff>
      <xdr:row>2456</xdr:row>
      <xdr:rowOff>271626</xdr:rowOff>
    </xdr:to>
    <xdr:pic>
      <xdr:nvPicPr>
        <xdr:cNvPr id="1171" name="Picture 117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853664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2452</xdr:row>
      <xdr:rowOff>28575</xdr:rowOff>
    </xdr:from>
    <xdr:to>
      <xdr:col>16</xdr:col>
      <xdr:colOff>28575</xdr:colOff>
      <xdr:row>2457</xdr:row>
      <xdr:rowOff>4926</xdr:rowOff>
    </xdr:to>
    <xdr:pic>
      <xdr:nvPicPr>
        <xdr:cNvPr id="1172" name="Picture 117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853760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2488</xdr:row>
      <xdr:rowOff>28575</xdr:rowOff>
    </xdr:from>
    <xdr:to>
      <xdr:col>4</xdr:col>
      <xdr:colOff>171451</xdr:colOff>
      <xdr:row>2492</xdr:row>
      <xdr:rowOff>219075</xdr:rowOff>
    </xdr:to>
    <xdr:pic>
      <xdr:nvPicPr>
        <xdr:cNvPr id="1173" name="Picture 117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5941301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2488</xdr:row>
      <xdr:rowOff>38100</xdr:rowOff>
    </xdr:from>
    <xdr:to>
      <xdr:col>15</xdr:col>
      <xdr:colOff>161926</xdr:colOff>
      <xdr:row>2493</xdr:row>
      <xdr:rowOff>0</xdr:rowOff>
    </xdr:to>
    <xdr:pic>
      <xdr:nvPicPr>
        <xdr:cNvPr id="1174" name="Picture 117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5941396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2453</xdr:row>
      <xdr:rowOff>85726</xdr:rowOff>
    </xdr:from>
    <xdr:to>
      <xdr:col>13</xdr:col>
      <xdr:colOff>561975</xdr:colOff>
      <xdr:row>2486</xdr:row>
      <xdr:rowOff>66675</xdr:rowOff>
    </xdr:to>
    <xdr:sp>
      <xdr:nvSpPr>
        <xdr:cNvPr id="1175" name="Rectangle 1174"/>
        <xdr:cNvSpPr/>
      </xdr:nvSpPr>
      <xdr:spPr>
        <a:xfrm>
          <a:off x="1016635" y="5856236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2487</xdr:row>
      <xdr:rowOff>76200</xdr:rowOff>
    </xdr:from>
    <xdr:to>
      <xdr:col>11</xdr:col>
      <xdr:colOff>552450</xdr:colOff>
      <xdr:row>2504</xdr:row>
      <xdr:rowOff>247651</xdr:rowOff>
    </xdr:to>
    <xdr:sp>
      <xdr:nvSpPr>
        <xdr:cNvPr id="1176" name="Rectangle 1175"/>
        <xdr:cNvSpPr/>
      </xdr:nvSpPr>
      <xdr:spPr>
        <a:xfrm>
          <a:off x="2530475" y="5940513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2454</xdr:row>
      <xdr:rowOff>0</xdr:rowOff>
    </xdr:from>
    <xdr:to>
      <xdr:col>10</xdr:col>
      <xdr:colOff>561975</xdr:colOff>
      <xdr:row>2455</xdr:row>
      <xdr:rowOff>0</xdr:rowOff>
    </xdr:to>
    <xdr:sp>
      <xdr:nvSpPr>
        <xdr:cNvPr id="1177" name="TextBox 1176"/>
        <xdr:cNvSpPr txBox="1"/>
      </xdr:nvSpPr>
      <xdr:spPr>
        <a:xfrm>
          <a:off x="3109595" y="5858167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2547</xdr:row>
      <xdr:rowOff>9525</xdr:rowOff>
    </xdr:from>
    <xdr:to>
      <xdr:col>12</xdr:col>
      <xdr:colOff>180974</xdr:colOff>
      <xdr:row>2547</xdr:row>
      <xdr:rowOff>257175</xdr:rowOff>
    </xdr:to>
    <xdr:sp>
      <xdr:nvSpPr>
        <xdr:cNvPr id="1178" name="TextBox 1177"/>
        <xdr:cNvSpPr txBox="1"/>
      </xdr:nvSpPr>
      <xdr:spPr>
        <a:xfrm>
          <a:off x="2359025" y="6081274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2509</xdr:row>
      <xdr:rowOff>19050</xdr:rowOff>
    </xdr:from>
    <xdr:to>
      <xdr:col>4</xdr:col>
      <xdr:colOff>219075</xdr:colOff>
      <xdr:row>2513</xdr:row>
      <xdr:rowOff>271626</xdr:rowOff>
    </xdr:to>
    <xdr:pic>
      <xdr:nvPicPr>
        <xdr:cNvPr id="1179" name="Picture 11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5989777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2509</xdr:row>
      <xdr:rowOff>28575</xdr:rowOff>
    </xdr:from>
    <xdr:to>
      <xdr:col>16</xdr:col>
      <xdr:colOff>28575</xdr:colOff>
      <xdr:row>2514</xdr:row>
      <xdr:rowOff>4926</xdr:rowOff>
    </xdr:to>
    <xdr:pic>
      <xdr:nvPicPr>
        <xdr:cNvPr id="1180" name="Picture 11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5989872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2545</xdr:row>
      <xdr:rowOff>28575</xdr:rowOff>
    </xdr:from>
    <xdr:to>
      <xdr:col>4</xdr:col>
      <xdr:colOff>171451</xdr:colOff>
      <xdr:row>2549</xdr:row>
      <xdr:rowOff>219075</xdr:rowOff>
    </xdr:to>
    <xdr:pic>
      <xdr:nvPicPr>
        <xdr:cNvPr id="1181" name="Picture 118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077413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2545</xdr:row>
      <xdr:rowOff>38100</xdr:rowOff>
    </xdr:from>
    <xdr:to>
      <xdr:col>15</xdr:col>
      <xdr:colOff>161926</xdr:colOff>
      <xdr:row>2550</xdr:row>
      <xdr:rowOff>0</xdr:rowOff>
    </xdr:to>
    <xdr:pic>
      <xdr:nvPicPr>
        <xdr:cNvPr id="1182" name="Picture 118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077508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2510</xdr:row>
      <xdr:rowOff>85726</xdr:rowOff>
    </xdr:from>
    <xdr:to>
      <xdr:col>13</xdr:col>
      <xdr:colOff>561975</xdr:colOff>
      <xdr:row>2543</xdr:row>
      <xdr:rowOff>66675</xdr:rowOff>
    </xdr:to>
    <xdr:sp>
      <xdr:nvSpPr>
        <xdr:cNvPr id="1183" name="Rectangle 1182"/>
        <xdr:cNvSpPr/>
      </xdr:nvSpPr>
      <xdr:spPr>
        <a:xfrm>
          <a:off x="1016635" y="5992348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2544</xdr:row>
      <xdr:rowOff>76200</xdr:rowOff>
    </xdr:from>
    <xdr:to>
      <xdr:col>11</xdr:col>
      <xdr:colOff>552450</xdr:colOff>
      <xdr:row>2561</xdr:row>
      <xdr:rowOff>247651</xdr:rowOff>
    </xdr:to>
    <xdr:sp>
      <xdr:nvSpPr>
        <xdr:cNvPr id="1184" name="Rectangle 1183"/>
        <xdr:cNvSpPr/>
      </xdr:nvSpPr>
      <xdr:spPr>
        <a:xfrm>
          <a:off x="2530475" y="6076626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2511</xdr:row>
      <xdr:rowOff>0</xdr:rowOff>
    </xdr:from>
    <xdr:to>
      <xdr:col>10</xdr:col>
      <xdr:colOff>561975</xdr:colOff>
      <xdr:row>2512</xdr:row>
      <xdr:rowOff>0</xdr:rowOff>
    </xdr:to>
    <xdr:sp>
      <xdr:nvSpPr>
        <xdr:cNvPr id="1185" name="TextBox 1184"/>
        <xdr:cNvSpPr txBox="1"/>
      </xdr:nvSpPr>
      <xdr:spPr>
        <a:xfrm>
          <a:off x="3109595" y="5994279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2604</xdr:row>
      <xdr:rowOff>9525</xdr:rowOff>
    </xdr:from>
    <xdr:to>
      <xdr:col>12</xdr:col>
      <xdr:colOff>180974</xdr:colOff>
      <xdr:row>2604</xdr:row>
      <xdr:rowOff>257175</xdr:rowOff>
    </xdr:to>
    <xdr:sp>
      <xdr:nvSpPr>
        <xdr:cNvPr id="1186" name="TextBox 1185"/>
        <xdr:cNvSpPr txBox="1"/>
      </xdr:nvSpPr>
      <xdr:spPr>
        <a:xfrm>
          <a:off x="2359025" y="6217386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2566</xdr:row>
      <xdr:rowOff>19050</xdr:rowOff>
    </xdr:from>
    <xdr:to>
      <xdr:col>4</xdr:col>
      <xdr:colOff>219075</xdr:colOff>
      <xdr:row>2570</xdr:row>
      <xdr:rowOff>271626</xdr:rowOff>
    </xdr:to>
    <xdr:pic>
      <xdr:nvPicPr>
        <xdr:cNvPr id="1187" name="Picture 11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125889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2566</xdr:row>
      <xdr:rowOff>28575</xdr:rowOff>
    </xdr:from>
    <xdr:to>
      <xdr:col>16</xdr:col>
      <xdr:colOff>28575</xdr:colOff>
      <xdr:row>2571</xdr:row>
      <xdr:rowOff>4926</xdr:rowOff>
    </xdr:to>
    <xdr:pic>
      <xdr:nvPicPr>
        <xdr:cNvPr id="1188" name="Picture 11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125984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2602</xdr:row>
      <xdr:rowOff>28575</xdr:rowOff>
    </xdr:from>
    <xdr:to>
      <xdr:col>4</xdr:col>
      <xdr:colOff>171451</xdr:colOff>
      <xdr:row>2606</xdr:row>
      <xdr:rowOff>219075</xdr:rowOff>
    </xdr:to>
    <xdr:pic>
      <xdr:nvPicPr>
        <xdr:cNvPr id="1189" name="Picture 118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213525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2602</xdr:row>
      <xdr:rowOff>38100</xdr:rowOff>
    </xdr:from>
    <xdr:to>
      <xdr:col>15</xdr:col>
      <xdr:colOff>161926</xdr:colOff>
      <xdr:row>2607</xdr:row>
      <xdr:rowOff>0</xdr:rowOff>
    </xdr:to>
    <xdr:pic>
      <xdr:nvPicPr>
        <xdr:cNvPr id="1190" name="Picture 118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213621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2567</xdr:row>
      <xdr:rowOff>85726</xdr:rowOff>
    </xdr:from>
    <xdr:to>
      <xdr:col>13</xdr:col>
      <xdr:colOff>561975</xdr:colOff>
      <xdr:row>2600</xdr:row>
      <xdr:rowOff>66675</xdr:rowOff>
    </xdr:to>
    <xdr:sp>
      <xdr:nvSpPr>
        <xdr:cNvPr id="1191" name="Rectangle 1190"/>
        <xdr:cNvSpPr/>
      </xdr:nvSpPr>
      <xdr:spPr>
        <a:xfrm>
          <a:off x="1016635" y="6128461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2601</xdr:row>
      <xdr:rowOff>76200</xdr:rowOff>
    </xdr:from>
    <xdr:to>
      <xdr:col>11</xdr:col>
      <xdr:colOff>552450</xdr:colOff>
      <xdr:row>2618</xdr:row>
      <xdr:rowOff>247651</xdr:rowOff>
    </xdr:to>
    <xdr:sp>
      <xdr:nvSpPr>
        <xdr:cNvPr id="1192" name="Rectangle 1191"/>
        <xdr:cNvSpPr/>
      </xdr:nvSpPr>
      <xdr:spPr>
        <a:xfrm>
          <a:off x="2530475" y="6212738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2568</xdr:row>
      <xdr:rowOff>0</xdr:rowOff>
    </xdr:from>
    <xdr:to>
      <xdr:col>10</xdr:col>
      <xdr:colOff>561975</xdr:colOff>
      <xdr:row>2569</xdr:row>
      <xdr:rowOff>0</xdr:rowOff>
    </xdr:to>
    <xdr:sp>
      <xdr:nvSpPr>
        <xdr:cNvPr id="1193" name="TextBox 1192"/>
        <xdr:cNvSpPr txBox="1"/>
      </xdr:nvSpPr>
      <xdr:spPr>
        <a:xfrm>
          <a:off x="3109595" y="6130391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2661</xdr:row>
      <xdr:rowOff>9525</xdr:rowOff>
    </xdr:from>
    <xdr:to>
      <xdr:col>12</xdr:col>
      <xdr:colOff>180974</xdr:colOff>
      <xdr:row>2661</xdr:row>
      <xdr:rowOff>257175</xdr:rowOff>
    </xdr:to>
    <xdr:sp>
      <xdr:nvSpPr>
        <xdr:cNvPr id="1194" name="TextBox 1193"/>
        <xdr:cNvSpPr txBox="1"/>
      </xdr:nvSpPr>
      <xdr:spPr>
        <a:xfrm>
          <a:off x="2359025" y="6353498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2623</xdr:row>
      <xdr:rowOff>19050</xdr:rowOff>
    </xdr:from>
    <xdr:to>
      <xdr:col>4</xdr:col>
      <xdr:colOff>219075</xdr:colOff>
      <xdr:row>2627</xdr:row>
      <xdr:rowOff>271626</xdr:rowOff>
    </xdr:to>
    <xdr:pic>
      <xdr:nvPicPr>
        <xdr:cNvPr id="1195" name="Picture 11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262001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2623</xdr:row>
      <xdr:rowOff>28575</xdr:rowOff>
    </xdr:from>
    <xdr:to>
      <xdr:col>16</xdr:col>
      <xdr:colOff>28575</xdr:colOff>
      <xdr:row>2628</xdr:row>
      <xdr:rowOff>4926</xdr:rowOff>
    </xdr:to>
    <xdr:pic>
      <xdr:nvPicPr>
        <xdr:cNvPr id="1196" name="Picture 11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262096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2659</xdr:row>
      <xdr:rowOff>28575</xdr:rowOff>
    </xdr:from>
    <xdr:to>
      <xdr:col>4</xdr:col>
      <xdr:colOff>171451</xdr:colOff>
      <xdr:row>2663</xdr:row>
      <xdr:rowOff>219075</xdr:rowOff>
    </xdr:to>
    <xdr:pic>
      <xdr:nvPicPr>
        <xdr:cNvPr id="1197" name="Picture 119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349638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2659</xdr:row>
      <xdr:rowOff>38100</xdr:rowOff>
    </xdr:from>
    <xdr:to>
      <xdr:col>15</xdr:col>
      <xdr:colOff>161926</xdr:colOff>
      <xdr:row>2664</xdr:row>
      <xdr:rowOff>0</xdr:rowOff>
    </xdr:to>
    <xdr:pic>
      <xdr:nvPicPr>
        <xdr:cNvPr id="1198" name="Picture 11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349733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2624</xdr:row>
      <xdr:rowOff>85726</xdr:rowOff>
    </xdr:from>
    <xdr:to>
      <xdr:col>13</xdr:col>
      <xdr:colOff>561975</xdr:colOff>
      <xdr:row>2657</xdr:row>
      <xdr:rowOff>66675</xdr:rowOff>
    </xdr:to>
    <xdr:sp>
      <xdr:nvSpPr>
        <xdr:cNvPr id="1199" name="Rectangle 1198"/>
        <xdr:cNvSpPr/>
      </xdr:nvSpPr>
      <xdr:spPr>
        <a:xfrm>
          <a:off x="1016635" y="6264573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2658</xdr:row>
      <xdr:rowOff>76200</xdr:rowOff>
    </xdr:from>
    <xdr:to>
      <xdr:col>11</xdr:col>
      <xdr:colOff>552450</xdr:colOff>
      <xdr:row>2675</xdr:row>
      <xdr:rowOff>247651</xdr:rowOff>
    </xdr:to>
    <xdr:sp>
      <xdr:nvSpPr>
        <xdr:cNvPr id="1200" name="Rectangle 1199"/>
        <xdr:cNvSpPr/>
      </xdr:nvSpPr>
      <xdr:spPr>
        <a:xfrm>
          <a:off x="2530475" y="6348850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2625</xdr:row>
      <xdr:rowOff>0</xdr:rowOff>
    </xdr:from>
    <xdr:to>
      <xdr:col>10</xdr:col>
      <xdr:colOff>561975</xdr:colOff>
      <xdr:row>2626</xdr:row>
      <xdr:rowOff>0</xdr:rowOff>
    </xdr:to>
    <xdr:sp>
      <xdr:nvSpPr>
        <xdr:cNvPr id="1201" name="TextBox 1200"/>
        <xdr:cNvSpPr txBox="1"/>
      </xdr:nvSpPr>
      <xdr:spPr>
        <a:xfrm>
          <a:off x="3109595" y="6266503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2718</xdr:row>
      <xdr:rowOff>9525</xdr:rowOff>
    </xdr:from>
    <xdr:to>
      <xdr:col>12</xdr:col>
      <xdr:colOff>180974</xdr:colOff>
      <xdr:row>2718</xdr:row>
      <xdr:rowOff>257175</xdr:rowOff>
    </xdr:to>
    <xdr:sp>
      <xdr:nvSpPr>
        <xdr:cNvPr id="1202" name="TextBox 1201"/>
        <xdr:cNvSpPr txBox="1"/>
      </xdr:nvSpPr>
      <xdr:spPr>
        <a:xfrm>
          <a:off x="2359025" y="6489611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2680</xdr:row>
      <xdr:rowOff>19050</xdr:rowOff>
    </xdr:from>
    <xdr:to>
      <xdr:col>4</xdr:col>
      <xdr:colOff>219075</xdr:colOff>
      <xdr:row>2684</xdr:row>
      <xdr:rowOff>271626</xdr:rowOff>
    </xdr:to>
    <xdr:pic>
      <xdr:nvPicPr>
        <xdr:cNvPr id="1203" name="Picture 12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398113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2680</xdr:row>
      <xdr:rowOff>28575</xdr:rowOff>
    </xdr:from>
    <xdr:to>
      <xdr:col>16</xdr:col>
      <xdr:colOff>28575</xdr:colOff>
      <xdr:row>2685</xdr:row>
      <xdr:rowOff>4926</xdr:rowOff>
    </xdr:to>
    <xdr:pic>
      <xdr:nvPicPr>
        <xdr:cNvPr id="1204" name="Picture 12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398209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2716</xdr:row>
      <xdr:rowOff>28575</xdr:rowOff>
    </xdr:from>
    <xdr:to>
      <xdr:col>4</xdr:col>
      <xdr:colOff>171451</xdr:colOff>
      <xdr:row>2720</xdr:row>
      <xdr:rowOff>219075</xdr:rowOff>
    </xdr:to>
    <xdr:pic>
      <xdr:nvPicPr>
        <xdr:cNvPr id="1205" name="Picture 120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485750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2716</xdr:row>
      <xdr:rowOff>38100</xdr:rowOff>
    </xdr:from>
    <xdr:to>
      <xdr:col>15</xdr:col>
      <xdr:colOff>161926</xdr:colOff>
      <xdr:row>2721</xdr:row>
      <xdr:rowOff>0</xdr:rowOff>
    </xdr:to>
    <xdr:pic>
      <xdr:nvPicPr>
        <xdr:cNvPr id="1206" name="Picture 120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485845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2681</xdr:row>
      <xdr:rowOff>85726</xdr:rowOff>
    </xdr:from>
    <xdr:to>
      <xdr:col>13</xdr:col>
      <xdr:colOff>561975</xdr:colOff>
      <xdr:row>2714</xdr:row>
      <xdr:rowOff>66675</xdr:rowOff>
    </xdr:to>
    <xdr:sp>
      <xdr:nvSpPr>
        <xdr:cNvPr id="1207" name="Rectangle 1206"/>
        <xdr:cNvSpPr/>
      </xdr:nvSpPr>
      <xdr:spPr>
        <a:xfrm>
          <a:off x="1016635" y="6400685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2715</xdr:row>
      <xdr:rowOff>76200</xdr:rowOff>
    </xdr:from>
    <xdr:to>
      <xdr:col>11</xdr:col>
      <xdr:colOff>552450</xdr:colOff>
      <xdr:row>2732</xdr:row>
      <xdr:rowOff>247651</xdr:rowOff>
    </xdr:to>
    <xdr:sp>
      <xdr:nvSpPr>
        <xdr:cNvPr id="1208" name="Rectangle 1207"/>
        <xdr:cNvSpPr/>
      </xdr:nvSpPr>
      <xdr:spPr>
        <a:xfrm>
          <a:off x="2530475" y="6484962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2682</xdr:row>
      <xdr:rowOff>0</xdr:rowOff>
    </xdr:from>
    <xdr:to>
      <xdr:col>10</xdr:col>
      <xdr:colOff>561975</xdr:colOff>
      <xdr:row>2683</xdr:row>
      <xdr:rowOff>0</xdr:rowOff>
    </xdr:to>
    <xdr:sp>
      <xdr:nvSpPr>
        <xdr:cNvPr id="1209" name="TextBox 1208"/>
        <xdr:cNvSpPr txBox="1"/>
      </xdr:nvSpPr>
      <xdr:spPr>
        <a:xfrm>
          <a:off x="3109595" y="6402616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2775</xdr:row>
      <xdr:rowOff>9525</xdr:rowOff>
    </xdr:from>
    <xdr:to>
      <xdr:col>12</xdr:col>
      <xdr:colOff>180974</xdr:colOff>
      <xdr:row>2775</xdr:row>
      <xdr:rowOff>257175</xdr:rowOff>
    </xdr:to>
    <xdr:sp>
      <xdr:nvSpPr>
        <xdr:cNvPr id="1210" name="TextBox 1209"/>
        <xdr:cNvSpPr txBox="1"/>
      </xdr:nvSpPr>
      <xdr:spPr>
        <a:xfrm>
          <a:off x="2359025" y="6625723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2737</xdr:row>
      <xdr:rowOff>19050</xdr:rowOff>
    </xdr:from>
    <xdr:to>
      <xdr:col>4</xdr:col>
      <xdr:colOff>219075</xdr:colOff>
      <xdr:row>2741</xdr:row>
      <xdr:rowOff>271626</xdr:rowOff>
    </xdr:to>
    <xdr:pic>
      <xdr:nvPicPr>
        <xdr:cNvPr id="1211" name="Picture 12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534226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2737</xdr:row>
      <xdr:rowOff>28575</xdr:rowOff>
    </xdr:from>
    <xdr:to>
      <xdr:col>16</xdr:col>
      <xdr:colOff>28575</xdr:colOff>
      <xdr:row>2742</xdr:row>
      <xdr:rowOff>4926</xdr:rowOff>
    </xdr:to>
    <xdr:pic>
      <xdr:nvPicPr>
        <xdr:cNvPr id="1212" name="Picture 12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534321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2773</xdr:row>
      <xdr:rowOff>28575</xdr:rowOff>
    </xdr:from>
    <xdr:to>
      <xdr:col>4</xdr:col>
      <xdr:colOff>171451</xdr:colOff>
      <xdr:row>2777</xdr:row>
      <xdr:rowOff>219075</xdr:rowOff>
    </xdr:to>
    <xdr:pic>
      <xdr:nvPicPr>
        <xdr:cNvPr id="1213" name="Picture 121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621862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2773</xdr:row>
      <xdr:rowOff>38100</xdr:rowOff>
    </xdr:from>
    <xdr:to>
      <xdr:col>15</xdr:col>
      <xdr:colOff>161926</xdr:colOff>
      <xdr:row>2778</xdr:row>
      <xdr:rowOff>0</xdr:rowOff>
    </xdr:to>
    <xdr:pic>
      <xdr:nvPicPr>
        <xdr:cNvPr id="1214" name="Picture 121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621957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2738</xdr:row>
      <xdr:rowOff>85726</xdr:rowOff>
    </xdr:from>
    <xdr:to>
      <xdr:col>13</xdr:col>
      <xdr:colOff>561975</xdr:colOff>
      <xdr:row>2771</xdr:row>
      <xdr:rowOff>66675</xdr:rowOff>
    </xdr:to>
    <xdr:sp>
      <xdr:nvSpPr>
        <xdr:cNvPr id="1215" name="Rectangle 1214"/>
        <xdr:cNvSpPr/>
      </xdr:nvSpPr>
      <xdr:spPr>
        <a:xfrm>
          <a:off x="1016635" y="6536797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2772</xdr:row>
      <xdr:rowOff>76200</xdr:rowOff>
    </xdr:from>
    <xdr:to>
      <xdr:col>11</xdr:col>
      <xdr:colOff>552450</xdr:colOff>
      <xdr:row>2789</xdr:row>
      <xdr:rowOff>247651</xdr:rowOff>
    </xdr:to>
    <xdr:sp>
      <xdr:nvSpPr>
        <xdr:cNvPr id="1216" name="Rectangle 1215"/>
        <xdr:cNvSpPr/>
      </xdr:nvSpPr>
      <xdr:spPr>
        <a:xfrm>
          <a:off x="2530475" y="6621075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2739</xdr:row>
      <xdr:rowOff>0</xdr:rowOff>
    </xdr:from>
    <xdr:to>
      <xdr:col>10</xdr:col>
      <xdr:colOff>561975</xdr:colOff>
      <xdr:row>2740</xdr:row>
      <xdr:rowOff>0</xdr:rowOff>
    </xdr:to>
    <xdr:sp>
      <xdr:nvSpPr>
        <xdr:cNvPr id="1217" name="TextBox 1216"/>
        <xdr:cNvSpPr txBox="1"/>
      </xdr:nvSpPr>
      <xdr:spPr>
        <a:xfrm>
          <a:off x="3109595" y="6538728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2832</xdr:row>
      <xdr:rowOff>9525</xdr:rowOff>
    </xdr:from>
    <xdr:to>
      <xdr:col>12</xdr:col>
      <xdr:colOff>180974</xdr:colOff>
      <xdr:row>2832</xdr:row>
      <xdr:rowOff>257175</xdr:rowOff>
    </xdr:to>
    <xdr:sp>
      <xdr:nvSpPr>
        <xdr:cNvPr id="1218" name="TextBox 1217"/>
        <xdr:cNvSpPr txBox="1"/>
      </xdr:nvSpPr>
      <xdr:spPr>
        <a:xfrm>
          <a:off x="2359025" y="6761835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2794</xdr:row>
      <xdr:rowOff>19050</xdr:rowOff>
    </xdr:from>
    <xdr:to>
      <xdr:col>4</xdr:col>
      <xdr:colOff>219075</xdr:colOff>
      <xdr:row>2798</xdr:row>
      <xdr:rowOff>271626</xdr:rowOff>
    </xdr:to>
    <xdr:pic>
      <xdr:nvPicPr>
        <xdr:cNvPr id="1219" name="Picture 12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670338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2794</xdr:row>
      <xdr:rowOff>28575</xdr:rowOff>
    </xdr:from>
    <xdr:to>
      <xdr:col>16</xdr:col>
      <xdr:colOff>28575</xdr:colOff>
      <xdr:row>2799</xdr:row>
      <xdr:rowOff>4926</xdr:rowOff>
    </xdr:to>
    <xdr:pic>
      <xdr:nvPicPr>
        <xdr:cNvPr id="1220" name="Picture 12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670433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2830</xdr:row>
      <xdr:rowOff>28575</xdr:rowOff>
    </xdr:from>
    <xdr:to>
      <xdr:col>4</xdr:col>
      <xdr:colOff>171451</xdr:colOff>
      <xdr:row>2834</xdr:row>
      <xdr:rowOff>219075</xdr:rowOff>
    </xdr:to>
    <xdr:pic>
      <xdr:nvPicPr>
        <xdr:cNvPr id="1221" name="Picture 122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757974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2830</xdr:row>
      <xdr:rowOff>38100</xdr:rowOff>
    </xdr:from>
    <xdr:to>
      <xdr:col>15</xdr:col>
      <xdr:colOff>161926</xdr:colOff>
      <xdr:row>2835</xdr:row>
      <xdr:rowOff>0</xdr:rowOff>
    </xdr:to>
    <xdr:pic>
      <xdr:nvPicPr>
        <xdr:cNvPr id="1222" name="Picture 12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758070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2795</xdr:row>
      <xdr:rowOff>85726</xdr:rowOff>
    </xdr:from>
    <xdr:to>
      <xdr:col>13</xdr:col>
      <xdr:colOff>561975</xdr:colOff>
      <xdr:row>2828</xdr:row>
      <xdr:rowOff>66675</xdr:rowOff>
    </xdr:to>
    <xdr:sp>
      <xdr:nvSpPr>
        <xdr:cNvPr id="1223" name="Rectangle 1222"/>
        <xdr:cNvSpPr/>
      </xdr:nvSpPr>
      <xdr:spPr>
        <a:xfrm>
          <a:off x="1016635" y="6672910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2829</xdr:row>
      <xdr:rowOff>76200</xdr:rowOff>
    </xdr:from>
    <xdr:to>
      <xdr:col>11</xdr:col>
      <xdr:colOff>552450</xdr:colOff>
      <xdr:row>2846</xdr:row>
      <xdr:rowOff>247651</xdr:rowOff>
    </xdr:to>
    <xdr:sp>
      <xdr:nvSpPr>
        <xdr:cNvPr id="1224" name="Rectangle 1223"/>
        <xdr:cNvSpPr/>
      </xdr:nvSpPr>
      <xdr:spPr>
        <a:xfrm>
          <a:off x="2530475" y="6757187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2796</xdr:row>
      <xdr:rowOff>0</xdr:rowOff>
    </xdr:from>
    <xdr:to>
      <xdr:col>10</xdr:col>
      <xdr:colOff>561975</xdr:colOff>
      <xdr:row>2797</xdr:row>
      <xdr:rowOff>0</xdr:rowOff>
    </xdr:to>
    <xdr:sp>
      <xdr:nvSpPr>
        <xdr:cNvPr id="1225" name="TextBox 1224"/>
        <xdr:cNvSpPr txBox="1"/>
      </xdr:nvSpPr>
      <xdr:spPr>
        <a:xfrm>
          <a:off x="3109595" y="6674840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2889</xdr:row>
      <xdr:rowOff>9525</xdr:rowOff>
    </xdr:from>
    <xdr:to>
      <xdr:col>12</xdr:col>
      <xdr:colOff>180974</xdr:colOff>
      <xdr:row>2889</xdr:row>
      <xdr:rowOff>257175</xdr:rowOff>
    </xdr:to>
    <xdr:sp>
      <xdr:nvSpPr>
        <xdr:cNvPr id="1226" name="TextBox 1225"/>
        <xdr:cNvSpPr txBox="1"/>
      </xdr:nvSpPr>
      <xdr:spPr>
        <a:xfrm>
          <a:off x="2359025" y="6897947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2851</xdr:row>
      <xdr:rowOff>19050</xdr:rowOff>
    </xdr:from>
    <xdr:to>
      <xdr:col>4</xdr:col>
      <xdr:colOff>219075</xdr:colOff>
      <xdr:row>2855</xdr:row>
      <xdr:rowOff>271626</xdr:rowOff>
    </xdr:to>
    <xdr:pic>
      <xdr:nvPicPr>
        <xdr:cNvPr id="1227" name="Picture 122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806450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2851</xdr:row>
      <xdr:rowOff>28575</xdr:rowOff>
    </xdr:from>
    <xdr:to>
      <xdr:col>16</xdr:col>
      <xdr:colOff>28575</xdr:colOff>
      <xdr:row>2856</xdr:row>
      <xdr:rowOff>4926</xdr:rowOff>
    </xdr:to>
    <xdr:pic>
      <xdr:nvPicPr>
        <xdr:cNvPr id="1228" name="Picture 12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806545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2887</xdr:row>
      <xdr:rowOff>28575</xdr:rowOff>
    </xdr:from>
    <xdr:to>
      <xdr:col>4</xdr:col>
      <xdr:colOff>171451</xdr:colOff>
      <xdr:row>2891</xdr:row>
      <xdr:rowOff>219075</xdr:rowOff>
    </xdr:to>
    <xdr:pic>
      <xdr:nvPicPr>
        <xdr:cNvPr id="1229" name="Picture 122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6894087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2887</xdr:row>
      <xdr:rowOff>38100</xdr:rowOff>
    </xdr:from>
    <xdr:to>
      <xdr:col>15</xdr:col>
      <xdr:colOff>161926</xdr:colOff>
      <xdr:row>2892</xdr:row>
      <xdr:rowOff>0</xdr:rowOff>
    </xdr:to>
    <xdr:pic>
      <xdr:nvPicPr>
        <xdr:cNvPr id="1230" name="Picture 122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6894182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2852</xdr:row>
      <xdr:rowOff>85726</xdr:rowOff>
    </xdr:from>
    <xdr:to>
      <xdr:col>13</xdr:col>
      <xdr:colOff>561975</xdr:colOff>
      <xdr:row>2885</xdr:row>
      <xdr:rowOff>66675</xdr:rowOff>
    </xdr:to>
    <xdr:sp>
      <xdr:nvSpPr>
        <xdr:cNvPr id="1231" name="Rectangle 1230"/>
        <xdr:cNvSpPr/>
      </xdr:nvSpPr>
      <xdr:spPr>
        <a:xfrm>
          <a:off x="1016635" y="6809022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2886</xdr:row>
      <xdr:rowOff>76200</xdr:rowOff>
    </xdr:from>
    <xdr:to>
      <xdr:col>11</xdr:col>
      <xdr:colOff>552450</xdr:colOff>
      <xdr:row>2903</xdr:row>
      <xdr:rowOff>247651</xdr:rowOff>
    </xdr:to>
    <xdr:sp>
      <xdr:nvSpPr>
        <xdr:cNvPr id="1232" name="Rectangle 1231"/>
        <xdr:cNvSpPr/>
      </xdr:nvSpPr>
      <xdr:spPr>
        <a:xfrm>
          <a:off x="2530475" y="6893299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2853</xdr:row>
      <xdr:rowOff>0</xdr:rowOff>
    </xdr:from>
    <xdr:to>
      <xdr:col>10</xdr:col>
      <xdr:colOff>561975</xdr:colOff>
      <xdr:row>2854</xdr:row>
      <xdr:rowOff>0</xdr:rowOff>
    </xdr:to>
    <xdr:sp>
      <xdr:nvSpPr>
        <xdr:cNvPr id="1233" name="TextBox 1232"/>
        <xdr:cNvSpPr txBox="1"/>
      </xdr:nvSpPr>
      <xdr:spPr>
        <a:xfrm>
          <a:off x="3109595" y="6810952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2946</xdr:row>
      <xdr:rowOff>9525</xdr:rowOff>
    </xdr:from>
    <xdr:to>
      <xdr:col>12</xdr:col>
      <xdr:colOff>180974</xdr:colOff>
      <xdr:row>2946</xdr:row>
      <xdr:rowOff>257175</xdr:rowOff>
    </xdr:to>
    <xdr:sp>
      <xdr:nvSpPr>
        <xdr:cNvPr id="1234" name="TextBox 1233"/>
        <xdr:cNvSpPr txBox="1"/>
      </xdr:nvSpPr>
      <xdr:spPr>
        <a:xfrm>
          <a:off x="2359025" y="7034060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2908</xdr:row>
      <xdr:rowOff>19050</xdr:rowOff>
    </xdr:from>
    <xdr:to>
      <xdr:col>4</xdr:col>
      <xdr:colOff>219075</xdr:colOff>
      <xdr:row>2912</xdr:row>
      <xdr:rowOff>271626</xdr:rowOff>
    </xdr:to>
    <xdr:pic>
      <xdr:nvPicPr>
        <xdr:cNvPr id="1235" name="Picture 12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6942562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2908</xdr:row>
      <xdr:rowOff>28575</xdr:rowOff>
    </xdr:from>
    <xdr:to>
      <xdr:col>16</xdr:col>
      <xdr:colOff>28575</xdr:colOff>
      <xdr:row>2913</xdr:row>
      <xdr:rowOff>4926</xdr:rowOff>
    </xdr:to>
    <xdr:pic>
      <xdr:nvPicPr>
        <xdr:cNvPr id="1236" name="Picture 12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6942658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2944</xdr:row>
      <xdr:rowOff>28575</xdr:rowOff>
    </xdr:from>
    <xdr:to>
      <xdr:col>4</xdr:col>
      <xdr:colOff>171451</xdr:colOff>
      <xdr:row>2948</xdr:row>
      <xdr:rowOff>219075</xdr:rowOff>
    </xdr:to>
    <xdr:pic>
      <xdr:nvPicPr>
        <xdr:cNvPr id="1237" name="Picture 123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030199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2944</xdr:row>
      <xdr:rowOff>38100</xdr:rowOff>
    </xdr:from>
    <xdr:to>
      <xdr:col>15</xdr:col>
      <xdr:colOff>161926</xdr:colOff>
      <xdr:row>2949</xdr:row>
      <xdr:rowOff>0</xdr:rowOff>
    </xdr:to>
    <xdr:pic>
      <xdr:nvPicPr>
        <xdr:cNvPr id="1238" name="Picture 123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030294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2909</xdr:row>
      <xdr:rowOff>85726</xdr:rowOff>
    </xdr:from>
    <xdr:to>
      <xdr:col>13</xdr:col>
      <xdr:colOff>561975</xdr:colOff>
      <xdr:row>2942</xdr:row>
      <xdr:rowOff>66675</xdr:rowOff>
    </xdr:to>
    <xdr:sp>
      <xdr:nvSpPr>
        <xdr:cNvPr id="1239" name="Rectangle 1238"/>
        <xdr:cNvSpPr/>
      </xdr:nvSpPr>
      <xdr:spPr>
        <a:xfrm>
          <a:off x="1016635" y="6945134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2943</xdr:row>
      <xdr:rowOff>76200</xdr:rowOff>
    </xdr:from>
    <xdr:to>
      <xdr:col>11</xdr:col>
      <xdr:colOff>552450</xdr:colOff>
      <xdr:row>2960</xdr:row>
      <xdr:rowOff>247651</xdr:rowOff>
    </xdr:to>
    <xdr:sp>
      <xdr:nvSpPr>
        <xdr:cNvPr id="1240" name="Rectangle 1239"/>
        <xdr:cNvSpPr/>
      </xdr:nvSpPr>
      <xdr:spPr>
        <a:xfrm>
          <a:off x="2530475" y="7029411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2910</xdr:row>
      <xdr:rowOff>0</xdr:rowOff>
    </xdr:from>
    <xdr:to>
      <xdr:col>10</xdr:col>
      <xdr:colOff>561975</xdr:colOff>
      <xdr:row>2911</xdr:row>
      <xdr:rowOff>0</xdr:rowOff>
    </xdr:to>
    <xdr:sp>
      <xdr:nvSpPr>
        <xdr:cNvPr id="1241" name="TextBox 1240"/>
        <xdr:cNvSpPr txBox="1"/>
      </xdr:nvSpPr>
      <xdr:spPr>
        <a:xfrm>
          <a:off x="3109595" y="6947065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3003</xdr:row>
      <xdr:rowOff>9525</xdr:rowOff>
    </xdr:from>
    <xdr:to>
      <xdr:col>12</xdr:col>
      <xdr:colOff>180974</xdr:colOff>
      <xdr:row>3003</xdr:row>
      <xdr:rowOff>257175</xdr:rowOff>
    </xdr:to>
    <xdr:sp>
      <xdr:nvSpPr>
        <xdr:cNvPr id="1242" name="TextBox 1241"/>
        <xdr:cNvSpPr txBox="1"/>
      </xdr:nvSpPr>
      <xdr:spPr>
        <a:xfrm>
          <a:off x="2359025" y="7170172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2965</xdr:row>
      <xdr:rowOff>19050</xdr:rowOff>
    </xdr:from>
    <xdr:to>
      <xdr:col>4</xdr:col>
      <xdr:colOff>219075</xdr:colOff>
      <xdr:row>2969</xdr:row>
      <xdr:rowOff>271626</xdr:rowOff>
    </xdr:to>
    <xdr:pic>
      <xdr:nvPicPr>
        <xdr:cNvPr id="1243" name="Picture 12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078675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2965</xdr:row>
      <xdr:rowOff>28575</xdr:rowOff>
    </xdr:from>
    <xdr:to>
      <xdr:col>16</xdr:col>
      <xdr:colOff>28575</xdr:colOff>
      <xdr:row>2970</xdr:row>
      <xdr:rowOff>4926</xdr:rowOff>
    </xdr:to>
    <xdr:pic>
      <xdr:nvPicPr>
        <xdr:cNvPr id="1244" name="Picture 12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7078770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3001</xdr:row>
      <xdr:rowOff>28575</xdr:rowOff>
    </xdr:from>
    <xdr:to>
      <xdr:col>4</xdr:col>
      <xdr:colOff>171451</xdr:colOff>
      <xdr:row>3005</xdr:row>
      <xdr:rowOff>219075</xdr:rowOff>
    </xdr:to>
    <xdr:pic>
      <xdr:nvPicPr>
        <xdr:cNvPr id="1245" name="Picture 124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166311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3001</xdr:row>
      <xdr:rowOff>38100</xdr:rowOff>
    </xdr:from>
    <xdr:to>
      <xdr:col>15</xdr:col>
      <xdr:colOff>161926</xdr:colOff>
      <xdr:row>3006</xdr:row>
      <xdr:rowOff>0</xdr:rowOff>
    </xdr:to>
    <xdr:pic>
      <xdr:nvPicPr>
        <xdr:cNvPr id="1246" name="Picture 124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166406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2966</xdr:row>
      <xdr:rowOff>85726</xdr:rowOff>
    </xdr:from>
    <xdr:to>
      <xdr:col>13</xdr:col>
      <xdr:colOff>561975</xdr:colOff>
      <xdr:row>2999</xdr:row>
      <xdr:rowOff>66675</xdr:rowOff>
    </xdr:to>
    <xdr:sp>
      <xdr:nvSpPr>
        <xdr:cNvPr id="1247" name="Rectangle 1246"/>
        <xdr:cNvSpPr/>
      </xdr:nvSpPr>
      <xdr:spPr>
        <a:xfrm>
          <a:off x="1016635" y="7081246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3000</xdr:row>
      <xdr:rowOff>76200</xdr:rowOff>
    </xdr:from>
    <xdr:to>
      <xdr:col>11</xdr:col>
      <xdr:colOff>552450</xdr:colOff>
      <xdr:row>3017</xdr:row>
      <xdr:rowOff>247651</xdr:rowOff>
    </xdr:to>
    <xdr:sp>
      <xdr:nvSpPr>
        <xdr:cNvPr id="1248" name="Rectangle 1247"/>
        <xdr:cNvSpPr/>
      </xdr:nvSpPr>
      <xdr:spPr>
        <a:xfrm>
          <a:off x="2530475" y="7165524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2967</xdr:row>
      <xdr:rowOff>0</xdr:rowOff>
    </xdr:from>
    <xdr:to>
      <xdr:col>10</xdr:col>
      <xdr:colOff>561975</xdr:colOff>
      <xdr:row>2968</xdr:row>
      <xdr:rowOff>0</xdr:rowOff>
    </xdr:to>
    <xdr:sp>
      <xdr:nvSpPr>
        <xdr:cNvPr id="1249" name="TextBox 1248"/>
        <xdr:cNvSpPr txBox="1"/>
      </xdr:nvSpPr>
      <xdr:spPr>
        <a:xfrm>
          <a:off x="3109595" y="7083177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3060</xdr:row>
      <xdr:rowOff>9525</xdr:rowOff>
    </xdr:from>
    <xdr:to>
      <xdr:col>12</xdr:col>
      <xdr:colOff>180974</xdr:colOff>
      <xdr:row>3060</xdr:row>
      <xdr:rowOff>257175</xdr:rowOff>
    </xdr:to>
    <xdr:sp>
      <xdr:nvSpPr>
        <xdr:cNvPr id="1250" name="TextBox 1249"/>
        <xdr:cNvSpPr txBox="1"/>
      </xdr:nvSpPr>
      <xdr:spPr>
        <a:xfrm>
          <a:off x="2359025" y="7306284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3022</xdr:row>
      <xdr:rowOff>19050</xdr:rowOff>
    </xdr:from>
    <xdr:to>
      <xdr:col>4</xdr:col>
      <xdr:colOff>219075</xdr:colOff>
      <xdr:row>3026</xdr:row>
      <xdr:rowOff>271626</xdr:rowOff>
    </xdr:to>
    <xdr:pic>
      <xdr:nvPicPr>
        <xdr:cNvPr id="1251" name="Picture 12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214787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3022</xdr:row>
      <xdr:rowOff>28575</xdr:rowOff>
    </xdr:from>
    <xdr:to>
      <xdr:col>16</xdr:col>
      <xdr:colOff>28575</xdr:colOff>
      <xdr:row>3027</xdr:row>
      <xdr:rowOff>4926</xdr:rowOff>
    </xdr:to>
    <xdr:pic>
      <xdr:nvPicPr>
        <xdr:cNvPr id="1252" name="Picture 12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7214882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3058</xdr:row>
      <xdr:rowOff>28575</xdr:rowOff>
    </xdr:from>
    <xdr:to>
      <xdr:col>4</xdr:col>
      <xdr:colOff>171451</xdr:colOff>
      <xdr:row>3062</xdr:row>
      <xdr:rowOff>219075</xdr:rowOff>
    </xdr:to>
    <xdr:pic>
      <xdr:nvPicPr>
        <xdr:cNvPr id="1253" name="Picture 125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302423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3058</xdr:row>
      <xdr:rowOff>38100</xdr:rowOff>
    </xdr:from>
    <xdr:to>
      <xdr:col>15</xdr:col>
      <xdr:colOff>161926</xdr:colOff>
      <xdr:row>3063</xdr:row>
      <xdr:rowOff>0</xdr:rowOff>
    </xdr:to>
    <xdr:pic>
      <xdr:nvPicPr>
        <xdr:cNvPr id="1254" name="Picture 125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302519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3023</xdr:row>
      <xdr:rowOff>85726</xdr:rowOff>
    </xdr:from>
    <xdr:to>
      <xdr:col>13</xdr:col>
      <xdr:colOff>561975</xdr:colOff>
      <xdr:row>3056</xdr:row>
      <xdr:rowOff>66675</xdr:rowOff>
    </xdr:to>
    <xdr:sp>
      <xdr:nvSpPr>
        <xdr:cNvPr id="1255" name="Rectangle 1254"/>
        <xdr:cNvSpPr/>
      </xdr:nvSpPr>
      <xdr:spPr>
        <a:xfrm>
          <a:off x="1016635" y="7217359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3057</xdr:row>
      <xdr:rowOff>76200</xdr:rowOff>
    </xdr:from>
    <xdr:to>
      <xdr:col>11</xdr:col>
      <xdr:colOff>552450</xdr:colOff>
      <xdr:row>3074</xdr:row>
      <xdr:rowOff>247651</xdr:rowOff>
    </xdr:to>
    <xdr:sp>
      <xdr:nvSpPr>
        <xdr:cNvPr id="1256" name="Rectangle 1255"/>
        <xdr:cNvSpPr/>
      </xdr:nvSpPr>
      <xdr:spPr>
        <a:xfrm>
          <a:off x="2530475" y="7301636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3024</xdr:row>
      <xdr:rowOff>0</xdr:rowOff>
    </xdr:from>
    <xdr:to>
      <xdr:col>10</xdr:col>
      <xdr:colOff>561975</xdr:colOff>
      <xdr:row>3025</xdr:row>
      <xdr:rowOff>0</xdr:rowOff>
    </xdr:to>
    <xdr:sp>
      <xdr:nvSpPr>
        <xdr:cNvPr id="1257" name="TextBox 1256"/>
        <xdr:cNvSpPr txBox="1"/>
      </xdr:nvSpPr>
      <xdr:spPr>
        <a:xfrm>
          <a:off x="3109595" y="7219289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3117</xdr:row>
      <xdr:rowOff>9525</xdr:rowOff>
    </xdr:from>
    <xdr:to>
      <xdr:col>12</xdr:col>
      <xdr:colOff>180974</xdr:colOff>
      <xdr:row>3117</xdr:row>
      <xdr:rowOff>257175</xdr:rowOff>
    </xdr:to>
    <xdr:sp>
      <xdr:nvSpPr>
        <xdr:cNvPr id="1258" name="TextBox 1257"/>
        <xdr:cNvSpPr txBox="1"/>
      </xdr:nvSpPr>
      <xdr:spPr>
        <a:xfrm>
          <a:off x="2359025" y="7442396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3079</xdr:row>
      <xdr:rowOff>19050</xdr:rowOff>
    </xdr:from>
    <xdr:to>
      <xdr:col>4</xdr:col>
      <xdr:colOff>219075</xdr:colOff>
      <xdr:row>3083</xdr:row>
      <xdr:rowOff>271626</xdr:rowOff>
    </xdr:to>
    <xdr:pic>
      <xdr:nvPicPr>
        <xdr:cNvPr id="1259" name="Picture 12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350899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3079</xdr:row>
      <xdr:rowOff>28575</xdr:rowOff>
    </xdr:from>
    <xdr:to>
      <xdr:col>16</xdr:col>
      <xdr:colOff>28575</xdr:colOff>
      <xdr:row>3084</xdr:row>
      <xdr:rowOff>4926</xdr:rowOff>
    </xdr:to>
    <xdr:pic>
      <xdr:nvPicPr>
        <xdr:cNvPr id="1260" name="Picture 12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7350994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3115</xdr:row>
      <xdr:rowOff>28575</xdr:rowOff>
    </xdr:from>
    <xdr:to>
      <xdr:col>4</xdr:col>
      <xdr:colOff>171451</xdr:colOff>
      <xdr:row>3119</xdr:row>
      <xdr:rowOff>219075</xdr:rowOff>
    </xdr:to>
    <xdr:pic>
      <xdr:nvPicPr>
        <xdr:cNvPr id="1261" name="Picture 126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438536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3115</xdr:row>
      <xdr:rowOff>38100</xdr:rowOff>
    </xdr:from>
    <xdr:to>
      <xdr:col>15</xdr:col>
      <xdr:colOff>161926</xdr:colOff>
      <xdr:row>3120</xdr:row>
      <xdr:rowOff>0</xdr:rowOff>
    </xdr:to>
    <xdr:pic>
      <xdr:nvPicPr>
        <xdr:cNvPr id="1262" name="Picture 126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438631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3080</xdr:row>
      <xdr:rowOff>85726</xdr:rowOff>
    </xdr:from>
    <xdr:to>
      <xdr:col>13</xdr:col>
      <xdr:colOff>561975</xdr:colOff>
      <xdr:row>3113</xdr:row>
      <xdr:rowOff>66675</xdr:rowOff>
    </xdr:to>
    <xdr:sp>
      <xdr:nvSpPr>
        <xdr:cNvPr id="1263" name="Rectangle 1262"/>
        <xdr:cNvSpPr/>
      </xdr:nvSpPr>
      <xdr:spPr>
        <a:xfrm>
          <a:off x="1016635" y="7353471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3114</xdr:row>
      <xdr:rowOff>76200</xdr:rowOff>
    </xdr:from>
    <xdr:to>
      <xdr:col>11</xdr:col>
      <xdr:colOff>552450</xdr:colOff>
      <xdr:row>3131</xdr:row>
      <xdr:rowOff>247651</xdr:rowOff>
    </xdr:to>
    <xdr:sp>
      <xdr:nvSpPr>
        <xdr:cNvPr id="1264" name="Rectangle 1263"/>
        <xdr:cNvSpPr/>
      </xdr:nvSpPr>
      <xdr:spPr>
        <a:xfrm>
          <a:off x="2530475" y="7437748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3081</xdr:row>
      <xdr:rowOff>0</xdr:rowOff>
    </xdr:from>
    <xdr:to>
      <xdr:col>10</xdr:col>
      <xdr:colOff>561975</xdr:colOff>
      <xdr:row>3082</xdr:row>
      <xdr:rowOff>0</xdr:rowOff>
    </xdr:to>
    <xdr:sp>
      <xdr:nvSpPr>
        <xdr:cNvPr id="1265" name="TextBox 1264"/>
        <xdr:cNvSpPr txBox="1"/>
      </xdr:nvSpPr>
      <xdr:spPr>
        <a:xfrm>
          <a:off x="3109595" y="7355401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3174</xdr:row>
      <xdr:rowOff>9525</xdr:rowOff>
    </xdr:from>
    <xdr:to>
      <xdr:col>12</xdr:col>
      <xdr:colOff>180974</xdr:colOff>
      <xdr:row>3174</xdr:row>
      <xdr:rowOff>257175</xdr:rowOff>
    </xdr:to>
    <xdr:sp>
      <xdr:nvSpPr>
        <xdr:cNvPr id="1266" name="TextBox 1265"/>
        <xdr:cNvSpPr txBox="1"/>
      </xdr:nvSpPr>
      <xdr:spPr>
        <a:xfrm>
          <a:off x="2359025" y="7578509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3136</xdr:row>
      <xdr:rowOff>19050</xdr:rowOff>
    </xdr:from>
    <xdr:to>
      <xdr:col>4</xdr:col>
      <xdr:colOff>219075</xdr:colOff>
      <xdr:row>3140</xdr:row>
      <xdr:rowOff>271626</xdr:rowOff>
    </xdr:to>
    <xdr:pic>
      <xdr:nvPicPr>
        <xdr:cNvPr id="1267" name="Picture 12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487011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3136</xdr:row>
      <xdr:rowOff>28575</xdr:rowOff>
    </xdr:from>
    <xdr:to>
      <xdr:col>16</xdr:col>
      <xdr:colOff>28575</xdr:colOff>
      <xdr:row>3141</xdr:row>
      <xdr:rowOff>4926</xdr:rowOff>
    </xdr:to>
    <xdr:pic>
      <xdr:nvPicPr>
        <xdr:cNvPr id="1268" name="Picture 12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7487107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3172</xdr:row>
      <xdr:rowOff>28575</xdr:rowOff>
    </xdr:from>
    <xdr:to>
      <xdr:col>4</xdr:col>
      <xdr:colOff>171451</xdr:colOff>
      <xdr:row>3176</xdr:row>
      <xdr:rowOff>219075</xdr:rowOff>
    </xdr:to>
    <xdr:pic>
      <xdr:nvPicPr>
        <xdr:cNvPr id="1269" name="Picture 126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574648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3172</xdr:row>
      <xdr:rowOff>38100</xdr:rowOff>
    </xdr:from>
    <xdr:to>
      <xdr:col>15</xdr:col>
      <xdr:colOff>161926</xdr:colOff>
      <xdr:row>3177</xdr:row>
      <xdr:rowOff>0</xdr:rowOff>
    </xdr:to>
    <xdr:pic>
      <xdr:nvPicPr>
        <xdr:cNvPr id="1270" name="Picture 126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574743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3137</xdr:row>
      <xdr:rowOff>85726</xdr:rowOff>
    </xdr:from>
    <xdr:to>
      <xdr:col>13</xdr:col>
      <xdr:colOff>561975</xdr:colOff>
      <xdr:row>3170</xdr:row>
      <xdr:rowOff>66675</xdr:rowOff>
    </xdr:to>
    <xdr:sp>
      <xdr:nvSpPr>
        <xdr:cNvPr id="1271" name="Rectangle 1270"/>
        <xdr:cNvSpPr/>
      </xdr:nvSpPr>
      <xdr:spPr>
        <a:xfrm>
          <a:off x="1016635" y="7489583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3171</xdr:row>
      <xdr:rowOff>76200</xdr:rowOff>
    </xdr:from>
    <xdr:to>
      <xdr:col>11</xdr:col>
      <xdr:colOff>552450</xdr:colOff>
      <xdr:row>3188</xdr:row>
      <xdr:rowOff>247651</xdr:rowOff>
    </xdr:to>
    <xdr:sp>
      <xdr:nvSpPr>
        <xdr:cNvPr id="1272" name="Rectangle 1271"/>
        <xdr:cNvSpPr/>
      </xdr:nvSpPr>
      <xdr:spPr>
        <a:xfrm>
          <a:off x="2530475" y="7573860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3138</xdr:row>
      <xdr:rowOff>0</xdr:rowOff>
    </xdr:from>
    <xdr:to>
      <xdr:col>10</xdr:col>
      <xdr:colOff>561975</xdr:colOff>
      <xdr:row>3139</xdr:row>
      <xdr:rowOff>0</xdr:rowOff>
    </xdr:to>
    <xdr:sp>
      <xdr:nvSpPr>
        <xdr:cNvPr id="1273" name="TextBox 1272"/>
        <xdr:cNvSpPr txBox="1"/>
      </xdr:nvSpPr>
      <xdr:spPr>
        <a:xfrm>
          <a:off x="3109595" y="7491514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3231</xdr:row>
      <xdr:rowOff>9525</xdr:rowOff>
    </xdr:from>
    <xdr:to>
      <xdr:col>12</xdr:col>
      <xdr:colOff>180974</xdr:colOff>
      <xdr:row>3231</xdr:row>
      <xdr:rowOff>257175</xdr:rowOff>
    </xdr:to>
    <xdr:sp>
      <xdr:nvSpPr>
        <xdr:cNvPr id="1274" name="TextBox 1273"/>
        <xdr:cNvSpPr txBox="1"/>
      </xdr:nvSpPr>
      <xdr:spPr>
        <a:xfrm>
          <a:off x="2359025" y="7714621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3193</xdr:row>
      <xdr:rowOff>19050</xdr:rowOff>
    </xdr:from>
    <xdr:to>
      <xdr:col>4</xdr:col>
      <xdr:colOff>219075</xdr:colOff>
      <xdr:row>3197</xdr:row>
      <xdr:rowOff>271626</xdr:rowOff>
    </xdr:to>
    <xdr:pic>
      <xdr:nvPicPr>
        <xdr:cNvPr id="1275" name="Picture 127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623124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3193</xdr:row>
      <xdr:rowOff>28575</xdr:rowOff>
    </xdr:from>
    <xdr:to>
      <xdr:col>16</xdr:col>
      <xdr:colOff>28575</xdr:colOff>
      <xdr:row>3198</xdr:row>
      <xdr:rowOff>4926</xdr:rowOff>
    </xdr:to>
    <xdr:pic>
      <xdr:nvPicPr>
        <xdr:cNvPr id="1276" name="Picture 127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7623219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3229</xdr:row>
      <xdr:rowOff>28575</xdr:rowOff>
    </xdr:from>
    <xdr:to>
      <xdr:col>4</xdr:col>
      <xdr:colOff>171451</xdr:colOff>
      <xdr:row>3233</xdr:row>
      <xdr:rowOff>219075</xdr:rowOff>
    </xdr:to>
    <xdr:pic>
      <xdr:nvPicPr>
        <xdr:cNvPr id="1277" name="Picture 127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710760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3229</xdr:row>
      <xdr:rowOff>38100</xdr:rowOff>
    </xdr:from>
    <xdr:to>
      <xdr:col>15</xdr:col>
      <xdr:colOff>161926</xdr:colOff>
      <xdr:row>3234</xdr:row>
      <xdr:rowOff>0</xdr:rowOff>
    </xdr:to>
    <xdr:pic>
      <xdr:nvPicPr>
        <xdr:cNvPr id="1278" name="Picture 127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710855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3194</xdr:row>
      <xdr:rowOff>85726</xdr:rowOff>
    </xdr:from>
    <xdr:to>
      <xdr:col>13</xdr:col>
      <xdr:colOff>561975</xdr:colOff>
      <xdr:row>3227</xdr:row>
      <xdr:rowOff>66675</xdr:rowOff>
    </xdr:to>
    <xdr:sp>
      <xdr:nvSpPr>
        <xdr:cNvPr id="1279" name="Rectangle 1278"/>
        <xdr:cNvSpPr/>
      </xdr:nvSpPr>
      <xdr:spPr>
        <a:xfrm>
          <a:off x="1016635" y="7625695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3228</xdr:row>
      <xdr:rowOff>76200</xdr:rowOff>
    </xdr:from>
    <xdr:to>
      <xdr:col>11</xdr:col>
      <xdr:colOff>552450</xdr:colOff>
      <xdr:row>3245</xdr:row>
      <xdr:rowOff>247651</xdr:rowOff>
    </xdr:to>
    <xdr:sp>
      <xdr:nvSpPr>
        <xdr:cNvPr id="1280" name="Rectangle 1279"/>
        <xdr:cNvSpPr/>
      </xdr:nvSpPr>
      <xdr:spPr>
        <a:xfrm>
          <a:off x="2530475" y="7709973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3195</xdr:row>
      <xdr:rowOff>0</xdr:rowOff>
    </xdr:from>
    <xdr:to>
      <xdr:col>10</xdr:col>
      <xdr:colOff>561975</xdr:colOff>
      <xdr:row>3196</xdr:row>
      <xdr:rowOff>0</xdr:rowOff>
    </xdr:to>
    <xdr:sp>
      <xdr:nvSpPr>
        <xdr:cNvPr id="1281" name="TextBox 1280"/>
        <xdr:cNvSpPr txBox="1"/>
      </xdr:nvSpPr>
      <xdr:spPr>
        <a:xfrm>
          <a:off x="3109595" y="7627626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3288</xdr:row>
      <xdr:rowOff>9525</xdr:rowOff>
    </xdr:from>
    <xdr:to>
      <xdr:col>12</xdr:col>
      <xdr:colOff>180974</xdr:colOff>
      <xdr:row>3288</xdr:row>
      <xdr:rowOff>257175</xdr:rowOff>
    </xdr:to>
    <xdr:sp>
      <xdr:nvSpPr>
        <xdr:cNvPr id="1282" name="TextBox 1281"/>
        <xdr:cNvSpPr txBox="1"/>
      </xdr:nvSpPr>
      <xdr:spPr>
        <a:xfrm>
          <a:off x="2359025" y="7850733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3250</xdr:row>
      <xdr:rowOff>19050</xdr:rowOff>
    </xdr:from>
    <xdr:to>
      <xdr:col>4</xdr:col>
      <xdr:colOff>219075</xdr:colOff>
      <xdr:row>3254</xdr:row>
      <xdr:rowOff>271626</xdr:rowOff>
    </xdr:to>
    <xdr:pic>
      <xdr:nvPicPr>
        <xdr:cNvPr id="1283" name="Picture 12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759236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3250</xdr:row>
      <xdr:rowOff>28575</xdr:rowOff>
    </xdr:from>
    <xdr:to>
      <xdr:col>16</xdr:col>
      <xdr:colOff>28575</xdr:colOff>
      <xdr:row>3255</xdr:row>
      <xdr:rowOff>4926</xdr:rowOff>
    </xdr:to>
    <xdr:pic>
      <xdr:nvPicPr>
        <xdr:cNvPr id="1284" name="Picture 12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7759331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3286</xdr:row>
      <xdr:rowOff>28575</xdr:rowOff>
    </xdr:from>
    <xdr:to>
      <xdr:col>4</xdr:col>
      <xdr:colOff>171451</xdr:colOff>
      <xdr:row>3290</xdr:row>
      <xdr:rowOff>219075</xdr:rowOff>
    </xdr:to>
    <xdr:pic>
      <xdr:nvPicPr>
        <xdr:cNvPr id="1285" name="Picture 128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846872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3286</xdr:row>
      <xdr:rowOff>38100</xdr:rowOff>
    </xdr:from>
    <xdr:to>
      <xdr:col>15</xdr:col>
      <xdr:colOff>161926</xdr:colOff>
      <xdr:row>3291</xdr:row>
      <xdr:rowOff>0</xdr:rowOff>
    </xdr:to>
    <xdr:pic>
      <xdr:nvPicPr>
        <xdr:cNvPr id="1286" name="Picture 128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846968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3251</xdr:row>
      <xdr:rowOff>85726</xdr:rowOff>
    </xdr:from>
    <xdr:to>
      <xdr:col>13</xdr:col>
      <xdr:colOff>561975</xdr:colOff>
      <xdr:row>3284</xdr:row>
      <xdr:rowOff>66675</xdr:rowOff>
    </xdr:to>
    <xdr:sp>
      <xdr:nvSpPr>
        <xdr:cNvPr id="1287" name="Rectangle 1286"/>
        <xdr:cNvSpPr/>
      </xdr:nvSpPr>
      <xdr:spPr>
        <a:xfrm>
          <a:off x="1016635" y="7761808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3285</xdr:row>
      <xdr:rowOff>76200</xdr:rowOff>
    </xdr:from>
    <xdr:to>
      <xdr:col>11</xdr:col>
      <xdr:colOff>552450</xdr:colOff>
      <xdr:row>3302</xdr:row>
      <xdr:rowOff>247651</xdr:rowOff>
    </xdr:to>
    <xdr:sp>
      <xdr:nvSpPr>
        <xdr:cNvPr id="1288" name="Rectangle 1287"/>
        <xdr:cNvSpPr/>
      </xdr:nvSpPr>
      <xdr:spPr>
        <a:xfrm>
          <a:off x="2530475" y="7846085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3252</xdr:row>
      <xdr:rowOff>0</xdr:rowOff>
    </xdr:from>
    <xdr:to>
      <xdr:col>10</xdr:col>
      <xdr:colOff>561975</xdr:colOff>
      <xdr:row>3253</xdr:row>
      <xdr:rowOff>0</xdr:rowOff>
    </xdr:to>
    <xdr:sp>
      <xdr:nvSpPr>
        <xdr:cNvPr id="1289" name="TextBox 1288"/>
        <xdr:cNvSpPr txBox="1"/>
      </xdr:nvSpPr>
      <xdr:spPr>
        <a:xfrm>
          <a:off x="3109595" y="7763738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3345</xdr:row>
      <xdr:rowOff>9525</xdr:rowOff>
    </xdr:from>
    <xdr:to>
      <xdr:col>12</xdr:col>
      <xdr:colOff>180974</xdr:colOff>
      <xdr:row>3345</xdr:row>
      <xdr:rowOff>257175</xdr:rowOff>
    </xdr:to>
    <xdr:sp>
      <xdr:nvSpPr>
        <xdr:cNvPr id="1290" name="TextBox 1289"/>
        <xdr:cNvSpPr txBox="1"/>
      </xdr:nvSpPr>
      <xdr:spPr>
        <a:xfrm>
          <a:off x="2359025" y="7986845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3307</xdr:row>
      <xdr:rowOff>19050</xdr:rowOff>
    </xdr:from>
    <xdr:to>
      <xdr:col>4</xdr:col>
      <xdr:colOff>219075</xdr:colOff>
      <xdr:row>3311</xdr:row>
      <xdr:rowOff>271626</xdr:rowOff>
    </xdr:to>
    <xdr:pic>
      <xdr:nvPicPr>
        <xdr:cNvPr id="1291" name="Picture 12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7895348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3307</xdr:row>
      <xdr:rowOff>28575</xdr:rowOff>
    </xdr:from>
    <xdr:to>
      <xdr:col>16</xdr:col>
      <xdr:colOff>28575</xdr:colOff>
      <xdr:row>3312</xdr:row>
      <xdr:rowOff>4926</xdr:rowOff>
    </xdr:to>
    <xdr:pic>
      <xdr:nvPicPr>
        <xdr:cNvPr id="1292" name="Picture 12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7895443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3343</xdr:row>
      <xdr:rowOff>28575</xdr:rowOff>
    </xdr:from>
    <xdr:to>
      <xdr:col>4</xdr:col>
      <xdr:colOff>171451</xdr:colOff>
      <xdr:row>3347</xdr:row>
      <xdr:rowOff>219075</xdr:rowOff>
    </xdr:to>
    <xdr:pic>
      <xdr:nvPicPr>
        <xdr:cNvPr id="1293" name="Picture 129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7982985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3343</xdr:row>
      <xdr:rowOff>38100</xdr:rowOff>
    </xdr:from>
    <xdr:to>
      <xdr:col>15</xdr:col>
      <xdr:colOff>161926</xdr:colOff>
      <xdr:row>3348</xdr:row>
      <xdr:rowOff>0</xdr:rowOff>
    </xdr:to>
    <xdr:pic>
      <xdr:nvPicPr>
        <xdr:cNvPr id="1294" name="Picture 129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7983080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3308</xdr:row>
      <xdr:rowOff>85726</xdr:rowOff>
    </xdr:from>
    <xdr:to>
      <xdr:col>13</xdr:col>
      <xdr:colOff>561975</xdr:colOff>
      <xdr:row>3341</xdr:row>
      <xdr:rowOff>66675</xdr:rowOff>
    </xdr:to>
    <xdr:sp>
      <xdr:nvSpPr>
        <xdr:cNvPr id="1295" name="Rectangle 1294"/>
        <xdr:cNvSpPr/>
      </xdr:nvSpPr>
      <xdr:spPr>
        <a:xfrm>
          <a:off x="1016635" y="7897920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3342</xdr:row>
      <xdr:rowOff>76200</xdr:rowOff>
    </xdr:from>
    <xdr:to>
      <xdr:col>11</xdr:col>
      <xdr:colOff>552450</xdr:colOff>
      <xdr:row>3359</xdr:row>
      <xdr:rowOff>247651</xdr:rowOff>
    </xdr:to>
    <xdr:sp>
      <xdr:nvSpPr>
        <xdr:cNvPr id="1296" name="Rectangle 1295"/>
        <xdr:cNvSpPr/>
      </xdr:nvSpPr>
      <xdr:spPr>
        <a:xfrm>
          <a:off x="2530475" y="7982197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3309</xdr:row>
      <xdr:rowOff>0</xdr:rowOff>
    </xdr:from>
    <xdr:to>
      <xdr:col>10</xdr:col>
      <xdr:colOff>561975</xdr:colOff>
      <xdr:row>3310</xdr:row>
      <xdr:rowOff>0</xdr:rowOff>
    </xdr:to>
    <xdr:sp>
      <xdr:nvSpPr>
        <xdr:cNvPr id="1297" name="TextBox 1296"/>
        <xdr:cNvSpPr txBox="1"/>
      </xdr:nvSpPr>
      <xdr:spPr>
        <a:xfrm>
          <a:off x="3109595" y="7899850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3402</xdr:row>
      <xdr:rowOff>9525</xdr:rowOff>
    </xdr:from>
    <xdr:to>
      <xdr:col>12</xdr:col>
      <xdr:colOff>180974</xdr:colOff>
      <xdr:row>3402</xdr:row>
      <xdr:rowOff>257175</xdr:rowOff>
    </xdr:to>
    <xdr:sp>
      <xdr:nvSpPr>
        <xdr:cNvPr id="1298" name="TextBox 1297"/>
        <xdr:cNvSpPr txBox="1"/>
      </xdr:nvSpPr>
      <xdr:spPr>
        <a:xfrm>
          <a:off x="2359025" y="8122958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3364</xdr:row>
      <xdr:rowOff>19050</xdr:rowOff>
    </xdr:from>
    <xdr:to>
      <xdr:col>4</xdr:col>
      <xdr:colOff>219075</xdr:colOff>
      <xdr:row>3368</xdr:row>
      <xdr:rowOff>271626</xdr:rowOff>
    </xdr:to>
    <xdr:pic>
      <xdr:nvPicPr>
        <xdr:cNvPr id="1299" name="Picture 12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031460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3364</xdr:row>
      <xdr:rowOff>28575</xdr:rowOff>
    </xdr:from>
    <xdr:to>
      <xdr:col>16</xdr:col>
      <xdr:colOff>28575</xdr:colOff>
      <xdr:row>3369</xdr:row>
      <xdr:rowOff>4926</xdr:rowOff>
    </xdr:to>
    <xdr:pic>
      <xdr:nvPicPr>
        <xdr:cNvPr id="1300" name="Picture 12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031556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3400</xdr:row>
      <xdr:rowOff>28575</xdr:rowOff>
    </xdr:from>
    <xdr:to>
      <xdr:col>4</xdr:col>
      <xdr:colOff>171451</xdr:colOff>
      <xdr:row>3404</xdr:row>
      <xdr:rowOff>219075</xdr:rowOff>
    </xdr:to>
    <xdr:pic>
      <xdr:nvPicPr>
        <xdr:cNvPr id="1301" name="Picture 130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119097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3400</xdr:row>
      <xdr:rowOff>38100</xdr:rowOff>
    </xdr:from>
    <xdr:to>
      <xdr:col>15</xdr:col>
      <xdr:colOff>161926</xdr:colOff>
      <xdr:row>3405</xdr:row>
      <xdr:rowOff>0</xdr:rowOff>
    </xdr:to>
    <xdr:pic>
      <xdr:nvPicPr>
        <xdr:cNvPr id="1302" name="Picture 130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119192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3365</xdr:row>
      <xdr:rowOff>85726</xdr:rowOff>
    </xdr:from>
    <xdr:to>
      <xdr:col>13</xdr:col>
      <xdr:colOff>561975</xdr:colOff>
      <xdr:row>3398</xdr:row>
      <xdr:rowOff>66675</xdr:rowOff>
    </xdr:to>
    <xdr:sp>
      <xdr:nvSpPr>
        <xdr:cNvPr id="1303" name="Rectangle 1302"/>
        <xdr:cNvSpPr/>
      </xdr:nvSpPr>
      <xdr:spPr>
        <a:xfrm>
          <a:off x="1016635" y="8034032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3399</xdr:row>
      <xdr:rowOff>76200</xdr:rowOff>
    </xdr:from>
    <xdr:to>
      <xdr:col>11</xdr:col>
      <xdr:colOff>552450</xdr:colOff>
      <xdr:row>3416</xdr:row>
      <xdr:rowOff>247651</xdr:rowOff>
    </xdr:to>
    <xdr:sp>
      <xdr:nvSpPr>
        <xdr:cNvPr id="1304" name="Rectangle 1303"/>
        <xdr:cNvSpPr/>
      </xdr:nvSpPr>
      <xdr:spPr>
        <a:xfrm>
          <a:off x="2530475" y="8118309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3366</xdr:row>
      <xdr:rowOff>0</xdr:rowOff>
    </xdr:from>
    <xdr:to>
      <xdr:col>10</xdr:col>
      <xdr:colOff>561975</xdr:colOff>
      <xdr:row>3367</xdr:row>
      <xdr:rowOff>0</xdr:rowOff>
    </xdr:to>
    <xdr:sp>
      <xdr:nvSpPr>
        <xdr:cNvPr id="1305" name="TextBox 1304"/>
        <xdr:cNvSpPr txBox="1"/>
      </xdr:nvSpPr>
      <xdr:spPr>
        <a:xfrm>
          <a:off x="3109595" y="8035963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3459</xdr:row>
      <xdr:rowOff>9525</xdr:rowOff>
    </xdr:from>
    <xdr:to>
      <xdr:col>12</xdr:col>
      <xdr:colOff>180974</xdr:colOff>
      <xdr:row>3459</xdr:row>
      <xdr:rowOff>257175</xdr:rowOff>
    </xdr:to>
    <xdr:sp>
      <xdr:nvSpPr>
        <xdr:cNvPr id="1306" name="TextBox 1305"/>
        <xdr:cNvSpPr txBox="1"/>
      </xdr:nvSpPr>
      <xdr:spPr>
        <a:xfrm>
          <a:off x="2359025" y="8259070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3421</xdr:row>
      <xdr:rowOff>19050</xdr:rowOff>
    </xdr:from>
    <xdr:to>
      <xdr:col>4</xdr:col>
      <xdr:colOff>219075</xdr:colOff>
      <xdr:row>3425</xdr:row>
      <xdr:rowOff>271626</xdr:rowOff>
    </xdr:to>
    <xdr:pic>
      <xdr:nvPicPr>
        <xdr:cNvPr id="1307" name="Picture 13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167573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3421</xdr:row>
      <xdr:rowOff>28575</xdr:rowOff>
    </xdr:from>
    <xdr:to>
      <xdr:col>16</xdr:col>
      <xdr:colOff>28575</xdr:colOff>
      <xdr:row>3426</xdr:row>
      <xdr:rowOff>4926</xdr:rowOff>
    </xdr:to>
    <xdr:pic>
      <xdr:nvPicPr>
        <xdr:cNvPr id="1308" name="Picture 13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167668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3457</xdr:row>
      <xdr:rowOff>28575</xdr:rowOff>
    </xdr:from>
    <xdr:to>
      <xdr:col>4</xdr:col>
      <xdr:colOff>171451</xdr:colOff>
      <xdr:row>3461</xdr:row>
      <xdr:rowOff>219075</xdr:rowOff>
    </xdr:to>
    <xdr:pic>
      <xdr:nvPicPr>
        <xdr:cNvPr id="1309" name="Picture 130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255209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3457</xdr:row>
      <xdr:rowOff>38100</xdr:rowOff>
    </xdr:from>
    <xdr:to>
      <xdr:col>15</xdr:col>
      <xdr:colOff>161926</xdr:colOff>
      <xdr:row>3462</xdr:row>
      <xdr:rowOff>0</xdr:rowOff>
    </xdr:to>
    <xdr:pic>
      <xdr:nvPicPr>
        <xdr:cNvPr id="1310" name="Picture 130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255304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3422</xdr:row>
      <xdr:rowOff>85726</xdr:rowOff>
    </xdr:from>
    <xdr:to>
      <xdr:col>13</xdr:col>
      <xdr:colOff>561975</xdr:colOff>
      <xdr:row>3455</xdr:row>
      <xdr:rowOff>66675</xdr:rowOff>
    </xdr:to>
    <xdr:sp>
      <xdr:nvSpPr>
        <xdr:cNvPr id="1311" name="Rectangle 1310"/>
        <xdr:cNvSpPr/>
      </xdr:nvSpPr>
      <xdr:spPr>
        <a:xfrm>
          <a:off x="1016635" y="8170144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3456</xdr:row>
      <xdr:rowOff>76200</xdr:rowOff>
    </xdr:from>
    <xdr:to>
      <xdr:col>11</xdr:col>
      <xdr:colOff>552450</xdr:colOff>
      <xdr:row>3473</xdr:row>
      <xdr:rowOff>247651</xdr:rowOff>
    </xdr:to>
    <xdr:sp>
      <xdr:nvSpPr>
        <xdr:cNvPr id="1312" name="Rectangle 1311"/>
        <xdr:cNvSpPr/>
      </xdr:nvSpPr>
      <xdr:spPr>
        <a:xfrm>
          <a:off x="2530475" y="8254422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3423</xdr:row>
      <xdr:rowOff>0</xdr:rowOff>
    </xdr:from>
    <xdr:to>
      <xdr:col>10</xdr:col>
      <xdr:colOff>561975</xdr:colOff>
      <xdr:row>3424</xdr:row>
      <xdr:rowOff>0</xdr:rowOff>
    </xdr:to>
    <xdr:sp>
      <xdr:nvSpPr>
        <xdr:cNvPr id="1313" name="TextBox 1312"/>
        <xdr:cNvSpPr txBox="1"/>
      </xdr:nvSpPr>
      <xdr:spPr>
        <a:xfrm>
          <a:off x="3109595" y="8172075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3516</xdr:row>
      <xdr:rowOff>9525</xdr:rowOff>
    </xdr:from>
    <xdr:to>
      <xdr:col>12</xdr:col>
      <xdr:colOff>180974</xdr:colOff>
      <xdr:row>3516</xdr:row>
      <xdr:rowOff>257175</xdr:rowOff>
    </xdr:to>
    <xdr:sp>
      <xdr:nvSpPr>
        <xdr:cNvPr id="1314" name="TextBox 1313"/>
        <xdr:cNvSpPr txBox="1"/>
      </xdr:nvSpPr>
      <xdr:spPr>
        <a:xfrm>
          <a:off x="2359025" y="8395182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3478</xdr:row>
      <xdr:rowOff>19050</xdr:rowOff>
    </xdr:from>
    <xdr:to>
      <xdr:col>4</xdr:col>
      <xdr:colOff>219075</xdr:colOff>
      <xdr:row>3482</xdr:row>
      <xdr:rowOff>271626</xdr:rowOff>
    </xdr:to>
    <xdr:pic>
      <xdr:nvPicPr>
        <xdr:cNvPr id="1315" name="Picture 13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303685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3478</xdr:row>
      <xdr:rowOff>28575</xdr:rowOff>
    </xdr:from>
    <xdr:to>
      <xdr:col>16</xdr:col>
      <xdr:colOff>28575</xdr:colOff>
      <xdr:row>3483</xdr:row>
      <xdr:rowOff>4926</xdr:rowOff>
    </xdr:to>
    <xdr:pic>
      <xdr:nvPicPr>
        <xdr:cNvPr id="1316" name="Picture 13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303780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3514</xdr:row>
      <xdr:rowOff>28575</xdr:rowOff>
    </xdr:from>
    <xdr:to>
      <xdr:col>4</xdr:col>
      <xdr:colOff>171451</xdr:colOff>
      <xdr:row>3518</xdr:row>
      <xdr:rowOff>219075</xdr:rowOff>
    </xdr:to>
    <xdr:pic>
      <xdr:nvPicPr>
        <xdr:cNvPr id="1317" name="Picture 13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391321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3514</xdr:row>
      <xdr:rowOff>38100</xdr:rowOff>
    </xdr:from>
    <xdr:to>
      <xdr:col>15</xdr:col>
      <xdr:colOff>161926</xdr:colOff>
      <xdr:row>3519</xdr:row>
      <xdr:rowOff>0</xdr:rowOff>
    </xdr:to>
    <xdr:pic>
      <xdr:nvPicPr>
        <xdr:cNvPr id="1318" name="Picture 131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391417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3479</xdr:row>
      <xdr:rowOff>85726</xdr:rowOff>
    </xdr:from>
    <xdr:to>
      <xdr:col>13</xdr:col>
      <xdr:colOff>561975</xdr:colOff>
      <xdr:row>3512</xdr:row>
      <xdr:rowOff>66675</xdr:rowOff>
    </xdr:to>
    <xdr:sp>
      <xdr:nvSpPr>
        <xdr:cNvPr id="1319" name="Rectangle 1318"/>
        <xdr:cNvSpPr/>
      </xdr:nvSpPr>
      <xdr:spPr>
        <a:xfrm>
          <a:off x="1016635" y="8306257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3513</xdr:row>
      <xdr:rowOff>76200</xdr:rowOff>
    </xdr:from>
    <xdr:to>
      <xdr:col>11</xdr:col>
      <xdr:colOff>552450</xdr:colOff>
      <xdr:row>3530</xdr:row>
      <xdr:rowOff>247651</xdr:rowOff>
    </xdr:to>
    <xdr:sp>
      <xdr:nvSpPr>
        <xdr:cNvPr id="1320" name="Rectangle 1319"/>
        <xdr:cNvSpPr/>
      </xdr:nvSpPr>
      <xdr:spPr>
        <a:xfrm>
          <a:off x="2530475" y="8390534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3480</xdr:row>
      <xdr:rowOff>0</xdr:rowOff>
    </xdr:from>
    <xdr:to>
      <xdr:col>10</xdr:col>
      <xdr:colOff>561975</xdr:colOff>
      <xdr:row>3481</xdr:row>
      <xdr:rowOff>0</xdr:rowOff>
    </xdr:to>
    <xdr:sp>
      <xdr:nvSpPr>
        <xdr:cNvPr id="1321" name="TextBox 1320"/>
        <xdr:cNvSpPr txBox="1"/>
      </xdr:nvSpPr>
      <xdr:spPr>
        <a:xfrm>
          <a:off x="3109595" y="8308187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3573</xdr:row>
      <xdr:rowOff>9525</xdr:rowOff>
    </xdr:from>
    <xdr:to>
      <xdr:col>12</xdr:col>
      <xdr:colOff>180974</xdr:colOff>
      <xdr:row>3573</xdr:row>
      <xdr:rowOff>257175</xdr:rowOff>
    </xdr:to>
    <xdr:sp>
      <xdr:nvSpPr>
        <xdr:cNvPr id="1322" name="TextBox 1321"/>
        <xdr:cNvSpPr txBox="1"/>
      </xdr:nvSpPr>
      <xdr:spPr>
        <a:xfrm>
          <a:off x="2359025" y="8531294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3535</xdr:row>
      <xdr:rowOff>19050</xdr:rowOff>
    </xdr:from>
    <xdr:to>
      <xdr:col>4</xdr:col>
      <xdr:colOff>219075</xdr:colOff>
      <xdr:row>3539</xdr:row>
      <xdr:rowOff>271626</xdr:rowOff>
    </xdr:to>
    <xdr:pic>
      <xdr:nvPicPr>
        <xdr:cNvPr id="1323" name="Picture 13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439797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3535</xdr:row>
      <xdr:rowOff>28575</xdr:rowOff>
    </xdr:from>
    <xdr:to>
      <xdr:col>16</xdr:col>
      <xdr:colOff>28575</xdr:colOff>
      <xdr:row>3540</xdr:row>
      <xdr:rowOff>4926</xdr:rowOff>
    </xdr:to>
    <xdr:pic>
      <xdr:nvPicPr>
        <xdr:cNvPr id="1324" name="Picture 13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439892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3571</xdr:row>
      <xdr:rowOff>28575</xdr:rowOff>
    </xdr:from>
    <xdr:to>
      <xdr:col>4</xdr:col>
      <xdr:colOff>171451</xdr:colOff>
      <xdr:row>3575</xdr:row>
      <xdr:rowOff>219075</xdr:rowOff>
    </xdr:to>
    <xdr:pic>
      <xdr:nvPicPr>
        <xdr:cNvPr id="1325" name="Picture 132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527434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3571</xdr:row>
      <xdr:rowOff>38100</xdr:rowOff>
    </xdr:from>
    <xdr:to>
      <xdr:col>15</xdr:col>
      <xdr:colOff>161926</xdr:colOff>
      <xdr:row>3576</xdr:row>
      <xdr:rowOff>0</xdr:rowOff>
    </xdr:to>
    <xdr:pic>
      <xdr:nvPicPr>
        <xdr:cNvPr id="1326" name="Picture 132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527529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3536</xdr:row>
      <xdr:rowOff>85726</xdr:rowOff>
    </xdr:from>
    <xdr:to>
      <xdr:col>13</xdr:col>
      <xdr:colOff>561975</xdr:colOff>
      <xdr:row>3569</xdr:row>
      <xdr:rowOff>66675</xdr:rowOff>
    </xdr:to>
    <xdr:sp>
      <xdr:nvSpPr>
        <xdr:cNvPr id="1327" name="Rectangle 1326"/>
        <xdr:cNvSpPr/>
      </xdr:nvSpPr>
      <xdr:spPr>
        <a:xfrm>
          <a:off x="1016635" y="8442369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3570</xdr:row>
      <xdr:rowOff>76200</xdr:rowOff>
    </xdr:from>
    <xdr:to>
      <xdr:col>11</xdr:col>
      <xdr:colOff>552450</xdr:colOff>
      <xdr:row>3587</xdr:row>
      <xdr:rowOff>247651</xdr:rowOff>
    </xdr:to>
    <xdr:sp>
      <xdr:nvSpPr>
        <xdr:cNvPr id="1328" name="Rectangle 1327"/>
        <xdr:cNvSpPr/>
      </xdr:nvSpPr>
      <xdr:spPr>
        <a:xfrm>
          <a:off x="2530475" y="8526646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3537</xdr:row>
      <xdr:rowOff>0</xdr:rowOff>
    </xdr:from>
    <xdr:to>
      <xdr:col>10</xdr:col>
      <xdr:colOff>561975</xdr:colOff>
      <xdr:row>3538</xdr:row>
      <xdr:rowOff>0</xdr:rowOff>
    </xdr:to>
    <xdr:sp>
      <xdr:nvSpPr>
        <xdr:cNvPr id="1329" name="TextBox 1328"/>
        <xdr:cNvSpPr txBox="1"/>
      </xdr:nvSpPr>
      <xdr:spPr>
        <a:xfrm>
          <a:off x="3109595" y="8444299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3630</xdr:row>
      <xdr:rowOff>9525</xdr:rowOff>
    </xdr:from>
    <xdr:to>
      <xdr:col>12</xdr:col>
      <xdr:colOff>180974</xdr:colOff>
      <xdr:row>3630</xdr:row>
      <xdr:rowOff>257175</xdr:rowOff>
    </xdr:to>
    <xdr:sp>
      <xdr:nvSpPr>
        <xdr:cNvPr id="1330" name="TextBox 1329"/>
        <xdr:cNvSpPr txBox="1"/>
      </xdr:nvSpPr>
      <xdr:spPr>
        <a:xfrm>
          <a:off x="2359025" y="8667407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3592</xdr:row>
      <xdr:rowOff>19050</xdr:rowOff>
    </xdr:from>
    <xdr:to>
      <xdr:col>4</xdr:col>
      <xdr:colOff>219075</xdr:colOff>
      <xdr:row>3596</xdr:row>
      <xdr:rowOff>271626</xdr:rowOff>
    </xdr:to>
    <xdr:pic>
      <xdr:nvPicPr>
        <xdr:cNvPr id="1331" name="Picture 13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575909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3592</xdr:row>
      <xdr:rowOff>28575</xdr:rowOff>
    </xdr:from>
    <xdr:to>
      <xdr:col>16</xdr:col>
      <xdr:colOff>28575</xdr:colOff>
      <xdr:row>3597</xdr:row>
      <xdr:rowOff>4926</xdr:rowOff>
    </xdr:to>
    <xdr:pic>
      <xdr:nvPicPr>
        <xdr:cNvPr id="1332" name="Picture 13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576005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3628</xdr:row>
      <xdr:rowOff>28575</xdr:rowOff>
    </xdr:from>
    <xdr:to>
      <xdr:col>4</xdr:col>
      <xdr:colOff>171451</xdr:colOff>
      <xdr:row>3632</xdr:row>
      <xdr:rowOff>219075</xdr:rowOff>
    </xdr:to>
    <xdr:pic>
      <xdr:nvPicPr>
        <xdr:cNvPr id="1333" name="Picture 133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663546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3628</xdr:row>
      <xdr:rowOff>38100</xdr:rowOff>
    </xdr:from>
    <xdr:to>
      <xdr:col>15</xdr:col>
      <xdr:colOff>161926</xdr:colOff>
      <xdr:row>3633</xdr:row>
      <xdr:rowOff>0</xdr:rowOff>
    </xdr:to>
    <xdr:pic>
      <xdr:nvPicPr>
        <xdr:cNvPr id="1334" name="Picture 133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663641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3593</xdr:row>
      <xdr:rowOff>85726</xdr:rowOff>
    </xdr:from>
    <xdr:to>
      <xdr:col>13</xdr:col>
      <xdr:colOff>561975</xdr:colOff>
      <xdr:row>3626</xdr:row>
      <xdr:rowOff>66675</xdr:rowOff>
    </xdr:to>
    <xdr:sp>
      <xdr:nvSpPr>
        <xdr:cNvPr id="1335" name="Rectangle 1334"/>
        <xdr:cNvSpPr/>
      </xdr:nvSpPr>
      <xdr:spPr>
        <a:xfrm>
          <a:off x="1016635" y="8578481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3627</xdr:row>
      <xdr:rowOff>76200</xdr:rowOff>
    </xdr:from>
    <xdr:to>
      <xdr:col>11</xdr:col>
      <xdr:colOff>552450</xdr:colOff>
      <xdr:row>3644</xdr:row>
      <xdr:rowOff>247651</xdr:rowOff>
    </xdr:to>
    <xdr:sp>
      <xdr:nvSpPr>
        <xdr:cNvPr id="1336" name="Rectangle 1335"/>
        <xdr:cNvSpPr/>
      </xdr:nvSpPr>
      <xdr:spPr>
        <a:xfrm>
          <a:off x="2530475" y="8662758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3594</xdr:row>
      <xdr:rowOff>0</xdr:rowOff>
    </xdr:from>
    <xdr:to>
      <xdr:col>10</xdr:col>
      <xdr:colOff>561975</xdr:colOff>
      <xdr:row>3595</xdr:row>
      <xdr:rowOff>0</xdr:rowOff>
    </xdr:to>
    <xdr:sp>
      <xdr:nvSpPr>
        <xdr:cNvPr id="1337" name="TextBox 1336"/>
        <xdr:cNvSpPr txBox="1"/>
      </xdr:nvSpPr>
      <xdr:spPr>
        <a:xfrm>
          <a:off x="3109595" y="8580412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3687</xdr:row>
      <xdr:rowOff>9525</xdr:rowOff>
    </xdr:from>
    <xdr:to>
      <xdr:col>12</xdr:col>
      <xdr:colOff>180974</xdr:colOff>
      <xdr:row>3687</xdr:row>
      <xdr:rowOff>257175</xdr:rowOff>
    </xdr:to>
    <xdr:sp>
      <xdr:nvSpPr>
        <xdr:cNvPr id="1338" name="TextBox 1337"/>
        <xdr:cNvSpPr txBox="1"/>
      </xdr:nvSpPr>
      <xdr:spPr>
        <a:xfrm>
          <a:off x="2359025" y="8803519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3649</xdr:row>
      <xdr:rowOff>19050</xdr:rowOff>
    </xdr:from>
    <xdr:to>
      <xdr:col>4</xdr:col>
      <xdr:colOff>219075</xdr:colOff>
      <xdr:row>3653</xdr:row>
      <xdr:rowOff>271626</xdr:rowOff>
    </xdr:to>
    <xdr:pic>
      <xdr:nvPicPr>
        <xdr:cNvPr id="1339" name="Picture 13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712022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3649</xdr:row>
      <xdr:rowOff>28575</xdr:rowOff>
    </xdr:from>
    <xdr:to>
      <xdr:col>16</xdr:col>
      <xdr:colOff>28575</xdr:colOff>
      <xdr:row>3654</xdr:row>
      <xdr:rowOff>4926</xdr:rowOff>
    </xdr:to>
    <xdr:pic>
      <xdr:nvPicPr>
        <xdr:cNvPr id="1340" name="Picture 13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712117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3685</xdr:row>
      <xdr:rowOff>28575</xdr:rowOff>
    </xdr:from>
    <xdr:to>
      <xdr:col>4</xdr:col>
      <xdr:colOff>171451</xdr:colOff>
      <xdr:row>3689</xdr:row>
      <xdr:rowOff>219075</xdr:rowOff>
    </xdr:to>
    <xdr:pic>
      <xdr:nvPicPr>
        <xdr:cNvPr id="1341" name="Picture 13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799658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3685</xdr:row>
      <xdr:rowOff>38100</xdr:rowOff>
    </xdr:from>
    <xdr:to>
      <xdr:col>15</xdr:col>
      <xdr:colOff>161926</xdr:colOff>
      <xdr:row>3690</xdr:row>
      <xdr:rowOff>0</xdr:rowOff>
    </xdr:to>
    <xdr:pic>
      <xdr:nvPicPr>
        <xdr:cNvPr id="1342" name="Picture 134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799753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3650</xdr:row>
      <xdr:rowOff>85726</xdr:rowOff>
    </xdr:from>
    <xdr:to>
      <xdr:col>13</xdr:col>
      <xdr:colOff>561975</xdr:colOff>
      <xdr:row>3683</xdr:row>
      <xdr:rowOff>66675</xdr:rowOff>
    </xdr:to>
    <xdr:sp>
      <xdr:nvSpPr>
        <xdr:cNvPr id="1343" name="Rectangle 1342"/>
        <xdr:cNvSpPr/>
      </xdr:nvSpPr>
      <xdr:spPr>
        <a:xfrm>
          <a:off x="1016635" y="8714593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3684</xdr:row>
      <xdr:rowOff>76200</xdr:rowOff>
    </xdr:from>
    <xdr:to>
      <xdr:col>11</xdr:col>
      <xdr:colOff>552450</xdr:colOff>
      <xdr:row>3701</xdr:row>
      <xdr:rowOff>247651</xdr:rowOff>
    </xdr:to>
    <xdr:sp>
      <xdr:nvSpPr>
        <xdr:cNvPr id="1344" name="Rectangle 1343"/>
        <xdr:cNvSpPr/>
      </xdr:nvSpPr>
      <xdr:spPr>
        <a:xfrm>
          <a:off x="2530475" y="8798871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3651</xdr:row>
      <xdr:rowOff>0</xdr:rowOff>
    </xdr:from>
    <xdr:to>
      <xdr:col>10</xdr:col>
      <xdr:colOff>561975</xdr:colOff>
      <xdr:row>3652</xdr:row>
      <xdr:rowOff>0</xdr:rowOff>
    </xdr:to>
    <xdr:sp>
      <xdr:nvSpPr>
        <xdr:cNvPr id="1345" name="TextBox 1344"/>
        <xdr:cNvSpPr txBox="1"/>
      </xdr:nvSpPr>
      <xdr:spPr>
        <a:xfrm>
          <a:off x="3109595" y="8716524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3744</xdr:row>
      <xdr:rowOff>9525</xdr:rowOff>
    </xdr:from>
    <xdr:to>
      <xdr:col>12</xdr:col>
      <xdr:colOff>180974</xdr:colOff>
      <xdr:row>3744</xdr:row>
      <xdr:rowOff>257175</xdr:rowOff>
    </xdr:to>
    <xdr:sp>
      <xdr:nvSpPr>
        <xdr:cNvPr id="1346" name="TextBox 1345"/>
        <xdr:cNvSpPr txBox="1"/>
      </xdr:nvSpPr>
      <xdr:spPr>
        <a:xfrm>
          <a:off x="2359025" y="8939631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3706</xdr:row>
      <xdr:rowOff>19050</xdr:rowOff>
    </xdr:from>
    <xdr:to>
      <xdr:col>4</xdr:col>
      <xdr:colOff>219075</xdr:colOff>
      <xdr:row>3710</xdr:row>
      <xdr:rowOff>271626</xdr:rowOff>
    </xdr:to>
    <xdr:pic>
      <xdr:nvPicPr>
        <xdr:cNvPr id="1347" name="Picture 13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848134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3706</xdr:row>
      <xdr:rowOff>28575</xdr:rowOff>
    </xdr:from>
    <xdr:to>
      <xdr:col>16</xdr:col>
      <xdr:colOff>28575</xdr:colOff>
      <xdr:row>3711</xdr:row>
      <xdr:rowOff>4926</xdr:rowOff>
    </xdr:to>
    <xdr:pic>
      <xdr:nvPicPr>
        <xdr:cNvPr id="1348" name="Picture 13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848229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3742</xdr:row>
      <xdr:rowOff>28575</xdr:rowOff>
    </xdr:from>
    <xdr:to>
      <xdr:col>4</xdr:col>
      <xdr:colOff>171451</xdr:colOff>
      <xdr:row>3746</xdr:row>
      <xdr:rowOff>219075</xdr:rowOff>
    </xdr:to>
    <xdr:pic>
      <xdr:nvPicPr>
        <xdr:cNvPr id="1349" name="Picture 134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8935770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3742</xdr:row>
      <xdr:rowOff>38100</xdr:rowOff>
    </xdr:from>
    <xdr:to>
      <xdr:col>15</xdr:col>
      <xdr:colOff>161926</xdr:colOff>
      <xdr:row>3747</xdr:row>
      <xdr:rowOff>0</xdr:rowOff>
    </xdr:to>
    <xdr:pic>
      <xdr:nvPicPr>
        <xdr:cNvPr id="1350" name="Picture 134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8935866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3707</xdr:row>
      <xdr:rowOff>85726</xdr:rowOff>
    </xdr:from>
    <xdr:to>
      <xdr:col>13</xdr:col>
      <xdr:colOff>561975</xdr:colOff>
      <xdr:row>3740</xdr:row>
      <xdr:rowOff>66675</xdr:rowOff>
    </xdr:to>
    <xdr:sp>
      <xdr:nvSpPr>
        <xdr:cNvPr id="1351" name="Rectangle 1350"/>
        <xdr:cNvSpPr/>
      </xdr:nvSpPr>
      <xdr:spPr>
        <a:xfrm>
          <a:off x="1016635" y="8850706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3741</xdr:row>
      <xdr:rowOff>76200</xdr:rowOff>
    </xdr:from>
    <xdr:to>
      <xdr:col>11</xdr:col>
      <xdr:colOff>552450</xdr:colOff>
      <xdr:row>3758</xdr:row>
      <xdr:rowOff>247651</xdr:rowOff>
    </xdr:to>
    <xdr:sp>
      <xdr:nvSpPr>
        <xdr:cNvPr id="1352" name="Rectangle 1351"/>
        <xdr:cNvSpPr/>
      </xdr:nvSpPr>
      <xdr:spPr>
        <a:xfrm>
          <a:off x="2530475" y="8934983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3708</xdr:row>
      <xdr:rowOff>0</xdr:rowOff>
    </xdr:from>
    <xdr:to>
      <xdr:col>10</xdr:col>
      <xdr:colOff>561975</xdr:colOff>
      <xdr:row>3709</xdr:row>
      <xdr:rowOff>0</xdr:rowOff>
    </xdr:to>
    <xdr:sp>
      <xdr:nvSpPr>
        <xdr:cNvPr id="1353" name="TextBox 1352"/>
        <xdr:cNvSpPr txBox="1"/>
      </xdr:nvSpPr>
      <xdr:spPr>
        <a:xfrm>
          <a:off x="3109595" y="8852636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3801</xdr:row>
      <xdr:rowOff>9525</xdr:rowOff>
    </xdr:from>
    <xdr:to>
      <xdr:col>12</xdr:col>
      <xdr:colOff>180974</xdr:colOff>
      <xdr:row>3801</xdr:row>
      <xdr:rowOff>257175</xdr:rowOff>
    </xdr:to>
    <xdr:sp>
      <xdr:nvSpPr>
        <xdr:cNvPr id="1354" name="TextBox 1353"/>
        <xdr:cNvSpPr txBox="1"/>
      </xdr:nvSpPr>
      <xdr:spPr>
        <a:xfrm>
          <a:off x="2359025" y="9075743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3763</xdr:row>
      <xdr:rowOff>19050</xdr:rowOff>
    </xdr:from>
    <xdr:to>
      <xdr:col>4</xdr:col>
      <xdr:colOff>219075</xdr:colOff>
      <xdr:row>3767</xdr:row>
      <xdr:rowOff>271626</xdr:rowOff>
    </xdr:to>
    <xdr:pic>
      <xdr:nvPicPr>
        <xdr:cNvPr id="1355" name="Picture 13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8984246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3763</xdr:row>
      <xdr:rowOff>28575</xdr:rowOff>
    </xdr:from>
    <xdr:to>
      <xdr:col>16</xdr:col>
      <xdr:colOff>28575</xdr:colOff>
      <xdr:row>3768</xdr:row>
      <xdr:rowOff>4926</xdr:rowOff>
    </xdr:to>
    <xdr:pic>
      <xdr:nvPicPr>
        <xdr:cNvPr id="1356" name="Picture 13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8984341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3799</xdr:row>
      <xdr:rowOff>28575</xdr:rowOff>
    </xdr:from>
    <xdr:to>
      <xdr:col>4</xdr:col>
      <xdr:colOff>171451</xdr:colOff>
      <xdr:row>3803</xdr:row>
      <xdr:rowOff>219075</xdr:rowOff>
    </xdr:to>
    <xdr:pic>
      <xdr:nvPicPr>
        <xdr:cNvPr id="1357" name="Picture 135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071883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3799</xdr:row>
      <xdr:rowOff>38100</xdr:rowOff>
    </xdr:from>
    <xdr:to>
      <xdr:col>15</xdr:col>
      <xdr:colOff>161926</xdr:colOff>
      <xdr:row>3804</xdr:row>
      <xdr:rowOff>0</xdr:rowOff>
    </xdr:to>
    <xdr:pic>
      <xdr:nvPicPr>
        <xdr:cNvPr id="1358" name="Picture 135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071978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3764</xdr:row>
      <xdr:rowOff>85726</xdr:rowOff>
    </xdr:from>
    <xdr:to>
      <xdr:col>13</xdr:col>
      <xdr:colOff>561975</xdr:colOff>
      <xdr:row>3797</xdr:row>
      <xdr:rowOff>66675</xdr:rowOff>
    </xdr:to>
    <xdr:sp>
      <xdr:nvSpPr>
        <xdr:cNvPr id="1359" name="Rectangle 1358"/>
        <xdr:cNvSpPr/>
      </xdr:nvSpPr>
      <xdr:spPr>
        <a:xfrm>
          <a:off x="1016635" y="8986818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3798</xdr:row>
      <xdr:rowOff>76200</xdr:rowOff>
    </xdr:from>
    <xdr:to>
      <xdr:col>11</xdr:col>
      <xdr:colOff>552450</xdr:colOff>
      <xdr:row>3815</xdr:row>
      <xdr:rowOff>247651</xdr:rowOff>
    </xdr:to>
    <xdr:sp>
      <xdr:nvSpPr>
        <xdr:cNvPr id="1360" name="Rectangle 1359"/>
        <xdr:cNvSpPr/>
      </xdr:nvSpPr>
      <xdr:spPr>
        <a:xfrm>
          <a:off x="2530475" y="9071095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3765</xdr:row>
      <xdr:rowOff>0</xdr:rowOff>
    </xdr:from>
    <xdr:to>
      <xdr:col>10</xdr:col>
      <xdr:colOff>561975</xdr:colOff>
      <xdr:row>3766</xdr:row>
      <xdr:rowOff>0</xdr:rowOff>
    </xdr:to>
    <xdr:sp>
      <xdr:nvSpPr>
        <xdr:cNvPr id="1361" name="TextBox 1360"/>
        <xdr:cNvSpPr txBox="1"/>
      </xdr:nvSpPr>
      <xdr:spPr>
        <a:xfrm>
          <a:off x="3109595" y="8988748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3858</xdr:row>
      <xdr:rowOff>9525</xdr:rowOff>
    </xdr:from>
    <xdr:to>
      <xdr:col>12</xdr:col>
      <xdr:colOff>180974</xdr:colOff>
      <xdr:row>3858</xdr:row>
      <xdr:rowOff>257175</xdr:rowOff>
    </xdr:to>
    <xdr:sp>
      <xdr:nvSpPr>
        <xdr:cNvPr id="1362" name="TextBox 1361"/>
        <xdr:cNvSpPr txBox="1"/>
      </xdr:nvSpPr>
      <xdr:spPr>
        <a:xfrm>
          <a:off x="2359025" y="9211856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3820</xdr:row>
      <xdr:rowOff>19050</xdr:rowOff>
    </xdr:from>
    <xdr:to>
      <xdr:col>4</xdr:col>
      <xdr:colOff>219075</xdr:colOff>
      <xdr:row>3824</xdr:row>
      <xdr:rowOff>271626</xdr:rowOff>
    </xdr:to>
    <xdr:pic>
      <xdr:nvPicPr>
        <xdr:cNvPr id="1363" name="Picture 13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120358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3820</xdr:row>
      <xdr:rowOff>28575</xdr:rowOff>
    </xdr:from>
    <xdr:to>
      <xdr:col>16</xdr:col>
      <xdr:colOff>28575</xdr:colOff>
      <xdr:row>3825</xdr:row>
      <xdr:rowOff>4926</xdr:rowOff>
    </xdr:to>
    <xdr:pic>
      <xdr:nvPicPr>
        <xdr:cNvPr id="1364" name="Picture 13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120454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3856</xdr:row>
      <xdr:rowOff>28575</xdr:rowOff>
    </xdr:from>
    <xdr:to>
      <xdr:col>4</xdr:col>
      <xdr:colOff>171451</xdr:colOff>
      <xdr:row>3860</xdr:row>
      <xdr:rowOff>219075</xdr:rowOff>
    </xdr:to>
    <xdr:pic>
      <xdr:nvPicPr>
        <xdr:cNvPr id="1365" name="Picture 136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207995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3856</xdr:row>
      <xdr:rowOff>38100</xdr:rowOff>
    </xdr:from>
    <xdr:to>
      <xdr:col>15</xdr:col>
      <xdr:colOff>161926</xdr:colOff>
      <xdr:row>3861</xdr:row>
      <xdr:rowOff>0</xdr:rowOff>
    </xdr:to>
    <xdr:pic>
      <xdr:nvPicPr>
        <xdr:cNvPr id="1366" name="Picture 136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208090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3821</xdr:row>
      <xdr:rowOff>85726</xdr:rowOff>
    </xdr:from>
    <xdr:to>
      <xdr:col>13</xdr:col>
      <xdr:colOff>561975</xdr:colOff>
      <xdr:row>3854</xdr:row>
      <xdr:rowOff>66675</xdr:rowOff>
    </xdr:to>
    <xdr:sp>
      <xdr:nvSpPr>
        <xdr:cNvPr id="1367" name="Rectangle 1366"/>
        <xdr:cNvSpPr/>
      </xdr:nvSpPr>
      <xdr:spPr>
        <a:xfrm>
          <a:off x="1016635" y="9122930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3855</xdr:row>
      <xdr:rowOff>76200</xdr:rowOff>
    </xdr:from>
    <xdr:to>
      <xdr:col>11</xdr:col>
      <xdr:colOff>552450</xdr:colOff>
      <xdr:row>3872</xdr:row>
      <xdr:rowOff>247651</xdr:rowOff>
    </xdr:to>
    <xdr:sp>
      <xdr:nvSpPr>
        <xdr:cNvPr id="1368" name="Rectangle 1367"/>
        <xdr:cNvSpPr/>
      </xdr:nvSpPr>
      <xdr:spPr>
        <a:xfrm>
          <a:off x="2530475" y="9207207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3822</xdr:row>
      <xdr:rowOff>0</xdr:rowOff>
    </xdr:from>
    <xdr:to>
      <xdr:col>10</xdr:col>
      <xdr:colOff>561975</xdr:colOff>
      <xdr:row>3823</xdr:row>
      <xdr:rowOff>0</xdr:rowOff>
    </xdr:to>
    <xdr:sp>
      <xdr:nvSpPr>
        <xdr:cNvPr id="1369" name="TextBox 1368"/>
        <xdr:cNvSpPr txBox="1"/>
      </xdr:nvSpPr>
      <xdr:spPr>
        <a:xfrm>
          <a:off x="3109595" y="9124861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3915</xdr:row>
      <xdr:rowOff>9525</xdr:rowOff>
    </xdr:from>
    <xdr:to>
      <xdr:col>12</xdr:col>
      <xdr:colOff>180974</xdr:colOff>
      <xdr:row>3915</xdr:row>
      <xdr:rowOff>257175</xdr:rowOff>
    </xdr:to>
    <xdr:sp>
      <xdr:nvSpPr>
        <xdr:cNvPr id="1370" name="TextBox 1369"/>
        <xdr:cNvSpPr txBox="1"/>
      </xdr:nvSpPr>
      <xdr:spPr>
        <a:xfrm>
          <a:off x="2359025" y="9347968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3877</xdr:row>
      <xdr:rowOff>19050</xdr:rowOff>
    </xdr:from>
    <xdr:to>
      <xdr:col>4</xdr:col>
      <xdr:colOff>219075</xdr:colOff>
      <xdr:row>3881</xdr:row>
      <xdr:rowOff>271626</xdr:rowOff>
    </xdr:to>
    <xdr:pic>
      <xdr:nvPicPr>
        <xdr:cNvPr id="1371" name="Picture 137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256471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3877</xdr:row>
      <xdr:rowOff>28575</xdr:rowOff>
    </xdr:from>
    <xdr:to>
      <xdr:col>16</xdr:col>
      <xdr:colOff>28575</xdr:colOff>
      <xdr:row>3882</xdr:row>
      <xdr:rowOff>4926</xdr:rowOff>
    </xdr:to>
    <xdr:pic>
      <xdr:nvPicPr>
        <xdr:cNvPr id="1372" name="Picture 137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256566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3913</xdr:row>
      <xdr:rowOff>28575</xdr:rowOff>
    </xdr:from>
    <xdr:to>
      <xdr:col>4</xdr:col>
      <xdr:colOff>171451</xdr:colOff>
      <xdr:row>3917</xdr:row>
      <xdr:rowOff>219075</xdr:rowOff>
    </xdr:to>
    <xdr:pic>
      <xdr:nvPicPr>
        <xdr:cNvPr id="1373" name="Picture 137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344107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3913</xdr:row>
      <xdr:rowOff>38100</xdr:rowOff>
    </xdr:from>
    <xdr:to>
      <xdr:col>15</xdr:col>
      <xdr:colOff>161926</xdr:colOff>
      <xdr:row>3918</xdr:row>
      <xdr:rowOff>0</xdr:rowOff>
    </xdr:to>
    <xdr:pic>
      <xdr:nvPicPr>
        <xdr:cNvPr id="1374" name="Picture 137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344202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3878</xdr:row>
      <xdr:rowOff>85726</xdr:rowOff>
    </xdr:from>
    <xdr:to>
      <xdr:col>13</xdr:col>
      <xdr:colOff>561975</xdr:colOff>
      <xdr:row>3911</xdr:row>
      <xdr:rowOff>66675</xdr:rowOff>
    </xdr:to>
    <xdr:sp>
      <xdr:nvSpPr>
        <xdr:cNvPr id="1375" name="Rectangle 1374"/>
        <xdr:cNvSpPr/>
      </xdr:nvSpPr>
      <xdr:spPr>
        <a:xfrm>
          <a:off x="1016635" y="9259042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3912</xdr:row>
      <xdr:rowOff>76200</xdr:rowOff>
    </xdr:from>
    <xdr:to>
      <xdr:col>11</xdr:col>
      <xdr:colOff>552450</xdr:colOff>
      <xdr:row>3929</xdr:row>
      <xdr:rowOff>247651</xdr:rowOff>
    </xdr:to>
    <xdr:sp>
      <xdr:nvSpPr>
        <xdr:cNvPr id="1376" name="Rectangle 1375"/>
        <xdr:cNvSpPr/>
      </xdr:nvSpPr>
      <xdr:spPr>
        <a:xfrm>
          <a:off x="2530475" y="9343320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3879</xdr:row>
      <xdr:rowOff>0</xdr:rowOff>
    </xdr:from>
    <xdr:to>
      <xdr:col>10</xdr:col>
      <xdr:colOff>561975</xdr:colOff>
      <xdr:row>3880</xdr:row>
      <xdr:rowOff>0</xdr:rowOff>
    </xdr:to>
    <xdr:sp>
      <xdr:nvSpPr>
        <xdr:cNvPr id="1377" name="TextBox 1376"/>
        <xdr:cNvSpPr txBox="1"/>
      </xdr:nvSpPr>
      <xdr:spPr>
        <a:xfrm>
          <a:off x="3109595" y="9260973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3972</xdr:row>
      <xdr:rowOff>9525</xdr:rowOff>
    </xdr:from>
    <xdr:to>
      <xdr:col>12</xdr:col>
      <xdr:colOff>180974</xdr:colOff>
      <xdr:row>3972</xdr:row>
      <xdr:rowOff>257175</xdr:rowOff>
    </xdr:to>
    <xdr:sp>
      <xdr:nvSpPr>
        <xdr:cNvPr id="1378" name="TextBox 1377"/>
        <xdr:cNvSpPr txBox="1"/>
      </xdr:nvSpPr>
      <xdr:spPr>
        <a:xfrm>
          <a:off x="2359025" y="9484080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3934</xdr:row>
      <xdr:rowOff>19050</xdr:rowOff>
    </xdr:from>
    <xdr:to>
      <xdr:col>4</xdr:col>
      <xdr:colOff>219075</xdr:colOff>
      <xdr:row>3938</xdr:row>
      <xdr:rowOff>271626</xdr:rowOff>
    </xdr:to>
    <xdr:pic>
      <xdr:nvPicPr>
        <xdr:cNvPr id="1379" name="Picture 13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392583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3934</xdr:row>
      <xdr:rowOff>28575</xdr:rowOff>
    </xdr:from>
    <xdr:to>
      <xdr:col>16</xdr:col>
      <xdr:colOff>28575</xdr:colOff>
      <xdr:row>3939</xdr:row>
      <xdr:rowOff>4926</xdr:rowOff>
    </xdr:to>
    <xdr:pic>
      <xdr:nvPicPr>
        <xdr:cNvPr id="1380" name="Picture 13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392678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3970</xdr:row>
      <xdr:rowOff>28575</xdr:rowOff>
    </xdr:from>
    <xdr:to>
      <xdr:col>4</xdr:col>
      <xdr:colOff>171451</xdr:colOff>
      <xdr:row>3974</xdr:row>
      <xdr:rowOff>219075</xdr:rowOff>
    </xdr:to>
    <xdr:pic>
      <xdr:nvPicPr>
        <xdr:cNvPr id="1381" name="Picture 138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480219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3970</xdr:row>
      <xdr:rowOff>38100</xdr:rowOff>
    </xdr:from>
    <xdr:to>
      <xdr:col>15</xdr:col>
      <xdr:colOff>161926</xdr:colOff>
      <xdr:row>3975</xdr:row>
      <xdr:rowOff>0</xdr:rowOff>
    </xdr:to>
    <xdr:pic>
      <xdr:nvPicPr>
        <xdr:cNvPr id="1382" name="Picture 138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480315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3935</xdr:row>
      <xdr:rowOff>85726</xdr:rowOff>
    </xdr:from>
    <xdr:to>
      <xdr:col>13</xdr:col>
      <xdr:colOff>561975</xdr:colOff>
      <xdr:row>3968</xdr:row>
      <xdr:rowOff>66675</xdr:rowOff>
    </xdr:to>
    <xdr:sp>
      <xdr:nvSpPr>
        <xdr:cNvPr id="1383" name="Rectangle 1382"/>
        <xdr:cNvSpPr/>
      </xdr:nvSpPr>
      <xdr:spPr>
        <a:xfrm>
          <a:off x="1016635" y="9395155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3969</xdr:row>
      <xdr:rowOff>76200</xdr:rowOff>
    </xdr:from>
    <xdr:to>
      <xdr:col>11</xdr:col>
      <xdr:colOff>552450</xdr:colOff>
      <xdr:row>3986</xdr:row>
      <xdr:rowOff>247651</xdr:rowOff>
    </xdr:to>
    <xdr:sp>
      <xdr:nvSpPr>
        <xdr:cNvPr id="1384" name="Rectangle 1383"/>
        <xdr:cNvSpPr/>
      </xdr:nvSpPr>
      <xdr:spPr>
        <a:xfrm>
          <a:off x="2530475" y="9479432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3936</xdr:row>
      <xdr:rowOff>0</xdr:rowOff>
    </xdr:from>
    <xdr:to>
      <xdr:col>10</xdr:col>
      <xdr:colOff>561975</xdr:colOff>
      <xdr:row>3937</xdr:row>
      <xdr:rowOff>0</xdr:rowOff>
    </xdr:to>
    <xdr:sp>
      <xdr:nvSpPr>
        <xdr:cNvPr id="1385" name="TextBox 1384"/>
        <xdr:cNvSpPr txBox="1"/>
      </xdr:nvSpPr>
      <xdr:spPr>
        <a:xfrm>
          <a:off x="3109595" y="9397085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4029</xdr:row>
      <xdr:rowOff>9525</xdr:rowOff>
    </xdr:from>
    <xdr:to>
      <xdr:col>12</xdr:col>
      <xdr:colOff>180974</xdr:colOff>
      <xdr:row>4029</xdr:row>
      <xdr:rowOff>257175</xdr:rowOff>
    </xdr:to>
    <xdr:sp>
      <xdr:nvSpPr>
        <xdr:cNvPr id="1386" name="TextBox 1385"/>
        <xdr:cNvSpPr txBox="1"/>
      </xdr:nvSpPr>
      <xdr:spPr>
        <a:xfrm>
          <a:off x="2359025" y="9620192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3991</xdr:row>
      <xdr:rowOff>19050</xdr:rowOff>
    </xdr:from>
    <xdr:to>
      <xdr:col>4</xdr:col>
      <xdr:colOff>219075</xdr:colOff>
      <xdr:row>3995</xdr:row>
      <xdr:rowOff>271626</xdr:rowOff>
    </xdr:to>
    <xdr:pic>
      <xdr:nvPicPr>
        <xdr:cNvPr id="1387" name="Picture 13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528695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3991</xdr:row>
      <xdr:rowOff>28575</xdr:rowOff>
    </xdr:from>
    <xdr:to>
      <xdr:col>16</xdr:col>
      <xdr:colOff>28575</xdr:colOff>
      <xdr:row>3996</xdr:row>
      <xdr:rowOff>4926</xdr:rowOff>
    </xdr:to>
    <xdr:pic>
      <xdr:nvPicPr>
        <xdr:cNvPr id="1388" name="Picture 13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528790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4027</xdr:row>
      <xdr:rowOff>28575</xdr:rowOff>
    </xdr:from>
    <xdr:to>
      <xdr:col>4</xdr:col>
      <xdr:colOff>171451</xdr:colOff>
      <xdr:row>4031</xdr:row>
      <xdr:rowOff>219075</xdr:rowOff>
    </xdr:to>
    <xdr:pic>
      <xdr:nvPicPr>
        <xdr:cNvPr id="1389" name="Picture 138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616332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4027</xdr:row>
      <xdr:rowOff>38100</xdr:rowOff>
    </xdr:from>
    <xdr:to>
      <xdr:col>15</xdr:col>
      <xdr:colOff>161926</xdr:colOff>
      <xdr:row>4032</xdr:row>
      <xdr:rowOff>0</xdr:rowOff>
    </xdr:to>
    <xdr:pic>
      <xdr:nvPicPr>
        <xdr:cNvPr id="1390" name="Picture 138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616427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3992</xdr:row>
      <xdr:rowOff>85726</xdr:rowOff>
    </xdr:from>
    <xdr:to>
      <xdr:col>13</xdr:col>
      <xdr:colOff>561975</xdr:colOff>
      <xdr:row>4025</xdr:row>
      <xdr:rowOff>66675</xdr:rowOff>
    </xdr:to>
    <xdr:sp>
      <xdr:nvSpPr>
        <xdr:cNvPr id="1391" name="Rectangle 1390"/>
        <xdr:cNvSpPr/>
      </xdr:nvSpPr>
      <xdr:spPr>
        <a:xfrm>
          <a:off x="1016635" y="9531267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4026</xdr:row>
      <xdr:rowOff>76200</xdr:rowOff>
    </xdr:from>
    <xdr:to>
      <xdr:col>11</xdr:col>
      <xdr:colOff>552450</xdr:colOff>
      <xdr:row>4043</xdr:row>
      <xdr:rowOff>247651</xdr:rowOff>
    </xdr:to>
    <xdr:sp>
      <xdr:nvSpPr>
        <xdr:cNvPr id="1392" name="Rectangle 1391"/>
        <xdr:cNvSpPr/>
      </xdr:nvSpPr>
      <xdr:spPr>
        <a:xfrm>
          <a:off x="2530475" y="9615544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3993</xdr:row>
      <xdr:rowOff>0</xdr:rowOff>
    </xdr:from>
    <xdr:to>
      <xdr:col>10</xdr:col>
      <xdr:colOff>561975</xdr:colOff>
      <xdr:row>3994</xdr:row>
      <xdr:rowOff>0</xdr:rowOff>
    </xdr:to>
    <xdr:sp>
      <xdr:nvSpPr>
        <xdr:cNvPr id="1393" name="TextBox 1392"/>
        <xdr:cNvSpPr txBox="1"/>
      </xdr:nvSpPr>
      <xdr:spPr>
        <a:xfrm>
          <a:off x="3109595" y="9533197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4086</xdr:row>
      <xdr:rowOff>9525</xdr:rowOff>
    </xdr:from>
    <xdr:to>
      <xdr:col>12</xdr:col>
      <xdr:colOff>180974</xdr:colOff>
      <xdr:row>4086</xdr:row>
      <xdr:rowOff>257175</xdr:rowOff>
    </xdr:to>
    <xdr:sp>
      <xdr:nvSpPr>
        <xdr:cNvPr id="1394" name="TextBox 1393"/>
        <xdr:cNvSpPr txBox="1"/>
      </xdr:nvSpPr>
      <xdr:spPr>
        <a:xfrm>
          <a:off x="2359025" y="9756305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4048</xdr:row>
      <xdr:rowOff>19050</xdr:rowOff>
    </xdr:from>
    <xdr:to>
      <xdr:col>4</xdr:col>
      <xdr:colOff>219075</xdr:colOff>
      <xdr:row>4052</xdr:row>
      <xdr:rowOff>271626</xdr:rowOff>
    </xdr:to>
    <xdr:pic>
      <xdr:nvPicPr>
        <xdr:cNvPr id="1395" name="Picture 13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664807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4048</xdr:row>
      <xdr:rowOff>28575</xdr:rowOff>
    </xdr:from>
    <xdr:to>
      <xdr:col>16</xdr:col>
      <xdr:colOff>28575</xdr:colOff>
      <xdr:row>4053</xdr:row>
      <xdr:rowOff>4926</xdr:rowOff>
    </xdr:to>
    <xdr:pic>
      <xdr:nvPicPr>
        <xdr:cNvPr id="1396" name="Picture 13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664903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4084</xdr:row>
      <xdr:rowOff>28575</xdr:rowOff>
    </xdr:from>
    <xdr:to>
      <xdr:col>4</xdr:col>
      <xdr:colOff>171451</xdr:colOff>
      <xdr:row>4088</xdr:row>
      <xdr:rowOff>219075</xdr:rowOff>
    </xdr:to>
    <xdr:pic>
      <xdr:nvPicPr>
        <xdr:cNvPr id="1397" name="Picture 139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752444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4084</xdr:row>
      <xdr:rowOff>38100</xdr:rowOff>
    </xdr:from>
    <xdr:to>
      <xdr:col>15</xdr:col>
      <xdr:colOff>161926</xdr:colOff>
      <xdr:row>4089</xdr:row>
      <xdr:rowOff>0</xdr:rowOff>
    </xdr:to>
    <xdr:pic>
      <xdr:nvPicPr>
        <xdr:cNvPr id="1398" name="Picture 13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752539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4049</xdr:row>
      <xdr:rowOff>85726</xdr:rowOff>
    </xdr:from>
    <xdr:to>
      <xdr:col>13</xdr:col>
      <xdr:colOff>561975</xdr:colOff>
      <xdr:row>4082</xdr:row>
      <xdr:rowOff>66675</xdr:rowOff>
    </xdr:to>
    <xdr:sp>
      <xdr:nvSpPr>
        <xdr:cNvPr id="1399" name="Rectangle 1398"/>
        <xdr:cNvSpPr/>
      </xdr:nvSpPr>
      <xdr:spPr>
        <a:xfrm>
          <a:off x="1016635" y="9667379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4083</xdr:row>
      <xdr:rowOff>76200</xdr:rowOff>
    </xdr:from>
    <xdr:to>
      <xdr:col>11</xdr:col>
      <xdr:colOff>552450</xdr:colOff>
      <xdr:row>4100</xdr:row>
      <xdr:rowOff>247651</xdr:rowOff>
    </xdr:to>
    <xdr:sp>
      <xdr:nvSpPr>
        <xdr:cNvPr id="1400" name="Rectangle 1399"/>
        <xdr:cNvSpPr/>
      </xdr:nvSpPr>
      <xdr:spPr>
        <a:xfrm>
          <a:off x="2530475" y="9751656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4050</xdr:row>
      <xdr:rowOff>0</xdr:rowOff>
    </xdr:from>
    <xdr:to>
      <xdr:col>10</xdr:col>
      <xdr:colOff>561975</xdr:colOff>
      <xdr:row>4051</xdr:row>
      <xdr:rowOff>0</xdr:rowOff>
    </xdr:to>
    <xdr:sp>
      <xdr:nvSpPr>
        <xdr:cNvPr id="1401" name="TextBox 1400"/>
        <xdr:cNvSpPr txBox="1"/>
      </xdr:nvSpPr>
      <xdr:spPr>
        <a:xfrm>
          <a:off x="3109595" y="9669310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4143</xdr:row>
      <xdr:rowOff>9525</xdr:rowOff>
    </xdr:from>
    <xdr:to>
      <xdr:col>12</xdr:col>
      <xdr:colOff>180974</xdr:colOff>
      <xdr:row>4143</xdr:row>
      <xdr:rowOff>257175</xdr:rowOff>
    </xdr:to>
    <xdr:sp>
      <xdr:nvSpPr>
        <xdr:cNvPr id="1402" name="TextBox 1401"/>
        <xdr:cNvSpPr txBox="1"/>
      </xdr:nvSpPr>
      <xdr:spPr>
        <a:xfrm>
          <a:off x="2359025" y="9892417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4105</xdr:row>
      <xdr:rowOff>19050</xdr:rowOff>
    </xdr:from>
    <xdr:to>
      <xdr:col>4</xdr:col>
      <xdr:colOff>219075</xdr:colOff>
      <xdr:row>4109</xdr:row>
      <xdr:rowOff>271626</xdr:rowOff>
    </xdr:to>
    <xdr:pic>
      <xdr:nvPicPr>
        <xdr:cNvPr id="1403" name="Picture 14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800920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4105</xdr:row>
      <xdr:rowOff>28575</xdr:rowOff>
    </xdr:from>
    <xdr:to>
      <xdr:col>16</xdr:col>
      <xdr:colOff>28575</xdr:colOff>
      <xdr:row>4110</xdr:row>
      <xdr:rowOff>4926</xdr:rowOff>
    </xdr:to>
    <xdr:pic>
      <xdr:nvPicPr>
        <xdr:cNvPr id="1404" name="Picture 14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801015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4141</xdr:row>
      <xdr:rowOff>28575</xdr:rowOff>
    </xdr:from>
    <xdr:to>
      <xdr:col>4</xdr:col>
      <xdr:colOff>171451</xdr:colOff>
      <xdr:row>4145</xdr:row>
      <xdr:rowOff>219075</xdr:rowOff>
    </xdr:to>
    <xdr:pic>
      <xdr:nvPicPr>
        <xdr:cNvPr id="1405" name="Picture 140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9888556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4141</xdr:row>
      <xdr:rowOff>38100</xdr:rowOff>
    </xdr:from>
    <xdr:to>
      <xdr:col>15</xdr:col>
      <xdr:colOff>161926</xdr:colOff>
      <xdr:row>4146</xdr:row>
      <xdr:rowOff>0</xdr:rowOff>
    </xdr:to>
    <xdr:pic>
      <xdr:nvPicPr>
        <xdr:cNvPr id="1406" name="Picture 140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9888651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4106</xdr:row>
      <xdr:rowOff>85726</xdr:rowOff>
    </xdr:from>
    <xdr:to>
      <xdr:col>13</xdr:col>
      <xdr:colOff>561975</xdr:colOff>
      <xdr:row>4139</xdr:row>
      <xdr:rowOff>66675</xdr:rowOff>
    </xdr:to>
    <xdr:sp>
      <xdr:nvSpPr>
        <xdr:cNvPr id="1407" name="Rectangle 1406"/>
        <xdr:cNvSpPr/>
      </xdr:nvSpPr>
      <xdr:spPr>
        <a:xfrm>
          <a:off x="1016635" y="9803491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4140</xdr:row>
      <xdr:rowOff>76200</xdr:rowOff>
    </xdr:from>
    <xdr:to>
      <xdr:col>11</xdr:col>
      <xdr:colOff>552450</xdr:colOff>
      <xdr:row>4157</xdr:row>
      <xdr:rowOff>247651</xdr:rowOff>
    </xdr:to>
    <xdr:sp>
      <xdr:nvSpPr>
        <xdr:cNvPr id="1408" name="Rectangle 1407"/>
        <xdr:cNvSpPr/>
      </xdr:nvSpPr>
      <xdr:spPr>
        <a:xfrm>
          <a:off x="2530475" y="9887769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4107</xdr:row>
      <xdr:rowOff>0</xdr:rowOff>
    </xdr:from>
    <xdr:to>
      <xdr:col>10</xdr:col>
      <xdr:colOff>561975</xdr:colOff>
      <xdr:row>4108</xdr:row>
      <xdr:rowOff>0</xdr:rowOff>
    </xdr:to>
    <xdr:sp>
      <xdr:nvSpPr>
        <xdr:cNvPr id="1409" name="TextBox 1408"/>
        <xdr:cNvSpPr txBox="1"/>
      </xdr:nvSpPr>
      <xdr:spPr>
        <a:xfrm>
          <a:off x="3109595" y="9805422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4200</xdr:row>
      <xdr:rowOff>9525</xdr:rowOff>
    </xdr:from>
    <xdr:to>
      <xdr:col>12</xdr:col>
      <xdr:colOff>180974</xdr:colOff>
      <xdr:row>4200</xdr:row>
      <xdr:rowOff>257175</xdr:rowOff>
    </xdr:to>
    <xdr:sp>
      <xdr:nvSpPr>
        <xdr:cNvPr id="1410" name="TextBox 1409"/>
        <xdr:cNvSpPr txBox="1"/>
      </xdr:nvSpPr>
      <xdr:spPr>
        <a:xfrm>
          <a:off x="2359025" y="10028529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4162</xdr:row>
      <xdr:rowOff>19050</xdr:rowOff>
    </xdr:from>
    <xdr:to>
      <xdr:col>4</xdr:col>
      <xdr:colOff>219075</xdr:colOff>
      <xdr:row>4166</xdr:row>
      <xdr:rowOff>271626</xdr:rowOff>
    </xdr:to>
    <xdr:pic>
      <xdr:nvPicPr>
        <xdr:cNvPr id="1411" name="Picture 14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9937032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4162</xdr:row>
      <xdr:rowOff>28575</xdr:rowOff>
    </xdr:from>
    <xdr:to>
      <xdr:col>16</xdr:col>
      <xdr:colOff>28575</xdr:colOff>
      <xdr:row>4167</xdr:row>
      <xdr:rowOff>4926</xdr:rowOff>
    </xdr:to>
    <xdr:pic>
      <xdr:nvPicPr>
        <xdr:cNvPr id="1412" name="Picture 14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9937127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4198</xdr:row>
      <xdr:rowOff>28575</xdr:rowOff>
    </xdr:from>
    <xdr:to>
      <xdr:col>4</xdr:col>
      <xdr:colOff>171451</xdr:colOff>
      <xdr:row>4202</xdr:row>
      <xdr:rowOff>219075</xdr:rowOff>
    </xdr:to>
    <xdr:pic>
      <xdr:nvPicPr>
        <xdr:cNvPr id="1413" name="Picture 141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024668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4198</xdr:row>
      <xdr:rowOff>38100</xdr:rowOff>
    </xdr:from>
    <xdr:to>
      <xdr:col>15</xdr:col>
      <xdr:colOff>161926</xdr:colOff>
      <xdr:row>4203</xdr:row>
      <xdr:rowOff>0</xdr:rowOff>
    </xdr:to>
    <xdr:pic>
      <xdr:nvPicPr>
        <xdr:cNvPr id="1414" name="Picture 141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024764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4163</xdr:row>
      <xdr:rowOff>85726</xdr:rowOff>
    </xdr:from>
    <xdr:to>
      <xdr:col>13</xdr:col>
      <xdr:colOff>561975</xdr:colOff>
      <xdr:row>4196</xdr:row>
      <xdr:rowOff>66675</xdr:rowOff>
    </xdr:to>
    <xdr:sp>
      <xdr:nvSpPr>
        <xdr:cNvPr id="1415" name="Rectangle 1414"/>
        <xdr:cNvSpPr/>
      </xdr:nvSpPr>
      <xdr:spPr>
        <a:xfrm>
          <a:off x="1016635" y="9939604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4197</xdr:row>
      <xdr:rowOff>76200</xdr:rowOff>
    </xdr:from>
    <xdr:to>
      <xdr:col>11</xdr:col>
      <xdr:colOff>552450</xdr:colOff>
      <xdr:row>4214</xdr:row>
      <xdr:rowOff>247651</xdr:rowOff>
    </xdr:to>
    <xdr:sp>
      <xdr:nvSpPr>
        <xdr:cNvPr id="1416" name="Rectangle 1415"/>
        <xdr:cNvSpPr/>
      </xdr:nvSpPr>
      <xdr:spPr>
        <a:xfrm>
          <a:off x="2530475" y="10023881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4164</xdr:row>
      <xdr:rowOff>0</xdr:rowOff>
    </xdr:from>
    <xdr:to>
      <xdr:col>10</xdr:col>
      <xdr:colOff>561975</xdr:colOff>
      <xdr:row>4165</xdr:row>
      <xdr:rowOff>0</xdr:rowOff>
    </xdr:to>
    <xdr:sp>
      <xdr:nvSpPr>
        <xdr:cNvPr id="1417" name="TextBox 1416"/>
        <xdr:cNvSpPr txBox="1"/>
      </xdr:nvSpPr>
      <xdr:spPr>
        <a:xfrm>
          <a:off x="3109595" y="9941534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4257</xdr:row>
      <xdr:rowOff>9525</xdr:rowOff>
    </xdr:from>
    <xdr:to>
      <xdr:col>12</xdr:col>
      <xdr:colOff>180974</xdr:colOff>
      <xdr:row>4257</xdr:row>
      <xdr:rowOff>257175</xdr:rowOff>
    </xdr:to>
    <xdr:sp>
      <xdr:nvSpPr>
        <xdr:cNvPr id="1418" name="TextBox 1417"/>
        <xdr:cNvSpPr txBox="1"/>
      </xdr:nvSpPr>
      <xdr:spPr>
        <a:xfrm>
          <a:off x="2359025" y="10164641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4219</xdr:row>
      <xdr:rowOff>19050</xdr:rowOff>
    </xdr:from>
    <xdr:to>
      <xdr:col>4</xdr:col>
      <xdr:colOff>219075</xdr:colOff>
      <xdr:row>4223</xdr:row>
      <xdr:rowOff>271626</xdr:rowOff>
    </xdr:to>
    <xdr:pic>
      <xdr:nvPicPr>
        <xdr:cNvPr id="1419" name="Picture 14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073144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4219</xdr:row>
      <xdr:rowOff>28575</xdr:rowOff>
    </xdr:from>
    <xdr:to>
      <xdr:col>16</xdr:col>
      <xdr:colOff>28575</xdr:colOff>
      <xdr:row>4224</xdr:row>
      <xdr:rowOff>4926</xdr:rowOff>
    </xdr:to>
    <xdr:pic>
      <xdr:nvPicPr>
        <xdr:cNvPr id="1420" name="Picture 14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073239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4255</xdr:row>
      <xdr:rowOff>28575</xdr:rowOff>
    </xdr:from>
    <xdr:to>
      <xdr:col>4</xdr:col>
      <xdr:colOff>171451</xdr:colOff>
      <xdr:row>4259</xdr:row>
      <xdr:rowOff>219075</xdr:rowOff>
    </xdr:to>
    <xdr:pic>
      <xdr:nvPicPr>
        <xdr:cNvPr id="1421" name="Picture 142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160781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4255</xdr:row>
      <xdr:rowOff>38100</xdr:rowOff>
    </xdr:from>
    <xdr:to>
      <xdr:col>15</xdr:col>
      <xdr:colOff>161926</xdr:colOff>
      <xdr:row>4260</xdr:row>
      <xdr:rowOff>0</xdr:rowOff>
    </xdr:to>
    <xdr:pic>
      <xdr:nvPicPr>
        <xdr:cNvPr id="1422" name="Picture 14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160876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4220</xdr:row>
      <xdr:rowOff>85726</xdr:rowOff>
    </xdr:from>
    <xdr:to>
      <xdr:col>13</xdr:col>
      <xdr:colOff>561975</xdr:colOff>
      <xdr:row>4253</xdr:row>
      <xdr:rowOff>66675</xdr:rowOff>
    </xdr:to>
    <xdr:sp>
      <xdr:nvSpPr>
        <xdr:cNvPr id="1423" name="Rectangle 1422"/>
        <xdr:cNvSpPr/>
      </xdr:nvSpPr>
      <xdr:spPr>
        <a:xfrm>
          <a:off x="1016635" y="10075716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4254</xdr:row>
      <xdr:rowOff>76200</xdr:rowOff>
    </xdr:from>
    <xdr:to>
      <xdr:col>11</xdr:col>
      <xdr:colOff>552450</xdr:colOff>
      <xdr:row>4271</xdr:row>
      <xdr:rowOff>247651</xdr:rowOff>
    </xdr:to>
    <xdr:sp>
      <xdr:nvSpPr>
        <xdr:cNvPr id="1424" name="Rectangle 1423"/>
        <xdr:cNvSpPr/>
      </xdr:nvSpPr>
      <xdr:spPr>
        <a:xfrm>
          <a:off x="2530475" y="10159993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4221</xdr:row>
      <xdr:rowOff>0</xdr:rowOff>
    </xdr:from>
    <xdr:to>
      <xdr:col>10</xdr:col>
      <xdr:colOff>561975</xdr:colOff>
      <xdr:row>4222</xdr:row>
      <xdr:rowOff>0</xdr:rowOff>
    </xdr:to>
    <xdr:sp>
      <xdr:nvSpPr>
        <xdr:cNvPr id="1425" name="TextBox 1424"/>
        <xdr:cNvSpPr txBox="1"/>
      </xdr:nvSpPr>
      <xdr:spPr>
        <a:xfrm>
          <a:off x="3109595" y="10077646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4314</xdr:row>
      <xdr:rowOff>9525</xdr:rowOff>
    </xdr:from>
    <xdr:to>
      <xdr:col>12</xdr:col>
      <xdr:colOff>180974</xdr:colOff>
      <xdr:row>4314</xdr:row>
      <xdr:rowOff>257175</xdr:rowOff>
    </xdr:to>
    <xdr:sp>
      <xdr:nvSpPr>
        <xdr:cNvPr id="1426" name="TextBox 1425"/>
        <xdr:cNvSpPr txBox="1"/>
      </xdr:nvSpPr>
      <xdr:spPr>
        <a:xfrm>
          <a:off x="2359025" y="10300754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4276</xdr:row>
      <xdr:rowOff>19050</xdr:rowOff>
    </xdr:from>
    <xdr:to>
      <xdr:col>4</xdr:col>
      <xdr:colOff>219075</xdr:colOff>
      <xdr:row>4280</xdr:row>
      <xdr:rowOff>271626</xdr:rowOff>
    </xdr:to>
    <xdr:pic>
      <xdr:nvPicPr>
        <xdr:cNvPr id="1427" name="Picture 142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209256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4276</xdr:row>
      <xdr:rowOff>28575</xdr:rowOff>
    </xdr:from>
    <xdr:to>
      <xdr:col>16</xdr:col>
      <xdr:colOff>28575</xdr:colOff>
      <xdr:row>4281</xdr:row>
      <xdr:rowOff>4926</xdr:rowOff>
    </xdr:to>
    <xdr:pic>
      <xdr:nvPicPr>
        <xdr:cNvPr id="1428" name="Picture 142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209352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4312</xdr:row>
      <xdr:rowOff>28575</xdr:rowOff>
    </xdr:from>
    <xdr:to>
      <xdr:col>4</xdr:col>
      <xdr:colOff>171451</xdr:colOff>
      <xdr:row>4316</xdr:row>
      <xdr:rowOff>219075</xdr:rowOff>
    </xdr:to>
    <xdr:pic>
      <xdr:nvPicPr>
        <xdr:cNvPr id="1429" name="Picture 142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296893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4312</xdr:row>
      <xdr:rowOff>38100</xdr:rowOff>
    </xdr:from>
    <xdr:to>
      <xdr:col>15</xdr:col>
      <xdr:colOff>161926</xdr:colOff>
      <xdr:row>4317</xdr:row>
      <xdr:rowOff>0</xdr:rowOff>
    </xdr:to>
    <xdr:pic>
      <xdr:nvPicPr>
        <xdr:cNvPr id="1430" name="Picture 142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296988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4277</xdr:row>
      <xdr:rowOff>85726</xdr:rowOff>
    </xdr:from>
    <xdr:to>
      <xdr:col>13</xdr:col>
      <xdr:colOff>561975</xdr:colOff>
      <xdr:row>4310</xdr:row>
      <xdr:rowOff>66675</xdr:rowOff>
    </xdr:to>
    <xdr:sp>
      <xdr:nvSpPr>
        <xdr:cNvPr id="1431" name="Rectangle 1430"/>
        <xdr:cNvSpPr/>
      </xdr:nvSpPr>
      <xdr:spPr>
        <a:xfrm>
          <a:off x="1016635" y="10211828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4311</xdr:row>
      <xdr:rowOff>76200</xdr:rowOff>
    </xdr:from>
    <xdr:to>
      <xdr:col>11</xdr:col>
      <xdr:colOff>552450</xdr:colOff>
      <xdr:row>4328</xdr:row>
      <xdr:rowOff>247651</xdr:rowOff>
    </xdr:to>
    <xdr:sp>
      <xdr:nvSpPr>
        <xdr:cNvPr id="1432" name="Rectangle 1431"/>
        <xdr:cNvSpPr/>
      </xdr:nvSpPr>
      <xdr:spPr>
        <a:xfrm>
          <a:off x="2530475" y="10296105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4278</xdr:row>
      <xdr:rowOff>0</xdr:rowOff>
    </xdr:from>
    <xdr:to>
      <xdr:col>10</xdr:col>
      <xdr:colOff>561975</xdr:colOff>
      <xdr:row>4279</xdr:row>
      <xdr:rowOff>0</xdr:rowOff>
    </xdr:to>
    <xdr:sp>
      <xdr:nvSpPr>
        <xdr:cNvPr id="1433" name="TextBox 1432"/>
        <xdr:cNvSpPr txBox="1"/>
      </xdr:nvSpPr>
      <xdr:spPr>
        <a:xfrm>
          <a:off x="3109595" y="10213759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4371</xdr:row>
      <xdr:rowOff>9525</xdr:rowOff>
    </xdr:from>
    <xdr:to>
      <xdr:col>12</xdr:col>
      <xdr:colOff>180974</xdr:colOff>
      <xdr:row>4371</xdr:row>
      <xdr:rowOff>257175</xdr:rowOff>
    </xdr:to>
    <xdr:sp>
      <xdr:nvSpPr>
        <xdr:cNvPr id="1434" name="TextBox 1433"/>
        <xdr:cNvSpPr txBox="1"/>
      </xdr:nvSpPr>
      <xdr:spPr>
        <a:xfrm>
          <a:off x="2359025" y="10436866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4333</xdr:row>
      <xdr:rowOff>19050</xdr:rowOff>
    </xdr:from>
    <xdr:to>
      <xdr:col>4</xdr:col>
      <xdr:colOff>219075</xdr:colOff>
      <xdr:row>4337</xdr:row>
      <xdr:rowOff>271626</xdr:rowOff>
    </xdr:to>
    <xdr:pic>
      <xdr:nvPicPr>
        <xdr:cNvPr id="1435" name="Picture 143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345369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4333</xdr:row>
      <xdr:rowOff>28575</xdr:rowOff>
    </xdr:from>
    <xdr:to>
      <xdr:col>16</xdr:col>
      <xdr:colOff>28575</xdr:colOff>
      <xdr:row>4338</xdr:row>
      <xdr:rowOff>4926</xdr:rowOff>
    </xdr:to>
    <xdr:pic>
      <xdr:nvPicPr>
        <xdr:cNvPr id="1436" name="Picture 143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345464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4369</xdr:row>
      <xdr:rowOff>28575</xdr:rowOff>
    </xdr:from>
    <xdr:to>
      <xdr:col>4</xdr:col>
      <xdr:colOff>171451</xdr:colOff>
      <xdr:row>4373</xdr:row>
      <xdr:rowOff>219075</xdr:rowOff>
    </xdr:to>
    <xdr:pic>
      <xdr:nvPicPr>
        <xdr:cNvPr id="1437" name="Picture 143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433005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4369</xdr:row>
      <xdr:rowOff>38100</xdr:rowOff>
    </xdr:from>
    <xdr:to>
      <xdr:col>15</xdr:col>
      <xdr:colOff>161926</xdr:colOff>
      <xdr:row>4374</xdr:row>
      <xdr:rowOff>0</xdr:rowOff>
    </xdr:to>
    <xdr:pic>
      <xdr:nvPicPr>
        <xdr:cNvPr id="1438" name="Picture 143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433100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4334</xdr:row>
      <xdr:rowOff>85726</xdr:rowOff>
    </xdr:from>
    <xdr:to>
      <xdr:col>13</xdr:col>
      <xdr:colOff>561975</xdr:colOff>
      <xdr:row>4367</xdr:row>
      <xdr:rowOff>66675</xdr:rowOff>
    </xdr:to>
    <xdr:sp>
      <xdr:nvSpPr>
        <xdr:cNvPr id="1439" name="Rectangle 1438"/>
        <xdr:cNvSpPr/>
      </xdr:nvSpPr>
      <xdr:spPr>
        <a:xfrm>
          <a:off x="1016635" y="10347940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4368</xdr:row>
      <xdr:rowOff>76200</xdr:rowOff>
    </xdr:from>
    <xdr:to>
      <xdr:col>11</xdr:col>
      <xdr:colOff>552450</xdr:colOff>
      <xdr:row>4385</xdr:row>
      <xdr:rowOff>247651</xdr:rowOff>
    </xdr:to>
    <xdr:sp>
      <xdr:nvSpPr>
        <xdr:cNvPr id="1440" name="Rectangle 1439"/>
        <xdr:cNvSpPr/>
      </xdr:nvSpPr>
      <xdr:spPr>
        <a:xfrm>
          <a:off x="2530475" y="10432218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4335</xdr:row>
      <xdr:rowOff>0</xdr:rowOff>
    </xdr:from>
    <xdr:to>
      <xdr:col>10</xdr:col>
      <xdr:colOff>561975</xdr:colOff>
      <xdr:row>4336</xdr:row>
      <xdr:rowOff>0</xdr:rowOff>
    </xdr:to>
    <xdr:sp>
      <xdr:nvSpPr>
        <xdr:cNvPr id="1441" name="TextBox 1440"/>
        <xdr:cNvSpPr txBox="1"/>
      </xdr:nvSpPr>
      <xdr:spPr>
        <a:xfrm>
          <a:off x="3109595" y="10349871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4428</xdr:row>
      <xdr:rowOff>9525</xdr:rowOff>
    </xdr:from>
    <xdr:to>
      <xdr:col>12</xdr:col>
      <xdr:colOff>180974</xdr:colOff>
      <xdr:row>4428</xdr:row>
      <xdr:rowOff>257175</xdr:rowOff>
    </xdr:to>
    <xdr:sp>
      <xdr:nvSpPr>
        <xdr:cNvPr id="1442" name="TextBox 1441"/>
        <xdr:cNvSpPr txBox="1"/>
      </xdr:nvSpPr>
      <xdr:spPr>
        <a:xfrm>
          <a:off x="2359025" y="10572978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4390</xdr:row>
      <xdr:rowOff>19050</xdr:rowOff>
    </xdr:from>
    <xdr:to>
      <xdr:col>4</xdr:col>
      <xdr:colOff>219075</xdr:colOff>
      <xdr:row>4394</xdr:row>
      <xdr:rowOff>271626</xdr:rowOff>
    </xdr:to>
    <xdr:pic>
      <xdr:nvPicPr>
        <xdr:cNvPr id="1443" name="Picture 144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481481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4390</xdr:row>
      <xdr:rowOff>28575</xdr:rowOff>
    </xdr:from>
    <xdr:to>
      <xdr:col>16</xdr:col>
      <xdr:colOff>28575</xdr:colOff>
      <xdr:row>4395</xdr:row>
      <xdr:rowOff>4926</xdr:rowOff>
    </xdr:to>
    <xdr:pic>
      <xdr:nvPicPr>
        <xdr:cNvPr id="1444" name="Picture 144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481576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4426</xdr:row>
      <xdr:rowOff>28575</xdr:rowOff>
    </xdr:from>
    <xdr:to>
      <xdr:col>4</xdr:col>
      <xdr:colOff>171451</xdr:colOff>
      <xdr:row>4430</xdr:row>
      <xdr:rowOff>219075</xdr:rowOff>
    </xdr:to>
    <xdr:pic>
      <xdr:nvPicPr>
        <xdr:cNvPr id="1445" name="Picture 144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569117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4426</xdr:row>
      <xdr:rowOff>38100</xdr:rowOff>
    </xdr:from>
    <xdr:to>
      <xdr:col>15</xdr:col>
      <xdr:colOff>161926</xdr:colOff>
      <xdr:row>4431</xdr:row>
      <xdr:rowOff>0</xdr:rowOff>
    </xdr:to>
    <xdr:pic>
      <xdr:nvPicPr>
        <xdr:cNvPr id="1446" name="Picture 144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569213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4391</xdr:row>
      <xdr:rowOff>85726</xdr:rowOff>
    </xdr:from>
    <xdr:to>
      <xdr:col>13</xdr:col>
      <xdr:colOff>561975</xdr:colOff>
      <xdr:row>4424</xdr:row>
      <xdr:rowOff>66675</xdr:rowOff>
    </xdr:to>
    <xdr:sp>
      <xdr:nvSpPr>
        <xdr:cNvPr id="1447" name="Rectangle 1446"/>
        <xdr:cNvSpPr/>
      </xdr:nvSpPr>
      <xdr:spPr>
        <a:xfrm>
          <a:off x="1016635" y="10484053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4425</xdr:row>
      <xdr:rowOff>76200</xdr:rowOff>
    </xdr:from>
    <xdr:to>
      <xdr:col>11</xdr:col>
      <xdr:colOff>552450</xdr:colOff>
      <xdr:row>4442</xdr:row>
      <xdr:rowOff>247651</xdr:rowOff>
    </xdr:to>
    <xdr:sp>
      <xdr:nvSpPr>
        <xdr:cNvPr id="1448" name="Rectangle 1447"/>
        <xdr:cNvSpPr/>
      </xdr:nvSpPr>
      <xdr:spPr>
        <a:xfrm>
          <a:off x="2530475" y="10568330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4392</xdr:row>
      <xdr:rowOff>0</xdr:rowOff>
    </xdr:from>
    <xdr:to>
      <xdr:col>10</xdr:col>
      <xdr:colOff>561975</xdr:colOff>
      <xdr:row>4393</xdr:row>
      <xdr:rowOff>0</xdr:rowOff>
    </xdr:to>
    <xdr:sp>
      <xdr:nvSpPr>
        <xdr:cNvPr id="1449" name="TextBox 1448"/>
        <xdr:cNvSpPr txBox="1"/>
      </xdr:nvSpPr>
      <xdr:spPr>
        <a:xfrm>
          <a:off x="3109595" y="10485983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4485</xdr:row>
      <xdr:rowOff>9525</xdr:rowOff>
    </xdr:from>
    <xdr:to>
      <xdr:col>12</xdr:col>
      <xdr:colOff>180974</xdr:colOff>
      <xdr:row>4485</xdr:row>
      <xdr:rowOff>257175</xdr:rowOff>
    </xdr:to>
    <xdr:sp>
      <xdr:nvSpPr>
        <xdr:cNvPr id="1450" name="TextBox 1449"/>
        <xdr:cNvSpPr txBox="1"/>
      </xdr:nvSpPr>
      <xdr:spPr>
        <a:xfrm>
          <a:off x="2359025" y="10709090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4447</xdr:row>
      <xdr:rowOff>19050</xdr:rowOff>
    </xdr:from>
    <xdr:to>
      <xdr:col>4</xdr:col>
      <xdr:colOff>219075</xdr:colOff>
      <xdr:row>4451</xdr:row>
      <xdr:rowOff>271626</xdr:rowOff>
    </xdr:to>
    <xdr:pic>
      <xdr:nvPicPr>
        <xdr:cNvPr id="1451" name="Picture 145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617593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4447</xdr:row>
      <xdr:rowOff>28575</xdr:rowOff>
    </xdr:from>
    <xdr:to>
      <xdr:col>16</xdr:col>
      <xdr:colOff>28575</xdr:colOff>
      <xdr:row>4452</xdr:row>
      <xdr:rowOff>4926</xdr:rowOff>
    </xdr:to>
    <xdr:pic>
      <xdr:nvPicPr>
        <xdr:cNvPr id="1452" name="Picture 145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617688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4483</xdr:row>
      <xdr:rowOff>28575</xdr:rowOff>
    </xdr:from>
    <xdr:to>
      <xdr:col>4</xdr:col>
      <xdr:colOff>171451</xdr:colOff>
      <xdr:row>4487</xdr:row>
      <xdr:rowOff>219075</xdr:rowOff>
    </xdr:to>
    <xdr:pic>
      <xdr:nvPicPr>
        <xdr:cNvPr id="1453" name="Picture 145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705230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4483</xdr:row>
      <xdr:rowOff>38100</xdr:rowOff>
    </xdr:from>
    <xdr:to>
      <xdr:col>15</xdr:col>
      <xdr:colOff>161926</xdr:colOff>
      <xdr:row>4488</xdr:row>
      <xdr:rowOff>0</xdr:rowOff>
    </xdr:to>
    <xdr:pic>
      <xdr:nvPicPr>
        <xdr:cNvPr id="1454" name="Picture 145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705325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4448</xdr:row>
      <xdr:rowOff>85726</xdr:rowOff>
    </xdr:from>
    <xdr:to>
      <xdr:col>13</xdr:col>
      <xdr:colOff>561975</xdr:colOff>
      <xdr:row>4481</xdr:row>
      <xdr:rowOff>66675</xdr:rowOff>
    </xdr:to>
    <xdr:sp>
      <xdr:nvSpPr>
        <xdr:cNvPr id="1455" name="Rectangle 1454"/>
        <xdr:cNvSpPr/>
      </xdr:nvSpPr>
      <xdr:spPr>
        <a:xfrm>
          <a:off x="1016635" y="10620165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4482</xdr:row>
      <xdr:rowOff>76200</xdr:rowOff>
    </xdr:from>
    <xdr:to>
      <xdr:col>11</xdr:col>
      <xdr:colOff>552450</xdr:colOff>
      <xdr:row>4499</xdr:row>
      <xdr:rowOff>247651</xdr:rowOff>
    </xdr:to>
    <xdr:sp>
      <xdr:nvSpPr>
        <xdr:cNvPr id="1456" name="Rectangle 1455"/>
        <xdr:cNvSpPr/>
      </xdr:nvSpPr>
      <xdr:spPr>
        <a:xfrm>
          <a:off x="2530475" y="10704442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4449</xdr:row>
      <xdr:rowOff>0</xdr:rowOff>
    </xdr:from>
    <xdr:to>
      <xdr:col>10</xdr:col>
      <xdr:colOff>561975</xdr:colOff>
      <xdr:row>4450</xdr:row>
      <xdr:rowOff>0</xdr:rowOff>
    </xdr:to>
    <xdr:sp>
      <xdr:nvSpPr>
        <xdr:cNvPr id="1457" name="TextBox 1456"/>
        <xdr:cNvSpPr txBox="1"/>
      </xdr:nvSpPr>
      <xdr:spPr>
        <a:xfrm>
          <a:off x="3109595" y="10622095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4542</xdr:row>
      <xdr:rowOff>9525</xdr:rowOff>
    </xdr:from>
    <xdr:to>
      <xdr:col>12</xdr:col>
      <xdr:colOff>180974</xdr:colOff>
      <xdr:row>4542</xdr:row>
      <xdr:rowOff>257175</xdr:rowOff>
    </xdr:to>
    <xdr:sp>
      <xdr:nvSpPr>
        <xdr:cNvPr id="1458" name="TextBox 1457"/>
        <xdr:cNvSpPr txBox="1"/>
      </xdr:nvSpPr>
      <xdr:spPr>
        <a:xfrm>
          <a:off x="2359025" y="10845203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4504</xdr:row>
      <xdr:rowOff>19050</xdr:rowOff>
    </xdr:from>
    <xdr:to>
      <xdr:col>4</xdr:col>
      <xdr:colOff>219075</xdr:colOff>
      <xdr:row>4508</xdr:row>
      <xdr:rowOff>271626</xdr:rowOff>
    </xdr:to>
    <xdr:pic>
      <xdr:nvPicPr>
        <xdr:cNvPr id="1459" name="Picture 145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753705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4504</xdr:row>
      <xdr:rowOff>28575</xdr:rowOff>
    </xdr:from>
    <xdr:to>
      <xdr:col>16</xdr:col>
      <xdr:colOff>28575</xdr:colOff>
      <xdr:row>4509</xdr:row>
      <xdr:rowOff>4926</xdr:rowOff>
    </xdr:to>
    <xdr:pic>
      <xdr:nvPicPr>
        <xdr:cNvPr id="1460" name="Picture 145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753801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4540</xdr:row>
      <xdr:rowOff>28575</xdr:rowOff>
    </xdr:from>
    <xdr:to>
      <xdr:col>4</xdr:col>
      <xdr:colOff>171451</xdr:colOff>
      <xdr:row>4544</xdr:row>
      <xdr:rowOff>219075</xdr:rowOff>
    </xdr:to>
    <xdr:pic>
      <xdr:nvPicPr>
        <xdr:cNvPr id="1461" name="Picture 146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841342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4540</xdr:row>
      <xdr:rowOff>38100</xdr:rowOff>
    </xdr:from>
    <xdr:to>
      <xdr:col>15</xdr:col>
      <xdr:colOff>161926</xdr:colOff>
      <xdr:row>4545</xdr:row>
      <xdr:rowOff>0</xdr:rowOff>
    </xdr:to>
    <xdr:pic>
      <xdr:nvPicPr>
        <xdr:cNvPr id="1462" name="Picture 146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841437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4505</xdr:row>
      <xdr:rowOff>85726</xdr:rowOff>
    </xdr:from>
    <xdr:to>
      <xdr:col>13</xdr:col>
      <xdr:colOff>561975</xdr:colOff>
      <xdr:row>4538</xdr:row>
      <xdr:rowOff>66675</xdr:rowOff>
    </xdr:to>
    <xdr:sp>
      <xdr:nvSpPr>
        <xdr:cNvPr id="1463" name="Rectangle 1462"/>
        <xdr:cNvSpPr/>
      </xdr:nvSpPr>
      <xdr:spPr>
        <a:xfrm>
          <a:off x="1016635" y="10756277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4539</xdr:row>
      <xdr:rowOff>76200</xdr:rowOff>
    </xdr:from>
    <xdr:to>
      <xdr:col>11</xdr:col>
      <xdr:colOff>552450</xdr:colOff>
      <xdr:row>4556</xdr:row>
      <xdr:rowOff>247651</xdr:rowOff>
    </xdr:to>
    <xdr:sp>
      <xdr:nvSpPr>
        <xdr:cNvPr id="1464" name="Rectangle 1463"/>
        <xdr:cNvSpPr/>
      </xdr:nvSpPr>
      <xdr:spPr>
        <a:xfrm>
          <a:off x="2530475" y="10840554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4506</xdr:row>
      <xdr:rowOff>0</xdr:rowOff>
    </xdr:from>
    <xdr:to>
      <xdr:col>10</xdr:col>
      <xdr:colOff>561975</xdr:colOff>
      <xdr:row>4507</xdr:row>
      <xdr:rowOff>0</xdr:rowOff>
    </xdr:to>
    <xdr:sp>
      <xdr:nvSpPr>
        <xdr:cNvPr id="1465" name="TextBox 1464"/>
        <xdr:cNvSpPr txBox="1"/>
      </xdr:nvSpPr>
      <xdr:spPr>
        <a:xfrm>
          <a:off x="3109595" y="10758208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4599</xdr:row>
      <xdr:rowOff>9525</xdr:rowOff>
    </xdr:from>
    <xdr:to>
      <xdr:col>12</xdr:col>
      <xdr:colOff>180974</xdr:colOff>
      <xdr:row>4599</xdr:row>
      <xdr:rowOff>257175</xdr:rowOff>
    </xdr:to>
    <xdr:sp>
      <xdr:nvSpPr>
        <xdr:cNvPr id="1466" name="TextBox 1465"/>
        <xdr:cNvSpPr txBox="1"/>
      </xdr:nvSpPr>
      <xdr:spPr>
        <a:xfrm>
          <a:off x="2359025" y="10981315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4561</xdr:row>
      <xdr:rowOff>19050</xdr:rowOff>
    </xdr:from>
    <xdr:to>
      <xdr:col>4</xdr:col>
      <xdr:colOff>219075</xdr:colOff>
      <xdr:row>4565</xdr:row>
      <xdr:rowOff>271626</xdr:rowOff>
    </xdr:to>
    <xdr:pic>
      <xdr:nvPicPr>
        <xdr:cNvPr id="1467" name="Picture 146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0889818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4561</xdr:row>
      <xdr:rowOff>28575</xdr:rowOff>
    </xdr:from>
    <xdr:to>
      <xdr:col>16</xdr:col>
      <xdr:colOff>28575</xdr:colOff>
      <xdr:row>4566</xdr:row>
      <xdr:rowOff>4926</xdr:rowOff>
    </xdr:to>
    <xdr:pic>
      <xdr:nvPicPr>
        <xdr:cNvPr id="1468" name="Picture 146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0889913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4597</xdr:row>
      <xdr:rowOff>28575</xdr:rowOff>
    </xdr:from>
    <xdr:to>
      <xdr:col>4</xdr:col>
      <xdr:colOff>171451</xdr:colOff>
      <xdr:row>4601</xdr:row>
      <xdr:rowOff>219075</xdr:rowOff>
    </xdr:to>
    <xdr:pic>
      <xdr:nvPicPr>
        <xdr:cNvPr id="1469" name="Picture 146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0977454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4597</xdr:row>
      <xdr:rowOff>38100</xdr:rowOff>
    </xdr:from>
    <xdr:to>
      <xdr:col>15</xdr:col>
      <xdr:colOff>161926</xdr:colOff>
      <xdr:row>4602</xdr:row>
      <xdr:rowOff>0</xdr:rowOff>
    </xdr:to>
    <xdr:pic>
      <xdr:nvPicPr>
        <xdr:cNvPr id="1470" name="Picture 146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0977549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4562</xdr:row>
      <xdr:rowOff>85726</xdr:rowOff>
    </xdr:from>
    <xdr:to>
      <xdr:col>13</xdr:col>
      <xdr:colOff>561975</xdr:colOff>
      <xdr:row>4595</xdr:row>
      <xdr:rowOff>66675</xdr:rowOff>
    </xdr:to>
    <xdr:sp>
      <xdr:nvSpPr>
        <xdr:cNvPr id="1471" name="Rectangle 1470"/>
        <xdr:cNvSpPr/>
      </xdr:nvSpPr>
      <xdr:spPr>
        <a:xfrm>
          <a:off x="1016635" y="10892389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4596</xdr:row>
      <xdr:rowOff>76200</xdr:rowOff>
    </xdr:from>
    <xdr:to>
      <xdr:col>11</xdr:col>
      <xdr:colOff>552450</xdr:colOff>
      <xdr:row>4613</xdr:row>
      <xdr:rowOff>247651</xdr:rowOff>
    </xdr:to>
    <xdr:sp>
      <xdr:nvSpPr>
        <xdr:cNvPr id="1472" name="Rectangle 1471"/>
        <xdr:cNvSpPr/>
      </xdr:nvSpPr>
      <xdr:spPr>
        <a:xfrm>
          <a:off x="2530475" y="10976667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4563</xdr:row>
      <xdr:rowOff>0</xdr:rowOff>
    </xdr:from>
    <xdr:to>
      <xdr:col>10</xdr:col>
      <xdr:colOff>561975</xdr:colOff>
      <xdr:row>4564</xdr:row>
      <xdr:rowOff>0</xdr:rowOff>
    </xdr:to>
    <xdr:sp>
      <xdr:nvSpPr>
        <xdr:cNvPr id="1473" name="TextBox 1472"/>
        <xdr:cNvSpPr txBox="1"/>
      </xdr:nvSpPr>
      <xdr:spPr>
        <a:xfrm>
          <a:off x="3109595" y="10894320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4656</xdr:row>
      <xdr:rowOff>9525</xdr:rowOff>
    </xdr:from>
    <xdr:to>
      <xdr:col>12</xdr:col>
      <xdr:colOff>180974</xdr:colOff>
      <xdr:row>4656</xdr:row>
      <xdr:rowOff>257175</xdr:rowOff>
    </xdr:to>
    <xdr:sp>
      <xdr:nvSpPr>
        <xdr:cNvPr id="1474" name="TextBox 1473"/>
        <xdr:cNvSpPr txBox="1"/>
      </xdr:nvSpPr>
      <xdr:spPr>
        <a:xfrm>
          <a:off x="2359025" y="11117427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4618</xdr:row>
      <xdr:rowOff>19050</xdr:rowOff>
    </xdr:from>
    <xdr:to>
      <xdr:col>4</xdr:col>
      <xdr:colOff>219075</xdr:colOff>
      <xdr:row>4622</xdr:row>
      <xdr:rowOff>271626</xdr:rowOff>
    </xdr:to>
    <xdr:pic>
      <xdr:nvPicPr>
        <xdr:cNvPr id="1475" name="Picture 147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025930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4618</xdr:row>
      <xdr:rowOff>28575</xdr:rowOff>
    </xdr:from>
    <xdr:to>
      <xdr:col>16</xdr:col>
      <xdr:colOff>28575</xdr:colOff>
      <xdr:row>4623</xdr:row>
      <xdr:rowOff>4926</xdr:rowOff>
    </xdr:to>
    <xdr:pic>
      <xdr:nvPicPr>
        <xdr:cNvPr id="1476" name="Picture 147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026025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4654</xdr:row>
      <xdr:rowOff>28575</xdr:rowOff>
    </xdr:from>
    <xdr:to>
      <xdr:col>4</xdr:col>
      <xdr:colOff>171451</xdr:colOff>
      <xdr:row>4658</xdr:row>
      <xdr:rowOff>219075</xdr:rowOff>
    </xdr:to>
    <xdr:pic>
      <xdr:nvPicPr>
        <xdr:cNvPr id="1477" name="Picture 147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113566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4654</xdr:row>
      <xdr:rowOff>38100</xdr:rowOff>
    </xdr:from>
    <xdr:to>
      <xdr:col>15</xdr:col>
      <xdr:colOff>161926</xdr:colOff>
      <xdr:row>4659</xdr:row>
      <xdr:rowOff>0</xdr:rowOff>
    </xdr:to>
    <xdr:pic>
      <xdr:nvPicPr>
        <xdr:cNvPr id="1478" name="Picture 147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113662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4619</xdr:row>
      <xdr:rowOff>85726</xdr:rowOff>
    </xdr:from>
    <xdr:to>
      <xdr:col>13</xdr:col>
      <xdr:colOff>561975</xdr:colOff>
      <xdr:row>4652</xdr:row>
      <xdr:rowOff>66675</xdr:rowOff>
    </xdr:to>
    <xdr:sp>
      <xdr:nvSpPr>
        <xdr:cNvPr id="1479" name="Rectangle 1478"/>
        <xdr:cNvSpPr/>
      </xdr:nvSpPr>
      <xdr:spPr>
        <a:xfrm>
          <a:off x="1016635" y="11028502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4653</xdr:row>
      <xdr:rowOff>76200</xdr:rowOff>
    </xdr:from>
    <xdr:to>
      <xdr:col>11</xdr:col>
      <xdr:colOff>552450</xdr:colOff>
      <xdr:row>4670</xdr:row>
      <xdr:rowOff>247651</xdr:rowOff>
    </xdr:to>
    <xdr:sp>
      <xdr:nvSpPr>
        <xdr:cNvPr id="1480" name="Rectangle 1479"/>
        <xdr:cNvSpPr/>
      </xdr:nvSpPr>
      <xdr:spPr>
        <a:xfrm>
          <a:off x="2530475" y="11112779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4620</xdr:row>
      <xdr:rowOff>0</xdr:rowOff>
    </xdr:from>
    <xdr:to>
      <xdr:col>10</xdr:col>
      <xdr:colOff>561975</xdr:colOff>
      <xdr:row>4621</xdr:row>
      <xdr:rowOff>0</xdr:rowOff>
    </xdr:to>
    <xdr:sp>
      <xdr:nvSpPr>
        <xdr:cNvPr id="1481" name="TextBox 1480"/>
        <xdr:cNvSpPr txBox="1"/>
      </xdr:nvSpPr>
      <xdr:spPr>
        <a:xfrm>
          <a:off x="3109595" y="11030432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4713</xdr:row>
      <xdr:rowOff>9525</xdr:rowOff>
    </xdr:from>
    <xdr:to>
      <xdr:col>12</xdr:col>
      <xdr:colOff>180974</xdr:colOff>
      <xdr:row>4713</xdr:row>
      <xdr:rowOff>257175</xdr:rowOff>
    </xdr:to>
    <xdr:sp>
      <xdr:nvSpPr>
        <xdr:cNvPr id="1482" name="TextBox 1481"/>
        <xdr:cNvSpPr txBox="1"/>
      </xdr:nvSpPr>
      <xdr:spPr>
        <a:xfrm>
          <a:off x="2359025" y="11253539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4675</xdr:row>
      <xdr:rowOff>19050</xdr:rowOff>
    </xdr:from>
    <xdr:to>
      <xdr:col>4</xdr:col>
      <xdr:colOff>219075</xdr:colOff>
      <xdr:row>4679</xdr:row>
      <xdr:rowOff>271626</xdr:rowOff>
    </xdr:to>
    <xdr:pic>
      <xdr:nvPicPr>
        <xdr:cNvPr id="1483" name="Picture 148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162042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4675</xdr:row>
      <xdr:rowOff>28575</xdr:rowOff>
    </xdr:from>
    <xdr:to>
      <xdr:col>16</xdr:col>
      <xdr:colOff>28575</xdr:colOff>
      <xdr:row>4680</xdr:row>
      <xdr:rowOff>4926</xdr:rowOff>
    </xdr:to>
    <xdr:pic>
      <xdr:nvPicPr>
        <xdr:cNvPr id="1484" name="Picture 148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162137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4711</xdr:row>
      <xdr:rowOff>28575</xdr:rowOff>
    </xdr:from>
    <xdr:to>
      <xdr:col>4</xdr:col>
      <xdr:colOff>171451</xdr:colOff>
      <xdr:row>4715</xdr:row>
      <xdr:rowOff>219075</xdr:rowOff>
    </xdr:to>
    <xdr:pic>
      <xdr:nvPicPr>
        <xdr:cNvPr id="1485" name="Picture 148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249679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4711</xdr:row>
      <xdr:rowOff>38100</xdr:rowOff>
    </xdr:from>
    <xdr:to>
      <xdr:col>15</xdr:col>
      <xdr:colOff>161926</xdr:colOff>
      <xdr:row>4716</xdr:row>
      <xdr:rowOff>0</xdr:rowOff>
    </xdr:to>
    <xdr:pic>
      <xdr:nvPicPr>
        <xdr:cNvPr id="1486" name="Picture 148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249774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4676</xdr:row>
      <xdr:rowOff>85726</xdr:rowOff>
    </xdr:from>
    <xdr:to>
      <xdr:col>13</xdr:col>
      <xdr:colOff>561975</xdr:colOff>
      <xdr:row>4709</xdr:row>
      <xdr:rowOff>66675</xdr:rowOff>
    </xdr:to>
    <xdr:sp>
      <xdr:nvSpPr>
        <xdr:cNvPr id="1487" name="Rectangle 1486"/>
        <xdr:cNvSpPr/>
      </xdr:nvSpPr>
      <xdr:spPr>
        <a:xfrm>
          <a:off x="1016635" y="11164614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4710</xdr:row>
      <xdr:rowOff>76200</xdr:rowOff>
    </xdr:from>
    <xdr:to>
      <xdr:col>11</xdr:col>
      <xdr:colOff>552450</xdr:colOff>
      <xdr:row>4727</xdr:row>
      <xdr:rowOff>247651</xdr:rowOff>
    </xdr:to>
    <xdr:sp>
      <xdr:nvSpPr>
        <xdr:cNvPr id="1488" name="Rectangle 1487"/>
        <xdr:cNvSpPr/>
      </xdr:nvSpPr>
      <xdr:spPr>
        <a:xfrm>
          <a:off x="2530475" y="11248891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4677</xdr:row>
      <xdr:rowOff>0</xdr:rowOff>
    </xdr:from>
    <xdr:to>
      <xdr:col>10</xdr:col>
      <xdr:colOff>561975</xdr:colOff>
      <xdr:row>4678</xdr:row>
      <xdr:rowOff>0</xdr:rowOff>
    </xdr:to>
    <xdr:sp>
      <xdr:nvSpPr>
        <xdr:cNvPr id="1489" name="TextBox 1488"/>
        <xdr:cNvSpPr txBox="1"/>
      </xdr:nvSpPr>
      <xdr:spPr>
        <a:xfrm>
          <a:off x="3109595" y="11166544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4770</xdr:row>
      <xdr:rowOff>9525</xdr:rowOff>
    </xdr:from>
    <xdr:to>
      <xdr:col>12</xdr:col>
      <xdr:colOff>180974</xdr:colOff>
      <xdr:row>4770</xdr:row>
      <xdr:rowOff>257175</xdr:rowOff>
    </xdr:to>
    <xdr:sp>
      <xdr:nvSpPr>
        <xdr:cNvPr id="1490" name="TextBox 1489"/>
        <xdr:cNvSpPr txBox="1"/>
      </xdr:nvSpPr>
      <xdr:spPr>
        <a:xfrm>
          <a:off x="2359025" y="11389652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4732</xdr:row>
      <xdr:rowOff>19050</xdr:rowOff>
    </xdr:from>
    <xdr:to>
      <xdr:col>4</xdr:col>
      <xdr:colOff>219075</xdr:colOff>
      <xdr:row>4736</xdr:row>
      <xdr:rowOff>271626</xdr:rowOff>
    </xdr:to>
    <xdr:pic>
      <xdr:nvPicPr>
        <xdr:cNvPr id="1491" name="Picture 149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298154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4732</xdr:row>
      <xdr:rowOff>28575</xdr:rowOff>
    </xdr:from>
    <xdr:to>
      <xdr:col>16</xdr:col>
      <xdr:colOff>28575</xdr:colOff>
      <xdr:row>4737</xdr:row>
      <xdr:rowOff>4926</xdr:rowOff>
    </xdr:to>
    <xdr:pic>
      <xdr:nvPicPr>
        <xdr:cNvPr id="1492" name="Picture 149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298250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4768</xdr:row>
      <xdr:rowOff>28575</xdr:rowOff>
    </xdr:from>
    <xdr:to>
      <xdr:col>4</xdr:col>
      <xdr:colOff>171451</xdr:colOff>
      <xdr:row>4772</xdr:row>
      <xdr:rowOff>219075</xdr:rowOff>
    </xdr:to>
    <xdr:pic>
      <xdr:nvPicPr>
        <xdr:cNvPr id="1493" name="Picture 149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385791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4768</xdr:row>
      <xdr:rowOff>38100</xdr:rowOff>
    </xdr:from>
    <xdr:to>
      <xdr:col>15</xdr:col>
      <xdr:colOff>161926</xdr:colOff>
      <xdr:row>4773</xdr:row>
      <xdr:rowOff>0</xdr:rowOff>
    </xdr:to>
    <xdr:pic>
      <xdr:nvPicPr>
        <xdr:cNvPr id="1494" name="Picture 149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385886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4733</xdr:row>
      <xdr:rowOff>85726</xdr:rowOff>
    </xdr:from>
    <xdr:to>
      <xdr:col>13</xdr:col>
      <xdr:colOff>561975</xdr:colOff>
      <xdr:row>4766</xdr:row>
      <xdr:rowOff>66675</xdr:rowOff>
    </xdr:to>
    <xdr:sp>
      <xdr:nvSpPr>
        <xdr:cNvPr id="1495" name="Rectangle 1494"/>
        <xdr:cNvSpPr/>
      </xdr:nvSpPr>
      <xdr:spPr>
        <a:xfrm>
          <a:off x="1016635" y="11300726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4767</xdr:row>
      <xdr:rowOff>76200</xdr:rowOff>
    </xdr:from>
    <xdr:to>
      <xdr:col>11</xdr:col>
      <xdr:colOff>552450</xdr:colOff>
      <xdr:row>4784</xdr:row>
      <xdr:rowOff>247651</xdr:rowOff>
    </xdr:to>
    <xdr:sp>
      <xdr:nvSpPr>
        <xdr:cNvPr id="1496" name="Rectangle 1495"/>
        <xdr:cNvSpPr/>
      </xdr:nvSpPr>
      <xdr:spPr>
        <a:xfrm>
          <a:off x="2530475" y="11385003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4734</xdr:row>
      <xdr:rowOff>0</xdr:rowOff>
    </xdr:from>
    <xdr:to>
      <xdr:col>10</xdr:col>
      <xdr:colOff>561975</xdr:colOff>
      <xdr:row>4735</xdr:row>
      <xdr:rowOff>0</xdr:rowOff>
    </xdr:to>
    <xdr:sp>
      <xdr:nvSpPr>
        <xdr:cNvPr id="1497" name="TextBox 1496"/>
        <xdr:cNvSpPr txBox="1"/>
      </xdr:nvSpPr>
      <xdr:spPr>
        <a:xfrm>
          <a:off x="3109595" y="11302657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4827</xdr:row>
      <xdr:rowOff>9525</xdr:rowOff>
    </xdr:from>
    <xdr:to>
      <xdr:col>12</xdr:col>
      <xdr:colOff>180974</xdr:colOff>
      <xdr:row>4827</xdr:row>
      <xdr:rowOff>257175</xdr:rowOff>
    </xdr:to>
    <xdr:sp>
      <xdr:nvSpPr>
        <xdr:cNvPr id="1498" name="TextBox 1497"/>
        <xdr:cNvSpPr txBox="1"/>
      </xdr:nvSpPr>
      <xdr:spPr>
        <a:xfrm>
          <a:off x="2359025" y="11525764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4789</xdr:row>
      <xdr:rowOff>19050</xdr:rowOff>
    </xdr:from>
    <xdr:to>
      <xdr:col>4</xdr:col>
      <xdr:colOff>219075</xdr:colOff>
      <xdr:row>4793</xdr:row>
      <xdr:rowOff>271626</xdr:rowOff>
    </xdr:to>
    <xdr:pic>
      <xdr:nvPicPr>
        <xdr:cNvPr id="1499" name="Picture 149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434267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4789</xdr:row>
      <xdr:rowOff>28575</xdr:rowOff>
    </xdr:from>
    <xdr:to>
      <xdr:col>16</xdr:col>
      <xdr:colOff>28575</xdr:colOff>
      <xdr:row>4794</xdr:row>
      <xdr:rowOff>4926</xdr:rowOff>
    </xdr:to>
    <xdr:pic>
      <xdr:nvPicPr>
        <xdr:cNvPr id="1500" name="Picture 149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434362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4825</xdr:row>
      <xdr:rowOff>28575</xdr:rowOff>
    </xdr:from>
    <xdr:to>
      <xdr:col>4</xdr:col>
      <xdr:colOff>171451</xdr:colOff>
      <xdr:row>4829</xdr:row>
      <xdr:rowOff>219075</xdr:rowOff>
    </xdr:to>
    <xdr:pic>
      <xdr:nvPicPr>
        <xdr:cNvPr id="1501" name="Picture 150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521903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4825</xdr:row>
      <xdr:rowOff>38100</xdr:rowOff>
    </xdr:from>
    <xdr:to>
      <xdr:col>15</xdr:col>
      <xdr:colOff>161926</xdr:colOff>
      <xdr:row>4830</xdr:row>
      <xdr:rowOff>0</xdr:rowOff>
    </xdr:to>
    <xdr:pic>
      <xdr:nvPicPr>
        <xdr:cNvPr id="1502" name="Picture 150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521998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4790</xdr:row>
      <xdr:rowOff>85726</xdr:rowOff>
    </xdr:from>
    <xdr:to>
      <xdr:col>13</xdr:col>
      <xdr:colOff>561975</xdr:colOff>
      <xdr:row>4823</xdr:row>
      <xdr:rowOff>66675</xdr:rowOff>
    </xdr:to>
    <xdr:sp>
      <xdr:nvSpPr>
        <xdr:cNvPr id="1503" name="Rectangle 1502"/>
        <xdr:cNvSpPr/>
      </xdr:nvSpPr>
      <xdr:spPr>
        <a:xfrm>
          <a:off x="1016635" y="11436838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4824</xdr:row>
      <xdr:rowOff>76200</xdr:rowOff>
    </xdr:from>
    <xdr:to>
      <xdr:col>11</xdr:col>
      <xdr:colOff>552450</xdr:colOff>
      <xdr:row>4841</xdr:row>
      <xdr:rowOff>247651</xdr:rowOff>
    </xdr:to>
    <xdr:sp>
      <xdr:nvSpPr>
        <xdr:cNvPr id="1504" name="Rectangle 1503"/>
        <xdr:cNvSpPr/>
      </xdr:nvSpPr>
      <xdr:spPr>
        <a:xfrm>
          <a:off x="2530475" y="11521116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4791</xdr:row>
      <xdr:rowOff>0</xdr:rowOff>
    </xdr:from>
    <xdr:to>
      <xdr:col>10</xdr:col>
      <xdr:colOff>561975</xdr:colOff>
      <xdr:row>4792</xdr:row>
      <xdr:rowOff>0</xdr:rowOff>
    </xdr:to>
    <xdr:sp>
      <xdr:nvSpPr>
        <xdr:cNvPr id="1505" name="TextBox 1504"/>
        <xdr:cNvSpPr txBox="1"/>
      </xdr:nvSpPr>
      <xdr:spPr>
        <a:xfrm>
          <a:off x="3109595" y="11438769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4884</xdr:row>
      <xdr:rowOff>9525</xdr:rowOff>
    </xdr:from>
    <xdr:to>
      <xdr:col>12</xdr:col>
      <xdr:colOff>180974</xdr:colOff>
      <xdr:row>4884</xdr:row>
      <xdr:rowOff>257175</xdr:rowOff>
    </xdr:to>
    <xdr:sp>
      <xdr:nvSpPr>
        <xdr:cNvPr id="1506" name="TextBox 1505"/>
        <xdr:cNvSpPr txBox="1"/>
      </xdr:nvSpPr>
      <xdr:spPr>
        <a:xfrm>
          <a:off x="2359025" y="11661876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4846</xdr:row>
      <xdr:rowOff>19050</xdr:rowOff>
    </xdr:from>
    <xdr:to>
      <xdr:col>4</xdr:col>
      <xdr:colOff>219075</xdr:colOff>
      <xdr:row>4850</xdr:row>
      <xdr:rowOff>271626</xdr:rowOff>
    </xdr:to>
    <xdr:pic>
      <xdr:nvPicPr>
        <xdr:cNvPr id="1507" name="Picture 150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570379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4846</xdr:row>
      <xdr:rowOff>28575</xdr:rowOff>
    </xdr:from>
    <xdr:to>
      <xdr:col>16</xdr:col>
      <xdr:colOff>28575</xdr:colOff>
      <xdr:row>4851</xdr:row>
      <xdr:rowOff>4926</xdr:rowOff>
    </xdr:to>
    <xdr:pic>
      <xdr:nvPicPr>
        <xdr:cNvPr id="1508" name="Picture 150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570474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4882</xdr:row>
      <xdr:rowOff>28575</xdr:rowOff>
    </xdr:from>
    <xdr:to>
      <xdr:col>4</xdr:col>
      <xdr:colOff>171451</xdr:colOff>
      <xdr:row>4886</xdr:row>
      <xdr:rowOff>219075</xdr:rowOff>
    </xdr:to>
    <xdr:pic>
      <xdr:nvPicPr>
        <xdr:cNvPr id="1509" name="Picture 150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658015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4882</xdr:row>
      <xdr:rowOff>38100</xdr:rowOff>
    </xdr:from>
    <xdr:to>
      <xdr:col>15</xdr:col>
      <xdr:colOff>161926</xdr:colOff>
      <xdr:row>4887</xdr:row>
      <xdr:rowOff>0</xdr:rowOff>
    </xdr:to>
    <xdr:pic>
      <xdr:nvPicPr>
        <xdr:cNvPr id="1510" name="Picture 150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658111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4847</xdr:row>
      <xdr:rowOff>85726</xdr:rowOff>
    </xdr:from>
    <xdr:to>
      <xdr:col>13</xdr:col>
      <xdr:colOff>561975</xdr:colOff>
      <xdr:row>4880</xdr:row>
      <xdr:rowOff>66675</xdr:rowOff>
    </xdr:to>
    <xdr:sp>
      <xdr:nvSpPr>
        <xdr:cNvPr id="1511" name="Rectangle 1510"/>
        <xdr:cNvSpPr/>
      </xdr:nvSpPr>
      <xdr:spPr>
        <a:xfrm>
          <a:off x="1016635" y="11572951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4881</xdr:row>
      <xdr:rowOff>76200</xdr:rowOff>
    </xdr:from>
    <xdr:to>
      <xdr:col>11</xdr:col>
      <xdr:colOff>552450</xdr:colOff>
      <xdr:row>4898</xdr:row>
      <xdr:rowOff>247651</xdr:rowOff>
    </xdr:to>
    <xdr:sp>
      <xdr:nvSpPr>
        <xdr:cNvPr id="1512" name="Rectangle 1511"/>
        <xdr:cNvSpPr/>
      </xdr:nvSpPr>
      <xdr:spPr>
        <a:xfrm>
          <a:off x="2530475" y="11657228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4848</xdr:row>
      <xdr:rowOff>0</xdr:rowOff>
    </xdr:from>
    <xdr:to>
      <xdr:col>10</xdr:col>
      <xdr:colOff>561975</xdr:colOff>
      <xdr:row>4849</xdr:row>
      <xdr:rowOff>0</xdr:rowOff>
    </xdr:to>
    <xdr:sp>
      <xdr:nvSpPr>
        <xdr:cNvPr id="1513" name="TextBox 1512"/>
        <xdr:cNvSpPr txBox="1"/>
      </xdr:nvSpPr>
      <xdr:spPr>
        <a:xfrm>
          <a:off x="3109595" y="11574881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4941</xdr:row>
      <xdr:rowOff>9525</xdr:rowOff>
    </xdr:from>
    <xdr:to>
      <xdr:col>12</xdr:col>
      <xdr:colOff>180974</xdr:colOff>
      <xdr:row>4941</xdr:row>
      <xdr:rowOff>257175</xdr:rowOff>
    </xdr:to>
    <xdr:sp>
      <xdr:nvSpPr>
        <xdr:cNvPr id="1514" name="TextBox 1513"/>
        <xdr:cNvSpPr txBox="1"/>
      </xdr:nvSpPr>
      <xdr:spPr>
        <a:xfrm>
          <a:off x="2359025" y="11797988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4903</xdr:row>
      <xdr:rowOff>19050</xdr:rowOff>
    </xdr:from>
    <xdr:to>
      <xdr:col>4</xdr:col>
      <xdr:colOff>219075</xdr:colOff>
      <xdr:row>4907</xdr:row>
      <xdr:rowOff>271626</xdr:rowOff>
    </xdr:to>
    <xdr:pic>
      <xdr:nvPicPr>
        <xdr:cNvPr id="1515" name="Picture 151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706491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4903</xdr:row>
      <xdr:rowOff>28575</xdr:rowOff>
    </xdr:from>
    <xdr:to>
      <xdr:col>16</xdr:col>
      <xdr:colOff>28575</xdr:colOff>
      <xdr:row>4908</xdr:row>
      <xdr:rowOff>4926</xdr:rowOff>
    </xdr:to>
    <xdr:pic>
      <xdr:nvPicPr>
        <xdr:cNvPr id="1516" name="Picture 151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706586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4939</xdr:row>
      <xdr:rowOff>28575</xdr:rowOff>
    </xdr:from>
    <xdr:to>
      <xdr:col>4</xdr:col>
      <xdr:colOff>171451</xdr:colOff>
      <xdr:row>4943</xdr:row>
      <xdr:rowOff>219075</xdr:rowOff>
    </xdr:to>
    <xdr:pic>
      <xdr:nvPicPr>
        <xdr:cNvPr id="1517" name="Picture 151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794128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4939</xdr:row>
      <xdr:rowOff>38100</xdr:rowOff>
    </xdr:from>
    <xdr:to>
      <xdr:col>15</xdr:col>
      <xdr:colOff>161926</xdr:colOff>
      <xdr:row>4944</xdr:row>
      <xdr:rowOff>0</xdr:rowOff>
    </xdr:to>
    <xdr:pic>
      <xdr:nvPicPr>
        <xdr:cNvPr id="1518" name="Picture 151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794223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4904</xdr:row>
      <xdr:rowOff>85726</xdr:rowOff>
    </xdr:from>
    <xdr:to>
      <xdr:col>13</xdr:col>
      <xdr:colOff>561975</xdr:colOff>
      <xdr:row>4937</xdr:row>
      <xdr:rowOff>66675</xdr:rowOff>
    </xdr:to>
    <xdr:sp>
      <xdr:nvSpPr>
        <xdr:cNvPr id="1519" name="Rectangle 1518"/>
        <xdr:cNvSpPr/>
      </xdr:nvSpPr>
      <xdr:spPr>
        <a:xfrm>
          <a:off x="1016635" y="11709063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4938</xdr:row>
      <xdr:rowOff>76200</xdr:rowOff>
    </xdr:from>
    <xdr:to>
      <xdr:col>11</xdr:col>
      <xdr:colOff>552450</xdr:colOff>
      <xdr:row>4955</xdr:row>
      <xdr:rowOff>247651</xdr:rowOff>
    </xdr:to>
    <xdr:sp>
      <xdr:nvSpPr>
        <xdr:cNvPr id="1520" name="Rectangle 1519"/>
        <xdr:cNvSpPr/>
      </xdr:nvSpPr>
      <xdr:spPr>
        <a:xfrm>
          <a:off x="2530475" y="11793340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4905</xdr:row>
      <xdr:rowOff>0</xdr:rowOff>
    </xdr:from>
    <xdr:to>
      <xdr:col>10</xdr:col>
      <xdr:colOff>561975</xdr:colOff>
      <xdr:row>4906</xdr:row>
      <xdr:rowOff>0</xdr:rowOff>
    </xdr:to>
    <xdr:sp>
      <xdr:nvSpPr>
        <xdr:cNvPr id="1521" name="TextBox 1520"/>
        <xdr:cNvSpPr txBox="1"/>
      </xdr:nvSpPr>
      <xdr:spPr>
        <a:xfrm>
          <a:off x="3109595" y="11710993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4998</xdr:row>
      <xdr:rowOff>9525</xdr:rowOff>
    </xdr:from>
    <xdr:to>
      <xdr:col>12</xdr:col>
      <xdr:colOff>180974</xdr:colOff>
      <xdr:row>4998</xdr:row>
      <xdr:rowOff>257175</xdr:rowOff>
    </xdr:to>
    <xdr:sp>
      <xdr:nvSpPr>
        <xdr:cNvPr id="1522" name="TextBox 1521"/>
        <xdr:cNvSpPr txBox="1"/>
      </xdr:nvSpPr>
      <xdr:spPr>
        <a:xfrm>
          <a:off x="2359025" y="11934101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4960</xdr:row>
      <xdr:rowOff>19050</xdr:rowOff>
    </xdr:from>
    <xdr:to>
      <xdr:col>4</xdr:col>
      <xdr:colOff>219075</xdr:colOff>
      <xdr:row>4964</xdr:row>
      <xdr:rowOff>271626</xdr:rowOff>
    </xdr:to>
    <xdr:pic>
      <xdr:nvPicPr>
        <xdr:cNvPr id="1523" name="Picture 152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842603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4960</xdr:row>
      <xdr:rowOff>28575</xdr:rowOff>
    </xdr:from>
    <xdr:to>
      <xdr:col>16</xdr:col>
      <xdr:colOff>28575</xdr:colOff>
      <xdr:row>4965</xdr:row>
      <xdr:rowOff>4926</xdr:rowOff>
    </xdr:to>
    <xdr:pic>
      <xdr:nvPicPr>
        <xdr:cNvPr id="1524" name="Picture 152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842699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4996</xdr:row>
      <xdr:rowOff>28575</xdr:rowOff>
    </xdr:from>
    <xdr:to>
      <xdr:col>4</xdr:col>
      <xdr:colOff>171451</xdr:colOff>
      <xdr:row>5000</xdr:row>
      <xdr:rowOff>219075</xdr:rowOff>
    </xdr:to>
    <xdr:pic>
      <xdr:nvPicPr>
        <xdr:cNvPr id="1525" name="Picture 152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1930240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4996</xdr:row>
      <xdr:rowOff>38100</xdr:rowOff>
    </xdr:from>
    <xdr:to>
      <xdr:col>15</xdr:col>
      <xdr:colOff>161926</xdr:colOff>
      <xdr:row>5001</xdr:row>
      <xdr:rowOff>0</xdr:rowOff>
    </xdr:to>
    <xdr:pic>
      <xdr:nvPicPr>
        <xdr:cNvPr id="1526" name="Picture 152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1930335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4961</xdr:row>
      <xdr:rowOff>85726</xdr:rowOff>
    </xdr:from>
    <xdr:to>
      <xdr:col>13</xdr:col>
      <xdr:colOff>561975</xdr:colOff>
      <xdr:row>4994</xdr:row>
      <xdr:rowOff>66675</xdr:rowOff>
    </xdr:to>
    <xdr:sp>
      <xdr:nvSpPr>
        <xdr:cNvPr id="1527" name="Rectangle 1526"/>
        <xdr:cNvSpPr/>
      </xdr:nvSpPr>
      <xdr:spPr>
        <a:xfrm>
          <a:off x="1016635" y="11845175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4995</xdr:row>
      <xdr:rowOff>76200</xdr:rowOff>
    </xdr:from>
    <xdr:to>
      <xdr:col>11</xdr:col>
      <xdr:colOff>552450</xdr:colOff>
      <xdr:row>5012</xdr:row>
      <xdr:rowOff>247651</xdr:rowOff>
    </xdr:to>
    <xdr:sp>
      <xdr:nvSpPr>
        <xdr:cNvPr id="1528" name="Rectangle 1527"/>
        <xdr:cNvSpPr/>
      </xdr:nvSpPr>
      <xdr:spPr>
        <a:xfrm>
          <a:off x="2530475" y="11929452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4962</xdr:row>
      <xdr:rowOff>0</xdr:rowOff>
    </xdr:from>
    <xdr:to>
      <xdr:col>10</xdr:col>
      <xdr:colOff>561975</xdr:colOff>
      <xdr:row>4963</xdr:row>
      <xdr:rowOff>0</xdr:rowOff>
    </xdr:to>
    <xdr:sp>
      <xdr:nvSpPr>
        <xdr:cNvPr id="1529" name="TextBox 1528"/>
        <xdr:cNvSpPr txBox="1"/>
      </xdr:nvSpPr>
      <xdr:spPr>
        <a:xfrm>
          <a:off x="3109595" y="11847106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5055</xdr:row>
      <xdr:rowOff>9525</xdr:rowOff>
    </xdr:from>
    <xdr:to>
      <xdr:col>12</xdr:col>
      <xdr:colOff>180974</xdr:colOff>
      <xdr:row>5055</xdr:row>
      <xdr:rowOff>257175</xdr:rowOff>
    </xdr:to>
    <xdr:sp>
      <xdr:nvSpPr>
        <xdr:cNvPr id="1530" name="TextBox 1529"/>
        <xdr:cNvSpPr txBox="1"/>
      </xdr:nvSpPr>
      <xdr:spPr>
        <a:xfrm>
          <a:off x="2359025" y="12070213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5017</xdr:row>
      <xdr:rowOff>19050</xdr:rowOff>
    </xdr:from>
    <xdr:to>
      <xdr:col>4</xdr:col>
      <xdr:colOff>219075</xdr:colOff>
      <xdr:row>5021</xdr:row>
      <xdr:rowOff>271626</xdr:rowOff>
    </xdr:to>
    <xdr:pic>
      <xdr:nvPicPr>
        <xdr:cNvPr id="1531" name="Picture 153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1978716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5017</xdr:row>
      <xdr:rowOff>28575</xdr:rowOff>
    </xdr:from>
    <xdr:to>
      <xdr:col>16</xdr:col>
      <xdr:colOff>28575</xdr:colOff>
      <xdr:row>5022</xdr:row>
      <xdr:rowOff>4926</xdr:rowOff>
    </xdr:to>
    <xdr:pic>
      <xdr:nvPicPr>
        <xdr:cNvPr id="1532" name="Picture 153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1978811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5053</xdr:row>
      <xdr:rowOff>28575</xdr:rowOff>
    </xdr:from>
    <xdr:to>
      <xdr:col>4</xdr:col>
      <xdr:colOff>171451</xdr:colOff>
      <xdr:row>5057</xdr:row>
      <xdr:rowOff>219075</xdr:rowOff>
    </xdr:to>
    <xdr:pic>
      <xdr:nvPicPr>
        <xdr:cNvPr id="1533" name="Picture 153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2066352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5053</xdr:row>
      <xdr:rowOff>38100</xdr:rowOff>
    </xdr:from>
    <xdr:to>
      <xdr:col>15</xdr:col>
      <xdr:colOff>161926</xdr:colOff>
      <xdr:row>5058</xdr:row>
      <xdr:rowOff>0</xdr:rowOff>
    </xdr:to>
    <xdr:pic>
      <xdr:nvPicPr>
        <xdr:cNvPr id="1534" name="Picture 153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2066447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5018</xdr:row>
      <xdr:rowOff>85726</xdr:rowOff>
    </xdr:from>
    <xdr:to>
      <xdr:col>13</xdr:col>
      <xdr:colOff>561975</xdr:colOff>
      <xdr:row>5051</xdr:row>
      <xdr:rowOff>66675</xdr:rowOff>
    </xdr:to>
    <xdr:sp>
      <xdr:nvSpPr>
        <xdr:cNvPr id="1535" name="Rectangle 1534"/>
        <xdr:cNvSpPr/>
      </xdr:nvSpPr>
      <xdr:spPr>
        <a:xfrm>
          <a:off x="1016635" y="11981287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5052</xdr:row>
      <xdr:rowOff>76200</xdr:rowOff>
    </xdr:from>
    <xdr:to>
      <xdr:col>11</xdr:col>
      <xdr:colOff>552450</xdr:colOff>
      <xdr:row>5069</xdr:row>
      <xdr:rowOff>247651</xdr:rowOff>
    </xdr:to>
    <xdr:sp>
      <xdr:nvSpPr>
        <xdr:cNvPr id="1536" name="Rectangle 1535"/>
        <xdr:cNvSpPr/>
      </xdr:nvSpPr>
      <xdr:spPr>
        <a:xfrm>
          <a:off x="2530475" y="12065565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5019</xdr:row>
      <xdr:rowOff>0</xdr:rowOff>
    </xdr:from>
    <xdr:to>
      <xdr:col>10</xdr:col>
      <xdr:colOff>561975</xdr:colOff>
      <xdr:row>5020</xdr:row>
      <xdr:rowOff>0</xdr:rowOff>
    </xdr:to>
    <xdr:sp>
      <xdr:nvSpPr>
        <xdr:cNvPr id="1537" name="TextBox 1536"/>
        <xdr:cNvSpPr txBox="1"/>
      </xdr:nvSpPr>
      <xdr:spPr>
        <a:xfrm>
          <a:off x="3109595" y="11983218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5112</xdr:row>
      <xdr:rowOff>9525</xdr:rowOff>
    </xdr:from>
    <xdr:to>
      <xdr:col>12</xdr:col>
      <xdr:colOff>180974</xdr:colOff>
      <xdr:row>5112</xdr:row>
      <xdr:rowOff>257175</xdr:rowOff>
    </xdr:to>
    <xdr:sp>
      <xdr:nvSpPr>
        <xdr:cNvPr id="1538" name="TextBox 1537"/>
        <xdr:cNvSpPr txBox="1"/>
      </xdr:nvSpPr>
      <xdr:spPr>
        <a:xfrm>
          <a:off x="2359025" y="12206325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5074</xdr:row>
      <xdr:rowOff>19050</xdr:rowOff>
    </xdr:from>
    <xdr:to>
      <xdr:col>4</xdr:col>
      <xdr:colOff>219075</xdr:colOff>
      <xdr:row>5078</xdr:row>
      <xdr:rowOff>271626</xdr:rowOff>
    </xdr:to>
    <xdr:pic>
      <xdr:nvPicPr>
        <xdr:cNvPr id="1539" name="Picture 153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114828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5074</xdr:row>
      <xdr:rowOff>28575</xdr:rowOff>
    </xdr:from>
    <xdr:to>
      <xdr:col>16</xdr:col>
      <xdr:colOff>28575</xdr:colOff>
      <xdr:row>5079</xdr:row>
      <xdr:rowOff>4926</xdr:rowOff>
    </xdr:to>
    <xdr:pic>
      <xdr:nvPicPr>
        <xdr:cNvPr id="1540" name="Picture 153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114923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5110</xdr:row>
      <xdr:rowOff>28575</xdr:rowOff>
    </xdr:from>
    <xdr:to>
      <xdr:col>4</xdr:col>
      <xdr:colOff>171451</xdr:colOff>
      <xdr:row>5114</xdr:row>
      <xdr:rowOff>219075</xdr:rowOff>
    </xdr:to>
    <xdr:pic>
      <xdr:nvPicPr>
        <xdr:cNvPr id="1541" name="Picture 154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2202464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5110</xdr:row>
      <xdr:rowOff>38100</xdr:rowOff>
    </xdr:from>
    <xdr:to>
      <xdr:col>15</xdr:col>
      <xdr:colOff>161926</xdr:colOff>
      <xdr:row>5115</xdr:row>
      <xdr:rowOff>0</xdr:rowOff>
    </xdr:to>
    <xdr:pic>
      <xdr:nvPicPr>
        <xdr:cNvPr id="1542" name="Picture 154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2202560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5075</xdr:row>
      <xdr:rowOff>85726</xdr:rowOff>
    </xdr:from>
    <xdr:to>
      <xdr:col>13</xdr:col>
      <xdr:colOff>561975</xdr:colOff>
      <xdr:row>5108</xdr:row>
      <xdr:rowOff>66675</xdr:rowOff>
    </xdr:to>
    <xdr:sp>
      <xdr:nvSpPr>
        <xdr:cNvPr id="1543" name="Rectangle 1542"/>
        <xdr:cNvSpPr/>
      </xdr:nvSpPr>
      <xdr:spPr>
        <a:xfrm>
          <a:off x="1016635" y="12117400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5109</xdr:row>
      <xdr:rowOff>76200</xdr:rowOff>
    </xdr:from>
    <xdr:to>
      <xdr:col>11</xdr:col>
      <xdr:colOff>552450</xdr:colOff>
      <xdr:row>5126</xdr:row>
      <xdr:rowOff>247651</xdr:rowOff>
    </xdr:to>
    <xdr:sp>
      <xdr:nvSpPr>
        <xdr:cNvPr id="1544" name="Rectangle 1543"/>
        <xdr:cNvSpPr/>
      </xdr:nvSpPr>
      <xdr:spPr>
        <a:xfrm>
          <a:off x="2530475" y="12201677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5076</xdr:row>
      <xdr:rowOff>0</xdr:rowOff>
    </xdr:from>
    <xdr:to>
      <xdr:col>10</xdr:col>
      <xdr:colOff>561975</xdr:colOff>
      <xdr:row>5077</xdr:row>
      <xdr:rowOff>0</xdr:rowOff>
    </xdr:to>
    <xdr:sp>
      <xdr:nvSpPr>
        <xdr:cNvPr id="1545" name="TextBox 1544"/>
        <xdr:cNvSpPr txBox="1"/>
      </xdr:nvSpPr>
      <xdr:spPr>
        <a:xfrm>
          <a:off x="3109595" y="12119330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5169</xdr:row>
      <xdr:rowOff>9525</xdr:rowOff>
    </xdr:from>
    <xdr:to>
      <xdr:col>12</xdr:col>
      <xdr:colOff>180974</xdr:colOff>
      <xdr:row>5169</xdr:row>
      <xdr:rowOff>257175</xdr:rowOff>
    </xdr:to>
    <xdr:sp>
      <xdr:nvSpPr>
        <xdr:cNvPr id="1546" name="TextBox 1545"/>
        <xdr:cNvSpPr txBox="1"/>
      </xdr:nvSpPr>
      <xdr:spPr>
        <a:xfrm>
          <a:off x="2359025" y="12342437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5131</xdr:row>
      <xdr:rowOff>19050</xdr:rowOff>
    </xdr:from>
    <xdr:to>
      <xdr:col>4</xdr:col>
      <xdr:colOff>219075</xdr:colOff>
      <xdr:row>5135</xdr:row>
      <xdr:rowOff>271626</xdr:rowOff>
    </xdr:to>
    <xdr:pic>
      <xdr:nvPicPr>
        <xdr:cNvPr id="1547" name="Picture 154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250940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5131</xdr:row>
      <xdr:rowOff>28575</xdr:rowOff>
    </xdr:from>
    <xdr:to>
      <xdr:col>16</xdr:col>
      <xdr:colOff>28575</xdr:colOff>
      <xdr:row>5136</xdr:row>
      <xdr:rowOff>4926</xdr:rowOff>
    </xdr:to>
    <xdr:pic>
      <xdr:nvPicPr>
        <xdr:cNvPr id="1548" name="Picture 154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251035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5167</xdr:row>
      <xdr:rowOff>28575</xdr:rowOff>
    </xdr:from>
    <xdr:to>
      <xdr:col>4</xdr:col>
      <xdr:colOff>171451</xdr:colOff>
      <xdr:row>5171</xdr:row>
      <xdr:rowOff>219075</xdr:rowOff>
    </xdr:to>
    <xdr:pic>
      <xdr:nvPicPr>
        <xdr:cNvPr id="1549" name="Picture 154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2338577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5167</xdr:row>
      <xdr:rowOff>38100</xdr:rowOff>
    </xdr:from>
    <xdr:to>
      <xdr:col>15</xdr:col>
      <xdr:colOff>161926</xdr:colOff>
      <xdr:row>5172</xdr:row>
      <xdr:rowOff>0</xdr:rowOff>
    </xdr:to>
    <xdr:pic>
      <xdr:nvPicPr>
        <xdr:cNvPr id="1550" name="Picture 154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2338672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5132</xdr:row>
      <xdr:rowOff>85726</xdr:rowOff>
    </xdr:from>
    <xdr:to>
      <xdr:col>13</xdr:col>
      <xdr:colOff>561975</xdr:colOff>
      <xdr:row>5165</xdr:row>
      <xdr:rowOff>66675</xdr:rowOff>
    </xdr:to>
    <xdr:sp>
      <xdr:nvSpPr>
        <xdr:cNvPr id="1551" name="Rectangle 1550"/>
        <xdr:cNvSpPr/>
      </xdr:nvSpPr>
      <xdr:spPr>
        <a:xfrm>
          <a:off x="1016635" y="12253512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5166</xdr:row>
      <xdr:rowOff>76200</xdr:rowOff>
    </xdr:from>
    <xdr:to>
      <xdr:col>11</xdr:col>
      <xdr:colOff>552450</xdr:colOff>
      <xdr:row>5183</xdr:row>
      <xdr:rowOff>247651</xdr:rowOff>
    </xdr:to>
    <xdr:sp>
      <xdr:nvSpPr>
        <xdr:cNvPr id="1552" name="Rectangle 1551"/>
        <xdr:cNvSpPr/>
      </xdr:nvSpPr>
      <xdr:spPr>
        <a:xfrm>
          <a:off x="2530475" y="12337789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5133</xdr:row>
      <xdr:rowOff>0</xdr:rowOff>
    </xdr:from>
    <xdr:to>
      <xdr:col>10</xdr:col>
      <xdr:colOff>561975</xdr:colOff>
      <xdr:row>5134</xdr:row>
      <xdr:rowOff>0</xdr:rowOff>
    </xdr:to>
    <xdr:sp>
      <xdr:nvSpPr>
        <xdr:cNvPr id="1553" name="TextBox 1552"/>
        <xdr:cNvSpPr txBox="1"/>
      </xdr:nvSpPr>
      <xdr:spPr>
        <a:xfrm>
          <a:off x="3109595" y="12255442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5226</xdr:row>
      <xdr:rowOff>9525</xdr:rowOff>
    </xdr:from>
    <xdr:to>
      <xdr:col>12</xdr:col>
      <xdr:colOff>180974</xdr:colOff>
      <xdr:row>5226</xdr:row>
      <xdr:rowOff>257175</xdr:rowOff>
    </xdr:to>
    <xdr:sp>
      <xdr:nvSpPr>
        <xdr:cNvPr id="1554" name="TextBox 1553"/>
        <xdr:cNvSpPr txBox="1"/>
      </xdr:nvSpPr>
      <xdr:spPr>
        <a:xfrm>
          <a:off x="2359025" y="12478550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5188</xdr:row>
      <xdr:rowOff>19050</xdr:rowOff>
    </xdr:from>
    <xdr:to>
      <xdr:col>4</xdr:col>
      <xdr:colOff>219075</xdr:colOff>
      <xdr:row>5192</xdr:row>
      <xdr:rowOff>271626</xdr:rowOff>
    </xdr:to>
    <xdr:pic>
      <xdr:nvPicPr>
        <xdr:cNvPr id="1555" name="Picture 155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387052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5188</xdr:row>
      <xdr:rowOff>28575</xdr:rowOff>
    </xdr:from>
    <xdr:to>
      <xdr:col>16</xdr:col>
      <xdr:colOff>28575</xdr:colOff>
      <xdr:row>5193</xdr:row>
      <xdr:rowOff>4926</xdr:rowOff>
    </xdr:to>
    <xdr:pic>
      <xdr:nvPicPr>
        <xdr:cNvPr id="1556" name="Picture 155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387148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5224</xdr:row>
      <xdr:rowOff>28575</xdr:rowOff>
    </xdr:from>
    <xdr:to>
      <xdr:col>4</xdr:col>
      <xdr:colOff>171451</xdr:colOff>
      <xdr:row>5228</xdr:row>
      <xdr:rowOff>219075</xdr:rowOff>
    </xdr:to>
    <xdr:pic>
      <xdr:nvPicPr>
        <xdr:cNvPr id="1557" name="Picture 155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2474689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5224</xdr:row>
      <xdr:rowOff>38100</xdr:rowOff>
    </xdr:from>
    <xdr:to>
      <xdr:col>15</xdr:col>
      <xdr:colOff>161926</xdr:colOff>
      <xdr:row>5229</xdr:row>
      <xdr:rowOff>0</xdr:rowOff>
    </xdr:to>
    <xdr:pic>
      <xdr:nvPicPr>
        <xdr:cNvPr id="1558" name="Picture 155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2474784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5189</xdr:row>
      <xdr:rowOff>85726</xdr:rowOff>
    </xdr:from>
    <xdr:to>
      <xdr:col>13</xdr:col>
      <xdr:colOff>561975</xdr:colOff>
      <xdr:row>5222</xdr:row>
      <xdr:rowOff>66675</xdr:rowOff>
    </xdr:to>
    <xdr:sp>
      <xdr:nvSpPr>
        <xdr:cNvPr id="1559" name="Rectangle 1558"/>
        <xdr:cNvSpPr/>
      </xdr:nvSpPr>
      <xdr:spPr>
        <a:xfrm>
          <a:off x="1016635" y="12389624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5223</xdr:row>
      <xdr:rowOff>76200</xdr:rowOff>
    </xdr:from>
    <xdr:to>
      <xdr:col>11</xdr:col>
      <xdr:colOff>552450</xdr:colOff>
      <xdr:row>5240</xdr:row>
      <xdr:rowOff>247651</xdr:rowOff>
    </xdr:to>
    <xdr:sp>
      <xdr:nvSpPr>
        <xdr:cNvPr id="1560" name="Rectangle 1559"/>
        <xdr:cNvSpPr/>
      </xdr:nvSpPr>
      <xdr:spPr>
        <a:xfrm>
          <a:off x="2530475" y="12473901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5190</xdr:row>
      <xdr:rowOff>0</xdr:rowOff>
    </xdr:from>
    <xdr:to>
      <xdr:col>10</xdr:col>
      <xdr:colOff>561975</xdr:colOff>
      <xdr:row>5191</xdr:row>
      <xdr:rowOff>0</xdr:rowOff>
    </xdr:to>
    <xdr:sp>
      <xdr:nvSpPr>
        <xdr:cNvPr id="1561" name="TextBox 1560"/>
        <xdr:cNvSpPr txBox="1"/>
      </xdr:nvSpPr>
      <xdr:spPr>
        <a:xfrm>
          <a:off x="3109595" y="12391555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5283</xdr:row>
      <xdr:rowOff>9525</xdr:rowOff>
    </xdr:from>
    <xdr:to>
      <xdr:col>12</xdr:col>
      <xdr:colOff>180974</xdr:colOff>
      <xdr:row>5283</xdr:row>
      <xdr:rowOff>257175</xdr:rowOff>
    </xdr:to>
    <xdr:sp>
      <xdr:nvSpPr>
        <xdr:cNvPr id="1562" name="TextBox 1561"/>
        <xdr:cNvSpPr txBox="1"/>
      </xdr:nvSpPr>
      <xdr:spPr>
        <a:xfrm>
          <a:off x="2359025" y="12614662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5245</xdr:row>
      <xdr:rowOff>19050</xdr:rowOff>
    </xdr:from>
    <xdr:to>
      <xdr:col>4</xdr:col>
      <xdr:colOff>219075</xdr:colOff>
      <xdr:row>5249</xdr:row>
      <xdr:rowOff>271626</xdr:rowOff>
    </xdr:to>
    <xdr:pic>
      <xdr:nvPicPr>
        <xdr:cNvPr id="1563" name="Picture 156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523165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5245</xdr:row>
      <xdr:rowOff>28575</xdr:rowOff>
    </xdr:from>
    <xdr:to>
      <xdr:col>16</xdr:col>
      <xdr:colOff>28575</xdr:colOff>
      <xdr:row>5250</xdr:row>
      <xdr:rowOff>4926</xdr:rowOff>
    </xdr:to>
    <xdr:pic>
      <xdr:nvPicPr>
        <xdr:cNvPr id="1564" name="Picture 156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523260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5281</xdr:row>
      <xdr:rowOff>28575</xdr:rowOff>
    </xdr:from>
    <xdr:to>
      <xdr:col>4</xdr:col>
      <xdr:colOff>171451</xdr:colOff>
      <xdr:row>5285</xdr:row>
      <xdr:rowOff>219075</xdr:rowOff>
    </xdr:to>
    <xdr:pic>
      <xdr:nvPicPr>
        <xdr:cNvPr id="1565" name="Picture 156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2610801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5281</xdr:row>
      <xdr:rowOff>38100</xdr:rowOff>
    </xdr:from>
    <xdr:to>
      <xdr:col>15</xdr:col>
      <xdr:colOff>161926</xdr:colOff>
      <xdr:row>5286</xdr:row>
      <xdr:rowOff>0</xdr:rowOff>
    </xdr:to>
    <xdr:pic>
      <xdr:nvPicPr>
        <xdr:cNvPr id="1566" name="Picture 156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2610896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5246</xdr:row>
      <xdr:rowOff>85726</xdr:rowOff>
    </xdr:from>
    <xdr:to>
      <xdr:col>13</xdr:col>
      <xdr:colOff>561975</xdr:colOff>
      <xdr:row>5279</xdr:row>
      <xdr:rowOff>66675</xdr:rowOff>
    </xdr:to>
    <xdr:sp>
      <xdr:nvSpPr>
        <xdr:cNvPr id="1567" name="Rectangle 1566"/>
        <xdr:cNvSpPr/>
      </xdr:nvSpPr>
      <xdr:spPr>
        <a:xfrm>
          <a:off x="1016635" y="12525736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5280</xdr:row>
      <xdr:rowOff>76200</xdr:rowOff>
    </xdr:from>
    <xdr:to>
      <xdr:col>11</xdr:col>
      <xdr:colOff>552450</xdr:colOff>
      <xdr:row>5297</xdr:row>
      <xdr:rowOff>247651</xdr:rowOff>
    </xdr:to>
    <xdr:sp>
      <xdr:nvSpPr>
        <xdr:cNvPr id="1568" name="Rectangle 1567"/>
        <xdr:cNvSpPr/>
      </xdr:nvSpPr>
      <xdr:spPr>
        <a:xfrm>
          <a:off x="2530475" y="12610014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5247</xdr:row>
      <xdr:rowOff>0</xdr:rowOff>
    </xdr:from>
    <xdr:to>
      <xdr:col>10</xdr:col>
      <xdr:colOff>561975</xdr:colOff>
      <xdr:row>5248</xdr:row>
      <xdr:rowOff>0</xdr:rowOff>
    </xdr:to>
    <xdr:sp>
      <xdr:nvSpPr>
        <xdr:cNvPr id="1569" name="TextBox 1568"/>
        <xdr:cNvSpPr txBox="1"/>
      </xdr:nvSpPr>
      <xdr:spPr>
        <a:xfrm>
          <a:off x="3109595" y="12527667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5340</xdr:row>
      <xdr:rowOff>9525</xdr:rowOff>
    </xdr:from>
    <xdr:to>
      <xdr:col>12</xdr:col>
      <xdr:colOff>180974</xdr:colOff>
      <xdr:row>5340</xdr:row>
      <xdr:rowOff>257175</xdr:rowOff>
    </xdr:to>
    <xdr:sp>
      <xdr:nvSpPr>
        <xdr:cNvPr id="1570" name="TextBox 1569"/>
        <xdr:cNvSpPr txBox="1"/>
      </xdr:nvSpPr>
      <xdr:spPr>
        <a:xfrm>
          <a:off x="2359025" y="12750774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5302</xdr:row>
      <xdr:rowOff>19050</xdr:rowOff>
    </xdr:from>
    <xdr:to>
      <xdr:col>4</xdr:col>
      <xdr:colOff>219075</xdr:colOff>
      <xdr:row>5306</xdr:row>
      <xdr:rowOff>271626</xdr:rowOff>
    </xdr:to>
    <xdr:pic>
      <xdr:nvPicPr>
        <xdr:cNvPr id="1571" name="Picture 157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659277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5302</xdr:row>
      <xdr:rowOff>28575</xdr:rowOff>
    </xdr:from>
    <xdr:to>
      <xdr:col>16</xdr:col>
      <xdr:colOff>28575</xdr:colOff>
      <xdr:row>5307</xdr:row>
      <xdr:rowOff>4926</xdr:rowOff>
    </xdr:to>
    <xdr:pic>
      <xdr:nvPicPr>
        <xdr:cNvPr id="1572" name="Picture 157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659372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5338</xdr:row>
      <xdr:rowOff>28575</xdr:rowOff>
    </xdr:from>
    <xdr:to>
      <xdr:col>4</xdr:col>
      <xdr:colOff>171451</xdr:colOff>
      <xdr:row>5342</xdr:row>
      <xdr:rowOff>219075</xdr:rowOff>
    </xdr:to>
    <xdr:pic>
      <xdr:nvPicPr>
        <xdr:cNvPr id="1573" name="Picture 157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2746913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5338</xdr:row>
      <xdr:rowOff>38100</xdr:rowOff>
    </xdr:from>
    <xdr:to>
      <xdr:col>15</xdr:col>
      <xdr:colOff>161926</xdr:colOff>
      <xdr:row>5343</xdr:row>
      <xdr:rowOff>0</xdr:rowOff>
    </xdr:to>
    <xdr:pic>
      <xdr:nvPicPr>
        <xdr:cNvPr id="1574" name="Picture 157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2747009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5303</xdr:row>
      <xdr:rowOff>85726</xdr:rowOff>
    </xdr:from>
    <xdr:to>
      <xdr:col>13</xdr:col>
      <xdr:colOff>561975</xdr:colOff>
      <xdr:row>5336</xdr:row>
      <xdr:rowOff>66675</xdr:rowOff>
    </xdr:to>
    <xdr:sp>
      <xdr:nvSpPr>
        <xdr:cNvPr id="1575" name="Rectangle 1574"/>
        <xdr:cNvSpPr/>
      </xdr:nvSpPr>
      <xdr:spPr>
        <a:xfrm>
          <a:off x="1016635" y="12661849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5337</xdr:row>
      <xdr:rowOff>76200</xdr:rowOff>
    </xdr:from>
    <xdr:to>
      <xdr:col>11</xdr:col>
      <xdr:colOff>552450</xdr:colOff>
      <xdr:row>5354</xdr:row>
      <xdr:rowOff>247651</xdr:rowOff>
    </xdr:to>
    <xdr:sp>
      <xdr:nvSpPr>
        <xdr:cNvPr id="1576" name="Rectangle 1575"/>
        <xdr:cNvSpPr/>
      </xdr:nvSpPr>
      <xdr:spPr>
        <a:xfrm>
          <a:off x="2530475" y="12746126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5304</xdr:row>
      <xdr:rowOff>0</xdr:rowOff>
    </xdr:from>
    <xdr:to>
      <xdr:col>10</xdr:col>
      <xdr:colOff>561975</xdr:colOff>
      <xdr:row>5305</xdr:row>
      <xdr:rowOff>0</xdr:rowOff>
    </xdr:to>
    <xdr:sp>
      <xdr:nvSpPr>
        <xdr:cNvPr id="1577" name="TextBox 1576"/>
        <xdr:cNvSpPr txBox="1"/>
      </xdr:nvSpPr>
      <xdr:spPr>
        <a:xfrm>
          <a:off x="3109595" y="12663779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5397</xdr:row>
      <xdr:rowOff>9525</xdr:rowOff>
    </xdr:from>
    <xdr:to>
      <xdr:col>12</xdr:col>
      <xdr:colOff>180974</xdr:colOff>
      <xdr:row>5397</xdr:row>
      <xdr:rowOff>257175</xdr:rowOff>
    </xdr:to>
    <xdr:sp>
      <xdr:nvSpPr>
        <xdr:cNvPr id="1578" name="TextBox 1577"/>
        <xdr:cNvSpPr txBox="1"/>
      </xdr:nvSpPr>
      <xdr:spPr>
        <a:xfrm>
          <a:off x="2359025" y="12886886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5359</xdr:row>
      <xdr:rowOff>19050</xdr:rowOff>
    </xdr:from>
    <xdr:to>
      <xdr:col>4</xdr:col>
      <xdr:colOff>219075</xdr:colOff>
      <xdr:row>5363</xdr:row>
      <xdr:rowOff>271626</xdr:rowOff>
    </xdr:to>
    <xdr:pic>
      <xdr:nvPicPr>
        <xdr:cNvPr id="1579" name="Picture 157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795389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5359</xdr:row>
      <xdr:rowOff>28575</xdr:rowOff>
    </xdr:from>
    <xdr:to>
      <xdr:col>16</xdr:col>
      <xdr:colOff>28575</xdr:colOff>
      <xdr:row>5364</xdr:row>
      <xdr:rowOff>4926</xdr:rowOff>
    </xdr:to>
    <xdr:pic>
      <xdr:nvPicPr>
        <xdr:cNvPr id="1580" name="Picture 157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795484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5395</xdr:row>
      <xdr:rowOff>28575</xdr:rowOff>
    </xdr:from>
    <xdr:to>
      <xdr:col>4</xdr:col>
      <xdr:colOff>171451</xdr:colOff>
      <xdr:row>5399</xdr:row>
      <xdr:rowOff>219075</xdr:rowOff>
    </xdr:to>
    <xdr:pic>
      <xdr:nvPicPr>
        <xdr:cNvPr id="1581" name="Picture 158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2883026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5395</xdr:row>
      <xdr:rowOff>38100</xdr:rowOff>
    </xdr:from>
    <xdr:to>
      <xdr:col>15</xdr:col>
      <xdr:colOff>161926</xdr:colOff>
      <xdr:row>5400</xdr:row>
      <xdr:rowOff>0</xdr:rowOff>
    </xdr:to>
    <xdr:pic>
      <xdr:nvPicPr>
        <xdr:cNvPr id="1582" name="Picture 158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2883121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5360</xdr:row>
      <xdr:rowOff>85726</xdr:rowOff>
    </xdr:from>
    <xdr:to>
      <xdr:col>13</xdr:col>
      <xdr:colOff>561975</xdr:colOff>
      <xdr:row>5393</xdr:row>
      <xdr:rowOff>66675</xdr:rowOff>
    </xdr:to>
    <xdr:sp>
      <xdr:nvSpPr>
        <xdr:cNvPr id="1583" name="Rectangle 1582"/>
        <xdr:cNvSpPr/>
      </xdr:nvSpPr>
      <xdr:spPr>
        <a:xfrm>
          <a:off x="1016635" y="12797961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5394</xdr:row>
      <xdr:rowOff>76200</xdr:rowOff>
    </xdr:from>
    <xdr:to>
      <xdr:col>11</xdr:col>
      <xdr:colOff>552450</xdr:colOff>
      <xdr:row>5411</xdr:row>
      <xdr:rowOff>247651</xdr:rowOff>
    </xdr:to>
    <xdr:sp>
      <xdr:nvSpPr>
        <xdr:cNvPr id="1584" name="Rectangle 1583"/>
        <xdr:cNvSpPr/>
      </xdr:nvSpPr>
      <xdr:spPr>
        <a:xfrm>
          <a:off x="2530475" y="12882238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5361</xdr:row>
      <xdr:rowOff>0</xdr:rowOff>
    </xdr:from>
    <xdr:to>
      <xdr:col>10</xdr:col>
      <xdr:colOff>561975</xdr:colOff>
      <xdr:row>5362</xdr:row>
      <xdr:rowOff>0</xdr:rowOff>
    </xdr:to>
    <xdr:sp>
      <xdr:nvSpPr>
        <xdr:cNvPr id="1585" name="TextBox 1584"/>
        <xdr:cNvSpPr txBox="1"/>
      </xdr:nvSpPr>
      <xdr:spPr>
        <a:xfrm>
          <a:off x="3109595" y="12799891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5454</xdr:row>
      <xdr:rowOff>9525</xdr:rowOff>
    </xdr:from>
    <xdr:to>
      <xdr:col>12</xdr:col>
      <xdr:colOff>180974</xdr:colOff>
      <xdr:row>5454</xdr:row>
      <xdr:rowOff>257175</xdr:rowOff>
    </xdr:to>
    <xdr:sp>
      <xdr:nvSpPr>
        <xdr:cNvPr id="1586" name="TextBox 1585"/>
        <xdr:cNvSpPr txBox="1"/>
      </xdr:nvSpPr>
      <xdr:spPr>
        <a:xfrm>
          <a:off x="2359025" y="13022999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5416</xdr:row>
      <xdr:rowOff>19050</xdr:rowOff>
    </xdr:from>
    <xdr:to>
      <xdr:col>4</xdr:col>
      <xdr:colOff>219075</xdr:colOff>
      <xdr:row>5420</xdr:row>
      <xdr:rowOff>271626</xdr:rowOff>
    </xdr:to>
    <xdr:pic>
      <xdr:nvPicPr>
        <xdr:cNvPr id="1587" name="Picture 1586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2931501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5416</xdr:row>
      <xdr:rowOff>28575</xdr:rowOff>
    </xdr:from>
    <xdr:to>
      <xdr:col>16</xdr:col>
      <xdr:colOff>28575</xdr:colOff>
      <xdr:row>5421</xdr:row>
      <xdr:rowOff>4926</xdr:rowOff>
    </xdr:to>
    <xdr:pic>
      <xdr:nvPicPr>
        <xdr:cNvPr id="1588" name="Picture 1587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2931597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5452</xdr:row>
      <xdr:rowOff>28575</xdr:rowOff>
    </xdr:from>
    <xdr:to>
      <xdr:col>4</xdr:col>
      <xdr:colOff>171451</xdr:colOff>
      <xdr:row>5456</xdr:row>
      <xdr:rowOff>219075</xdr:rowOff>
    </xdr:to>
    <xdr:pic>
      <xdr:nvPicPr>
        <xdr:cNvPr id="1589" name="Picture 1588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3019138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5452</xdr:row>
      <xdr:rowOff>38100</xdr:rowOff>
    </xdr:from>
    <xdr:to>
      <xdr:col>15</xdr:col>
      <xdr:colOff>161926</xdr:colOff>
      <xdr:row>5457</xdr:row>
      <xdr:rowOff>0</xdr:rowOff>
    </xdr:to>
    <xdr:pic>
      <xdr:nvPicPr>
        <xdr:cNvPr id="1590" name="Picture 1589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3019233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5417</xdr:row>
      <xdr:rowOff>85726</xdr:rowOff>
    </xdr:from>
    <xdr:to>
      <xdr:col>13</xdr:col>
      <xdr:colOff>561975</xdr:colOff>
      <xdr:row>5450</xdr:row>
      <xdr:rowOff>66675</xdr:rowOff>
    </xdr:to>
    <xdr:sp>
      <xdr:nvSpPr>
        <xdr:cNvPr id="1591" name="Rectangle 1590"/>
        <xdr:cNvSpPr/>
      </xdr:nvSpPr>
      <xdr:spPr>
        <a:xfrm>
          <a:off x="1016635" y="12934073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5451</xdr:row>
      <xdr:rowOff>76200</xdr:rowOff>
    </xdr:from>
    <xdr:to>
      <xdr:col>11</xdr:col>
      <xdr:colOff>552450</xdr:colOff>
      <xdr:row>5468</xdr:row>
      <xdr:rowOff>247651</xdr:rowOff>
    </xdr:to>
    <xdr:sp>
      <xdr:nvSpPr>
        <xdr:cNvPr id="1592" name="Rectangle 1591"/>
        <xdr:cNvSpPr/>
      </xdr:nvSpPr>
      <xdr:spPr>
        <a:xfrm>
          <a:off x="2530475" y="13018350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5418</xdr:row>
      <xdr:rowOff>0</xdr:rowOff>
    </xdr:from>
    <xdr:to>
      <xdr:col>10</xdr:col>
      <xdr:colOff>561975</xdr:colOff>
      <xdr:row>5419</xdr:row>
      <xdr:rowOff>0</xdr:rowOff>
    </xdr:to>
    <xdr:sp>
      <xdr:nvSpPr>
        <xdr:cNvPr id="1593" name="TextBox 1592"/>
        <xdr:cNvSpPr txBox="1"/>
      </xdr:nvSpPr>
      <xdr:spPr>
        <a:xfrm>
          <a:off x="3109595" y="12936004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5511</xdr:row>
      <xdr:rowOff>9525</xdr:rowOff>
    </xdr:from>
    <xdr:to>
      <xdr:col>12</xdr:col>
      <xdr:colOff>180974</xdr:colOff>
      <xdr:row>5511</xdr:row>
      <xdr:rowOff>257175</xdr:rowOff>
    </xdr:to>
    <xdr:sp>
      <xdr:nvSpPr>
        <xdr:cNvPr id="1594" name="TextBox 1593"/>
        <xdr:cNvSpPr txBox="1"/>
      </xdr:nvSpPr>
      <xdr:spPr>
        <a:xfrm>
          <a:off x="2359025" y="131591113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5473</xdr:row>
      <xdr:rowOff>19050</xdr:rowOff>
    </xdr:from>
    <xdr:to>
      <xdr:col>4</xdr:col>
      <xdr:colOff>219075</xdr:colOff>
      <xdr:row>5477</xdr:row>
      <xdr:rowOff>271626</xdr:rowOff>
    </xdr:to>
    <xdr:pic>
      <xdr:nvPicPr>
        <xdr:cNvPr id="1595" name="Picture 159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0676142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5473</xdr:row>
      <xdr:rowOff>28575</xdr:rowOff>
    </xdr:from>
    <xdr:to>
      <xdr:col>16</xdr:col>
      <xdr:colOff>28575</xdr:colOff>
      <xdr:row>5478</xdr:row>
      <xdr:rowOff>4926</xdr:rowOff>
    </xdr:to>
    <xdr:pic>
      <xdr:nvPicPr>
        <xdr:cNvPr id="1596" name="Picture 1595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30677094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5509</xdr:row>
      <xdr:rowOff>28575</xdr:rowOff>
    </xdr:from>
    <xdr:to>
      <xdr:col>4</xdr:col>
      <xdr:colOff>171451</xdr:colOff>
      <xdr:row>5513</xdr:row>
      <xdr:rowOff>219075</xdr:rowOff>
    </xdr:to>
    <xdr:pic>
      <xdr:nvPicPr>
        <xdr:cNvPr id="1597" name="Picture 1596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31552505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5509</xdr:row>
      <xdr:rowOff>38100</xdr:rowOff>
    </xdr:from>
    <xdr:to>
      <xdr:col>15</xdr:col>
      <xdr:colOff>161926</xdr:colOff>
      <xdr:row>5514</xdr:row>
      <xdr:rowOff>0</xdr:rowOff>
    </xdr:to>
    <xdr:pic>
      <xdr:nvPicPr>
        <xdr:cNvPr id="1598" name="Picture 1597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31553458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5474</xdr:row>
      <xdr:rowOff>85726</xdr:rowOff>
    </xdr:from>
    <xdr:to>
      <xdr:col>13</xdr:col>
      <xdr:colOff>561975</xdr:colOff>
      <xdr:row>5507</xdr:row>
      <xdr:rowOff>66675</xdr:rowOff>
    </xdr:to>
    <xdr:sp>
      <xdr:nvSpPr>
        <xdr:cNvPr id="1599" name="Rectangle 1598"/>
        <xdr:cNvSpPr/>
      </xdr:nvSpPr>
      <xdr:spPr>
        <a:xfrm>
          <a:off x="1016635" y="130701859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5508</xdr:row>
      <xdr:rowOff>76200</xdr:rowOff>
    </xdr:from>
    <xdr:to>
      <xdr:col>11</xdr:col>
      <xdr:colOff>552450</xdr:colOff>
      <xdr:row>5525</xdr:row>
      <xdr:rowOff>247651</xdr:rowOff>
    </xdr:to>
    <xdr:sp>
      <xdr:nvSpPr>
        <xdr:cNvPr id="1600" name="Rectangle 1599"/>
        <xdr:cNvSpPr/>
      </xdr:nvSpPr>
      <xdr:spPr>
        <a:xfrm>
          <a:off x="2530475" y="131544631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5475</xdr:row>
      <xdr:rowOff>0</xdr:rowOff>
    </xdr:from>
    <xdr:to>
      <xdr:col>10</xdr:col>
      <xdr:colOff>561975</xdr:colOff>
      <xdr:row>5476</xdr:row>
      <xdr:rowOff>0</xdr:rowOff>
    </xdr:to>
    <xdr:sp>
      <xdr:nvSpPr>
        <xdr:cNvPr id="1601" name="TextBox 1600"/>
        <xdr:cNvSpPr txBox="1"/>
      </xdr:nvSpPr>
      <xdr:spPr>
        <a:xfrm>
          <a:off x="3109595" y="130721163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5568</xdr:row>
      <xdr:rowOff>9525</xdr:rowOff>
    </xdr:from>
    <xdr:to>
      <xdr:col>12</xdr:col>
      <xdr:colOff>180974</xdr:colOff>
      <xdr:row>5568</xdr:row>
      <xdr:rowOff>257175</xdr:rowOff>
    </xdr:to>
    <xdr:sp>
      <xdr:nvSpPr>
        <xdr:cNvPr id="1602" name="TextBox 1601"/>
        <xdr:cNvSpPr txBox="1"/>
      </xdr:nvSpPr>
      <xdr:spPr>
        <a:xfrm>
          <a:off x="2359025" y="132952236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5530</xdr:row>
      <xdr:rowOff>19050</xdr:rowOff>
    </xdr:from>
    <xdr:to>
      <xdr:col>4</xdr:col>
      <xdr:colOff>219075</xdr:colOff>
      <xdr:row>5534</xdr:row>
      <xdr:rowOff>271626</xdr:rowOff>
    </xdr:to>
    <xdr:pic>
      <xdr:nvPicPr>
        <xdr:cNvPr id="1603" name="Picture 160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2037264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5530</xdr:row>
      <xdr:rowOff>28575</xdr:rowOff>
    </xdr:from>
    <xdr:to>
      <xdr:col>16</xdr:col>
      <xdr:colOff>28575</xdr:colOff>
      <xdr:row>5535</xdr:row>
      <xdr:rowOff>4926</xdr:rowOff>
    </xdr:to>
    <xdr:pic>
      <xdr:nvPicPr>
        <xdr:cNvPr id="1604" name="Picture 160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32038217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5566</xdr:row>
      <xdr:rowOff>28575</xdr:rowOff>
    </xdr:from>
    <xdr:to>
      <xdr:col>4</xdr:col>
      <xdr:colOff>171451</xdr:colOff>
      <xdr:row>5570</xdr:row>
      <xdr:rowOff>219075</xdr:rowOff>
    </xdr:to>
    <xdr:pic>
      <xdr:nvPicPr>
        <xdr:cNvPr id="1605" name="Picture 160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32913628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5566</xdr:row>
      <xdr:rowOff>38100</xdr:rowOff>
    </xdr:from>
    <xdr:to>
      <xdr:col>15</xdr:col>
      <xdr:colOff>161926</xdr:colOff>
      <xdr:row>5571</xdr:row>
      <xdr:rowOff>0</xdr:rowOff>
    </xdr:to>
    <xdr:pic>
      <xdr:nvPicPr>
        <xdr:cNvPr id="1606" name="Picture 160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32914580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5531</xdr:row>
      <xdr:rowOff>85726</xdr:rowOff>
    </xdr:from>
    <xdr:to>
      <xdr:col>13</xdr:col>
      <xdr:colOff>561975</xdr:colOff>
      <xdr:row>5564</xdr:row>
      <xdr:rowOff>66675</xdr:rowOff>
    </xdr:to>
    <xdr:sp>
      <xdr:nvSpPr>
        <xdr:cNvPr id="1607" name="Rectangle 1606"/>
        <xdr:cNvSpPr/>
      </xdr:nvSpPr>
      <xdr:spPr>
        <a:xfrm>
          <a:off x="1016635" y="132062982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5565</xdr:row>
      <xdr:rowOff>76200</xdr:rowOff>
    </xdr:from>
    <xdr:to>
      <xdr:col>11</xdr:col>
      <xdr:colOff>552450</xdr:colOff>
      <xdr:row>5582</xdr:row>
      <xdr:rowOff>247651</xdr:rowOff>
    </xdr:to>
    <xdr:sp>
      <xdr:nvSpPr>
        <xdr:cNvPr id="1608" name="Rectangle 1607"/>
        <xdr:cNvSpPr/>
      </xdr:nvSpPr>
      <xdr:spPr>
        <a:xfrm>
          <a:off x="2530475" y="132905754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5532</xdr:row>
      <xdr:rowOff>0</xdr:rowOff>
    </xdr:from>
    <xdr:to>
      <xdr:col>10</xdr:col>
      <xdr:colOff>561975</xdr:colOff>
      <xdr:row>5533</xdr:row>
      <xdr:rowOff>0</xdr:rowOff>
    </xdr:to>
    <xdr:sp>
      <xdr:nvSpPr>
        <xdr:cNvPr id="1609" name="TextBox 1608"/>
        <xdr:cNvSpPr txBox="1"/>
      </xdr:nvSpPr>
      <xdr:spPr>
        <a:xfrm>
          <a:off x="3109595" y="132082286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5625</xdr:row>
      <xdr:rowOff>9525</xdr:rowOff>
    </xdr:from>
    <xdr:to>
      <xdr:col>12</xdr:col>
      <xdr:colOff>180974</xdr:colOff>
      <xdr:row>5625</xdr:row>
      <xdr:rowOff>257175</xdr:rowOff>
    </xdr:to>
    <xdr:sp>
      <xdr:nvSpPr>
        <xdr:cNvPr id="1610" name="TextBox 1609"/>
        <xdr:cNvSpPr txBox="1"/>
      </xdr:nvSpPr>
      <xdr:spPr>
        <a:xfrm>
          <a:off x="2359025" y="1343133585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5587</xdr:row>
      <xdr:rowOff>19050</xdr:rowOff>
    </xdr:from>
    <xdr:to>
      <xdr:col>4</xdr:col>
      <xdr:colOff>219075</xdr:colOff>
      <xdr:row>5591</xdr:row>
      <xdr:rowOff>271626</xdr:rowOff>
    </xdr:to>
    <xdr:pic>
      <xdr:nvPicPr>
        <xdr:cNvPr id="1611" name="Picture 1610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33983870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5587</xdr:row>
      <xdr:rowOff>28575</xdr:rowOff>
    </xdr:from>
    <xdr:to>
      <xdr:col>16</xdr:col>
      <xdr:colOff>28575</xdr:colOff>
      <xdr:row>5592</xdr:row>
      <xdr:rowOff>4926</xdr:rowOff>
    </xdr:to>
    <xdr:pic>
      <xdr:nvPicPr>
        <xdr:cNvPr id="1612" name="Picture 161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333993395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5623</xdr:row>
      <xdr:rowOff>28575</xdr:rowOff>
    </xdr:from>
    <xdr:to>
      <xdr:col>4</xdr:col>
      <xdr:colOff>171451</xdr:colOff>
      <xdr:row>5627</xdr:row>
      <xdr:rowOff>219075</xdr:rowOff>
    </xdr:to>
    <xdr:pic>
      <xdr:nvPicPr>
        <xdr:cNvPr id="1613" name="Picture 161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342747505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5623</xdr:row>
      <xdr:rowOff>38100</xdr:rowOff>
    </xdr:from>
    <xdr:to>
      <xdr:col>15</xdr:col>
      <xdr:colOff>161926</xdr:colOff>
      <xdr:row>5628</xdr:row>
      <xdr:rowOff>0</xdr:rowOff>
    </xdr:to>
    <xdr:pic>
      <xdr:nvPicPr>
        <xdr:cNvPr id="1614" name="Picture 1613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342757030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5588</xdr:row>
      <xdr:rowOff>85726</xdr:rowOff>
    </xdr:from>
    <xdr:to>
      <xdr:col>13</xdr:col>
      <xdr:colOff>561975</xdr:colOff>
      <xdr:row>5621</xdr:row>
      <xdr:rowOff>66675</xdr:rowOff>
    </xdr:to>
    <xdr:sp>
      <xdr:nvSpPr>
        <xdr:cNvPr id="1615" name="Rectangle 1614"/>
        <xdr:cNvSpPr/>
      </xdr:nvSpPr>
      <xdr:spPr>
        <a:xfrm>
          <a:off x="1016635" y="1334241045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5622</xdr:row>
      <xdr:rowOff>76200</xdr:rowOff>
    </xdr:from>
    <xdr:to>
      <xdr:col>11</xdr:col>
      <xdr:colOff>552450</xdr:colOff>
      <xdr:row>5639</xdr:row>
      <xdr:rowOff>247651</xdr:rowOff>
    </xdr:to>
    <xdr:sp>
      <xdr:nvSpPr>
        <xdr:cNvPr id="1616" name="Rectangle 1615"/>
        <xdr:cNvSpPr/>
      </xdr:nvSpPr>
      <xdr:spPr>
        <a:xfrm>
          <a:off x="2530475" y="1342668765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5589</xdr:row>
      <xdr:rowOff>0</xdr:rowOff>
    </xdr:from>
    <xdr:to>
      <xdr:col>10</xdr:col>
      <xdr:colOff>561975</xdr:colOff>
      <xdr:row>5590</xdr:row>
      <xdr:rowOff>0</xdr:rowOff>
    </xdr:to>
    <xdr:sp>
      <xdr:nvSpPr>
        <xdr:cNvPr id="1617" name="TextBox 1616"/>
        <xdr:cNvSpPr txBox="1"/>
      </xdr:nvSpPr>
      <xdr:spPr>
        <a:xfrm>
          <a:off x="3109595" y="1334434085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5</xdr:col>
      <xdr:colOff>419100</xdr:colOff>
      <xdr:row>5682</xdr:row>
      <xdr:rowOff>9525</xdr:rowOff>
    </xdr:from>
    <xdr:to>
      <xdr:col>12</xdr:col>
      <xdr:colOff>180974</xdr:colOff>
      <xdr:row>5682</xdr:row>
      <xdr:rowOff>257175</xdr:rowOff>
    </xdr:to>
    <xdr:sp>
      <xdr:nvSpPr>
        <xdr:cNvPr id="1618" name="TextBox 1617"/>
        <xdr:cNvSpPr txBox="1"/>
      </xdr:nvSpPr>
      <xdr:spPr>
        <a:xfrm>
          <a:off x="2359025" y="1356744810"/>
          <a:ext cx="4413250" cy="24765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CERTIFICATE OF PRIMARY EDUCATION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  <xdr:twoCellAnchor editAs="absolute">
    <xdr:from>
      <xdr:col>2</xdr:col>
      <xdr:colOff>9525</xdr:colOff>
      <xdr:row>5644</xdr:row>
      <xdr:rowOff>19050</xdr:rowOff>
    </xdr:from>
    <xdr:to>
      <xdr:col>4</xdr:col>
      <xdr:colOff>219075</xdr:colOff>
      <xdr:row>5648</xdr:row>
      <xdr:rowOff>271626</xdr:rowOff>
    </xdr:to>
    <xdr:pic>
      <xdr:nvPicPr>
        <xdr:cNvPr id="1619" name="Picture 1618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" y="1347595095"/>
          <a:ext cx="1179195" cy="1278890"/>
        </a:xfrm>
        <a:prstGeom prst="rect">
          <a:avLst/>
        </a:prstGeom>
      </xdr:spPr>
    </xdr:pic>
    <xdr:clientData/>
  </xdr:twoCellAnchor>
  <xdr:twoCellAnchor editAs="absolute">
    <xdr:from>
      <xdr:col>13</xdr:col>
      <xdr:colOff>352425</xdr:colOff>
      <xdr:row>5644</xdr:row>
      <xdr:rowOff>28575</xdr:rowOff>
    </xdr:from>
    <xdr:to>
      <xdr:col>16</xdr:col>
      <xdr:colOff>28575</xdr:colOff>
      <xdr:row>5649</xdr:row>
      <xdr:rowOff>4926</xdr:rowOff>
    </xdr:to>
    <xdr:pic>
      <xdr:nvPicPr>
        <xdr:cNvPr id="1620" name="Picture 1619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5270" y="1347604620"/>
          <a:ext cx="1155065" cy="1281430"/>
        </a:xfrm>
        <a:prstGeom prst="rect">
          <a:avLst/>
        </a:prstGeom>
      </xdr:spPr>
    </xdr:pic>
    <xdr:clientData/>
  </xdr:twoCellAnchor>
  <xdr:twoCellAnchor editAs="absolute">
    <xdr:from>
      <xdr:col>2</xdr:col>
      <xdr:colOff>85726</xdr:colOff>
      <xdr:row>5680</xdr:row>
      <xdr:rowOff>28575</xdr:rowOff>
    </xdr:from>
    <xdr:to>
      <xdr:col>4</xdr:col>
      <xdr:colOff>171451</xdr:colOff>
      <xdr:row>5684</xdr:row>
      <xdr:rowOff>219075</xdr:rowOff>
    </xdr:to>
    <xdr:pic>
      <xdr:nvPicPr>
        <xdr:cNvPr id="1621" name="Picture 1620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" y="1356358730"/>
          <a:ext cx="1055370" cy="1153160"/>
        </a:xfrm>
        <a:prstGeom prst="rect">
          <a:avLst/>
        </a:prstGeom>
      </xdr:spPr>
    </xdr:pic>
    <xdr:clientData/>
  </xdr:twoCellAnchor>
  <xdr:twoCellAnchor editAs="absolute">
    <xdr:from>
      <xdr:col>13</xdr:col>
      <xdr:colOff>428626</xdr:colOff>
      <xdr:row>5680</xdr:row>
      <xdr:rowOff>38100</xdr:rowOff>
    </xdr:from>
    <xdr:to>
      <xdr:col>15</xdr:col>
      <xdr:colOff>161926</xdr:colOff>
      <xdr:row>5685</xdr:row>
      <xdr:rowOff>0</xdr:rowOff>
    </xdr:to>
    <xdr:pic>
      <xdr:nvPicPr>
        <xdr:cNvPr id="1622" name="Picture 1621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1470" y="1356368255"/>
          <a:ext cx="1026160" cy="1153160"/>
        </a:xfrm>
        <a:prstGeom prst="rect">
          <a:avLst/>
        </a:prstGeom>
      </xdr:spPr>
    </xdr:pic>
    <xdr:clientData/>
  </xdr:twoCellAnchor>
  <xdr:twoCellAnchor editAs="absolute">
    <xdr:from>
      <xdr:col>3</xdr:col>
      <xdr:colOff>781050</xdr:colOff>
      <xdr:row>5645</xdr:row>
      <xdr:rowOff>85726</xdr:rowOff>
    </xdr:from>
    <xdr:to>
      <xdr:col>13</xdr:col>
      <xdr:colOff>561975</xdr:colOff>
      <xdr:row>5678</xdr:row>
      <xdr:rowOff>66675</xdr:rowOff>
    </xdr:to>
    <xdr:sp>
      <xdr:nvSpPr>
        <xdr:cNvPr id="1623" name="Rectangle 1622"/>
        <xdr:cNvSpPr/>
      </xdr:nvSpPr>
      <xdr:spPr>
        <a:xfrm>
          <a:off x="1016635" y="1347852270"/>
          <a:ext cx="7068185" cy="8291830"/>
        </a:xfrm>
        <a:prstGeom prst="rect">
          <a:avLst/>
        </a:prstGeom>
        <a:blipFill dpi="0" rotWithShape="1">
          <a:blip r:embed="rId3">
            <a:alphaModFix amt="1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5</xdr:col>
      <xdr:colOff>590550</xdr:colOff>
      <xdr:row>5679</xdr:row>
      <xdr:rowOff>76200</xdr:rowOff>
    </xdr:from>
    <xdr:to>
      <xdr:col>11</xdr:col>
      <xdr:colOff>552450</xdr:colOff>
      <xdr:row>5696</xdr:row>
      <xdr:rowOff>247651</xdr:rowOff>
    </xdr:to>
    <xdr:sp>
      <xdr:nvSpPr>
        <xdr:cNvPr id="1624" name="Rectangle 1623"/>
        <xdr:cNvSpPr/>
      </xdr:nvSpPr>
      <xdr:spPr>
        <a:xfrm>
          <a:off x="2530475" y="1356279990"/>
          <a:ext cx="3987165" cy="4555490"/>
        </a:xfrm>
        <a:prstGeom prst="rect">
          <a:avLst/>
        </a:prstGeom>
        <a:blipFill dpi="0" rotWithShape="1">
          <a:blip r:embed="rId4" cstate="print">
            <a:alphaModFix amt="7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absolute">
    <xdr:from>
      <xdr:col>6</xdr:col>
      <xdr:colOff>542926</xdr:colOff>
      <xdr:row>5646</xdr:row>
      <xdr:rowOff>0</xdr:rowOff>
    </xdr:from>
    <xdr:to>
      <xdr:col>10</xdr:col>
      <xdr:colOff>561975</xdr:colOff>
      <xdr:row>5647</xdr:row>
      <xdr:rowOff>0</xdr:rowOff>
    </xdr:to>
    <xdr:sp>
      <xdr:nvSpPr>
        <xdr:cNvPr id="1625" name="TextBox 1624"/>
        <xdr:cNvSpPr txBox="1"/>
      </xdr:nvSpPr>
      <xdr:spPr>
        <a:xfrm>
          <a:off x="3109595" y="1348045310"/>
          <a:ext cx="2790825" cy="278765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/>
              </a:solidFill>
              <a:latin typeface="Century Schoolbook" panose="02040604050505020304" pitchFamily="18" charset="0"/>
            </a:rPr>
            <a:t>ACHIEVEMENT REPORT</a:t>
          </a:r>
          <a:endParaRPr lang="en-US" sz="1400" b="1">
            <a:solidFill>
              <a:schemeClr val="bg1"/>
            </a:solidFill>
            <a:latin typeface="Century Schoolbook" panose="020406040505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9"/>
  <sheetViews>
    <sheetView topLeftCell="C5" workbookViewId="0">
      <selection activeCell="D24" sqref="D24"/>
    </sheetView>
  </sheetViews>
  <sheetFormatPr defaultColWidth="9.13888888888889" defaultRowHeight="18"/>
  <cols>
    <col min="1" max="1" width="9.13888888888889" style="1016"/>
    <col min="2" max="2" width="51" style="1017" customWidth="1"/>
    <col min="3" max="3" width="4.86111111111111" style="1016" customWidth="1"/>
    <col min="4" max="4" width="54.4259259259259" style="1017" customWidth="1"/>
    <col min="5" max="5" width="9.13888888888889" style="812"/>
    <col min="6" max="11" width="9.13888888888889" style="1016"/>
    <col min="12" max="12" width="9.13888888888889" style="812"/>
    <col min="13" max="16384" width="9.13888888888889" style="1016"/>
  </cols>
  <sheetData>
    <row r="1" ht="23.4" spans="1:18">
      <c r="A1" s="1018"/>
      <c r="B1" s="1019" t="s">
        <v>0</v>
      </c>
      <c r="C1" s="1019"/>
      <c r="D1" s="1019"/>
      <c r="F1" s="813" t="s">
        <v>1</v>
      </c>
      <c r="G1" s="813"/>
      <c r="H1" s="813"/>
      <c r="I1" s="813"/>
      <c r="J1" s="813"/>
      <c r="K1" s="813"/>
      <c r="M1" s="813" t="s">
        <v>2</v>
      </c>
      <c r="N1" s="813"/>
      <c r="O1" s="813"/>
      <c r="P1" s="813"/>
      <c r="Q1" s="813"/>
      <c r="R1" s="813"/>
    </row>
    <row r="2" ht="21" spans="1:18">
      <c r="A2" s="1020">
        <v>1</v>
      </c>
      <c r="B2" s="1021" t="s">
        <v>3</v>
      </c>
      <c r="C2" s="1020" t="s">
        <v>4</v>
      </c>
      <c r="D2" s="1022" t="s">
        <v>5</v>
      </c>
      <c r="F2" s="1023"/>
      <c r="G2" s="1023"/>
      <c r="H2" s="1023"/>
      <c r="I2" s="1023"/>
      <c r="J2" s="1023"/>
      <c r="K2" s="1023"/>
      <c r="M2" s="1023"/>
      <c r="N2" s="1023"/>
      <c r="O2" s="1023"/>
      <c r="P2" s="1023"/>
      <c r="Q2" s="1023"/>
      <c r="R2" s="1023"/>
    </row>
    <row r="3" ht="21" spans="1:18">
      <c r="A3" s="1020">
        <v>2</v>
      </c>
      <c r="B3" s="1021" t="s">
        <v>6</v>
      </c>
      <c r="C3" s="1020" t="s">
        <v>4</v>
      </c>
      <c r="D3" s="1022" t="s">
        <v>7</v>
      </c>
      <c r="E3" s="812">
        <v>1</v>
      </c>
      <c r="F3" s="1024" t="s">
        <v>8</v>
      </c>
      <c r="G3" s="1025"/>
      <c r="H3" s="1025"/>
      <c r="I3" s="1025"/>
      <c r="J3" s="1025"/>
      <c r="K3" s="1026"/>
      <c r="L3" s="812">
        <v>1</v>
      </c>
      <c r="M3" s="1027" t="s">
        <v>9</v>
      </c>
      <c r="N3" s="1027"/>
      <c r="O3" s="1027"/>
      <c r="P3" s="1027"/>
      <c r="Q3" s="1027"/>
      <c r="R3" s="1027"/>
    </row>
    <row r="4" ht="21" spans="1:18">
      <c r="A4" s="1020">
        <v>3</v>
      </c>
      <c r="B4" s="1021" t="s">
        <v>10</v>
      </c>
      <c r="C4" s="1020" t="s">
        <v>4</v>
      </c>
      <c r="D4" s="1022" t="s">
        <v>11</v>
      </c>
      <c r="F4" s="1028"/>
      <c r="G4" s="1028"/>
      <c r="H4" s="1028"/>
      <c r="I4" s="1028"/>
      <c r="J4" s="1028"/>
      <c r="K4" s="1028"/>
      <c r="M4" s="866"/>
      <c r="N4" s="866"/>
      <c r="O4" s="866"/>
      <c r="P4" s="866"/>
      <c r="Q4" s="866"/>
      <c r="R4" s="866"/>
    </row>
    <row r="5" ht="21" spans="1:18">
      <c r="A5" s="1020">
        <v>4</v>
      </c>
      <c r="B5" s="1021" t="s">
        <v>12</v>
      </c>
      <c r="C5" s="1020" t="s">
        <v>4</v>
      </c>
      <c r="D5" s="1022" t="s">
        <v>13</v>
      </c>
      <c r="E5" s="812">
        <v>2</v>
      </c>
      <c r="F5" s="1029" t="s">
        <v>14</v>
      </c>
      <c r="G5" s="1029"/>
      <c r="H5" s="1029"/>
      <c r="I5" s="1029"/>
      <c r="J5" s="1029"/>
      <c r="K5" s="1029"/>
      <c r="L5" s="812">
        <v>2</v>
      </c>
      <c r="M5" s="1030" t="s">
        <v>15</v>
      </c>
      <c r="N5" s="1031"/>
      <c r="O5" s="1031"/>
      <c r="P5" s="1031"/>
      <c r="Q5" s="1031"/>
      <c r="R5" s="1032"/>
    </row>
    <row r="6" ht="21" spans="1:18">
      <c r="A6" s="1020">
        <v>5</v>
      </c>
      <c r="B6" s="1021" t="s">
        <v>16</v>
      </c>
      <c r="C6" s="1020" t="s">
        <v>4</v>
      </c>
      <c r="D6" s="1022" t="s">
        <v>17</v>
      </c>
      <c r="F6" s="1028"/>
      <c r="G6" s="1028"/>
      <c r="H6" s="1028"/>
      <c r="I6" s="1028"/>
      <c r="J6" s="1028"/>
      <c r="K6" s="1028"/>
      <c r="M6" s="866"/>
      <c r="N6" s="866"/>
      <c r="O6" s="866"/>
      <c r="P6" s="866"/>
      <c r="Q6" s="866"/>
      <c r="R6" s="866"/>
    </row>
    <row r="7" ht="21" spans="1:18">
      <c r="A7" s="1020">
        <v>6</v>
      </c>
      <c r="B7" s="1021" t="s">
        <v>18</v>
      </c>
      <c r="C7" s="1020" t="s">
        <v>4</v>
      </c>
      <c r="D7" s="1022"/>
      <c r="E7" s="812">
        <v>3</v>
      </c>
      <c r="F7" s="1029" t="s">
        <v>19</v>
      </c>
      <c r="G7" s="1029"/>
      <c r="H7" s="1029"/>
      <c r="I7" s="1029"/>
      <c r="J7" s="1029"/>
      <c r="K7" s="1029"/>
      <c r="L7" s="812">
        <v>3</v>
      </c>
      <c r="M7" s="1033" t="s">
        <v>20</v>
      </c>
      <c r="N7" s="1034"/>
      <c r="O7" s="1034"/>
      <c r="P7" s="1034"/>
      <c r="Q7" s="1034"/>
      <c r="R7" s="1035"/>
    </row>
    <row r="8" ht="21" spans="1:18">
      <c r="A8" s="1020">
        <v>7</v>
      </c>
      <c r="B8" s="1021" t="s">
        <v>21</v>
      </c>
      <c r="C8" s="1020" t="s">
        <v>4</v>
      </c>
      <c r="D8" s="1036"/>
      <c r="F8" s="1028"/>
      <c r="G8" s="1028"/>
      <c r="H8" s="1028"/>
      <c r="I8" s="1028"/>
      <c r="J8" s="1028"/>
      <c r="K8" s="1028"/>
      <c r="M8" s="866"/>
      <c r="N8" s="866"/>
      <c r="O8" s="866"/>
      <c r="P8" s="866"/>
      <c r="Q8" s="866"/>
      <c r="R8" s="866"/>
    </row>
    <row r="9" ht="21" spans="1:18">
      <c r="A9" s="1020">
        <v>8</v>
      </c>
      <c r="B9" s="1021" t="s">
        <v>22</v>
      </c>
      <c r="C9" s="1020" t="s">
        <v>4</v>
      </c>
      <c r="D9" s="1022">
        <v>20</v>
      </c>
      <c r="E9" s="812">
        <v>4</v>
      </c>
      <c r="F9" s="1037" t="s">
        <v>23</v>
      </c>
      <c r="G9" s="1037"/>
      <c r="H9" s="1037"/>
      <c r="I9" s="1037"/>
      <c r="J9" s="1037"/>
      <c r="K9" s="1037"/>
      <c r="L9" s="812">
        <v>4</v>
      </c>
      <c r="M9" s="1033" t="s">
        <v>24</v>
      </c>
      <c r="N9" s="1034"/>
      <c r="O9" s="1034"/>
      <c r="P9" s="1034"/>
      <c r="Q9" s="1034"/>
      <c r="R9" s="1035"/>
    </row>
    <row r="10" ht="21" spans="1:18">
      <c r="A10" s="1020">
        <v>9</v>
      </c>
      <c r="B10" s="1021" t="s">
        <v>25</v>
      </c>
      <c r="C10" s="1020" t="s">
        <v>4</v>
      </c>
      <c r="D10" s="1022">
        <v>40</v>
      </c>
      <c r="F10" s="1028"/>
      <c r="G10" s="1028"/>
      <c r="H10" s="1028"/>
      <c r="I10" s="1028"/>
      <c r="J10" s="1028"/>
      <c r="K10" s="1028"/>
      <c r="M10" s="866"/>
      <c r="N10" s="866"/>
      <c r="O10" s="866"/>
      <c r="P10" s="866"/>
      <c r="Q10" s="866"/>
      <c r="R10" s="866"/>
    </row>
    <row r="11" ht="21" spans="1:18">
      <c r="A11" s="1020">
        <v>10</v>
      </c>
      <c r="B11" s="1021" t="s">
        <v>26</v>
      </c>
      <c r="C11" s="1020" t="s">
        <v>4</v>
      </c>
      <c r="D11" s="1022" t="s">
        <v>27</v>
      </c>
      <c r="E11" s="812">
        <v>5</v>
      </c>
      <c r="F11" s="1037" t="s">
        <v>28</v>
      </c>
      <c r="G11" s="1037"/>
      <c r="H11" s="1037"/>
      <c r="I11" s="1037"/>
      <c r="J11" s="1037"/>
      <c r="K11" s="1037"/>
      <c r="L11" s="812">
        <v>5</v>
      </c>
      <c r="M11" s="1038" t="s">
        <v>29</v>
      </c>
      <c r="N11" s="1038"/>
      <c r="O11" s="1038"/>
      <c r="P11" s="1038"/>
      <c r="Q11" s="1038"/>
      <c r="R11" s="1038"/>
    </row>
    <row r="12" ht="21" spans="1:18">
      <c r="A12" s="1020">
        <v>11</v>
      </c>
      <c r="B12" s="1021" t="s">
        <v>30</v>
      </c>
      <c r="C12" s="1020" t="s">
        <v>4</v>
      </c>
      <c r="D12" s="1022" t="s">
        <v>31</v>
      </c>
      <c r="F12" s="812"/>
      <c r="G12" s="812"/>
      <c r="H12" s="812"/>
      <c r="I12" s="812"/>
      <c r="J12" s="812"/>
      <c r="K12" s="812"/>
      <c r="M12" s="812"/>
      <c r="N12" s="812"/>
      <c r="O12" s="812"/>
      <c r="P12" s="812"/>
      <c r="Q12" s="812"/>
      <c r="R12" s="812"/>
    </row>
    <row r="13" ht="21" spans="1:18">
      <c r="A13" s="1020">
        <v>12</v>
      </c>
      <c r="B13" s="1021" t="s">
        <v>32</v>
      </c>
      <c r="C13" s="1020" t="s">
        <v>4</v>
      </c>
      <c r="D13" s="1022" t="s">
        <v>33</v>
      </c>
      <c r="E13" s="812">
        <v>6</v>
      </c>
      <c r="F13" s="1037" t="s">
        <v>34</v>
      </c>
      <c r="G13" s="1037"/>
      <c r="H13" s="1037"/>
      <c r="I13" s="1037"/>
      <c r="J13" s="1037"/>
      <c r="K13" s="1037"/>
      <c r="L13" s="812">
        <v>6</v>
      </c>
      <c r="M13" s="1038" t="s">
        <v>35</v>
      </c>
      <c r="N13" s="1038"/>
      <c r="O13" s="1038"/>
      <c r="P13" s="1038"/>
      <c r="Q13" s="1038"/>
      <c r="R13" s="1038"/>
    </row>
    <row r="14" ht="21" spans="1:18">
      <c r="A14" s="1020">
        <v>13</v>
      </c>
      <c r="B14" s="1021" t="s">
        <v>36</v>
      </c>
      <c r="C14" s="1020" t="s">
        <v>4</v>
      </c>
      <c r="D14" s="1022"/>
      <c r="F14" s="812"/>
      <c r="G14" s="812"/>
      <c r="H14" s="812"/>
      <c r="I14" s="812"/>
      <c r="J14" s="812"/>
      <c r="K14" s="812"/>
      <c r="M14" s="812"/>
      <c r="N14" s="812"/>
      <c r="O14" s="812"/>
      <c r="P14" s="812"/>
      <c r="Q14" s="812"/>
      <c r="R14" s="812"/>
    </row>
    <row r="15" ht="21" spans="1:18">
      <c r="A15" s="1020">
        <v>14</v>
      </c>
      <c r="B15" s="1021" t="s">
        <v>37</v>
      </c>
      <c r="C15" s="1020" t="s">
        <v>4</v>
      </c>
      <c r="D15" s="1022"/>
      <c r="E15" s="812">
        <v>7</v>
      </c>
      <c r="F15" s="1039" t="s">
        <v>38</v>
      </c>
      <c r="G15" s="1039"/>
      <c r="H15" s="1039"/>
      <c r="I15" s="1039"/>
      <c r="J15" s="1039"/>
      <c r="K15" s="1039"/>
      <c r="L15" s="812">
        <v>7</v>
      </c>
      <c r="M15" s="1038" t="s">
        <v>39</v>
      </c>
      <c r="N15" s="1038"/>
      <c r="O15" s="1038"/>
      <c r="P15" s="1038"/>
      <c r="Q15" s="1038"/>
      <c r="R15" s="1038"/>
    </row>
    <row r="16" ht="21" spans="1:18">
      <c r="A16" s="1020">
        <v>15</v>
      </c>
      <c r="B16" s="1021" t="s">
        <v>40</v>
      </c>
      <c r="C16" s="1020" t="s">
        <v>4</v>
      </c>
      <c r="D16" s="1022"/>
      <c r="F16" s="812"/>
      <c r="G16" s="812"/>
      <c r="H16" s="812"/>
      <c r="I16" s="812"/>
      <c r="J16" s="812"/>
      <c r="K16" s="812"/>
      <c r="M16" s="812"/>
      <c r="N16" s="812"/>
      <c r="O16" s="812"/>
      <c r="P16" s="812"/>
      <c r="Q16" s="812"/>
      <c r="R16" s="812"/>
    </row>
    <row r="17" ht="21" spans="1:18">
      <c r="A17" s="1020">
        <v>16</v>
      </c>
      <c r="B17" s="1021" t="s">
        <v>41</v>
      </c>
      <c r="C17" s="1020" t="s">
        <v>4</v>
      </c>
      <c r="D17" s="1022"/>
      <c r="F17" s="812"/>
      <c r="G17" s="812"/>
      <c r="H17" s="812"/>
      <c r="I17" s="812"/>
      <c r="J17" s="812"/>
      <c r="K17" s="812"/>
      <c r="L17" s="812">
        <v>8</v>
      </c>
      <c r="M17" s="1038" t="s">
        <v>42</v>
      </c>
      <c r="N17" s="1038"/>
      <c r="O17" s="1038"/>
      <c r="P17" s="1038"/>
      <c r="Q17" s="1038"/>
      <c r="R17" s="1038"/>
    </row>
    <row r="18" ht="21" spans="1:18">
      <c r="A18" s="1020">
        <v>17</v>
      </c>
      <c r="B18" s="1021" t="s">
        <v>43</v>
      </c>
      <c r="C18" s="1020" t="s">
        <v>4</v>
      </c>
      <c r="D18" s="1022"/>
      <c r="F18" s="812"/>
      <c r="G18" s="812"/>
      <c r="H18" s="812"/>
      <c r="I18" s="812"/>
      <c r="J18" s="812"/>
      <c r="K18" s="812"/>
      <c r="M18" s="812"/>
      <c r="N18" s="812"/>
      <c r="O18" s="812"/>
      <c r="P18" s="812"/>
      <c r="Q18" s="812"/>
      <c r="R18" s="812"/>
    </row>
    <row r="19" ht="21" spans="1:18">
      <c r="A19" s="1020">
        <v>18</v>
      </c>
      <c r="B19" s="1021" t="s">
        <v>44</v>
      </c>
      <c r="C19" s="1020" t="s">
        <v>4</v>
      </c>
      <c r="D19" s="1022" t="s">
        <v>45</v>
      </c>
      <c r="F19" s="812"/>
      <c r="G19" s="812"/>
      <c r="H19" s="812"/>
      <c r="I19" s="812"/>
      <c r="J19" s="812"/>
      <c r="K19" s="812"/>
      <c r="L19" s="812">
        <v>9</v>
      </c>
      <c r="M19" s="1038" t="s">
        <v>46</v>
      </c>
      <c r="N19" s="1038"/>
      <c r="O19" s="1038"/>
      <c r="P19" s="1038"/>
      <c r="Q19" s="1038"/>
      <c r="R19" s="1038"/>
    </row>
    <row r="20" ht="21" spans="1:18">
      <c r="A20" s="1020">
        <v>19</v>
      </c>
      <c r="B20" s="1021" t="s">
        <v>47</v>
      </c>
      <c r="C20" s="1020" t="s">
        <v>4</v>
      </c>
      <c r="D20" s="1022" t="s">
        <v>48</v>
      </c>
      <c r="F20" s="812"/>
      <c r="G20" s="812"/>
      <c r="H20" s="812"/>
      <c r="I20" s="812"/>
      <c r="J20" s="812"/>
      <c r="K20" s="812"/>
      <c r="M20" s="812"/>
      <c r="N20" s="812"/>
      <c r="O20" s="812"/>
      <c r="P20" s="812"/>
      <c r="Q20" s="812"/>
      <c r="R20" s="812"/>
    </row>
    <row r="21" ht="21" spans="1:18">
      <c r="A21" s="1020">
        <v>20</v>
      </c>
      <c r="B21" s="1021" t="s">
        <v>49</v>
      </c>
      <c r="C21" s="1020" t="s">
        <v>4</v>
      </c>
      <c r="D21" s="1022" t="s">
        <v>50</v>
      </c>
      <c r="F21" s="812"/>
      <c r="G21" s="812"/>
      <c r="H21" s="812"/>
      <c r="I21" s="812"/>
      <c r="J21" s="812"/>
      <c r="K21" s="812"/>
      <c r="L21" s="812">
        <v>10</v>
      </c>
      <c r="M21" s="1040" t="s">
        <v>51</v>
      </c>
      <c r="N21" s="1040"/>
      <c r="O21" s="1040"/>
      <c r="P21" s="1040"/>
      <c r="Q21" s="1040"/>
      <c r="R21" s="1040"/>
    </row>
    <row r="22" ht="21" spans="1:18">
      <c r="A22" s="1020">
        <v>21</v>
      </c>
      <c r="B22" s="1021" t="s">
        <v>52</v>
      </c>
      <c r="C22" s="1020" t="s">
        <v>4</v>
      </c>
      <c r="D22" s="1022">
        <v>39</v>
      </c>
      <c r="F22" s="812"/>
      <c r="G22" s="812"/>
      <c r="H22" s="812"/>
      <c r="I22" s="812"/>
      <c r="J22" s="812"/>
      <c r="K22" s="812"/>
      <c r="M22" s="812"/>
      <c r="N22" s="812"/>
      <c r="O22" s="812"/>
      <c r="P22" s="812"/>
      <c r="Q22" s="812"/>
      <c r="R22" s="812"/>
    </row>
    <row r="23" ht="21" spans="1:18">
      <c r="A23" s="1020">
        <v>22</v>
      </c>
      <c r="B23" s="1021" t="s">
        <v>53</v>
      </c>
      <c r="C23" s="1020" t="s">
        <v>4</v>
      </c>
      <c r="D23" s="1022">
        <v>0</v>
      </c>
      <c r="F23" s="812"/>
      <c r="G23" s="812"/>
      <c r="H23" s="812"/>
      <c r="I23" s="812"/>
      <c r="J23" s="812"/>
      <c r="K23" s="812"/>
      <c r="L23" s="812">
        <v>11</v>
      </c>
      <c r="M23" s="1040" t="s">
        <v>54</v>
      </c>
      <c r="N23" s="1040"/>
      <c r="O23" s="1040"/>
      <c r="P23" s="1040"/>
      <c r="Q23" s="1040"/>
      <c r="R23" s="1040"/>
    </row>
    <row r="24" ht="21" spans="1:18">
      <c r="A24" s="1020">
        <v>23</v>
      </c>
      <c r="B24" s="1021" t="s">
        <v>55</v>
      </c>
      <c r="C24" s="1020" t="s">
        <v>4</v>
      </c>
      <c r="D24" s="1022">
        <v>39</v>
      </c>
      <c r="F24" s="812"/>
      <c r="G24" s="812"/>
      <c r="H24" s="812"/>
      <c r="I24" s="812"/>
      <c r="J24" s="812"/>
      <c r="K24" s="812"/>
      <c r="M24" s="812"/>
      <c r="N24" s="812"/>
      <c r="O24" s="812"/>
      <c r="P24" s="812"/>
      <c r="Q24" s="812"/>
      <c r="R24" s="812"/>
    </row>
    <row r="25" ht="21" spans="1:18">
      <c r="A25" s="1020">
        <v>24</v>
      </c>
      <c r="B25" s="1021" t="s">
        <v>56</v>
      </c>
      <c r="C25" s="1020" t="s">
        <v>4</v>
      </c>
      <c r="D25" s="1022"/>
      <c r="F25" s="812"/>
      <c r="G25" s="812"/>
      <c r="H25" s="812"/>
      <c r="I25" s="812"/>
      <c r="J25" s="812"/>
      <c r="K25" s="812"/>
      <c r="L25" s="812">
        <v>12</v>
      </c>
      <c r="M25" s="1040" t="s">
        <v>57</v>
      </c>
      <c r="N25" s="1040"/>
      <c r="O25" s="1040"/>
      <c r="P25" s="1040"/>
      <c r="Q25" s="1040"/>
      <c r="R25" s="1040"/>
    </row>
    <row r="26" ht="21" spans="1:18">
      <c r="A26" s="1020">
        <v>25</v>
      </c>
      <c r="B26" s="1021" t="s">
        <v>58</v>
      </c>
      <c r="C26" s="1020" t="s">
        <v>4</v>
      </c>
      <c r="D26" s="1022"/>
      <c r="F26" s="812"/>
      <c r="G26" s="812"/>
      <c r="H26" s="812"/>
      <c r="I26" s="812"/>
      <c r="J26" s="812"/>
      <c r="K26" s="812"/>
      <c r="M26" s="812"/>
      <c r="N26" s="812"/>
      <c r="O26" s="812"/>
      <c r="P26" s="812"/>
      <c r="Q26" s="812"/>
      <c r="R26" s="812"/>
    </row>
    <row r="27" ht="21" spans="1:18">
      <c r="A27" s="1020">
        <v>26</v>
      </c>
      <c r="B27" s="1021" t="s">
        <v>59</v>
      </c>
      <c r="C27" s="1020" t="s">
        <v>4</v>
      </c>
      <c r="D27" s="1041">
        <v>46102</v>
      </c>
      <c r="F27" s="812"/>
      <c r="G27" s="812"/>
      <c r="H27" s="812"/>
      <c r="I27" s="812"/>
      <c r="J27" s="812"/>
      <c r="K27" s="812"/>
      <c r="L27" s="812">
        <v>13</v>
      </c>
      <c r="M27" s="1040" t="s">
        <v>60</v>
      </c>
      <c r="N27" s="1040"/>
      <c r="O27" s="1040"/>
      <c r="P27" s="1040"/>
      <c r="Q27" s="1040"/>
      <c r="R27" s="1040"/>
    </row>
    <row r="28" ht="21" spans="1:18">
      <c r="A28" s="1020">
        <v>27</v>
      </c>
      <c r="B28" s="1021" t="s">
        <v>61</v>
      </c>
      <c r="C28" s="1020" t="s">
        <v>4</v>
      </c>
      <c r="D28" s="1022" t="s">
        <v>62</v>
      </c>
      <c r="F28" s="812"/>
      <c r="G28" s="812"/>
      <c r="H28" s="812"/>
      <c r="I28" s="812"/>
      <c r="J28" s="812"/>
      <c r="K28" s="812"/>
      <c r="M28" s="812"/>
      <c r="N28" s="812"/>
      <c r="O28" s="812"/>
      <c r="P28" s="812"/>
      <c r="Q28" s="812"/>
      <c r="R28" s="812"/>
    </row>
    <row r="29" ht="21" spans="1:18">
      <c r="A29" s="1020">
        <v>28</v>
      </c>
      <c r="B29" s="1021" t="s">
        <v>63</v>
      </c>
      <c r="C29" s="1020" t="s">
        <v>4</v>
      </c>
      <c r="D29" s="1022">
        <v>95032137</v>
      </c>
      <c r="F29" s="812"/>
      <c r="G29" s="812"/>
      <c r="H29" s="812"/>
      <c r="I29" s="812"/>
      <c r="J29" s="812"/>
      <c r="K29" s="812"/>
      <c r="L29" s="812">
        <v>14</v>
      </c>
      <c r="M29" s="1040" t="s">
        <v>64</v>
      </c>
      <c r="N29" s="1040"/>
      <c r="O29" s="1040"/>
      <c r="P29" s="1040"/>
      <c r="Q29" s="1040"/>
      <c r="R29" s="1040"/>
    </row>
    <row r="30" ht="21" spans="1:18">
      <c r="A30" s="1020">
        <v>29</v>
      </c>
      <c r="B30" s="1021" t="s">
        <v>65</v>
      </c>
      <c r="C30" s="1020" t="s">
        <v>4</v>
      </c>
      <c r="D30" s="1022">
        <v>9958606952</v>
      </c>
      <c r="F30" s="812"/>
      <c r="G30" s="812"/>
      <c r="H30" s="812"/>
      <c r="I30" s="812"/>
      <c r="J30" s="812"/>
      <c r="K30" s="812"/>
      <c r="M30" s="812"/>
      <c r="N30" s="812"/>
      <c r="O30" s="812"/>
      <c r="P30" s="812"/>
      <c r="Q30" s="812"/>
      <c r="R30" s="812"/>
    </row>
    <row r="31" ht="21" spans="1:18">
      <c r="A31" s="1020">
        <v>30</v>
      </c>
      <c r="B31" s="1021" t="s">
        <v>66</v>
      </c>
      <c r="C31" s="1020" t="s">
        <v>4</v>
      </c>
      <c r="D31" s="1022"/>
      <c r="F31" s="812"/>
      <c r="G31" s="812"/>
      <c r="H31" s="812"/>
      <c r="I31" s="812"/>
      <c r="J31" s="812"/>
      <c r="K31" s="812"/>
      <c r="L31" s="812">
        <v>15</v>
      </c>
      <c r="M31" s="1040" t="s">
        <v>67</v>
      </c>
      <c r="N31" s="1040"/>
      <c r="O31" s="1040"/>
      <c r="P31" s="1040"/>
      <c r="Q31" s="1040"/>
      <c r="R31" s="1040"/>
    </row>
    <row r="32" ht="21" spans="1:18">
      <c r="A32" s="1020">
        <v>31</v>
      </c>
      <c r="B32" s="1021" t="s">
        <v>68</v>
      </c>
      <c r="C32" s="1020" t="s">
        <v>4</v>
      </c>
      <c r="D32" s="1022"/>
      <c r="F32" s="812"/>
      <c r="G32" s="812"/>
      <c r="H32" s="812"/>
      <c r="I32" s="812"/>
      <c r="J32" s="812"/>
      <c r="K32" s="812"/>
      <c r="M32" s="812"/>
      <c r="N32" s="812"/>
      <c r="O32" s="812"/>
      <c r="P32" s="812"/>
      <c r="Q32" s="812"/>
      <c r="R32" s="812"/>
    </row>
    <row r="33" ht="21" spans="1:18">
      <c r="A33" s="1020">
        <v>32</v>
      </c>
      <c r="B33" s="1021" t="s">
        <v>69</v>
      </c>
      <c r="C33" s="1020" t="s">
        <v>4</v>
      </c>
      <c r="D33" s="1022"/>
      <c r="F33" s="812"/>
      <c r="G33" s="812"/>
      <c r="H33" s="812"/>
      <c r="I33" s="812"/>
      <c r="J33" s="812"/>
      <c r="K33" s="812"/>
      <c r="L33" s="812">
        <v>16</v>
      </c>
      <c r="M33" s="1040" t="s">
        <v>70</v>
      </c>
      <c r="N33" s="1040"/>
      <c r="O33" s="1040"/>
      <c r="P33" s="1040"/>
      <c r="Q33" s="1040"/>
      <c r="R33" s="1040"/>
    </row>
    <row r="34" ht="21" spans="1:18">
      <c r="A34" s="1020">
        <v>33</v>
      </c>
      <c r="B34" s="1021"/>
      <c r="C34" s="1020"/>
      <c r="D34" s="1022"/>
      <c r="F34" s="812"/>
      <c r="G34" s="812"/>
      <c r="H34" s="812"/>
      <c r="I34" s="812"/>
      <c r="J34" s="812"/>
      <c r="K34" s="812"/>
      <c r="M34" s="812"/>
      <c r="N34" s="812"/>
      <c r="O34" s="812"/>
      <c r="P34" s="812"/>
      <c r="Q34" s="812"/>
      <c r="R34" s="812"/>
    </row>
    <row r="35" ht="21" spans="1:18">
      <c r="A35" s="1020">
        <v>34</v>
      </c>
      <c r="B35" s="1021"/>
      <c r="C35" s="1020"/>
      <c r="D35" s="1022"/>
      <c r="F35" s="812"/>
      <c r="G35" s="812"/>
      <c r="H35" s="812"/>
      <c r="I35" s="812"/>
      <c r="J35" s="812"/>
      <c r="K35" s="812"/>
      <c r="L35" s="812">
        <v>17</v>
      </c>
      <c r="M35" s="1040" t="s">
        <v>71</v>
      </c>
      <c r="N35" s="1040"/>
      <c r="O35" s="1040"/>
      <c r="P35" s="1040"/>
      <c r="Q35" s="1040"/>
      <c r="R35" s="1040"/>
    </row>
    <row r="36" ht="21" spans="1:18">
      <c r="A36" s="1020">
        <v>35</v>
      </c>
      <c r="B36" s="1021"/>
      <c r="C36" s="1020"/>
      <c r="D36" s="1022"/>
      <c r="F36" s="812"/>
      <c r="G36" s="812"/>
      <c r="H36" s="812"/>
      <c r="I36" s="812"/>
      <c r="J36" s="812"/>
      <c r="K36" s="812"/>
      <c r="M36" s="812"/>
      <c r="N36" s="812"/>
      <c r="O36" s="812"/>
      <c r="P36" s="812"/>
      <c r="Q36" s="812"/>
      <c r="R36" s="812"/>
    </row>
    <row r="37" ht="21" spans="1:18">
      <c r="A37" s="1020">
        <v>36</v>
      </c>
      <c r="B37" s="1021"/>
      <c r="C37" s="1020"/>
      <c r="D37" s="1022"/>
      <c r="F37" s="812"/>
      <c r="G37" s="812"/>
      <c r="H37" s="812"/>
      <c r="I37" s="812"/>
      <c r="J37" s="812"/>
      <c r="K37" s="812"/>
      <c r="L37" s="812">
        <v>18</v>
      </c>
      <c r="M37" s="1033" t="s">
        <v>72</v>
      </c>
      <c r="N37" s="1034"/>
      <c r="O37" s="1034"/>
      <c r="P37" s="1034"/>
      <c r="Q37" s="1034"/>
      <c r="R37" s="1035"/>
    </row>
    <row r="38" ht="21" spans="1:18">
      <c r="A38" s="1020">
        <v>37</v>
      </c>
      <c r="B38" s="1021"/>
      <c r="C38" s="1020"/>
      <c r="D38" s="1022"/>
      <c r="F38" s="812"/>
      <c r="G38" s="812"/>
      <c r="H38" s="812"/>
      <c r="I38" s="812"/>
      <c r="J38" s="812"/>
      <c r="K38" s="812"/>
      <c r="M38" s="812"/>
      <c r="N38" s="812"/>
      <c r="O38" s="812"/>
      <c r="P38" s="812"/>
      <c r="Q38" s="812"/>
      <c r="R38" s="812"/>
    </row>
    <row r="39" ht="21" spans="1:18">
      <c r="A39" s="1020">
        <v>38</v>
      </c>
      <c r="B39" s="1021"/>
      <c r="C39" s="1020"/>
      <c r="D39" s="1022"/>
      <c r="F39" s="812"/>
      <c r="G39" s="812"/>
      <c r="H39" s="812"/>
      <c r="I39" s="812"/>
      <c r="J39" s="812"/>
      <c r="K39" s="812"/>
      <c r="L39" s="812">
        <v>19</v>
      </c>
      <c r="M39" s="1042" t="s">
        <v>73</v>
      </c>
      <c r="N39" s="1043"/>
      <c r="O39" s="1043"/>
      <c r="P39" s="1043"/>
      <c r="Q39" s="1043"/>
      <c r="R39" s="1044"/>
    </row>
    <row r="40" ht="21" spans="1:18">
      <c r="A40" s="1020">
        <v>39</v>
      </c>
      <c r="B40" s="1021"/>
      <c r="C40" s="1020"/>
      <c r="D40" s="1022"/>
      <c r="F40" s="812"/>
      <c r="G40" s="812"/>
      <c r="H40" s="812"/>
      <c r="I40" s="812"/>
      <c r="J40" s="812"/>
      <c r="K40" s="812"/>
      <c r="M40" s="812"/>
      <c r="N40" s="812"/>
      <c r="O40" s="812"/>
      <c r="P40" s="812"/>
      <c r="Q40" s="812"/>
      <c r="R40" s="812"/>
    </row>
    <row r="41" ht="21" spans="1:18">
      <c r="A41" s="1020">
        <v>40</v>
      </c>
      <c r="B41" s="1021"/>
      <c r="C41" s="1020"/>
      <c r="D41" s="1022"/>
      <c r="F41" s="812"/>
      <c r="G41" s="812"/>
      <c r="H41" s="812"/>
      <c r="I41" s="812"/>
      <c r="J41" s="812"/>
      <c r="K41" s="812"/>
      <c r="L41" s="812">
        <v>20</v>
      </c>
      <c r="M41" s="1042" t="s">
        <v>74</v>
      </c>
      <c r="N41" s="1043"/>
      <c r="O41" s="1043"/>
      <c r="P41" s="1043"/>
      <c r="Q41" s="1043"/>
      <c r="R41" s="1044"/>
    </row>
    <row r="43" spans="1:18">
      <c r="L43" s="812">
        <v>21</v>
      </c>
      <c r="M43" s="1042" t="s">
        <v>75</v>
      </c>
      <c r="N43" s="1043"/>
      <c r="O43" s="1043"/>
      <c r="P43" s="1043"/>
      <c r="Q43" s="1043"/>
      <c r="R43" s="1044"/>
    </row>
    <row r="45" spans="1:18">
      <c r="L45" s="812">
        <v>22</v>
      </c>
      <c r="M45" s="1042" t="s">
        <v>76</v>
      </c>
      <c r="N45" s="1043"/>
      <c r="O45" s="1043"/>
      <c r="P45" s="1043"/>
      <c r="Q45" s="1043"/>
      <c r="R45" s="1044"/>
    </row>
    <row r="47" spans="1:18">
      <c r="L47" s="812">
        <v>23</v>
      </c>
      <c r="M47" s="1042" t="s">
        <v>77</v>
      </c>
      <c r="N47" s="1043"/>
      <c r="O47" s="1043"/>
      <c r="P47" s="1043"/>
      <c r="Q47" s="1043"/>
      <c r="R47" s="1044"/>
    </row>
    <row r="49" spans="12:18">
      <c r="L49" s="812">
        <v>24</v>
      </c>
      <c r="M49" s="1042" t="s">
        <v>78</v>
      </c>
      <c r="N49" s="1043"/>
      <c r="O49" s="1043"/>
      <c r="P49" s="1043"/>
      <c r="Q49" s="1043"/>
      <c r="R49" s="1044"/>
    </row>
  </sheetData>
  <sheetProtection password="BF6F" sheet="1" formatCells="0" formatColumns="0" formatRows="0" objects="1" scenarios="1"/>
  <mergeCells count="44">
    <mergeCell ref="B1:D1"/>
    <mergeCell ref="F1:K1"/>
    <mergeCell ref="M1:R1"/>
    <mergeCell ref="F2:K2"/>
    <mergeCell ref="M2:R2"/>
    <mergeCell ref="F3:K3"/>
    <mergeCell ref="M3:R3"/>
    <mergeCell ref="F4:K4"/>
    <mergeCell ref="M4:R4"/>
    <mergeCell ref="F5:K5"/>
    <mergeCell ref="M5:R5"/>
    <mergeCell ref="F6:K6"/>
    <mergeCell ref="M6:R6"/>
    <mergeCell ref="F7:K7"/>
    <mergeCell ref="M7:R7"/>
    <mergeCell ref="F8:K8"/>
    <mergeCell ref="M8:R8"/>
    <mergeCell ref="F9:K9"/>
    <mergeCell ref="M9:R9"/>
    <mergeCell ref="F10:K10"/>
    <mergeCell ref="M10:R10"/>
    <mergeCell ref="F11:K11"/>
    <mergeCell ref="M11:R11"/>
    <mergeCell ref="F13:K13"/>
    <mergeCell ref="M13:R13"/>
    <mergeCell ref="F15:K15"/>
    <mergeCell ref="M15:R15"/>
    <mergeCell ref="M17:R17"/>
    <mergeCell ref="M19:R19"/>
    <mergeCell ref="M21:R21"/>
    <mergeCell ref="M23:R23"/>
    <mergeCell ref="M25:R25"/>
    <mergeCell ref="M27:R27"/>
    <mergeCell ref="M29:R29"/>
    <mergeCell ref="M31:R31"/>
    <mergeCell ref="M33:R33"/>
    <mergeCell ref="M35:R35"/>
    <mergeCell ref="M37:R37"/>
    <mergeCell ref="M39:R39"/>
    <mergeCell ref="M41:R41"/>
    <mergeCell ref="M43:R43"/>
    <mergeCell ref="M45:R45"/>
    <mergeCell ref="M47:R47"/>
    <mergeCell ref="M49:R49"/>
  </mergeCells>
  <hyperlinks>
    <hyperlink ref="F3:K3" location="DATEWISE!A1" display="DATEWISE"/>
    <hyperlink ref="F5:K5" location="STUDENT!A1" display="STUDENT"/>
    <hyperlink ref="F7:K7" location="FLN!A1" display="FLN"/>
    <hyperlink ref="M3:R3" location="FLNASSESSMENT!A1" display="STUDENT FLN ASSESSMENT SHEET"/>
    <hyperlink ref="M5:R5" location="'F1'!A1" display="STUDENT FLN RECORD - ANNEXURE-F1"/>
    <hyperlink ref="M7:R7" location="'F2'!A1" display="CLASS WISE FLN RECORD - ANNEXURE-F2"/>
    <hyperlink ref="M9:R9" location="'BAR-F1'!A1" display="BAR GRAPH - ANNEXURE-F1"/>
    <hyperlink ref="F9:K9" location="PHOTO!A1" display="PHOTO"/>
    <hyperlink ref="F13:K13" location="MARKS!A1" display="MARKS"/>
    <hyperlink ref="M11:R11" location="PASUMMARY!A1" display="P.A. SUMMARY"/>
    <hyperlink ref="M13:R13" location="'AB1'!A1" display="STUDENT MARKS CARD - ANNEXURE-AB1"/>
    <hyperlink ref="M15:R15" location="CASESTUDY!A1" display="CASE STUDY"/>
    <hyperlink ref="M17:R17" location="SUCCESS!A1" display="SUCCESS STORY"/>
    <hyperlink ref="M19:R19" location="PTM!A1" display="PTM FEEDBACK"/>
    <hyperlink ref="M21:R21" location="'1to4-2.1-RR'!A1" display="RESULT REGISTER - ANNEXURE-R2.1 - 1 to 4"/>
    <hyperlink ref="M23:R23" location="'1to4-2.2-CS'!A1" display="CLASS WISE SUMMARY-ANNEXURE-R2.2 - 1 to 4"/>
    <hyperlink ref="M25:R25" location="'1to4-2.3-SS'!A1" display="SCHOOL WISE SUM - ANNEXURE-R2.3 - 1 to 4"/>
    <hyperlink ref="M27:R27" location="'1to4-2.4-RC'!A1" display="MARKS SHEET - ANNEXURE-R2.4 - 1 to 4"/>
    <hyperlink ref="M29:R29" location="'RR-3.1-5TH'!A1" display="RESULT REGISTER - ANNEXURE-R3.1 - 5TH"/>
    <hyperlink ref="M31:R31" location="'CS-3.2-5TH'!A1" display="CLASS WISE SUMMARY - ANNEXURE-R3.2 - 5TH"/>
    <hyperlink ref="M33:R33" location="'SS-3.3-5TH'!A1" display="SCHOOL WISE SUM - ANNEXURE-R3.3 - 5TH"/>
    <hyperlink ref="M35:R35" location="'RC-3.4-5TH'!A1" display="MARKS SHEET - ANNEXURE-R3.4 - 5TH"/>
    <hyperlink ref="F11:K11" location="PASHEET!A1" display="PASHEET"/>
    <hyperlink ref="M37:R37" location="'ALL-F1'!A1" display="ALL STUDENTS FLN GRAPH - F1"/>
    <hyperlink ref="F15:K15" location="PASHEET!CH3" display="ATTENDANCE"/>
    <hyperlink ref="M39:R39" location="F3.1!A1" display="SCHOOL WISE FLN 1 &amp; 2 - ANNEXURE-F3.1"/>
    <hyperlink ref="M41:R41" location="F3.2!A1" display="SCHOOL WISE FLN 3, 4 &amp; 5 - ANNEXURE-F3.2"/>
    <hyperlink ref="M43:R43" location="ATTENDANCEINFO!A1" display="CLASS INFORMATION DESK - ATTENDNANCE"/>
    <hyperlink ref="M45:R45" location="'INFODESK-1'!A1" display="CLASS INFORMATION DESK - FLN CLASS 1 &amp; 2"/>
    <hyperlink ref="M47:R47" location="'INFODESK-5'!A1" display="CLASS INFORMATION DESK - FLN CLASS 3, 4 &amp; 5"/>
    <hyperlink ref="M49:R49" location="GRADEINFO!A1" display="CLASS INFORMATION DESK - TERM GRADES"/>
  </hyperlinks>
  <pageMargins left="0.7" right="0.7" top="0.75" bottom="0.75" header="0.3" footer="0.3"/>
  <pageSetup paperSize="1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2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J9" sqref="J9"/>
    </sheetView>
  </sheetViews>
  <sheetFormatPr defaultColWidth="9.13888888888889" defaultRowHeight="21"/>
  <cols>
    <col min="1" max="2" width="18.712962962963" style="829" customWidth="1"/>
    <col min="3" max="3" width="19.287037037037" style="829" customWidth="1"/>
    <col min="4" max="4" width="16.712962962963" style="829" customWidth="1"/>
    <col min="5" max="5" width="22.712962962963" style="829" customWidth="1"/>
    <col min="6" max="6" width="19.712962962963" style="772" customWidth="1"/>
    <col min="7" max="7" width="19.712962962963" style="829" customWidth="1"/>
    <col min="8" max="8" width="19.712962962963" style="772" customWidth="1"/>
    <col min="9" max="9" width="23.4259259259259" style="772" customWidth="1"/>
    <col min="10" max="14" width="9.13888888888889" style="772"/>
    <col min="15" max="15" width="19.712962962963" style="772" customWidth="1"/>
    <col min="16" max="16" width="25.1388888888889" style="772" customWidth="1"/>
    <col min="17" max="21" width="9.13888888888889" style="772"/>
    <col min="22" max="22" width="19.712962962963" style="772" customWidth="1"/>
    <col min="23" max="23" width="26.8611111111111" style="772" customWidth="1"/>
    <col min="24" max="28" width="9.13888888888889" style="772"/>
    <col min="29" max="30" width="19.712962962963" style="772" customWidth="1"/>
    <col min="31" max="31" width="19.712962962963" style="829" customWidth="1"/>
    <col min="32" max="32" width="19.712962962963" style="772" customWidth="1"/>
    <col min="33" max="33" width="23.4259259259259" style="772" customWidth="1"/>
    <col min="34" max="38" width="9.13888888888889" style="772"/>
    <col min="39" max="39" width="19.712962962963" style="772" customWidth="1"/>
    <col min="40" max="40" width="25.1388888888889" style="772" customWidth="1"/>
    <col min="41" max="45" width="9.13888888888889" style="772"/>
    <col min="46" max="46" width="19.712962962963" style="772" customWidth="1"/>
    <col min="47" max="47" width="26.8611111111111" style="772" customWidth="1"/>
    <col min="48" max="52" width="9.13888888888889" style="772"/>
    <col min="53" max="54" width="19.712962962963" style="772" customWidth="1"/>
    <col min="55" max="55" width="19.712962962963" style="829" customWidth="1"/>
    <col min="56" max="56" width="19.712962962963" style="772" customWidth="1"/>
    <col min="57" max="57" width="23.4259259259259" style="772" customWidth="1"/>
    <col min="58" max="62" width="9.13888888888889" style="829"/>
    <col min="63" max="63" width="19.712962962963" style="772" customWidth="1"/>
    <col min="64" max="64" width="25.1388888888889" style="772" customWidth="1"/>
    <col min="65" max="69" width="9.13888888888889" style="829"/>
    <col min="70" max="70" width="19.712962962963" style="772" customWidth="1"/>
    <col min="71" max="71" width="26.8611111111111" style="772" customWidth="1"/>
    <col min="72" max="76" width="9.13888888888889" style="829"/>
    <col min="77" max="77" width="19.712962962963" style="772" customWidth="1"/>
    <col min="78" max="83" width="9.13888888888889" style="772"/>
    <col min="84" max="84" width="19.712962962963" style="772" customWidth="1"/>
    <col min="85" max="90" width="9.13888888888889" style="772"/>
    <col min="91" max="91" width="19.712962962963" style="772" customWidth="1"/>
    <col min="92" max="97" width="9.13888888888889" style="772"/>
    <col min="98" max="98" width="19.712962962963" style="772" customWidth="1"/>
    <col min="99" max="16384" width="9.13888888888889" style="829"/>
  </cols>
  <sheetData>
    <row r="1" ht="63" spans="1:98">
      <c r="A1" s="837" t="s">
        <v>79</v>
      </c>
      <c r="B1" s="837"/>
      <c r="C1" s="814" t="s">
        <v>80</v>
      </c>
      <c r="D1" s="814" t="s">
        <v>81</v>
      </c>
      <c r="E1" s="814" t="s">
        <v>82</v>
      </c>
      <c r="F1" s="992" t="s">
        <v>83</v>
      </c>
      <c r="G1" s="992" t="s">
        <v>84</v>
      </c>
      <c r="H1" s="992" t="s">
        <v>85</v>
      </c>
      <c r="I1" s="993" t="s">
        <v>86</v>
      </c>
      <c r="J1" s="994" t="s">
        <v>87</v>
      </c>
      <c r="K1" s="995"/>
      <c r="L1" s="995"/>
      <c r="M1" s="995"/>
      <c r="N1" s="996"/>
      <c r="O1" s="992" t="s">
        <v>85</v>
      </c>
      <c r="P1" s="993" t="s">
        <v>86</v>
      </c>
      <c r="Q1" s="994" t="s">
        <v>88</v>
      </c>
      <c r="R1" s="995"/>
      <c r="S1" s="995"/>
      <c r="T1" s="995"/>
      <c r="U1" s="996"/>
      <c r="V1" s="992" t="s">
        <v>85</v>
      </c>
      <c r="W1" s="993" t="s">
        <v>86</v>
      </c>
      <c r="X1" s="994" t="s">
        <v>89</v>
      </c>
      <c r="Y1" s="995"/>
      <c r="Z1" s="995"/>
      <c r="AA1" s="995"/>
      <c r="AB1" s="996"/>
      <c r="AC1" s="992" t="s">
        <v>85</v>
      </c>
      <c r="AD1" s="997" t="s">
        <v>90</v>
      </c>
      <c r="AE1" s="997" t="s">
        <v>91</v>
      </c>
      <c r="AF1" s="997" t="s">
        <v>92</v>
      </c>
      <c r="AG1" s="998" t="s">
        <v>86</v>
      </c>
      <c r="AH1" s="999" t="s">
        <v>87</v>
      </c>
      <c r="AI1" s="1000"/>
      <c r="AJ1" s="1000"/>
      <c r="AK1" s="1000"/>
      <c r="AL1" s="1001"/>
      <c r="AM1" s="997" t="s">
        <v>92</v>
      </c>
      <c r="AN1" s="998" t="s">
        <v>86</v>
      </c>
      <c r="AO1" s="999" t="s">
        <v>88</v>
      </c>
      <c r="AP1" s="1000"/>
      <c r="AQ1" s="1000"/>
      <c r="AR1" s="1000"/>
      <c r="AS1" s="1001"/>
      <c r="AT1" s="997" t="s">
        <v>92</v>
      </c>
      <c r="AU1" s="998" t="s">
        <v>86</v>
      </c>
      <c r="AV1" s="999" t="s">
        <v>89</v>
      </c>
      <c r="AW1" s="1000"/>
      <c r="AX1" s="1000"/>
      <c r="AY1" s="1000"/>
      <c r="AZ1" s="1001"/>
      <c r="BA1" s="997" t="s">
        <v>92</v>
      </c>
      <c r="BB1" s="1002" t="s">
        <v>93</v>
      </c>
      <c r="BC1" s="1002" t="s">
        <v>94</v>
      </c>
      <c r="BD1" s="1002" t="s">
        <v>95</v>
      </c>
      <c r="BE1" s="1003" t="s">
        <v>86</v>
      </c>
      <c r="BF1" s="1004" t="s">
        <v>87</v>
      </c>
      <c r="BG1" s="1005"/>
      <c r="BH1" s="1005"/>
      <c r="BI1" s="1005"/>
      <c r="BJ1" s="1006"/>
      <c r="BK1" s="1002" t="s">
        <v>95</v>
      </c>
      <c r="BL1" s="1003" t="s">
        <v>86</v>
      </c>
      <c r="BM1" s="1004" t="s">
        <v>88</v>
      </c>
      <c r="BN1" s="1005"/>
      <c r="BO1" s="1005"/>
      <c r="BP1" s="1005"/>
      <c r="BQ1" s="1006"/>
      <c r="BR1" s="1002" t="s">
        <v>95</v>
      </c>
      <c r="BS1" s="1003" t="s">
        <v>86</v>
      </c>
      <c r="BT1" s="1004" t="s">
        <v>89</v>
      </c>
      <c r="BU1" s="1005"/>
      <c r="BV1" s="1005"/>
      <c r="BW1" s="1005"/>
      <c r="BX1" s="1006"/>
      <c r="BY1" s="1002" t="s">
        <v>95</v>
      </c>
      <c r="BZ1" s="999" t="s">
        <v>87</v>
      </c>
      <c r="CA1" s="1007"/>
      <c r="CB1" s="1007"/>
      <c r="CC1" s="1007"/>
      <c r="CD1" s="1007"/>
      <c r="CE1" s="1008"/>
      <c r="CF1" s="997" t="s">
        <v>82</v>
      </c>
      <c r="CG1" s="999" t="s">
        <v>88</v>
      </c>
      <c r="CH1" s="1007"/>
      <c r="CI1" s="1007"/>
      <c r="CJ1" s="1007"/>
      <c r="CK1" s="1007"/>
      <c r="CL1" s="1008"/>
      <c r="CM1" s="997" t="s">
        <v>82</v>
      </c>
      <c r="CN1" s="999" t="s">
        <v>89</v>
      </c>
      <c r="CO1" s="1007"/>
      <c r="CP1" s="1007"/>
      <c r="CQ1" s="1007"/>
      <c r="CR1" s="1007"/>
      <c r="CS1" s="1008"/>
      <c r="CT1" s="997" t="s">
        <v>82</v>
      </c>
    </row>
    <row r="2" spans="1:98">
      <c r="A2" s="837"/>
      <c r="B2" s="837"/>
      <c r="C2" s="814"/>
      <c r="D2" s="814"/>
      <c r="E2" s="814"/>
      <c r="F2" s="992"/>
      <c r="G2" s="992"/>
      <c r="H2" s="992"/>
      <c r="I2" s="992"/>
      <c r="J2" s="1009" t="s">
        <v>96</v>
      </c>
      <c r="K2" s="1009" t="s">
        <v>97</v>
      </c>
      <c r="L2" s="1009" t="s">
        <v>98</v>
      </c>
      <c r="M2" s="1009" t="s">
        <v>99</v>
      </c>
      <c r="N2" s="1009" t="s">
        <v>100</v>
      </c>
      <c r="O2" s="1010" t="s">
        <v>87</v>
      </c>
      <c r="P2" s="1010"/>
      <c r="Q2" s="1009" t="s">
        <v>96</v>
      </c>
      <c r="R2" s="1009" t="s">
        <v>97</v>
      </c>
      <c r="S2" s="1009" t="s">
        <v>98</v>
      </c>
      <c r="T2" s="1009" t="s">
        <v>99</v>
      </c>
      <c r="U2" s="1009" t="s">
        <v>100</v>
      </c>
      <c r="V2" s="1010" t="s">
        <v>88</v>
      </c>
      <c r="W2" s="1010"/>
      <c r="X2" s="1009" t="s">
        <v>96</v>
      </c>
      <c r="Y2" s="1009" t="s">
        <v>97</v>
      </c>
      <c r="Z2" s="1009" t="s">
        <v>98</v>
      </c>
      <c r="AA2" s="1009" t="s">
        <v>99</v>
      </c>
      <c r="AB2" s="1009" t="s">
        <v>100</v>
      </c>
      <c r="AC2" s="1010" t="s">
        <v>89</v>
      </c>
      <c r="AD2" s="997"/>
      <c r="AE2" s="997"/>
      <c r="AF2" s="997"/>
      <c r="AG2" s="997"/>
      <c r="AH2" s="1011" t="s">
        <v>96</v>
      </c>
      <c r="AI2" s="1011" t="s">
        <v>97</v>
      </c>
      <c r="AJ2" s="1011" t="s">
        <v>98</v>
      </c>
      <c r="AK2" s="1011" t="s">
        <v>99</v>
      </c>
      <c r="AL2" s="1011" t="s">
        <v>100</v>
      </c>
      <c r="AM2" s="1012" t="s">
        <v>87</v>
      </c>
      <c r="AN2" s="1012"/>
      <c r="AO2" s="1011" t="s">
        <v>96</v>
      </c>
      <c r="AP2" s="1011" t="s">
        <v>97</v>
      </c>
      <c r="AQ2" s="1011" t="s">
        <v>98</v>
      </c>
      <c r="AR2" s="1011" t="s">
        <v>99</v>
      </c>
      <c r="AS2" s="1011" t="s">
        <v>100</v>
      </c>
      <c r="AT2" s="1012" t="s">
        <v>88</v>
      </c>
      <c r="AU2" s="1012"/>
      <c r="AV2" s="1011" t="s">
        <v>96</v>
      </c>
      <c r="AW2" s="1011" t="s">
        <v>97</v>
      </c>
      <c r="AX2" s="1011" t="s">
        <v>98</v>
      </c>
      <c r="AY2" s="1011" t="s">
        <v>99</v>
      </c>
      <c r="AZ2" s="1011" t="s">
        <v>100</v>
      </c>
      <c r="BA2" s="1012" t="s">
        <v>89</v>
      </c>
      <c r="BB2" s="1002"/>
      <c r="BC2" s="1002"/>
      <c r="BD2" s="1002"/>
      <c r="BE2" s="1002"/>
      <c r="BF2" s="1013" t="s">
        <v>96</v>
      </c>
      <c r="BG2" s="1013" t="s">
        <v>97</v>
      </c>
      <c r="BH2" s="1013" t="s">
        <v>98</v>
      </c>
      <c r="BI2" s="1013" t="s">
        <v>99</v>
      </c>
      <c r="BJ2" s="1013" t="s">
        <v>100</v>
      </c>
      <c r="BK2" s="1014" t="s">
        <v>87</v>
      </c>
      <c r="BL2" s="1014"/>
      <c r="BM2" s="1013" t="s">
        <v>96</v>
      </c>
      <c r="BN2" s="1013" t="s">
        <v>97</v>
      </c>
      <c r="BO2" s="1013" t="s">
        <v>98</v>
      </c>
      <c r="BP2" s="1013" t="s">
        <v>99</v>
      </c>
      <c r="BQ2" s="1013" t="s">
        <v>100</v>
      </c>
      <c r="BR2" s="1014" t="s">
        <v>88</v>
      </c>
      <c r="BS2" s="1014"/>
      <c r="BT2" s="1013" t="s">
        <v>96</v>
      </c>
      <c r="BU2" s="1013" t="s">
        <v>97</v>
      </c>
      <c r="BV2" s="1013" t="s">
        <v>98</v>
      </c>
      <c r="BW2" s="1013" t="s">
        <v>99</v>
      </c>
      <c r="BX2" s="1013" t="s">
        <v>100</v>
      </c>
      <c r="BY2" s="1014" t="s">
        <v>89</v>
      </c>
      <c r="BZ2" s="1011" t="s">
        <v>96</v>
      </c>
      <c r="CA2" s="1011" t="s">
        <v>97</v>
      </c>
      <c r="CB2" s="1011" t="s">
        <v>98</v>
      </c>
      <c r="CC2" s="1011" t="s">
        <v>99</v>
      </c>
      <c r="CD2" s="1011" t="s">
        <v>100</v>
      </c>
      <c r="CE2" s="1011" t="s">
        <v>101</v>
      </c>
      <c r="CF2" s="1012" t="s">
        <v>102</v>
      </c>
      <c r="CG2" s="1011" t="s">
        <v>96</v>
      </c>
      <c r="CH2" s="1011" t="s">
        <v>97</v>
      </c>
      <c r="CI2" s="1011" t="s">
        <v>98</v>
      </c>
      <c r="CJ2" s="1011" t="s">
        <v>99</v>
      </c>
      <c r="CK2" s="1011" t="s">
        <v>100</v>
      </c>
      <c r="CL2" s="1011" t="s">
        <v>101</v>
      </c>
      <c r="CM2" s="1012" t="s">
        <v>102</v>
      </c>
      <c r="CN2" s="1011" t="s">
        <v>96</v>
      </c>
      <c r="CO2" s="1011" t="s">
        <v>97</v>
      </c>
      <c r="CP2" s="1011" t="s">
        <v>98</v>
      </c>
      <c r="CQ2" s="1011" t="s">
        <v>99</v>
      </c>
      <c r="CR2" s="1011" t="s">
        <v>100</v>
      </c>
      <c r="CS2" s="1011" t="s">
        <v>101</v>
      </c>
      <c r="CT2" s="1012" t="s">
        <v>102</v>
      </c>
    </row>
    <row r="3" spans="1:98">
      <c r="A3" s="849">
        <v>1</v>
      </c>
      <c r="B3" s="850" t="s">
        <v>103</v>
      </c>
      <c r="C3" s="850">
        <v>39</v>
      </c>
      <c r="D3" s="851">
        <v>3</v>
      </c>
      <c r="E3" s="837">
        <f>IF(C3&gt;0,MIN(C3-D3),"")</f>
        <v>36</v>
      </c>
      <c r="F3" s="850"/>
      <c r="G3" s="851">
        <v>0</v>
      </c>
      <c r="H3" s="1010" t="str">
        <f>IF(F3&gt;0,MIN(F3-G3),"")</f>
        <v/>
      </c>
      <c r="I3" s="1010" t="str">
        <f>B3&amp;$J$1</f>
        <v>30.04.2026HINDI</v>
      </c>
      <c r="J3" s="1015">
        <v>8</v>
      </c>
      <c r="K3" s="1015">
        <v>24</v>
      </c>
      <c r="L3" s="1015">
        <v>7</v>
      </c>
      <c r="M3" s="1015">
        <v>0</v>
      </c>
      <c r="N3" s="1015">
        <v>0</v>
      </c>
      <c r="O3" s="1010" t="str">
        <f>IF(F3&gt;0,SUM(J3,K3,L3,M3,N3),"")</f>
        <v/>
      </c>
      <c r="P3" s="1010" t="str">
        <f>B3&amp;$Q$1</f>
        <v>30.04.2026MATHS</v>
      </c>
      <c r="Q3" s="1015">
        <v>8</v>
      </c>
      <c r="R3" s="1015">
        <v>24</v>
      </c>
      <c r="S3" s="1015">
        <v>7</v>
      </c>
      <c r="T3" s="1015">
        <v>0</v>
      </c>
      <c r="U3" s="1015">
        <v>0</v>
      </c>
      <c r="V3" s="1010" t="str">
        <f>IF(F3&gt;0,SUM(Q3,R3,S3,T3,U3),"")</f>
        <v/>
      </c>
      <c r="W3" s="1010" t="str">
        <f>B3&amp;$X$1</f>
        <v>30.04.2026ENGLISH</v>
      </c>
      <c r="X3" s="1015">
        <v>8</v>
      </c>
      <c r="Y3" s="1015">
        <v>24</v>
      </c>
      <c r="Z3" s="1015">
        <v>7</v>
      </c>
      <c r="AA3" s="1015">
        <v>0</v>
      </c>
      <c r="AB3" s="1015">
        <v>0</v>
      </c>
      <c r="AC3" s="1010" t="str">
        <f>IF(F3&gt;0,SUM(X3,Y3,Z3,AA3,AB3),"")</f>
        <v/>
      </c>
      <c r="AD3" s="850">
        <v>687</v>
      </c>
      <c r="AE3" s="851">
        <v>3</v>
      </c>
      <c r="AF3" s="1012">
        <f>IF(AD3&gt;0,MIN(AD3-AE3),"")</f>
        <v>684</v>
      </c>
      <c r="AG3" s="1012" t="str">
        <f>B3&amp;$AH$1</f>
        <v>30.04.2026HINDI</v>
      </c>
      <c r="AH3" s="1015">
        <v>12</v>
      </c>
      <c r="AI3" s="1015">
        <v>106</v>
      </c>
      <c r="AJ3" s="1015">
        <v>388</v>
      </c>
      <c r="AK3" s="1015">
        <v>155</v>
      </c>
      <c r="AL3" s="1015">
        <v>23</v>
      </c>
      <c r="AM3" s="1012">
        <f>IF(AD3&gt;0,SUM(AH3,AI3,AJ3,AK3,AL3),"")</f>
        <v>684</v>
      </c>
      <c r="AN3" s="1012" t="str">
        <f>B3&amp;$AO$1</f>
        <v>30.04.2026MATHS</v>
      </c>
      <c r="AO3" s="1015">
        <v>12</v>
      </c>
      <c r="AP3" s="1015">
        <v>96</v>
      </c>
      <c r="AQ3" s="1015">
        <v>384</v>
      </c>
      <c r="AR3" s="1015">
        <v>169</v>
      </c>
      <c r="AS3" s="1015">
        <v>23</v>
      </c>
      <c r="AT3" s="1012">
        <f>IF(AD3&gt;0,SUM(AO3,AP3,AQ3,AR3,AS3),"")</f>
        <v>684</v>
      </c>
      <c r="AU3" s="1012" t="str">
        <f>B3&amp;$AV$1</f>
        <v>30.04.2026ENGLISH</v>
      </c>
      <c r="AV3" s="1015">
        <v>12</v>
      </c>
      <c r="AW3" s="1015">
        <v>138</v>
      </c>
      <c r="AX3" s="1015">
        <v>374</v>
      </c>
      <c r="AY3" s="1015">
        <v>137</v>
      </c>
      <c r="AZ3" s="1015">
        <v>23</v>
      </c>
      <c r="BA3" s="1012">
        <f>IF(AD3&gt;0,SUM(AV3,AW3,AX3,AY3,AZ3),"")</f>
        <v>684</v>
      </c>
      <c r="BB3" s="1014">
        <f>SUM(F3,AD3)</f>
        <v>687</v>
      </c>
      <c r="BC3" s="1014">
        <f>SUM(G3,AE3)</f>
        <v>3</v>
      </c>
      <c r="BD3" s="1014">
        <f>IF(BB3&gt;0,MIN(BB3-BC3),"")</f>
        <v>684</v>
      </c>
      <c r="BE3" s="1014" t="str">
        <f>B3&amp;$BF$1</f>
        <v>30.04.2026HINDI</v>
      </c>
      <c r="BF3" s="1014">
        <f>SUM(J3,AH3)</f>
        <v>20</v>
      </c>
      <c r="BG3" s="1014">
        <f>SUM(K3,AI3)</f>
        <v>130</v>
      </c>
      <c r="BH3" s="1014">
        <f>SUM(L3,AJ3)</f>
        <v>395</v>
      </c>
      <c r="BI3" s="1014">
        <f>SUM(M3,AK3)</f>
        <v>155</v>
      </c>
      <c r="BJ3" s="1014">
        <f>SUM(N3,AL3)</f>
        <v>23</v>
      </c>
      <c r="BK3" s="1014">
        <f>IF(BB3&gt;0,SUM(BF3,BG3,BH3,BI3,BJ3),"")</f>
        <v>723</v>
      </c>
      <c r="BL3" s="1014" t="str">
        <f>B3&amp;$BM$1</f>
        <v>30.04.2026MATHS</v>
      </c>
      <c r="BM3" s="1014">
        <f>SUM(Q3,AO3)</f>
        <v>20</v>
      </c>
      <c r="BN3" s="1014">
        <f>SUM(R3,AP3)</f>
        <v>120</v>
      </c>
      <c r="BO3" s="1014">
        <f>SUM(S3,AQ3)</f>
        <v>391</v>
      </c>
      <c r="BP3" s="1014">
        <f>SUM(T3,AR3)</f>
        <v>169</v>
      </c>
      <c r="BQ3" s="1014">
        <f>SUM(U3,AS3)</f>
        <v>23</v>
      </c>
      <c r="BR3" s="1014">
        <f>IF(BB3&gt;0,SUM(BM3,BN3,BO3,BP3,BQ3),"")</f>
        <v>723</v>
      </c>
      <c r="BS3" s="1014" t="str">
        <f>B3&amp;$BT$1</f>
        <v>30.04.2026ENGLISH</v>
      </c>
      <c r="BT3" s="1014">
        <f>SUM(X3,AV3)</f>
        <v>20</v>
      </c>
      <c r="BU3" s="1014">
        <f>SUM(Y3,AW3)</f>
        <v>162</v>
      </c>
      <c r="BV3" s="1014">
        <f>SUM(Z3,AX3)</f>
        <v>381</v>
      </c>
      <c r="BW3" s="1014">
        <f>SUM(AA3,AY3)</f>
        <v>137</v>
      </c>
      <c r="BX3" s="1014">
        <f>SUM(AB3,AZ3)</f>
        <v>23</v>
      </c>
      <c r="BY3" s="1014">
        <f>IF(BB3&gt;0,SUM(BT3,BU3,BV3,BW3,BX3),"")</f>
        <v>723</v>
      </c>
      <c r="BZ3" s="1011">
        <f>IF(E3="","",VLOOKUP(B3&amp;$BZ$1,FLNTRANSPOSE!$F$3:$DP$102,105,0))</f>
        <v>0</v>
      </c>
      <c r="CA3" s="1011">
        <f>IF(E3="","",VLOOKUP(B3&amp;$BZ$1,FLNTRANSPOSE!$F$3:$DP$102,107,0))</f>
        <v>28</v>
      </c>
      <c r="CB3" s="1011">
        <f>IF(E3="","",VLOOKUP(B3&amp;$BZ$1,FLNTRANSPOSE!$F$3:$DP$102,109,0))</f>
        <v>5</v>
      </c>
      <c r="CC3" s="1011">
        <f>IF(E3="","",VLOOKUP(B3&amp;$BZ$1,FLNTRANSPOSE!$F$3:$DP$102,111,0))</f>
        <v>3</v>
      </c>
      <c r="CD3" s="1011">
        <f>IF(E3="","",VLOOKUP(B3&amp;$BZ$1,FLNTRANSPOSE!$F$3:$DP$102,113,0))</f>
        <v>0</v>
      </c>
      <c r="CE3" s="1011">
        <f>IF(E3="","",VLOOKUP(B3&amp;$BZ$1,FLNTRANSPOSE!$F$3:$DP$102,115,0))</f>
        <v>3</v>
      </c>
      <c r="CF3" s="1012">
        <f>IF(E3="","",SUM(BZ3,CA3,CB3,CC3,CD3,CE3))</f>
        <v>39</v>
      </c>
      <c r="CG3" s="1011">
        <f>IF(E3="","",VLOOKUP(B3&amp;$CG$1,FLNTRANSPOSE!$F$3:$DP$102,105,0))</f>
        <v>0</v>
      </c>
      <c r="CH3" s="1011">
        <f>IF(E3="","",VLOOKUP(B3&amp;$CG$1,FLNTRANSPOSE!$F$3:$DP$102,107,0))</f>
        <v>0</v>
      </c>
      <c r="CI3" s="1011">
        <f>IF(E3="","",VLOOKUP(B3&amp;$CG$1,FLNTRANSPOSE!$F$3:$DP$102,109,0))</f>
        <v>27</v>
      </c>
      <c r="CJ3" s="1011">
        <f>IF(E3="","",VLOOKUP(B3&amp;$CG$1,FLNTRANSPOSE!$F$3:$DP$102,111,0))</f>
        <v>9</v>
      </c>
      <c r="CK3" s="1011">
        <f>IF(E3="","",VLOOKUP(B3&amp;$CG$1,FLNTRANSPOSE!$F$3:$DP$102,113,0))</f>
        <v>0</v>
      </c>
      <c r="CL3" s="1011">
        <f>IF(E3="","",VLOOKUP(B3&amp;$CG$1,FLNTRANSPOSE!$F$3:$DP$102,115,0))</f>
        <v>3</v>
      </c>
      <c r="CM3" s="1012">
        <f>IF(E3="","",SUM(CG3,CH3,CI3,CJ3,CK3,CL3))</f>
        <v>39</v>
      </c>
      <c r="CN3" s="1011">
        <f>IF(E3="","",VLOOKUP(B3&amp;$CN$1,FLNTRANSPOSE!$F$3:$DP$102,105,0))</f>
        <v>0</v>
      </c>
      <c r="CO3" s="1011">
        <f>IF(E3="","",VLOOKUP(B3&amp;$CN$1,FLNTRANSPOSE!$F$3:$DP$102,107,0))</f>
        <v>31</v>
      </c>
      <c r="CP3" s="1011">
        <f>IF(E3="","",VLOOKUP(B3&amp;$CN$1,FLNTRANSPOSE!$F$3:$DP$102,109,0))</f>
        <v>5</v>
      </c>
      <c r="CQ3" s="1011">
        <f>IF(E3="","",VLOOKUP(B3&amp;$CN$1,FLNTRANSPOSE!$F$3:$DP$102,111,0))</f>
        <v>0</v>
      </c>
      <c r="CR3" s="1011">
        <f>IF(E3="","",VLOOKUP(B3&amp;$CN$1,FLNTRANSPOSE!$F$3:$DP$102,113,0))</f>
        <v>0</v>
      </c>
      <c r="CS3" s="1011">
        <f>IF(E3="","",VLOOKUP(B3&amp;$CN$1,FLNTRANSPOSE!$F$3:$DP$102,115,0))</f>
        <v>3</v>
      </c>
      <c r="CT3" s="1012">
        <f>IF(E3="","",SUM(CN3,CO3,CP3,CQ3,CR3,CS3))</f>
        <v>39</v>
      </c>
    </row>
    <row r="4" spans="1:98">
      <c r="A4" s="849">
        <v>2</v>
      </c>
      <c r="B4" s="850" t="s">
        <v>104</v>
      </c>
      <c r="C4" s="850">
        <v>39</v>
      </c>
      <c r="D4" s="851">
        <v>3</v>
      </c>
      <c r="E4" s="837">
        <f t="shared" ref="E4:E27" si="0">IF(C4&gt;0,MIN(C4-D4),"")</f>
        <v>36</v>
      </c>
      <c r="F4" s="850"/>
      <c r="G4" s="851">
        <v>0</v>
      </c>
      <c r="H4" s="1010" t="str">
        <f t="shared" ref="H4:H27" si="1">IF(F4&gt;0,MIN(F4-G4),"")</f>
        <v/>
      </c>
      <c r="I4" s="1010" t="str">
        <f t="shared" ref="I4:I27" si="2">B4&amp;$J$1</f>
        <v>08.05.2026HINDI</v>
      </c>
      <c r="J4" s="850">
        <v>0</v>
      </c>
      <c r="K4" s="850">
        <v>24</v>
      </c>
      <c r="L4" s="850">
        <v>15</v>
      </c>
      <c r="M4" s="850">
        <v>0</v>
      </c>
      <c r="N4" s="850">
        <v>0</v>
      </c>
      <c r="O4" s="1010" t="str">
        <f t="shared" ref="O4:O27" si="3">IF(F4&gt;0,SUM(J4,K4,L4,M4,N4),"")</f>
        <v/>
      </c>
      <c r="P4" s="1010" t="str">
        <f t="shared" ref="P4:P27" si="4">B4&amp;$Q$1</f>
        <v>08.05.2026MATHS</v>
      </c>
      <c r="Q4" s="850">
        <v>110</v>
      </c>
      <c r="R4" s="850">
        <v>72</v>
      </c>
      <c r="S4" s="850">
        <v>18</v>
      </c>
      <c r="T4" s="850">
        <v>0</v>
      </c>
      <c r="U4" s="850">
        <v>0</v>
      </c>
      <c r="V4" s="1010" t="str">
        <f t="shared" ref="V4:V27" si="5">IF(F4&gt;0,SUM(Q4,R4,S4,T4,U4),"")</f>
        <v/>
      </c>
      <c r="W4" s="1010" t="str">
        <f t="shared" ref="W4:W27" si="6">B4&amp;$X$1</f>
        <v>08.05.2026ENGLISH</v>
      </c>
      <c r="X4" s="850">
        <v>110</v>
      </c>
      <c r="Y4" s="850">
        <v>72</v>
      </c>
      <c r="Z4" s="850">
        <v>18</v>
      </c>
      <c r="AA4" s="850">
        <v>0</v>
      </c>
      <c r="AB4" s="850">
        <v>0</v>
      </c>
      <c r="AC4" s="1010" t="str">
        <f t="shared" ref="AC4:AC27" si="7">IF(F4&gt;0,SUM(X4,Y4,Z4,AA4,AB4),"")</f>
        <v/>
      </c>
      <c r="AD4" s="850">
        <v>711</v>
      </c>
      <c r="AE4" s="851">
        <v>0</v>
      </c>
      <c r="AF4" s="1012">
        <f t="shared" ref="AF4:AF27" si="8">IF(AD4&gt;0,MIN(AD4-AE4),"")</f>
        <v>711</v>
      </c>
      <c r="AG4" s="1012" t="str">
        <f t="shared" ref="AG4:AG27" si="9">B4&amp;$AH$1</f>
        <v>08.05.2026HINDI</v>
      </c>
      <c r="AH4" s="850">
        <v>12</v>
      </c>
      <c r="AI4" s="850">
        <v>137</v>
      </c>
      <c r="AJ4" s="850">
        <v>388</v>
      </c>
      <c r="AK4" s="850">
        <v>151</v>
      </c>
      <c r="AL4" s="850">
        <v>23</v>
      </c>
      <c r="AM4" s="1012">
        <f t="shared" ref="AM4:AM27" si="10">IF(AD4&gt;0,SUM(AH4,AI4,AJ4,AK4,AL4),"")</f>
        <v>711</v>
      </c>
      <c r="AN4" s="1012" t="str">
        <f t="shared" ref="AN4:AN27" si="11">B4&amp;$AO$1</f>
        <v>08.05.2026MATHS</v>
      </c>
      <c r="AO4" s="850">
        <v>12</v>
      </c>
      <c r="AP4" s="850">
        <v>127</v>
      </c>
      <c r="AQ4" s="850">
        <v>384</v>
      </c>
      <c r="AR4" s="850">
        <v>165</v>
      </c>
      <c r="AS4" s="850">
        <v>23</v>
      </c>
      <c r="AT4" s="1012">
        <f t="shared" ref="AT4:AT27" si="12">IF(AD4&gt;0,SUM(AO4,AP4,AQ4,AR4,AS4),"")</f>
        <v>711</v>
      </c>
      <c r="AU4" s="1012" t="str">
        <f t="shared" ref="AU4:AU27" si="13">B4&amp;$AV$1</f>
        <v>08.05.2026ENGLISH</v>
      </c>
      <c r="AV4" s="850">
        <v>12</v>
      </c>
      <c r="AW4" s="850">
        <v>169</v>
      </c>
      <c r="AX4" s="850">
        <v>374</v>
      </c>
      <c r="AY4" s="850">
        <v>133</v>
      </c>
      <c r="AZ4" s="850">
        <v>23</v>
      </c>
      <c r="BA4" s="1012">
        <f t="shared" ref="BA4:BA27" si="14">IF(AD4&gt;0,SUM(AV4,AW4,AX4,AY4,AZ4),"")</f>
        <v>711</v>
      </c>
      <c r="BB4" s="1014">
        <f t="shared" ref="BB4:BB12" si="15">SUM(F4,AD4)</f>
        <v>711</v>
      </c>
      <c r="BC4" s="1014">
        <f t="shared" ref="BC4:BC12" si="16">SUM(G4,AE4)</f>
        <v>0</v>
      </c>
      <c r="BD4" s="1014">
        <f t="shared" ref="BD4:BD27" si="17">IF(BB4&gt;0,MIN(BB4-BC4),"")</f>
        <v>711</v>
      </c>
      <c r="BE4" s="1014" t="str">
        <f t="shared" ref="BE4:BE27" si="18">B4&amp;$BF$1</f>
        <v>08.05.2026HINDI</v>
      </c>
      <c r="BF4" s="1014">
        <f t="shared" ref="BF4:BF27" si="19">SUM(J4,AH4)</f>
        <v>12</v>
      </c>
      <c r="BG4" s="1014">
        <f t="shared" ref="BG4:BG27" si="20">SUM(K4,AI4)</f>
        <v>161</v>
      </c>
      <c r="BH4" s="1014">
        <f t="shared" ref="BH4:BH27" si="21">SUM(L4,AJ4)</f>
        <v>403</v>
      </c>
      <c r="BI4" s="1014">
        <f t="shared" ref="BI4:BI27" si="22">SUM(M4,AK4)</f>
        <v>151</v>
      </c>
      <c r="BJ4" s="1014">
        <f t="shared" ref="BJ4:BJ27" si="23">SUM(N4,AL4)</f>
        <v>23</v>
      </c>
      <c r="BK4" s="1014">
        <f t="shared" ref="BK4:BK27" si="24">IF(BB4&gt;0,SUM(BF4,BG4,BH4,BI4,BJ4),"")</f>
        <v>750</v>
      </c>
      <c r="BL4" s="1014" t="str">
        <f t="shared" ref="BL4:BL27" si="25">B4&amp;$BM$1</f>
        <v>08.05.2026MATHS</v>
      </c>
      <c r="BM4" s="1014">
        <f t="shared" ref="BM4:BM27" si="26">SUM(Q4,AO4)</f>
        <v>122</v>
      </c>
      <c r="BN4" s="1014">
        <f t="shared" ref="BN4:BN27" si="27">SUM(R4,AP4)</f>
        <v>199</v>
      </c>
      <c r="BO4" s="1014">
        <f t="shared" ref="BO4:BO27" si="28">SUM(S4,AQ4)</f>
        <v>402</v>
      </c>
      <c r="BP4" s="1014">
        <f t="shared" ref="BP4:BP27" si="29">SUM(T4,AR4)</f>
        <v>165</v>
      </c>
      <c r="BQ4" s="1014">
        <f t="shared" ref="BQ4:BQ27" si="30">SUM(U4,AS4)</f>
        <v>23</v>
      </c>
      <c r="BR4" s="1014">
        <f t="shared" ref="BR4:BR27" si="31">IF(BB4&gt;0,SUM(BM4,BN4,BO4,BP4,BQ4),"")</f>
        <v>911</v>
      </c>
      <c r="BS4" s="1014" t="str">
        <f t="shared" ref="BS4:BS27" si="32">B4&amp;$BT$1</f>
        <v>08.05.2026ENGLISH</v>
      </c>
      <c r="BT4" s="1014">
        <f t="shared" ref="BT4:BT27" si="33">SUM(X4,AV4)</f>
        <v>122</v>
      </c>
      <c r="BU4" s="1014">
        <f t="shared" ref="BU4:BU27" si="34">SUM(Y4,AW4)</f>
        <v>241</v>
      </c>
      <c r="BV4" s="1014">
        <f t="shared" ref="BV4:BV27" si="35">SUM(Z4,AX4)</f>
        <v>392</v>
      </c>
      <c r="BW4" s="1014">
        <f t="shared" ref="BW4:BW27" si="36">SUM(AA4,AY4)</f>
        <v>133</v>
      </c>
      <c r="BX4" s="1014">
        <f t="shared" ref="BX4:BX27" si="37">SUM(AB4,AZ4)</f>
        <v>23</v>
      </c>
      <c r="BY4" s="1014">
        <f t="shared" ref="BY4:BY27" si="38">IF(BB4&gt;0,SUM(BT4,BU4,BV4,BW4,BX4),"")</f>
        <v>911</v>
      </c>
      <c r="BZ4" s="1011">
        <f>IF(E4="","",VLOOKUP(B4&amp;$BZ$1,FLNTRANSPOSE!$F$3:$DP$102,105,0))</f>
        <v>0</v>
      </c>
      <c r="CA4" s="1011">
        <f>IF(E4="","",VLOOKUP(B4&amp;$BZ$1,FLNTRANSPOSE!$F$3:$DP$102,107,0))</f>
        <v>28</v>
      </c>
      <c r="CB4" s="1011">
        <f>IF(E4="","",VLOOKUP(B4&amp;$BZ$1,FLNTRANSPOSE!$F$3:$DP$102,109,0))</f>
        <v>5</v>
      </c>
      <c r="CC4" s="1011">
        <f>IF(E4="","",VLOOKUP(B4&amp;$BZ$1,FLNTRANSPOSE!$F$3:$DP$102,111,0))</f>
        <v>3</v>
      </c>
      <c r="CD4" s="1011">
        <f>IF(E4="","",VLOOKUP(B4&amp;$BZ$1,FLNTRANSPOSE!$F$3:$DP$102,113,0))</f>
        <v>0</v>
      </c>
      <c r="CE4" s="1011">
        <f>IF(E4="","",VLOOKUP(B4&amp;$BZ$1,FLNTRANSPOSE!$F$3:$DP$102,115,0))</f>
        <v>3</v>
      </c>
      <c r="CF4" s="1012">
        <f t="shared" ref="CF4:CF27" si="39">IF(E4="","",SUM(BZ4,CA4,CB4,CC4,CD4,CE4))</f>
        <v>39</v>
      </c>
      <c r="CG4" s="1011">
        <f>IF(E4="","",VLOOKUP(B4&amp;$CG$1,FLNTRANSPOSE!$F$3:$DP$102,105,0))</f>
        <v>0</v>
      </c>
      <c r="CH4" s="1011">
        <f>IF(E4="","",VLOOKUP(B4&amp;$CG$1,FLNTRANSPOSE!$F$3:$DP$102,107,0))</f>
        <v>0</v>
      </c>
      <c r="CI4" s="1011">
        <f>IF(E4="","",VLOOKUP(B4&amp;$CG$1,FLNTRANSPOSE!$F$3:$DP$102,109,0))</f>
        <v>27</v>
      </c>
      <c r="CJ4" s="1011">
        <f>IF(E4="","",VLOOKUP(B4&amp;$CG$1,FLNTRANSPOSE!$F$3:$DP$102,111,0))</f>
        <v>9</v>
      </c>
      <c r="CK4" s="1011">
        <f>IF(E4="","",VLOOKUP(B4&amp;$CG$1,FLNTRANSPOSE!$F$3:$DP$102,113,0))</f>
        <v>0</v>
      </c>
      <c r="CL4" s="1011">
        <f>IF(E4="","",VLOOKUP(B4&amp;$CG$1,FLNTRANSPOSE!$F$3:$DP$102,115,0))</f>
        <v>3</v>
      </c>
      <c r="CM4" s="1012">
        <f t="shared" ref="CM4:CM27" si="40">IF(E4="","",SUM(CG4,CH4,CI4,CJ4,CK4,CL4))</f>
        <v>39</v>
      </c>
      <c r="CN4" s="1011">
        <f>IF(E4="","",VLOOKUP(B4&amp;$CN$1,FLNTRANSPOSE!$F$3:$DP$102,105,0))</f>
        <v>0</v>
      </c>
      <c r="CO4" s="1011">
        <f>IF(E4="","",VLOOKUP(B4&amp;$CN$1,FLNTRANSPOSE!$F$3:$DP$102,107,0))</f>
        <v>31</v>
      </c>
      <c r="CP4" s="1011">
        <f>IF(E4="","",VLOOKUP(B4&amp;$CN$1,FLNTRANSPOSE!$F$3:$DP$102,109,0))</f>
        <v>5</v>
      </c>
      <c r="CQ4" s="1011">
        <f>IF(E4="","",VLOOKUP(B4&amp;$CN$1,FLNTRANSPOSE!$F$3:$DP$102,111,0))</f>
        <v>0</v>
      </c>
      <c r="CR4" s="1011">
        <f>IF(E4="","",VLOOKUP(B4&amp;$CN$1,FLNTRANSPOSE!$F$3:$DP$102,113,0))</f>
        <v>0</v>
      </c>
      <c r="CS4" s="1011">
        <f>IF(E4="","",VLOOKUP(B4&amp;$CN$1,FLNTRANSPOSE!$F$3:$DP$102,115,0))</f>
        <v>3</v>
      </c>
      <c r="CT4" s="1012">
        <f t="shared" ref="CT4:CT27" si="41">IF(E4="","",SUM(CN4,CO4,CP4,CQ4,CR4,CS4))</f>
        <v>39</v>
      </c>
    </row>
    <row r="5" spans="1:98">
      <c r="A5" s="849">
        <v>3</v>
      </c>
      <c r="B5" s="850" t="s">
        <v>105</v>
      </c>
      <c r="C5" s="850">
        <v>39</v>
      </c>
      <c r="D5" s="851">
        <v>3</v>
      </c>
      <c r="E5" s="837">
        <f t="shared" si="0"/>
        <v>36</v>
      </c>
      <c r="F5" s="850"/>
      <c r="G5" s="851">
        <v>0</v>
      </c>
      <c r="H5" s="1010" t="str">
        <f t="shared" si="1"/>
        <v/>
      </c>
      <c r="I5" s="1010" t="str">
        <f t="shared" si="2"/>
        <v>15.07.2026HINDI</v>
      </c>
      <c r="J5" s="850">
        <v>0</v>
      </c>
      <c r="K5" s="850">
        <v>24</v>
      </c>
      <c r="L5" s="850">
        <v>15</v>
      </c>
      <c r="M5" s="850">
        <v>0</v>
      </c>
      <c r="N5" s="850">
        <v>0</v>
      </c>
      <c r="O5" s="1010" t="str">
        <f t="shared" si="3"/>
        <v/>
      </c>
      <c r="P5" s="1010" t="str">
        <f t="shared" si="4"/>
        <v>15.07.2026MATHS</v>
      </c>
      <c r="Q5" s="850">
        <v>129</v>
      </c>
      <c r="R5" s="850">
        <v>74</v>
      </c>
      <c r="S5" s="850">
        <v>23</v>
      </c>
      <c r="T5" s="850">
        <v>5</v>
      </c>
      <c r="U5" s="850">
        <v>0</v>
      </c>
      <c r="V5" s="1010" t="str">
        <f t="shared" si="5"/>
        <v/>
      </c>
      <c r="W5" s="1010" t="str">
        <f t="shared" si="6"/>
        <v>15.07.2026ENGLISH</v>
      </c>
      <c r="X5" s="850">
        <v>131</v>
      </c>
      <c r="Y5" s="850">
        <v>75</v>
      </c>
      <c r="Z5" s="850">
        <v>25</v>
      </c>
      <c r="AA5" s="850">
        <v>0</v>
      </c>
      <c r="AB5" s="850">
        <v>0</v>
      </c>
      <c r="AC5" s="1010" t="str">
        <f t="shared" si="7"/>
        <v/>
      </c>
      <c r="AD5" s="850">
        <v>756</v>
      </c>
      <c r="AE5" s="851">
        <v>0</v>
      </c>
      <c r="AF5" s="1012">
        <f t="shared" si="8"/>
        <v>756</v>
      </c>
      <c r="AG5" s="1012" t="str">
        <f t="shared" si="9"/>
        <v>15.07.2026HINDI</v>
      </c>
      <c r="AH5" s="850">
        <v>9</v>
      </c>
      <c r="AI5" s="850">
        <v>130</v>
      </c>
      <c r="AJ5" s="850">
        <v>434</v>
      </c>
      <c r="AK5" s="850">
        <v>154</v>
      </c>
      <c r="AL5" s="850">
        <v>29</v>
      </c>
      <c r="AM5" s="1012">
        <f t="shared" si="10"/>
        <v>756</v>
      </c>
      <c r="AN5" s="1012" t="str">
        <f t="shared" si="11"/>
        <v>15.07.2026MATHS</v>
      </c>
      <c r="AO5" s="850">
        <v>9</v>
      </c>
      <c r="AP5" s="850">
        <v>117</v>
      </c>
      <c r="AQ5" s="850">
        <v>416</v>
      </c>
      <c r="AR5" s="850">
        <v>189</v>
      </c>
      <c r="AS5" s="850">
        <v>25</v>
      </c>
      <c r="AT5" s="1012">
        <f t="shared" si="12"/>
        <v>756</v>
      </c>
      <c r="AU5" s="1012" t="str">
        <f t="shared" si="13"/>
        <v>15.07.2026ENGLISH</v>
      </c>
      <c r="AV5" s="850">
        <v>9</v>
      </c>
      <c r="AW5" s="850">
        <v>179</v>
      </c>
      <c r="AX5" s="850">
        <v>411</v>
      </c>
      <c r="AY5" s="850">
        <v>133</v>
      </c>
      <c r="AZ5" s="850">
        <v>24</v>
      </c>
      <c r="BA5" s="1012">
        <f t="shared" si="14"/>
        <v>756</v>
      </c>
      <c r="BB5" s="1014">
        <f t="shared" si="15"/>
        <v>756</v>
      </c>
      <c r="BC5" s="1014">
        <f t="shared" si="16"/>
        <v>0</v>
      </c>
      <c r="BD5" s="1014">
        <f t="shared" si="17"/>
        <v>756</v>
      </c>
      <c r="BE5" s="1014" t="str">
        <f t="shared" si="18"/>
        <v>15.07.2026HINDI</v>
      </c>
      <c r="BF5" s="1014">
        <f t="shared" si="19"/>
        <v>9</v>
      </c>
      <c r="BG5" s="1014">
        <f t="shared" si="20"/>
        <v>154</v>
      </c>
      <c r="BH5" s="1014">
        <f t="shared" si="21"/>
        <v>449</v>
      </c>
      <c r="BI5" s="1014">
        <f t="shared" si="22"/>
        <v>154</v>
      </c>
      <c r="BJ5" s="1014">
        <f t="shared" si="23"/>
        <v>29</v>
      </c>
      <c r="BK5" s="1014">
        <f t="shared" si="24"/>
        <v>795</v>
      </c>
      <c r="BL5" s="1014" t="str">
        <f t="shared" si="25"/>
        <v>15.07.2026MATHS</v>
      </c>
      <c r="BM5" s="1014">
        <f t="shared" si="26"/>
        <v>138</v>
      </c>
      <c r="BN5" s="1014">
        <f t="shared" si="27"/>
        <v>191</v>
      </c>
      <c r="BO5" s="1014">
        <f t="shared" si="28"/>
        <v>439</v>
      </c>
      <c r="BP5" s="1014">
        <f t="shared" si="29"/>
        <v>194</v>
      </c>
      <c r="BQ5" s="1014">
        <f t="shared" si="30"/>
        <v>25</v>
      </c>
      <c r="BR5" s="1014">
        <f t="shared" si="31"/>
        <v>987</v>
      </c>
      <c r="BS5" s="1014" t="str">
        <f t="shared" si="32"/>
        <v>15.07.2026ENGLISH</v>
      </c>
      <c r="BT5" s="1014">
        <f t="shared" si="33"/>
        <v>140</v>
      </c>
      <c r="BU5" s="1014">
        <f t="shared" si="34"/>
        <v>254</v>
      </c>
      <c r="BV5" s="1014">
        <f t="shared" si="35"/>
        <v>436</v>
      </c>
      <c r="BW5" s="1014">
        <f t="shared" si="36"/>
        <v>133</v>
      </c>
      <c r="BX5" s="1014">
        <f t="shared" si="37"/>
        <v>24</v>
      </c>
      <c r="BY5" s="1014">
        <f t="shared" si="38"/>
        <v>987</v>
      </c>
      <c r="BZ5" s="1011">
        <f>IF(E5="","",VLOOKUP(B5&amp;$BZ$1,FLNTRANSPOSE!$F$3:$DP$102,105,0))</f>
        <v>0</v>
      </c>
      <c r="CA5" s="1011">
        <f>IF(E5="","",VLOOKUP(B5&amp;$BZ$1,FLNTRANSPOSE!$F$3:$DP$102,107,0))</f>
        <v>28</v>
      </c>
      <c r="CB5" s="1011">
        <f>IF(E5="","",VLOOKUP(B5&amp;$BZ$1,FLNTRANSPOSE!$F$3:$DP$102,109,0))</f>
        <v>5</v>
      </c>
      <c r="CC5" s="1011">
        <f>IF(E5="","",VLOOKUP(B5&amp;$BZ$1,FLNTRANSPOSE!$F$3:$DP$102,111,0))</f>
        <v>3</v>
      </c>
      <c r="CD5" s="1011">
        <f>IF(E5="","",VLOOKUP(B5&amp;$BZ$1,FLNTRANSPOSE!$F$3:$DP$102,113,0))</f>
        <v>0</v>
      </c>
      <c r="CE5" s="1011">
        <f>IF(E5="","",VLOOKUP(B5&amp;$BZ$1,FLNTRANSPOSE!$F$3:$DP$102,115,0))</f>
        <v>3</v>
      </c>
      <c r="CF5" s="1012">
        <f t="shared" si="39"/>
        <v>39</v>
      </c>
      <c r="CG5" s="1011">
        <f>IF(E5="","",VLOOKUP(B5&amp;$CG$1,FLNTRANSPOSE!$F$3:$DP$102,105,0))</f>
        <v>0</v>
      </c>
      <c r="CH5" s="1011">
        <f>IF(E5="","",VLOOKUP(B5&amp;$CG$1,FLNTRANSPOSE!$F$3:$DP$102,107,0))</f>
        <v>0</v>
      </c>
      <c r="CI5" s="1011">
        <f>IF(E5="","",VLOOKUP(B5&amp;$CG$1,FLNTRANSPOSE!$F$3:$DP$102,109,0))</f>
        <v>27</v>
      </c>
      <c r="CJ5" s="1011">
        <f>IF(E5="","",VLOOKUP(B5&amp;$CG$1,FLNTRANSPOSE!$F$3:$DP$102,111,0))</f>
        <v>9</v>
      </c>
      <c r="CK5" s="1011">
        <f>IF(E5="","",VLOOKUP(B5&amp;$CG$1,FLNTRANSPOSE!$F$3:$DP$102,113,0))</f>
        <v>0</v>
      </c>
      <c r="CL5" s="1011">
        <f>IF(E5="","",VLOOKUP(B5&amp;$CG$1,FLNTRANSPOSE!$F$3:$DP$102,115,0))</f>
        <v>3</v>
      </c>
      <c r="CM5" s="1012">
        <f t="shared" si="40"/>
        <v>39</v>
      </c>
      <c r="CN5" s="1011">
        <f>IF(E5="","",VLOOKUP(B5&amp;$CN$1,FLNTRANSPOSE!$F$3:$DP$102,105,0))</f>
        <v>0</v>
      </c>
      <c r="CO5" s="1011">
        <f>IF(E5="","",VLOOKUP(B5&amp;$CN$1,FLNTRANSPOSE!$F$3:$DP$102,107,0))</f>
        <v>31</v>
      </c>
      <c r="CP5" s="1011">
        <f>IF(E5="","",VLOOKUP(B5&amp;$CN$1,FLNTRANSPOSE!$F$3:$DP$102,109,0))</f>
        <v>5</v>
      </c>
      <c r="CQ5" s="1011">
        <f>IF(E5="","",VLOOKUP(B5&amp;$CN$1,FLNTRANSPOSE!$F$3:$DP$102,111,0))</f>
        <v>0</v>
      </c>
      <c r="CR5" s="1011">
        <f>IF(E5="","",VLOOKUP(B5&amp;$CN$1,FLNTRANSPOSE!$F$3:$DP$102,113,0))</f>
        <v>0</v>
      </c>
      <c r="CS5" s="1011">
        <f>IF(E5="","",VLOOKUP(B5&amp;$CN$1,FLNTRANSPOSE!$F$3:$DP$102,115,0))</f>
        <v>3</v>
      </c>
      <c r="CT5" s="1012">
        <f t="shared" si="41"/>
        <v>39</v>
      </c>
    </row>
    <row r="6" spans="1:98">
      <c r="A6" s="849">
        <v>4</v>
      </c>
      <c r="B6" s="850" t="s">
        <v>106</v>
      </c>
      <c r="C6" s="850">
        <v>39</v>
      </c>
      <c r="D6" s="851">
        <v>3</v>
      </c>
      <c r="E6" s="837">
        <f t="shared" si="0"/>
        <v>36</v>
      </c>
      <c r="F6" s="850"/>
      <c r="G6" s="851">
        <v>0</v>
      </c>
      <c r="H6" s="1010" t="str">
        <f t="shared" si="1"/>
        <v/>
      </c>
      <c r="I6" s="1010" t="str">
        <f t="shared" si="2"/>
        <v>31.07.2026HINDI</v>
      </c>
      <c r="J6" s="850">
        <v>0</v>
      </c>
      <c r="K6" s="850">
        <v>24</v>
      </c>
      <c r="L6" s="850">
        <v>15</v>
      </c>
      <c r="M6" s="850">
        <v>0</v>
      </c>
      <c r="N6" s="850">
        <v>0</v>
      </c>
      <c r="O6" s="1010" t="str">
        <f t="shared" si="3"/>
        <v/>
      </c>
      <c r="P6" s="1010" t="str">
        <f t="shared" si="4"/>
        <v>31.07.2026MATHS</v>
      </c>
      <c r="Q6" s="850">
        <v>129</v>
      </c>
      <c r="R6" s="850">
        <v>99</v>
      </c>
      <c r="S6" s="850">
        <v>23</v>
      </c>
      <c r="T6" s="850">
        <v>5</v>
      </c>
      <c r="U6" s="850">
        <v>0</v>
      </c>
      <c r="V6" s="1010" t="str">
        <f t="shared" si="5"/>
        <v/>
      </c>
      <c r="W6" s="1010" t="str">
        <f t="shared" si="6"/>
        <v>31.07.2026ENGLISH</v>
      </c>
      <c r="X6" s="850">
        <v>131</v>
      </c>
      <c r="Y6" s="850">
        <v>100</v>
      </c>
      <c r="Z6" s="850">
        <v>25</v>
      </c>
      <c r="AA6" s="850">
        <v>0</v>
      </c>
      <c r="AB6" s="850">
        <v>0</v>
      </c>
      <c r="AC6" s="1010" t="str">
        <f t="shared" si="7"/>
        <v/>
      </c>
      <c r="AD6" s="850">
        <v>778</v>
      </c>
      <c r="AE6" s="851">
        <v>0</v>
      </c>
      <c r="AF6" s="1012">
        <f t="shared" si="8"/>
        <v>778</v>
      </c>
      <c r="AG6" s="1012" t="str">
        <f t="shared" si="9"/>
        <v>31.07.2026HINDI</v>
      </c>
      <c r="AH6" s="850">
        <v>9</v>
      </c>
      <c r="AI6" s="850">
        <v>128</v>
      </c>
      <c r="AJ6" s="850">
        <v>462</v>
      </c>
      <c r="AK6" s="850">
        <v>150</v>
      </c>
      <c r="AL6" s="850">
        <v>29</v>
      </c>
      <c r="AM6" s="1012">
        <f t="shared" si="10"/>
        <v>778</v>
      </c>
      <c r="AN6" s="1012" t="str">
        <f t="shared" si="11"/>
        <v>31.07.2026MATHS</v>
      </c>
      <c r="AO6" s="850">
        <v>9</v>
      </c>
      <c r="AP6" s="850">
        <v>115</v>
      </c>
      <c r="AQ6" s="850">
        <v>444</v>
      </c>
      <c r="AR6" s="850">
        <v>185</v>
      </c>
      <c r="AS6" s="850">
        <v>25</v>
      </c>
      <c r="AT6" s="1012">
        <f t="shared" si="12"/>
        <v>778</v>
      </c>
      <c r="AU6" s="1012" t="str">
        <f t="shared" si="13"/>
        <v>31.07.2026ENGLISH</v>
      </c>
      <c r="AV6" s="850">
        <v>9</v>
      </c>
      <c r="AW6" s="850">
        <v>176</v>
      </c>
      <c r="AX6" s="850">
        <v>440</v>
      </c>
      <c r="AY6" s="850">
        <v>129</v>
      </c>
      <c r="AZ6" s="850">
        <v>24</v>
      </c>
      <c r="BA6" s="1012">
        <f t="shared" si="14"/>
        <v>778</v>
      </c>
      <c r="BB6" s="1014">
        <f t="shared" si="15"/>
        <v>778</v>
      </c>
      <c r="BC6" s="1014">
        <f t="shared" si="16"/>
        <v>0</v>
      </c>
      <c r="BD6" s="1014">
        <f t="shared" si="17"/>
        <v>778</v>
      </c>
      <c r="BE6" s="1014" t="str">
        <f t="shared" si="18"/>
        <v>31.07.2026HINDI</v>
      </c>
      <c r="BF6" s="1014">
        <f t="shared" si="19"/>
        <v>9</v>
      </c>
      <c r="BG6" s="1014">
        <f t="shared" si="20"/>
        <v>152</v>
      </c>
      <c r="BH6" s="1014">
        <f t="shared" si="21"/>
        <v>477</v>
      </c>
      <c r="BI6" s="1014">
        <f t="shared" si="22"/>
        <v>150</v>
      </c>
      <c r="BJ6" s="1014">
        <f t="shared" si="23"/>
        <v>29</v>
      </c>
      <c r="BK6" s="1014">
        <f t="shared" si="24"/>
        <v>817</v>
      </c>
      <c r="BL6" s="1014" t="str">
        <f t="shared" si="25"/>
        <v>31.07.2026MATHS</v>
      </c>
      <c r="BM6" s="1014">
        <f t="shared" si="26"/>
        <v>138</v>
      </c>
      <c r="BN6" s="1014">
        <f t="shared" si="27"/>
        <v>214</v>
      </c>
      <c r="BO6" s="1014">
        <f t="shared" si="28"/>
        <v>467</v>
      </c>
      <c r="BP6" s="1014">
        <f t="shared" si="29"/>
        <v>190</v>
      </c>
      <c r="BQ6" s="1014">
        <f t="shared" si="30"/>
        <v>25</v>
      </c>
      <c r="BR6" s="1014">
        <f t="shared" si="31"/>
        <v>1034</v>
      </c>
      <c r="BS6" s="1014" t="str">
        <f t="shared" si="32"/>
        <v>31.07.2026ENGLISH</v>
      </c>
      <c r="BT6" s="1014">
        <f t="shared" si="33"/>
        <v>140</v>
      </c>
      <c r="BU6" s="1014">
        <f t="shared" si="34"/>
        <v>276</v>
      </c>
      <c r="BV6" s="1014">
        <f t="shared" si="35"/>
        <v>465</v>
      </c>
      <c r="BW6" s="1014">
        <f t="shared" si="36"/>
        <v>129</v>
      </c>
      <c r="BX6" s="1014">
        <f t="shared" si="37"/>
        <v>24</v>
      </c>
      <c r="BY6" s="1014">
        <f t="shared" si="38"/>
        <v>1034</v>
      </c>
      <c r="BZ6" s="1011">
        <f>IF(E6="","",VLOOKUP(B6&amp;$BZ$1,FLNTRANSPOSE!$F$3:$DP$102,105,0))</f>
        <v>0</v>
      </c>
      <c r="CA6" s="1011">
        <f>IF(E6="","",VLOOKUP(B6&amp;$BZ$1,FLNTRANSPOSE!$F$3:$DP$102,107,0))</f>
        <v>28</v>
      </c>
      <c r="CB6" s="1011">
        <f>IF(E6="","",VLOOKUP(B6&amp;$BZ$1,FLNTRANSPOSE!$F$3:$DP$102,109,0))</f>
        <v>5</v>
      </c>
      <c r="CC6" s="1011">
        <f>IF(E6="","",VLOOKUP(B6&amp;$BZ$1,FLNTRANSPOSE!$F$3:$DP$102,111,0))</f>
        <v>3</v>
      </c>
      <c r="CD6" s="1011">
        <f>IF(E6="","",VLOOKUP(B6&amp;$BZ$1,FLNTRANSPOSE!$F$3:$DP$102,113,0))</f>
        <v>0</v>
      </c>
      <c r="CE6" s="1011">
        <f>IF(E6="","",VLOOKUP(B6&amp;$BZ$1,FLNTRANSPOSE!$F$3:$DP$102,115,0))</f>
        <v>3</v>
      </c>
      <c r="CF6" s="1012">
        <f t="shared" si="39"/>
        <v>39</v>
      </c>
      <c r="CG6" s="1011">
        <f>IF(E6="","",VLOOKUP(B6&amp;$CG$1,FLNTRANSPOSE!$F$3:$DP$102,105,0))</f>
        <v>0</v>
      </c>
      <c r="CH6" s="1011">
        <f>IF(E6="","",VLOOKUP(B6&amp;$CG$1,FLNTRANSPOSE!$F$3:$DP$102,107,0))</f>
        <v>0</v>
      </c>
      <c r="CI6" s="1011">
        <f>IF(E6="","",VLOOKUP(B6&amp;$CG$1,FLNTRANSPOSE!$F$3:$DP$102,109,0))</f>
        <v>27</v>
      </c>
      <c r="CJ6" s="1011">
        <f>IF(E6="","",VLOOKUP(B6&amp;$CG$1,FLNTRANSPOSE!$F$3:$DP$102,111,0))</f>
        <v>9</v>
      </c>
      <c r="CK6" s="1011">
        <f>IF(E6="","",VLOOKUP(B6&amp;$CG$1,FLNTRANSPOSE!$F$3:$DP$102,113,0))</f>
        <v>0</v>
      </c>
      <c r="CL6" s="1011">
        <f>IF(E6="","",VLOOKUP(B6&amp;$CG$1,FLNTRANSPOSE!$F$3:$DP$102,115,0))</f>
        <v>3</v>
      </c>
      <c r="CM6" s="1012">
        <f t="shared" si="40"/>
        <v>39</v>
      </c>
      <c r="CN6" s="1011">
        <f>IF(E6="","",VLOOKUP(B6&amp;$CN$1,FLNTRANSPOSE!$F$3:$DP$102,105,0))</f>
        <v>0</v>
      </c>
      <c r="CO6" s="1011">
        <f>IF(E6="","",VLOOKUP(B6&amp;$CN$1,FLNTRANSPOSE!$F$3:$DP$102,107,0))</f>
        <v>31</v>
      </c>
      <c r="CP6" s="1011">
        <f>IF(E6="","",VLOOKUP(B6&amp;$CN$1,FLNTRANSPOSE!$F$3:$DP$102,109,0))</f>
        <v>5</v>
      </c>
      <c r="CQ6" s="1011">
        <f>IF(E6="","",VLOOKUP(B6&amp;$CN$1,FLNTRANSPOSE!$F$3:$DP$102,111,0))</f>
        <v>0</v>
      </c>
      <c r="CR6" s="1011">
        <f>IF(E6="","",VLOOKUP(B6&amp;$CN$1,FLNTRANSPOSE!$F$3:$DP$102,113,0))</f>
        <v>0</v>
      </c>
      <c r="CS6" s="1011">
        <f>IF(E6="","",VLOOKUP(B6&amp;$CN$1,FLNTRANSPOSE!$F$3:$DP$102,115,0))</f>
        <v>3</v>
      </c>
      <c r="CT6" s="1012">
        <f t="shared" si="41"/>
        <v>39</v>
      </c>
    </row>
    <row r="7" spans="1:98">
      <c r="A7" s="849">
        <v>5</v>
      </c>
      <c r="B7" s="861" t="s">
        <v>107</v>
      </c>
      <c r="C7" s="850">
        <v>39</v>
      </c>
      <c r="D7" s="851">
        <v>3</v>
      </c>
      <c r="E7" s="837">
        <f t="shared" si="0"/>
        <v>36</v>
      </c>
      <c r="F7" s="850"/>
      <c r="G7" s="851"/>
      <c r="H7" s="1010" t="str">
        <f t="shared" si="1"/>
        <v/>
      </c>
      <c r="I7" s="1010" t="str">
        <f t="shared" si="2"/>
        <v>17.08.2026HINDI</v>
      </c>
      <c r="J7" s="850">
        <v>0</v>
      </c>
      <c r="K7" s="850">
        <v>18</v>
      </c>
      <c r="L7" s="850">
        <v>20</v>
      </c>
      <c r="M7" s="850">
        <v>1</v>
      </c>
      <c r="N7" s="850">
        <v>0</v>
      </c>
      <c r="O7" s="1010" t="str">
        <f t="shared" si="3"/>
        <v/>
      </c>
      <c r="P7" s="1010" t="str">
        <f t="shared" si="4"/>
        <v>17.08.2026MATHS</v>
      </c>
      <c r="Q7" s="850"/>
      <c r="R7" s="850"/>
      <c r="S7" s="850"/>
      <c r="T7" s="850"/>
      <c r="U7" s="850"/>
      <c r="V7" s="1010" t="str">
        <f t="shared" si="5"/>
        <v/>
      </c>
      <c r="W7" s="1010" t="str">
        <f t="shared" si="6"/>
        <v>17.08.2026ENGLISH</v>
      </c>
      <c r="X7" s="850"/>
      <c r="Y7" s="850"/>
      <c r="Z7" s="850"/>
      <c r="AA7" s="850"/>
      <c r="AB7" s="850"/>
      <c r="AC7" s="1010" t="str">
        <f t="shared" si="7"/>
        <v/>
      </c>
      <c r="AD7" s="850"/>
      <c r="AE7" s="851"/>
      <c r="AF7" s="1012" t="str">
        <f t="shared" si="8"/>
        <v/>
      </c>
      <c r="AG7" s="1012" t="str">
        <f t="shared" si="9"/>
        <v>17.08.2026HINDI</v>
      </c>
      <c r="AH7" s="850"/>
      <c r="AI7" s="850"/>
      <c r="AJ7" s="850"/>
      <c r="AK7" s="850"/>
      <c r="AL7" s="850"/>
      <c r="AM7" s="1012" t="str">
        <f t="shared" si="10"/>
        <v/>
      </c>
      <c r="AN7" s="1012" t="str">
        <f t="shared" si="11"/>
        <v>17.08.2026MATHS</v>
      </c>
      <c r="AO7" s="850"/>
      <c r="AP7" s="850"/>
      <c r="AQ7" s="850"/>
      <c r="AR7" s="850"/>
      <c r="AS7" s="850"/>
      <c r="AT7" s="1012" t="str">
        <f t="shared" si="12"/>
        <v/>
      </c>
      <c r="AU7" s="1012" t="str">
        <f t="shared" si="13"/>
        <v>17.08.2026ENGLISH</v>
      </c>
      <c r="AV7" s="850"/>
      <c r="AW7" s="850"/>
      <c r="AX7" s="850"/>
      <c r="AY7" s="850"/>
      <c r="AZ7" s="850"/>
      <c r="BA7" s="1012" t="str">
        <f t="shared" si="14"/>
        <v/>
      </c>
      <c r="BB7" s="1014">
        <f t="shared" si="15"/>
        <v>0</v>
      </c>
      <c r="BC7" s="1014">
        <f t="shared" si="16"/>
        <v>0</v>
      </c>
      <c r="BD7" s="1014" t="str">
        <f t="shared" si="17"/>
        <v/>
      </c>
      <c r="BE7" s="1014" t="str">
        <f t="shared" si="18"/>
        <v>17.08.2026HINDI</v>
      </c>
      <c r="BF7" s="1014">
        <f t="shared" si="19"/>
        <v>0</v>
      </c>
      <c r="BG7" s="1014">
        <f t="shared" si="20"/>
        <v>18</v>
      </c>
      <c r="BH7" s="1014">
        <f t="shared" si="21"/>
        <v>20</v>
      </c>
      <c r="BI7" s="1014">
        <f t="shared" si="22"/>
        <v>1</v>
      </c>
      <c r="BJ7" s="1014">
        <f t="shared" si="23"/>
        <v>0</v>
      </c>
      <c r="BK7" s="1014" t="str">
        <f t="shared" si="24"/>
        <v/>
      </c>
      <c r="BL7" s="1014" t="str">
        <f t="shared" si="25"/>
        <v>17.08.2026MATHS</v>
      </c>
      <c r="BM7" s="1014">
        <f t="shared" si="26"/>
        <v>0</v>
      </c>
      <c r="BN7" s="1014">
        <f t="shared" si="27"/>
        <v>0</v>
      </c>
      <c r="BO7" s="1014">
        <f t="shared" si="28"/>
        <v>0</v>
      </c>
      <c r="BP7" s="1014">
        <f t="shared" si="29"/>
        <v>0</v>
      </c>
      <c r="BQ7" s="1014">
        <f t="shared" si="30"/>
        <v>0</v>
      </c>
      <c r="BR7" s="1014" t="str">
        <f t="shared" si="31"/>
        <v/>
      </c>
      <c r="BS7" s="1014" t="str">
        <f t="shared" si="32"/>
        <v>17.08.2026ENGLISH</v>
      </c>
      <c r="BT7" s="1014">
        <f t="shared" si="33"/>
        <v>0</v>
      </c>
      <c r="BU7" s="1014">
        <f t="shared" si="34"/>
        <v>0</v>
      </c>
      <c r="BV7" s="1014">
        <f t="shared" si="35"/>
        <v>0</v>
      </c>
      <c r="BW7" s="1014">
        <f t="shared" si="36"/>
        <v>0</v>
      </c>
      <c r="BX7" s="1014">
        <f t="shared" si="37"/>
        <v>0</v>
      </c>
      <c r="BY7" s="1014" t="str">
        <f t="shared" si="38"/>
        <v/>
      </c>
      <c r="BZ7" s="1011">
        <f>IF(E7="","",VLOOKUP(B7&amp;$BZ$1,FLNTRANSPOSE!$F$3:$DP$102,105,0))</f>
        <v>0</v>
      </c>
      <c r="CA7" s="1011">
        <f>IF(E7="","",VLOOKUP(B7&amp;$BZ$1,FLNTRANSPOSE!$F$3:$DP$102,107,0))</f>
        <v>28</v>
      </c>
      <c r="CB7" s="1011">
        <f>IF(E7="","",VLOOKUP(B7&amp;$BZ$1,FLNTRANSPOSE!$F$3:$DP$102,109,0))</f>
        <v>5</v>
      </c>
      <c r="CC7" s="1011">
        <f>IF(E7="","",VLOOKUP(B7&amp;$BZ$1,FLNTRANSPOSE!$F$3:$DP$102,111,0))</f>
        <v>3</v>
      </c>
      <c r="CD7" s="1011">
        <f>IF(E7="","",VLOOKUP(B7&amp;$BZ$1,FLNTRANSPOSE!$F$3:$DP$102,113,0))</f>
        <v>0</v>
      </c>
      <c r="CE7" s="1011">
        <f>IF(E7="","",VLOOKUP(B7&amp;$BZ$1,FLNTRANSPOSE!$F$3:$DP$102,115,0))</f>
        <v>3</v>
      </c>
      <c r="CF7" s="1012">
        <f t="shared" si="39"/>
        <v>39</v>
      </c>
      <c r="CG7" s="1011">
        <f>IF(E7="","",VLOOKUP(B7&amp;$CG$1,FLNTRANSPOSE!$F$3:$DP$102,105,0))</f>
        <v>0</v>
      </c>
      <c r="CH7" s="1011">
        <f>IF(E7="","",VLOOKUP(B7&amp;$CG$1,FLNTRANSPOSE!$F$3:$DP$102,107,0))</f>
        <v>0</v>
      </c>
      <c r="CI7" s="1011">
        <f>IF(E7="","",VLOOKUP(B7&amp;$CG$1,FLNTRANSPOSE!$F$3:$DP$102,109,0))</f>
        <v>27</v>
      </c>
      <c r="CJ7" s="1011">
        <f>IF(E7="","",VLOOKUP(B7&amp;$CG$1,FLNTRANSPOSE!$F$3:$DP$102,111,0))</f>
        <v>9</v>
      </c>
      <c r="CK7" s="1011">
        <f>IF(E7="","",VLOOKUP(B7&amp;$CG$1,FLNTRANSPOSE!$F$3:$DP$102,113,0))</f>
        <v>0</v>
      </c>
      <c r="CL7" s="1011">
        <f>IF(E7="","",VLOOKUP(B7&amp;$CG$1,FLNTRANSPOSE!$F$3:$DP$102,115,0))</f>
        <v>3</v>
      </c>
      <c r="CM7" s="1012">
        <f t="shared" si="40"/>
        <v>39</v>
      </c>
      <c r="CN7" s="1011">
        <f>IF(E7="","",VLOOKUP(B7&amp;$CN$1,FLNTRANSPOSE!$F$3:$DP$102,105,0))</f>
        <v>0</v>
      </c>
      <c r="CO7" s="1011">
        <f>IF(E7="","",VLOOKUP(B7&amp;$CN$1,FLNTRANSPOSE!$F$3:$DP$102,107,0))</f>
        <v>31</v>
      </c>
      <c r="CP7" s="1011">
        <f>IF(E7="","",VLOOKUP(B7&amp;$CN$1,FLNTRANSPOSE!$F$3:$DP$102,109,0))</f>
        <v>5</v>
      </c>
      <c r="CQ7" s="1011">
        <f>IF(E7="","",VLOOKUP(B7&amp;$CN$1,FLNTRANSPOSE!$F$3:$DP$102,111,0))</f>
        <v>0</v>
      </c>
      <c r="CR7" s="1011">
        <f>IF(E7="","",VLOOKUP(B7&amp;$CN$1,FLNTRANSPOSE!$F$3:$DP$102,113,0))</f>
        <v>0</v>
      </c>
      <c r="CS7" s="1011">
        <f>IF(E7="","",VLOOKUP(B7&amp;$CN$1,FLNTRANSPOSE!$F$3:$DP$102,115,0))</f>
        <v>3</v>
      </c>
      <c r="CT7" s="1012">
        <f t="shared" si="41"/>
        <v>39</v>
      </c>
    </row>
    <row r="8" spans="1:98">
      <c r="A8" s="849">
        <v>6</v>
      </c>
      <c r="B8" s="850" t="s">
        <v>108</v>
      </c>
      <c r="C8" s="850">
        <v>39</v>
      </c>
      <c r="D8" s="851">
        <v>3</v>
      </c>
      <c r="E8" s="837">
        <f t="shared" si="0"/>
        <v>36</v>
      </c>
      <c r="F8" s="850"/>
      <c r="G8" s="851"/>
      <c r="H8" s="1010" t="str">
        <f t="shared" si="1"/>
        <v/>
      </c>
      <c r="I8" s="1010" t="str">
        <f t="shared" si="2"/>
        <v>31.08.2026HINDI</v>
      </c>
      <c r="J8" s="850"/>
      <c r="K8" s="850"/>
      <c r="L8" s="850"/>
      <c r="M8" s="850"/>
      <c r="N8" s="850"/>
      <c r="O8" s="1010" t="str">
        <f t="shared" si="3"/>
        <v/>
      </c>
      <c r="P8" s="1010" t="str">
        <f t="shared" si="4"/>
        <v>31.08.2026MATHS</v>
      </c>
      <c r="Q8" s="850"/>
      <c r="R8" s="850"/>
      <c r="S8" s="850"/>
      <c r="T8" s="850"/>
      <c r="U8" s="850"/>
      <c r="V8" s="1010" t="str">
        <f t="shared" si="5"/>
        <v/>
      </c>
      <c r="W8" s="1010" t="str">
        <f t="shared" si="6"/>
        <v>31.08.2026ENGLISH</v>
      </c>
      <c r="X8" s="850"/>
      <c r="Y8" s="850"/>
      <c r="Z8" s="850"/>
      <c r="AA8" s="850"/>
      <c r="AB8" s="850"/>
      <c r="AC8" s="1010" t="str">
        <f t="shared" si="7"/>
        <v/>
      </c>
      <c r="AD8" s="850"/>
      <c r="AE8" s="851"/>
      <c r="AF8" s="1012" t="str">
        <f t="shared" si="8"/>
        <v/>
      </c>
      <c r="AG8" s="1012" t="str">
        <f t="shared" si="9"/>
        <v>31.08.2026HINDI</v>
      </c>
      <c r="AH8" s="850"/>
      <c r="AI8" s="850"/>
      <c r="AJ8" s="850"/>
      <c r="AK8" s="850"/>
      <c r="AL8" s="850"/>
      <c r="AM8" s="1012" t="str">
        <f t="shared" si="10"/>
        <v/>
      </c>
      <c r="AN8" s="1012" t="str">
        <f t="shared" si="11"/>
        <v>31.08.2026MATHS</v>
      </c>
      <c r="AO8" s="850"/>
      <c r="AP8" s="850"/>
      <c r="AQ8" s="850"/>
      <c r="AR8" s="850"/>
      <c r="AS8" s="850"/>
      <c r="AT8" s="1012" t="str">
        <f t="shared" si="12"/>
        <v/>
      </c>
      <c r="AU8" s="1012" t="str">
        <f t="shared" si="13"/>
        <v>31.08.2026ENGLISH</v>
      </c>
      <c r="AV8" s="850"/>
      <c r="AW8" s="850"/>
      <c r="AX8" s="850"/>
      <c r="AY8" s="850"/>
      <c r="AZ8" s="850"/>
      <c r="BA8" s="1012" t="str">
        <f t="shared" si="14"/>
        <v/>
      </c>
      <c r="BB8" s="1014">
        <f t="shared" si="15"/>
        <v>0</v>
      </c>
      <c r="BC8" s="1014">
        <f t="shared" si="16"/>
        <v>0</v>
      </c>
      <c r="BD8" s="1014" t="str">
        <f t="shared" si="17"/>
        <v/>
      </c>
      <c r="BE8" s="1014" t="str">
        <f t="shared" si="18"/>
        <v>31.08.2026HINDI</v>
      </c>
      <c r="BF8" s="1014">
        <f t="shared" si="19"/>
        <v>0</v>
      </c>
      <c r="BG8" s="1014">
        <f t="shared" si="20"/>
        <v>0</v>
      </c>
      <c r="BH8" s="1014">
        <f t="shared" si="21"/>
        <v>0</v>
      </c>
      <c r="BI8" s="1014">
        <f t="shared" si="22"/>
        <v>0</v>
      </c>
      <c r="BJ8" s="1014">
        <f t="shared" si="23"/>
        <v>0</v>
      </c>
      <c r="BK8" s="1014" t="str">
        <f t="shared" si="24"/>
        <v/>
      </c>
      <c r="BL8" s="1014" t="str">
        <f t="shared" si="25"/>
        <v>31.08.2026MATHS</v>
      </c>
      <c r="BM8" s="1014">
        <f t="shared" si="26"/>
        <v>0</v>
      </c>
      <c r="BN8" s="1014">
        <f t="shared" si="27"/>
        <v>0</v>
      </c>
      <c r="BO8" s="1014">
        <f t="shared" si="28"/>
        <v>0</v>
      </c>
      <c r="BP8" s="1014">
        <f t="shared" si="29"/>
        <v>0</v>
      </c>
      <c r="BQ8" s="1014">
        <f t="shared" si="30"/>
        <v>0</v>
      </c>
      <c r="BR8" s="1014" t="str">
        <f t="shared" si="31"/>
        <v/>
      </c>
      <c r="BS8" s="1014" t="str">
        <f t="shared" si="32"/>
        <v>31.08.2026ENGLISH</v>
      </c>
      <c r="BT8" s="1014">
        <f t="shared" si="33"/>
        <v>0</v>
      </c>
      <c r="BU8" s="1014">
        <f t="shared" si="34"/>
        <v>0</v>
      </c>
      <c r="BV8" s="1014">
        <f t="shared" si="35"/>
        <v>0</v>
      </c>
      <c r="BW8" s="1014">
        <f t="shared" si="36"/>
        <v>0</v>
      </c>
      <c r="BX8" s="1014">
        <f t="shared" si="37"/>
        <v>0</v>
      </c>
      <c r="BY8" s="1014" t="str">
        <f t="shared" si="38"/>
        <v/>
      </c>
      <c r="BZ8" s="1011">
        <f>IF(E8="","",VLOOKUP(B8&amp;$BZ$1,FLNTRANSPOSE!$F$3:$DP$102,105,0))</f>
        <v>0</v>
      </c>
      <c r="CA8" s="1011">
        <f>IF(E8="","",VLOOKUP(B8&amp;$BZ$1,FLNTRANSPOSE!$F$3:$DP$102,107,0))</f>
        <v>16</v>
      </c>
      <c r="CB8" s="1011">
        <f>IF(E8="","",VLOOKUP(B8&amp;$BZ$1,FLNTRANSPOSE!$F$3:$DP$102,109,0))</f>
        <v>12</v>
      </c>
      <c r="CC8" s="1011">
        <f>IF(E8="","",VLOOKUP(B8&amp;$BZ$1,FLNTRANSPOSE!$F$3:$DP$102,111,0))</f>
        <v>8</v>
      </c>
      <c r="CD8" s="1011">
        <f>IF(E8="","",VLOOKUP(B8&amp;$BZ$1,FLNTRANSPOSE!$F$3:$DP$102,113,0))</f>
        <v>0</v>
      </c>
      <c r="CE8" s="1011">
        <f>IF(E8="","",VLOOKUP(B8&amp;$BZ$1,FLNTRANSPOSE!$F$3:$DP$102,115,0))</f>
        <v>3</v>
      </c>
      <c r="CF8" s="1012">
        <f t="shared" si="39"/>
        <v>39</v>
      </c>
      <c r="CG8" s="1011">
        <f>IF(E8="","",VLOOKUP(B8&amp;$CG$1,FLNTRANSPOSE!$F$3:$DP$102,105,0))</f>
        <v>0</v>
      </c>
      <c r="CH8" s="1011">
        <f>IF(E8="","",VLOOKUP(B8&amp;$CG$1,FLNTRANSPOSE!$F$3:$DP$102,107,0))</f>
        <v>0</v>
      </c>
      <c r="CI8" s="1011">
        <f>IF(E8="","",VLOOKUP(B8&amp;$CG$1,FLNTRANSPOSE!$F$3:$DP$102,109,0))</f>
        <v>23</v>
      </c>
      <c r="CJ8" s="1011">
        <f>IF(E8="","",VLOOKUP(B8&amp;$CG$1,FLNTRANSPOSE!$F$3:$DP$102,111,0))</f>
        <v>13</v>
      </c>
      <c r="CK8" s="1011">
        <f>IF(E8="","",VLOOKUP(B8&amp;$CG$1,FLNTRANSPOSE!$F$3:$DP$102,113,0))</f>
        <v>0</v>
      </c>
      <c r="CL8" s="1011">
        <f>IF(E8="","",VLOOKUP(B8&amp;$CG$1,FLNTRANSPOSE!$F$3:$DP$102,115,0))</f>
        <v>3</v>
      </c>
      <c r="CM8" s="1012">
        <f t="shared" si="40"/>
        <v>39</v>
      </c>
      <c r="CN8" s="1011">
        <f>IF(E8="","",VLOOKUP(B8&amp;$CN$1,FLNTRANSPOSE!$F$3:$DP$102,105,0))</f>
        <v>0</v>
      </c>
      <c r="CO8" s="1011">
        <f>IF(E8="","",VLOOKUP(B8&amp;$CN$1,FLNTRANSPOSE!$F$3:$DP$102,107,0))</f>
        <v>27</v>
      </c>
      <c r="CP8" s="1011">
        <f>IF(E8="","",VLOOKUP(B8&amp;$CN$1,FLNTRANSPOSE!$F$3:$DP$102,109,0))</f>
        <v>6</v>
      </c>
      <c r="CQ8" s="1011">
        <f>IF(E8="","",VLOOKUP(B8&amp;$CN$1,FLNTRANSPOSE!$F$3:$DP$102,111,0))</f>
        <v>3</v>
      </c>
      <c r="CR8" s="1011">
        <f>IF(E8="","",VLOOKUP(B8&amp;$CN$1,FLNTRANSPOSE!$F$3:$DP$102,113,0))</f>
        <v>0</v>
      </c>
      <c r="CS8" s="1011">
        <f>IF(E8="","",VLOOKUP(B8&amp;$CN$1,FLNTRANSPOSE!$F$3:$DP$102,115,0))</f>
        <v>3</v>
      </c>
      <c r="CT8" s="1012">
        <f t="shared" si="41"/>
        <v>39</v>
      </c>
    </row>
    <row r="9" spans="1:98">
      <c r="A9" s="849">
        <v>7</v>
      </c>
      <c r="B9" s="850"/>
      <c r="C9" s="850">
        <v>0</v>
      </c>
      <c r="D9" s="851"/>
      <c r="E9" s="837" t="str">
        <f t="shared" si="0"/>
        <v/>
      </c>
      <c r="F9" s="850"/>
      <c r="G9" s="851"/>
      <c r="H9" s="1010" t="str">
        <f t="shared" si="1"/>
        <v/>
      </c>
      <c r="I9" s="1010" t="str">
        <f t="shared" si="2"/>
        <v>HINDI</v>
      </c>
      <c r="J9" s="850"/>
      <c r="K9" s="850"/>
      <c r="L9" s="850"/>
      <c r="M9" s="850"/>
      <c r="N9" s="850"/>
      <c r="O9" s="1010" t="str">
        <f t="shared" si="3"/>
        <v/>
      </c>
      <c r="P9" s="1010" t="str">
        <f t="shared" si="4"/>
        <v>MATHS</v>
      </c>
      <c r="Q9" s="850"/>
      <c r="R9" s="850"/>
      <c r="S9" s="850"/>
      <c r="T9" s="850"/>
      <c r="U9" s="850"/>
      <c r="V9" s="1010" t="str">
        <f t="shared" si="5"/>
        <v/>
      </c>
      <c r="W9" s="1010" t="str">
        <f t="shared" si="6"/>
        <v>ENGLISH</v>
      </c>
      <c r="X9" s="850"/>
      <c r="Y9" s="850"/>
      <c r="Z9" s="850"/>
      <c r="AA9" s="850"/>
      <c r="AB9" s="850"/>
      <c r="AC9" s="1010" t="str">
        <f t="shared" si="7"/>
        <v/>
      </c>
      <c r="AD9" s="850"/>
      <c r="AE9" s="851"/>
      <c r="AF9" s="1012" t="str">
        <f t="shared" si="8"/>
        <v/>
      </c>
      <c r="AG9" s="1012" t="str">
        <f t="shared" si="9"/>
        <v>HINDI</v>
      </c>
      <c r="AH9" s="850"/>
      <c r="AI9" s="850"/>
      <c r="AJ9" s="850"/>
      <c r="AK9" s="850"/>
      <c r="AL9" s="850"/>
      <c r="AM9" s="1012" t="str">
        <f t="shared" si="10"/>
        <v/>
      </c>
      <c r="AN9" s="1012" t="str">
        <f t="shared" si="11"/>
        <v>MATHS</v>
      </c>
      <c r="AO9" s="850"/>
      <c r="AP9" s="850"/>
      <c r="AQ9" s="850"/>
      <c r="AR9" s="850"/>
      <c r="AS9" s="850"/>
      <c r="AT9" s="1012" t="str">
        <f t="shared" si="12"/>
        <v/>
      </c>
      <c r="AU9" s="1012" t="str">
        <f t="shared" si="13"/>
        <v>ENGLISH</v>
      </c>
      <c r="AV9" s="850"/>
      <c r="AW9" s="850"/>
      <c r="AX9" s="850"/>
      <c r="AY9" s="850"/>
      <c r="AZ9" s="850"/>
      <c r="BA9" s="1012" t="str">
        <f t="shared" si="14"/>
        <v/>
      </c>
      <c r="BB9" s="1014">
        <f t="shared" si="15"/>
        <v>0</v>
      </c>
      <c r="BC9" s="1014">
        <f t="shared" si="16"/>
        <v>0</v>
      </c>
      <c r="BD9" s="1014" t="str">
        <f t="shared" si="17"/>
        <v/>
      </c>
      <c r="BE9" s="1014" t="str">
        <f t="shared" si="18"/>
        <v>HINDI</v>
      </c>
      <c r="BF9" s="1014">
        <f t="shared" si="19"/>
        <v>0</v>
      </c>
      <c r="BG9" s="1014">
        <f t="shared" si="20"/>
        <v>0</v>
      </c>
      <c r="BH9" s="1014">
        <f t="shared" si="21"/>
        <v>0</v>
      </c>
      <c r="BI9" s="1014">
        <f t="shared" si="22"/>
        <v>0</v>
      </c>
      <c r="BJ9" s="1014">
        <f t="shared" si="23"/>
        <v>0</v>
      </c>
      <c r="BK9" s="1014" t="str">
        <f t="shared" si="24"/>
        <v/>
      </c>
      <c r="BL9" s="1014" t="str">
        <f t="shared" si="25"/>
        <v>MATHS</v>
      </c>
      <c r="BM9" s="1014">
        <f t="shared" si="26"/>
        <v>0</v>
      </c>
      <c r="BN9" s="1014">
        <f t="shared" si="27"/>
        <v>0</v>
      </c>
      <c r="BO9" s="1014">
        <f t="shared" si="28"/>
        <v>0</v>
      </c>
      <c r="BP9" s="1014">
        <f t="shared" si="29"/>
        <v>0</v>
      </c>
      <c r="BQ9" s="1014">
        <f t="shared" si="30"/>
        <v>0</v>
      </c>
      <c r="BR9" s="1014" t="str">
        <f t="shared" si="31"/>
        <v/>
      </c>
      <c r="BS9" s="1014" t="str">
        <f t="shared" si="32"/>
        <v>ENGLISH</v>
      </c>
      <c r="BT9" s="1014">
        <f t="shared" si="33"/>
        <v>0</v>
      </c>
      <c r="BU9" s="1014">
        <f t="shared" si="34"/>
        <v>0</v>
      </c>
      <c r="BV9" s="1014">
        <f t="shared" si="35"/>
        <v>0</v>
      </c>
      <c r="BW9" s="1014">
        <f t="shared" si="36"/>
        <v>0</v>
      </c>
      <c r="BX9" s="1014">
        <f t="shared" si="37"/>
        <v>0</v>
      </c>
      <c r="BY9" s="1014" t="str">
        <f t="shared" si="38"/>
        <v/>
      </c>
      <c r="BZ9" s="1011" t="str">
        <f>IF(E9="","",VLOOKUP(B9&amp;$BZ$1,FLNTRANSPOSE!$F$3:$DP$102,105,0))</f>
        <v/>
      </c>
      <c r="CA9" s="1011" t="str">
        <f>IF(E9="","",VLOOKUP(B9&amp;$BZ$1,FLNTRANSPOSE!$F$3:$DP$102,107,0))</f>
        <v/>
      </c>
      <c r="CB9" s="1011" t="str">
        <f>IF(E9="","",VLOOKUP(B9&amp;$BZ$1,FLNTRANSPOSE!$F$3:$DP$102,109,0))</f>
        <v/>
      </c>
      <c r="CC9" s="1011" t="str">
        <f>IF(E9="","",VLOOKUP(B9&amp;$BZ$1,FLNTRANSPOSE!$F$3:$DP$102,111,0))</f>
        <v/>
      </c>
      <c r="CD9" s="1011" t="str">
        <f>IF(E9="","",VLOOKUP(B9&amp;$BZ$1,FLNTRANSPOSE!$F$3:$DP$102,113,0))</f>
        <v/>
      </c>
      <c r="CE9" s="1011" t="str">
        <f>IF(E9="","",VLOOKUP(B9&amp;$BZ$1,FLNTRANSPOSE!$F$3:$DP$102,115,0))</f>
        <v/>
      </c>
      <c r="CF9" s="1012" t="str">
        <f t="shared" si="39"/>
        <v/>
      </c>
      <c r="CG9" s="1011" t="str">
        <f>IF(E9="","",VLOOKUP(B9&amp;$CG$1,FLNTRANSPOSE!$F$3:$DP$102,105,0))</f>
        <v/>
      </c>
      <c r="CH9" s="1011" t="str">
        <f>IF(E9="","",VLOOKUP(B9&amp;$CG$1,FLNTRANSPOSE!$F$3:$DP$102,107,0))</f>
        <v/>
      </c>
      <c r="CI9" s="1011" t="str">
        <f>IF(E9="","",VLOOKUP(B9&amp;$CG$1,FLNTRANSPOSE!$F$3:$DP$102,109,0))</f>
        <v/>
      </c>
      <c r="CJ9" s="1011" t="str">
        <f>IF(E9="","",VLOOKUP(B9&amp;$CG$1,FLNTRANSPOSE!$F$3:$DP$102,111,0))</f>
        <v/>
      </c>
      <c r="CK9" s="1011" t="str">
        <f>IF(E9="","",VLOOKUP(B9&amp;$CG$1,FLNTRANSPOSE!$F$3:$DP$102,113,0))</f>
        <v/>
      </c>
      <c r="CL9" s="1011" t="str">
        <f>IF(E9="","",VLOOKUP(B9&amp;$CG$1,FLNTRANSPOSE!$F$3:$DP$102,115,0))</f>
        <v/>
      </c>
      <c r="CM9" s="1012" t="str">
        <f t="shared" si="40"/>
        <v/>
      </c>
      <c r="CN9" s="1011" t="str">
        <f>IF(E9="","",VLOOKUP(B9&amp;$CN$1,FLNTRANSPOSE!$F$3:$DP$102,105,0))</f>
        <v/>
      </c>
      <c r="CO9" s="1011" t="str">
        <f>IF(E9="","",VLOOKUP(B9&amp;$CN$1,FLNTRANSPOSE!$F$3:$DP$102,107,0))</f>
        <v/>
      </c>
      <c r="CP9" s="1011" t="str">
        <f>IF(E9="","",VLOOKUP(B9&amp;$CN$1,FLNTRANSPOSE!$F$3:$DP$102,109,0))</f>
        <v/>
      </c>
      <c r="CQ9" s="1011" t="str">
        <f>IF(E9="","",VLOOKUP(B9&amp;$CN$1,FLNTRANSPOSE!$F$3:$DP$102,111,0))</f>
        <v/>
      </c>
      <c r="CR9" s="1011" t="str">
        <f>IF(E9="","",VLOOKUP(B9&amp;$CN$1,FLNTRANSPOSE!$F$3:$DP$102,113,0))</f>
        <v/>
      </c>
      <c r="CS9" s="1011" t="str">
        <f>IF(E9="","",VLOOKUP(B9&amp;$CN$1,FLNTRANSPOSE!$F$3:$DP$102,115,0))</f>
        <v/>
      </c>
      <c r="CT9" s="1012" t="str">
        <f t="shared" si="41"/>
        <v/>
      </c>
    </row>
    <row r="10" spans="1:98">
      <c r="A10" s="849">
        <v>8</v>
      </c>
      <c r="B10" s="850"/>
      <c r="C10" s="850"/>
      <c r="D10" s="851"/>
      <c r="E10" s="837" t="str">
        <f t="shared" si="0"/>
        <v/>
      </c>
      <c r="F10" s="850"/>
      <c r="G10" s="851"/>
      <c r="H10" s="1010" t="str">
        <f t="shared" si="1"/>
        <v/>
      </c>
      <c r="I10" s="1010" t="str">
        <f t="shared" si="2"/>
        <v>HINDI</v>
      </c>
      <c r="J10" s="850"/>
      <c r="K10" s="850"/>
      <c r="L10" s="850"/>
      <c r="M10" s="850"/>
      <c r="N10" s="850"/>
      <c r="O10" s="1010" t="str">
        <f t="shared" si="3"/>
        <v/>
      </c>
      <c r="P10" s="1010" t="str">
        <f t="shared" si="4"/>
        <v>MATHS</v>
      </c>
      <c r="Q10" s="850"/>
      <c r="R10" s="850"/>
      <c r="S10" s="850"/>
      <c r="T10" s="850"/>
      <c r="U10" s="850"/>
      <c r="V10" s="1010" t="str">
        <f t="shared" si="5"/>
        <v/>
      </c>
      <c r="W10" s="1010" t="str">
        <f t="shared" si="6"/>
        <v>ENGLISH</v>
      </c>
      <c r="X10" s="850"/>
      <c r="Y10" s="850"/>
      <c r="Z10" s="850"/>
      <c r="AA10" s="850"/>
      <c r="AB10" s="850"/>
      <c r="AC10" s="1010" t="str">
        <f t="shared" si="7"/>
        <v/>
      </c>
      <c r="AD10" s="850"/>
      <c r="AE10" s="851"/>
      <c r="AF10" s="1012" t="str">
        <f t="shared" si="8"/>
        <v/>
      </c>
      <c r="AG10" s="1012" t="str">
        <f t="shared" si="9"/>
        <v>HINDI</v>
      </c>
      <c r="AH10" s="850"/>
      <c r="AI10" s="850"/>
      <c r="AJ10" s="850"/>
      <c r="AK10" s="850"/>
      <c r="AL10" s="850"/>
      <c r="AM10" s="1012" t="str">
        <f t="shared" si="10"/>
        <v/>
      </c>
      <c r="AN10" s="1012" t="str">
        <f t="shared" si="11"/>
        <v>MATHS</v>
      </c>
      <c r="AO10" s="850"/>
      <c r="AP10" s="850"/>
      <c r="AQ10" s="850"/>
      <c r="AR10" s="850"/>
      <c r="AS10" s="850"/>
      <c r="AT10" s="1012" t="str">
        <f t="shared" si="12"/>
        <v/>
      </c>
      <c r="AU10" s="1012" t="str">
        <f t="shared" si="13"/>
        <v>ENGLISH</v>
      </c>
      <c r="AV10" s="850"/>
      <c r="AW10" s="850"/>
      <c r="AX10" s="850"/>
      <c r="AY10" s="850"/>
      <c r="AZ10" s="850"/>
      <c r="BA10" s="1012" t="str">
        <f t="shared" si="14"/>
        <v/>
      </c>
      <c r="BB10" s="1014">
        <f t="shared" si="15"/>
        <v>0</v>
      </c>
      <c r="BC10" s="1014">
        <f t="shared" si="16"/>
        <v>0</v>
      </c>
      <c r="BD10" s="1014" t="str">
        <f t="shared" si="17"/>
        <v/>
      </c>
      <c r="BE10" s="1014" t="str">
        <f t="shared" si="18"/>
        <v>HINDI</v>
      </c>
      <c r="BF10" s="1014">
        <f t="shared" si="19"/>
        <v>0</v>
      </c>
      <c r="BG10" s="1014">
        <f t="shared" si="20"/>
        <v>0</v>
      </c>
      <c r="BH10" s="1014">
        <f t="shared" si="21"/>
        <v>0</v>
      </c>
      <c r="BI10" s="1014">
        <f t="shared" si="22"/>
        <v>0</v>
      </c>
      <c r="BJ10" s="1014">
        <f t="shared" si="23"/>
        <v>0</v>
      </c>
      <c r="BK10" s="1014" t="str">
        <f t="shared" si="24"/>
        <v/>
      </c>
      <c r="BL10" s="1014" t="str">
        <f t="shared" si="25"/>
        <v>MATHS</v>
      </c>
      <c r="BM10" s="1014">
        <f t="shared" si="26"/>
        <v>0</v>
      </c>
      <c r="BN10" s="1014">
        <f t="shared" si="27"/>
        <v>0</v>
      </c>
      <c r="BO10" s="1014">
        <f t="shared" si="28"/>
        <v>0</v>
      </c>
      <c r="BP10" s="1014">
        <f t="shared" si="29"/>
        <v>0</v>
      </c>
      <c r="BQ10" s="1014">
        <f t="shared" si="30"/>
        <v>0</v>
      </c>
      <c r="BR10" s="1014" t="str">
        <f t="shared" si="31"/>
        <v/>
      </c>
      <c r="BS10" s="1014" t="str">
        <f t="shared" si="32"/>
        <v>ENGLISH</v>
      </c>
      <c r="BT10" s="1014">
        <f t="shared" si="33"/>
        <v>0</v>
      </c>
      <c r="BU10" s="1014">
        <f t="shared" si="34"/>
        <v>0</v>
      </c>
      <c r="BV10" s="1014">
        <f t="shared" si="35"/>
        <v>0</v>
      </c>
      <c r="BW10" s="1014">
        <f t="shared" si="36"/>
        <v>0</v>
      </c>
      <c r="BX10" s="1014">
        <f t="shared" si="37"/>
        <v>0</v>
      </c>
      <c r="BY10" s="1014" t="str">
        <f t="shared" si="38"/>
        <v/>
      </c>
      <c r="BZ10" s="1011" t="str">
        <f>IF(E10="","",VLOOKUP(B10&amp;$BZ$1,FLNTRANSPOSE!$F$3:$DP$102,105,0))</f>
        <v/>
      </c>
      <c r="CA10" s="1011" t="str">
        <f>IF(E10="","",VLOOKUP(B10&amp;$BZ$1,FLNTRANSPOSE!$F$3:$DP$102,107,0))</f>
        <v/>
      </c>
      <c r="CB10" s="1011" t="str">
        <f>IF(E10="","",VLOOKUP(B10&amp;$BZ$1,FLNTRANSPOSE!$F$3:$DP$102,109,0))</f>
        <v/>
      </c>
      <c r="CC10" s="1011" t="str">
        <f>IF(E10="","",VLOOKUP(B10&amp;$BZ$1,FLNTRANSPOSE!$F$3:$DP$102,111,0))</f>
        <v/>
      </c>
      <c r="CD10" s="1011" t="str">
        <f>IF(E10="","",VLOOKUP(B10&amp;$BZ$1,FLNTRANSPOSE!$F$3:$DP$102,113,0))</f>
        <v/>
      </c>
      <c r="CE10" s="1011" t="str">
        <f>IF(E10="","",VLOOKUP(B10&amp;$BZ$1,FLNTRANSPOSE!$F$3:$DP$102,115,0))</f>
        <v/>
      </c>
      <c r="CF10" s="1012" t="str">
        <f t="shared" si="39"/>
        <v/>
      </c>
      <c r="CG10" s="1011" t="str">
        <f>IF(E10="","",VLOOKUP(B10&amp;$CG$1,FLNTRANSPOSE!$F$3:$DP$102,105,0))</f>
        <v/>
      </c>
      <c r="CH10" s="1011" t="str">
        <f>IF(E10="","",VLOOKUP(B10&amp;$CG$1,FLNTRANSPOSE!$F$3:$DP$102,107,0))</f>
        <v/>
      </c>
      <c r="CI10" s="1011" t="str">
        <f>IF(E10="","",VLOOKUP(B10&amp;$CG$1,FLNTRANSPOSE!$F$3:$DP$102,109,0))</f>
        <v/>
      </c>
      <c r="CJ10" s="1011" t="str">
        <f>IF(E10="","",VLOOKUP(B10&amp;$CG$1,FLNTRANSPOSE!$F$3:$DP$102,111,0))</f>
        <v/>
      </c>
      <c r="CK10" s="1011" t="str">
        <f>IF(E10="","",VLOOKUP(B10&amp;$CG$1,FLNTRANSPOSE!$F$3:$DP$102,113,0))</f>
        <v/>
      </c>
      <c r="CL10" s="1011" t="str">
        <f>IF(E10="","",VLOOKUP(B10&amp;$CG$1,FLNTRANSPOSE!$F$3:$DP$102,115,0))</f>
        <v/>
      </c>
      <c r="CM10" s="1012" t="str">
        <f t="shared" si="40"/>
        <v/>
      </c>
      <c r="CN10" s="1011" t="str">
        <f>IF(E10="","",VLOOKUP(B10&amp;$CN$1,FLNTRANSPOSE!$F$3:$DP$102,105,0))</f>
        <v/>
      </c>
      <c r="CO10" s="1011" t="str">
        <f>IF(E10="","",VLOOKUP(B10&amp;$CN$1,FLNTRANSPOSE!$F$3:$DP$102,107,0))</f>
        <v/>
      </c>
      <c r="CP10" s="1011" t="str">
        <f>IF(E10="","",VLOOKUP(B10&amp;$CN$1,FLNTRANSPOSE!$F$3:$DP$102,109,0))</f>
        <v/>
      </c>
      <c r="CQ10" s="1011" t="str">
        <f>IF(E10="","",VLOOKUP(B10&amp;$CN$1,FLNTRANSPOSE!$F$3:$DP$102,111,0))</f>
        <v/>
      </c>
      <c r="CR10" s="1011" t="str">
        <f>IF(E10="","",VLOOKUP(B10&amp;$CN$1,FLNTRANSPOSE!$F$3:$DP$102,113,0))</f>
        <v/>
      </c>
      <c r="CS10" s="1011" t="str">
        <f>IF(E10="","",VLOOKUP(B10&amp;$CN$1,FLNTRANSPOSE!$F$3:$DP$102,115,0))</f>
        <v/>
      </c>
      <c r="CT10" s="1012" t="str">
        <f t="shared" si="41"/>
        <v/>
      </c>
    </row>
    <row r="11" spans="1:98">
      <c r="A11" s="849">
        <v>9</v>
      </c>
      <c r="B11" s="861"/>
      <c r="C11" s="850"/>
      <c r="D11" s="851"/>
      <c r="E11" s="837" t="str">
        <f t="shared" si="0"/>
        <v/>
      </c>
      <c r="F11" s="850"/>
      <c r="G11" s="851"/>
      <c r="H11" s="1010" t="str">
        <f t="shared" si="1"/>
        <v/>
      </c>
      <c r="I11" s="1010" t="str">
        <f t="shared" si="2"/>
        <v>HINDI</v>
      </c>
      <c r="J11" s="850"/>
      <c r="K11" s="850"/>
      <c r="L11" s="850"/>
      <c r="M11" s="850"/>
      <c r="N11" s="850"/>
      <c r="O11" s="1010" t="str">
        <f t="shared" si="3"/>
        <v/>
      </c>
      <c r="P11" s="1010" t="str">
        <f t="shared" si="4"/>
        <v>MATHS</v>
      </c>
      <c r="Q11" s="850"/>
      <c r="R11" s="850"/>
      <c r="S11" s="850"/>
      <c r="T11" s="850"/>
      <c r="U11" s="850"/>
      <c r="V11" s="1010" t="str">
        <f t="shared" si="5"/>
        <v/>
      </c>
      <c r="W11" s="1010" t="str">
        <f t="shared" si="6"/>
        <v>ENGLISH</v>
      </c>
      <c r="X11" s="850"/>
      <c r="Y11" s="850"/>
      <c r="Z11" s="850"/>
      <c r="AA11" s="850"/>
      <c r="AB11" s="850"/>
      <c r="AC11" s="1010" t="str">
        <f t="shared" si="7"/>
        <v/>
      </c>
      <c r="AD11" s="850"/>
      <c r="AE11" s="851"/>
      <c r="AF11" s="1012" t="str">
        <f t="shared" si="8"/>
        <v/>
      </c>
      <c r="AG11" s="1012" t="str">
        <f t="shared" si="9"/>
        <v>HINDI</v>
      </c>
      <c r="AH11" s="850"/>
      <c r="AI11" s="850"/>
      <c r="AJ11" s="850"/>
      <c r="AK11" s="850"/>
      <c r="AL11" s="850"/>
      <c r="AM11" s="1012" t="str">
        <f t="shared" si="10"/>
        <v/>
      </c>
      <c r="AN11" s="1012" t="str">
        <f t="shared" si="11"/>
        <v>MATHS</v>
      </c>
      <c r="AO11" s="850"/>
      <c r="AP11" s="850"/>
      <c r="AQ11" s="850"/>
      <c r="AR11" s="850"/>
      <c r="AS11" s="850"/>
      <c r="AT11" s="1012" t="str">
        <f t="shared" si="12"/>
        <v/>
      </c>
      <c r="AU11" s="1012" t="str">
        <f t="shared" si="13"/>
        <v>ENGLISH</v>
      </c>
      <c r="AV11" s="850"/>
      <c r="AW11" s="850"/>
      <c r="AX11" s="850"/>
      <c r="AY11" s="850"/>
      <c r="AZ11" s="850"/>
      <c r="BA11" s="1012" t="str">
        <f t="shared" si="14"/>
        <v/>
      </c>
      <c r="BB11" s="1014">
        <f t="shared" si="15"/>
        <v>0</v>
      </c>
      <c r="BC11" s="1014">
        <f t="shared" si="16"/>
        <v>0</v>
      </c>
      <c r="BD11" s="1014" t="str">
        <f t="shared" si="17"/>
        <v/>
      </c>
      <c r="BE11" s="1014" t="str">
        <f t="shared" si="18"/>
        <v>HINDI</v>
      </c>
      <c r="BF11" s="1014">
        <f t="shared" si="19"/>
        <v>0</v>
      </c>
      <c r="BG11" s="1014">
        <f t="shared" si="20"/>
        <v>0</v>
      </c>
      <c r="BH11" s="1014">
        <f t="shared" si="21"/>
        <v>0</v>
      </c>
      <c r="BI11" s="1014">
        <f t="shared" si="22"/>
        <v>0</v>
      </c>
      <c r="BJ11" s="1014">
        <f t="shared" si="23"/>
        <v>0</v>
      </c>
      <c r="BK11" s="1014" t="str">
        <f t="shared" si="24"/>
        <v/>
      </c>
      <c r="BL11" s="1014" t="str">
        <f t="shared" si="25"/>
        <v>MATHS</v>
      </c>
      <c r="BM11" s="1014">
        <f t="shared" si="26"/>
        <v>0</v>
      </c>
      <c r="BN11" s="1014">
        <f t="shared" si="27"/>
        <v>0</v>
      </c>
      <c r="BO11" s="1014">
        <f t="shared" si="28"/>
        <v>0</v>
      </c>
      <c r="BP11" s="1014">
        <f t="shared" si="29"/>
        <v>0</v>
      </c>
      <c r="BQ11" s="1014">
        <f t="shared" si="30"/>
        <v>0</v>
      </c>
      <c r="BR11" s="1014" t="str">
        <f t="shared" si="31"/>
        <v/>
      </c>
      <c r="BS11" s="1014" t="str">
        <f t="shared" si="32"/>
        <v>ENGLISH</v>
      </c>
      <c r="BT11" s="1014">
        <f t="shared" si="33"/>
        <v>0</v>
      </c>
      <c r="BU11" s="1014">
        <f t="shared" si="34"/>
        <v>0</v>
      </c>
      <c r="BV11" s="1014">
        <f t="shared" si="35"/>
        <v>0</v>
      </c>
      <c r="BW11" s="1014">
        <f t="shared" si="36"/>
        <v>0</v>
      </c>
      <c r="BX11" s="1014">
        <f t="shared" si="37"/>
        <v>0</v>
      </c>
      <c r="BY11" s="1014" t="str">
        <f t="shared" si="38"/>
        <v/>
      </c>
      <c r="BZ11" s="1011" t="str">
        <f>IF(E11="","",VLOOKUP(B11&amp;$BZ$1,FLNTRANSPOSE!$F$3:$DP$102,105,0))</f>
        <v/>
      </c>
      <c r="CA11" s="1011" t="str">
        <f>IF(E11="","",VLOOKUP(B11&amp;$BZ$1,FLNTRANSPOSE!$F$3:$DP$102,107,0))</f>
        <v/>
      </c>
      <c r="CB11" s="1011" t="str">
        <f>IF(E11="","",VLOOKUP(B11&amp;$BZ$1,FLNTRANSPOSE!$F$3:$DP$102,109,0))</f>
        <v/>
      </c>
      <c r="CC11" s="1011" t="str">
        <f>IF(E11="","",VLOOKUP(B11&amp;$BZ$1,FLNTRANSPOSE!$F$3:$DP$102,111,0))</f>
        <v/>
      </c>
      <c r="CD11" s="1011" t="str">
        <f>IF(E11="","",VLOOKUP(B11&amp;$BZ$1,FLNTRANSPOSE!$F$3:$DP$102,113,0))</f>
        <v/>
      </c>
      <c r="CE11" s="1011" t="str">
        <f>IF(E11="","",VLOOKUP(B11&amp;$BZ$1,FLNTRANSPOSE!$F$3:$DP$102,115,0))</f>
        <v/>
      </c>
      <c r="CF11" s="1012" t="str">
        <f t="shared" si="39"/>
        <v/>
      </c>
      <c r="CG11" s="1011" t="str">
        <f>IF(E11="","",VLOOKUP(B11&amp;$CG$1,FLNTRANSPOSE!$F$3:$DP$102,105,0))</f>
        <v/>
      </c>
      <c r="CH11" s="1011" t="str">
        <f>IF(E11="","",VLOOKUP(B11&amp;$CG$1,FLNTRANSPOSE!$F$3:$DP$102,107,0))</f>
        <v/>
      </c>
      <c r="CI11" s="1011" t="str">
        <f>IF(E11="","",VLOOKUP(B11&amp;$CG$1,FLNTRANSPOSE!$F$3:$DP$102,109,0))</f>
        <v/>
      </c>
      <c r="CJ11" s="1011" t="str">
        <f>IF(E11="","",VLOOKUP(B11&amp;$CG$1,FLNTRANSPOSE!$F$3:$DP$102,111,0))</f>
        <v/>
      </c>
      <c r="CK11" s="1011" t="str">
        <f>IF(E11="","",VLOOKUP(B11&amp;$CG$1,FLNTRANSPOSE!$F$3:$DP$102,113,0))</f>
        <v/>
      </c>
      <c r="CL11" s="1011" t="str">
        <f>IF(E11="","",VLOOKUP(B11&amp;$CG$1,FLNTRANSPOSE!$F$3:$DP$102,115,0))</f>
        <v/>
      </c>
      <c r="CM11" s="1012" t="str">
        <f t="shared" si="40"/>
        <v/>
      </c>
      <c r="CN11" s="1011" t="str">
        <f>IF(E11="","",VLOOKUP(B11&amp;$CN$1,FLNTRANSPOSE!$F$3:$DP$102,105,0))</f>
        <v/>
      </c>
      <c r="CO11" s="1011" t="str">
        <f>IF(E11="","",VLOOKUP(B11&amp;$CN$1,FLNTRANSPOSE!$F$3:$DP$102,107,0))</f>
        <v/>
      </c>
      <c r="CP11" s="1011" t="str">
        <f>IF(E11="","",VLOOKUP(B11&amp;$CN$1,FLNTRANSPOSE!$F$3:$DP$102,109,0))</f>
        <v/>
      </c>
      <c r="CQ11" s="1011" t="str">
        <f>IF(E11="","",VLOOKUP(B11&amp;$CN$1,FLNTRANSPOSE!$F$3:$DP$102,111,0))</f>
        <v/>
      </c>
      <c r="CR11" s="1011" t="str">
        <f>IF(E11="","",VLOOKUP(B11&amp;$CN$1,FLNTRANSPOSE!$F$3:$DP$102,113,0))</f>
        <v/>
      </c>
      <c r="CS11" s="1011" t="str">
        <f>IF(E11="","",VLOOKUP(B11&amp;$CN$1,FLNTRANSPOSE!$F$3:$DP$102,115,0))</f>
        <v/>
      </c>
      <c r="CT11" s="1012" t="str">
        <f t="shared" si="41"/>
        <v/>
      </c>
    </row>
    <row r="12" spans="1:98">
      <c r="A12" s="849">
        <v>10</v>
      </c>
      <c r="B12" s="850"/>
      <c r="C12" s="850"/>
      <c r="D12" s="851"/>
      <c r="E12" s="837" t="str">
        <f t="shared" si="0"/>
        <v/>
      </c>
      <c r="F12" s="850"/>
      <c r="G12" s="851"/>
      <c r="H12" s="1010" t="str">
        <f t="shared" si="1"/>
        <v/>
      </c>
      <c r="I12" s="1010" t="str">
        <f t="shared" si="2"/>
        <v>HINDI</v>
      </c>
      <c r="J12" s="850"/>
      <c r="K12" s="850"/>
      <c r="L12" s="850"/>
      <c r="M12" s="850"/>
      <c r="N12" s="850"/>
      <c r="O12" s="1010" t="str">
        <f t="shared" si="3"/>
        <v/>
      </c>
      <c r="P12" s="1010" t="str">
        <f t="shared" si="4"/>
        <v>MATHS</v>
      </c>
      <c r="Q12" s="850"/>
      <c r="R12" s="850"/>
      <c r="S12" s="850"/>
      <c r="T12" s="850"/>
      <c r="U12" s="850"/>
      <c r="V12" s="1010" t="str">
        <f t="shared" si="5"/>
        <v/>
      </c>
      <c r="W12" s="1010" t="str">
        <f t="shared" si="6"/>
        <v>ENGLISH</v>
      </c>
      <c r="X12" s="850"/>
      <c r="Y12" s="850"/>
      <c r="Z12" s="850"/>
      <c r="AA12" s="850"/>
      <c r="AB12" s="850"/>
      <c r="AC12" s="1010" t="str">
        <f t="shared" si="7"/>
        <v/>
      </c>
      <c r="AD12" s="850"/>
      <c r="AE12" s="851"/>
      <c r="AF12" s="1012" t="str">
        <f t="shared" si="8"/>
        <v/>
      </c>
      <c r="AG12" s="1012" t="str">
        <f t="shared" si="9"/>
        <v>HINDI</v>
      </c>
      <c r="AH12" s="1015"/>
      <c r="AI12" s="1015"/>
      <c r="AJ12" s="1015"/>
      <c r="AK12" s="1015"/>
      <c r="AL12" s="1015"/>
      <c r="AM12" s="1012" t="str">
        <f t="shared" si="10"/>
        <v/>
      </c>
      <c r="AN12" s="1012" t="str">
        <f t="shared" si="11"/>
        <v>MATHS</v>
      </c>
      <c r="AO12" s="1015"/>
      <c r="AP12" s="1015"/>
      <c r="AQ12" s="1015"/>
      <c r="AR12" s="1015"/>
      <c r="AS12" s="1015"/>
      <c r="AT12" s="1012" t="str">
        <f t="shared" si="12"/>
        <v/>
      </c>
      <c r="AU12" s="1012" t="str">
        <f t="shared" si="13"/>
        <v>ENGLISH</v>
      </c>
      <c r="AV12" s="1015"/>
      <c r="AW12" s="1015"/>
      <c r="AX12" s="1015"/>
      <c r="AY12" s="1015"/>
      <c r="AZ12" s="1015"/>
      <c r="BA12" s="1012" t="str">
        <f t="shared" si="14"/>
        <v/>
      </c>
      <c r="BB12" s="1014">
        <f t="shared" si="15"/>
        <v>0</v>
      </c>
      <c r="BC12" s="1014">
        <f t="shared" si="16"/>
        <v>0</v>
      </c>
      <c r="BD12" s="1014" t="str">
        <f t="shared" si="17"/>
        <v/>
      </c>
      <c r="BE12" s="1014" t="str">
        <f t="shared" si="18"/>
        <v>HINDI</v>
      </c>
      <c r="BF12" s="1014">
        <f t="shared" si="19"/>
        <v>0</v>
      </c>
      <c r="BG12" s="1014">
        <f t="shared" si="20"/>
        <v>0</v>
      </c>
      <c r="BH12" s="1014">
        <f t="shared" si="21"/>
        <v>0</v>
      </c>
      <c r="BI12" s="1014">
        <f t="shared" si="22"/>
        <v>0</v>
      </c>
      <c r="BJ12" s="1014">
        <f t="shared" si="23"/>
        <v>0</v>
      </c>
      <c r="BK12" s="1014" t="str">
        <f t="shared" si="24"/>
        <v/>
      </c>
      <c r="BL12" s="1014" t="str">
        <f t="shared" si="25"/>
        <v>MATHS</v>
      </c>
      <c r="BM12" s="1014">
        <f t="shared" si="26"/>
        <v>0</v>
      </c>
      <c r="BN12" s="1014">
        <f t="shared" si="27"/>
        <v>0</v>
      </c>
      <c r="BO12" s="1014">
        <f t="shared" si="28"/>
        <v>0</v>
      </c>
      <c r="BP12" s="1014">
        <f t="shared" si="29"/>
        <v>0</v>
      </c>
      <c r="BQ12" s="1014">
        <f t="shared" si="30"/>
        <v>0</v>
      </c>
      <c r="BR12" s="1014" t="str">
        <f t="shared" si="31"/>
        <v/>
      </c>
      <c r="BS12" s="1014" t="str">
        <f t="shared" si="32"/>
        <v>ENGLISH</v>
      </c>
      <c r="BT12" s="1014">
        <f t="shared" si="33"/>
        <v>0</v>
      </c>
      <c r="BU12" s="1014">
        <f t="shared" si="34"/>
        <v>0</v>
      </c>
      <c r="BV12" s="1014">
        <f t="shared" si="35"/>
        <v>0</v>
      </c>
      <c r="BW12" s="1014">
        <f t="shared" si="36"/>
        <v>0</v>
      </c>
      <c r="BX12" s="1014">
        <f t="shared" si="37"/>
        <v>0</v>
      </c>
      <c r="BY12" s="1014" t="str">
        <f t="shared" si="38"/>
        <v/>
      </c>
      <c r="BZ12" s="1011" t="str">
        <f>IF(E12="","",VLOOKUP(B12&amp;$BZ$1,FLNTRANSPOSE!$F$3:$DP$102,105,0))</f>
        <v/>
      </c>
      <c r="CA12" s="1011" t="str">
        <f>IF(E12="","",VLOOKUP(B12&amp;$BZ$1,FLNTRANSPOSE!$F$3:$DP$102,107,0))</f>
        <v/>
      </c>
      <c r="CB12" s="1011" t="str">
        <f>IF(E12="","",VLOOKUP(B12&amp;$BZ$1,FLNTRANSPOSE!$F$3:$DP$102,109,0))</f>
        <v/>
      </c>
      <c r="CC12" s="1011" t="str">
        <f>IF(E12="","",VLOOKUP(B12&amp;$BZ$1,FLNTRANSPOSE!$F$3:$DP$102,111,0))</f>
        <v/>
      </c>
      <c r="CD12" s="1011" t="str">
        <f>IF(E12="","",VLOOKUP(B12&amp;$BZ$1,FLNTRANSPOSE!$F$3:$DP$102,113,0))</f>
        <v/>
      </c>
      <c r="CE12" s="1011" t="str">
        <f>IF(E12="","",VLOOKUP(B12&amp;$BZ$1,FLNTRANSPOSE!$F$3:$DP$102,115,0))</f>
        <v/>
      </c>
      <c r="CF12" s="1012" t="str">
        <f t="shared" si="39"/>
        <v/>
      </c>
      <c r="CG12" s="1011" t="str">
        <f>IF(E12="","",VLOOKUP(B12&amp;$CG$1,FLNTRANSPOSE!$F$3:$DP$102,105,0))</f>
        <v/>
      </c>
      <c r="CH12" s="1011" t="str">
        <f>IF(E12="","",VLOOKUP(B12&amp;$CG$1,FLNTRANSPOSE!$F$3:$DP$102,107,0))</f>
        <v/>
      </c>
      <c r="CI12" s="1011" t="str">
        <f>IF(E12="","",VLOOKUP(B12&amp;$CG$1,FLNTRANSPOSE!$F$3:$DP$102,109,0))</f>
        <v/>
      </c>
      <c r="CJ12" s="1011" t="str">
        <f>IF(E12="","",VLOOKUP(B12&amp;$CG$1,FLNTRANSPOSE!$F$3:$DP$102,111,0))</f>
        <v/>
      </c>
      <c r="CK12" s="1011" t="str">
        <f>IF(E12="","",VLOOKUP(B12&amp;$CG$1,FLNTRANSPOSE!$F$3:$DP$102,113,0))</f>
        <v/>
      </c>
      <c r="CL12" s="1011" t="str">
        <f>IF(E12="","",VLOOKUP(B12&amp;$CG$1,FLNTRANSPOSE!$F$3:$DP$102,115,0))</f>
        <v/>
      </c>
      <c r="CM12" s="1012" t="str">
        <f t="shared" si="40"/>
        <v/>
      </c>
      <c r="CN12" s="1011" t="str">
        <f>IF(E12="","",VLOOKUP(B12&amp;$CN$1,FLNTRANSPOSE!$F$3:$DP$102,105,0))</f>
        <v/>
      </c>
      <c r="CO12" s="1011" t="str">
        <f>IF(E12="","",VLOOKUP(B12&amp;$CN$1,FLNTRANSPOSE!$F$3:$DP$102,107,0))</f>
        <v/>
      </c>
      <c r="CP12" s="1011" t="str">
        <f>IF(E12="","",VLOOKUP(B12&amp;$CN$1,FLNTRANSPOSE!$F$3:$DP$102,109,0))</f>
        <v/>
      </c>
      <c r="CQ12" s="1011" t="str">
        <f>IF(E12="","",VLOOKUP(B12&amp;$CN$1,FLNTRANSPOSE!$F$3:$DP$102,111,0))</f>
        <v/>
      </c>
      <c r="CR12" s="1011" t="str">
        <f>IF(E12="","",VLOOKUP(B12&amp;$CN$1,FLNTRANSPOSE!$F$3:$DP$102,113,0))</f>
        <v/>
      </c>
      <c r="CS12" s="1011" t="str">
        <f>IF(E12="","",VLOOKUP(B12&amp;$CN$1,FLNTRANSPOSE!$F$3:$DP$102,115,0))</f>
        <v/>
      </c>
      <c r="CT12" s="1012" t="str">
        <f t="shared" si="41"/>
        <v/>
      </c>
    </row>
    <row r="13" spans="1:98">
      <c r="A13" s="849">
        <v>11</v>
      </c>
      <c r="B13" s="850"/>
      <c r="C13" s="850"/>
      <c r="D13" s="851"/>
      <c r="E13" s="837" t="str">
        <f t="shared" si="0"/>
        <v/>
      </c>
      <c r="F13" s="850"/>
      <c r="G13" s="851"/>
      <c r="H13" s="1010" t="str">
        <f t="shared" si="1"/>
        <v/>
      </c>
      <c r="I13" s="1010" t="str">
        <f t="shared" si="2"/>
        <v>HINDI</v>
      </c>
      <c r="J13" s="850"/>
      <c r="K13" s="850"/>
      <c r="L13" s="850"/>
      <c r="M13" s="850"/>
      <c r="N13" s="850"/>
      <c r="O13" s="1010" t="str">
        <f t="shared" si="3"/>
        <v/>
      </c>
      <c r="P13" s="1010" t="str">
        <f t="shared" si="4"/>
        <v>MATHS</v>
      </c>
      <c r="Q13" s="850"/>
      <c r="R13" s="850"/>
      <c r="S13" s="850"/>
      <c r="T13" s="850"/>
      <c r="U13" s="850"/>
      <c r="V13" s="1010" t="str">
        <f t="shared" si="5"/>
        <v/>
      </c>
      <c r="W13" s="1010" t="str">
        <f t="shared" si="6"/>
        <v>ENGLISH</v>
      </c>
      <c r="X13" s="850"/>
      <c r="Y13" s="850"/>
      <c r="Z13" s="850"/>
      <c r="AA13" s="850"/>
      <c r="AB13" s="850"/>
      <c r="AC13" s="1010" t="str">
        <f t="shared" si="7"/>
        <v/>
      </c>
      <c r="AD13" s="850"/>
      <c r="AE13" s="851"/>
      <c r="AF13" s="1012" t="str">
        <f t="shared" si="8"/>
        <v/>
      </c>
      <c r="AG13" s="1012" t="str">
        <f t="shared" si="9"/>
        <v>HINDI</v>
      </c>
      <c r="AH13" s="850"/>
      <c r="AI13" s="850"/>
      <c r="AJ13" s="850"/>
      <c r="AK13" s="850"/>
      <c r="AL13" s="850"/>
      <c r="AM13" s="1012" t="str">
        <f t="shared" si="10"/>
        <v/>
      </c>
      <c r="AN13" s="1012" t="str">
        <f t="shared" si="11"/>
        <v>MATHS</v>
      </c>
      <c r="AO13" s="850"/>
      <c r="AP13" s="850"/>
      <c r="AQ13" s="850"/>
      <c r="AR13" s="850"/>
      <c r="AS13" s="850"/>
      <c r="AT13" s="1012" t="str">
        <f t="shared" si="12"/>
        <v/>
      </c>
      <c r="AU13" s="1012" t="str">
        <f t="shared" si="13"/>
        <v>ENGLISH</v>
      </c>
      <c r="AV13" s="850"/>
      <c r="AW13" s="850"/>
      <c r="AX13" s="850"/>
      <c r="AY13" s="850"/>
      <c r="AZ13" s="850"/>
      <c r="BA13" s="1012" t="str">
        <f t="shared" si="14"/>
        <v/>
      </c>
      <c r="BB13" s="1014">
        <f t="shared" ref="BB13:BB27" si="42">SUM(F13,AD13)</f>
        <v>0</v>
      </c>
      <c r="BC13" s="1014">
        <f t="shared" ref="BC13:BC27" si="43">SUM(G13,AE13)</f>
        <v>0</v>
      </c>
      <c r="BD13" s="1014" t="str">
        <f t="shared" si="17"/>
        <v/>
      </c>
      <c r="BE13" s="1014" t="str">
        <f t="shared" si="18"/>
        <v>HINDI</v>
      </c>
      <c r="BF13" s="1014">
        <f t="shared" si="19"/>
        <v>0</v>
      </c>
      <c r="BG13" s="1014">
        <f t="shared" si="20"/>
        <v>0</v>
      </c>
      <c r="BH13" s="1014">
        <f t="shared" si="21"/>
        <v>0</v>
      </c>
      <c r="BI13" s="1014">
        <f t="shared" si="22"/>
        <v>0</v>
      </c>
      <c r="BJ13" s="1014">
        <f t="shared" si="23"/>
        <v>0</v>
      </c>
      <c r="BK13" s="1014" t="str">
        <f t="shared" si="24"/>
        <v/>
      </c>
      <c r="BL13" s="1014" t="str">
        <f t="shared" si="25"/>
        <v>MATHS</v>
      </c>
      <c r="BM13" s="1014">
        <f t="shared" si="26"/>
        <v>0</v>
      </c>
      <c r="BN13" s="1014">
        <f t="shared" si="27"/>
        <v>0</v>
      </c>
      <c r="BO13" s="1014">
        <f t="shared" si="28"/>
        <v>0</v>
      </c>
      <c r="BP13" s="1014">
        <f t="shared" si="29"/>
        <v>0</v>
      </c>
      <c r="BQ13" s="1014">
        <f t="shared" si="30"/>
        <v>0</v>
      </c>
      <c r="BR13" s="1014" t="str">
        <f t="shared" si="31"/>
        <v/>
      </c>
      <c r="BS13" s="1014" t="str">
        <f t="shared" si="32"/>
        <v>ENGLISH</v>
      </c>
      <c r="BT13" s="1014">
        <f t="shared" si="33"/>
        <v>0</v>
      </c>
      <c r="BU13" s="1014">
        <f t="shared" si="34"/>
        <v>0</v>
      </c>
      <c r="BV13" s="1014">
        <f t="shared" si="35"/>
        <v>0</v>
      </c>
      <c r="BW13" s="1014">
        <f t="shared" si="36"/>
        <v>0</v>
      </c>
      <c r="BX13" s="1014">
        <f t="shared" si="37"/>
        <v>0</v>
      </c>
      <c r="BY13" s="1014" t="str">
        <f t="shared" si="38"/>
        <v/>
      </c>
      <c r="BZ13" s="1011" t="str">
        <f>IF(E13="","",VLOOKUP(B13&amp;$BZ$1,FLNTRANSPOSE!$F$3:$DP$102,105,0))</f>
        <v/>
      </c>
      <c r="CA13" s="1011" t="str">
        <f>IF(E13="","",VLOOKUP(B13&amp;$BZ$1,FLNTRANSPOSE!$F$3:$DP$102,107,0))</f>
        <v/>
      </c>
      <c r="CB13" s="1011" t="str">
        <f>IF(E13="","",VLOOKUP(B13&amp;$BZ$1,FLNTRANSPOSE!$F$3:$DP$102,109,0))</f>
        <v/>
      </c>
      <c r="CC13" s="1011" t="str">
        <f>IF(E13="","",VLOOKUP(B13&amp;$BZ$1,FLNTRANSPOSE!$F$3:$DP$102,111,0))</f>
        <v/>
      </c>
      <c r="CD13" s="1011" t="str">
        <f>IF(E13="","",VLOOKUP(B13&amp;$BZ$1,FLNTRANSPOSE!$F$3:$DP$102,113,0))</f>
        <v/>
      </c>
      <c r="CE13" s="1011" t="str">
        <f>IF(E13="","",VLOOKUP(B13&amp;$BZ$1,FLNTRANSPOSE!$F$3:$DP$102,115,0))</f>
        <v/>
      </c>
      <c r="CF13" s="1012" t="str">
        <f t="shared" si="39"/>
        <v/>
      </c>
      <c r="CG13" s="1011" t="str">
        <f>IF(E13="","",VLOOKUP(B13&amp;$CG$1,FLNTRANSPOSE!$F$3:$DP$102,105,0))</f>
        <v/>
      </c>
      <c r="CH13" s="1011" t="str">
        <f>IF(E13="","",VLOOKUP(B13&amp;$CG$1,FLNTRANSPOSE!$F$3:$DP$102,107,0))</f>
        <v/>
      </c>
      <c r="CI13" s="1011" t="str">
        <f>IF(E13="","",VLOOKUP(B13&amp;$CG$1,FLNTRANSPOSE!$F$3:$DP$102,109,0))</f>
        <v/>
      </c>
      <c r="CJ13" s="1011" t="str">
        <f>IF(E13="","",VLOOKUP(B13&amp;$CG$1,FLNTRANSPOSE!$F$3:$DP$102,111,0))</f>
        <v/>
      </c>
      <c r="CK13" s="1011" t="str">
        <f>IF(E13="","",VLOOKUP(B13&amp;$CG$1,FLNTRANSPOSE!$F$3:$DP$102,113,0))</f>
        <v/>
      </c>
      <c r="CL13" s="1011" t="str">
        <f>IF(E13="","",VLOOKUP(B13&amp;$CG$1,FLNTRANSPOSE!$F$3:$DP$102,115,0))</f>
        <v/>
      </c>
      <c r="CM13" s="1012" t="str">
        <f t="shared" si="40"/>
        <v/>
      </c>
      <c r="CN13" s="1011" t="str">
        <f>IF(E13="","",VLOOKUP(B13&amp;$CN$1,FLNTRANSPOSE!$F$3:$DP$102,105,0))</f>
        <v/>
      </c>
      <c r="CO13" s="1011" t="str">
        <f>IF(E13="","",VLOOKUP(B13&amp;$CN$1,FLNTRANSPOSE!$F$3:$DP$102,107,0))</f>
        <v/>
      </c>
      <c r="CP13" s="1011" t="str">
        <f>IF(E13="","",VLOOKUP(B13&amp;$CN$1,FLNTRANSPOSE!$F$3:$DP$102,109,0))</f>
        <v/>
      </c>
      <c r="CQ13" s="1011" t="str">
        <f>IF(E13="","",VLOOKUP(B13&amp;$CN$1,FLNTRANSPOSE!$F$3:$DP$102,111,0))</f>
        <v/>
      </c>
      <c r="CR13" s="1011" t="str">
        <f>IF(E13="","",VLOOKUP(B13&amp;$CN$1,FLNTRANSPOSE!$F$3:$DP$102,113,0))</f>
        <v/>
      </c>
      <c r="CS13" s="1011" t="str">
        <f>IF(E13="","",VLOOKUP(B13&amp;$CN$1,FLNTRANSPOSE!$F$3:$DP$102,115,0))</f>
        <v/>
      </c>
      <c r="CT13" s="1012" t="str">
        <f t="shared" si="41"/>
        <v/>
      </c>
    </row>
    <row r="14" spans="1:98">
      <c r="A14" s="849">
        <v>12</v>
      </c>
      <c r="B14" s="850"/>
      <c r="C14" s="850"/>
      <c r="D14" s="851"/>
      <c r="E14" s="837" t="str">
        <f t="shared" si="0"/>
        <v/>
      </c>
      <c r="F14" s="850"/>
      <c r="G14" s="851"/>
      <c r="H14" s="1010" t="str">
        <f t="shared" si="1"/>
        <v/>
      </c>
      <c r="I14" s="1010" t="str">
        <f t="shared" si="2"/>
        <v>HINDI</v>
      </c>
      <c r="J14" s="850"/>
      <c r="K14" s="850"/>
      <c r="L14" s="850"/>
      <c r="M14" s="850"/>
      <c r="N14" s="850"/>
      <c r="O14" s="1010" t="str">
        <f t="shared" si="3"/>
        <v/>
      </c>
      <c r="P14" s="1010" t="str">
        <f t="shared" si="4"/>
        <v>MATHS</v>
      </c>
      <c r="Q14" s="850"/>
      <c r="R14" s="850"/>
      <c r="S14" s="850"/>
      <c r="T14" s="850"/>
      <c r="U14" s="850"/>
      <c r="V14" s="1010" t="str">
        <f t="shared" si="5"/>
        <v/>
      </c>
      <c r="W14" s="1010" t="str">
        <f t="shared" si="6"/>
        <v>ENGLISH</v>
      </c>
      <c r="X14" s="850"/>
      <c r="Y14" s="850"/>
      <c r="Z14" s="850"/>
      <c r="AA14" s="850"/>
      <c r="AB14" s="850"/>
      <c r="AC14" s="1010" t="str">
        <f t="shared" si="7"/>
        <v/>
      </c>
      <c r="AD14" s="850"/>
      <c r="AE14" s="851"/>
      <c r="AF14" s="1012" t="str">
        <f t="shared" si="8"/>
        <v/>
      </c>
      <c r="AG14" s="1012" t="str">
        <f t="shared" si="9"/>
        <v>HINDI</v>
      </c>
      <c r="AH14" s="850"/>
      <c r="AI14" s="850"/>
      <c r="AJ14" s="850"/>
      <c r="AK14" s="850"/>
      <c r="AL14" s="850"/>
      <c r="AM14" s="1012" t="str">
        <f t="shared" si="10"/>
        <v/>
      </c>
      <c r="AN14" s="1012" t="str">
        <f t="shared" si="11"/>
        <v>MATHS</v>
      </c>
      <c r="AO14" s="850"/>
      <c r="AP14" s="850"/>
      <c r="AQ14" s="850"/>
      <c r="AR14" s="850"/>
      <c r="AS14" s="850"/>
      <c r="AT14" s="1012" t="str">
        <f t="shared" si="12"/>
        <v/>
      </c>
      <c r="AU14" s="1012" t="str">
        <f t="shared" si="13"/>
        <v>ENGLISH</v>
      </c>
      <c r="AV14" s="850"/>
      <c r="AW14" s="850"/>
      <c r="AX14" s="850"/>
      <c r="AY14" s="850"/>
      <c r="AZ14" s="850"/>
      <c r="BA14" s="1012" t="str">
        <f t="shared" si="14"/>
        <v/>
      </c>
      <c r="BB14" s="1014">
        <f t="shared" si="42"/>
        <v>0</v>
      </c>
      <c r="BC14" s="1014">
        <f t="shared" si="43"/>
        <v>0</v>
      </c>
      <c r="BD14" s="1014" t="str">
        <f t="shared" si="17"/>
        <v/>
      </c>
      <c r="BE14" s="1014" t="str">
        <f t="shared" si="18"/>
        <v>HINDI</v>
      </c>
      <c r="BF14" s="1014">
        <f t="shared" si="19"/>
        <v>0</v>
      </c>
      <c r="BG14" s="1014">
        <f t="shared" si="20"/>
        <v>0</v>
      </c>
      <c r="BH14" s="1014">
        <f t="shared" si="21"/>
        <v>0</v>
      </c>
      <c r="BI14" s="1014">
        <f t="shared" si="22"/>
        <v>0</v>
      </c>
      <c r="BJ14" s="1014">
        <f t="shared" si="23"/>
        <v>0</v>
      </c>
      <c r="BK14" s="1014" t="str">
        <f t="shared" si="24"/>
        <v/>
      </c>
      <c r="BL14" s="1014" t="str">
        <f t="shared" si="25"/>
        <v>MATHS</v>
      </c>
      <c r="BM14" s="1014">
        <f t="shared" si="26"/>
        <v>0</v>
      </c>
      <c r="BN14" s="1014">
        <f t="shared" si="27"/>
        <v>0</v>
      </c>
      <c r="BO14" s="1014">
        <f t="shared" si="28"/>
        <v>0</v>
      </c>
      <c r="BP14" s="1014">
        <f t="shared" si="29"/>
        <v>0</v>
      </c>
      <c r="BQ14" s="1014">
        <f t="shared" si="30"/>
        <v>0</v>
      </c>
      <c r="BR14" s="1014" t="str">
        <f t="shared" si="31"/>
        <v/>
      </c>
      <c r="BS14" s="1014" t="str">
        <f t="shared" si="32"/>
        <v>ENGLISH</v>
      </c>
      <c r="BT14" s="1014">
        <f t="shared" si="33"/>
        <v>0</v>
      </c>
      <c r="BU14" s="1014">
        <f t="shared" si="34"/>
        <v>0</v>
      </c>
      <c r="BV14" s="1014">
        <f t="shared" si="35"/>
        <v>0</v>
      </c>
      <c r="BW14" s="1014">
        <f t="shared" si="36"/>
        <v>0</v>
      </c>
      <c r="BX14" s="1014">
        <f t="shared" si="37"/>
        <v>0</v>
      </c>
      <c r="BY14" s="1014" t="str">
        <f t="shared" si="38"/>
        <v/>
      </c>
      <c r="BZ14" s="1011" t="str">
        <f>IF(E14="","",VLOOKUP(B14&amp;$BZ$1,FLNTRANSPOSE!$F$3:$DP$102,105,0))</f>
        <v/>
      </c>
      <c r="CA14" s="1011" t="str">
        <f>IF(E14="","",VLOOKUP(B14&amp;$BZ$1,FLNTRANSPOSE!$F$3:$DP$102,107,0))</f>
        <v/>
      </c>
      <c r="CB14" s="1011" t="str">
        <f>IF(E14="","",VLOOKUP(B14&amp;$BZ$1,FLNTRANSPOSE!$F$3:$DP$102,109,0))</f>
        <v/>
      </c>
      <c r="CC14" s="1011" t="str">
        <f>IF(E14="","",VLOOKUP(B14&amp;$BZ$1,FLNTRANSPOSE!$F$3:$DP$102,111,0))</f>
        <v/>
      </c>
      <c r="CD14" s="1011" t="str">
        <f>IF(E14="","",VLOOKUP(B14&amp;$BZ$1,FLNTRANSPOSE!$F$3:$DP$102,113,0))</f>
        <v/>
      </c>
      <c r="CE14" s="1011" t="str">
        <f>IF(E14="","",VLOOKUP(B14&amp;$BZ$1,FLNTRANSPOSE!$F$3:$DP$102,115,0))</f>
        <v/>
      </c>
      <c r="CF14" s="1012" t="str">
        <f t="shared" si="39"/>
        <v/>
      </c>
      <c r="CG14" s="1011" t="str">
        <f>IF(E14="","",VLOOKUP(B14&amp;$CG$1,FLNTRANSPOSE!$F$3:$DP$102,105,0))</f>
        <v/>
      </c>
      <c r="CH14" s="1011" t="str">
        <f>IF(E14="","",VLOOKUP(B14&amp;$CG$1,FLNTRANSPOSE!$F$3:$DP$102,107,0))</f>
        <v/>
      </c>
      <c r="CI14" s="1011" t="str">
        <f>IF(E14="","",VLOOKUP(B14&amp;$CG$1,FLNTRANSPOSE!$F$3:$DP$102,109,0))</f>
        <v/>
      </c>
      <c r="CJ14" s="1011" t="str">
        <f>IF(E14="","",VLOOKUP(B14&amp;$CG$1,FLNTRANSPOSE!$F$3:$DP$102,111,0))</f>
        <v/>
      </c>
      <c r="CK14" s="1011" t="str">
        <f>IF(E14="","",VLOOKUP(B14&amp;$CG$1,FLNTRANSPOSE!$F$3:$DP$102,113,0))</f>
        <v/>
      </c>
      <c r="CL14" s="1011" t="str">
        <f>IF(E14="","",VLOOKUP(B14&amp;$CG$1,FLNTRANSPOSE!$F$3:$DP$102,115,0))</f>
        <v/>
      </c>
      <c r="CM14" s="1012" t="str">
        <f t="shared" si="40"/>
        <v/>
      </c>
      <c r="CN14" s="1011" t="str">
        <f>IF(E14="","",VLOOKUP(B14&amp;$CN$1,FLNTRANSPOSE!$F$3:$DP$102,105,0))</f>
        <v/>
      </c>
      <c r="CO14" s="1011" t="str">
        <f>IF(E14="","",VLOOKUP(B14&amp;$CN$1,FLNTRANSPOSE!$F$3:$DP$102,107,0))</f>
        <v/>
      </c>
      <c r="CP14" s="1011" t="str">
        <f>IF(E14="","",VLOOKUP(B14&amp;$CN$1,FLNTRANSPOSE!$F$3:$DP$102,109,0))</f>
        <v/>
      </c>
      <c r="CQ14" s="1011" t="str">
        <f>IF(E14="","",VLOOKUP(B14&amp;$CN$1,FLNTRANSPOSE!$F$3:$DP$102,111,0))</f>
        <v/>
      </c>
      <c r="CR14" s="1011" t="str">
        <f>IF(E14="","",VLOOKUP(B14&amp;$CN$1,FLNTRANSPOSE!$F$3:$DP$102,113,0))</f>
        <v/>
      </c>
      <c r="CS14" s="1011" t="str">
        <f>IF(E14="","",VLOOKUP(B14&amp;$CN$1,FLNTRANSPOSE!$F$3:$DP$102,115,0))</f>
        <v/>
      </c>
      <c r="CT14" s="1012" t="str">
        <f t="shared" si="41"/>
        <v/>
      </c>
    </row>
    <row r="15" spans="1:98">
      <c r="A15" s="849">
        <v>13</v>
      </c>
      <c r="B15" s="861"/>
      <c r="C15" s="850"/>
      <c r="D15" s="851"/>
      <c r="E15" s="837" t="str">
        <f t="shared" si="0"/>
        <v/>
      </c>
      <c r="F15" s="850"/>
      <c r="G15" s="851"/>
      <c r="H15" s="1010" t="str">
        <f t="shared" si="1"/>
        <v/>
      </c>
      <c r="I15" s="1010" t="str">
        <f t="shared" si="2"/>
        <v>HINDI</v>
      </c>
      <c r="J15" s="850"/>
      <c r="K15" s="850"/>
      <c r="L15" s="850"/>
      <c r="M15" s="850"/>
      <c r="N15" s="850"/>
      <c r="O15" s="1010" t="str">
        <f t="shared" si="3"/>
        <v/>
      </c>
      <c r="P15" s="1010" t="str">
        <f t="shared" si="4"/>
        <v>MATHS</v>
      </c>
      <c r="Q15" s="850"/>
      <c r="R15" s="850"/>
      <c r="S15" s="850"/>
      <c r="T15" s="850"/>
      <c r="U15" s="850"/>
      <c r="V15" s="1010" t="str">
        <f t="shared" si="5"/>
        <v/>
      </c>
      <c r="W15" s="1010" t="str">
        <f t="shared" si="6"/>
        <v>ENGLISH</v>
      </c>
      <c r="X15" s="850"/>
      <c r="Y15" s="850"/>
      <c r="Z15" s="850"/>
      <c r="AA15" s="850"/>
      <c r="AB15" s="850"/>
      <c r="AC15" s="1010" t="str">
        <f t="shared" si="7"/>
        <v/>
      </c>
      <c r="AD15" s="850"/>
      <c r="AE15" s="851"/>
      <c r="AF15" s="1012" t="str">
        <f t="shared" si="8"/>
        <v/>
      </c>
      <c r="AG15" s="1012" t="str">
        <f t="shared" si="9"/>
        <v>HINDI</v>
      </c>
      <c r="AH15" s="850"/>
      <c r="AI15" s="850"/>
      <c r="AJ15" s="850"/>
      <c r="AK15" s="850"/>
      <c r="AL15" s="850"/>
      <c r="AM15" s="1012" t="str">
        <f t="shared" si="10"/>
        <v/>
      </c>
      <c r="AN15" s="1012" t="str">
        <f t="shared" si="11"/>
        <v>MATHS</v>
      </c>
      <c r="AO15" s="850"/>
      <c r="AP15" s="850"/>
      <c r="AQ15" s="850"/>
      <c r="AR15" s="850"/>
      <c r="AS15" s="850"/>
      <c r="AT15" s="1012" t="str">
        <f t="shared" si="12"/>
        <v/>
      </c>
      <c r="AU15" s="1012" t="str">
        <f t="shared" si="13"/>
        <v>ENGLISH</v>
      </c>
      <c r="AV15" s="850"/>
      <c r="AW15" s="850"/>
      <c r="AX15" s="850"/>
      <c r="AY15" s="850"/>
      <c r="AZ15" s="850"/>
      <c r="BA15" s="1012" t="str">
        <f t="shared" si="14"/>
        <v/>
      </c>
      <c r="BB15" s="1014">
        <f t="shared" si="42"/>
        <v>0</v>
      </c>
      <c r="BC15" s="1014">
        <f t="shared" si="43"/>
        <v>0</v>
      </c>
      <c r="BD15" s="1014" t="str">
        <f t="shared" si="17"/>
        <v/>
      </c>
      <c r="BE15" s="1014" t="str">
        <f t="shared" si="18"/>
        <v>HINDI</v>
      </c>
      <c r="BF15" s="1014">
        <f t="shared" si="19"/>
        <v>0</v>
      </c>
      <c r="BG15" s="1014">
        <f t="shared" si="20"/>
        <v>0</v>
      </c>
      <c r="BH15" s="1014">
        <f t="shared" si="21"/>
        <v>0</v>
      </c>
      <c r="BI15" s="1014">
        <f t="shared" si="22"/>
        <v>0</v>
      </c>
      <c r="BJ15" s="1014">
        <f t="shared" si="23"/>
        <v>0</v>
      </c>
      <c r="BK15" s="1014" t="str">
        <f t="shared" si="24"/>
        <v/>
      </c>
      <c r="BL15" s="1014" t="str">
        <f t="shared" si="25"/>
        <v>MATHS</v>
      </c>
      <c r="BM15" s="1014">
        <f t="shared" si="26"/>
        <v>0</v>
      </c>
      <c r="BN15" s="1014">
        <f t="shared" si="27"/>
        <v>0</v>
      </c>
      <c r="BO15" s="1014">
        <f t="shared" si="28"/>
        <v>0</v>
      </c>
      <c r="BP15" s="1014">
        <f t="shared" si="29"/>
        <v>0</v>
      </c>
      <c r="BQ15" s="1014">
        <f t="shared" si="30"/>
        <v>0</v>
      </c>
      <c r="BR15" s="1014" t="str">
        <f t="shared" si="31"/>
        <v/>
      </c>
      <c r="BS15" s="1014" t="str">
        <f t="shared" si="32"/>
        <v>ENGLISH</v>
      </c>
      <c r="BT15" s="1014">
        <f t="shared" si="33"/>
        <v>0</v>
      </c>
      <c r="BU15" s="1014">
        <f t="shared" si="34"/>
        <v>0</v>
      </c>
      <c r="BV15" s="1014">
        <f t="shared" si="35"/>
        <v>0</v>
      </c>
      <c r="BW15" s="1014">
        <f t="shared" si="36"/>
        <v>0</v>
      </c>
      <c r="BX15" s="1014">
        <f t="shared" si="37"/>
        <v>0</v>
      </c>
      <c r="BY15" s="1014" t="str">
        <f t="shared" si="38"/>
        <v/>
      </c>
      <c r="BZ15" s="1011" t="str">
        <f>IF(E15="","",VLOOKUP(B15&amp;$BZ$1,FLNTRANSPOSE!$F$3:$DP$102,105,0))</f>
        <v/>
      </c>
      <c r="CA15" s="1011" t="str">
        <f>IF(E15="","",VLOOKUP(B15&amp;$BZ$1,FLNTRANSPOSE!$F$3:$DP$102,107,0))</f>
        <v/>
      </c>
      <c r="CB15" s="1011" t="str">
        <f>IF(E15="","",VLOOKUP(B15&amp;$BZ$1,FLNTRANSPOSE!$F$3:$DP$102,109,0))</f>
        <v/>
      </c>
      <c r="CC15" s="1011" t="str">
        <f>IF(E15="","",VLOOKUP(B15&amp;$BZ$1,FLNTRANSPOSE!$F$3:$DP$102,111,0))</f>
        <v/>
      </c>
      <c r="CD15" s="1011" t="str">
        <f>IF(E15="","",VLOOKUP(B15&amp;$BZ$1,FLNTRANSPOSE!$F$3:$DP$102,113,0))</f>
        <v/>
      </c>
      <c r="CE15" s="1011" t="str">
        <f>IF(E15="","",VLOOKUP(B15&amp;$BZ$1,FLNTRANSPOSE!$F$3:$DP$102,115,0))</f>
        <v/>
      </c>
      <c r="CF15" s="1012" t="str">
        <f t="shared" si="39"/>
        <v/>
      </c>
      <c r="CG15" s="1011" t="str">
        <f>IF(E15="","",VLOOKUP(B15&amp;$CG$1,FLNTRANSPOSE!$F$3:$DP$102,105,0))</f>
        <v/>
      </c>
      <c r="CH15" s="1011" t="str">
        <f>IF(E15="","",VLOOKUP(B15&amp;$CG$1,FLNTRANSPOSE!$F$3:$DP$102,107,0))</f>
        <v/>
      </c>
      <c r="CI15" s="1011" t="str">
        <f>IF(E15="","",VLOOKUP(B15&amp;$CG$1,FLNTRANSPOSE!$F$3:$DP$102,109,0))</f>
        <v/>
      </c>
      <c r="CJ15" s="1011" t="str">
        <f>IF(E15="","",VLOOKUP(B15&amp;$CG$1,FLNTRANSPOSE!$F$3:$DP$102,111,0))</f>
        <v/>
      </c>
      <c r="CK15" s="1011" t="str">
        <f>IF(E15="","",VLOOKUP(B15&amp;$CG$1,FLNTRANSPOSE!$F$3:$DP$102,113,0))</f>
        <v/>
      </c>
      <c r="CL15" s="1011" t="str">
        <f>IF(E15="","",VLOOKUP(B15&amp;$CG$1,FLNTRANSPOSE!$F$3:$DP$102,115,0))</f>
        <v/>
      </c>
      <c r="CM15" s="1012" t="str">
        <f t="shared" si="40"/>
        <v/>
      </c>
      <c r="CN15" s="1011" t="str">
        <f>IF(E15="","",VLOOKUP(B15&amp;$CN$1,FLNTRANSPOSE!$F$3:$DP$102,105,0))</f>
        <v/>
      </c>
      <c r="CO15" s="1011" t="str">
        <f>IF(E15="","",VLOOKUP(B15&amp;$CN$1,FLNTRANSPOSE!$F$3:$DP$102,107,0))</f>
        <v/>
      </c>
      <c r="CP15" s="1011" t="str">
        <f>IF(E15="","",VLOOKUP(B15&amp;$CN$1,FLNTRANSPOSE!$F$3:$DP$102,109,0))</f>
        <v/>
      </c>
      <c r="CQ15" s="1011" t="str">
        <f>IF(E15="","",VLOOKUP(B15&amp;$CN$1,FLNTRANSPOSE!$F$3:$DP$102,111,0))</f>
        <v/>
      </c>
      <c r="CR15" s="1011" t="str">
        <f>IF(E15="","",VLOOKUP(B15&amp;$CN$1,FLNTRANSPOSE!$F$3:$DP$102,113,0))</f>
        <v/>
      </c>
      <c r="CS15" s="1011" t="str">
        <f>IF(E15="","",VLOOKUP(B15&amp;$CN$1,FLNTRANSPOSE!$F$3:$DP$102,115,0))</f>
        <v/>
      </c>
      <c r="CT15" s="1012" t="str">
        <f t="shared" si="41"/>
        <v/>
      </c>
    </row>
    <row r="16" spans="1:98">
      <c r="A16" s="849">
        <v>14</v>
      </c>
      <c r="B16" s="850"/>
      <c r="C16" s="850"/>
      <c r="D16" s="851"/>
      <c r="E16" s="837" t="str">
        <f t="shared" si="0"/>
        <v/>
      </c>
      <c r="F16" s="850"/>
      <c r="G16" s="851"/>
      <c r="H16" s="1010" t="str">
        <f t="shared" si="1"/>
        <v/>
      </c>
      <c r="I16" s="1010" t="str">
        <f t="shared" si="2"/>
        <v>HINDI</v>
      </c>
      <c r="J16" s="850"/>
      <c r="K16" s="850"/>
      <c r="L16" s="850"/>
      <c r="M16" s="850"/>
      <c r="N16" s="850"/>
      <c r="O16" s="1010" t="str">
        <f t="shared" si="3"/>
        <v/>
      </c>
      <c r="P16" s="1010" t="str">
        <f t="shared" si="4"/>
        <v>MATHS</v>
      </c>
      <c r="Q16" s="850"/>
      <c r="R16" s="850"/>
      <c r="S16" s="850"/>
      <c r="T16" s="850"/>
      <c r="U16" s="850"/>
      <c r="V16" s="1010" t="str">
        <f t="shared" si="5"/>
        <v/>
      </c>
      <c r="W16" s="1010" t="str">
        <f t="shared" si="6"/>
        <v>ENGLISH</v>
      </c>
      <c r="X16" s="850"/>
      <c r="Y16" s="850"/>
      <c r="Z16" s="850"/>
      <c r="AA16" s="850"/>
      <c r="AB16" s="850"/>
      <c r="AC16" s="1010" t="str">
        <f t="shared" si="7"/>
        <v/>
      </c>
      <c r="AD16" s="850"/>
      <c r="AE16" s="851"/>
      <c r="AF16" s="1012" t="str">
        <f t="shared" si="8"/>
        <v/>
      </c>
      <c r="AG16" s="1012" t="str">
        <f t="shared" si="9"/>
        <v>HINDI</v>
      </c>
      <c r="AH16" s="850"/>
      <c r="AI16" s="850"/>
      <c r="AJ16" s="850"/>
      <c r="AK16" s="850"/>
      <c r="AL16" s="850"/>
      <c r="AM16" s="1012" t="str">
        <f t="shared" si="10"/>
        <v/>
      </c>
      <c r="AN16" s="1012" t="str">
        <f t="shared" si="11"/>
        <v>MATHS</v>
      </c>
      <c r="AO16" s="850"/>
      <c r="AP16" s="850"/>
      <c r="AQ16" s="850"/>
      <c r="AR16" s="850"/>
      <c r="AS16" s="850"/>
      <c r="AT16" s="1012" t="str">
        <f t="shared" si="12"/>
        <v/>
      </c>
      <c r="AU16" s="1012" t="str">
        <f t="shared" si="13"/>
        <v>ENGLISH</v>
      </c>
      <c r="AV16" s="850"/>
      <c r="AW16" s="850"/>
      <c r="AX16" s="850"/>
      <c r="AY16" s="850"/>
      <c r="AZ16" s="850"/>
      <c r="BA16" s="1012" t="str">
        <f t="shared" si="14"/>
        <v/>
      </c>
      <c r="BB16" s="1014">
        <f t="shared" si="42"/>
        <v>0</v>
      </c>
      <c r="BC16" s="1014">
        <f t="shared" si="43"/>
        <v>0</v>
      </c>
      <c r="BD16" s="1014" t="str">
        <f t="shared" si="17"/>
        <v/>
      </c>
      <c r="BE16" s="1014" t="str">
        <f t="shared" si="18"/>
        <v>HINDI</v>
      </c>
      <c r="BF16" s="1014">
        <f t="shared" si="19"/>
        <v>0</v>
      </c>
      <c r="BG16" s="1014">
        <f t="shared" si="20"/>
        <v>0</v>
      </c>
      <c r="BH16" s="1014">
        <f t="shared" si="21"/>
        <v>0</v>
      </c>
      <c r="BI16" s="1014">
        <f t="shared" si="22"/>
        <v>0</v>
      </c>
      <c r="BJ16" s="1014">
        <f t="shared" si="23"/>
        <v>0</v>
      </c>
      <c r="BK16" s="1014" t="str">
        <f t="shared" si="24"/>
        <v/>
      </c>
      <c r="BL16" s="1014" t="str">
        <f t="shared" si="25"/>
        <v>MATHS</v>
      </c>
      <c r="BM16" s="1014">
        <f t="shared" si="26"/>
        <v>0</v>
      </c>
      <c r="BN16" s="1014">
        <f t="shared" si="27"/>
        <v>0</v>
      </c>
      <c r="BO16" s="1014">
        <f t="shared" si="28"/>
        <v>0</v>
      </c>
      <c r="BP16" s="1014">
        <f t="shared" si="29"/>
        <v>0</v>
      </c>
      <c r="BQ16" s="1014">
        <f t="shared" si="30"/>
        <v>0</v>
      </c>
      <c r="BR16" s="1014" t="str">
        <f t="shared" si="31"/>
        <v/>
      </c>
      <c r="BS16" s="1014" t="str">
        <f t="shared" si="32"/>
        <v>ENGLISH</v>
      </c>
      <c r="BT16" s="1014">
        <f t="shared" si="33"/>
        <v>0</v>
      </c>
      <c r="BU16" s="1014">
        <f t="shared" si="34"/>
        <v>0</v>
      </c>
      <c r="BV16" s="1014">
        <f t="shared" si="35"/>
        <v>0</v>
      </c>
      <c r="BW16" s="1014">
        <f t="shared" si="36"/>
        <v>0</v>
      </c>
      <c r="BX16" s="1014">
        <f t="shared" si="37"/>
        <v>0</v>
      </c>
      <c r="BY16" s="1014" t="str">
        <f t="shared" si="38"/>
        <v/>
      </c>
      <c r="BZ16" s="1011" t="str">
        <f>IF(E16="","",VLOOKUP(B16&amp;$BZ$1,FLNTRANSPOSE!$F$3:$DP$102,105,0))</f>
        <v/>
      </c>
      <c r="CA16" s="1011" t="str">
        <f>IF(E16="","",VLOOKUP(B16&amp;$BZ$1,FLNTRANSPOSE!$F$3:$DP$102,107,0))</f>
        <v/>
      </c>
      <c r="CB16" s="1011" t="str">
        <f>IF(E16="","",VLOOKUP(B16&amp;$BZ$1,FLNTRANSPOSE!$F$3:$DP$102,109,0))</f>
        <v/>
      </c>
      <c r="CC16" s="1011" t="str">
        <f>IF(E16="","",VLOOKUP(B16&amp;$BZ$1,FLNTRANSPOSE!$F$3:$DP$102,111,0))</f>
        <v/>
      </c>
      <c r="CD16" s="1011" t="str">
        <f>IF(E16="","",VLOOKUP(B16&amp;$BZ$1,FLNTRANSPOSE!$F$3:$DP$102,113,0))</f>
        <v/>
      </c>
      <c r="CE16" s="1011" t="str">
        <f>IF(E16="","",VLOOKUP(B16&amp;$BZ$1,FLNTRANSPOSE!$F$3:$DP$102,115,0))</f>
        <v/>
      </c>
      <c r="CF16" s="1012" t="str">
        <f t="shared" si="39"/>
        <v/>
      </c>
      <c r="CG16" s="1011" t="str">
        <f>IF(E16="","",VLOOKUP(B16&amp;$CG$1,FLNTRANSPOSE!$F$3:$DP$102,105,0))</f>
        <v/>
      </c>
      <c r="CH16" s="1011" t="str">
        <f>IF(E16="","",VLOOKUP(B16&amp;$CG$1,FLNTRANSPOSE!$F$3:$DP$102,107,0))</f>
        <v/>
      </c>
      <c r="CI16" s="1011" t="str">
        <f>IF(E16="","",VLOOKUP(B16&amp;$CG$1,FLNTRANSPOSE!$F$3:$DP$102,109,0))</f>
        <v/>
      </c>
      <c r="CJ16" s="1011" t="str">
        <f>IF(E16="","",VLOOKUP(B16&amp;$CG$1,FLNTRANSPOSE!$F$3:$DP$102,111,0))</f>
        <v/>
      </c>
      <c r="CK16" s="1011" t="str">
        <f>IF(E16="","",VLOOKUP(B16&amp;$CG$1,FLNTRANSPOSE!$F$3:$DP$102,113,0))</f>
        <v/>
      </c>
      <c r="CL16" s="1011" t="str">
        <f>IF(E16="","",VLOOKUP(B16&amp;$CG$1,FLNTRANSPOSE!$F$3:$DP$102,115,0))</f>
        <v/>
      </c>
      <c r="CM16" s="1012" t="str">
        <f t="shared" si="40"/>
        <v/>
      </c>
      <c r="CN16" s="1011" t="str">
        <f>IF(E16="","",VLOOKUP(B16&amp;$CN$1,FLNTRANSPOSE!$F$3:$DP$102,105,0))</f>
        <v/>
      </c>
      <c r="CO16" s="1011" t="str">
        <f>IF(E16="","",VLOOKUP(B16&amp;$CN$1,FLNTRANSPOSE!$F$3:$DP$102,107,0))</f>
        <v/>
      </c>
      <c r="CP16" s="1011" t="str">
        <f>IF(E16="","",VLOOKUP(B16&amp;$CN$1,FLNTRANSPOSE!$F$3:$DP$102,109,0))</f>
        <v/>
      </c>
      <c r="CQ16" s="1011" t="str">
        <f>IF(E16="","",VLOOKUP(B16&amp;$CN$1,FLNTRANSPOSE!$F$3:$DP$102,111,0))</f>
        <v/>
      </c>
      <c r="CR16" s="1011" t="str">
        <f>IF(E16="","",VLOOKUP(B16&amp;$CN$1,FLNTRANSPOSE!$F$3:$DP$102,113,0))</f>
        <v/>
      </c>
      <c r="CS16" s="1011" t="str">
        <f>IF(E16="","",VLOOKUP(B16&amp;$CN$1,FLNTRANSPOSE!$F$3:$DP$102,115,0))</f>
        <v/>
      </c>
      <c r="CT16" s="1012" t="str">
        <f t="shared" si="41"/>
        <v/>
      </c>
    </row>
    <row r="17" spans="1:98">
      <c r="A17" s="849">
        <v>15</v>
      </c>
      <c r="B17" s="850"/>
      <c r="C17" s="850"/>
      <c r="D17" s="851"/>
      <c r="E17" s="837" t="str">
        <f t="shared" si="0"/>
        <v/>
      </c>
      <c r="F17" s="850"/>
      <c r="G17" s="851"/>
      <c r="H17" s="1010" t="str">
        <f t="shared" si="1"/>
        <v/>
      </c>
      <c r="I17" s="1010" t="str">
        <f t="shared" si="2"/>
        <v>HINDI</v>
      </c>
      <c r="J17" s="850"/>
      <c r="K17" s="850"/>
      <c r="L17" s="850"/>
      <c r="M17" s="850"/>
      <c r="N17" s="850"/>
      <c r="O17" s="1010" t="str">
        <f t="shared" si="3"/>
        <v/>
      </c>
      <c r="P17" s="1010" t="str">
        <f t="shared" si="4"/>
        <v>MATHS</v>
      </c>
      <c r="Q17" s="850"/>
      <c r="R17" s="850"/>
      <c r="S17" s="850"/>
      <c r="T17" s="850"/>
      <c r="U17" s="850"/>
      <c r="V17" s="1010" t="str">
        <f t="shared" si="5"/>
        <v/>
      </c>
      <c r="W17" s="1010" t="str">
        <f t="shared" si="6"/>
        <v>ENGLISH</v>
      </c>
      <c r="X17" s="850"/>
      <c r="Y17" s="850"/>
      <c r="Z17" s="850"/>
      <c r="AA17" s="850"/>
      <c r="AB17" s="850"/>
      <c r="AC17" s="1010" t="str">
        <f t="shared" si="7"/>
        <v/>
      </c>
      <c r="AD17" s="850"/>
      <c r="AE17" s="851"/>
      <c r="AF17" s="1012" t="str">
        <f t="shared" si="8"/>
        <v/>
      </c>
      <c r="AG17" s="1012" t="str">
        <f t="shared" si="9"/>
        <v>HINDI</v>
      </c>
      <c r="AH17" s="850"/>
      <c r="AI17" s="850"/>
      <c r="AJ17" s="850"/>
      <c r="AK17" s="850"/>
      <c r="AL17" s="850"/>
      <c r="AM17" s="1012" t="str">
        <f t="shared" si="10"/>
        <v/>
      </c>
      <c r="AN17" s="1012" t="str">
        <f t="shared" si="11"/>
        <v>MATHS</v>
      </c>
      <c r="AO17" s="850"/>
      <c r="AP17" s="850"/>
      <c r="AQ17" s="850"/>
      <c r="AR17" s="850"/>
      <c r="AS17" s="850"/>
      <c r="AT17" s="1012" t="str">
        <f t="shared" si="12"/>
        <v/>
      </c>
      <c r="AU17" s="1012" t="str">
        <f t="shared" si="13"/>
        <v>ENGLISH</v>
      </c>
      <c r="AV17" s="850"/>
      <c r="AW17" s="850"/>
      <c r="AX17" s="850"/>
      <c r="AY17" s="850"/>
      <c r="AZ17" s="850"/>
      <c r="BA17" s="1012" t="str">
        <f t="shared" si="14"/>
        <v/>
      </c>
      <c r="BB17" s="1014">
        <f t="shared" si="42"/>
        <v>0</v>
      </c>
      <c r="BC17" s="1014">
        <f t="shared" si="43"/>
        <v>0</v>
      </c>
      <c r="BD17" s="1014" t="str">
        <f t="shared" si="17"/>
        <v/>
      </c>
      <c r="BE17" s="1014" t="str">
        <f t="shared" si="18"/>
        <v>HINDI</v>
      </c>
      <c r="BF17" s="1014">
        <f t="shared" si="19"/>
        <v>0</v>
      </c>
      <c r="BG17" s="1014">
        <f t="shared" si="20"/>
        <v>0</v>
      </c>
      <c r="BH17" s="1014">
        <f t="shared" si="21"/>
        <v>0</v>
      </c>
      <c r="BI17" s="1014">
        <f t="shared" si="22"/>
        <v>0</v>
      </c>
      <c r="BJ17" s="1014">
        <f t="shared" si="23"/>
        <v>0</v>
      </c>
      <c r="BK17" s="1014" t="str">
        <f t="shared" si="24"/>
        <v/>
      </c>
      <c r="BL17" s="1014" t="str">
        <f t="shared" si="25"/>
        <v>MATHS</v>
      </c>
      <c r="BM17" s="1014">
        <f t="shared" si="26"/>
        <v>0</v>
      </c>
      <c r="BN17" s="1014">
        <f t="shared" si="27"/>
        <v>0</v>
      </c>
      <c r="BO17" s="1014">
        <f t="shared" si="28"/>
        <v>0</v>
      </c>
      <c r="BP17" s="1014">
        <f t="shared" si="29"/>
        <v>0</v>
      </c>
      <c r="BQ17" s="1014">
        <f t="shared" si="30"/>
        <v>0</v>
      </c>
      <c r="BR17" s="1014" t="str">
        <f t="shared" si="31"/>
        <v/>
      </c>
      <c r="BS17" s="1014" t="str">
        <f t="shared" si="32"/>
        <v>ENGLISH</v>
      </c>
      <c r="BT17" s="1014">
        <f t="shared" si="33"/>
        <v>0</v>
      </c>
      <c r="BU17" s="1014">
        <f t="shared" si="34"/>
        <v>0</v>
      </c>
      <c r="BV17" s="1014">
        <f t="shared" si="35"/>
        <v>0</v>
      </c>
      <c r="BW17" s="1014">
        <f t="shared" si="36"/>
        <v>0</v>
      </c>
      <c r="BX17" s="1014">
        <f t="shared" si="37"/>
        <v>0</v>
      </c>
      <c r="BY17" s="1014" t="str">
        <f t="shared" si="38"/>
        <v/>
      </c>
      <c r="BZ17" s="1011" t="str">
        <f>IF(E17="","",VLOOKUP(B17&amp;$BZ$1,FLNTRANSPOSE!$F$3:$DP$102,105,0))</f>
        <v/>
      </c>
      <c r="CA17" s="1011" t="str">
        <f>IF(E17="","",VLOOKUP(B17&amp;$BZ$1,FLNTRANSPOSE!$F$3:$DP$102,107,0))</f>
        <v/>
      </c>
      <c r="CB17" s="1011" t="str">
        <f>IF(E17="","",VLOOKUP(B17&amp;$BZ$1,FLNTRANSPOSE!$F$3:$DP$102,109,0))</f>
        <v/>
      </c>
      <c r="CC17" s="1011" t="str">
        <f>IF(E17="","",VLOOKUP(B17&amp;$BZ$1,FLNTRANSPOSE!$F$3:$DP$102,111,0))</f>
        <v/>
      </c>
      <c r="CD17" s="1011" t="str">
        <f>IF(E17="","",VLOOKUP(B17&amp;$BZ$1,FLNTRANSPOSE!$F$3:$DP$102,113,0))</f>
        <v/>
      </c>
      <c r="CE17" s="1011" t="str">
        <f>IF(E17="","",VLOOKUP(B17&amp;$BZ$1,FLNTRANSPOSE!$F$3:$DP$102,115,0))</f>
        <v/>
      </c>
      <c r="CF17" s="1012" t="str">
        <f t="shared" si="39"/>
        <v/>
      </c>
      <c r="CG17" s="1011" t="str">
        <f>IF(E17="","",VLOOKUP(B17&amp;$CG$1,FLNTRANSPOSE!$F$3:$DP$102,105,0))</f>
        <v/>
      </c>
      <c r="CH17" s="1011" t="str">
        <f>IF(E17="","",VLOOKUP(B17&amp;$CG$1,FLNTRANSPOSE!$F$3:$DP$102,107,0))</f>
        <v/>
      </c>
      <c r="CI17" s="1011" t="str">
        <f>IF(E17="","",VLOOKUP(B17&amp;$CG$1,FLNTRANSPOSE!$F$3:$DP$102,109,0))</f>
        <v/>
      </c>
      <c r="CJ17" s="1011" t="str">
        <f>IF(E17="","",VLOOKUP(B17&amp;$CG$1,FLNTRANSPOSE!$F$3:$DP$102,111,0))</f>
        <v/>
      </c>
      <c r="CK17" s="1011" t="str">
        <f>IF(E17="","",VLOOKUP(B17&amp;$CG$1,FLNTRANSPOSE!$F$3:$DP$102,113,0))</f>
        <v/>
      </c>
      <c r="CL17" s="1011" t="str">
        <f>IF(E17="","",VLOOKUP(B17&amp;$CG$1,FLNTRANSPOSE!$F$3:$DP$102,115,0))</f>
        <v/>
      </c>
      <c r="CM17" s="1012" t="str">
        <f t="shared" si="40"/>
        <v/>
      </c>
      <c r="CN17" s="1011" t="str">
        <f>IF(E17="","",VLOOKUP(B17&amp;$CN$1,FLNTRANSPOSE!$F$3:$DP$102,105,0))</f>
        <v/>
      </c>
      <c r="CO17" s="1011" t="str">
        <f>IF(E17="","",VLOOKUP(B17&amp;$CN$1,FLNTRANSPOSE!$F$3:$DP$102,107,0))</f>
        <v/>
      </c>
      <c r="CP17" s="1011" t="str">
        <f>IF(E17="","",VLOOKUP(B17&amp;$CN$1,FLNTRANSPOSE!$F$3:$DP$102,109,0))</f>
        <v/>
      </c>
      <c r="CQ17" s="1011" t="str">
        <f>IF(E17="","",VLOOKUP(B17&amp;$CN$1,FLNTRANSPOSE!$F$3:$DP$102,111,0))</f>
        <v/>
      </c>
      <c r="CR17" s="1011" t="str">
        <f>IF(E17="","",VLOOKUP(B17&amp;$CN$1,FLNTRANSPOSE!$F$3:$DP$102,113,0))</f>
        <v/>
      </c>
      <c r="CS17" s="1011" t="str">
        <f>IF(E17="","",VLOOKUP(B17&amp;$CN$1,FLNTRANSPOSE!$F$3:$DP$102,115,0))</f>
        <v/>
      </c>
      <c r="CT17" s="1012" t="str">
        <f t="shared" si="41"/>
        <v/>
      </c>
    </row>
    <row r="18" spans="1:98">
      <c r="A18" s="849">
        <v>16</v>
      </c>
      <c r="B18" s="850"/>
      <c r="C18" s="850"/>
      <c r="D18" s="851"/>
      <c r="E18" s="837" t="str">
        <f t="shared" si="0"/>
        <v/>
      </c>
      <c r="F18" s="850"/>
      <c r="G18" s="851"/>
      <c r="H18" s="1010" t="str">
        <f t="shared" si="1"/>
        <v/>
      </c>
      <c r="I18" s="1010" t="str">
        <f t="shared" si="2"/>
        <v>HINDI</v>
      </c>
      <c r="J18" s="850"/>
      <c r="K18" s="850"/>
      <c r="L18" s="850"/>
      <c r="M18" s="850"/>
      <c r="N18" s="850"/>
      <c r="O18" s="1010" t="str">
        <f t="shared" si="3"/>
        <v/>
      </c>
      <c r="P18" s="1010" t="str">
        <f t="shared" si="4"/>
        <v>MATHS</v>
      </c>
      <c r="Q18" s="850"/>
      <c r="R18" s="850"/>
      <c r="S18" s="850"/>
      <c r="T18" s="850"/>
      <c r="U18" s="850"/>
      <c r="V18" s="1010" t="str">
        <f t="shared" si="5"/>
        <v/>
      </c>
      <c r="W18" s="1010" t="str">
        <f t="shared" si="6"/>
        <v>ENGLISH</v>
      </c>
      <c r="X18" s="850"/>
      <c r="Y18" s="850"/>
      <c r="Z18" s="850"/>
      <c r="AA18" s="850"/>
      <c r="AB18" s="850"/>
      <c r="AC18" s="1010" t="str">
        <f t="shared" si="7"/>
        <v/>
      </c>
      <c r="AD18" s="850"/>
      <c r="AE18" s="851"/>
      <c r="AF18" s="1012" t="str">
        <f t="shared" si="8"/>
        <v/>
      </c>
      <c r="AG18" s="1012" t="str">
        <f t="shared" si="9"/>
        <v>HINDI</v>
      </c>
      <c r="AH18" s="850"/>
      <c r="AI18" s="850"/>
      <c r="AJ18" s="850"/>
      <c r="AK18" s="850"/>
      <c r="AL18" s="850"/>
      <c r="AM18" s="1012" t="str">
        <f t="shared" si="10"/>
        <v/>
      </c>
      <c r="AN18" s="1012" t="str">
        <f t="shared" si="11"/>
        <v>MATHS</v>
      </c>
      <c r="AO18" s="850"/>
      <c r="AP18" s="850"/>
      <c r="AQ18" s="850"/>
      <c r="AR18" s="850"/>
      <c r="AS18" s="850"/>
      <c r="AT18" s="1012" t="str">
        <f t="shared" si="12"/>
        <v/>
      </c>
      <c r="AU18" s="1012" t="str">
        <f t="shared" si="13"/>
        <v>ENGLISH</v>
      </c>
      <c r="AV18" s="850"/>
      <c r="AW18" s="850"/>
      <c r="AX18" s="850"/>
      <c r="AY18" s="850"/>
      <c r="AZ18" s="850"/>
      <c r="BA18" s="1012" t="str">
        <f t="shared" si="14"/>
        <v/>
      </c>
      <c r="BB18" s="1014">
        <f t="shared" si="42"/>
        <v>0</v>
      </c>
      <c r="BC18" s="1014">
        <f t="shared" si="43"/>
        <v>0</v>
      </c>
      <c r="BD18" s="1014" t="str">
        <f t="shared" si="17"/>
        <v/>
      </c>
      <c r="BE18" s="1014" t="str">
        <f t="shared" si="18"/>
        <v>HINDI</v>
      </c>
      <c r="BF18" s="1014">
        <f t="shared" si="19"/>
        <v>0</v>
      </c>
      <c r="BG18" s="1014">
        <f t="shared" si="20"/>
        <v>0</v>
      </c>
      <c r="BH18" s="1014">
        <f t="shared" si="21"/>
        <v>0</v>
      </c>
      <c r="BI18" s="1014">
        <f t="shared" si="22"/>
        <v>0</v>
      </c>
      <c r="BJ18" s="1014">
        <f t="shared" si="23"/>
        <v>0</v>
      </c>
      <c r="BK18" s="1014" t="str">
        <f t="shared" si="24"/>
        <v/>
      </c>
      <c r="BL18" s="1014" t="str">
        <f t="shared" si="25"/>
        <v>MATHS</v>
      </c>
      <c r="BM18" s="1014">
        <f t="shared" si="26"/>
        <v>0</v>
      </c>
      <c r="BN18" s="1014">
        <f t="shared" si="27"/>
        <v>0</v>
      </c>
      <c r="BO18" s="1014">
        <f t="shared" si="28"/>
        <v>0</v>
      </c>
      <c r="BP18" s="1014">
        <f t="shared" si="29"/>
        <v>0</v>
      </c>
      <c r="BQ18" s="1014">
        <f t="shared" si="30"/>
        <v>0</v>
      </c>
      <c r="BR18" s="1014" t="str">
        <f t="shared" si="31"/>
        <v/>
      </c>
      <c r="BS18" s="1014" t="str">
        <f t="shared" si="32"/>
        <v>ENGLISH</v>
      </c>
      <c r="BT18" s="1014">
        <f t="shared" si="33"/>
        <v>0</v>
      </c>
      <c r="BU18" s="1014">
        <f t="shared" si="34"/>
        <v>0</v>
      </c>
      <c r="BV18" s="1014">
        <f t="shared" si="35"/>
        <v>0</v>
      </c>
      <c r="BW18" s="1014">
        <f t="shared" si="36"/>
        <v>0</v>
      </c>
      <c r="BX18" s="1014">
        <f t="shared" si="37"/>
        <v>0</v>
      </c>
      <c r="BY18" s="1014" t="str">
        <f t="shared" si="38"/>
        <v/>
      </c>
      <c r="BZ18" s="1011" t="str">
        <f>IF(E18="","",VLOOKUP(B18&amp;$BZ$1,FLNTRANSPOSE!$F$3:$DP$102,105,0))</f>
        <v/>
      </c>
      <c r="CA18" s="1011" t="str">
        <f>IF(E18="","",VLOOKUP(B18&amp;$BZ$1,FLNTRANSPOSE!$F$3:$DP$102,107,0))</f>
        <v/>
      </c>
      <c r="CB18" s="1011" t="str">
        <f>IF(E18="","",VLOOKUP(B18&amp;$BZ$1,FLNTRANSPOSE!$F$3:$DP$102,109,0))</f>
        <v/>
      </c>
      <c r="CC18" s="1011" t="str">
        <f>IF(E18="","",VLOOKUP(B18&amp;$BZ$1,FLNTRANSPOSE!$F$3:$DP$102,111,0))</f>
        <v/>
      </c>
      <c r="CD18" s="1011" t="str">
        <f>IF(E18="","",VLOOKUP(B18&amp;$BZ$1,FLNTRANSPOSE!$F$3:$DP$102,113,0))</f>
        <v/>
      </c>
      <c r="CE18" s="1011" t="str">
        <f>IF(E18="","",VLOOKUP(B18&amp;$BZ$1,FLNTRANSPOSE!$F$3:$DP$102,115,0))</f>
        <v/>
      </c>
      <c r="CF18" s="1012" t="str">
        <f t="shared" si="39"/>
        <v/>
      </c>
      <c r="CG18" s="1011" t="str">
        <f>IF(E18="","",VLOOKUP(B18&amp;$CG$1,FLNTRANSPOSE!$F$3:$DP$102,105,0))</f>
        <v/>
      </c>
      <c r="CH18" s="1011" t="str">
        <f>IF(E18="","",VLOOKUP(B18&amp;$CG$1,FLNTRANSPOSE!$F$3:$DP$102,107,0))</f>
        <v/>
      </c>
      <c r="CI18" s="1011" t="str">
        <f>IF(E18="","",VLOOKUP(B18&amp;$CG$1,FLNTRANSPOSE!$F$3:$DP$102,109,0))</f>
        <v/>
      </c>
      <c r="CJ18" s="1011" t="str">
        <f>IF(E18="","",VLOOKUP(B18&amp;$CG$1,FLNTRANSPOSE!$F$3:$DP$102,111,0))</f>
        <v/>
      </c>
      <c r="CK18" s="1011" t="str">
        <f>IF(E18="","",VLOOKUP(B18&amp;$CG$1,FLNTRANSPOSE!$F$3:$DP$102,113,0))</f>
        <v/>
      </c>
      <c r="CL18" s="1011" t="str">
        <f>IF(E18="","",VLOOKUP(B18&amp;$CG$1,FLNTRANSPOSE!$F$3:$DP$102,115,0))</f>
        <v/>
      </c>
      <c r="CM18" s="1012" t="str">
        <f t="shared" si="40"/>
        <v/>
      </c>
      <c r="CN18" s="1011" t="str">
        <f>IF(E18="","",VLOOKUP(B18&amp;$CN$1,FLNTRANSPOSE!$F$3:$DP$102,105,0))</f>
        <v/>
      </c>
      <c r="CO18" s="1011" t="str">
        <f>IF(E18="","",VLOOKUP(B18&amp;$CN$1,FLNTRANSPOSE!$F$3:$DP$102,107,0))</f>
        <v/>
      </c>
      <c r="CP18" s="1011" t="str">
        <f>IF(E18="","",VLOOKUP(B18&amp;$CN$1,FLNTRANSPOSE!$F$3:$DP$102,109,0))</f>
        <v/>
      </c>
      <c r="CQ18" s="1011" t="str">
        <f>IF(E18="","",VLOOKUP(B18&amp;$CN$1,FLNTRANSPOSE!$F$3:$DP$102,111,0))</f>
        <v/>
      </c>
      <c r="CR18" s="1011" t="str">
        <f>IF(E18="","",VLOOKUP(B18&amp;$CN$1,FLNTRANSPOSE!$F$3:$DP$102,113,0))</f>
        <v/>
      </c>
      <c r="CS18" s="1011" t="str">
        <f>IF(E18="","",VLOOKUP(B18&amp;$CN$1,FLNTRANSPOSE!$F$3:$DP$102,115,0))</f>
        <v/>
      </c>
      <c r="CT18" s="1012" t="str">
        <f t="shared" si="41"/>
        <v/>
      </c>
    </row>
    <row r="19" spans="1:98">
      <c r="A19" s="849">
        <v>17</v>
      </c>
      <c r="B19" s="861"/>
      <c r="C19" s="850"/>
      <c r="D19" s="851"/>
      <c r="E19" s="837" t="str">
        <f t="shared" si="0"/>
        <v/>
      </c>
      <c r="F19" s="850"/>
      <c r="G19" s="851"/>
      <c r="H19" s="1010" t="str">
        <f t="shared" si="1"/>
        <v/>
      </c>
      <c r="I19" s="1010" t="str">
        <f t="shared" si="2"/>
        <v>HINDI</v>
      </c>
      <c r="J19" s="850"/>
      <c r="K19" s="850"/>
      <c r="L19" s="850"/>
      <c r="M19" s="850"/>
      <c r="N19" s="850"/>
      <c r="O19" s="1010" t="str">
        <f t="shared" si="3"/>
        <v/>
      </c>
      <c r="P19" s="1010" t="str">
        <f t="shared" si="4"/>
        <v>MATHS</v>
      </c>
      <c r="Q19" s="850"/>
      <c r="R19" s="850"/>
      <c r="S19" s="850"/>
      <c r="T19" s="850"/>
      <c r="U19" s="850"/>
      <c r="V19" s="1010" t="str">
        <f t="shared" si="5"/>
        <v/>
      </c>
      <c r="W19" s="1010" t="str">
        <f t="shared" si="6"/>
        <v>ENGLISH</v>
      </c>
      <c r="X19" s="850"/>
      <c r="Y19" s="850"/>
      <c r="Z19" s="850"/>
      <c r="AA19" s="850"/>
      <c r="AB19" s="850"/>
      <c r="AC19" s="1010" t="str">
        <f t="shared" si="7"/>
        <v/>
      </c>
      <c r="AD19" s="850"/>
      <c r="AE19" s="851"/>
      <c r="AF19" s="1012" t="str">
        <f t="shared" si="8"/>
        <v/>
      </c>
      <c r="AG19" s="1012" t="str">
        <f t="shared" si="9"/>
        <v>HINDI</v>
      </c>
      <c r="AH19" s="850"/>
      <c r="AI19" s="850"/>
      <c r="AJ19" s="850"/>
      <c r="AK19" s="850"/>
      <c r="AL19" s="850"/>
      <c r="AM19" s="1012" t="str">
        <f t="shared" si="10"/>
        <v/>
      </c>
      <c r="AN19" s="1012" t="str">
        <f t="shared" si="11"/>
        <v>MATHS</v>
      </c>
      <c r="AO19" s="850"/>
      <c r="AP19" s="850"/>
      <c r="AQ19" s="850"/>
      <c r="AR19" s="850"/>
      <c r="AS19" s="850"/>
      <c r="AT19" s="1012" t="str">
        <f t="shared" si="12"/>
        <v/>
      </c>
      <c r="AU19" s="1012" t="str">
        <f t="shared" si="13"/>
        <v>ENGLISH</v>
      </c>
      <c r="AV19" s="850"/>
      <c r="AW19" s="850"/>
      <c r="AX19" s="850"/>
      <c r="AY19" s="850"/>
      <c r="AZ19" s="850"/>
      <c r="BA19" s="1012" t="str">
        <f t="shared" si="14"/>
        <v/>
      </c>
      <c r="BB19" s="1014">
        <f t="shared" si="42"/>
        <v>0</v>
      </c>
      <c r="BC19" s="1014">
        <f t="shared" si="43"/>
        <v>0</v>
      </c>
      <c r="BD19" s="1014" t="str">
        <f t="shared" si="17"/>
        <v/>
      </c>
      <c r="BE19" s="1014" t="str">
        <f t="shared" si="18"/>
        <v>HINDI</v>
      </c>
      <c r="BF19" s="1014">
        <f t="shared" si="19"/>
        <v>0</v>
      </c>
      <c r="BG19" s="1014">
        <f t="shared" si="20"/>
        <v>0</v>
      </c>
      <c r="BH19" s="1014">
        <f t="shared" si="21"/>
        <v>0</v>
      </c>
      <c r="BI19" s="1014">
        <f t="shared" si="22"/>
        <v>0</v>
      </c>
      <c r="BJ19" s="1014">
        <f t="shared" si="23"/>
        <v>0</v>
      </c>
      <c r="BK19" s="1014" t="str">
        <f t="shared" si="24"/>
        <v/>
      </c>
      <c r="BL19" s="1014" t="str">
        <f t="shared" si="25"/>
        <v>MATHS</v>
      </c>
      <c r="BM19" s="1014">
        <f t="shared" si="26"/>
        <v>0</v>
      </c>
      <c r="BN19" s="1014">
        <f t="shared" si="27"/>
        <v>0</v>
      </c>
      <c r="BO19" s="1014">
        <f t="shared" si="28"/>
        <v>0</v>
      </c>
      <c r="BP19" s="1014">
        <f t="shared" si="29"/>
        <v>0</v>
      </c>
      <c r="BQ19" s="1014">
        <f t="shared" si="30"/>
        <v>0</v>
      </c>
      <c r="BR19" s="1014" t="str">
        <f t="shared" si="31"/>
        <v/>
      </c>
      <c r="BS19" s="1014" t="str">
        <f t="shared" si="32"/>
        <v>ENGLISH</v>
      </c>
      <c r="BT19" s="1014">
        <f t="shared" si="33"/>
        <v>0</v>
      </c>
      <c r="BU19" s="1014">
        <f t="shared" si="34"/>
        <v>0</v>
      </c>
      <c r="BV19" s="1014">
        <f t="shared" si="35"/>
        <v>0</v>
      </c>
      <c r="BW19" s="1014">
        <f t="shared" si="36"/>
        <v>0</v>
      </c>
      <c r="BX19" s="1014">
        <f t="shared" si="37"/>
        <v>0</v>
      </c>
      <c r="BY19" s="1014" t="str">
        <f t="shared" si="38"/>
        <v/>
      </c>
      <c r="BZ19" s="1011" t="str">
        <f>IF(E19="","",VLOOKUP(B19&amp;$BZ$1,FLNTRANSPOSE!$F$3:$DP$102,105,0))</f>
        <v/>
      </c>
      <c r="CA19" s="1011" t="str">
        <f>IF(E19="","",VLOOKUP(B19&amp;$BZ$1,FLNTRANSPOSE!$F$3:$DP$102,107,0))</f>
        <v/>
      </c>
      <c r="CB19" s="1011" t="str">
        <f>IF(E19="","",VLOOKUP(B19&amp;$BZ$1,FLNTRANSPOSE!$F$3:$DP$102,109,0))</f>
        <v/>
      </c>
      <c r="CC19" s="1011" t="str">
        <f>IF(E19="","",VLOOKUP(B19&amp;$BZ$1,FLNTRANSPOSE!$F$3:$DP$102,111,0))</f>
        <v/>
      </c>
      <c r="CD19" s="1011" t="str">
        <f>IF(E19="","",VLOOKUP(B19&amp;$BZ$1,FLNTRANSPOSE!$F$3:$DP$102,113,0))</f>
        <v/>
      </c>
      <c r="CE19" s="1011" t="str">
        <f>IF(E19="","",VLOOKUP(B19&amp;$BZ$1,FLNTRANSPOSE!$F$3:$DP$102,115,0))</f>
        <v/>
      </c>
      <c r="CF19" s="1012" t="str">
        <f t="shared" si="39"/>
        <v/>
      </c>
      <c r="CG19" s="1011" t="str">
        <f>IF(E19="","",VLOOKUP(B19&amp;$CG$1,FLNTRANSPOSE!$F$3:$DP$102,105,0))</f>
        <v/>
      </c>
      <c r="CH19" s="1011" t="str">
        <f>IF(E19="","",VLOOKUP(B19&amp;$CG$1,FLNTRANSPOSE!$F$3:$DP$102,107,0))</f>
        <v/>
      </c>
      <c r="CI19" s="1011" t="str">
        <f>IF(E19="","",VLOOKUP(B19&amp;$CG$1,FLNTRANSPOSE!$F$3:$DP$102,109,0))</f>
        <v/>
      </c>
      <c r="CJ19" s="1011" t="str">
        <f>IF(E19="","",VLOOKUP(B19&amp;$CG$1,FLNTRANSPOSE!$F$3:$DP$102,111,0))</f>
        <v/>
      </c>
      <c r="CK19" s="1011" t="str">
        <f>IF(E19="","",VLOOKUP(B19&amp;$CG$1,FLNTRANSPOSE!$F$3:$DP$102,113,0))</f>
        <v/>
      </c>
      <c r="CL19" s="1011" t="str">
        <f>IF(E19="","",VLOOKUP(B19&amp;$CG$1,FLNTRANSPOSE!$F$3:$DP$102,115,0))</f>
        <v/>
      </c>
      <c r="CM19" s="1012" t="str">
        <f t="shared" si="40"/>
        <v/>
      </c>
      <c r="CN19" s="1011" t="str">
        <f>IF(E19="","",VLOOKUP(B19&amp;$CN$1,FLNTRANSPOSE!$F$3:$DP$102,105,0))</f>
        <v/>
      </c>
      <c r="CO19" s="1011" t="str">
        <f>IF(E19="","",VLOOKUP(B19&amp;$CN$1,FLNTRANSPOSE!$F$3:$DP$102,107,0))</f>
        <v/>
      </c>
      <c r="CP19" s="1011" t="str">
        <f>IF(E19="","",VLOOKUP(B19&amp;$CN$1,FLNTRANSPOSE!$F$3:$DP$102,109,0))</f>
        <v/>
      </c>
      <c r="CQ19" s="1011" t="str">
        <f>IF(E19="","",VLOOKUP(B19&amp;$CN$1,FLNTRANSPOSE!$F$3:$DP$102,111,0))</f>
        <v/>
      </c>
      <c r="CR19" s="1011" t="str">
        <f>IF(E19="","",VLOOKUP(B19&amp;$CN$1,FLNTRANSPOSE!$F$3:$DP$102,113,0))</f>
        <v/>
      </c>
      <c r="CS19" s="1011" t="str">
        <f>IF(E19="","",VLOOKUP(B19&amp;$CN$1,FLNTRANSPOSE!$F$3:$DP$102,115,0))</f>
        <v/>
      </c>
      <c r="CT19" s="1012" t="str">
        <f t="shared" si="41"/>
        <v/>
      </c>
    </row>
    <row r="20" spans="1:98">
      <c r="A20" s="849">
        <v>18</v>
      </c>
      <c r="B20" s="850"/>
      <c r="C20" s="850"/>
      <c r="D20" s="851"/>
      <c r="E20" s="837" t="str">
        <f t="shared" si="0"/>
        <v/>
      </c>
      <c r="F20" s="850"/>
      <c r="G20" s="851"/>
      <c r="H20" s="1010" t="str">
        <f t="shared" si="1"/>
        <v/>
      </c>
      <c r="I20" s="1010" t="str">
        <f t="shared" si="2"/>
        <v>HINDI</v>
      </c>
      <c r="J20" s="850"/>
      <c r="K20" s="850"/>
      <c r="L20" s="850"/>
      <c r="M20" s="850"/>
      <c r="N20" s="850"/>
      <c r="O20" s="1010" t="str">
        <f t="shared" si="3"/>
        <v/>
      </c>
      <c r="P20" s="1010" t="str">
        <f t="shared" si="4"/>
        <v>MATHS</v>
      </c>
      <c r="Q20" s="850"/>
      <c r="R20" s="850"/>
      <c r="S20" s="850"/>
      <c r="T20" s="850"/>
      <c r="U20" s="850"/>
      <c r="V20" s="1010" t="str">
        <f t="shared" si="5"/>
        <v/>
      </c>
      <c r="W20" s="1010" t="str">
        <f t="shared" si="6"/>
        <v>ENGLISH</v>
      </c>
      <c r="X20" s="850"/>
      <c r="Y20" s="850"/>
      <c r="Z20" s="850"/>
      <c r="AA20" s="850"/>
      <c r="AB20" s="850"/>
      <c r="AC20" s="1010" t="str">
        <f t="shared" si="7"/>
        <v/>
      </c>
      <c r="AD20" s="850"/>
      <c r="AE20" s="851"/>
      <c r="AF20" s="1012" t="str">
        <f t="shared" si="8"/>
        <v/>
      </c>
      <c r="AG20" s="1012" t="str">
        <f t="shared" si="9"/>
        <v>HINDI</v>
      </c>
      <c r="AH20" s="850"/>
      <c r="AI20" s="850"/>
      <c r="AJ20" s="850"/>
      <c r="AK20" s="850"/>
      <c r="AL20" s="850"/>
      <c r="AM20" s="1012" t="str">
        <f t="shared" si="10"/>
        <v/>
      </c>
      <c r="AN20" s="1012" t="str">
        <f t="shared" si="11"/>
        <v>MATHS</v>
      </c>
      <c r="AO20" s="850"/>
      <c r="AP20" s="850"/>
      <c r="AQ20" s="850"/>
      <c r="AR20" s="850"/>
      <c r="AS20" s="850"/>
      <c r="AT20" s="1012" t="str">
        <f t="shared" si="12"/>
        <v/>
      </c>
      <c r="AU20" s="1012" t="str">
        <f t="shared" si="13"/>
        <v>ENGLISH</v>
      </c>
      <c r="AV20" s="850"/>
      <c r="AW20" s="850"/>
      <c r="AX20" s="850"/>
      <c r="AY20" s="850"/>
      <c r="AZ20" s="850"/>
      <c r="BA20" s="1012" t="str">
        <f t="shared" si="14"/>
        <v/>
      </c>
      <c r="BB20" s="1014">
        <f t="shared" si="42"/>
        <v>0</v>
      </c>
      <c r="BC20" s="1014">
        <f t="shared" si="43"/>
        <v>0</v>
      </c>
      <c r="BD20" s="1014" t="str">
        <f t="shared" si="17"/>
        <v/>
      </c>
      <c r="BE20" s="1014" t="str">
        <f t="shared" si="18"/>
        <v>HINDI</v>
      </c>
      <c r="BF20" s="1014">
        <f t="shared" si="19"/>
        <v>0</v>
      </c>
      <c r="BG20" s="1014">
        <f t="shared" si="20"/>
        <v>0</v>
      </c>
      <c r="BH20" s="1014">
        <f t="shared" si="21"/>
        <v>0</v>
      </c>
      <c r="BI20" s="1014">
        <f t="shared" si="22"/>
        <v>0</v>
      </c>
      <c r="BJ20" s="1014">
        <f t="shared" si="23"/>
        <v>0</v>
      </c>
      <c r="BK20" s="1014" t="str">
        <f t="shared" si="24"/>
        <v/>
      </c>
      <c r="BL20" s="1014" t="str">
        <f t="shared" si="25"/>
        <v>MATHS</v>
      </c>
      <c r="BM20" s="1014">
        <f t="shared" si="26"/>
        <v>0</v>
      </c>
      <c r="BN20" s="1014">
        <f t="shared" si="27"/>
        <v>0</v>
      </c>
      <c r="BO20" s="1014">
        <f t="shared" si="28"/>
        <v>0</v>
      </c>
      <c r="BP20" s="1014">
        <f t="shared" si="29"/>
        <v>0</v>
      </c>
      <c r="BQ20" s="1014">
        <f t="shared" si="30"/>
        <v>0</v>
      </c>
      <c r="BR20" s="1014" t="str">
        <f t="shared" si="31"/>
        <v/>
      </c>
      <c r="BS20" s="1014" t="str">
        <f t="shared" si="32"/>
        <v>ENGLISH</v>
      </c>
      <c r="BT20" s="1014">
        <f t="shared" si="33"/>
        <v>0</v>
      </c>
      <c r="BU20" s="1014">
        <f t="shared" si="34"/>
        <v>0</v>
      </c>
      <c r="BV20" s="1014">
        <f t="shared" si="35"/>
        <v>0</v>
      </c>
      <c r="BW20" s="1014">
        <f t="shared" si="36"/>
        <v>0</v>
      </c>
      <c r="BX20" s="1014">
        <f t="shared" si="37"/>
        <v>0</v>
      </c>
      <c r="BY20" s="1014" t="str">
        <f t="shared" si="38"/>
        <v/>
      </c>
      <c r="BZ20" s="1011" t="str">
        <f>IF(E20="","",VLOOKUP(B20&amp;$BZ$1,FLNTRANSPOSE!$F$3:$DP$102,105,0))</f>
        <v/>
      </c>
      <c r="CA20" s="1011" t="str">
        <f>IF(E20="","",VLOOKUP(B20&amp;$BZ$1,FLNTRANSPOSE!$F$3:$DP$102,107,0))</f>
        <v/>
      </c>
      <c r="CB20" s="1011" t="str">
        <f>IF(E20="","",VLOOKUP(B20&amp;$BZ$1,FLNTRANSPOSE!$F$3:$DP$102,109,0))</f>
        <v/>
      </c>
      <c r="CC20" s="1011" t="str">
        <f>IF(E20="","",VLOOKUP(B20&amp;$BZ$1,FLNTRANSPOSE!$F$3:$DP$102,111,0))</f>
        <v/>
      </c>
      <c r="CD20" s="1011" t="str">
        <f>IF(E20="","",VLOOKUP(B20&amp;$BZ$1,FLNTRANSPOSE!$F$3:$DP$102,113,0))</f>
        <v/>
      </c>
      <c r="CE20" s="1011" t="str">
        <f>IF(E20="","",VLOOKUP(B20&amp;$BZ$1,FLNTRANSPOSE!$F$3:$DP$102,115,0))</f>
        <v/>
      </c>
      <c r="CF20" s="1012" t="str">
        <f t="shared" si="39"/>
        <v/>
      </c>
      <c r="CG20" s="1011" t="str">
        <f>IF(E20="","",VLOOKUP(B20&amp;$CG$1,FLNTRANSPOSE!$F$3:$DP$102,105,0))</f>
        <v/>
      </c>
      <c r="CH20" s="1011" t="str">
        <f>IF(E20="","",VLOOKUP(B20&amp;$CG$1,FLNTRANSPOSE!$F$3:$DP$102,107,0))</f>
        <v/>
      </c>
      <c r="CI20" s="1011" t="str">
        <f>IF(E20="","",VLOOKUP(B20&amp;$CG$1,FLNTRANSPOSE!$F$3:$DP$102,109,0))</f>
        <v/>
      </c>
      <c r="CJ20" s="1011" t="str">
        <f>IF(E20="","",VLOOKUP(B20&amp;$CG$1,FLNTRANSPOSE!$F$3:$DP$102,111,0))</f>
        <v/>
      </c>
      <c r="CK20" s="1011" t="str">
        <f>IF(E20="","",VLOOKUP(B20&amp;$CG$1,FLNTRANSPOSE!$F$3:$DP$102,113,0))</f>
        <v/>
      </c>
      <c r="CL20" s="1011" t="str">
        <f>IF(E20="","",VLOOKUP(B20&amp;$CG$1,FLNTRANSPOSE!$F$3:$DP$102,115,0))</f>
        <v/>
      </c>
      <c r="CM20" s="1012" t="str">
        <f t="shared" si="40"/>
        <v/>
      </c>
      <c r="CN20" s="1011" t="str">
        <f>IF(E20="","",VLOOKUP(B20&amp;$CN$1,FLNTRANSPOSE!$F$3:$DP$102,105,0))</f>
        <v/>
      </c>
      <c r="CO20" s="1011" t="str">
        <f>IF(E20="","",VLOOKUP(B20&amp;$CN$1,FLNTRANSPOSE!$F$3:$DP$102,107,0))</f>
        <v/>
      </c>
      <c r="CP20" s="1011" t="str">
        <f>IF(E20="","",VLOOKUP(B20&amp;$CN$1,FLNTRANSPOSE!$F$3:$DP$102,109,0))</f>
        <v/>
      </c>
      <c r="CQ20" s="1011" t="str">
        <f>IF(E20="","",VLOOKUP(B20&amp;$CN$1,FLNTRANSPOSE!$F$3:$DP$102,111,0))</f>
        <v/>
      </c>
      <c r="CR20" s="1011" t="str">
        <f>IF(E20="","",VLOOKUP(B20&amp;$CN$1,FLNTRANSPOSE!$F$3:$DP$102,113,0))</f>
        <v/>
      </c>
      <c r="CS20" s="1011" t="str">
        <f>IF(E20="","",VLOOKUP(B20&amp;$CN$1,FLNTRANSPOSE!$F$3:$DP$102,115,0))</f>
        <v/>
      </c>
      <c r="CT20" s="1012" t="str">
        <f t="shared" si="41"/>
        <v/>
      </c>
    </row>
    <row r="21" spans="1:98">
      <c r="A21" s="849">
        <v>19</v>
      </c>
      <c r="B21" s="850"/>
      <c r="C21" s="850"/>
      <c r="D21" s="851"/>
      <c r="E21" s="837" t="str">
        <f t="shared" si="0"/>
        <v/>
      </c>
      <c r="F21" s="850"/>
      <c r="G21" s="851"/>
      <c r="H21" s="1010" t="str">
        <f t="shared" si="1"/>
        <v/>
      </c>
      <c r="I21" s="1010" t="str">
        <f t="shared" si="2"/>
        <v>HINDI</v>
      </c>
      <c r="J21" s="850"/>
      <c r="K21" s="850"/>
      <c r="L21" s="850"/>
      <c r="M21" s="850"/>
      <c r="N21" s="850"/>
      <c r="O21" s="1010" t="str">
        <f t="shared" si="3"/>
        <v/>
      </c>
      <c r="P21" s="1010" t="str">
        <f t="shared" si="4"/>
        <v>MATHS</v>
      </c>
      <c r="Q21" s="850"/>
      <c r="R21" s="850"/>
      <c r="S21" s="850"/>
      <c r="T21" s="850"/>
      <c r="U21" s="850"/>
      <c r="V21" s="1010" t="str">
        <f t="shared" si="5"/>
        <v/>
      </c>
      <c r="W21" s="1010" t="str">
        <f t="shared" si="6"/>
        <v>ENGLISH</v>
      </c>
      <c r="X21" s="850"/>
      <c r="Y21" s="850"/>
      <c r="Z21" s="850"/>
      <c r="AA21" s="850"/>
      <c r="AB21" s="850"/>
      <c r="AC21" s="1010" t="str">
        <f t="shared" si="7"/>
        <v/>
      </c>
      <c r="AD21" s="850"/>
      <c r="AE21" s="851"/>
      <c r="AF21" s="1012" t="str">
        <f t="shared" si="8"/>
        <v/>
      </c>
      <c r="AG21" s="1012" t="str">
        <f t="shared" si="9"/>
        <v>HINDI</v>
      </c>
      <c r="AH21" s="850"/>
      <c r="AI21" s="850"/>
      <c r="AJ21" s="850"/>
      <c r="AK21" s="850"/>
      <c r="AL21" s="850"/>
      <c r="AM21" s="1012" t="str">
        <f t="shared" si="10"/>
        <v/>
      </c>
      <c r="AN21" s="1012" t="str">
        <f t="shared" si="11"/>
        <v>MATHS</v>
      </c>
      <c r="AO21" s="850"/>
      <c r="AP21" s="850"/>
      <c r="AQ21" s="850"/>
      <c r="AR21" s="850"/>
      <c r="AS21" s="850"/>
      <c r="AT21" s="1012" t="str">
        <f t="shared" si="12"/>
        <v/>
      </c>
      <c r="AU21" s="1012" t="str">
        <f t="shared" si="13"/>
        <v>ENGLISH</v>
      </c>
      <c r="AV21" s="850"/>
      <c r="AW21" s="850"/>
      <c r="AX21" s="850"/>
      <c r="AY21" s="850"/>
      <c r="AZ21" s="850"/>
      <c r="BA21" s="1012" t="str">
        <f t="shared" si="14"/>
        <v/>
      </c>
      <c r="BB21" s="1014">
        <f t="shared" si="42"/>
        <v>0</v>
      </c>
      <c r="BC21" s="1014">
        <f t="shared" si="43"/>
        <v>0</v>
      </c>
      <c r="BD21" s="1014" t="str">
        <f t="shared" si="17"/>
        <v/>
      </c>
      <c r="BE21" s="1014" t="str">
        <f t="shared" si="18"/>
        <v>HINDI</v>
      </c>
      <c r="BF21" s="1014">
        <f t="shared" si="19"/>
        <v>0</v>
      </c>
      <c r="BG21" s="1014">
        <f t="shared" si="20"/>
        <v>0</v>
      </c>
      <c r="BH21" s="1014">
        <f t="shared" si="21"/>
        <v>0</v>
      </c>
      <c r="BI21" s="1014">
        <f t="shared" si="22"/>
        <v>0</v>
      </c>
      <c r="BJ21" s="1014">
        <f t="shared" si="23"/>
        <v>0</v>
      </c>
      <c r="BK21" s="1014" t="str">
        <f t="shared" si="24"/>
        <v/>
      </c>
      <c r="BL21" s="1014" t="str">
        <f t="shared" si="25"/>
        <v>MATHS</v>
      </c>
      <c r="BM21" s="1014">
        <f t="shared" si="26"/>
        <v>0</v>
      </c>
      <c r="BN21" s="1014">
        <f t="shared" si="27"/>
        <v>0</v>
      </c>
      <c r="BO21" s="1014">
        <f t="shared" si="28"/>
        <v>0</v>
      </c>
      <c r="BP21" s="1014">
        <f t="shared" si="29"/>
        <v>0</v>
      </c>
      <c r="BQ21" s="1014">
        <f t="shared" si="30"/>
        <v>0</v>
      </c>
      <c r="BR21" s="1014" t="str">
        <f t="shared" si="31"/>
        <v/>
      </c>
      <c r="BS21" s="1014" t="str">
        <f t="shared" si="32"/>
        <v>ENGLISH</v>
      </c>
      <c r="BT21" s="1014">
        <f t="shared" si="33"/>
        <v>0</v>
      </c>
      <c r="BU21" s="1014">
        <f t="shared" si="34"/>
        <v>0</v>
      </c>
      <c r="BV21" s="1014">
        <f t="shared" si="35"/>
        <v>0</v>
      </c>
      <c r="BW21" s="1014">
        <f t="shared" si="36"/>
        <v>0</v>
      </c>
      <c r="BX21" s="1014">
        <f t="shared" si="37"/>
        <v>0</v>
      </c>
      <c r="BY21" s="1014" t="str">
        <f t="shared" si="38"/>
        <v/>
      </c>
      <c r="BZ21" s="1011" t="str">
        <f>IF(E21="","",VLOOKUP(B21&amp;$BZ$1,FLNTRANSPOSE!$F$3:$DP$102,105,0))</f>
        <v/>
      </c>
      <c r="CA21" s="1011" t="str">
        <f>IF(E21="","",VLOOKUP(B21&amp;$BZ$1,FLNTRANSPOSE!$F$3:$DP$102,107,0))</f>
        <v/>
      </c>
      <c r="CB21" s="1011" t="str">
        <f>IF(E21="","",VLOOKUP(B21&amp;$BZ$1,FLNTRANSPOSE!$F$3:$DP$102,109,0))</f>
        <v/>
      </c>
      <c r="CC21" s="1011" t="str">
        <f>IF(E21="","",VLOOKUP(B21&amp;$BZ$1,FLNTRANSPOSE!$F$3:$DP$102,111,0))</f>
        <v/>
      </c>
      <c r="CD21" s="1011" t="str">
        <f>IF(E21="","",VLOOKUP(B21&amp;$BZ$1,FLNTRANSPOSE!$F$3:$DP$102,113,0))</f>
        <v/>
      </c>
      <c r="CE21" s="1011" t="str">
        <f>IF(E21="","",VLOOKUP(B21&amp;$BZ$1,FLNTRANSPOSE!$F$3:$DP$102,115,0))</f>
        <v/>
      </c>
      <c r="CF21" s="1012" t="str">
        <f t="shared" si="39"/>
        <v/>
      </c>
      <c r="CG21" s="1011" t="str">
        <f>IF(E21="","",VLOOKUP(B21&amp;$CG$1,FLNTRANSPOSE!$F$3:$DP$102,105,0))</f>
        <v/>
      </c>
      <c r="CH21" s="1011" t="str">
        <f>IF(E21="","",VLOOKUP(B21&amp;$CG$1,FLNTRANSPOSE!$F$3:$DP$102,107,0))</f>
        <v/>
      </c>
      <c r="CI21" s="1011" t="str">
        <f>IF(E21="","",VLOOKUP(B21&amp;$CG$1,FLNTRANSPOSE!$F$3:$DP$102,109,0))</f>
        <v/>
      </c>
      <c r="CJ21" s="1011" t="str">
        <f>IF(E21="","",VLOOKUP(B21&amp;$CG$1,FLNTRANSPOSE!$F$3:$DP$102,111,0))</f>
        <v/>
      </c>
      <c r="CK21" s="1011" t="str">
        <f>IF(E21="","",VLOOKUP(B21&amp;$CG$1,FLNTRANSPOSE!$F$3:$DP$102,113,0))</f>
        <v/>
      </c>
      <c r="CL21" s="1011" t="str">
        <f>IF(E21="","",VLOOKUP(B21&amp;$CG$1,FLNTRANSPOSE!$F$3:$DP$102,115,0))</f>
        <v/>
      </c>
      <c r="CM21" s="1012" t="str">
        <f t="shared" si="40"/>
        <v/>
      </c>
      <c r="CN21" s="1011" t="str">
        <f>IF(E21="","",VLOOKUP(B21&amp;$CN$1,FLNTRANSPOSE!$F$3:$DP$102,105,0))</f>
        <v/>
      </c>
      <c r="CO21" s="1011" t="str">
        <f>IF(E21="","",VLOOKUP(B21&amp;$CN$1,FLNTRANSPOSE!$F$3:$DP$102,107,0))</f>
        <v/>
      </c>
      <c r="CP21" s="1011" t="str">
        <f>IF(E21="","",VLOOKUP(B21&amp;$CN$1,FLNTRANSPOSE!$F$3:$DP$102,109,0))</f>
        <v/>
      </c>
      <c r="CQ21" s="1011" t="str">
        <f>IF(E21="","",VLOOKUP(B21&amp;$CN$1,FLNTRANSPOSE!$F$3:$DP$102,111,0))</f>
        <v/>
      </c>
      <c r="CR21" s="1011" t="str">
        <f>IF(E21="","",VLOOKUP(B21&amp;$CN$1,FLNTRANSPOSE!$F$3:$DP$102,113,0))</f>
        <v/>
      </c>
      <c r="CS21" s="1011" t="str">
        <f>IF(E21="","",VLOOKUP(B21&amp;$CN$1,FLNTRANSPOSE!$F$3:$DP$102,115,0))</f>
        <v/>
      </c>
      <c r="CT21" s="1012" t="str">
        <f t="shared" si="41"/>
        <v/>
      </c>
    </row>
    <row r="22" spans="1:98">
      <c r="A22" s="849">
        <v>20</v>
      </c>
      <c r="B22" s="850"/>
      <c r="C22" s="850"/>
      <c r="D22" s="851"/>
      <c r="E22" s="837" t="str">
        <f t="shared" si="0"/>
        <v/>
      </c>
      <c r="F22" s="850"/>
      <c r="G22" s="851"/>
      <c r="H22" s="1010" t="str">
        <f t="shared" si="1"/>
        <v/>
      </c>
      <c r="I22" s="1010" t="str">
        <f t="shared" si="2"/>
        <v>HINDI</v>
      </c>
      <c r="J22" s="850"/>
      <c r="K22" s="850"/>
      <c r="L22" s="850"/>
      <c r="M22" s="850"/>
      <c r="N22" s="850"/>
      <c r="O22" s="1010" t="str">
        <f t="shared" si="3"/>
        <v/>
      </c>
      <c r="P22" s="1010" t="str">
        <f t="shared" si="4"/>
        <v>MATHS</v>
      </c>
      <c r="Q22" s="850"/>
      <c r="R22" s="850"/>
      <c r="S22" s="850"/>
      <c r="T22" s="850"/>
      <c r="U22" s="850"/>
      <c r="V22" s="1010" t="str">
        <f t="shared" si="5"/>
        <v/>
      </c>
      <c r="W22" s="1010" t="str">
        <f t="shared" si="6"/>
        <v>ENGLISH</v>
      </c>
      <c r="X22" s="850"/>
      <c r="Y22" s="850"/>
      <c r="Z22" s="850"/>
      <c r="AA22" s="850"/>
      <c r="AB22" s="850"/>
      <c r="AC22" s="1010" t="str">
        <f t="shared" si="7"/>
        <v/>
      </c>
      <c r="AD22" s="850"/>
      <c r="AE22" s="851"/>
      <c r="AF22" s="1012" t="str">
        <f t="shared" si="8"/>
        <v/>
      </c>
      <c r="AG22" s="1012" t="str">
        <f t="shared" si="9"/>
        <v>HINDI</v>
      </c>
      <c r="AH22" s="850"/>
      <c r="AI22" s="850"/>
      <c r="AJ22" s="850"/>
      <c r="AK22" s="850"/>
      <c r="AL22" s="850"/>
      <c r="AM22" s="1012" t="str">
        <f t="shared" si="10"/>
        <v/>
      </c>
      <c r="AN22" s="1012" t="str">
        <f t="shared" si="11"/>
        <v>MATHS</v>
      </c>
      <c r="AO22" s="850"/>
      <c r="AP22" s="850"/>
      <c r="AQ22" s="850"/>
      <c r="AR22" s="850"/>
      <c r="AS22" s="850"/>
      <c r="AT22" s="1012" t="str">
        <f t="shared" si="12"/>
        <v/>
      </c>
      <c r="AU22" s="1012" t="str">
        <f t="shared" si="13"/>
        <v>ENGLISH</v>
      </c>
      <c r="AV22" s="850"/>
      <c r="AW22" s="850"/>
      <c r="AX22" s="850"/>
      <c r="AY22" s="850"/>
      <c r="AZ22" s="850"/>
      <c r="BA22" s="1012" t="str">
        <f t="shared" si="14"/>
        <v/>
      </c>
      <c r="BB22" s="1014">
        <f t="shared" si="42"/>
        <v>0</v>
      </c>
      <c r="BC22" s="1014">
        <f t="shared" si="43"/>
        <v>0</v>
      </c>
      <c r="BD22" s="1014" t="str">
        <f t="shared" si="17"/>
        <v/>
      </c>
      <c r="BE22" s="1014" t="str">
        <f t="shared" si="18"/>
        <v>HINDI</v>
      </c>
      <c r="BF22" s="1014">
        <f t="shared" si="19"/>
        <v>0</v>
      </c>
      <c r="BG22" s="1014">
        <f t="shared" si="20"/>
        <v>0</v>
      </c>
      <c r="BH22" s="1014">
        <f t="shared" si="21"/>
        <v>0</v>
      </c>
      <c r="BI22" s="1014">
        <f t="shared" si="22"/>
        <v>0</v>
      </c>
      <c r="BJ22" s="1014">
        <f t="shared" si="23"/>
        <v>0</v>
      </c>
      <c r="BK22" s="1014" t="str">
        <f t="shared" si="24"/>
        <v/>
      </c>
      <c r="BL22" s="1014" t="str">
        <f t="shared" si="25"/>
        <v>MATHS</v>
      </c>
      <c r="BM22" s="1014">
        <f t="shared" si="26"/>
        <v>0</v>
      </c>
      <c r="BN22" s="1014">
        <f t="shared" si="27"/>
        <v>0</v>
      </c>
      <c r="BO22" s="1014">
        <f t="shared" si="28"/>
        <v>0</v>
      </c>
      <c r="BP22" s="1014">
        <f t="shared" si="29"/>
        <v>0</v>
      </c>
      <c r="BQ22" s="1014">
        <f t="shared" si="30"/>
        <v>0</v>
      </c>
      <c r="BR22" s="1014" t="str">
        <f t="shared" si="31"/>
        <v/>
      </c>
      <c r="BS22" s="1014" t="str">
        <f t="shared" si="32"/>
        <v>ENGLISH</v>
      </c>
      <c r="BT22" s="1014">
        <f t="shared" si="33"/>
        <v>0</v>
      </c>
      <c r="BU22" s="1014">
        <f t="shared" si="34"/>
        <v>0</v>
      </c>
      <c r="BV22" s="1014">
        <f t="shared" si="35"/>
        <v>0</v>
      </c>
      <c r="BW22" s="1014">
        <f t="shared" si="36"/>
        <v>0</v>
      </c>
      <c r="BX22" s="1014">
        <f t="shared" si="37"/>
        <v>0</v>
      </c>
      <c r="BY22" s="1014" t="str">
        <f t="shared" si="38"/>
        <v/>
      </c>
      <c r="BZ22" s="1011" t="str">
        <f>IF(E22="","",VLOOKUP(B22&amp;$BZ$1,FLNTRANSPOSE!$F$3:$DP$102,105,0))</f>
        <v/>
      </c>
      <c r="CA22" s="1011" t="str">
        <f>IF(E22="","",VLOOKUP(B22&amp;$BZ$1,FLNTRANSPOSE!$F$3:$DP$102,107,0))</f>
        <v/>
      </c>
      <c r="CB22" s="1011" t="str">
        <f>IF(E22="","",VLOOKUP(B22&amp;$BZ$1,FLNTRANSPOSE!$F$3:$DP$102,109,0))</f>
        <v/>
      </c>
      <c r="CC22" s="1011" t="str">
        <f>IF(E22="","",VLOOKUP(B22&amp;$BZ$1,FLNTRANSPOSE!$F$3:$DP$102,111,0))</f>
        <v/>
      </c>
      <c r="CD22" s="1011" t="str">
        <f>IF(E22="","",VLOOKUP(B22&amp;$BZ$1,FLNTRANSPOSE!$F$3:$DP$102,113,0))</f>
        <v/>
      </c>
      <c r="CE22" s="1011" t="str">
        <f>IF(E22="","",VLOOKUP(B22&amp;$BZ$1,FLNTRANSPOSE!$F$3:$DP$102,115,0))</f>
        <v/>
      </c>
      <c r="CF22" s="1012" t="str">
        <f t="shared" si="39"/>
        <v/>
      </c>
      <c r="CG22" s="1011" t="str">
        <f>IF(E22="","",VLOOKUP(B22&amp;$CG$1,FLNTRANSPOSE!$F$3:$DP$102,105,0))</f>
        <v/>
      </c>
      <c r="CH22" s="1011" t="str">
        <f>IF(E22="","",VLOOKUP(B22&amp;$CG$1,FLNTRANSPOSE!$F$3:$DP$102,107,0))</f>
        <v/>
      </c>
      <c r="CI22" s="1011" t="str">
        <f>IF(E22="","",VLOOKUP(B22&amp;$CG$1,FLNTRANSPOSE!$F$3:$DP$102,109,0))</f>
        <v/>
      </c>
      <c r="CJ22" s="1011" t="str">
        <f>IF(E22="","",VLOOKUP(B22&amp;$CG$1,FLNTRANSPOSE!$F$3:$DP$102,111,0))</f>
        <v/>
      </c>
      <c r="CK22" s="1011" t="str">
        <f>IF(E22="","",VLOOKUP(B22&amp;$CG$1,FLNTRANSPOSE!$F$3:$DP$102,113,0))</f>
        <v/>
      </c>
      <c r="CL22" s="1011" t="str">
        <f>IF(E22="","",VLOOKUP(B22&amp;$CG$1,FLNTRANSPOSE!$F$3:$DP$102,115,0))</f>
        <v/>
      </c>
      <c r="CM22" s="1012" t="str">
        <f t="shared" si="40"/>
        <v/>
      </c>
      <c r="CN22" s="1011" t="str">
        <f>IF(E22="","",VLOOKUP(B22&amp;$CN$1,FLNTRANSPOSE!$F$3:$DP$102,105,0))</f>
        <v/>
      </c>
      <c r="CO22" s="1011" t="str">
        <f>IF(E22="","",VLOOKUP(B22&amp;$CN$1,FLNTRANSPOSE!$F$3:$DP$102,107,0))</f>
        <v/>
      </c>
      <c r="CP22" s="1011" t="str">
        <f>IF(E22="","",VLOOKUP(B22&amp;$CN$1,FLNTRANSPOSE!$F$3:$DP$102,109,0))</f>
        <v/>
      </c>
      <c r="CQ22" s="1011" t="str">
        <f>IF(E22="","",VLOOKUP(B22&amp;$CN$1,FLNTRANSPOSE!$F$3:$DP$102,111,0))</f>
        <v/>
      </c>
      <c r="CR22" s="1011" t="str">
        <f>IF(E22="","",VLOOKUP(B22&amp;$CN$1,FLNTRANSPOSE!$F$3:$DP$102,113,0))</f>
        <v/>
      </c>
      <c r="CS22" s="1011" t="str">
        <f>IF(E22="","",VLOOKUP(B22&amp;$CN$1,FLNTRANSPOSE!$F$3:$DP$102,115,0))</f>
        <v/>
      </c>
      <c r="CT22" s="1012" t="str">
        <f t="shared" si="41"/>
        <v/>
      </c>
    </row>
    <row r="23" spans="1:98">
      <c r="A23" s="849">
        <v>21</v>
      </c>
      <c r="B23" s="861"/>
      <c r="C23" s="850"/>
      <c r="D23" s="851"/>
      <c r="E23" s="837" t="str">
        <f t="shared" si="0"/>
        <v/>
      </c>
      <c r="F23" s="850"/>
      <c r="G23" s="851"/>
      <c r="H23" s="1010" t="str">
        <f t="shared" si="1"/>
        <v/>
      </c>
      <c r="I23" s="1010" t="str">
        <f t="shared" si="2"/>
        <v>HINDI</v>
      </c>
      <c r="J23" s="850"/>
      <c r="K23" s="850"/>
      <c r="L23" s="850"/>
      <c r="M23" s="850"/>
      <c r="N23" s="850"/>
      <c r="O23" s="1010" t="str">
        <f t="shared" si="3"/>
        <v/>
      </c>
      <c r="P23" s="1010" t="str">
        <f t="shared" si="4"/>
        <v>MATHS</v>
      </c>
      <c r="Q23" s="850"/>
      <c r="R23" s="850"/>
      <c r="S23" s="850"/>
      <c r="T23" s="850"/>
      <c r="U23" s="850"/>
      <c r="V23" s="1010" t="str">
        <f t="shared" si="5"/>
        <v/>
      </c>
      <c r="W23" s="1010" t="str">
        <f t="shared" si="6"/>
        <v>ENGLISH</v>
      </c>
      <c r="X23" s="850"/>
      <c r="Y23" s="850"/>
      <c r="Z23" s="850"/>
      <c r="AA23" s="850"/>
      <c r="AB23" s="850"/>
      <c r="AC23" s="1010" t="str">
        <f t="shared" si="7"/>
        <v/>
      </c>
      <c r="AD23" s="850"/>
      <c r="AE23" s="851"/>
      <c r="AF23" s="1012" t="str">
        <f t="shared" si="8"/>
        <v/>
      </c>
      <c r="AG23" s="1012" t="str">
        <f t="shared" si="9"/>
        <v>HINDI</v>
      </c>
      <c r="AH23" s="850"/>
      <c r="AI23" s="850"/>
      <c r="AJ23" s="850"/>
      <c r="AK23" s="850"/>
      <c r="AL23" s="850"/>
      <c r="AM23" s="1012" t="str">
        <f t="shared" si="10"/>
        <v/>
      </c>
      <c r="AN23" s="1012" t="str">
        <f t="shared" si="11"/>
        <v>MATHS</v>
      </c>
      <c r="AO23" s="850"/>
      <c r="AP23" s="850"/>
      <c r="AQ23" s="850"/>
      <c r="AR23" s="850"/>
      <c r="AS23" s="850"/>
      <c r="AT23" s="1012" t="str">
        <f t="shared" si="12"/>
        <v/>
      </c>
      <c r="AU23" s="1012" t="str">
        <f t="shared" si="13"/>
        <v>ENGLISH</v>
      </c>
      <c r="AV23" s="850"/>
      <c r="AW23" s="850"/>
      <c r="AX23" s="850"/>
      <c r="AY23" s="850"/>
      <c r="AZ23" s="850"/>
      <c r="BA23" s="1012" t="str">
        <f t="shared" si="14"/>
        <v/>
      </c>
      <c r="BB23" s="1014">
        <f t="shared" si="42"/>
        <v>0</v>
      </c>
      <c r="BC23" s="1014">
        <f t="shared" si="43"/>
        <v>0</v>
      </c>
      <c r="BD23" s="1014" t="str">
        <f t="shared" si="17"/>
        <v/>
      </c>
      <c r="BE23" s="1014" t="str">
        <f t="shared" si="18"/>
        <v>HINDI</v>
      </c>
      <c r="BF23" s="1014">
        <f t="shared" si="19"/>
        <v>0</v>
      </c>
      <c r="BG23" s="1014">
        <f t="shared" si="20"/>
        <v>0</v>
      </c>
      <c r="BH23" s="1014">
        <f t="shared" si="21"/>
        <v>0</v>
      </c>
      <c r="BI23" s="1014">
        <f t="shared" si="22"/>
        <v>0</v>
      </c>
      <c r="BJ23" s="1014">
        <f t="shared" si="23"/>
        <v>0</v>
      </c>
      <c r="BK23" s="1014" t="str">
        <f t="shared" si="24"/>
        <v/>
      </c>
      <c r="BL23" s="1014" t="str">
        <f t="shared" si="25"/>
        <v>MATHS</v>
      </c>
      <c r="BM23" s="1014">
        <f t="shared" si="26"/>
        <v>0</v>
      </c>
      <c r="BN23" s="1014">
        <f t="shared" si="27"/>
        <v>0</v>
      </c>
      <c r="BO23" s="1014">
        <f t="shared" si="28"/>
        <v>0</v>
      </c>
      <c r="BP23" s="1014">
        <f t="shared" si="29"/>
        <v>0</v>
      </c>
      <c r="BQ23" s="1014">
        <f t="shared" si="30"/>
        <v>0</v>
      </c>
      <c r="BR23" s="1014" t="str">
        <f t="shared" si="31"/>
        <v/>
      </c>
      <c r="BS23" s="1014" t="str">
        <f t="shared" si="32"/>
        <v>ENGLISH</v>
      </c>
      <c r="BT23" s="1014">
        <f t="shared" si="33"/>
        <v>0</v>
      </c>
      <c r="BU23" s="1014">
        <f t="shared" si="34"/>
        <v>0</v>
      </c>
      <c r="BV23" s="1014">
        <f t="shared" si="35"/>
        <v>0</v>
      </c>
      <c r="BW23" s="1014">
        <f t="shared" si="36"/>
        <v>0</v>
      </c>
      <c r="BX23" s="1014">
        <f t="shared" si="37"/>
        <v>0</v>
      </c>
      <c r="BY23" s="1014" t="str">
        <f t="shared" si="38"/>
        <v/>
      </c>
      <c r="BZ23" s="1011" t="str">
        <f>IF(E23="","",VLOOKUP(B23&amp;$BZ$1,FLNTRANSPOSE!$F$3:$DP$102,105,0))</f>
        <v/>
      </c>
      <c r="CA23" s="1011" t="str">
        <f>IF(E23="","",VLOOKUP(B23&amp;$BZ$1,FLNTRANSPOSE!$F$3:$DP$102,107,0))</f>
        <v/>
      </c>
      <c r="CB23" s="1011" t="str">
        <f>IF(E23="","",VLOOKUP(B23&amp;$BZ$1,FLNTRANSPOSE!$F$3:$DP$102,109,0))</f>
        <v/>
      </c>
      <c r="CC23" s="1011" t="str">
        <f>IF(E23="","",VLOOKUP(B23&amp;$BZ$1,FLNTRANSPOSE!$F$3:$DP$102,111,0))</f>
        <v/>
      </c>
      <c r="CD23" s="1011" t="str">
        <f>IF(E23="","",VLOOKUP(B23&amp;$BZ$1,FLNTRANSPOSE!$F$3:$DP$102,113,0))</f>
        <v/>
      </c>
      <c r="CE23" s="1011" t="str">
        <f>IF(E23="","",VLOOKUP(B23&amp;$BZ$1,FLNTRANSPOSE!$F$3:$DP$102,115,0))</f>
        <v/>
      </c>
      <c r="CF23" s="1012" t="str">
        <f t="shared" si="39"/>
        <v/>
      </c>
      <c r="CG23" s="1011" t="str">
        <f>IF(E23="","",VLOOKUP(B23&amp;$CG$1,FLNTRANSPOSE!$F$3:$DP$102,105,0))</f>
        <v/>
      </c>
      <c r="CH23" s="1011" t="str">
        <f>IF(E23="","",VLOOKUP(B23&amp;$CG$1,FLNTRANSPOSE!$F$3:$DP$102,107,0))</f>
        <v/>
      </c>
      <c r="CI23" s="1011" t="str">
        <f>IF(E23="","",VLOOKUP(B23&amp;$CG$1,FLNTRANSPOSE!$F$3:$DP$102,109,0))</f>
        <v/>
      </c>
      <c r="CJ23" s="1011" t="str">
        <f>IF(E23="","",VLOOKUP(B23&amp;$CG$1,FLNTRANSPOSE!$F$3:$DP$102,111,0))</f>
        <v/>
      </c>
      <c r="CK23" s="1011" t="str">
        <f>IF(E23="","",VLOOKUP(B23&amp;$CG$1,FLNTRANSPOSE!$F$3:$DP$102,113,0))</f>
        <v/>
      </c>
      <c r="CL23" s="1011" t="str">
        <f>IF(E23="","",VLOOKUP(B23&amp;$CG$1,FLNTRANSPOSE!$F$3:$DP$102,115,0))</f>
        <v/>
      </c>
      <c r="CM23" s="1012" t="str">
        <f t="shared" si="40"/>
        <v/>
      </c>
      <c r="CN23" s="1011" t="str">
        <f>IF(E23="","",VLOOKUP(B23&amp;$CN$1,FLNTRANSPOSE!$F$3:$DP$102,105,0))</f>
        <v/>
      </c>
      <c r="CO23" s="1011" t="str">
        <f>IF(E23="","",VLOOKUP(B23&amp;$CN$1,FLNTRANSPOSE!$F$3:$DP$102,107,0))</f>
        <v/>
      </c>
      <c r="CP23" s="1011" t="str">
        <f>IF(E23="","",VLOOKUP(B23&amp;$CN$1,FLNTRANSPOSE!$F$3:$DP$102,109,0))</f>
        <v/>
      </c>
      <c r="CQ23" s="1011" t="str">
        <f>IF(E23="","",VLOOKUP(B23&amp;$CN$1,FLNTRANSPOSE!$F$3:$DP$102,111,0))</f>
        <v/>
      </c>
      <c r="CR23" s="1011" t="str">
        <f>IF(E23="","",VLOOKUP(B23&amp;$CN$1,FLNTRANSPOSE!$F$3:$DP$102,113,0))</f>
        <v/>
      </c>
      <c r="CS23" s="1011" t="str">
        <f>IF(E23="","",VLOOKUP(B23&amp;$CN$1,FLNTRANSPOSE!$F$3:$DP$102,115,0))</f>
        <v/>
      </c>
      <c r="CT23" s="1012" t="str">
        <f t="shared" si="41"/>
        <v/>
      </c>
    </row>
    <row r="24" spans="1:98">
      <c r="A24" s="849">
        <v>22</v>
      </c>
      <c r="B24" s="850"/>
      <c r="C24" s="850"/>
      <c r="D24" s="851"/>
      <c r="E24" s="837" t="str">
        <f t="shared" si="0"/>
        <v/>
      </c>
      <c r="F24" s="850"/>
      <c r="G24" s="851"/>
      <c r="H24" s="1010" t="str">
        <f t="shared" si="1"/>
        <v/>
      </c>
      <c r="I24" s="1010" t="str">
        <f t="shared" si="2"/>
        <v>HINDI</v>
      </c>
      <c r="J24" s="850"/>
      <c r="K24" s="850"/>
      <c r="L24" s="850"/>
      <c r="M24" s="850"/>
      <c r="N24" s="850"/>
      <c r="O24" s="1010" t="str">
        <f t="shared" si="3"/>
        <v/>
      </c>
      <c r="P24" s="1010" t="str">
        <f t="shared" si="4"/>
        <v>MATHS</v>
      </c>
      <c r="Q24" s="850"/>
      <c r="R24" s="850"/>
      <c r="S24" s="850"/>
      <c r="T24" s="850"/>
      <c r="U24" s="850"/>
      <c r="V24" s="1010" t="str">
        <f t="shared" si="5"/>
        <v/>
      </c>
      <c r="W24" s="1010" t="str">
        <f t="shared" si="6"/>
        <v>ENGLISH</v>
      </c>
      <c r="X24" s="850"/>
      <c r="Y24" s="850"/>
      <c r="Z24" s="850"/>
      <c r="AA24" s="850"/>
      <c r="AB24" s="850"/>
      <c r="AC24" s="1010" t="str">
        <f t="shared" si="7"/>
        <v/>
      </c>
      <c r="AD24" s="850"/>
      <c r="AE24" s="851"/>
      <c r="AF24" s="1012" t="str">
        <f t="shared" si="8"/>
        <v/>
      </c>
      <c r="AG24" s="1012" t="str">
        <f t="shared" si="9"/>
        <v>HINDI</v>
      </c>
      <c r="AH24" s="850"/>
      <c r="AI24" s="850"/>
      <c r="AJ24" s="850"/>
      <c r="AK24" s="850"/>
      <c r="AL24" s="850"/>
      <c r="AM24" s="1012" t="str">
        <f t="shared" si="10"/>
        <v/>
      </c>
      <c r="AN24" s="1012" t="str">
        <f t="shared" si="11"/>
        <v>MATHS</v>
      </c>
      <c r="AO24" s="850"/>
      <c r="AP24" s="850"/>
      <c r="AQ24" s="850"/>
      <c r="AR24" s="850"/>
      <c r="AS24" s="850"/>
      <c r="AT24" s="1012" t="str">
        <f t="shared" si="12"/>
        <v/>
      </c>
      <c r="AU24" s="1012" t="str">
        <f t="shared" si="13"/>
        <v>ENGLISH</v>
      </c>
      <c r="AV24" s="850"/>
      <c r="AW24" s="850"/>
      <c r="AX24" s="850"/>
      <c r="AY24" s="850"/>
      <c r="AZ24" s="850"/>
      <c r="BA24" s="1012" t="str">
        <f t="shared" si="14"/>
        <v/>
      </c>
      <c r="BB24" s="1014">
        <f t="shared" si="42"/>
        <v>0</v>
      </c>
      <c r="BC24" s="1014">
        <f t="shared" si="43"/>
        <v>0</v>
      </c>
      <c r="BD24" s="1014" t="str">
        <f t="shared" si="17"/>
        <v/>
      </c>
      <c r="BE24" s="1014" t="str">
        <f t="shared" si="18"/>
        <v>HINDI</v>
      </c>
      <c r="BF24" s="1014">
        <f t="shared" si="19"/>
        <v>0</v>
      </c>
      <c r="BG24" s="1014">
        <f t="shared" si="20"/>
        <v>0</v>
      </c>
      <c r="BH24" s="1014">
        <f t="shared" si="21"/>
        <v>0</v>
      </c>
      <c r="BI24" s="1014">
        <f t="shared" si="22"/>
        <v>0</v>
      </c>
      <c r="BJ24" s="1014">
        <f t="shared" si="23"/>
        <v>0</v>
      </c>
      <c r="BK24" s="1014" t="str">
        <f t="shared" si="24"/>
        <v/>
      </c>
      <c r="BL24" s="1014" t="str">
        <f t="shared" si="25"/>
        <v>MATHS</v>
      </c>
      <c r="BM24" s="1014">
        <f t="shared" si="26"/>
        <v>0</v>
      </c>
      <c r="BN24" s="1014">
        <f t="shared" si="27"/>
        <v>0</v>
      </c>
      <c r="BO24" s="1014">
        <f t="shared" si="28"/>
        <v>0</v>
      </c>
      <c r="BP24" s="1014">
        <f t="shared" si="29"/>
        <v>0</v>
      </c>
      <c r="BQ24" s="1014">
        <f t="shared" si="30"/>
        <v>0</v>
      </c>
      <c r="BR24" s="1014" t="str">
        <f t="shared" si="31"/>
        <v/>
      </c>
      <c r="BS24" s="1014" t="str">
        <f t="shared" si="32"/>
        <v>ENGLISH</v>
      </c>
      <c r="BT24" s="1014">
        <f t="shared" si="33"/>
        <v>0</v>
      </c>
      <c r="BU24" s="1014">
        <f t="shared" si="34"/>
        <v>0</v>
      </c>
      <c r="BV24" s="1014">
        <f t="shared" si="35"/>
        <v>0</v>
      </c>
      <c r="BW24" s="1014">
        <f t="shared" si="36"/>
        <v>0</v>
      </c>
      <c r="BX24" s="1014">
        <f t="shared" si="37"/>
        <v>0</v>
      </c>
      <c r="BY24" s="1014" t="str">
        <f t="shared" si="38"/>
        <v/>
      </c>
      <c r="BZ24" s="1011" t="str">
        <f>IF(E24="","",VLOOKUP(B24&amp;$BZ$1,FLNTRANSPOSE!$F$3:$DP$102,105,0))</f>
        <v/>
      </c>
      <c r="CA24" s="1011" t="str">
        <f>IF(E24="","",VLOOKUP(B24&amp;$BZ$1,FLNTRANSPOSE!$F$3:$DP$102,107,0))</f>
        <v/>
      </c>
      <c r="CB24" s="1011" t="str">
        <f>IF(E24="","",VLOOKUP(B24&amp;$BZ$1,FLNTRANSPOSE!$F$3:$DP$102,109,0))</f>
        <v/>
      </c>
      <c r="CC24" s="1011" t="str">
        <f>IF(E24="","",VLOOKUP(B24&amp;$BZ$1,FLNTRANSPOSE!$F$3:$DP$102,111,0))</f>
        <v/>
      </c>
      <c r="CD24" s="1011" t="str">
        <f>IF(E24="","",VLOOKUP(B24&amp;$BZ$1,FLNTRANSPOSE!$F$3:$DP$102,113,0))</f>
        <v/>
      </c>
      <c r="CE24" s="1011" t="str">
        <f>IF(E24="","",VLOOKUP(B24&amp;$BZ$1,FLNTRANSPOSE!$F$3:$DP$102,115,0))</f>
        <v/>
      </c>
      <c r="CF24" s="1012" t="str">
        <f t="shared" si="39"/>
        <v/>
      </c>
      <c r="CG24" s="1011" t="str">
        <f>IF(E24="","",VLOOKUP(B24&amp;$CG$1,FLNTRANSPOSE!$F$3:$DP$102,105,0))</f>
        <v/>
      </c>
      <c r="CH24" s="1011" t="str">
        <f>IF(E24="","",VLOOKUP(B24&amp;$CG$1,FLNTRANSPOSE!$F$3:$DP$102,107,0))</f>
        <v/>
      </c>
      <c r="CI24" s="1011" t="str">
        <f>IF(E24="","",VLOOKUP(B24&amp;$CG$1,FLNTRANSPOSE!$F$3:$DP$102,109,0))</f>
        <v/>
      </c>
      <c r="CJ24" s="1011" t="str">
        <f>IF(E24="","",VLOOKUP(B24&amp;$CG$1,FLNTRANSPOSE!$F$3:$DP$102,111,0))</f>
        <v/>
      </c>
      <c r="CK24" s="1011" t="str">
        <f>IF(E24="","",VLOOKUP(B24&amp;$CG$1,FLNTRANSPOSE!$F$3:$DP$102,113,0))</f>
        <v/>
      </c>
      <c r="CL24" s="1011" t="str">
        <f>IF(E24="","",VLOOKUP(B24&amp;$CG$1,FLNTRANSPOSE!$F$3:$DP$102,115,0))</f>
        <v/>
      </c>
      <c r="CM24" s="1012" t="str">
        <f t="shared" si="40"/>
        <v/>
      </c>
      <c r="CN24" s="1011" t="str">
        <f>IF(E24="","",VLOOKUP(B24&amp;$CN$1,FLNTRANSPOSE!$F$3:$DP$102,105,0))</f>
        <v/>
      </c>
      <c r="CO24" s="1011" t="str">
        <f>IF(E24="","",VLOOKUP(B24&amp;$CN$1,FLNTRANSPOSE!$F$3:$DP$102,107,0))</f>
        <v/>
      </c>
      <c r="CP24" s="1011" t="str">
        <f>IF(E24="","",VLOOKUP(B24&amp;$CN$1,FLNTRANSPOSE!$F$3:$DP$102,109,0))</f>
        <v/>
      </c>
      <c r="CQ24" s="1011" t="str">
        <f>IF(E24="","",VLOOKUP(B24&amp;$CN$1,FLNTRANSPOSE!$F$3:$DP$102,111,0))</f>
        <v/>
      </c>
      <c r="CR24" s="1011" t="str">
        <f>IF(E24="","",VLOOKUP(B24&amp;$CN$1,FLNTRANSPOSE!$F$3:$DP$102,113,0))</f>
        <v/>
      </c>
      <c r="CS24" s="1011" t="str">
        <f>IF(E24="","",VLOOKUP(B24&amp;$CN$1,FLNTRANSPOSE!$F$3:$DP$102,115,0))</f>
        <v/>
      </c>
      <c r="CT24" s="1012" t="str">
        <f t="shared" si="41"/>
        <v/>
      </c>
    </row>
    <row r="25" spans="1:98">
      <c r="A25" s="849">
        <v>23</v>
      </c>
      <c r="B25" s="850"/>
      <c r="C25" s="850"/>
      <c r="D25" s="851"/>
      <c r="E25" s="837" t="str">
        <f t="shared" si="0"/>
        <v/>
      </c>
      <c r="F25" s="850"/>
      <c r="G25" s="851"/>
      <c r="H25" s="1010" t="str">
        <f t="shared" si="1"/>
        <v/>
      </c>
      <c r="I25" s="1010" t="str">
        <f t="shared" si="2"/>
        <v>HINDI</v>
      </c>
      <c r="J25" s="850"/>
      <c r="K25" s="850"/>
      <c r="L25" s="850"/>
      <c r="M25" s="850"/>
      <c r="N25" s="850"/>
      <c r="O25" s="1010" t="str">
        <f t="shared" si="3"/>
        <v/>
      </c>
      <c r="P25" s="1010" t="str">
        <f t="shared" si="4"/>
        <v>MATHS</v>
      </c>
      <c r="Q25" s="850"/>
      <c r="R25" s="850"/>
      <c r="S25" s="850"/>
      <c r="T25" s="850"/>
      <c r="U25" s="850"/>
      <c r="V25" s="1010" t="str">
        <f t="shared" si="5"/>
        <v/>
      </c>
      <c r="W25" s="1010" t="str">
        <f t="shared" si="6"/>
        <v>ENGLISH</v>
      </c>
      <c r="X25" s="850"/>
      <c r="Y25" s="850"/>
      <c r="Z25" s="850"/>
      <c r="AA25" s="850"/>
      <c r="AB25" s="850"/>
      <c r="AC25" s="1010" t="str">
        <f t="shared" si="7"/>
        <v/>
      </c>
      <c r="AD25" s="850"/>
      <c r="AE25" s="851"/>
      <c r="AF25" s="1012" t="str">
        <f t="shared" si="8"/>
        <v/>
      </c>
      <c r="AG25" s="1012" t="str">
        <f t="shared" si="9"/>
        <v>HINDI</v>
      </c>
      <c r="AH25" s="850"/>
      <c r="AI25" s="850"/>
      <c r="AJ25" s="850"/>
      <c r="AK25" s="850"/>
      <c r="AL25" s="850"/>
      <c r="AM25" s="1012" t="str">
        <f t="shared" si="10"/>
        <v/>
      </c>
      <c r="AN25" s="1012" t="str">
        <f t="shared" si="11"/>
        <v>MATHS</v>
      </c>
      <c r="AO25" s="850"/>
      <c r="AP25" s="850"/>
      <c r="AQ25" s="850"/>
      <c r="AR25" s="850"/>
      <c r="AS25" s="850"/>
      <c r="AT25" s="1012" t="str">
        <f t="shared" si="12"/>
        <v/>
      </c>
      <c r="AU25" s="1012" t="str">
        <f t="shared" si="13"/>
        <v>ENGLISH</v>
      </c>
      <c r="AV25" s="850"/>
      <c r="AW25" s="850"/>
      <c r="AX25" s="850"/>
      <c r="AY25" s="850"/>
      <c r="AZ25" s="850"/>
      <c r="BA25" s="1012" t="str">
        <f t="shared" si="14"/>
        <v/>
      </c>
      <c r="BB25" s="1014">
        <f t="shared" si="42"/>
        <v>0</v>
      </c>
      <c r="BC25" s="1014">
        <f t="shared" si="43"/>
        <v>0</v>
      </c>
      <c r="BD25" s="1014" t="str">
        <f t="shared" si="17"/>
        <v/>
      </c>
      <c r="BE25" s="1014" t="str">
        <f t="shared" si="18"/>
        <v>HINDI</v>
      </c>
      <c r="BF25" s="1014">
        <f t="shared" si="19"/>
        <v>0</v>
      </c>
      <c r="BG25" s="1014">
        <f t="shared" si="20"/>
        <v>0</v>
      </c>
      <c r="BH25" s="1014">
        <f t="shared" si="21"/>
        <v>0</v>
      </c>
      <c r="BI25" s="1014">
        <f t="shared" si="22"/>
        <v>0</v>
      </c>
      <c r="BJ25" s="1014">
        <f t="shared" si="23"/>
        <v>0</v>
      </c>
      <c r="BK25" s="1014" t="str">
        <f t="shared" si="24"/>
        <v/>
      </c>
      <c r="BL25" s="1014" t="str">
        <f t="shared" si="25"/>
        <v>MATHS</v>
      </c>
      <c r="BM25" s="1014">
        <f t="shared" si="26"/>
        <v>0</v>
      </c>
      <c r="BN25" s="1014">
        <f t="shared" si="27"/>
        <v>0</v>
      </c>
      <c r="BO25" s="1014">
        <f t="shared" si="28"/>
        <v>0</v>
      </c>
      <c r="BP25" s="1014">
        <f t="shared" si="29"/>
        <v>0</v>
      </c>
      <c r="BQ25" s="1014">
        <f t="shared" si="30"/>
        <v>0</v>
      </c>
      <c r="BR25" s="1014" t="str">
        <f t="shared" si="31"/>
        <v/>
      </c>
      <c r="BS25" s="1014" t="str">
        <f t="shared" si="32"/>
        <v>ENGLISH</v>
      </c>
      <c r="BT25" s="1014">
        <f t="shared" si="33"/>
        <v>0</v>
      </c>
      <c r="BU25" s="1014">
        <f t="shared" si="34"/>
        <v>0</v>
      </c>
      <c r="BV25" s="1014">
        <f t="shared" si="35"/>
        <v>0</v>
      </c>
      <c r="BW25" s="1014">
        <f t="shared" si="36"/>
        <v>0</v>
      </c>
      <c r="BX25" s="1014">
        <f t="shared" si="37"/>
        <v>0</v>
      </c>
      <c r="BY25" s="1014" t="str">
        <f t="shared" si="38"/>
        <v/>
      </c>
      <c r="BZ25" s="1011" t="str">
        <f>IF(E25="","",VLOOKUP(B25&amp;$BZ$1,FLNTRANSPOSE!$F$3:$DP$102,105,0))</f>
        <v/>
      </c>
      <c r="CA25" s="1011" t="str">
        <f>IF(E25="","",VLOOKUP(B25&amp;$BZ$1,FLNTRANSPOSE!$F$3:$DP$102,107,0))</f>
        <v/>
      </c>
      <c r="CB25" s="1011" t="str">
        <f>IF(E25="","",VLOOKUP(B25&amp;$BZ$1,FLNTRANSPOSE!$F$3:$DP$102,109,0))</f>
        <v/>
      </c>
      <c r="CC25" s="1011" t="str">
        <f>IF(E25="","",VLOOKUP(B25&amp;$BZ$1,FLNTRANSPOSE!$F$3:$DP$102,111,0))</f>
        <v/>
      </c>
      <c r="CD25" s="1011" t="str">
        <f>IF(E25="","",VLOOKUP(B25&amp;$BZ$1,FLNTRANSPOSE!$F$3:$DP$102,113,0))</f>
        <v/>
      </c>
      <c r="CE25" s="1011" t="str">
        <f>IF(E25="","",VLOOKUP(B25&amp;$BZ$1,FLNTRANSPOSE!$F$3:$DP$102,115,0))</f>
        <v/>
      </c>
      <c r="CF25" s="1012" t="str">
        <f t="shared" si="39"/>
        <v/>
      </c>
      <c r="CG25" s="1011" t="str">
        <f>IF(E25="","",VLOOKUP(B25&amp;$CG$1,FLNTRANSPOSE!$F$3:$DP$102,105,0))</f>
        <v/>
      </c>
      <c r="CH25" s="1011" t="str">
        <f>IF(E25="","",VLOOKUP(B25&amp;$CG$1,FLNTRANSPOSE!$F$3:$DP$102,107,0))</f>
        <v/>
      </c>
      <c r="CI25" s="1011" t="str">
        <f>IF(E25="","",VLOOKUP(B25&amp;$CG$1,FLNTRANSPOSE!$F$3:$DP$102,109,0))</f>
        <v/>
      </c>
      <c r="CJ25" s="1011" t="str">
        <f>IF(E25="","",VLOOKUP(B25&amp;$CG$1,FLNTRANSPOSE!$F$3:$DP$102,111,0))</f>
        <v/>
      </c>
      <c r="CK25" s="1011" t="str">
        <f>IF(E25="","",VLOOKUP(B25&amp;$CG$1,FLNTRANSPOSE!$F$3:$DP$102,113,0))</f>
        <v/>
      </c>
      <c r="CL25" s="1011" t="str">
        <f>IF(E25="","",VLOOKUP(B25&amp;$CG$1,FLNTRANSPOSE!$F$3:$DP$102,115,0))</f>
        <v/>
      </c>
      <c r="CM25" s="1012" t="str">
        <f t="shared" si="40"/>
        <v/>
      </c>
      <c r="CN25" s="1011" t="str">
        <f>IF(E25="","",VLOOKUP(B25&amp;$CN$1,FLNTRANSPOSE!$F$3:$DP$102,105,0))</f>
        <v/>
      </c>
      <c r="CO25" s="1011" t="str">
        <f>IF(E25="","",VLOOKUP(B25&amp;$CN$1,FLNTRANSPOSE!$F$3:$DP$102,107,0))</f>
        <v/>
      </c>
      <c r="CP25" s="1011" t="str">
        <f>IF(E25="","",VLOOKUP(B25&amp;$CN$1,FLNTRANSPOSE!$F$3:$DP$102,109,0))</f>
        <v/>
      </c>
      <c r="CQ25" s="1011" t="str">
        <f>IF(E25="","",VLOOKUP(B25&amp;$CN$1,FLNTRANSPOSE!$F$3:$DP$102,111,0))</f>
        <v/>
      </c>
      <c r="CR25" s="1011" t="str">
        <f>IF(E25="","",VLOOKUP(B25&amp;$CN$1,FLNTRANSPOSE!$F$3:$DP$102,113,0))</f>
        <v/>
      </c>
      <c r="CS25" s="1011" t="str">
        <f>IF(E25="","",VLOOKUP(B25&amp;$CN$1,FLNTRANSPOSE!$F$3:$DP$102,115,0))</f>
        <v/>
      </c>
      <c r="CT25" s="1012" t="str">
        <f t="shared" si="41"/>
        <v/>
      </c>
    </row>
    <row r="26" spans="1:98">
      <c r="A26" s="849">
        <v>24</v>
      </c>
      <c r="B26" s="850"/>
      <c r="C26" s="850"/>
      <c r="D26" s="851"/>
      <c r="E26" s="837" t="str">
        <f t="shared" si="0"/>
        <v/>
      </c>
      <c r="F26" s="850"/>
      <c r="G26" s="851"/>
      <c r="H26" s="1010" t="str">
        <f t="shared" si="1"/>
        <v/>
      </c>
      <c r="I26" s="1010" t="str">
        <f t="shared" si="2"/>
        <v>HINDI</v>
      </c>
      <c r="J26" s="850"/>
      <c r="K26" s="850"/>
      <c r="L26" s="850"/>
      <c r="M26" s="850"/>
      <c r="N26" s="850"/>
      <c r="O26" s="1010" t="str">
        <f t="shared" si="3"/>
        <v/>
      </c>
      <c r="P26" s="1010" t="str">
        <f t="shared" si="4"/>
        <v>MATHS</v>
      </c>
      <c r="Q26" s="850"/>
      <c r="R26" s="850"/>
      <c r="S26" s="850"/>
      <c r="T26" s="850"/>
      <c r="U26" s="850"/>
      <c r="V26" s="1010" t="str">
        <f t="shared" si="5"/>
        <v/>
      </c>
      <c r="W26" s="1010" t="str">
        <f t="shared" si="6"/>
        <v>ENGLISH</v>
      </c>
      <c r="X26" s="850"/>
      <c r="Y26" s="850"/>
      <c r="Z26" s="850"/>
      <c r="AA26" s="850"/>
      <c r="AB26" s="850"/>
      <c r="AC26" s="1010" t="str">
        <f t="shared" si="7"/>
        <v/>
      </c>
      <c r="AD26" s="850"/>
      <c r="AE26" s="851"/>
      <c r="AF26" s="1012" t="str">
        <f t="shared" si="8"/>
        <v/>
      </c>
      <c r="AG26" s="1012" t="str">
        <f t="shared" si="9"/>
        <v>HINDI</v>
      </c>
      <c r="AH26" s="850"/>
      <c r="AI26" s="850"/>
      <c r="AJ26" s="850"/>
      <c r="AK26" s="850"/>
      <c r="AL26" s="850"/>
      <c r="AM26" s="1012" t="str">
        <f t="shared" si="10"/>
        <v/>
      </c>
      <c r="AN26" s="1012" t="str">
        <f t="shared" si="11"/>
        <v>MATHS</v>
      </c>
      <c r="AO26" s="850"/>
      <c r="AP26" s="850"/>
      <c r="AQ26" s="850"/>
      <c r="AR26" s="850"/>
      <c r="AS26" s="850"/>
      <c r="AT26" s="1012" t="str">
        <f t="shared" si="12"/>
        <v/>
      </c>
      <c r="AU26" s="1012" t="str">
        <f t="shared" si="13"/>
        <v>ENGLISH</v>
      </c>
      <c r="AV26" s="850"/>
      <c r="AW26" s="850"/>
      <c r="AX26" s="850"/>
      <c r="AY26" s="850"/>
      <c r="AZ26" s="850"/>
      <c r="BA26" s="1012" t="str">
        <f t="shared" si="14"/>
        <v/>
      </c>
      <c r="BB26" s="1014">
        <f t="shared" si="42"/>
        <v>0</v>
      </c>
      <c r="BC26" s="1014">
        <f t="shared" si="43"/>
        <v>0</v>
      </c>
      <c r="BD26" s="1014" t="str">
        <f t="shared" si="17"/>
        <v/>
      </c>
      <c r="BE26" s="1014" t="str">
        <f t="shared" si="18"/>
        <v>HINDI</v>
      </c>
      <c r="BF26" s="1014">
        <f t="shared" si="19"/>
        <v>0</v>
      </c>
      <c r="BG26" s="1014">
        <f t="shared" si="20"/>
        <v>0</v>
      </c>
      <c r="BH26" s="1014">
        <f t="shared" si="21"/>
        <v>0</v>
      </c>
      <c r="BI26" s="1014">
        <f t="shared" si="22"/>
        <v>0</v>
      </c>
      <c r="BJ26" s="1014">
        <f t="shared" si="23"/>
        <v>0</v>
      </c>
      <c r="BK26" s="1014" t="str">
        <f t="shared" si="24"/>
        <v/>
      </c>
      <c r="BL26" s="1014" t="str">
        <f t="shared" si="25"/>
        <v>MATHS</v>
      </c>
      <c r="BM26" s="1014">
        <f t="shared" si="26"/>
        <v>0</v>
      </c>
      <c r="BN26" s="1014">
        <f t="shared" si="27"/>
        <v>0</v>
      </c>
      <c r="BO26" s="1014">
        <f t="shared" si="28"/>
        <v>0</v>
      </c>
      <c r="BP26" s="1014">
        <f t="shared" si="29"/>
        <v>0</v>
      </c>
      <c r="BQ26" s="1014">
        <f t="shared" si="30"/>
        <v>0</v>
      </c>
      <c r="BR26" s="1014" t="str">
        <f t="shared" si="31"/>
        <v/>
      </c>
      <c r="BS26" s="1014" t="str">
        <f t="shared" si="32"/>
        <v>ENGLISH</v>
      </c>
      <c r="BT26" s="1014">
        <f t="shared" si="33"/>
        <v>0</v>
      </c>
      <c r="BU26" s="1014">
        <f t="shared" si="34"/>
        <v>0</v>
      </c>
      <c r="BV26" s="1014">
        <f t="shared" si="35"/>
        <v>0</v>
      </c>
      <c r="BW26" s="1014">
        <f t="shared" si="36"/>
        <v>0</v>
      </c>
      <c r="BX26" s="1014">
        <f t="shared" si="37"/>
        <v>0</v>
      </c>
      <c r="BY26" s="1014" t="str">
        <f t="shared" si="38"/>
        <v/>
      </c>
      <c r="BZ26" s="1011" t="str">
        <f>IF(E26="","",VLOOKUP(B26&amp;$BZ$1,FLNTRANSPOSE!$F$3:$DP$102,105,0))</f>
        <v/>
      </c>
      <c r="CA26" s="1011" t="str">
        <f>IF(E26="","",VLOOKUP(B26&amp;$BZ$1,FLNTRANSPOSE!$F$3:$DP$102,107,0))</f>
        <v/>
      </c>
      <c r="CB26" s="1011" t="str">
        <f>IF(E26="","",VLOOKUP(B26&amp;$BZ$1,FLNTRANSPOSE!$F$3:$DP$102,109,0))</f>
        <v/>
      </c>
      <c r="CC26" s="1011" t="str">
        <f>IF(E26="","",VLOOKUP(B26&amp;$BZ$1,FLNTRANSPOSE!$F$3:$DP$102,111,0))</f>
        <v/>
      </c>
      <c r="CD26" s="1011" t="str">
        <f>IF(E26="","",VLOOKUP(B26&amp;$BZ$1,FLNTRANSPOSE!$F$3:$DP$102,113,0))</f>
        <v/>
      </c>
      <c r="CE26" s="1011" t="str">
        <f>IF(E26="","",VLOOKUP(B26&amp;$BZ$1,FLNTRANSPOSE!$F$3:$DP$102,115,0))</f>
        <v/>
      </c>
      <c r="CF26" s="1012" t="str">
        <f t="shared" si="39"/>
        <v/>
      </c>
      <c r="CG26" s="1011" t="str">
        <f>IF(E26="","",VLOOKUP(B26&amp;$CG$1,FLNTRANSPOSE!$F$3:$DP$102,105,0))</f>
        <v/>
      </c>
      <c r="CH26" s="1011" t="str">
        <f>IF(E26="","",VLOOKUP(B26&amp;$CG$1,FLNTRANSPOSE!$F$3:$DP$102,107,0))</f>
        <v/>
      </c>
      <c r="CI26" s="1011" t="str">
        <f>IF(E26="","",VLOOKUP(B26&amp;$CG$1,FLNTRANSPOSE!$F$3:$DP$102,109,0))</f>
        <v/>
      </c>
      <c r="CJ26" s="1011" t="str">
        <f>IF(E26="","",VLOOKUP(B26&amp;$CG$1,FLNTRANSPOSE!$F$3:$DP$102,111,0))</f>
        <v/>
      </c>
      <c r="CK26" s="1011" t="str">
        <f>IF(E26="","",VLOOKUP(B26&amp;$CG$1,FLNTRANSPOSE!$F$3:$DP$102,113,0))</f>
        <v/>
      </c>
      <c r="CL26" s="1011" t="str">
        <f>IF(E26="","",VLOOKUP(B26&amp;$CG$1,FLNTRANSPOSE!$F$3:$DP$102,115,0))</f>
        <v/>
      </c>
      <c r="CM26" s="1012" t="str">
        <f t="shared" si="40"/>
        <v/>
      </c>
      <c r="CN26" s="1011" t="str">
        <f>IF(E26="","",VLOOKUP(B26&amp;$CN$1,FLNTRANSPOSE!$F$3:$DP$102,105,0))</f>
        <v/>
      </c>
      <c r="CO26" s="1011" t="str">
        <f>IF(E26="","",VLOOKUP(B26&amp;$CN$1,FLNTRANSPOSE!$F$3:$DP$102,107,0))</f>
        <v/>
      </c>
      <c r="CP26" s="1011" t="str">
        <f>IF(E26="","",VLOOKUP(B26&amp;$CN$1,FLNTRANSPOSE!$F$3:$DP$102,109,0))</f>
        <v/>
      </c>
      <c r="CQ26" s="1011" t="str">
        <f>IF(E26="","",VLOOKUP(B26&amp;$CN$1,FLNTRANSPOSE!$F$3:$DP$102,111,0))</f>
        <v/>
      </c>
      <c r="CR26" s="1011" t="str">
        <f>IF(E26="","",VLOOKUP(B26&amp;$CN$1,FLNTRANSPOSE!$F$3:$DP$102,113,0))</f>
        <v/>
      </c>
      <c r="CS26" s="1011" t="str">
        <f>IF(E26="","",VLOOKUP(B26&amp;$CN$1,FLNTRANSPOSE!$F$3:$DP$102,115,0))</f>
        <v/>
      </c>
      <c r="CT26" s="1012" t="str">
        <f t="shared" si="41"/>
        <v/>
      </c>
    </row>
    <row r="27" spans="1:98">
      <c r="A27" s="849">
        <v>25</v>
      </c>
      <c r="B27" s="850"/>
      <c r="C27" s="850"/>
      <c r="D27" s="851"/>
      <c r="E27" s="837" t="str">
        <f t="shared" si="0"/>
        <v/>
      </c>
      <c r="F27" s="850"/>
      <c r="G27" s="851"/>
      <c r="H27" s="1010" t="str">
        <f t="shared" si="1"/>
        <v/>
      </c>
      <c r="I27" s="1010" t="str">
        <f t="shared" si="2"/>
        <v>HINDI</v>
      </c>
      <c r="J27" s="850"/>
      <c r="K27" s="850"/>
      <c r="L27" s="850"/>
      <c r="M27" s="850"/>
      <c r="N27" s="850"/>
      <c r="O27" s="1010" t="str">
        <f t="shared" si="3"/>
        <v/>
      </c>
      <c r="P27" s="1010" t="str">
        <f t="shared" si="4"/>
        <v>MATHS</v>
      </c>
      <c r="Q27" s="850"/>
      <c r="R27" s="850"/>
      <c r="S27" s="850"/>
      <c r="T27" s="850"/>
      <c r="U27" s="850"/>
      <c r="V27" s="1010" t="str">
        <f t="shared" si="5"/>
        <v/>
      </c>
      <c r="W27" s="1010" t="str">
        <f t="shared" si="6"/>
        <v>ENGLISH</v>
      </c>
      <c r="X27" s="850"/>
      <c r="Y27" s="850"/>
      <c r="Z27" s="850"/>
      <c r="AA27" s="850"/>
      <c r="AB27" s="850"/>
      <c r="AC27" s="1010" t="str">
        <f t="shared" si="7"/>
        <v/>
      </c>
      <c r="AD27" s="850"/>
      <c r="AE27" s="851"/>
      <c r="AF27" s="1012" t="str">
        <f t="shared" si="8"/>
        <v/>
      </c>
      <c r="AG27" s="1012" t="str">
        <f t="shared" si="9"/>
        <v>HINDI</v>
      </c>
      <c r="AH27" s="850"/>
      <c r="AI27" s="850"/>
      <c r="AJ27" s="850"/>
      <c r="AK27" s="850"/>
      <c r="AL27" s="850"/>
      <c r="AM27" s="1012" t="str">
        <f t="shared" si="10"/>
        <v/>
      </c>
      <c r="AN27" s="1012" t="str">
        <f t="shared" si="11"/>
        <v>MATHS</v>
      </c>
      <c r="AO27" s="850"/>
      <c r="AP27" s="850"/>
      <c r="AQ27" s="850"/>
      <c r="AR27" s="850"/>
      <c r="AS27" s="850"/>
      <c r="AT27" s="1012" t="str">
        <f t="shared" si="12"/>
        <v/>
      </c>
      <c r="AU27" s="1012" t="str">
        <f t="shared" si="13"/>
        <v>ENGLISH</v>
      </c>
      <c r="AV27" s="850"/>
      <c r="AW27" s="850"/>
      <c r="AX27" s="850"/>
      <c r="AY27" s="850"/>
      <c r="AZ27" s="850"/>
      <c r="BA27" s="1012" t="str">
        <f t="shared" si="14"/>
        <v/>
      </c>
      <c r="BB27" s="1014">
        <f t="shared" si="42"/>
        <v>0</v>
      </c>
      <c r="BC27" s="1014">
        <f t="shared" si="43"/>
        <v>0</v>
      </c>
      <c r="BD27" s="1014" t="str">
        <f t="shared" si="17"/>
        <v/>
      </c>
      <c r="BE27" s="1014" t="str">
        <f t="shared" si="18"/>
        <v>HINDI</v>
      </c>
      <c r="BF27" s="1014">
        <f t="shared" si="19"/>
        <v>0</v>
      </c>
      <c r="BG27" s="1014">
        <f t="shared" si="20"/>
        <v>0</v>
      </c>
      <c r="BH27" s="1014">
        <f t="shared" si="21"/>
        <v>0</v>
      </c>
      <c r="BI27" s="1014">
        <f t="shared" si="22"/>
        <v>0</v>
      </c>
      <c r="BJ27" s="1014">
        <f t="shared" si="23"/>
        <v>0</v>
      </c>
      <c r="BK27" s="1014" t="str">
        <f t="shared" si="24"/>
        <v/>
      </c>
      <c r="BL27" s="1014" t="str">
        <f t="shared" si="25"/>
        <v>MATHS</v>
      </c>
      <c r="BM27" s="1014">
        <f t="shared" si="26"/>
        <v>0</v>
      </c>
      <c r="BN27" s="1014">
        <f t="shared" si="27"/>
        <v>0</v>
      </c>
      <c r="BO27" s="1014">
        <f t="shared" si="28"/>
        <v>0</v>
      </c>
      <c r="BP27" s="1014">
        <f t="shared" si="29"/>
        <v>0</v>
      </c>
      <c r="BQ27" s="1014">
        <f t="shared" si="30"/>
        <v>0</v>
      </c>
      <c r="BR27" s="1014" t="str">
        <f t="shared" si="31"/>
        <v/>
      </c>
      <c r="BS27" s="1014" t="str">
        <f t="shared" si="32"/>
        <v>ENGLISH</v>
      </c>
      <c r="BT27" s="1014">
        <f t="shared" si="33"/>
        <v>0</v>
      </c>
      <c r="BU27" s="1014">
        <f t="shared" si="34"/>
        <v>0</v>
      </c>
      <c r="BV27" s="1014">
        <f t="shared" si="35"/>
        <v>0</v>
      </c>
      <c r="BW27" s="1014">
        <f t="shared" si="36"/>
        <v>0</v>
      </c>
      <c r="BX27" s="1014">
        <f t="shared" si="37"/>
        <v>0</v>
      </c>
      <c r="BY27" s="1014" t="str">
        <f t="shared" si="38"/>
        <v/>
      </c>
      <c r="BZ27" s="1011" t="str">
        <f>IF(E27="","",VLOOKUP(B27&amp;$BZ$1,FLNTRANSPOSE!$F$3:$DP$102,105,0))</f>
        <v/>
      </c>
      <c r="CA27" s="1011" t="str">
        <f>IF(E27="","",VLOOKUP(B27&amp;$BZ$1,FLNTRANSPOSE!$F$3:$DP$102,107,0))</f>
        <v/>
      </c>
      <c r="CB27" s="1011" t="str">
        <f>IF(E27="","",VLOOKUP(B27&amp;$BZ$1,FLNTRANSPOSE!$F$3:$DP$102,109,0))</f>
        <v/>
      </c>
      <c r="CC27" s="1011" t="str">
        <f>IF(E27="","",VLOOKUP(B27&amp;$BZ$1,FLNTRANSPOSE!$F$3:$DP$102,111,0))</f>
        <v/>
      </c>
      <c r="CD27" s="1011" t="str">
        <f>IF(E27="","",VLOOKUP(B27&amp;$BZ$1,FLNTRANSPOSE!$F$3:$DP$102,113,0))</f>
        <v/>
      </c>
      <c r="CE27" s="1011" t="str">
        <f>IF(E27="","",VLOOKUP(B27&amp;$BZ$1,FLNTRANSPOSE!$F$3:$DP$102,115,0))</f>
        <v/>
      </c>
      <c r="CF27" s="1012" t="str">
        <f t="shared" si="39"/>
        <v/>
      </c>
      <c r="CG27" s="1011" t="str">
        <f>IF(E27="","",VLOOKUP(B27&amp;$CG$1,FLNTRANSPOSE!$F$3:$DP$102,105,0))</f>
        <v/>
      </c>
      <c r="CH27" s="1011" t="str">
        <f>IF(E27="","",VLOOKUP(B27&amp;$CG$1,FLNTRANSPOSE!$F$3:$DP$102,107,0))</f>
        <v/>
      </c>
      <c r="CI27" s="1011" t="str">
        <f>IF(E27="","",VLOOKUP(B27&amp;$CG$1,FLNTRANSPOSE!$F$3:$DP$102,109,0))</f>
        <v/>
      </c>
      <c r="CJ27" s="1011" t="str">
        <f>IF(E27="","",VLOOKUP(B27&amp;$CG$1,FLNTRANSPOSE!$F$3:$DP$102,111,0))</f>
        <v/>
      </c>
      <c r="CK27" s="1011" t="str">
        <f>IF(E27="","",VLOOKUP(B27&amp;$CG$1,FLNTRANSPOSE!$F$3:$DP$102,113,0))</f>
        <v/>
      </c>
      <c r="CL27" s="1011" t="str">
        <f>IF(E27="","",VLOOKUP(B27&amp;$CG$1,FLNTRANSPOSE!$F$3:$DP$102,115,0))</f>
        <v/>
      </c>
      <c r="CM27" s="1012" t="str">
        <f t="shared" si="40"/>
        <v/>
      </c>
      <c r="CN27" s="1011" t="str">
        <f>IF(E27="","",VLOOKUP(B27&amp;$CN$1,FLNTRANSPOSE!$F$3:$DP$102,105,0))</f>
        <v/>
      </c>
      <c r="CO27" s="1011" t="str">
        <f>IF(E27="","",VLOOKUP(B27&amp;$CN$1,FLNTRANSPOSE!$F$3:$DP$102,107,0))</f>
        <v/>
      </c>
      <c r="CP27" s="1011" t="str">
        <f>IF(E27="","",VLOOKUP(B27&amp;$CN$1,FLNTRANSPOSE!$F$3:$DP$102,109,0))</f>
        <v/>
      </c>
      <c r="CQ27" s="1011" t="str">
        <f>IF(E27="","",VLOOKUP(B27&amp;$CN$1,FLNTRANSPOSE!$F$3:$DP$102,111,0))</f>
        <v/>
      </c>
      <c r="CR27" s="1011" t="str">
        <f>IF(E27="","",VLOOKUP(B27&amp;$CN$1,FLNTRANSPOSE!$F$3:$DP$102,113,0))</f>
        <v/>
      </c>
      <c r="CS27" s="1011" t="str">
        <f>IF(E27="","",VLOOKUP(B27&amp;$CN$1,FLNTRANSPOSE!$F$3:$DP$102,115,0))</f>
        <v/>
      </c>
      <c r="CT27" s="1012" t="str">
        <f t="shared" si="41"/>
        <v/>
      </c>
    </row>
  </sheetData>
  <sheetProtection password="BF6F" sheet="1" formatCells="0" formatColumns="0" formatRows="0" objects="1" scenarios="1"/>
  <mergeCells count="13">
    <mergeCell ref="A1:B1"/>
    <mergeCell ref="J1:N1"/>
    <mergeCell ref="Q1:U1"/>
    <mergeCell ref="X1:AB1"/>
    <mergeCell ref="AH1:AL1"/>
    <mergeCell ref="AO1:AS1"/>
    <mergeCell ref="AV1:AZ1"/>
    <mergeCell ref="BF1:BJ1"/>
    <mergeCell ref="BM1:BQ1"/>
    <mergeCell ref="BT1:BX1"/>
    <mergeCell ref="BZ1:CE1"/>
    <mergeCell ref="CG1:CL1"/>
    <mergeCell ref="CN1:CS1"/>
  </mergeCells>
  <conditionalFormatting sqref="O3:O27">
    <cfRule type="cellIs" dxfId="0" priority="12" operator="notEqual">
      <formula>H3</formula>
    </cfRule>
  </conditionalFormatting>
  <conditionalFormatting sqref="V3:V27">
    <cfRule type="cellIs" dxfId="0" priority="11" operator="notEqual">
      <formula>H3</formula>
    </cfRule>
  </conditionalFormatting>
  <conditionalFormatting sqref="AC3:AC27">
    <cfRule type="cellIs" dxfId="0" priority="10" operator="notEqual">
      <formula>H3</formula>
    </cfRule>
  </conditionalFormatting>
  <conditionalFormatting sqref="AM3:AM27">
    <cfRule type="cellIs" dxfId="0" priority="9" operator="notEqual">
      <formula>AF3</formula>
    </cfRule>
  </conditionalFormatting>
  <conditionalFormatting sqref="AT3:AT27">
    <cfRule type="cellIs" dxfId="0" priority="8" operator="notEqual">
      <formula>AF3</formula>
    </cfRule>
  </conditionalFormatting>
  <conditionalFormatting sqref="BA3:BA27">
    <cfRule type="cellIs" dxfId="0" priority="7" operator="notEqual">
      <formula>AF3</formula>
    </cfRule>
  </conditionalFormatting>
  <conditionalFormatting sqref="BK3:BK27">
    <cfRule type="cellIs" dxfId="0" priority="6" operator="notEqual">
      <formula>BD3</formula>
    </cfRule>
  </conditionalFormatting>
  <conditionalFormatting sqref="BR3:BR27">
    <cfRule type="cellIs" dxfId="0" priority="5" operator="notEqual">
      <formula>BD3</formula>
    </cfRule>
  </conditionalFormatting>
  <conditionalFormatting sqref="BY3:BY27">
    <cfRule type="cellIs" dxfId="0" priority="4" operator="notEqual">
      <formula>BD3</formula>
    </cfRule>
  </conditionalFormatting>
  <pageMargins left="0.7" right="0.7" top="0.75" bottom="0.75" header="0.3" footer="0.3"/>
  <pageSetup paperSize="1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101"/>
  <sheetViews>
    <sheetView zoomScale="80" zoomScaleNormal="80" topLeftCell="M1" workbookViewId="0">
      <selection activeCell="V2" sqref="V2:V40"/>
    </sheetView>
  </sheetViews>
  <sheetFormatPr defaultColWidth="9.13888888888889" defaultRowHeight="21"/>
  <cols>
    <col min="1" max="1" width="7.86111111111111" style="812" customWidth="1"/>
    <col min="2" max="2" width="9.71296296296296" style="812" customWidth="1"/>
    <col min="3" max="3" width="14.8611111111111" style="918" customWidth="1"/>
    <col min="4" max="4" width="18.712962962963" style="812" customWidth="1"/>
    <col min="5" max="5" width="45.712962962963" style="817" customWidth="1"/>
    <col min="6" max="6" width="16.712962962963" style="812" customWidth="1"/>
    <col min="7" max="7" width="20.712962962963" style="812" customWidth="1"/>
    <col min="8" max="9" width="45.712962962963" style="817" customWidth="1"/>
    <col min="10" max="10" width="30.712962962963" style="919" customWidth="1"/>
    <col min="11" max="11" width="30.712962962963" style="817" customWidth="1"/>
    <col min="12" max="13" width="19.712962962963" style="812" customWidth="1"/>
    <col min="14" max="14" width="20.712962962963" style="920" customWidth="1"/>
    <col min="15" max="15" width="19.4259259259259" style="812" customWidth="1"/>
    <col min="16" max="16" width="17.5740740740741" style="812" customWidth="1"/>
    <col min="17" max="17" width="12.1388888888889" style="812" customWidth="1"/>
    <col min="18" max="18" width="18.287037037037" style="812" customWidth="1"/>
    <col min="19" max="19" width="14.4259259259259" style="812" customWidth="1"/>
    <col min="20" max="21" width="19.712962962963" style="812" customWidth="1"/>
    <col min="22" max="22" width="75.712962962963" style="817" customWidth="1"/>
    <col min="23" max="23" width="15.4259259259259" style="812" customWidth="1"/>
    <col min="24" max="53" width="9.13888888888889" style="812"/>
    <col min="54" max="54" width="20" style="829" customWidth="1"/>
    <col min="55" max="55" width="17.8611111111111" style="829" customWidth="1"/>
    <col min="56" max="56" width="13.712962962963" style="829" customWidth="1"/>
    <col min="57" max="57" width="9.13888888888889" style="829"/>
    <col min="58" max="58" width="18" style="829" customWidth="1"/>
    <col min="59" max="59" width="17.287037037037" style="829" customWidth="1"/>
    <col min="60" max="60" width="9.13888888888889" style="829"/>
    <col min="61" max="61" width="24.1388888888889" style="830" customWidth="1"/>
    <col min="62" max="62" width="9.57407407407407" style="829" customWidth="1"/>
    <col min="63" max="63" width="15.8611111111111" style="830" customWidth="1"/>
    <col min="64" max="64" width="7.57407407407407" style="829" customWidth="1"/>
    <col min="65" max="65" width="37" style="830" customWidth="1"/>
    <col min="66" max="66" width="75.712962962963" style="830" customWidth="1"/>
    <col min="67" max="68" width="11.712962962963" style="812" customWidth="1"/>
    <col min="69" max="16384" width="9.13888888888889" style="812"/>
  </cols>
  <sheetData>
    <row r="1" ht="42" spans="1:68">
      <c r="A1" s="921" t="s">
        <v>109</v>
      </c>
      <c r="B1" s="922" t="s">
        <v>110</v>
      </c>
      <c r="C1" s="923" t="s">
        <v>111</v>
      </c>
      <c r="D1" s="924" t="s">
        <v>112</v>
      </c>
      <c r="E1" s="924" t="s">
        <v>113</v>
      </c>
      <c r="F1" s="924" t="s">
        <v>114</v>
      </c>
      <c r="G1" s="924" t="s">
        <v>115</v>
      </c>
      <c r="H1" s="924" t="s">
        <v>116</v>
      </c>
      <c r="I1" s="924" t="s">
        <v>117</v>
      </c>
      <c r="J1" s="925" t="s">
        <v>118</v>
      </c>
      <c r="K1" s="924" t="s">
        <v>119</v>
      </c>
      <c r="L1" s="924" t="s">
        <v>120</v>
      </c>
      <c r="M1" s="924" t="s">
        <v>121</v>
      </c>
      <c r="N1" s="926" t="s">
        <v>122</v>
      </c>
      <c r="O1" s="924" t="s">
        <v>123</v>
      </c>
      <c r="P1" s="924" t="s">
        <v>124</v>
      </c>
      <c r="Q1" s="924" t="s">
        <v>125</v>
      </c>
      <c r="R1" s="924" t="s">
        <v>126</v>
      </c>
      <c r="S1" s="924" t="s">
        <v>127</v>
      </c>
      <c r="T1" s="924" t="s">
        <v>128</v>
      </c>
      <c r="U1" s="927" t="s">
        <v>129</v>
      </c>
      <c r="V1" s="927" t="s">
        <v>130</v>
      </c>
      <c r="W1" s="928" t="s">
        <v>131</v>
      </c>
      <c r="X1" s="928" t="s">
        <v>132</v>
      </c>
      <c r="BB1" s="929" t="s">
        <v>133</v>
      </c>
      <c r="BC1" s="929" t="s">
        <v>134</v>
      </c>
      <c r="BD1" s="929" t="s">
        <v>135</v>
      </c>
      <c r="BE1" s="929" t="s">
        <v>136</v>
      </c>
      <c r="BF1" s="930" t="s">
        <v>137</v>
      </c>
      <c r="BG1" s="930" t="s">
        <v>138</v>
      </c>
      <c r="BH1" s="931" t="s">
        <v>135</v>
      </c>
      <c r="BI1" s="932"/>
      <c r="BJ1" s="929" t="s">
        <v>134</v>
      </c>
      <c r="BK1" s="932"/>
      <c r="BL1" s="929" t="s">
        <v>136</v>
      </c>
      <c r="BM1" s="932"/>
      <c r="BN1" s="930" t="s">
        <v>139</v>
      </c>
      <c r="BO1" s="933" t="s">
        <v>123</v>
      </c>
      <c r="BP1" s="933" t="s">
        <v>124</v>
      </c>
    </row>
    <row r="2" ht="21.95" customHeight="1" spans="1:68">
      <c r="A2" s="934">
        <v>1</v>
      </c>
      <c r="B2" s="935" t="str">
        <f>ENTRY!$D$20&amp;"-"&amp;ENTRY!$D$21</f>
        <v>III-A</v>
      </c>
      <c r="C2" s="936"/>
      <c r="D2" s="937">
        <v>20220171896</v>
      </c>
      <c r="E2" s="938" t="s">
        <v>140</v>
      </c>
      <c r="F2" s="937">
        <v>14779</v>
      </c>
      <c r="G2" s="939" t="s">
        <v>141</v>
      </c>
      <c r="H2" s="939" t="s">
        <v>142</v>
      </c>
      <c r="I2" s="939" t="s">
        <v>143</v>
      </c>
      <c r="J2" s="939"/>
      <c r="K2" s="939"/>
      <c r="L2" s="939"/>
      <c r="M2" s="939"/>
      <c r="N2" s="939"/>
      <c r="O2" s="940"/>
      <c r="P2" s="940"/>
      <c r="Q2" s="940"/>
      <c r="R2" s="939"/>
      <c r="S2" s="939"/>
      <c r="T2" s="939">
        <v>8171491639</v>
      </c>
      <c r="U2" s="939"/>
      <c r="V2" s="939" t="s">
        <v>144</v>
      </c>
      <c r="W2" s="941"/>
      <c r="X2" s="941"/>
      <c r="Y2" s="942"/>
      <c r="Z2" s="942"/>
      <c r="AA2" s="942"/>
      <c r="AB2" s="942"/>
      <c r="AC2" s="942"/>
      <c r="AD2" s="942"/>
      <c r="AE2" s="942"/>
      <c r="AF2" s="942"/>
      <c r="AG2" s="942"/>
      <c r="AH2" s="942"/>
      <c r="AI2" s="942"/>
      <c r="AJ2" s="942"/>
      <c r="AK2" s="942"/>
      <c r="AL2" s="942"/>
      <c r="AM2" s="942"/>
      <c r="AN2" s="942"/>
      <c r="AO2" s="942"/>
      <c r="AP2" s="942"/>
      <c r="AQ2" s="942"/>
      <c r="AR2" s="942"/>
      <c r="AS2" s="942"/>
      <c r="AT2" s="942"/>
      <c r="AU2" s="942"/>
      <c r="AV2" s="942"/>
      <c r="AW2" s="942"/>
      <c r="AX2" s="942"/>
      <c r="AY2" s="942"/>
      <c r="AZ2" s="942"/>
      <c r="BA2" s="942"/>
      <c r="BB2" s="943" t="str">
        <f>G2</f>
        <v>Oct 29 2018</v>
      </c>
      <c r="BC2" s="944" t="str">
        <f>LEFT(BB2,(3))</f>
        <v>Oct</v>
      </c>
      <c r="BD2" s="944" t="str">
        <f t="shared" ref="BD2:BD65" si="0">MID(BB2,5,(2))</f>
        <v>29</v>
      </c>
      <c r="BE2" s="944" t="str">
        <f>RIGHT(BB2,(4))</f>
        <v>2018</v>
      </c>
      <c r="BF2" s="944" t="e">
        <f>MONTH(DATEVALUE(BC2&amp;1))</f>
        <v>#VALUE!</v>
      </c>
      <c r="BG2" s="945" t="e">
        <f>DATE(BE2,BF2,BD2)</f>
        <v>#VALUE!</v>
      </c>
      <c r="BH2" s="946">
        <f>VALUE(BD2)</f>
        <v>29</v>
      </c>
      <c r="BI2" s="947" t="str">
        <f>IF(BH2=1,"FIRST",IF(BH2=2,"SECOND",IF(BH2=3,"THIRD",IF(BH2=4,"FOURTH",IF(BH2=5,"FIFTH",IF(BH2=6,"SIXTH",IF(BH2=7,"SEVENTH",IF(BH2=8,"EIGHTH",IF(BH2=9,"NINTH",IF(BH2=10,"TENTH",IF(BH2=11,"ELEVENTH",IF(BH2=12,"TWELFTH",IF(BH2=13,"THIRTEENTH",IF(BH2=14,"FOURTEENTH",IF(BH2=15,"FIFTEENTH",IF(BH2=16,"SIXTEENTH",IF(BH2=17,"SEVENTEENTH",IF(BH2=18,"EIGHTEENTH",IF(BH2=19,"NINETEENTH",IF(BH2=20,"TWENTIETH",IF(BH2=21,"TWENTY FIRST",IF(BH2=22,"TWENTY SECOND",IF(BH2=23,"TWENTY THIRD",IF(BH2=24,"TWENTY FOURTH",IF(BH2=25,"TWENTY FIFTH",IF(BH2=26,"TWENTY SIXTH",IF(BH2=27,"TWENTY SEVENTH",IF(BH2=28,"TWENTY EIGHTH",IF(BH2=29,"TWENTY NINTH",IF(BH2=30,"THIRTIETH",IF(BH2=31,"THIRTY FIRST","")))))))))))))))))))))))))))))))</f>
        <v>TWENTY NINTH</v>
      </c>
      <c r="BJ2" s="943" t="str">
        <f>BC2</f>
        <v>Oct</v>
      </c>
      <c r="BK2" s="947" t="str">
        <f>IF(BJ2="Jan","JANUARY",IF(BJ2="Feb","FEBRUARY",IF(BJ2="Mar","MARCH",IF(BJ2="Apr","APRIL",IF(BJ2="May","MAY",IF(BJ2="Jun","JUNE",IF(BJ2="Jul","JULY",IF(BJ2="Aug","AUGUST",IF(BJ2="Sep","SEPTEMBER",IF(BJ2="Oct","OCTOBER",IF(BJ2="Nov","NOVEMBER",IF(BJ2="Dec","DECEMBER"))))))))))))</f>
        <v>OCTOBER</v>
      </c>
      <c r="BL2" s="943">
        <f>VALUE(BE2)</f>
        <v>2018</v>
      </c>
      <c r="BM2" s="947" t="str">
        <f>IF(BL2=2000,"TWO THOUSAND",IF(BL2=2001,"TWO THOUSAND ONE",IF(BL2=2002,"TWO THOUSAND TWO",IF(BL2=2003,"TWO THOUSAND THREE",IF(BL2=2004,"TWO THOUSAND FOUR",IF(BL2=2005,"TWO THOUSAND FIVE",IF(BL2=2006,"TWO THOUSAND SIX",IF(BL2=2007,"TWO THOUSAND SEVEN",IF(BL2=2008,"TWO THOUSAND EIGHT",IF(BL2=2009,"TWO THOUSAND NINE",IF(BL2=2010,"TWO THOUSAND TEN",IF(BL2=2011,"TWO THOUSAND ELEVEN",IF(BL2=2012,"TWO THOUSAND TWELVE",IF(BL2=2013,"TWO THOUSAND THIRTEEN",IF(BL2=2014,"TWO THOUSAND FOURTEEN",IF(BL2=2015,"TWO THOUSAND FIFTEEN",IF(BL2=2016,"TWO THOUSAND SIXTEEN",IF(BL2=2017,"TWO THOUSAND SEVENTEEN",IF(BL2=2018,"TWO THOUSAND EIGHTEEN",IF(BL2=2019,"TWO THOUSAND NINETEEN",IF(BL2=2020,"TWO THOUSAND TWENTY",IF(BL2=2021,"TWO THOUSAND TWENTY ONE",IF(BL2=2022,"TWO THOUSAND TWENTY TWO",IF(BL2=2023,"TWO THOUSAND TWENTY THREE",IF(BL2=2024,"TWO THOUSAND TWENTY FOUR",IF(BL2=2025,"TWO THOUSAND TWENTY FIVE",IF(BL2=2026,"TWO THOUSAND TWENTY SIX",IF(BL2=2027,"TWO THOUSAND TWENTY SEVEN",IF(BL2=2028,"TWO THOUSAND TWENTY EIGHT",IF(BL2=2029,"TWO THOUSAND TWENTY NINE",IF(BL2=2030,"TWO THOUSAND THIRTY",IF(BL2=2031,"TWO THOUSAND THIRTY ONE",IF(BL2=2032,"TWO THOUSAND THIRTY TWO",IF(BL2=2033,"TWO THOUSAND THIRTY THREE",IF(BL2=2034,"TWO THOUSAND THIRTY FOUR",IF(BL2=2035,"TWO THOUSAND THIRTY FIVE",IF(BL2=2036,"TWO THOUSAND THIRTY SIX",IF(BL2=2037,"TWO THOUSAND THIRTY SEVEN",IF(BL2=2038,"TWO THOUSAND THIRTY EIGHT",IF(BL2=2039,"TWO THOUSAND THIRTY NINE",IF(BL2=2040,"TWO THOUSAND FORTY",IF(BL2=2041,"TWO THOUSAND FORTY ONE",IF(BL2=2042,"TWO THOUSAND FORTY TWO",IF(BL2=2043,"TWO THOUSAND FORTY THREE",IF(BL2=2044,"TWO THOUSAND FORTY FOUR",IF(BL2=2045,"TWO THOUSAND FORTY FIVE",IF(BL2=2046,"TWO THOUSAND FORTY SIX",IF(BL2=2047,"TWO THOUSAND FORTY SEVEN",IF(BL2=2048,"TWO THOUSAND FORTY EIGHT",IF(BL2=2049,"TWO THOUSAND FORTY NINE",IF(BL2=2050,"TWO THOUSAND FIFTY")))))))))))))))))))))))))))))))))))))))))))))))))))</f>
        <v>TWO THOUSAND EIGHTEEN</v>
      </c>
      <c r="BN2" s="947" t="str">
        <f>BI2&amp;" "&amp;BK2&amp;" "&amp;BM2</f>
        <v>TWENTY NINTH OCTOBER TWO THOUSAND EIGHTEEN</v>
      </c>
      <c r="BO2" s="816" t="b">
        <f>IF(O2="SC","SC",IF(O2="ST","ST",IF(O2="OBC","OBC",IF(O2="PH","PH",IF(Q2="Muslim","MIN",IF(Q2="Sikh","MIN",IF(Q2="Christian","MIN",IF(Q2="Jain","MIN",IF(Q2="Parsi","MIN",IF(Q2="Hindu","GEN"))))))))))</f>
        <v>0</v>
      </c>
      <c r="BP2" s="816" t="str">
        <f>IF(P2="Female","F",IF(P2="Transgender","T",IF(P2="Male","M","")))</f>
        <v/>
      </c>
    </row>
    <row r="3" ht="21.95" customHeight="1" spans="1:68">
      <c r="A3" s="948">
        <v>2</v>
      </c>
      <c r="B3" s="949" t="str">
        <f>B2</f>
        <v>III-A</v>
      </c>
      <c r="C3" s="950"/>
      <c r="D3" s="951">
        <v>20220354217</v>
      </c>
      <c r="E3" s="952" t="s">
        <v>145</v>
      </c>
      <c r="F3" s="951">
        <v>14733</v>
      </c>
      <c r="G3" s="953" t="s">
        <v>146</v>
      </c>
      <c r="H3" s="953" t="s">
        <v>147</v>
      </c>
      <c r="I3" s="953" t="s">
        <v>148</v>
      </c>
      <c r="J3" s="953"/>
      <c r="K3" s="953"/>
      <c r="L3" s="953"/>
      <c r="M3" s="953"/>
      <c r="N3" s="953"/>
      <c r="O3" s="954"/>
      <c r="P3" s="954"/>
      <c r="Q3" s="954"/>
      <c r="R3" s="953"/>
      <c r="S3" s="953"/>
      <c r="T3" s="953">
        <v>9891823845</v>
      </c>
      <c r="U3" s="953"/>
      <c r="V3" s="953" t="s">
        <v>149</v>
      </c>
      <c r="W3" s="955"/>
      <c r="X3" s="955"/>
      <c r="Y3" s="942"/>
      <c r="Z3" s="942"/>
      <c r="AA3" s="942"/>
      <c r="AB3" s="942"/>
      <c r="AC3" s="942"/>
      <c r="AD3" s="942"/>
      <c r="AE3" s="942"/>
      <c r="AF3" s="942"/>
      <c r="AG3" s="942"/>
      <c r="AH3" s="942"/>
      <c r="AI3" s="942"/>
      <c r="AJ3" s="942"/>
      <c r="AK3" s="942"/>
      <c r="AL3" s="942"/>
      <c r="AM3" s="942"/>
      <c r="AN3" s="942"/>
      <c r="AO3" s="942"/>
      <c r="AP3" s="942"/>
      <c r="AQ3" s="942"/>
      <c r="AR3" s="942"/>
      <c r="AS3" s="942"/>
      <c r="AT3" s="942"/>
      <c r="AU3" s="942"/>
      <c r="AV3" s="942"/>
      <c r="AW3" s="942"/>
      <c r="AX3" s="942"/>
      <c r="AY3" s="942"/>
      <c r="AZ3" s="942"/>
      <c r="BA3" s="942"/>
      <c r="BB3" s="943" t="str">
        <f t="shared" ref="BB3:BB66" si="1">G3</f>
        <v>Jun 26 2018</v>
      </c>
      <c r="BC3" s="944" t="str">
        <f t="shared" ref="BC3:BC66" si="2">LEFT(BB3,(3))</f>
        <v>Jun</v>
      </c>
      <c r="BD3" s="944" t="str">
        <f t="shared" si="0"/>
        <v>26</v>
      </c>
      <c r="BE3" s="944" t="str">
        <f t="shared" ref="BE3:BE66" si="3">RIGHT(BB3,(4))</f>
        <v>2018</v>
      </c>
      <c r="BF3" s="944" t="e">
        <f t="shared" ref="BF3:BF66" si="4">MONTH(DATEVALUE(BC3&amp;1))</f>
        <v>#VALUE!</v>
      </c>
      <c r="BG3" s="945" t="e">
        <f t="shared" ref="BG3:BG66" si="5">DATE(BE3,BF3,BD3)</f>
        <v>#VALUE!</v>
      </c>
      <c r="BH3" s="946">
        <f t="shared" ref="BH3:BH66" si="6">VALUE(BD3)</f>
        <v>26</v>
      </c>
      <c r="BI3" s="947" t="str">
        <f t="shared" ref="BI3:BI66" si="7">IF(BH3=1,"FIRST",IF(BH3=2,"SECOND",IF(BH3=3,"THIRD",IF(BH3=4,"FOURTH",IF(BH3=5,"FIFTH",IF(BH3=6,"SIXTH",IF(BH3=7,"SEVENTH",IF(BH3=8,"EIGHTH",IF(BH3=9,"NINTH",IF(BH3=10,"TENTH",IF(BH3=11,"ELEVENTH",IF(BH3=12,"TWELFTH",IF(BH3=13,"THIRTEENTH",IF(BH3=14,"FOURTEENTH",IF(BH3=15,"FIFTEENTH",IF(BH3=16,"SIXTEENTH",IF(BH3=17,"SEVENTEENTH",IF(BH3=18,"EIGHTEENTH",IF(BH3=19,"NINETEENTH",IF(BH3=20,"TWENTIETH",IF(BH3=21,"TWENTY FIRST",IF(BH3=22,"TWENTY SECOND",IF(BH3=23,"TWENTY THIRD",IF(BH3=24,"TWENTY FOURTH",IF(BH3=25,"TWENTY FIFTH",IF(BH3=26,"TWENTY SIXTH",IF(BH3=27,"TWENTY SEVENTH",IF(BH3=28,"TWENTY EIGHTH",IF(BH3=29,"TWENTY NINTH",IF(BH3=30,"THIRTIETH",IF(BH3=31,"THIRTY FIRST","")))))))))))))))))))))))))))))))</f>
        <v>TWENTY SIXTH</v>
      </c>
      <c r="BJ3" s="943" t="str">
        <f t="shared" ref="BJ3:BJ66" si="8">BC3</f>
        <v>Jun</v>
      </c>
      <c r="BK3" s="947" t="str">
        <f t="shared" ref="BK3:BK66" si="9">IF(BJ3="Jan","JANUARY",IF(BJ3="Feb","FEBRUARY",IF(BJ3="Mar","MARCH",IF(BJ3="Apr","APRIL",IF(BJ3="May","MAY",IF(BJ3="Jun","JUNE",IF(BJ3="Jul","JULY",IF(BJ3="Aug","AUGUST",IF(BJ3="Sep","SEPTEMBER",IF(BJ3="Oct","OCTOBER",IF(BJ3="Nov","NOVEMBER",IF(BJ3="Dec","DECEMBER"))))))))))))</f>
        <v>JUNE</v>
      </c>
      <c r="BL3" s="943">
        <f t="shared" ref="BL3:BL66" si="10">VALUE(BE3)</f>
        <v>2018</v>
      </c>
      <c r="BM3" s="947" t="str">
        <f t="shared" ref="BM3:BM66" si="11">IF(BL3=2000,"TWO THOUSAND",IF(BL3=2001,"TWO THOUSAND ONE",IF(BL3=2002,"TWO THOUSAND TWO",IF(BL3=2003,"TWO THOUSAND THREE",IF(BL3=2004,"TWO THOUSAND FOUR",IF(BL3=2005,"TWO THOUSAND FIVE",IF(BL3=2006,"TWO THOUSAND SIX",IF(BL3=2007,"TWO THOUSAND SEVEN",IF(BL3=2008,"TWO THOUSAND EIGHT",IF(BL3=2009,"TWO THOUSAND NINE",IF(BL3=2010,"TWO THOUSAND TEN",IF(BL3=2011,"TWO THOUSAND ELEVEN",IF(BL3=2012,"TWO THOUSAND TWELVE",IF(BL3=2013,"TWO THOUSAND THIRTEEN",IF(BL3=2014,"TWO THOUSAND FOURTEEN",IF(BL3=2015,"TWO THOUSAND FIFTEEN",IF(BL3=2016,"TWO THOUSAND SIXTEEN",IF(BL3=2017,"TWO THOUSAND SEVENTEEN",IF(BL3=2018,"TWO THOUSAND EIGHTEEN",IF(BL3=2019,"TWO THOUSAND NINETEEN",IF(BL3=2020,"TWO THOUSAND TWENTY",IF(BL3=2021,"TWO THOUSAND TWENTY ONE",IF(BL3=2022,"TWO THOUSAND TWENTY TWO",IF(BL3=2023,"TWO THOUSAND TWENTY THREE",IF(BL3=2024,"TWO THOUSAND TWENTY FOUR",IF(BL3=2025,"TWO THOUSAND TWENTY FIVE",IF(BL3=2026,"TWO THOUSAND TWENTY SIX",IF(BL3=2027,"TWO THOUSAND TWENTY SEVEN",IF(BL3=2028,"TWO THOUSAND TWENTY EIGHT",IF(BL3=2029,"TWO THOUSAND TWENTY NINE",IF(BL3=2030,"TWO THOUSAND THIRTY",IF(BL3=2031,"TWO THOUSAND THIRTY ONE",IF(BL3=2032,"TWO THOUSAND THIRTY TWO",IF(BL3=2033,"TWO THOUSAND THIRTY THREE",IF(BL3=2034,"TWO THOUSAND THIRTY FOUR",IF(BL3=2035,"TWO THOUSAND THIRTY FIVE",IF(BL3=2036,"TWO THOUSAND THIRTY SIX",IF(BL3=2037,"TWO THOUSAND THIRTY SEVEN",IF(BL3=2038,"TWO THOUSAND THIRTY EIGHT",IF(BL3=2039,"TWO THOUSAND THIRTY NINE",IF(BL3=2040,"TWO THOUSAND FORTY",IF(BL3=2041,"TWO THOUSAND FORTY ONE",IF(BL3=2042,"TWO THOUSAND FORTY TWO",IF(BL3=2043,"TWO THOUSAND FORTY THREE",IF(BL3=2044,"TWO THOUSAND FORTY FOUR",IF(BL3=2045,"TWO THOUSAND FORTY FIVE",IF(BL3=2046,"TWO THOUSAND FORTY SIX",IF(BL3=2047,"TWO THOUSAND FORTY SEVEN",IF(BL3=2048,"TWO THOUSAND FORTY EIGHT",IF(BL3=2049,"TWO THOUSAND FORTY NINE",IF(BL3=2050,"TWO THOUSAND FIFTY")))))))))))))))))))))))))))))))))))))))))))))))))))</f>
        <v>TWO THOUSAND EIGHTEEN</v>
      </c>
      <c r="BN3" s="947" t="str">
        <f t="shared" ref="BN3:BN66" si="12">BI3&amp;" "&amp;BK3&amp;" "&amp;BM3</f>
        <v>TWENTY SIXTH JUNE TWO THOUSAND EIGHTEEN</v>
      </c>
      <c r="BO3" s="816" t="b">
        <f t="shared" ref="BO3:BO66" si="13">IF(O3="SC","SC",IF(O3="ST","ST",IF(O3="OBC","OBC",IF(O3="PH","PH",IF(Q3="Muslim","MIN",IF(Q3="Sikh","MIN",IF(Q3="Christian","MIN",IF(Q3="Jain","MIN",IF(Q3="Parsi","MIN",IF(Q3="Hindu","GEN"))))))))))</f>
        <v>0</v>
      </c>
      <c r="BP3" s="816" t="str">
        <f t="shared" ref="BP3:BP66" si="14">IF(P3="Female","F",IF(P3="Transgender","T",IF(P3="Male","M","")))</f>
        <v/>
      </c>
    </row>
    <row r="4" ht="21.95" customHeight="1" spans="1:68">
      <c r="A4" s="934">
        <v>3</v>
      </c>
      <c r="B4" s="935" t="str">
        <f>B3</f>
        <v>III-A</v>
      </c>
      <c r="C4" s="936"/>
      <c r="D4" s="937">
        <v>20220402586</v>
      </c>
      <c r="E4" s="938" t="s">
        <v>150</v>
      </c>
      <c r="F4" s="937">
        <v>14757</v>
      </c>
      <c r="G4" s="939" t="s">
        <v>151</v>
      </c>
      <c r="H4" s="939" t="s">
        <v>152</v>
      </c>
      <c r="I4" s="939" t="s">
        <v>153</v>
      </c>
      <c r="J4" s="939"/>
      <c r="K4" s="939"/>
      <c r="L4" s="939"/>
      <c r="M4" s="939"/>
      <c r="N4" s="939"/>
      <c r="O4" s="940"/>
      <c r="P4" s="940"/>
      <c r="Q4" s="940"/>
      <c r="R4" s="939"/>
      <c r="S4" s="939"/>
      <c r="T4" s="939">
        <v>9650613386</v>
      </c>
      <c r="U4" s="939"/>
      <c r="V4" s="939" t="s">
        <v>154</v>
      </c>
      <c r="W4" s="941"/>
      <c r="X4" s="941"/>
      <c r="Y4" s="942"/>
      <c r="Z4" s="942"/>
      <c r="AA4" s="942"/>
      <c r="AB4" s="942"/>
      <c r="AC4" s="942"/>
      <c r="AD4" s="942"/>
      <c r="AE4" s="942"/>
      <c r="AF4" s="942"/>
      <c r="AG4" s="942"/>
      <c r="AH4" s="942"/>
      <c r="AI4" s="942"/>
      <c r="AJ4" s="942"/>
      <c r="AK4" s="942"/>
      <c r="AL4" s="942"/>
      <c r="AM4" s="942"/>
      <c r="AN4" s="942"/>
      <c r="AO4" s="942"/>
      <c r="AP4" s="942"/>
      <c r="AQ4" s="942"/>
      <c r="AR4" s="942"/>
      <c r="AS4" s="942"/>
      <c r="AT4" s="942"/>
      <c r="AU4" s="942"/>
      <c r="AV4" s="942"/>
      <c r="AW4" s="942"/>
      <c r="AX4" s="942"/>
      <c r="AY4" s="942"/>
      <c r="AZ4" s="942"/>
      <c r="BA4" s="942"/>
      <c r="BB4" s="943" t="str">
        <f t="shared" si="1"/>
        <v>Jul 22 2018</v>
      </c>
      <c r="BC4" s="944" t="str">
        <f t="shared" si="2"/>
        <v>Jul</v>
      </c>
      <c r="BD4" s="944" t="str">
        <f t="shared" si="0"/>
        <v>22</v>
      </c>
      <c r="BE4" s="944" t="str">
        <f t="shared" si="3"/>
        <v>2018</v>
      </c>
      <c r="BF4" s="944" t="e">
        <f t="shared" si="4"/>
        <v>#VALUE!</v>
      </c>
      <c r="BG4" s="945" t="e">
        <f t="shared" si="5"/>
        <v>#VALUE!</v>
      </c>
      <c r="BH4" s="946">
        <f t="shared" si="6"/>
        <v>22</v>
      </c>
      <c r="BI4" s="947" t="str">
        <f t="shared" si="7"/>
        <v>TWENTY SECOND</v>
      </c>
      <c r="BJ4" s="943" t="str">
        <f t="shared" si="8"/>
        <v>Jul</v>
      </c>
      <c r="BK4" s="947" t="str">
        <f t="shared" si="9"/>
        <v>JULY</v>
      </c>
      <c r="BL4" s="943">
        <f t="shared" si="10"/>
        <v>2018</v>
      </c>
      <c r="BM4" s="947" t="str">
        <f t="shared" si="11"/>
        <v>TWO THOUSAND EIGHTEEN</v>
      </c>
      <c r="BN4" s="947" t="str">
        <f t="shared" si="12"/>
        <v>TWENTY SECOND JULY TWO THOUSAND EIGHTEEN</v>
      </c>
      <c r="BO4" s="816" t="b">
        <f t="shared" si="13"/>
        <v>0</v>
      </c>
      <c r="BP4" s="816" t="str">
        <f t="shared" si="14"/>
        <v/>
      </c>
    </row>
    <row r="5" ht="21.95" customHeight="1" spans="1:68">
      <c r="A5" s="948">
        <v>4</v>
      </c>
      <c r="B5" s="949" t="str">
        <f t="shared" ref="B5:B68" si="15">B4</f>
        <v>III-A</v>
      </c>
      <c r="C5" s="950"/>
      <c r="D5" s="951">
        <v>20220448164</v>
      </c>
      <c r="E5" s="952" t="s">
        <v>155</v>
      </c>
      <c r="F5" s="951">
        <v>14778</v>
      </c>
      <c r="G5" s="953" t="s">
        <v>156</v>
      </c>
      <c r="H5" s="953" t="s">
        <v>157</v>
      </c>
      <c r="I5" s="953" t="s">
        <v>158</v>
      </c>
      <c r="J5" s="953"/>
      <c r="K5" s="953"/>
      <c r="L5" s="953"/>
      <c r="M5" s="953"/>
      <c r="N5" s="953"/>
      <c r="O5" s="954"/>
      <c r="P5" s="954"/>
      <c r="Q5" s="954"/>
      <c r="R5" s="953"/>
      <c r="S5" s="953"/>
      <c r="T5" s="953">
        <v>7053065864</v>
      </c>
      <c r="U5" s="953"/>
      <c r="V5" s="953" t="s">
        <v>159</v>
      </c>
      <c r="W5" s="955"/>
      <c r="X5" s="955"/>
      <c r="Y5" s="942"/>
      <c r="Z5" s="942"/>
      <c r="AA5" s="942"/>
      <c r="AB5" s="942"/>
      <c r="AC5" s="942"/>
      <c r="AD5" s="942"/>
      <c r="AE5" s="942"/>
      <c r="AF5" s="942"/>
      <c r="AG5" s="942"/>
      <c r="AH5" s="942"/>
      <c r="AI5" s="942"/>
      <c r="AJ5" s="942"/>
      <c r="AK5" s="942"/>
      <c r="AL5" s="942"/>
      <c r="AM5" s="942"/>
      <c r="AN5" s="942"/>
      <c r="AO5" s="942"/>
      <c r="AP5" s="942"/>
      <c r="AQ5" s="942"/>
      <c r="AR5" s="942"/>
      <c r="AS5" s="942"/>
      <c r="AT5" s="942"/>
      <c r="AU5" s="942"/>
      <c r="AV5" s="942"/>
      <c r="AW5" s="942"/>
      <c r="AX5" s="942"/>
      <c r="AY5" s="942"/>
      <c r="AZ5" s="942"/>
      <c r="BA5" s="942"/>
      <c r="BB5" s="943" t="str">
        <f t="shared" si="1"/>
        <v>Jun 3 2018</v>
      </c>
      <c r="BC5" s="944" t="str">
        <f t="shared" si="2"/>
        <v>Jun</v>
      </c>
      <c r="BD5" s="944" t="str">
        <f t="shared" si="0"/>
        <v>3 </v>
      </c>
      <c r="BE5" s="944" t="str">
        <f t="shared" si="3"/>
        <v>2018</v>
      </c>
      <c r="BF5" s="944" t="e">
        <f t="shared" si="4"/>
        <v>#VALUE!</v>
      </c>
      <c r="BG5" s="945" t="e">
        <f t="shared" si="5"/>
        <v>#VALUE!</v>
      </c>
      <c r="BH5" s="946">
        <f t="shared" si="6"/>
        <v>3</v>
      </c>
      <c r="BI5" s="947" t="str">
        <f t="shared" si="7"/>
        <v>THIRD</v>
      </c>
      <c r="BJ5" s="943" t="str">
        <f t="shared" si="8"/>
        <v>Jun</v>
      </c>
      <c r="BK5" s="947" t="str">
        <f t="shared" si="9"/>
        <v>JUNE</v>
      </c>
      <c r="BL5" s="943">
        <f t="shared" si="10"/>
        <v>2018</v>
      </c>
      <c r="BM5" s="947" t="str">
        <f t="shared" si="11"/>
        <v>TWO THOUSAND EIGHTEEN</v>
      </c>
      <c r="BN5" s="947" t="str">
        <f t="shared" si="12"/>
        <v>THIRD JUNE TWO THOUSAND EIGHTEEN</v>
      </c>
      <c r="BO5" s="816" t="b">
        <f t="shared" si="13"/>
        <v>0</v>
      </c>
      <c r="BP5" s="816" t="str">
        <f t="shared" si="14"/>
        <v/>
      </c>
    </row>
    <row r="6" ht="21.95" customHeight="1" spans="1:68">
      <c r="A6" s="934">
        <v>5</v>
      </c>
      <c r="B6" s="935" t="str">
        <f t="shared" si="15"/>
        <v>III-A</v>
      </c>
      <c r="C6" s="936"/>
      <c r="D6" s="937">
        <v>20220482313</v>
      </c>
      <c r="E6" s="938" t="s">
        <v>160</v>
      </c>
      <c r="F6" s="937">
        <v>14785</v>
      </c>
      <c r="G6" s="939" t="s">
        <v>161</v>
      </c>
      <c r="H6" s="939" t="s">
        <v>162</v>
      </c>
      <c r="I6" s="939" t="s">
        <v>163</v>
      </c>
      <c r="J6" s="939"/>
      <c r="K6" s="939"/>
      <c r="L6" s="939"/>
      <c r="M6" s="939"/>
      <c r="N6" s="939"/>
      <c r="O6" s="940"/>
      <c r="P6" s="940"/>
      <c r="Q6" s="940"/>
      <c r="R6" s="939"/>
      <c r="S6" s="939"/>
      <c r="T6" s="939">
        <v>7065572520</v>
      </c>
      <c r="U6" s="939"/>
      <c r="V6" s="939" t="s">
        <v>164</v>
      </c>
      <c r="W6" s="941"/>
      <c r="X6" s="941"/>
      <c r="Y6" s="942"/>
      <c r="Z6" s="942"/>
      <c r="AA6" s="942"/>
      <c r="AB6" s="942"/>
      <c r="AC6" s="942"/>
      <c r="AD6" s="942"/>
      <c r="AE6" s="942"/>
      <c r="AF6" s="942"/>
      <c r="AG6" s="942"/>
      <c r="AH6" s="942"/>
      <c r="AI6" s="942"/>
      <c r="AJ6" s="942"/>
      <c r="AK6" s="942"/>
      <c r="AL6" s="942"/>
      <c r="AM6" s="942"/>
      <c r="AN6" s="942"/>
      <c r="AO6" s="942"/>
      <c r="AP6" s="942"/>
      <c r="AQ6" s="942"/>
      <c r="AR6" s="942"/>
      <c r="AS6" s="942"/>
      <c r="AT6" s="942"/>
      <c r="AU6" s="942"/>
      <c r="AV6" s="942"/>
      <c r="AW6" s="942"/>
      <c r="AX6" s="942"/>
      <c r="AY6" s="942"/>
      <c r="AZ6" s="942"/>
      <c r="BA6" s="942"/>
      <c r="BB6" s="943" t="str">
        <f t="shared" si="1"/>
        <v>Aug 16 2018</v>
      </c>
      <c r="BC6" s="944" t="str">
        <f t="shared" si="2"/>
        <v>Aug</v>
      </c>
      <c r="BD6" s="944" t="str">
        <f t="shared" si="0"/>
        <v>16</v>
      </c>
      <c r="BE6" s="944" t="str">
        <f t="shared" si="3"/>
        <v>2018</v>
      </c>
      <c r="BF6" s="944" t="e">
        <f t="shared" si="4"/>
        <v>#VALUE!</v>
      </c>
      <c r="BG6" s="945" t="e">
        <f t="shared" si="5"/>
        <v>#VALUE!</v>
      </c>
      <c r="BH6" s="946">
        <f t="shared" si="6"/>
        <v>16</v>
      </c>
      <c r="BI6" s="947" t="str">
        <f t="shared" si="7"/>
        <v>SIXTEENTH</v>
      </c>
      <c r="BJ6" s="943" t="str">
        <f t="shared" si="8"/>
        <v>Aug</v>
      </c>
      <c r="BK6" s="947" t="str">
        <f t="shared" si="9"/>
        <v>AUGUST</v>
      </c>
      <c r="BL6" s="943">
        <f t="shared" si="10"/>
        <v>2018</v>
      </c>
      <c r="BM6" s="947" t="str">
        <f t="shared" si="11"/>
        <v>TWO THOUSAND EIGHTEEN</v>
      </c>
      <c r="BN6" s="947" t="str">
        <f t="shared" si="12"/>
        <v>SIXTEENTH AUGUST TWO THOUSAND EIGHTEEN</v>
      </c>
      <c r="BO6" s="816" t="b">
        <f t="shared" si="13"/>
        <v>0</v>
      </c>
      <c r="BP6" s="816" t="str">
        <f t="shared" si="14"/>
        <v/>
      </c>
    </row>
    <row r="7" ht="21.95" customHeight="1" spans="1:68">
      <c r="A7" s="948">
        <v>6</v>
      </c>
      <c r="B7" s="949" t="str">
        <f t="shared" si="15"/>
        <v>III-A</v>
      </c>
      <c r="C7" s="950"/>
      <c r="D7" s="951">
        <v>20230048303</v>
      </c>
      <c r="E7" s="952" t="s">
        <v>165</v>
      </c>
      <c r="F7" s="951">
        <v>14780</v>
      </c>
      <c r="G7" s="953" t="s">
        <v>166</v>
      </c>
      <c r="H7" s="953" t="s">
        <v>167</v>
      </c>
      <c r="I7" s="953" t="s">
        <v>168</v>
      </c>
      <c r="J7" s="939"/>
      <c r="K7" s="939"/>
      <c r="L7" s="939"/>
      <c r="M7" s="939"/>
      <c r="N7" s="939"/>
      <c r="O7" s="940"/>
      <c r="P7" s="940"/>
      <c r="Q7" s="940"/>
      <c r="R7" s="939"/>
      <c r="S7" s="939"/>
      <c r="T7" s="953">
        <v>9934652072</v>
      </c>
      <c r="U7" s="953"/>
      <c r="V7" s="953" t="s">
        <v>169</v>
      </c>
      <c r="W7" s="955"/>
      <c r="X7" s="955"/>
      <c r="Y7" s="942"/>
      <c r="Z7" s="942"/>
      <c r="AA7" s="942"/>
      <c r="AB7" s="942"/>
      <c r="AC7" s="942"/>
      <c r="AD7" s="942"/>
      <c r="AE7" s="942"/>
      <c r="AF7" s="942"/>
      <c r="AG7" s="942"/>
      <c r="AH7" s="942"/>
      <c r="AI7" s="942"/>
      <c r="AJ7" s="942"/>
      <c r="AK7" s="942"/>
      <c r="AL7" s="942"/>
      <c r="AM7" s="942"/>
      <c r="AN7" s="942"/>
      <c r="AO7" s="942"/>
      <c r="AP7" s="942"/>
      <c r="AQ7" s="942"/>
      <c r="AR7" s="942"/>
      <c r="AS7" s="942"/>
      <c r="AT7" s="942"/>
      <c r="AU7" s="942"/>
      <c r="AV7" s="942"/>
      <c r="AW7" s="942"/>
      <c r="AX7" s="942"/>
      <c r="AY7" s="942"/>
      <c r="AZ7" s="942"/>
      <c r="BA7" s="942"/>
      <c r="BB7" s="943" t="str">
        <f t="shared" si="1"/>
        <v>Jun 23 2018</v>
      </c>
      <c r="BC7" s="944" t="str">
        <f t="shared" si="2"/>
        <v>Jun</v>
      </c>
      <c r="BD7" s="944" t="str">
        <f t="shared" si="0"/>
        <v>23</v>
      </c>
      <c r="BE7" s="944" t="str">
        <f t="shared" si="3"/>
        <v>2018</v>
      </c>
      <c r="BF7" s="944" t="e">
        <f t="shared" si="4"/>
        <v>#VALUE!</v>
      </c>
      <c r="BG7" s="945" t="e">
        <f t="shared" si="5"/>
        <v>#VALUE!</v>
      </c>
      <c r="BH7" s="946">
        <f t="shared" si="6"/>
        <v>23</v>
      </c>
      <c r="BI7" s="947" t="str">
        <f t="shared" si="7"/>
        <v>TWENTY THIRD</v>
      </c>
      <c r="BJ7" s="943" t="str">
        <f t="shared" si="8"/>
        <v>Jun</v>
      </c>
      <c r="BK7" s="947" t="str">
        <f t="shared" si="9"/>
        <v>JUNE</v>
      </c>
      <c r="BL7" s="943">
        <f t="shared" si="10"/>
        <v>2018</v>
      </c>
      <c r="BM7" s="947" t="str">
        <f t="shared" si="11"/>
        <v>TWO THOUSAND EIGHTEEN</v>
      </c>
      <c r="BN7" s="947" t="str">
        <f t="shared" si="12"/>
        <v>TWENTY THIRD JUNE TWO THOUSAND EIGHTEEN</v>
      </c>
      <c r="BO7" s="816" t="b">
        <f t="shared" si="13"/>
        <v>0</v>
      </c>
      <c r="BP7" s="816" t="str">
        <f t="shared" si="14"/>
        <v/>
      </c>
    </row>
    <row r="8" ht="21.95" customHeight="1" spans="1:68">
      <c r="A8" s="934">
        <v>7</v>
      </c>
      <c r="B8" s="935" t="str">
        <f t="shared" si="15"/>
        <v>III-A</v>
      </c>
      <c r="C8" s="936"/>
      <c r="D8" s="937">
        <v>20230083520</v>
      </c>
      <c r="E8" s="938" t="s">
        <v>170</v>
      </c>
      <c r="F8" s="937">
        <v>14773</v>
      </c>
      <c r="G8" s="939" t="s">
        <v>171</v>
      </c>
      <c r="H8" s="939" t="s">
        <v>172</v>
      </c>
      <c r="I8" s="939" t="s">
        <v>173</v>
      </c>
      <c r="J8" s="953"/>
      <c r="K8" s="953"/>
      <c r="L8" s="953"/>
      <c r="M8" s="953"/>
      <c r="N8" s="953"/>
      <c r="O8" s="954"/>
      <c r="P8" s="954"/>
      <c r="Q8" s="954"/>
      <c r="R8" s="953"/>
      <c r="S8" s="953"/>
      <c r="T8" s="939">
        <v>8285037309</v>
      </c>
      <c r="U8" s="939"/>
      <c r="V8" s="939" t="s">
        <v>174</v>
      </c>
      <c r="W8" s="941"/>
      <c r="X8" s="941"/>
      <c r="Y8" s="942"/>
      <c r="Z8" s="942"/>
      <c r="AA8" s="942"/>
      <c r="AB8" s="942"/>
      <c r="AC8" s="942"/>
      <c r="AD8" s="942"/>
      <c r="AE8" s="942"/>
      <c r="AF8" s="942"/>
      <c r="AG8" s="942"/>
      <c r="AH8" s="942"/>
      <c r="AI8" s="942"/>
      <c r="AJ8" s="942"/>
      <c r="AK8" s="942"/>
      <c r="AL8" s="942"/>
      <c r="AM8" s="942"/>
      <c r="AN8" s="942"/>
      <c r="AO8" s="942"/>
      <c r="AP8" s="942"/>
      <c r="AQ8" s="942"/>
      <c r="AR8" s="942"/>
      <c r="AS8" s="942"/>
      <c r="AT8" s="942"/>
      <c r="AU8" s="942"/>
      <c r="AV8" s="942"/>
      <c r="AW8" s="942"/>
      <c r="AX8" s="942"/>
      <c r="AY8" s="942"/>
      <c r="AZ8" s="942"/>
      <c r="BA8" s="942"/>
      <c r="BB8" s="943" t="str">
        <f t="shared" si="1"/>
        <v>Jan 31 2019</v>
      </c>
      <c r="BC8" s="944" t="str">
        <f t="shared" si="2"/>
        <v>Jan</v>
      </c>
      <c r="BD8" s="944" t="str">
        <f t="shared" si="0"/>
        <v>31</v>
      </c>
      <c r="BE8" s="944" t="str">
        <f t="shared" si="3"/>
        <v>2019</v>
      </c>
      <c r="BF8" s="944" t="e">
        <f t="shared" si="4"/>
        <v>#VALUE!</v>
      </c>
      <c r="BG8" s="945" t="e">
        <f t="shared" si="5"/>
        <v>#VALUE!</v>
      </c>
      <c r="BH8" s="946">
        <f t="shared" si="6"/>
        <v>31</v>
      </c>
      <c r="BI8" s="947" t="str">
        <f t="shared" si="7"/>
        <v>THIRTY FIRST</v>
      </c>
      <c r="BJ8" s="943" t="str">
        <f t="shared" si="8"/>
        <v>Jan</v>
      </c>
      <c r="BK8" s="947" t="str">
        <f t="shared" si="9"/>
        <v>JANUARY</v>
      </c>
      <c r="BL8" s="943">
        <f t="shared" si="10"/>
        <v>2019</v>
      </c>
      <c r="BM8" s="947" t="str">
        <f t="shared" si="11"/>
        <v>TWO THOUSAND NINETEEN</v>
      </c>
      <c r="BN8" s="947" t="str">
        <f t="shared" si="12"/>
        <v>THIRTY FIRST JANUARY TWO THOUSAND NINETEEN</v>
      </c>
      <c r="BO8" s="816" t="b">
        <f t="shared" si="13"/>
        <v>0</v>
      </c>
      <c r="BP8" s="816" t="str">
        <f t="shared" si="14"/>
        <v/>
      </c>
    </row>
    <row r="9" ht="21.95" customHeight="1" spans="1:68">
      <c r="A9" s="948">
        <v>8</v>
      </c>
      <c r="B9" s="949" t="str">
        <f t="shared" si="15"/>
        <v>III-A</v>
      </c>
      <c r="C9" s="950"/>
      <c r="D9" s="951">
        <v>20230095636</v>
      </c>
      <c r="E9" s="952" t="s">
        <v>175</v>
      </c>
      <c r="F9" s="951">
        <v>14769</v>
      </c>
      <c r="G9" s="953" t="s">
        <v>176</v>
      </c>
      <c r="H9" s="953" t="s">
        <v>177</v>
      </c>
      <c r="I9" s="953" t="s">
        <v>178</v>
      </c>
      <c r="J9" s="939"/>
      <c r="K9" s="939"/>
      <c r="L9" s="939"/>
      <c r="M9" s="939"/>
      <c r="N9" s="939"/>
      <c r="O9" s="940"/>
      <c r="P9" s="940"/>
      <c r="Q9" s="940"/>
      <c r="R9" s="939"/>
      <c r="S9" s="939"/>
      <c r="T9" s="953">
        <v>8743977680</v>
      </c>
      <c r="U9" s="953"/>
      <c r="V9" s="953" t="s">
        <v>179</v>
      </c>
      <c r="W9" s="955"/>
      <c r="X9" s="955"/>
      <c r="Y9" s="942"/>
      <c r="Z9" s="942"/>
      <c r="AA9" s="942"/>
      <c r="AB9" s="942"/>
      <c r="AC9" s="942"/>
      <c r="AD9" s="942"/>
      <c r="AE9" s="942"/>
      <c r="AF9" s="942"/>
      <c r="AG9" s="942"/>
      <c r="AH9" s="942"/>
      <c r="AI9" s="942"/>
      <c r="AJ9" s="942"/>
      <c r="AK9" s="942"/>
      <c r="AL9" s="942"/>
      <c r="AM9" s="942"/>
      <c r="AN9" s="942"/>
      <c r="AO9" s="942"/>
      <c r="AP9" s="942"/>
      <c r="AQ9" s="942"/>
      <c r="AR9" s="942"/>
      <c r="AS9" s="942"/>
      <c r="AT9" s="942"/>
      <c r="AU9" s="942"/>
      <c r="AV9" s="942"/>
      <c r="AW9" s="942"/>
      <c r="AX9" s="942"/>
      <c r="AY9" s="942"/>
      <c r="AZ9" s="942"/>
      <c r="BA9" s="942"/>
      <c r="BB9" s="943" t="str">
        <f t="shared" si="1"/>
        <v>Jul 26 2018</v>
      </c>
      <c r="BC9" s="944" t="str">
        <f t="shared" si="2"/>
        <v>Jul</v>
      </c>
      <c r="BD9" s="944" t="str">
        <f t="shared" si="0"/>
        <v>26</v>
      </c>
      <c r="BE9" s="944" t="str">
        <f t="shared" si="3"/>
        <v>2018</v>
      </c>
      <c r="BF9" s="944" t="e">
        <f t="shared" si="4"/>
        <v>#VALUE!</v>
      </c>
      <c r="BG9" s="945" t="e">
        <f t="shared" si="5"/>
        <v>#VALUE!</v>
      </c>
      <c r="BH9" s="946">
        <f t="shared" si="6"/>
        <v>26</v>
      </c>
      <c r="BI9" s="947" t="str">
        <f t="shared" si="7"/>
        <v>TWENTY SIXTH</v>
      </c>
      <c r="BJ9" s="943" t="str">
        <f t="shared" si="8"/>
        <v>Jul</v>
      </c>
      <c r="BK9" s="947" t="str">
        <f t="shared" si="9"/>
        <v>JULY</v>
      </c>
      <c r="BL9" s="943">
        <f t="shared" si="10"/>
        <v>2018</v>
      </c>
      <c r="BM9" s="947" t="str">
        <f t="shared" si="11"/>
        <v>TWO THOUSAND EIGHTEEN</v>
      </c>
      <c r="BN9" s="947" t="str">
        <f t="shared" si="12"/>
        <v>TWENTY SIXTH JULY TWO THOUSAND EIGHTEEN</v>
      </c>
      <c r="BO9" s="816" t="b">
        <f t="shared" si="13"/>
        <v>0</v>
      </c>
      <c r="BP9" s="816" t="str">
        <f t="shared" si="14"/>
        <v/>
      </c>
    </row>
    <row r="10" ht="21.95" customHeight="1" spans="1:68">
      <c r="A10" s="934">
        <v>9</v>
      </c>
      <c r="B10" s="935" t="str">
        <f t="shared" si="15"/>
        <v>III-A</v>
      </c>
      <c r="C10" s="936"/>
      <c r="D10" s="937">
        <v>20230130143</v>
      </c>
      <c r="E10" s="938" t="s">
        <v>180</v>
      </c>
      <c r="F10" s="937">
        <v>14754</v>
      </c>
      <c r="G10" s="939" t="s">
        <v>181</v>
      </c>
      <c r="H10" s="939" t="s">
        <v>182</v>
      </c>
      <c r="I10" s="939" t="s">
        <v>183</v>
      </c>
      <c r="J10" s="953"/>
      <c r="K10" s="953"/>
      <c r="L10" s="953"/>
      <c r="M10" s="953"/>
      <c r="N10" s="953"/>
      <c r="O10" s="954"/>
      <c r="P10" s="954"/>
      <c r="Q10" s="954"/>
      <c r="R10" s="953"/>
      <c r="S10" s="953"/>
      <c r="T10" s="939">
        <v>9667639564</v>
      </c>
      <c r="U10" s="939"/>
      <c r="V10" s="939" t="s">
        <v>184</v>
      </c>
      <c r="W10" s="941"/>
      <c r="X10" s="941"/>
      <c r="Y10" s="942"/>
      <c r="Z10" s="942"/>
      <c r="AA10" s="942"/>
      <c r="AB10" s="942"/>
      <c r="AC10" s="942"/>
      <c r="AD10" s="942"/>
      <c r="AE10" s="942"/>
      <c r="AF10" s="942"/>
      <c r="AG10" s="942"/>
      <c r="AH10" s="942"/>
      <c r="AI10" s="942"/>
      <c r="AJ10" s="942"/>
      <c r="AK10" s="942"/>
      <c r="AL10" s="942"/>
      <c r="AM10" s="942"/>
      <c r="AN10" s="942"/>
      <c r="AO10" s="942"/>
      <c r="AP10" s="942"/>
      <c r="AQ10" s="942"/>
      <c r="AR10" s="942"/>
      <c r="AS10" s="942"/>
      <c r="AT10" s="942"/>
      <c r="AU10" s="942"/>
      <c r="AV10" s="942"/>
      <c r="AW10" s="942"/>
      <c r="AX10" s="942"/>
      <c r="AY10" s="942"/>
      <c r="AZ10" s="942"/>
      <c r="BA10" s="942"/>
      <c r="BB10" s="943" t="str">
        <f t="shared" si="1"/>
        <v>Sep 6 2018</v>
      </c>
      <c r="BC10" s="944" t="str">
        <f t="shared" si="2"/>
        <v>Sep</v>
      </c>
      <c r="BD10" s="944" t="str">
        <f t="shared" si="0"/>
        <v>6 </v>
      </c>
      <c r="BE10" s="944" t="str">
        <f t="shared" si="3"/>
        <v>2018</v>
      </c>
      <c r="BF10" s="944" t="e">
        <f t="shared" si="4"/>
        <v>#VALUE!</v>
      </c>
      <c r="BG10" s="945" t="e">
        <f t="shared" si="5"/>
        <v>#VALUE!</v>
      </c>
      <c r="BH10" s="946">
        <f t="shared" si="6"/>
        <v>6</v>
      </c>
      <c r="BI10" s="947" t="str">
        <f t="shared" si="7"/>
        <v>SIXTH</v>
      </c>
      <c r="BJ10" s="943" t="str">
        <f t="shared" si="8"/>
        <v>Sep</v>
      </c>
      <c r="BK10" s="947" t="str">
        <f t="shared" si="9"/>
        <v>SEPTEMBER</v>
      </c>
      <c r="BL10" s="943">
        <f t="shared" si="10"/>
        <v>2018</v>
      </c>
      <c r="BM10" s="947" t="str">
        <f t="shared" si="11"/>
        <v>TWO THOUSAND EIGHTEEN</v>
      </c>
      <c r="BN10" s="947" t="str">
        <f t="shared" si="12"/>
        <v>SIXTH SEPTEMBER TWO THOUSAND EIGHTEEN</v>
      </c>
      <c r="BO10" s="816" t="b">
        <f t="shared" si="13"/>
        <v>0</v>
      </c>
      <c r="BP10" s="816" t="str">
        <f t="shared" si="14"/>
        <v/>
      </c>
    </row>
    <row r="11" ht="21.95" customHeight="1" spans="1:68">
      <c r="A11" s="948">
        <v>10</v>
      </c>
      <c r="B11" s="949" t="str">
        <f t="shared" si="15"/>
        <v>III-A</v>
      </c>
      <c r="C11" s="950"/>
      <c r="D11" s="951">
        <v>20230268614</v>
      </c>
      <c r="E11" s="952" t="s">
        <v>185</v>
      </c>
      <c r="F11" s="951">
        <v>14774</v>
      </c>
      <c r="G11" s="953" t="s">
        <v>186</v>
      </c>
      <c r="H11" s="953" t="s">
        <v>187</v>
      </c>
      <c r="I11" s="953" t="s">
        <v>188</v>
      </c>
      <c r="J11" s="939"/>
      <c r="K11" s="939"/>
      <c r="L11" s="939"/>
      <c r="M11" s="939"/>
      <c r="N11" s="939"/>
      <c r="O11" s="940"/>
      <c r="P11" s="940"/>
      <c r="Q11" s="940"/>
      <c r="R11" s="939"/>
      <c r="S11" s="939"/>
      <c r="T11" s="953">
        <v>8979884019</v>
      </c>
      <c r="U11" s="953"/>
      <c r="V11" s="953" t="s">
        <v>189</v>
      </c>
      <c r="W11" s="955"/>
      <c r="X11" s="955"/>
      <c r="Y11" s="942"/>
      <c r="Z11" s="942"/>
      <c r="AA11" s="942"/>
      <c r="AB11" s="942"/>
      <c r="AC11" s="942"/>
      <c r="AD11" s="942"/>
      <c r="AE11" s="942"/>
      <c r="AF11" s="942"/>
      <c r="AG11" s="942"/>
      <c r="AH11" s="942"/>
      <c r="AI11" s="942"/>
      <c r="AJ11" s="942"/>
      <c r="AK11" s="942"/>
      <c r="AL11" s="942"/>
      <c r="AM11" s="942"/>
      <c r="AN11" s="942"/>
      <c r="AO11" s="942"/>
      <c r="AP11" s="942"/>
      <c r="AQ11" s="942"/>
      <c r="AR11" s="942"/>
      <c r="AS11" s="942"/>
      <c r="AT11" s="942"/>
      <c r="AU11" s="942"/>
      <c r="AV11" s="942"/>
      <c r="AW11" s="942"/>
      <c r="AX11" s="942"/>
      <c r="AY11" s="942"/>
      <c r="AZ11" s="942"/>
      <c r="BA11" s="942"/>
      <c r="BB11" s="943" t="str">
        <f t="shared" si="1"/>
        <v>Mar 22 2019</v>
      </c>
      <c r="BC11" s="944" t="str">
        <f t="shared" si="2"/>
        <v>Mar</v>
      </c>
      <c r="BD11" s="944" t="str">
        <f t="shared" si="0"/>
        <v>22</v>
      </c>
      <c r="BE11" s="944" t="str">
        <f t="shared" si="3"/>
        <v>2019</v>
      </c>
      <c r="BF11" s="944" t="e">
        <f t="shared" si="4"/>
        <v>#VALUE!</v>
      </c>
      <c r="BG11" s="945" t="e">
        <f t="shared" si="5"/>
        <v>#VALUE!</v>
      </c>
      <c r="BH11" s="946">
        <f t="shared" si="6"/>
        <v>22</v>
      </c>
      <c r="BI11" s="947" t="str">
        <f t="shared" si="7"/>
        <v>TWENTY SECOND</v>
      </c>
      <c r="BJ11" s="943" t="str">
        <f t="shared" si="8"/>
        <v>Mar</v>
      </c>
      <c r="BK11" s="947" t="str">
        <f t="shared" si="9"/>
        <v>MARCH</v>
      </c>
      <c r="BL11" s="943">
        <f t="shared" si="10"/>
        <v>2019</v>
      </c>
      <c r="BM11" s="947" t="str">
        <f t="shared" si="11"/>
        <v>TWO THOUSAND NINETEEN</v>
      </c>
      <c r="BN11" s="947" t="str">
        <f t="shared" si="12"/>
        <v>TWENTY SECOND MARCH TWO THOUSAND NINETEEN</v>
      </c>
      <c r="BO11" s="816" t="b">
        <f t="shared" si="13"/>
        <v>0</v>
      </c>
      <c r="BP11" s="816" t="str">
        <f t="shared" si="14"/>
        <v/>
      </c>
    </row>
    <row r="12" ht="21.95" customHeight="1" spans="1:68">
      <c r="A12" s="934">
        <v>11</v>
      </c>
      <c r="B12" s="935" t="str">
        <f t="shared" si="15"/>
        <v>III-A</v>
      </c>
      <c r="C12" s="936"/>
      <c r="D12" s="937">
        <v>20230349168</v>
      </c>
      <c r="E12" s="938" t="s">
        <v>190</v>
      </c>
      <c r="F12" s="937">
        <v>14775</v>
      </c>
      <c r="G12" s="939" t="s">
        <v>191</v>
      </c>
      <c r="H12" s="939" t="s">
        <v>192</v>
      </c>
      <c r="I12" s="939" t="s">
        <v>193</v>
      </c>
      <c r="J12" s="953"/>
      <c r="K12" s="953"/>
      <c r="L12" s="953"/>
      <c r="M12" s="953"/>
      <c r="N12" s="953"/>
      <c r="O12" s="954"/>
      <c r="P12" s="954"/>
      <c r="Q12" s="954"/>
      <c r="R12" s="953"/>
      <c r="S12" s="953"/>
      <c r="T12" s="939">
        <v>9667817945</v>
      </c>
      <c r="U12" s="939"/>
      <c r="V12" s="939" t="s">
        <v>194</v>
      </c>
      <c r="W12" s="941"/>
      <c r="X12" s="941"/>
      <c r="Y12" s="942"/>
      <c r="Z12" s="942"/>
      <c r="AA12" s="942"/>
      <c r="AB12" s="942"/>
      <c r="AC12" s="942"/>
      <c r="AD12" s="942"/>
      <c r="AE12" s="942"/>
      <c r="AF12" s="942"/>
      <c r="AG12" s="942"/>
      <c r="AH12" s="942"/>
      <c r="AI12" s="942"/>
      <c r="AJ12" s="942"/>
      <c r="AK12" s="942"/>
      <c r="AL12" s="942"/>
      <c r="AM12" s="942"/>
      <c r="AN12" s="942"/>
      <c r="AO12" s="942"/>
      <c r="AP12" s="942"/>
      <c r="AQ12" s="942"/>
      <c r="AR12" s="942"/>
      <c r="AS12" s="942"/>
      <c r="AT12" s="942"/>
      <c r="AU12" s="942"/>
      <c r="AV12" s="942"/>
      <c r="AW12" s="942"/>
      <c r="AX12" s="942"/>
      <c r="AY12" s="942"/>
      <c r="AZ12" s="942"/>
      <c r="BA12" s="942"/>
      <c r="BB12" s="943" t="str">
        <f t="shared" si="1"/>
        <v>Sep 28 2018</v>
      </c>
      <c r="BC12" s="944" t="str">
        <f t="shared" si="2"/>
        <v>Sep</v>
      </c>
      <c r="BD12" s="944" t="str">
        <f t="shared" si="0"/>
        <v>28</v>
      </c>
      <c r="BE12" s="944" t="str">
        <f t="shared" si="3"/>
        <v>2018</v>
      </c>
      <c r="BF12" s="944" t="e">
        <f t="shared" si="4"/>
        <v>#VALUE!</v>
      </c>
      <c r="BG12" s="945" t="e">
        <f t="shared" si="5"/>
        <v>#VALUE!</v>
      </c>
      <c r="BH12" s="946">
        <f t="shared" si="6"/>
        <v>28</v>
      </c>
      <c r="BI12" s="947" t="str">
        <f t="shared" si="7"/>
        <v>TWENTY EIGHTH</v>
      </c>
      <c r="BJ12" s="943" t="str">
        <f t="shared" si="8"/>
        <v>Sep</v>
      </c>
      <c r="BK12" s="947" t="str">
        <f t="shared" si="9"/>
        <v>SEPTEMBER</v>
      </c>
      <c r="BL12" s="943">
        <f t="shared" si="10"/>
        <v>2018</v>
      </c>
      <c r="BM12" s="947" t="str">
        <f t="shared" si="11"/>
        <v>TWO THOUSAND EIGHTEEN</v>
      </c>
      <c r="BN12" s="947" t="str">
        <f t="shared" si="12"/>
        <v>TWENTY EIGHTH SEPTEMBER TWO THOUSAND EIGHTEEN</v>
      </c>
      <c r="BO12" s="816" t="b">
        <f t="shared" si="13"/>
        <v>0</v>
      </c>
      <c r="BP12" s="816" t="str">
        <f t="shared" si="14"/>
        <v/>
      </c>
    </row>
    <row r="13" ht="21.95" customHeight="1" spans="1:68">
      <c r="A13" s="948">
        <v>12</v>
      </c>
      <c r="B13" s="949" t="str">
        <f t="shared" si="15"/>
        <v>III-A</v>
      </c>
      <c r="C13" s="950"/>
      <c r="D13" s="951">
        <v>20240008153</v>
      </c>
      <c r="E13" s="952" t="s">
        <v>195</v>
      </c>
      <c r="F13" s="951">
        <v>14734</v>
      </c>
      <c r="G13" s="953" t="s">
        <v>196</v>
      </c>
      <c r="H13" s="953" t="s">
        <v>197</v>
      </c>
      <c r="I13" s="953" t="s">
        <v>198</v>
      </c>
      <c r="J13" s="939"/>
      <c r="K13" s="939"/>
      <c r="L13" s="939"/>
      <c r="M13" s="939"/>
      <c r="N13" s="939"/>
      <c r="O13" s="940"/>
      <c r="P13" s="940"/>
      <c r="Q13" s="940"/>
      <c r="R13" s="939"/>
      <c r="S13" s="939"/>
      <c r="T13" s="953">
        <v>7503764765</v>
      </c>
      <c r="U13" s="953"/>
      <c r="V13" s="953" t="s">
        <v>199</v>
      </c>
      <c r="W13" s="955"/>
      <c r="X13" s="955"/>
      <c r="Y13" s="942"/>
      <c r="Z13" s="942"/>
      <c r="AA13" s="942"/>
      <c r="AB13" s="942"/>
      <c r="AC13" s="942"/>
      <c r="AD13" s="942"/>
      <c r="AE13" s="942"/>
      <c r="AF13" s="942"/>
      <c r="AG13" s="942"/>
      <c r="AH13" s="942"/>
      <c r="AI13" s="942"/>
      <c r="AJ13" s="942"/>
      <c r="AK13" s="942"/>
      <c r="AL13" s="942"/>
      <c r="AM13" s="942"/>
      <c r="AN13" s="942"/>
      <c r="AO13" s="942"/>
      <c r="AP13" s="942"/>
      <c r="AQ13" s="942"/>
      <c r="AR13" s="942"/>
      <c r="AS13" s="942"/>
      <c r="AT13" s="942"/>
      <c r="AU13" s="942"/>
      <c r="AV13" s="942"/>
      <c r="AW13" s="942"/>
      <c r="AX13" s="942"/>
      <c r="AY13" s="942"/>
      <c r="AZ13" s="942"/>
      <c r="BA13" s="942"/>
      <c r="BB13" s="943" t="str">
        <f t="shared" si="1"/>
        <v>Dec 10 2018</v>
      </c>
      <c r="BC13" s="944" t="str">
        <f t="shared" si="2"/>
        <v>Dec</v>
      </c>
      <c r="BD13" s="944" t="str">
        <f t="shared" si="0"/>
        <v>10</v>
      </c>
      <c r="BE13" s="944" t="str">
        <f t="shared" si="3"/>
        <v>2018</v>
      </c>
      <c r="BF13" s="944" t="e">
        <f t="shared" si="4"/>
        <v>#VALUE!</v>
      </c>
      <c r="BG13" s="945" t="e">
        <f t="shared" si="5"/>
        <v>#VALUE!</v>
      </c>
      <c r="BH13" s="946">
        <f t="shared" si="6"/>
        <v>10</v>
      </c>
      <c r="BI13" s="947" t="str">
        <f t="shared" si="7"/>
        <v>TENTH</v>
      </c>
      <c r="BJ13" s="943" t="str">
        <f t="shared" si="8"/>
        <v>Dec</v>
      </c>
      <c r="BK13" s="947" t="str">
        <f t="shared" si="9"/>
        <v>DECEMBER</v>
      </c>
      <c r="BL13" s="943">
        <f t="shared" si="10"/>
        <v>2018</v>
      </c>
      <c r="BM13" s="947" t="str">
        <f t="shared" si="11"/>
        <v>TWO THOUSAND EIGHTEEN</v>
      </c>
      <c r="BN13" s="947" t="str">
        <f t="shared" si="12"/>
        <v>TENTH DECEMBER TWO THOUSAND EIGHTEEN</v>
      </c>
      <c r="BO13" s="816" t="b">
        <f t="shared" si="13"/>
        <v>0</v>
      </c>
      <c r="BP13" s="816" t="str">
        <f t="shared" si="14"/>
        <v/>
      </c>
    </row>
    <row r="14" ht="21.95" customHeight="1" spans="1:68">
      <c r="A14" s="934">
        <v>13</v>
      </c>
      <c r="B14" s="935" t="str">
        <f t="shared" si="15"/>
        <v>III-A</v>
      </c>
      <c r="C14" s="950"/>
      <c r="D14" s="937">
        <v>20240008167</v>
      </c>
      <c r="E14" s="938" t="s">
        <v>200</v>
      </c>
      <c r="F14" s="937">
        <v>14735</v>
      </c>
      <c r="G14" s="939" t="s">
        <v>201</v>
      </c>
      <c r="H14" s="939" t="s">
        <v>202</v>
      </c>
      <c r="I14" s="939" t="s">
        <v>203</v>
      </c>
      <c r="J14" s="953"/>
      <c r="K14" s="953"/>
      <c r="L14" s="953"/>
      <c r="M14" s="953"/>
      <c r="N14" s="953"/>
      <c r="O14" s="954"/>
      <c r="P14" s="954"/>
      <c r="Q14" s="954"/>
      <c r="R14" s="953"/>
      <c r="S14" s="953"/>
      <c r="T14" s="939">
        <v>7836913487</v>
      </c>
      <c r="U14" s="939"/>
      <c r="V14" s="939" t="s">
        <v>204</v>
      </c>
      <c r="W14" s="941"/>
      <c r="X14" s="941"/>
      <c r="Y14" s="942"/>
      <c r="Z14" s="942"/>
      <c r="AA14" s="942"/>
      <c r="AB14" s="942"/>
      <c r="AC14" s="942"/>
      <c r="AD14" s="942"/>
      <c r="AE14" s="942"/>
      <c r="AF14" s="942"/>
      <c r="AG14" s="942"/>
      <c r="AH14" s="942"/>
      <c r="AI14" s="942"/>
      <c r="AJ14" s="942"/>
      <c r="AK14" s="942"/>
      <c r="AL14" s="942"/>
      <c r="AM14" s="942"/>
      <c r="AN14" s="942"/>
      <c r="AO14" s="942"/>
      <c r="AP14" s="942"/>
      <c r="AQ14" s="942"/>
      <c r="AR14" s="942"/>
      <c r="AS14" s="942"/>
      <c r="AT14" s="942"/>
      <c r="AU14" s="942"/>
      <c r="AV14" s="942"/>
      <c r="AW14" s="942"/>
      <c r="AX14" s="942"/>
      <c r="AY14" s="942"/>
      <c r="AZ14" s="942"/>
      <c r="BA14" s="942"/>
      <c r="BB14" s="943" t="str">
        <f t="shared" si="1"/>
        <v>Jun 28 2018</v>
      </c>
      <c r="BC14" s="944" t="str">
        <f t="shared" si="2"/>
        <v>Jun</v>
      </c>
      <c r="BD14" s="944" t="str">
        <f t="shared" si="0"/>
        <v>28</v>
      </c>
      <c r="BE14" s="944" t="str">
        <f t="shared" si="3"/>
        <v>2018</v>
      </c>
      <c r="BF14" s="944" t="e">
        <f t="shared" si="4"/>
        <v>#VALUE!</v>
      </c>
      <c r="BG14" s="945" t="e">
        <f t="shared" si="5"/>
        <v>#VALUE!</v>
      </c>
      <c r="BH14" s="946">
        <f t="shared" si="6"/>
        <v>28</v>
      </c>
      <c r="BI14" s="947" t="str">
        <f t="shared" si="7"/>
        <v>TWENTY EIGHTH</v>
      </c>
      <c r="BJ14" s="943" t="str">
        <f t="shared" si="8"/>
        <v>Jun</v>
      </c>
      <c r="BK14" s="947" t="str">
        <f t="shared" si="9"/>
        <v>JUNE</v>
      </c>
      <c r="BL14" s="943">
        <f t="shared" si="10"/>
        <v>2018</v>
      </c>
      <c r="BM14" s="947" t="str">
        <f t="shared" si="11"/>
        <v>TWO THOUSAND EIGHTEEN</v>
      </c>
      <c r="BN14" s="947" t="str">
        <f t="shared" si="12"/>
        <v>TWENTY EIGHTH JUNE TWO THOUSAND EIGHTEEN</v>
      </c>
      <c r="BO14" s="816" t="b">
        <f t="shared" si="13"/>
        <v>0</v>
      </c>
      <c r="BP14" s="816" t="str">
        <f t="shared" si="14"/>
        <v/>
      </c>
    </row>
    <row r="15" ht="21.95" customHeight="1" spans="1:68">
      <c r="A15" s="948">
        <v>14</v>
      </c>
      <c r="B15" s="949" t="str">
        <f t="shared" si="15"/>
        <v>III-A</v>
      </c>
      <c r="C15" s="950"/>
      <c r="D15" s="951">
        <v>20240015035</v>
      </c>
      <c r="E15" s="952" t="s">
        <v>205</v>
      </c>
      <c r="F15" s="951">
        <v>14745</v>
      </c>
      <c r="G15" s="953" t="s">
        <v>206</v>
      </c>
      <c r="H15" s="953" t="s">
        <v>207</v>
      </c>
      <c r="I15" s="953" t="s">
        <v>208</v>
      </c>
      <c r="J15" s="939"/>
      <c r="K15" s="939"/>
      <c r="L15" s="939"/>
      <c r="M15" s="939"/>
      <c r="N15" s="939"/>
      <c r="O15" s="940"/>
      <c r="P15" s="940"/>
      <c r="Q15" s="940"/>
      <c r="R15" s="939"/>
      <c r="S15" s="939"/>
      <c r="T15" s="953">
        <v>8595365124</v>
      </c>
      <c r="U15" s="953"/>
      <c r="V15" s="953" t="s">
        <v>209</v>
      </c>
      <c r="W15" s="955"/>
      <c r="X15" s="955"/>
      <c r="Y15" s="942"/>
      <c r="Z15" s="942"/>
      <c r="AA15" s="942"/>
      <c r="AB15" s="942"/>
      <c r="AC15" s="942"/>
      <c r="AD15" s="942"/>
      <c r="AE15" s="942"/>
      <c r="AF15" s="942"/>
      <c r="AG15" s="942"/>
      <c r="AH15" s="942"/>
      <c r="AI15" s="942"/>
      <c r="AJ15" s="942"/>
      <c r="AK15" s="942"/>
      <c r="AL15" s="942"/>
      <c r="AM15" s="942"/>
      <c r="AN15" s="942"/>
      <c r="AO15" s="942"/>
      <c r="AP15" s="942"/>
      <c r="AQ15" s="942"/>
      <c r="AR15" s="942"/>
      <c r="AS15" s="942"/>
      <c r="AT15" s="942"/>
      <c r="AU15" s="942"/>
      <c r="AV15" s="942"/>
      <c r="AW15" s="942"/>
      <c r="AX15" s="942"/>
      <c r="AY15" s="942"/>
      <c r="AZ15" s="942"/>
      <c r="BA15" s="942"/>
      <c r="BB15" s="943" t="str">
        <f t="shared" si="1"/>
        <v>Aug 7 2018</v>
      </c>
      <c r="BC15" s="944" t="str">
        <f t="shared" si="2"/>
        <v>Aug</v>
      </c>
      <c r="BD15" s="944" t="str">
        <f t="shared" si="0"/>
        <v>7 </v>
      </c>
      <c r="BE15" s="944" t="str">
        <f t="shared" si="3"/>
        <v>2018</v>
      </c>
      <c r="BF15" s="944" t="e">
        <f t="shared" si="4"/>
        <v>#VALUE!</v>
      </c>
      <c r="BG15" s="945" t="e">
        <f t="shared" si="5"/>
        <v>#VALUE!</v>
      </c>
      <c r="BH15" s="946">
        <f t="shared" si="6"/>
        <v>7</v>
      </c>
      <c r="BI15" s="947" t="str">
        <f t="shared" si="7"/>
        <v>SEVENTH</v>
      </c>
      <c r="BJ15" s="943" t="str">
        <f t="shared" si="8"/>
        <v>Aug</v>
      </c>
      <c r="BK15" s="947" t="str">
        <f t="shared" si="9"/>
        <v>AUGUST</v>
      </c>
      <c r="BL15" s="943">
        <f t="shared" si="10"/>
        <v>2018</v>
      </c>
      <c r="BM15" s="947" t="str">
        <f t="shared" si="11"/>
        <v>TWO THOUSAND EIGHTEEN</v>
      </c>
      <c r="BN15" s="947" t="str">
        <f t="shared" si="12"/>
        <v>SEVENTH AUGUST TWO THOUSAND EIGHTEEN</v>
      </c>
      <c r="BO15" s="816" t="b">
        <f t="shared" si="13"/>
        <v>0</v>
      </c>
      <c r="BP15" s="816" t="str">
        <f t="shared" si="14"/>
        <v/>
      </c>
    </row>
    <row r="16" ht="21.95" customHeight="1" spans="1:68">
      <c r="A16" s="934">
        <v>15</v>
      </c>
      <c r="B16" s="935" t="str">
        <f t="shared" si="15"/>
        <v>III-A</v>
      </c>
      <c r="C16" s="950"/>
      <c r="D16" s="937">
        <v>20240015112</v>
      </c>
      <c r="E16" s="938" t="s">
        <v>210</v>
      </c>
      <c r="F16" s="937">
        <v>14746</v>
      </c>
      <c r="G16" s="939" t="s">
        <v>211</v>
      </c>
      <c r="H16" s="939" t="s">
        <v>212</v>
      </c>
      <c r="I16" s="939" t="s">
        <v>213</v>
      </c>
      <c r="J16" s="939"/>
      <c r="K16" s="939"/>
      <c r="L16" s="939"/>
      <c r="M16" s="939"/>
      <c r="N16" s="939"/>
      <c r="O16" s="940"/>
      <c r="P16" s="940"/>
      <c r="Q16" s="940"/>
      <c r="R16" s="939"/>
      <c r="S16" s="939"/>
      <c r="T16" s="939">
        <v>9109325188</v>
      </c>
      <c r="U16" s="939"/>
      <c r="V16" s="939" t="s">
        <v>214</v>
      </c>
      <c r="W16" s="941"/>
      <c r="X16" s="941"/>
      <c r="Y16" s="942"/>
      <c r="Z16" s="942"/>
      <c r="AA16" s="942"/>
      <c r="AB16" s="942"/>
      <c r="AC16" s="942"/>
      <c r="AD16" s="942"/>
      <c r="AE16" s="942"/>
      <c r="AF16" s="942"/>
      <c r="AG16" s="942"/>
      <c r="AH16" s="942"/>
      <c r="AI16" s="942"/>
      <c r="AJ16" s="942"/>
      <c r="AK16" s="942"/>
      <c r="AL16" s="942"/>
      <c r="AM16" s="942"/>
      <c r="AN16" s="942"/>
      <c r="AO16" s="942"/>
      <c r="AP16" s="942"/>
      <c r="AQ16" s="942"/>
      <c r="AR16" s="942"/>
      <c r="AS16" s="942"/>
      <c r="AT16" s="942"/>
      <c r="AU16" s="942"/>
      <c r="AV16" s="942"/>
      <c r="AW16" s="942"/>
      <c r="AX16" s="942"/>
      <c r="AY16" s="942"/>
      <c r="AZ16" s="942"/>
      <c r="BA16" s="942"/>
      <c r="BB16" s="943" t="str">
        <f t="shared" si="1"/>
        <v>Jul 23 2018</v>
      </c>
      <c r="BC16" s="944" t="str">
        <f t="shared" si="2"/>
        <v>Jul</v>
      </c>
      <c r="BD16" s="944" t="str">
        <f t="shared" si="0"/>
        <v>23</v>
      </c>
      <c r="BE16" s="944" t="str">
        <f t="shared" si="3"/>
        <v>2018</v>
      </c>
      <c r="BF16" s="944" t="e">
        <f t="shared" si="4"/>
        <v>#VALUE!</v>
      </c>
      <c r="BG16" s="945" t="e">
        <f t="shared" si="5"/>
        <v>#VALUE!</v>
      </c>
      <c r="BH16" s="946">
        <f t="shared" si="6"/>
        <v>23</v>
      </c>
      <c r="BI16" s="947" t="str">
        <f t="shared" si="7"/>
        <v>TWENTY THIRD</v>
      </c>
      <c r="BJ16" s="943" t="str">
        <f t="shared" si="8"/>
        <v>Jul</v>
      </c>
      <c r="BK16" s="947" t="str">
        <f t="shared" si="9"/>
        <v>JULY</v>
      </c>
      <c r="BL16" s="943">
        <f t="shared" si="10"/>
        <v>2018</v>
      </c>
      <c r="BM16" s="947" t="str">
        <f t="shared" si="11"/>
        <v>TWO THOUSAND EIGHTEEN</v>
      </c>
      <c r="BN16" s="947" t="str">
        <f t="shared" si="12"/>
        <v>TWENTY THIRD JULY TWO THOUSAND EIGHTEEN</v>
      </c>
      <c r="BO16" s="816" t="b">
        <f t="shared" si="13"/>
        <v>0</v>
      </c>
      <c r="BP16" s="816" t="str">
        <f t="shared" si="14"/>
        <v/>
      </c>
    </row>
    <row r="17" ht="21.95" customHeight="1" spans="1:68">
      <c r="A17" s="948">
        <v>16</v>
      </c>
      <c r="B17" s="949" t="str">
        <f t="shared" si="15"/>
        <v>III-A</v>
      </c>
      <c r="C17" s="950"/>
      <c r="D17" s="951">
        <v>20240015199</v>
      </c>
      <c r="E17" s="952" t="s">
        <v>215</v>
      </c>
      <c r="F17" s="951">
        <v>14748</v>
      </c>
      <c r="G17" s="953" t="s">
        <v>216</v>
      </c>
      <c r="H17" s="953" t="s">
        <v>217</v>
      </c>
      <c r="I17" s="953" t="s">
        <v>218</v>
      </c>
      <c r="J17" s="953"/>
      <c r="K17" s="953"/>
      <c r="L17" s="953"/>
      <c r="M17" s="953"/>
      <c r="N17" s="953"/>
      <c r="O17" s="954"/>
      <c r="P17" s="954"/>
      <c r="Q17" s="954"/>
      <c r="R17" s="953"/>
      <c r="S17" s="953"/>
      <c r="T17" s="953">
        <v>9654947222</v>
      </c>
      <c r="U17" s="953"/>
      <c r="V17" s="953" t="s">
        <v>219</v>
      </c>
      <c r="W17" s="955"/>
      <c r="X17" s="955"/>
      <c r="Y17" s="942"/>
      <c r="Z17" s="942"/>
      <c r="AA17" s="942"/>
      <c r="AB17" s="942"/>
      <c r="AC17" s="942"/>
      <c r="AD17" s="942"/>
      <c r="AE17" s="942"/>
      <c r="AF17" s="942"/>
      <c r="AG17" s="942"/>
      <c r="AH17" s="942"/>
      <c r="AI17" s="942"/>
      <c r="AJ17" s="942"/>
      <c r="AK17" s="942"/>
      <c r="AL17" s="942"/>
      <c r="AM17" s="942"/>
      <c r="AN17" s="942"/>
      <c r="AO17" s="942"/>
      <c r="AP17" s="942"/>
      <c r="AQ17" s="942"/>
      <c r="AR17" s="942"/>
      <c r="AS17" s="942"/>
      <c r="AT17" s="942"/>
      <c r="AU17" s="942"/>
      <c r="AV17" s="942"/>
      <c r="AW17" s="942"/>
      <c r="AX17" s="942"/>
      <c r="AY17" s="942"/>
      <c r="AZ17" s="942"/>
      <c r="BA17" s="942"/>
      <c r="BB17" s="943" t="str">
        <f t="shared" si="1"/>
        <v>Oct 4 2018</v>
      </c>
      <c r="BC17" s="944" t="str">
        <f t="shared" si="2"/>
        <v>Oct</v>
      </c>
      <c r="BD17" s="944" t="str">
        <f t="shared" si="0"/>
        <v>4 </v>
      </c>
      <c r="BE17" s="944" t="str">
        <f t="shared" si="3"/>
        <v>2018</v>
      </c>
      <c r="BF17" s="944" t="e">
        <f t="shared" si="4"/>
        <v>#VALUE!</v>
      </c>
      <c r="BG17" s="945" t="e">
        <f t="shared" si="5"/>
        <v>#VALUE!</v>
      </c>
      <c r="BH17" s="946">
        <f t="shared" si="6"/>
        <v>4</v>
      </c>
      <c r="BI17" s="947" t="str">
        <f t="shared" si="7"/>
        <v>FOURTH</v>
      </c>
      <c r="BJ17" s="943" t="str">
        <f t="shared" si="8"/>
        <v>Oct</v>
      </c>
      <c r="BK17" s="947" t="str">
        <f t="shared" si="9"/>
        <v>OCTOBER</v>
      </c>
      <c r="BL17" s="943">
        <f t="shared" si="10"/>
        <v>2018</v>
      </c>
      <c r="BM17" s="947" t="str">
        <f t="shared" si="11"/>
        <v>TWO THOUSAND EIGHTEEN</v>
      </c>
      <c r="BN17" s="947" t="str">
        <f t="shared" si="12"/>
        <v>FOURTH OCTOBER TWO THOUSAND EIGHTEEN</v>
      </c>
      <c r="BO17" s="816" t="b">
        <f t="shared" si="13"/>
        <v>0</v>
      </c>
      <c r="BP17" s="816" t="str">
        <f t="shared" si="14"/>
        <v/>
      </c>
    </row>
    <row r="18" ht="21.95" customHeight="1" spans="1:68">
      <c r="A18" s="934">
        <v>17</v>
      </c>
      <c r="B18" s="935" t="str">
        <f t="shared" si="15"/>
        <v>III-A</v>
      </c>
      <c r="C18" s="950"/>
      <c r="D18" s="937">
        <v>20240023044</v>
      </c>
      <c r="E18" s="938" t="s">
        <v>220</v>
      </c>
      <c r="F18" s="937">
        <v>14755</v>
      </c>
      <c r="G18" s="939" t="s">
        <v>221</v>
      </c>
      <c r="H18" s="939" t="s">
        <v>222</v>
      </c>
      <c r="I18" s="939" t="s">
        <v>223</v>
      </c>
      <c r="J18" s="939"/>
      <c r="K18" s="939"/>
      <c r="L18" s="939"/>
      <c r="M18" s="939"/>
      <c r="N18" s="939"/>
      <c r="O18" s="940"/>
      <c r="P18" s="940"/>
      <c r="Q18" s="940"/>
      <c r="R18" s="939"/>
      <c r="S18" s="939"/>
      <c r="T18" s="939">
        <v>9560140255</v>
      </c>
      <c r="U18" s="939"/>
      <c r="V18" s="939" t="s">
        <v>224</v>
      </c>
      <c r="W18" s="941"/>
      <c r="X18" s="941"/>
      <c r="Y18" s="942"/>
      <c r="Z18" s="942"/>
      <c r="AA18" s="942"/>
      <c r="AB18" s="942"/>
      <c r="AC18" s="942"/>
      <c r="AD18" s="942"/>
      <c r="AE18" s="942"/>
      <c r="AF18" s="942"/>
      <c r="AG18" s="942"/>
      <c r="AH18" s="942"/>
      <c r="AI18" s="942"/>
      <c r="AJ18" s="942"/>
      <c r="AK18" s="942"/>
      <c r="AL18" s="942"/>
      <c r="AM18" s="942"/>
      <c r="AN18" s="942"/>
      <c r="AO18" s="942"/>
      <c r="AP18" s="942"/>
      <c r="AQ18" s="942"/>
      <c r="AR18" s="942"/>
      <c r="AS18" s="942"/>
      <c r="AT18" s="942"/>
      <c r="AU18" s="942"/>
      <c r="AV18" s="942"/>
      <c r="AW18" s="942"/>
      <c r="AX18" s="942"/>
      <c r="AY18" s="942"/>
      <c r="AZ18" s="942"/>
      <c r="BA18" s="942"/>
      <c r="BB18" s="943" t="str">
        <f t="shared" si="1"/>
        <v>Jan 11 2019</v>
      </c>
      <c r="BC18" s="944" t="str">
        <f t="shared" si="2"/>
        <v>Jan</v>
      </c>
      <c r="BD18" s="944" t="str">
        <f t="shared" si="0"/>
        <v>11</v>
      </c>
      <c r="BE18" s="944" t="str">
        <f t="shared" si="3"/>
        <v>2019</v>
      </c>
      <c r="BF18" s="944" t="e">
        <f t="shared" si="4"/>
        <v>#VALUE!</v>
      </c>
      <c r="BG18" s="945" t="e">
        <f t="shared" si="5"/>
        <v>#VALUE!</v>
      </c>
      <c r="BH18" s="946">
        <f t="shared" si="6"/>
        <v>11</v>
      </c>
      <c r="BI18" s="947" t="str">
        <f t="shared" si="7"/>
        <v>ELEVENTH</v>
      </c>
      <c r="BJ18" s="943" t="str">
        <f t="shared" si="8"/>
        <v>Jan</v>
      </c>
      <c r="BK18" s="947" t="str">
        <f t="shared" si="9"/>
        <v>JANUARY</v>
      </c>
      <c r="BL18" s="943">
        <f t="shared" si="10"/>
        <v>2019</v>
      </c>
      <c r="BM18" s="947" t="str">
        <f t="shared" si="11"/>
        <v>TWO THOUSAND NINETEEN</v>
      </c>
      <c r="BN18" s="947" t="str">
        <f t="shared" si="12"/>
        <v>ELEVENTH JANUARY TWO THOUSAND NINETEEN</v>
      </c>
      <c r="BO18" s="816" t="b">
        <f t="shared" si="13"/>
        <v>0</v>
      </c>
      <c r="BP18" s="816" t="str">
        <f t="shared" si="14"/>
        <v/>
      </c>
    </row>
    <row r="19" ht="21.95" customHeight="1" spans="1:68">
      <c r="A19" s="948">
        <v>18</v>
      </c>
      <c r="B19" s="949" t="str">
        <f t="shared" si="15"/>
        <v>III-A</v>
      </c>
      <c r="C19" s="950"/>
      <c r="D19" s="951">
        <v>20240023055</v>
      </c>
      <c r="E19" s="952" t="s">
        <v>225</v>
      </c>
      <c r="F19" s="951">
        <v>14756</v>
      </c>
      <c r="G19" s="953" t="s">
        <v>221</v>
      </c>
      <c r="H19" s="953" t="s">
        <v>222</v>
      </c>
      <c r="I19" s="953" t="s">
        <v>223</v>
      </c>
      <c r="J19" s="953"/>
      <c r="K19" s="953"/>
      <c r="L19" s="953"/>
      <c r="M19" s="953"/>
      <c r="N19" s="953"/>
      <c r="O19" s="954"/>
      <c r="P19" s="954"/>
      <c r="Q19" s="954"/>
      <c r="R19" s="953"/>
      <c r="S19" s="953"/>
      <c r="T19" s="953">
        <v>9560140255</v>
      </c>
      <c r="U19" s="953"/>
      <c r="V19" s="953" t="s">
        <v>224</v>
      </c>
      <c r="W19" s="955"/>
      <c r="X19" s="955"/>
      <c r="Y19" s="942"/>
      <c r="Z19" s="942"/>
      <c r="AA19" s="942"/>
      <c r="AB19" s="942"/>
      <c r="AC19" s="942"/>
      <c r="AD19" s="942"/>
      <c r="AE19" s="942"/>
      <c r="AF19" s="942"/>
      <c r="AG19" s="942"/>
      <c r="AH19" s="942"/>
      <c r="AI19" s="942"/>
      <c r="AJ19" s="942"/>
      <c r="AK19" s="942"/>
      <c r="AL19" s="942"/>
      <c r="AM19" s="942"/>
      <c r="AN19" s="942"/>
      <c r="AO19" s="942"/>
      <c r="AP19" s="942"/>
      <c r="AQ19" s="942"/>
      <c r="AR19" s="942"/>
      <c r="AS19" s="942"/>
      <c r="AT19" s="942"/>
      <c r="AU19" s="942"/>
      <c r="AV19" s="942"/>
      <c r="AW19" s="942"/>
      <c r="AX19" s="942"/>
      <c r="AY19" s="942"/>
      <c r="AZ19" s="942"/>
      <c r="BA19" s="942"/>
      <c r="BB19" s="943" t="str">
        <f t="shared" si="1"/>
        <v>Jan 11 2019</v>
      </c>
      <c r="BC19" s="944" t="str">
        <f t="shared" si="2"/>
        <v>Jan</v>
      </c>
      <c r="BD19" s="944" t="str">
        <f t="shared" si="0"/>
        <v>11</v>
      </c>
      <c r="BE19" s="944" t="str">
        <f t="shared" si="3"/>
        <v>2019</v>
      </c>
      <c r="BF19" s="944" t="e">
        <f t="shared" si="4"/>
        <v>#VALUE!</v>
      </c>
      <c r="BG19" s="945" t="e">
        <f t="shared" si="5"/>
        <v>#VALUE!</v>
      </c>
      <c r="BH19" s="946">
        <f t="shared" si="6"/>
        <v>11</v>
      </c>
      <c r="BI19" s="947" t="str">
        <f t="shared" si="7"/>
        <v>ELEVENTH</v>
      </c>
      <c r="BJ19" s="943" t="str">
        <f t="shared" si="8"/>
        <v>Jan</v>
      </c>
      <c r="BK19" s="947" t="str">
        <f t="shared" si="9"/>
        <v>JANUARY</v>
      </c>
      <c r="BL19" s="943">
        <f t="shared" si="10"/>
        <v>2019</v>
      </c>
      <c r="BM19" s="947" t="str">
        <f t="shared" si="11"/>
        <v>TWO THOUSAND NINETEEN</v>
      </c>
      <c r="BN19" s="947" t="str">
        <f t="shared" si="12"/>
        <v>ELEVENTH JANUARY TWO THOUSAND NINETEEN</v>
      </c>
      <c r="BO19" s="816" t="b">
        <f t="shared" si="13"/>
        <v>0</v>
      </c>
      <c r="BP19" s="816" t="str">
        <f t="shared" si="14"/>
        <v/>
      </c>
    </row>
    <row r="20" ht="21.95" customHeight="1" spans="1:68">
      <c r="A20" s="934">
        <v>19</v>
      </c>
      <c r="B20" s="935" t="str">
        <f t="shared" si="15"/>
        <v>III-A</v>
      </c>
      <c r="C20" s="936"/>
      <c r="D20" s="937">
        <v>20240023083</v>
      </c>
      <c r="E20" s="938" t="s">
        <v>226</v>
      </c>
      <c r="F20" s="937">
        <v>14758</v>
      </c>
      <c r="G20" s="939" t="s">
        <v>227</v>
      </c>
      <c r="H20" s="939" t="s">
        <v>228</v>
      </c>
      <c r="I20" s="939" t="s">
        <v>229</v>
      </c>
      <c r="J20" s="939"/>
      <c r="K20" s="939"/>
      <c r="L20" s="939"/>
      <c r="M20" s="939"/>
      <c r="N20" s="939"/>
      <c r="O20" s="940"/>
      <c r="P20" s="940"/>
      <c r="Q20" s="940"/>
      <c r="R20" s="939"/>
      <c r="S20" s="939"/>
      <c r="T20" s="939">
        <v>9560807229</v>
      </c>
      <c r="U20" s="939"/>
      <c r="V20" s="939" t="s">
        <v>230</v>
      </c>
      <c r="W20" s="941"/>
      <c r="X20" s="941"/>
      <c r="Y20" s="942"/>
      <c r="Z20" s="942"/>
      <c r="AA20" s="942"/>
      <c r="AB20" s="942"/>
      <c r="AC20" s="942"/>
      <c r="AD20" s="942"/>
      <c r="AE20" s="942"/>
      <c r="AF20" s="942"/>
      <c r="AG20" s="942"/>
      <c r="AH20" s="942"/>
      <c r="AI20" s="942"/>
      <c r="AJ20" s="942"/>
      <c r="AK20" s="942"/>
      <c r="AL20" s="942"/>
      <c r="AM20" s="942"/>
      <c r="AN20" s="942"/>
      <c r="AO20" s="942"/>
      <c r="AP20" s="942"/>
      <c r="AQ20" s="942"/>
      <c r="AR20" s="942"/>
      <c r="AS20" s="942"/>
      <c r="AT20" s="942"/>
      <c r="AU20" s="942"/>
      <c r="AV20" s="942"/>
      <c r="AW20" s="942"/>
      <c r="AX20" s="942"/>
      <c r="AY20" s="942"/>
      <c r="AZ20" s="942"/>
      <c r="BA20" s="942"/>
      <c r="BB20" s="943" t="str">
        <f t="shared" si="1"/>
        <v>Jul 2 2018</v>
      </c>
      <c r="BC20" s="944" t="str">
        <f t="shared" si="2"/>
        <v>Jul</v>
      </c>
      <c r="BD20" s="944" t="str">
        <f t="shared" si="0"/>
        <v>2 </v>
      </c>
      <c r="BE20" s="944" t="str">
        <f t="shared" si="3"/>
        <v>2018</v>
      </c>
      <c r="BF20" s="944" t="e">
        <f t="shared" si="4"/>
        <v>#VALUE!</v>
      </c>
      <c r="BG20" s="945" t="e">
        <f t="shared" si="5"/>
        <v>#VALUE!</v>
      </c>
      <c r="BH20" s="946">
        <f t="shared" si="6"/>
        <v>2</v>
      </c>
      <c r="BI20" s="947" t="str">
        <f t="shared" si="7"/>
        <v>SECOND</v>
      </c>
      <c r="BJ20" s="943" t="str">
        <f t="shared" si="8"/>
        <v>Jul</v>
      </c>
      <c r="BK20" s="947" t="str">
        <f t="shared" si="9"/>
        <v>JULY</v>
      </c>
      <c r="BL20" s="943">
        <f t="shared" si="10"/>
        <v>2018</v>
      </c>
      <c r="BM20" s="947" t="str">
        <f t="shared" si="11"/>
        <v>TWO THOUSAND EIGHTEEN</v>
      </c>
      <c r="BN20" s="947" t="str">
        <f t="shared" si="12"/>
        <v>SECOND JULY TWO THOUSAND EIGHTEEN</v>
      </c>
      <c r="BO20" s="816" t="b">
        <f t="shared" si="13"/>
        <v>0</v>
      </c>
      <c r="BP20" s="816" t="str">
        <f t="shared" si="14"/>
        <v/>
      </c>
    </row>
    <row r="21" ht="21.95" customHeight="1" spans="1:68">
      <c r="A21" s="948">
        <v>20</v>
      </c>
      <c r="B21" s="949" t="str">
        <f t="shared" si="15"/>
        <v>III-A</v>
      </c>
      <c r="C21" s="950"/>
      <c r="D21" s="951">
        <v>20240028340</v>
      </c>
      <c r="E21" s="952" t="s">
        <v>231</v>
      </c>
      <c r="F21" s="951">
        <v>14768</v>
      </c>
      <c r="G21" s="953" t="s">
        <v>232</v>
      </c>
      <c r="H21" s="953" t="s">
        <v>233</v>
      </c>
      <c r="I21" s="953" t="s">
        <v>234</v>
      </c>
      <c r="J21" s="953"/>
      <c r="K21" s="953"/>
      <c r="L21" s="953"/>
      <c r="M21" s="953"/>
      <c r="N21" s="953"/>
      <c r="O21" s="954"/>
      <c r="P21" s="954"/>
      <c r="Q21" s="954"/>
      <c r="R21" s="953"/>
      <c r="S21" s="953"/>
      <c r="T21" s="953">
        <v>9582382944</v>
      </c>
      <c r="U21" s="953"/>
      <c r="V21" s="953" t="s">
        <v>235</v>
      </c>
      <c r="W21" s="955"/>
      <c r="X21" s="955"/>
      <c r="Y21" s="942"/>
      <c r="Z21" s="942"/>
      <c r="AA21" s="942"/>
      <c r="AB21" s="942"/>
      <c r="AC21" s="942"/>
      <c r="AD21" s="942"/>
      <c r="AE21" s="942"/>
      <c r="AF21" s="942"/>
      <c r="AG21" s="942"/>
      <c r="AH21" s="942"/>
      <c r="AI21" s="942"/>
      <c r="AJ21" s="942"/>
      <c r="AK21" s="942"/>
      <c r="AL21" s="942"/>
      <c r="AM21" s="942"/>
      <c r="AN21" s="942"/>
      <c r="AO21" s="942"/>
      <c r="AP21" s="942"/>
      <c r="AQ21" s="942"/>
      <c r="AR21" s="942"/>
      <c r="AS21" s="942"/>
      <c r="AT21" s="942"/>
      <c r="AU21" s="942"/>
      <c r="AV21" s="942"/>
      <c r="AW21" s="942"/>
      <c r="AX21" s="942"/>
      <c r="AY21" s="942"/>
      <c r="AZ21" s="942"/>
      <c r="BA21" s="942"/>
      <c r="BB21" s="943" t="str">
        <f t="shared" si="1"/>
        <v>Jul 11 2018</v>
      </c>
      <c r="BC21" s="944" t="str">
        <f t="shared" si="2"/>
        <v>Jul</v>
      </c>
      <c r="BD21" s="944" t="str">
        <f t="shared" si="0"/>
        <v>11</v>
      </c>
      <c r="BE21" s="944" t="str">
        <f t="shared" si="3"/>
        <v>2018</v>
      </c>
      <c r="BF21" s="944" t="e">
        <f t="shared" si="4"/>
        <v>#VALUE!</v>
      </c>
      <c r="BG21" s="945" t="e">
        <f t="shared" si="5"/>
        <v>#VALUE!</v>
      </c>
      <c r="BH21" s="946">
        <f t="shared" si="6"/>
        <v>11</v>
      </c>
      <c r="BI21" s="947" t="str">
        <f t="shared" si="7"/>
        <v>ELEVENTH</v>
      </c>
      <c r="BJ21" s="943" t="str">
        <f t="shared" si="8"/>
        <v>Jul</v>
      </c>
      <c r="BK21" s="947" t="str">
        <f t="shared" si="9"/>
        <v>JULY</v>
      </c>
      <c r="BL21" s="943">
        <f t="shared" si="10"/>
        <v>2018</v>
      </c>
      <c r="BM21" s="947" t="str">
        <f t="shared" si="11"/>
        <v>TWO THOUSAND EIGHTEEN</v>
      </c>
      <c r="BN21" s="947" t="str">
        <f t="shared" si="12"/>
        <v>ELEVENTH JULY TWO THOUSAND EIGHTEEN</v>
      </c>
      <c r="BO21" s="816" t="b">
        <f t="shared" si="13"/>
        <v>0</v>
      </c>
      <c r="BP21" s="816" t="str">
        <f t="shared" si="14"/>
        <v/>
      </c>
    </row>
    <row r="22" ht="21.95" customHeight="1" spans="1:68">
      <c r="A22" s="934">
        <v>21</v>
      </c>
      <c r="B22" s="935" t="str">
        <f t="shared" si="15"/>
        <v>III-A</v>
      </c>
      <c r="C22" s="936"/>
      <c r="D22" s="937">
        <v>20240074441</v>
      </c>
      <c r="E22" s="938" t="s">
        <v>236</v>
      </c>
      <c r="F22" s="937">
        <v>14792</v>
      </c>
      <c r="G22" s="939" t="s">
        <v>141</v>
      </c>
      <c r="H22" s="939" t="s">
        <v>237</v>
      </c>
      <c r="I22" s="939" t="s">
        <v>238</v>
      </c>
      <c r="J22" s="939"/>
      <c r="K22" s="939"/>
      <c r="L22" s="939"/>
      <c r="M22" s="939"/>
      <c r="N22" s="939"/>
      <c r="O22" s="940"/>
      <c r="P22" s="940"/>
      <c r="Q22" s="940"/>
      <c r="R22" s="939"/>
      <c r="S22" s="939"/>
      <c r="T22" s="939">
        <v>7703873768</v>
      </c>
      <c r="U22" s="939"/>
      <c r="V22" s="939" t="s">
        <v>239</v>
      </c>
      <c r="W22" s="941"/>
      <c r="X22" s="941"/>
      <c r="Y22" s="942"/>
      <c r="Z22" s="942"/>
      <c r="AA22" s="942"/>
      <c r="AB22" s="942"/>
      <c r="AC22" s="942"/>
      <c r="AD22" s="942"/>
      <c r="AE22" s="942"/>
      <c r="AF22" s="942"/>
      <c r="AG22" s="942"/>
      <c r="AH22" s="942"/>
      <c r="AI22" s="942"/>
      <c r="AJ22" s="942"/>
      <c r="AK22" s="942"/>
      <c r="AL22" s="942"/>
      <c r="AM22" s="942"/>
      <c r="AN22" s="942"/>
      <c r="AO22" s="942"/>
      <c r="AP22" s="942"/>
      <c r="AQ22" s="942"/>
      <c r="AR22" s="942"/>
      <c r="AS22" s="942"/>
      <c r="AT22" s="942"/>
      <c r="AU22" s="942"/>
      <c r="AV22" s="942"/>
      <c r="AW22" s="942"/>
      <c r="AX22" s="942"/>
      <c r="AY22" s="942"/>
      <c r="AZ22" s="942"/>
      <c r="BA22" s="942"/>
      <c r="BB22" s="943" t="str">
        <f t="shared" si="1"/>
        <v>Oct 29 2018</v>
      </c>
      <c r="BC22" s="944" t="str">
        <f t="shared" si="2"/>
        <v>Oct</v>
      </c>
      <c r="BD22" s="944" t="str">
        <f t="shared" si="0"/>
        <v>29</v>
      </c>
      <c r="BE22" s="944" t="str">
        <f t="shared" si="3"/>
        <v>2018</v>
      </c>
      <c r="BF22" s="944" t="e">
        <f t="shared" si="4"/>
        <v>#VALUE!</v>
      </c>
      <c r="BG22" s="945" t="e">
        <f t="shared" si="5"/>
        <v>#VALUE!</v>
      </c>
      <c r="BH22" s="946">
        <f t="shared" si="6"/>
        <v>29</v>
      </c>
      <c r="BI22" s="947" t="str">
        <f t="shared" si="7"/>
        <v>TWENTY NINTH</v>
      </c>
      <c r="BJ22" s="943" t="str">
        <f t="shared" si="8"/>
        <v>Oct</v>
      </c>
      <c r="BK22" s="947" t="str">
        <f t="shared" si="9"/>
        <v>OCTOBER</v>
      </c>
      <c r="BL22" s="943">
        <f t="shared" si="10"/>
        <v>2018</v>
      </c>
      <c r="BM22" s="947" t="str">
        <f t="shared" si="11"/>
        <v>TWO THOUSAND EIGHTEEN</v>
      </c>
      <c r="BN22" s="947" t="str">
        <f t="shared" si="12"/>
        <v>TWENTY NINTH OCTOBER TWO THOUSAND EIGHTEEN</v>
      </c>
      <c r="BO22" s="816" t="b">
        <f t="shared" si="13"/>
        <v>0</v>
      </c>
      <c r="BP22" s="816" t="str">
        <f t="shared" si="14"/>
        <v/>
      </c>
    </row>
    <row r="23" ht="21.95" customHeight="1" spans="1:68">
      <c r="A23" s="948">
        <v>22</v>
      </c>
      <c r="B23" s="949" t="str">
        <f t="shared" si="15"/>
        <v>III-A</v>
      </c>
      <c r="C23" s="950"/>
      <c r="D23" s="951">
        <v>20240100859</v>
      </c>
      <c r="E23" s="952" t="s">
        <v>240</v>
      </c>
      <c r="F23" s="951">
        <v>14804</v>
      </c>
      <c r="G23" s="953" t="s">
        <v>241</v>
      </c>
      <c r="H23" s="953" t="s">
        <v>242</v>
      </c>
      <c r="I23" s="953" t="s">
        <v>243</v>
      </c>
      <c r="J23" s="953"/>
      <c r="K23" s="953"/>
      <c r="L23" s="953"/>
      <c r="M23" s="953"/>
      <c r="N23" s="953"/>
      <c r="O23" s="954"/>
      <c r="P23" s="954"/>
      <c r="Q23" s="954"/>
      <c r="R23" s="953"/>
      <c r="S23" s="953"/>
      <c r="T23" s="953">
        <v>9311687350</v>
      </c>
      <c r="U23" s="953"/>
      <c r="V23" s="953" t="s">
        <v>244</v>
      </c>
      <c r="W23" s="955"/>
      <c r="X23" s="955"/>
      <c r="Y23" s="942"/>
      <c r="Z23" s="942"/>
      <c r="AA23" s="942"/>
      <c r="AB23" s="942"/>
      <c r="AC23" s="942"/>
      <c r="AD23" s="942"/>
      <c r="AE23" s="942"/>
      <c r="AF23" s="942"/>
      <c r="AG23" s="942"/>
      <c r="AH23" s="942"/>
      <c r="AI23" s="942"/>
      <c r="AJ23" s="942"/>
      <c r="AK23" s="942"/>
      <c r="AL23" s="942"/>
      <c r="AM23" s="942"/>
      <c r="AN23" s="942"/>
      <c r="AO23" s="942"/>
      <c r="AP23" s="942"/>
      <c r="AQ23" s="942"/>
      <c r="AR23" s="942"/>
      <c r="AS23" s="942"/>
      <c r="AT23" s="942"/>
      <c r="AU23" s="942"/>
      <c r="AV23" s="942"/>
      <c r="AW23" s="942"/>
      <c r="AX23" s="942"/>
      <c r="AY23" s="942"/>
      <c r="AZ23" s="942"/>
      <c r="BA23" s="942"/>
      <c r="BB23" s="943" t="str">
        <f t="shared" si="1"/>
        <v>May 4 2018</v>
      </c>
      <c r="BC23" s="944" t="str">
        <f t="shared" si="2"/>
        <v>May</v>
      </c>
      <c r="BD23" s="944" t="str">
        <f t="shared" si="0"/>
        <v>4 </v>
      </c>
      <c r="BE23" s="944" t="str">
        <f t="shared" si="3"/>
        <v>2018</v>
      </c>
      <c r="BF23" s="944" t="e">
        <f t="shared" si="4"/>
        <v>#VALUE!</v>
      </c>
      <c r="BG23" s="945" t="e">
        <f t="shared" si="5"/>
        <v>#VALUE!</v>
      </c>
      <c r="BH23" s="946">
        <f t="shared" si="6"/>
        <v>4</v>
      </c>
      <c r="BI23" s="947" t="str">
        <f t="shared" si="7"/>
        <v>FOURTH</v>
      </c>
      <c r="BJ23" s="943" t="str">
        <f t="shared" si="8"/>
        <v>May</v>
      </c>
      <c r="BK23" s="947" t="str">
        <f t="shared" si="9"/>
        <v>MAY</v>
      </c>
      <c r="BL23" s="943">
        <f t="shared" si="10"/>
        <v>2018</v>
      </c>
      <c r="BM23" s="947" t="str">
        <f t="shared" si="11"/>
        <v>TWO THOUSAND EIGHTEEN</v>
      </c>
      <c r="BN23" s="947" t="str">
        <f t="shared" si="12"/>
        <v>FOURTH MAY TWO THOUSAND EIGHTEEN</v>
      </c>
      <c r="BO23" s="816" t="b">
        <f t="shared" si="13"/>
        <v>0</v>
      </c>
      <c r="BP23" s="816" t="str">
        <f t="shared" si="14"/>
        <v/>
      </c>
    </row>
    <row r="24" ht="21.95" customHeight="1" spans="1:68">
      <c r="A24" s="934">
        <v>23</v>
      </c>
      <c r="B24" s="935" t="str">
        <f t="shared" si="15"/>
        <v>III-A</v>
      </c>
      <c r="C24" s="936"/>
      <c r="D24" s="937">
        <v>20240100885</v>
      </c>
      <c r="E24" s="938" t="s">
        <v>245</v>
      </c>
      <c r="F24" s="937">
        <v>14805</v>
      </c>
      <c r="G24" s="939" t="s">
        <v>151</v>
      </c>
      <c r="H24" s="939" t="s">
        <v>246</v>
      </c>
      <c r="I24" s="939" t="s">
        <v>247</v>
      </c>
      <c r="J24" s="953"/>
      <c r="K24" s="953"/>
      <c r="L24" s="953"/>
      <c r="M24" s="953"/>
      <c r="N24" s="953"/>
      <c r="O24" s="954"/>
      <c r="P24" s="954"/>
      <c r="Q24" s="954"/>
      <c r="R24" s="953"/>
      <c r="S24" s="953"/>
      <c r="T24" s="939">
        <v>9971046177</v>
      </c>
      <c r="U24" s="953"/>
      <c r="V24" s="939" t="s">
        <v>248</v>
      </c>
      <c r="W24" s="955"/>
      <c r="X24" s="941"/>
      <c r="Y24" s="942"/>
      <c r="Z24" s="942"/>
      <c r="AA24" s="942"/>
      <c r="AB24" s="942"/>
      <c r="AC24" s="942"/>
      <c r="AD24" s="942"/>
      <c r="AE24" s="942"/>
      <c r="AF24" s="942"/>
      <c r="AG24" s="942"/>
      <c r="AH24" s="942"/>
      <c r="AI24" s="942"/>
      <c r="AJ24" s="942"/>
      <c r="AK24" s="942"/>
      <c r="AL24" s="942"/>
      <c r="AM24" s="942"/>
      <c r="AN24" s="942"/>
      <c r="AO24" s="942"/>
      <c r="AP24" s="942"/>
      <c r="AQ24" s="942"/>
      <c r="AR24" s="942"/>
      <c r="AS24" s="942"/>
      <c r="AT24" s="942"/>
      <c r="AU24" s="942"/>
      <c r="AV24" s="942"/>
      <c r="AW24" s="942"/>
      <c r="AX24" s="942"/>
      <c r="AY24" s="942"/>
      <c r="AZ24" s="942"/>
      <c r="BA24" s="942"/>
      <c r="BB24" s="943" t="str">
        <f t="shared" si="1"/>
        <v>Jul 22 2018</v>
      </c>
      <c r="BC24" s="944" t="str">
        <f t="shared" si="2"/>
        <v>Jul</v>
      </c>
      <c r="BD24" s="944" t="str">
        <f t="shared" si="0"/>
        <v>22</v>
      </c>
      <c r="BE24" s="944" t="str">
        <f t="shared" si="3"/>
        <v>2018</v>
      </c>
      <c r="BF24" s="944" t="e">
        <f t="shared" si="4"/>
        <v>#VALUE!</v>
      </c>
      <c r="BG24" s="945" t="e">
        <f t="shared" si="5"/>
        <v>#VALUE!</v>
      </c>
      <c r="BH24" s="946">
        <f t="shared" si="6"/>
        <v>22</v>
      </c>
      <c r="BI24" s="947" t="str">
        <f t="shared" si="7"/>
        <v>TWENTY SECOND</v>
      </c>
      <c r="BJ24" s="943" t="str">
        <f t="shared" si="8"/>
        <v>Jul</v>
      </c>
      <c r="BK24" s="947" t="str">
        <f t="shared" si="9"/>
        <v>JULY</v>
      </c>
      <c r="BL24" s="943">
        <f t="shared" si="10"/>
        <v>2018</v>
      </c>
      <c r="BM24" s="947" t="str">
        <f t="shared" si="11"/>
        <v>TWO THOUSAND EIGHTEEN</v>
      </c>
      <c r="BN24" s="947" t="str">
        <f t="shared" si="12"/>
        <v>TWENTY SECOND JULY TWO THOUSAND EIGHTEEN</v>
      </c>
      <c r="BO24" s="816" t="b">
        <f t="shared" si="13"/>
        <v>0</v>
      </c>
      <c r="BP24" s="816" t="str">
        <f t="shared" si="14"/>
        <v/>
      </c>
    </row>
    <row r="25" ht="21.95" customHeight="1" spans="1:68">
      <c r="A25" s="948">
        <v>24</v>
      </c>
      <c r="B25" s="949" t="str">
        <f t="shared" si="15"/>
        <v>III-A</v>
      </c>
      <c r="C25" s="950"/>
      <c r="D25" s="951">
        <v>20240100904</v>
      </c>
      <c r="E25" s="952" t="s">
        <v>249</v>
      </c>
      <c r="F25" s="951">
        <v>14806</v>
      </c>
      <c r="G25" s="953" t="s">
        <v>250</v>
      </c>
      <c r="H25" s="953" t="s">
        <v>251</v>
      </c>
      <c r="I25" s="953" t="s">
        <v>252</v>
      </c>
      <c r="J25" s="939"/>
      <c r="K25" s="939"/>
      <c r="L25" s="939"/>
      <c r="M25" s="939"/>
      <c r="N25" s="939"/>
      <c r="O25" s="940"/>
      <c r="P25" s="940"/>
      <c r="Q25" s="940"/>
      <c r="R25" s="939"/>
      <c r="S25" s="939"/>
      <c r="T25" s="953">
        <v>9654517254</v>
      </c>
      <c r="U25" s="939"/>
      <c r="V25" s="953" t="s">
        <v>253</v>
      </c>
      <c r="W25" s="941"/>
      <c r="X25" s="955"/>
      <c r="Y25" s="942"/>
      <c r="Z25" s="942"/>
      <c r="AA25" s="942"/>
      <c r="AB25" s="942"/>
      <c r="AC25" s="942"/>
      <c r="AD25" s="942"/>
      <c r="AE25" s="942"/>
      <c r="AF25" s="942"/>
      <c r="AG25" s="942"/>
      <c r="AH25" s="942"/>
      <c r="AI25" s="942"/>
      <c r="AJ25" s="942"/>
      <c r="AK25" s="942"/>
      <c r="AL25" s="942"/>
      <c r="AM25" s="942"/>
      <c r="AN25" s="942"/>
      <c r="AO25" s="942"/>
      <c r="AP25" s="942"/>
      <c r="AQ25" s="942"/>
      <c r="AR25" s="942"/>
      <c r="AS25" s="942"/>
      <c r="AT25" s="942"/>
      <c r="AU25" s="942"/>
      <c r="AV25" s="942"/>
      <c r="AW25" s="942"/>
      <c r="AX25" s="942"/>
      <c r="AY25" s="942"/>
      <c r="AZ25" s="942"/>
      <c r="BA25" s="942"/>
      <c r="BB25" s="943" t="str">
        <f t="shared" si="1"/>
        <v>Jun 27 2018</v>
      </c>
      <c r="BC25" s="944" t="str">
        <f t="shared" si="2"/>
        <v>Jun</v>
      </c>
      <c r="BD25" s="944" t="str">
        <f t="shared" si="0"/>
        <v>27</v>
      </c>
      <c r="BE25" s="944" t="str">
        <f t="shared" si="3"/>
        <v>2018</v>
      </c>
      <c r="BF25" s="944" t="e">
        <f t="shared" si="4"/>
        <v>#VALUE!</v>
      </c>
      <c r="BG25" s="945" t="e">
        <f t="shared" si="5"/>
        <v>#VALUE!</v>
      </c>
      <c r="BH25" s="946">
        <f t="shared" si="6"/>
        <v>27</v>
      </c>
      <c r="BI25" s="947" t="str">
        <f t="shared" si="7"/>
        <v>TWENTY SEVENTH</v>
      </c>
      <c r="BJ25" s="943" t="str">
        <f t="shared" si="8"/>
        <v>Jun</v>
      </c>
      <c r="BK25" s="947" t="str">
        <f t="shared" si="9"/>
        <v>JUNE</v>
      </c>
      <c r="BL25" s="943">
        <f t="shared" si="10"/>
        <v>2018</v>
      </c>
      <c r="BM25" s="947" t="str">
        <f t="shared" si="11"/>
        <v>TWO THOUSAND EIGHTEEN</v>
      </c>
      <c r="BN25" s="947" t="str">
        <f t="shared" si="12"/>
        <v>TWENTY SEVENTH JUNE TWO THOUSAND EIGHTEEN</v>
      </c>
      <c r="BO25" s="816" t="b">
        <f t="shared" si="13"/>
        <v>0</v>
      </c>
      <c r="BP25" s="816" t="str">
        <f t="shared" si="14"/>
        <v/>
      </c>
    </row>
    <row r="26" ht="21.95" customHeight="1" spans="1:68">
      <c r="A26" s="934">
        <v>25</v>
      </c>
      <c r="B26" s="935" t="str">
        <f t="shared" si="15"/>
        <v>III-A</v>
      </c>
      <c r="C26" s="936"/>
      <c r="D26" s="937">
        <v>20250012364</v>
      </c>
      <c r="E26" s="938" t="s">
        <v>254</v>
      </c>
      <c r="F26" s="937">
        <v>14943</v>
      </c>
      <c r="G26" s="939" t="s">
        <v>255</v>
      </c>
      <c r="H26" s="939" t="s">
        <v>256</v>
      </c>
      <c r="I26" s="939" t="s">
        <v>257</v>
      </c>
      <c r="J26" s="939"/>
      <c r="K26" s="939"/>
      <c r="L26" s="939"/>
      <c r="M26" s="939"/>
      <c r="N26" s="939"/>
      <c r="O26" s="940"/>
      <c r="P26" s="940"/>
      <c r="Q26" s="940"/>
      <c r="R26" s="939"/>
      <c r="S26" s="939"/>
      <c r="T26" s="939">
        <v>8800332010</v>
      </c>
      <c r="U26" s="939"/>
      <c r="V26" s="939" t="s">
        <v>258</v>
      </c>
      <c r="W26" s="941"/>
      <c r="X26" s="941"/>
      <c r="Y26" s="942"/>
      <c r="Z26" s="942"/>
      <c r="AA26" s="942"/>
      <c r="AB26" s="942"/>
      <c r="AC26" s="942"/>
      <c r="AD26" s="942"/>
      <c r="AE26" s="942"/>
      <c r="AF26" s="942"/>
      <c r="AG26" s="942"/>
      <c r="AH26" s="942"/>
      <c r="AI26" s="942"/>
      <c r="AJ26" s="942"/>
      <c r="AK26" s="942"/>
      <c r="AL26" s="942"/>
      <c r="AM26" s="942"/>
      <c r="AN26" s="942"/>
      <c r="AO26" s="942"/>
      <c r="AP26" s="942"/>
      <c r="AQ26" s="942"/>
      <c r="AR26" s="942"/>
      <c r="AS26" s="942"/>
      <c r="AT26" s="942"/>
      <c r="AU26" s="942"/>
      <c r="AV26" s="942"/>
      <c r="AW26" s="942"/>
      <c r="AX26" s="942"/>
      <c r="AY26" s="942"/>
      <c r="AZ26" s="942"/>
      <c r="BA26" s="942"/>
      <c r="BB26" s="943" t="str">
        <f t="shared" si="1"/>
        <v>Aug 31 2018</v>
      </c>
      <c r="BC26" s="944" t="str">
        <f t="shared" si="2"/>
        <v>Aug</v>
      </c>
      <c r="BD26" s="944" t="str">
        <f t="shared" si="0"/>
        <v>31</v>
      </c>
      <c r="BE26" s="944" t="str">
        <f t="shared" si="3"/>
        <v>2018</v>
      </c>
      <c r="BF26" s="944" t="e">
        <f t="shared" si="4"/>
        <v>#VALUE!</v>
      </c>
      <c r="BG26" s="945" t="e">
        <f t="shared" si="5"/>
        <v>#VALUE!</v>
      </c>
      <c r="BH26" s="946">
        <f t="shared" si="6"/>
        <v>31</v>
      </c>
      <c r="BI26" s="947" t="str">
        <f t="shared" si="7"/>
        <v>THIRTY FIRST</v>
      </c>
      <c r="BJ26" s="943" t="str">
        <f t="shared" si="8"/>
        <v>Aug</v>
      </c>
      <c r="BK26" s="947" t="str">
        <f t="shared" si="9"/>
        <v>AUGUST</v>
      </c>
      <c r="BL26" s="943">
        <f t="shared" si="10"/>
        <v>2018</v>
      </c>
      <c r="BM26" s="947" t="str">
        <f t="shared" si="11"/>
        <v>TWO THOUSAND EIGHTEEN</v>
      </c>
      <c r="BN26" s="947" t="str">
        <f t="shared" si="12"/>
        <v>THIRTY FIRST AUGUST TWO THOUSAND EIGHTEEN</v>
      </c>
      <c r="BO26" s="816" t="b">
        <f t="shared" si="13"/>
        <v>0</v>
      </c>
      <c r="BP26" s="816" t="str">
        <f t="shared" si="14"/>
        <v/>
      </c>
    </row>
    <row r="27" ht="21.95" customHeight="1" spans="1:68">
      <c r="A27" s="948">
        <v>26</v>
      </c>
      <c r="B27" s="949" t="str">
        <f t="shared" si="15"/>
        <v>III-A</v>
      </c>
      <c r="C27" s="950"/>
      <c r="D27" s="951">
        <v>20250045334</v>
      </c>
      <c r="E27" s="952" t="s">
        <v>259</v>
      </c>
      <c r="F27" s="951">
        <v>14960</v>
      </c>
      <c r="G27" s="953" t="s">
        <v>260</v>
      </c>
      <c r="H27" s="953" t="s">
        <v>261</v>
      </c>
      <c r="I27" s="953" t="s">
        <v>262</v>
      </c>
      <c r="J27" s="953"/>
      <c r="K27" s="953"/>
      <c r="L27" s="953"/>
      <c r="M27" s="953"/>
      <c r="N27" s="953"/>
      <c r="O27" s="954"/>
      <c r="P27" s="954"/>
      <c r="Q27" s="954"/>
      <c r="R27" s="953"/>
      <c r="S27" s="953"/>
      <c r="T27" s="953">
        <v>8285323941</v>
      </c>
      <c r="U27" s="953"/>
      <c r="V27" s="953" t="s">
        <v>263</v>
      </c>
      <c r="W27" s="955"/>
      <c r="X27" s="955"/>
      <c r="Y27" s="942"/>
      <c r="Z27" s="942"/>
      <c r="AA27" s="942"/>
      <c r="AB27" s="942"/>
      <c r="AC27" s="942"/>
      <c r="AD27" s="942"/>
      <c r="AE27" s="942"/>
      <c r="AF27" s="942"/>
      <c r="AG27" s="942"/>
      <c r="AH27" s="942"/>
      <c r="AI27" s="942"/>
      <c r="AJ27" s="942"/>
      <c r="AK27" s="942"/>
      <c r="AL27" s="942"/>
      <c r="AM27" s="942"/>
      <c r="AN27" s="942"/>
      <c r="AO27" s="942"/>
      <c r="AP27" s="942"/>
      <c r="AQ27" s="942"/>
      <c r="AR27" s="942"/>
      <c r="AS27" s="942"/>
      <c r="AT27" s="942"/>
      <c r="AU27" s="942"/>
      <c r="AV27" s="942"/>
      <c r="AW27" s="942"/>
      <c r="AX27" s="942"/>
      <c r="AY27" s="942"/>
      <c r="AZ27" s="942"/>
      <c r="BA27" s="942"/>
      <c r="BB27" s="943" t="str">
        <f t="shared" si="1"/>
        <v>Mar 25 2019</v>
      </c>
      <c r="BC27" s="944" t="str">
        <f t="shared" si="2"/>
        <v>Mar</v>
      </c>
      <c r="BD27" s="944" t="str">
        <f t="shared" si="0"/>
        <v>25</v>
      </c>
      <c r="BE27" s="944" t="str">
        <f t="shared" si="3"/>
        <v>2019</v>
      </c>
      <c r="BF27" s="944" t="e">
        <f t="shared" si="4"/>
        <v>#VALUE!</v>
      </c>
      <c r="BG27" s="945" t="e">
        <f t="shared" si="5"/>
        <v>#VALUE!</v>
      </c>
      <c r="BH27" s="946">
        <f t="shared" si="6"/>
        <v>25</v>
      </c>
      <c r="BI27" s="947" t="str">
        <f t="shared" si="7"/>
        <v>TWENTY FIFTH</v>
      </c>
      <c r="BJ27" s="943" t="str">
        <f t="shared" si="8"/>
        <v>Mar</v>
      </c>
      <c r="BK27" s="947" t="str">
        <f t="shared" si="9"/>
        <v>MARCH</v>
      </c>
      <c r="BL27" s="943">
        <f t="shared" si="10"/>
        <v>2019</v>
      </c>
      <c r="BM27" s="947" t="str">
        <f t="shared" si="11"/>
        <v>TWO THOUSAND NINETEEN</v>
      </c>
      <c r="BN27" s="947" t="str">
        <f t="shared" si="12"/>
        <v>TWENTY FIFTH MARCH TWO THOUSAND NINETEEN</v>
      </c>
      <c r="BO27" s="816" t="b">
        <f t="shared" si="13"/>
        <v>0</v>
      </c>
      <c r="BP27" s="816" t="str">
        <f t="shared" si="14"/>
        <v/>
      </c>
    </row>
    <row r="28" ht="21.95" customHeight="1" spans="1:68">
      <c r="A28" s="934">
        <v>27</v>
      </c>
      <c r="B28" s="935" t="str">
        <f t="shared" si="15"/>
        <v>III-A</v>
      </c>
      <c r="C28" s="936"/>
      <c r="D28" s="937">
        <v>20250064030</v>
      </c>
      <c r="E28" s="938" t="s">
        <v>264</v>
      </c>
      <c r="F28" s="937">
        <v>14976</v>
      </c>
      <c r="G28" s="939" t="s">
        <v>265</v>
      </c>
      <c r="H28" s="939" t="s">
        <v>266</v>
      </c>
      <c r="I28" s="939" t="s">
        <v>267</v>
      </c>
      <c r="J28" s="953"/>
      <c r="K28" s="953"/>
      <c r="L28" s="953"/>
      <c r="M28" s="953"/>
      <c r="N28" s="953"/>
      <c r="O28" s="954"/>
      <c r="P28" s="954"/>
      <c r="Q28" s="954"/>
      <c r="R28" s="953"/>
      <c r="S28" s="953"/>
      <c r="T28" s="939">
        <v>9718355129</v>
      </c>
      <c r="U28" s="953"/>
      <c r="V28" s="939" t="s">
        <v>268</v>
      </c>
      <c r="W28" s="955"/>
      <c r="X28" s="955"/>
      <c r="Y28" s="942"/>
      <c r="Z28" s="942"/>
      <c r="AA28" s="942"/>
      <c r="AB28" s="942"/>
      <c r="AC28" s="942"/>
      <c r="AD28" s="942"/>
      <c r="AE28" s="942"/>
      <c r="AF28" s="942"/>
      <c r="AG28" s="942"/>
      <c r="AH28" s="942"/>
      <c r="AI28" s="942"/>
      <c r="AJ28" s="942"/>
      <c r="AK28" s="942"/>
      <c r="AL28" s="942"/>
      <c r="AM28" s="942"/>
      <c r="AN28" s="942"/>
      <c r="AO28" s="942"/>
      <c r="AP28" s="942"/>
      <c r="AQ28" s="942"/>
      <c r="AR28" s="942"/>
      <c r="AS28" s="942"/>
      <c r="AT28" s="942"/>
      <c r="AU28" s="942"/>
      <c r="AV28" s="942"/>
      <c r="AW28" s="942"/>
      <c r="AX28" s="942"/>
      <c r="AY28" s="942"/>
      <c r="AZ28" s="942"/>
      <c r="BA28" s="942"/>
      <c r="BB28" s="943" t="str">
        <f t="shared" si="1"/>
        <v>Nov 4 2017</v>
      </c>
      <c r="BC28" s="944" t="str">
        <f t="shared" si="2"/>
        <v>Nov</v>
      </c>
      <c r="BD28" s="944" t="str">
        <f t="shared" si="0"/>
        <v>4 </v>
      </c>
      <c r="BE28" s="944" t="str">
        <f t="shared" si="3"/>
        <v>2017</v>
      </c>
      <c r="BF28" s="944" t="e">
        <f t="shared" si="4"/>
        <v>#VALUE!</v>
      </c>
      <c r="BG28" s="945" t="e">
        <f t="shared" si="5"/>
        <v>#VALUE!</v>
      </c>
      <c r="BH28" s="946">
        <f t="shared" si="6"/>
        <v>4</v>
      </c>
      <c r="BI28" s="947" t="str">
        <f t="shared" si="7"/>
        <v>FOURTH</v>
      </c>
      <c r="BJ28" s="943" t="str">
        <f t="shared" si="8"/>
        <v>Nov</v>
      </c>
      <c r="BK28" s="947" t="str">
        <f t="shared" si="9"/>
        <v>NOVEMBER</v>
      </c>
      <c r="BL28" s="943">
        <f t="shared" si="10"/>
        <v>2017</v>
      </c>
      <c r="BM28" s="947" t="str">
        <f t="shared" si="11"/>
        <v>TWO THOUSAND SEVENTEEN</v>
      </c>
      <c r="BN28" s="947" t="str">
        <f t="shared" si="12"/>
        <v>FOURTH NOVEMBER TWO THOUSAND SEVENTEEN</v>
      </c>
      <c r="BO28" s="816" t="b">
        <f t="shared" si="13"/>
        <v>0</v>
      </c>
      <c r="BP28" s="816" t="str">
        <f t="shared" si="14"/>
        <v/>
      </c>
    </row>
    <row r="29" ht="21.95" customHeight="1" spans="1:68">
      <c r="A29" s="948">
        <v>28</v>
      </c>
      <c r="B29" s="949" t="str">
        <f t="shared" si="15"/>
        <v>III-A</v>
      </c>
      <c r="C29" s="950"/>
      <c r="D29" s="951">
        <v>20250104050</v>
      </c>
      <c r="E29" s="952" t="s">
        <v>269</v>
      </c>
      <c r="F29" s="951">
        <v>14999</v>
      </c>
      <c r="G29" s="953" t="s">
        <v>270</v>
      </c>
      <c r="H29" s="953" t="s">
        <v>271</v>
      </c>
      <c r="I29" s="953" t="s">
        <v>272</v>
      </c>
      <c r="J29" s="939"/>
      <c r="K29" s="939"/>
      <c r="L29" s="939"/>
      <c r="M29" s="939"/>
      <c r="N29" s="939"/>
      <c r="O29" s="940"/>
      <c r="P29" s="940"/>
      <c r="Q29" s="940"/>
      <c r="R29" s="939"/>
      <c r="S29" s="939"/>
      <c r="T29" s="953">
        <v>8527438978</v>
      </c>
      <c r="U29" s="939"/>
      <c r="V29" s="953" t="s">
        <v>273</v>
      </c>
      <c r="W29" s="941"/>
      <c r="X29" s="941"/>
      <c r="Y29" s="942"/>
      <c r="Z29" s="942"/>
      <c r="AA29" s="942"/>
      <c r="AB29" s="942"/>
      <c r="AC29" s="942"/>
      <c r="AD29" s="942"/>
      <c r="AE29" s="942"/>
      <c r="AF29" s="942"/>
      <c r="AG29" s="942"/>
      <c r="AH29" s="942"/>
      <c r="AI29" s="942"/>
      <c r="AJ29" s="942"/>
      <c r="AK29" s="942"/>
      <c r="AL29" s="942"/>
      <c r="AM29" s="942"/>
      <c r="AN29" s="942"/>
      <c r="AO29" s="942"/>
      <c r="AP29" s="942"/>
      <c r="AQ29" s="942"/>
      <c r="AR29" s="942"/>
      <c r="AS29" s="942"/>
      <c r="AT29" s="942"/>
      <c r="AU29" s="942"/>
      <c r="AV29" s="942"/>
      <c r="AW29" s="942"/>
      <c r="AX29" s="942"/>
      <c r="AY29" s="942"/>
      <c r="AZ29" s="942"/>
      <c r="BA29" s="942"/>
      <c r="BB29" s="943" t="str">
        <f t="shared" si="1"/>
        <v>Oct 30 2018</v>
      </c>
      <c r="BC29" s="944" t="str">
        <f t="shared" si="2"/>
        <v>Oct</v>
      </c>
      <c r="BD29" s="944" t="str">
        <f t="shared" si="0"/>
        <v>30</v>
      </c>
      <c r="BE29" s="944" t="str">
        <f t="shared" si="3"/>
        <v>2018</v>
      </c>
      <c r="BF29" s="944" t="e">
        <f t="shared" si="4"/>
        <v>#VALUE!</v>
      </c>
      <c r="BG29" s="945" t="e">
        <f t="shared" si="5"/>
        <v>#VALUE!</v>
      </c>
      <c r="BH29" s="946">
        <f t="shared" si="6"/>
        <v>30</v>
      </c>
      <c r="BI29" s="947" t="str">
        <f t="shared" si="7"/>
        <v>THIRTIETH</v>
      </c>
      <c r="BJ29" s="943" t="str">
        <f t="shared" si="8"/>
        <v>Oct</v>
      </c>
      <c r="BK29" s="947" t="str">
        <f t="shared" si="9"/>
        <v>OCTOBER</v>
      </c>
      <c r="BL29" s="943">
        <f t="shared" si="10"/>
        <v>2018</v>
      </c>
      <c r="BM29" s="947" t="str">
        <f t="shared" si="11"/>
        <v>TWO THOUSAND EIGHTEEN</v>
      </c>
      <c r="BN29" s="947" t="str">
        <f t="shared" si="12"/>
        <v>THIRTIETH OCTOBER TWO THOUSAND EIGHTEEN</v>
      </c>
      <c r="BO29" s="816" t="b">
        <f t="shared" si="13"/>
        <v>0</v>
      </c>
      <c r="BP29" s="816" t="str">
        <f t="shared" si="14"/>
        <v/>
      </c>
    </row>
    <row r="30" ht="21.95" customHeight="1" spans="1:68">
      <c r="A30" s="934">
        <v>29</v>
      </c>
      <c r="B30" s="935" t="str">
        <f t="shared" si="15"/>
        <v>III-A</v>
      </c>
      <c r="C30" s="936"/>
      <c r="D30" s="937">
        <v>20250104062</v>
      </c>
      <c r="E30" s="938" t="s">
        <v>264</v>
      </c>
      <c r="F30" s="937">
        <v>15000</v>
      </c>
      <c r="G30" s="939" t="s">
        <v>274</v>
      </c>
      <c r="H30" s="939" t="s">
        <v>275</v>
      </c>
      <c r="I30" s="939" t="s">
        <v>276</v>
      </c>
      <c r="J30" s="953"/>
      <c r="K30" s="953"/>
      <c r="L30" s="953"/>
      <c r="M30" s="953"/>
      <c r="N30" s="953"/>
      <c r="O30" s="954"/>
      <c r="P30" s="954"/>
      <c r="Q30" s="954"/>
      <c r="R30" s="953"/>
      <c r="S30" s="953"/>
      <c r="T30" s="939">
        <v>8860231535</v>
      </c>
      <c r="U30" s="953"/>
      <c r="V30" s="939" t="s">
        <v>277</v>
      </c>
      <c r="W30" s="955"/>
      <c r="X30" s="955"/>
      <c r="Y30" s="942"/>
      <c r="Z30" s="942"/>
      <c r="AA30" s="942"/>
      <c r="AB30" s="942"/>
      <c r="AC30" s="942"/>
      <c r="AD30" s="942"/>
      <c r="AE30" s="942"/>
      <c r="AF30" s="942"/>
      <c r="AG30" s="942"/>
      <c r="AH30" s="942"/>
      <c r="AI30" s="942"/>
      <c r="AJ30" s="942"/>
      <c r="AK30" s="942"/>
      <c r="AL30" s="942"/>
      <c r="AM30" s="942"/>
      <c r="AN30" s="942"/>
      <c r="AO30" s="942"/>
      <c r="AP30" s="942"/>
      <c r="AQ30" s="942"/>
      <c r="AR30" s="942"/>
      <c r="AS30" s="942"/>
      <c r="AT30" s="942"/>
      <c r="AU30" s="942"/>
      <c r="AV30" s="942"/>
      <c r="AW30" s="942"/>
      <c r="AX30" s="942"/>
      <c r="AY30" s="942"/>
      <c r="AZ30" s="942"/>
      <c r="BA30" s="942"/>
      <c r="BB30" s="943" t="str">
        <f t="shared" si="1"/>
        <v>Oct 1 2018</v>
      </c>
      <c r="BC30" s="944" t="str">
        <f t="shared" si="2"/>
        <v>Oct</v>
      </c>
      <c r="BD30" s="944" t="str">
        <f t="shared" si="0"/>
        <v>1 </v>
      </c>
      <c r="BE30" s="944" t="str">
        <f t="shared" si="3"/>
        <v>2018</v>
      </c>
      <c r="BF30" s="944" t="e">
        <f t="shared" si="4"/>
        <v>#VALUE!</v>
      </c>
      <c r="BG30" s="945" t="e">
        <f t="shared" si="5"/>
        <v>#VALUE!</v>
      </c>
      <c r="BH30" s="946">
        <f t="shared" si="6"/>
        <v>1</v>
      </c>
      <c r="BI30" s="947" t="str">
        <f t="shared" si="7"/>
        <v>FIRST</v>
      </c>
      <c r="BJ30" s="943" t="str">
        <f t="shared" si="8"/>
        <v>Oct</v>
      </c>
      <c r="BK30" s="947" t="str">
        <f t="shared" si="9"/>
        <v>OCTOBER</v>
      </c>
      <c r="BL30" s="943">
        <f t="shared" si="10"/>
        <v>2018</v>
      </c>
      <c r="BM30" s="947" t="str">
        <f t="shared" si="11"/>
        <v>TWO THOUSAND EIGHTEEN</v>
      </c>
      <c r="BN30" s="947" t="str">
        <f t="shared" si="12"/>
        <v>FIRST OCTOBER TWO THOUSAND EIGHTEEN</v>
      </c>
      <c r="BO30" s="816" t="b">
        <f t="shared" si="13"/>
        <v>0</v>
      </c>
      <c r="BP30" s="816" t="str">
        <f t="shared" si="14"/>
        <v/>
      </c>
    </row>
    <row r="31" ht="21.95" customHeight="1" spans="1:68">
      <c r="A31" s="948">
        <v>30</v>
      </c>
      <c r="B31" s="949" t="str">
        <f t="shared" si="15"/>
        <v>III-A</v>
      </c>
      <c r="C31" s="950"/>
      <c r="D31" s="951">
        <v>20250141853</v>
      </c>
      <c r="E31" s="952" t="s">
        <v>278</v>
      </c>
      <c r="F31" s="951">
        <v>15022</v>
      </c>
      <c r="G31" s="953" t="s">
        <v>279</v>
      </c>
      <c r="H31" s="953" t="s">
        <v>280</v>
      </c>
      <c r="I31" s="953" t="s">
        <v>281</v>
      </c>
      <c r="J31" s="939"/>
      <c r="K31" s="939"/>
      <c r="L31" s="939"/>
      <c r="M31" s="939"/>
      <c r="N31" s="939"/>
      <c r="O31" s="940"/>
      <c r="P31" s="940"/>
      <c r="Q31" s="940"/>
      <c r="R31" s="939"/>
      <c r="S31" s="939"/>
      <c r="T31" s="953">
        <v>9315749491</v>
      </c>
      <c r="U31" s="939"/>
      <c r="V31" s="953" t="s">
        <v>282</v>
      </c>
      <c r="W31" s="941"/>
      <c r="X31" s="941"/>
      <c r="Y31" s="942"/>
      <c r="Z31" s="942"/>
      <c r="AA31" s="942"/>
      <c r="AB31" s="942"/>
      <c r="AC31" s="942"/>
      <c r="AD31" s="942"/>
      <c r="AE31" s="942"/>
      <c r="AF31" s="942"/>
      <c r="AG31" s="942"/>
      <c r="AH31" s="942"/>
      <c r="AI31" s="942"/>
      <c r="AJ31" s="942"/>
      <c r="AK31" s="942"/>
      <c r="AL31" s="942"/>
      <c r="AM31" s="942"/>
      <c r="AN31" s="942"/>
      <c r="AO31" s="942"/>
      <c r="AP31" s="942"/>
      <c r="AQ31" s="942"/>
      <c r="AR31" s="942"/>
      <c r="AS31" s="942"/>
      <c r="AT31" s="942"/>
      <c r="AU31" s="942"/>
      <c r="AV31" s="942"/>
      <c r="AW31" s="942"/>
      <c r="AX31" s="942"/>
      <c r="AY31" s="942"/>
      <c r="AZ31" s="942"/>
      <c r="BA31" s="942"/>
      <c r="BB31" s="943" t="str">
        <f t="shared" si="1"/>
        <v>Jan 25 2018</v>
      </c>
      <c r="BC31" s="944" t="str">
        <f t="shared" si="2"/>
        <v>Jan</v>
      </c>
      <c r="BD31" s="944" t="str">
        <f t="shared" si="0"/>
        <v>25</v>
      </c>
      <c r="BE31" s="944" t="str">
        <f t="shared" si="3"/>
        <v>2018</v>
      </c>
      <c r="BF31" s="944" t="e">
        <f t="shared" si="4"/>
        <v>#VALUE!</v>
      </c>
      <c r="BG31" s="945" t="e">
        <f t="shared" si="5"/>
        <v>#VALUE!</v>
      </c>
      <c r="BH31" s="946">
        <f t="shared" si="6"/>
        <v>25</v>
      </c>
      <c r="BI31" s="947" t="str">
        <f t="shared" si="7"/>
        <v>TWENTY FIFTH</v>
      </c>
      <c r="BJ31" s="943" t="str">
        <f t="shared" si="8"/>
        <v>Jan</v>
      </c>
      <c r="BK31" s="947" t="str">
        <f t="shared" si="9"/>
        <v>JANUARY</v>
      </c>
      <c r="BL31" s="943">
        <f t="shared" si="10"/>
        <v>2018</v>
      </c>
      <c r="BM31" s="947" t="str">
        <f t="shared" si="11"/>
        <v>TWO THOUSAND EIGHTEEN</v>
      </c>
      <c r="BN31" s="947" t="str">
        <f t="shared" si="12"/>
        <v>TWENTY FIFTH JANUARY TWO THOUSAND EIGHTEEN</v>
      </c>
      <c r="BO31" s="816" t="b">
        <f t="shared" si="13"/>
        <v>0</v>
      </c>
      <c r="BP31" s="816" t="str">
        <f t="shared" si="14"/>
        <v/>
      </c>
    </row>
    <row r="32" ht="21.95" customHeight="1" spans="1:68">
      <c r="A32" s="934">
        <v>31</v>
      </c>
      <c r="B32" s="935" t="str">
        <f t="shared" si="15"/>
        <v>III-A</v>
      </c>
      <c r="C32" s="936"/>
      <c r="D32" s="937">
        <v>20250188568</v>
      </c>
      <c r="E32" s="938" t="s">
        <v>283</v>
      </c>
      <c r="F32" s="937">
        <v>15034</v>
      </c>
      <c r="G32" s="939" t="s">
        <v>284</v>
      </c>
      <c r="H32" s="939" t="s">
        <v>285</v>
      </c>
      <c r="I32" s="939" t="s">
        <v>286</v>
      </c>
      <c r="J32" s="956"/>
      <c r="K32" s="957"/>
      <c r="L32" s="955"/>
      <c r="M32" s="955"/>
      <c r="N32" s="958"/>
      <c r="O32" s="954"/>
      <c r="P32" s="954"/>
      <c r="Q32" s="954"/>
      <c r="R32" s="955"/>
      <c r="S32" s="955"/>
      <c r="T32" s="939">
        <v>8448641560</v>
      </c>
      <c r="U32" s="959"/>
      <c r="V32" s="939" t="s">
        <v>287</v>
      </c>
      <c r="W32" s="955"/>
      <c r="X32" s="955"/>
      <c r="Y32" s="942"/>
      <c r="Z32" s="942"/>
      <c r="AA32" s="942"/>
      <c r="AB32" s="942"/>
      <c r="AC32" s="942"/>
      <c r="AD32" s="942"/>
      <c r="AE32" s="942"/>
      <c r="AF32" s="942"/>
      <c r="AG32" s="942"/>
      <c r="AH32" s="942"/>
      <c r="AI32" s="942"/>
      <c r="AJ32" s="942"/>
      <c r="AK32" s="942"/>
      <c r="AL32" s="942"/>
      <c r="AM32" s="942"/>
      <c r="AN32" s="942"/>
      <c r="AO32" s="942"/>
      <c r="AP32" s="942"/>
      <c r="AQ32" s="942"/>
      <c r="AR32" s="942"/>
      <c r="AS32" s="942"/>
      <c r="AT32" s="942"/>
      <c r="AU32" s="942"/>
      <c r="AV32" s="942"/>
      <c r="AW32" s="942"/>
      <c r="AX32" s="942"/>
      <c r="AY32" s="942"/>
      <c r="AZ32" s="942"/>
      <c r="BA32" s="942"/>
      <c r="BB32" s="943" t="str">
        <f t="shared" si="1"/>
        <v>Jul 14 2018</v>
      </c>
      <c r="BC32" s="944" t="str">
        <f t="shared" si="2"/>
        <v>Jul</v>
      </c>
      <c r="BD32" s="944" t="str">
        <f t="shared" si="0"/>
        <v>14</v>
      </c>
      <c r="BE32" s="944" t="str">
        <f t="shared" si="3"/>
        <v>2018</v>
      </c>
      <c r="BF32" s="944" t="e">
        <f t="shared" si="4"/>
        <v>#VALUE!</v>
      </c>
      <c r="BG32" s="945" t="e">
        <f t="shared" si="5"/>
        <v>#VALUE!</v>
      </c>
      <c r="BH32" s="946">
        <f t="shared" si="6"/>
        <v>14</v>
      </c>
      <c r="BI32" s="947" t="str">
        <f t="shared" si="7"/>
        <v>FOURTEENTH</v>
      </c>
      <c r="BJ32" s="943" t="str">
        <f t="shared" si="8"/>
        <v>Jul</v>
      </c>
      <c r="BK32" s="947" t="str">
        <f t="shared" si="9"/>
        <v>JULY</v>
      </c>
      <c r="BL32" s="943">
        <f t="shared" si="10"/>
        <v>2018</v>
      </c>
      <c r="BM32" s="947" t="str">
        <f t="shared" si="11"/>
        <v>TWO THOUSAND EIGHTEEN</v>
      </c>
      <c r="BN32" s="947" t="str">
        <f t="shared" si="12"/>
        <v>FOURTEENTH JULY TWO THOUSAND EIGHTEEN</v>
      </c>
      <c r="BO32" s="816" t="b">
        <f t="shared" si="13"/>
        <v>0</v>
      </c>
      <c r="BP32" s="816" t="str">
        <f t="shared" si="14"/>
        <v/>
      </c>
    </row>
    <row r="33" ht="21.95" customHeight="1" spans="1:68">
      <c r="A33" s="948">
        <v>32</v>
      </c>
      <c r="B33" s="949" t="str">
        <f t="shared" si="15"/>
        <v>III-A</v>
      </c>
      <c r="C33" s="950"/>
      <c r="D33" s="951">
        <v>20250188626</v>
      </c>
      <c r="E33" s="952" t="s">
        <v>288</v>
      </c>
      <c r="F33" s="951">
        <v>15035</v>
      </c>
      <c r="G33" s="953" t="s">
        <v>289</v>
      </c>
      <c r="H33" s="953" t="s">
        <v>290</v>
      </c>
      <c r="I33" s="953" t="s">
        <v>291</v>
      </c>
      <c r="J33" s="960"/>
      <c r="K33" s="961"/>
      <c r="L33" s="941"/>
      <c r="M33" s="941"/>
      <c r="N33" s="962"/>
      <c r="O33" s="940"/>
      <c r="P33" s="940"/>
      <c r="Q33" s="940"/>
      <c r="R33" s="941"/>
      <c r="S33" s="941"/>
      <c r="T33" s="953">
        <v>6261811930</v>
      </c>
      <c r="U33" s="963"/>
      <c r="V33" s="953" t="s">
        <v>292</v>
      </c>
      <c r="W33" s="941"/>
      <c r="X33" s="941"/>
      <c r="Y33" s="942"/>
      <c r="Z33" s="942"/>
      <c r="AA33" s="942"/>
      <c r="AB33" s="942"/>
      <c r="AC33" s="942"/>
      <c r="AD33" s="942"/>
      <c r="AE33" s="942"/>
      <c r="AF33" s="942"/>
      <c r="AG33" s="942"/>
      <c r="AH33" s="942"/>
      <c r="AI33" s="942"/>
      <c r="AJ33" s="942"/>
      <c r="AK33" s="942"/>
      <c r="AL33" s="942"/>
      <c r="AM33" s="942"/>
      <c r="AN33" s="942"/>
      <c r="AO33" s="942"/>
      <c r="AP33" s="942"/>
      <c r="AQ33" s="942"/>
      <c r="AR33" s="942"/>
      <c r="AS33" s="942"/>
      <c r="AT33" s="942"/>
      <c r="AU33" s="942"/>
      <c r="AV33" s="942"/>
      <c r="AW33" s="942"/>
      <c r="AX33" s="942"/>
      <c r="AY33" s="942"/>
      <c r="AZ33" s="942"/>
      <c r="BA33" s="942"/>
      <c r="BB33" s="943" t="str">
        <f t="shared" si="1"/>
        <v>Jul 20 2018</v>
      </c>
      <c r="BC33" s="944" t="str">
        <f t="shared" si="2"/>
        <v>Jul</v>
      </c>
      <c r="BD33" s="944" t="str">
        <f t="shared" si="0"/>
        <v>20</v>
      </c>
      <c r="BE33" s="944" t="str">
        <f t="shared" si="3"/>
        <v>2018</v>
      </c>
      <c r="BF33" s="944" t="e">
        <f t="shared" si="4"/>
        <v>#VALUE!</v>
      </c>
      <c r="BG33" s="945" t="e">
        <f t="shared" si="5"/>
        <v>#VALUE!</v>
      </c>
      <c r="BH33" s="946">
        <f t="shared" si="6"/>
        <v>20</v>
      </c>
      <c r="BI33" s="947" t="str">
        <f t="shared" si="7"/>
        <v>TWENTIETH</v>
      </c>
      <c r="BJ33" s="943" t="str">
        <f t="shared" si="8"/>
        <v>Jul</v>
      </c>
      <c r="BK33" s="947" t="str">
        <f t="shared" si="9"/>
        <v>JULY</v>
      </c>
      <c r="BL33" s="943">
        <f t="shared" si="10"/>
        <v>2018</v>
      </c>
      <c r="BM33" s="947" t="str">
        <f t="shared" si="11"/>
        <v>TWO THOUSAND EIGHTEEN</v>
      </c>
      <c r="BN33" s="947" t="str">
        <f t="shared" si="12"/>
        <v>TWENTIETH JULY TWO THOUSAND EIGHTEEN</v>
      </c>
      <c r="BO33" s="816" t="b">
        <f t="shared" si="13"/>
        <v>0</v>
      </c>
      <c r="BP33" s="816" t="str">
        <f t="shared" si="14"/>
        <v/>
      </c>
    </row>
    <row r="34" ht="21.95" customHeight="1" spans="1:68">
      <c r="A34" s="934">
        <v>33</v>
      </c>
      <c r="B34" s="935" t="str">
        <f t="shared" si="15"/>
        <v>III-A</v>
      </c>
      <c r="C34" s="936"/>
      <c r="D34" s="937">
        <v>20250246710</v>
      </c>
      <c r="E34" s="938" t="s">
        <v>293</v>
      </c>
      <c r="F34" s="937">
        <v>15077</v>
      </c>
      <c r="G34" s="939" t="s">
        <v>294</v>
      </c>
      <c r="H34" s="939" t="s">
        <v>295</v>
      </c>
      <c r="I34" s="939" t="s">
        <v>296</v>
      </c>
      <c r="J34" s="956"/>
      <c r="K34" s="957"/>
      <c r="L34" s="955"/>
      <c r="M34" s="955"/>
      <c r="N34" s="958"/>
      <c r="O34" s="954"/>
      <c r="P34" s="954"/>
      <c r="Q34" s="954"/>
      <c r="R34" s="955"/>
      <c r="S34" s="955"/>
      <c r="T34" s="939">
        <v>6397053728</v>
      </c>
      <c r="U34" s="959"/>
      <c r="V34" s="939" t="s">
        <v>297</v>
      </c>
      <c r="W34" s="955"/>
      <c r="X34" s="955"/>
      <c r="Y34" s="942"/>
      <c r="Z34" s="942"/>
      <c r="AA34" s="942"/>
      <c r="AB34" s="942"/>
      <c r="AC34" s="942"/>
      <c r="AD34" s="942"/>
      <c r="AE34" s="942"/>
      <c r="AF34" s="942"/>
      <c r="AG34" s="942"/>
      <c r="AH34" s="942"/>
      <c r="AI34" s="942"/>
      <c r="AJ34" s="942"/>
      <c r="AK34" s="942"/>
      <c r="AL34" s="942"/>
      <c r="AM34" s="942"/>
      <c r="AN34" s="942"/>
      <c r="AO34" s="942"/>
      <c r="AP34" s="942"/>
      <c r="AQ34" s="942"/>
      <c r="AR34" s="942"/>
      <c r="AS34" s="942"/>
      <c r="AT34" s="942"/>
      <c r="AU34" s="942"/>
      <c r="AV34" s="942"/>
      <c r="AW34" s="942"/>
      <c r="AX34" s="942"/>
      <c r="AY34" s="942"/>
      <c r="AZ34" s="942"/>
      <c r="BA34" s="942"/>
      <c r="BB34" s="943" t="str">
        <f t="shared" si="1"/>
        <v>Dec 25 2018</v>
      </c>
      <c r="BC34" s="944" t="str">
        <f t="shared" si="2"/>
        <v>Dec</v>
      </c>
      <c r="BD34" s="944" t="str">
        <f t="shared" si="0"/>
        <v>25</v>
      </c>
      <c r="BE34" s="944" t="str">
        <f t="shared" si="3"/>
        <v>2018</v>
      </c>
      <c r="BF34" s="944" t="e">
        <f t="shared" si="4"/>
        <v>#VALUE!</v>
      </c>
      <c r="BG34" s="945" t="e">
        <f t="shared" si="5"/>
        <v>#VALUE!</v>
      </c>
      <c r="BH34" s="946">
        <f t="shared" si="6"/>
        <v>25</v>
      </c>
      <c r="BI34" s="947" t="str">
        <f t="shared" si="7"/>
        <v>TWENTY FIFTH</v>
      </c>
      <c r="BJ34" s="943" t="str">
        <f t="shared" si="8"/>
        <v>Dec</v>
      </c>
      <c r="BK34" s="947" t="str">
        <f t="shared" si="9"/>
        <v>DECEMBER</v>
      </c>
      <c r="BL34" s="943">
        <f t="shared" si="10"/>
        <v>2018</v>
      </c>
      <c r="BM34" s="947" t="str">
        <f t="shared" si="11"/>
        <v>TWO THOUSAND EIGHTEEN</v>
      </c>
      <c r="BN34" s="947" t="str">
        <f t="shared" si="12"/>
        <v>TWENTY FIFTH DECEMBER TWO THOUSAND EIGHTEEN</v>
      </c>
      <c r="BO34" s="816" t="b">
        <f t="shared" si="13"/>
        <v>0</v>
      </c>
      <c r="BP34" s="816" t="str">
        <f t="shared" si="14"/>
        <v/>
      </c>
    </row>
    <row r="35" ht="21.95" customHeight="1" spans="1:68">
      <c r="A35" s="948">
        <v>34</v>
      </c>
      <c r="B35" s="949" t="str">
        <f t="shared" si="15"/>
        <v>III-A</v>
      </c>
      <c r="C35" s="950"/>
      <c r="D35" s="951">
        <v>20250257787</v>
      </c>
      <c r="E35" s="952" t="s">
        <v>298</v>
      </c>
      <c r="F35" s="951">
        <v>15088</v>
      </c>
      <c r="G35" s="953" t="s">
        <v>299</v>
      </c>
      <c r="H35" s="953" t="s">
        <v>300</v>
      </c>
      <c r="I35" s="953" t="s">
        <v>301</v>
      </c>
      <c r="J35" s="960"/>
      <c r="K35" s="961"/>
      <c r="L35" s="941"/>
      <c r="M35" s="941"/>
      <c r="N35" s="962"/>
      <c r="O35" s="940"/>
      <c r="P35" s="940"/>
      <c r="Q35" s="940"/>
      <c r="R35" s="941"/>
      <c r="S35" s="941"/>
      <c r="T35" s="953">
        <v>8360224558</v>
      </c>
      <c r="U35" s="963"/>
      <c r="V35" s="953" t="s">
        <v>302</v>
      </c>
      <c r="W35" s="941"/>
      <c r="X35" s="941"/>
      <c r="Y35" s="942"/>
      <c r="Z35" s="942"/>
      <c r="AA35" s="942"/>
      <c r="AB35" s="942"/>
      <c r="AC35" s="942"/>
      <c r="AD35" s="942"/>
      <c r="AE35" s="942"/>
      <c r="AF35" s="942"/>
      <c r="AG35" s="942"/>
      <c r="AH35" s="942"/>
      <c r="AI35" s="942"/>
      <c r="AJ35" s="942"/>
      <c r="AK35" s="942"/>
      <c r="AL35" s="942"/>
      <c r="AM35" s="942"/>
      <c r="AN35" s="942"/>
      <c r="AO35" s="942"/>
      <c r="AP35" s="942"/>
      <c r="AQ35" s="942"/>
      <c r="AR35" s="942"/>
      <c r="AS35" s="942"/>
      <c r="AT35" s="942"/>
      <c r="AU35" s="942"/>
      <c r="AV35" s="942"/>
      <c r="AW35" s="942"/>
      <c r="AX35" s="942"/>
      <c r="AY35" s="942"/>
      <c r="AZ35" s="942"/>
      <c r="BA35" s="942"/>
      <c r="BB35" s="943" t="str">
        <f t="shared" si="1"/>
        <v>May 3 2018</v>
      </c>
      <c r="BC35" s="944" t="str">
        <f t="shared" si="2"/>
        <v>May</v>
      </c>
      <c r="BD35" s="944" t="str">
        <f t="shared" si="0"/>
        <v>3 </v>
      </c>
      <c r="BE35" s="944" t="str">
        <f t="shared" si="3"/>
        <v>2018</v>
      </c>
      <c r="BF35" s="944" t="e">
        <f t="shared" si="4"/>
        <v>#VALUE!</v>
      </c>
      <c r="BG35" s="945" t="e">
        <f t="shared" si="5"/>
        <v>#VALUE!</v>
      </c>
      <c r="BH35" s="946">
        <f t="shared" si="6"/>
        <v>3</v>
      </c>
      <c r="BI35" s="947" t="str">
        <f t="shared" si="7"/>
        <v>THIRD</v>
      </c>
      <c r="BJ35" s="943" t="str">
        <f t="shared" si="8"/>
        <v>May</v>
      </c>
      <c r="BK35" s="947" t="str">
        <f t="shared" si="9"/>
        <v>MAY</v>
      </c>
      <c r="BL35" s="943">
        <f t="shared" si="10"/>
        <v>2018</v>
      </c>
      <c r="BM35" s="947" t="str">
        <f t="shared" si="11"/>
        <v>TWO THOUSAND EIGHTEEN</v>
      </c>
      <c r="BN35" s="947" t="str">
        <f t="shared" si="12"/>
        <v>THIRD MAY TWO THOUSAND EIGHTEEN</v>
      </c>
      <c r="BO35" s="816" t="b">
        <f t="shared" si="13"/>
        <v>0</v>
      </c>
      <c r="BP35" s="816" t="str">
        <f t="shared" si="14"/>
        <v/>
      </c>
    </row>
    <row r="36" ht="21.95" customHeight="1" spans="1:68">
      <c r="A36" s="934">
        <v>35</v>
      </c>
      <c r="B36" s="935" t="str">
        <f t="shared" si="15"/>
        <v>III-A</v>
      </c>
      <c r="C36" s="936"/>
      <c r="D36" s="937">
        <v>20250272033</v>
      </c>
      <c r="E36" s="938" t="s">
        <v>303</v>
      </c>
      <c r="F36" s="937">
        <v>15104</v>
      </c>
      <c r="G36" s="939" t="s">
        <v>304</v>
      </c>
      <c r="H36" s="939" t="s">
        <v>305</v>
      </c>
      <c r="I36" s="939" t="s">
        <v>306</v>
      </c>
      <c r="J36" s="956"/>
      <c r="K36" s="957"/>
      <c r="L36" s="955"/>
      <c r="M36" s="955"/>
      <c r="N36" s="958"/>
      <c r="O36" s="954"/>
      <c r="P36" s="954"/>
      <c r="Q36" s="954"/>
      <c r="R36" s="955"/>
      <c r="S36" s="955"/>
      <c r="T36" s="939">
        <v>9717319030</v>
      </c>
      <c r="U36" s="959"/>
      <c r="V36" s="939" t="s">
        <v>307</v>
      </c>
      <c r="W36" s="955"/>
      <c r="X36" s="955"/>
      <c r="Y36" s="942"/>
      <c r="Z36" s="942"/>
      <c r="AA36" s="942"/>
      <c r="AB36" s="942"/>
      <c r="AC36" s="942"/>
      <c r="AD36" s="942"/>
      <c r="AE36" s="942"/>
      <c r="AF36" s="942"/>
      <c r="AG36" s="942"/>
      <c r="AH36" s="942"/>
      <c r="AI36" s="942"/>
      <c r="AJ36" s="942"/>
      <c r="AK36" s="942"/>
      <c r="AL36" s="942"/>
      <c r="AM36" s="942"/>
      <c r="AN36" s="942"/>
      <c r="AO36" s="942"/>
      <c r="AP36" s="942"/>
      <c r="AQ36" s="942"/>
      <c r="AR36" s="942"/>
      <c r="AS36" s="942"/>
      <c r="AT36" s="942"/>
      <c r="AU36" s="942"/>
      <c r="AV36" s="942"/>
      <c r="AW36" s="942"/>
      <c r="AX36" s="942"/>
      <c r="AY36" s="942"/>
      <c r="AZ36" s="942"/>
      <c r="BA36" s="942"/>
      <c r="BB36" s="943" t="str">
        <f t="shared" si="1"/>
        <v>Jul 25 2017</v>
      </c>
      <c r="BC36" s="944" t="str">
        <f t="shared" si="2"/>
        <v>Jul</v>
      </c>
      <c r="BD36" s="944" t="str">
        <f t="shared" si="0"/>
        <v>25</v>
      </c>
      <c r="BE36" s="944" t="str">
        <f t="shared" si="3"/>
        <v>2017</v>
      </c>
      <c r="BF36" s="944" t="e">
        <f t="shared" si="4"/>
        <v>#VALUE!</v>
      </c>
      <c r="BG36" s="945" t="e">
        <f t="shared" si="5"/>
        <v>#VALUE!</v>
      </c>
      <c r="BH36" s="946">
        <f t="shared" si="6"/>
        <v>25</v>
      </c>
      <c r="BI36" s="947" t="str">
        <f t="shared" si="7"/>
        <v>TWENTY FIFTH</v>
      </c>
      <c r="BJ36" s="943" t="str">
        <f t="shared" si="8"/>
        <v>Jul</v>
      </c>
      <c r="BK36" s="947" t="str">
        <f t="shared" si="9"/>
        <v>JULY</v>
      </c>
      <c r="BL36" s="943">
        <f t="shared" si="10"/>
        <v>2017</v>
      </c>
      <c r="BM36" s="947" t="str">
        <f t="shared" si="11"/>
        <v>TWO THOUSAND SEVENTEEN</v>
      </c>
      <c r="BN36" s="947" t="str">
        <f t="shared" si="12"/>
        <v>TWENTY FIFTH JULY TWO THOUSAND SEVENTEEN</v>
      </c>
      <c r="BO36" s="816" t="b">
        <f t="shared" si="13"/>
        <v>0</v>
      </c>
      <c r="BP36" s="816" t="str">
        <f t="shared" si="14"/>
        <v/>
      </c>
    </row>
    <row r="37" ht="21.95" customHeight="1" spans="1:68">
      <c r="A37" s="948">
        <v>36</v>
      </c>
      <c r="B37" s="949" t="str">
        <f t="shared" si="15"/>
        <v>III-A</v>
      </c>
      <c r="C37" s="950"/>
      <c r="D37" s="951">
        <v>20250310265</v>
      </c>
      <c r="E37" s="952" t="s">
        <v>308</v>
      </c>
      <c r="F37" s="951">
        <v>15143</v>
      </c>
      <c r="G37" s="953" t="s">
        <v>309</v>
      </c>
      <c r="H37" s="953" t="s">
        <v>310</v>
      </c>
      <c r="I37" s="953" t="s">
        <v>311</v>
      </c>
      <c r="J37" s="953"/>
      <c r="K37" s="953"/>
      <c r="L37" s="953"/>
      <c r="M37" s="953"/>
      <c r="N37" s="953"/>
      <c r="O37" s="954"/>
      <c r="P37" s="954"/>
      <c r="Q37" s="954"/>
      <c r="R37" s="953"/>
      <c r="S37" s="953"/>
      <c r="T37" s="953">
        <v>7991829115</v>
      </c>
      <c r="U37" s="953"/>
      <c r="V37" s="953" t="s">
        <v>312</v>
      </c>
      <c r="W37" s="955"/>
      <c r="X37" s="955"/>
      <c r="Y37" s="942"/>
      <c r="Z37" s="942"/>
      <c r="AA37" s="942"/>
      <c r="AB37" s="942"/>
      <c r="AC37" s="942"/>
      <c r="AD37" s="942"/>
      <c r="AE37" s="942"/>
      <c r="AF37" s="942"/>
      <c r="AG37" s="942"/>
      <c r="AH37" s="942"/>
      <c r="AI37" s="942"/>
      <c r="AJ37" s="942"/>
      <c r="AK37" s="942"/>
      <c r="AL37" s="942"/>
      <c r="AM37" s="942"/>
      <c r="AN37" s="942"/>
      <c r="AO37" s="942"/>
      <c r="AP37" s="942"/>
      <c r="AQ37" s="942"/>
      <c r="AR37" s="942"/>
      <c r="AS37" s="942"/>
      <c r="AT37" s="942"/>
      <c r="AU37" s="942"/>
      <c r="AV37" s="942"/>
      <c r="AW37" s="942"/>
      <c r="AX37" s="942"/>
      <c r="AY37" s="942"/>
      <c r="AZ37" s="942"/>
      <c r="BA37" s="942"/>
      <c r="BB37" s="943" t="str">
        <f t="shared" si="1"/>
        <v>Aug 18 2018</v>
      </c>
      <c r="BC37" s="944" t="str">
        <f t="shared" si="2"/>
        <v>Aug</v>
      </c>
      <c r="BD37" s="944" t="str">
        <f t="shared" si="0"/>
        <v>18</v>
      </c>
      <c r="BE37" s="944" t="str">
        <f t="shared" si="3"/>
        <v>2018</v>
      </c>
      <c r="BF37" s="944" t="e">
        <f t="shared" si="4"/>
        <v>#VALUE!</v>
      </c>
      <c r="BG37" s="945" t="e">
        <f t="shared" si="5"/>
        <v>#VALUE!</v>
      </c>
      <c r="BH37" s="946">
        <f t="shared" si="6"/>
        <v>18</v>
      </c>
      <c r="BI37" s="947" t="str">
        <f t="shared" si="7"/>
        <v>EIGHTEENTH</v>
      </c>
      <c r="BJ37" s="943" t="str">
        <f t="shared" si="8"/>
        <v>Aug</v>
      </c>
      <c r="BK37" s="947" t="str">
        <f t="shared" si="9"/>
        <v>AUGUST</v>
      </c>
      <c r="BL37" s="943">
        <f t="shared" si="10"/>
        <v>2018</v>
      </c>
      <c r="BM37" s="947" t="str">
        <f t="shared" si="11"/>
        <v>TWO THOUSAND EIGHTEEN</v>
      </c>
      <c r="BN37" s="947" t="str">
        <f t="shared" si="12"/>
        <v>EIGHTEENTH AUGUST TWO THOUSAND EIGHTEEN</v>
      </c>
      <c r="BO37" s="816" t="b">
        <f t="shared" si="13"/>
        <v>0</v>
      </c>
      <c r="BP37" s="816" t="str">
        <f t="shared" si="14"/>
        <v/>
      </c>
    </row>
    <row r="38" ht="21.95" customHeight="1" spans="1:68">
      <c r="A38" s="934">
        <v>37</v>
      </c>
      <c r="B38" s="935" t="str">
        <f t="shared" si="15"/>
        <v>III-A</v>
      </c>
      <c r="C38" s="936"/>
      <c r="D38" s="937">
        <v>20250310269</v>
      </c>
      <c r="E38" s="938" t="s">
        <v>313</v>
      </c>
      <c r="F38" s="937">
        <v>15144</v>
      </c>
      <c r="G38" s="939" t="s">
        <v>196</v>
      </c>
      <c r="H38" s="939" t="s">
        <v>314</v>
      </c>
      <c r="I38" s="939" t="s">
        <v>315</v>
      </c>
      <c r="J38" s="939"/>
      <c r="K38" s="939"/>
      <c r="L38" s="939"/>
      <c r="M38" s="939"/>
      <c r="N38" s="939"/>
      <c r="O38" s="940"/>
      <c r="P38" s="940"/>
      <c r="Q38" s="940"/>
      <c r="R38" s="939"/>
      <c r="S38" s="939"/>
      <c r="T38" s="939">
        <v>8882628140</v>
      </c>
      <c r="U38" s="939"/>
      <c r="V38" s="939" t="s">
        <v>316</v>
      </c>
      <c r="W38" s="941"/>
      <c r="X38" s="941"/>
      <c r="Y38" s="942"/>
      <c r="Z38" s="942"/>
      <c r="AA38" s="942"/>
      <c r="AB38" s="942"/>
      <c r="AC38" s="942"/>
      <c r="AD38" s="942"/>
      <c r="AE38" s="942"/>
      <c r="AF38" s="942"/>
      <c r="AG38" s="942"/>
      <c r="AH38" s="942"/>
      <c r="AI38" s="942"/>
      <c r="AJ38" s="942"/>
      <c r="AK38" s="942"/>
      <c r="AL38" s="942"/>
      <c r="AM38" s="942"/>
      <c r="AN38" s="942"/>
      <c r="AO38" s="942"/>
      <c r="AP38" s="942"/>
      <c r="AQ38" s="942"/>
      <c r="AR38" s="942"/>
      <c r="AS38" s="942"/>
      <c r="AT38" s="942"/>
      <c r="AU38" s="942"/>
      <c r="AV38" s="942"/>
      <c r="AW38" s="942"/>
      <c r="AX38" s="942"/>
      <c r="AY38" s="942"/>
      <c r="AZ38" s="942"/>
      <c r="BA38" s="942"/>
      <c r="BB38" s="943" t="str">
        <f t="shared" si="1"/>
        <v>Dec 10 2018</v>
      </c>
      <c r="BC38" s="944" t="str">
        <f t="shared" si="2"/>
        <v>Dec</v>
      </c>
      <c r="BD38" s="944" t="str">
        <f t="shared" si="0"/>
        <v>10</v>
      </c>
      <c r="BE38" s="944" t="str">
        <f t="shared" si="3"/>
        <v>2018</v>
      </c>
      <c r="BF38" s="944" t="e">
        <f t="shared" si="4"/>
        <v>#VALUE!</v>
      </c>
      <c r="BG38" s="945" t="e">
        <f t="shared" si="5"/>
        <v>#VALUE!</v>
      </c>
      <c r="BH38" s="946">
        <f t="shared" si="6"/>
        <v>10</v>
      </c>
      <c r="BI38" s="947" t="str">
        <f t="shared" si="7"/>
        <v>TENTH</v>
      </c>
      <c r="BJ38" s="943" t="str">
        <f t="shared" si="8"/>
        <v>Dec</v>
      </c>
      <c r="BK38" s="947" t="str">
        <f t="shared" si="9"/>
        <v>DECEMBER</v>
      </c>
      <c r="BL38" s="943">
        <f t="shared" si="10"/>
        <v>2018</v>
      </c>
      <c r="BM38" s="947" t="str">
        <f t="shared" si="11"/>
        <v>TWO THOUSAND EIGHTEEN</v>
      </c>
      <c r="BN38" s="947" t="str">
        <f t="shared" si="12"/>
        <v>TENTH DECEMBER TWO THOUSAND EIGHTEEN</v>
      </c>
      <c r="BO38" s="816" t="b">
        <f t="shared" si="13"/>
        <v>0</v>
      </c>
      <c r="BP38" s="816" t="str">
        <f t="shared" si="14"/>
        <v/>
      </c>
    </row>
    <row r="39" ht="21.95" customHeight="1" spans="1:68">
      <c r="A39" s="948">
        <v>38</v>
      </c>
      <c r="B39" s="949" t="str">
        <f t="shared" si="15"/>
        <v>III-A</v>
      </c>
      <c r="C39" s="950"/>
      <c r="D39" s="951">
        <v>20250310277</v>
      </c>
      <c r="E39" s="952" t="s">
        <v>317</v>
      </c>
      <c r="F39" s="951">
        <v>15145</v>
      </c>
      <c r="G39" s="953" t="s">
        <v>318</v>
      </c>
      <c r="H39" s="953" t="s">
        <v>319</v>
      </c>
      <c r="I39" s="953" t="s">
        <v>320</v>
      </c>
      <c r="J39" s="953"/>
      <c r="K39" s="953"/>
      <c r="L39" s="953"/>
      <c r="M39" s="953"/>
      <c r="N39" s="953"/>
      <c r="O39" s="954"/>
      <c r="P39" s="954"/>
      <c r="Q39" s="954"/>
      <c r="R39" s="953"/>
      <c r="S39" s="953"/>
      <c r="T39" s="953">
        <v>9315426800</v>
      </c>
      <c r="U39" s="953"/>
      <c r="V39" s="953" t="s">
        <v>321</v>
      </c>
      <c r="W39" s="955"/>
      <c r="X39" s="955"/>
      <c r="Y39" s="942"/>
      <c r="Z39" s="942"/>
      <c r="AA39" s="942"/>
      <c r="AB39" s="942"/>
      <c r="AC39" s="942"/>
      <c r="AD39" s="942"/>
      <c r="AE39" s="942"/>
      <c r="AF39" s="942"/>
      <c r="AG39" s="942"/>
      <c r="AH39" s="942"/>
      <c r="AI39" s="942"/>
      <c r="AJ39" s="942"/>
      <c r="AK39" s="942"/>
      <c r="AL39" s="942"/>
      <c r="AM39" s="942"/>
      <c r="AN39" s="942"/>
      <c r="AO39" s="942"/>
      <c r="AP39" s="942"/>
      <c r="AQ39" s="942"/>
      <c r="AR39" s="942"/>
      <c r="AS39" s="942"/>
      <c r="AT39" s="942"/>
      <c r="AU39" s="942"/>
      <c r="AV39" s="942"/>
      <c r="AW39" s="942"/>
      <c r="AX39" s="942"/>
      <c r="AY39" s="942"/>
      <c r="AZ39" s="942"/>
      <c r="BA39" s="942"/>
      <c r="BB39" s="943" t="str">
        <f t="shared" si="1"/>
        <v>May 12 2018</v>
      </c>
      <c r="BC39" s="944" t="str">
        <f t="shared" si="2"/>
        <v>May</v>
      </c>
      <c r="BD39" s="944" t="str">
        <f t="shared" si="0"/>
        <v>12</v>
      </c>
      <c r="BE39" s="944" t="str">
        <f t="shared" si="3"/>
        <v>2018</v>
      </c>
      <c r="BF39" s="944" t="e">
        <f t="shared" si="4"/>
        <v>#VALUE!</v>
      </c>
      <c r="BG39" s="945" t="e">
        <f t="shared" si="5"/>
        <v>#VALUE!</v>
      </c>
      <c r="BH39" s="946">
        <f t="shared" si="6"/>
        <v>12</v>
      </c>
      <c r="BI39" s="947" t="str">
        <f t="shared" si="7"/>
        <v>TWELFTH</v>
      </c>
      <c r="BJ39" s="943" t="str">
        <f t="shared" si="8"/>
        <v>May</v>
      </c>
      <c r="BK39" s="947" t="str">
        <f t="shared" si="9"/>
        <v>MAY</v>
      </c>
      <c r="BL39" s="943">
        <f t="shared" si="10"/>
        <v>2018</v>
      </c>
      <c r="BM39" s="947" t="str">
        <f t="shared" si="11"/>
        <v>TWO THOUSAND EIGHTEEN</v>
      </c>
      <c r="BN39" s="947" t="str">
        <f t="shared" si="12"/>
        <v>TWELFTH MAY TWO THOUSAND EIGHTEEN</v>
      </c>
      <c r="BO39" s="816" t="b">
        <f t="shared" si="13"/>
        <v>0</v>
      </c>
      <c r="BP39" s="816" t="str">
        <f t="shared" si="14"/>
        <v/>
      </c>
    </row>
    <row r="40" ht="21.95" customHeight="1" spans="1:68">
      <c r="A40" s="934">
        <v>39</v>
      </c>
      <c r="B40" s="935" t="str">
        <f t="shared" si="15"/>
        <v>III-A</v>
      </c>
      <c r="C40" s="936"/>
      <c r="D40" s="937">
        <v>20250325088</v>
      </c>
      <c r="E40" s="938" t="s">
        <v>322</v>
      </c>
      <c r="F40" s="937">
        <v>15149</v>
      </c>
      <c r="G40" s="939" t="s">
        <v>323</v>
      </c>
      <c r="H40" s="939" t="s">
        <v>324</v>
      </c>
      <c r="I40" s="939" t="s">
        <v>325</v>
      </c>
      <c r="J40" s="939"/>
      <c r="K40" s="939"/>
      <c r="L40" s="939"/>
      <c r="M40" s="939"/>
      <c r="N40" s="939"/>
      <c r="O40" s="940"/>
      <c r="P40" s="940"/>
      <c r="Q40" s="940"/>
      <c r="R40" s="939"/>
      <c r="S40" s="939"/>
      <c r="T40" s="939">
        <v>6280119792</v>
      </c>
      <c r="U40" s="939"/>
      <c r="V40" s="939" t="s">
        <v>326</v>
      </c>
      <c r="W40" s="941"/>
      <c r="X40" s="941"/>
      <c r="Y40" s="942"/>
      <c r="Z40" s="942"/>
      <c r="AA40" s="942"/>
      <c r="AB40" s="942"/>
      <c r="AC40" s="942"/>
      <c r="AD40" s="942"/>
      <c r="AE40" s="942"/>
      <c r="AF40" s="942"/>
      <c r="AG40" s="942"/>
      <c r="AH40" s="942"/>
      <c r="AI40" s="942"/>
      <c r="AJ40" s="942"/>
      <c r="AK40" s="942"/>
      <c r="AL40" s="942"/>
      <c r="AM40" s="942"/>
      <c r="AN40" s="942"/>
      <c r="AO40" s="942"/>
      <c r="AP40" s="942"/>
      <c r="AQ40" s="942"/>
      <c r="AR40" s="942"/>
      <c r="AS40" s="942"/>
      <c r="AT40" s="942"/>
      <c r="AU40" s="942"/>
      <c r="AV40" s="942"/>
      <c r="AW40" s="942"/>
      <c r="AX40" s="942"/>
      <c r="AY40" s="942"/>
      <c r="AZ40" s="942"/>
      <c r="BA40" s="942"/>
      <c r="BB40" s="943" t="str">
        <f t="shared" si="1"/>
        <v>Jan 5 2018</v>
      </c>
      <c r="BC40" s="944" t="str">
        <f t="shared" si="2"/>
        <v>Jan</v>
      </c>
      <c r="BD40" s="944" t="str">
        <f t="shared" si="0"/>
        <v>5 </v>
      </c>
      <c r="BE40" s="944" t="str">
        <f t="shared" si="3"/>
        <v>2018</v>
      </c>
      <c r="BF40" s="944" t="e">
        <f t="shared" si="4"/>
        <v>#VALUE!</v>
      </c>
      <c r="BG40" s="945" t="e">
        <f t="shared" si="5"/>
        <v>#VALUE!</v>
      </c>
      <c r="BH40" s="946">
        <f t="shared" si="6"/>
        <v>5</v>
      </c>
      <c r="BI40" s="947" t="str">
        <f t="shared" si="7"/>
        <v>FIFTH</v>
      </c>
      <c r="BJ40" s="943" t="str">
        <f t="shared" si="8"/>
        <v>Jan</v>
      </c>
      <c r="BK40" s="947" t="str">
        <f t="shared" si="9"/>
        <v>JANUARY</v>
      </c>
      <c r="BL40" s="943">
        <f t="shared" si="10"/>
        <v>2018</v>
      </c>
      <c r="BM40" s="947" t="str">
        <f t="shared" si="11"/>
        <v>TWO THOUSAND EIGHTEEN</v>
      </c>
      <c r="BN40" s="947" t="str">
        <f t="shared" si="12"/>
        <v>FIFTH JANUARY TWO THOUSAND EIGHTEEN</v>
      </c>
      <c r="BO40" s="816" t="b">
        <f t="shared" si="13"/>
        <v>0</v>
      </c>
      <c r="BP40" s="816" t="str">
        <f t="shared" si="14"/>
        <v/>
      </c>
    </row>
    <row r="41" ht="21.95" customHeight="1" spans="1:68">
      <c r="A41" s="948">
        <v>40</v>
      </c>
      <c r="B41" s="949" t="str">
        <f t="shared" si="15"/>
        <v>III-A</v>
      </c>
      <c r="C41" s="950"/>
      <c r="D41" s="964"/>
      <c r="E41" s="965"/>
      <c r="F41" s="964"/>
      <c r="G41" s="954"/>
      <c r="H41" s="954"/>
      <c r="I41" s="954"/>
      <c r="J41" s="956"/>
      <c r="K41" s="957"/>
      <c r="L41" s="955"/>
      <c r="M41" s="955"/>
      <c r="N41" s="958"/>
      <c r="O41" s="954"/>
      <c r="P41" s="954"/>
      <c r="Q41" s="954"/>
      <c r="R41" s="955"/>
      <c r="S41" s="955"/>
      <c r="T41" s="954"/>
      <c r="U41" s="959"/>
      <c r="V41" s="954"/>
      <c r="W41" s="955"/>
      <c r="X41" s="955"/>
      <c r="Y41" s="942"/>
      <c r="Z41" s="942"/>
      <c r="AA41" s="942"/>
      <c r="AB41" s="942"/>
      <c r="AC41" s="942"/>
      <c r="AD41" s="942"/>
      <c r="AE41" s="942"/>
      <c r="AF41" s="942"/>
      <c r="AG41" s="942"/>
      <c r="AH41" s="942"/>
      <c r="AI41" s="942"/>
      <c r="AJ41" s="942"/>
      <c r="AK41" s="942"/>
      <c r="AL41" s="942"/>
      <c r="AM41" s="942"/>
      <c r="AN41" s="942"/>
      <c r="AO41" s="942"/>
      <c r="AP41" s="942"/>
      <c r="AQ41" s="942"/>
      <c r="AR41" s="942"/>
      <c r="AS41" s="942"/>
      <c r="AT41" s="942"/>
      <c r="AU41" s="942"/>
      <c r="AV41" s="942"/>
      <c r="AW41" s="942"/>
      <c r="AX41" s="942"/>
      <c r="AY41" s="942"/>
      <c r="AZ41" s="942"/>
      <c r="BA41" s="942"/>
      <c r="BB41" s="943">
        <f t="shared" si="1"/>
        <v>0</v>
      </c>
      <c r="BC41" s="944" t="str">
        <f t="shared" si="2"/>
        <v>0</v>
      </c>
      <c r="BD41" s="944" t="str">
        <f t="shared" si="0"/>
        <v/>
      </c>
      <c r="BE41" s="944" t="str">
        <f t="shared" si="3"/>
        <v>0</v>
      </c>
      <c r="BF41" s="944" t="e">
        <f t="shared" si="4"/>
        <v>#VALUE!</v>
      </c>
      <c r="BG41" s="945" t="e">
        <f t="shared" si="5"/>
        <v>#VALUE!</v>
      </c>
      <c r="BH41" s="946" t="e">
        <f t="shared" si="6"/>
        <v>#VALUE!</v>
      </c>
      <c r="BI41" s="947" t="e">
        <f t="shared" si="7"/>
        <v>#VALUE!</v>
      </c>
      <c r="BJ41" s="943" t="str">
        <f t="shared" si="8"/>
        <v>0</v>
      </c>
      <c r="BK41" s="947" t="b">
        <f t="shared" si="9"/>
        <v>0</v>
      </c>
      <c r="BL41" s="943">
        <f t="shared" si="10"/>
        <v>0</v>
      </c>
      <c r="BM41" s="947" t="b">
        <f t="shared" si="11"/>
        <v>0</v>
      </c>
      <c r="BN41" s="947" t="e">
        <f t="shared" si="12"/>
        <v>#VALUE!</v>
      </c>
      <c r="BO41" s="816" t="b">
        <f t="shared" si="13"/>
        <v>0</v>
      </c>
      <c r="BP41" s="816" t="str">
        <f t="shared" si="14"/>
        <v/>
      </c>
    </row>
    <row r="42" ht="21.95" customHeight="1" spans="1:68">
      <c r="A42" s="934">
        <v>41</v>
      </c>
      <c r="B42" s="935" t="str">
        <f t="shared" si="15"/>
        <v>III-A</v>
      </c>
      <c r="C42" s="936"/>
      <c r="D42" s="966"/>
      <c r="E42" s="967"/>
      <c r="F42" s="966"/>
      <c r="G42" s="940"/>
      <c r="H42" s="940"/>
      <c r="I42" s="940"/>
      <c r="J42" s="960"/>
      <c r="K42" s="961"/>
      <c r="L42" s="941"/>
      <c r="M42" s="941"/>
      <c r="N42" s="962"/>
      <c r="O42" s="940"/>
      <c r="P42" s="940"/>
      <c r="Q42" s="940"/>
      <c r="R42" s="941"/>
      <c r="S42" s="941"/>
      <c r="T42" s="940"/>
      <c r="U42" s="963"/>
      <c r="V42" s="940"/>
      <c r="W42" s="941"/>
      <c r="X42" s="941"/>
      <c r="Y42" s="942"/>
      <c r="Z42" s="942"/>
      <c r="AA42" s="942"/>
      <c r="AB42" s="942"/>
      <c r="AC42" s="942"/>
      <c r="AD42" s="942"/>
      <c r="AE42" s="942"/>
      <c r="AF42" s="942"/>
      <c r="AG42" s="942"/>
      <c r="AH42" s="942"/>
      <c r="AI42" s="942"/>
      <c r="AJ42" s="942"/>
      <c r="AK42" s="942"/>
      <c r="AL42" s="942"/>
      <c r="AM42" s="942"/>
      <c r="AN42" s="942"/>
      <c r="AO42" s="942"/>
      <c r="AP42" s="942"/>
      <c r="AQ42" s="942"/>
      <c r="AR42" s="942"/>
      <c r="AS42" s="942"/>
      <c r="AT42" s="942"/>
      <c r="AU42" s="942"/>
      <c r="AV42" s="942"/>
      <c r="AW42" s="942"/>
      <c r="AX42" s="942"/>
      <c r="AY42" s="942"/>
      <c r="AZ42" s="942"/>
      <c r="BA42" s="942"/>
      <c r="BB42" s="943">
        <f t="shared" si="1"/>
        <v>0</v>
      </c>
      <c r="BC42" s="944" t="str">
        <f t="shared" si="2"/>
        <v>0</v>
      </c>
      <c r="BD42" s="944" t="str">
        <f t="shared" si="0"/>
        <v/>
      </c>
      <c r="BE42" s="944" t="str">
        <f t="shared" si="3"/>
        <v>0</v>
      </c>
      <c r="BF42" s="944" t="e">
        <f t="shared" si="4"/>
        <v>#VALUE!</v>
      </c>
      <c r="BG42" s="945" t="e">
        <f t="shared" si="5"/>
        <v>#VALUE!</v>
      </c>
      <c r="BH42" s="946" t="e">
        <f t="shared" si="6"/>
        <v>#VALUE!</v>
      </c>
      <c r="BI42" s="947" t="e">
        <f t="shared" si="7"/>
        <v>#VALUE!</v>
      </c>
      <c r="BJ42" s="943" t="str">
        <f t="shared" si="8"/>
        <v>0</v>
      </c>
      <c r="BK42" s="947" t="b">
        <f t="shared" si="9"/>
        <v>0</v>
      </c>
      <c r="BL42" s="943">
        <f t="shared" si="10"/>
        <v>0</v>
      </c>
      <c r="BM42" s="947" t="b">
        <f t="shared" si="11"/>
        <v>0</v>
      </c>
      <c r="BN42" s="947" t="e">
        <f t="shared" si="12"/>
        <v>#VALUE!</v>
      </c>
      <c r="BO42" s="816" t="b">
        <f t="shared" si="13"/>
        <v>0</v>
      </c>
      <c r="BP42" s="816" t="str">
        <f t="shared" si="14"/>
        <v/>
      </c>
    </row>
    <row r="43" ht="21.95" customHeight="1" spans="1:68">
      <c r="A43" s="948">
        <v>42</v>
      </c>
      <c r="B43" s="949" t="str">
        <f t="shared" si="15"/>
        <v>III-A</v>
      </c>
      <c r="C43" s="950"/>
      <c r="D43" s="964"/>
      <c r="E43" s="965"/>
      <c r="F43" s="964"/>
      <c r="G43" s="954"/>
      <c r="H43" s="954"/>
      <c r="I43" s="954"/>
      <c r="J43" s="956"/>
      <c r="K43" s="957"/>
      <c r="L43" s="955"/>
      <c r="M43" s="955"/>
      <c r="N43" s="958"/>
      <c r="O43" s="954"/>
      <c r="P43" s="954"/>
      <c r="Q43" s="954"/>
      <c r="R43" s="955"/>
      <c r="S43" s="955"/>
      <c r="T43" s="954"/>
      <c r="U43" s="959"/>
      <c r="V43" s="954"/>
      <c r="W43" s="955"/>
      <c r="X43" s="955"/>
      <c r="Y43" s="942"/>
      <c r="Z43" s="942"/>
      <c r="AA43" s="942"/>
      <c r="AB43" s="942"/>
      <c r="AC43" s="942"/>
      <c r="AD43" s="942"/>
      <c r="AE43" s="942"/>
      <c r="AF43" s="942"/>
      <c r="AG43" s="942"/>
      <c r="AH43" s="942"/>
      <c r="AI43" s="942"/>
      <c r="AJ43" s="942"/>
      <c r="AK43" s="942"/>
      <c r="AL43" s="942"/>
      <c r="AM43" s="942"/>
      <c r="AN43" s="942"/>
      <c r="AO43" s="942"/>
      <c r="AP43" s="942"/>
      <c r="AQ43" s="942"/>
      <c r="AR43" s="942"/>
      <c r="AS43" s="942"/>
      <c r="AT43" s="942"/>
      <c r="AU43" s="942"/>
      <c r="AV43" s="942"/>
      <c r="AW43" s="942"/>
      <c r="AX43" s="942"/>
      <c r="AY43" s="942"/>
      <c r="AZ43" s="942"/>
      <c r="BA43" s="942"/>
      <c r="BB43" s="943">
        <f t="shared" si="1"/>
        <v>0</v>
      </c>
      <c r="BC43" s="944" t="str">
        <f t="shared" si="2"/>
        <v>0</v>
      </c>
      <c r="BD43" s="944" t="str">
        <f t="shared" si="0"/>
        <v/>
      </c>
      <c r="BE43" s="944" t="str">
        <f t="shared" si="3"/>
        <v>0</v>
      </c>
      <c r="BF43" s="944" t="e">
        <f t="shared" si="4"/>
        <v>#VALUE!</v>
      </c>
      <c r="BG43" s="945" t="e">
        <f t="shared" si="5"/>
        <v>#VALUE!</v>
      </c>
      <c r="BH43" s="946" t="e">
        <f t="shared" si="6"/>
        <v>#VALUE!</v>
      </c>
      <c r="BI43" s="947" t="e">
        <f t="shared" si="7"/>
        <v>#VALUE!</v>
      </c>
      <c r="BJ43" s="943" t="str">
        <f t="shared" si="8"/>
        <v>0</v>
      </c>
      <c r="BK43" s="947" t="b">
        <f t="shared" si="9"/>
        <v>0</v>
      </c>
      <c r="BL43" s="943">
        <f t="shared" si="10"/>
        <v>0</v>
      </c>
      <c r="BM43" s="947" t="b">
        <f t="shared" si="11"/>
        <v>0</v>
      </c>
      <c r="BN43" s="947" t="e">
        <f t="shared" si="12"/>
        <v>#VALUE!</v>
      </c>
      <c r="BO43" s="816" t="b">
        <f t="shared" si="13"/>
        <v>0</v>
      </c>
      <c r="BP43" s="816" t="str">
        <f t="shared" si="14"/>
        <v/>
      </c>
    </row>
    <row r="44" ht="21.95" customHeight="1" spans="1:68">
      <c r="A44" s="934">
        <v>43</v>
      </c>
      <c r="B44" s="935" t="str">
        <f t="shared" si="15"/>
        <v>III-A</v>
      </c>
      <c r="C44" s="936"/>
      <c r="D44" s="941"/>
      <c r="E44" s="961"/>
      <c r="F44" s="941"/>
      <c r="G44" s="941"/>
      <c r="H44" s="961"/>
      <c r="I44" s="961"/>
      <c r="J44" s="960"/>
      <c r="K44" s="961"/>
      <c r="L44" s="941"/>
      <c r="M44" s="941"/>
      <c r="N44" s="962"/>
      <c r="O44" s="941"/>
      <c r="P44" s="941"/>
      <c r="Q44" s="941"/>
      <c r="R44" s="941"/>
      <c r="S44" s="941"/>
      <c r="T44" s="941"/>
      <c r="U44" s="963"/>
      <c r="V44" s="968"/>
      <c r="W44" s="941"/>
      <c r="X44" s="941"/>
      <c r="Y44" s="942"/>
      <c r="Z44" s="942"/>
      <c r="AA44" s="942"/>
      <c r="AB44" s="942"/>
      <c r="AC44" s="942"/>
      <c r="AD44" s="942"/>
      <c r="AE44" s="942"/>
      <c r="AF44" s="942"/>
      <c r="AG44" s="942"/>
      <c r="AH44" s="942"/>
      <c r="AI44" s="942"/>
      <c r="AJ44" s="942"/>
      <c r="AK44" s="942"/>
      <c r="AL44" s="942"/>
      <c r="AM44" s="942"/>
      <c r="AN44" s="942"/>
      <c r="AO44" s="942"/>
      <c r="AP44" s="942"/>
      <c r="AQ44" s="942"/>
      <c r="AR44" s="942"/>
      <c r="AS44" s="942"/>
      <c r="AT44" s="942"/>
      <c r="AU44" s="942"/>
      <c r="AV44" s="942"/>
      <c r="AW44" s="942"/>
      <c r="AX44" s="942"/>
      <c r="AY44" s="942"/>
      <c r="AZ44" s="942"/>
      <c r="BA44" s="942"/>
      <c r="BB44" s="943">
        <f t="shared" si="1"/>
        <v>0</v>
      </c>
      <c r="BC44" s="944" t="str">
        <f t="shared" si="2"/>
        <v>0</v>
      </c>
      <c r="BD44" s="944" t="str">
        <f t="shared" si="0"/>
        <v/>
      </c>
      <c r="BE44" s="944" t="str">
        <f t="shared" si="3"/>
        <v>0</v>
      </c>
      <c r="BF44" s="944" t="e">
        <f t="shared" si="4"/>
        <v>#VALUE!</v>
      </c>
      <c r="BG44" s="945" t="e">
        <f t="shared" si="5"/>
        <v>#VALUE!</v>
      </c>
      <c r="BH44" s="946" t="e">
        <f t="shared" si="6"/>
        <v>#VALUE!</v>
      </c>
      <c r="BI44" s="947" t="e">
        <f t="shared" si="7"/>
        <v>#VALUE!</v>
      </c>
      <c r="BJ44" s="943" t="str">
        <f t="shared" si="8"/>
        <v>0</v>
      </c>
      <c r="BK44" s="947" t="b">
        <f t="shared" si="9"/>
        <v>0</v>
      </c>
      <c r="BL44" s="943">
        <f t="shared" si="10"/>
        <v>0</v>
      </c>
      <c r="BM44" s="947" t="b">
        <f t="shared" si="11"/>
        <v>0</v>
      </c>
      <c r="BN44" s="947" t="e">
        <f t="shared" si="12"/>
        <v>#VALUE!</v>
      </c>
      <c r="BO44" s="816" t="b">
        <f t="shared" si="13"/>
        <v>0</v>
      </c>
      <c r="BP44" s="816" t="str">
        <f t="shared" si="14"/>
        <v/>
      </c>
    </row>
    <row r="45" ht="21.95" customHeight="1" spans="1:68">
      <c r="A45" s="948">
        <v>44</v>
      </c>
      <c r="B45" s="949" t="str">
        <f t="shared" si="15"/>
        <v>III-A</v>
      </c>
      <c r="C45" s="950"/>
      <c r="D45" s="955"/>
      <c r="E45" s="957"/>
      <c r="F45" s="955"/>
      <c r="G45" s="955"/>
      <c r="H45" s="957"/>
      <c r="I45" s="957"/>
      <c r="J45" s="956"/>
      <c r="K45" s="957"/>
      <c r="L45" s="955"/>
      <c r="M45" s="955"/>
      <c r="N45" s="958"/>
      <c r="O45" s="955"/>
      <c r="P45" s="955"/>
      <c r="Q45" s="955"/>
      <c r="R45" s="955"/>
      <c r="S45" s="955"/>
      <c r="T45" s="955"/>
      <c r="U45" s="959"/>
      <c r="V45" s="969"/>
      <c r="W45" s="955"/>
      <c r="X45" s="955"/>
      <c r="Y45" s="942"/>
      <c r="Z45" s="942"/>
      <c r="AA45" s="942"/>
      <c r="AB45" s="942"/>
      <c r="AC45" s="942"/>
      <c r="AD45" s="942"/>
      <c r="AE45" s="942"/>
      <c r="AF45" s="942"/>
      <c r="AG45" s="942"/>
      <c r="AH45" s="942"/>
      <c r="AI45" s="942"/>
      <c r="AJ45" s="942"/>
      <c r="AK45" s="942"/>
      <c r="AL45" s="942"/>
      <c r="AM45" s="942"/>
      <c r="AN45" s="942"/>
      <c r="AO45" s="942"/>
      <c r="AP45" s="942"/>
      <c r="AQ45" s="942"/>
      <c r="AR45" s="942"/>
      <c r="AS45" s="942"/>
      <c r="AT45" s="942"/>
      <c r="AU45" s="942"/>
      <c r="AV45" s="942"/>
      <c r="AW45" s="942"/>
      <c r="AX45" s="942"/>
      <c r="AY45" s="942"/>
      <c r="AZ45" s="942"/>
      <c r="BA45" s="942"/>
      <c r="BB45" s="943">
        <f t="shared" si="1"/>
        <v>0</v>
      </c>
      <c r="BC45" s="944" t="str">
        <f t="shared" si="2"/>
        <v>0</v>
      </c>
      <c r="BD45" s="944" t="str">
        <f t="shared" si="0"/>
        <v/>
      </c>
      <c r="BE45" s="944" t="str">
        <f t="shared" si="3"/>
        <v>0</v>
      </c>
      <c r="BF45" s="944" t="e">
        <f t="shared" si="4"/>
        <v>#VALUE!</v>
      </c>
      <c r="BG45" s="945" t="e">
        <f t="shared" si="5"/>
        <v>#VALUE!</v>
      </c>
      <c r="BH45" s="946" t="e">
        <f t="shared" si="6"/>
        <v>#VALUE!</v>
      </c>
      <c r="BI45" s="947" t="e">
        <f t="shared" si="7"/>
        <v>#VALUE!</v>
      </c>
      <c r="BJ45" s="943" t="str">
        <f t="shared" si="8"/>
        <v>0</v>
      </c>
      <c r="BK45" s="947" t="b">
        <f t="shared" si="9"/>
        <v>0</v>
      </c>
      <c r="BL45" s="943">
        <f t="shared" si="10"/>
        <v>0</v>
      </c>
      <c r="BM45" s="947" t="b">
        <f t="shared" si="11"/>
        <v>0</v>
      </c>
      <c r="BN45" s="947" t="e">
        <f t="shared" si="12"/>
        <v>#VALUE!</v>
      </c>
      <c r="BO45" s="816" t="b">
        <f t="shared" si="13"/>
        <v>0</v>
      </c>
      <c r="BP45" s="816" t="str">
        <f t="shared" si="14"/>
        <v/>
      </c>
    </row>
    <row r="46" ht="21.95" customHeight="1" spans="1:68">
      <c r="A46" s="934">
        <v>45</v>
      </c>
      <c r="B46" s="935" t="str">
        <f t="shared" si="15"/>
        <v>III-A</v>
      </c>
      <c r="C46" s="936"/>
      <c r="D46" s="941"/>
      <c r="E46" s="961"/>
      <c r="F46" s="941"/>
      <c r="G46" s="941"/>
      <c r="H46" s="961"/>
      <c r="I46" s="961"/>
      <c r="J46" s="960"/>
      <c r="K46" s="961"/>
      <c r="L46" s="941"/>
      <c r="M46" s="941"/>
      <c r="N46" s="962"/>
      <c r="O46" s="941"/>
      <c r="P46" s="941"/>
      <c r="Q46" s="941"/>
      <c r="R46" s="941"/>
      <c r="S46" s="941"/>
      <c r="T46" s="941"/>
      <c r="U46" s="963"/>
      <c r="V46" s="968"/>
      <c r="W46" s="941"/>
      <c r="X46" s="941"/>
      <c r="Y46" s="942"/>
      <c r="Z46" s="942"/>
      <c r="AA46" s="942"/>
      <c r="AB46" s="942"/>
      <c r="AC46" s="942"/>
      <c r="AD46" s="942"/>
      <c r="AE46" s="942"/>
      <c r="AF46" s="942"/>
      <c r="AG46" s="942"/>
      <c r="AH46" s="942"/>
      <c r="AI46" s="942"/>
      <c r="AJ46" s="942"/>
      <c r="AK46" s="942"/>
      <c r="AL46" s="942"/>
      <c r="AM46" s="942"/>
      <c r="AN46" s="942"/>
      <c r="AO46" s="942"/>
      <c r="AP46" s="942"/>
      <c r="AQ46" s="942"/>
      <c r="AR46" s="942"/>
      <c r="AS46" s="942"/>
      <c r="AT46" s="942"/>
      <c r="AU46" s="942"/>
      <c r="AV46" s="942"/>
      <c r="AW46" s="942"/>
      <c r="AX46" s="942"/>
      <c r="AY46" s="942"/>
      <c r="AZ46" s="942"/>
      <c r="BA46" s="942"/>
      <c r="BB46" s="943">
        <f t="shared" si="1"/>
        <v>0</v>
      </c>
      <c r="BC46" s="944" t="str">
        <f t="shared" si="2"/>
        <v>0</v>
      </c>
      <c r="BD46" s="944" t="str">
        <f t="shared" si="0"/>
        <v/>
      </c>
      <c r="BE46" s="944" t="str">
        <f t="shared" si="3"/>
        <v>0</v>
      </c>
      <c r="BF46" s="944" t="e">
        <f t="shared" si="4"/>
        <v>#VALUE!</v>
      </c>
      <c r="BG46" s="945" t="e">
        <f t="shared" si="5"/>
        <v>#VALUE!</v>
      </c>
      <c r="BH46" s="946" t="e">
        <f t="shared" si="6"/>
        <v>#VALUE!</v>
      </c>
      <c r="BI46" s="947" t="e">
        <f t="shared" si="7"/>
        <v>#VALUE!</v>
      </c>
      <c r="BJ46" s="943" t="str">
        <f t="shared" si="8"/>
        <v>0</v>
      </c>
      <c r="BK46" s="947" t="b">
        <f t="shared" si="9"/>
        <v>0</v>
      </c>
      <c r="BL46" s="943">
        <f t="shared" si="10"/>
        <v>0</v>
      </c>
      <c r="BM46" s="947" t="b">
        <f t="shared" si="11"/>
        <v>0</v>
      </c>
      <c r="BN46" s="947" t="e">
        <f t="shared" si="12"/>
        <v>#VALUE!</v>
      </c>
      <c r="BO46" s="816" t="b">
        <f t="shared" si="13"/>
        <v>0</v>
      </c>
      <c r="BP46" s="816" t="str">
        <f t="shared" si="14"/>
        <v/>
      </c>
    </row>
    <row r="47" ht="21.95" customHeight="1" spans="1:68">
      <c r="A47" s="948">
        <v>46</v>
      </c>
      <c r="B47" s="949" t="str">
        <f t="shared" si="15"/>
        <v>III-A</v>
      </c>
      <c r="C47" s="950"/>
      <c r="D47" s="955"/>
      <c r="E47" s="957"/>
      <c r="F47" s="955"/>
      <c r="G47" s="955"/>
      <c r="H47" s="957"/>
      <c r="I47" s="957"/>
      <c r="J47" s="956"/>
      <c r="K47" s="957"/>
      <c r="L47" s="955"/>
      <c r="M47" s="955"/>
      <c r="N47" s="958"/>
      <c r="O47" s="955"/>
      <c r="P47" s="955"/>
      <c r="Q47" s="955"/>
      <c r="R47" s="955"/>
      <c r="S47" s="955"/>
      <c r="T47" s="955"/>
      <c r="U47" s="959"/>
      <c r="V47" s="969"/>
      <c r="W47" s="955"/>
      <c r="X47" s="955"/>
      <c r="Y47" s="942"/>
      <c r="Z47" s="942"/>
      <c r="AA47" s="942"/>
      <c r="AB47" s="942"/>
      <c r="AC47" s="942"/>
      <c r="AD47" s="942"/>
      <c r="AE47" s="942"/>
      <c r="AF47" s="942"/>
      <c r="AG47" s="942"/>
      <c r="AH47" s="942"/>
      <c r="AI47" s="942"/>
      <c r="AJ47" s="942"/>
      <c r="AK47" s="942"/>
      <c r="AL47" s="942"/>
      <c r="AM47" s="942"/>
      <c r="AN47" s="942"/>
      <c r="AO47" s="942"/>
      <c r="AP47" s="942"/>
      <c r="AQ47" s="942"/>
      <c r="AR47" s="942"/>
      <c r="AS47" s="942"/>
      <c r="AT47" s="942"/>
      <c r="AU47" s="942"/>
      <c r="AV47" s="942"/>
      <c r="AW47" s="942"/>
      <c r="AX47" s="942"/>
      <c r="AY47" s="942"/>
      <c r="AZ47" s="942"/>
      <c r="BA47" s="942"/>
      <c r="BB47" s="943">
        <f t="shared" si="1"/>
        <v>0</v>
      </c>
      <c r="BC47" s="944" t="str">
        <f t="shared" si="2"/>
        <v>0</v>
      </c>
      <c r="BD47" s="944" t="str">
        <f t="shared" si="0"/>
        <v/>
      </c>
      <c r="BE47" s="944" t="str">
        <f t="shared" si="3"/>
        <v>0</v>
      </c>
      <c r="BF47" s="944" t="e">
        <f t="shared" si="4"/>
        <v>#VALUE!</v>
      </c>
      <c r="BG47" s="945" t="e">
        <f t="shared" si="5"/>
        <v>#VALUE!</v>
      </c>
      <c r="BH47" s="946" t="e">
        <f t="shared" si="6"/>
        <v>#VALUE!</v>
      </c>
      <c r="BI47" s="947" t="e">
        <f t="shared" si="7"/>
        <v>#VALUE!</v>
      </c>
      <c r="BJ47" s="943" t="str">
        <f t="shared" si="8"/>
        <v>0</v>
      </c>
      <c r="BK47" s="947" t="b">
        <f t="shared" si="9"/>
        <v>0</v>
      </c>
      <c r="BL47" s="943">
        <f t="shared" si="10"/>
        <v>0</v>
      </c>
      <c r="BM47" s="947" t="b">
        <f t="shared" si="11"/>
        <v>0</v>
      </c>
      <c r="BN47" s="947" t="e">
        <f t="shared" si="12"/>
        <v>#VALUE!</v>
      </c>
      <c r="BO47" s="816" t="b">
        <f t="shared" si="13"/>
        <v>0</v>
      </c>
      <c r="BP47" s="816" t="str">
        <f t="shared" si="14"/>
        <v/>
      </c>
    </row>
    <row r="48" ht="21.95" customHeight="1" spans="1:68">
      <c r="A48" s="934">
        <v>47</v>
      </c>
      <c r="B48" s="935" t="str">
        <f t="shared" si="15"/>
        <v>III-A</v>
      </c>
      <c r="C48" s="936"/>
      <c r="D48" s="941"/>
      <c r="E48" s="961"/>
      <c r="F48" s="941"/>
      <c r="G48" s="941"/>
      <c r="H48" s="961"/>
      <c r="I48" s="961"/>
      <c r="J48" s="960"/>
      <c r="K48" s="961"/>
      <c r="L48" s="941"/>
      <c r="M48" s="941"/>
      <c r="N48" s="962"/>
      <c r="O48" s="941"/>
      <c r="P48" s="941"/>
      <c r="Q48" s="941"/>
      <c r="R48" s="941"/>
      <c r="S48" s="941"/>
      <c r="T48" s="941"/>
      <c r="U48" s="963"/>
      <c r="V48" s="968"/>
      <c r="W48" s="941"/>
      <c r="X48" s="941"/>
      <c r="Y48" s="942"/>
      <c r="Z48" s="942"/>
      <c r="AA48" s="942"/>
      <c r="AB48" s="942"/>
      <c r="AC48" s="942"/>
      <c r="AD48" s="942"/>
      <c r="AE48" s="942"/>
      <c r="AF48" s="942"/>
      <c r="AG48" s="942"/>
      <c r="AH48" s="942"/>
      <c r="AI48" s="942"/>
      <c r="AJ48" s="942"/>
      <c r="AK48" s="942"/>
      <c r="AL48" s="942"/>
      <c r="AM48" s="942"/>
      <c r="AN48" s="942"/>
      <c r="AO48" s="942"/>
      <c r="AP48" s="942"/>
      <c r="AQ48" s="942"/>
      <c r="AR48" s="942"/>
      <c r="AS48" s="942"/>
      <c r="AT48" s="942"/>
      <c r="AU48" s="942"/>
      <c r="AV48" s="942"/>
      <c r="AW48" s="942"/>
      <c r="AX48" s="942"/>
      <c r="AY48" s="942"/>
      <c r="AZ48" s="942"/>
      <c r="BA48" s="942"/>
      <c r="BB48" s="943">
        <f t="shared" si="1"/>
        <v>0</v>
      </c>
      <c r="BC48" s="944" t="str">
        <f t="shared" si="2"/>
        <v>0</v>
      </c>
      <c r="BD48" s="944" t="str">
        <f t="shared" si="0"/>
        <v/>
      </c>
      <c r="BE48" s="944" t="str">
        <f t="shared" si="3"/>
        <v>0</v>
      </c>
      <c r="BF48" s="944" t="e">
        <f t="shared" si="4"/>
        <v>#VALUE!</v>
      </c>
      <c r="BG48" s="945" t="e">
        <f t="shared" si="5"/>
        <v>#VALUE!</v>
      </c>
      <c r="BH48" s="946" t="e">
        <f t="shared" si="6"/>
        <v>#VALUE!</v>
      </c>
      <c r="BI48" s="947" t="e">
        <f t="shared" si="7"/>
        <v>#VALUE!</v>
      </c>
      <c r="BJ48" s="943" t="str">
        <f t="shared" si="8"/>
        <v>0</v>
      </c>
      <c r="BK48" s="947" t="b">
        <f t="shared" si="9"/>
        <v>0</v>
      </c>
      <c r="BL48" s="943">
        <f t="shared" si="10"/>
        <v>0</v>
      </c>
      <c r="BM48" s="947" t="b">
        <f t="shared" si="11"/>
        <v>0</v>
      </c>
      <c r="BN48" s="947" t="e">
        <f t="shared" si="12"/>
        <v>#VALUE!</v>
      </c>
      <c r="BO48" s="816" t="b">
        <f t="shared" si="13"/>
        <v>0</v>
      </c>
      <c r="BP48" s="816" t="str">
        <f t="shared" si="14"/>
        <v/>
      </c>
    </row>
    <row r="49" ht="21.95" customHeight="1" spans="1:68">
      <c r="A49" s="948">
        <v>48</v>
      </c>
      <c r="B49" s="949" t="str">
        <f t="shared" si="15"/>
        <v>III-A</v>
      </c>
      <c r="C49" s="950"/>
      <c r="D49" s="955"/>
      <c r="E49" s="957"/>
      <c r="F49" s="955"/>
      <c r="G49" s="955"/>
      <c r="H49" s="957"/>
      <c r="I49" s="957"/>
      <c r="J49" s="956"/>
      <c r="K49" s="957"/>
      <c r="L49" s="955"/>
      <c r="M49" s="955"/>
      <c r="N49" s="958"/>
      <c r="O49" s="955"/>
      <c r="P49" s="955"/>
      <c r="Q49" s="955"/>
      <c r="R49" s="955"/>
      <c r="S49" s="955"/>
      <c r="T49" s="955"/>
      <c r="U49" s="959"/>
      <c r="V49" s="969"/>
      <c r="W49" s="955"/>
      <c r="X49" s="955"/>
      <c r="Y49" s="942"/>
      <c r="Z49" s="942"/>
      <c r="AA49" s="942"/>
      <c r="AB49" s="942"/>
      <c r="AC49" s="942"/>
      <c r="AD49" s="942"/>
      <c r="AE49" s="942"/>
      <c r="AF49" s="942"/>
      <c r="AG49" s="942"/>
      <c r="AH49" s="942"/>
      <c r="AI49" s="942"/>
      <c r="AJ49" s="942"/>
      <c r="AK49" s="942"/>
      <c r="AL49" s="942"/>
      <c r="AM49" s="942"/>
      <c r="AN49" s="942"/>
      <c r="AO49" s="942"/>
      <c r="AP49" s="942"/>
      <c r="AQ49" s="942"/>
      <c r="AR49" s="942"/>
      <c r="AS49" s="942"/>
      <c r="AT49" s="942"/>
      <c r="AU49" s="942"/>
      <c r="AV49" s="942"/>
      <c r="AW49" s="942"/>
      <c r="AX49" s="942"/>
      <c r="AY49" s="942"/>
      <c r="AZ49" s="942"/>
      <c r="BA49" s="942"/>
      <c r="BB49" s="943">
        <f t="shared" si="1"/>
        <v>0</v>
      </c>
      <c r="BC49" s="944" t="str">
        <f t="shared" si="2"/>
        <v>0</v>
      </c>
      <c r="BD49" s="944" t="str">
        <f t="shared" si="0"/>
        <v/>
      </c>
      <c r="BE49" s="944" t="str">
        <f t="shared" si="3"/>
        <v>0</v>
      </c>
      <c r="BF49" s="944" t="e">
        <f t="shared" si="4"/>
        <v>#VALUE!</v>
      </c>
      <c r="BG49" s="945" t="e">
        <f t="shared" si="5"/>
        <v>#VALUE!</v>
      </c>
      <c r="BH49" s="946" t="e">
        <f t="shared" si="6"/>
        <v>#VALUE!</v>
      </c>
      <c r="BI49" s="947" t="e">
        <f t="shared" si="7"/>
        <v>#VALUE!</v>
      </c>
      <c r="BJ49" s="943" t="str">
        <f t="shared" si="8"/>
        <v>0</v>
      </c>
      <c r="BK49" s="947" t="b">
        <f t="shared" si="9"/>
        <v>0</v>
      </c>
      <c r="BL49" s="943">
        <f t="shared" si="10"/>
        <v>0</v>
      </c>
      <c r="BM49" s="947" t="b">
        <f t="shared" si="11"/>
        <v>0</v>
      </c>
      <c r="BN49" s="947" t="e">
        <f t="shared" si="12"/>
        <v>#VALUE!</v>
      </c>
      <c r="BO49" s="816" t="b">
        <f t="shared" si="13"/>
        <v>0</v>
      </c>
      <c r="BP49" s="816" t="str">
        <f t="shared" si="14"/>
        <v/>
      </c>
    </row>
    <row r="50" ht="21.95" customHeight="1" spans="1:68">
      <c r="A50" s="934">
        <v>49</v>
      </c>
      <c r="B50" s="935" t="str">
        <f t="shared" si="15"/>
        <v>III-A</v>
      </c>
      <c r="C50" s="936"/>
      <c r="D50" s="941"/>
      <c r="E50" s="961"/>
      <c r="F50" s="941"/>
      <c r="G50" s="941"/>
      <c r="H50" s="961"/>
      <c r="I50" s="961"/>
      <c r="J50" s="960"/>
      <c r="K50" s="961"/>
      <c r="L50" s="941"/>
      <c r="M50" s="941"/>
      <c r="N50" s="962"/>
      <c r="O50" s="941"/>
      <c r="P50" s="941"/>
      <c r="Q50" s="941"/>
      <c r="R50" s="941"/>
      <c r="S50" s="941"/>
      <c r="T50" s="941"/>
      <c r="U50" s="963"/>
      <c r="V50" s="968"/>
      <c r="W50" s="941"/>
      <c r="X50" s="941"/>
      <c r="Y50" s="942"/>
      <c r="Z50" s="942"/>
      <c r="AA50" s="942"/>
      <c r="AB50" s="942"/>
      <c r="AC50" s="942"/>
      <c r="AD50" s="942"/>
      <c r="AE50" s="942"/>
      <c r="AF50" s="942"/>
      <c r="AG50" s="942"/>
      <c r="AH50" s="942"/>
      <c r="AI50" s="942"/>
      <c r="AJ50" s="942"/>
      <c r="AK50" s="942"/>
      <c r="AL50" s="942"/>
      <c r="AM50" s="942"/>
      <c r="AN50" s="942"/>
      <c r="AO50" s="942"/>
      <c r="AP50" s="942"/>
      <c r="AQ50" s="942"/>
      <c r="AR50" s="942"/>
      <c r="AS50" s="942"/>
      <c r="AT50" s="942"/>
      <c r="AU50" s="942"/>
      <c r="AV50" s="942"/>
      <c r="AW50" s="942"/>
      <c r="AX50" s="942"/>
      <c r="AY50" s="942"/>
      <c r="AZ50" s="942"/>
      <c r="BA50" s="942"/>
      <c r="BB50" s="943">
        <f t="shared" si="1"/>
        <v>0</v>
      </c>
      <c r="BC50" s="944" t="str">
        <f t="shared" si="2"/>
        <v>0</v>
      </c>
      <c r="BD50" s="944" t="str">
        <f t="shared" si="0"/>
        <v/>
      </c>
      <c r="BE50" s="944" t="str">
        <f t="shared" si="3"/>
        <v>0</v>
      </c>
      <c r="BF50" s="944" t="e">
        <f t="shared" si="4"/>
        <v>#VALUE!</v>
      </c>
      <c r="BG50" s="945" t="e">
        <f t="shared" si="5"/>
        <v>#VALUE!</v>
      </c>
      <c r="BH50" s="946" t="e">
        <f t="shared" si="6"/>
        <v>#VALUE!</v>
      </c>
      <c r="BI50" s="947" t="e">
        <f t="shared" si="7"/>
        <v>#VALUE!</v>
      </c>
      <c r="BJ50" s="943" t="str">
        <f t="shared" si="8"/>
        <v>0</v>
      </c>
      <c r="BK50" s="947" t="b">
        <f t="shared" si="9"/>
        <v>0</v>
      </c>
      <c r="BL50" s="943">
        <f t="shared" si="10"/>
        <v>0</v>
      </c>
      <c r="BM50" s="947" t="b">
        <f t="shared" si="11"/>
        <v>0</v>
      </c>
      <c r="BN50" s="947" t="e">
        <f t="shared" si="12"/>
        <v>#VALUE!</v>
      </c>
      <c r="BO50" s="816" t="b">
        <f t="shared" si="13"/>
        <v>0</v>
      </c>
      <c r="BP50" s="816" t="str">
        <f t="shared" si="14"/>
        <v/>
      </c>
    </row>
    <row r="51" ht="21.95" hidden="1" customHeight="1" spans="1:68">
      <c r="A51" s="948">
        <v>50</v>
      </c>
      <c r="B51" s="949" t="str">
        <f t="shared" si="15"/>
        <v>III-A</v>
      </c>
      <c r="C51" s="950"/>
      <c r="D51" s="955"/>
      <c r="E51" s="957"/>
      <c r="F51" s="955"/>
      <c r="G51" s="955"/>
      <c r="H51" s="957"/>
      <c r="I51" s="957"/>
      <c r="J51" s="956"/>
      <c r="K51" s="957"/>
      <c r="L51" s="955"/>
      <c r="M51" s="955"/>
      <c r="N51" s="958"/>
      <c r="O51" s="955"/>
      <c r="P51" s="955"/>
      <c r="Q51" s="955"/>
      <c r="R51" s="955"/>
      <c r="S51" s="955"/>
      <c r="T51" s="955"/>
      <c r="U51" s="959"/>
      <c r="V51" s="969"/>
      <c r="W51" s="955"/>
      <c r="X51" s="955"/>
      <c r="Y51" s="942"/>
      <c r="Z51" s="942"/>
      <c r="AA51" s="942"/>
      <c r="AB51" s="942"/>
      <c r="AC51" s="942"/>
      <c r="AD51" s="942"/>
      <c r="AE51" s="942"/>
      <c r="AF51" s="942"/>
      <c r="AG51" s="942"/>
      <c r="AH51" s="942"/>
      <c r="AI51" s="942"/>
      <c r="AJ51" s="942"/>
      <c r="AK51" s="942"/>
      <c r="AL51" s="942"/>
      <c r="AM51" s="942"/>
      <c r="AN51" s="942"/>
      <c r="AO51" s="942"/>
      <c r="AP51" s="942"/>
      <c r="AQ51" s="942"/>
      <c r="AR51" s="942"/>
      <c r="AS51" s="942"/>
      <c r="AT51" s="942"/>
      <c r="AU51" s="942"/>
      <c r="AV51" s="942"/>
      <c r="AW51" s="942"/>
      <c r="AX51" s="942"/>
      <c r="AY51" s="942"/>
      <c r="AZ51" s="942"/>
      <c r="BA51" s="942"/>
      <c r="BB51" s="943">
        <f t="shared" si="1"/>
        <v>0</v>
      </c>
      <c r="BC51" s="944" t="str">
        <f t="shared" si="2"/>
        <v>0</v>
      </c>
      <c r="BD51" s="944" t="str">
        <f t="shared" si="0"/>
        <v/>
      </c>
      <c r="BE51" s="944" t="str">
        <f t="shared" si="3"/>
        <v>0</v>
      </c>
      <c r="BF51" s="944" t="e">
        <f t="shared" si="4"/>
        <v>#VALUE!</v>
      </c>
      <c r="BG51" s="945" t="e">
        <f t="shared" si="5"/>
        <v>#VALUE!</v>
      </c>
      <c r="BH51" s="946" t="e">
        <f t="shared" si="6"/>
        <v>#VALUE!</v>
      </c>
      <c r="BI51" s="947" t="e">
        <f t="shared" si="7"/>
        <v>#VALUE!</v>
      </c>
      <c r="BJ51" s="943" t="str">
        <f t="shared" si="8"/>
        <v>0</v>
      </c>
      <c r="BK51" s="947" t="b">
        <f t="shared" si="9"/>
        <v>0</v>
      </c>
      <c r="BL51" s="943">
        <f t="shared" si="10"/>
        <v>0</v>
      </c>
      <c r="BM51" s="947" t="b">
        <f t="shared" si="11"/>
        <v>0</v>
      </c>
      <c r="BN51" s="947" t="e">
        <f t="shared" si="12"/>
        <v>#VALUE!</v>
      </c>
      <c r="BO51" s="816" t="b">
        <f t="shared" si="13"/>
        <v>0</v>
      </c>
      <c r="BP51" s="816" t="str">
        <f t="shared" si="14"/>
        <v/>
      </c>
    </row>
    <row r="52" ht="21.95" hidden="1" customHeight="1" spans="1:68">
      <c r="A52" s="970">
        <v>51</v>
      </c>
      <c r="B52" s="935" t="str">
        <f t="shared" si="15"/>
        <v>III-A</v>
      </c>
      <c r="C52" s="971"/>
      <c r="D52" s="972"/>
      <c r="E52" s="973"/>
      <c r="F52" s="972"/>
      <c r="G52" s="972"/>
      <c r="H52" s="973"/>
      <c r="I52" s="973"/>
      <c r="J52" s="974"/>
      <c r="K52" s="973"/>
      <c r="L52" s="972"/>
      <c r="M52" s="972"/>
      <c r="N52" s="975"/>
      <c r="O52" s="972"/>
      <c r="P52" s="972"/>
      <c r="Q52" s="972"/>
      <c r="R52" s="972"/>
      <c r="S52" s="972"/>
      <c r="T52" s="972"/>
      <c r="U52" s="976"/>
      <c r="V52" s="977"/>
      <c r="W52" s="972"/>
      <c r="X52" s="972"/>
      <c r="Y52" s="942"/>
      <c r="Z52" s="942"/>
      <c r="AA52" s="942"/>
      <c r="AB52" s="942"/>
      <c r="AC52" s="942"/>
      <c r="AD52" s="942"/>
      <c r="AE52" s="942"/>
      <c r="AF52" s="942"/>
      <c r="AG52" s="942"/>
      <c r="AH52" s="942"/>
      <c r="AI52" s="942"/>
      <c r="AJ52" s="942"/>
      <c r="AK52" s="942"/>
      <c r="AL52" s="942"/>
      <c r="AM52" s="942"/>
      <c r="AN52" s="942"/>
      <c r="AO52" s="942"/>
      <c r="AP52" s="942"/>
      <c r="AQ52" s="942"/>
      <c r="AR52" s="942"/>
      <c r="AS52" s="942"/>
      <c r="AT52" s="942"/>
      <c r="AU52" s="942"/>
      <c r="AV52" s="942"/>
      <c r="AW52" s="942"/>
      <c r="AX52" s="942"/>
      <c r="AY52" s="942"/>
      <c r="AZ52" s="942"/>
      <c r="BA52" s="942"/>
      <c r="BB52" s="943">
        <f t="shared" si="1"/>
        <v>0</v>
      </c>
      <c r="BC52" s="944" t="str">
        <f t="shared" si="2"/>
        <v>0</v>
      </c>
      <c r="BD52" s="944" t="str">
        <f t="shared" si="0"/>
        <v/>
      </c>
      <c r="BE52" s="944" t="str">
        <f t="shared" si="3"/>
        <v>0</v>
      </c>
      <c r="BF52" s="944" t="e">
        <f t="shared" si="4"/>
        <v>#VALUE!</v>
      </c>
      <c r="BG52" s="945" t="e">
        <f t="shared" si="5"/>
        <v>#VALUE!</v>
      </c>
      <c r="BH52" s="946" t="e">
        <f t="shared" si="6"/>
        <v>#VALUE!</v>
      </c>
      <c r="BI52" s="947" t="e">
        <f t="shared" si="7"/>
        <v>#VALUE!</v>
      </c>
      <c r="BJ52" s="943" t="str">
        <f t="shared" si="8"/>
        <v>0</v>
      </c>
      <c r="BK52" s="947" t="b">
        <f t="shared" si="9"/>
        <v>0</v>
      </c>
      <c r="BL52" s="943">
        <f t="shared" si="10"/>
        <v>0</v>
      </c>
      <c r="BM52" s="947" t="b">
        <f t="shared" si="11"/>
        <v>0</v>
      </c>
      <c r="BN52" s="947" t="e">
        <f t="shared" si="12"/>
        <v>#VALUE!</v>
      </c>
      <c r="BO52" s="816" t="b">
        <f t="shared" si="13"/>
        <v>0</v>
      </c>
      <c r="BP52" s="816" t="str">
        <f t="shared" si="14"/>
        <v/>
      </c>
    </row>
    <row r="53" ht="21.95" hidden="1" customHeight="1" spans="1:68">
      <c r="A53" s="978">
        <v>52</v>
      </c>
      <c r="B53" s="949" t="str">
        <f t="shared" si="15"/>
        <v>III-A</v>
      </c>
      <c r="C53" s="979"/>
      <c r="D53" s="980"/>
      <c r="E53" s="981"/>
      <c r="F53" s="980"/>
      <c r="G53" s="980"/>
      <c r="H53" s="981"/>
      <c r="I53" s="981"/>
      <c r="J53" s="982"/>
      <c r="K53" s="981"/>
      <c r="L53" s="980"/>
      <c r="M53" s="980"/>
      <c r="N53" s="983"/>
      <c r="O53" s="980"/>
      <c r="P53" s="980"/>
      <c r="Q53" s="980"/>
      <c r="R53" s="980"/>
      <c r="S53" s="980"/>
      <c r="T53" s="980"/>
      <c r="U53" s="984"/>
      <c r="V53" s="985"/>
      <c r="W53" s="980"/>
      <c r="X53" s="980"/>
      <c r="Y53" s="942"/>
      <c r="Z53" s="942"/>
      <c r="AA53" s="942"/>
      <c r="AB53" s="942"/>
      <c r="AC53" s="942"/>
      <c r="AD53" s="942"/>
      <c r="AE53" s="942"/>
      <c r="AF53" s="942"/>
      <c r="AG53" s="942"/>
      <c r="AH53" s="942"/>
      <c r="AI53" s="942"/>
      <c r="AJ53" s="942"/>
      <c r="AK53" s="942"/>
      <c r="AL53" s="942"/>
      <c r="AM53" s="942"/>
      <c r="AN53" s="942"/>
      <c r="AO53" s="942"/>
      <c r="AP53" s="942"/>
      <c r="AQ53" s="942"/>
      <c r="AR53" s="942"/>
      <c r="AS53" s="942"/>
      <c r="AT53" s="942"/>
      <c r="AU53" s="942"/>
      <c r="AV53" s="942"/>
      <c r="AW53" s="942"/>
      <c r="AX53" s="942"/>
      <c r="AY53" s="942"/>
      <c r="AZ53" s="942"/>
      <c r="BA53" s="942"/>
      <c r="BB53" s="943">
        <f t="shared" si="1"/>
        <v>0</v>
      </c>
      <c r="BC53" s="944" t="str">
        <f t="shared" si="2"/>
        <v>0</v>
      </c>
      <c r="BD53" s="944" t="str">
        <f t="shared" si="0"/>
        <v/>
      </c>
      <c r="BE53" s="944" t="str">
        <f t="shared" si="3"/>
        <v>0</v>
      </c>
      <c r="BF53" s="944" t="e">
        <f t="shared" si="4"/>
        <v>#VALUE!</v>
      </c>
      <c r="BG53" s="945" t="e">
        <f t="shared" si="5"/>
        <v>#VALUE!</v>
      </c>
      <c r="BH53" s="946" t="e">
        <f t="shared" si="6"/>
        <v>#VALUE!</v>
      </c>
      <c r="BI53" s="947" t="e">
        <f t="shared" si="7"/>
        <v>#VALUE!</v>
      </c>
      <c r="BJ53" s="943" t="str">
        <f t="shared" si="8"/>
        <v>0</v>
      </c>
      <c r="BK53" s="947" t="b">
        <f t="shared" si="9"/>
        <v>0</v>
      </c>
      <c r="BL53" s="943">
        <f t="shared" si="10"/>
        <v>0</v>
      </c>
      <c r="BM53" s="947" t="b">
        <f t="shared" si="11"/>
        <v>0</v>
      </c>
      <c r="BN53" s="947" t="e">
        <f t="shared" si="12"/>
        <v>#VALUE!</v>
      </c>
      <c r="BO53" s="816" t="b">
        <f t="shared" si="13"/>
        <v>0</v>
      </c>
      <c r="BP53" s="816" t="str">
        <f t="shared" si="14"/>
        <v/>
      </c>
    </row>
    <row r="54" ht="21.95" hidden="1" customHeight="1" spans="1:68">
      <c r="A54" s="986">
        <v>53</v>
      </c>
      <c r="B54" s="935" t="str">
        <f t="shared" si="15"/>
        <v>III-A</v>
      </c>
      <c r="C54" s="987"/>
      <c r="D54" s="907"/>
      <c r="E54" s="906"/>
      <c r="F54" s="907"/>
      <c r="G54" s="907"/>
      <c r="H54" s="906"/>
      <c r="I54" s="906"/>
      <c r="J54" s="988"/>
      <c r="K54" s="906"/>
      <c r="L54" s="907"/>
      <c r="M54" s="907"/>
      <c r="N54" s="989"/>
      <c r="O54" s="907"/>
      <c r="P54" s="907"/>
      <c r="Q54" s="907"/>
      <c r="R54" s="907"/>
      <c r="S54" s="907"/>
      <c r="T54" s="907"/>
      <c r="U54" s="990"/>
      <c r="V54" s="991"/>
      <c r="W54" s="907"/>
      <c r="X54" s="907"/>
      <c r="Y54" s="942"/>
      <c r="Z54" s="942"/>
      <c r="AA54" s="942"/>
      <c r="AB54" s="942"/>
      <c r="AC54" s="942"/>
      <c r="AD54" s="942"/>
      <c r="AE54" s="942"/>
      <c r="AF54" s="942"/>
      <c r="AG54" s="942"/>
      <c r="AH54" s="942"/>
      <c r="AI54" s="942"/>
      <c r="AJ54" s="942"/>
      <c r="AK54" s="942"/>
      <c r="AL54" s="942"/>
      <c r="AM54" s="942"/>
      <c r="AN54" s="942"/>
      <c r="AO54" s="942"/>
      <c r="AP54" s="942"/>
      <c r="AQ54" s="942"/>
      <c r="AR54" s="942"/>
      <c r="AS54" s="942"/>
      <c r="AT54" s="942"/>
      <c r="AU54" s="942"/>
      <c r="AV54" s="942"/>
      <c r="AW54" s="942"/>
      <c r="AX54" s="942"/>
      <c r="AY54" s="942"/>
      <c r="AZ54" s="942"/>
      <c r="BA54" s="942"/>
      <c r="BB54" s="943">
        <f t="shared" si="1"/>
        <v>0</v>
      </c>
      <c r="BC54" s="944" t="str">
        <f t="shared" si="2"/>
        <v>0</v>
      </c>
      <c r="BD54" s="944" t="str">
        <f t="shared" si="0"/>
        <v/>
      </c>
      <c r="BE54" s="944" t="str">
        <f t="shared" si="3"/>
        <v>0</v>
      </c>
      <c r="BF54" s="944" t="e">
        <f t="shared" si="4"/>
        <v>#VALUE!</v>
      </c>
      <c r="BG54" s="945" t="e">
        <f t="shared" si="5"/>
        <v>#VALUE!</v>
      </c>
      <c r="BH54" s="946" t="e">
        <f t="shared" si="6"/>
        <v>#VALUE!</v>
      </c>
      <c r="BI54" s="947" t="e">
        <f t="shared" si="7"/>
        <v>#VALUE!</v>
      </c>
      <c r="BJ54" s="943" t="str">
        <f t="shared" si="8"/>
        <v>0</v>
      </c>
      <c r="BK54" s="947" t="b">
        <f t="shared" si="9"/>
        <v>0</v>
      </c>
      <c r="BL54" s="943">
        <f t="shared" si="10"/>
        <v>0</v>
      </c>
      <c r="BM54" s="947" t="b">
        <f t="shared" si="11"/>
        <v>0</v>
      </c>
      <c r="BN54" s="947" t="e">
        <f t="shared" si="12"/>
        <v>#VALUE!</v>
      </c>
      <c r="BO54" s="816" t="b">
        <f t="shared" si="13"/>
        <v>0</v>
      </c>
      <c r="BP54" s="816" t="str">
        <f t="shared" si="14"/>
        <v/>
      </c>
    </row>
    <row r="55" ht="21.95" hidden="1" customHeight="1" spans="1:68">
      <c r="A55" s="978">
        <v>54</v>
      </c>
      <c r="B55" s="949" t="str">
        <f t="shared" si="15"/>
        <v>III-A</v>
      </c>
      <c r="C55" s="979"/>
      <c r="D55" s="980"/>
      <c r="E55" s="981"/>
      <c r="F55" s="980"/>
      <c r="G55" s="980"/>
      <c r="H55" s="981"/>
      <c r="I55" s="981"/>
      <c r="J55" s="982"/>
      <c r="K55" s="981"/>
      <c r="L55" s="980"/>
      <c r="M55" s="980"/>
      <c r="N55" s="983"/>
      <c r="O55" s="980"/>
      <c r="P55" s="980"/>
      <c r="Q55" s="980"/>
      <c r="R55" s="980"/>
      <c r="S55" s="980"/>
      <c r="T55" s="980"/>
      <c r="U55" s="984"/>
      <c r="V55" s="985"/>
      <c r="W55" s="980"/>
      <c r="X55" s="980"/>
      <c r="Y55" s="942"/>
      <c r="Z55" s="942"/>
      <c r="AA55" s="942"/>
      <c r="AB55" s="942"/>
      <c r="AC55" s="942"/>
      <c r="AD55" s="942"/>
      <c r="AE55" s="942"/>
      <c r="AF55" s="942"/>
      <c r="AG55" s="942"/>
      <c r="AH55" s="942"/>
      <c r="AI55" s="942"/>
      <c r="AJ55" s="942"/>
      <c r="AK55" s="942"/>
      <c r="AL55" s="942"/>
      <c r="AM55" s="942"/>
      <c r="AN55" s="942"/>
      <c r="AO55" s="942"/>
      <c r="AP55" s="942"/>
      <c r="AQ55" s="942"/>
      <c r="AR55" s="942"/>
      <c r="AS55" s="942"/>
      <c r="AT55" s="942"/>
      <c r="AU55" s="942"/>
      <c r="AV55" s="942"/>
      <c r="AW55" s="942"/>
      <c r="AX55" s="942"/>
      <c r="AY55" s="942"/>
      <c r="AZ55" s="942"/>
      <c r="BA55" s="942"/>
      <c r="BB55" s="943">
        <f t="shared" si="1"/>
        <v>0</v>
      </c>
      <c r="BC55" s="944" t="str">
        <f t="shared" si="2"/>
        <v>0</v>
      </c>
      <c r="BD55" s="944" t="str">
        <f t="shared" si="0"/>
        <v/>
      </c>
      <c r="BE55" s="944" t="str">
        <f t="shared" si="3"/>
        <v>0</v>
      </c>
      <c r="BF55" s="944" t="e">
        <f t="shared" si="4"/>
        <v>#VALUE!</v>
      </c>
      <c r="BG55" s="945" t="e">
        <f t="shared" si="5"/>
        <v>#VALUE!</v>
      </c>
      <c r="BH55" s="946" t="e">
        <f t="shared" si="6"/>
        <v>#VALUE!</v>
      </c>
      <c r="BI55" s="947" t="e">
        <f t="shared" si="7"/>
        <v>#VALUE!</v>
      </c>
      <c r="BJ55" s="943" t="str">
        <f t="shared" si="8"/>
        <v>0</v>
      </c>
      <c r="BK55" s="947" t="b">
        <f t="shared" si="9"/>
        <v>0</v>
      </c>
      <c r="BL55" s="943">
        <f t="shared" si="10"/>
        <v>0</v>
      </c>
      <c r="BM55" s="947" t="b">
        <f t="shared" si="11"/>
        <v>0</v>
      </c>
      <c r="BN55" s="947" t="e">
        <f t="shared" si="12"/>
        <v>#VALUE!</v>
      </c>
      <c r="BO55" s="816" t="b">
        <f t="shared" si="13"/>
        <v>0</v>
      </c>
      <c r="BP55" s="816" t="str">
        <f t="shared" si="14"/>
        <v/>
      </c>
    </row>
    <row r="56" ht="21.95" hidden="1" customHeight="1" spans="1:68">
      <c r="A56" s="986">
        <v>55</v>
      </c>
      <c r="B56" s="935" t="str">
        <f t="shared" si="15"/>
        <v>III-A</v>
      </c>
      <c r="C56" s="987"/>
      <c r="D56" s="907"/>
      <c r="E56" s="906"/>
      <c r="F56" s="907"/>
      <c r="G56" s="907"/>
      <c r="H56" s="906"/>
      <c r="I56" s="906"/>
      <c r="J56" s="988"/>
      <c r="K56" s="906"/>
      <c r="L56" s="907"/>
      <c r="M56" s="907"/>
      <c r="N56" s="989"/>
      <c r="O56" s="907"/>
      <c r="P56" s="907"/>
      <c r="Q56" s="907"/>
      <c r="R56" s="907"/>
      <c r="S56" s="907"/>
      <c r="T56" s="907"/>
      <c r="U56" s="990"/>
      <c r="V56" s="991"/>
      <c r="W56" s="907"/>
      <c r="X56" s="907"/>
      <c r="Y56" s="942"/>
      <c r="Z56" s="942"/>
      <c r="AA56" s="942"/>
      <c r="AB56" s="942"/>
      <c r="AC56" s="942"/>
      <c r="AD56" s="942"/>
      <c r="AE56" s="942"/>
      <c r="AF56" s="942"/>
      <c r="AG56" s="942"/>
      <c r="AH56" s="942"/>
      <c r="AI56" s="942"/>
      <c r="AJ56" s="942"/>
      <c r="AK56" s="942"/>
      <c r="AL56" s="942"/>
      <c r="AM56" s="942"/>
      <c r="AN56" s="942"/>
      <c r="AO56" s="942"/>
      <c r="AP56" s="942"/>
      <c r="AQ56" s="942"/>
      <c r="AR56" s="942"/>
      <c r="AS56" s="942"/>
      <c r="AT56" s="942"/>
      <c r="AU56" s="942"/>
      <c r="AV56" s="942"/>
      <c r="AW56" s="942"/>
      <c r="AX56" s="942"/>
      <c r="AY56" s="942"/>
      <c r="AZ56" s="942"/>
      <c r="BA56" s="942"/>
      <c r="BB56" s="943">
        <f t="shared" si="1"/>
        <v>0</v>
      </c>
      <c r="BC56" s="944" t="str">
        <f t="shared" si="2"/>
        <v>0</v>
      </c>
      <c r="BD56" s="944" t="str">
        <f t="shared" si="0"/>
        <v/>
      </c>
      <c r="BE56" s="944" t="str">
        <f t="shared" si="3"/>
        <v>0</v>
      </c>
      <c r="BF56" s="944" t="e">
        <f t="shared" si="4"/>
        <v>#VALUE!</v>
      </c>
      <c r="BG56" s="945" t="e">
        <f t="shared" si="5"/>
        <v>#VALUE!</v>
      </c>
      <c r="BH56" s="946" t="e">
        <f t="shared" si="6"/>
        <v>#VALUE!</v>
      </c>
      <c r="BI56" s="947" t="e">
        <f t="shared" si="7"/>
        <v>#VALUE!</v>
      </c>
      <c r="BJ56" s="943" t="str">
        <f t="shared" si="8"/>
        <v>0</v>
      </c>
      <c r="BK56" s="947" t="b">
        <f t="shared" si="9"/>
        <v>0</v>
      </c>
      <c r="BL56" s="943">
        <f t="shared" si="10"/>
        <v>0</v>
      </c>
      <c r="BM56" s="947" t="b">
        <f t="shared" si="11"/>
        <v>0</v>
      </c>
      <c r="BN56" s="947" t="e">
        <f t="shared" si="12"/>
        <v>#VALUE!</v>
      </c>
      <c r="BO56" s="816" t="b">
        <f t="shared" si="13"/>
        <v>0</v>
      </c>
      <c r="BP56" s="816" t="str">
        <f t="shared" si="14"/>
        <v/>
      </c>
    </row>
    <row r="57" ht="21.95" hidden="1" customHeight="1" spans="1:68">
      <c r="A57" s="978">
        <v>56</v>
      </c>
      <c r="B57" s="949" t="str">
        <f t="shared" si="15"/>
        <v>III-A</v>
      </c>
      <c r="C57" s="979"/>
      <c r="D57" s="980"/>
      <c r="E57" s="981"/>
      <c r="F57" s="980"/>
      <c r="G57" s="980"/>
      <c r="H57" s="981"/>
      <c r="I57" s="981"/>
      <c r="J57" s="982"/>
      <c r="K57" s="981"/>
      <c r="L57" s="980"/>
      <c r="M57" s="980"/>
      <c r="N57" s="983"/>
      <c r="O57" s="980"/>
      <c r="P57" s="980"/>
      <c r="Q57" s="980"/>
      <c r="R57" s="980"/>
      <c r="S57" s="980"/>
      <c r="T57" s="980"/>
      <c r="U57" s="984"/>
      <c r="V57" s="985"/>
      <c r="W57" s="980"/>
      <c r="X57" s="980"/>
      <c r="Y57" s="942"/>
      <c r="Z57" s="942"/>
      <c r="AA57" s="942"/>
      <c r="AB57" s="942"/>
      <c r="AC57" s="942"/>
      <c r="AD57" s="942"/>
      <c r="AE57" s="942"/>
      <c r="AF57" s="942"/>
      <c r="AG57" s="942"/>
      <c r="AH57" s="942"/>
      <c r="AI57" s="942"/>
      <c r="AJ57" s="942"/>
      <c r="AK57" s="942"/>
      <c r="AL57" s="942"/>
      <c r="AM57" s="942"/>
      <c r="AN57" s="942"/>
      <c r="AO57" s="942"/>
      <c r="AP57" s="942"/>
      <c r="AQ57" s="942"/>
      <c r="AR57" s="942"/>
      <c r="AS57" s="942"/>
      <c r="AT57" s="942"/>
      <c r="AU57" s="942"/>
      <c r="AV57" s="942"/>
      <c r="AW57" s="942"/>
      <c r="AX57" s="942"/>
      <c r="AY57" s="942"/>
      <c r="AZ57" s="942"/>
      <c r="BA57" s="942"/>
      <c r="BB57" s="943">
        <f t="shared" si="1"/>
        <v>0</v>
      </c>
      <c r="BC57" s="944" t="str">
        <f t="shared" si="2"/>
        <v>0</v>
      </c>
      <c r="BD57" s="944" t="str">
        <f t="shared" si="0"/>
        <v/>
      </c>
      <c r="BE57" s="944" t="str">
        <f t="shared" si="3"/>
        <v>0</v>
      </c>
      <c r="BF57" s="944" t="e">
        <f t="shared" si="4"/>
        <v>#VALUE!</v>
      </c>
      <c r="BG57" s="945" t="e">
        <f t="shared" si="5"/>
        <v>#VALUE!</v>
      </c>
      <c r="BH57" s="946" t="e">
        <f t="shared" si="6"/>
        <v>#VALUE!</v>
      </c>
      <c r="BI57" s="947" t="e">
        <f t="shared" si="7"/>
        <v>#VALUE!</v>
      </c>
      <c r="BJ57" s="943" t="str">
        <f t="shared" si="8"/>
        <v>0</v>
      </c>
      <c r="BK57" s="947" t="b">
        <f t="shared" si="9"/>
        <v>0</v>
      </c>
      <c r="BL57" s="943">
        <f t="shared" si="10"/>
        <v>0</v>
      </c>
      <c r="BM57" s="947" t="b">
        <f t="shared" si="11"/>
        <v>0</v>
      </c>
      <c r="BN57" s="947" t="e">
        <f t="shared" si="12"/>
        <v>#VALUE!</v>
      </c>
      <c r="BO57" s="816" t="b">
        <f t="shared" si="13"/>
        <v>0</v>
      </c>
      <c r="BP57" s="816" t="str">
        <f t="shared" si="14"/>
        <v/>
      </c>
    </row>
    <row r="58" ht="21.95" hidden="1" customHeight="1" spans="1:68">
      <c r="A58" s="986">
        <v>57</v>
      </c>
      <c r="B58" s="935" t="str">
        <f t="shared" si="15"/>
        <v>III-A</v>
      </c>
      <c r="C58" s="987"/>
      <c r="D58" s="907"/>
      <c r="E58" s="906"/>
      <c r="F58" s="907"/>
      <c r="G58" s="907"/>
      <c r="H58" s="906"/>
      <c r="I58" s="906"/>
      <c r="J58" s="988"/>
      <c r="K58" s="906"/>
      <c r="L58" s="907"/>
      <c r="M58" s="907"/>
      <c r="N58" s="989"/>
      <c r="O58" s="907"/>
      <c r="P58" s="907"/>
      <c r="Q58" s="907"/>
      <c r="R58" s="907"/>
      <c r="S58" s="907"/>
      <c r="T58" s="907"/>
      <c r="U58" s="990"/>
      <c r="V58" s="991"/>
      <c r="W58" s="907"/>
      <c r="X58" s="907"/>
      <c r="Y58" s="942"/>
      <c r="Z58" s="942"/>
      <c r="AA58" s="942"/>
      <c r="AB58" s="942"/>
      <c r="AC58" s="942"/>
      <c r="AD58" s="942"/>
      <c r="AE58" s="942"/>
      <c r="AF58" s="942"/>
      <c r="AG58" s="942"/>
      <c r="AH58" s="942"/>
      <c r="AI58" s="942"/>
      <c r="AJ58" s="942"/>
      <c r="AK58" s="942"/>
      <c r="AL58" s="942"/>
      <c r="AM58" s="942"/>
      <c r="AN58" s="942"/>
      <c r="AO58" s="942"/>
      <c r="AP58" s="942"/>
      <c r="AQ58" s="942"/>
      <c r="AR58" s="942"/>
      <c r="AS58" s="942"/>
      <c r="AT58" s="942"/>
      <c r="AU58" s="942"/>
      <c r="AV58" s="942"/>
      <c r="AW58" s="942"/>
      <c r="AX58" s="942"/>
      <c r="AY58" s="942"/>
      <c r="AZ58" s="942"/>
      <c r="BA58" s="942"/>
      <c r="BB58" s="943">
        <f t="shared" si="1"/>
        <v>0</v>
      </c>
      <c r="BC58" s="944" t="str">
        <f t="shared" si="2"/>
        <v>0</v>
      </c>
      <c r="BD58" s="944" t="str">
        <f t="shared" si="0"/>
        <v/>
      </c>
      <c r="BE58" s="944" t="str">
        <f t="shared" si="3"/>
        <v>0</v>
      </c>
      <c r="BF58" s="944" t="e">
        <f t="shared" si="4"/>
        <v>#VALUE!</v>
      </c>
      <c r="BG58" s="945" t="e">
        <f t="shared" si="5"/>
        <v>#VALUE!</v>
      </c>
      <c r="BH58" s="946" t="e">
        <f t="shared" si="6"/>
        <v>#VALUE!</v>
      </c>
      <c r="BI58" s="947" t="e">
        <f t="shared" si="7"/>
        <v>#VALUE!</v>
      </c>
      <c r="BJ58" s="943" t="str">
        <f t="shared" si="8"/>
        <v>0</v>
      </c>
      <c r="BK58" s="947" t="b">
        <f t="shared" si="9"/>
        <v>0</v>
      </c>
      <c r="BL58" s="943">
        <f t="shared" si="10"/>
        <v>0</v>
      </c>
      <c r="BM58" s="947" t="b">
        <f t="shared" si="11"/>
        <v>0</v>
      </c>
      <c r="BN58" s="947" t="e">
        <f t="shared" si="12"/>
        <v>#VALUE!</v>
      </c>
      <c r="BO58" s="816" t="b">
        <f t="shared" si="13"/>
        <v>0</v>
      </c>
      <c r="BP58" s="816" t="str">
        <f t="shared" si="14"/>
        <v/>
      </c>
    </row>
    <row r="59" ht="21.95" hidden="1" customHeight="1" spans="1:68">
      <c r="A59" s="978">
        <v>58</v>
      </c>
      <c r="B59" s="949" t="str">
        <f t="shared" si="15"/>
        <v>III-A</v>
      </c>
      <c r="C59" s="979"/>
      <c r="D59" s="980"/>
      <c r="E59" s="981"/>
      <c r="F59" s="980"/>
      <c r="G59" s="980"/>
      <c r="H59" s="981"/>
      <c r="I59" s="981"/>
      <c r="J59" s="982"/>
      <c r="K59" s="981"/>
      <c r="L59" s="980"/>
      <c r="M59" s="980"/>
      <c r="N59" s="983"/>
      <c r="O59" s="980"/>
      <c r="P59" s="980"/>
      <c r="Q59" s="980"/>
      <c r="R59" s="980"/>
      <c r="S59" s="980"/>
      <c r="T59" s="980"/>
      <c r="U59" s="984"/>
      <c r="V59" s="985"/>
      <c r="W59" s="980"/>
      <c r="X59" s="980"/>
      <c r="Y59" s="942"/>
      <c r="Z59" s="942"/>
      <c r="AA59" s="942"/>
      <c r="AB59" s="942"/>
      <c r="AC59" s="942"/>
      <c r="AD59" s="942"/>
      <c r="AE59" s="942"/>
      <c r="AF59" s="942"/>
      <c r="AG59" s="942"/>
      <c r="AH59" s="942"/>
      <c r="AI59" s="942"/>
      <c r="AJ59" s="942"/>
      <c r="AK59" s="942"/>
      <c r="AL59" s="942"/>
      <c r="AM59" s="942"/>
      <c r="AN59" s="942"/>
      <c r="AO59" s="942"/>
      <c r="AP59" s="942"/>
      <c r="AQ59" s="942"/>
      <c r="AR59" s="942"/>
      <c r="AS59" s="942"/>
      <c r="AT59" s="942"/>
      <c r="AU59" s="942"/>
      <c r="AV59" s="942"/>
      <c r="AW59" s="942"/>
      <c r="AX59" s="942"/>
      <c r="AY59" s="942"/>
      <c r="AZ59" s="942"/>
      <c r="BA59" s="942"/>
      <c r="BB59" s="943">
        <f t="shared" si="1"/>
        <v>0</v>
      </c>
      <c r="BC59" s="944" t="str">
        <f t="shared" si="2"/>
        <v>0</v>
      </c>
      <c r="BD59" s="944" t="str">
        <f t="shared" si="0"/>
        <v/>
      </c>
      <c r="BE59" s="944" t="str">
        <f t="shared" si="3"/>
        <v>0</v>
      </c>
      <c r="BF59" s="944" t="e">
        <f t="shared" si="4"/>
        <v>#VALUE!</v>
      </c>
      <c r="BG59" s="945" t="e">
        <f t="shared" si="5"/>
        <v>#VALUE!</v>
      </c>
      <c r="BH59" s="946" t="e">
        <f t="shared" si="6"/>
        <v>#VALUE!</v>
      </c>
      <c r="BI59" s="947" t="e">
        <f t="shared" si="7"/>
        <v>#VALUE!</v>
      </c>
      <c r="BJ59" s="943" t="str">
        <f t="shared" si="8"/>
        <v>0</v>
      </c>
      <c r="BK59" s="947" t="b">
        <f t="shared" si="9"/>
        <v>0</v>
      </c>
      <c r="BL59" s="943">
        <f t="shared" si="10"/>
        <v>0</v>
      </c>
      <c r="BM59" s="947" t="b">
        <f t="shared" si="11"/>
        <v>0</v>
      </c>
      <c r="BN59" s="947" t="e">
        <f t="shared" si="12"/>
        <v>#VALUE!</v>
      </c>
      <c r="BO59" s="816" t="b">
        <f t="shared" si="13"/>
        <v>0</v>
      </c>
      <c r="BP59" s="816" t="str">
        <f t="shared" si="14"/>
        <v/>
      </c>
    </row>
    <row r="60" ht="21.95" hidden="1" customHeight="1" spans="1:68">
      <c r="A60" s="986">
        <v>59</v>
      </c>
      <c r="B60" s="935" t="str">
        <f t="shared" si="15"/>
        <v>III-A</v>
      </c>
      <c r="C60" s="987"/>
      <c r="D60" s="907"/>
      <c r="E60" s="906"/>
      <c r="F60" s="907"/>
      <c r="G60" s="907"/>
      <c r="H60" s="906"/>
      <c r="I60" s="906"/>
      <c r="J60" s="988"/>
      <c r="K60" s="906"/>
      <c r="L60" s="907"/>
      <c r="M60" s="907"/>
      <c r="N60" s="989"/>
      <c r="O60" s="907"/>
      <c r="P60" s="907"/>
      <c r="Q60" s="907"/>
      <c r="R60" s="907"/>
      <c r="S60" s="907"/>
      <c r="T60" s="907"/>
      <c r="U60" s="990"/>
      <c r="V60" s="991"/>
      <c r="W60" s="907"/>
      <c r="X60" s="907"/>
      <c r="Y60" s="942"/>
      <c r="Z60" s="942"/>
      <c r="AA60" s="942"/>
      <c r="AB60" s="942"/>
      <c r="AC60" s="942"/>
      <c r="AD60" s="942"/>
      <c r="AE60" s="942"/>
      <c r="AF60" s="942"/>
      <c r="AG60" s="942"/>
      <c r="AH60" s="942"/>
      <c r="AI60" s="942"/>
      <c r="AJ60" s="942"/>
      <c r="AK60" s="942"/>
      <c r="AL60" s="942"/>
      <c r="AM60" s="942"/>
      <c r="AN60" s="942"/>
      <c r="AO60" s="942"/>
      <c r="AP60" s="942"/>
      <c r="AQ60" s="942"/>
      <c r="AR60" s="942"/>
      <c r="AS60" s="942"/>
      <c r="AT60" s="942"/>
      <c r="AU60" s="942"/>
      <c r="AV60" s="942"/>
      <c r="AW60" s="942"/>
      <c r="AX60" s="942"/>
      <c r="AY60" s="942"/>
      <c r="AZ60" s="942"/>
      <c r="BA60" s="942"/>
      <c r="BB60" s="943">
        <f t="shared" si="1"/>
        <v>0</v>
      </c>
      <c r="BC60" s="944" t="str">
        <f t="shared" si="2"/>
        <v>0</v>
      </c>
      <c r="BD60" s="944" t="str">
        <f t="shared" si="0"/>
        <v/>
      </c>
      <c r="BE60" s="944" t="str">
        <f t="shared" si="3"/>
        <v>0</v>
      </c>
      <c r="BF60" s="944" t="e">
        <f t="shared" si="4"/>
        <v>#VALUE!</v>
      </c>
      <c r="BG60" s="945" t="e">
        <f t="shared" si="5"/>
        <v>#VALUE!</v>
      </c>
      <c r="BH60" s="946" t="e">
        <f t="shared" si="6"/>
        <v>#VALUE!</v>
      </c>
      <c r="BI60" s="947" t="e">
        <f t="shared" si="7"/>
        <v>#VALUE!</v>
      </c>
      <c r="BJ60" s="943" t="str">
        <f t="shared" si="8"/>
        <v>0</v>
      </c>
      <c r="BK60" s="947" t="b">
        <f t="shared" si="9"/>
        <v>0</v>
      </c>
      <c r="BL60" s="943">
        <f t="shared" si="10"/>
        <v>0</v>
      </c>
      <c r="BM60" s="947" t="b">
        <f t="shared" si="11"/>
        <v>0</v>
      </c>
      <c r="BN60" s="947" t="e">
        <f t="shared" si="12"/>
        <v>#VALUE!</v>
      </c>
      <c r="BO60" s="816" t="b">
        <f t="shared" si="13"/>
        <v>0</v>
      </c>
      <c r="BP60" s="816" t="str">
        <f t="shared" si="14"/>
        <v/>
      </c>
    </row>
    <row r="61" ht="21.95" hidden="1" customHeight="1" spans="1:68">
      <c r="A61" s="978">
        <v>60</v>
      </c>
      <c r="B61" s="949" t="str">
        <f t="shared" si="15"/>
        <v>III-A</v>
      </c>
      <c r="C61" s="979"/>
      <c r="D61" s="980"/>
      <c r="E61" s="981"/>
      <c r="F61" s="980"/>
      <c r="G61" s="980"/>
      <c r="H61" s="981"/>
      <c r="I61" s="981"/>
      <c r="J61" s="982"/>
      <c r="K61" s="981"/>
      <c r="L61" s="980"/>
      <c r="M61" s="980"/>
      <c r="N61" s="983"/>
      <c r="O61" s="980"/>
      <c r="P61" s="980"/>
      <c r="Q61" s="980"/>
      <c r="R61" s="980"/>
      <c r="S61" s="980"/>
      <c r="T61" s="980"/>
      <c r="U61" s="984"/>
      <c r="V61" s="985"/>
      <c r="W61" s="980"/>
      <c r="X61" s="980"/>
      <c r="Y61" s="942"/>
      <c r="Z61" s="942"/>
      <c r="AA61" s="942"/>
      <c r="AB61" s="942"/>
      <c r="AC61" s="942"/>
      <c r="AD61" s="942"/>
      <c r="AE61" s="942"/>
      <c r="AF61" s="942"/>
      <c r="AG61" s="942"/>
      <c r="AH61" s="942"/>
      <c r="AI61" s="942"/>
      <c r="AJ61" s="942"/>
      <c r="AK61" s="942"/>
      <c r="AL61" s="942"/>
      <c r="AM61" s="942"/>
      <c r="AN61" s="942"/>
      <c r="AO61" s="942"/>
      <c r="AP61" s="942"/>
      <c r="AQ61" s="942"/>
      <c r="AR61" s="942"/>
      <c r="AS61" s="942"/>
      <c r="AT61" s="942"/>
      <c r="AU61" s="942"/>
      <c r="AV61" s="942"/>
      <c r="AW61" s="942"/>
      <c r="AX61" s="942"/>
      <c r="AY61" s="942"/>
      <c r="AZ61" s="942"/>
      <c r="BA61" s="942"/>
      <c r="BB61" s="943">
        <f t="shared" si="1"/>
        <v>0</v>
      </c>
      <c r="BC61" s="944" t="str">
        <f t="shared" si="2"/>
        <v>0</v>
      </c>
      <c r="BD61" s="944" t="str">
        <f t="shared" si="0"/>
        <v/>
      </c>
      <c r="BE61" s="944" t="str">
        <f t="shared" si="3"/>
        <v>0</v>
      </c>
      <c r="BF61" s="944" t="e">
        <f t="shared" si="4"/>
        <v>#VALUE!</v>
      </c>
      <c r="BG61" s="945" t="e">
        <f t="shared" si="5"/>
        <v>#VALUE!</v>
      </c>
      <c r="BH61" s="946" t="e">
        <f t="shared" si="6"/>
        <v>#VALUE!</v>
      </c>
      <c r="BI61" s="947" t="e">
        <f t="shared" si="7"/>
        <v>#VALUE!</v>
      </c>
      <c r="BJ61" s="943" t="str">
        <f t="shared" si="8"/>
        <v>0</v>
      </c>
      <c r="BK61" s="947" t="b">
        <f t="shared" si="9"/>
        <v>0</v>
      </c>
      <c r="BL61" s="943">
        <f t="shared" si="10"/>
        <v>0</v>
      </c>
      <c r="BM61" s="947" t="b">
        <f t="shared" si="11"/>
        <v>0</v>
      </c>
      <c r="BN61" s="947" t="e">
        <f t="shared" si="12"/>
        <v>#VALUE!</v>
      </c>
      <c r="BO61" s="816" t="b">
        <f t="shared" si="13"/>
        <v>0</v>
      </c>
      <c r="BP61" s="816" t="str">
        <f t="shared" si="14"/>
        <v/>
      </c>
    </row>
    <row r="62" ht="21.95" hidden="1" customHeight="1" spans="1:68">
      <c r="A62" s="986">
        <v>61</v>
      </c>
      <c r="B62" s="935" t="str">
        <f t="shared" si="15"/>
        <v>III-A</v>
      </c>
      <c r="C62" s="987"/>
      <c r="D62" s="907"/>
      <c r="E62" s="906"/>
      <c r="F62" s="907"/>
      <c r="G62" s="907"/>
      <c r="H62" s="906"/>
      <c r="I62" s="906"/>
      <c r="J62" s="988"/>
      <c r="K62" s="906"/>
      <c r="L62" s="907"/>
      <c r="M62" s="907"/>
      <c r="N62" s="989"/>
      <c r="O62" s="907"/>
      <c r="P62" s="907"/>
      <c r="Q62" s="907"/>
      <c r="R62" s="907"/>
      <c r="S62" s="907"/>
      <c r="T62" s="907"/>
      <c r="U62" s="990"/>
      <c r="V62" s="991"/>
      <c r="W62" s="907"/>
      <c r="X62" s="907"/>
      <c r="Y62" s="942"/>
      <c r="Z62" s="942"/>
      <c r="AA62" s="942"/>
      <c r="AB62" s="942"/>
      <c r="AC62" s="942"/>
      <c r="AD62" s="942"/>
      <c r="AE62" s="942"/>
      <c r="AF62" s="942"/>
      <c r="AG62" s="942"/>
      <c r="AH62" s="942"/>
      <c r="AI62" s="942"/>
      <c r="AJ62" s="942"/>
      <c r="AK62" s="942"/>
      <c r="AL62" s="942"/>
      <c r="AM62" s="942"/>
      <c r="AN62" s="942"/>
      <c r="AO62" s="942"/>
      <c r="AP62" s="942"/>
      <c r="AQ62" s="942"/>
      <c r="AR62" s="942"/>
      <c r="AS62" s="942"/>
      <c r="AT62" s="942"/>
      <c r="AU62" s="942"/>
      <c r="AV62" s="942"/>
      <c r="AW62" s="942"/>
      <c r="AX62" s="942"/>
      <c r="AY62" s="942"/>
      <c r="AZ62" s="942"/>
      <c r="BA62" s="942"/>
      <c r="BB62" s="943">
        <f t="shared" si="1"/>
        <v>0</v>
      </c>
      <c r="BC62" s="944" t="str">
        <f t="shared" si="2"/>
        <v>0</v>
      </c>
      <c r="BD62" s="944" t="str">
        <f t="shared" si="0"/>
        <v/>
      </c>
      <c r="BE62" s="944" t="str">
        <f t="shared" si="3"/>
        <v>0</v>
      </c>
      <c r="BF62" s="944" t="e">
        <f t="shared" si="4"/>
        <v>#VALUE!</v>
      </c>
      <c r="BG62" s="945" t="e">
        <f t="shared" si="5"/>
        <v>#VALUE!</v>
      </c>
      <c r="BH62" s="946" t="e">
        <f t="shared" si="6"/>
        <v>#VALUE!</v>
      </c>
      <c r="BI62" s="947" t="e">
        <f t="shared" si="7"/>
        <v>#VALUE!</v>
      </c>
      <c r="BJ62" s="943" t="str">
        <f t="shared" si="8"/>
        <v>0</v>
      </c>
      <c r="BK62" s="947" t="b">
        <f t="shared" si="9"/>
        <v>0</v>
      </c>
      <c r="BL62" s="943">
        <f t="shared" si="10"/>
        <v>0</v>
      </c>
      <c r="BM62" s="947" t="b">
        <f t="shared" si="11"/>
        <v>0</v>
      </c>
      <c r="BN62" s="947" t="e">
        <f t="shared" si="12"/>
        <v>#VALUE!</v>
      </c>
      <c r="BO62" s="816" t="b">
        <f t="shared" si="13"/>
        <v>0</v>
      </c>
      <c r="BP62" s="816" t="str">
        <f t="shared" si="14"/>
        <v/>
      </c>
    </row>
    <row r="63" ht="21.95" hidden="1" customHeight="1" spans="1:68">
      <c r="A63" s="978">
        <v>62</v>
      </c>
      <c r="B63" s="949" t="str">
        <f t="shared" si="15"/>
        <v>III-A</v>
      </c>
      <c r="C63" s="979"/>
      <c r="D63" s="980"/>
      <c r="E63" s="981"/>
      <c r="F63" s="980"/>
      <c r="G63" s="980"/>
      <c r="H63" s="981"/>
      <c r="I63" s="981"/>
      <c r="J63" s="982"/>
      <c r="K63" s="981"/>
      <c r="L63" s="980"/>
      <c r="M63" s="980"/>
      <c r="N63" s="983"/>
      <c r="O63" s="980"/>
      <c r="P63" s="980"/>
      <c r="Q63" s="980"/>
      <c r="R63" s="980"/>
      <c r="S63" s="980"/>
      <c r="T63" s="980"/>
      <c r="U63" s="984"/>
      <c r="V63" s="985"/>
      <c r="W63" s="980"/>
      <c r="X63" s="980"/>
      <c r="Y63" s="942"/>
      <c r="Z63" s="942"/>
      <c r="AA63" s="942"/>
      <c r="AB63" s="942"/>
      <c r="AC63" s="942"/>
      <c r="AD63" s="942"/>
      <c r="AE63" s="942"/>
      <c r="AF63" s="942"/>
      <c r="AG63" s="942"/>
      <c r="AH63" s="942"/>
      <c r="AI63" s="942"/>
      <c r="AJ63" s="942"/>
      <c r="AK63" s="942"/>
      <c r="AL63" s="942"/>
      <c r="AM63" s="942"/>
      <c r="AN63" s="942"/>
      <c r="AO63" s="942"/>
      <c r="AP63" s="942"/>
      <c r="AQ63" s="942"/>
      <c r="AR63" s="942"/>
      <c r="AS63" s="942"/>
      <c r="AT63" s="942"/>
      <c r="AU63" s="942"/>
      <c r="AV63" s="942"/>
      <c r="AW63" s="942"/>
      <c r="AX63" s="942"/>
      <c r="AY63" s="942"/>
      <c r="AZ63" s="942"/>
      <c r="BA63" s="942"/>
      <c r="BB63" s="943">
        <f t="shared" si="1"/>
        <v>0</v>
      </c>
      <c r="BC63" s="944" t="str">
        <f t="shared" si="2"/>
        <v>0</v>
      </c>
      <c r="BD63" s="944" t="str">
        <f t="shared" si="0"/>
        <v/>
      </c>
      <c r="BE63" s="944" t="str">
        <f t="shared" si="3"/>
        <v>0</v>
      </c>
      <c r="BF63" s="944" t="e">
        <f t="shared" si="4"/>
        <v>#VALUE!</v>
      </c>
      <c r="BG63" s="945" t="e">
        <f t="shared" si="5"/>
        <v>#VALUE!</v>
      </c>
      <c r="BH63" s="946" t="e">
        <f t="shared" si="6"/>
        <v>#VALUE!</v>
      </c>
      <c r="BI63" s="947" t="e">
        <f t="shared" si="7"/>
        <v>#VALUE!</v>
      </c>
      <c r="BJ63" s="943" t="str">
        <f t="shared" si="8"/>
        <v>0</v>
      </c>
      <c r="BK63" s="947" t="b">
        <f t="shared" si="9"/>
        <v>0</v>
      </c>
      <c r="BL63" s="943">
        <f t="shared" si="10"/>
        <v>0</v>
      </c>
      <c r="BM63" s="947" t="b">
        <f t="shared" si="11"/>
        <v>0</v>
      </c>
      <c r="BN63" s="947" t="e">
        <f t="shared" si="12"/>
        <v>#VALUE!</v>
      </c>
      <c r="BO63" s="816" t="b">
        <f t="shared" si="13"/>
        <v>0</v>
      </c>
      <c r="BP63" s="816" t="str">
        <f t="shared" si="14"/>
        <v/>
      </c>
    </row>
    <row r="64" ht="21.95" hidden="1" customHeight="1" spans="1:68">
      <c r="A64" s="986">
        <v>63</v>
      </c>
      <c r="B64" s="935" t="str">
        <f t="shared" si="15"/>
        <v>III-A</v>
      </c>
      <c r="C64" s="987"/>
      <c r="D64" s="907"/>
      <c r="E64" s="906"/>
      <c r="F64" s="907"/>
      <c r="G64" s="907"/>
      <c r="H64" s="906"/>
      <c r="I64" s="906"/>
      <c r="J64" s="988"/>
      <c r="K64" s="906"/>
      <c r="L64" s="907"/>
      <c r="M64" s="907"/>
      <c r="N64" s="989"/>
      <c r="O64" s="907"/>
      <c r="P64" s="907"/>
      <c r="Q64" s="907"/>
      <c r="R64" s="907"/>
      <c r="S64" s="907"/>
      <c r="T64" s="907"/>
      <c r="U64" s="990"/>
      <c r="V64" s="991"/>
      <c r="W64" s="907"/>
      <c r="X64" s="907"/>
      <c r="Y64" s="942"/>
      <c r="Z64" s="942"/>
      <c r="AA64" s="942"/>
      <c r="AB64" s="942"/>
      <c r="AC64" s="942"/>
      <c r="AD64" s="942"/>
      <c r="AE64" s="942"/>
      <c r="AF64" s="942"/>
      <c r="AG64" s="942"/>
      <c r="AH64" s="942"/>
      <c r="AI64" s="942"/>
      <c r="AJ64" s="942"/>
      <c r="AK64" s="942"/>
      <c r="AL64" s="942"/>
      <c r="AM64" s="942"/>
      <c r="AN64" s="942"/>
      <c r="AO64" s="942"/>
      <c r="AP64" s="942"/>
      <c r="AQ64" s="942"/>
      <c r="AR64" s="942"/>
      <c r="AS64" s="942"/>
      <c r="AT64" s="942"/>
      <c r="AU64" s="942"/>
      <c r="AV64" s="942"/>
      <c r="AW64" s="942"/>
      <c r="AX64" s="942"/>
      <c r="AY64" s="942"/>
      <c r="AZ64" s="942"/>
      <c r="BA64" s="942"/>
      <c r="BB64" s="943">
        <f t="shared" si="1"/>
        <v>0</v>
      </c>
      <c r="BC64" s="944" t="str">
        <f t="shared" si="2"/>
        <v>0</v>
      </c>
      <c r="BD64" s="944" t="str">
        <f t="shared" si="0"/>
        <v/>
      </c>
      <c r="BE64" s="944" t="str">
        <f t="shared" si="3"/>
        <v>0</v>
      </c>
      <c r="BF64" s="944" t="e">
        <f t="shared" si="4"/>
        <v>#VALUE!</v>
      </c>
      <c r="BG64" s="945" t="e">
        <f t="shared" si="5"/>
        <v>#VALUE!</v>
      </c>
      <c r="BH64" s="946" t="e">
        <f t="shared" si="6"/>
        <v>#VALUE!</v>
      </c>
      <c r="BI64" s="947" t="e">
        <f t="shared" si="7"/>
        <v>#VALUE!</v>
      </c>
      <c r="BJ64" s="943" t="str">
        <f t="shared" si="8"/>
        <v>0</v>
      </c>
      <c r="BK64" s="947" t="b">
        <f t="shared" si="9"/>
        <v>0</v>
      </c>
      <c r="BL64" s="943">
        <f t="shared" si="10"/>
        <v>0</v>
      </c>
      <c r="BM64" s="947" t="b">
        <f t="shared" si="11"/>
        <v>0</v>
      </c>
      <c r="BN64" s="947" t="e">
        <f t="shared" si="12"/>
        <v>#VALUE!</v>
      </c>
      <c r="BO64" s="816" t="b">
        <f t="shared" si="13"/>
        <v>0</v>
      </c>
      <c r="BP64" s="816" t="str">
        <f t="shared" si="14"/>
        <v/>
      </c>
    </row>
    <row r="65" ht="21.95" hidden="1" customHeight="1" spans="1:68">
      <c r="A65" s="978">
        <v>64</v>
      </c>
      <c r="B65" s="949" t="str">
        <f t="shared" si="15"/>
        <v>III-A</v>
      </c>
      <c r="C65" s="979"/>
      <c r="D65" s="980"/>
      <c r="E65" s="981"/>
      <c r="F65" s="980"/>
      <c r="G65" s="980"/>
      <c r="H65" s="981"/>
      <c r="I65" s="981"/>
      <c r="J65" s="982"/>
      <c r="K65" s="981"/>
      <c r="L65" s="980"/>
      <c r="M65" s="980"/>
      <c r="N65" s="983"/>
      <c r="O65" s="980"/>
      <c r="P65" s="980"/>
      <c r="Q65" s="980"/>
      <c r="R65" s="980"/>
      <c r="S65" s="980"/>
      <c r="T65" s="980"/>
      <c r="U65" s="984"/>
      <c r="V65" s="985"/>
      <c r="W65" s="980"/>
      <c r="X65" s="980"/>
      <c r="Y65" s="942"/>
      <c r="Z65" s="942"/>
      <c r="AA65" s="942"/>
      <c r="AB65" s="942"/>
      <c r="AC65" s="942"/>
      <c r="AD65" s="942"/>
      <c r="AE65" s="942"/>
      <c r="AF65" s="942"/>
      <c r="AG65" s="942"/>
      <c r="AH65" s="942"/>
      <c r="AI65" s="942"/>
      <c r="AJ65" s="942"/>
      <c r="AK65" s="942"/>
      <c r="AL65" s="942"/>
      <c r="AM65" s="942"/>
      <c r="AN65" s="942"/>
      <c r="AO65" s="942"/>
      <c r="AP65" s="942"/>
      <c r="AQ65" s="942"/>
      <c r="AR65" s="942"/>
      <c r="AS65" s="942"/>
      <c r="AT65" s="942"/>
      <c r="AU65" s="942"/>
      <c r="AV65" s="942"/>
      <c r="AW65" s="942"/>
      <c r="AX65" s="942"/>
      <c r="AY65" s="942"/>
      <c r="AZ65" s="942"/>
      <c r="BA65" s="942"/>
      <c r="BB65" s="943">
        <f t="shared" si="1"/>
        <v>0</v>
      </c>
      <c r="BC65" s="944" t="str">
        <f t="shared" si="2"/>
        <v>0</v>
      </c>
      <c r="BD65" s="944" t="str">
        <f t="shared" si="0"/>
        <v/>
      </c>
      <c r="BE65" s="944" t="str">
        <f t="shared" si="3"/>
        <v>0</v>
      </c>
      <c r="BF65" s="944" t="e">
        <f t="shared" si="4"/>
        <v>#VALUE!</v>
      </c>
      <c r="BG65" s="945" t="e">
        <f t="shared" si="5"/>
        <v>#VALUE!</v>
      </c>
      <c r="BH65" s="946" t="e">
        <f t="shared" si="6"/>
        <v>#VALUE!</v>
      </c>
      <c r="BI65" s="947" t="e">
        <f t="shared" si="7"/>
        <v>#VALUE!</v>
      </c>
      <c r="BJ65" s="943" t="str">
        <f t="shared" si="8"/>
        <v>0</v>
      </c>
      <c r="BK65" s="947" t="b">
        <f t="shared" si="9"/>
        <v>0</v>
      </c>
      <c r="BL65" s="943">
        <f t="shared" si="10"/>
        <v>0</v>
      </c>
      <c r="BM65" s="947" t="b">
        <f t="shared" si="11"/>
        <v>0</v>
      </c>
      <c r="BN65" s="947" t="e">
        <f t="shared" si="12"/>
        <v>#VALUE!</v>
      </c>
      <c r="BO65" s="816" t="b">
        <f t="shared" si="13"/>
        <v>0</v>
      </c>
      <c r="BP65" s="816" t="str">
        <f t="shared" si="14"/>
        <v/>
      </c>
    </row>
    <row r="66" ht="21.95" hidden="1" customHeight="1" spans="1:68">
      <c r="A66" s="986">
        <v>65</v>
      </c>
      <c r="B66" s="935" t="str">
        <f t="shared" si="15"/>
        <v>III-A</v>
      </c>
      <c r="C66" s="987"/>
      <c r="D66" s="907"/>
      <c r="E66" s="906"/>
      <c r="F66" s="907"/>
      <c r="G66" s="907"/>
      <c r="H66" s="906"/>
      <c r="I66" s="906"/>
      <c r="J66" s="988"/>
      <c r="K66" s="906"/>
      <c r="L66" s="907"/>
      <c r="M66" s="907"/>
      <c r="N66" s="989"/>
      <c r="O66" s="907"/>
      <c r="P66" s="907"/>
      <c r="Q66" s="907"/>
      <c r="R66" s="907"/>
      <c r="S66" s="907"/>
      <c r="T66" s="907"/>
      <c r="U66" s="990"/>
      <c r="V66" s="991"/>
      <c r="W66" s="907"/>
      <c r="X66" s="907"/>
      <c r="Y66" s="942"/>
      <c r="Z66" s="942"/>
      <c r="AA66" s="942"/>
      <c r="AB66" s="942"/>
      <c r="AC66" s="942"/>
      <c r="AD66" s="942"/>
      <c r="AE66" s="942"/>
      <c r="AF66" s="942"/>
      <c r="AG66" s="942"/>
      <c r="AH66" s="942"/>
      <c r="AI66" s="942"/>
      <c r="AJ66" s="942"/>
      <c r="AK66" s="942"/>
      <c r="AL66" s="942"/>
      <c r="AM66" s="942"/>
      <c r="AN66" s="942"/>
      <c r="AO66" s="942"/>
      <c r="AP66" s="942"/>
      <c r="AQ66" s="942"/>
      <c r="AR66" s="942"/>
      <c r="AS66" s="942"/>
      <c r="AT66" s="942"/>
      <c r="AU66" s="942"/>
      <c r="AV66" s="942"/>
      <c r="AW66" s="942"/>
      <c r="AX66" s="942"/>
      <c r="AY66" s="942"/>
      <c r="AZ66" s="942"/>
      <c r="BA66" s="942"/>
      <c r="BB66" s="943">
        <f t="shared" si="1"/>
        <v>0</v>
      </c>
      <c r="BC66" s="944" t="str">
        <f t="shared" si="2"/>
        <v>0</v>
      </c>
      <c r="BD66" s="944" t="str">
        <f t="shared" ref="BD66:BD101" si="16">MID(BB66,5,(2))</f>
        <v/>
      </c>
      <c r="BE66" s="944" t="str">
        <f t="shared" si="3"/>
        <v>0</v>
      </c>
      <c r="BF66" s="944" t="e">
        <f t="shared" si="4"/>
        <v>#VALUE!</v>
      </c>
      <c r="BG66" s="945" t="e">
        <f t="shared" si="5"/>
        <v>#VALUE!</v>
      </c>
      <c r="BH66" s="946" t="e">
        <f t="shared" si="6"/>
        <v>#VALUE!</v>
      </c>
      <c r="BI66" s="947" t="e">
        <f t="shared" si="7"/>
        <v>#VALUE!</v>
      </c>
      <c r="BJ66" s="943" t="str">
        <f t="shared" si="8"/>
        <v>0</v>
      </c>
      <c r="BK66" s="947" t="b">
        <f t="shared" si="9"/>
        <v>0</v>
      </c>
      <c r="BL66" s="943">
        <f t="shared" si="10"/>
        <v>0</v>
      </c>
      <c r="BM66" s="947" t="b">
        <f t="shared" si="11"/>
        <v>0</v>
      </c>
      <c r="BN66" s="947" t="e">
        <f t="shared" si="12"/>
        <v>#VALUE!</v>
      </c>
      <c r="BO66" s="816" t="b">
        <f t="shared" si="13"/>
        <v>0</v>
      </c>
      <c r="BP66" s="816" t="str">
        <f t="shared" si="14"/>
        <v/>
      </c>
    </row>
    <row r="67" ht="21.95" hidden="1" customHeight="1" spans="1:68">
      <c r="A67" s="978">
        <v>66</v>
      </c>
      <c r="B67" s="949" t="str">
        <f t="shared" si="15"/>
        <v>III-A</v>
      </c>
      <c r="C67" s="979"/>
      <c r="D67" s="980"/>
      <c r="E67" s="981"/>
      <c r="F67" s="980"/>
      <c r="G67" s="980"/>
      <c r="H67" s="981"/>
      <c r="I67" s="981"/>
      <c r="J67" s="982"/>
      <c r="K67" s="981"/>
      <c r="L67" s="980"/>
      <c r="M67" s="980"/>
      <c r="N67" s="983"/>
      <c r="O67" s="980"/>
      <c r="P67" s="980"/>
      <c r="Q67" s="980"/>
      <c r="R67" s="980"/>
      <c r="S67" s="980"/>
      <c r="T67" s="980"/>
      <c r="U67" s="984"/>
      <c r="V67" s="985"/>
      <c r="W67" s="980"/>
      <c r="X67" s="980"/>
      <c r="Y67" s="942"/>
      <c r="Z67" s="942"/>
      <c r="AA67" s="942"/>
      <c r="AB67" s="942"/>
      <c r="AC67" s="942"/>
      <c r="AD67" s="942"/>
      <c r="AE67" s="942"/>
      <c r="AF67" s="942"/>
      <c r="AG67" s="942"/>
      <c r="AH67" s="942"/>
      <c r="AI67" s="942"/>
      <c r="AJ67" s="942"/>
      <c r="AK67" s="942"/>
      <c r="AL67" s="942"/>
      <c r="AM67" s="942"/>
      <c r="AN67" s="942"/>
      <c r="AO67" s="942"/>
      <c r="AP67" s="942"/>
      <c r="AQ67" s="942"/>
      <c r="AR67" s="942"/>
      <c r="AS67" s="942"/>
      <c r="AT67" s="942"/>
      <c r="AU67" s="942"/>
      <c r="AV67" s="942"/>
      <c r="AW67" s="942"/>
      <c r="AX67" s="942"/>
      <c r="AY67" s="942"/>
      <c r="AZ67" s="942"/>
      <c r="BA67" s="942"/>
      <c r="BB67" s="943">
        <f t="shared" ref="BB67:BB101" si="17">G67</f>
        <v>0</v>
      </c>
      <c r="BC67" s="944" t="str">
        <f t="shared" ref="BC67:BC101" si="18">LEFT(BB67,(3))</f>
        <v>0</v>
      </c>
      <c r="BD67" s="944" t="str">
        <f t="shared" si="16"/>
        <v/>
      </c>
      <c r="BE67" s="944" t="str">
        <f t="shared" ref="BE67:BE101" si="19">RIGHT(BB67,(4))</f>
        <v>0</v>
      </c>
      <c r="BF67" s="944" t="e">
        <f t="shared" ref="BF67:BF101" si="20">MONTH(DATEVALUE(BC67&amp;1))</f>
        <v>#VALUE!</v>
      </c>
      <c r="BG67" s="945" t="e">
        <f t="shared" ref="BG67:BG101" si="21">DATE(BE67,BF67,BD67)</f>
        <v>#VALUE!</v>
      </c>
      <c r="BH67" s="946" t="e">
        <f t="shared" ref="BH67:BH101" si="22">VALUE(BD67)</f>
        <v>#VALUE!</v>
      </c>
      <c r="BI67" s="947" t="e">
        <f t="shared" ref="BI67:BI101" si="23">IF(BH67=1,"FIRST",IF(BH67=2,"SECOND",IF(BH67=3,"THIRD",IF(BH67=4,"FOURTH",IF(BH67=5,"FIFTH",IF(BH67=6,"SIXTH",IF(BH67=7,"SEVENTH",IF(BH67=8,"EIGHTH",IF(BH67=9,"NINTH",IF(BH67=10,"TENTH",IF(BH67=11,"ELEVENTH",IF(BH67=12,"TWELFTH",IF(BH67=13,"THIRTEENTH",IF(BH67=14,"FOURTEENTH",IF(BH67=15,"FIFTEENTH",IF(BH67=16,"SIXTEENTH",IF(BH67=17,"SEVENTEENTH",IF(BH67=18,"EIGHTEENTH",IF(BH67=19,"NINETEENTH",IF(BH67=20,"TWENTIETH",IF(BH67=21,"TWENTY FIRST",IF(BH67=22,"TWENTY SECOND",IF(BH67=23,"TWENTY THIRD",IF(BH67=24,"TWENTY FOURTH",IF(BH67=25,"TWENTY FIFTH",IF(BH67=26,"TWENTY SIXTH",IF(BH67=27,"TWENTY SEVENTH",IF(BH67=28,"TWENTY EIGHTH",IF(BH67=29,"TWENTY NINTH",IF(BH67=30,"THIRTIETH",IF(BH67=31,"THIRTY FIRST","")))))))))))))))))))))))))))))))</f>
        <v>#VALUE!</v>
      </c>
      <c r="BJ67" s="943" t="str">
        <f t="shared" ref="BJ67:BJ101" si="24">BC67</f>
        <v>0</v>
      </c>
      <c r="BK67" s="947" t="b">
        <f t="shared" ref="BK67:BK101" si="25">IF(BJ67="Jan","JANUARY",IF(BJ67="Feb","FEBRUARY",IF(BJ67="Mar","MARCH",IF(BJ67="Apr","APRIL",IF(BJ67="May","MAY",IF(BJ67="Jun","JUNE",IF(BJ67="Jul","JULY",IF(BJ67="Aug","AUGUST",IF(BJ67="Sep","SEPTEMBER",IF(BJ67="Oct","OCTOBER",IF(BJ67="Nov","NOVEMBER",IF(BJ67="Dec","DECEMBER"))))))))))))</f>
        <v>0</v>
      </c>
      <c r="BL67" s="943">
        <f t="shared" ref="BL67:BL101" si="26">VALUE(BE67)</f>
        <v>0</v>
      </c>
      <c r="BM67" s="947" t="b">
        <f t="shared" ref="BM67:BM101" si="27">IF(BL67=2000,"TWO THOUSAND",IF(BL67=2001,"TWO THOUSAND ONE",IF(BL67=2002,"TWO THOUSAND TWO",IF(BL67=2003,"TWO THOUSAND THREE",IF(BL67=2004,"TWO THOUSAND FOUR",IF(BL67=2005,"TWO THOUSAND FIVE",IF(BL67=2006,"TWO THOUSAND SIX",IF(BL67=2007,"TWO THOUSAND SEVEN",IF(BL67=2008,"TWO THOUSAND EIGHT",IF(BL67=2009,"TWO THOUSAND NINE",IF(BL67=2010,"TWO THOUSAND TEN",IF(BL67=2011,"TWO THOUSAND ELEVEN",IF(BL67=2012,"TWO THOUSAND TWELVE",IF(BL67=2013,"TWO THOUSAND THIRTEEN",IF(BL67=2014,"TWO THOUSAND FOURTEEN",IF(BL67=2015,"TWO THOUSAND FIFTEEN",IF(BL67=2016,"TWO THOUSAND SIXTEEN",IF(BL67=2017,"TWO THOUSAND SEVENTEEN",IF(BL67=2018,"TWO THOUSAND EIGHTEEN",IF(BL67=2019,"TWO THOUSAND NINETEEN",IF(BL67=2020,"TWO THOUSAND TWENTY",IF(BL67=2021,"TWO THOUSAND TWENTY ONE",IF(BL67=2022,"TWO THOUSAND TWENTY TWO",IF(BL67=2023,"TWO THOUSAND TWENTY THREE",IF(BL67=2024,"TWO THOUSAND TWENTY FOUR",IF(BL67=2025,"TWO THOUSAND TWENTY FIVE",IF(BL67=2026,"TWO THOUSAND TWENTY SIX",IF(BL67=2027,"TWO THOUSAND TWENTY SEVEN",IF(BL67=2028,"TWO THOUSAND TWENTY EIGHT",IF(BL67=2029,"TWO THOUSAND TWENTY NINE",IF(BL67=2030,"TWO THOUSAND THIRTY",IF(BL67=2031,"TWO THOUSAND THIRTY ONE",IF(BL67=2032,"TWO THOUSAND THIRTY TWO",IF(BL67=2033,"TWO THOUSAND THIRTY THREE",IF(BL67=2034,"TWO THOUSAND THIRTY FOUR",IF(BL67=2035,"TWO THOUSAND THIRTY FIVE",IF(BL67=2036,"TWO THOUSAND THIRTY SIX",IF(BL67=2037,"TWO THOUSAND THIRTY SEVEN",IF(BL67=2038,"TWO THOUSAND THIRTY EIGHT",IF(BL67=2039,"TWO THOUSAND THIRTY NINE",IF(BL67=2040,"TWO THOUSAND FORTY",IF(BL67=2041,"TWO THOUSAND FORTY ONE",IF(BL67=2042,"TWO THOUSAND FORTY TWO",IF(BL67=2043,"TWO THOUSAND FORTY THREE",IF(BL67=2044,"TWO THOUSAND FORTY FOUR",IF(BL67=2045,"TWO THOUSAND FORTY FIVE",IF(BL67=2046,"TWO THOUSAND FORTY SIX",IF(BL67=2047,"TWO THOUSAND FORTY SEVEN",IF(BL67=2048,"TWO THOUSAND FORTY EIGHT",IF(BL67=2049,"TWO THOUSAND FORTY NINE",IF(BL67=2050,"TWO THOUSAND FIFTY")))))))))))))))))))))))))))))))))))))))))))))))))))</f>
        <v>0</v>
      </c>
      <c r="BN67" s="947" t="e">
        <f t="shared" ref="BN67:BN101" si="28">BI67&amp;" "&amp;BK67&amp;" "&amp;BM67</f>
        <v>#VALUE!</v>
      </c>
      <c r="BO67" s="816" t="b">
        <f t="shared" ref="BO67:BO101" si="29">IF(O67="SC","SC",IF(O67="ST","ST",IF(O67="OBC","OBC",IF(O67="PH","PH",IF(Q67="Muslim","MIN",IF(Q67="Sikh","MIN",IF(Q67="Christian","MIN",IF(Q67="Jain","MIN",IF(Q67="Parsi","MIN",IF(Q67="Hindu","GEN"))))))))))</f>
        <v>0</v>
      </c>
      <c r="BP67" s="816" t="str">
        <f t="shared" ref="BP67:BP101" si="30">IF(P67="Female","F",IF(P67="Transgender","T",IF(P67="Male","M","")))</f>
        <v/>
      </c>
    </row>
    <row r="68" ht="21.95" hidden="1" customHeight="1" spans="1:68">
      <c r="A68" s="986">
        <v>67</v>
      </c>
      <c r="B68" s="935" t="str">
        <f t="shared" si="15"/>
        <v>III-A</v>
      </c>
      <c r="C68" s="987"/>
      <c r="D68" s="907"/>
      <c r="E68" s="906"/>
      <c r="F68" s="907"/>
      <c r="G68" s="907"/>
      <c r="H68" s="906"/>
      <c r="I68" s="906"/>
      <c r="J68" s="988"/>
      <c r="K68" s="906"/>
      <c r="L68" s="907"/>
      <c r="M68" s="907"/>
      <c r="N68" s="989"/>
      <c r="O68" s="907"/>
      <c r="P68" s="907"/>
      <c r="Q68" s="907"/>
      <c r="R68" s="907"/>
      <c r="S68" s="907"/>
      <c r="T68" s="907"/>
      <c r="U68" s="990"/>
      <c r="V68" s="991"/>
      <c r="W68" s="907"/>
      <c r="X68" s="907"/>
      <c r="Y68" s="942"/>
      <c r="Z68" s="942"/>
      <c r="AA68" s="942"/>
      <c r="AB68" s="942"/>
      <c r="AC68" s="942"/>
      <c r="AD68" s="942"/>
      <c r="AE68" s="942"/>
      <c r="AF68" s="942"/>
      <c r="AG68" s="942"/>
      <c r="AH68" s="942"/>
      <c r="AI68" s="942"/>
      <c r="AJ68" s="942"/>
      <c r="AK68" s="942"/>
      <c r="AL68" s="942"/>
      <c r="AM68" s="942"/>
      <c r="AN68" s="942"/>
      <c r="AO68" s="942"/>
      <c r="AP68" s="942"/>
      <c r="AQ68" s="942"/>
      <c r="AR68" s="942"/>
      <c r="AS68" s="942"/>
      <c r="AT68" s="942"/>
      <c r="AU68" s="942"/>
      <c r="AV68" s="942"/>
      <c r="AW68" s="942"/>
      <c r="AX68" s="942"/>
      <c r="AY68" s="942"/>
      <c r="AZ68" s="942"/>
      <c r="BA68" s="942"/>
      <c r="BB68" s="943">
        <f t="shared" si="17"/>
        <v>0</v>
      </c>
      <c r="BC68" s="944" t="str">
        <f t="shared" si="18"/>
        <v>0</v>
      </c>
      <c r="BD68" s="944" t="str">
        <f t="shared" si="16"/>
        <v/>
      </c>
      <c r="BE68" s="944" t="str">
        <f t="shared" si="19"/>
        <v>0</v>
      </c>
      <c r="BF68" s="944" t="e">
        <f t="shared" si="20"/>
        <v>#VALUE!</v>
      </c>
      <c r="BG68" s="945" t="e">
        <f t="shared" si="21"/>
        <v>#VALUE!</v>
      </c>
      <c r="BH68" s="946" t="e">
        <f t="shared" si="22"/>
        <v>#VALUE!</v>
      </c>
      <c r="BI68" s="947" t="e">
        <f t="shared" si="23"/>
        <v>#VALUE!</v>
      </c>
      <c r="BJ68" s="943" t="str">
        <f t="shared" si="24"/>
        <v>0</v>
      </c>
      <c r="BK68" s="947" t="b">
        <f t="shared" si="25"/>
        <v>0</v>
      </c>
      <c r="BL68" s="943">
        <f t="shared" si="26"/>
        <v>0</v>
      </c>
      <c r="BM68" s="947" t="b">
        <f t="shared" si="27"/>
        <v>0</v>
      </c>
      <c r="BN68" s="947" t="e">
        <f t="shared" si="28"/>
        <v>#VALUE!</v>
      </c>
      <c r="BO68" s="816" t="b">
        <f t="shared" si="29"/>
        <v>0</v>
      </c>
      <c r="BP68" s="816" t="str">
        <f t="shared" si="30"/>
        <v/>
      </c>
    </row>
    <row r="69" ht="21.95" hidden="1" customHeight="1" spans="1:68">
      <c r="A69" s="978">
        <v>68</v>
      </c>
      <c r="B69" s="949" t="str">
        <f t="shared" ref="B69:B101" si="31">B68</f>
        <v>III-A</v>
      </c>
      <c r="C69" s="979"/>
      <c r="D69" s="980"/>
      <c r="E69" s="981"/>
      <c r="F69" s="980"/>
      <c r="G69" s="980"/>
      <c r="H69" s="981"/>
      <c r="I69" s="981"/>
      <c r="J69" s="982"/>
      <c r="K69" s="981"/>
      <c r="L69" s="980"/>
      <c r="M69" s="980"/>
      <c r="N69" s="983"/>
      <c r="O69" s="980"/>
      <c r="P69" s="980"/>
      <c r="Q69" s="980"/>
      <c r="R69" s="980"/>
      <c r="S69" s="980"/>
      <c r="T69" s="980"/>
      <c r="U69" s="984"/>
      <c r="V69" s="985"/>
      <c r="W69" s="980"/>
      <c r="X69" s="980"/>
      <c r="Y69" s="942"/>
      <c r="Z69" s="942"/>
      <c r="AA69" s="942"/>
      <c r="AB69" s="942"/>
      <c r="AC69" s="942"/>
      <c r="AD69" s="942"/>
      <c r="AE69" s="942"/>
      <c r="AF69" s="942"/>
      <c r="AG69" s="942"/>
      <c r="AH69" s="942"/>
      <c r="AI69" s="942"/>
      <c r="AJ69" s="942"/>
      <c r="AK69" s="942"/>
      <c r="AL69" s="942"/>
      <c r="AM69" s="942"/>
      <c r="AN69" s="942"/>
      <c r="AO69" s="942"/>
      <c r="AP69" s="942"/>
      <c r="AQ69" s="942"/>
      <c r="AR69" s="942"/>
      <c r="AS69" s="942"/>
      <c r="AT69" s="942"/>
      <c r="AU69" s="942"/>
      <c r="AV69" s="942"/>
      <c r="AW69" s="942"/>
      <c r="AX69" s="942"/>
      <c r="AY69" s="942"/>
      <c r="AZ69" s="942"/>
      <c r="BA69" s="942"/>
      <c r="BB69" s="943">
        <f t="shared" si="17"/>
        <v>0</v>
      </c>
      <c r="BC69" s="944" t="str">
        <f t="shared" si="18"/>
        <v>0</v>
      </c>
      <c r="BD69" s="944" t="str">
        <f t="shared" si="16"/>
        <v/>
      </c>
      <c r="BE69" s="944" t="str">
        <f t="shared" si="19"/>
        <v>0</v>
      </c>
      <c r="BF69" s="944" t="e">
        <f t="shared" si="20"/>
        <v>#VALUE!</v>
      </c>
      <c r="BG69" s="945" t="e">
        <f t="shared" si="21"/>
        <v>#VALUE!</v>
      </c>
      <c r="BH69" s="946" t="e">
        <f t="shared" si="22"/>
        <v>#VALUE!</v>
      </c>
      <c r="BI69" s="947" t="e">
        <f t="shared" si="23"/>
        <v>#VALUE!</v>
      </c>
      <c r="BJ69" s="943" t="str">
        <f t="shared" si="24"/>
        <v>0</v>
      </c>
      <c r="BK69" s="947" t="b">
        <f t="shared" si="25"/>
        <v>0</v>
      </c>
      <c r="BL69" s="943">
        <f t="shared" si="26"/>
        <v>0</v>
      </c>
      <c r="BM69" s="947" t="b">
        <f t="shared" si="27"/>
        <v>0</v>
      </c>
      <c r="BN69" s="947" t="e">
        <f t="shared" si="28"/>
        <v>#VALUE!</v>
      </c>
      <c r="BO69" s="816" t="b">
        <f t="shared" si="29"/>
        <v>0</v>
      </c>
      <c r="BP69" s="816" t="str">
        <f t="shared" si="30"/>
        <v/>
      </c>
    </row>
    <row r="70" ht="21.95" hidden="1" customHeight="1" spans="1:68">
      <c r="A70" s="986">
        <v>69</v>
      </c>
      <c r="B70" s="935" t="str">
        <f t="shared" si="31"/>
        <v>III-A</v>
      </c>
      <c r="C70" s="987"/>
      <c r="D70" s="907"/>
      <c r="E70" s="906"/>
      <c r="F70" s="907"/>
      <c r="G70" s="907"/>
      <c r="H70" s="906"/>
      <c r="I70" s="906"/>
      <c r="J70" s="988"/>
      <c r="K70" s="906"/>
      <c r="L70" s="907"/>
      <c r="M70" s="907"/>
      <c r="N70" s="989"/>
      <c r="O70" s="907"/>
      <c r="P70" s="907"/>
      <c r="Q70" s="907"/>
      <c r="R70" s="907"/>
      <c r="S70" s="907"/>
      <c r="T70" s="907"/>
      <c r="U70" s="990"/>
      <c r="V70" s="991"/>
      <c r="W70" s="907"/>
      <c r="X70" s="907"/>
      <c r="Y70" s="942"/>
      <c r="Z70" s="942"/>
      <c r="AA70" s="942"/>
      <c r="AB70" s="942"/>
      <c r="AC70" s="942"/>
      <c r="AD70" s="942"/>
      <c r="AE70" s="942"/>
      <c r="AF70" s="942"/>
      <c r="AG70" s="942"/>
      <c r="AH70" s="942"/>
      <c r="AI70" s="942"/>
      <c r="AJ70" s="942"/>
      <c r="AK70" s="942"/>
      <c r="AL70" s="942"/>
      <c r="AM70" s="942"/>
      <c r="AN70" s="942"/>
      <c r="AO70" s="942"/>
      <c r="AP70" s="942"/>
      <c r="AQ70" s="942"/>
      <c r="AR70" s="942"/>
      <c r="AS70" s="942"/>
      <c r="AT70" s="942"/>
      <c r="AU70" s="942"/>
      <c r="AV70" s="942"/>
      <c r="AW70" s="942"/>
      <c r="AX70" s="942"/>
      <c r="AY70" s="942"/>
      <c r="AZ70" s="942"/>
      <c r="BA70" s="942"/>
      <c r="BB70" s="943">
        <f t="shared" si="17"/>
        <v>0</v>
      </c>
      <c r="BC70" s="944" t="str">
        <f t="shared" si="18"/>
        <v>0</v>
      </c>
      <c r="BD70" s="944" t="str">
        <f t="shared" si="16"/>
        <v/>
      </c>
      <c r="BE70" s="944" t="str">
        <f t="shared" si="19"/>
        <v>0</v>
      </c>
      <c r="BF70" s="944" t="e">
        <f t="shared" si="20"/>
        <v>#VALUE!</v>
      </c>
      <c r="BG70" s="945" t="e">
        <f t="shared" si="21"/>
        <v>#VALUE!</v>
      </c>
      <c r="BH70" s="946" t="e">
        <f t="shared" si="22"/>
        <v>#VALUE!</v>
      </c>
      <c r="BI70" s="947" t="e">
        <f t="shared" si="23"/>
        <v>#VALUE!</v>
      </c>
      <c r="BJ70" s="943" t="str">
        <f t="shared" si="24"/>
        <v>0</v>
      </c>
      <c r="BK70" s="947" t="b">
        <f t="shared" si="25"/>
        <v>0</v>
      </c>
      <c r="BL70" s="943">
        <f t="shared" si="26"/>
        <v>0</v>
      </c>
      <c r="BM70" s="947" t="b">
        <f t="shared" si="27"/>
        <v>0</v>
      </c>
      <c r="BN70" s="947" t="e">
        <f t="shared" si="28"/>
        <v>#VALUE!</v>
      </c>
      <c r="BO70" s="816" t="b">
        <f t="shared" si="29"/>
        <v>0</v>
      </c>
      <c r="BP70" s="816" t="str">
        <f t="shared" si="30"/>
        <v/>
      </c>
    </row>
    <row r="71" ht="21.95" hidden="1" customHeight="1" spans="1:68">
      <c r="A71" s="978">
        <v>70</v>
      </c>
      <c r="B71" s="949" t="str">
        <f t="shared" si="31"/>
        <v>III-A</v>
      </c>
      <c r="C71" s="979"/>
      <c r="D71" s="980"/>
      <c r="E71" s="981"/>
      <c r="F71" s="980"/>
      <c r="G71" s="980"/>
      <c r="H71" s="981"/>
      <c r="I71" s="981"/>
      <c r="J71" s="982"/>
      <c r="K71" s="981"/>
      <c r="L71" s="980"/>
      <c r="M71" s="980"/>
      <c r="N71" s="983"/>
      <c r="O71" s="980"/>
      <c r="P71" s="980"/>
      <c r="Q71" s="980"/>
      <c r="R71" s="980"/>
      <c r="S71" s="980"/>
      <c r="T71" s="980"/>
      <c r="U71" s="984"/>
      <c r="V71" s="985"/>
      <c r="W71" s="980"/>
      <c r="X71" s="980"/>
      <c r="Y71" s="942"/>
      <c r="Z71" s="942"/>
      <c r="AA71" s="942"/>
      <c r="AB71" s="942"/>
      <c r="AC71" s="942"/>
      <c r="AD71" s="942"/>
      <c r="AE71" s="942"/>
      <c r="AF71" s="942"/>
      <c r="AG71" s="942"/>
      <c r="AH71" s="942"/>
      <c r="AI71" s="942"/>
      <c r="AJ71" s="942"/>
      <c r="AK71" s="942"/>
      <c r="AL71" s="942"/>
      <c r="AM71" s="942"/>
      <c r="AN71" s="942"/>
      <c r="AO71" s="942"/>
      <c r="AP71" s="942"/>
      <c r="AQ71" s="942"/>
      <c r="AR71" s="942"/>
      <c r="AS71" s="942"/>
      <c r="AT71" s="942"/>
      <c r="AU71" s="942"/>
      <c r="AV71" s="942"/>
      <c r="AW71" s="942"/>
      <c r="AX71" s="942"/>
      <c r="AY71" s="942"/>
      <c r="AZ71" s="942"/>
      <c r="BA71" s="942"/>
      <c r="BB71" s="943">
        <f t="shared" si="17"/>
        <v>0</v>
      </c>
      <c r="BC71" s="944" t="str">
        <f t="shared" si="18"/>
        <v>0</v>
      </c>
      <c r="BD71" s="944" t="str">
        <f t="shared" si="16"/>
        <v/>
      </c>
      <c r="BE71" s="944" t="str">
        <f t="shared" si="19"/>
        <v>0</v>
      </c>
      <c r="BF71" s="944" t="e">
        <f t="shared" si="20"/>
        <v>#VALUE!</v>
      </c>
      <c r="BG71" s="945" t="e">
        <f t="shared" si="21"/>
        <v>#VALUE!</v>
      </c>
      <c r="BH71" s="946" t="e">
        <f t="shared" si="22"/>
        <v>#VALUE!</v>
      </c>
      <c r="BI71" s="947" t="e">
        <f t="shared" si="23"/>
        <v>#VALUE!</v>
      </c>
      <c r="BJ71" s="943" t="str">
        <f t="shared" si="24"/>
        <v>0</v>
      </c>
      <c r="BK71" s="947" t="b">
        <f t="shared" si="25"/>
        <v>0</v>
      </c>
      <c r="BL71" s="943">
        <f t="shared" si="26"/>
        <v>0</v>
      </c>
      <c r="BM71" s="947" t="b">
        <f t="shared" si="27"/>
        <v>0</v>
      </c>
      <c r="BN71" s="947" t="e">
        <f t="shared" si="28"/>
        <v>#VALUE!</v>
      </c>
      <c r="BO71" s="816" t="b">
        <f t="shared" si="29"/>
        <v>0</v>
      </c>
      <c r="BP71" s="816" t="str">
        <f t="shared" si="30"/>
        <v/>
      </c>
    </row>
    <row r="72" ht="21.95" hidden="1" customHeight="1" spans="1:68">
      <c r="A72" s="986">
        <v>71</v>
      </c>
      <c r="B72" s="935" t="str">
        <f t="shared" si="31"/>
        <v>III-A</v>
      </c>
      <c r="C72" s="987"/>
      <c r="D72" s="907"/>
      <c r="E72" s="906"/>
      <c r="F72" s="907"/>
      <c r="G72" s="907"/>
      <c r="H72" s="906"/>
      <c r="I72" s="906"/>
      <c r="J72" s="988"/>
      <c r="K72" s="906"/>
      <c r="L72" s="907"/>
      <c r="M72" s="907"/>
      <c r="N72" s="989"/>
      <c r="O72" s="907"/>
      <c r="P72" s="907"/>
      <c r="Q72" s="907"/>
      <c r="R72" s="907"/>
      <c r="S72" s="907"/>
      <c r="T72" s="907"/>
      <c r="U72" s="990"/>
      <c r="V72" s="991"/>
      <c r="W72" s="907"/>
      <c r="X72" s="907"/>
      <c r="Y72" s="942"/>
      <c r="Z72" s="942"/>
      <c r="AA72" s="942"/>
      <c r="AB72" s="942"/>
      <c r="AC72" s="942"/>
      <c r="AD72" s="942"/>
      <c r="AE72" s="942"/>
      <c r="AF72" s="942"/>
      <c r="AG72" s="942"/>
      <c r="AH72" s="942"/>
      <c r="AI72" s="942"/>
      <c r="AJ72" s="942"/>
      <c r="AK72" s="942"/>
      <c r="AL72" s="942"/>
      <c r="AM72" s="942"/>
      <c r="AN72" s="942"/>
      <c r="AO72" s="942"/>
      <c r="AP72" s="942"/>
      <c r="AQ72" s="942"/>
      <c r="AR72" s="942"/>
      <c r="AS72" s="942"/>
      <c r="AT72" s="942"/>
      <c r="AU72" s="942"/>
      <c r="AV72" s="942"/>
      <c r="AW72" s="942"/>
      <c r="AX72" s="942"/>
      <c r="AY72" s="942"/>
      <c r="AZ72" s="942"/>
      <c r="BA72" s="942"/>
      <c r="BB72" s="943">
        <f t="shared" si="17"/>
        <v>0</v>
      </c>
      <c r="BC72" s="944" t="str">
        <f t="shared" si="18"/>
        <v>0</v>
      </c>
      <c r="BD72" s="944" t="str">
        <f t="shared" si="16"/>
        <v/>
      </c>
      <c r="BE72" s="944" t="str">
        <f t="shared" si="19"/>
        <v>0</v>
      </c>
      <c r="BF72" s="944" t="e">
        <f t="shared" si="20"/>
        <v>#VALUE!</v>
      </c>
      <c r="BG72" s="945" t="e">
        <f t="shared" si="21"/>
        <v>#VALUE!</v>
      </c>
      <c r="BH72" s="946" t="e">
        <f t="shared" si="22"/>
        <v>#VALUE!</v>
      </c>
      <c r="BI72" s="947" t="e">
        <f t="shared" si="23"/>
        <v>#VALUE!</v>
      </c>
      <c r="BJ72" s="943" t="str">
        <f t="shared" si="24"/>
        <v>0</v>
      </c>
      <c r="BK72" s="947" t="b">
        <f t="shared" si="25"/>
        <v>0</v>
      </c>
      <c r="BL72" s="943">
        <f t="shared" si="26"/>
        <v>0</v>
      </c>
      <c r="BM72" s="947" t="b">
        <f t="shared" si="27"/>
        <v>0</v>
      </c>
      <c r="BN72" s="947" t="e">
        <f t="shared" si="28"/>
        <v>#VALUE!</v>
      </c>
      <c r="BO72" s="816" t="b">
        <f t="shared" si="29"/>
        <v>0</v>
      </c>
      <c r="BP72" s="816" t="str">
        <f t="shared" si="30"/>
        <v/>
      </c>
    </row>
    <row r="73" ht="21.95" hidden="1" customHeight="1" spans="1:68">
      <c r="A73" s="978">
        <v>72</v>
      </c>
      <c r="B73" s="949" t="str">
        <f t="shared" si="31"/>
        <v>III-A</v>
      </c>
      <c r="C73" s="979"/>
      <c r="D73" s="980"/>
      <c r="E73" s="981"/>
      <c r="F73" s="980"/>
      <c r="G73" s="980"/>
      <c r="H73" s="981"/>
      <c r="I73" s="981"/>
      <c r="J73" s="982"/>
      <c r="K73" s="981"/>
      <c r="L73" s="980"/>
      <c r="M73" s="980"/>
      <c r="N73" s="983"/>
      <c r="O73" s="980"/>
      <c r="P73" s="980"/>
      <c r="Q73" s="980"/>
      <c r="R73" s="980"/>
      <c r="S73" s="980"/>
      <c r="T73" s="980"/>
      <c r="U73" s="984"/>
      <c r="V73" s="985"/>
      <c r="W73" s="980"/>
      <c r="X73" s="980"/>
      <c r="Y73" s="942"/>
      <c r="Z73" s="942"/>
      <c r="AA73" s="942"/>
      <c r="AB73" s="942"/>
      <c r="AC73" s="942"/>
      <c r="AD73" s="942"/>
      <c r="AE73" s="942"/>
      <c r="AF73" s="942"/>
      <c r="AG73" s="942"/>
      <c r="AH73" s="942"/>
      <c r="AI73" s="942"/>
      <c r="AJ73" s="942"/>
      <c r="AK73" s="942"/>
      <c r="AL73" s="942"/>
      <c r="AM73" s="942"/>
      <c r="AN73" s="942"/>
      <c r="AO73" s="942"/>
      <c r="AP73" s="942"/>
      <c r="AQ73" s="942"/>
      <c r="AR73" s="942"/>
      <c r="AS73" s="942"/>
      <c r="AT73" s="942"/>
      <c r="AU73" s="942"/>
      <c r="AV73" s="942"/>
      <c r="AW73" s="942"/>
      <c r="AX73" s="942"/>
      <c r="AY73" s="942"/>
      <c r="AZ73" s="942"/>
      <c r="BA73" s="942"/>
      <c r="BB73" s="943">
        <f t="shared" si="17"/>
        <v>0</v>
      </c>
      <c r="BC73" s="944" t="str">
        <f t="shared" si="18"/>
        <v>0</v>
      </c>
      <c r="BD73" s="944" t="str">
        <f t="shared" si="16"/>
        <v/>
      </c>
      <c r="BE73" s="944" t="str">
        <f t="shared" si="19"/>
        <v>0</v>
      </c>
      <c r="BF73" s="944" t="e">
        <f t="shared" si="20"/>
        <v>#VALUE!</v>
      </c>
      <c r="BG73" s="945" t="e">
        <f t="shared" si="21"/>
        <v>#VALUE!</v>
      </c>
      <c r="BH73" s="946" t="e">
        <f t="shared" si="22"/>
        <v>#VALUE!</v>
      </c>
      <c r="BI73" s="947" t="e">
        <f t="shared" si="23"/>
        <v>#VALUE!</v>
      </c>
      <c r="BJ73" s="943" t="str">
        <f t="shared" si="24"/>
        <v>0</v>
      </c>
      <c r="BK73" s="947" t="b">
        <f t="shared" si="25"/>
        <v>0</v>
      </c>
      <c r="BL73" s="943">
        <f t="shared" si="26"/>
        <v>0</v>
      </c>
      <c r="BM73" s="947" t="b">
        <f t="shared" si="27"/>
        <v>0</v>
      </c>
      <c r="BN73" s="947" t="e">
        <f t="shared" si="28"/>
        <v>#VALUE!</v>
      </c>
      <c r="BO73" s="816" t="b">
        <f t="shared" si="29"/>
        <v>0</v>
      </c>
      <c r="BP73" s="816" t="str">
        <f t="shared" si="30"/>
        <v/>
      </c>
    </row>
    <row r="74" ht="21.95" hidden="1" customHeight="1" spans="1:68">
      <c r="A74" s="986">
        <v>73</v>
      </c>
      <c r="B74" s="935" t="str">
        <f t="shared" si="31"/>
        <v>III-A</v>
      </c>
      <c r="C74" s="987"/>
      <c r="D74" s="907"/>
      <c r="E74" s="906"/>
      <c r="F74" s="907"/>
      <c r="G74" s="907"/>
      <c r="H74" s="906"/>
      <c r="I74" s="906"/>
      <c r="J74" s="988"/>
      <c r="K74" s="906"/>
      <c r="L74" s="907"/>
      <c r="M74" s="907"/>
      <c r="N74" s="989"/>
      <c r="O74" s="907"/>
      <c r="P74" s="907"/>
      <c r="Q74" s="907"/>
      <c r="R74" s="907"/>
      <c r="S74" s="907"/>
      <c r="T74" s="907"/>
      <c r="U74" s="990"/>
      <c r="V74" s="991"/>
      <c r="W74" s="907"/>
      <c r="X74" s="907"/>
      <c r="Y74" s="942"/>
      <c r="Z74" s="942"/>
      <c r="AA74" s="942"/>
      <c r="AB74" s="942"/>
      <c r="AC74" s="942"/>
      <c r="AD74" s="942"/>
      <c r="AE74" s="942"/>
      <c r="AF74" s="942"/>
      <c r="AG74" s="942"/>
      <c r="AH74" s="942"/>
      <c r="AI74" s="942"/>
      <c r="AJ74" s="942"/>
      <c r="AK74" s="942"/>
      <c r="AL74" s="942"/>
      <c r="AM74" s="942"/>
      <c r="AN74" s="942"/>
      <c r="AO74" s="942"/>
      <c r="AP74" s="942"/>
      <c r="AQ74" s="942"/>
      <c r="AR74" s="942"/>
      <c r="AS74" s="942"/>
      <c r="AT74" s="942"/>
      <c r="AU74" s="942"/>
      <c r="AV74" s="942"/>
      <c r="AW74" s="942"/>
      <c r="AX74" s="942"/>
      <c r="AY74" s="942"/>
      <c r="AZ74" s="942"/>
      <c r="BA74" s="942"/>
      <c r="BB74" s="943">
        <f t="shared" si="17"/>
        <v>0</v>
      </c>
      <c r="BC74" s="944" t="str">
        <f t="shared" si="18"/>
        <v>0</v>
      </c>
      <c r="BD74" s="944" t="str">
        <f t="shared" si="16"/>
        <v/>
      </c>
      <c r="BE74" s="944" t="str">
        <f t="shared" si="19"/>
        <v>0</v>
      </c>
      <c r="BF74" s="944" t="e">
        <f t="shared" si="20"/>
        <v>#VALUE!</v>
      </c>
      <c r="BG74" s="945" t="e">
        <f t="shared" si="21"/>
        <v>#VALUE!</v>
      </c>
      <c r="BH74" s="946" t="e">
        <f t="shared" si="22"/>
        <v>#VALUE!</v>
      </c>
      <c r="BI74" s="947" t="e">
        <f t="shared" si="23"/>
        <v>#VALUE!</v>
      </c>
      <c r="BJ74" s="943" t="str">
        <f t="shared" si="24"/>
        <v>0</v>
      </c>
      <c r="BK74" s="947" t="b">
        <f t="shared" si="25"/>
        <v>0</v>
      </c>
      <c r="BL74" s="943">
        <f t="shared" si="26"/>
        <v>0</v>
      </c>
      <c r="BM74" s="947" t="b">
        <f t="shared" si="27"/>
        <v>0</v>
      </c>
      <c r="BN74" s="947" t="e">
        <f t="shared" si="28"/>
        <v>#VALUE!</v>
      </c>
      <c r="BO74" s="816" t="b">
        <f t="shared" si="29"/>
        <v>0</v>
      </c>
      <c r="BP74" s="816" t="str">
        <f t="shared" si="30"/>
        <v/>
      </c>
    </row>
    <row r="75" ht="21.95" hidden="1" customHeight="1" spans="1:68">
      <c r="A75" s="978">
        <v>74</v>
      </c>
      <c r="B75" s="949" t="str">
        <f t="shared" si="31"/>
        <v>III-A</v>
      </c>
      <c r="C75" s="979"/>
      <c r="D75" s="980"/>
      <c r="E75" s="981"/>
      <c r="F75" s="980"/>
      <c r="G75" s="980"/>
      <c r="H75" s="981"/>
      <c r="I75" s="981"/>
      <c r="J75" s="982"/>
      <c r="K75" s="981"/>
      <c r="L75" s="980"/>
      <c r="M75" s="980"/>
      <c r="N75" s="983"/>
      <c r="O75" s="980"/>
      <c r="P75" s="980"/>
      <c r="Q75" s="980"/>
      <c r="R75" s="980"/>
      <c r="S75" s="980"/>
      <c r="T75" s="980"/>
      <c r="U75" s="984"/>
      <c r="V75" s="985"/>
      <c r="W75" s="980"/>
      <c r="X75" s="980"/>
      <c r="Y75" s="942"/>
      <c r="Z75" s="942"/>
      <c r="AA75" s="942"/>
      <c r="AB75" s="942"/>
      <c r="AC75" s="942"/>
      <c r="AD75" s="942"/>
      <c r="AE75" s="942"/>
      <c r="AF75" s="942"/>
      <c r="AG75" s="942"/>
      <c r="AH75" s="942"/>
      <c r="AI75" s="942"/>
      <c r="AJ75" s="942"/>
      <c r="AK75" s="942"/>
      <c r="AL75" s="942"/>
      <c r="AM75" s="942"/>
      <c r="AN75" s="942"/>
      <c r="AO75" s="942"/>
      <c r="AP75" s="942"/>
      <c r="AQ75" s="942"/>
      <c r="AR75" s="942"/>
      <c r="AS75" s="942"/>
      <c r="AT75" s="942"/>
      <c r="AU75" s="942"/>
      <c r="AV75" s="942"/>
      <c r="AW75" s="942"/>
      <c r="AX75" s="942"/>
      <c r="AY75" s="942"/>
      <c r="AZ75" s="942"/>
      <c r="BA75" s="942"/>
      <c r="BB75" s="943">
        <f t="shared" si="17"/>
        <v>0</v>
      </c>
      <c r="BC75" s="944" t="str">
        <f t="shared" si="18"/>
        <v>0</v>
      </c>
      <c r="BD75" s="944" t="str">
        <f t="shared" si="16"/>
        <v/>
      </c>
      <c r="BE75" s="944" t="str">
        <f t="shared" si="19"/>
        <v>0</v>
      </c>
      <c r="BF75" s="944" t="e">
        <f t="shared" si="20"/>
        <v>#VALUE!</v>
      </c>
      <c r="BG75" s="945" t="e">
        <f t="shared" si="21"/>
        <v>#VALUE!</v>
      </c>
      <c r="BH75" s="946" t="e">
        <f t="shared" si="22"/>
        <v>#VALUE!</v>
      </c>
      <c r="BI75" s="947" t="e">
        <f t="shared" si="23"/>
        <v>#VALUE!</v>
      </c>
      <c r="BJ75" s="943" t="str">
        <f t="shared" si="24"/>
        <v>0</v>
      </c>
      <c r="BK75" s="947" t="b">
        <f t="shared" si="25"/>
        <v>0</v>
      </c>
      <c r="BL75" s="943">
        <f t="shared" si="26"/>
        <v>0</v>
      </c>
      <c r="BM75" s="947" t="b">
        <f t="shared" si="27"/>
        <v>0</v>
      </c>
      <c r="BN75" s="947" t="e">
        <f t="shared" si="28"/>
        <v>#VALUE!</v>
      </c>
      <c r="BO75" s="816" t="b">
        <f t="shared" si="29"/>
        <v>0</v>
      </c>
      <c r="BP75" s="816" t="str">
        <f t="shared" si="30"/>
        <v/>
      </c>
    </row>
    <row r="76" ht="21.95" hidden="1" customHeight="1" spans="1:68">
      <c r="A76" s="986">
        <v>75</v>
      </c>
      <c r="B76" s="935" t="str">
        <f t="shared" si="31"/>
        <v>III-A</v>
      </c>
      <c r="C76" s="987"/>
      <c r="D76" s="907"/>
      <c r="E76" s="906"/>
      <c r="F76" s="907"/>
      <c r="G76" s="907"/>
      <c r="H76" s="906"/>
      <c r="I76" s="906"/>
      <c r="J76" s="988"/>
      <c r="K76" s="906"/>
      <c r="L76" s="907"/>
      <c r="M76" s="907"/>
      <c r="N76" s="989"/>
      <c r="O76" s="907"/>
      <c r="P76" s="907"/>
      <c r="Q76" s="907"/>
      <c r="R76" s="907"/>
      <c r="S76" s="907"/>
      <c r="T76" s="907"/>
      <c r="U76" s="990"/>
      <c r="V76" s="991"/>
      <c r="W76" s="907"/>
      <c r="X76" s="907"/>
      <c r="Y76" s="942"/>
      <c r="Z76" s="942"/>
      <c r="AA76" s="942"/>
      <c r="AB76" s="942"/>
      <c r="AC76" s="942"/>
      <c r="AD76" s="942"/>
      <c r="AE76" s="942"/>
      <c r="AF76" s="942"/>
      <c r="AG76" s="942"/>
      <c r="AH76" s="942"/>
      <c r="AI76" s="942"/>
      <c r="AJ76" s="942"/>
      <c r="AK76" s="942"/>
      <c r="AL76" s="942"/>
      <c r="AM76" s="942"/>
      <c r="AN76" s="942"/>
      <c r="AO76" s="942"/>
      <c r="AP76" s="942"/>
      <c r="AQ76" s="942"/>
      <c r="AR76" s="942"/>
      <c r="AS76" s="942"/>
      <c r="AT76" s="942"/>
      <c r="AU76" s="942"/>
      <c r="AV76" s="942"/>
      <c r="AW76" s="942"/>
      <c r="AX76" s="942"/>
      <c r="AY76" s="942"/>
      <c r="AZ76" s="942"/>
      <c r="BA76" s="942"/>
      <c r="BB76" s="943">
        <f t="shared" si="17"/>
        <v>0</v>
      </c>
      <c r="BC76" s="944" t="str">
        <f t="shared" si="18"/>
        <v>0</v>
      </c>
      <c r="BD76" s="944" t="str">
        <f t="shared" si="16"/>
        <v/>
      </c>
      <c r="BE76" s="944" t="str">
        <f t="shared" si="19"/>
        <v>0</v>
      </c>
      <c r="BF76" s="944" t="e">
        <f t="shared" si="20"/>
        <v>#VALUE!</v>
      </c>
      <c r="BG76" s="945" t="e">
        <f t="shared" si="21"/>
        <v>#VALUE!</v>
      </c>
      <c r="BH76" s="946" t="e">
        <f t="shared" si="22"/>
        <v>#VALUE!</v>
      </c>
      <c r="BI76" s="947" t="e">
        <f t="shared" si="23"/>
        <v>#VALUE!</v>
      </c>
      <c r="BJ76" s="943" t="str">
        <f t="shared" si="24"/>
        <v>0</v>
      </c>
      <c r="BK76" s="947" t="b">
        <f t="shared" si="25"/>
        <v>0</v>
      </c>
      <c r="BL76" s="943">
        <f t="shared" si="26"/>
        <v>0</v>
      </c>
      <c r="BM76" s="947" t="b">
        <f t="shared" si="27"/>
        <v>0</v>
      </c>
      <c r="BN76" s="947" t="e">
        <f t="shared" si="28"/>
        <v>#VALUE!</v>
      </c>
      <c r="BO76" s="816" t="b">
        <f t="shared" si="29"/>
        <v>0</v>
      </c>
      <c r="BP76" s="816" t="str">
        <f t="shared" si="30"/>
        <v/>
      </c>
    </row>
    <row r="77" ht="21.95" hidden="1" customHeight="1" spans="1:68">
      <c r="A77" s="978">
        <v>76</v>
      </c>
      <c r="B77" s="949" t="str">
        <f t="shared" si="31"/>
        <v>III-A</v>
      </c>
      <c r="C77" s="979"/>
      <c r="D77" s="980"/>
      <c r="E77" s="981"/>
      <c r="F77" s="980"/>
      <c r="G77" s="980"/>
      <c r="H77" s="981"/>
      <c r="I77" s="981"/>
      <c r="J77" s="982"/>
      <c r="K77" s="981"/>
      <c r="L77" s="980"/>
      <c r="M77" s="980"/>
      <c r="N77" s="983"/>
      <c r="O77" s="980"/>
      <c r="P77" s="980"/>
      <c r="Q77" s="980"/>
      <c r="R77" s="980"/>
      <c r="S77" s="980"/>
      <c r="T77" s="980"/>
      <c r="U77" s="984"/>
      <c r="V77" s="985"/>
      <c r="W77" s="980"/>
      <c r="X77" s="980"/>
      <c r="Y77" s="942"/>
      <c r="Z77" s="942"/>
      <c r="AA77" s="942"/>
      <c r="AB77" s="942"/>
      <c r="AC77" s="942"/>
      <c r="AD77" s="942"/>
      <c r="AE77" s="942"/>
      <c r="AF77" s="942"/>
      <c r="AG77" s="942"/>
      <c r="AH77" s="942"/>
      <c r="AI77" s="942"/>
      <c r="AJ77" s="942"/>
      <c r="AK77" s="942"/>
      <c r="AL77" s="942"/>
      <c r="AM77" s="942"/>
      <c r="AN77" s="942"/>
      <c r="AO77" s="942"/>
      <c r="AP77" s="942"/>
      <c r="AQ77" s="942"/>
      <c r="AR77" s="942"/>
      <c r="AS77" s="942"/>
      <c r="AT77" s="942"/>
      <c r="AU77" s="942"/>
      <c r="AV77" s="942"/>
      <c r="AW77" s="942"/>
      <c r="AX77" s="942"/>
      <c r="AY77" s="942"/>
      <c r="AZ77" s="942"/>
      <c r="BA77" s="942"/>
      <c r="BB77" s="943">
        <f t="shared" si="17"/>
        <v>0</v>
      </c>
      <c r="BC77" s="944" t="str">
        <f t="shared" si="18"/>
        <v>0</v>
      </c>
      <c r="BD77" s="944" t="str">
        <f t="shared" si="16"/>
        <v/>
      </c>
      <c r="BE77" s="944" t="str">
        <f t="shared" si="19"/>
        <v>0</v>
      </c>
      <c r="BF77" s="944" t="e">
        <f t="shared" si="20"/>
        <v>#VALUE!</v>
      </c>
      <c r="BG77" s="945" t="e">
        <f t="shared" si="21"/>
        <v>#VALUE!</v>
      </c>
      <c r="BH77" s="946" t="e">
        <f t="shared" si="22"/>
        <v>#VALUE!</v>
      </c>
      <c r="BI77" s="947" t="e">
        <f t="shared" si="23"/>
        <v>#VALUE!</v>
      </c>
      <c r="BJ77" s="943" t="str">
        <f t="shared" si="24"/>
        <v>0</v>
      </c>
      <c r="BK77" s="947" t="b">
        <f t="shared" si="25"/>
        <v>0</v>
      </c>
      <c r="BL77" s="943">
        <f t="shared" si="26"/>
        <v>0</v>
      </c>
      <c r="BM77" s="947" t="b">
        <f t="shared" si="27"/>
        <v>0</v>
      </c>
      <c r="BN77" s="947" t="e">
        <f t="shared" si="28"/>
        <v>#VALUE!</v>
      </c>
      <c r="BO77" s="816" t="b">
        <f t="shared" si="29"/>
        <v>0</v>
      </c>
      <c r="BP77" s="816" t="str">
        <f t="shared" si="30"/>
        <v/>
      </c>
    </row>
    <row r="78" ht="21.95" hidden="1" customHeight="1" spans="1:68">
      <c r="A78" s="986">
        <v>77</v>
      </c>
      <c r="B78" s="935" t="str">
        <f t="shared" si="31"/>
        <v>III-A</v>
      </c>
      <c r="C78" s="987"/>
      <c r="D78" s="907"/>
      <c r="E78" s="906"/>
      <c r="F78" s="907"/>
      <c r="G78" s="907"/>
      <c r="H78" s="906"/>
      <c r="I78" s="906"/>
      <c r="J78" s="988"/>
      <c r="K78" s="906"/>
      <c r="L78" s="907"/>
      <c r="M78" s="907"/>
      <c r="N78" s="989"/>
      <c r="O78" s="907"/>
      <c r="P78" s="907"/>
      <c r="Q78" s="907"/>
      <c r="R78" s="907"/>
      <c r="S78" s="907"/>
      <c r="T78" s="907"/>
      <c r="U78" s="990"/>
      <c r="V78" s="991"/>
      <c r="W78" s="907"/>
      <c r="X78" s="907"/>
      <c r="Y78" s="942"/>
      <c r="Z78" s="942"/>
      <c r="AA78" s="942"/>
      <c r="AB78" s="942"/>
      <c r="AC78" s="942"/>
      <c r="AD78" s="942"/>
      <c r="AE78" s="942"/>
      <c r="AF78" s="942"/>
      <c r="AG78" s="942"/>
      <c r="AH78" s="942"/>
      <c r="AI78" s="942"/>
      <c r="AJ78" s="942"/>
      <c r="AK78" s="942"/>
      <c r="AL78" s="942"/>
      <c r="AM78" s="942"/>
      <c r="AN78" s="942"/>
      <c r="AO78" s="942"/>
      <c r="AP78" s="942"/>
      <c r="AQ78" s="942"/>
      <c r="AR78" s="942"/>
      <c r="AS78" s="942"/>
      <c r="AT78" s="942"/>
      <c r="AU78" s="942"/>
      <c r="AV78" s="942"/>
      <c r="AW78" s="942"/>
      <c r="AX78" s="942"/>
      <c r="AY78" s="942"/>
      <c r="AZ78" s="942"/>
      <c r="BA78" s="942"/>
      <c r="BB78" s="943">
        <f t="shared" si="17"/>
        <v>0</v>
      </c>
      <c r="BC78" s="944" t="str">
        <f t="shared" si="18"/>
        <v>0</v>
      </c>
      <c r="BD78" s="944" t="str">
        <f t="shared" si="16"/>
        <v/>
      </c>
      <c r="BE78" s="944" t="str">
        <f t="shared" si="19"/>
        <v>0</v>
      </c>
      <c r="BF78" s="944" t="e">
        <f t="shared" si="20"/>
        <v>#VALUE!</v>
      </c>
      <c r="BG78" s="945" t="e">
        <f t="shared" si="21"/>
        <v>#VALUE!</v>
      </c>
      <c r="BH78" s="946" t="e">
        <f t="shared" si="22"/>
        <v>#VALUE!</v>
      </c>
      <c r="BI78" s="947" t="e">
        <f t="shared" si="23"/>
        <v>#VALUE!</v>
      </c>
      <c r="BJ78" s="943" t="str">
        <f t="shared" si="24"/>
        <v>0</v>
      </c>
      <c r="BK78" s="947" t="b">
        <f t="shared" si="25"/>
        <v>0</v>
      </c>
      <c r="BL78" s="943">
        <f t="shared" si="26"/>
        <v>0</v>
      </c>
      <c r="BM78" s="947" t="b">
        <f t="shared" si="27"/>
        <v>0</v>
      </c>
      <c r="BN78" s="947" t="e">
        <f t="shared" si="28"/>
        <v>#VALUE!</v>
      </c>
      <c r="BO78" s="816" t="b">
        <f t="shared" si="29"/>
        <v>0</v>
      </c>
      <c r="BP78" s="816" t="str">
        <f t="shared" si="30"/>
        <v/>
      </c>
    </row>
    <row r="79" ht="21.95" hidden="1" customHeight="1" spans="1:68">
      <c r="A79" s="978">
        <v>78</v>
      </c>
      <c r="B79" s="949" t="str">
        <f t="shared" si="31"/>
        <v>III-A</v>
      </c>
      <c r="C79" s="979"/>
      <c r="D79" s="980"/>
      <c r="E79" s="981"/>
      <c r="F79" s="980"/>
      <c r="G79" s="980"/>
      <c r="H79" s="981"/>
      <c r="I79" s="981"/>
      <c r="J79" s="982"/>
      <c r="K79" s="981"/>
      <c r="L79" s="980"/>
      <c r="M79" s="980"/>
      <c r="N79" s="983"/>
      <c r="O79" s="980"/>
      <c r="P79" s="980"/>
      <c r="Q79" s="980"/>
      <c r="R79" s="980"/>
      <c r="S79" s="980"/>
      <c r="T79" s="980"/>
      <c r="U79" s="984"/>
      <c r="V79" s="985"/>
      <c r="W79" s="980"/>
      <c r="X79" s="980"/>
      <c r="Y79" s="942"/>
      <c r="Z79" s="942"/>
      <c r="AA79" s="942"/>
      <c r="AB79" s="942"/>
      <c r="AC79" s="942"/>
      <c r="AD79" s="942"/>
      <c r="AE79" s="942"/>
      <c r="AF79" s="942"/>
      <c r="AG79" s="942"/>
      <c r="AH79" s="942"/>
      <c r="AI79" s="942"/>
      <c r="AJ79" s="942"/>
      <c r="AK79" s="942"/>
      <c r="AL79" s="942"/>
      <c r="AM79" s="942"/>
      <c r="AN79" s="942"/>
      <c r="AO79" s="942"/>
      <c r="AP79" s="942"/>
      <c r="AQ79" s="942"/>
      <c r="AR79" s="942"/>
      <c r="AS79" s="942"/>
      <c r="AT79" s="942"/>
      <c r="AU79" s="942"/>
      <c r="AV79" s="942"/>
      <c r="AW79" s="942"/>
      <c r="AX79" s="942"/>
      <c r="AY79" s="942"/>
      <c r="AZ79" s="942"/>
      <c r="BA79" s="942"/>
      <c r="BB79" s="943">
        <f t="shared" si="17"/>
        <v>0</v>
      </c>
      <c r="BC79" s="944" t="str">
        <f t="shared" si="18"/>
        <v>0</v>
      </c>
      <c r="BD79" s="944" t="str">
        <f t="shared" si="16"/>
        <v/>
      </c>
      <c r="BE79" s="944" t="str">
        <f t="shared" si="19"/>
        <v>0</v>
      </c>
      <c r="BF79" s="944" t="e">
        <f t="shared" si="20"/>
        <v>#VALUE!</v>
      </c>
      <c r="BG79" s="945" t="e">
        <f t="shared" si="21"/>
        <v>#VALUE!</v>
      </c>
      <c r="BH79" s="946" t="e">
        <f t="shared" si="22"/>
        <v>#VALUE!</v>
      </c>
      <c r="BI79" s="947" t="e">
        <f t="shared" si="23"/>
        <v>#VALUE!</v>
      </c>
      <c r="BJ79" s="943" t="str">
        <f t="shared" si="24"/>
        <v>0</v>
      </c>
      <c r="BK79" s="947" t="b">
        <f t="shared" si="25"/>
        <v>0</v>
      </c>
      <c r="BL79" s="943">
        <f t="shared" si="26"/>
        <v>0</v>
      </c>
      <c r="BM79" s="947" t="b">
        <f t="shared" si="27"/>
        <v>0</v>
      </c>
      <c r="BN79" s="947" t="e">
        <f t="shared" si="28"/>
        <v>#VALUE!</v>
      </c>
      <c r="BO79" s="816" t="b">
        <f t="shared" si="29"/>
        <v>0</v>
      </c>
      <c r="BP79" s="816" t="str">
        <f t="shared" si="30"/>
        <v/>
      </c>
    </row>
    <row r="80" ht="21.95" hidden="1" customHeight="1" spans="1:68">
      <c r="A80" s="986">
        <v>79</v>
      </c>
      <c r="B80" s="935" t="str">
        <f t="shared" si="31"/>
        <v>III-A</v>
      </c>
      <c r="C80" s="987"/>
      <c r="D80" s="907"/>
      <c r="E80" s="906"/>
      <c r="F80" s="907"/>
      <c r="G80" s="907"/>
      <c r="H80" s="906"/>
      <c r="I80" s="906"/>
      <c r="J80" s="988"/>
      <c r="K80" s="906"/>
      <c r="L80" s="907"/>
      <c r="M80" s="907"/>
      <c r="N80" s="989"/>
      <c r="O80" s="907"/>
      <c r="P80" s="907"/>
      <c r="Q80" s="907"/>
      <c r="R80" s="907"/>
      <c r="S80" s="907"/>
      <c r="T80" s="907"/>
      <c r="U80" s="990"/>
      <c r="V80" s="991"/>
      <c r="W80" s="907"/>
      <c r="X80" s="907"/>
      <c r="Y80" s="942"/>
      <c r="Z80" s="942"/>
      <c r="AA80" s="942"/>
      <c r="AB80" s="942"/>
      <c r="AC80" s="942"/>
      <c r="AD80" s="942"/>
      <c r="AE80" s="942"/>
      <c r="AF80" s="942"/>
      <c r="AG80" s="942"/>
      <c r="AH80" s="942"/>
      <c r="AI80" s="942"/>
      <c r="AJ80" s="942"/>
      <c r="AK80" s="942"/>
      <c r="AL80" s="942"/>
      <c r="AM80" s="942"/>
      <c r="AN80" s="942"/>
      <c r="AO80" s="942"/>
      <c r="AP80" s="942"/>
      <c r="AQ80" s="942"/>
      <c r="AR80" s="942"/>
      <c r="AS80" s="942"/>
      <c r="AT80" s="942"/>
      <c r="AU80" s="942"/>
      <c r="AV80" s="942"/>
      <c r="AW80" s="942"/>
      <c r="AX80" s="942"/>
      <c r="AY80" s="942"/>
      <c r="AZ80" s="942"/>
      <c r="BA80" s="942"/>
      <c r="BB80" s="943">
        <f t="shared" si="17"/>
        <v>0</v>
      </c>
      <c r="BC80" s="944" t="str">
        <f t="shared" si="18"/>
        <v>0</v>
      </c>
      <c r="BD80" s="944" t="str">
        <f t="shared" si="16"/>
        <v/>
      </c>
      <c r="BE80" s="944" t="str">
        <f t="shared" si="19"/>
        <v>0</v>
      </c>
      <c r="BF80" s="944" t="e">
        <f t="shared" si="20"/>
        <v>#VALUE!</v>
      </c>
      <c r="BG80" s="945" t="e">
        <f t="shared" si="21"/>
        <v>#VALUE!</v>
      </c>
      <c r="BH80" s="946" t="e">
        <f t="shared" si="22"/>
        <v>#VALUE!</v>
      </c>
      <c r="BI80" s="947" t="e">
        <f t="shared" si="23"/>
        <v>#VALUE!</v>
      </c>
      <c r="BJ80" s="943" t="str">
        <f t="shared" si="24"/>
        <v>0</v>
      </c>
      <c r="BK80" s="947" t="b">
        <f t="shared" si="25"/>
        <v>0</v>
      </c>
      <c r="BL80" s="943">
        <f t="shared" si="26"/>
        <v>0</v>
      </c>
      <c r="BM80" s="947" t="b">
        <f t="shared" si="27"/>
        <v>0</v>
      </c>
      <c r="BN80" s="947" t="e">
        <f t="shared" si="28"/>
        <v>#VALUE!</v>
      </c>
      <c r="BO80" s="816" t="b">
        <f t="shared" si="29"/>
        <v>0</v>
      </c>
      <c r="BP80" s="816" t="str">
        <f t="shared" si="30"/>
        <v/>
      </c>
    </row>
    <row r="81" ht="21.95" hidden="1" customHeight="1" spans="1:68">
      <c r="A81" s="978">
        <v>80</v>
      </c>
      <c r="B81" s="949" t="str">
        <f t="shared" si="31"/>
        <v>III-A</v>
      </c>
      <c r="C81" s="979"/>
      <c r="D81" s="980"/>
      <c r="E81" s="981"/>
      <c r="F81" s="980"/>
      <c r="G81" s="980"/>
      <c r="H81" s="981"/>
      <c r="I81" s="981"/>
      <c r="J81" s="982"/>
      <c r="K81" s="981"/>
      <c r="L81" s="980"/>
      <c r="M81" s="980"/>
      <c r="N81" s="983"/>
      <c r="O81" s="980"/>
      <c r="P81" s="980"/>
      <c r="Q81" s="980"/>
      <c r="R81" s="980"/>
      <c r="S81" s="980"/>
      <c r="T81" s="980"/>
      <c r="U81" s="984"/>
      <c r="V81" s="985"/>
      <c r="W81" s="980"/>
      <c r="X81" s="980"/>
      <c r="Y81" s="942"/>
      <c r="Z81" s="942"/>
      <c r="AA81" s="942"/>
      <c r="AB81" s="942"/>
      <c r="AC81" s="942"/>
      <c r="AD81" s="942"/>
      <c r="AE81" s="942"/>
      <c r="AF81" s="942"/>
      <c r="AG81" s="942"/>
      <c r="AH81" s="942"/>
      <c r="AI81" s="942"/>
      <c r="AJ81" s="942"/>
      <c r="AK81" s="942"/>
      <c r="AL81" s="942"/>
      <c r="AM81" s="942"/>
      <c r="AN81" s="942"/>
      <c r="AO81" s="942"/>
      <c r="AP81" s="942"/>
      <c r="AQ81" s="942"/>
      <c r="AR81" s="942"/>
      <c r="AS81" s="942"/>
      <c r="AT81" s="942"/>
      <c r="AU81" s="942"/>
      <c r="AV81" s="942"/>
      <c r="AW81" s="942"/>
      <c r="AX81" s="942"/>
      <c r="AY81" s="942"/>
      <c r="AZ81" s="942"/>
      <c r="BA81" s="942"/>
      <c r="BB81" s="943">
        <f t="shared" si="17"/>
        <v>0</v>
      </c>
      <c r="BC81" s="944" t="str">
        <f t="shared" si="18"/>
        <v>0</v>
      </c>
      <c r="BD81" s="944" t="str">
        <f t="shared" si="16"/>
        <v/>
      </c>
      <c r="BE81" s="944" t="str">
        <f t="shared" si="19"/>
        <v>0</v>
      </c>
      <c r="BF81" s="944" t="e">
        <f t="shared" si="20"/>
        <v>#VALUE!</v>
      </c>
      <c r="BG81" s="945" t="e">
        <f t="shared" si="21"/>
        <v>#VALUE!</v>
      </c>
      <c r="BH81" s="946" t="e">
        <f t="shared" si="22"/>
        <v>#VALUE!</v>
      </c>
      <c r="BI81" s="947" t="e">
        <f t="shared" si="23"/>
        <v>#VALUE!</v>
      </c>
      <c r="BJ81" s="943" t="str">
        <f t="shared" si="24"/>
        <v>0</v>
      </c>
      <c r="BK81" s="947" t="b">
        <f t="shared" si="25"/>
        <v>0</v>
      </c>
      <c r="BL81" s="943">
        <f t="shared" si="26"/>
        <v>0</v>
      </c>
      <c r="BM81" s="947" t="b">
        <f t="shared" si="27"/>
        <v>0</v>
      </c>
      <c r="BN81" s="947" t="e">
        <f t="shared" si="28"/>
        <v>#VALUE!</v>
      </c>
      <c r="BO81" s="816" t="b">
        <f t="shared" si="29"/>
        <v>0</v>
      </c>
      <c r="BP81" s="816" t="str">
        <f t="shared" si="30"/>
        <v/>
      </c>
    </row>
    <row r="82" ht="21.95" hidden="1" customHeight="1" spans="1:68">
      <c r="A82" s="986">
        <v>81</v>
      </c>
      <c r="B82" s="935" t="str">
        <f t="shared" si="31"/>
        <v>III-A</v>
      </c>
      <c r="C82" s="987"/>
      <c r="D82" s="907"/>
      <c r="E82" s="906"/>
      <c r="F82" s="907"/>
      <c r="G82" s="907"/>
      <c r="H82" s="906"/>
      <c r="I82" s="906"/>
      <c r="J82" s="988"/>
      <c r="K82" s="906"/>
      <c r="L82" s="907"/>
      <c r="M82" s="907"/>
      <c r="N82" s="989"/>
      <c r="O82" s="907"/>
      <c r="P82" s="907"/>
      <c r="Q82" s="907"/>
      <c r="R82" s="907"/>
      <c r="S82" s="907"/>
      <c r="T82" s="907"/>
      <c r="U82" s="990"/>
      <c r="V82" s="991"/>
      <c r="W82" s="907"/>
      <c r="X82" s="907"/>
      <c r="Y82" s="942"/>
      <c r="Z82" s="942"/>
      <c r="AA82" s="942"/>
      <c r="AB82" s="942"/>
      <c r="AC82" s="942"/>
      <c r="AD82" s="942"/>
      <c r="AE82" s="942"/>
      <c r="AF82" s="942"/>
      <c r="AG82" s="942"/>
      <c r="AH82" s="942"/>
      <c r="AI82" s="942"/>
      <c r="AJ82" s="942"/>
      <c r="AK82" s="942"/>
      <c r="AL82" s="942"/>
      <c r="AM82" s="942"/>
      <c r="AN82" s="942"/>
      <c r="AO82" s="942"/>
      <c r="AP82" s="942"/>
      <c r="AQ82" s="942"/>
      <c r="AR82" s="942"/>
      <c r="AS82" s="942"/>
      <c r="AT82" s="942"/>
      <c r="AU82" s="942"/>
      <c r="AV82" s="942"/>
      <c r="AW82" s="942"/>
      <c r="AX82" s="942"/>
      <c r="AY82" s="942"/>
      <c r="AZ82" s="942"/>
      <c r="BA82" s="942"/>
      <c r="BB82" s="943">
        <f t="shared" si="17"/>
        <v>0</v>
      </c>
      <c r="BC82" s="944" t="str">
        <f t="shared" si="18"/>
        <v>0</v>
      </c>
      <c r="BD82" s="944" t="str">
        <f t="shared" si="16"/>
        <v/>
      </c>
      <c r="BE82" s="944" t="str">
        <f t="shared" si="19"/>
        <v>0</v>
      </c>
      <c r="BF82" s="944" t="e">
        <f t="shared" si="20"/>
        <v>#VALUE!</v>
      </c>
      <c r="BG82" s="945" t="e">
        <f t="shared" si="21"/>
        <v>#VALUE!</v>
      </c>
      <c r="BH82" s="946" t="e">
        <f t="shared" si="22"/>
        <v>#VALUE!</v>
      </c>
      <c r="BI82" s="947" t="e">
        <f t="shared" si="23"/>
        <v>#VALUE!</v>
      </c>
      <c r="BJ82" s="943" t="str">
        <f t="shared" si="24"/>
        <v>0</v>
      </c>
      <c r="BK82" s="947" t="b">
        <f t="shared" si="25"/>
        <v>0</v>
      </c>
      <c r="BL82" s="943">
        <f t="shared" si="26"/>
        <v>0</v>
      </c>
      <c r="BM82" s="947" t="b">
        <f t="shared" si="27"/>
        <v>0</v>
      </c>
      <c r="BN82" s="947" t="e">
        <f t="shared" si="28"/>
        <v>#VALUE!</v>
      </c>
      <c r="BO82" s="816" t="b">
        <f t="shared" si="29"/>
        <v>0</v>
      </c>
      <c r="BP82" s="816" t="str">
        <f t="shared" si="30"/>
        <v/>
      </c>
    </row>
    <row r="83" ht="21.95" hidden="1" customHeight="1" spans="1:68">
      <c r="A83" s="978">
        <v>82</v>
      </c>
      <c r="B83" s="949" t="str">
        <f t="shared" si="31"/>
        <v>III-A</v>
      </c>
      <c r="C83" s="979"/>
      <c r="D83" s="980"/>
      <c r="E83" s="981"/>
      <c r="F83" s="980"/>
      <c r="G83" s="980"/>
      <c r="H83" s="981"/>
      <c r="I83" s="981"/>
      <c r="J83" s="982"/>
      <c r="K83" s="981"/>
      <c r="L83" s="980"/>
      <c r="M83" s="980"/>
      <c r="N83" s="983"/>
      <c r="O83" s="980"/>
      <c r="P83" s="980"/>
      <c r="Q83" s="980"/>
      <c r="R83" s="980"/>
      <c r="S83" s="980"/>
      <c r="T83" s="980"/>
      <c r="U83" s="984"/>
      <c r="V83" s="985"/>
      <c r="W83" s="980"/>
      <c r="X83" s="980"/>
      <c r="Y83" s="942"/>
      <c r="Z83" s="942"/>
      <c r="AA83" s="942"/>
      <c r="AB83" s="942"/>
      <c r="AC83" s="942"/>
      <c r="AD83" s="942"/>
      <c r="AE83" s="942"/>
      <c r="AF83" s="942"/>
      <c r="AG83" s="942"/>
      <c r="AH83" s="942"/>
      <c r="AI83" s="942"/>
      <c r="AJ83" s="942"/>
      <c r="AK83" s="942"/>
      <c r="AL83" s="942"/>
      <c r="AM83" s="942"/>
      <c r="AN83" s="942"/>
      <c r="AO83" s="942"/>
      <c r="AP83" s="942"/>
      <c r="AQ83" s="942"/>
      <c r="AR83" s="942"/>
      <c r="AS83" s="942"/>
      <c r="AT83" s="942"/>
      <c r="AU83" s="942"/>
      <c r="AV83" s="942"/>
      <c r="AW83" s="942"/>
      <c r="AX83" s="942"/>
      <c r="AY83" s="942"/>
      <c r="AZ83" s="942"/>
      <c r="BA83" s="942"/>
      <c r="BB83" s="943">
        <f t="shared" si="17"/>
        <v>0</v>
      </c>
      <c r="BC83" s="944" t="str">
        <f t="shared" si="18"/>
        <v>0</v>
      </c>
      <c r="BD83" s="944" t="str">
        <f t="shared" si="16"/>
        <v/>
      </c>
      <c r="BE83" s="944" t="str">
        <f t="shared" si="19"/>
        <v>0</v>
      </c>
      <c r="BF83" s="944" t="e">
        <f t="shared" si="20"/>
        <v>#VALUE!</v>
      </c>
      <c r="BG83" s="945" t="e">
        <f t="shared" si="21"/>
        <v>#VALUE!</v>
      </c>
      <c r="BH83" s="946" t="e">
        <f t="shared" si="22"/>
        <v>#VALUE!</v>
      </c>
      <c r="BI83" s="947" t="e">
        <f t="shared" si="23"/>
        <v>#VALUE!</v>
      </c>
      <c r="BJ83" s="943" t="str">
        <f t="shared" si="24"/>
        <v>0</v>
      </c>
      <c r="BK83" s="947" t="b">
        <f t="shared" si="25"/>
        <v>0</v>
      </c>
      <c r="BL83" s="943">
        <f t="shared" si="26"/>
        <v>0</v>
      </c>
      <c r="BM83" s="947" t="b">
        <f t="shared" si="27"/>
        <v>0</v>
      </c>
      <c r="BN83" s="947" t="e">
        <f t="shared" si="28"/>
        <v>#VALUE!</v>
      </c>
      <c r="BO83" s="816" t="b">
        <f t="shared" si="29"/>
        <v>0</v>
      </c>
      <c r="BP83" s="816" t="str">
        <f t="shared" si="30"/>
        <v/>
      </c>
    </row>
    <row r="84" ht="21.95" hidden="1" customHeight="1" spans="1:68">
      <c r="A84" s="986">
        <v>83</v>
      </c>
      <c r="B84" s="935" t="str">
        <f t="shared" si="31"/>
        <v>III-A</v>
      </c>
      <c r="C84" s="987"/>
      <c r="D84" s="907"/>
      <c r="E84" s="906"/>
      <c r="F84" s="907"/>
      <c r="G84" s="907"/>
      <c r="H84" s="906"/>
      <c r="I84" s="906"/>
      <c r="J84" s="988"/>
      <c r="K84" s="906"/>
      <c r="L84" s="907"/>
      <c r="M84" s="907"/>
      <c r="N84" s="989"/>
      <c r="O84" s="907"/>
      <c r="P84" s="907"/>
      <c r="Q84" s="907"/>
      <c r="R84" s="907"/>
      <c r="S84" s="907"/>
      <c r="T84" s="907"/>
      <c r="U84" s="990"/>
      <c r="V84" s="991"/>
      <c r="W84" s="907"/>
      <c r="X84" s="907"/>
      <c r="Y84" s="942"/>
      <c r="Z84" s="942"/>
      <c r="AA84" s="942"/>
      <c r="AB84" s="942"/>
      <c r="AC84" s="942"/>
      <c r="AD84" s="942"/>
      <c r="AE84" s="942"/>
      <c r="AF84" s="942"/>
      <c r="AG84" s="942"/>
      <c r="AH84" s="942"/>
      <c r="AI84" s="942"/>
      <c r="AJ84" s="942"/>
      <c r="AK84" s="942"/>
      <c r="AL84" s="942"/>
      <c r="AM84" s="942"/>
      <c r="AN84" s="942"/>
      <c r="AO84" s="942"/>
      <c r="AP84" s="942"/>
      <c r="AQ84" s="942"/>
      <c r="AR84" s="942"/>
      <c r="AS84" s="942"/>
      <c r="AT84" s="942"/>
      <c r="AU84" s="942"/>
      <c r="AV84" s="942"/>
      <c r="AW84" s="942"/>
      <c r="AX84" s="942"/>
      <c r="AY84" s="942"/>
      <c r="AZ84" s="942"/>
      <c r="BA84" s="942"/>
      <c r="BB84" s="943">
        <f t="shared" si="17"/>
        <v>0</v>
      </c>
      <c r="BC84" s="944" t="str">
        <f t="shared" si="18"/>
        <v>0</v>
      </c>
      <c r="BD84" s="944" t="str">
        <f t="shared" si="16"/>
        <v/>
      </c>
      <c r="BE84" s="944" t="str">
        <f t="shared" si="19"/>
        <v>0</v>
      </c>
      <c r="BF84" s="944" t="e">
        <f t="shared" si="20"/>
        <v>#VALUE!</v>
      </c>
      <c r="BG84" s="945" t="e">
        <f t="shared" si="21"/>
        <v>#VALUE!</v>
      </c>
      <c r="BH84" s="946" t="e">
        <f t="shared" si="22"/>
        <v>#VALUE!</v>
      </c>
      <c r="BI84" s="947" t="e">
        <f t="shared" si="23"/>
        <v>#VALUE!</v>
      </c>
      <c r="BJ84" s="943" t="str">
        <f t="shared" si="24"/>
        <v>0</v>
      </c>
      <c r="BK84" s="947" t="b">
        <f t="shared" si="25"/>
        <v>0</v>
      </c>
      <c r="BL84" s="943">
        <f t="shared" si="26"/>
        <v>0</v>
      </c>
      <c r="BM84" s="947" t="b">
        <f t="shared" si="27"/>
        <v>0</v>
      </c>
      <c r="BN84" s="947" t="e">
        <f t="shared" si="28"/>
        <v>#VALUE!</v>
      </c>
      <c r="BO84" s="816" t="b">
        <f t="shared" si="29"/>
        <v>0</v>
      </c>
      <c r="BP84" s="816" t="str">
        <f t="shared" si="30"/>
        <v/>
      </c>
    </row>
    <row r="85" ht="21.95" hidden="1" customHeight="1" spans="1:68">
      <c r="A85" s="978">
        <v>84</v>
      </c>
      <c r="B85" s="949" t="str">
        <f t="shared" si="31"/>
        <v>III-A</v>
      </c>
      <c r="C85" s="979"/>
      <c r="D85" s="980"/>
      <c r="E85" s="981"/>
      <c r="F85" s="980"/>
      <c r="G85" s="980"/>
      <c r="H85" s="981"/>
      <c r="I85" s="981"/>
      <c r="J85" s="982"/>
      <c r="K85" s="981"/>
      <c r="L85" s="980"/>
      <c r="M85" s="980"/>
      <c r="N85" s="983"/>
      <c r="O85" s="980"/>
      <c r="P85" s="980"/>
      <c r="Q85" s="980"/>
      <c r="R85" s="980"/>
      <c r="S85" s="980"/>
      <c r="T85" s="980"/>
      <c r="U85" s="984"/>
      <c r="V85" s="985"/>
      <c r="W85" s="980"/>
      <c r="X85" s="980"/>
      <c r="Y85" s="942"/>
      <c r="Z85" s="942"/>
      <c r="AA85" s="942"/>
      <c r="AB85" s="942"/>
      <c r="AC85" s="942"/>
      <c r="AD85" s="942"/>
      <c r="AE85" s="942"/>
      <c r="AF85" s="942"/>
      <c r="AG85" s="942"/>
      <c r="AH85" s="942"/>
      <c r="AI85" s="942"/>
      <c r="AJ85" s="942"/>
      <c r="AK85" s="942"/>
      <c r="AL85" s="942"/>
      <c r="AM85" s="942"/>
      <c r="AN85" s="942"/>
      <c r="AO85" s="942"/>
      <c r="AP85" s="942"/>
      <c r="AQ85" s="942"/>
      <c r="AR85" s="942"/>
      <c r="AS85" s="942"/>
      <c r="AT85" s="942"/>
      <c r="AU85" s="942"/>
      <c r="AV85" s="942"/>
      <c r="AW85" s="942"/>
      <c r="AX85" s="942"/>
      <c r="AY85" s="942"/>
      <c r="AZ85" s="942"/>
      <c r="BA85" s="942"/>
      <c r="BB85" s="943">
        <f t="shared" si="17"/>
        <v>0</v>
      </c>
      <c r="BC85" s="944" t="str">
        <f t="shared" si="18"/>
        <v>0</v>
      </c>
      <c r="BD85" s="944" t="str">
        <f t="shared" si="16"/>
        <v/>
      </c>
      <c r="BE85" s="944" t="str">
        <f t="shared" si="19"/>
        <v>0</v>
      </c>
      <c r="BF85" s="944" t="e">
        <f t="shared" si="20"/>
        <v>#VALUE!</v>
      </c>
      <c r="BG85" s="945" t="e">
        <f t="shared" si="21"/>
        <v>#VALUE!</v>
      </c>
      <c r="BH85" s="946" t="e">
        <f t="shared" si="22"/>
        <v>#VALUE!</v>
      </c>
      <c r="BI85" s="947" t="e">
        <f t="shared" si="23"/>
        <v>#VALUE!</v>
      </c>
      <c r="BJ85" s="943" t="str">
        <f t="shared" si="24"/>
        <v>0</v>
      </c>
      <c r="BK85" s="947" t="b">
        <f t="shared" si="25"/>
        <v>0</v>
      </c>
      <c r="BL85" s="943">
        <f t="shared" si="26"/>
        <v>0</v>
      </c>
      <c r="BM85" s="947" t="b">
        <f t="shared" si="27"/>
        <v>0</v>
      </c>
      <c r="BN85" s="947" t="e">
        <f t="shared" si="28"/>
        <v>#VALUE!</v>
      </c>
      <c r="BO85" s="816" t="b">
        <f t="shared" si="29"/>
        <v>0</v>
      </c>
      <c r="BP85" s="816" t="str">
        <f t="shared" si="30"/>
        <v/>
      </c>
    </row>
    <row r="86" ht="21.95" hidden="1" customHeight="1" spans="1:68">
      <c r="A86" s="986">
        <v>85</v>
      </c>
      <c r="B86" s="935" t="str">
        <f t="shared" si="31"/>
        <v>III-A</v>
      </c>
      <c r="C86" s="987"/>
      <c r="D86" s="907"/>
      <c r="E86" s="906"/>
      <c r="F86" s="907"/>
      <c r="G86" s="907"/>
      <c r="H86" s="906"/>
      <c r="I86" s="906"/>
      <c r="J86" s="988"/>
      <c r="K86" s="906"/>
      <c r="L86" s="907"/>
      <c r="M86" s="907"/>
      <c r="N86" s="989"/>
      <c r="O86" s="907"/>
      <c r="P86" s="907"/>
      <c r="Q86" s="907"/>
      <c r="R86" s="907"/>
      <c r="S86" s="907"/>
      <c r="T86" s="907"/>
      <c r="U86" s="990"/>
      <c r="V86" s="991"/>
      <c r="W86" s="907"/>
      <c r="X86" s="907"/>
      <c r="Y86" s="942"/>
      <c r="Z86" s="942"/>
      <c r="AA86" s="942"/>
      <c r="AB86" s="942"/>
      <c r="AC86" s="942"/>
      <c r="AD86" s="942"/>
      <c r="AE86" s="942"/>
      <c r="AF86" s="942"/>
      <c r="AG86" s="942"/>
      <c r="AH86" s="942"/>
      <c r="AI86" s="942"/>
      <c r="AJ86" s="942"/>
      <c r="AK86" s="942"/>
      <c r="AL86" s="942"/>
      <c r="AM86" s="942"/>
      <c r="AN86" s="942"/>
      <c r="AO86" s="942"/>
      <c r="AP86" s="942"/>
      <c r="AQ86" s="942"/>
      <c r="AR86" s="942"/>
      <c r="AS86" s="942"/>
      <c r="AT86" s="942"/>
      <c r="AU86" s="942"/>
      <c r="AV86" s="942"/>
      <c r="AW86" s="942"/>
      <c r="AX86" s="942"/>
      <c r="AY86" s="942"/>
      <c r="AZ86" s="942"/>
      <c r="BA86" s="942"/>
      <c r="BB86" s="943">
        <f t="shared" si="17"/>
        <v>0</v>
      </c>
      <c r="BC86" s="944" t="str">
        <f t="shared" si="18"/>
        <v>0</v>
      </c>
      <c r="BD86" s="944" t="str">
        <f t="shared" si="16"/>
        <v/>
      </c>
      <c r="BE86" s="944" t="str">
        <f t="shared" si="19"/>
        <v>0</v>
      </c>
      <c r="BF86" s="944" t="e">
        <f t="shared" si="20"/>
        <v>#VALUE!</v>
      </c>
      <c r="BG86" s="945" t="e">
        <f t="shared" si="21"/>
        <v>#VALUE!</v>
      </c>
      <c r="BH86" s="946" t="e">
        <f t="shared" si="22"/>
        <v>#VALUE!</v>
      </c>
      <c r="BI86" s="947" t="e">
        <f t="shared" si="23"/>
        <v>#VALUE!</v>
      </c>
      <c r="BJ86" s="943" t="str">
        <f t="shared" si="24"/>
        <v>0</v>
      </c>
      <c r="BK86" s="947" t="b">
        <f t="shared" si="25"/>
        <v>0</v>
      </c>
      <c r="BL86" s="943">
        <f t="shared" si="26"/>
        <v>0</v>
      </c>
      <c r="BM86" s="947" t="b">
        <f t="shared" si="27"/>
        <v>0</v>
      </c>
      <c r="BN86" s="947" t="e">
        <f t="shared" si="28"/>
        <v>#VALUE!</v>
      </c>
      <c r="BO86" s="816" t="b">
        <f t="shared" si="29"/>
        <v>0</v>
      </c>
      <c r="BP86" s="816" t="str">
        <f t="shared" si="30"/>
        <v/>
      </c>
    </row>
    <row r="87" ht="21.95" hidden="1" customHeight="1" spans="1:68">
      <c r="A87" s="978">
        <v>86</v>
      </c>
      <c r="B87" s="949" t="str">
        <f t="shared" si="31"/>
        <v>III-A</v>
      </c>
      <c r="C87" s="979"/>
      <c r="D87" s="980"/>
      <c r="E87" s="981"/>
      <c r="F87" s="980"/>
      <c r="G87" s="980"/>
      <c r="H87" s="981"/>
      <c r="I87" s="981"/>
      <c r="J87" s="982"/>
      <c r="K87" s="981"/>
      <c r="L87" s="980"/>
      <c r="M87" s="980"/>
      <c r="N87" s="983"/>
      <c r="O87" s="980"/>
      <c r="P87" s="980"/>
      <c r="Q87" s="980"/>
      <c r="R87" s="980"/>
      <c r="S87" s="980"/>
      <c r="T87" s="980"/>
      <c r="U87" s="984"/>
      <c r="V87" s="985"/>
      <c r="W87" s="980"/>
      <c r="X87" s="980"/>
      <c r="Y87" s="942"/>
      <c r="Z87" s="942"/>
      <c r="AA87" s="942"/>
      <c r="AB87" s="942"/>
      <c r="AC87" s="942"/>
      <c r="AD87" s="942"/>
      <c r="AE87" s="942"/>
      <c r="AF87" s="942"/>
      <c r="AG87" s="942"/>
      <c r="AH87" s="942"/>
      <c r="AI87" s="942"/>
      <c r="AJ87" s="942"/>
      <c r="AK87" s="942"/>
      <c r="AL87" s="942"/>
      <c r="AM87" s="942"/>
      <c r="AN87" s="942"/>
      <c r="AO87" s="942"/>
      <c r="AP87" s="942"/>
      <c r="AQ87" s="942"/>
      <c r="AR87" s="942"/>
      <c r="AS87" s="942"/>
      <c r="AT87" s="942"/>
      <c r="AU87" s="942"/>
      <c r="AV87" s="942"/>
      <c r="AW87" s="942"/>
      <c r="AX87" s="942"/>
      <c r="AY87" s="942"/>
      <c r="AZ87" s="942"/>
      <c r="BA87" s="942"/>
      <c r="BB87" s="943">
        <f t="shared" si="17"/>
        <v>0</v>
      </c>
      <c r="BC87" s="944" t="str">
        <f t="shared" si="18"/>
        <v>0</v>
      </c>
      <c r="BD87" s="944" t="str">
        <f t="shared" si="16"/>
        <v/>
      </c>
      <c r="BE87" s="944" t="str">
        <f t="shared" si="19"/>
        <v>0</v>
      </c>
      <c r="BF87" s="944" t="e">
        <f t="shared" si="20"/>
        <v>#VALUE!</v>
      </c>
      <c r="BG87" s="945" t="e">
        <f t="shared" si="21"/>
        <v>#VALUE!</v>
      </c>
      <c r="BH87" s="946" t="e">
        <f t="shared" si="22"/>
        <v>#VALUE!</v>
      </c>
      <c r="BI87" s="947" t="e">
        <f t="shared" si="23"/>
        <v>#VALUE!</v>
      </c>
      <c r="BJ87" s="943" t="str">
        <f t="shared" si="24"/>
        <v>0</v>
      </c>
      <c r="BK87" s="947" t="b">
        <f t="shared" si="25"/>
        <v>0</v>
      </c>
      <c r="BL87" s="943">
        <f t="shared" si="26"/>
        <v>0</v>
      </c>
      <c r="BM87" s="947" t="b">
        <f t="shared" si="27"/>
        <v>0</v>
      </c>
      <c r="BN87" s="947" t="e">
        <f t="shared" si="28"/>
        <v>#VALUE!</v>
      </c>
      <c r="BO87" s="816" t="b">
        <f t="shared" si="29"/>
        <v>0</v>
      </c>
      <c r="BP87" s="816" t="str">
        <f t="shared" si="30"/>
        <v/>
      </c>
    </row>
    <row r="88" ht="21.95" hidden="1" customHeight="1" spans="1:68">
      <c r="A88" s="986">
        <v>87</v>
      </c>
      <c r="B88" s="935" t="str">
        <f t="shared" si="31"/>
        <v>III-A</v>
      </c>
      <c r="C88" s="987"/>
      <c r="D88" s="907"/>
      <c r="E88" s="906"/>
      <c r="F88" s="907"/>
      <c r="G88" s="907"/>
      <c r="H88" s="906"/>
      <c r="I88" s="906"/>
      <c r="J88" s="988"/>
      <c r="K88" s="906"/>
      <c r="L88" s="907"/>
      <c r="M88" s="907"/>
      <c r="N88" s="989"/>
      <c r="O88" s="907"/>
      <c r="P88" s="907"/>
      <c r="Q88" s="907"/>
      <c r="R88" s="907"/>
      <c r="S88" s="907"/>
      <c r="T88" s="907"/>
      <c r="U88" s="990"/>
      <c r="V88" s="991"/>
      <c r="W88" s="907"/>
      <c r="X88" s="907"/>
      <c r="Y88" s="942"/>
      <c r="Z88" s="942"/>
      <c r="AA88" s="942"/>
      <c r="AB88" s="942"/>
      <c r="AC88" s="942"/>
      <c r="AD88" s="942"/>
      <c r="AE88" s="942"/>
      <c r="AF88" s="942"/>
      <c r="AG88" s="942"/>
      <c r="AH88" s="942"/>
      <c r="AI88" s="942"/>
      <c r="AJ88" s="942"/>
      <c r="AK88" s="942"/>
      <c r="AL88" s="942"/>
      <c r="AM88" s="942"/>
      <c r="AN88" s="942"/>
      <c r="AO88" s="942"/>
      <c r="AP88" s="942"/>
      <c r="AQ88" s="942"/>
      <c r="AR88" s="942"/>
      <c r="AS88" s="942"/>
      <c r="AT88" s="942"/>
      <c r="AU88" s="942"/>
      <c r="AV88" s="942"/>
      <c r="AW88" s="942"/>
      <c r="AX88" s="942"/>
      <c r="AY88" s="942"/>
      <c r="AZ88" s="942"/>
      <c r="BA88" s="942"/>
      <c r="BB88" s="943">
        <f t="shared" si="17"/>
        <v>0</v>
      </c>
      <c r="BC88" s="944" t="str">
        <f t="shared" si="18"/>
        <v>0</v>
      </c>
      <c r="BD88" s="944" t="str">
        <f t="shared" si="16"/>
        <v/>
      </c>
      <c r="BE88" s="944" t="str">
        <f t="shared" si="19"/>
        <v>0</v>
      </c>
      <c r="BF88" s="944" t="e">
        <f t="shared" si="20"/>
        <v>#VALUE!</v>
      </c>
      <c r="BG88" s="945" t="e">
        <f t="shared" si="21"/>
        <v>#VALUE!</v>
      </c>
      <c r="BH88" s="946" t="e">
        <f t="shared" si="22"/>
        <v>#VALUE!</v>
      </c>
      <c r="BI88" s="947" t="e">
        <f t="shared" si="23"/>
        <v>#VALUE!</v>
      </c>
      <c r="BJ88" s="943" t="str">
        <f t="shared" si="24"/>
        <v>0</v>
      </c>
      <c r="BK88" s="947" t="b">
        <f t="shared" si="25"/>
        <v>0</v>
      </c>
      <c r="BL88" s="943">
        <f t="shared" si="26"/>
        <v>0</v>
      </c>
      <c r="BM88" s="947" t="b">
        <f t="shared" si="27"/>
        <v>0</v>
      </c>
      <c r="BN88" s="947" t="e">
        <f t="shared" si="28"/>
        <v>#VALUE!</v>
      </c>
      <c r="BO88" s="816" t="b">
        <f t="shared" si="29"/>
        <v>0</v>
      </c>
      <c r="BP88" s="816" t="str">
        <f t="shared" si="30"/>
        <v/>
      </c>
    </row>
    <row r="89" ht="21.95" hidden="1" customHeight="1" spans="1:68">
      <c r="A89" s="978">
        <v>88</v>
      </c>
      <c r="B89" s="949" t="str">
        <f t="shared" si="31"/>
        <v>III-A</v>
      </c>
      <c r="C89" s="979"/>
      <c r="D89" s="980"/>
      <c r="E89" s="981"/>
      <c r="F89" s="980"/>
      <c r="G89" s="980"/>
      <c r="H89" s="981"/>
      <c r="I89" s="981"/>
      <c r="J89" s="982"/>
      <c r="K89" s="981"/>
      <c r="L89" s="980"/>
      <c r="M89" s="980"/>
      <c r="N89" s="983"/>
      <c r="O89" s="980"/>
      <c r="P89" s="980"/>
      <c r="Q89" s="980"/>
      <c r="R89" s="980"/>
      <c r="S89" s="980"/>
      <c r="T89" s="980"/>
      <c r="U89" s="984"/>
      <c r="V89" s="985"/>
      <c r="W89" s="980"/>
      <c r="X89" s="980"/>
      <c r="Y89" s="942"/>
      <c r="Z89" s="942"/>
      <c r="AA89" s="942"/>
      <c r="AB89" s="942"/>
      <c r="AC89" s="942"/>
      <c r="AD89" s="942"/>
      <c r="AE89" s="942"/>
      <c r="AF89" s="942"/>
      <c r="AG89" s="942"/>
      <c r="AH89" s="942"/>
      <c r="AI89" s="942"/>
      <c r="AJ89" s="942"/>
      <c r="AK89" s="942"/>
      <c r="AL89" s="942"/>
      <c r="AM89" s="942"/>
      <c r="AN89" s="942"/>
      <c r="AO89" s="942"/>
      <c r="AP89" s="942"/>
      <c r="AQ89" s="942"/>
      <c r="AR89" s="942"/>
      <c r="AS89" s="942"/>
      <c r="AT89" s="942"/>
      <c r="AU89" s="942"/>
      <c r="AV89" s="942"/>
      <c r="AW89" s="942"/>
      <c r="AX89" s="942"/>
      <c r="AY89" s="942"/>
      <c r="AZ89" s="942"/>
      <c r="BA89" s="942"/>
      <c r="BB89" s="943">
        <f t="shared" si="17"/>
        <v>0</v>
      </c>
      <c r="BC89" s="944" t="str">
        <f t="shared" si="18"/>
        <v>0</v>
      </c>
      <c r="BD89" s="944" t="str">
        <f t="shared" si="16"/>
        <v/>
      </c>
      <c r="BE89" s="944" t="str">
        <f t="shared" si="19"/>
        <v>0</v>
      </c>
      <c r="BF89" s="944" t="e">
        <f t="shared" si="20"/>
        <v>#VALUE!</v>
      </c>
      <c r="BG89" s="945" t="e">
        <f t="shared" si="21"/>
        <v>#VALUE!</v>
      </c>
      <c r="BH89" s="946" t="e">
        <f t="shared" si="22"/>
        <v>#VALUE!</v>
      </c>
      <c r="BI89" s="947" t="e">
        <f t="shared" si="23"/>
        <v>#VALUE!</v>
      </c>
      <c r="BJ89" s="943" t="str">
        <f t="shared" si="24"/>
        <v>0</v>
      </c>
      <c r="BK89" s="947" t="b">
        <f t="shared" si="25"/>
        <v>0</v>
      </c>
      <c r="BL89" s="943">
        <f t="shared" si="26"/>
        <v>0</v>
      </c>
      <c r="BM89" s="947" t="b">
        <f t="shared" si="27"/>
        <v>0</v>
      </c>
      <c r="BN89" s="947" t="e">
        <f t="shared" si="28"/>
        <v>#VALUE!</v>
      </c>
      <c r="BO89" s="816" t="b">
        <f t="shared" si="29"/>
        <v>0</v>
      </c>
      <c r="BP89" s="816" t="str">
        <f t="shared" si="30"/>
        <v/>
      </c>
    </row>
    <row r="90" ht="21.95" hidden="1" customHeight="1" spans="1:68">
      <c r="A90" s="986">
        <v>89</v>
      </c>
      <c r="B90" s="935" t="str">
        <f t="shared" si="31"/>
        <v>III-A</v>
      </c>
      <c r="C90" s="987"/>
      <c r="D90" s="907"/>
      <c r="E90" s="906"/>
      <c r="F90" s="907"/>
      <c r="G90" s="907"/>
      <c r="H90" s="906"/>
      <c r="I90" s="906"/>
      <c r="J90" s="988"/>
      <c r="K90" s="906"/>
      <c r="L90" s="907"/>
      <c r="M90" s="907"/>
      <c r="N90" s="989"/>
      <c r="O90" s="907"/>
      <c r="P90" s="907"/>
      <c r="Q90" s="907"/>
      <c r="R90" s="907"/>
      <c r="S90" s="907"/>
      <c r="T90" s="907"/>
      <c r="U90" s="990"/>
      <c r="V90" s="991"/>
      <c r="W90" s="907"/>
      <c r="X90" s="907"/>
      <c r="Y90" s="942"/>
      <c r="Z90" s="942"/>
      <c r="AA90" s="942"/>
      <c r="AB90" s="942"/>
      <c r="AC90" s="942"/>
      <c r="AD90" s="942"/>
      <c r="AE90" s="942"/>
      <c r="AF90" s="942"/>
      <c r="AG90" s="942"/>
      <c r="AH90" s="942"/>
      <c r="AI90" s="942"/>
      <c r="AJ90" s="942"/>
      <c r="AK90" s="942"/>
      <c r="AL90" s="942"/>
      <c r="AM90" s="942"/>
      <c r="AN90" s="942"/>
      <c r="AO90" s="942"/>
      <c r="AP90" s="942"/>
      <c r="AQ90" s="942"/>
      <c r="AR90" s="942"/>
      <c r="AS90" s="942"/>
      <c r="AT90" s="942"/>
      <c r="AU90" s="942"/>
      <c r="AV90" s="942"/>
      <c r="AW90" s="942"/>
      <c r="AX90" s="942"/>
      <c r="AY90" s="942"/>
      <c r="AZ90" s="942"/>
      <c r="BA90" s="942"/>
      <c r="BB90" s="943">
        <f t="shared" si="17"/>
        <v>0</v>
      </c>
      <c r="BC90" s="944" t="str">
        <f t="shared" si="18"/>
        <v>0</v>
      </c>
      <c r="BD90" s="944" t="str">
        <f t="shared" si="16"/>
        <v/>
      </c>
      <c r="BE90" s="944" t="str">
        <f t="shared" si="19"/>
        <v>0</v>
      </c>
      <c r="BF90" s="944" t="e">
        <f t="shared" si="20"/>
        <v>#VALUE!</v>
      </c>
      <c r="BG90" s="945" t="e">
        <f t="shared" si="21"/>
        <v>#VALUE!</v>
      </c>
      <c r="BH90" s="946" t="e">
        <f t="shared" si="22"/>
        <v>#VALUE!</v>
      </c>
      <c r="BI90" s="947" t="e">
        <f t="shared" si="23"/>
        <v>#VALUE!</v>
      </c>
      <c r="BJ90" s="943" t="str">
        <f t="shared" si="24"/>
        <v>0</v>
      </c>
      <c r="BK90" s="947" t="b">
        <f t="shared" si="25"/>
        <v>0</v>
      </c>
      <c r="BL90" s="943">
        <f t="shared" si="26"/>
        <v>0</v>
      </c>
      <c r="BM90" s="947" t="b">
        <f t="shared" si="27"/>
        <v>0</v>
      </c>
      <c r="BN90" s="947" t="e">
        <f t="shared" si="28"/>
        <v>#VALUE!</v>
      </c>
      <c r="BO90" s="816" t="b">
        <f t="shared" si="29"/>
        <v>0</v>
      </c>
      <c r="BP90" s="816" t="str">
        <f t="shared" si="30"/>
        <v/>
      </c>
    </row>
    <row r="91" ht="21.95" hidden="1" customHeight="1" spans="1:68">
      <c r="A91" s="978">
        <v>90</v>
      </c>
      <c r="B91" s="949" t="str">
        <f t="shared" si="31"/>
        <v>III-A</v>
      </c>
      <c r="C91" s="979"/>
      <c r="D91" s="980"/>
      <c r="E91" s="981"/>
      <c r="F91" s="980"/>
      <c r="G91" s="980"/>
      <c r="H91" s="981"/>
      <c r="I91" s="981"/>
      <c r="J91" s="982"/>
      <c r="K91" s="981"/>
      <c r="L91" s="980"/>
      <c r="M91" s="980"/>
      <c r="N91" s="983"/>
      <c r="O91" s="980"/>
      <c r="P91" s="980"/>
      <c r="Q91" s="980"/>
      <c r="R91" s="980"/>
      <c r="S91" s="980"/>
      <c r="T91" s="980"/>
      <c r="U91" s="984"/>
      <c r="V91" s="985"/>
      <c r="W91" s="980"/>
      <c r="X91" s="980"/>
      <c r="Y91" s="942"/>
      <c r="Z91" s="942"/>
      <c r="AA91" s="942"/>
      <c r="AB91" s="942"/>
      <c r="AC91" s="942"/>
      <c r="AD91" s="942"/>
      <c r="AE91" s="942"/>
      <c r="AF91" s="942"/>
      <c r="AG91" s="942"/>
      <c r="AH91" s="942"/>
      <c r="AI91" s="942"/>
      <c r="AJ91" s="942"/>
      <c r="AK91" s="942"/>
      <c r="AL91" s="942"/>
      <c r="AM91" s="942"/>
      <c r="AN91" s="942"/>
      <c r="AO91" s="942"/>
      <c r="AP91" s="942"/>
      <c r="AQ91" s="942"/>
      <c r="AR91" s="942"/>
      <c r="AS91" s="942"/>
      <c r="AT91" s="942"/>
      <c r="AU91" s="942"/>
      <c r="AV91" s="942"/>
      <c r="AW91" s="942"/>
      <c r="AX91" s="942"/>
      <c r="AY91" s="942"/>
      <c r="AZ91" s="942"/>
      <c r="BA91" s="942"/>
      <c r="BB91" s="943">
        <f t="shared" si="17"/>
        <v>0</v>
      </c>
      <c r="BC91" s="944" t="str">
        <f t="shared" si="18"/>
        <v>0</v>
      </c>
      <c r="BD91" s="944" t="str">
        <f t="shared" si="16"/>
        <v/>
      </c>
      <c r="BE91" s="944" t="str">
        <f t="shared" si="19"/>
        <v>0</v>
      </c>
      <c r="BF91" s="944" t="e">
        <f t="shared" si="20"/>
        <v>#VALUE!</v>
      </c>
      <c r="BG91" s="945" t="e">
        <f t="shared" si="21"/>
        <v>#VALUE!</v>
      </c>
      <c r="BH91" s="946" t="e">
        <f t="shared" si="22"/>
        <v>#VALUE!</v>
      </c>
      <c r="BI91" s="947" t="e">
        <f t="shared" si="23"/>
        <v>#VALUE!</v>
      </c>
      <c r="BJ91" s="943" t="str">
        <f t="shared" si="24"/>
        <v>0</v>
      </c>
      <c r="BK91" s="947" t="b">
        <f t="shared" si="25"/>
        <v>0</v>
      </c>
      <c r="BL91" s="943">
        <f t="shared" si="26"/>
        <v>0</v>
      </c>
      <c r="BM91" s="947" t="b">
        <f t="shared" si="27"/>
        <v>0</v>
      </c>
      <c r="BN91" s="947" t="e">
        <f t="shared" si="28"/>
        <v>#VALUE!</v>
      </c>
      <c r="BO91" s="816" t="b">
        <f t="shared" si="29"/>
        <v>0</v>
      </c>
      <c r="BP91" s="816" t="str">
        <f t="shared" si="30"/>
        <v/>
      </c>
    </row>
    <row r="92" ht="21.95" hidden="1" customHeight="1" spans="1:68">
      <c r="A92" s="986">
        <v>91</v>
      </c>
      <c r="B92" s="935" t="str">
        <f t="shared" si="31"/>
        <v>III-A</v>
      </c>
      <c r="C92" s="987"/>
      <c r="D92" s="907"/>
      <c r="E92" s="906"/>
      <c r="F92" s="907"/>
      <c r="G92" s="907"/>
      <c r="H92" s="906"/>
      <c r="I92" s="906"/>
      <c r="J92" s="988"/>
      <c r="K92" s="906"/>
      <c r="L92" s="907"/>
      <c r="M92" s="907"/>
      <c r="N92" s="989"/>
      <c r="O92" s="907"/>
      <c r="P92" s="907"/>
      <c r="Q92" s="907"/>
      <c r="R92" s="907"/>
      <c r="S92" s="907"/>
      <c r="T92" s="907"/>
      <c r="U92" s="990"/>
      <c r="V92" s="991"/>
      <c r="W92" s="907"/>
      <c r="X92" s="907"/>
      <c r="Y92" s="942"/>
      <c r="Z92" s="942"/>
      <c r="AA92" s="942"/>
      <c r="AB92" s="942"/>
      <c r="AC92" s="942"/>
      <c r="AD92" s="942"/>
      <c r="AE92" s="942"/>
      <c r="AF92" s="942"/>
      <c r="AG92" s="942"/>
      <c r="AH92" s="942"/>
      <c r="AI92" s="942"/>
      <c r="AJ92" s="942"/>
      <c r="AK92" s="942"/>
      <c r="AL92" s="942"/>
      <c r="AM92" s="942"/>
      <c r="AN92" s="942"/>
      <c r="AO92" s="942"/>
      <c r="AP92" s="942"/>
      <c r="AQ92" s="942"/>
      <c r="AR92" s="942"/>
      <c r="AS92" s="942"/>
      <c r="AT92" s="942"/>
      <c r="AU92" s="942"/>
      <c r="AV92" s="942"/>
      <c r="AW92" s="942"/>
      <c r="AX92" s="942"/>
      <c r="AY92" s="942"/>
      <c r="AZ92" s="942"/>
      <c r="BA92" s="942"/>
      <c r="BB92" s="943">
        <f t="shared" si="17"/>
        <v>0</v>
      </c>
      <c r="BC92" s="944" t="str">
        <f t="shared" si="18"/>
        <v>0</v>
      </c>
      <c r="BD92" s="944" t="str">
        <f t="shared" si="16"/>
        <v/>
      </c>
      <c r="BE92" s="944" t="str">
        <f t="shared" si="19"/>
        <v>0</v>
      </c>
      <c r="BF92" s="944" t="e">
        <f t="shared" si="20"/>
        <v>#VALUE!</v>
      </c>
      <c r="BG92" s="945" t="e">
        <f t="shared" si="21"/>
        <v>#VALUE!</v>
      </c>
      <c r="BH92" s="946" t="e">
        <f t="shared" si="22"/>
        <v>#VALUE!</v>
      </c>
      <c r="BI92" s="947" t="e">
        <f t="shared" si="23"/>
        <v>#VALUE!</v>
      </c>
      <c r="BJ92" s="943" t="str">
        <f t="shared" si="24"/>
        <v>0</v>
      </c>
      <c r="BK92" s="947" t="b">
        <f t="shared" si="25"/>
        <v>0</v>
      </c>
      <c r="BL92" s="943">
        <f t="shared" si="26"/>
        <v>0</v>
      </c>
      <c r="BM92" s="947" t="b">
        <f t="shared" si="27"/>
        <v>0</v>
      </c>
      <c r="BN92" s="947" t="e">
        <f t="shared" si="28"/>
        <v>#VALUE!</v>
      </c>
      <c r="BO92" s="816" t="b">
        <f t="shared" si="29"/>
        <v>0</v>
      </c>
      <c r="BP92" s="816" t="str">
        <f t="shared" si="30"/>
        <v/>
      </c>
    </row>
    <row r="93" ht="21.95" hidden="1" customHeight="1" spans="1:68">
      <c r="A93" s="978">
        <v>92</v>
      </c>
      <c r="B93" s="949" t="str">
        <f t="shared" si="31"/>
        <v>III-A</v>
      </c>
      <c r="C93" s="979"/>
      <c r="D93" s="980"/>
      <c r="E93" s="981"/>
      <c r="F93" s="980"/>
      <c r="G93" s="980"/>
      <c r="H93" s="981"/>
      <c r="I93" s="981"/>
      <c r="J93" s="982"/>
      <c r="K93" s="981"/>
      <c r="L93" s="980"/>
      <c r="M93" s="980"/>
      <c r="N93" s="983"/>
      <c r="O93" s="980"/>
      <c r="P93" s="980"/>
      <c r="Q93" s="980"/>
      <c r="R93" s="980"/>
      <c r="S93" s="980"/>
      <c r="T93" s="980"/>
      <c r="U93" s="984"/>
      <c r="V93" s="985"/>
      <c r="W93" s="980"/>
      <c r="X93" s="980"/>
      <c r="Y93" s="942"/>
      <c r="Z93" s="942"/>
      <c r="AA93" s="942"/>
      <c r="AB93" s="942"/>
      <c r="AC93" s="942"/>
      <c r="AD93" s="942"/>
      <c r="AE93" s="942"/>
      <c r="AF93" s="942"/>
      <c r="AG93" s="942"/>
      <c r="AH93" s="942"/>
      <c r="AI93" s="942"/>
      <c r="AJ93" s="942"/>
      <c r="AK93" s="942"/>
      <c r="AL93" s="942"/>
      <c r="AM93" s="942"/>
      <c r="AN93" s="942"/>
      <c r="AO93" s="942"/>
      <c r="AP93" s="942"/>
      <c r="AQ93" s="942"/>
      <c r="AR93" s="942"/>
      <c r="AS93" s="942"/>
      <c r="AT93" s="942"/>
      <c r="AU93" s="942"/>
      <c r="AV93" s="942"/>
      <c r="AW93" s="942"/>
      <c r="AX93" s="942"/>
      <c r="AY93" s="942"/>
      <c r="AZ93" s="942"/>
      <c r="BA93" s="942"/>
      <c r="BB93" s="943">
        <f t="shared" si="17"/>
        <v>0</v>
      </c>
      <c r="BC93" s="944" t="str">
        <f t="shared" si="18"/>
        <v>0</v>
      </c>
      <c r="BD93" s="944" t="str">
        <f t="shared" si="16"/>
        <v/>
      </c>
      <c r="BE93" s="944" t="str">
        <f t="shared" si="19"/>
        <v>0</v>
      </c>
      <c r="BF93" s="944" t="e">
        <f t="shared" si="20"/>
        <v>#VALUE!</v>
      </c>
      <c r="BG93" s="945" t="e">
        <f t="shared" si="21"/>
        <v>#VALUE!</v>
      </c>
      <c r="BH93" s="946" t="e">
        <f t="shared" si="22"/>
        <v>#VALUE!</v>
      </c>
      <c r="BI93" s="947" t="e">
        <f t="shared" si="23"/>
        <v>#VALUE!</v>
      </c>
      <c r="BJ93" s="943" t="str">
        <f t="shared" si="24"/>
        <v>0</v>
      </c>
      <c r="BK93" s="947" t="b">
        <f t="shared" si="25"/>
        <v>0</v>
      </c>
      <c r="BL93" s="943">
        <f t="shared" si="26"/>
        <v>0</v>
      </c>
      <c r="BM93" s="947" t="b">
        <f t="shared" si="27"/>
        <v>0</v>
      </c>
      <c r="BN93" s="947" t="e">
        <f t="shared" si="28"/>
        <v>#VALUE!</v>
      </c>
      <c r="BO93" s="816" t="b">
        <f t="shared" si="29"/>
        <v>0</v>
      </c>
      <c r="BP93" s="816" t="str">
        <f t="shared" si="30"/>
        <v/>
      </c>
    </row>
    <row r="94" ht="21.95" hidden="1" customHeight="1" spans="1:68">
      <c r="A94" s="986">
        <v>93</v>
      </c>
      <c r="B94" s="935" t="str">
        <f t="shared" si="31"/>
        <v>III-A</v>
      </c>
      <c r="C94" s="987"/>
      <c r="D94" s="907"/>
      <c r="E94" s="906"/>
      <c r="F94" s="907"/>
      <c r="G94" s="907"/>
      <c r="H94" s="906"/>
      <c r="I94" s="906"/>
      <c r="J94" s="988"/>
      <c r="K94" s="906"/>
      <c r="L94" s="907"/>
      <c r="M94" s="907"/>
      <c r="N94" s="989"/>
      <c r="O94" s="907"/>
      <c r="P94" s="907"/>
      <c r="Q94" s="907"/>
      <c r="R94" s="907"/>
      <c r="S94" s="907"/>
      <c r="T94" s="907"/>
      <c r="U94" s="990"/>
      <c r="V94" s="991"/>
      <c r="W94" s="907"/>
      <c r="X94" s="907"/>
      <c r="Y94" s="942"/>
      <c r="Z94" s="942"/>
      <c r="AA94" s="942"/>
      <c r="AB94" s="942"/>
      <c r="AC94" s="942"/>
      <c r="AD94" s="942"/>
      <c r="AE94" s="942"/>
      <c r="AF94" s="942"/>
      <c r="AG94" s="942"/>
      <c r="AH94" s="942"/>
      <c r="AI94" s="942"/>
      <c r="AJ94" s="942"/>
      <c r="AK94" s="942"/>
      <c r="AL94" s="942"/>
      <c r="AM94" s="942"/>
      <c r="AN94" s="942"/>
      <c r="AO94" s="942"/>
      <c r="AP94" s="942"/>
      <c r="AQ94" s="942"/>
      <c r="AR94" s="942"/>
      <c r="AS94" s="942"/>
      <c r="AT94" s="942"/>
      <c r="AU94" s="942"/>
      <c r="AV94" s="942"/>
      <c r="AW94" s="942"/>
      <c r="AX94" s="942"/>
      <c r="AY94" s="942"/>
      <c r="AZ94" s="942"/>
      <c r="BA94" s="942"/>
      <c r="BB94" s="943">
        <f t="shared" si="17"/>
        <v>0</v>
      </c>
      <c r="BC94" s="944" t="str">
        <f t="shared" si="18"/>
        <v>0</v>
      </c>
      <c r="BD94" s="944" t="str">
        <f t="shared" si="16"/>
        <v/>
      </c>
      <c r="BE94" s="944" t="str">
        <f t="shared" si="19"/>
        <v>0</v>
      </c>
      <c r="BF94" s="944" t="e">
        <f t="shared" si="20"/>
        <v>#VALUE!</v>
      </c>
      <c r="BG94" s="945" t="e">
        <f t="shared" si="21"/>
        <v>#VALUE!</v>
      </c>
      <c r="BH94" s="946" t="e">
        <f t="shared" si="22"/>
        <v>#VALUE!</v>
      </c>
      <c r="BI94" s="947" t="e">
        <f t="shared" si="23"/>
        <v>#VALUE!</v>
      </c>
      <c r="BJ94" s="943" t="str">
        <f t="shared" si="24"/>
        <v>0</v>
      </c>
      <c r="BK94" s="947" t="b">
        <f t="shared" si="25"/>
        <v>0</v>
      </c>
      <c r="BL94" s="943">
        <f t="shared" si="26"/>
        <v>0</v>
      </c>
      <c r="BM94" s="947" t="b">
        <f t="shared" si="27"/>
        <v>0</v>
      </c>
      <c r="BN94" s="947" t="e">
        <f t="shared" si="28"/>
        <v>#VALUE!</v>
      </c>
      <c r="BO94" s="816" t="b">
        <f t="shared" si="29"/>
        <v>0</v>
      </c>
      <c r="BP94" s="816" t="str">
        <f t="shared" si="30"/>
        <v/>
      </c>
    </row>
    <row r="95" ht="21.95" hidden="1" customHeight="1" spans="1:68">
      <c r="A95" s="978">
        <v>94</v>
      </c>
      <c r="B95" s="949" t="str">
        <f t="shared" si="31"/>
        <v>III-A</v>
      </c>
      <c r="C95" s="979"/>
      <c r="D95" s="980"/>
      <c r="E95" s="981"/>
      <c r="F95" s="980"/>
      <c r="G95" s="980"/>
      <c r="H95" s="981"/>
      <c r="I95" s="981"/>
      <c r="J95" s="982"/>
      <c r="K95" s="981"/>
      <c r="L95" s="980"/>
      <c r="M95" s="980"/>
      <c r="N95" s="983"/>
      <c r="O95" s="980"/>
      <c r="P95" s="980"/>
      <c r="Q95" s="980"/>
      <c r="R95" s="980"/>
      <c r="S95" s="980"/>
      <c r="T95" s="980"/>
      <c r="U95" s="984"/>
      <c r="V95" s="985"/>
      <c r="W95" s="980"/>
      <c r="X95" s="980"/>
      <c r="Y95" s="942"/>
      <c r="Z95" s="942"/>
      <c r="AA95" s="942"/>
      <c r="AB95" s="942"/>
      <c r="AC95" s="942"/>
      <c r="AD95" s="942"/>
      <c r="AE95" s="942"/>
      <c r="AF95" s="942"/>
      <c r="AG95" s="942"/>
      <c r="AH95" s="942"/>
      <c r="AI95" s="942"/>
      <c r="AJ95" s="942"/>
      <c r="AK95" s="942"/>
      <c r="AL95" s="942"/>
      <c r="AM95" s="942"/>
      <c r="AN95" s="942"/>
      <c r="AO95" s="942"/>
      <c r="AP95" s="942"/>
      <c r="AQ95" s="942"/>
      <c r="AR95" s="942"/>
      <c r="AS95" s="942"/>
      <c r="AT95" s="942"/>
      <c r="AU95" s="942"/>
      <c r="AV95" s="942"/>
      <c r="AW95" s="942"/>
      <c r="AX95" s="942"/>
      <c r="AY95" s="942"/>
      <c r="AZ95" s="942"/>
      <c r="BA95" s="942"/>
      <c r="BB95" s="943">
        <f t="shared" si="17"/>
        <v>0</v>
      </c>
      <c r="BC95" s="944" t="str">
        <f t="shared" si="18"/>
        <v>0</v>
      </c>
      <c r="BD95" s="944" t="str">
        <f t="shared" si="16"/>
        <v/>
      </c>
      <c r="BE95" s="944" t="str">
        <f t="shared" si="19"/>
        <v>0</v>
      </c>
      <c r="BF95" s="944" t="e">
        <f t="shared" si="20"/>
        <v>#VALUE!</v>
      </c>
      <c r="BG95" s="945" t="e">
        <f t="shared" si="21"/>
        <v>#VALUE!</v>
      </c>
      <c r="BH95" s="946" t="e">
        <f t="shared" si="22"/>
        <v>#VALUE!</v>
      </c>
      <c r="BI95" s="947" t="e">
        <f t="shared" si="23"/>
        <v>#VALUE!</v>
      </c>
      <c r="BJ95" s="943" t="str">
        <f t="shared" si="24"/>
        <v>0</v>
      </c>
      <c r="BK95" s="947" t="b">
        <f t="shared" si="25"/>
        <v>0</v>
      </c>
      <c r="BL95" s="943">
        <f t="shared" si="26"/>
        <v>0</v>
      </c>
      <c r="BM95" s="947" t="b">
        <f t="shared" si="27"/>
        <v>0</v>
      </c>
      <c r="BN95" s="947" t="e">
        <f t="shared" si="28"/>
        <v>#VALUE!</v>
      </c>
      <c r="BO95" s="816" t="b">
        <f t="shared" si="29"/>
        <v>0</v>
      </c>
      <c r="BP95" s="816" t="str">
        <f t="shared" si="30"/>
        <v/>
      </c>
    </row>
    <row r="96" ht="21.95" hidden="1" customHeight="1" spans="1:68">
      <c r="A96" s="986">
        <v>95</v>
      </c>
      <c r="B96" s="935" t="str">
        <f t="shared" si="31"/>
        <v>III-A</v>
      </c>
      <c r="C96" s="987"/>
      <c r="D96" s="907"/>
      <c r="E96" s="906"/>
      <c r="F96" s="907"/>
      <c r="G96" s="907"/>
      <c r="H96" s="906"/>
      <c r="I96" s="906"/>
      <c r="J96" s="988"/>
      <c r="K96" s="906"/>
      <c r="L96" s="907"/>
      <c r="M96" s="907"/>
      <c r="N96" s="989"/>
      <c r="O96" s="907"/>
      <c r="P96" s="907"/>
      <c r="Q96" s="907"/>
      <c r="R96" s="907"/>
      <c r="S96" s="907"/>
      <c r="T96" s="907"/>
      <c r="U96" s="990"/>
      <c r="V96" s="991"/>
      <c r="W96" s="907"/>
      <c r="X96" s="907"/>
      <c r="Y96" s="942"/>
      <c r="Z96" s="942"/>
      <c r="AA96" s="942"/>
      <c r="AB96" s="942"/>
      <c r="AC96" s="942"/>
      <c r="AD96" s="942"/>
      <c r="AE96" s="942"/>
      <c r="AF96" s="942"/>
      <c r="AG96" s="942"/>
      <c r="AH96" s="942"/>
      <c r="AI96" s="942"/>
      <c r="AJ96" s="942"/>
      <c r="AK96" s="942"/>
      <c r="AL96" s="942"/>
      <c r="AM96" s="942"/>
      <c r="AN96" s="942"/>
      <c r="AO96" s="942"/>
      <c r="AP96" s="942"/>
      <c r="AQ96" s="942"/>
      <c r="AR96" s="942"/>
      <c r="AS96" s="942"/>
      <c r="AT96" s="942"/>
      <c r="AU96" s="942"/>
      <c r="AV96" s="942"/>
      <c r="AW96" s="942"/>
      <c r="AX96" s="942"/>
      <c r="AY96" s="942"/>
      <c r="AZ96" s="942"/>
      <c r="BA96" s="942"/>
      <c r="BB96" s="943">
        <f t="shared" si="17"/>
        <v>0</v>
      </c>
      <c r="BC96" s="944" t="str">
        <f t="shared" si="18"/>
        <v>0</v>
      </c>
      <c r="BD96" s="944" t="str">
        <f t="shared" si="16"/>
        <v/>
      </c>
      <c r="BE96" s="944" t="str">
        <f t="shared" si="19"/>
        <v>0</v>
      </c>
      <c r="BF96" s="944" t="e">
        <f t="shared" si="20"/>
        <v>#VALUE!</v>
      </c>
      <c r="BG96" s="945" t="e">
        <f t="shared" si="21"/>
        <v>#VALUE!</v>
      </c>
      <c r="BH96" s="946" t="e">
        <f t="shared" si="22"/>
        <v>#VALUE!</v>
      </c>
      <c r="BI96" s="947" t="e">
        <f t="shared" si="23"/>
        <v>#VALUE!</v>
      </c>
      <c r="BJ96" s="943" t="str">
        <f t="shared" si="24"/>
        <v>0</v>
      </c>
      <c r="BK96" s="947" t="b">
        <f t="shared" si="25"/>
        <v>0</v>
      </c>
      <c r="BL96" s="943">
        <f t="shared" si="26"/>
        <v>0</v>
      </c>
      <c r="BM96" s="947" t="b">
        <f t="shared" si="27"/>
        <v>0</v>
      </c>
      <c r="BN96" s="947" t="e">
        <f t="shared" si="28"/>
        <v>#VALUE!</v>
      </c>
      <c r="BO96" s="816" t="b">
        <f t="shared" si="29"/>
        <v>0</v>
      </c>
      <c r="BP96" s="816" t="str">
        <f t="shared" si="30"/>
        <v/>
      </c>
    </row>
    <row r="97" ht="21.95" hidden="1" customHeight="1" spans="1:68">
      <c r="A97" s="978">
        <v>96</v>
      </c>
      <c r="B97" s="949" t="str">
        <f t="shared" si="31"/>
        <v>III-A</v>
      </c>
      <c r="C97" s="979"/>
      <c r="D97" s="980"/>
      <c r="E97" s="981"/>
      <c r="F97" s="980"/>
      <c r="G97" s="980"/>
      <c r="H97" s="981"/>
      <c r="I97" s="981"/>
      <c r="J97" s="982"/>
      <c r="K97" s="981"/>
      <c r="L97" s="980"/>
      <c r="M97" s="980"/>
      <c r="N97" s="983"/>
      <c r="O97" s="980"/>
      <c r="P97" s="980"/>
      <c r="Q97" s="980"/>
      <c r="R97" s="980"/>
      <c r="S97" s="980"/>
      <c r="T97" s="980"/>
      <c r="U97" s="984"/>
      <c r="V97" s="985"/>
      <c r="W97" s="980"/>
      <c r="X97" s="980"/>
      <c r="Y97" s="942"/>
      <c r="Z97" s="942"/>
      <c r="AA97" s="942"/>
      <c r="AB97" s="942"/>
      <c r="AC97" s="942"/>
      <c r="AD97" s="942"/>
      <c r="AE97" s="942"/>
      <c r="AF97" s="942"/>
      <c r="AG97" s="942"/>
      <c r="AH97" s="942"/>
      <c r="AI97" s="942"/>
      <c r="AJ97" s="942"/>
      <c r="AK97" s="942"/>
      <c r="AL97" s="942"/>
      <c r="AM97" s="942"/>
      <c r="AN97" s="942"/>
      <c r="AO97" s="942"/>
      <c r="AP97" s="942"/>
      <c r="AQ97" s="942"/>
      <c r="AR97" s="942"/>
      <c r="AS97" s="942"/>
      <c r="AT97" s="942"/>
      <c r="AU97" s="942"/>
      <c r="AV97" s="942"/>
      <c r="AW97" s="942"/>
      <c r="AX97" s="942"/>
      <c r="AY97" s="942"/>
      <c r="AZ97" s="942"/>
      <c r="BA97" s="942"/>
      <c r="BB97" s="943">
        <f t="shared" si="17"/>
        <v>0</v>
      </c>
      <c r="BC97" s="944" t="str">
        <f t="shared" si="18"/>
        <v>0</v>
      </c>
      <c r="BD97" s="944" t="str">
        <f t="shared" si="16"/>
        <v/>
      </c>
      <c r="BE97" s="944" t="str">
        <f t="shared" si="19"/>
        <v>0</v>
      </c>
      <c r="BF97" s="944" t="e">
        <f t="shared" si="20"/>
        <v>#VALUE!</v>
      </c>
      <c r="BG97" s="945" t="e">
        <f t="shared" si="21"/>
        <v>#VALUE!</v>
      </c>
      <c r="BH97" s="946" t="e">
        <f t="shared" si="22"/>
        <v>#VALUE!</v>
      </c>
      <c r="BI97" s="947" t="e">
        <f t="shared" si="23"/>
        <v>#VALUE!</v>
      </c>
      <c r="BJ97" s="943" t="str">
        <f t="shared" si="24"/>
        <v>0</v>
      </c>
      <c r="BK97" s="947" t="b">
        <f t="shared" si="25"/>
        <v>0</v>
      </c>
      <c r="BL97" s="943">
        <f t="shared" si="26"/>
        <v>0</v>
      </c>
      <c r="BM97" s="947" t="b">
        <f t="shared" si="27"/>
        <v>0</v>
      </c>
      <c r="BN97" s="947" t="e">
        <f t="shared" si="28"/>
        <v>#VALUE!</v>
      </c>
      <c r="BO97" s="816" t="b">
        <f t="shared" si="29"/>
        <v>0</v>
      </c>
      <c r="BP97" s="816" t="str">
        <f t="shared" si="30"/>
        <v/>
      </c>
    </row>
    <row r="98" ht="21.95" hidden="1" customHeight="1" spans="1:68">
      <c r="A98" s="986">
        <v>97</v>
      </c>
      <c r="B98" s="935" t="str">
        <f t="shared" si="31"/>
        <v>III-A</v>
      </c>
      <c r="C98" s="987"/>
      <c r="D98" s="907"/>
      <c r="E98" s="906"/>
      <c r="F98" s="907"/>
      <c r="G98" s="907"/>
      <c r="H98" s="906"/>
      <c r="I98" s="906"/>
      <c r="J98" s="988"/>
      <c r="K98" s="906"/>
      <c r="L98" s="907"/>
      <c r="M98" s="907"/>
      <c r="N98" s="989"/>
      <c r="O98" s="907"/>
      <c r="P98" s="907"/>
      <c r="Q98" s="907"/>
      <c r="R98" s="907"/>
      <c r="S98" s="907"/>
      <c r="T98" s="907"/>
      <c r="U98" s="990"/>
      <c r="V98" s="991"/>
      <c r="W98" s="907"/>
      <c r="X98" s="907"/>
      <c r="Y98" s="942"/>
      <c r="Z98" s="942"/>
      <c r="AA98" s="942"/>
      <c r="AB98" s="942"/>
      <c r="AC98" s="942"/>
      <c r="AD98" s="942"/>
      <c r="AE98" s="942"/>
      <c r="AF98" s="942"/>
      <c r="AG98" s="942"/>
      <c r="AH98" s="942"/>
      <c r="AI98" s="942"/>
      <c r="AJ98" s="942"/>
      <c r="AK98" s="942"/>
      <c r="AL98" s="942"/>
      <c r="AM98" s="942"/>
      <c r="AN98" s="942"/>
      <c r="AO98" s="942"/>
      <c r="AP98" s="942"/>
      <c r="AQ98" s="942"/>
      <c r="AR98" s="942"/>
      <c r="AS98" s="942"/>
      <c r="AT98" s="942"/>
      <c r="AU98" s="942"/>
      <c r="AV98" s="942"/>
      <c r="AW98" s="942"/>
      <c r="AX98" s="942"/>
      <c r="AY98" s="942"/>
      <c r="AZ98" s="942"/>
      <c r="BA98" s="942"/>
      <c r="BB98" s="943">
        <f t="shared" si="17"/>
        <v>0</v>
      </c>
      <c r="BC98" s="944" t="str">
        <f t="shared" si="18"/>
        <v>0</v>
      </c>
      <c r="BD98" s="944" t="str">
        <f t="shared" si="16"/>
        <v/>
      </c>
      <c r="BE98" s="944" t="str">
        <f t="shared" si="19"/>
        <v>0</v>
      </c>
      <c r="BF98" s="944" t="e">
        <f t="shared" si="20"/>
        <v>#VALUE!</v>
      </c>
      <c r="BG98" s="945" t="e">
        <f t="shared" si="21"/>
        <v>#VALUE!</v>
      </c>
      <c r="BH98" s="946" t="e">
        <f t="shared" si="22"/>
        <v>#VALUE!</v>
      </c>
      <c r="BI98" s="947" t="e">
        <f t="shared" si="23"/>
        <v>#VALUE!</v>
      </c>
      <c r="BJ98" s="943" t="str">
        <f t="shared" si="24"/>
        <v>0</v>
      </c>
      <c r="BK98" s="947" t="b">
        <f t="shared" si="25"/>
        <v>0</v>
      </c>
      <c r="BL98" s="943">
        <f t="shared" si="26"/>
        <v>0</v>
      </c>
      <c r="BM98" s="947" t="b">
        <f t="shared" si="27"/>
        <v>0</v>
      </c>
      <c r="BN98" s="947" t="e">
        <f t="shared" si="28"/>
        <v>#VALUE!</v>
      </c>
      <c r="BO98" s="816" t="b">
        <f t="shared" si="29"/>
        <v>0</v>
      </c>
      <c r="BP98" s="816" t="str">
        <f t="shared" si="30"/>
        <v/>
      </c>
    </row>
    <row r="99" ht="21.95" hidden="1" customHeight="1" spans="1:68">
      <c r="A99" s="978">
        <v>98</v>
      </c>
      <c r="B99" s="949" t="str">
        <f t="shared" si="31"/>
        <v>III-A</v>
      </c>
      <c r="C99" s="979"/>
      <c r="D99" s="980"/>
      <c r="E99" s="981"/>
      <c r="F99" s="980"/>
      <c r="G99" s="980"/>
      <c r="H99" s="981"/>
      <c r="I99" s="981"/>
      <c r="J99" s="982"/>
      <c r="K99" s="981"/>
      <c r="L99" s="980"/>
      <c r="M99" s="980"/>
      <c r="N99" s="983"/>
      <c r="O99" s="980"/>
      <c r="P99" s="980"/>
      <c r="Q99" s="980"/>
      <c r="R99" s="980"/>
      <c r="S99" s="980"/>
      <c r="T99" s="980"/>
      <c r="U99" s="984"/>
      <c r="V99" s="985"/>
      <c r="W99" s="980"/>
      <c r="X99" s="980"/>
      <c r="Y99" s="942"/>
      <c r="Z99" s="942"/>
      <c r="AA99" s="942"/>
      <c r="AB99" s="942"/>
      <c r="AC99" s="942"/>
      <c r="AD99" s="942"/>
      <c r="AE99" s="942"/>
      <c r="AF99" s="942"/>
      <c r="AG99" s="942"/>
      <c r="AH99" s="942"/>
      <c r="AI99" s="942"/>
      <c r="AJ99" s="942"/>
      <c r="AK99" s="942"/>
      <c r="AL99" s="942"/>
      <c r="AM99" s="942"/>
      <c r="AN99" s="942"/>
      <c r="AO99" s="942"/>
      <c r="AP99" s="942"/>
      <c r="AQ99" s="942"/>
      <c r="AR99" s="942"/>
      <c r="AS99" s="942"/>
      <c r="AT99" s="942"/>
      <c r="AU99" s="942"/>
      <c r="AV99" s="942"/>
      <c r="AW99" s="942"/>
      <c r="AX99" s="942"/>
      <c r="AY99" s="942"/>
      <c r="AZ99" s="942"/>
      <c r="BA99" s="942"/>
      <c r="BB99" s="943">
        <f t="shared" si="17"/>
        <v>0</v>
      </c>
      <c r="BC99" s="944" t="str">
        <f t="shared" si="18"/>
        <v>0</v>
      </c>
      <c r="BD99" s="944" t="str">
        <f t="shared" si="16"/>
        <v/>
      </c>
      <c r="BE99" s="944" t="str">
        <f t="shared" si="19"/>
        <v>0</v>
      </c>
      <c r="BF99" s="944" t="e">
        <f t="shared" si="20"/>
        <v>#VALUE!</v>
      </c>
      <c r="BG99" s="945" t="e">
        <f t="shared" si="21"/>
        <v>#VALUE!</v>
      </c>
      <c r="BH99" s="946" t="e">
        <f t="shared" si="22"/>
        <v>#VALUE!</v>
      </c>
      <c r="BI99" s="947" t="e">
        <f t="shared" si="23"/>
        <v>#VALUE!</v>
      </c>
      <c r="BJ99" s="943" t="str">
        <f t="shared" si="24"/>
        <v>0</v>
      </c>
      <c r="BK99" s="947" t="b">
        <f t="shared" si="25"/>
        <v>0</v>
      </c>
      <c r="BL99" s="943">
        <f t="shared" si="26"/>
        <v>0</v>
      </c>
      <c r="BM99" s="947" t="b">
        <f t="shared" si="27"/>
        <v>0</v>
      </c>
      <c r="BN99" s="947" t="e">
        <f t="shared" si="28"/>
        <v>#VALUE!</v>
      </c>
      <c r="BO99" s="816" t="b">
        <f t="shared" si="29"/>
        <v>0</v>
      </c>
      <c r="BP99" s="816" t="str">
        <f t="shared" si="30"/>
        <v/>
      </c>
    </row>
    <row r="100" ht="21.95" hidden="1" customHeight="1" spans="1:68">
      <c r="A100" s="986">
        <v>99</v>
      </c>
      <c r="B100" s="935" t="str">
        <f t="shared" si="31"/>
        <v>III-A</v>
      </c>
      <c r="C100" s="987"/>
      <c r="D100" s="907"/>
      <c r="E100" s="906"/>
      <c r="F100" s="907"/>
      <c r="G100" s="907"/>
      <c r="H100" s="906"/>
      <c r="I100" s="906"/>
      <c r="J100" s="988"/>
      <c r="K100" s="906"/>
      <c r="L100" s="907"/>
      <c r="M100" s="907"/>
      <c r="N100" s="989"/>
      <c r="O100" s="907"/>
      <c r="P100" s="907"/>
      <c r="Q100" s="907"/>
      <c r="R100" s="907"/>
      <c r="S100" s="907"/>
      <c r="T100" s="907"/>
      <c r="U100" s="990"/>
      <c r="V100" s="991"/>
      <c r="W100" s="907"/>
      <c r="X100" s="907"/>
      <c r="Y100" s="942"/>
      <c r="Z100" s="942"/>
      <c r="AA100" s="942"/>
      <c r="AB100" s="942"/>
      <c r="AC100" s="942"/>
      <c r="AD100" s="942"/>
      <c r="AE100" s="942"/>
      <c r="AF100" s="942"/>
      <c r="AG100" s="942"/>
      <c r="AH100" s="942"/>
      <c r="AI100" s="942"/>
      <c r="AJ100" s="942"/>
      <c r="AK100" s="942"/>
      <c r="AL100" s="942"/>
      <c r="AM100" s="942"/>
      <c r="AN100" s="942"/>
      <c r="AO100" s="942"/>
      <c r="AP100" s="942"/>
      <c r="AQ100" s="942"/>
      <c r="AR100" s="942"/>
      <c r="AS100" s="942"/>
      <c r="AT100" s="942"/>
      <c r="AU100" s="942"/>
      <c r="AV100" s="942"/>
      <c r="AW100" s="942"/>
      <c r="AX100" s="942"/>
      <c r="AY100" s="942"/>
      <c r="AZ100" s="942"/>
      <c r="BA100" s="942"/>
      <c r="BB100" s="943">
        <f t="shared" si="17"/>
        <v>0</v>
      </c>
      <c r="BC100" s="944" t="str">
        <f t="shared" si="18"/>
        <v>0</v>
      </c>
      <c r="BD100" s="944" t="str">
        <f t="shared" si="16"/>
        <v/>
      </c>
      <c r="BE100" s="944" t="str">
        <f t="shared" si="19"/>
        <v>0</v>
      </c>
      <c r="BF100" s="944" t="e">
        <f t="shared" si="20"/>
        <v>#VALUE!</v>
      </c>
      <c r="BG100" s="945" t="e">
        <f t="shared" si="21"/>
        <v>#VALUE!</v>
      </c>
      <c r="BH100" s="946" t="e">
        <f t="shared" si="22"/>
        <v>#VALUE!</v>
      </c>
      <c r="BI100" s="947" t="e">
        <f t="shared" si="23"/>
        <v>#VALUE!</v>
      </c>
      <c r="BJ100" s="943" t="str">
        <f t="shared" si="24"/>
        <v>0</v>
      </c>
      <c r="BK100" s="947" t="b">
        <f t="shared" si="25"/>
        <v>0</v>
      </c>
      <c r="BL100" s="943">
        <f t="shared" si="26"/>
        <v>0</v>
      </c>
      <c r="BM100" s="947" t="b">
        <f t="shared" si="27"/>
        <v>0</v>
      </c>
      <c r="BN100" s="947" t="e">
        <f t="shared" si="28"/>
        <v>#VALUE!</v>
      </c>
      <c r="BO100" s="816" t="b">
        <f t="shared" si="29"/>
        <v>0</v>
      </c>
      <c r="BP100" s="816" t="str">
        <f t="shared" si="30"/>
        <v/>
      </c>
    </row>
    <row r="101" ht="21.95" hidden="1" customHeight="1" spans="1:68">
      <c r="A101" s="978">
        <v>100</v>
      </c>
      <c r="B101" s="949" t="str">
        <f t="shared" si="31"/>
        <v>III-A</v>
      </c>
      <c r="C101" s="979"/>
      <c r="D101" s="980"/>
      <c r="E101" s="981"/>
      <c r="F101" s="980"/>
      <c r="G101" s="980"/>
      <c r="H101" s="981"/>
      <c r="I101" s="981"/>
      <c r="J101" s="982"/>
      <c r="K101" s="981"/>
      <c r="L101" s="980"/>
      <c r="M101" s="980"/>
      <c r="N101" s="983"/>
      <c r="O101" s="980"/>
      <c r="P101" s="980"/>
      <c r="Q101" s="980"/>
      <c r="R101" s="980"/>
      <c r="S101" s="980"/>
      <c r="T101" s="980"/>
      <c r="U101" s="984"/>
      <c r="V101" s="985"/>
      <c r="W101" s="980"/>
      <c r="X101" s="980"/>
      <c r="Y101" s="942"/>
      <c r="Z101" s="942"/>
      <c r="AA101" s="942"/>
      <c r="AB101" s="942"/>
      <c r="AC101" s="942"/>
      <c r="AD101" s="942"/>
      <c r="AE101" s="942"/>
      <c r="AF101" s="942"/>
      <c r="AG101" s="942"/>
      <c r="AH101" s="942"/>
      <c r="AI101" s="942"/>
      <c r="AJ101" s="942"/>
      <c r="AK101" s="942"/>
      <c r="AL101" s="942"/>
      <c r="AM101" s="942"/>
      <c r="AN101" s="942"/>
      <c r="AO101" s="942"/>
      <c r="AP101" s="942"/>
      <c r="AQ101" s="942"/>
      <c r="AR101" s="942"/>
      <c r="AS101" s="942"/>
      <c r="AT101" s="942"/>
      <c r="AU101" s="942"/>
      <c r="AV101" s="942"/>
      <c r="AW101" s="942"/>
      <c r="AX101" s="942"/>
      <c r="AY101" s="942"/>
      <c r="AZ101" s="942"/>
      <c r="BA101" s="942"/>
      <c r="BB101" s="943">
        <f t="shared" si="17"/>
        <v>0</v>
      </c>
      <c r="BC101" s="944" t="str">
        <f t="shared" si="18"/>
        <v>0</v>
      </c>
      <c r="BD101" s="944" t="str">
        <f t="shared" si="16"/>
        <v/>
      </c>
      <c r="BE101" s="944" t="str">
        <f t="shared" si="19"/>
        <v>0</v>
      </c>
      <c r="BF101" s="944" t="e">
        <f t="shared" si="20"/>
        <v>#VALUE!</v>
      </c>
      <c r="BG101" s="945" t="e">
        <f t="shared" si="21"/>
        <v>#VALUE!</v>
      </c>
      <c r="BH101" s="946" t="e">
        <f t="shared" si="22"/>
        <v>#VALUE!</v>
      </c>
      <c r="BI101" s="947" t="e">
        <f t="shared" si="23"/>
        <v>#VALUE!</v>
      </c>
      <c r="BJ101" s="943" t="str">
        <f t="shared" si="24"/>
        <v>0</v>
      </c>
      <c r="BK101" s="947" t="b">
        <f t="shared" si="25"/>
        <v>0</v>
      </c>
      <c r="BL101" s="943">
        <f t="shared" si="26"/>
        <v>0</v>
      </c>
      <c r="BM101" s="947" t="b">
        <f t="shared" si="27"/>
        <v>0</v>
      </c>
      <c r="BN101" s="947" t="e">
        <f t="shared" si="28"/>
        <v>#VALUE!</v>
      </c>
      <c r="BO101" s="816" t="b">
        <f t="shared" si="29"/>
        <v>0</v>
      </c>
      <c r="BP101" s="816" t="str">
        <f t="shared" si="30"/>
        <v/>
      </c>
    </row>
  </sheetData>
  <sheetProtection password="BF6F" sheet="1" formatCells="0" formatColumns="0" formatRows="0" objects="1" scenarios="1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opLeftCell="A45" workbookViewId="0">
      <selection activeCell="I2" sqref="I2"/>
    </sheetView>
  </sheetViews>
  <sheetFormatPr defaultColWidth="9.13888888888889" defaultRowHeight="18" outlineLevelCol="7"/>
  <cols>
    <col min="1" max="1" width="9.13888888888889" style="587"/>
    <col min="2" max="2" width="13.1388888888889" style="587" customWidth="1"/>
    <col min="3" max="3" width="17.1388888888889" style="587" customWidth="1"/>
    <col min="4" max="4" width="35.1388888888889" style="867" customWidth="1"/>
    <col min="5" max="5" width="30.287037037037" style="867" customWidth="1"/>
    <col min="6" max="6" width="18.712962962963" style="587" customWidth="1"/>
    <col min="7" max="7" width="9.13888888888889" style="587"/>
    <col min="8" max="8" width="18.712962962963" style="587" customWidth="1"/>
    <col min="9" max="16384" width="9.13888888888889" style="587"/>
  </cols>
  <sheetData>
    <row r="1" spans="1:8">
      <c r="A1" s="908"/>
      <c r="B1" s="909"/>
      <c r="C1" s="908"/>
      <c r="D1" s="908"/>
      <c r="E1" s="908"/>
      <c r="F1" s="910"/>
    </row>
    <row r="2" ht="36" spans="1:8">
      <c r="A2" s="908" t="s">
        <v>109</v>
      </c>
      <c r="B2" s="909" t="s">
        <v>114</v>
      </c>
      <c r="C2" s="908" t="s">
        <v>112</v>
      </c>
      <c r="D2" s="908" t="s">
        <v>113</v>
      </c>
      <c r="E2" s="908" t="s">
        <v>327</v>
      </c>
      <c r="F2" s="910" t="s">
        <v>328</v>
      </c>
      <c r="H2" s="911">
        <v>1</v>
      </c>
    </row>
    <row r="3" spans="1:8">
      <c r="A3" s="908"/>
      <c r="B3" s="909"/>
      <c r="C3" s="908"/>
      <c r="D3" s="908"/>
      <c r="E3" s="908"/>
      <c r="F3" s="912"/>
    </row>
    <row r="4" ht="120" customHeight="1" spans="1:8">
      <c r="A4" s="913">
        <v>1</v>
      </c>
      <c r="B4" s="914">
        <f>STUDENT!F2</f>
        <v>14779</v>
      </c>
      <c r="C4" s="914">
        <f>STUDENT!D2</f>
        <v>20220171896</v>
      </c>
      <c r="D4" s="915" t="str">
        <f>STUDENT!E2</f>
        <v>NAKSH</v>
      </c>
      <c r="E4" s="916" t="str">
        <f>STUDENT!H2</f>
        <v>NARESH</v>
      </c>
      <c r="F4" s="917"/>
    </row>
    <row r="5" ht="120" customHeight="1" spans="1:8">
      <c r="A5" s="913">
        <v>2</v>
      </c>
      <c r="B5" s="914">
        <f>STUDENT!F3</f>
        <v>14733</v>
      </c>
      <c r="C5" s="914">
        <f>STUDENT!D3</f>
        <v>20220354217</v>
      </c>
      <c r="D5" s="915" t="str">
        <f>STUDENT!E3</f>
        <v>NAVEEN</v>
      </c>
      <c r="E5" s="916" t="str">
        <f>STUDENT!H3</f>
        <v>SANJAY</v>
      </c>
      <c r="F5" s="917"/>
    </row>
    <row r="6" ht="120" customHeight="1" spans="1:8">
      <c r="A6" s="913">
        <v>3</v>
      </c>
      <c r="B6" s="914">
        <f>STUDENT!F4</f>
        <v>14757</v>
      </c>
      <c r="C6" s="914">
        <f>STUDENT!D4</f>
        <v>20220402586</v>
      </c>
      <c r="D6" s="915" t="str">
        <f>STUDENT!E4</f>
        <v>AADITYA KUMAR</v>
      </c>
      <c r="E6" s="916" t="str">
        <f>STUDENT!H4</f>
        <v>DHARMENDRA KUMAR</v>
      </c>
      <c r="F6" s="917"/>
    </row>
    <row r="7" ht="120" customHeight="1" spans="1:8">
      <c r="A7" s="913">
        <v>4</v>
      </c>
      <c r="B7" s="914">
        <f>STUDENT!F5</f>
        <v>14778</v>
      </c>
      <c r="C7" s="914">
        <f>STUDENT!D5</f>
        <v>20220448164</v>
      </c>
      <c r="D7" s="915" t="str">
        <f>STUDENT!E5</f>
        <v>PRINCE KUMAR RAY</v>
      </c>
      <c r="E7" s="916" t="str">
        <f>STUDENT!H5</f>
        <v>RAMSHARAN RAY</v>
      </c>
      <c r="F7" s="917"/>
    </row>
    <row r="8" ht="120" customHeight="1" spans="1:8">
      <c r="A8" s="913">
        <v>5</v>
      </c>
      <c r="B8" s="914">
        <f>STUDENT!F6</f>
        <v>14785</v>
      </c>
      <c r="C8" s="914">
        <f>STUDENT!D6</f>
        <v>20220482313</v>
      </c>
      <c r="D8" s="915" t="str">
        <f>STUDENT!E6</f>
        <v>KIRSHNA</v>
      </c>
      <c r="E8" s="916" t="str">
        <f>STUDENT!H6</f>
        <v>VISHNU KASHYAP</v>
      </c>
      <c r="F8" s="917"/>
    </row>
    <row r="9" ht="120" customHeight="1" spans="1:8">
      <c r="A9" s="913">
        <v>6</v>
      </c>
      <c r="B9" s="914">
        <f>STUDENT!F7</f>
        <v>14780</v>
      </c>
      <c r="C9" s="914">
        <f>STUDENT!D7</f>
        <v>20230048303</v>
      </c>
      <c r="D9" s="915" t="str">
        <f>STUDENT!E7</f>
        <v>MD SOPHIYAN ALAM</v>
      </c>
      <c r="E9" s="916" t="str">
        <f>STUDENT!H7</f>
        <v>MD TABREJ ALAM</v>
      </c>
      <c r="F9" s="917"/>
    </row>
    <row r="10" ht="120" customHeight="1" spans="1:8">
      <c r="A10" s="913">
        <v>7</v>
      </c>
      <c r="B10" s="914">
        <f>STUDENT!F8</f>
        <v>14773</v>
      </c>
      <c r="C10" s="914">
        <f>STUDENT!D8</f>
        <v>20230083520</v>
      </c>
      <c r="D10" s="915" t="str">
        <f>STUDENT!E8</f>
        <v>MD SAUBAN</v>
      </c>
      <c r="E10" s="916" t="str">
        <f>STUDENT!H8</f>
        <v>MD IRSHAD</v>
      </c>
      <c r="F10" s="917"/>
    </row>
    <row r="11" ht="120" customHeight="1" spans="1:8">
      <c r="A11" s="913">
        <v>8</v>
      </c>
      <c r="B11" s="914">
        <f>STUDENT!F9</f>
        <v>14769</v>
      </c>
      <c r="C11" s="914">
        <f>STUDENT!D9</f>
        <v>20230095636</v>
      </c>
      <c r="D11" s="915" t="str">
        <f>STUDENT!E9</f>
        <v>DEEPANSHU</v>
      </c>
      <c r="E11" s="916" t="str">
        <f>STUDENT!H9</f>
        <v>AKHILESH KUMAR</v>
      </c>
      <c r="F11" s="917"/>
    </row>
    <row r="12" ht="120" customHeight="1" spans="1:8">
      <c r="A12" s="913">
        <v>9</v>
      </c>
      <c r="B12" s="914">
        <f>STUDENT!F10</f>
        <v>14754</v>
      </c>
      <c r="C12" s="914">
        <f>STUDENT!D10</f>
        <v>20230130143</v>
      </c>
      <c r="D12" s="915" t="str">
        <f>STUDENT!E10</f>
        <v>ANUJ</v>
      </c>
      <c r="E12" s="916" t="str">
        <f>STUDENT!H10</f>
        <v>RANJEET DAS</v>
      </c>
      <c r="F12" s="917"/>
    </row>
    <row r="13" ht="120" customHeight="1" spans="1:8">
      <c r="A13" s="913">
        <v>10</v>
      </c>
      <c r="B13" s="914">
        <f>STUDENT!F11</f>
        <v>14774</v>
      </c>
      <c r="C13" s="914">
        <f>STUDENT!D11</f>
        <v>20230268614</v>
      </c>
      <c r="D13" s="915" t="str">
        <f>STUDENT!E11</f>
        <v>PIYUSH KUMAR</v>
      </c>
      <c r="E13" s="916" t="str">
        <f>STUDENT!H11</f>
        <v>MUNNA LAL</v>
      </c>
      <c r="F13" s="917"/>
    </row>
    <row r="14" ht="120" customHeight="1" spans="1:8">
      <c r="A14" s="913">
        <v>11</v>
      </c>
      <c r="B14" s="914">
        <f>STUDENT!F12</f>
        <v>14775</v>
      </c>
      <c r="C14" s="914">
        <f>STUDENT!D12</f>
        <v>20230349168</v>
      </c>
      <c r="D14" s="915" t="str">
        <f>STUDENT!E12</f>
        <v>MD MAHTAB</v>
      </c>
      <c r="E14" s="916" t="str">
        <f>STUDENT!H12</f>
        <v>MD ASRAF</v>
      </c>
      <c r="F14" s="917"/>
    </row>
    <row r="15" ht="120" customHeight="1" spans="1:8">
      <c r="A15" s="913">
        <v>12</v>
      </c>
      <c r="B15" s="914">
        <f>STUDENT!F13</f>
        <v>14734</v>
      </c>
      <c r="C15" s="914">
        <f>STUDENT!D13</f>
        <v>20240008153</v>
      </c>
      <c r="D15" s="915" t="str">
        <f>STUDENT!E13</f>
        <v>PRADEEP</v>
      </c>
      <c r="E15" s="916" t="str">
        <f>STUDENT!H13</f>
        <v>RAM BHAWAN</v>
      </c>
      <c r="F15" s="917"/>
    </row>
    <row r="16" ht="120" customHeight="1" spans="1:8">
      <c r="A16" s="913">
        <v>13</v>
      </c>
      <c r="B16" s="914">
        <f>STUDENT!F14</f>
        <v>14735</v>
      </c>
      <c r="C16" s="914">
        <f>STUDENT!D14</f>
        <v>20240008167</v>
      </c>
      <c r="D16" s="915" t="str">
        <f>STUDENT!E14</f>
        <v>MOHD JISAN</v>
      </c>
      <c r="E16" s="916" t="str">
        <f>STUDENT!H14</f>
        <v>MD ZAMEEL</v>
      </c>
      <c r="F16" s="917"/>
    </row>
    <row r="17" ht="120" customHeight="1" spans="1:6">
      <c r="A17" s="913">
        <v>14</v>
      </c>
      <c r="B17" s="914">
        <f>STUDENT!F15</f>
        <v>14745</v>
      </c>
      <c r="C17" s="914">
        <f>STUDENT!D15</f>
        <v>20240015035</v>
      </c>
      <c r="D17" s="915" t="str">
        <f>STUDENT!E15</f>
        <v>KARN KUMAR</v>
      </c>
      <c r="E17" s="916" t="str">
        <f>STUDENT!H15</f>
        <v>MUKESH RAY</v>
      </c>
      <c r="F17" s="917"/>
    </row>
    <row r="18" ht="120" customHeight="1" spans="1:6">
      <c r="A18" s="913">
        <v>15</v>
      </c>
      <c r="B18" s="914">
        <f>STUDENT!F16</f>
        <v>14746</v>
      </c>
      <c r="C18" s="914">
        <f>STUDENT!D16</f>
        <v>20240015112</v>
      </c>
      <c r="D18" s="915" t="str">
        <f>STUDENT!E16</f>
        <v>ROKI</v>
      </c>
      <c r="E18" s="916" t="str">
        <f>STUDENT!H16</f>
        <v>KUAR SINGH</v>
      </c>
      <c r="F18" s="917"/>
    </row>
    <row r="19" ht="120" customHeight="1" spans="1:6">
      <c r="A19" s="913">
        <v>16</v>
      </c>
      <c r="B19" s="914">
        <f>STUDENT!F17</f>
        <v>14748</v>
      </c>
      <c r="C19" s="914">
        <f>STUDENT!D17</f>
        <v>20240015199</v>
      </c>
      <c r="D19" s="915" t="str">
        <f>STUDENT!E17</f>
        <v>MD BILAL</v>
      </c>
      <c r="E19" s="916" t="str">
        <f>STUDENT!H17</f>
        <v>MD AFROJ</v>
      </c>
      <c r="F19" s="917"/>
    </row>
    <row r="20" ht="120" customHeight="1" spans="1:6">
      <c r="A20" s="913">
        <v>17</v>
      </c>
      <c r="B20" s="914">
        <f>STUDENT!F18</f>
        <v>14755</v>
      </c>
      <c r="C20" s="914">
        <f>STUDENT!D18</f>
        <v>20240023044</v>
      </c>
      <c r="D20" s="915" t="str">
        <f>STUDENT!E18</f>
        <v>GAURAV KUMAR</v>
      </c>
      <c r="E20" s="916" t="str">
        <f>STUDENT!H18</f>
        <v>HARINDER YADAV</v>
      </c>
      <c r="F20" s="917"/>
    </row>
    <row r="21" ht="120" customHeight="1" spans="1:6">
      <c r="A21" s="913">
        <v>18</v>
      </c>
      <c r="B21" s="914">
        <f>STUDENT!F19</f>
        <v>14756</v>
      </c>
      <c r="C21" s="914">
        <f>STUDENT!D19</f>
        <v>20240023055</v>
      </c>
      <c r="D21" s="915" t="str">
        <f>STUDENT!E19</f>
        <v>SAURAV KUMAR</v>
      </c>
      <c r="E21" s="916" t="str">
        <f>STUDENT!H19</f>
        <v>HARINDER YADAV</v>
      </c>
      <c r="F21" s="917"/>
    </row>
    <row r="22" ht="120" customHeight="1" spans="1:6">
      <c r="A22" s="913">
        <v>19</v>
      </c>
      <c r="B22" s="914">
        <f>STUDENT!F20</f>
        <v>14758</v>
      </c>
      <c r="C22" s="914">
        <f>STUDENT!D20</f>
        <v>20240023083</v>
      </c>
      <c r="D22" s="915" t="str">
        <f>STUDENT!E20</f>
        <v>HANAM AYUBI</v>
      </c>
      <c r="E22" s="916" t="str">
        <f>STUDENT!H20</f>
        <v>MD PARWEZ</v>
      </c>
      <c r="F22" s="917"/>
    </row>
    <row r="23" ht="120" customHeight="1" spans="1:6">
      <c r="A23" s="913">
        <v>20</v>
      </c>
      <c r="B23" s="914">
        <f>STUDENT!F21</f>
        <v>14768</v>
      </c>
      <c r="C23" s="914">
        <f>STUDENT!D21</f>
        <v>20240028340</v>
      </c>
      <c r="D23" s="915" t="str">
        <f>STUDENT!E21</f>
        <v>ANKUR</v>
      </c>
      <c r="E23" s="916" t="str">
        <f>STUDENT!H21</f>
        <v>ASHOK KUMAR GUPTA</v>
      </c>
      <c r="F23" s="917"/>
    </row>
    <row r="24" ht="120" customHeight="1" spans="1:6">
      <c r="A24" s="913">
        <v>21</v>
      </c>
      <c r="B24" s="914">
        <f>STUDENT!F22</f>
        <v>14792</v>
      </c>
      <c r="C24" s="914">
        <f>STUDENT!D22</f>
        <v>20240074441</v>
      </c>
      <c r="D24" s="915" t="str">
        <f>STUDENT!E22</f>
        <v>SOBHIT PASWAN</v>
      </c>
      <c r="E24" s="916" t="str">
        <f>STUDENT!H22</f>
        <v>SHANKAR PASWAN</v>
      </c>
      <c r="F24" s="917"/>
    </row>
    <row r="25" ht="120" customHeight="1" spans="1:6">
      <c r="A25" s="913">
        <v>22</v>
      </c>
      <c r="B25" s="914">
        <f>STUDENT!F23</f>
        <v>14804</v>
      </c>
      <c r="C25" s="914">
        <f>STUDENT!D23</f>
        <v>20240100859</v>
      </c>
      <c r="D25" s="915" t="str">
        <f>STUDENT!E23</f>
        <v>ABHISHEK MUKHIYA</v>
      </c>
      <c r="E25" s="916" t="str">
        <f>STUDENT!H23</f>
        <v>ARJUN MUKHIYA</v>
      </c>
      <c r="F25" s="917"/>
    </row>
    <row r="26" ht="120" customHeight="1" spans="1:6">
      <c r="A26" s="913">
        <v>23</v>
      </c>
      <c r="B26" s="914">
        <f>STUDENT!F24</f>
        <v>14805</v>
      </c>
      <c r="C26" s="914">
        <f>STUDENT!D24</f>
        <v>20240100885</v>
      </c>
      <c r="D26" s="915" t="str">
        <f>STUDENT!E24</f>
        <v>NITIN</v>
      </c>
      <c r="E26" s="916" t="str">
        <f>STUDENT!H24</f>
        <v>AJAY</v>
      </c>
      <c r="F26" s="917"/>
    </row>
    <row r="27" ht="120" customHeight="1" spans="1:6">
      <c r="A27" s="913">
        <v>24</v>
      </c>
      <c r="B27" s="914">
        <f>STUDENT!F25</f>
        <v>14806</v>
      </c>
      <c r="C27" s="914">
        <f>STUDENT!D25</f>
        <v>20240100904</v>
      </c>
      <c r="D27" s="915" t="str">
        <f>STUDENT!E25</f>
        <v>SOORYA VANSHAL</v>
      </c>
      <c r="E27" s="916" t="str">
        <f>STUDENT!H25</f>
        <v>KAMLESH KUMAR</v>
      </c>
      <c r="F27" s="917"/>
    </row>
    <row r="28" ht="120" customHeight="1" spans="1:6">
      <c r="A28" s="913">
        <v>25</v>
      </c>
      <c r="B28" s="914">
        <f>STUDENT!F26</f>
        <v>14943</v>
      </c>
      <c r="C28" s="914">
        <f>STUDENT!D26</f>
        <v>20250012364</v>
      </c>
      <c r="D28" s="915" t="str">
        <f>STUDENT!E26</f>
        <v>ANSHU KUMAR PANDIT</v>
      </c>
      <c r="E28" s="916" t="str">
        <f>STUDENT!H26</f>
        <v>RAMESH KUMAR PANDIT</v>
      </c>
      <c r="F28" s="917"/>
    </row>
    <row r="29" ht="120" customHeight="1" spans="1:6">
      <c r="A29" s="913">
        <v>26</v>
      </c>
      <c r="B29" s="914">
        <f>STUDENT!F27</f>
        <v>14960</v>
      </c>
      <c r="C29" s="914">
        <f>STUDENT!D27</f>
        <v>20250045334</v>
      </c>
      <c r="D29" s="915" t="str">
        <f>STUDENT!E27</f>
        <v>MD ADAN SHEKH</v>
      </c>
      <c r="E29" s="916" t="str">
        <f>STUDENT!H27</f>
        <v>MD ISHTIKHAR</v>
      </c>
      <c r="F29" s="917"/>
    </row>
    <row r="30" ht="120" customHeight="1" spans="1:6">
      <c r="A30" s="913">
        <v>27</v>
      </c>
      <c r="B30" s="914">
        <f>STUDENT!F28</f>
        <v>14976</v>
      </c>
      <c r="C30" s="914">
        <f>STUDENT!D28</f>
        <v>20250064030</v>
      </c>
      <c r="D30" s="915" t="str">
        <f>STUDENT!E28</f>
        <v>KARTIK</v>
      </c>
      <c r="E30" s="916" t="str">
        <f>STUDENT!H28</f>
        <v>SUNIL</v>
      </c>
      <c r="F30" s="917"/>
    </row>
    <row r="31" ht="120" customHeight="1" spans="1:6">
      <c r="A31" s="913">
        <v>28</v>
      </c>
      <c r="B31" s="914">
        <f>STUDENT!F29</f>
        <v>14999</v>
      </c>
      <c r="C31" s="914">
        <f>STUDENT!D29</f>
        <v>20250104050</v>
      </c>
      <c r="D31" s="915" t="str">
        <f>STUDENT!E29</f>
        <v>ABDUL REHMAN</v>
      </c>
      <c r="E31" s="916" t="str">
        <f>STUDENT!H29</f>
        <v>MD LAL BABU</v>
      </c>
      <c r="F31" s="917"/>
    </row>
    <row r="32" ht="120" customHeight="1" spans="1:6">
      <c r="A32" s="913">
        <v>29</v>
      </c>
      <c r="B32" s="914">
        <f>STUDENT!F30</f>
        <v>15000</v>
      </c>
      <c r="C32" s="914">
        <f>STUDENT!D30</f>
        <v>20250104062</v>
      </c>
      <c r="D32" s="915" t="str">
        <f>STUDENT!E30</f>
        <v>KARTIK</v>
      </c>
      <c r="E32" s="916" t="str">
        <f>STUDENT!H30</f>
        <v>AMAN YADAV</v>
      </c>
      <c r="F32" s="917"/>
    </row>
    <row r="33" ht="120" customHeight="1" spans="1:6">
      <c r="A33" s="913">
        <v>30</v>
      </c>
      <c r="B33" s="914">
        <f>STUDENT!F31</f>
        <v>15022</v>
      </c>
      <c r="C33" s="914">
        <f>STUDENT!D31</f>
        <v>20250141853</v>
      </c>
      <c r="D33" s="915" t="str">
        <f>STUDENT!E31</f>
        <v>AYAN</v>
      </c>
      <c r="E33" s="916" t="str">
        <f>STUDENT!H31</f>
        <v>BABU HASAN</v>
      </c>
      <c r="F33" s="917"/>
    </row>
    <row r="34" ht="120" customHeight="1" spans="1:6">
      <c r="A34" s="913">
        <v>31</v>
      </c>
      <c r="B34" s="914">
        <f>STUDENT!F32</f>
        <v>15034</v>
      </c>
      <c r="C34" s="914">
        <f>STUDENT!D32</f>
        <v>20250188568</v>
      </c>
      <c r="D34" s="915" t="str">
        <f>STUDENT!E32</f>
        <v>RAM CHANDER KUMAR</v>
      </c>
      <c r="E34" s="916" t="str">
        <f>STUDENT!H32</f>
        <v>AKASH SHARMA</v>
      </c>
      <c r="F34" s="917"/>
    </row>
    <row r="35" ht="120" customHeight="1" spans="1:6">
      <c r="A35" s="913">
        <v>32</v>
      </c>
      <c r="B35" s="914">
        <f>STUDENT!F33</f>
        <v>15035</v>
      </c>
      <c r="C35" s="914">
        <f>STUDENT!D33</f>
        <v>20250188626</v>
      </c>
      <c r="D35" s="915" t="str">
        <f>STUDENT!E33</f>
        <v>HARSHIT</v>
      </c>
      <c r="E35" s="916" t="str">
        <f>STUDENT!H33</f>
        <v>ANKIT SINGH</v>
      </c>
      <c r="F35" s="917"/>
    </row>
    <row r="36" ht="120" customHeight="1" spans="1:6">
      <c r="A36" s="913">
        <v>33</v>
      </c>
      <c r="B36" s="914">
        <f>STUDENT!F34</f>
        <v>15077</v>
      </c>
      <c r="C36" s="914">
        <f>STUDENT!D34</f>
        <v>20250246710</v>
      </c>
      <c r="D36" s="915" t="str">
        <f>STUDENT!E34</f>
        <v>HEMANT KUMAR</v>
      </c>
      <c r="E36" s="916" t="str">
        <f>STUDENT!H34</f>
        <v>PRADEEP KUMAR</v>
      </c>
      <c r="F36" s="917"/>
    </row>
    <row r="37" ht="120" customHeight="1" spans="1:6">
      <c r="A37" s="913">
        <v>34</v>
      </c>
      <c r="B37" s="914">
        <f>STUDENT!F35</f>
        <v>15088</v>
      </c>
      <c r="C37" s="914">
        <f>STUDENT!D35</f>
        <v>20250257787</v>
      </c>
      <c r="D37" s="915" t="str">
        <f>STUDENT!E35</f>
        <v>VEERPARTAP SINGH</v>
      </c>
      <c r="E37" s="916" t="str">
        <f>STUDENT!H35</f>
        <v>VIJAY SINGH</v>
      </c>
      <c r="F37" s="917"/>
    </row>
    <row r="38" ht="120" customHeight="1" spans="1:6">
      <c r="A38" s="913">
        <v>35</v>
      </c>
      <c r="B38" s="914">
        <f>STUDENT!F36</f>
        <v>15104</v>
      </c>
      <c r="C38" s="914">
        <f>STUDENT!D36</f>
        <v>20250272033</v>
      </c>
      <c r="D38" s="915" t="str">
        <f>STUDENT!E36</f>
        <v>NIKHIL KUMAR</v>
      </c>
      <c r="E38" s="916" t="str">
        <f>STUDENT!H36</f>
        <v>SUNIL KUMAR</v>
      </c>
      <c r="F38" s="917"/>
    </row>
    <row r="39" ht="120" customHeight="1" spans="1:6">
      <c r="A39" s="913">
        <v>36</v>
      </c>
      <c r="B39" s="914">
        <f>STUDENT!F37</f>
        <v>15143</v>
      </c>
      <c r="C39" s="914">
        <f>STUDENT!D37</f>
        <v>20250310265</v>
      </c>
      <c r="D39" s="915" t="str">
        <f>STUDENT!E37</f>
        <v>JITENDRA</v>
      </c>
      <c r="E39" s="916" t="str">
        <f>STUDENT!H37</f>
        <v>RAM SUMAR</v>
      </c>
      <c r="F39" s="917"/>
    </row>
    <row r="40" ht="120" customHeight="1" spans="1:6">
      <c r="A40" s="913">
        <v>37</v>
      </c>
      <c r="B40" s="914">
        <f>STUDENT!F38</f>
        <v>15144</v>
      </c>
      <c r="C40" s="914">
        <f>STUDENT!D38</f>
        <v>20250310269</v>
      </c>
      <c r="D40" s="915" t="str">
        <f>STUDENT!E38</f>
        <v>MOHD AYAN</v>
      </c>
      <c r="E40" s="916" t="str">
        <f>STUDENT!H38</f>
        <v>BUDHAN MIYAN</v>
      </c>
      <c r="F40" s="917"/>
    </row>
    <row r="41" ht="120" customHeight="1" spans="1:6">
      <c r="A41" s="913">
        <v>38</v>
      </c>
      <c r="B41" s="914">
        <f>STUDENT!F39</f>
        <v>15145</v>
      </c>
      <c r="C41" s="914">
        <f>STUDENT!D39</f>
        <v>20250310277</v>
      </c>
      <c r="D41" s="915" t="str">
        <f>STUDENT!E39</f>
        <v>RAJA KUMAR</v>
      </c>
      <c r="E41" s="916" t="str">
        <f>STUDENT!H39</f>
        <v>AMAR PODDAR</v>
      </c>
      <c r="F41" s="917"/>
    </row>
    <row r="42" ht="120" customHeight="1" spans="1:6">
      <c r="A42" s="913">
        <v>39</v>
      </c>
      <c r="B42" s="914">
        <f>STUDENT!F40</f>
        <v>15149</v>
      </c>
      <c r="C42" s="914">
        <f>STUDENT!D40</f>
        <v>20250325088</v>
      </c>
      <c r="D42" s="915" t="str">
        <f>STUDENT!E40</f>
        <v>LOVECESH KUMAR</v>
      </c>
      <c r="E42" s="916" t="str">
        <f>STUDENT!H40</f>
        <v>SANDEEP KUMAR</v>
      </c>
      <c r="F42" s="917"/>
    </row>
    <row r="43" ht="120" customHeight="1" spans="1:6">
      <c r="A43" s="913">
        <v>40</v>
      </c>
      <c r="B43" s="914">
        <f>STUDENT!F41</f>
        <v>0</v>
      </c>
      <c r="C43" s="914">
        <f>STUDENT!D41</f>
        <v>0</v>
      </c>
      <c r="D43" s="915">
        <f>STUDENT!E41</f>
        <v>0</v>
      </c>
      <c r="E43" s="916">
        <f>STUDENT!H41</f>
        <v>0</v>
      </c>
      <c r="F43" s="917"/>
    </row>
    <row r="44" ht="120" customHeight="1" spans="1:6">
      <c r="A44" s="913">
        <v>41</v>
      </c>
      <c r="B44" s="914">
        <f>STUDENT!F42</f>
        <v>0</v>
      </c>
      <c r="C44" s="914">
        <f>STUDENT!D42</f>
        <v>0</v>
      </c>
      <c r="D44" s="915">
        <f>STUDENT!E42</f>
        <v>0</v>
      </c>
      <c r="E44" s="916">
        <f>STUDENT!H42</f>
        <v>0</v>
      </c>
      <c r="F44" s="917"/>
    </row>
    <row r="45" ht="120" customHeight="1" spans="1:6">
      <c r="A45" s="913">
        <v>42</v>
      </c>
      <c r="B45" s="914">
        <f>STUDENT!F43</f>
        <v>0</v>
      </c>
      <c r="C45" s="914">
        <f>STUDENT!D43</f>
        <v>0</v>
      </c>
      <c r="D45" s="915">
        <f>STUDENT!E43</f>
        <v>0</v>
      </c>
      <c r="E45" s="916">
        <f>STUDENT!H43</f>
        <v>0</v>
      </c>
      <c r="F45" s="917"/>
    </row>
    <row r="46" ht="120" customHeight="1" spans="1:6">
      <c r="A46" s="913">
        <v>43</v>
      </c>
      <c r="B46" s="914">
        <f>STUDENT!F44</f>
        <v>0</v>
      </c>
      <c r="C46" s="914">
        <f>STUDENT!D44</f>
        <v>0</v>
      </c>
      <c r="D46" s="915">
        <f>STUDENT!E44</f>
        <v>0</v>
      </c>
      <c r="E46" s="916">
        <f>STUDENT!H44</f>
        <v>0</v>
      </c>
      <c r="F46" s="917"/>
    </row>
    <row r="47" ht="120" customHeight="1" spans="1:6">
      <c r="A47" s="913">
        <v>44</v>
      </c>
      <c r="B47" s="914">
        <f>STUDENT!F45</f>
        <v>0</v>
      </c>
      <c r="C47" s="914">
        <f>STUDENT!D45</f>
        <v>0</v>
      </c>
      <c r="D47" s="915">
        <f>STUDENT!E45</f>
        <v>0</v>
      </c>
      <c r="E47" s="916">
        <f>STUDENT!H45</f>
        <v>0</v>
      </c>
      <c r="F47" s="917"/>
    </row>
    <row r="48" ht="120" customHeight="1" spans="1:6">
      <c r="A48" s="913">
        <v>45</v>
      </c>
      <c r="B48" s="914">
        <f>STUDENT!F46</f>
        <v>0</v>
      </c>
      <c r="C48" s="914">
        <f>STUDENT!D46</f>
        <v>0</v>
      </c>
      <c r="D48" s="915">
        <f>STUDENT!E46</f>
        <v>0</v>
      </c>
      <c r="E48" s="916">
        <f>STUDENT!H46</f>
        <v>0</v>
      </c>
      <c r="F48" s="917"/>
    </row>
    <row r="49" ht="120" customHeight="1" spans="1:6">
      <c r="A49" s="913">
        <v>46</v>
      </c>
      <c r="B49" s="914">
        <f>STUDENT!F47</f>
        <v>0</v>
      </c>
      <c r="C49" s="914">
        <f>STUDENT!D47</f>
        <v>0</v>
      </c>
      <c r="D49" s="915">
        <f>STUDENT!E47</f>
        <v>0</v>
      </c>
      <c r="E49" s="916">
        <f>STUDENT!H47</f>
        <v>0</v>
      </c>
      <c r="F49" s="917"/>
    </row>
    <row r="50" ht="120" customHeight="1" spans="1:6">
      <c r="A50" s="913">
        <v>47</v>
      </c>
      <c r="B50" s="914">
        <f>STUDENT!F48</f>
        <v>0</v>
      </c>
      <c r="C50" s="914">
        <f>STUDENT!D48</f>
        <v>0</v>
      </c>
      <c r="D50" s="915">
        <f>STUDENT!E48</f>
        <v>0</v>
      </c>
      <c r="E50" s="916">
        <f>STUDENT!H48</f>
        <v>0</v>
      </c>
      <c r="F50" s="917"/>
    </row>
    <row r="51" ht="120" customHeight="1" spans="1:6">
      <c r="A51" s="913">
        <v>48</v>
      </c>
      <c r="B51" s="914">
        <f>STUDENT!F49</f>
        <v>0</v>
      </c>
      <c r="C51" s="914">
        <f>STUDENT!D49</f>
        <v>0</v>
      </c>
      <c r="D51" s="915">
        <f>STUDENT!E49</f>
        <v>0</v>
      </c>
      <c r="E51" s="916">
        <f>STUDENT!H49</f>
        <v>0</v>
      </c>
      <c r="F51" s="917"/>
    </row>
    <row r="52" ht="120" customHeight="1" spans="1:6">
      <c r="A52" s="913">
        <v>49</v>
      </c>
      <c r="B52" s="914">
        <f>STUDENT!F50</f>
        <v>0</v>
      </c>
      <c r="C52" s="914">
        <f>STUDENT!D50</f>
        <v>0</v>
      </c>
      <c r="D52" s="915">
        <f>STUDENT!E50</f>
        <v>0</v>
      </c>
      <c r="E52" s="916">
        <f>STUDENT!H50</f>
        <v>0</v>
      </c>
      <c r="F52" s="917"/>
    </row>
    <row r="53" ht="120" customHeight="1" spans="1:6">
      <c r="A53" s="913">
        <v>50</v>
      </c>
      <c r="B53" s="914">
        <f>STUDENT!F51</f>
        <v>0</v>
      </c>
      <c r="C53" s="914">
        <f>STUDENT!D51</f>
        <v>0</v>
      </c>
      <c r="D53" s="915">
        <f>STUDENT!E51</f>
        <v>0</v>
      </c>
      <c r="E53" s="916">
        <f>STUDENT!H51</f>
        <v>0</v>
      </c>
      <c r="F53" s="917"/>
    </row>
    <row r="54" ht="120" customHeight="1" spans="1:6">
      <c r="A54" s="913">
        <v>51</v>
      </c>
      <c r="B54" s="914">
        <f>STUDENT!F52</f>
        <v>0</v>
      </c>
      <c r="C54" s="914">
        <f>STUDENT!D52</f>
        <v>0</v>
      </c>
      <c r="D54" s="915">
        <f>STUDENT!E52</f>
        <v>0</v>
      </c>
      <c r="E54" s="916">
        <f>STUDENT!H52</f>
        <v>0</v>
      </c>
      <c r="F54" s="917"/>
    </row>
    <row r="55" ht="120" customHeight="1" spans="1:6">
      <c r="A55" s="913">
        <v>52</v>
      </c>
      <c r="B55" s="914">
        <f>STUDENT!F53</f>
        <v>0</v>
      </c>
      <c r="C55" s="914">
        <f>STUDENT!D53</f>
        <v>0</v>
      </c>
      <c r="D55" s="915">
        <f>STUDENT!E53</f>
        <v>0</v>
      </c>
      <c r="E55" s="916">
        <f>STUDENT!H53</f>
        <v>0</v>
      </c>
      <c r="F55" s="917"/>
    </row>
    <row r="56" ht="120" customHeight="1" spans="1:6">
      <c r="A56" s="913">
        <v>53</v>
      </c>
      <c r="B56" s="914">
        <f>STUDENT!F54</f>
        <v>0</v>
      </c>
      <c r="C56" s="914">
        <f>STUDENT!D54</f>
        <v>0</v>
      </c>
      <c r="D56" s="915">
        <f>STUDENT!E54</f>
        <v>0</v>
      </c>
      <c r="E56" s="916">
        <f>STUDENT!H54</f>
        <v>0</v>
      </c>
      <c r="F56" s="917"/>
    </row>
    <row r="57" ht="120" customHeight="1" spans="1:6">
      <c r="A57" s="913">
        <v>54</v>
      </c>
      <c r="B57" s="914">
        <f>STUDENT!F55</f>
        <v>0</v>
      </c>
      <c r="C57" s="914">
        <f>STUDENT!D55</f>
        <v>0</v>
      </c>
      <c r="D57" s="915">
        <f>STUDENT!E55</f>
        <v>0</v>
      </c>
      <c r="E57" s="916">
        <f>STUDENT!H55</f>
        <v>0</v>
      </c>
      <c r="F57" s="917"/>
    </row>
    <row r="58" ht="120" customHeight="1" spans="1:6">
      <c r="A58" s="913">
        <v>55</v>
      </c>
      <c r="B58" s="914">
        <f>STUDENT!F56</f>
        <v>0</v>
      </c>
      <c r="C58" s="914">
        <f>STUDENT!D56</f>
        <v>0</v>
      </c>
      <c r="D58" s="915">
        <f>STUDENT!E56</f>
        <v>0</v>
      </c>
      <c r="E58" s="916">
        <f>STUDENT!H56</f>
        <v>0</v>
      </c>
      <c r="F58" s="917"/>
    </row>
    <row r="59" ht="120" customHeight="1" spans="1:6">
      <c r="A59" s="913">
        <v>56</v>
      </c>
      <c r="B59" s="914">
        <f>STUDENT!F57</f>
        <v>0</v>
      </c>
      <c r="C59" s="914">
        <f>STUDENT!D57</f>
        <v>0</v>
      </c>
      <c r="D59" s="915">
        <f>STUDENT!E57</f>
        <v>0</v>
      </c>
      <c r="E59" s="916">
        <f>STUDENT!H57</f>
        <v>0</v>
      </c>
      <c r="F59" s="917"/>
    </row>
    <row r="60" ht="120" customHeight="1" spans="1:6">
      <c r="A60" s="913">
        <v>57</v>
      </c>
      <c r="B60" s="914">
        <f>STUDENT!F58</f>
        <v>0</v>
      </c>
      <c r="C60" s="914">
        <f>STUDENT!D58</f>
        <v>0</v>
      </c>
      <c r="D60" s="915">
        <f>STUDENT!E58</f>
        <v>0</v>
      </c>
      <c r="E60" s="916">
        <f>STUDENT!H58</f>
        <v>0</v>
      </c>
      <c r="F60" s="917"/>
    </row>
    <row r="61" ht="120" customHeight="1" spans="1:6">
      <c r="A61" s="913">
        <v>58</v>
      </c>
      <c r="B61" s="914">
        <f>STUDENT!F59</f>
        <v>0</v>
      </c>
      <c r="C61" s="914">
        <f>STUDENT!D59</f>
        <v>0</v>
      </c>
      <c r="D61" s="915">
        <f>STUDENT!E59</f>
        <v>0</v>
      </c>
      <c r="E61" s="916">
        <f>STUDENT!H59</f>
        <v>0</v>
      </c>
      <c r="F61" s="917"/>
    </row>
    <row r="62" ht="120" customHeight="1" spans="1:6">
      <c r="A62" s="913">
        <v>59</v>
      </c>
      <c r="B62" s="914">
        <f>STUDENT!F60</f>
        <v>0</v>
      </c>
      <c r="C62" s="914">
        <f>STUDENT!D60</f>
        <v>0</v>
      </c>
      <c r="D62" s="915">
        <f>STUDENT!E60</f>
        <v>0</v>
      </c>
      <c r="E62" s="916">
        <f>STUDENT!H60</f>
        <v>0</v>
      </c>
      <c r="F62" s="917"/>
    </row>
    <row r="63" ht="120" customHeight="1" spans="1:6">
      <c r="A63" s="913">
        <v>60</v>
      </c>
      <c r="B63" s="914">
        <f>STUDENT!F61</f>
        <v>0</v>
      </c>
      <c r="C63" s="914">
        <f>STUDENT!D61</f>
        <v>0</v>
      </c>
      <c r="D63" s="915">
        <f>STUDENT!E61</f>
        <v>0</v>
      </c>
      <c r="E63" s="916">
        <f>STUDENT!H61</f>
        <v>0</v>
      </c>
      <c r="F63" s="917"/>
    </row>
    <row r="64" ht="120" customHeight="1" spans="1:6">
      <c r="A64" s="913">
        <v>61</v>
      </c>
      <c r="B64" s="914">
        <f>STUDENT!F62</f>
        <v>0</v>
      </c>
      <c r="C64" s="914">
        <f>STUDENT!D62</f>
        <v>0</v>
      </c>
      <c r="D64" s="915">
        <f>STUDENT!E62</f>
        <v>0</v>
      </c>
      <c r="E64" s="916">
        <f>STUDENT!H62</f>
        <v>0</v>
      </c>
      <c r="F64" s="917"/>
    </row>
    <row r="65" ht="120" customHeight="1" spans="1:6">
      <c r="A65" s="913">
        <v>62</v>
      </c>
      <c r="B65" s="914">
        <f>STUDENT!F63</f>
        <v>0</v>
      </c>
      <c r="C65" s="914">
        <f>STUDENT!D63</f>
        <v>0</v>
      </c>
      <c r="D65" s="915">
        <f>STUDENT!E63</f>
        <v>0</v>
      </c>
      <c r="E65" s="916">
        <f>STUDENT!H63</f>
        <v>0</v>
      </c>
      <c r="F65" s="917"/>
    </row>
    <row r="66" ht="120" customHeight="1" spans="1:6">
      <c r="A66" s="913">
        <v>63</v>
      </c>
      <c r="B66" s="914">
        <f>STUDENT!F64</f>
        <v>0</v>
      </c>
      <c r="C66" s="914">
        <f>STUDENT!D64</f>
        <v>0</v>
      </c>
      <c r="D66" s="915">
        <f>STUDENT!E64</f>
        <v>0</v>
      </c>
      <c r="E66" s="916">
        <f>STUDENT!H64</f>
        <v>0</v>
      </c>
      <c r="F66" s="917"/>
    </row>
    <row r="67" ht="120" customHeight="1" spans="1:6">
      <c r="A67" s="913">
        <v>64</v>
      </c>
      <c r="B67" s="914">
        <f>STUDENT!F65</f>
        <v>0</v>
      </c>
      <c r="C67" s="914">
        <f>STUDENT!D65</f>
        <v>0</v>
      </c>
      <c r="D67" s="915">
        <f>STUDENT!E65</f>
        <v>0</v>
      </c>
      <c r="E67" s="916">
        <f>STUDENT!H65</f>
        <v>0</v>
      </c>
      <c r="F67" s="917"/>
    </row>
    <row r="68" ht="120" customHeight="1" spans="1:6">
      <c r="A68" s="913">
        <v>65</v>
      </c>
      <c r="B68" s="914">
        <f>STUDENT!F66</f>
        <v>0</v>
      </c>
      <c r="C68" s="914">
        <f>STUDENT!D66</f>
        <v>0</v>
      </c>
      <c r="D68" s="915">
        <f>STUDENT!E66</f>
        <v>0</v>
      </c>
      <c r="E68" s="916">
        <f>STUDENT!H66</f>
        <v>0</v>
      </c>
      <c r="F68" s="917"/>
    </row>
    <row r="69" ht="120" customHeight="1" spans="1:6">
      <c r="A69" s="913">
        <v>66</v>
      </c>
      <c r="B69" s="914">
        <f>STUDENT!F67</f>
        <v>0</v>
      </c>
      <c r="C69" s="914">
        <f>STUDENT!D67</f>
        <v>0</v>
      </c>
      <c r="D69" s="915">
        <f>STUDENT!E67</f>
        <v>0</v>
      </c>
      <c r="E69" s="916">
        <f>STUDENT!H67</f>
        <v>0</v>
      </c>
      <c r="F69" s="917"/>
    </row>
    <row r="70" ht="120" customHeight="1" spans="1:6">
      <c r="A70" s="913">
        <v>67</v>
      </c>
      <c r="B70" s="914">
        <f>STUDENT!F68</f>
        <v>0</v>
      </c>
      <c r="C70" s="914">
        <f>STUDENT!D68</f>
        <v>0</v>
      </c>
      <c r="D70" s="915">
        <f>STUDENT!E68</f>
        <v>0</v>
      </c>
      <c r="E70" s="916">
        <f>STUDENT!H68</f>
        <v>0</v>
      </c>
      <c r="F70" s="917"/>
    </row>
    <row r="71" ht="120" customHeight="1" spans="1:6">
      <c r="A71" s="913">
        <v>68</v>
      </c>
      <c r="B71" s="914">
        <f>STUDENT!F69</f>
        <v>0</v>
      </c>
      <c r="C71" s="914">
        <f>STUDENT!D69</f>
        <v>0</v>
      </c>
      <c r="D71" s="915">
        <f>STUDENT!E69</f>
        <v>0</v>
      </c>
      <c r="E71" s="916">
        <f>STUDENT!H69</f>
        <v>0</v>
      </c>
      <c r="F71" s="917"/>
    </row>
    <row r="72" ht="120" customHeight="1" spans="1:6">
      <c r="A72" s="913">
        <v>69</v>
      </c>
      <c r="B72" s="914">
        <f>STUDENT!F70</f>
        <v>0</v>
      </c>
      <c r="C72" s="914">
        <f>STUDENT!D70</f>
        <v>0</v>
      </c>
      <c r="D72" s="915">
        <f>STUDENT!E70</f>
        <v>0</v>
      </c>
      <c r="E72" s="916">
        <f>STUDENT!H70</f>
        <v>0</v>
      </c>
      <c r="F72" s="917"/>
    </row>
    <row r="73" ht="120" customHeight="1" spans="1:6">
      <c r="A73" s="913">
        <v>70</v>
      </c>
      <c r="B73" s="914">
        <f>STUDENT!F71</f>
        <v>0</v>
      </c>
      <c r="C73" s="914">
        <f>STUDENT!D71</f>
        <v>0</v>
      </c>
      <c r="D73" s="915">
        <f>STUDENT!E71</f>
        <v>0</v>
      </c>
      <c r="E73" s="916">
        <f>STUDENT!H71</f>
        <v>0</v>
      </c>
      <c r="F73" s="917"/>
    </row>
    <row r="74" ht="120" customHeight="1" spans="1:6">
      <c r="A74" s="913">
        <v>71</v>
      </c>
      <c r="B74" s="914">
        <f>STUDENT!F72</f>
        <v>0</v>
      </c>
      <c r="C74" s="914">
        <f>STUDENT!D72</f>
        <v>0</v>
      </c>
      <c r="D74" s="915">
        <f>STUDENT!E72</f>
        <v>0</v>
      </c>
      <c r="E74" s="916">
        <f>STUDENT!H72</f>
        <v>0</v>
      </c>
      <c r="F74" s="917"/>
    </row>
    <row r="75" ht="120" customHeight="1" spans="1:6">
      <c r="A75" s="913">
        <v>72</v>
      </c>
      <c r="B75" s="914">
        <f>STUDENT!F73</f>
        <v>0</v>
      </c>
      <c r="C75" s="914">
        <f>STUDENT!D73</f>
        <v>0</v>
      </c>
      <c r="D75" s="915">
        <f>STUDENT!E73</f>
        <v>0</v>
      </c>
      <c r="E75" s="916">
        <f>STUDENT!H73</f>
        <v>0</v>
      </c>
      <c r="F75" s="917"/>
    </row>
    <row r="76" ht="120" customHeight="1" spans="1:6">
      <c r="A76" s="913">
        <v>73</v>
      </c>
      <c r="B76" s="914">
        <f>STUDENT!F74</f>
        <v>0</v>
      </c>
      <c r="C76" s="914">
        <f>STUDENT!D74</f>
        <v>0</v>
      </c>
      <c r="D76" s="915">
        <f>STUDENT!E74</f>
        <v>0</v>
      </c>
      <c r="E76" s="916">
        <f>STUDENT!H74</f>
        <v>0</v>
      </c>
      <c r="F76" s="917"/>
    </row>
    <row r="77" ht="120" customHeight="1" spans="1:6">
      <c r="A77" s="913">
        <v>74</v>
      </c>
      <c r="B77" s="914">
        <f>STUDENT!F75</f>
        <v>0</v>
      </c>
      <c r="C77" s="914">
        <f>STUDENT!D75</f>
        <v>0</v>
      </c>
      <c r="D77" s="915">
        <f>STUDENT!E75</f>
        <v>0</v>
      </c>
      <c r="E77" s="916">
        <f>STUDENT!H75</f>
        <v>0</v>
      </c>
      <c r="F77" s="917"/>
    </row>
    <row r="78" ht="120" customHeight="1" spans="1:6">
      <c r="A78" s="913">
        <v>75</v>
      </c>
      <c r="B78" s="914">
        <f>STUDENT!F76</f>
        <v>0</v>
      </c>
      <c r="C78" s="914">
        <f>STUDENT!D76</f>
        <v>0</v>
      </c>
      <c r="D78" s="915">
        <f>STUDENT!E76</f>
        <v>0</v>
      </c>
      <c r="E78" s="916">
        <f>STUDENT!H76</f>
        <v>0</v>
      </c>
      <c r="F78" s="917"/>
    </row>
    <row r="79" ht="120" customHeight="1" spans="1:6">
      <c r="A79" s="913">
        <v>76</v>
      </c>
      <c r="B79" s="914">
        <f>STUDENT!F77</f>
        <v>0</v>
      </c>
      <c r="C79" s="914">
        <f>STUDENT!D77</f>
        <v>0</v>
      </c>
      <c r="D79" s="915">
        <f>STUDENT!E77</f>
        <v>0</v>
      </c>
      <c r="E79" s="916">
        <f>STUDENT!H77</f>
        <v>0</v>
      </c>
      <c r="F79" s="917"/>
    </row>
    <row r="80" ht="120" customHeight="1" spans="1:6">
      <c r="A80" s="913">
        <v>77</v>
      </c>
      <c r="B80" s="914">
        <f>STUDENT!F78</f>
        <v>0</v>
      </c>
      <c r="C80" s="914">
        <f>STUDENT!D78</f>
        <v>0</v>
      </c>
      <c r="D80" s="915">
        <f>STUDENT!E78</f>
        <v>0</v>
      </c>
      <c r="E80" s="916">
        <f>STUDENT!H78</f>
        <v>0</v>
      </c>
      <c r="F80" s="917"/>
    </row>
    <row r="81" ht="120" customHeight="1" spans="1:6">
      <c r="A81" s="913">
        <v>78</v>
      </c>
      <c r="B81" s="914">
        <f>STUDENT!F79</f>
        <v>0</v>
      </c>
      <c r="C81" s="914">
        <f>STUDENT!D79</f>
        <v>0</v>
      </c>
      <c r="D81" s="915">
        <f>STUDENT!E79</f>
        <v>0</v>
      </c>
      <c r="E81" s="916">
        <f>STUDENT!H79</f>
        <v>0</v>
      </c>
      <c r="F81" s="917"/>
    </row>
    <row r="82" ht="120" customHeight="1" spans="1:6">
      <c r="A82" s="913">
        <v>79</v>
      </c>
      <c r="B82" s="914">
        <f>STUDENT!F80</f>
        <v>0</v>
      </c>
      <c r="C82" s="914">
        <f>STUDENT!D80</f>
        <v>0</v>
      </c>
      <c r="D82" s="915">
        <f>STUDENT!E80</f>
        <v>0</v>
      </c>
      <c r="E82" s="916">
        <f>STUDENT!H80</f>
        <v>0</v>
      </c>
      <c r="F82" s="917"/>
    </row>
    <row r="83" ht="120" customHeight="1" spans="1:6">
      <c r="A83" s="913">
        <v>80</v>
      </c>
      <c r="B83" s="914">
        <f>STUDENT!F81</f>
        <v>0</v>
      </c>
      <c r="C83" s="914">
        <f>STUDENT!D81</f>
        <v>0</v>
      </c>
      <c r="D83" s="915">
        <f>STUDENT!E81</f>
        <v>0</v>
      </c>
      <c r="E83" s="916">
        <f>STUDENT!H81</f>
        <v>0</v>
      </c>
      <c r="F83" s="917"/>
    </row>
    <row r="84" ht="120" customHeight="1" spans="1:6">
      <c r="A84" s="913">
        <v>81</v>
      </c>
      <c r="B84" s="914">
        <f>STUDENT!F82</f>
        <v>0</v>
      </c>
      <c r="C84" s="914">
        <f>STUDENT!D82</f>
        <v>0</v>
      </c>
      <c r="D84" s="915">
        <f>STUDENT!E82</f>
        <v>0</v>
      </c>
      <c r="E84" s="916">
        <f>STUDENT!H82</f>
        <v>0</v>
      </c>
      <c r="F84" s="917"/>
    </row>
    <row r="85" ht="120" customHeight="1" spans="1:6">
      <c r="A85" s="913">
        <v>82</v>
      </c>
      <c r="B85" s="914">
        <f>STUDENT!F83</f>
        <v>0</v>
      </c>
      <c r="C85" s="914">
        <f>STUDENT!D83</f>
        <v>0</v>
      </c>
      <c r="D85" s="915">
        <f>STUDENT!E83</f>
        <v>0</v>
      </c>
      <c r="E85" s="916">
        <f>STUDENT!H83</f>
        <v>0</v>
      </c>
      <c r="F85" s="917"/>
    </row>
    <row r="86" ht="120" customHeight="1" spans="1:6">
      <c r="A86" s="913">
        <v>83</v>
      </c>
      <c r="B86" s="914">
        <f>STUDENT!F84</f>
        <v>0</v>
      </c>
      <c r="C86" s="914">
        <f>STUDENT!D84</f>
        <v>0</v>
      </c>
      <c r="D86" s="915">
        <f>STUDENT!E84</f>
        <v>0</v>
      </c>
      <c r="E86" s="916">
        <f>STUDENT!H84</f>
        <v>0</v>
      </c>
      <c r="F86" s="917"/>
    </row>
    <row r="87" ht="120" customHeight="1" spans="1:6">
      <c r="A87" s="913">
        <v>84</v>
      </c>
      <c r="B87" s="914">
        <f>STUDENT!F85</f>
        <v>0</v>
      </c>
      <c r="C87" s="914">
        <f>STUDENT!D85</f>
        <v>0</v>
      </c>
      <c r="D87" s="915">
        <f>STUDENT!E85</f>
        <v>0</v>
      </c>
      <c r="E87" s="916">
        <f>STUDENT!H85</f>
        <v>0</v>
      </c>
      <c r="F87" s="917"/>
    </row>
    <row r="88" ht="120" customHeight="1" spans="1:6">
      <c r="A88" s="913">
        <v>85</v>
      </c>
      <c r="B88" s="914">
        <f>STUDENT!F86</f>
        <v>0</v>
      </c>
      <c r="C88" s="914">
        <f>STUDENT!D86</f>
        <v>0</v>
      </c>
      <c r="D88" s="915">
        <f>STUDENT!E86</f>
        <v>0</v>
      </c>
      <c r="E88" s="916">
        <f>STUDENT!H86</f>
        <v>0</v>
      </c>
      <c r="F88" s="917"/>
    </row>
    <row r="89" ht="120" customHeight="1" spans="1:6">
      <c r="A89" s="913">
        <v>86</v>
      </c>
      <c r="B89" s="914">
        <f>STUDENT!F87</f>
        <v>0</v>
      </c>
      <c r="C89" s="914">
        <f>STUDENT!D87</f>
        <v>0</v>
      </c>
      <c r="D89" s="915">
        <f>STUDENT!E87</f>
        <v>0</v>
      </c>
      <c r="E89" s="916">
        <f>STUDENT!H87</f>
        <v>0</v>
      </c>
      <c r="F89" s="917"/>
    </row>
    <row r="90" ht="120" customHeight="1" spans="1:6">
      <c r="A90" s="913">
        <v>87</v>
      </c>
      <c r="B90" s="914">
        <f>STUDENT!F88</f>
        <v>0</v>
      </c>
      <c r="C90" s="914">
        <f>STUDENT!D88</f>
        <v>0</v>
      </c>
      <c r="D90" s="915">
        <f>STUDENT!E88</f>
        <v>0</v>
      </c>
      <c r="E90" s="916">
        <f>STUDENT!H88</f>
        <v>0</v>
      </c>
      <c r="F90" s="917"/>
    </row>
    <row r="91" ht="120" customHeight="1" spans="1:6">
      <c r="A91" s="913">
        <v>88</v>
      </c>
      <c r="B91" s="914">
        <f>STUDENT!F89</f>
        <v>0</v>
      </c>
      <c r="C91" s="914">
        <f>STUDENT!D89</f>
        <v>0</v>
      </c>
      <c r="D91" s="915">
        <f>STUDENT!E89</f>
        <v>0</v>
      </c>
      <c r="E91" s="916">
        <f>STUDENT!H89</f>
        <v>0</v>
      </c>
      <c r="F91" s="917"/>
    </row>
    <row r="92" ht="120" customHeight="1" spans="1:6">
      <c r="A92" s="913">
        <v>89</v>
      </c>
      <c r="B92" s="914">
        <f>STUDENT!F90</f>
        <v>0</v>
      </c>
      <c r="C92" s="914">
        <f>STUDENT!D90</f>
        <v>0</v>
      </c>
      <c r="D92" s="915">
        <f>STUDENT!E90</f>
        <v>0</v>
      </c>
      <c r="E92" s="916">
        <f>STUDENT!H90</f>
        <v>0</v>
      </c>
      <c r="F92" s="917"/>
    </row>
    <row r="93" ht="120" customHeight="1" spans="1:6">
      <c r="A93" s="913">
        <v>90</v>
      </c>
      <c r="B93" s="914">
        <f>STUDENT!F91</f>
        <v>0</v>
      </c>
      <c r="C93" s="914">
        <f>STUDENT!D91</f>
        <v>0</v>
      </c>
      <c r="D93" s="915">
        <f>STUDENT!E91</f>
        <v>0</v>
      </c>
      <c r="E93" s="916">
        <f>STUDENT!H91</f>
        <v>0</v>
      </c>
      <c r="F93" s="917"/>
    </row>
    <row r="94" ht="120" customHeight="1" spans="1:6">
      <c r="A94" s="913">
        <v>91</v>
      </c>
      <c r="B94" s="914">
        <f>STUDENT!F92</f>
        <v>0</v>
      </c>
      <c r="C94" s="914">
        <f>STUDENT!D92</f>
        <v>0</v>
      </c>
      <c r="D94" s="915">
        <f>STUDENT!E92</f>
        <v>0</v>
      </c>
      <c r="E94" s="916">
        <f>STUDENT!H92</f>
        <v>0</v>
      </c>
      <c r="F94" s="917"/>
    </row>
    <row r="95" ht="120" customHeight="1" spans="1:6">
      <c r="A95" s="913">
        <v>92</v>
      </c>
      <c r="B95" s="914">
        <f>STUDENT!F93</f>
        <v>0</v>
      </c>
      <c r="C95" s="914">
        <f>STUDENT!D93</f>
        <v>0</v>
      </c>
      <c r="D95" s="915">
        <f>STUDENT!E93</f>
        <v>0</v>
      </c>
      <c r="E95" s="916">
        <f>STUDENT!H93</f>
        <v>0</v>
      </c>
      <c r="F95" s="917"/>
    </row>
    <row r="96" ht="120" customHeight="1" spans="1:6">
      <c r="A96" s="913">
        <v>93</v>
      </c>
      <c r="B96" s="914">
        <f>STUDENT!F94</f>
        <v>0</v>
      </c>
      <c r="C96" s="914">
        <f>STUDENT!D94</f>
        <v>0</v>
      </c>
      <c r="D96" s="915">
        <f>STUDENT!E94</f>
        <v>0</v>
      </c>
      <c r="E96" s="916">
        <f>STUDENT!H94</f>
        <v>0</v>
      </c>
      <c r="F96" s="917"/>
    </row>
    <row r="97" ht="120" customHeight="1" spans="1:6">
      <c r="A97" s="913">
        <v>94</v>
      </c>
      <c r="B97" s="914">
        <f>STUDENT!F95</f>
        <v>0</v>
      </c>
      <c r="C97" s="914">
        <f>STUDENT!D95</f>
        <v>0</v>
      </c>
      <c r="D97" s="915">
        <f>STUDENT!E95</f>
        <v>0</v>
      </c>
      <c r="E97" s="916">
        <f>STUDENT!H95</f>
        <v>0</v>
      </c>
      <c r="F97" s="917"/>
    </row>
    <row r="98" ht="120" customHeight="1" spans="1:6">
      <c r="A98" s="913">
        <v>95</v>
      </c>
      <c r="B98" s="914">
        <f>STUDENT!F96</f>
        <v>0</v>
      </c>
      <c r="C98" s="914">
        <f>STUDENT!D96</f>
        <v>0</v>
      </c>
      <c r="D98" s="915">
        <f>STUDENT!E96</f>
        <v>0</v>
      </c>
      <c r="E98" s="916">
        <f>STUDENT!H96</f>
        <v>0</v>
      </c>
      <c r="F98" s="917"/>
    </row>
    <row r="99" ht="120" customHeight="1" spans="1:6">
      <c r="A99" s="913">
        <v>96</v>
      </c>
      <c r="B99" s="914">
        <f>STUDENT!F97</f>
        <v>0</v>
      </c>
      <c r="C99" s="914">
        <f>STUDENT!D97</f>
        <v>0</v>
      </c>
      <c r="D99" s="915">
        <f>STUDENT!E97</f>
        <v>0</v>
      </c>
      <c r="E99" s="916">
        <f>STUDENT!H97</f>
        <v>0</v>
      </c>
      <c r="F99" s="917"/>
    </row>
    <row r="100" ht="120" customHeight="1" spans="1:6">
      <c r="A100" s="913">
        <v>97</v>
      </c>
      <c r="B100" s="914">
        <f>STUDENT!F98</f>
        <v>0</v>
      </c>
      <c r="C100" s="914">
        <f>STUDENT!D98</f>
        <v>0</v>
      </c>
      <c r="D100" s="915">
        <f>STUDENT!E98</f>
        <v>0</v>
      </c>
      <c r="E100" s="916">
        <f>STUDENT!H98</f>
        <v>0</v>
      </c>
      <c r="F100" s="917"/>
    </row>
    <row r="101" ht="120" customHeight="1" spans="1:6">
      <c r="A101" s="913">
        <v>98</v>
      </c>
      <c r="B101" s="914">
        <f>STUDENT!F99</f>
        <v>0</v>
      </c>
      <c r="C101" s="914">
        <f>STUDENT!D99</f>
        <v>0</v>
      </c>
      <c r="D101" s="915">
        <f>STUDENT!E99</f>
        <v>0</v>
      </c>
      <c r="E101" s="916">
        <f>STUDENT!H99</f>
        <v>0</v>
      </c>
      <c r="F101" s="917"/>
    </row>
    <row r="102" ht="120" customHeight="1" spans="1:6">
      <c r="A102" s="913">
        <v>99</v>
      </c>
      <c r="B102" s="914">
        <f>STUDENT!F100</f>
        <v>0</v>
      </c>
      <c r="C102" s="914">
        <f>STUDENT!D100</f>
        <v>0</v>
      </c>
      <c r="D102" s="915">
        <f>STUDENT!E100</f>
        <v>0</v>
      </c>
      <c r="E102" s="916">
        <f>STUDENT!H100</f>
        <v>0</v>
      </c>
      <c r="F102" s="917"/>
    </row>
    <row r="103" ht="120" customHeight="1" spans="1:6">
      <c r="A103" s="913">
        <v>100</v>
      </c>
      <c r="B103" s="914">
        <f>STUDENT!F101</f>
        <v>0</v>
      </c>
      <c r="C103" s="914">
        <f>STUDENT!D101</f>
        <v>0</v>
      </c>
      <c r="D103" s="915">
        <f>STUDENT!E101</f>
        <v>0</v>
      </c>
      <c r="E103" s="916">
        <f>STUDENT!H101</f>
        <v>0</v>
      </c>
      <c r="F103" s="917"/>
    </row>
    <row r="104" spans="1:6">
      <c r="F104" s="917"/>
    </row>
  </sheetData>
  <sheetProtection password="BF6F" sheet="1" formatCells="0" formatColumns="0" formatRows="0" scenarios="1"/>
  <pageMargins left="0.33" right="0.36" top="0.43" bottom="0.38" header="0.3" footer="0.3"/>
  <pageSetup paperSize="9" scale="75" orientation="portrait" horizontalDpi="300" verticalDpi="300"/>
  <headerFooter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P103"/>
  <sheetViews>
    <sheetView zoomScale="70" zoomScaleNormal="70" workbookViewId="0">
      <pane xSplit="5" ySplit="3" topLeftCell="AE8" activePane="bottomRight" state="frozen"/>
      <selection/>
      <selection pane="topRight"/>
      <selection pane="bottomLeft"/>
      <selection pane="bottomRight" activeCell="AG12" sqref="AG12"/>
    </sheetView>
  </sheetViews>
  <sheetFormatPr defaultColWidth="9.13888888888889" defaultRowHeight="18"/>
  <cols>
    <col min="1" max="1" width="7.86111111111111" style="812" customWidth="1"/>
    <col min="2" max="2" width="13.8611111111111" style="812" customWidth="1"/>
    <col min="3" max="3" width="18.8611111111111" style="812" customWidth="1"/>
    <col min="4" max="5" width="35.712962962963" style="817" customWidth="1"/>
    <col min="6" max="6" width="12.712962962963" style="812" customWidth="1"/>
    <col min="7" max="7" width="33.712962962963" style="812" customWidth="1"/>
    <col min="8" max="8" width="12.712962962963" style="812" customWidth="1"/>
    <col min="9" max="11" width="9.71296296296296" style="818" customWidth="1"/>
    <col min="12" max="14" width="9.13888888888889" style="812"/>
    <col min="15" max="15" width="20.712962962963" style="817" customWidth="1"/>
    <col min="16" max="18" width="9.13888888888889" style="812"/>
    <col min="19" max="19" width="20.712962962963" style="817" customWidth="1"/>
    <col min="20" max="22" width="9.13888888888889" style="812"/>
    <col min="23" max="23" width="20.712962962963" style="817" customWidth="1"/>
    <col min="24" max="26" width="9.13888888888889" style="812"/>
    <col min="27" max="27" width="20.712962962963" style="817" customWidth="1"/>
    <col min="28" max="30" width="9.13888888888889" style="812"/>
    <col min="31" max="31" width="20.712962962963" style="817" customWidth="1"/>
    <col min="32" max="34" width="9.13888888888889" style="812"/>
    <col min="35" max="35" width="20.712962962963" style="817" customWidth="1"/>
    <col min="36" max="38" width="9.13888888888889" style="812"/>
    <col min="39" max="39" width="20.712962962963" style="817" customWidth="1"/>
    <col min="40" max="42" width="9.13888888888889" style="812"/>
    <col min="43" max="43" width="20.712962962963" style="817" customWidth="1"/>
    <col min="44" max="46" width="9.13888888888889" style="812"/>
    <col min="47" max="47" width="20.712962962963" style="817" customWidth="1"/>
    <col min="48" max="50" width="9.13888888888889" style="812"/>
    <col min="51" max="51" width="20.712962962963" style="817" customWidth="1"/>
    <col min="52" max="54" width="9.13888888888889" style="812"/>
    <col min="55" max="55" width="20.712962962963" style="817" customWidth="1"/>
    <col min="56" max="58" width="9.13888888888889" style="812"/>
    <col min="59" max="59" width="20.712962962963" style="817" customWidth="1"/>
    <col min="60" max="62" width="9.13888888888889" style="812"/>
    <col min="63" max="63" width="20.712962962963" style="817" customWidth="1"/>
    <col min="64" max="66" width="9.13888888888889" style="812"/>
    <col min="67" max="67" width="20.712962962963" style="817" customWidth="1"/>
    <col min="68" max="70" width="9.13888888888889" style="812"/>
    <col min="71" max="71" width="20.712962962963" style="817" customWidth="1"/>
    <col min="72" max="74" width="9.13888888888889" style="812"/>
    <col min="75" max="75" width="20.712962962963" style="817" customWidth="1"/>
    <col min="76" max="78" width="9.13888888888889" style="812"/>
    <col min="79" max="79" width="20.712962962963" style="817" customWidth="1"/>
    <col min="80" max="82" width="9.13888888888889" style="812"/>
    <col min="83" max="83" width="20.712962962963" style="817" customWidth="1"/>
    <col min="84" max="86" width="9.13888888888889" style="812"/>
    <col min="87" max="87" width="20.712962962963" style="817" customWidth="1"/>
    <col min="88" max="90" width="9.13888888888889" style="812"/>
    <col min="91" max="91" width="20.712962962963" style="817" customWidth="1"/>
    <col min="92" max="94" width="9.13888888888889" style="812"/>
    <col min="95" max="95" width="20.712962962963" style="817" customWidth="1"/>
    <col min="96" max="98" width="9.13888888888889" style="812"/>
    <col min="99" max="99" width="20.712962962963" style="817" customWidth="1"/>
    <col min="100" max="102" width="9.13888888888889" style="812"/>
    <col min="103" max="103" width="20.712962962963" style="817" customWidth="1"/>
    <col min="104" max="106" width="9.13888888888889" style="812"/>
    <col min="107" max="107" width="20.712962962963" style="817" customWidth="1"/>
    <col min="108" max="110" width="9.13888888888889" style="812"/>
    <col min="111" max="111" width="20.712962962963" style="817" customWidth="1"/>
    <col min="112" max="16384" width="9.13888888888889" style="812"/>
  </cols>
  <sheetData>
    <row r="1" ht="21.95" customHeight="1" spans="1:120">
      <c r="A1" s="813"/>
      <c r="B1" s="819"/>
      <c r="C1" s="813"/>
      <c r="D1" s="820"/>
      <c r="E1" s="820"/>
      <c r="F1" s="819" t="s">
        <v>329</v>
      </c>
      <c r="G1" s="819"/>
      <c r="H1" s="819"/>
      <c r="I1" s="821" t="s">
        <v>330</v>
      </c>
      <c r="J1" s="821"/>
      <c r="K1" s="821"/>
      <c r="L1" s="822"/>
      <c r="M1" s="822">
        <v>1</v>
      </c>
      <c r="N1" s="822"/>
      <c r="O1" s="822"/>
      <c r="P1" s="822"/>
      <c r="Q1" s="822">
        <f>M1+1</f>
        <v>2</v>
      </c>
      <c r="R1" s="822"/>
      <c r="S1" s="822"/>
      <c r="T1" s="822"/>
      <c r="U1" s="822">
        <f>Q1+1</f>
        <v>3</v>
      </c>
      <c r="V1" s="822"/>
      <c r="W1" s="822"/>
      <c r="X1" s="822"/>
      <c r="Y1" s="822">
        <f>U1+1</f>
        <v>4</v>
      </c>
      <c r="Z1" s="822"/>
      <c r="AA1" s="822"/>
      <c r="AB1" s="822"/>
      <c r="AC1" s="822">
        <f>Y1+1</f>
        <v>5</v>
      </c>
      <c r="AD1" s="822"/>
      <c r="AE1" s="822"/>
      <c r="AF1" s="822"/>
      <c r="AG1" s="822">
        <f>AC1+1</f>
        <v>6</v>
      </c>
      <c r="AH1" s="822"/>
      <c r="AI1" s="822"/>
      <c r="AJ1" s="822"/>
      <c r="AK1" s="822">
        <f>AG1+1</f>
        <v>7</v>
      </c>
      <c r="AL1" s="822"/>
      <c r="AM1" s="822"/>
      <c r="AN1" s="822"/>
      <c r="AO1" s="822">
        <f>AK1+1</f>
        <v>8</v>
      </c>
      <c r="AP1" s="822"/>
      <c r="AQ1" s="822"/>
      <c r="AR1" s="822"/>
      <c r="AS1" s="822">
        <f>AO1+1</f>
        <v>9</v>
      </c>
      <c r="AT1" s="822"/>
      <c r="AU1" s="822"/>
      <c r="AV1" s="822"/>
      <c r="AW1" s="822">
        <f>AS1+1</f>
        <v>10</v>
      </c>
      <c r="AX1" s="822"/>
      <c r="AY1" s="822"/>
      <c r="AZ1" s="822"/>
      <c r="BA1" s="822">
        <f>AW1+1</f>
        <v>11</v>
      </c>
      <c r="BB1" s="822"/>
      <c r="BC1" s="822"/>
      <c r="BD1" s="822"/>
      <c r="BE1" s="822">
        <f>BA1+1</f>
        <v>12</v>
      </c>
      <c r="BF1" s="822"/>
      <c r="BG1" s="822"/>
      <c r="BH1" s="822"/>
      <c r="BI1" s="822">
        <f>BE1+1</f>
        <v>13</v>
      </c>
      <c r="BJ1" s="822"/>
      <c r="BK1" s="822"/>
      <c r="BL1" s="822"/>
      <c r="BM1" s="822">
        <f>BI1+1</f>
        <v>14</v>
      </c>
      <c r="BN1" s="822"/>
      <c r="BO1" s="822"/>
      <c r="BP1" s="822"/>
      <c r="BQ1" s="822">
        <f>BM1+1</f>
        <v>15</v>
      </c>
      <c r="BR1" s="822"/>
      <c r="BS1" s="822"/>
      <c r="BT1" s="822"/>
      <c r="BU1" s="822">
        <f>BQ1+1</f>
        <v>16</v>
      </c>
      <c r="BV1" s="822"/>
      <c r="BW1" s="822"/>
      <c r="BX1" s="822"/>
      <c r="BY1" s="822">
        <f>BU1+1</f>
        <v>17</v>
      </c>
      <c r="BZ1" s="822"/>
      <c r="CA1" s="822"/>
      <c r="CB1" s="822"/>
      <c r="CC1" s="822">
        <f>BY1+1</f>
        <v>18</v>
      </c>
      <c r="CD1" s="822"/>
      <c r="CE1" s="822"/>
      <c r="CF1" s="822"/>
      <c r="CG1" s="822">
        <f>CC1+1</f>
        <v>19</v>
      </c>
      <c r="CH1" s="822"/>
      <c r="CI1" s="822"/>
      <c r="CJ1" s="822"/>
      <c r="CK1" s="822">
        <f>CG1+1</f>
        <v>20</v>
      </c>
      <c r="CL1" s="822"/>
      <c r="CM1" s="822"/>
      <c r="CN1" s="822"/>
      <c r="CO1" s="822">
        <f>CK1+1</f>
        <v>21</v>
      </c>
      <c r="CP1" s="822"/>
      <c r="CQ1" s="822"/>
      <c r="CR1" s="822"/>
      <c r="CS1" s="822">
        <f>CO1+1</f>
        <v>22</v>
      </c>
      <c r="CT1" s="822"/>
      <c r="CU1" s="822"/>
      <c r="CV1" s="822"/>
      <c r="CW1" s="822">
        <f>CS1+1</f>
        <v>23</v>
      </c>
      <c r="CX1" s="822"/>
      <c r="CY1" s="822"/>
      <c r="CZ1" s="822"/>
      <c r="DA1" s="822">
        <f>CW1+1</f>
        <v>24</v>
      </c>
      <c r="DB1" s="822"/>
      <c r="DC1" s="822"/>
      <c r="DD1" s="822"/>
      <c r="DE1" s="822">
        <f>DA1+1</f>
        <v>25</v>
      </c>
      <c r="DF1" s="822"/>
      <c r="DG1" s="822"/>
    </row>
    <row r="2" ht="36" spans="1:120">
      <c r="A2" s="813" t="s">
        <v>109</v>
      </c>
      <c r="B2" s="819" t="s">
        <v>114</v>
      </c>
      <c r="C2" s="813" t="s">
        <v>112</v>
      </c>
      <c r="D2" s="813" t="s">
        <v>113</v>
      </c>
      <c r="E2" s="813" t="s">
        <v>327</v>
      </c>
      <c r="F2" s="819" t="s">
        <v>331</v>
      </c>
      <c r="G2" s="819" t="s">
        <v>332</v>
      </c>
      <c r="H2" s="819" t="s">
        <v>333</v>
      </c>
      <c r="I2" s="821" t="s">
        <v>331</v>
      </c>
      <c r="J2" s="821" t="s">
        <v>333</v>
      </c>
      <c r="K2" s="821" t="s">
        <v>332</v>
      </c>
      <c r="L2" s="822" t="s">
        <v>331</v>
      </c>
      <c r="M2" s="822" t="s">
        <v>333</v>
      </c>
      <c r="N2" s="822" t="s">
        <v>332</v>
      </c>
      <c r="O2" s="822" t="s">
        <v>334</v>
      </c>
      <c r="P2" s="822" t="s">
        <v>331</v>
      </c>
      <c r="Q2" s="822" t="s">
        <v>333</v>
      </c>
      <c r="R2" s="822" t="s">
        <v>332</v>
      </c>
      <c r="S2" s="822" t="s">
        <v>334</v>
      </c>
      <c r="T2" s="822" t="s">
        <v>331</v>
      </c>
      <c r="U2" s="822" t="s">
        <v>333</v>
      </c>
      <c r="V2" s="822" t="s">
        <v>332</v>
      </c>
      <c r="W2" s="822" t="s">
        <v>334</v>
      </c>
      <c r="X2" s="822" t="s">
        <v>331</v>
      </c>
      <c r="Y2" s="822" t="s">
        <v>333</v>
      </c>
      <c r="Z2" s="822" t="s">
        <v>332</v>
      </c>
      <c r="AA2" s="822" t="s">
        <v>334</v>
      </c>
      <c r="AB2" s="822" t="s">
        <v>331</v>
      </c>
      <c r="AC2" s="822" t="s">
        <v>333</v>
      </c>
      <c r="AD2" s="822" t="s">
        <v>332</v>
      </c>
      <c r="AE2" s="822" t="s">
        <v>334</v>
      </c>
      <c r="AF2" s="822" t="s">
        <v>331</v>
      </c>
      <c r="AG2" s="822" t="s">
        <v>333</v>
      </c>
      <c r="AH2" s="822" t="s">
        <v>332</v>
      </c>
      <c r="AI2" s="822" t="s">
        <v>334</v>
      </c>
      <c r="AJ2" s="822" t="s">
        <v>331</v>
      </c>
      <c r="AK2" s="822" t="s">
        <v>333</v>
      </c>
      <c r="AL2" s="822" t="s">
        <v>332</v>
      </c>
      <c r="AM2" s="822" t="s">
        <v>334</v>
      </c>
      <c r="AN2" s="822" t="s">
        <v>331</v>
      </c>
      <c r="AO2" s="822" t="s">
        <v>333</v>
      </c>
      <c r="AP2" s="822" t="s">
        <v>332</v>
      </c>
      <c r="AQ2" s="822" t="s">
        <v>334</v>
      </c>
      <c r="AR2" s="822" t="s">
        <v>331</v>
      </c>
      <c r="AS2" s="822" t="s">
        <v>333</v>
      </c>
      <c r="AT2" s="822" t="s">
        <v>332</v>
      </c>
      <c r="AU2" s="822" t="s">
        <v>334</v>
      </c>
      <c r="AV2" s="822" t="s">
        <v>331</v>
      </c>
      <c r="AW2" s="822" t="s">
        <v>333</v>
      </c>
      <c r="AX2" s="822" t="s">
        <v>332</v>
      </c>
      <c r="AY2" s="822" t="s">
        <v>334</v>
      </c>
      <c r="AZ2" s="822" t="s">
        <v>331</v>
      </c>
      <c r="BA2" s="822" t="s">
        <v>333</v>
      </c>
      <c r="BB2" s="822" t="s">
        <v>332</v>
      </c>
      <c r="BC2" s="822" t="s">
        <v>334</v>
      </c>
      <c r="BD2" s="822" t="s">
        <v>331</v>
      </c>
      <c r="BE2" s="822" t="s">
        <v>333</v>
      </c>
      <c r="BF2" s="822" t="s">
        <v>332</v>
      </c>
      <c r="BG2" s="822" t="s">
        <v>334</v>
      </c>
      <c r="BH2" s="822" t="s">
        <v>331</v>
      </c>
      <c r="BI2" s="822" t="s">
        <v>333</v>
      </c>
      <c r="BJ2" s="822" t="s">
        <v>332</v>
      </c>
      <c r="BK2" s="822" t="s">
        <v>334</v>
      </c>
      <c r="BL2" s="822" t="s">
        <v>331</v>
      </c>
      <c r="BM2" s="822" t="s">
        <v>333</v>
      </c>
      <c r="BN2" s="822" t="s">
        <v>332</v>
      </c>
      <c r="BO2" s="822" t="s">
        <v>334</v>
      </c>
      <c r="BP2" s="822" t="s">
        <v>331</v>
      </c>
      <c r="BQ2" s="822" t="s">
        <v>333</v>
      </c>
      <c r="BR2" s="822" t="s">
        <v>332</v>
      </c>
      <c r="BS2" s="822" t="s">
        <v>334</v>
      </c>
      <c r="BT2" s="822" t="s">
        <v>331</v>
      </c>
      <c r="BU2" s="822" t="s">
        <v>333</v>
      </c>
      <c r="BV2" s="822" t="s">
        <v>332</v>
      </c>
      <c r="BW2" s="822" t="s">
        <v>334</v>
      </c>
      <c r="BX2" s="822" t="s">
        <v>331</v>
      </c>
      <c r="BY2" s="822" t="s">
        <v>333</v>
      </c>
      <c r="BZ2" s="822" t="s">
        <v>332</v>
      </c>
      <c r="CA2" s="822" t="s">
        <v>334</v>
      </c>
      <c r="CB2" s="822" t="s">
        <v>331</v>
      </c>
      <c r="CC2" s="822" t="s">
        <v>333</v>
      </c>
      <c r="CD2" s="822" t="s">
        <v>332</v>
      </c>
      <c r="CE2" s="822" t="s">
        <v>334</v>
      </c>
      <c r="CF2" s="822" t="s">
        <v>331</v>
      </c>
      <c r="CG2" s="822" t="s">
        <v>333</v>
      </c>
      <c r="CH2" s="822" t="s">
        <v>332</v>
      </c>
      <c r="CI2" s="822" t="s">
        <v>334</v>
      </c>
      <c r="CJ2" s="822" t="s">
        <v>331</v>
      </c>
      <c r="CK2" s="822" t="s">
        <v>333</v>
      </c>
      <c r="CL2" s="822" t="s">
        <v>332</v>
      </c>
      <c r="CM2" s="822" t="s">
        <v>334</v>
      </c>
      <c r="CN2" s="822" t="s">
        <v>331</v>
      </c>
      <c r="CO2" s="822" t="s">
        <v>333</v>
      </c>
      <c r="CP2" s="822" t="s">
        <v>332</v>
      </c>
      <c r="CQ2" s="822" t="s">
        <v>334</v>
      </c>
      <c r="CR2" s="822" t="s">
        <v>331</v>
      </c>
      <c r="CS2" s="822" t="s">
        <v>333</v>
      </c>
      <c r="CT2" s="822" t="s">
        <v>332</v>
      </c>
      <c r="CU2" s="822" t="s">
        <v>334</v>
      </c>
      <c r="CV2" s="822" t="s">
        <v>331</v>
      </c>
      <c r="CW2" s="822" t="s">
        <v>333</v>
      </c>
      <c r="CX2" s="822" t="s">
        <v>332</v>
      </c>
      <c r="CY2" s="822" t="s">
        <v>334</v>
      </c>
      <c r="CZ2" s="822" t="s">
        <v>331</v>
      </c>
      <c r="DA2" s="822" t="s">
        <v>333</v>
      </c>
      <c r="DB2" s="822" t="s">
        <v>332</v>
      </c>
      <c r="DC2" s="822" t="s">
        <v>334</v>
      </c>
      <c r="DD2" s="822" t="s">
        <v>331</v>
      </c>
      <c r="DE2" s="822" t="s">
        <v>333</v>
      </c>
      <c r="DF2" s="822" t="s">
        <v>332</v>
      </c>
      <c r="DG2" s="822" t="s">
        <v>334</v>
      </c>
    </row>
    <row r="3" spans="1:120">
      <c r="A3" s="813"/>
      <c r="B3" s="819"/>
      <c r="C3" s="813"/>
      <c r="D3" s="820"/>
      <c r="E3" s="820"/>
      <c r="F3" s="823"/>
      <c r="G3" s="823"/>
      <c r="H3" s="823"/>
      <c r="I3" s="824"/>
      <c r="J3" s="824"/>
      <c r="K3" s="824"/>
      <c r="L3" s="901" t="str">
        <f>VLOOKUP(M1,DATEWISE!$A$3:$BY$27,2,0)</f>
        <v>30.04.2026</v>
      </c>
      <c r="M3" s="902"/>
      <c r="N3" s="903"/>
      <c r="O3" s="902"/>
      <c r="P3" s="901" t="str">
        <f>VLOOKUP(Q1,DATEWISE!$A$3:$BY$27,2,0)</f>
        <v>08.05.2026</v>
      </c>
      <c r="Q3" s="902"/>
      <c r="R3" s="903"/>
      <c r="S3" s="902"/>
      <c r="T3" s="901" t="str">
        <f>VLOOKUP(U1,DATEWISE!$A$3:$BY$27,2,0)</f>
        <v>15.07.2026</v>
      </c>
      <c r="U3" s="902"/>
      <c r="V3" s="903"/>
      <c r="W3" s="902"/>
      <c r="X3" s="901" t="str">
        <f>VLOOKUP(Y1,DATEWISE!$A$3:$BY$27,2,0)</f>
        <v>31.07.2026</v>
      </c>
      <c r="Y3" s="902"/>
      <c r="Z3" s="903"/>
      <c r="AA3" s="902"/>
      <c r="AB3" s="901" t="str">
        <f>VLOOKUP(AC1,DATEWISE!$A$3:$BY$27,2,0)</f>
        <v>17.08.2026</v>
      </c>
      <c r="AC3" s="902"/>
      <c r="AD3" s="903"/>
      <c r="AE3" s="902"/>
      <c r="AF3" s="901" t="str">
        <f>VLOOKUP(AG1,DATEWISE!$A$3:$BY$27,2,0)</f>
        <v>31.08.2026</v>
      </c>
      <c r="AG3" s="902"/>
      <c r="AH3" s="903"/>
      <c r="AI3" s="902"/>
      <c r="AJ3" s="901">
        <f>VLOOKUP(AK1,DATEWISE!$A$3:$BY$27,2,0)</f>
        <v>0</v>
      </c>
      <c r="AK3" s="902"/>
      <c r="AL3" s="903"/>
      <c r="AM3" s="902"/>
      <c r="AN3" s="901">
        <f>VLOOKUP(AO1,DATEWISE!$A$3:$BY$27,2,0)</f>
        <v>0</v>
      </c>
      <c r="AO3" s="902"/>
      <c r="AP3" s="903"/>
      <c r="AQ3" s="902"/>
      <c r="AR3" s="901">
        <f>VLOOKUP(AS1,DATEWISE!$A$3:$BY$27,2,0)</f>
        <v>0</v>
      </c>
      <c r="AS3" s="902"/>
      <c r="AT3" s="903"/>
      <c r="AU3" s="902"/>
      <c r="AV3" s="901">
        <f>VLOOKUP(AW1,DATEWISE!$A$3:$BY$27,2,0)</f>
        <v>0</v>
      </c>
      <c r="AW3" s="902"/>
      <c r="AX3" s="903"/>
      <c r="AY3" s="902"/>
      <c r="AZ3" s="901">
        <f>VLOOKUP(BA1,DATEWISE!$A$3:$BY$27,2,0)</f>
        <v>0</v>
      </c>
      <c r="BA3" s="902"/>
      <c r="BB3" s="903"/>
      <c r="BC3" s="902"/>
      <c r="BD3" s="901">
        <f>VLOOKUP(BE1,DATEWISE!$A$3:$BY$27,2,0)</f>
        <v>0</v>
      </c>
      <c r="BE3" s="902"/>
      <c r="BF3" s="903"/>
      <c r="BG3" s="902"/>
      <c r="BH3" s="901">
        <f>VLOOKUP(BI1,DATEWISE!$A$3:$BY$27,2,0)</f>
        <v>0</v>
      </c>
      <c r="BI3" s="902"/>
      <c r="BJ3" s="903"/>
      <c r="BK3" s="902"/>
      <c r="BL3" s="901">
        <f>VLOOKUP(BM1,DATEWISE!$A$3:$BY$27,2,0)</f>
        <v>0</v>
      </c>
      <c r="BM3" s="902"/>
      <c r="BN3" s="903"/>
      <c r="BO3" s="902"/>
      <c r="BP3" s="901">
        <f>VLOOKUP(BQ1,DATEWISE!$A$3:$BY$27,2,0)</f>
        <v>0</v>
      </c>
      <c r="BQ3" s="902"/>
      <c r="BR3" s="903"/>
      <c r="BS3" s="902"/>
      <c r="BT3" s="901">
        <f>VLOOKUP(BU1,DATEWISE!$A$3:$BY$27,2,0)</f>
        <v>0</v>
      </c>
      <c r="BU3" s="902"/>
      <c r="BV3" s="903"/>
      <c r="BW3" s="902"/>
      <c r="BX3" s="901">
        <f>VLOOKUP(BY1,DATEWISE!$A$3:$BY$27,2,0)</f>
        <v>0</v>
      </c>
      <c r="BY3" s="902"/>
      <c r="BZ3" s="903"/>
      <c r="CA3" s="902"/>
      <c r="CB3" s="901">
        <f>VLOOKUP(CC1,DATEWISE!$A$3:$BY$27,2,0)</f>
        <v>0</v>
      </c>
      <c r="CC3" s="902"/>
      <c r="CD3" s="903"/>
      <c r="CE3" s="902"/>
      <c r="CF3" s="901">
        <f>VLOOKUP(CG1,DATEWISE!$A$3:$BY$27,2,0)</f>
        <v>0</v>
      </c>
      <c r="CG3" s="902"/>
      <c r="CH3" s="903"/>
      <c r="CI3" s="902"/>
      <c r="CJ3" s="901">
        <f>VLOOKUP(CK1,DATEWISE!$A$3:$BY$27,2,0)</f>
        <v>0</v>
      </c>
      <c r="CK3" s="902"/>
      <c r="CL3" s="903"/>
      <c r="CM3" s="902"/>
      <c r="CN3" s="901">
        <f>VLOOKUP(CO1,DATEWISE!$A$3:$BY$27,2,0)</f>
        <v>0</v>
      </c>
      <c r="CO3" s="902"/>
      <c r="CP3" s="903"/>
      <c r="CQ3" s="902"/>
      <c r="CR3" s="901">
        <f>VLOOKUP(CS1,DATEWISE!$A$3:$BY$27,2,0)</f>
        <v>0</v>
      </c>
      <c r="CS3" s="902"/>
      <c r="CT3" s="903"/>
      <c r="CU3" s="902"/>
      <c r="CV3" s="901">
        <f>VLOOKUP(CW1,DATEWISE!$A$3:$BY$27,2,0)</f>
        <v>0</v>
      </c>
      <c r="CW3" s="902"/>
      <c r="CX3" s="903"/>
      <c r="CY3" s="902"/>
      <c r="CZ3" s="901">
        <f>VLOOKUP(DA1,DATEWISE!$A$3:$BY$27,2,0)</f>
        <v>0</v>
      </c>
      <c r="DA3" s="902"/>
      <c r="DB3" s="903"/>
      <c r="DC3" s="902"/>
      <c r="DD3" s="901">
        <f>VLOOKUP(DE1,DATEWISE!$A$3:$BY$27,2,0)</f>
        <v>0</v>
      </c>
      <c r="DE3" s="902"/>
      <c r="DF3" s="903"/>
      <c r="DG3" s="825"/>
      <c r="DH3" s="826"/>
      <c r="DI3" s="826"/>
      <c r="DJ3" s="826"/>
      <c r="DK3" s="826"/>
      <c r="DL3" s="826"/>
      <c r="DM3" s="826"/>
      <c r="DN3" s="826"/>
      <c r="DO3" s="826"/>
      <c r="DP3" s="826"/>
    </row>
    <row r="4" spans="1:120">
      <c r="A4" s="824">
        <v>1</v>
      </c>
      <c r="B4" s="824">
        <f>STUDENT!F2</f>
        <v>14779</v>
      </c>
      <c r="C4" s="824">
        <f>STUDENT!D2</f>
        <v>20220171896</v>
      </c>
      <c r="D4" s="827" t="str">
        <f>STUDENT!E2</f>
        <v>NAKSH</v>
      </c>
      <c r="E4" s="827" t="str">
        <f>STUDENT!H2</f>
        <v>NARESH</v>
      </c>
      <c r="F4" s="904" t="s">
        <v>335</v>
      </c>
      <c r="G4" s="904" t="s">
        <v>336</v>
      </c>
      <c r="H4" s="904" t="s">
        <v>337</v>
      </c>
      <c r="I4" s="824">
        <f>IF(F4="Beginner",1,IF(F4="Alphabets",2,IF(F4="Words",3,IF(F4="Paragraph",4,IF(F4="Story",5,IF(F4="Absent","Ab",""))))))</f>
        <v>2</v>
      </c>
      <c r="J4" s="824">
        <f>IF(H4="Beginner",1,IF(H4="Character",2,IF(H4="Words",3,IF(H4="Paragraph",4,IF(H4="Story",5,IF(H4="Absent","Ab",""))))))</f>
        <v>2</v>
      </c>
      <c r="K4" s="824">
        <f>IF(G4="Beginner",1,IF(G4="Digit Recognition (1-9)",2,IF(G4="Number Recognition (10-99)",3,IF(G4="Subtraction",4,IF(G4="Division",5,IF(G4="Absent","Ab",""))))))</f>
        <v>3</v>
      </c>
      <c r="L4" s="905">
        <v>2</v>
      </c>
      <c r="M4" s="905">
        <v>2</v>
      </c>
      <c r="N4" s="905">
        <v>3</v>
      </c>
      <c r="O4" s="906"/>
      <c r="P4" s="905">
        <v>2</v>
      </c>
      <c r="Q4" s="905">
        <v>2</v>
      </c>
      <c r="R4" s="905">
        <v>3</v>
      </c>
      <c r="S4" s="906"/>
      <c r="T4" s="905">
        <v>2</v>
      </c>
      <c r="U4" s="905">
        <v>2</v>
      </c>
      <c r="V4" s="905">
        <v>3</v>
      </c>
      <c r="W4" s="906"/>
      <c r="X4" s="905">
        <v>2</v>
      </c>
      <c r="Y4" s="905">
        <v>2</v>
      </c>
      <c r="Z4" s="905">
        <v>3</v>
      </c>
      <c r="AA4" s="906"/>
      <c r="AB4" s="905">
        <v>2</v>
      </c>
      <c r="AC4" s="905">
        <v>2</v>
      </c>
      <c r="AD4" s="905">
        <v>3</v>
      </c>
      <c r="AE4" s="906"/>
      <c r="AF4" s="905">
        <v>2</v>
      </c>
      <c r="AG4" s="905">
        <v>2</v>
      </c>
      <c r="AH4" s="905">
        <v>3</v>
      </c>
      <c r="AI4" s="906"/>
      <c r="AJ4" s="907"/>
      <c r="AK4" s="907"/>
      <c r="AL4" s="907"/>
      <c r="AM4" s="906"/>
      <c r="AN4" s="907"/>
      <c r="AO4" s="907"/>
      <c r="AP4" s="907"/>
      <c r="AQ4" s="906"/>
      <c r="AR4" s="907"/>
      <c r="AS4" s="907"/>
      <c r="AT4" s="907"/>
      <c r="AU4" s="906"/>
      <c r="AV4" s="907"/>
      <c r="AW4" s="907"/>
      <c r="AX4" s="907"/>
      <c r="AY4" s="906"/>
      <c r="AZ4" s="907"/>
      <c r="BA4" s="907"/>
      <c r="BB4" s="907"/>
      <c r="BC4" s="906"/>
      <c r="BD4" s="907"/>
      <c r="BE4" s="907"/>
      <c r="BF4" s="907"/>
      <c r="BG4" s="906"/>
      <c r="BH4" s="907"/>
      <c r="BI4" s="907"/>
      <c r="BJ4" s="907"/>
      <c r="BK4" s="906"/>
      <c r="BL4" s="907"/>
      <c r="BM4" s="907"/>
      <c r="BN4" s="907"/>
      <c r="BO4" s="906"/>
      <c r="BP4" s="907"/>
      <c r="BQ4" s="907"/>
      <c r="BR4" s="907"/>
      <c r="BS4" s="906"/>
      <c r="BT4" s="907"/>
      <c r="BU4" s="907"/>
      <c r="BV4" s="907"/>
      <c r="BW4" s="906"/>
      <c r="BX4" s="907"/>
      <c r="BY4" s="907"/>
      <c r="BZ4" s="907"/>
      <c r="CA4" s="906"/>
      <c r="CB4" s="907"/>
      <c r="CC4" s="907"/>
      <c r="CD4" s="907"/>
      <c r="CE4" s="906"/>
      <c r="CF4" s="907"/>
      <c r="CG4" s="907"/>
      <c r="CH4" s="907"/>
      <c r="CI4" s="906"/>
      <c r="CJ4" s="907"/>
      <c r="CK4" s="907"/>
      <c r="CL4" s="907"/>
      <c r="CM4" s="906"/>
      <c r="CN4" s="907"/>
      <c r="CO4" s="907"/>
      <c r="CP4" s="907"/>
      <c r="CQ4" s="906"/>
      <c r="CR4" s="907"/>
      <c r="CS4" s="907"/>
      <c r="CT4" s="907"/>
      <c r="CU4" s="906"/>
      <c r="CV4" s="907"/>
      <c r="CW4" s="907"/>
      <c r="CX4" s="907"/>
      <c r="CY4" s="906"/>
      <c r="CZ4" s="907"/>
      <c r="DA4" s="907"/>
      <c r="DB4" s="907"/>
      <c r="DC4" s="906"/>
      <c r="DD4" s="907"/>
      <c r="DE4" s="907"/>
      <c r="DF4" s="907"/>
      <c r="DG4" s="906"/>
    </row>
    <row r="5" spans="1:120">
      <c r="A5" s="824">
        <v>2</v>
      </c>
      <c r="B5" s="824">
        <f>STUDENT!F3</f>
        <v>14733</v>
      </c>
      <c r="C5" s="824">
        <f>STUDENT!D3</f>
        <v>20220354217</v>
      </c>
      <c r="D5" s="827" t="str">
        <f>STUDENT!E3</f>
        <v>NAVEEN</v>
      </c>
      <c r="E5" s="827" t="str">
        <f>STUDENT!H3</f>
        <v>SANJAY</v>
      </c>
      <c r="F5" s="904" t="s">
        <v>338</v>
      </c>
      <c r="G5" s="904" t="s">
        <v>336</v>
      </c>
      <c r="H5" s="904" t="s">
        <v>337</v>
      </c>
      <c r="I5" s="824">
        <f t="shared" ref="I5:I68" si="0">IF(F5="Beginner",1,IF(F5="Alphabets",2,IF(F5="Words",3,IF(F5="Paragraph",4,IF(F5="Story",5,IF(F5="Absent","Ab",""))))))</f>
        <v>3</v>
      </c>
      <c r="J5" s="824">
        <f t="shared" ref="J5:J68" si="1">IF(H5="Beginner",1,IF(H5="Character",2,IF(H5="Words",3,IF(H5="Paragraph",4,IF(H5="Story",5,IF(H5="Absent","Ab",""))))))</f>
        <v>2</v>
      </c>
      <c r="K5" s="824">
        <f t="shared" ref="K5:K68" si="2">IF(G5="Beginner",1,IF(G5="Digit Recognition (1-9)",2,IF(G5="Number Recognition (10-99)",3,IF(G5="Subtraction",4,IF(G5="Division",5,IF(G5="Absent","Ab",""))))))</f>
        <v>3</v>
      </c>
      <c r="L5" s="905">
        <v>3</v>
      </c>
      <c r="M5" s="905">
        <v>2</v>
      </c>
      <c r="N5" s="905">
        <v>3</v>
      </c>
      <c r="O5" s="906"/>
      <c r="P5" s="905">
        <v>3</v>
      </c>
      <c r="Q5" s="905">
        <v>2</v>
      </c>
      <c r="R5" s="905">
        <v>3</v>
      </c>
      <c r="S5" s="906"/>
      <c r="T5" s="905">
        <v>3</v>
      </c>
      <c r="U5" s="905">
        <v>2</v>
      </c>
      <c r="V5" s="905">
        <v>3</v>
      </c>
      <c r="W5" s="906"/>
      <c r="X5" s="905">
        <v>3</v>
      </c>
      <c r="Y5" s="905">
        <v>2</v>
      </c>
      <c r="Z5" s="905">
        <v>3</v>
      </c>
      <c r="AA5" s="906"/>
      <c r="AB5" s="905">
        <v>3</v>
      </c>
      <c r="AC5" s="905">
        <v>2</v>
      </c>
      <c r="AD5" s="905">
        <v>3</v>
      </c>
      <c r="AE5" s="906"/>
      <c r="AF5" s="905">
        <v>3</v>
      </c>
      <c r="AG5" s="905">
        <v>2</v>
      </c>
      <c r="AH5" s="905">
        <v>3</v>
      </c>
      <c r="AI5" s="906"/>
      <c r="AJ5" s="907"/>
      <c r="AK5" s="907"/>
      <c r="AL5" s="907"/>
      <c r="AM5" s="906"/>
      <c r="AN5" s="907"/>
      <c r="AO5" s="907"/>
      <c r="AP5" s="907"/>
      <c r="AQ5" s="906"/>
      <c r="AR5" s="907"/>
      <c r="AS5" s="907"/>
      <c r="AT5" s="907"/>
      <c r="AU5" s="906"/>
      <c r="AV5" s="907"/>
      <c r="AW5" s="907"/>
      <c r="AX5" s="907"/>
      <c r="AY5" s="906"/>
      <c r="AZ5" s="907"/>
      <c r="BA5" s="907"/>
      <c r="BB5" s="907"/>
      <c r="BC5" s="906"/>
      <c r="BD5" s="907"/>
      <c r="BE5" s="907"/>
      <c r="BF5" s="907"/>
      <c r="BG5" s="906"/>
      <c r="BH5" s="907"/>
      <c r="BI5" s="907"/>
      <c r="BJ5" s="907"/>
      <c r="BK5" s="906"/>
      <c r="BL5" s="907"/>
      <c r="BM5" s="907"/>
      <c r="BN5" s="907"/>
      <c r="BO5" s="906"/>
      <c r="BP5" s="907"/>
      <c r="BQ5" s="907"/>
      <c r="BR5" s="907"/>
      <c r="BS5" s="906"/>
      <c r="BT5" s="907"/>
      <c r="BU5" s="907"/>
      <c r="BV5" s="907"/>
      <c r="BW5" s="906"/>
      <c r="BX5" s="907"/>
      <c r="BY5" s="907"/>
      <c r="BZ5" s="907"/>
      <c r="CA5" s="906"/>
      <c r="CB5" s="907"/>
      <c r="CC5" s="907"/>
      <c r="CD5" s="907"/>
      <c r="CE5" s="906"/>
      <c r="CF5" s="907"/>
      <c r="CG5" s="907"/>
      <c r="CH5" s="907"/>
      <c r="CI5" s="906"/>
      <c r="CJ5" s="907"/>
      <c r="CK5" s="907"/>
      <c r="CL5" s="907"/>
      <c r="CM5" s="906"/>
      <c r="CN5" s="907"/>
      <c r="CO5" s="907"/>
      <c r="CP5" s="907"/>
      <c r="CQ5" s="906"/>
      <c r="CR5" s="907"/>
      <c r="CS5" s="907"/>
      <c r="CT5" s="907"/>
      <c r="CU5" s="906"/>
      <c r="CV5" s="907"/>
      <c r="CW5" s="907"/>
      <c r="CX5" s="907"/>
      <c r="CY5" s="906"/>
      <c r="CZ5" s="907"/>
      <c r="DA5" s="907"/>
      <c r="DB5" s="907"/>
      <c r="DC5" s="906"/>
      <c r="DD5" s="907"/>
      <c r="DE5" s="907"/>
      <c r="DF5" s="907"/>
      <c r="DG5" s="906"/>
    </row>
    <row r="6" spans="1:120">
      <c r="A6" s="824">
        <v>3</v>
      </c>
      <c r="B6" s="824">
        <f>STUDENT!F4</f>
        <v>14757</v>
      </c>
      <c r="C6" s="824">
        <f>STUDENT!D4</f>
        <v>20220402586</v>
      </c>
      <c r="D6" s="827" t="str">
        <f>STUDENT!E4</f>
        <v>AADITYA KUMAR</v>
      </c>
      <c r="E6" s="827" t="str">
        <f>STUDENT!H4</f>
        <v>DHARMENDRA KUMAR</v>
      </c>
      <c r="F6" s="904" t="s">
        <v>338</v>
      </c>
      <c r="G6" s="904" t="s">
        <v>339</v>
      </c>
      <c r="H6" s="904" t="s">
        <v>338</v>
      </c>
      <c r="I6" s="824">
        <f t="shared" si="0"/>
        <v>3</v>
      </c>
      <c r="J6" s="824">
        <f t="shared" si="1"/>
        <v>3</v>
      </c>
      <c r="K6" s="824">
        <f t="shared" si="2"/>
        <v>4</v>
      </c>
      <c r="L6" s="905">
        <v>3</v>
      </c>
      <c r="M6" s="905">
        <v>3</v>
      </c>
      <c r="N6" s="905">
        <v>4</v>
      </c>
      <c r="O6" s="906"/>
      <c r="P6" s="905">
        <v>3</v>
      </c>
      <c r="Q6" s="905">
        <v>3</v>
      </c>
      <c r="R6" s="905">
        <v>4</v>
      </c>
      <c r="S6" s="906"/>
      <c r="T6" s="905">
        <v>3</v>
      </c>
      <c r="U6" s="905">
        <v>3</v>
      </c>
      <c r="V6" s="905">
        <v>4</v>
      </c>
      <c r="W6" s="906"/>
      <c r="X6" s="905">
        <v>3</v>
      </c>
      <c r="Y6" s="905">
        <v>3</v>
      </c>
      <c r="Z6" s="905">
        <v>4</v>
      </c>
      <c r="AA6" s="906"/>
      <c r="AB6" s="905">
        <v>3</v>
      </c>
      <c r="AC6" s="905">
        <v>3</v>
      </c>
      <c r="AD6" s="905">
        <v>4</v>
      </c>
      <c r="AE6" s="906"/>
      <c r="AF6" s="905">
        <v>3</v>
      </c>
      <c r="AG6" s="905">
        <v>3</v>
      </c>
      <c r="AH6" s="905">
        <v>4</v>
      </c>
      <c r="AI6" s="906"/>
      <c r="AJ6" s="907"/>
      <c r="AK6" s="907"/>
      <c r="AL6" s="907"/>
      <c r="AM6" s="906"/>
      <c r="AN6" s="907"/>
      <c r="AO6" s="907"/>
      <c r="AP6" s="907"/>
      <c r="AQ6" s="906"/>
      <c r="AR6" s="907"/>
      <c r="AS6" s="907"/>
      <c r="AT6" s="907"/>
      <c r="AU6" s="906"/>
      <c r="AV6" s="907"/>
      <c r="AW6" s="907"/>
      <c r="AX6" s="907"/>
      <c r="AY6" s="906"/>
      <c r="AZ6" s="907"/>
      <c r="BA6" s="907"/>
      <c r="BB6" s="907"/>
      <c r="BC6" s="906"/>
      <c r="BD6" s="907"/>
      <c r="BE6" s="907"/>
      <c r="BF6" s="907"/>
      <c r="BG6" s="906"/>
      <c r="BH6" s="907"/>
      <c r="BI6" s="907"/>
      <c r="BJ6" s="907"/>
      <c r="BK6" s="906"/>
      <c r="BL6" s="907"/>
      <c r="BM6" s="907"/>
      <c r="BN6" s="907"/>
      <c r="BO6" s="906"/>
      <c r="BP6" s="907"/>
      <c r="BQ6" s="907"/>
      <c r="BR6" s="907"/>
      <c r="BS6" s="906"/>
      <c r="BT6" s="907"/>
      <c r="BU6" s="907"/>
      <c r="BV6" s="907"/>
      <c r="BW6" s="906"/>
      <c r="BX6" s="907"/>
      <c r="BY6" s="907"/>
      <c r="BZ6" s="907"/>
      <c r="CA6" s="906"/>
      <c r="CB6" s="907"/>
      <c r="CC6" s="907"/>
      <c r="CD6" s="907"/>
      <c r="CE6" s="906"/>
      <c r="CF6" s="907"/>
      <c r="CG6" s="907"/>
      <c r="CH6" s="907"/>
      <c r="CI6" s="906"/>
      <c r="CJ6" s="907"/>
      <c r="CK6" s="907"/>
      <c r="CL6" s="907"/>
      <c r="CM6" s="906"/>
      <c r="CN6" s="907"/>
      <c r="CO6" s="907"/>
      <c r="CP6" s="907"/>
      <c r="CQ6" s="906"/>
      <c r="CR6" s="907"/>
      <c r="CS6" s="907"/>
      <c r="CT6" s="907"/>
      <c r="CU6" s="906"/>
      <c r="CV6" s="907"/>
      <c r="CW6" s="907"/>
      <c r="CX6" s="907"/>
      <c r="CY6" s="906"/>
      <c r="CZ6" s="907"/>
      <c r="DA6" s="907"/>
      <c r="DB6" s="907"/>
      <c r="DC6" s="906"/>
      <c r="DD6" s="907"/>
      <c r="DE6" s="907"/>
      <c r="DF6" s="907"/>
      <c r="DG6" s="906"/>
    </row>
    <row r="7" spans="1:120">
      <c r="A7" s="824">
        <v>4</v>
      </c>
      <c r="B7" s="824">
        <f>STUDENT!F5</f>
        <v>14778</v>
      </c>
      <c r="C7" s="824">
        <f>STUDENT!D5</f>
        <v>20220448164</v>
      </c>
      <c r="D7" s="827" t="str">
        <f>STUDENT!E5</f>
        <v>PRINCE KUMAR RAY</v>
      </c>
      <c r="E7" s="827" t="str">
        <f>STUDENT!H5</f>
        <v>RAMSHARAN RAY</v>
      </c>
      <c r="F7" s="904" t="s">
        <v>338</v>
      </c>
      <c r="G7" s="904" t="s">
        <v>336</v>
      </c>
      <c r="H7" s="904" t="s">
        <v>337</v>
      </c>
      <c r="I7" s="824">
        <f t="shared" si="0"/>
        <v>3</v>
      </c>
      <c r="J7" s="824">
        <f t="shared" si="1"/>
        <v>2</v>
      </c>
      <c r="K7" s="824">
        <f t="shared" si="2"/>
        <v>3</v>
      </c>
      <c r="L7" s="905">
        <v>3</v>
      </c>
      <c r="M7" s="905">
        <v>2</v>
      </c>
      <c r="N7" s="905">
        <v>3</v>
      </c>
      <c r="O7" s="906"/>
      <c r="P7" s="905">
        <v>3</v>
      </c>
      <c r="Q7" s="905">
        <v>2</v>
      </c>
      <c r="R7" s="905">
        <v>3</v>
      </c>
      <c r="S7" s="906"/>
      <c r="T7" s="905">
        <v>3</v>
      </c>
      <c r="U7" s="905">
        <v>2</v>
      </c>
      <c r="V7" s="905">
        <v>3</v>
      </c>
      <c r="W7" s="906"/>
      <c r="X7" s="905">
        <v>3</v>
      </c>
      <c r="Y7" s="905">
        <v>2</v>
      </c>
      <c r="Z7" s="905">
        <v>3</v>
      </c>
      <c r="AA7" s="906"/>
      <c r="AB7" s="905">
        <v>3</v>
      </c>
      <c r="AC7" s="905">
        <v>2</v>
      </c>
      <c r="AD7" s="905">
        <v>3</v>
      </c>
      <c r="AE7" s="906"/>
      <c r="AF7" s="905">
        <v>3</v>
      </c>
      <c r="AG7" s="905">
        <v>2</v>
      </c>
      <c r="AH7" s="905">
        <v>3</v>
      </c>
      <c r="AI7" s="906"/>
      <c r="AJ7" s="907"/>
      <c r="AK7" s="907"/>
      <c r="AL7" s="907"/>
      <c r="AM7" s="906"/>
      <c r="AN7" s="907"/>
      <c r="AO7" s="907"/>
      <c r="AP7" s="907"/>
      <c r="AQ7" s="906"/>
      <c r="AR7" s="907"/>
      <c r="AS7" s="907"/>
      <c r="AT7" s="907"/>
      <c r="AU7" s="906"/>
      <c r="AV7" s="907"/>
      <c r="AW7" s="907"/>
      <c r="AX7" s="907"/>
      <c r="AY7" s="906"/>
      <c r="AZ7" s="907"/>
      <c r="BA7" s="907"/>
      <c r="BB7" s="907"/>
      <c r="BC7" s="906"/>
      <c r="BD7" s="907"/>
      <c r="BE7" s="907"/>
      <c r="BF7" s="907"/>
      <c r="BG7" s="906"/>
      <c r="BH7" s="907"/>
      <c r="BI7" s="907"/>
      <c r="BJ7" s="907"/>
      <c r="BK7" s="906"/>
      <c r="BL7" s="907"/>
      <c r="BM7" s="907"/>
      <c r="BN7" s="907"/>
      <c r="BO7" s="906"/>
      <c r="BP7" s="907"/>
      <c r="BQ7" s="907"/>
      <c r="BR7" s="907"/>
      <c r="BS7" s="906"/>
      <c r="BT7" s="907"/>
      <c r="BU7" s="907"/>
      <c r="BV7" s="907"/>
      <c r="BW7" s="906"/>
      <c r="BX7" s="907"/>
      <c r="BY7" s="907"/>
      <c r="BZ7" s="907"/>
      <c r="CA7" s="906"/>
      <c r="CB7" s="907"/>
      <c r="CC7" s="907"/>
      <c r="CD7" s="907"/>
      <c r="CE7" s="906"/>
      <c r="CF7" s="907"/>
      <c r="CG7" s="907"/>
      <c r="CH7" s="907"/>
      <c r="CI7" s="906"/>
      <c r="CJ7" s="907"/>
      <c r="CK7" s="907"/>
      <c r="CL7" s="907"/>
      <c r="CM7" s="906"/>
      <c r="CN7" s="907"/>
      <c r="CO7" s="907"/>
      <c r="CP7" s="907"/>
      <c r="CQ7" s="906"/>
      <c r="CR7" s="907"/>
      <c r="CS7" s="907"/>
      <c r="CT7" s="907"/>
      <c r="CU7" s="906"/>
      <c r="CV7" s="907"/>
      <c r="CW7" s="907"/>
      <c r="CX7" s="907"/>
      <c r="CY7" s="906"/>
      <c r="CZ7" s="907"/>
      <c r="DA7" s="907"/>
      <c r="DB7" s="907"/>
      <c r="DC7" s="906"/>
      <c r="DD7" s="907"/>
      <c r="DE7" s="907"/>
      <c r="DF7" s="907"/>
      <c r="DG7" s="906"/>
    </row>
    <row r="8" spans="1:120">
      <c r="A8" s="824">
        <v>5</v>
      </c>
      <c r="B8" s="824">
        <f>STUDENT!F6</f>
        <v>14785</v>
      </c>
      <c r="C8" s="824">
        <f>STUDENT!D6</f>
        <v>20220482313</v>
      </c>
      <c r="D8" s="827" t="str">
        <f>STUDENT!E6</f>
        <v>KIRSHNA</v>
      </c>
      <c r="E8" s="827" t="str">
        <f>STUDENT!H6</f>
        <v>VISHNU KASHYAP</v>
      </c>
      <c r="F8" s="904" t="s">
        <v>335</v>
      </c>
      <c r="G8" s="904" t="s">
        <v>336</v>
      </c>
      <c r="H8" s="904" t="s">
        <v>337</v>
      </c>
      <c r="I8" s="824">
        <f t="shared" si="0"/>
        <v>2</v>
      </c>
      <c r="J8" s="824">
        <f t="shared" si="1"/>
        <v>2</v>
      </c>
      <c r="K8" s="824">
        <f t="shared" si="2"/>
        <v>3</v>
      </c>
      <c r="L8" s="905">
        <v>2</v>
      </c>
      <c r="M8" s="905">
        <v>2</v>
      </c>
      <c r="N8" s="905">
        <v>3</v>
      </c>
      <c r="O8" s="906"/>
      <c r="P8" s="905">
        <v>2</v>
      </c>
      <c r="Q8" s="905">
        <v>2</v>
      </c>
      <c r="R8" s="905">
        <v>3</v>
      </c>
      <c r="S8" s="906"/>
      <c r="T8" s="905">
        <v>2</v>
      </c>
      <c r="U8" s="905">
        <v>2</v>
      </c>
      <c r="V8" s="905">
        <v>3</v>
      </c>
      <c r="W8" s="906"/>
      <c r="X8" s="905">
        <v>2</v>
      </c>
      <c r="Y8" s="905">
        <v>2</v>
      </c>
      <c r="Z8" s="905">
        <v>3</v>
      </c>
      <c r="AA8" s="906"/>
      <c r="AB8" s="905">
        <v>2</v>
      </c>
      <c r="AC8" s="905">
        <v>2</v>
      </c>
      <c r="AD8" s="905">
        <v>3</v>
      </c>
      <c r="AE8" s="906"/>
      <c r="AF8" s="905">
        <v>3</v>
      </c>
      <c r="AG8" s="905">
        <v>2</v>
      </c>
      <c r="AH8" s="905">
        <v>4</v>
      </c>
      <c r="AI8" s="906"/>
      <c r="AJ8" s="907"/>
      <c r="AK8" s="907"/>
      <c r="AL8" s="907"/>
      <c r="AM8" s="906"/>
      <c r="AN8" s="907"/>
      <c r="AO8" s="907"/>
      <c r="AP8" s="907"/>
      <c r="AQ8" s="906"/>
      <c r="AR8" s="907"/>
      <c r="AS8" s="907"/>
      <c r="AT8" s="907"/>
      <c r="AU8" s="906"/>
      <c r="AV8" s="907"/>
      <c r="AW8" s="907"/>
      <c r="AX8" s="907"/>
      <c r="AY8" s="906"/>
      <c r="AZ8" s="907"/>
      <c r="BA8" s="907"/>
      <c r="BB8" s="907"/>
      <c r="BC8" s="906"/>
      <c r="BD8" s="907"/>
      <c r="BE8" s="907"/>
      <c r="BF8" s="907"/>
      <c r="BG8" s="906"/>
      <c r="BH8" s="907"/>
      <c r="BI8" s="907"/>
      <c r="BJ8" s="907"/>
      <c r="BK8" s="906"/>
      <c r="BL8" s="907"/>
      <c r="BM8" s="907"/>
      <c r="BN8" s="907"/>
      <c r="BO8" s="906"/>
      <c r="BP8" s="907"/>
      <c r="BQ8" s="907"/>
      <c r="BR8" s="907"/>
      <c r="BS8" s="906"/>
      <c r="BT8" s="907"/>
      <c r="BU8" s="907"/>
      <c r="BV8" s="907"/>
      <c r="BW8" s="906"/>
      <c r="BX8" s="907"/>
      <c r="BY8" s="907"/>
      <c r="BZ8" s="907"/>
      <c r="CA8" s="906"/>
      <c r="CB8" s="907"/>
      <c r="CC8" s="907"/>
      <c r="CD8" s="907"/>
      <c r="CE8" s="906"/>
      <c r="CF8" s="907"/>
      <c r="CG8" s="907"/>
      <c r="CH8" s="907"/>
      <c r="CI8" s="906"/>
      <c r="CJ8" s="907"/>
      <c r="CK8" s="907"/>
      <c r="CL8" s="907"/>
      <c r="CM8" s="906"/>
      <c r="CN8" s="907"/>
      <c r="CO8" s="907"/>
      <c r="CP8" s="907"/>
      <c r="CQ8" s="906"/>
      <c r="CR8" s="907"/>
      <c r="CS8" s="907"/>
      <c r="CT8" s="907"/>
      <c r="CU8" s="906"/>
      <c r="CV8" s="907"/>
      <c r="CW8" s="907"/>
      <c r="CX8" s="907"/>
      <c r="CY8" s="906"/>
      <c r="CZ8" s="907"/>
      <c r="DA8" s="907"/>
      <c r="DB8" s="907"/>
      <c r="DC8" s="906"/>
      <c r="DD8" s="907"/>
      <c r="DE8" s="907"/>
      <c r="DF8" s="907"/>
      <c r="DG8" s="906"/>
    </row>
    <row r="9" spans="1:120">
      <c r="A9" s="824">
        <v>6</v>
      </c>
      <c r="B9" s="824">
        <f>STUDENT!F7</f>
        <v>14780</v>
      </c>
      <c r="C9" s="824">
        <f>STUDENT!D7</f>
        <v>20230048303</v>
      </c>
      <c r="D9" s="827" t="str">
        <f>STUDENT!E7</f>
        <v>MD SOPHIYAN ALAM</v>
      </c>
      <c r="E9" s="827" t="str">
        <f>STUDENT!H7</f>
        <v>MD TABREJ ALAM</v>
      </c>
      <c r="F9" s="904" t="s">
        <v>340</v>
      </c>
      <c r="G9" s="904" t="s">
        <v>339</v>
      </c>
      <c r="H9" s="904" t="s">
        <v>338</v>
      </c>
      <c r="I9" s="824">
        <f t="shared" si="0"/>
        <v>4</v>
      </c>
      <c r="J9" s="824">
        <f t="shared" si="1"/>
        <v>3</v>
      </c>
      <c r="K9" s="824">
        <f t="shared" si="2"/>
        <v>4</v>
      </c>
      <c r="L9" s="905">
        <v>4</v>
      </c>
      <c r="M9" s="905">
        <v>3</v>
      </c>
      <c r="N9" s="905">
        <v>4</v>
      </c>
      <c r="O9" s="906"/>
      <c r="P9" s="905">
        <v>4</v>
      </c>
      <c r="Q9" s="905">
        <v>3</v>
      </c>
      <c r="R9" s="905">
        <v>4</v>
      </c>
      <c r="S9" s="906"/>
      <c r="T9" s="905">
        <v>4</v>
      </c>
      <c r="U9" s="905">
        <v>3</v>
      </c>
      <c r="V9" s="905">
        <v>4</v>
      </c>
      <c r="W9" s="906"/>
      <c r="X9" s="905">
        <v>4</v>
      </c>
      <c r="Y9" s="905">
        <v>3</v>
      </c>
      <c r="Z9" s="905">
        <v>4</v>
      </c>
      <c r="AA9" s="906"/>
      <c r="AB9" s="905">
        <v>4</v>
      </c>
      <c r="AC9" s="905">
        <v>3</v>
      </c>
      <c r="AD9" s="905">
        <v>4</v>
      </c>
      <c r="AE9" s="906"/>
      <c r="AF9" s="905">
        <v>4</v>
      </c>
      <c r="AG9" s="905">
        <v>4</v>
      </c>
      <c r="AH9" s="905">
        <v>4</v>
      </c>
      <c r="AI9" s="906"/>
      <c r="AJ9" s="907"/>
      <c r="AK9" s="907"/>
      <c r="AL9" s="907"/>
      <c r="AM9" s="906"/>
      <c r="AN9" s="907"/>
      <c r="AO9" s="907"/>
      <c r="AP9" s="907"/>
      <c r="AQ9" s="906"/>
      <c r="AR9" s="907"/>
      <c r="AS9" s="907"/>
      <c r="AT9" s="907"/>
      <c r="AU9" s="906"/>
      <c r="AV9" s="907"/>
      <c r="AW9" s="907"/>
      <c r="AX9" s="907"/>
      <c r="AY9" s="906"/>
      <c r="AZ9" s="907"/>
      <c r="BA9" s="907"/>
      <c r="BB9" s="907"/>
      <c r="BC9" s="906"/>
      <c r="BD9" s="907"/>
      <c r="BE9" s="907"/>
      <c r="BF9" s="907"/>
      <c r="BG9" s="906"/>
      <c r="BH9" s="907"/>
      <c r="BI9" s="907"/>
      <c r="BJ9" s="907"/>
      <c r="BK9" s="906"/>
      <c r="BL9" s="907"/>
      <c r="BM9" s="907"/>
      <c r="BN9" s="907"/>
      <c r="BO9" s="906"/>
      <c r="BP9" s="907"/>
      <c r="BQ9" s="907"/>
      <c r="BR9" s="907"/>
      <c r="BS9" s="906"/>
      <c r="BT9" s="907"/>
      <c r="BU9" s="907"/>
      <c r="BV9" s="907"/>
      <c r="BW9" s="906"/>
      <c r="BX9" s="907"/>
      <c r="BY9" s="907"/>
      <c r="BZ9" s="907"/>
      <c r="CA9" s="906"/>
      <c r="CB9" s="907"/>
      <c r="CC9" s="907"/>
      <c r="CD9" s="907"/>
      <c r="CE9" s="906"/>
      <c r="CF9" s="907"/>
      <c r="CG9" s="907"/>
      <c r="CH9" s="907"/>
      <c r="CI9" s="906"/>
      <c r="CJ9" s="907"/>
      <c r="CK9" s="907"/>
      <c r="CL9" s="907"/>
      <c r="CM9" s="906"/>
      <c r="CN9" s="907"/>
      <c r="CO9" s="907"/>
      <c r="CP9" s="907"/>
      <c r="CQ9" s="906"/>
      <c r="CR9" s="907"/>
      <c r="CS9" s="907"/>
      <c r="CT9" s="907"/>
      <c r="CU9" s="906"/>
      <c r="CV9" s="907"/>
      <c r="CW9" s="907"/>
      <c r="CX9" s="907"/>
      <c r="CY9" s="906"/>
      <c r="CZ9" s="907"/>
      <c r="DA9" s="907"/>
      <c r="DB9" s="907"/>
      <c r="DC9" s="906"/>
      <c r="DD9" s="907"/>
      <c r="DE9" s="907"/>
      <c r="DF9" s="907"/>
      <c r="DG9" s="906"/>
    </row>
    <row r="10" spans="1:120">
      <c r="A10" s="824">
        <v>7</v>
      </c>
      <c r="B10" s="824">
        <f>STUDENT!F8</f>
        <v>14773</v>
      </c>
      <c r="C10" s="824">
        <f>STUDENT!D8</f>
        <v>20230083520</v>
      </c>
      <c r="D10" s="827" t="str">
        <f>STUDENT!E8</f>
        <v>MD SAUBAN</v>
      </c>
      <c r="E10" s="827" t="str">
        <f>STUDENT!H8</f>
        <v>MD IRSHAD</v>
      </c>
      <c r="F10" s="904" t="s">
        <v>340</v>
      </c>
      <c r="G10" s="904" t="s">
        <v>339</v>
      </c>
      <c r="H10" s="904" t="s">
        <v>338</v>
      </c>
      <c r="I10" s="824">
        <f t="shared" si="0"/>
        <v>4</v>
      </c>
      <c r="J10" s="824">
        <f t="shared" si="1"/>
        <v>3</v>
      </c>
      <c r="K10" s="824">
        <f t="shared" si="2"/>
        <v>4</v>
      </c>
      <c r="L10" s="905">
        <v>4</v>
      </c>
      <c r="M10" s="905">
        <v>3</v>
      </c>
      <c r="N10" s="905">
        <v>4</v>
      </c>
      <c r="O10" s="906"/>
      <c r="P10" s="905">
        <v>4</v>
      </c>
      <c r="Q10" s="905">
        <v>3</v>
      </c>
      <c r="R10" s="905">
        <v>4</v>
      </c>
      <c r="S10" s="906"/>
      <c r="T10" s="905">
        <v>4</v>
      </c>
      <c r="U10" s="905">
        <v>3</v>
      </c>
      <c r="V10" s="905">
        <v>4</v>
      </c>
      <c r="W10" s="906"/>
      <c r="X10" s="905">
        <v>4</v>
      </c>
      <c r="Y10" s="905">
        <v>3</v>
      </c>
      <c r="Z10" s="905">
        <v>4</v>
      </c>
      <c r="AA10" s="906"/>
      <c r="AB10" s="905">
        <v>4</v>
      </c>
      <c r="AC10" s="905">
        <v>3</v>
      </c>
      <c r="AD10" s="905">
        <v>4</v>
      </c>
      <c r="AE10" s="906"/>
      <c r="AF10" s="905">
        <v>4</v>
      </c>
      <c r="AG10" s="905">
        <v>3</v>
      </c>
      <c r="AH10" s="905">
        <v>4</v>
      </c>
      <c r="AI10" s="906"/>
      <c r="AJ10" s="907"/>
      <c r="AK10" s="907"/>
      <c r="AL10" s="907"/>
      <c r="AM10" s="906"/>
      <c r="AN10" s="907"/>
      <c r="AO10" s="907"/>
      <c r="AP10" s="907"/>
      <c r="AQ10" s="906"/>
      <c r="AR10" s="907"/>
      <c r="AS10" s="907"/>
      <c r="AT10" s="907"/>
      <c r="AU10" s="906"/>
      <c r="AV10" s="907"/>
      <c r="AW10" s="907"/>
      <c r="AX10" s="907"/>
      <c r="AY10" s="906"/>
      <c r="AZ10" s="907"/>
      <c r="BA10" s="907"/>
      <c r="BB10" s="907"/>
      <c r="BC10" s="906"/>
      <c r="BD10" s="907"/>
      <c r="BE10" s="907"/>
      <c r="BF10" s="907"/>
      <c r="BG10" s="906"/>
      <c r="BH10" s="907"/>
      <c r="BI10" s="907"/>
      <c r="BJ10" s="907"/>
      <c r="BK10" s="906"/>
      <c r="BL10" s="907"/>
      <c r="BM10" s="907"/>
      <c r="BN10" s="907"/>
      <c r="BO10" s="906"/>
      <c r="BP10" s="907"/>
      <c r="BQ10" s="907"/>
      <c r="BR10" s="907"/>
      <c r="BS10" s="906"/>
      <c r="BT10" s="907"/>
      <c r="BU10" s="907"/>
      <c r="BV10" s="907"/>
      <c r="BW10" s="906"/>
      <c r="BX10" s="907"/>
      <c r="BY10" s="907"/>
      <c r="BZ10" s="907"/>
      <c r="CA10" s="906"/>
      <c r="CB10" s="907"/>
      <c r="CC10" s="907"/>
      <c r="CD10" s="907"/>
      <c r="CE10" s="906"/>
      <c r="CF10" s="907"/>
      <c r="CG10" s="907"/>
      <c r="CH10" s="907"/>
      <c r="CI10" s="906"/>
      <c r="CJ10" s="907"/>
      <c r="CK10" s="907"/>
      <c r="CL10" s="907"/>
      <c r="CM10" s="906"/>
      <c r="CN10" s="907"/>
      <c r="CO10" s="907"/>
      <c r="CP10" s="907"/>
      <c r="CQ10" s="906"/>
      <c r="CR10" s="907"/>
      <c r="CS10" s="907"/>
      <c r="CT10" s="907"/>
      <c r="CU10" s="906"/>
      <c r="CV10" s="907"/>
      <c r="CW10" s="907"/>
      <c r="CX10" s="907"/>
      <c r="CY10" s="906"/>
      <c r="CZ10" s="907"/>
      <c r="DA10" s="907"/>
      <c r="DB10" s="907"/>
      <c r="DC10" s="906"/>
      <c r="DD10" s="907"/>
      <c r="DE10" s="907"/>
      <c r="DF10" s="907"/>
      <c r="DG10" s="906"/>
    </row>
    <row r="11" spans="1:120">
      <c r="A11" s="824">
        <v>8</v>
      </c>
      <c r="B11" s="824">
        <f>STUDENT!F9</f>
        <v>14769</v>
      </c>
      <c r="C11" s="824">
        <f>STUDENT!D9</f>
        <v>20230095636</v>
      </c>
      <c r="D11" s="827" t="str">
        <f>STUDENT!E9</f>
        <v>DEEPANSHU</v>
      </c>
      <c r="E11" s="827" t="str">
        <f>STUDENT!H9</f>
        <v>AKHILESH KUMAR</v>
      </c>
      <c r="F11" s="904" t="s">
        <v>335</v>
      </c>
      <c r="G11" s="904" t="s">
        <v>336</v>
      </c>
      <c r="H11" s="904" t="s">
        <v>337</v>
      </c>
      <c r="I11" s="824">
        <f t="shared" si="0"/>
        <v>2</v>
      </c>
      <c r="J11" s="824">
        <f t="shared" si="1"/>
        <v>2</v>
      </c>
      <c r="K11" s="824">
        <f t="shared" si="2"/>
        <v>3</v>
      </c>
      <c r="L11" s="905">
        <v>2</v>
      </c>
      <c r="M11" s="905">
        <v>2</v>
      </c>
      <c r="N11" s="905">
        <v>3</v>
      </c>
      <c r="O11" s="906"/>
      <c r="P11" s="905">
        <v>2</v>
      </c>
      <c r="Q11" s="905">
        <v>2</v>
      </c>
      <c r="R11" s="905">
        <v>3</v>
      </c>
      <c r="S11" s="906"/>
      <c r="T11" s="905">
        <v>2</v>
      </c>
      <c r="U11" s="905">
        <v>2</v>
      </c>
      <c r="V11" s="905">
        <v>3</v>
      </c>
      <c r="W11" s="906"/>
      <c r="X11" s="905">
        <v>2</v>
      </c>
      <c r="Y11" s="905">
        <v>2</v>
      </c>
      <c r="Z11" s="905">
        <v>3</v>
      </c>
      <c r="AA11" s="906"/>
      <c r="AB11" s="905">
        <v>2</v>
      </c>
      <c r="AC11" s="905">
        <v>2</v>
      </c>
      <c r="AD11" s="905">
        <v>3</v>
      </c>
      <c r="AE11" s="906"/>
      <c r="AF11" s="905">
        <v>4</v>
      </c>
      <c r="AG11" s="905">
        <v>2</v>
      </c>
      <c r="AH11" s="905">
        <v>3</v>
      </c>
      <c r="AI11" s="906"/>
      <c r="AJ11" s="907"/>
      <c r="AK11" s="907"/>
      <c r="AL11" s="907"/>
      <c r="AM11" s="906"/>
      <c r="AN11" s="907"/>
      <c r="AO11" s="907"/>
      <c r="AP11" s="907"/>
      <c r="AQ11" s="906"/>
      <c r="AR11" s="907"/>
      <c r="AS11" s="907"/>
      <c r="AT11" s="907"/>
      <c r="AU11" s="906"/>
      <c r="AV11" s="907"/>
      <c r="AW11" s="907"/>
      <c r="AX11" s="907"/>
      <c r="AY11" s="906"/>
      <c r="AZ11" s="907"/>
      <c r="BA11" s="907"/>
      <c r="BB11" s="907"/>
      <c r="BC11" s="906"/>
      <c r="BD11" s="907"/>
      <c r="BE11" s="907"/>
      <c r="BF11" s="907"/>
      <c r="BG11" s="906"/>
      <c r="BH11" s="907"/>
      <c r="BI11" s="907"/>
      <c r="BJ11" s="907"/>
      <c r="BK11" s="906"/>
      <c r="BL11" s="907"/>
      <c r="BM11" s="907"/>
      <c r="BN11" s="907"/>
      <c r="BO11" s="906"/>
      <c r="BP11" s="907"/>
      <c r="BQ11" s="907"/>
      <c r="BR11" s="907"/>
      <c r="BS11" s="906"/>
      <c r="BT11" s="907"/>
      <c r="BU11" s="907"/>
      <c r="BV11" s="907"/>
      <c r="BW11" s="906"/>
      <c r="BX11" s="907"/>
      <c r="BY11" s="907"/>
      <c r="BZ11" s="907"/>
      <c r="CA11" s="906"/>
      <c r="CB11" s="907"/>
      <c r="CC11" s="907"/>
      <c r="CD11" s="907"/>
      <c r="CE11" s="906"/>
      <c r="CF11" s="907"/>
      <c r="CG11" s="907"/>
      <c r="CH11" s="907"/>
      <c r="CI11" s="906"/>
      <c r="CJ11" s="907"/>
      <c r="CK11" s="907"/>
      <c r="CL11" s="907"/>
      <c r="CM11" s="906"/>
      <c r="CN11" s="907"/>
      <c r="CO11" s="907"/>
      <c r="CP11" s="907"/>
      <c r="CQ11" s="906"/>
      <c r="CR11" s="907"/>
      <c r="CS11" s="907"/>
      <c r="CT11" s="907"/>
      <c r="CU11" s="906"/>
      <c r="CV11" s="907"/>
      <c r="CW11" s="907"/>
      <c r="CX11" s="907"/>
      <c r="CY11" s="906"/>
      <c r="CZ11" s="907"/>
      <c r="DA11" s="907"/>
      <c r="DB11" s="907"/>
      <c r="DC11" s="906"/>
      <c r="DD11" s="907"/>
      <c r="DE11" s="907"/>
      <c r="DF11" s="907"/>
      <c r="DG11" s="906"/>
    </row>
    <row r="12" spans="1:120">
      <c r="A12" s="824">
        <v>9</v>
      </c>
      <c r="B12" s="824">
        <f>STUDENT!F10</f>
        <v>14754</v>
      </c>
      <c r="C12" s="824">
        <f>STUDENT!D10</f>
        <v>20230130143</v>
      </c>
      <c r="D12" s="827" t="str">
        <f>STUDENT!E10</f>
        <v>ANUJ</v>
      </c>
      <c r="E12" s="827" t="str">
        <f>STUDENT!H10</f>
        <v>RANJEET DAS</v>
      </c>
      <c r="F12" s="904" t="s">
        <v>335</v>
      </c>
      <c r="G12" s="904" t="s">
        <v>336</v>
      </c>
      <c r="H12" s="904" t="s">
        <v>337</v>
      </c>
      <c r="I12" s="824">
        <f t="shared" si="0"/>
        <v>2</v>
      </c>
      <c r="J12" s="824">
        <f t="shared" si="1"/>
        <v>2</v>
      </c>
      <c r="K12" s="824">
        <f t="shared" si="2"/>
        <v>3</v>
      </c>
      <c r="L12" s="905">
        <v>2</v>
      </c>
      <c r="M12" s="905">
        <v>2</v>
      </c>
      <c r="N12" s="905">
        <v>3</v>
      </c>
      <c r="O12" s="906"/>
      <c r="P12" s="905">
        <v>2</v>
      </c>
      <c r="Q12" s="905">
        <v>2</v>
      </c>
      <c r="R12" s="905">
        <v>3</v>
      </c>
      <c r="S12" s="906"/>
      <c r="T12" s="905">
        <v>2</v>
      </c>
      <c r="U12" s="905">
        <v>2</v>
      </c>
      <c r="V12" s="905">
        <v>3</v>
      </c>
      <c r="W12" s="906"/>
      <c r="X12" s="905">
        <v>2</v>
      </c>
      <c r="Y12" s="905">
        <v>2</v>
      </c>
      <c r="Z12" s="905">
        <v>3</v>
      </c>
      <c r="AA12" s="906"/>
      <c r="AB12" s="905">
        <v>2</v>
      </c>
      <c r="AC12" s="905">
        <v>2</v>
      </c>
      <c r="AD12" s="905">
        <v>3</v>
      </c>
      <c r="AE12" s="906"/>
      <c r="AF12" s="905">
        <v>3</v>
      </c>
      <c r="AG12" s="905">
        <v>2</v>
      </c>
      <c r="AH12" s="905">
        <v>3</v>
      </c>
      <c r="AI12" s="906"/>
      <c r="AJ12" s="907"/>
      <c r="AK12" s="907"/>
      <c r="AL12" s="907"/>
      <c r="AM12" s="906"/>
      <c r="AN12" s="907"/>
      <c r="AO12" s="907"/>
      <c r="AP12" s="907"/>
      <c r="AQ12" s="906"/>
      <c r="AR12" s="907"/>
      <c r="AS12" s="907"/>
      <c r="AT12" s="907"/>
      <c r="AU12" s="906"/>
      <c r="AV12" s="907"/>
      <c r="AW12" s="907"/>
      <c r="AX12" s="907"/>
      <c r="AY12" s="906"/>
      <c r="AZ12" s="907"/>
      <c r="BA12" s="907"/>
      <c r="BB12" s="907"/>
      <c r="BC12" s="906"/>
      <c r="BD12" s="907"/>
      <c r="BE12" s="907"/>
      <c r="BF12" s="907"/>
      <c r="BG12" s="906"/>
      <c r="BH12" s="907"/>
      <c r="BI12" s="907"/>
      <c r="BJ12" s="907"/>
      <c r="BK12" s="906"/>
      <c r="BL12" s="907"/>
      <c r="BM12" s="907"/>
      <c r="BN12" s="907"/>
      <c r="BO12" s="906"/>
      <c r="BP12" s="907"/>
      <c r="BQ12" s="907"/>
      <c r="BR12" s="907"/>
      <c r="BS12" s="906"/>
      <c r="BT12" s="907"/>
      <c r="BU12" s="907"/>
      <c r="BV12" s="907"/>
      <c r="BW12" s="906"/>
      <c r="BX12" s="907"/>
      <c r="BY12" s="907"/>
      <c r="BZ12" s="907"/>
      <c r="CA12" s="906"/>
      <c r="CB12" s="907"/>
      <c r="CC12" s="907"/>
      <c r="CD12" s="907"/>
      <c r="CE12" s="906"/>
      <c r="CF12" s="907"/>
      <c r="CG12" s="907"/>
      <c r="CH12" s="907"/>
      <c r="CI12" s="906"/>
      <c r="CJ12" s="907"/>
      <c r="CK12" s="907"/>
      <c r="CL12" s="907"/>
      <c r="CM12" s="906"/>
      <c r="CN12" s="907"/>
      <c r="CO12" s="907"/>
      <c r="CP12" s="907"/>
      <c r="CQ12" s="906"/>
      <c r="CR12" s="907"/>
      <c r="CS12" s="907"/>
      <c r="CT12" s="907"/>
      <c r="CU12" s="906"/>
      <c r="CV12" s="907"/>
      <c r="CW12" s="907"/>
      <c r="CX12" s="907"/>
      <c r="CY12" s="906"/>
      <c r="CZ12" s="907"/>
      <c r="DA12" s="907"/>
      <c r="DB12" s="907"/>
      <c r="DC12" s="906"/>
      <c r="DD12" s="907"/>
      <c r="DE12" s="907"/>
      <c r="DF12" s="907"/>
      <c r="DG12" s="906"/>
    </row>
    <row r="13" spans="1:120">
      <c r="A13" s="824">
        <v>10</v>
      </c>
      <c r="B13" s="824">
        <f>STUDENT!F11</f>
        <v>14774</v>
      </c>
      <c r="C13" s="824">
        <f>STUDENT!D11</f>
        <v>20230268614</v>
      </c>
      <c r="D13" s="827" t="str">
        <f>STUDENT!E11</f>
        <v>PIYUSH KUMAR</v>
      </c>
      <c r="E13" s="827" t="str">
        <f>STUDENT!H11</f>
        <v>MUNNA LAL</v>
      </c>
      <c r="F13" s="904" t="s">
        <v>335</v>
      </c>
      <c r="G13" s="904" t="s">
        <v>336</v>
      </c>
      <c r="H13" s="904" t="s">
        <v>337</v>
      </c>
      <c r="I13" s="824">
        <f t="shared" si="0"/>
        <v>2</v>
      </c>
      <c r="J13" s="824">
        <f t="shared" si="1"/>
        <v>2</v>
      </c>
      <c r="K13" s="824">
        <f t="shared" si="2"/>
        <v>3</v>
      </c>
      <c r="L13" s="905">
        <v>2</v>
      </c>
      <c r="M13" s="905">
        <v>2</v>
      </c>
      <c r="N13" s="905">
        <v>3</v>
      </c>
      <c r="O13" s="906"/>
      <c r="P13" s="905">
        <v>2</v>
      </c>
      <c r="Q13" s="905">
        <v>2</v>
      </c>
      <c r="R13" s="905">
        <v>3</v>
      </c>
      <c r="S13" s="906"/>
      <c r="T13" s="905">
        <v>2</v>
      </c>
      <c r="U13" s="905">
        <v>2</v>
      </c>
      <c r="V13" s="905">
        <v>3</v>
      </c>
      <c r="W13" s="906"/>
      <c r="X13" s="905">
        <v>2</v>
      </c>
      <c r="Y13" s="905">
        <v>2</v>
      </c>
      <c r="Z13" s="905">
        <v>3</v>
      </c>
      <c r="AA13" s="906"/>
      <c r="AB13" s="905">
        <v>2</v>
      </c>
      <c r="AC13" s="905">
        <v>2</v>
      </c>
      <c r="AD13" s="905">
        <v>3</v>
      </c>
      <c r="AE13" s="906"/>
      <c r="AF13" s="905">
        <v>3</v>
      </c>
      <c r="AG13" s="905">
        <v>2</v>
      </c>
      <c r="AH13" s="905">
        <v>3</v>
      </c>
      <c r="AI13" s="906"/>
      <c r="AJ13" s="907"/>
      <c r="AK13" s="907"/>
      <c r="AL13" s="907"/>
      <c r="AM13" s="906"/>
      <c r="AN13" s="907"/>
      <c r="AO13" s="907"/>
      <c r="AP13" s="907"/>
      <c r="AQ13" s="906"/>
      <c r="AR13" s="907"/>
      <c r="AS13" s="907"/>
      <c r="AT13" s="907"/>
      <c r="AU13" s="906"/>
      <c r="AV13" s="907"/>
      <c r="AW13" s="907"/>
      <c r="AX13" s="907"/>
      <c r="AY13" s="906"/>
      <c r="AZ13" s="907"/>
      <c r="BA13" s="907"/>
      <c r="BB13" s="907"/>
      <c r="BC13" s="906"/>
      <c r="BD13" s="907"/>
      <c r="BE13" s="907"/>
      <c r="BF13" s="907"/>
      <c r="BG13" s="906"/>
      <c r="BH13" s="907"/>
      <c r="BI13" s="907"/>
      <c r="BJ13" s="907"/>
      <c r="BK13" s="906"/>
      <c r="BL13" s="907"/>
      <c r="BM13" s="907"/>
      <c r="BN13" s="907"/>
      <c r="BO13" s="906"/>
      <c r="BP13" s="907"/>
      <c r="BQ13" s="907"/>
      <c r="BR13" s="907"/>
      <c r="BS13" s="906"/>
      <c r="BT13" s="907"/>
      <c r="BU13" s="907"/>
      <c r="BV13" s="907"/>
      <c r="BW13" s="906"/>
      <c r="BX13" s="907"/>
      <c r="BY13" s="907"/>
      <c r="BZ13" s="907"/>
      <c r="CA13" s="906"/>
      <c r="CB13" s="907"/>
      <c r="CC13" s="907"/>
      <c r="CD13" s="907"/>
      <c r="CE13" s="906"/>
      <c r="CF13" s="907"/>
      <c r="CG13" s="907"/>
      <c r="CH13" s="907"/>
      <c r="CI13" s="906"/>
      <c r="CJ13" s="907"/>
      <c r="CK13" s="907"/>
      <c r="CL13" s="907"/>
      <c r="CM13" s="906"/>
      <c r="CN13" s="907"/>
      <c r="CO13" s="907"/>
      <c r="CP13" s="907"/>
      <c r="CQ13" s="906"/>
      <c r="CR13" s="907"/>
      <c r="CS13" s="907"/>
      <c r="CT13" s="907"/>
      <c r="CU13" s="906"/>
      <c r="CV13" s="907"/>
      <c r="CW13" s="907"/>
      <c r="CX13" s="907"/>
      <c r="CY13" s="906"/>
      <c r="CZ13" s="907"/>
      <c r="DA13" s="907"/>
      <c r="DB13" s="907"/>
      <c r="DC13" s="906"/>
      <c r="DD13" s="907"/>
      <c r="DE13" s="907"/>
      <c r="DF13" s="907"/>
      <c r="DG13" s="906"/>
    </row>
    <row r="14" spans="1:120">
      <c r="A14" s="824">
        <v>11</v>
      </c>
      <c r="B14" s="824">
        <f>STUDENT!F12</f>
        <v>14775</v>
      </c>
      <c r="C14" s="824">
        <f>STUDENT!D12</f>
        <v>20230349168</v>
      </c>
      <c r="D14" s="827" t="str">
        <f>STUDENT!E12</f>
        <v>MD MAHTAB</v>
      </c>
      <c r="E14" s="827" t="str">
        <f>STUDENT!H12</f>
        <v>MD ASRAF</v>
      </c>
      <c r="F14" s="904" t="s">
        <v>101</v>
      </c>
      <c r="G14" s="904" t="s">
        <v>101</v>
      </c>
      <c r="H14" s="904" t="s">
        <v>101</v>
      </c>
      <c r="I14" s="824" t="str">
        <f t="shared" si="0"/>
        <v/>
      </c>
      <c r="J14" s="824" t="str">
        <f t="shared" si="1"/>
        <v/>
      </c>
      <c r="K14" s="824" t="str">
        <f t="shared" si="2"/>
        <v/>
      </c>
      <c r="L14" s="905" t="s">
        <v>101</v>
      </c>
      <c r="M14" s="905" t="s">
        <v>101</v>
      </c>
      <c r="N14" s="905" t="s">
        <v>101</v>
      </c>
      <c r="O14" s="906"/>
      <c r="P14" s="905" t="s">
        <v>101</v>
      </c>
      <c r="Q14" s="905" t="s">
        <v>101</v>
      </c>
      <c r="R14" s="905" t="s">
        <v>101</v>
      </c>
      <c r="S14" s="906"/>
      <c r="T14" s="905" t="s">
        <v>101</v>
      </c>
      <c r="U14" s="905" t="s">
        <v>101</v>
      </c>
      <c r="V14" s="905" t="s">
        <v>101</v>
      </c>
      <c r="W14" s="906"/>
      <c r="X14" s="905" t="s">
        <v>101</v>
      </c>
      <c r="Y14" s="905" t="s">
        <v>101</v>
      </c>
      <c r="Z14" s="905" t="s">
        <v>101</v>
      </c>
      <c r="AA14" s="906"/>
      <c r="AB14" s="905" t="s">
        <v>101</v>
      </c>
      <c r="AC14" s="905" t="s">
        <v>101</v>
      </c>
      <c r="AD14" s="905" t="s">
        <v>101</v>
      </c>
      <c r="AE14" s="906"/>
      <c r="AF14" s="905" t="s">
        <v>101</v>
      </c>
      <c r="AG14" s="905" t="s">
        <v>101</v>
      </c>
      <c r="AH14" s="905" t="s">
        <v>101</v>
      </c>
      <c r="AI14" s="906"/>
      <c r="AJ14" s="907"/>
      <c r="AK14" s="907"/>
      <c r="AL14" s="907"/>
      <c r="AM14" s="906"/>
      <c r="AN14" s="907"/>
      <c r="AO14" s="907"/>
      <c r="AP14" s="907"/>
      <c r="AQ14" s="906"/>
      <c r="AR14" s="907"/>
      <c r="AS14" s="907"/>
      <c r="AT14" s="907"/>
      <c r="AU14" s="906"/>
      <c r="AV14" s="907"/>
      <c r="AW14" s="907"/>
      <c r="AX14" s="907"/>
      <c r="AY14" s="906"/>
      <c r="AZ14" s="907"/>
      <c r="BA14" s="907"/>
      <c r="BB14" s="907"/>
      <c r="BC14" s="906"/>
      <c r="BD14" s="907"/>
      <c r="BE14" s="907"/>
      <c r="BF14" s="907"/>
      <c r="BG14" s="906"/>
      <c r="BH14" s="907"/>
      <c r="BI14" s="907"/>
      <c r="BJ14" s="907"/>
      <c r="BK14" s="906"/>
      <c r="BL14" s="907"/>
      <c r="BM14" s="907"/>
      <c r="BN14" s="907"/>
      <c r="BO14" s="906"/>
      <c r="BP14" s="907"/>
      <c r="BQ14" s="907"/>
      <c r="BR14" s="907"/>
      <c r="BS14" s="906"/>
      <c r="BT14" s="907"/>
      <c r="BU14" s="907"/>
      <c r="BV14" s="907"/>
      <c r="BW14" s="906"/>
      <c r="BX14" s="907"/>
      <c r="BY14" s="907"/>
      <c r="BZ14" s="907"/>
      <c r="CA14" s="906"/>
      <c r="CB14" s="907"/>
      <c r="CC14" s="907"/>
      <c r="CD14" s="907"/>
      <c r="CE14" s="906"/>
      <c r="CF14" s="907"/>
      <c r="CG14" s="907"/>
      <c r="CH14" s="907"/>
      <c r="CI14" s="906"/>
      <c r="CJ14" s="907"/>
      <c r="CK14" s="907"/>
      <c r="CL14" s="907"/>
      <c r="CM14" s="906"/>
      <c r="CN14" s="907"/>
      <c r="CO14" s="907"/>
      <c r="CP14" s="907"/>
      <c r="CQ14" s="906"/>
      <c r="CR14" s="907"/>
      <c r="CS14" s="907"/>
      <c r="CT14" s="907"/>
      <c r="CU14" s="906"/>
      <c r="CV14" s="907"/>
      <c r="CW14" s="907"/>
      <c r="CX14" s="907"/>
      <c r="CY14" s="906"/>
      <c r="CZ14" s="907"/>
      <c r="DA14" s="907"/>
      <c r="DB14" s="907"/>
      <c r="DC14" s="906"/>
      <c r="DD14" s="907"/>
      <c r="DE14" s="907"/>
      <c r="DF14" s="907"/>
      <c r="DG14" s="906"/>
    </row>
    <row r="15" spans="1:120">
      <c r="A15" s="824">
        <v>12</v>
      </c>
      <c r="B15" s="824">
        <f>STUDENT!F13</f>
        <v>14734</v>
      </c>
      <c r="C15" s="824">
        <f>STUDENT!D13</f>
        <v>20240008153</v>
      </c>
      <c r="D15" s="827" t="str">
        <f>STUDENT!E13</f>
        <v>PRADEEP</v>
      </c>
      <c r="E15" s="827" t="str">
        <f>STUDENT!H13</f>
        <v>RAM BHAWAN</v>
      </c>
      <c r="F15" s="904" t="s">
        <v>335</v>
      </c>
      <c r="G15" s="904" t="s">
        <v>339</v>
      </c>
      <c r="H15" s="904" t="s">
        <v>337</v>
      </c>
      <c r="I15" s="824">
        <f t="shared" si="0"/>
        <v>2</v>
      </c>
      <c r="J15" s="824">
        <f t="shared" si="1"/>
        <v>2</v>
      </c>
      <c r="K15" s="824">
        <f t="shared" si="2"/>
        <v>4</v>
      </c>
      <c r="L15" s="905">
        <v>2</v>
      </c>
      <c r="M15" s="905">
        <v>2</v>
      </c>
      <c r="N15" s="905">
        <v>4</v>
      </c>
      <c r="O15" s="906"/>
      <c r="P15" s="905">
        <v>2</v>
      </c>
      <c r="Q15" s="905">
        <v>2</v>
      </c>
      <c r="R15" s="905">
        <v>4</v>
      </c>
      <c r="S15" s="906"/>
      <c r="T15" s="905">
        <v>2</v>
      </c>
      <c r="U15" s="905">
        <v>2</v>
      </c>
      <c r="V15" s="905">
        <v>4</v>
      </c>
      <c r="W15" s="906"/>
      <c r="X15" s="905">
        <v>2</v>
      </c>
      <c r="Y15" s="905">
        <v>2</v>
      </c>
      <c r="Z15" s="905">
        <v>4</v>
      </c>
      <c r="AA15" s="906"/>
      <c r="AB15" s="905">
        <v>2</v>
      </c>
      <c r="AC15" s="905">
        <v>2</v>
      </c>
      <c r="AD15" s="905">
        <v>4</v>
      </c>
      <c r="AE15" s="906"/>
      <c r="AF15" s="905">
        <v>2</v>
      </c>
      <c r="AG15" s="905">
        <v>2</v>
      </c>
      <c r="AH15" s="905">
        <v>4</v>
      </c>
      <c r="AI15" s="906"/>
      <c r="AJ15" s="907"/>
      <c r="AK15" s="907"/>
      <c r="AL15" s="907"/>
      <c r="AM15" s="906"/>
      <c r="AN15" s="907"/>
      <c r="AO15" s="907"/>
      <c r="AP15" s="907"/>
      <c r="AQ15" s="906"/>
      <c r="AR15" s="907"/>
      <c r="AS15" s="907"/>
      <c r="AT15" s="907"/>
      <c r="AU15" s="906"/>
      <c r="AV15" s="907"/>
      <c r="AW15" s="907"/>
      <c r="AX15" s="907"/>
      <c r="AY15" s="906"/>
      <c r="AZ15" s="907"/>
      <c r="BA15" s="907"/>
      <c r="BB15" s="907"/>
      <c r="BC15" s="906"/>
      <c r="BD15" s="907"/>
      <c r="BE15" s="907"/>
      <c r="BF15" s="907"/>
      <c r="BG15" s="906"/>
      <c r="BH15" s="907"/>
      <c r="BI15" s="907"/>
      <c r="BJ15" s="907"/>
      <c r="BK15" s="906"/>
      <c r="BL15" s="907"/>
      <c r="BM15" s="907"/>
      <c r="BN15" s="907"/>
      <c r="BO15" s="906"/>
      <c r="BP15" s="907"/>
      <c r="BQ15" s="907"/>
      <c r="BR15" s="907"/>
      <c r="BS15" s="906"/>
      <c r="BT15" s="907"/>
      <c r="BU15" s="907"/>
      <c r="BV15" s="907"/>
      <c r="BW15" s="906"/>
      <c r="BX15" s="907"/>
      <c r="BY15" s="907"/>
      <c r="BZ15" s="907"/>
      <c r="CA15" s="906"/>
      <c r="CB15" s="907"/>
      <c r="CC15" s="907"/>
      <c r="CD15" s="907"/>
      <c r="CE15" s="906"/>
      <c r="CF15" s="907"/>
      <c r="CG15" s="907"/>
      <c r="CH15" s="907"/>
      <c r="CI15" s="906"/>
      <c r="CJ15" s="907"/>
      <c r="CK15" s="907"/>
      <c r="CL15" s="907"/>
      <c r="CM15" s="906"/>
      <c r="CN15" s="907"/>
      <c r="CO15" s="907"/>
      <c r="CP15" s="907"/>
      <c r="CQ15" s="906"/>
      <c r="CR15" s="907"/>
      <c r="CS15" s="907"/>
      <c r="CT15" s="907"/>
      <c r="CU15" s="906"/>
      <c r="CV15" s="907"/>
      <c r="CW15" s="907"/>
      <c r="CX15" s="907"/>
      <c r="CY15" s="906"/>
      <c r="CZ15" s="907"/>
      <c r="DA15" s="907"/>
      <c r="DB15" s="907"/>
      <c r="DC15" s="906"/>
      <c r="DD15" s="907"/>
      <c r="DE15" s="907"/>
      <c r="DF15" s="907"/>
      <c r="DG15" s="906"/>
    </row>
    <row r="16" spans="1:120">
      <c r="A16" s="824">
        <v>13</v>
      </c>
      <c r="B16" s="824">
        <f>STUDENT!F14</f>
        <v>14735</v>
      </c>
      <c r="C16" s="824">
        <f>STUDENT!D14</f>
        <v>20240008167</v>
      </c>
      <c r="D16" s="827" t="str">
        <f>STUDENT!E14</f>
        <v>MOHD JISAN</v>
      </c>
      <c r="E16" s="827" t="str">
        <f>STUDENT!H14</f>
        <v>MD ZAMEEL</v>
      </c>
      <c r="F16" s="904" t="s">
        <v>335</v>
      </c>
      <c r="G16" s="904" t="s">
        <v>336</v>
      </c>
      <c r="H16" s="904" t="s">
        <v>337</v>
      </c>
      <c r="I16" s="824">
        <f t="shared" si="0"/>
        <v>2</v>
      </c>
      <c r="J16" s="824">
        <f t="shared" si="1"/>
        <v>2</v>
      </c>
      <c r="K16" s="824">
        <f t="shared" si="2"/>
        <v>3</v>
      </c>
      <c r="L16" s="905">
        <v>2</v>
      </c>
      <c r="M16" s="905">
        <v>2</v>
      </c>
      <c r="N16" s="905">
        <v>3</v>
      </c>
      <c r="O16" s="906"/>
      <c r="P16" s="905">
        <v>2</v>
      </c>
      <c r="Q16" s="905">
        <v>2</v>
      </c>
      <c r="R16" s="905">
        <v>3</v>
      </c>
      <c r="S16" s="906"/>
      <c r="T16" s="905">
        <v>2</v>
      </c>
      <c r="U16" s="905">
        <v>2</v>
      </c>
      <c r="V16" s="905">
        <v>3</v>
      </c>
      <c r="W16" s="906"/>
      <c r="X16" s="905">
        <v>2</v>
      </c>
      <c r="Y16" s="905">
        <v>2</v>
      </c>
      <c r="Z16" s="905">
        <v>3</v>
      </c>
      <c r="AA16" s="906"/>
      <c r="AB16" s="905">
        <v>2</v>
      </c>
      <c r="AC16" s="905">
        <v>2</v>
      </c>
      <c r="AD16" s="905">
        <v>3</v>
      </c>
      <c r="AE16" s="906"/>
      <c r="AF16" s="905">
        <v>2</v>
      </c>
      <c r="AG16" s="905">
        <v>2</v>
      </c>
      <c r="AH16" s="905">
        <v>3</v>
      </c>
      <c r="AI16" s="906"/>
      <c r="AJ16" s="907"/>
      <c r="AK16" s="907"/>
      <c r="AL16" s="907"/>
      <c r="AM16" s="906"/>
      <c r="AN16" s="907"/>
      <c r="AO16" s="907"/>
      <c r="AP16" s="907"/>
      <c r="AQ16" s="906"/>
      <c r="AR16" s="907"/>
      <c r="AS16" s="907"/>
      <c r="AT16" s="907"/>
      <c r="AU16" s="906"/>
      <c r="AV16" s="907"/>
      <c r="AW16" s="907"/>
      <c r="AX16" s="907"/>
      <c r="AY16" s="906"/>
      <c r="AZ16" s="907"/>
      <c r="BA16" s="907"/>
      <c r="BB16" s="907"/>
      <c r="BC16" s="906"/>
      <c r="BD16" s="907"/>
      <c r="BE16" s="907"/>
      <c r="BF16" s="907"/>
      <c r="BG16" s="906"/>
      <c r="BH16" s="907"/>
      <c r="BI16" s="907"/>
      <c r="BJ16" s="907"/>
      <c r="BK16" s="906"/>
      <c r="BL16" s="907"/>
      <c r="BM16" s="907"/>
      <c r="BN16" s="907"/>
      <c r="BO16" s="906"/>
      <c r="BP16" s="907"/>
      <c r="BQ16" s="907"/>
      <c r="BR16" s="907"/>
      <c r="BS16" s="906"/>
      <c r="BT16" s="907"/>
      <c r="BU16" s="907"/>
      <c r="BV16" s="907"/>
      <c r="BW16" s="906"/>
      <c r="BX16" s="907"/>
      <c r="BY16" s="907"/>
      <c r="BZ16" s="907"/>
      <c r="CA16" s="906"/>
      <c r="CB16" s="907"/>
      <c r="CC16" s="907"/>
      <c r="CD16" s="907"/>
      <c r="CE16" s="906"/>
      <c r="CF16" s="907"/>
      <c r="CG16" s="907"/>
      <c r="CH16" s="907"/>
      <c r="CI16" s="906"/>
      <c r="CJ16" s="907"/>
      <c r="CK16" s="907"/>
      <c r="CL16" s="907"/>
      <c r="CM16" s="906"/>
      <c r="CN16" s="907"/>
      <c r="CO16" s="907"/>
      <c r="CP16" s="907"/>
      <c r="CQ16" s="906"/>
      <c r="CR16" s="907"/>
      <c r="CS16" s="907"/>
      <c r="CT16" s="907"/>
      <c r="CU16" s="906"/>
      <c r="CV16" s="907"/>
      <c r="CW16" s="907"/>
      <c r="CX16" s="907"/>
      <c r="CY16" s="906"/>
      <c r="CZ16" s="907"/>
      <c r="DA16" s="907"/>
      <c r="DB16" s="907"/>
      <c r="DC16" s="906"/>
      <c r="DD16" s="907"/>
      <c r="DE16" s="907"/>
      <c r="DF16" s="907"/>
      <c r="DG16" s="906"/>
    </row>
    <row r="17" spans="1:111">
      <c r="A17" s="824">
        <v>14</v>
      </c>
      <c r="B17" s="824">
        <f>STUDENT!F15</f>
        <v>14745</v>
      </c>
      <c r="C17" s="824">
        <f>STUDENT!D15</f>
        <v>20240015035</v>
      </c>
      <c r="D17" s="827" t="str">
        <f>STUDENT!E15</f>
        <v>KARN KUMAR</v>
      </c>
      <c r="E17" s="827" t="str">
        <f>STUDENT!H15</f>
        <v>MUKESH RAY</v>
      </c>
      <c r="F17" s="904" t="s">
        <v>335</v>
      </c>
      <c r="G17" s="904" t="s">
        <v>336</v>
      </c>
      <c r="H17" s="904" t="s">
        <v>337</v>
      </c>
      <c r="I17" s="824">
        <f t="shared" si="0"/>
        <v>2</v>
      </c>
      <c r="J17" s="824">
        <f t="shared" si="1"/>
        <v>2</v>
      </c>
      <c r="K17" s="824">
        <f t="shared" si="2"/>
        <v>3</v>
      </c>
      <c r="L17" s="905">
        <v>2</v>
      </c>
      <c r="M17" s="905">
        <v>2</v>
      </c>
      <c r="N17" s="905">
        <v>3</v>
      </c>
      <c r="O17" s="906"/>
      <c r="P17" s="905">
        <v>2</v>
      </c>
      <c r="Q17" s="905">
        <v>2</v>
      </c>
      <c r="R17" s="905">
        <v>3</v>
      </c>
      <c r="S17" s="906"/>
      <c r="T17" s="905">
        <v>2</v>
      </c>
      <c r="U17" s="905">
        <v>2</v>
      </c>
      <c r="V17" s="905">
        <v>3</v>
      </c>
      <c r="W17" s="906"/>
      <c r="X17" s="905">
        <v>2</v>
      </c>
      <c r="Y17" s="905">
        <v>2</v>
      </c>
      <c r="Z17" s="905">
        <v>3</v>
      </c>
      <c r="AA17" s="906"/>
      <c r="AB17" s="905">
        <v>2</v>
      </c>
      <c r="AC17" s="905">
        <v>2</v>
      </c>
      <c r="AD17" s="905">
        <v>3</v>
      </c>
      <c r="AE17" s="906"/>
      <c r="AF17" s="905">
        <v>3</v>
      </c>
      <c r="AG17" s="905">
        <v>2</v>
      </c>
      <c r="AH17" s="905">
        <v>3</v>
      </c>
      <c r="AI17" s="906"/>
      <c r="AJ17" s="907"/>
      <c r="AK17" s="907"/>
      <c r="AL17" s="907"/>
      <c r="AM17" s="906"/>
      <c r="AN17" s="907"/>
      <c r="AO17" s="907"/>
      <c r="AP17" s="907"/>
      <c r="AQ17" s="906"/>
      <c r="AR17" s="907"/>
      <c r="AS17" s="907"/>
      <c r="AT17" s="907"/>
      <c r="AU17" s="906"/>
      <c r="AV17" s="907"/>
      <c r="AW17" s="907"/>
      <c r="AX17" s="907"/>
      <c r="AY17" s="906"/>
      <c r="AZ17" s="907"/>
      <c r="BA17" s="907"/>
      <c r="BB17" s="907"/>
      <c r="BC17" s="906"/>
      <c r="BD17" s="907"/>
      <c r="BE17" s="907"/>
      <c r="BF17" s="907"/>
      <c r="BG17" s="906"/>
      <c r="BH17" s="907"/>
      <c r="BI17" s="907"/>
      <c r="BJ17" s="907"/>
      <c r="BK17" s="906"/>
      <c r="BL17" s="907"/>
      <c r="BM17" s="907"/>
      <c r="BN17" s="907"/>
      <c r="BO17" s="906"/>
      <c r="BP17" s="907"/>
      <c r="BQ17" s="907"/>
      <c r="BR17" s="907"/>
      <c r="BS17" s="906"/>
      <c r="BT17" s="907"/>
      <c r="BU17" s="907"/>
      <c r="BV17" s="907"/>
      <c r="BW17" s="906"/>
      <c r="BX17" s="907"/>
      <c r="BY17" s="907"/>
      <c r="BZ17" s="907"/>
      <c r="CA17" s="906"/>
      <c r="CB17" s="907"/>
      <c r="CC17" s="907"/>
      <c r="CD17" s="907"/>
      <c r="CE17" s="906"/>
      <c r="CF17" s="907"/>
      <c r="CG17" s="907"/>
      <c r="CH17" s="907"/>
      <c r="CI17" s="906"/>
      <c r="CJ17" s="907"/>
      <c r="CK17" s="907"/>
      <c r="CL17" s="907"/>
      <c r="CM17" s="906"/>
      <c r="CN17" s="907"/>
      <c r="CO17" s="907"/>
      <c r="CP17" s="907"/>
      <c r="CQ17" s="906"/>
      <c r="CR17" s="907"/>
      <c r="CS17" s="907"/>
      <c r="CT17" s="907"/>
      <c r="CU17" s="906"/>
      <c r="CV17" s="907"/>
      <c r="CW17" s="907"/>
      <c r="CX17" s="907"/>
      <c r="CY17" s="906"/>
      <c r="CZ17" s="907"/>
      <c r="DA17" s="907"/>
      <c r="DB17" s="907"/>
      <c r="DC17" s="906"/>
      <c r="DD17" s="907"/>
      <c r="DE17" s="907"/>
      <c r="DF17" s="907"/>
      <c r="DG17" s="906"/>
    </row>
    <row r="18" spans="1:111">
      <c r="A18" s="824">
        <v>15</v>
      </c>
      <c r="B18" s="824">
        <f>STUDENT!F16</f>
        <v>14746</v>
      </c>
      <c r="C18" s="824">
        <f>STUDENT!D16</f>
        <v>20240015112</v>
      </c>
      <c r="D18" s="827" t="str">
        <f>STUDENT!E16</f>
        <v>ROKI</v>
      </c>
      <c r="E18" s="827" t="str">
        <f>STUDENT!H16</f>
        <v>KUAR SINGH</v>
      </c>
      <c r="F18" s="904" t="s">
        <v>338</v>
      </c>
      <c r="G18" s="904" t="s">
        <v>339</v>
      </c>
      <c r="H18" s="904" t="s">
        <v>338</v>
      </c>
      <c r="I18" s="824">
        <f t="shared" si="0"/>
        <v>3</v>
      </c>
      <c r="J18" s="824">
        <f t="shared" si="1"/>
        <v>3</v>
      </c>
      <c r="K18" s="824">
        <f t="shared" si="2"/>
        <v>4</v>
      </c>
      <c r="L18" s="905">
        <v>3</v>
      </c>
      <c r="M18" s="905">
        <v>3</v>
      </c>
      <c r="N18" s="905">
        <v>4</v>
      </c>
      <c r="O18" s="906"/>
      <c r="P18" s="905">
        <v>3</v>
      </c>
      <c r="Q18" s="905">
        <v>3</v>
      </c>
      <c r="R18" s="905">
        <v>4</v>
      </c>
      <c r="S18" s="906"/>
      <c r="T18" s="905">
        <v>3</v>
      </c>
      <c r="U18" s="905">
        <v>3</v>
      </c>
      <c r="V18" s="905">
        <v>4</v>
      </c>
      <c r="W18" s="906"/>
      <c r="X18" s="905">
        <v>3</v>
      </c>
      <c r="Y18" s="905">
        <v>3</v>
      </c>
      <c r="Z18" s="905">
        <v>4</v>
      </c>
      <c r="AA18" s="906"/>
      <c r="AB18" s="905">
        <v>3</v>
      </c>
      <c r="AC18" s="905">
        <v>3</v>
      </c>
      <c r="AD18" s="905">
        <v>4</v>
      </c>
      <c r="AE18" s="906"/>
      <c r="AF18" s="905">
        <v>4</v>
      </c>
      <c r="AG18" s="905">
        <v>4</v>
      </c>
      <c r="AH18" s="905">
        <v>4</v>
      </c>
      <c r="AI18" s="906"/>
      <c r="AJ18" s="907"/>
      <c r="AK18" s="907"/>
      <c r="AL18" s="907"/>
      <c r="AM18" s="906"/>
      <c r="AN18" s="907"/>
      <c r="AO18" s="907"/>
      <c r="AP18" s="907"/>
      <c r="AQ18" s="906"/>
      <c r="AR18" s="907"/>
      <c r="AS18" s="907"/>
      <c r="AT18" s="907"/>
      <c r="AU18" s="906"/>
      <c r="AV18" s="907"/>
      <c r="AW18" s="907"/>
      <c r="AX18" s="907"/>
      <c r="AY18" s="906"/>
      <c r="AZ18" s="907"/>
      <c r="BA18" s="907"/>
      <c r="BB18" s="907"/>
      <c r="BC18" s="906"/>
      <c r="BD18" s="907"/>
      <c r="BE18" s="907"/>
      <c r="BF18" s="907"/>
      <c r="BG18" s="906"/>
      <c r="BH18" s="907"/>
      <c r="BI18" s="907"/>
      <c r="BJ18" s="907"/>
      <c r="BK18" s="906"/>
      <c r="BL18" s="907"/>
      <c r="BM18" s="907"/>
      <c r="BN18" s="907"/>
      <c r="BO18" s="906"/>
      <c r="BP18" s="907"/>
      <c r="BQ18" s="907"/>
      <c r="BR18" s="907"/>
      <c r="BS18" s="906"/>
      <c r="BT18" s="907"/>
      <c r="BU18" s="907"/>
      <c r="BV18" s="907"/>
      <c r="BW18" s="906"/>
      <c r="BX18" s="907"/>
      <c r="BY18" s="907"/>
      <c r="BZ18" s="907"/>
      <c r="CA18" s="906"/>
      <c r="CB18" s="907"/>
      <c r="CC18" s="907"/>
      <c r="CD18" s="907"/>
      <c r="CE18" s="906"/>
      <c r="CF18" s="907"/>
      <c r="CG18" s="907"/>
      <c r="CH18" s="907"/>
      <c r="CI18" s="906"/>
      <c r="CJ18" s="907"/>
      <c r="CK18" s="907"/>
      <c r="CL18" s="907"/>
      <c r="CM18" s="906"/>
      <c r="CN18" s="907"/>
      <c r="CO18" s="907"/>
      <c r="CP18" s="907"/>
      <c r="CQ18" s="906"/>
      <c r="CR18" s="907"/>
      <c r="CS18" s="907"/>
      <c r="CT18" s="907"/>
      <c r="CU18" s="906"/>
      <c r="CV18" s="907"/>
      <c r="CW18" s="907"/>
      <c r="CX18" s="907"/>
      <c r="CY18" s="906"/>
      <c r="CZ18" s="907"/>
      <c r="DA18" s="907"/>
      <c r="DB18" s="907"/>
      <c r="DC18" s="906"/>
      <c r="DD18" s="907"/>
      <c r="DE18" s="907"/>
      <c r="DF18" s="907"/>
      <c r="DG18" s="906"/>
    </row>
    <row r="19" spans="1:111">
      <c r="A19" s="824">
        <v>16</v>
      </c>
      <c r="B19" s="824">
        <f>STUDENT!F17</f>
        <v>14748</v>
      </c>
      <c r="C19" s="824">
        <f>STUDENT!D17</f>
        <v>20240015199</v>
      </c>
      <c r="D19" s="827" t="str">
        <f>STUDENT!E17</f>
        <v>MD BILAL</v>
      </c>
      <c r="E19" s="827" t="str">
        <f>STUDENT!H17</f>
        <v>MD AFROJ</v>
      </c>
      <c r="F19" s="904" t="s">
        <v>335</v>
      </c>
      <c r="G19" s="904" t="s">
        <v>336</v>
      </c>
      <c r="H19" s="904" t="s">
        <v>337</v>
      </c>
      <c r="I19" s="824">
        <f t="shared" si="0"/>
        <v>2</v>
      </c>
      <c r="J19" s="824">
        <f t="shared" si="1"/>
        <v>2</v>
      </c>
      <c r="K19" s="824">
        <f t="shared" si="2"/>
        <v>3</v>
      </c>
      <c r="L19" s="905">
        <v>2</v>
      </c>
      <c r="M19" s="905">
        <v>2</v>
      </c>
      <c r="N19" s="905">
        <v>3</v>
      </c>
      <c r="O19" s="906"/>
      <c r="P19" s="905">
        <v>2</v>
      </c>
      <c r="Q19" s="905">
        <v>2</v>
      </c>
      <c r="R19" s="905">
        <v>3</v>
      </c>
      <c r="S19" s="906"/>
      <c r="T19" s="905">
        <v>2</v>
      </c>
      <c r="U19" s="905">
        <v>2</v>
      </c>
      <c r="V19" s="905">
        <v>3</v>
      </c>
      <c r="W19" s="906"/>
      <c r="X19" s="905">
        <v>2</v>
      </c>
      <c r="Y19" s="905">
        <v>2</v>
      </c>
      <c r="Z19" s="905">
        <v>3</v>
      </c>
      <c r="AA19" s="906"/>
      <c r="AB19" s="905">
        <v>2</v>
      </c>
      <c r="AC19" s="905">
        <v>2</v>
      </c>
      <c r="AD19" s="905">
        <v>3</v>
      </c>
      <c r="AE19" s="906"/>
      <c r="AF19" s="905">
        <v>3</v>
      </c>
      <c r="AG19" s="905">
        <v>3</v>
      </c>
      <c r="AH19" s="905">
        <v>4</v>
      </c>
      <c r="AI19" s="906"/>
      <c r="AJ19" s="907"/>
      <c r="AK19" s="907"/>
      <c r="AL19" s="907"/>
      <c r="AM19" s="906"/>
      <c r="AN19" s="907"/>
      <c r="AO19" s="907"/>
      <c r="AP19" s="907"/>
      <c r="AQ19" s="906"/>
      <c r="AR19" s="907"/>
      <c r="AS19" s="907"/>
      <c r="AT19" s="907"/>
      <c r="AU19" s="906"/>
      <c r="AV19" s="907"/>
      <c r="AW19" s="907"/>
      <c r="AX19" s="907"/>
      <c r="AY19" s="906"/>
      <c r="AZ19" s="907"/>
      <c r="BA19" s="907"/>
      <c r="BB19" s="907"/>
      <c r="BC19" s="906"/>
      <c r="BD19" s="907"/>
      <c r="BE19" s="907"/>
      <c r="BF19" s="907"/>
      <c r="BG19" s="906"/>
      <c r="BH19" s="907"/>
      <c r="BI19" s="907"/>
      <c r="BJ19" s="907"/>
      <c r="BK19" s="906"/>
      <c r="BL19" s="907"/>
      <c r="BM19" s="907"/>
      <c r="BN19" s="907"/>
      <c r="BO19" s="906"/>
      <c r="BP19" s="907"/>
      <c r="BQ19" s="907"/>
      <c r="BR19" s="907"/>
      <c r="BS19" s="906"/>
      <c r="BT19" s="907"/>
      <c r="BU19" s="907"/>
      <c r="BV19" s="907"/>
      <c r="BW19" s="906"/>
      <c r="BX19" s="907"/>
      <c r="BY19" s="907"/>
      <c r="BZ19" s="907"/>
      <c r="CA19" s="906"/>
      <c r="CB19" s="907"/>
      <c r="CC19" s="907"/>
      <c r="CD19" s="907"/>
      <c r="CE19" s="906"/>
      <c r="CF19" s="907"/>
      <c r="CG19" s="907"/>
      <c r="CH19" s="907"/>
      <c r="CI19" s="906"/>
      <c r="CJ19" s="907"/>
      <c r="CK19" s="907"/>
      <c r="CL19" s="907"/>
      <c r="CM19" s="906"/>
      <c r="CN19" s="907"/>
      <c r="CO19" s="907"/>
      <c r="CP19" s="907"/>
      <c r="CQ19" s="906"/>
      <c r="CR19" s="907"/>
      <c r="CS19" s="907"/>
      <c r="CT19" s="907"/>
      <c r="CU19" s="906"/>
      <c r="CV19" s="907"/>
      <c r="CW19" s="907"/>
      <c r="CX19" s="907"/>
      <c r="CY19" s="906"/>
      <c r="CZ19" s="907"/>
      <c r="DA19" s="907"/>
      <c r="DB19" s="907"/>
      <c r="DC19" s="906"/>
      <c r="DD19" s="907"/>
      <c r="DE19" s="907"/>
      <c r="DF19" s="907"/>
      <c r="DG19" s="906"/>
    </row>
    <row r="20" spans="1:111">
      <c r="A20" s="824">
        <v>17</v>
      </c>
      <c r="B20" s="824">
        <f>STUDENT!F18</f>
        <v>14755</v>
      </c>
      <c r="C20" s="824">
        <f>STUDENT!D18</f>
        <v>20240023044</v>
      </c>
      <c r="D20" s="827" t="str">
        <f>STUDENT!E18</f>
        <v>GAURAV KUMAR</v>
      </c>
      <c r="E20" s="827" t="str">
        <f>STUDENT!H18</f>
        <v>HARINDER YADAV</v>
      </c>
      <c r="F20" s="904" t="s">
        <v>335</v>
      </c>
      <c r="G20" s="904" t="s">
        <v>339</v>
      </c>
      <c r="H20" s="904" t="s">
        <v>337</v>
      </c>
      <c r="I20" s="824">
        <f t="shared" si="0"/>
        <v>2</v>
      </c>
      <c r="J20" s="824">
        <f t="shared" si="1"/>
        <v>2</v>
      </c>
      <c r="K20" s="824">
        <f t="shared" si="2"/>
        <v>4</v>
      </c>
      <c r="L20" s="905">
        <v>2</v>
      </c>
      <c r="M20" s="905">
        <v>2</v>
      </c>
      <c r="N20" s="905">
        <v>4</v>
      </c>
      <c r="O20" s="906"/>
      <c r="P20" s="905">
        <v>2</v>
      </c>
      <c r="Q20" s="905">
        <v>2</v>
      </c>
      <c r="R20" s="905">
        <v>4</v>
      </c>
      <c r="S20" s="906"/>
      <c r="T20" s="905">
        <v>2</v>
      </c>
      <c r="U20" s="905">
        <v>2</v>
      </c>
      <c r="V20" s="905">
        <v>4</v>
      </c>
      <c r="W20" s="906"/>
      <c r="X20" s="905">
        <v>2</v>
      </c>
      <c r="Y20" s="905">
        <v>2</v>
      </c>
      <c r="Z20" s="905">
        <v>4</v>
      </c>
      <c r="AA20" s="906"/>
      <c r="AB20" s="905">
        <v>2</v>
      </c>
      <c r="AC20" s="905">
        <v>2</v>
      </c>
      <c r="AD20" s="905">
        <v>4</v>
      </c>
      <c r="AE20" s="906"/>
      <c r="AF20" s="905">
        <v>3</v>
      </c>
      <c r="AG20" s="905">
        <v>2</v>
      </c>
      <c r="AH20" s="905">
        <v>4</v>
      </c>
      <c r="AI20" s="906"/>
      <c r="AJ20" s="907"/>
      <c r="AK20" s="907"/>
      <c r="AL20" s="907"/>
      <c r="AM20" s="906"/>
      <c r="AN20" s="907"/>
      <c r="AO20" s="907"/>
      <c r="AP20" s="907"/>
      <c r="AQ20" s="906"/>
      <c r="AR20" s="907"/>
      <c r="AS20" s="907"/>
      <c r="AT20" s="907"/>
      <c r="AU20" s="906"/>
      <c r="AV20" s="907"/>
      <c r="AW20" s="907"/>
      <c r="AX20" s="907"/>
      <c r="AY20" s="906"/>
      <c r="AZ20" s="907"/>
      <c r="BA20" s="907"/>
      <c r="BB20" s="907"/>
      <c r="BC20" s="906"/>
      <c r="BD20" s="907"/>
      <c r="BE20" s="907"/>
      <c r="BF20" s="907"/>
      <c r="BG20" s="906"/>
      <c r="BH20" s="907"/>
      <c r="BI20" s="907"/>
      <c r="BJ20" s="907"/>
      <c r="BK20" s="906"/>
      <c r="BL20" s="907"/>
      <c r="BM20" s="907"/>
      <c r="BN20" s="907"/>
      <c r="BO20" s="906"/>
      <c r="BP20" s="907"/>
      <c r="BQ20" s="907"/>
      <c r="BR20" s="907"/>
      <c r="BS20" s="906"/>
      <c r="BT20" s="907"/>
      <c r="BU20" s="907"/>
      <c r="BV20" s="907"/>
      <c r="BW20" s="906"/>
      <c r="BX20" s="907"/>
      <c r="BY20" s="907"/>
      <c r="BZ20" s="907"/>
      <c r="CA20" s="906"/>
      <c r="CB20" s="907"/>
      <c r="CC20" s="907"/>
      <c r="CD20" s="907"/>
      <c r="CE20" s="906"/>
      <c r="CF20" s="907"/>
      <c r="CG20" s="907"/>
      <c r="CH20" s="907"/>
      <c r="CI20" s="906"/>
      <c r="CJ20" s="907"/>
      <c r="CK20" s="907"/>
      <c r="CL20" s="907"/>
      <c r="CM20" s="906"/>
      <c r="CN20" s="907"/>
      <c r="CO20" s="907"/>
      <c r="CP20" s="907"/>
      <c r="CQ20" s="906"/>
      <c r="CR20" s="907"/>
      <c r="CS20" s="907"/>
      <c r="CT20" s="907"/>
      <c r="CU20" s="906"/>
      <c r="CV20" s="907"/>
      <c r="CW20" s="907"/>
      <c r="CX20" s="907"/>
      <c r="CY20" s="906"/>
      <c r="CZ20" s="907"/>
      <c r="DA20" s="907"/>
      <c r="DB20" s="907"/>
      <c r="DC20" s="906"/>
      <c r="DD20" s="907"/>
      <c r="DE20" s="907"/>
      <c r="DF20" s="907"/>
      <c r="DG20" s="906"/>
    </row>
    <row r="21" spans="1:111">
      <c r="A21" s="824">
        <v>18</v>
      </c>
      <c r="B21" s="824">
        <f>STUDENT!F19</f>
        <v>14756</v>
      </c>
      <c r="C21" s="824">
        <f>STUDENT!D19</f>
        <v>20240023055</v>
      </c>
      <c r="D21" s="827" t="str">
        <f>STUDENT!E19</f>
        <v>SAURAV KUMAR</v>
      </c>
      <c r="E21" s="827" t="str">
        <f>STUDENT!H19</f>
        <v>HARINDER YADAV</v>
      </c>
      <c r="F21" s="904" t="s">
        <v>335</v>
      </c>
      <c r="G21" s="904" t="s">
        <v>339</v>
      </c>
      <c r="H21" s="904" t="s">
        <v>337</v>
      </c>
      <c r="I21" s="824">
        <f t="shared" si="0"/>
        <v>2</v>
      </c>
      <c r="J21" s="824">
        <f t="shared" si="1"/>
        <v>2</v>
      </c>
      <c r="K21" s="824">
        <f t="shared" si="2"/>
        <v>4</v>
      </c>
      <c r="L21" s="905">
        <v>2</v>
      </c>
      <c r="M21" s="905">
        <v>2</v>
      </c>
      <c r="N21" s="905">
        <v>4</v>
      </c>
      <c r="O21" s="906"/>
      <c r="P21" s="905">
        <v>2</v>
      </c>
      <c r="Q21" s="905">
        <v>2</v>
      </c>
      <c r="R21" s="905">
        <v>4</v>
      </c>
      <c r="S21" s="906"/>
      <c r="T21" s="905">
        <v>2</v>
      </c>
      <c r="U21" s="905">
        <v>2</v>
      </c>
      <c r="V21" s="905">
        <v>4</v>
      </c>
      <c r="W21" s="906"/>
      <c r="X21" s="905">
        <v>2</v>
      </c>
      <c r="Y21" s="905">
        <v>2</v>
      </c>
      <c r="Z21" s="905">
        <v>4</v>
      </c>
      <c r="AA21" s="906"/>
      <c r="AB21" s="905">
        <v>2</v>
      </c>
      <c r="AC21" s="905">
        <v>2</v>
      </c>
      <c r="AD21" s="905">
        <v>4</v>
      </c>
      <c r="AE21" s="906"/>
      <c r="AF21" s="905">
        <v>3</v>
      </c>
      <c r="AG21" s="905">
        <v>2</v>
      </c>
      <c r="AH21" s="905">
        <v>4</v>
      </c>
      <c r="AI21" s="906"/>
      <c r="AJ21" s="907"/>
      <c r="AK21" s="907"/>
      <c r="AL21" s="907"/>
      <c r="AM21" s="906"/>
      <c r="AN21" s="907"/>
      <c r="AO21" s="907"/>
      <c r="AP21" s="907"/>
      <c r="AQ21" s="906"/>
      <c r="AR21" s="907"/>
      <c r="AS21" s="907"/>
      <c r="AT21" s="907"/>
      <c r="AU21" s="906"/>
      <c r="AV21" s="907"/>
      <c r="AW21" s="907"/>
      <c r="AX21" s="907"/>
      <c r="AY21" s="906"/>
      <c r="AZ21" s="907"/>
      <c r="BA21" s="907"/>
      <c r="BB21" s="907"/>
      <c r="BC21" s="906"/>
      <c r="BD21" s="907"/>
      <c r="BE21" s="907"/>
      <c r="BF21" s="907"/>
      <c r="BG21" s="906"/>
      <c r="BH21" s="907"/>
      <c r="BI21" s="907"/>
      <c r="BJ21" s="907"/>
      <c r="BK21" s="906"/>
      <c r="BL21" s="907"/>
      <c r="BM21" s="907"/>
      <c r="BN21" s="907"/>
      <c r="BO21" s="906"/>
      <c r="BP21" s="907"/>
      <c r="BQ21" s="907"/>
      <c r="BR21" s="907"/>
      <c r="BS21" s="906"/>
      <c r="BT21" s="907"/>
      <c r="BU21" s="907"/>
      <c r="BV21" s="907"/>
      <c r="BW21" s="906"/>
      <c r="BX21" s="907"/>
      <c r="BY21" s="907"/>
      <c r="BZ21" s="907"/>
      <c r="CA21" s="906"/>
      <c r="CB21" s="907"/>
      <c r="CC21" s="907"/>
      <c r="CD21" s="907"/>
      <c r="CE21" s="906"/>
      <c r="CF21" s="907"/>
      <c r="CG21" s="907"/>
      <c r="CH21" s="907"/>
      <c r="CI21" s="906"/>
      <c r="CJ21" s="907"/>
      <c r="CK21" s="907"/>
      <c r="CL21" s="907"/>
      <c r="CM21" s="906"/>
      <c r="CN21" s="907"/>
      <c r="CO21" s="907"/>
      <c r="CP21" s="907"/>
      <c r="CQ21" s="906"/>
      <c r="CR21" s="907"/>
      <c r="CS21" s="907"/>
      <c r="CT21" s="907"/>
      <c r="CU21" s="906"/>
      <c r="CV21" s="907"/>
      <c r="CW21" s="907"/>
      <c r="CX21" s="907"/>
      <c r="CY21" s="906"/>
      <c r="CZ21" s="907"/>
      <c r="DA21" s="907"/>
      <c r="DB21" s="907"/>
      <c r="DC21" s="906"/>
      <c r="DD21" s="907"/>
      <c r="DE21" s="907"/>
      <c r="DF21" s="907"/>
      <c r="DG21" s="906"/>
    </row>
    <row r="22" spans="1:111">
      <c r="A22" s="824">
        <v>19</v>
      </c>
      <c r="B22" s="824">
        <f>STUDENT!F20</f>
        <v>14758</v>
      </c>
      <c r="C22" s="824">
        <f>STUDENT!D20</f>
        <v>20240023083</v>
      </c>
      <c r="D22" s="827" t="str">
        <f>STUDENT!E20</f>
        <v>HANAM AYUBI</v>
      </c>
      <c r="E22" s="827" t="str">
        <f>STUDENT!H20</f>
        <v>MD PARWEZ</v>
      </c>
      <c r="F22" s="904" t="s">
        <v>335</v>
      </c>
      <c r="G22" s="904" t="s">
        <v>336</v>
      </c>
      <c r="H22" s="904" t="s">
        <v>337</v>
      </c>
      <c r="I22" s="824">
        <f t="shared" si="0"/>
        <v>2</v>
      </c>
      <c r="J22" s="824">
        <f t="shared" si="1"/>
        <v>2</v>
      </c>
      <c r="K22" s="824">
        <f t="shared" si="2"/>
        <v>3</v>
      </c>
      <c r="L22" s="905">
        <v>2</v>
      </c>
      <c r="M22" s="905">
        <v>2</v>
      </c>
      <c r="N22" s="905">
        <v>3</v>
      </c>
      <c r="O22" s="906"/>
      <c r="P22" s="905">
        <v>2</v>
      </c>
      <c r="Q22" s="905">
        <v>2</v>
      </c>
      <c r="R22" s="905">
        <v>3</v>
      </c>
      <c r="S22" s="906"/>
      <c r="T22" s="905">
        <v>2</v>
      </c>
      <c r="U22" s="905">
        <v>2</v>
      </c>
      <c r="V22" s="905">
        <v>3</v>
      </c>
      <c r="W22" s="906"/>
      <c r="X22" s="905">
        <v>2</v>
      </c>
      <c r="Y22" s="905">
        <v>2</v>
      </c>
      <c r="Z22" s="905">
        <v>3</v>
      </c>
      <c r="AA22" s="906"/>
      <c r="AB22" s="905">
        <v>2</v>
      </c>
      <c r="AC22" s="905">
        <v>2</v>
      </c>
      <c r="AD22" s="905">
        <v>3</v>
      </c>
      <c r="AE22" s="906"/>
      <c r="AF22" s="905">
        <v>2</v>
      </c>
      <c r="AG22" s="905">
        <v>2</v>
      </c>
      <c r="AH22" s="905">
        <v>3</v>
      </c>
      <c r="AI22" s="906"/>
      <c r="AJ22" s="907"/>
      <c r="AK22" s="907"/>
      <c r="AL22" s="907"/>
      <c r="AM22" s="906"/>
      <c r="AN22" s="907"/>
      <c r="AO22" s="907"/>
      <c r="AP22" s="907"/>
      <c r="AQ22" s="906"/>
      <c r="AR22" s="907"/>
      <c r="AS22" s="907"/>
      <c r="AT22" s="907"/>
      <c r="AU22" s="906"/>
      <c r="AV22" s="907"/>
      <c r="AW22" s="907"/>
      <c r="AX22" s="907"/>
      <c r="AY22" s="906"/>
      <c r="AZ22" s="907"/>
      <c r="BA22" s="907"/>
      <c r="BB22" s="907"/>
      <c r="BC22" s="906"/>
      <c r="BD22" s="907"/>
      <c r="BE22" s="907"/>
      <c r="BF22" s="907"/>
      <c r="BG22" s="906"/>
      <c r="BH22" s="907"/>
      <c r="BI22" s="907"/>
      <c r="BJ22" s="907"/>
      <c r="BK22" s="906"/>
      <c r="BL22" s="907"/>
      <c r="BM22" s="907"/>
      <c r="BN22" s="907"/>
      <c r="BO22" s="906"/>
      <c r="BP22" s="907"/>
      <c r="BQ22" s="907"/>
      <c r="BR22" s="907"/>
      <c r="BS22" s="906"/>
      <c r="BT22" s="907"/>
      <c r="BU22" s="907"/>
      <c r="BV22" s="907"/>
      <c r="BW22" s="906"/>
      <c r="BX22" s="907"/>
      <c r="BY22" s="907"/>
      <c r="BZ22" s="907"/>
      <c r="CA22" s="906"/>
      <c r="CB22" s="907"/>
      <c r="CC22" s="907"/>
      <c r="CD22" s="907"/>
      <c r="CE22" s="906"/>
      <c r="CF22" s="907"/>
      <c r="CG22" s="907"/>
      <c r="CH22" s="907"/>
      <c r="CI22" s="906"/>
      <c r="CJ22" s="907"/>
      <c r="CK22" s="907"/>
      <c r="CL22" s="907"/>
      <c r="CM22" s="906"/>
      <c r="CN22" s="907"/>
      <c r="CO22" s="907"/>
      <c r="CP22" s="907"/>
      <c r="CQ22" s="906"/>
      <c r="CR22" s="907"/>
      <c r="CS22" s="907"/>
      <c r="CT22" s="907"/>
      <c r="CU22" s="906"/>
      <c r="CV22" s="907"/>
      <c r="CW22" s="907"/>
      <c r="CX22" s="907"/>
      <c r="CY22" s="906"/>
      <c r="CZ22" s="907"/>
      <c r="DA22" s="907"/>
      <c r="DB22" s="907"/>
      <c r="DC22" s="906"/>
      <c r="DD22" s="907"/>
      <c r="DE22" s="907"/>
      <c r="DF22" s="907"/>
      <c r="DG22" s="906"/>
    </row>
    <row r="23" spans="1:111">
      <c r="A23" s="824">
        <v>20</v>
      </c>
      <c r="B23" s="824">
        <f>STUDENT!F21</f>
        <v>14768</v>
      </c>
      <c r="C23" s="824">
        <f>STUDENT!D21</f>
        <v>20240028340</v>
      </c>
      <c r="D23" s="827" t="str">
        <f>STUDENT!E21</f>
        <v>ANKUR</v>
      </c>
      <c r="E23" s="827" t="str">
        <f>STUDENT!H21</f>
        <v>ASHOK KUMAR GUPTA</v>
      </c>
      <c r="F23" s="904" t="s">
        <v>335</v>
      </c>
      <c r="G23" s="904" t="s">
        <v>336</v>
      </c>
      <c r="H23" s="904" t="s">
        <v>337</v>
      </c>
      <c r="I23" s="824">
        <f t="shared" si="0"/>
        <v>2</v>
      </c>
      <c r="J23" s="824">
        <f t="shared" si="1"/>
        <v>2</v>
      </c>
      <c r="K23" s="824">
        <f t="shared" si="2"/>
        <v>3</v>
      </c>
      <c r="L23" s="905">
        <v>2</v>
      </c>
      <c r="M23" s="905">
        <v>2</v>
      </c>
      <c r="N23" s="905">
        <v>3</v>
      </c>
      <c r="O23" s="907"/>
      <c r="P23" s="905">
        <v>2</v>
      </c>
      <c r="Q23" s="905">
        <v>2</v>
      </c>
      <c r="R23" s="905">
        <v>3</v>
      </c>
      <c r="S23" s="906"/>
      <c r="T23" s="905">
        <v>2</v>
      </c>
      <c r="U23" s="905">
        <v>2</v>
      </c>
      <c r="V23" s="905">
        <v>3</v>
      </c>
      <c r="W23" s="906"/>
      <c r="X23" s="905">
        <v>2</v>
      </c>
      <c r="Y23" s="905">
        <v>2</v>
      </c>
      <c r="Z23" s="905">
        <v>3</v>
      </c>
      <c r="AA23" s="906"/>
      <c r="AB23" s="905">
        <v>2</v>
      </c>
      <c r="AC23" s="905">
        <v>2</v>
      </c>
      <c r="AD23" s="905">
        <v>3</v>
      </c>
      <c r="AE23" s="906"/>
      <c r="AF23" s="905">
        <v>2</v>
      </c>
      <c r="AG23" s="905">
        <v>2</v>
      </c>
      <c r="AH23" s="905">
        <v>3</v>
      </c>
      <c r="AI23" s="906"/>
      <c r="AJ23" s="907"/>
      <c r="AK23" s="907"/>
      <c r="AL23" s="907"/>
      <c r="AM23" s="906"/>
      <c r="AN23" s="907"/>
      <c r="AO23" s="907"/>
      <c r="AP23" s="907"/>
      <c r="AQ23" s="906"/>
      <c r="AR23" s="907"/>
      <c r="AS23" s="907"/>
      <c r="AT23" s="907"/>
      <c r="AU23" s="906"/>
      <c r="AV23" s="907"/>
      <c r="AW23" s="907"/>
      <c r="AX23" s="907"/>
      <c r="AY23" s="906"/>
      <c r="AZ23" s="907"/>
      <c r="BA23" s="907"/>
      <c r="BB23" s="907"/>
      <c r="BC23" s="906"/>
      <c r="BD23" s="907"/>
      <c r="BE23" s="907"/>
      <c r="BF23" s="907"/>
      <c r="BG23" s="906"/>
      <c r="BH23" s="907"/>
      <c r="BI23" s="907"/>
      <c r="BJ23" s="907"/>
      <c r="BK23" s="906"/>
      <c r="BL23" s="907"/>
      <c r="BM23" s="907"/>
      <c r="BN23" s="907"/>
      <c r="BO23" s="906"/>
      <c r="BP23" s="907"/>
      <c r="BQ23" s="907"/>
      <c r="BR23" s="907"/>
      <c r="BS23" s="906"/>
      <c r="BT23" s="907"/>
      <c r="BU23" s="907"/>
      <c r="BV23" s="907"/>
      <c r="BW23" s="906"/>
      <c r="BX23" s="907"/>
      <c r="BY23" s="907"/>
      <c r="BZ23" s="907"/>
      <c r="CA23" s="906"/>
      <c r="CB23" s="907"/>
      <c r="CC23" s="907"/>
      <c r="CD23" s="907"/>
      <c r="CE23" s="906"/>
      <c r="CF23" s="907"/>
      <c r="CG23" s="907"/>
      <c r="CH23" s="907"/>
      <c r="CI23" s="906"/>
      <c r="CJ23" s="907"/>
      <c r="CK23" s="907"/>
      <c r="CL23" s="907"/>
      <c r="CM23" s="906"/>
      <c r="CN23" s="907"/>
      <c r="CO23" s="907"/>
      <c r="CP23" s="907"/>
      <c r="CQ23" s="906"/>
      <c r="CR23" s="907"/>
      <c r="CS23" s="907"/>
      <c r="CT23" s="907"/>
      <c r="CU23" s="906"/>
      <c r="CV23" s="907"/>
      <c r="CW23" s="907"/>
      <c r="CX23" s="907"/>
      <c r="CY23" s="906"/>
      <c r="CZ23" s="907"/>
      <c r="DA23" s="907"/>
      <c r="DB23" s="907"/>
      <c r="DC23" s="906"/>
      <c r="DD23" s="907"/>
      <c r="DE23" s="907"/>
      <c r="DF23" s="907"/>
      <c r="DG23" s="906"/>
    </row>
    <row r="24" spans="1:111">
      <c r="A24" s="824">
        <v>21</v>
      </c>
      <c r="B24" s="824">
        <f>STUDENT!F22</f>
        <v>14792</v>
      </c>
      <c r="C24" s="824">
        <f>STUDENT!D22</f>
        <v>20240074441</v>
      </c>
      <c r="D24" s="827" t="str">
        <f>STUDENT!E22</f>
        <v>SOBHIT PASWAN</v>
      </c>
      <c r="E24" s="827" t="str">
        <f>STUDENT!H22</f>
        <v>SHANKAR PASWAN</v>
      </c>
      <c r="F24" s="904" t="s">
        <v>335</v>
      </c>
      <c r="G24" s="904" t="s">
        <v>336</v>
      </c>
      <c r="H24" s="904" t="s">
        <v>337</v>
      </c>
      <c r="I24" s="824">
        <f t="shared" si="0"/>
        <v>2</v>
      </c>
      <c r="J24" s="824">
        <f t="shared" si="1"/>
        <v>2</v>
      </c>
      <c r="K24" s="824">
        <f t="shared" si="2"/>
        <v>3</v>
      </c>
      <c r="L24" s="905">
        <v>2</v>
      </c>
      <c r="M24" s="905">
        <v>2</v>
      </c>
      <c r="N24" s="905">
        <v>3</v>
      </c>
      <c r="O24" s="907"/>
      <c r="P24" s="905">
        <v>2</v>
      </c>
      <c r="Q24" s="905">
        <v>2</v>
      </c>
      <c r="R24" s="905">
        <v>3</v>
      </c>
      <c r="S24" s="906"/>
      <c r="T24" s="905">
        <v>2</v>
      </c>
      <c r="U24" s="905">
        <v>2</v>
      </c>
      <c r="V24" s="905">
        <v>3</v>
      </c>
      <c r="W24" s="906"/>
      <c r="X24" s="905">
        <v>2</v>
      </c>
      <c r="Y24" s="905">
        <v>2</v>
      </c>
      <c r="Z24" s="905">
        <v>3</v>
      </c>
      <c r="AA24" s="906"/>
      <c r="AB24" s="905">
        <v>2</v>
      </c>
      <c r="AC24" s="905">
        <v>2</v>
      </c>
      <c r="AD24" s="905">
        <v>3</v>
      </c>
      <c r="AE24" s="906"/>
      <c r="AF24" s="905">
        <v>2</v>
      </c>
      <c r="AG24" s="905">
        <v>2</v>
      </c>
      <c r="AH24" s="905">
        <v>3</v>
      </c>
      <c r="AI24" s="906"/>
      <c r="AJ24" s="907"/>
      <c r="AK24" s="907"/>
      <c r="AL24" s="907"/>
      <c r="AM24" s="906"/>
      <c r="AN24" s="907"/>
      <c r="AO24" s="907"/>
      <c r="AP24" s="907"/>
      <c r="AQ24" s="906"/>
      <c r="AR24" s="907"/>
      <c r="AS24" s="907"/>
      <c r="AT24" s="907"/>
      <c r="AU24" s="906"/>
      <c r="AV24" s="907"/>
      <c r="AW24" s="907"/>
      <c r="AX24" s="907"/>
      <c r="AY24" s="906"/>
      <c r="AZ24" s="907"/>
      <c r="BA24" s="907"/>
      <c r="BB24" s="907"/>
      <c r="BC24" s="906"/>
      <c r="BD24" s="907"/>
      <c r="BE24" s="907"/>
      <c r="BF24" s="907"/>
      <c r="BG24" s="906"/>
      <c r="BH24" s="907"/>
      <c r="BI24" s="907"/>
      <c r="BJ24" s="907"/>
      <c r="BK24" s="906"/>
      <c r="BL24" s="907"/>
      <c r="BM24" s="907"/>
      <c r="BN24" s="907"/>
      <c r="BO24" s="906"/>
      <c r="BP24" s="907"/>
      <c r="BQ24" s="907"/>
      <c r="BR24" s="907"/>
      <c r="BS24" s="906"/>
      <c r="BT24" s="907"/>
      <c r="BU24" s="907"/>
      <c r="BV24" s="907"/>
      <c r="BW24" s="906"/>
      <c r="BX24" s="907"/>
      <c r="BY24" s="907"/>
      <c r="BZ24" s="907"/>
      <c r="CA24" s="906"/>
      <c r="CB24" s="907"/>
      <c r="CC24" s="907"/>
      <c r="CD24" s="907"/>
      <c r="CE24" s="906"/>
      <c r="CF24" s="907"/>
      <c r="CG24" s="907"/>
      <c r="CH24" s="907"/>
      <c r="CI24" s="906"/>
      <c r="CJ24" s="907"/>
      <c r="CK24" s="907"/>
      <c r="CL24" s="907"/>
      <c r="CM24" s="906"/>
      <c r="CN24" s="907"/>
      <c r="CO24" s="907"/>
      <c r="CP24" s="907"/>
      <c r="CQ24" s="906"/>
      <c r="CR24" s="907"/>
      <c r="CS24" s="907"/>
      <c r="CT24" s="907"/>
      <c r="CU24" s="906"/>
      <c r="CV24" s="907"/>
      <c r="CW24" s="907"/>
      <c r="CX24" s="907"/>
      <c r="CY24" s="906"/>
      <c r="CZ24" s="907"/>
      <c r="DA24" s="907"/>
      <c r="DB24" s="907"/>
      <c r="DC24" s="906"/>
      <c r="DD24" s="907"/>
      <c r="DE24" s="907"/>
      <c r="DF24" s="907"/>
      <c r="DG24" s="906"/>
    </row>
    <row r="25" spans="1:111">
      <c r="A25" s="824">
        <v>22</v>
      </c>
      <c r="B25" s="824">
        <f>STUDENT!F23</f>
        <v>14804</v>
      </c>
      <c r="C25" s="824">
        <f>STUDENT!D23</f>
        <v>20240100859</v>
      </c>
      <c r="D25" s="827" t="str">
        <f>STUDENT!E23</f>
        <v>ABHISHEK MUKHIYA</v>
      </c>
      <c r="E25" s="827" t="str">
        <f>STUDENT!H23</f>
        <v>ARJUN MUKHIYA</v>
      </c>
      <c r="F25" s="904" t="s">
        <v>335</v>
      </c>
      <c r="G25" s="904" t="s">
        <v>336</v>
      </c>
      <c r="H25" s="904" t="s">
        <v>337</v>
      </c>
      <c r="I25" s="824">
        <f t="shared" si="0"/>
        <v>2</v>
      </c>
      <c r="J25" s="824">
        <f t="shared" si="1"/>
        <v>2</v>
      </c>
      <c r="K25" s="824">
        <f t="shared" si="2"/>
        <v>3</v>
      </c>
      <c r="L25" s="905">
        <v>2</v>
      </c>
      <c r="M25" s="905">
        <v>2</v>
      </c>
      <c r="N25" s="905">
        <v>3</v>
      </c>
      <c r="O25" s="907"/>
      <c r="P25" s="905">
        <v>2</v>
      </c>
      <c r="Q25" s="905">
        <v>2</v>
      </c>
      <c r="R25" s="905">
        <v>3</v>
      </c>
      <c r="S25" s="906"/>
      <c r="T25" s="905">
        <v>2</v>
      </c>
      <c r="U25" s="905">
        <v>2</v>
      </c>
      <c r="V25" s="905">
        <v>3</v>
      </c>
      <c r="W25" s="906"/>
      <c r="X25" s="905">
        <v>2</v>
      </c>
      <c r="Y25" s="905">
        <v>2</v>
      </c>
      <c r="Z25" s="905">
        <v>3</v>
      </c>
      <c r="AA25" s="906"/>
      <c r="AB25" s="905">
        <v>2</v>
      </c>
      <c r="AC25" s="905">
        <v>2</v>
      </c>
      <c r="AD25" s="905">
        <v>3</v>
      </c>
      <c r="AE25" s="906"/>
      <c r="AF25" s="905">
        <v>4</v>
      </c>
      <c r="AG25" s="905">
        <v>4</v>
      </c>
      <c r="AH25" s="905">
        <v>4</v>
      </c>
      <c r="AI25" s="906"/>
      <c r="AJ25" s="907"/>
      <c r="AK25" s="907"/>
      <c r="AL25" s="907"/>
      <c r="AM25" s="906"/>
      <c r="AN25" s="907"/>
      <c r="AO25" s="907"/>
      <c r="AP25" s="907"/>
      <c r="AQ25" s="906"/>
      <c r="AR25" s="907"/>
      <c r="AS25" s="907"/>
      <c r="AT25" s="907"/>
      <c r="AU25" s="906"/>
      <c r="AV25" s="907"/>
      <c r="AW25" s="907"/>
      <c r="AX25" s="907"/>
      <c r="AY25" s="906"/>
      <c r="AZ25" s="907"/>
      <c r="BA25" s="907"/>
      <c r="BB25" s="907"/>
      <c r="BC25" s="906"/>
      <c r="BD25" s="907"/>
      <c r="BE25" s="907"/>
      <c r="BF25" s="907"/>
      <c r="BG25" s="906"/>
      <c r="BH25" s="907"/>
      <c r="BI25" s="907"/>
      <c r="BJ25" s="907"/>
      <c r="BK25" s="906"/>
      <c r="BL25" s="907"/>
      <c r="BM25" s="907"/>
      <c r="BN25" s="907"/>
      <c r="BO25" s="906"/>
      <c r="BP25" s="907"/>
      <c r="BQ25" s="907"/>
      <c r="BR25" s="907"/>
      <c r="BS25" s="906"/>
      <c r="BT25" s="907"/>
      <c r="BU25" s="907"/>
      <c r="BV25" s="907"/>
      <c r="BW25" s="906"/>
      <c r="BX25" s="907"/>
      <c r="BY25" s="907"/>
      <c r="BZ25" s="907"/>
      <c r="CA25" s="906"/>
      <c r="CB25" s="907"/>
      <c r="CC25" s="907"/>
      <c r="CD25" s="907"/>
      <c r="CE25" s="906"/>
      <c r="CF25" s="907"/>
      <c r="CG25" s="907"/>
      <c r="CH25" s="907"/>
      <c r="CI25" s="906"/>
      <c r="CJ25" s="907"/>
      <c r="CK25" s="907"/>
      <c r="CL25" s="907"/>
      <c r="CM25" s="906"/>
      <c r="CN25" s="907"/>
      <c r="CO25" s="907"/>
      <c r="CP25" s="907"/>
      <c r="CQ25" s="906"/>
      <c r="CR25" s="907"/>
      <c r="CS25" s="907"/>
      <c r="CT25" s="907"/>
      <c r="CU25" s="906"/>
      <c r="CV25" s="907"/>
      <c r="CW25" s="907"/>
      <c r="CX25" s="907"/>
      <c r="CY25" s="906"/>
      <c r="CZ25" s="907"/>
      <c r="DA25" s="907"/>
      <c r="DB25" s="907"/>
      <c r="DC25" s="906"/>
      <c r="DD25" s="907"/>
      <c r="DE25" s="907"/>
      <c r="DF25" s="907"/>
      <c r="DG25" s="906"/>
    </row>
    <row r="26" spans="1:111">
      <c r="A26" s="824">
        <v>23</v>
      </c>
      <c r="B26" s="824">
        <f>STUDENT!F24</f>
        <v>14805</v>
      </c>
      <c r="C26" s="824">
        <f>STUDENT!D24</f>
        <v>20240100885</v>
      </c>
      <c r="D26" s="827" t="str">
        <f>STUDENT!E24</f>
        <v>NITIN</v>
      </c>
      <c r="E26" s="827" t="str">
        <f>STUDENT!H24</f>
        <v>AJAY</v>
      </c>
      <c r="F26" s="904" t="s">
        <v>340</v>
      </c>
      <c r="G26" s="904" t="s">
        <v>339</v>
      </c>
      <c r="H26" s="904" t="s">
        <v>338</v>
      </c>
      <c r="I26" s="824">
        <f t="shared" si="0"/>
        <v>4</v>
      </c>
      <c r="J26" s="824">
        <f t="shared" si="1"/>
        <v>3</v>
      </c>
      <c r="K26" s="824">
        <f t="shared" si="2"/>
        <v>4</v>
      </c>
      <c r="L26" s="905">
        <v>4</v>
      </c>
      <c r="M26" s="905">
        <v>3</v>
      </c>
      <c r="N26" s="905">
        <v>4</v>
      </c>
      <c r="O26" s="907"/>
      <c r="P26" s="905">
        <v>4</v>
      </c>
      <c r="Q26" s="905">
        <v>3</v>
      </c>
      <c r="R26" s="905">
        <v>4</v>
      </c>
      <c r="S26" s="906"/>
      <c r="T26" s="905">
        <v>4</v>
      </c>
      <c r="U26" s="905">
        <v>3</v>
      </c>
      <c r="V26" s="905">
        <v>4</v>
      </c>
      <c r="W26" s="906"/>
      <c r="X26" s="905">
        <v>4</v>
      </c>
      <c r="Y26" s="905">
        <v>3</v>
      </c>
      <c r="Z26" s="905">
        <v>4</v>
      </c>
      <c r="AA26" s="906"/>
      <c r="AB26" s="905">
        <v>4</v>
      </c>
      <c r="AC26" s="905">
        <v>3</v>
      </c>
      <c r="AD26" s="905">
        <v>4</v>
      </c>
      <c r="AE26" s="906"/>
      <c r="AF26" s="905">
        <v>4</v>
      </c>
      <c r="AG26" s="905">
        <v>3</v>
      </c>
      <c r="AH26" s="905">
        <v>4</v>
      </c>
      <c r="AI26" s="906"/>
      <c r="AJ26" s="907"/>
      <c r="AK26" s="907"/>
      <c r="AL26" s="907"/>
      <c r="AM26" s="906"/>
      <c r="AN26" s="907"/>
      <c r="AO26" s="907"/>
      <c r="AP26" s="907"/>
      <c r="AQ26" s="906"/>
      <c r="AR26" s="907"/>
      <c r="AS26" s="907"/>
      <c r="AT26" s="907"/>
      <c r="AU26" s="906"/>
      <c r="AV26" s="907"/>
      <c r="AW26" s="907"/>
      <c r="AX26" s="907"/>
      <c r="AY26" s="906"/>
      <c r="AZ26" s="907"/>
      <c r="BA26" s="907"/>
      <c r="BB26" s="907"/>
      <c r="BC26" s="906"/>
      <c r="BD26" s="907"/>
      <c r="BE26" s="907"/>
      <c r="BF26" s="907"/>
      <c r="BG26" s="906"/>
      <c r="BH26" s="907"/>
      <c r="BI26" s="907"/>
      <c r="BJ26" s="907"/>
      <c r="BK26" s="906"/>
      <c r="BL26" s="907"/>
      <c r="BM26" s="907"/>
      <c r="BN26" s="907"/>
      <c r="BO26" s="906"/>
      <c r="BP26" s="907"/>
      <c r="BQ26" s="907"/>
      <c r="BR26" s="907"/>
      <c r="BS26" s="906"/>
      <c r="BT26" s="907"/>
      <c r="BU26" s="907"/>
      <c r="BV26" s="907"/>
      <c r="BW26" s="906"/>
      <c r="BX26" s="907"/>
      <c r="BY26" s="907"/>
      <c r="BZ26" s="907"/>
      <c r="CA26" s="906"/>
      <c r="CB26" s="907"/>
      <c r="CC26" s="907"/>
      <c r="CD26" s="907"/>
      <c r="CE26" s="906"/>
      <c r="CF26" s="907"/>
      <c r="CG26" s="907"/>
      <c r="CH26" s="907"/>
      <c r="CI26" s="906"/>
      <c r="CJ26" s="907"/>
      <c r="CK26" s="907"/>
      <c r="CL26" s="907"/>
      <c r="CM26" s="906"/>
      <c r="CN26" s="907"/>
      <c r="CO26" s="907"/>
      <c r="CP26" s="907"/>
      <c r="CQ26" s="906"/>
      <c r="CR26" s="907"/>
      <c r="CS26" s="907"/>
      <c r="CT26" s="907"/>
      <c r="CU26" s="906"/>
      <c r="CV26" s="907"/>
      <c r="CW26" s="907"/>
      <c r="CX26" s="907"/>
      <c r="CY26" s="906"/>
      <c r="CZ26" s="907"/>
      <c r="DA26" s="907"/>
      <c r="DB26" s="907"/>
      <c r="DC26" s="906"/>
      <c r="DD26" s="907"/>
      <c r="DE26" s="907"/>
      <c r="DF26" s="907"/>
      <c r="DG26" s="906"/>
    </row>
    <row r="27" spans="1:111">
      <c r="A27" s="824">
        <v>24</v>
      </c>
      <c r="B27" s="824">
        <f>STUDENT!F25</f>
        <v>14806</v>
      </c>
      <c r="C27" s="824">
        <f>STUDENT!D25</f>
        <v>20240100904</v>
      </c>
      <c r="D27" s="827" t="str">
        <f>STUDENT!E25</f>
        <v>SOORYA VANSHAL</v>
      </c>
      <c r="E27" s="827" t="str">
        <f>STUDENT!H25</f>
        <v>KAMLESH KUMAR</v>
      </c>
      <c r="F27" s="904" t="s">
        <v>335</v>
      </c>
      <c r="G27" s="904" t="s">
        <v>336</v>
      </c>
      <c r="H27" s="904" t="s">
        <v>337</v>
      </c>
      <c r="I27" s="824">
        <f t="shared" si="0"/>
        <v>2</v>
      </c>
      <c r="J27" s="824">
        <f t="shared" si="1"/>
        <v>2</v>
      </c>
      <c r="K27" s="824">
        <f t="shared" si="2"/>
        <v>3</v>
      </c>
      <c r="L27" s="905">
        <v>2</v>
      </c>
      <c r="M27" s="905">
        <v>2</v>
      </c>
      <c r="N27" s="905">
        <v>3</v>
      </c>
      <c r="O27" s="907"/>
      <c r="P27" s="905">
        <v>2</v>
      </c>
      <c r="Q27" s="905">
        <v>2</v>
      </c>
      <c r="R27" s="905">
        <v>3</v>
      </c>
      <c r="S27" s="906"/>
      <c r="T27" s="905">
        <v>2</v>
      </c>
      <c r="U27" s="905">
        <v>2</v>
      </c>
      <c r="V27" s="905">
        <v>3</v>
      </c>
      <c r="W27" s="906"/>
      <c r="X27" s="905">
        <v>2</v>
      </c>
      <c r="Y27" s="905">
        <v>2</v>
      </c>
      <c r="Z27" s="905">
        <v>3</v>
      </c>
      <c r="AA27" s="906"/>
      <c r="AB27" s="905">
        <v>2</v>
      </c>
      <c r="AC27" s="905">
        <v>2</v>
      </c>
      <c r="AD27" s="905">
        <v>3</v>
      </c>
      <c r="AE27" s="906"/>
      <c r="AF27" s="905">
        <v>2</v>
      </c>
      <c r="AG27" s="905">
        <v>2</v>
      </c>
      <c r="AH27" s="905">
        <v>3</v>
      </c>
      <c r="AI27" s="906"/>
      <c r="AJ27" s="907"/>
      <c r="AK27" s="907"/>
      <c r="AL27" s="907"/>
      <c r="AM27" s="906"/>
      <c r="AN27" s="907"/>
      <c r="AO27" s="907"/>
      <c r="AP27" s="907"/>
      <c r="AQ27" s="906"/>
      <c r="AR27" s="907"/>
      <c r="AS27" s="907"/>
      <c r="AT27" s="907"/>
      <c r="AU27" s="906"/>
      <c r="AV27" s="907"/>
      <c r="AW27" s="907"/>
      <c r="AX27" s="907"/>
      <c r="AY27" s="906"/>
      <c r="AZ27" s="907"/>
      <c r="BA27" s="907"/>
      <c r="BB27" s="907"/>
      <c r="BC27" s="906"/>
      <c r="BD27" s="907"/>
      <c r="BE27" s="907"/>
      <c r="BF27" s="907"/>
      <c r="BG27" s="906"/>
      <c r="BH27" s="907"/>
      <c r="BI27" s="907"/>
      <c r="BJ27" s="907"/>
      <c r="BK27" s="906"/>
      <c r="BL27" s="907"/>
      <c r="BM27" s="907"/>
      <c r="BN27" s="907"/>
      <c r="BO27" s="906"/>
      <c r="BP27" s="907"/>
      <c r="BQ27" s="907"/>
      <c r="BR27" s="907"/>
      <c r="BS27" s="906"/>
      <c r="BT27" s="907"/>
      <c r="BU27" s="907"/>
      <c r="BV27" s="907"/>
      <c r="BW27" s="906"/>
      <c r="BX27" s="907"/>
      <c r="BY27" s="907"/>
      <c r="BZ27" s="907"/>
      <c r="CA27" s="906"/>
      <c r="CB27" s="907"/>
      <c r="CC27" s="907"/>
      <c r="CD27" s="907"/>
      <c r="CE27" s="906"/>
      <c r="CF27" s="907"/>
      <c r="CG27" s="907"/>
      <c r="CH27" s="907"/>
      <c r="CI27" s="906"/>
      <c r="CJ27" s="907"/>
      <c r="CK27" s="907"/>
      <c r="CL27" s="907"/>
      <c r="CM27" s="906"/>
      <c r="CN27" s="907"/>
      <c r="CO27" s="907"/>
      <c r="CP27" s="907"/>
      <c r="CQ27" s="906"/>
      <c r="CR27" s="907"/>
      <c r="CS27" s="907"/>
      <c r="CT27" s="907"/>
      <c r="CU27" s="906"/>
      <c r="CV27" s="907"/>
      <c r="CW27" s="907"/>
      <c r="CX27" s="907"/>
      <c r="CY27" s="906"/>
      <c r="CZ27" s="907"/>
      <c r="DA27" s="907"/>
      <c r="DB27" s="907"/>
      <c r="DC27" s="906"/>
      <c r="DD27" s="907"/>
      <c r="DE27" s="907"/>
      <c r="DF27" s="907"/>
      <c r="DG27" s="906"/>
    </row>
    <row r="28" spans="1:111">
      <c r="A28" s="824">
        <v>25</v>
      </c>
      <c r="B28" s="824">
        <f>STUDENT!F26</f>
        <v>14943</v>
      </c>
      <c r="C28" s="824">
        <f>STUDENT!D26</f>
        <v>20250012364</v>
      </c>
      <c r="D28" s="827" t="str">
        <f>STUDENT!E26</f>
        <v>ANSHU KUMAR PANDIT</v>
      </c>
      <c r="E28" s="827" t="str">
        <f>STUDENT!H26</f>
        <v>RAMESH KUMAR PANDIT</v>
      </c>
      <c r="F28" s="904" t="s">
        <v>338</v>
      </c>
      <c r="G28" s="904" t="s">
        <v>339</v>
      </c>
      <c r="H28" s="904" t="s">
        <v>337</v>
      </c>
      <c r="I28" s="824">
        <f t="shared" si="0"/>
        <v>3</v>
      </c>
      <c r="J28" s="824">
        <f t="shared" si="1"/>
        <v>2</v>
      </c>
      <c r="K28" s="824">
        <f t="shared" si="2"/>
        <v>4</v>
      </c>
      <c r="L28" s="905">
        <v>3</v>
      </c>
      <c r="M28" s="905">
        <v>2</v>
      </c>
      <c r="N28" s="905">
        <v>4</v>
      </c>
      <c r="O28" s="907"/>
      <c r="P28" s="905">
        <v>3</v>
      </c>
      <c r="Q28" s="905">
        <v>2</v>
      </c>
      <c r="R28" s="905">
        <v>4</v>
      </c>
      <c r="S28" s="906"/>
      <c r="T28" s="905">
        <v>3</v>
      </c>
      <c r="U28" s="905">
        <v>2</v>
      </c>
      <c r="V28" s="905">
        <v>4</v>
      </c>
      <c r="W28" s="906"/>
      <c r="X28" s="905">
        <v>3</v>
      </c>
      <c r="Y28" s="905">
        <v>2</v>
      </c>
      <c r="Z28" s="905">
        <v>4</v>
      </c>
      <c r="AA28" s="906"/>
      <c r="AB28" s="905">
        <v>3</v>
      </c>
      <c r="AC28" s="905">
        <v>2</v>
      </c>
      <c r="AD28" s="905">
        <v>4</v>
      </c>
      <c r="AE28" s="906"/>
      <c r="AF28" s="905">
        <v>4</v>
      </c>
      <c r="AG28" s="905">
        <v>3</v>
      </c>
      <c r="AH28" s="905">
        <v>4</v>
      </c>
      <c r="AI28" s="906"/>
      <c r="AJ28" s="907"/>
      <c r="AK28" s="907"/>
      <c r="AL28" s="907"/>
      <c r="AM28" s="906"/>
      <c r="AN28" s="907"/>
      <c r="AO28" s="907"/>
      <c r="AP28" s="907"/>
      <c r="AQ28" s="906"/>
      <c r="AR28" s="907"/>
      <c r="AS28" s="907"/>
      <c r="AT28" s="907"/>
      <c r="AU28" s="906"/>
      <c r="AV28" s="907"/>
      <c r="AW28" s="907"/>
      <c r="AX28" s="907"/>
      <c r="AY28" s="906"/>
      <c r="AZ28" s="907"/>
      <c r="BA28" s="907"/>
      <c r="BB28" s="907"/>
      <c r="BC28" s="906"/>
      <c r="BD28" s="907"/>
      <c r="BE28" s="907"/>
      <c r="BF28" s="907"/>
      <c r="BG28" s="906"/>
      <c r="BH28" s="907"/>
      <c r="BI28" s="907"/>
      <c r="BJ28" s="907"/>
      <c r="BK28" s="906"/>
      <c r="BL28" s="907"/>
      <c r="BM28" s="907"/>
      <c r="BN28" s="907"/>
      <c r="BO28" s="906"/>
      <c r="BP28" s="907"/>
      <c r="BQ28" s="907"/>
      <c r="BR28" s="907"/>
      <c r="BS28" s="906"/>
      <c r="BT28" s="907"/>
      <c r="BU28" s="907"/>
      <c r="BV28" s="907"/>
      <c r="BW28" s="906"/>
      <c r="BX28" s="907"/>
      <c r="BY28" s="907"/>
      <c r="BZ28" s="907"/>
      <c r="CA28" s="906"/>
      <c r="CB28" s="907"/>
      <c r="CC28" s="907"/>
      <c r="CD28" s="907"/>
      <c r="CE28" s="906"/>
      <c r="CF28" s="907"/>
      <c r="CG28" s="907"/>
      <c r="CH28" s="907"/>
      <c r="CI28" s="906"/>
      <c r="CJ28" s="907"/>
      <c r="CK28" s="907"/>
      <c r="CL28" s="907"/>
      <c r="CM28" s="906"/>
      <c r="CN28" s="907"/>
      <c r="CO28" s="907"/>
      <c r="CP28" s="907"/>
      <c r="CQ28" s="906"/>
      <c r="CR28" s="907"/>
      <c r="CS28" s="907"/>
      <c r="CT28" s="907"/>
      <c r="CU28" s="906"/>
      <c r="CV28" s="907"/>
      <c r="CW28" s="907"/>
      <c r="CX28" s="907"/>
      <c r="CY28" s="906"/>
      <c r="CZ28" s="907"/>
      <c r="DA28" s="907"/>
      <c r="DB28" s="907"/>
      <c r="DC28" s="906"/>
      <c r="DD28" s="907"/>
      <c r="DE28" s="907"/>
      <c r="DF28" s="907"/>
      <c r="DG28" s="906"/>
    </row>
    <row r="29" spans="1:111">
      <c r="A29" s="824">
        <v>26</v>
      </c>
      <c r="B29" s="824">
        <f>STUDENT!F27</f>
        <v>14960</v>
      </c>
      <c r="C29" s="824">
        <f>STUDENT!D27</f>
        <v>20250045334</v>
      </c>
      <c r="D29" s="827" t="str">
        <f>STUDENT!E27</f>
        <v>MD ADAN SHEKH</v>
      </c>
      <c r="E29" s="827" t="str">
        <f>STUDENT!H27</f>
        <v>MD ISHTIKHAR</v>
      </c>
      <c r="F29" s="904" t="s">
        <v>335</v>
      </c>
      <c r="G29" s="904" t="s">
        <v>336</v>
      </c>
      <c r="H29" s="904" t="s">
        <v>337</v>
      </c>
      <c r="I29" s="824">
        <f t="shared" si="0"/>
        <v>2</v>
      </c>
      <c r="J29" s="824">
        <f t="shared" si="1"/>
        <v>2</v>
      </c>
      <c r="K29" s="824">
        <f t="shared" si="2"/>
        <v>3</v>
      </c>
      <c r="L29" s="905">
        <v>2</v>
      </c>
      <c r="M29" s="905">
        <v>2</v>
      </c>
      <c r="N29" s="905">
        <v>3</v>
      </c>
      <c r="O29" s="907"/>
      <c r="P29" s="905">
        <v>2</v>
      </c>
      <c r="Q29" s="905">
        <v>2</v>
      </c>
      <c r="R29" s="905">
        <v>3</v>
      </c>
      <c r="S29" s="906"/>
      <c r="T29" s="905">
        <v>2</v>
      </c>
      <c r="U29" s="905">
        <v>2</v>
      </c>
      <c r="V29" s="905">
        <v>3</v>
      </c>
      <c r="W29" s="906"/>
      <c r="X29" s="905">
        <v>2</v>
      </c>
      <c r="Y29" s="905">
        <v>2</v>
      </c>
      <c r="Z29" s="905">
        <v>3</v>
      </c>
      <c r="AA29" s="906"/>
      <c r="AB29" s="905">
        <v>2</v>
      </c>
      <c r="AC29" s="905">
        <v>2</v>
      </c>
      <c r="AD29" s="905">
        <v>3</v>
      </c>
      <c r="AE29" s="906"/>
      <c r="AF29" s="905">
        <v>2</v>
      </c>
      <c r="AG29" s="905">
        <v>2</v>
      </c>
      <c r="AH29" s="905">
        <v>3</v>
      </c>
      <c r="AI29" s="906"/>
      <c r="AJ29" s="907"/>
      <c r="AK29" s="907"/>
      <c r="AL29" s="907"/>
      <c r="AM29" s="906"/>
      <c r="AN29" s="907"/>
      <c r="AO29" s="907"/>
      <c r="AP29" s="907"/>
      <c r="AQ29" s="906"/>
      <c r="AR29" s="907"/>
      <c r="AS29" s="907"/>
      <c r="AT29" s="907"/>
      <c r="AU29" s="906"/>
      <c r="AV29" s="907"/>
      <c r="AW29" s="907"/>
      <c r="AX29" s="907"/>
      <c r="AY29" s="906"/>
      <c r="AZ29" s="907"/>
      <c r="BA29" s="907"/>
      <c r="BB29" s="907"/>
      <c r="BC29" s="906"/>
      <c r="BD29" s="907"/>
      <c r="BE29" s="907"/>
      <c r="BF29" s="907"/>
      <c r="BG29" s="906"/>
      <c r="BH29" s="907"/>
      <c r="BI29" s="907"/>
      <c r="BJ29" s="907"/>
      <c r="BK29" s="906"/>
      <c r="BL29" s="907"/>
      <c r="BM29" s="907"/>
      <c r="BN29" s="907"/>
      <c r="BO29" s="906"/>
      <c r="BP29" s="907"/>
      <c r="BQ29" s="907"/>
      <c r="BR29" s="907"/>
      <c r="BS29" s="906"/>
      <c r="BT29" s="907"/>
      <c r="BU29" s="907"/>
      <c r="BV29" s="907"/>
      <c r="BW29" s="906"/>
      <c r="BX29" s="907"/>
      <c r="BY29" s="907"/>
      <c r="BZ29" s="907"/>
      <c r="CA29" s="906"/>
      <c r="CB29" s="907"/>
      <c r="CC29" s="907"/>
      <c r="CD29" s="907"/>
      <c r="CE29" s="906"/>
      <c r="CF29" s="907"/>
      <c r="CG29" s="907"/>
      <c r="CH29" s="907"/>
      <c r="CI29" s="906"/>
      <c r="CJ29" s="907"/>
      <c r="CK29" s="907"/>
      <c r="CL29" s="907"/>
      <c r="CM29" s="906"/>
      <c r="CN29" s="907"/>
      <c r="CO29" s="907"/>
      <c r="CP29" s="907"/>
      <c r="CQ29" s="906"/>
      <c r="CR29" s="907"/>
      <c r="CS29" s="907"/>
      <c r="CT29" s="907"/>
      <c r="CU29" s="906"/>
      <c r="CV29" s="907"/>
      <c r="CW29" s="907"/>
      <c r="CX29" s="907"/>
      <c r="CY29" s="906"/>
      <c r="CZ29" s="907"/>
      <c r="DA29" s="907"/>
      <c r="DB29" s="907"/>
      <c r="DC29" s="906"/>
      <c r="DD29" s="907"/>
      <c r="DE29" s="907"/>
      <c r="DF29" s="907"/>
      <c r="DG29" s="906"/>
    </row>
    <row r="30" spans="1:111">
      <c r="A30" s="824">
        <v>27</v>
      </c>
      <c r="B30" s="824">
        <f>STUDENT!F28</f>
        <v>14976</v>
      </c>
      <c r="C30" s="824">
        <f>STUDENT!D28</f>
        <v>20250064030</v>
      </c>
      <c r="D30" s="827" t="str">
        <f>STUDENT!E28</f>
        <v>KARTIK</v>
      </c>
      <c r="E30" s="827" t="str">
        <f>STUDENT!H28</f>
        <v>SUNIL</v>
      </c>
      <c r="F30" s="904" t="s">
        <v>335</v>
      </c>
      <c r="G30" s="904" t="s">
        <v>336</v>
      </c>
      <c r="H30" s="904" t="s">
        <v>337</v>
      </c>
      <c r="I30" s="824">
        <f t="shared" si="0"/>
        <v>2</v>
      </c>
      <c r="J30" s="824">
        <f t="shared" si="1"/>
        <v>2</v>
      </c>
      <c r="K30" s="824">
        <f t="shared" si="2"/>
        <v>3</v>
      </c>
      <c r="L30" s="905">
        <v>2</v>
      </c>
      <c r="M30" s="905">
        <v>2</v>
      </c>
      <c r="N30" s="905">
        <v>3</v>
      </c>
      <c r="O30" s="907"/>
      <c r="P30" s="905">
        <v>2</v>
      </c>
      <c r="Q30" s="905">
        <v>2</v>
      </c>
      <c r="R30" s="905">
        <v>3</v>
      </c>
      <c r="S30" s="906"/>
      <c r="T30" s="905">
        <v>2</v>
      </c>
      <c r="U30" s="905">
        <v>2</v>
      </c>
      <c r="V30" s="905">
        <v>3</v>
      </c>
      <c r="W30" s="906"/>
      <c r="X30" s="905">
        <v>2</v>
      </c>
      <c r="Y30" s="905">
        <v>2</v>
      </c>
      <c r="Z30" s="905">
        <v>3</v>
      </c>
      <c r="AA30" s="906"/>
      <c r="AB30" s="905">
        <v>2</v>
      </c>
      <c r="AC30" s="905">
        <v>2</v>
      </c>
      <c r="AD30" s="905">
        <v>3</v>
      </c>
      <c r="AE30" s="906"/>
      <c r="AF30" s="905">
        <v>3</v>
      </c>
      <c r="AG30" s="905">
        <v>2</v>
      </c>
      <c r="AH30" s="905">
        <v>3</v>
      </c>
      <c r="AI30" s="906"/>
      <c r="AJ30" s="907"/>
      <c r="AK30" s="907"/>
      <c r="AL30" s="907"/>
      <c r="AM30" s="906"/>
      <c r="AN30" s="907"/>
      <c r="AO30" s="907"/>
      <c r="AP30" s="907"/>
      <c r="AQ30" s="906"/>
      <c r="AR30" s="907"/>
      <c r="AS30" s="907"/>
      <c r="AT30" s="907"/>
      <c r="AU30" s="906"/>
      <c r="AV30" s="907"/>
      <c r="AW30" s="907"/>
      <c r="AX30" s="907"/>
      <c r="AY30" s="906"/>
      <c r="AZ30" s="907"/>
      <c r="BA30" s="907"/>
      <c r="BB30" s="907"/>
      <c r="BC30" s="906"/>
      <c r="BD30" s="907"/>
      <c r="BE30" s="907"/>
      <c r="BF30" s="907"/>
      <c r="BG30" s="906"/>
      <c r="BH30" s="907"/>
      <c r="BI30" s="907"/>
      <c r="BJ30" s="907"/>
      <c r="BK30" s="906"/>
      <c r="BL30" s="907"/>
      <c r="BM30" s="907"/>
      <c r="BN30" s="907"/>
      <c r="BO30" s="906"/>
      <c r="BP30" s="907"/>
      <c r="BQ30" s="907"/>
      <c r="BR30" s="907"/>
      <c r="BS30" s="906"/>
      <c r="BT30" s="907"/>
      <c r="BU30" s="907"/>
      <c r="BV30" s="907"/>
      <c r="BW30" s="906"/>
      <c r="BX30" s="907"/>
      <c r="BY30" s="907"/>
      <c r="BZ30" s="907"/>
      <c r="CA30" s="906"/>
      <c r="CB30" s="907"/>
      <c r="CC30" s="907"/>
      <c r="CD30" s="907"/>
      <c r="CE30" s="906"/>
      <c r="CF30" s="907"/>
      <c r="CG30" s="907"/>
      <c r="CH30" s="907"/>
      <c r="CI30" s="906"/>
      <c r="CJ30" s="907"/>
      <c r="CK30" s="907"/>
      <c r="CL30" s="907"/>
      <c r="CM30" s="906"/>
      <c r="CN30" s="907"/>
      <c r="CO30" s="907"/>
      <c r="CP30" s="907"/>
      <c r="CQ30" s="906"/>
      <c r="CR30" s="907"/>
      <c r="CS30" s="907"/>
      <c r="CT30" s="907"/>
      <c r="CU30" s="906"/>
      <c r="CV30" s="907"/>
      <c r="CW30" s="907"/>
      <c r="CX30" s="907"/>
      <c r="CY30" s="906"/>
      <c r="CZ30" s="907"/>
      <c r="DA30" s="907"/>
      <c r="DB30" s="907"/>
      <c r="DC30" s="906"/>
      <c r="DD30" s="907"/>
      <c r="DE30" s="907"/>
      <c r="DF30" s="907"/>
      <c r="DG30" s="906"/>
    </row>
    <row r="31" spans="1:111">
      <c r="A31" s="824">
        <v>28</v>
      </c>
      <c r="B31" s="824">
        <f>STUDENT!F29</f>
        <v>14999</v>
      </c>
      <c r="C31" s="824">
        <f>STUDENT!D29</f>
        <v>20250104050</v>
      </c>
      <c r="D31" s="827" t="str">
        <f>STUDENT!E29</f>
        <v>ABDUL REHMAN</v>
      </c>
      <c r="E31" s="827" t="str">
        <f>STUDENT!H29</f>
        <v>MD LAL BABU</v>
      </c>
      <c r="F31" s="904" t="s">
        <v>335</v>
      </c>
      <c r="G31" s="904" t="s">
        <v>336</v>
      </c>
      <c r="H31" s="904" t="s">
        <v>337</v>
      </c>
      <c r="I31" s="824">
        <f t="shared" si="0"/>
        <v>2</v>
      </c>
      <c r="J31" s="824">
        <f t="shared" si="1"/>
        <v>2</v>
      </c>
      <c r="K31" s="824">
        <f t="shared" si="2"/>
        <v>3</v>
      </c>
      <c r="L31" s="905">
        <v>2</v>
      </c>
      <c r="M31" s="905">
        <v>2</v>
      </c>
      <c r="N31" s="905">
        <v>3</v>
      </c>
      <c r="O31" s="907"/>
      <c r="P31" s="905">
        <v>2</v>
      </c>
      <c r="Q31" s="905">
        <v>2</v>
      </c>
      <c r="R31" s="905">
        <v>3</v>
      </c>
      <c r="S31" s="906"/>
      <c r="T31" s="905">
        <v>2</v>
      </c>
      <c r="U31" s="905">
        <v>2</v>
      </c>
      <c r="V31" s="905">
        <v>3</v>
      </c>
      <c r="W31" s="906"/>
      <c r="X31" s="905">
        <v>2</v>
      </c>
      <c r="Y31" s="905">
        <v>2</v>
      </c>
      <c r="Z31" s="905">
        <v>3</v>
      </c>
      <c r="AA31" s="906"/>
      <c r="AB31" s="905">
        <v>2</v>
      </c>
      <c r="AC31" s="905">
        <v>2</v>
      </c>
      <c r="AD31" s="905">
        <v>3</v>
      </c>
      <c r="AE31" s="906"/>
      <c r="AF31" s="905">
        <v>2</v>
      </c>
      <c r="AG31" s="905">
        <v>2</v>
      </c>
      <c r="AH31" s="905">
        <v>3</v>
      </c>
      <c r="AI31" s="906"/>
      <c r="AJ31" s="907"/>
      <c r="AK31" s="907"/>
      <c r="AL31" s="907"/>
      <c r="AM31" s="906"/>
      <c r="AN31" s="907"/>
      <c r="AO31" s="907"/>
      <c r="AP31" s="907"/>
      <c r="AQ31" s="906"/>
      <c r="AR31" s="907"/>
      <c r="AS31" s="907"/>
      <c r="AT31" s="907"/>
      <c r="AU31" s="906"/>
      <c r="AV31" s="907"/>
      <c r="AW31" s="907"/>
      <c r="AX31" s="907"/>
      <c r="AY31" s="906"/>
      <c r="AZ31" s="907"/>
      <c r="BA31" s="907"/>
      <c r="BB31" s="907"/>
      <c r="BC31" s="906"/>
      <c r="BD31" s="907"/>
      <c r="BE31" s="907"/>
      <c r="BF31" s="907"/>
      <c r="BG31" s="906"/>
      <c r="BH31" s="907"/>
      <c r="BI31" s="907"/>
      <c r="BJ31" s="907"/>
      <c r="BK31" s="906"/>
      <c r="BL31" s="907"/>
      <c r="BM31" s="907"/>
      <c r="BN31" s="907"/>
      <c r="BO31" s="906"/>
      <c r="BP31" s="907"/>
      <c r="BQ31" s="907"/>
      <c r="BR31" s="907"/>
      <c r="BS31" s="906"/>
      <c r="BT31" s="907"/>
      <c r="BU31" s="907"/>
      <c r="BV31" s="907"/>
      <c r="BW31" s="906"/>
      <c r="BX31" s="907"/>
      <c r="BY31" s="907"/>
      <c r="BZ31" s="907"/>
      <c r="CA31" s="906"/>
      <c r="CB31" s="907"/>
      <c r="CC31" s="907"/>
      <c r="CD31" s="907"/>
      <c r="CE31" s="906"/>
      <c r="CF31" s="907"/>
      <c r="CG31" s="907"/>
      <c r="CH31" s="907"/>
      <c r="CI31" s="906"/>
      <c r="CJ31" s="907"/>
      <c r="CK31" s="907"/>
      <c r="CL31" s="907"/>
      <c r="CM31" s="906"/>
      <c r="CN31" s="907"/>
      <c r="CO31" s="907"/>
      <c r="CP31" s="907"/>
      <c r="CQ31" s="906"/>
      <c r="CR31" s="907"/>
      <c r="CS31" s="907"/>
      <c r="CT31" s="907"/>
      <c r="CU31" s="906"/>
      <c r="CV31" s="907"/>
      <c r="CW31" s="907"/>
      <c r="CX31" s="907"/>
      <c r="CY31" s="906"/>
      <c r="CZ31" s="907"/>
      <c r="DA31" s="907"/>
      <c r="DB31" s="907"/>
      <c r="DC31" s="906"/>
      <c r="DD31" s="907"/>
      <c r="DE31" s="907"/>
      <c r="DF31" s="907"/>
      <c r="DG31" s="906"/>
    </row>
    <row r="32" spans="1:111">
      <c r="A32" s="824">
        <v>29</v>
      </c>
      <c r="B32" s="824">
        <f>STUDENT!F30</f>
        <v>15000</v>
      </c>
      <c r="C32" s="824">
        <f>STUDENT!D30</f>
        <v>20250104062</v>
      </c>
      <c r="D32" s="827" t="str">
        <f>STUDENT!E30</f>
        <v>KARTIK</v>
      </c>
      <c r="E32" s="827" t="str">
        <f>STUDENT!H30</f>
        <v>AMAN YADAV</v>
      </c>
      <c r="F32" s="904" t="s">
        <v>335</v>
      </c>
      <c r="G32" s="904" t="s">
        <v>336</v>
      </c>
      <c r="H32" s="904" t="s">
        <v>337</v>
      </c>
      <c r="I32" s="824">
        <f t="shared" si="0"/>
        <v>2</v>
      </c>
      <c r="J32" s="824">
        <f t="shared" si="1"/>
        <v>2</v>
      </c>
      <c r="K32" s="824">
        <f t="shared" si="2"/>
        <v>3</v>
      </c>
      <c r="L32" s="905">
        <v>2</v>
      </c>
      <c r="M32" s="905">
        <v>2</v>
      </c>
      <c r="N32" s="905">
        <v>3</v>
      </c>
      <c r="O32" s="907"/>
      <c r="P32" s="905">
        <v>2</v>
      </c>
      <c r="Q32" s="905">
        <v>2</v>
      </c>
      <c r="R32" s="905">
        <v>3</v>
      </c>
      <c r="S32" s="906"/>
      <c r="T32" s="905">
        <v>2</v>
      </c>
      <c r="U32" s="905">
        <v>2</v>
      </c>
      <c r="V32" s="905">
        <v>3</v>
      </c>
      <c r="W32" s="906"/>
      <c r="X32" s="905">
        <v>2</v>
      </c>
      <c r="Y32" s="905">
        <v>2</v>
      </c>
      <c r="Z32" s="905">
        <v>3</v>
      </c>
      <c r="AA32" s="906"/>
      <c r="AB32" s="905">
        <v>2</v>
      </c>
      <c r="AC32" s="905">
        <v>2</v>
      </c>
      <c r="AD32" s="905">
        <v>3</v>
      </c>
      <c r="AE32" s="906"/>
      <c r="AF32" s="905">
        <v>2</v>
      </c>
      <c r="AG32" s="905">
        <v>2</v>
      </c>
      <c r="AH32" s="905">
        <v>3</v>
      </c>
      <c r="AI32" s="906"/>
      <c r="AJ32" s="907"/>
      <c r="AK32" s="907"/>
      <c r="AL32" s="907"/>
      <c r="AM32" s="906"/>
      <c r="AN32" s="907"/>
      <c r="AO32" s="907"/>
      <c r="AP32" s="907"/>
      <c r="AQ32" s="906"/>
      <c r="AR32" s="907"/>
      <c r="AS32" s="907"/>
      <c r="AT32" s="907"/>
      <c r="AU32" s="906"/>
      <c r="AV32" s="907"/>
      <c r="AW32" s="907"/>
      <c r="AX32" s="907"/>
      <c r="AY32" s="906"/>
      <c r="AZ32" s="907"/>
      <c r="BA32" s="907"/>
      <c r="BB32" s="907"/>
      <c r="BC32" s="906"/>
      <c r="BD32" s="907"/>
      <c r="BE32" s="907"/>
      <c r="BF32" s="907"/>
      <c r="BG32" s="906"/>
      <c r="BH32" s="907"/>
      <c r="BI32" s="907"/>
      <c r="BJ32" s="907"/>
      <c r="BK32" s="906"/>
      <c r="BL32" s="907"/>
      <c r="BM32" s="907"/>
      <c r="BN32" s="907"/>
      <c r="BO32" s="906"/>
      <c r="BP32" s="907"/>
      <c r="BQ32" s="907"/>
      <c r="BR32" s="907"/>
      <c r="BS32" s="906"/>
      <c r="BT32" s="907"/>
      <c r="BU32" s="907"/>
      <c r="BV32" s="907"/>
      <c r="BW32" s="906"/>
      <c r="BX32" s="907"/>
      <c r="BY32" s="907"/>
      <c r="BZ32" s="907"/>
      <c r="CA32" s="906"/>
      <c r="CB32" s="907"/>
      <c r="CC32" s="907"/>
      <c r="CD32" s="907"/>
      <c r="CE32" s="906"/>
      <c r="CF32" s="907"/>
      <c r="CG32" s="907"/>
      <c r="CH32" s="907"/>
      <c r="CI32" s="906"/>
      <c r="CJ32" s="907"/>
      <c r="CK32" s="907"/>
      <c r="CL32" s="907"/>
      <c r="CM32" s="906"/>
      <c r="CN32" s="907"/>
      <c r="CO32" s="907"/>
      <c r="CP32" s="907"/>
      <c r="CQ32" s="906"/>
      <c r="CR32" s="907"/>
      <c r="CS32" s="907"/>
      <c r="CT32" s="907"/>
      <c r="CU32" s="906"/>
      <c r="CV32" s="907"/>
      <c r="CW32" s="907"/>
      <c r="CX32" s="907"/>
      <c r="CY32" s="906"/>
      <c r="CZ32" s="907"/>
      <c r="DA32" s="907"/>
      <c r="DB32" s="907"/>
      <c r="DC32" s="906"/>
      <c r="DD32" s="907"/>
      <c r="DE32" s="907"/>
      <c r="DF32" s="907"/>
      <c r="DG32" s="906"/>
    </row>
    <row r="33" spans="1:111">
      <c r="A33" s="824">
        <v>30</v>
      </c>
      <c r="B33" s="824">
        <f>STUDENT!F31</f>
        <v>15022</v>
      </c>
      <c r="C33" s="824">
        <f>STUDENT!D31</f>
        <v>20250141853</v>
      </c>
      <c r="D33" s="827" t="str">
        <f>STUDENT!E31</f>
        <v>AYAN</v>
      </c>
      <c r="E33" s="827" t="str">
        <f>STUDENT!H31</f>
        <v>BABU HASAN</v>
      </c>
      <c r="F33" s="904" t="s">
        <v>335</v>
      </c>
      <c r="G33" s="904" t="s">
        <v>336</v>
      </c>
      <c r="H33" s="904" t="s">
        <v>337</v>
      </c>
      <c r="I33" s="824">
        <f t="shared" si="0"/>
        <v>2</v>
      </c>
      <c r="J33" s="824">
        <f t="shared" si="1"/>
        <v>2</v>
      </c>
      <c r="K33" s="824">
        <f t="shared" si="2"/>
        <v>3</v>
      </c>
      <c r="L33" s="905">
        <v>2</v>
      </c>
      <c r="M33" s="905">
        <v>2</v>
      </c>
      <c r="N33" s="905">
        <v>3</v>
      </c>
      <c r="O33" s="907"/>
      <c r="P33" s="905">
        <v>2</v>
      </c>
      <c r="Q33" s="905">
        <v>2</v>
      </c>
      <c r="R33" s="905">
        <v>3</v>
      </c>
      <c r="S33" s="906"/>
      <c r="T33" s="905">
        <v>2</v>
      </c>
      <c r="U33" s="905">
        <v>2</v>
      </c>
      <c r="V33" s="905">
        <v>3</v>
      </c>
      <c r="W33" s="906"/>
      <c r="X33" s="905">
        <v>2</v>
      </c>
      <c r="Y33" s="905">
        <v>2</v>
      </c>
      <c r="Z33" s="905">
        <v>3</v>
      </c>
      <c r="AA33" s="906"/>
      <c r="AB33" s="905">
        <v>2</v>
      </c>
      <c r="AC33" s="905">
        <v>2</v>
      </c>
      <c r="AD33" s="905">
        <v>3</v>
      </c>
      <c r="AE33" s="906"/>
      <c r="AF33" s="905">
        <v>2</v>
      </c>
      <c r="AG33" s="905">
        <v>2</v>
      </c>
      <c r="AH33" s="905">
        <v>3</v>
      </c>
      <c r="AI33" s="906"/>
      <c r="AJ33" s="907"/>
      <c r="AK33" s="907"/>
      <c r="AL33" s="907"/>
      <c r="AM33" s="906"/>
      <c r="AN33" s="907"/>
      <c r="AO33" s="907"/>
      <c r="AP33" s="907"/>
      <c r="AQ33" s="906"/>
      <c r="AR33" s="907"/>
      <c r="AS33" s="907"/>
      <c r="AT33" s="907"/>
      <c r="AU33" s="906"/>
      <c r="AV33" s="907"/>
      <c r="AW33" s="907"/>
      <c r="AX33" s="907"/>
      <c r="AY33" s="906"/>
      <c r="AZ33" s="907"/>
      <c r="BA33" s="907"/>
      <c r="BB33" s="907"/>
      <c r="BC33" s="906"/>
      <c r="BD33" s="907"/>
      <c r="BE33" s="907"/>
      <c r="BF33" s="907"/>
      <c r="BG33" s="906"/>
      <c r="BH33" s="907"/>
      <c r="BI33" s="907"/>
      <c r="BJ33" s="907"/>
      <c r="BK33" s="906"/>
      <c r="BL33" s="907"/>
      <c r="BM33" s="907"/>
      <c r="BN33" s="907"/>
      <c r="BO33" s="906"/>
      <c r="BP33" s="907"/>
      <c r="BQ33" s="907"/>
      <c r="BR33" s="907"/>
      <c r="BS33" s="906"/>
      <c r="BT33" s="907"/>
      <c r="BU33" s="907"/>
      <c r="BV33" s="907"/>
      <c r="BW33" s="906"/>
      <c r="BX33" s="907"/>
      <c r="BY33" s="907"/>
      <c r="BZ33" s="907"/>
      <c r="CA33" s="906"/>
      <c r="CB33" s="907"/>
      <c r="CC33" s="907"/>
      <c r="CD33" s="907"/>
      <c r="CE33" s="906"/>
      <c r="CF33" s="907"/>
      <c r="CG33" s="907"/>
      <c r="CH33" s="907"/>
      <c r="CI33" s="906"/>
      <c r="CJ33" s="907"/>
      <c r="CK33" s="907"/>
      <c r="CL33" s="907"/>
      <c r="CM33" s="906"/>
      <c r="CN33" s="907"/>
      <c r="CO33" s="907"/>
      <c r="CP33" s="907"/>
      <c r="CQ33" s="906"/>
      <c r="CR33" s="907"/>
      <c r="CS33" s="907"/>
      <c r="CT33" s="907"/>
      <c r="CU33" s="906"/>
      <c r="CV33" s="907"/>
      <c r="CW33" s="907"/>
      <c r="CX33" s="907"/>
      <c r="CY33" s="906"/>
      <c r="CZ33" s="907"/>
      <c r="DA33" s="907"/>
      <c r="DB33" s="907"/>
      <c r="DC33" s="906"/>
      <c r="DD33" s="907"/>
      <c r="DE33" s="907"/>
      <c r="DF33" s="907"/>
      <c r="DG33" s="906"/>
    </row>
    <row r="34" spans="1:111">
      <c r="A34" s="824">
        <v>31</v>
      </c>
      <c r="B34" s="824">
        <f>STUDENT!F32</f>
        <v>15034</v>
      </c>
      <c r="C34" s="824">
        <f>STUDENT!D32</f>
        <v>20250188568</v>
      </c>
      <c r="D34" s="827" t="str">
        <f>STUDENT!E32</f>
        <v>RAM CHANDER KUMAR</v>
      </c>
      <c r="E34" s="827" t="str">
        <f>STUDENT!H32</f>
        <v>AKASH SHARMA</v>
      </c>
      <c r="F34" s="904" t="s">
        <v>335</v>
      </c>
      <c r="G34" s="904" t="s">
        <v>336</v>
      </c>
      <c r="H34" s="904" t="s">
        <v>337</v>
      </c>
      <c r="I34" s="824">
        <f t="shared" si="0"/>
        <v>2</v>
      </c>
      <c r="J34" s="824">
        <f t="shared" si="1"/>
        <v>2</v>
      </c>
      <c r="K34" s="824">
        <f t="shared" si="2"/>
        <v>3</v>
      </c>
      <c r="L34" s="905">
        <v>2</v>
      </c>
      <c r="M34" s="905">
        <v>2</v>
      </c>
      <c r="N34" s="905">
        <v>3</v>
      </c>
      <c r="O34" s="907"/>
      <c r="P34" s="905">
        <v>2</v>
      </c>
      <c r="Q34" s="905">
        <v>2</v>
      </c>
      <c r="R34" s="905">
        <v>3</v>
      </c>
      <c r="S34" s="906"/>
      <c r="T34" s="905">
        <v>2</v>
      </c>
      <c r="U34" s="905">
        <v>2</v>
      </c>
      <c r="V34" s="905">
        <v>3</v>
      </c>
      <c r="W34" s="906"/>
      <c r="X34" s="905">
        <v>2</v>
      </c>
      <c r="Y34" s="905">
        <v>2</v>
      </c>
      <c r="Z34" s="905">
        <v>3</v>
      </c>
      <c r="AA34" s="906"/>
      <c r="AB34" s="905">
        <v>2</v>
      </c>
      <c r="AC34" s="905">
        <v>2</v>
      </c>
      <c r="AD34" s="905">
        <v>3</v>
      </c>
      <c r="AE34" s="906"/>
      <c r="AF34" s="905">
        <v>2</v>
      </c>
      <c r="AG34" s="905">
        <v>2</v>
      </c>
      <c r="AH34" s="905">
        <v>3</v>
      </c>
      <c r="AI34" s="906"/>
      <c r="AJ34" s="907"/>
      <c r="AK34" s="907"/>
      <c r="AL34" s="907"/>
      <c r="AM34" s="906"/>
      <c r="AN34" s="907"/>
      <c r="AO34" s="907"/>
      <c r="AP34" s="907"/>
      <c r="AQ34" s="906"/>
      <c r="AR34" s="907"/>
      <c r="AS34" s="907"/>
      <c r="AT34" s="907"/>
      <c r="AU34" s="906"/>
      <c r="AV34" s="907"/>
      <c r="AW34" s="907"/>
      <c r="AX34" s="907"/>
      <c r="AY34" s="906"/>
      <c r="AZ34" s="907"/>
      <c r="BA34" s="907"/>
      <c r="BB34" s="907"/>
      <c r="BC34" s="906"/>
      <c r="BD34" s="907"/>
      <c r="BE34" s="907"/>
      <c r="BF34" s="907"/>
      <c r="BG34" s="906"/>
      <c r="BH34" s="907"/>
      <c r="BI34" s="907"/>
      <c r="BJ34" s="907"/>
      <c r="BK34" s="906"/>
      <c r="BL34" s="907"/>
      <c r="BM34" s="907"/>
      <c r="BN34" s="907"/>
      <c r="BO34" s="906"/>
      <c r="BP34" s="907"/>
      <c r="BQ34" s="907"/>
      <c r="BR34" s="907"/>
      <c r="BS34" s="906"/>
      <c r="BT34" s="907"/>
      <c r="BU34" s="907"/>
      <c r="BV34" s="907"/>
      <c r="BW34" s="906"/>
      <c r="BX34" s="907"/>
      <c r="BY34" s="907"/>
      <c r="BZ34" s="907"/>
      <c r="CA34" s="906"/>
      <c r="CB34" s="907"/>
      <c r="CC34" s="907"/>
      <c r="CD34" s="907"/>
      <c r="CE34" s="906"/>
      <c r="CF34" s="907"/>
      <c r="CG34" s="907"/>
      <c r="CH34" s="907"/>
      <c r="CI34" s="906"/>
      <c r="CJ34" s="907"/>
      <c r="CK34" s="907"/>
      <c r="CL34" s="907"/>
      <c r="CM34" s="906"/>
      <c r="CN34" s="907"/>
      <c r="CO34" s="907"/>
      <c r="CP34" s="907"/>
      <c r="CQ34" s="906"/>
      <c r="CR34" s="907"/>
      <c r="CS34" s="907"/>
      <c r="CT34" s="907"/>
      <c r="CU34" s="906"/>
      <c r="CV34" s="907"/>
      <c r="CW34" s="907"/>
      <c r="CX34" s="907"/>
      <c r="CY34" s="906"/>
      <c r="CZ34" s="907"/>
      <c r="DA34" s="907"/>
      <c r="DB34" s="907"/>
      <c r="DC34" s="906"/>
      <c r="DD34" s="907"/>
      <c r="DE34" s="907"/>
      <c r="DF34" s="907"/>
      <c r="DG34" s="906"/>
    </row>
    <row r="35" spans="1:111">
      <c r="A35" s="824">
        <v>32</v>
      </c>
      <c r="B35" s="824">
        <f>STUDENT!F33</f>
        <v>15035</v>
      </c>
      <c r="C35" s="824">
        <f>STUDENT!D33</f>
        <v>20250188626</v>
      </c>
      <c r="D35" s="827" t="str">
        <f>STUDENT!E33</f>
        <v>HARSHIT</v>
      </c>
      <c r="E35" s="827" t="str">
        <f>STUDENT!H33</f>
        <v>ANKIT SINGH</v>
      </c>
      <c r="F35" s="904" t="s">
        <v>335</v>
      </c>
      <c r="G35" s="904" t="s">
        <v>336</v>
      </c>
      <c r="H35" s="904" t="s">
        <v>337</v>
      </c>
      <c r="I35" s="824">
        <f t="shared" si="0"/>
        <v>2</v>
      </c>
      <c r="J35" s="824">
        <f t="shared" si="1"/>
        <v>2</v>
      </c>
      <c r="K35" s="824">
        <f t="shared" si="2"/>
        <v>3</v>
      </c>
      <c r="L35" s="905">
        <v>2</v>
      </c>
      <c r="M35" s="905">
        <v>2</v>
      </c>
      <c r="N35" s="905">
        <v>3</v>
      </c>
      <c r="O35" s="907"/>
      <c r="P35" s="905">
        <v>2</v>
      </c>
      <c r="Q35" s="905">
        <v>2</v>
      </c>
      <c r="R35" s="905">
        <v>3</v>
      </c>
      <c r="S35" s="906"/>
      <c r="T35" s="905">
        <v>2</v>
      </c>
      <c r="U35" s="905">
        <v>2</v>
      </c>
      <c r="V35" s="905">
        <v>3</v>
      </c>
      <c r="W35" s="906"/>
      <c r="X35" s="905">
        <v>2</v>
      </c>
      <c r="Y35" s="905">
        <v>2</v>
      </c>
      <c r="Z35" s="905">
        <v>3</v>
      </c>
      <c r="AA35" s="906"/>
      <c r="AB35" s="905">
        <v>2</v>
      </c>
      <c r="AC35" s="905">
        <v>2</v>
      </c>
      <c r="AD35" s="905">
        <v>3</v>
      </c>
      <c r="AE35" s="906"/>
      <c r="AF35" s="905">
        <v>4</v>
      </c>
      <c r="AG35" s="905">
        <v>3</v>
      </c>
      <c r="AH35" s="905">
        <v>4</v>
      </c>
      <c r="AI35" s="906"/>
      <c r="AJ35" s="907"/>
      <c r="AK35" s="907"/>
      <c r="AL35" s="907"/>
      <c r="AM35" s="906"/>
      <c r="AN35" s="907"/>
      <c r="AO35" s="907"/>
      <c r="AP35" s="907"/>
      <c r="AQ35" s="906"/>
      <c r="AR35" s="907"/>
      <c r="AS35" s="907"/>
      <c r="AT35" s="907"/>
      <c r="AU35" s="906"/>
      <c r="AV35" s="907"/>
      <c r="AW35" s="907"/>
      <c r="AX35" s="907"/>
      <c r="AY35" s="906"/>
      <c r="AZ35" s="907"/>
      <c r="BA35" s="907"/>
      <c r="BB35" s="907"/>
      <c r="BC35" s="906"/>
      <c r="BD35" s="907"/>
      <c r="BE35" s="907"/>
      <c r="BF35" s="907"/>
      <c r="BG35" s="906"/>
      <c r="BH35" s="907"/>
      <c r="BI35" s="907"/>
      <c r="BJ35" s="907"/>
      <c r="BK35" s="906"/>
      <c r="BL35" s="907"/>
      <c r="BM35" s="907"/>
      <c r="BN35" s="907"/>
      <c r="BO35" s="906"/>
      <c r="BP35" s="907"/>
      <c r="BQ35" s="907"/>
      <c r="BR35" s="907"/>
      <c r="BS35" s="906"/>
      <c r="BT35" s="907"/>
      <c r="BU35" s="907"/>
      <c r="BV35" s="907"/>
      <c r="BW35" s="906"/>
      <c r="BX35" s="907"/>
      <c r="BY35" s="907"/>
      <c r="BZ35" s="907"/>
      <c r="CA35" s="906"/>
      <c r="CB35" s="907"/>
      <c r="CC35" s="907"/>
      <c r="CD35" s="907"/>
      <c r="CE35" s="906"/>
      <c r="CF35" s="907"/>
      <c r="CG35" s="907"/>
      <c r="CH35" s="907"/>
      <c r="CI35" s="906"/>
      <c r="CJ35" s="907"/>
      <c r="CK35" s="907"/>
      <c r="CL35" s="907"/>
      <c r="CM35" s="906"/>
      <c r="CN35" s="907"/>
      <c r="CO35" s="907"/>
      <c r="CP35" s="907"/>
      <c r="CQ35" s="906"/>
      <c r="CR35" s="907"/>
      <c r="CS35" s="907"/>
      <c r="CT35" s="907"/>
      <c r="CU35" s="906"/>
      <c r="CV35" s="907"/>
      <c r="CW35" s="907"/>
      <c r="CX35" s="907"/>
      <c r="CY35" s="906"/>
      <c r="CZ35" s="907"/>
      <c r="DA35" s="907"/>
      <c r="DB35" s="907"/>
      <c r="DC35" s="906"/>
      <c r="DD35" s="907"/>
      <c r="DE35" s="907"/>
      <c r="DF35" s="907"/>
      <c r="DG35" s="906"/>
    </row>
    <row r="36" spans="1:111">
      <c r="A36" s="824">
        <v>33</v>
      </c>
      <c r="B36" s="824">
        <f>STUDENT!F34</f>
        <v>15077</v>
      </c>
      <c r="C36" s="824">
        <f>STUDENT!D34</f>
        <v>20250246710</v>
      </c>
      <c r="D36" s="827" t="str">
        <f>STUDENT!E34</f>
        <v>HEMANT KUMAR</v>
      </c>
      <c r="E36" s="827" t="str">
        <f>STUDENT!H34</f>
        <v>PRADEEP KUMAR</v>
      </c>
      <c r="F36" s="904" t="s">
        <v>335</v>
      </c>
      <c r="G36" s="904" t="s">
        <v>336</v>
      </c>
      <c r="H36" s="904" t="s">
        <v>337</v>
      </c>
      <c r="I36" s="824">
        <f t="shared" si="0"/>
        <v>2</v>
      </c>
      <c r="J36" s="824">
        <f t="shared" si="1"/>
        <v>2</v>
      </c>
      <c r="K36" s="824">
        <f t="shared" si="2"/>
        <v>3</v>
      </c>
      <c r="L36" s="905">
        <v>2</v>
      </c>
      <c r="M36" s="905">
        <v>2</v>
      </c>
      <c r="N36" s="905">
        <v>3</v>
      </c>
      <c r="O36" s="907"/>
      <c r="P36" s="905">
        <v>2</v>
      </c>
      <c r="Q36" s="905">
        <v>2</v>
      </c>
      <c r="R36" s="905">
        <v>3</v>
      </c>
      <c r="S36" s="907" t="s">
        <v>341</v>
      </c>
      <c r="T36" s="905">
        <v>2</v>
      </c>
      <c r="U36" s="905">
        <v>2</v>
      </c>
      <c r="V36" s="905">
        <v>3</v>
      </c>
      <c r="W36" s="907" t="s">
        <v>341</v>
      </c>
      <c r="X36" s="905">
        <v>2</v>
      </c>
      <c r="Y36" s="905">
        <v>2</v>
      </c>
      <c r="Z36" s="905">
        <v>3</v>
      </c>
      <c r="AA36" s="907" t="s">
        <v>341</v>
      </c>
      <c r="AB36" s="905">
        <v>2</v>
      </c>
      <c r="AC36" s="905">
        <v>2</v>
      </c>
      <c r="AD36" s="905">
        <v>3</v>
      </c>
      <c r="AE36" s="906"/>
      <c r="AF36" s="905">
        <v>2</v>
      </c>
      <c r="AG36" s="905">
        <v>2</v>
      </c>
      <c r="AH36" s="905">
        <v>3</v>
      </c>
      <c r="AI36" s="906"/>
      <c r="AJ36" s="907"/>
      <c r="AK36" s="907"/>
      <c r="AL36" s="907"/>
      <c r="AM36" s="906"/>
      <c r="AN36" s="907"/>
      <c r="AO36" s="907"/>
      <c r="AP36" s="907"/>
      <c r="AQ36" s="906"/>
      <c r="AR36" s="907"/>
      <c r="AS36" s="907"/>
      <c r="AT36" s="907"/>
      <c r="AU36" s="906"/>
      <c r="AV36" s="907"/>
      <c r="AW36" s="907"/>
      <c r="AX36" s="907"/>
      <c r="AY36" s="906"/>
      <c r="AZ36" s="907"/>
      <c r="BA36" s="907"/>
      <c r="BB36" s="907"/>
      <c r="BC36" s="906"/>
      <c r="BD36" s="907"/>
      <c r="BE36" s="907"/>
      <c r="BF36" s="907"/>
      <c r="BG36" s="906"/>
      <c r="BH36" s="907"/>
      <c r="BI36" s="907"/>
      <c r="BJ36" s="907"/>
      <c r="BK36" s="906"/>
      <c r="BL36" s="907"/>
      <c r="BM36" s="907"/>
      <c r="BN36" s="907"/>
      <c r="BO36" s="906"/>
      <c r="BP36" s="907"/>
      <c r="BQ36" s="907"/>
      <c r="BR36" s="907"/>
      <c r="BS36" s="906"/>
      <c r="BT36" s="907"/>
      <c r="BU36" s="907"/>
      <c r="BV36" s="907"/>
      <c r="BW36" s="906"/>
      <c r="BX36" s="907"/>
      <c r="BY36" s="907"/>
      <c r="BZ36" s="907"/>
      <c r="CA36" s="906"/>
      <c r="CB36" s="907"/>
      <c r="CC36" s="907"/>
      <c r="CD36" s="907"/>
      <c r="CE36" s="906"/>
      <c r="CF36" s="907"/>
      <c r="CG36" s="907"/>
      <c r="CH36" s="907"/>
      <c r="CI36" s="906"/>
      <c r="CJ36" s="907"/>
      <c r="CK36" s="907"/>
      <c r="CL36" s="907"/>
      <c r="CM36" s="906"/>
      <c r="CN36" s="907"/>
      <c r="CO36" s="907"/>
      <c r="CP36" s="907"/>
      <c r="CQ36" s="906"/>
      <c r="CR36" s="907"/>
      <c r="CS36" s="907"/>
      <c r="CT36" s="907"/>
      <c r="CU36" s="906"/>
      <c r="CV36" s="907"/>
      <c r="CW36" s="907"/>
      <c r="CX36" s="907"/>
      <c r="CY36" s="906"/>
      <c r="CZ36" s="907"/>
      <c r="DA36" s="907"/>
      <c r="DB36" s="907"/>
      <c r="DC36" s="906"/>
      <c r="DD36" s="907"/>
      <c r="DE36" s="907"/>
      <c r="DF36" s="907"/>
      <c r="DG36" s="906"/>
    </row>
    <row r="37" spans="1:111">
      <c r="A37" s="824">
        <v>34</v>
      </c>
      <c r="B37" s="824">
        <f>STUDENT!F35</f>
        <v>15088</v>
      </c>
      <c r="C37" s="824">
        <f>STUDENT!D35</f>
        <v>20250257787</v>
      </c>
      <c r="D37" s="827" t="str">
        <f>STUDENT!E35</f>
        <v>VEERPARTAP SINGH</v>
      </c>
      <c r="E37" s="827" t="str">
        <f>STUDENT!H35</f>
        <v>VIJAY SINGH</v>
      </c>
      <c r="F37" s="904" t="s">
        <v>101</v>
      </c>
      <c r="G37" s="904" t="s">
        <v>101</v>
      </c>
      <c r="H37" s="904" t="s">
        <v>101</v>
      </c>
      <c r="I37" s="824" t="str">
        <f t="shared" si="0"/>
        <v/>
      </c>
      <c r="J37" s="824" t="str">
        <f t="shared" si="1"/>
        <v/>
      </c>
      <c r="K37" s="824" t="str">
        <f t="shared" si="2"/>
        <v/>
      </c>
      <c r="L37" s="905" t="s">
        <v>101</v>
      </c>
      <c r="M37" s="905" t="s">
        <v>101</v>
      </c>
      <c r="N37" s="905" t="s">
        <v>101</v>
      </c>
      <c r="O37" s="907"/>
      <c r="P37" s="905" t="s">
        <v>101</v>
      </c>
      <c r="Q37" s="905" t="s">
        <v>101</v>
      </c>
      <c r="R37" s="905" t="s">
        <v>101</v>
      </c>
      <c r="S37" s="907" t="s">
        <v>341</v>
      </c>
      <c r="T37" s="905" t="s">
        <v>101</v>
      </c>
      <c r="U37" s="905" t="s">
        <v>101</v>
      </c>
      <c r="V37" s="905" t="s">
        <v>101</v>
      </c>
      <c r="W37" s="907" t="s">
        <v>341</v>
      </c>
      <c r="X37" s="905" t="s">
        <v>101</v>
      </c>
      <c r="Y37" s="905" t="s">
        <v>101</v>
      </c>
      <c r="Z37" s="905" t="s">
        <v>101</v>
      </c>
      <c r="AA37" s="907" t="s">
        <v>341</v>
      </c>
      <c r="AB37" s="905" t="s">
        <v>101</v>
      </c>
      <c r="AC37" s="905" t="s">
        <v>101</v>
      </c>
      <c r="AD37" s="905" t="s">
        <v>101</v>
      </c>
      <c r="AE37" s="906"/>
      <c r="AF37" s="905" t="s">
        <v>101</v>
      </c>
      <c r="AG37" s="905" t="s">
        <v>101</v>
      </c>
      <c r="AH37" s="905" t="s">
        <v>101</v>
      </c>
      <c r="AI37" s="906"/>
      <c r="AJ37" s="907"/>
      <c r="AK37" s="907"/>
      <c r="AL37" s="907"/>
      <c r="AM37" s="906"/>
      <c r="AN37" s="907"/>
      <c r="AO37" s="907"/>
      <c r="AP37" s="907"/>
      <c r="AQ37" s="906"/>
      <c r="AR37" s="907"/>
      <c r="AS37" s="907"/>
      <c r="AT37" s="907"/>
      <c r="AU37" s="906"/>
      <c r="AV37" s="907"/>
      <c r="AW37" s="907"/>
      <c r="AX37" s="907"/>
      <c r="AY37" s="906"/>
      <c r="AZ37" s="907"/>
      <c r="BA37" s="907"/>
      <c r="BB37" s="907"/>
      <c r="BC37" s="906"/>
      <c r="BD37" s="907"/>
      <c r="BE37" s="907"/>
      <c r="BF37" s="907"/>
      <c r="BG37" s="906"/>
      <c r="BH37" s="907"/>
      <c r="BI37" s="907"/>
      <c r="BJ37" s="907"/>
      <c r="BK37" s="906"/>
      <c r="BL37" s="907"/>
      <c r="BM37" s="907"/>
      <c r="BN37" s="907"/>
      <c r="BO37" s="906"/>
      <c r="BP37" s="907"/>
      <c r="BQ37" s="907"/>
      <c r="BR37" s="907"/>
      <c r="BS37" s="906"/>
      <c r="BT37" s="907"/>
      <c r="BU37" s="907"/>
      <c r="BV37" s="907"/>
      <c r="BW37" s="906"/>
      <c r="BX37" s="907"/>
      <c r="BY37" s="907"/>
      <c r="BZ37" s="907"/>
      <c r="CA37" s="906"/>
      <c r="CB37" s="907"/>
      <c r="CC37" s="907"/>
      <c r="CD37" s="907"/>
      <c r="CE37" s="906"/>
      <c r="CF37" s="907"/>
      <c r="CG37" s="907"/>
      <c r="CH37" s="907"/>
      <c r="CI37" s="906"/>
      <c r="CJ37" s="907"/>
      <c r="CK37" s="907"/>
      <c r="CL37" s="907"/>
      <c r="CM37" s="906"/>
      <c r="CN37" s="907"/>
      <c r="CO37" s="907"/>
      <c r="CP37" s="907"/>
      <c r="CQ37" s="906"/>
      <c r="CR37" s="907"/>
      <c r="CS37" s="907"/>
      <c r="CT37" s="907"/>
      <c r="CU37" s="906"/>
      <c r="CV37" s="907"/>
      <c r="CW37" s="907"/>
      <c r="CX37" s="907"/>
      <c r="CY37" s="906"/>
      <c r="CZ37" s="907"/>
      <c r="DA37" s="907"/>
      <c r="DB37" s="907"/>
      <c r="DC37" s="906"/>
      <c r="DD37" s="907"/>
      <c r="DE37" s="907"/>
      <c r="DF37" s="907"/>
      <c r="DG37" s="906"/>
    </row>
    <row r="38" spans="1:111">
      <c r="A38" s="824">
        <v>35</v>
      </c>
      <c r="B38" s="824">
        <f>STUDENT!F36</f>
        <v>15104</v>
      </c>
      <c r="C38" s="824">
        <f>STUDENT!D36</f>
        <v>20250272033</v>
      </c>
      <c r="D38" s="827" t="str">
        <f>STUDENT!E36</f>
        <v>NIKHIL KUMAR</v>
      </c>
      <c r="E38" s="827" t="str">
        <f>STUDENT!H36</f>
        <v>SUNIL KUMAR</v>
      </c>
      <c r="F38" s="904" t="s">
        <v>335</v>
      </c>
      <c r="G38" s="904" t="s">
        <v>336</v>
      </c>
      <c r="H38" s="904" t="s">
        <v>337</v>
      </c>
      <c r="I38" s="824">
        <f t="shared" si="0"/>
        <v>2</v>
      </c>
      <c r="J38" s="824">
        <f t="shared" si="1"/>
        <v>2</v>
      </c>
      <c r="K38" s="824">
        <f t="shared" si="2"/>
        <v>3</v>
      </c>
      <c r="L38" s="905">
        <v>2</v>
      </c>
      <c r="M38" s="905">
        <v>2</v>
      </c>
      <c r="N38" s="905">
        <v>3</v>
      </c>
      <c r="O38" s="907"/>
      <c r="P38" s="905">
        <v>2</v>
      </c>
      <c r="Q38" s="905">
        <v>2</v>
      </c>
      <c r="R38" s="905">
        <v>3</v>
      </c>
      <c r="S38" s="907" t="s">
        <v>341</v>
      </c>
      <c r="T38" s="905">
        <v>2</v>
      </c>
      <c r="U38" s="905">
        <v>2</v>
      </c>
      <c r="V38" s="905">
        <v>3</v>
      </c>
      <c r="W38" s="907" t="s">
        <v>341</v>
      </c>
      <c r="X38" s="905">
        <v>2</v>
      </c>
      <c r="Y38" s="905">
        <v>2</v>
      </c>
      <c r="Z38" s="905">
        <v>3</v>
      </c>
      <c r="AA38" s="907" t="s">
        <v>341</v>
      </c>
      <c r="AB38" s="905">
        <v>2</v>
      </c>
      <c r="AC38" s="905">
        <v>2</v>
      </c>
      <c r="AD38" s="905">
        <v>3</v>
      </c>
      <c r="AE38" s="906"/>
      <c r="AF38" s="905">
        <v>2</v>
      </c>
      <c r="AG38" s="905">
        <v>2</v>
      </c>
      <c r="AH38" s="905">
        <v>3</v>
      </c>
      <c r="AI38" s="906"/>
      <c r="AJ38" s="907"/>
      <c r="AK38" s="907"/>
      <c r="AL38" s="907"/>
      <c r="AM38" s="906"/>
      <c r="AN38" s="907"/>
      <c r="AO38" s="907"/>
      <c r="AP38" s="907"/>
      <c r="AQ38" s="906"/>
      <c r="AR38" s="907"/>
      <c r="AS38" s="907"/>
      <c r="AT38" s="907"/>
      <c r="AU38" s="906"/>
      <c r="AV38" s="907"/>
      <c r="AW38" s="907"/>
      <c r="AX38" s="907"/>
      <c r="AY38" s="906"/>
      <c r="AZ38" s="907"/>
      <c r="BA38" s="907"/>
      <c r="BB38" s="907"/>
      <c r="BC38" s="906"/>
      <c r="BD38" s="907"/>
      <c r="BE38" s="907"/>
      <c r="BF38" s="907"/>
      <c r="BG38" s="906"/>
      <c r="BH38" s="907"/>
      <c r="BI38" s="907"/>
      <c r="BJ38" s="907"/>
      <c r="BK38" s="906"/>
      <c r="BL38" s="907"/>
      <c r="BM38" s="907"/>
      <c r="BN38" s="907"/>
      <c r="BO38" s="906"/>
      <c r="BP38" s="907"/>
      <c r="BQ38" s="907"/>
      <c r="BR38" s="907"/>
      <c r="BS38" s="906"/>
      <c r="BT38" s="907"/>
      <c r="BU38" s="907"/>
      <c r="BV38" s="907"/>
      <c r="BW38" s="906"/>
      <c r="BX38" s="907"/>
      <c r="BY38" s="907"/>
      <c r="BZ38" s="907"/>
      <c r="CA38" s="906"/>
      <c r="CB38" s="907"/>
      <c r="CC38" s="907"/>
      <c r="CD38" s="907"/>
      <c r="CE38" s="906"/>
      <c r="CF38" s="907"/>
      <c r="CG38" s="907"/>
      <c r="CH38" s="907"/>
      <c r="CI38" s="906"/>
      <c r="CJ38" s="907"/>
      <c r="CK38" s="907"/>
      <c r="CL38" s="907"/>
      <c r="CM38" s="906"/>
      <c r="CN38" s="907"/>
      <c r="CO38" s="907"/>
      <c r="CP38" s="907"/>
      <c r="CQ38" s="906"/>
      <c r="CR38" s="907"/>
      <c r="CS38" s="907"/>
      <c r="CT38" s="907"/>
      <c r="CU38" s="906"/>
      <c r="CV38" s="907"/>
      <c r="CW38" s="907"/>
      <c r="CX38" s="907"/>
      <c r="CY38" s="906"/>
      <c r="CZ38" s="907"/>
      <c r="DA38" s="907"/>
      <c r="DB38" s="907"/>
      <c r="DC38" s="906"/>
      <c r="DD38" s="907"/>
      <c r="DE38" s="907"/>
      <c r="DF38" s="907"/>
      <c r="DG38" s="906"/>
    </row>
    <row r="39" spans="1:111">
      <c r="A39" s="824">
        <v>36</v>
      </c>
      <c r="B39" s="824">
        <f>STUDENT!F37</f>
        <v>15143</v>
      </c>
      <c r="C39" s="824">
        <f>STUDENT!D37</f>
        <v>20250310265</v>
      </c>
      <c r="D39" s="827" t="str">
        <f>STUDENT!E37</f>
        <v>JITENDRA</v>
      </c>
      <c r="E39" s="827" t="str">
        <f>STUDENT!H37</f>
        <v>RAM SUMAR</v>
      </c>
      <c r="F39" s="904" t="s">
        <v>335</v>
      </c>
      <c r="G39" s="904" t="s">
        <v>336</v>
      </c>
      <c r="H39" s="904" t="s">
        <v>337</v>
      </c>
      <c r="I39" s="824">
        <f t="shared" si="0"/>
        <v>2</v>
      </c>
      <c r="J39" s="824">
        <f t="shared" si="1"/>
        <v>2</v>
      </c>
      <c r="K39" s="824">
        <f t="shared" si="2"/>
        <v>3</v>
      </c>
      <c r="L39" s="905">
        <v>2</v>
      </c>
      <c r="M39" s="905">
        <v>2</v>
      </c>
      <c r="N39" s="905">
        <v>3</v>
      </c>
      <c r="O39" s="907"/>
      <c r="P39" s="905">
        <v>2</v>
      </c>
      <c r="Q39" s="905">
        <v>2</v>
      </c>
      <c r="R39" s="905">
        <v>3</v>
      </c>
      <c r="S39" s="907" t="s">
        <v>341</v>
      </c>
      <c r="T39" s="905">
        <v>2</v>
      </c>
      <c r="U39" s="905">
        <v>2</v>
      </c>
      <c r="V39" s="905">
        <v>3</v>
      </c>
      <c r="W39" s="907" t="s">
        <v>341</v>
      </c>
      <c r="X39" s="905">
        <v>2</v>
      </c>
      <c r="Y39" s="905">
        <v>2</v>
      </c>
      <c r="Z39" s="905">
        <v>3</v>
      </c>
      <c r="AA39" s="907" t="s">
        <v>341</v>
      </c>
      <c r="AB39" s="905">
        <v>2</v>
      </c>
      <c r="AC39" s="905">
        <v>2</v>
      </c>
      <c r="AD39" s="905">
        <v>3</v>
      </c>
      <c r="AE39" s="907" t="s">
        <v>341</v>
      </c>
      <c r="AF39" s="905">
        <v>3</v>
      </c>
      <c r="AG39" s="905">
        <v>2</v>
      </c>
      <c r="AH39" s="905">
        <v>3</v>
      </c>
      <c r="AI39" s="906"/>
      <c r="AJ39" s="907"/>
      <c r="AK39" s="907"/>
      <c r="AL39" s="907"/>
      <c r="AM39" s="906"/>
      <c r="AN39" s="907"/>
      <c r="AO39" s="907"/>
      <c r="AP39" s="907"/>
      <c r="AQ39" s="906"/>
      <c r="AR39" s="907"/>
      <c r="AS39" s="907"/>
      <c r="AT39" s="907"/>
      <c r="AU39" s="906"/>
      <c r="AV39" s="907"/>
      <c r="AW39" s="907"/>
      <c r="AX39" s="907"/>
      <c r="AY39" s="906"/>
      <c r="AZ39" s="907"/>
      <c r="BA39" s="907"/>
      <c r="BB39" s="907"/>
      <c r="BC39" s="906"/>
      <c r="BD39" s="907"/>
      <c r="BE39" s="907"/>
      <c r="BF39" s="907"/>
      <c r="BG39" s="906"/>
      <c r="BH39" s="907"/>
      <c r="BI39" s="907"/>
      <c r="BJ39" s="907"/>
      <c r="BK39" s="906"/>
      <c r="BL39" s="907"/>
      <c r="BM39" s="907"/>
      <c r="BN39" s="907"/>
      <c r="BO39" s="906"/>
      <c r="BP39" s="907"/>
      <c r="BQ39" s="907"/>
      <c r="BR39" s="907"/>
      <c r="BS39" s="906"/>
      <c r="BT39" s="907"/>
      <c r="BU39" s="907"/>
      <c r="BV39" s="907"/>
      <c r="BW39" s="906"/>
      <c r="BX39" s="907"/>
      <c r="BY39" s="907"/>
      <c r="BZ39" s="907"/>
      <c r="CA39" s="906"/>
      <c r="CB39" s="907"/>
      <c r="CC39" s="907"/>
      <c r="CD39" s="907"/>
      <c r="CE39" s="906"/>
      <c r="CF39" s="907"/>
      <c r="CG39" s="907"/>
      <c r="CH39" s="907"/>
      <c r="CI39" s="906"/>
      <c r="CJ39" s="907"/>
      <c r="CK39" s="907"/>
      <c r="CL39" s="907"/>
      <c r="CM39" s="906"/>
      <c r="CN39" s="907"/>
      <c r="CO39" s="907"/>
      <c r="CP39" s="907"/>
      <c r="CQ39" s="906"/>
      <c r="CR39" s="907"/>
      <c r="CS39" s="907"/>
      <c r="CT39" s="907"/>
      <c r="CU39" s="906"/>
      <c r="CV39" s="907"/>
      <c r="CW39" s="907"/>
      <c r="CX39" s="907"/>
      <c r="CY39" s="906"/>
      <c r="CZ39" s="907"/>
      <c r="DA39" s="907"/>
      <c r="DB39" s="907"/>
      <c r="DC39" s="906"/>
      <c r="DD39" s="907"/>
      <c r="DE39" s="907"/>
      <c r="DF39" s="907"/>
      <c r="DG39" s="906"/>
    </row>
    <row r="40" spans="1:111">
      <c r="A40" s="824">
        <v>37</v>
      </c>
      <c r="B40" s="824">
        <f>STUDENT!F38</f>
        <v>15144</v>
      </c>
      <c r="C40" s="824">
        <f>STUDENT!D38</f>
        <v>20250310269</v>
      </c>
      <c r="D40" s="827" t="str">
        <f>STUDENT!E38</f>
        <v>MOHD AYAN</v>
      </c>
      <c r="E40" s="827" t="str">
        <f>STUDENT!H38</f>
        <v>BUDHAN MIYAN</v>
      </c>
      <c r="F40" s="904" t="s">
        <v>335</v>
      </c>
      <c r="G40" s="904" t="s">
        <v>336</v>
      </c>
      <c r="H40" s="904" t="s">
        <v>337</v>
      </c>
      <c r="I40" s="824">
        <f t="shared" si="0"/>
        <v>2</v>
      </c>
      <c r="J40" s="824">
        <f t="shared" si="1"/>
        <v>2</v>
      </c>
      <c r="K40" s="824">
        <f t="shared" si="2"/>
        <v>3</v>
      </c>
      <c r="L40" s="905">
        <v>2</v>
      </c>
      <c r="M40" s="905">
        <v>2</v>
      </c>
      <c r="N40" s="905">
        <v>3</v>
      </c>
      <c r="O40" s="907"/>
      <c r="P40" s="905">
        <v>2</v>
      </c>
      <c r="Q40" s="905">
        <v>2</v>
      </c>
      <c r="R40" s="905">
        <v>3</v>
      </c>
      <c r="S40" s="907" t="s">
        <v>341</v>
      </c>
      <c r="T40" s="905">
        <v>2</v>
      </c>
      <c r="U40" s="905">
        <v>2</v>
      </c>
      <c r="V40" s="905">
        <v>3</v>
      </c>
      <c r="W40" s="907" t="s">
        <v>341</v>
      </c>
      <c r="X40" s="905">
        <v>2</v>
      </c>
      <c r="Y40" s="905">
        <v>2</v>
      </c>
      <c r="Z40" s="905">
        <v>3</v>
      </c>
      <c r="AA40" s="907" t="s">
        <v>341</v>
      </c>
      <c r="AB40" s="905">
        <v>2</v>
      </c>
      <c r="AC40" s="905">
        <v>2</v>
      </c>
      <c r="AD40" s="905">
        <v>3</v>
      </c>
      <c r="AE40" s="907" t="s">
        <v>341</v>
      </c>
      <c r="AF40" s="905">
        <v>2</v>
      </c>
      <c r="AG40" s="905">
        <v>2</v>
      </c>
      <c r="AH40" s="905">
        <v>3</v>
      </c>
      <c r="AI40" s="906"/>
      <c r="AJ40" s="907"/>
      <c r="AK40" s="907"/>
      <c r="AL40" s="907"/>
      <c r="AM40" s="906"/>
      <c r="AN40" s="907"/>
      <c r="AO40" s="907"/>
      <c r="AP40" s="907"/>
      <c r="AQ40" s="906"/>
      <c r="AR40" s="907"/>
      <c r="AS40" s="907"/>
      <c r="AT40" s="907"/>
      <c r="AU40" s="906"/>
      <c r="AV40" s="907"/>
      <c r="AW40" s="907"/>
      <c r="AX40" s="907"/>
      <c r="AY40" s="906"/>
      <c r="AZ40" s="907"/>
      <c r="BA40" s="907"/>
      <c r="BB40" s="907"/>
      <c r="BC40" s="906"/>
      <c r="BD40" s="907"/>
      <c r="BE40" s="907"/>
      <c r="BF40" s="907"/>
      <c r="BG40" s="906"/>
      <c r="BH40" s="907"/>
      <c r="BI40" s="907"/>
      <c r="BJ40" s="907"/>
      <c r="BK40" s="906"/>
      <c r="BL40" s="907"/>
      <c r="BM40" s="907"/>
      <c r="BN40" s="907"/>
      <c r="BO40" s="906"/>
      <c r="BP40" s="907"/>
      <c r="BQ40" s="907"/>
      <c r="BR40" s="907"/>
      <c r="BS40" s="906"/>
      <c r="BT40" s="907"/>
      <c r="BU40" s="907"/>
      <c r="BV40" s="907"/>
      <c r="BW40" s="906"/>
      <c r="BX40" s="907"/>
      <c r="BY40" s="907"/>
      <c r="BZ40" s="907"/>
      <c r="CA40" s="906"/>
      <c r="CB40" s="907"/>
      <c r="CC40" s="907"/>
      <c r="CD40" s="907"/>
      <c r="CE40" s="906"/>
      <c r="CF40" s="907"/>
      <c r="CG40" s="907"/>
      <c r="CH40" s="907"/>
      <c r="CI40" s="906"/>
      <c r="CJ40" s="907"/>
      <c r="CK40" s="907"/>
      <c r="CL40" s="907"/>
      <c r="CM40" s="906"/>
      <c r="CN40" s="907"/>
      <c r="CO40" s="907"/>
      <c r="CP40" s="907"/>
      <c r="CQ40" s="906"/>
      <c r="CR40" s="907"/>
      <c r="CS40" s="907"/>
      <c r="CT40" s="907"/>
      <c r="CU40" s="906"/>
      <c r="CV40" s="907"/>
      <c r="CW40" s="907"/>
      <c r="CX40" s="907"/>
      <c r="CY40" s="906"/>
      <c r="CZ40" s="907"/>
      <c r="DA40" s="907"/>
      <c r="DB40" s="907"/>
      <c r="DC40" s="906"/>
      <c r="DD40" s="907"/>
      <c r="DE40" s="907"/>
      <c r="DF40" s="907"/>
      <c r="DG40" s="906"/>
    </row>
    <row r="41" spans="1:111">
      <c r="A41" s="824">
        <v>38</v>
      </c>
      <c r="B41" s="824">
        <f>STUDENT!F39</f>
        <v>15145</v>
      </c>
      <c r="C41" s="824">
        <f>STUDENT!D39</f>
        <v>20250310277</v>
      </c>
      <c r="D41" s="827" t="str">
        <f>STUDENT!E39</f>
        <v>RAJA KUMAR</v>
      </c>
      <c r="E41" s="827" t="str">
        <f>STUDENT!H39</f>
        <v>AMAR PODDAR</v>
      </c>
      <c r="F41" s="904" t="s">
        <v>335</v>
      </c>
      <c r="G41" s="904" t="s">
        <v>336</v>
      </c>
      <c r="H41" s="904" t="s">
        <v>337</v>
      </c>
      <c r="I41" s="824">
        <f t="shared" si="0"/>
        <v>2</v>
      </c>
      <c r="J41" s="824">
        <f t="shared" si="1"/>
        <v>2</v>
      </c>
      <c r="K41" s="824">
        <f t="shared" si="2"/>
        <v>3</v>
      </c>
      <c r="L41" s="905">
        <v>2</v>
      </c>
      <c r="M41" s="905">
        <v>2</v>
      </c>
      <c r="N41" s="905">
        <v>3</v>
      </c>
      <c r="O41" s="907"/>
      <c r="P41" s="905">
        <v>2</v>
      </c>
      <c r="Q41" s="905">
        <v>2</v>
      </c>
      <c r="R41" s="905">
        <v>3</v>
      </c>
      <c r="S41" s="907" t="s">
        <v>341</v>
      </c>
      <c r="T41" s="905">
        <v>2</v>
      </c>
      <c r="U41" s="905">
        <v>2</v>
      </c>
      <c r="V41" s="905">
        <v>3</v>
      </c>
      <c r="W41" s="907" t="s">
        <v>341</v>
      </c>
      <c r="X41" s="905">
        <v>2</v>
      </c>
      <c r="Y41" s="905">
        <v>2</v>
      </c>
      <c r="Z41" s="905">
        <v>3</v>
      </c>
      <c r="AA41" s="907" t="s">
        <v>341</v>
      </c>
      <c r="AB41" s="905">
        <v>2</v>
      </c>
      <c r="AC41" s="905">
        <v>2</v>
      </c>
      <c r="AD41" s="905">
        <v>3</v>
      </c>
      <c r="AE41" s="907" t="s">
        <v>341</v>
      </c>
      <c r="AF41" s="905">
        <v>2</v>
      </c>
      <c r="AG41" s="905">
        <v>2</v>
      </c>
      <c r="AH41" s="905">
        <v>3</v>
      </c>
      <c r="AI41" s="906"/>
      <c r="AJ41" s="907"/>
      <c r="AK41" s="907"/>
      <c r="AL41" s="907"/>
      <c r="AM41" s="906"/>
      <c r="AN41" s="907"/>
      <c r="AO41" s="907"/>
      <c r="AP41" s="907"/>
      <c r="AQ41" s="906"/>
      <c r="AR41" s="907"/>
      <c r="AS41" s="907"/>
      <c r="AT41" s="907"/>
      <c r="AU41" s="906"/>
      <c r="AV41" s="907"/>
      <c r="AW41" s="907"/>
      <c r="AX41" s="907"/>
      <c r="AY41" s="906"/>
      <c r="AZ41" s="907"/>
      <c r="BA41" s="907"/>
      <c r="BB41" s="907"/>
      <c r="BC41" s="906"/>
      <c r="BD41" s="907"/>
      <c r="BE41" s="907"/>
      <c r="BF41" s="907"/>
      <c r="BG41" s="906"/>
      <c r="BH41" s="907"/>
      <c r="BI41" s="907"/>
      <c r="BJ41" s="907"/>
      <c r="BK41" s="906"/>
      <c r="BL41" s="907"/>
      <c r="BM41" s="907"/>
      <c r="BN41" s="907"/>
      <c r="BO41" s="906"/>
      <c r="BP41" s="907"/>
      <c r="BQ41" s="907"/>
      <c r="BR41" s="907"/>
      <c r="BS41" s="906"/>
      <c r="BT41" s="907"/>
      <c r="BU41" s="907"/>
      <c r="BV41" s="907"/>
      <c r="BW41" s="906"/>
      <c r="BX41" s="907"/>
      <c r="BY41" s="907"/>
      <c r="BZ41" s="907"/>
      <c r="CA41" s="906"/>
      <c r="CB41" s="907"/>
      <c r="CC41" s="907"/>
      <c r="CD41" s="907"/>
      <c r="CE41" s="906"/>
      <c r="CF41" s="907"/>
      <c r="CG41" s="907"/>
      <c r="CH41" s="907"/>
      <c r="CI41" s="906"/>
      <c r="CJ41" s="907"/>
      <c r="CK41" s="907"/>
      <c r="CL41" s="907"/>
      <c r="CM41" s="906"/>
      <c r="CN41" s="907"/>
      <c r="CO41" s="907"/>
      <c r="CP41" s="907"/>
      <c r="CQ41" s="906"/>
      <c r="CR41" s="907"/>
      <c r="CS41" s="907"/>
      <c r="CT41" s="907"/>
      <c r="CU41" s="906"/>
      <c r="CV41" s="907"/>
      <c r="CW41" s="907"/>
      <c r="CX41" s="907"/>
      <c r="CY41" s="906"/>
      <c r="CZ41" s="907"/>
      <c r="DA41" s="907"/>
      <c r="DB41" s="907"/>
      <c r="DC41" s="906"/>
      <c r="DD41" s="907"/>
      <c r="DE41" s="907"/>
      <c r="DF41" s="907"/>
      <c r="DG41" s="906"/>
    </row>
    <row r="42" spans="1:111">
      <c r="A42" s="824">
        <v>39</v>
      </c>
      <c r="B42" s="824">
        <f>STUDENT!F40</f>
        <v>15149</v>
      </c>
      <c r="C42" s="824">
        <f>STUDENT!D40</f>
        <v>20250325088</v>
      </c>
      <c r="D42" s="827" t="str">
        <f>STUDENT!E40</f>
        <v>LOVECESH KUMAR</v>
      </c>
      <c r="E42" s="827" t="str">
        <f>STUDENT!H40</f>
        <v>SANDEEP KUMAR</v>
      </c>
      <c r="F42" s="904" t="s">
        <v>101</v>
      </c>
      <c r="G42" s="904" t="s">
        <v>101</v>
      </c>
      <c r="H42" s="904" t="s">
        <v>101</v>
      </c>
      <c r="I42" s="824" t="str">
        <f t="shared" si="0"/>
        <v/>
      </c>
      <c r="J42" s="824" t="str">
        <f t="shared" si="1"/>
        <v/>
      </c>
      <c r="K42" s="824" t="str">
        <f t="shared" si="2"/>
        <v/>
      </c>
      <c r="L42" s="905" t="s">
        <v>101</v>
      </c>
      <c r="M42" s="905" t="s">
        <v>101</v>
      </c>
      <c r="N42" s="905" t="s">
        <v>101</v>
      </c>
      <c r="O42" s="907"/>
      <c r="P42" s="905" t="s">
        <v>101</v>
      </c>
      <c r="Q42" s="905" t="s">
        <v>101</v>
      </c>
      <c r="R42" s="905" t="s">
        <v>101</v>
      </c>
      <c r="S42" s="907" t="s">
        <v>341</v>
      </c>
      <c r="T42" s="905" t="s">
        <v>101</v>
      </c>
      <c r="U42" s="905" t="s">
        <v>101</v>
      </c>
      <c r="V42" s="905" t="s">
        <v>101</v>
      </c>
      <c r="W42" s="907" t="s">
        <v>341</v>
      </c>
      <c r="X42" s="905" t="s">
        <v>101</v>
      </c>
      <c r="Y42" s="905" t="s">
        <v>101</v>
      </c>
      <c r="Z42" s="905" t="s">
        <v>101</v>
      </c>
      <c r="AA42" s="907" t="s">
        <v>341</v>
      </c>
      <c r="AB42" s="905" t="s">
        <v>101</v>
      </c>
      <c r="AC42" s="905" t="s">
        <v>101</v>
      </c>
      <c r="AD42" s="905" t="s">
        <v>101</v>
      </c>
      <c r="AE42" s="907" t="s">
        <v>341</v>
      </c>
      <c r="AF42" s="905" t="s">
        <v>101</v>
      </c>
      <c r="AG42" s="905" t="s">
        <v>101</v>
      </c>
      <c r="AH42" s="905" t="s">
        <v>101</v>
      </c>
      <c r="AI42" s="906"/>
      <c r="AJ42" s="907"/>
      <c r="AK42" s="907"/>
      <c r="AL42" s="907"/>
      <c r="AM42" s="906"/>
      <c r="AN42" s="907"/>
      <c r="AO42" s="907"/>
      <c r="AP42" s="907"/>
      <c r="AQ42" s="906"/>
      <c r="AR42" s="907"/>
      <c r="AS42" s="907"/>
      <c r="AT42" s="907"/>
      <c r="AU42" s="906"/>
      <c r="AV42" s="907"/>
      <c r="AW42" s="907"/>
      <c r="AX42" s="907"/>
      <c r="AY42" s="906"/>
      <c r="AZ42" s="907"/>
      <c r="BA42" s="907"/>
      <c r="BB42" s="907"/>
      <c r="BC42" s="906"/>
      <c r="BD42" s="907"/>
      <c r="BE42" s="907"/>
      <c r="BF42" s="907"/>
      <c r="BG42" s="906"/>
      <c r="BH42" s="907"/>
      <c r="BI42" s="907"/>
      <c r="BJ42" s="907"/>
      <c r="BK42" s="906"/>
      <c r="BL42" s="907"/>
      <c r="BM42" s="907"/>
      <c r="BN42" s="907"/>
      <c r="BO42" s="906"/>
      <c r="BP42" s="907"/>
      <c r="BQ42" s="907"/>
      <c r="BR42" s="907"/>
      <c r="BS42" s="906"/>
      <c r="BT42" s="907"/>
      <c r="BU42" s="907"/>
      <c r="BV42" s="907"/>
      <c r="BW42" s="906"/>
      <c r="BX42" s="907"/>
      <c r="BY42" s="907"/>
      <c r="BZ42" s="907"/>
      <c r="CA42" s="906"/>
      <c r="CB42" s="907"/>
      <c r="CC42" s="907"/>
      <c r="CD42" s="907"/>
      <c r="CE42" s="906"/>
      <c r="CF42" s="907"/>
      <c r="CG42" s="907"/>
      <c r="CH42" s="907"/>
      <c r="CI42" s="906"/>
      <c r="CJ42" s="907"/>
      <c r="CK42" s="907"/>
      <c r="CL42" s="907"/>
      <c r="CM42" s="906"/>
      <c r="CN42" s="907"/>
      <c r="CO42" s="907"/>
      <c r="CP42" s="907"/>
      <c r="CQ42" s="906"/>
      <c r="CR42" s="907"/>
      <c r="CS42" s="907"/>
      <c r="CT42" s="907"/>
      <c r="CU42" s="906"/>
      <c r="CV42" s="907"/>
      <c r="CW42" s="907"/>
      <c r="CX42" s="907"/>
      <c r="CY42" s="906"/>
      <c r="CZ42" s="907"/>
      <c r="DA42" s="907"/>
      <c r="DB42" s="907"/>
      <c r="DC42" s="906"/>
      <c r="DD42" s="907"/>
      <c r="DE42" s="907"/>
      <c r="DF42" s="907"/>
      <c r="DG42" s="906"/>
    </row>
    <row r="43" spans="1:111">
      <c r="A43" s="824">
        <v>40</v>
      </c>
      <c r="B43" s="824">
        <f>STUDENT!F41</f>
        <v>0</v>
      </c>
      <c r="C43" s="824">
        <f>STUDENT!D41</f>
        <v>0</v>
      </c>
      <c r="D43" s="827">
        <f>STUDENT!E41</f>
        <v>0</v>
      </c>
      <c r="E43" s="827">
        <f>STUDENT!H41</f>
        <v>0</v>
      </c>
      <c r="F43" s="904"/>
      <c r="G43" s="904"/>
      <c r="H43" s="904"/>
      <c r="I43" s="824" t="str">
        <f t="shared" si="0"/>
        <v/>
      </c>
      <c r="J43" s="824" t="str">
        <f t="shared" si="1"/>
        <v/>
      </c>
      <c r="K43" s="824" t="str">
        <f t="shared" si="2"/>
        <v/>
      </c>
      <c r="L43" s="907" t="s">
        <v>341</v>
      </c>
      <c r="M43" s="907" t="s">
        <v>341</v>
      </c>
      <c r="N43" s="907" t="s">
        <v>341</v>
      </c>
      <c r="O43" s="907"/>
      <c r="P43" s="907" t="s">
        <v>341</v>
      </c>
      <c r="Q43" s="907" t="s">
        <v>341</v>
      </c>
      <c r="R43" s="907" t="s">
        <v>341</v>
      </c>
      <c r="S43" s="907" t="s">
        <v>341</v>
      </c>
      <c r="T43" s="907" t="s">
        <v>341</v>
      </c>
      <c r="U43" s="907" t="s">
        <v>341</v>
      </c>
      <c r="V43" s="907" t="s">
        <v>341</v>
      </c>
      <c r="W43" s="907" t="s">
        <v>341</v>
      </c>
      <c r="X43" s="907" t="s">
        <v>341</v>
      </c>
      <c r="Y43" s="907" t="s">
        <v>341</v>
      </c>
      <c r="Z43" s="907" t="s">
        <v>341</v>
      </c>
      <c r="AA43" s="907" t="s">
        <v>341</v>
      </c>
      <c r="AB43" s="907" t="s">
        <v>341</v>
      </c>
      <c r="AC43" s="907" t="s">
        <v>341</v>
      </c>
      <c r="AD43" s="907" t="s">
        <v>341</v>
      </c>
      <c r="AE43" s="907" t="s">
        <v>341</v>
      </c>
      <c r="AF43" s="907" t="s">
        <v>341</v>
      </c>
      <c r="AG43" s="907" t="s">
        <v>341</v>
      </c>
      <c r="AH43" s="907" t="s">
        <v>341</v>
      </c>
      <c r="AI43" s="906"/>
      <c r="AJ43" s="907"/>
      <c r="AK43" s="907"/>
      <c r="AL43" s="907"/>
      <c r="AM43" s="906"/>
      <c r="AN43" s="907"/>
      <c r="AO43" s="907"/>
      <c r="AP43" s="907"/>
      <c r="AQ43" s="906"/>
      <c r="AR43" s="907"/>
      <c r="AS43" s="907"/>
      <c r="AT43" s="907"/>
      <c r="AU43" s="906"/>
      <c r="AV43" s="907"/>
      <c r="AW43" s="907"/>
      <c r="AX43" s="907"/>
      <c r="AY43" s="906"/>
      <c r="AZ43" s="907"/>
      <c r="BA43" s="907"/>
      <c r="BB43" s="907"/>
      <c r="BC43" s="906"/>
      <c r="BD43" s="907"/>
      <c r="BE43" s="907"/>
      <c r="BF43" s="907"/>
      <c r="BG43" s="906"/>
      <c r="BH43" s="907"/>
      <c r="BI43" s="907"/>
      <c r="BJ43" s="907"/>
      <c r="BK43" s="906"/>
      <c r="BL43" s="907"/>
      <c r="BM43" s="907"/>
      <c r="BN43" s="907"/>
      <c r="BO43" s="906"/>
      <c r="BP43" s="907"/>
      <c r="BQ43" s="907"/>
      <c r="BR43" s="907"/>
      <c r="BS43" s="906"/>
      <c r="BT43" s="907"/>
      <c r="BU43" s="907"/>
      <c r="BV43" s="907"/>
      <c r="BW43" s="906"/>
      <c r="BX43" s="907"/>
      <c r="BY43" s="907"/>
      <c r="BZ43" s="907"/>
      <c r="CA43" s="906"/>
      <c r="CB43" s="907"/>
      <c r="CC43" s="907"/>
      <c r="CD43" s="907"/>
      <c r="CE43" s="906"/>
      <c r="CF43" s="907"/>
      <c r="CG43" s="907"/>
      <c r="CH43" s="907"/>
      <c r="CI43" s="906"/>
      <c r="CJ43" s="907"/>
      <c r="CK43" s="907"/>
      <c r="CL43" s="907"/>
      <c r="CM43" s="906"/>
      <c r="CN43" s="907"/>
      <c r="CO43" s="907"/>
      <c r="CP43" s="907"/>
      <c r="CQ43" s="906"/>
      <c r="CR43" s="907"/>
      <c r="CS43" s="907"/>
      <c r="CT43" s="907"/>
      <c r="CU43" s="906"/>
      <c r="CV43" s="907"/>
      <c r="CW43" s="907"/>
      <c r="CX43" s="907"/>
      <c r="CY43" s="906"/>
      <c r="CZ43" s="907"/>
      <c r="DA43" s="907"/>
      <c r="DB43" s="907"/>
      <c r="DC43" s="906"/>
      <c r="DD43" s="907"/>
      <c r="DE43" s="907"/>
      <c r="DF43" s="907"/>
      <c r="DG43" s="906"/>
    </row>
    <row r="44" spans="1:111">
      <c r="A44" s="824">
        <v>41</v>
      </c>
      <c r="B44" s="824">
        <f>STUDENT!F42</f>
        <v>0</v>
      </c>
      <c r="C44" s="824">
        <f>STUDENT!D42</f>
        <v>0</v>
      </c>
      <c r="D44" s="827">
        <f>STUDENT!E42</f>
        <v>0</v>
      </c>
      <c r="E44" s="827">
        <f>STUDENT!H42</f>
        <v>0</v>
      </c>
      <c r="F44" s="904"/>
      <c r="G44" s="904"/>
      <c r="H44" s="904"/>
      <c r="I44" s="824" t="str">
        <f t="shared" si="0"/>
        <v/>
      </c>
      <c r="J44" s="824" t="str">
        <f t="shared" si="1"/>
        <v/>
      </c>
      <c r="K44" s="824" t="str">
        <f t="shared" si="2"/>
        <v/>
      </c>
      <c r="L44" s="907" t="s">
        <v>341</v>
      </c>
      <c r="M44" s="907" t="s">
        <v>341</v>
      </c>
      <c r="N44" s="907" t="s">
        <v>341</v>
      </c>
      <c r="O44" s="907"/>
      <c r="P44" s="907" t="s">
        <v>341</v>
      </c>
      <c r="Q44" s="907" t="s">
        <v>341</v>
      </c>
      <c r="R44" s="907" t="s">
        <v>341</v>
      </c>
      <c r="S44" s="907" t="s">
        <v>341</v>
      </c>
      <c r="T44" s="907" t="s">
        <v>341</v>
      </c>
      <c r="U44" s="907" t="s">
        <v>341</v>
      </c>
      <c r="V44" s="907" t="s">
        <v>341</v>
      </c>
      <c r="W44" s="907" t="s">
        <v>341</v>
      </c>
      <c r="X44" s="907" t="s">
        <v>341</v>
      </c>
      <c r="Y44" s="907" t="s">
        <v>341</v>
      </c>
      <c r="Z44" s="907" t="s">
        <v>341</v>
      </c>
      <c r="AA44" s="907" t="s">
        <v>341</v>
      </c>
      <c r="AB44" s="907" t="s">
        <v>341</v>
      </c>
      <c r="AC44" s="907" t="s">
        <v>341</v>
      </c>
      <c r="AD44" s="907" t="s">
        <v>341</v>
      </c>
      <c r="AE44" s="907" t="s">
        <v>341</v>
      </c>
      <c r="AF44" s="907" t="s">
        <v>341</v>
      </c>
      <c r="AG44" s="907" t="s">
        <v>341</v>
      </c>
      <c r="AH44" s="907" t="s">
        <v>341</v>
      </c>
      <c r="AI44" s="906"/>
      <c r="AJ44" s="907"/>
      <c r="AK44" s="907"/>
      <c r="AL44" s="907"/>
      <c r="AM44" s="906"/>
      <c r="AN44" s="907"/>
      <c r="AO44" s="907"/>
      <c r="AP44" s="907"/>
      <c r="AQ44" s="906"/>
      <c r="AR44" s="907"/>
      <c r="AS44" s="907"/>
      <c r="AT44" s="907"/>
      <c r="AU44" s="906"/>
      <c r="AV44" s="907"/>
      <c r="AW44" s="907"/>
      <c r="AX44" s="907"/>
      <c r="AY44" s="906"/>
      <c r="AZ44" s="907"/>
      <c r="BA44" s="907"/>
      <c r="BB44" s="907"/>
      <c r="BC44" s="906"/>
      <c r="BD44" s="907"/>
      <c r="BE44" s="907"/>
      <c r="BF44" s="907"/>
      <c r="BG44" s="906"/>
      <c r="BH44" s="907"/>
      <c r="BI44" s="907"/>
      <c r="BJ44" s="907"/>
      <c r="BK44" s="906"/>
      <c r="BL44" s="907"/>
      <c r="BM44" s="907"/>
      <c r="BN44" s="907"/>
      <c r="BO44" s="906"/>
      <c r="BP44" s="907"/>
      <c r="BQ44" s="907"/>
      <c r="BR44" s="907"/>
      <c r="BS44" s="906"/>
      <c r="BT44" s="907"/>
      <c r="BU44" s="907"/>
      <c r="BV44" s="907"/>
      <c r="BW44" s="906"/>
      <c r="BX44" s="907"/>
      <c r="BY44" s="907"/>
      <c r="BZ44" s="907"/>
      <c r="CA44" s="906"/>
      <c r="CB44" s="907"/>
      <c r="CC44" s="907"/>
      <c r="CD44" s="907"/>
      <c r="CE44" s="906"/>
      <c r="CF44" s="907"/>
      <c r="CG44" s="907"/>
      <c r="CH44" s="907"/>
      <c r="CI44" s="906"/>
      <c r="CJ44" s="907"/>
      <c r="CK44" s="907"/>
      <c r="CL44" s="907"/>
      <c r="CM44" s="906"/>
      <c r="CN44" s="907"/>
      <c r="CO44" s="907"/>
      <c r="CP44" s="907"/>
      <c r="CQ44" s="906"/>
      <c r="CR44" s="907"/>
      <c r="CS44" s="907"/>
      <c r="CT44" s="907"/>
      <c r="CU44" s="906"/>
      <c r="CV44" s="907"/>
      <c r="CW44" s="907"/>
      <c r="CX44" s="907"/>
      <c r="CY44" s="906"/>
      <c r="CZ44" s="907"/>
      <c r="DA44" s="907"/>
      <c r="DB44" s="907"/>
      <c r="DC44" s="906"/>
      <c r="DD44" s="907"/>
      <c r="DE44" s="907"/>
      <c r="DF44" s="907"/>
      <c r="DG44" s="906"/>
    </row>
    <row r="45" spans="1:111">
      <c r="A45" s="824">
        <v>42</v>
      </c>
      <c r="B45" s="824">
        <f>STUDENT!F43</f>
        <v>0</v>
      </c>
      <c r="C45" s="824">
        <f>STUDENT!D43</f>
        <v>0</v>
      </c>
      <c r="D45" s="827">
        <f>STUDENT!E43</f>
        <v>0</v>
      </c>
      <c r="E45" s="827">
        <f>STUDENT!H43</f>
        <v>0</v>
      </c>
      <c r="F45" s="904"/>
      <c r="G45" s="904"/>
      <c r="H45" s="904"/>
      <c r="I45" s="824" t="str">
        <f t="shared" si="0"/>
        <v/>
      </c>
      <c r="J45" s="824" t="str">
        <f t="shared" si="1"/>
        <v/>
      </c>
      <c r="K45" s="824" t="str">
        <f t="shared" si="2"/>
        <v/>
      </c>
      <c r="L45" s="907" t="s">
        <v>341</v>
      </c>
      <c r="M45" s="907" t="s">
        <v>341</v>
      </c>
      <c r="N45" s="907" t="s">
        <v>341</v>
      </c>
      <c r="O45" s="907"/>
      <c r="P45" s="907" t="s">
        <v>341</v>
      </c>
      <c r="Q45" s="907" t="s">
        <v>341</v>
      </c>
      <c r="R45" s="907" t="s">
        <v>341</v>
      </c>
      <c r="S45" s="907" t="s">
        <v>341</v>
      </c>
      <c r="T45" s="907" t="s">
        <v>341</v>
      </c>
      <c r="U45" s="907" t="s">
        <v>341</v>
      </c>
      <c r="V45" s="907" t="s">
        <v>341</v>
      </c>
      <c r="W45" s="907" t="s">
        <v>341</v>
      </c>
      <c r="X45" s="907" t="s">
        <v>341</v>
      </c>
      <c r="Y45" s="907" t="s">
        <v>341</v>
      </c>
      <c r="Z45" s="907" t="s">
        <v>341</v>
      </c>
      <c r="AA45" s="907" t="s">
        <v>341</v>
      </c>
      <c r="AB45" s="907" t="s">
        <v>341</v>
      </c>
      <c r="AC45" s="907" t="s">
        <v>341</v>
      </c>
      <c r="AD45" s="907" t="s">
        <v>341</v>
      </c>
      <c r="AE45" s="907" t="s">
        <v>341</v>
      </c>
      <c r="AF45" s="907" t="s">
        <v>341</v>
      </c>
      <c r="AG45" s="907" t="s">
        <v>341</v>
      </c>
      <c r="AH45" s="907" t="s">
        <v>341</v>
      </c>
      <c r="AI45" s="906"/>
      <c r="AJ45" s="907"/>
      <c r="AK45" s="907"/>
      <c r="AL45" s="907"/>
      <c r="AM45" s="906"/>
      <c r="AN45" s="907"/>
      <c r="AO45" s="907"/>
      <c r="AP45" s="907"/>
      <c r="AQ45" s="906"/>
      <c r="AR45" s="907"/>
      <c r="AS45" s="907"/>
      <c r="AT45" s="907"/>
      <c r="AU45" s="906"/>
      <c r="AV45" s="907"/>
      <c r="AW45" s="907"/>
      <c r="AX45" s="907"/>
      <c r="AY45" s="906"/>
      <c r="AZ45" s="907"/>
      <c r="BA45" s="907"/>
      <c r="BB45" s="907"/>
      <c r="BC45" s="906"/>
      <c r="BD45" s="907"/>
      <c r="BE45" s="907"/>
      <c r="BF45" s="907"/>
      <c r="BG45" s="906"/>
      <c r="BH45" s="907"/>
      <c r="BI45" s="907"/>
      <c r="BJ45" s="907"/>
      <c r="BK45" s="906"/>
      <c r="BL45" s="907"/>
      <c r="BM45" s="907"/>
      <c r="BN45" s="907"/>
      <c r="BO45" s="906"/>
      <c r="BP45" s="907"/>
      <c r="BQ45" s="907"/>
      <c r="BR45" s="907"/>
      <c r="BS45" s="906"/>
      <c r="BT45" s="907"/>
      <c r="BU45" s="907"/>
      <c r="BV45" s="907"/>
      <c r="BW45" s="906"/>
      <c r="BX45" s="907"/>
      <c r="BY45" s="907"/>
      <c r="BZ45" s="907"/>
      <c r="CA45" s="906"/>
      <c r="CB45" s="907"/>
      <c r="CC45" s="907"/>
      <c r="CD45" s="907"/>
      <c r="CE45" s="906"/>
      <c r="CF45" s="907"/>
      <c r="CG45" s="907"/>
      <c r="CH45" s="907"/>
      <c r="CI45" s="906"/>
      <c r="CJ45" s="907"/>
      <c r="CK45" s="907"/>
      <c r="CL45" s="907"/>
      <c r="CM45" s="906"/>
      <c r="CN45" s="907"/>
      <c r="CO45" s="907"/>
      <c r="CP45" s="907"/>
      <c r="CQ45" s="906"/>
      <c r="CR45" s="907"/>
      <c r="CS45" s="907"/>
      <c r="CT45" s="907"/>
      <c r="CU45" s="906"/>
      <c r="CV45" s="907"/>
      <c r="CW45" s="907"/>
      <c r="CX45" s="907"/>
      <c r="CY45" s="906"/>
      <c r="CZ45" s="907"/>
      <c r="DA45" s="907"/>
      <c r="DB45" s="907"/>
      <c r="DC45" s="906"/>
      <c r="DD45" s="907"/>
      <c r="DE45" s="907"/>
      <c r="DF45" s="907"/>
      <c r="DG45" s="906"/>
    </row>
    <row r="46" spans="1:111">
      <c r="A46" s="824">
        <v>43</v>
      </c>
      <c r="B46" s="824">
        <f>STUDENT!F44</f>
        <v>0</v>
      </c>
      <c r="C46" s="824">
        <f>STUDENT!D44</f>
        <v>0</v>
      </c>
      <c r="D46" s="827">
        <f>STUDENT!E44</f>
        <v>0</v>
      </c>
      <c r="E46" s="827">
        <f>STUDENT!H44</f>
        <v>0</v>
      </c>
      <c r="F46" s="904"/>
      <c r="G46" s="904"/>
      <c r="H46" s="904"/>
      <c r="I46" s="824" t="str">
        <f t="shared" si="0"/>
        <v/>
      </c>
      <c r="J46" s="824" t="str">
        <f t="shared" si="1"/>
        <v/>
      </c>
      <c r="K46" s="824" t="str">
        <f t="shared" si="2"/>
        <v/>
      </c>
      <c r="L46" s="907" t="s">
        <v>341</v>
      </c>
      <c r="M46" s="907" t="s">
        <v>341</v>
      </c>
      <c r="N46" s="907" t="s">
        <v>341</v>
      </c>
      <c r="O46" s="906"/>
      <c r="P46" s="907"/>
      <c r="Q46" s="907"/>
      <c r="R46" s="907"/>
      <c r="S46" s="906"/>
      <c r="T46" s="907"/>
      <c r="U46" s="907"/>
      <c r="V46" s="907"/>
      <c r="W46" s="906"/>
      <c r="X46" s="907"/>
      <c r="Y46" s="907"/>
      <c r="Z46" s="907"/>
      <c r="AA46" s="906"/>
      <c r="AB46" s="907"/>
      <c r="AC46" s="907"/>
      <c r="AD46" s="907"/>
      <c r="AE46" s="906"/>
      <c r="AF46" s="907"/>
      <c r="AG46" s="907"/>
      <c r="AH46" s="907"/>
      <c r="AI46" s="906"/>
      <c r="AJ46" s="907"/>
      <c r="AK46" s="907"/>
      <c r="AL46" s="907"/>
      <c r="AM46" s="906"/>
      <c r="AN46" s="907"/>
      <c r="AO46" s="907"/>
      <c r="AP46" s="907"/>
      <c r="AQ46" s="906"/>
      <c r="AR46" s="907"/>
      <c r="AS46" s="907"/>
      <c r="AT46" s="907"/>
      <c r="AU46" s="906"/>
      <c r="AV46" s="907"/>
      <c r="AW46" s="907"/>
      <c r="AX46" s="907"/>
      <c r="AY46" s="906"/>
      <c r="AZ46" s="907"/>
      <c r="BA46" s="907"/>
      <c r="BB46" s="907"/>
      <c r="BC46" s="906"/>
      <c r="BD46" s="907"/>
      <c r="BE46" s="907"/>
      <c r="BF46" s="907"/>
      <c r="BG46" s="906"/>
      <c r="BH46" s="907"/>
      <c r="BI46" s="907"/>
      <c r="BJ46" s="907"/>
      <c r="BK46" s="906"/>
      <c r="BL46" s="907"/>
      <c r="BM46" s="907"/>
      <c r="BN46" s="907"/>
      <c r="BO46" s="906"/>
      <c r="BP46" s="907"/>
      <c r="BQ46" s="907"/>
      <c r="BR46" s="907"/>
      <c r="BS46" s="906"/>
      <c r="BT46" s="907"/>
      <c r="BU46" s="907"/>
      <c r="BV46" s="907"/>
      <c r="BW46" s="906"/>
      <c r="BX46" s="907"/>
      <c r="BY46" s="907"/>
      <c r="BZ46" s="907"/>
      <c r="CA46" s="906"/>
      <c r="CB46" s="907"/>
      <c r="CC46" s="907"/>
      <c r="CD46" s="907"/>
      <c r="CE46" s="906"/>
      <c r="CF46" s="907"/>
      <c r="CG46" s="907"/>
      <c r="CH46" s="907"/>
      <c r="CI46" s="906"/>
      <c r="CJ46" s="907"/>
      <c r="CK46" s="907"/>
      <c r="CL46" s="907"/>
      <c r="CM46" s="906"/>
      <c r="CN46" s="907"/>
      <c r="CO46" s="907"/>
      <c r="CP46" s="907"/>
      <c r="CQ46" s="906"/>
      <c r="CR46" s="907"/>
      <c r="CS46" s="907"/>
      <c r="CT46" s="907"/>
      <c r="CU46" s="906"/>
      <c r="CV46" s="907"/>
      <c r="CW46" s="907"/>
      <c r="CX46" s="907"/>
      <c r="CY46" s="906"/>
      <c r="CZ46" s="907"/>
      <c r="DA46" s="907"/>
      <c r="DB46" s="907"/>
      <c r="DC46" s="906"/>
      <c r="DD46" s="907"/>
      <c r="DE46" s="907"/>
      <c r="DF46" s="907"/>
      <c r="DG46" s="906"/>
    </row>
    <row r="47" spans="1:111">
      <c r="A47" s="824">
        <v>44</v>
      </c>
      <c r="B47" s="824">
        <f>STUDENT!F45</f>
        <v>0</v>
      </c>
      <c r="C47" s="824">
        <f>STUDENT!D45</f>
        <v>0</v>
      </c>
      <c r="D47" s="827">
        <f>STUDENT!E45</f>
        <v>0</v>
      </c>
      <c r="E47" s="827">
        <f>STUDENT!H45</f>
        <v>0</v>
      </c>
      <c r="F47" s="904"/>
      <c r="G47" s="904"/>
      <c r="H47" s="904"/>
      <c r="I47" s="824" t="str">
        <f t="shared" si="0"/>
        <v/>
      </c>
      <c r="J47" s="824" t="str">
        <f t="shared" si="1"/>
        <v/>
      </c>
      <c r="K47" s="824" t="str">
        <f t="shared" si="2"/>
        <v/>
      </c>
      <c r="L47" s="907" t="s">
        <v>341</v>
      </c>
      <c r="M47" s="907" t="s">
        <v>341</v>
      </c>
      <c r="N47" s="907" t="s">
        <v>341</v>
      </c>
      <c r="O47" s="906"/>
      <c r="P47" s="907"/>
      <c r="Q47" s="907"/>
      <c r="R47" s="907"/>
      <c r="S47" s="906"/>
      <c r="T47" s="907"/>
      <c r="U47" s="907"/>
      <c r="V47" s="907"/>
      <c r="W47" s="906"/>
      <c r="X47" s="907"/>
      <c r="Y47" s="907"/>
      <c r="Z47" s="907"/>
      <c r="AA47" s="906"/>
      <c r="AB47" s="907"/>
      <c r="AC47" s="907"/>
      <c r="AD47" s="907"/>
      <c r="AE47" s="906"/>
      <c r="AF47" s="907"/>
      <c r="AG47" s="907"/>
      <c r="AH47" s="907"/>
      <c r="AI47" s="906"/>
      <c r="AJ47" s="907"/>
      <c r="AK47" s="907"/>
      <c r="AL47" s="907"/>
      <c r="AM47" s="906"/>
      <c r="AN47" s="907"/>
      <c r="AO47" s="907"/>
      <c r="AP47" s="907"/>
      <c r="AQ47" s="906"/>
      <c r="AR47" s="907"/>
      <c r="AS47" s="907"/>
      <c r="AT47" s="907"/>
      <c r="AU47" s="906"/>
      <c r="AV47" s="907"/>
      <c r="AW47" s="907"/>
      <c r="AX47" s="907"/>
      <c r="AY47" s="906"/>
      <c r="AZ47" s="907"/>
      <c r="BA47" s="907"/>
      <c r="BB47" s="907"/>
      <c r="BC47" s="906"/>
      <c r="BD47" s="907"/>
      <c r="BE47" s="907"/>
      <c r="BF47" s="907"/>
      <c r="BG47" s="906"/>
      <c r="BH47" s="907"/>
      <c r="BI47" s="907"/>
      <c r="BJ47" s="907"/>
      <c r="BK47" s="906"/>
      <c r="BL47" s="907"/>
      <c r="BM47" s="907"/>
      <c r="BN47" s="907"/>
      <c r="BO47" s="906"/>
      <c r="BP47" s="907"/>
      <c r="BQ47" s="907"/>
      <c r="BR47" s="907"/>
      <c r="BS47" s="906"/>
      <c r="BT47" s="907"/>
      <c r="BU47" s="907"/>
      <c r="BV47" s="907"/>
      <c r="BW47" s="906"/>
      <c r="BX47" s="907"/>
      <c r="BY47" s="907"/>
      <c r="BZ47" s="907"/>
      <c r="CA47" s="906"/>
      <c r="CB47" s="907"/>
      <c r="CC47" s="907"/>
      <c r="CD47" s="907"/>
      <c r="CE47" s="906"/>
      <c r="CF47" s="907"/>
      <c r="CG47" s="907"/>
      <c r="CH47" s="907"/>
      <c r="CI47" s="906"/>
      <c r="CJ47" s="907"/>
      <c r="CK47" s="907"/>
      <c r="CL47" s="907"/>
      <c r="CM47" s="906"/>
      <c r="CN47" s="907"/>
      <c r="CO47" s="907"/>
      <c r="CP47" s="907"/>
      <c r="CQ47" s="906"/>
      <c r="CR47" s="907"/>
      <c r="CS47" s="907"/>
      <c r="CT47" s="907"/>
      <c r="CU47" s="906"/>
      <c r="CV47" s="907"/>
      <c r="CW47" s="907"/>
      <c r="CX47" s="907"/>
      <c r="CY47" s="906"/>
      <c r="CZ47" s="907"/>
      <c r="DA47" s="907"/>
      <c r="DB47" s="907"/>
      <c r="DC47" s="906"/>
      <c r="DD47" s="907"/>
      <c r="DE47" s="907"/>
      <c r="DF47" s="907"/>
      <c r="DG47" s="906"/>
    </row>
    <row r="48" spans="1:111">
      <c r="A48" s="824">
        <v>45</v>
      </c>
      <c r="B48" s="824">
        <f>STUDENT!F46</f>
        <v>0</v>
      </c>
      <c r="C48" s="824">
        <f>STUDENT!D46</f>
        <v>0</v>
      </c>
      <c r="D48" s="827">
        <f>STUDENT!E46</f>
        <v>0</v>
      </c>
      <c r="E48" s="827">
        <f>STUDENT!H46</f>
        <v>0</v>
      </c>
      <c r="F48" s="904"/>
      <c r="G48" s="904"/>
      <c r="H48" s="904"/>
      <c r="I48" s="824" t="str">
        <f t="shared" si="0"/>
        <v/>
      </c>
      <c r="J48" s="824" t="str">
        <f t="shared" si="1"/>
        <v/>
      </c>
      <c r="K48" s="824" t="str">
        <f t="shared" si="2"/>
        <v/>
      </c>
      <c r="L48" s="907" t="s">
        <v>341</v>
      </c>
      <c r="M48" s="907" t="s">
        <v>341</v>
      </c>
      <c r="N48" s="907" t="s">
        <v>341</v>
      </c>
      <c r="O48" s="906"/>
      <c r="P48" s="907"/>
      <c r="Q48" s="907"/>
      <c r="R48" s="907"/>
      <c r="S48" s="906"/>
      <c r="T48" s="907"/>
      <c r="U48" s="907"/>
      <c r="V48" s="907"/>
      <c r="W48" s="906"/>
      <c r="X48" s="907"/>
      <c r="Y48" s="907"/>
      <c r="Z48" s="907"/>
      <c r="AA48" s="906"/>
      <c r="AB48" s="907"/>
      <c r="AC48" s="907"/>
      <c r="AD48" s="907"/>
      <c r="AE48" s="906"/>
      <c r="AF48" s="907"/>
      <c r="AG48" s="907"/>
      <c r="AH48" s="907"/>
      <c r="AI48" s="906"/>
      <c r="AJ48" s="907"/>
      <c r="AK48" s="907"/>
      <c r="AL48" s="907"/>
      <c r="AM48" s="906"/>
      <c r="AN48" s="907"/>
      <c r="AO48" s="907"/>
      <c r="AP48" s="907"/>
      <c r="AQ48" s="906"/>
      <c r="AR48" s="907"/>
      <c r="AS48" s="907"/>
      <c r="AT48" s="907"/>
      <c r="AU48" s="906"/>
      <c r="AV48" s="907"/>
      <c r="AW48" s="907"/>
      <c r="AX48" s="907"/>
      <c r="AY48" s="906"/>
      <c r="AZ48" s="907"/>
      <c r="BA48" s="907"/>
      <c r="BB48" s="907"/>
      <c r="BC48" s="906"/>
      <c r="BD48" s="907"/>
      <c r="BE48" s="907"/>
      <c r="BF48" s="907"/>
      <c r="BG48" s="906"/>
      <c r="BH48" s="907"/>
      <c r="BI48" s="907"/>
      <c r="BJ48" s="907"/>
      <c r="BK48" s="906"/>
      <c r="BL48" s="907"/>
      <c r="BM48" s="907"/>
      <c r="BN48" s="907"/>
      <c r="BO48" s="906"/>
      <c r="BP48" s="907"/>
      <c r="BQ48" s="907"/>
      <c r="BR48" s="907"/>
      <c r="BS48" s="906"/>
      <c r="BT48" s="907"/>
      <c r="BU48" s="907"/>
      <c r="BV48" s="907"/>
      <c r="BW48" s="906"/>
      <c r="BX48" s="907"/>
      <c r="BY48" s="907"/>
      <c r="BZ48" s="907"/>
      <c r="CA48" s="906"/>
      <c r="CB48" s="907"/>
      <c r="CC48" s="907"/>
      <c r="CD48" s="907"/>
      <c r="CE48" s="906"/>
      <c r="CF48" s="907"/>
      <c r="CG48" s="907"/>
      <c r="CH48" s="907"/>
      <c r="CI48" s="906"/>
      <c r="CJ48" s="907"/>
      <c r="CK48" s="907"/>
      <c r="CL48" s="907"/>
      <c r="CM48" s="906"/>
      <c r="CN48" s="907"/>
      <c r="CO48" s="907"/>
      <c r="CP48" s="907"/>
      <c r="CQ48" s="906"/>
      <c r="CR48" s="907"/>
      <c r="CS48" s="907"/>
      <c r="CT48" s="907"/>
      <c r="CU48" s="906"/>
      <c r="CV48" s="907"/>
      <c r="CW48" s="907"/>
      <c r="CX48" s="907"/>
      <c r="CY48" s="906"/>
      <c r="CZ48" s="907"/>
      <c r="DA48" s="907"/>
      <c r="DB48" s="907"/>
      <c r="DC48" s="906"/>
      <c r="DD48" s="907"/>
      <c r="DE48" s="907"/>
      <c r="DF48" s="907"/>
      <c r="DG48" s="906"/>
    </row>
    <row r="49" spans="1:111">
      <c r="A49" s="824">
        <v>46</v>
      </c>
      <c r="B49" s="824">
        <f>STUDENT!F47</f>
        <v>0</v>
      </c>
      <c r="C49" s="824">
        <f>STUDENT!D47</f>
        <v>0</v>
      </c>
      <c r="D49" s="827">
        <f>STUDENT!E47</f>
        <v>0</v>
      </c>
      <c r="E49" s="827">
        <f>STUDENT!H47</f>
        <v>0</v>
      </c>
      <c r="F49" s="904"/>
      <c r="G49" s="904"/>
      <c r="H49" s="904"/>
      <c r="I49" s="824" t="str">
        <f t="shared" si="0"/>
        <v/>
      </c>
      <c r="J49" s="824" t="str">
        <f t="shared" si="1"/>
        <v/>
      </c>
      <c r="K49" s="824" t="str">
        <f t="shared" si="2"/>
        <v/>
      </c>
      <c r="L49" s="907" t="s">
        <v>341</v>
      </c>
      <c r="M49" s="907" t="s">
        <v>341</v>
      </c>
      <c r="N49" s="907" t="s">
        <v>341</v>
      </c>
      <c r="O49" s="906"/>
      <c r="P49" s="907"/>
      <c r="Q49" s="907"/>
      <c r="R49" s="907"/>
      <c r="S49" s="906"/>
      <c r="T49" s="907"/>
      <c r="U49" s="907"/>
      <c r="V49" s="907"/>
      <c r="W49" s="906"/>
      <c r="X49" s="907"/>
      <c r="Y49" s="907"/>
      <c r="Z49" s="907"/>
      <c r="AA49" s="906"/>
      <c r="AB49" s="907"/>
      <c r="AC49" s="907"/>
      <c r="AD49" s="907"/>
      <c r="AE49" s="906"/>
      <c r="AF49" s="907"/>
      <c r="AG49" s="907"/>
      <c r="AH49" s="907"/>
      <c r="AI49" s="906"/>
      <c r="AJ49" s="907"/>
      <c r="AK49" s="907"/>
      <c r="AL49" s="907"/>
      <c r="AM49" s="906"/>
      <c r="AN49" s="907"/>
      <c r="AO49" s="907"/>
      <c r="AP49" s="907"/>
      <c r="AQ49" s="906"/>
      <c r="AR49" s="907"/>
      <c r="AS49" s="907"/>
      <c r="AT49" s="907"/>
      <c r="AU49" s="906"/>
      <c r="AV49" s="907"/>
      <c r="AW49" s="907"/>
      <c r="AX49" s="907"/>
      <c r="AY49" s="906"/>
      <c r="AZ49" s="907"/>
      <c r="BA49" s="907"/>
      <c r="BB49" s="907"/>
      <c r="BC49" s="906"/>
      <c r="BD49" s="907"/>
      <c r="BE49" s="907"/>
      <c r="BF49" s="907"/>
      <c r="BG49" s="906"/>
      <c r="BH49" s="907"/>
      <c r="BI49" s="907"/>
      <c r="BJ49" s="907"/>
      <c r="BK49" s="906"/>
      <c r="BL49" s="907"/>
      <c r="BM49" s="907"/>
      <c r="BN49" s="907"/>
      <c r="BO49" s="906"/>
      <c r="BP49" s="907"/>
      <c r="BQ49" s="907"/>
      <c r="BR49" s="907"/>
      <c r="BS49" s="906"/>
      <c r="BT49" s="907"/>
      <c r="BU49" s="907"/>
      <c r="BV49" s="907"/>
      <c r="BW49" s="906"/>
      <c r="BX49" s="907"/>
      <c r="BY49" s="907"/>
      <c r="BZ49" s="907"/>
      <c r="CA49" s="906"/>
      <c r="CB49" s="907"/>
      <c r="CC49" s="907"/>
      <c r="CD49" s="907"/>
      <c r="CE49" s="906"/>
      <c r="CF49" s="907"/>
      <c r="CG49" s="907"/>
      <c r="CH49" s="907"/>
      <c r="CI49" s="906"/>
      <c r="CJ49" s="907"/>
      <c r="CK49" s="907"/>
      <c r="CL49" s="907"/>
      <c r="CM49" s="906"/>
      <c r="CN49" s="907"/>
      <c r="CO49" s="907"/>
      <c r="CP49" s="907"/>
      <c r="CQ49" s="906"/>
      <c r="CR49" s="907"/>
      <c r="CS49" s="907"/>
      <c r="CT49" s="907"/>
      <c r="CU49" s="906"/>
      <c r="CV49" s="907"/>
      <c r="CW49" s="907"/>
      <c r="CX49" s="907"/>
      <c r="CY49" s="906"/>
      <c r="CZ49" s="907"/>
      <c r="DA49" s="907"/>
      <c r="DB49" s="907"/>
      <c r="DC49" s="906"/>
      <c r="DD49" s="907"/>
      <c r="DE49" s="907"/>
      <c r="DF49" s="907"/>
      <c r="DG49" s="906"/>
    </row>
    <row r="50" hidden="1" spans="1:111">
      <c r="A50" s="824">
        <v>47</v>
      </c>
      <c r="B50" s="824">
        <f>STUDENT!F48</f>
        <v>0</v>
      </c>
      <c r="C50" s="824">
        <f>STUDENT!D48</f>
        <v>0</v>
      </c>
      <c r="D50" s="827">
        <f>STUDENT!E48</f>
        <v>0</v>
      </c>
      <c r="E50" s="827">
        <f>STUDENT!H48</f>
        <v>0</v>
      </c>
      <c r="F50" s="904"/>
      <c r="G50" s="904"/>
      <c r="H50" s="904"/>
      <c r="I50" s="824" t="str">
        <f t="shared" si="0"/>
        <v/>
      </c>
      <c r="J50" s="824" t="str">
        <f t="shared" si="1"/>
        <v/>
      </c>
      <c r="K50" s="824" t="str">
        <f t="shared" si="2"/>
        <v/>
      </c>
      <c r="L50" s="907"/>
      <c r="M50" s="907"/>
      <c r="N50" s="907"/>
      <c r="O50" s="906"/>
      <c r="P50" s="907"/>
      <c r="Q50" s="907"/>
      <c r="R50" s="907"/>
      <c r="S50" s="906"/>
      <c r="T50" s="907"/>
      <c r="U50" s="907"/>
      <c r="V50" s="907"/>
      <c r="W50" s="906"/>
      <c r="X50" s="907"/>
      <c r="Y50" s="907"/>
      <c r="Z50" s="907"/>
      <c r="AA50" s="906"/>
      <c r="AB50" s="907"/>
      <c r="AC50" s="907"/>
      <c r="AD50" s="907"/>
      <c r="AE50" s="906"/>
      <c r="AF50" s="907"/>
      <c r="AG50" s="907"/>
      <c r="AH50" s="907"/>
      <c r="AI50" s="906"/>
      <c r="AJ50" s="907"/>
      <c r="AK50" s="907"/>
      <c r="AL50" s="907"/>
      <c r="AM50" s="906"/>
      <c r="AN50" s="907"/>
      <c r="AO50" s="907"/>
      <c r="AP50" s="907"/>
      <c r="AQ50" s="906"/>
      <c r="AR50" s="907"/>
      <c r="AS50" s="907"/>
      <c r="AT50" s="907"/>
      <c r="AU50" s="906"/>
      <c r="AV50" s="907"/>
      <c r="AW50" s="907"/>
      <c r="AX50" s="907"/>
      <c r="AY50" s="906"/>
      <c r="AZ50" s="907"/>
      <c r="BA50" s="907"/>
      <c r="BB50" s="907"/>
      <c r="BC50" s="906"/>
      <c r="BD50" s="907"/>
      <c r="BE50" s="907"/>
      <c r="BF50" s="907"/>
      <c r="BG50" s="906"/>
      <c r="BH50" s="907"/>
      <c r="BI50" s="907"/>
      <c r="BJ50" s="907"/>
      <c r="BK50" s="906"/>
      <c r="BL50" s="907"/>
      <c r="BM50" s="907"/>
      <c r="BN50" s="907"/>
      <c r="BO50" s="906"/>
      <c r="BP50" s="907"/>
      <c r="BQ50" s="907"/>
      <c r="BR50" s="907"/>
      <c r="BS50" s="906"/>
      <c r="BT50" s="907"/>
      <c r="BU50" s="907"/>
      <c r="BV50" s="907"/>
      <c r="BW50" s="906"/>
      <c r="BX50" s="907"/>
      <c r="BY50" s="907"/>
      <c r="BZ50" s="907"/>
      <c r="CA50" s="906"/>
      <c r="CB50" s="907"/>
      <c r="CC50" s="907"/>
      <c r="CD50" s="907"/>
      <c r="CE50" s="906"/>
      <c r="CF50" s="907"/>
      <c r="CG50" s="907"/>
      <c r="CH50" s="907"/>
      <c r="CI50" s="906"/>
      <c r="CJ50" s="907"/>
      <c r="CK50" s="907"/>
      <c r="CL50" s="907"/>
      <c r="CM50" s="906"/>
      <c r="CN50" s="907"/>
      <c r="CO50" s="907"/>
      <c r="CP50" s="907"/>
      <c r="CQ50" s="906"/>
      <c r="CR50" s="907"/>
      <c r="CS50" s="907"/>
      <c r="CT50" s="907"/>
      <c r="CU50" s="906"/>
      <c r="CV50" s="907"/>
      <c r="CW50" s="907"/>
      <c r="CX50" s="907"/>
      <c r="CY50" s="906"/>
      <c r="CZ50" s="907"/>
      <c r="DA50" s="907"/>
      <c r="DB50" s="907"/>
      <c r="DC50" s="906"/>
      <c r="DD50" s="907"/>
      <c r="DE50" s="907"/>
      <c r="DF50" s="907"/>
      <c r="DG50" s="906"/>
    </row>
    <row r="51" hidden="1" spans="1:111">
      <c r="A51" s="824">
        <v>48</v>
      </c>
      <c r="B51" s="824">
        <f>STUDENT!F49</f>
        <v>0</v>
      </c>
      <c r="C51" s="824">
        <f>STUDENT!D49</f>
        <v>0</v>
      </c>
      <c r="D51" s="827">
        <f>STUDENT!E49</f>
        <v>0</v>
      </c>
      <c r="E51" s="827">
        <f>STUDENT!H49</f>
        <v>0</v>
      </c>
      <c r="F51" s="904"/>
      <c r="G51" s="904"/>
      <c r="H51" s="904"/>
      <c r="I51" s="824" t="str">
        <f t="shared" si="0"/>
        <v/>
      </c>
      <c r="J51" s="824" t="str">
        <f t="shared" si="1"/>
        <v/>
      </c>
      <c r="K51" s="824" t="str">
        <f t="shared" si="2"/>
        <v/>
      </c>
      <c r="L51" s="907"/>
      <c r="M51" s="907"/>
      <c r="N51" s="907"/>
      <c r="O51" s="906"/>
      <c r="P51" s="907"/>
      <c r="Q51" s="907"/>
      <c r="R51" s="907"/>
      <c r="S51" s="906"/>
      <c r="T51" s="907"/>
      <c r="U51" s="907"/>
      <c r="V51" s="907"/>
      <c r="W51" s="906"/>
      <c r="X51" s="907"/>
      <c r="Y51" s="907"/>
      <c r="Z51" s="907"/>
      <c r="AA51" s="906"/>
      <c r="AB51" s="907"/>
      <c r="AC51" s="907"/>
      <c r="AD51" s="907"/>
      <c r="AE51" s="906"/>
      <c r="AF51" s="907"/>
      <c r="AG51" s="907"/>
      <c r="AH51" s="907"/>
      <c r="AI51" s="906"/>
      <c r="AJ51" s="907"/>
      <c r="AK51" s="907"/>
      <c r="AL51" s="907"/>
      <c r="AM51" s="906"/>
      <c r="AN51" s="907"/>
      <c r="AO51" s="907"/>
      <c r="AP51" s="907"/>
      <c r="AQ51" s="906"/>
      <c r="AR51" s="907"/>
      <c r="AS51" s="907"/>
      <c r="AT51" s="907"/>
      <c r="AU51" s="906"/>
      <c r="AV51" s="907"/>
      <c r="AW51" s="907"/>
      <c r="AX51" s="907"/>
      <c r="AY51" s="906"/>
      <c r="AZ51" s="907"/>
      <c r="BA51" s="907"/>
      <c r="BB51" s="907"/>
      <c r="BC51" s="906"/>
      <c r="BD51" s="907"/>
      <c r="BE51" s="907"/>
      <c r="BF51" s="907"/>
      <c r="BG51" s="906"/>
      <c r="BH51" s="907"/>
      <c r="BI51" s="907"/>
      <c r="BJ51" s="907"/>
      <c r="BK51" s="906"/>
      <c r="BL51" s="907"/>
      <c r="BM51" s="907"/>
      <c r="BN51" s="907"/>
      <c r="BO51" s="906"/>
      <c r="BP51" s="907"/>
      <c r="BQ51" s="907"/>
      <c r="BR51" s="907"/>
      <c r="BS51" s="906"/>
      <c r="BT51" s="907"/>
      <c r="BU51" s="907"/>
      <c r="BV51" s="907"/>
      <c r="BW51" s="906"/>
      <c r="BX51" s="907"/>
      <c r="BY51" s="907"/>
      <c r="BZ51" s="907"/>
      <c r="CA51" s="906"/>
      <c r="CB51" s="907"/>
      <c r="CC51" s="907"/>
      <c r="CD51" s="907"/>
      <c r="CE51" s="906"/>
      <c r="CF51" s="907"/>
      <c r="CG51" s="907"/>
      <c r="CH51" s="907"/>
      <c r="CI51" s="906"/>
      <c r="CJ51" s="907"/>
      <c r="CK51" s="907"/>
      <c r="CL51" s="907"/>
      <c r="CM51" s="906"/>
      <c r="CN51" s="907"/>
      <c r="CO51" s="907"/>
      <c r="CP51" s="907"/>
      <c r="CQ51" s="906"/>
      <c r="CR51" s="907"/>
      <c r="CS51" s="907"/>
      <c r="CT51" s="907"/>
      <c r="CU51" s="906"/>
      <c r="CV51" s="907"/>
      <c r="CW51" s="907"/>
      <c r="CX51" s="907"/>
      <c r="CY51" s="906"/>
      <c r="CZ51" s="907"/>
      <c r="DA51" s="907"/>
      <c r="DB51" s="907"/>
      <c r="DC51" s="906"/>
      <c r="DD51" s="907"/>
      <c r="DE51" s="907"/>
      <c r="DF51" s="907"/>
      <c r="DG51" s="906"/>
    </row>
    <row r="52" hidden="1" spans="1:111">
      <c r="A52" s="824">
        <v>49</v>
      </c>
      <c r="B52" s="824">
        <f>STUDENT!F50</f>
        <v>0</v>
      </c>
      <c r="C52" s="824">
        <f>STUDENT!D50</f>
        <v>0</v>
      </c>
      <c r="D52" s="827">
        <f>STUDENT!E50</f>
        <v>0</v>
      </c>
      <c r="E52" s="827">
        <f>STUDENT!H50</f>
        <v>0</v>
      </c>
      <c r="F52" s="904"/>
      <c r="G52" s="904"/>
      <c r="H52" s="904"/>
      <c r="I52" s="824" t="str">
        <f t="shared" si="0"/>
        <v/>
      </c>
      <c r="J52" s="824" t="str">
        <f t="shared" si="1"/>
        <v/>
      </c>
      <c r="K52" s="824" t="str">
        <f t="shared" si="2"/>
        <v/>
      </c>
      <c r="L52" s="907"/>
      <c r="M52" s="907"/>
      <c r="N52" s="907"/>
      <c r="O52" s="906"/>
      <c r="P52" s="907"/>
      <c r="Q52" s="907"/>
      <c r="R52" s="907"/>
      <c r="S52" s="906"/>
      <c r="T52" s="907"/>
      <c r="U52" s="907"/>
      <c r="V52" s="907"/>
      <c r="W52" s="906"/>
      <c r="X52" s="907"/>
      <c r="Y52" s="907"/>
      <c r="Z52" s="907"/>
      <c r="AA52" s="906"/>
      <c r="AB52" s="907"/>
      <c r="AC52" s="907"/>
      <c r="AD52" s="907"/>
      <c r="AE52" s="906"/>
      <c r="AF52" s="907"/>
      <c r="AG52" s="907"/>
      <c r="AH52" s="907"/>
      <c r="AI52" s="906"/>
      <c r="AJ52" s="907"/>
      <c r="AK52" s="907"/>
      <c r="AL52" s="907"/>
      <c r="AM52" s="906"/>
      <c r="AN52" s="907"/>
      <c r="AO52" s="907"/>
      <c r="AP52" s="907"/>
      <c r="AQ52" s="906"/>
      <c r="AR52" s="907"/>
      <c r="AS52" s="907"/>
      <c r="AT52" s="907"/>
      <c r="AU52" s="906"/>
      <c r="AV52" s="907"/>
      <c r="AW52" s="907"/>
      <c r="AX52" s="907"/>
      <c r="AY52" s="906"/>
      <c r="AZ52" s="907"/>
      <c r="BA52" s="907"/>
      <c r="BB52" s="907"/>
      <c r="BC52" s="906"/>
      <c r="BD52" s="907"/>
      <c r="BE52" s="907"/>
      <c r="BF52" s="907"/>
      <c r="BG52" s="906"/>
      <c r="BH52" s="907"/>
      <c r="BI52" s="907"/>
      <c r="BJ52" s="907"/>
      <c r="BK52" s="906"/>
      <c r="BL52" s="907"/>
      <c r="BM52" s="907"/>
      <c r="BN52" s="907"/>
      <c r="BO52" s="906"/>
      <c r="BP52" s="907"/>
      <c r="BQ52" s="907"/>
      <c r="BR52" s="907"/>
      <c r="BS52" s="906"/>
      <c r="BT52" s="907"/>
      <c r="BU52" s="907"/>
      <c r="BV52" s="907"/>
      <c r="BW52" s="906"/>
      <c r="BX52" s="907"/>
      <c r="BY52" s="907"/>
      <c r="BZ52" s="907"/>
      <c r="CA52" s="906"/>
      <c r="CB52" s="907"/>
      <c r="CC52" s="907"/>
      <c r="CD52" s="907"/>
      <c r="CE52" s="906"/>
      <c r="CF52" s="907"/>
      <c r="CG52" s="907"/>
      <c r="CH52" s="907"/>
      <c r="CI52" s="906"/>
      <c r="CJ52" s="907"/>
      <c r="CK52" s="907"/>
      <c r="CL52" s="907"/>
      <c r="CM52" s="906"/>
      <c r="CN52" s="907"/>
      <c r="CO52" s="907"/>
      <c r="CP52" s="907"/>
      <c r="CQ52" s="906"/>
      <c r="CR52" s="907"/>
      <c r="CS52" s="907"/>
      <c r="CT52" s="907"/>
      <c r="CU52" s="906"/>
      <c r="CV52" s="907"/>
      <c r="CW52" s="907"/>
      <c r="CX52" s="907"/>
      <c r="CY52" s="906"/>
      <c r="CZ52" s="907"/>
      <c r="DA52" s="907"/>
      <c r="DB52" s="907"/>
      <c r="DC52" s="906"/>
      <c r="DD52" s="907"/>
      <c r="DE52" s="907"/>
      <c r="DF52" s="907"/>
      <c r="DG52" s="906"/>
    </row>
    <row r="53" hidden="1" spans="1:111">
      <c r="A53" s="824">
        <v>50</v>
      </c>
      <c r="B53" s="824">
        <f>STUDENT!F51</f>
        <v>0</v>
      </c>
      <c r="C53" s="824">
        <f>STUDENT!D51</f>
        <v>0</v>
      </c>
      <c r="D53" s="827">
        <f>STUDENT!E51</f>
        <v>0</v>
      </c>
      <c r="E53" s="827">
        <f>STUDENT!H51</f>
        <v>0</v>
      </c>
      <c r="F53" s="904"/>
      <c r="G53" s="904"/>
      <c r="H53" s="904"/>
      <c r="I53" s="824" t="str">
        <f t="shared" si="0"/>
        <v/>
      </c>
      <c r="J53" s="824" t="str">
        <f t="shared" si="1"/>
        <v/>
      </c>
      <c r="K53" s="824" t="str">
        <f t="shared" si="2"/>
        <v/>
      </c>
      <c r="L53" s="907"/>
      <c r="M53" s="907"/>
      <c r="N53" s="907"/>
      <c r="O53" s="906"/>
      <c r="P53" s="907"/>
      <c r="Q53" s="907"/>
      <c r="R53" s="907"/>
      <c r="S53" s="906"/>
      <c r="T53" s="907"/>
      <c r="U53" s="907"/>
      <c r="V53" s="907"/>
      <c r="W53" s="906"/>
      <c r="X53" s="907"/>
      <c r="Y53" s="907"/>
      <c r="Z53" s="907"/>
      <c r="AA53" s="906"/>
      <c r="AB53" s="907"/>
      <c r="AC53" s="907"/>
      <c r="AD53" s="907"/>
      <c r="AE53" s="906"/>
      <c r="AF53" s="907"/>
      <c r="AG53" s="907"/>
      <c r="AH53" s="907"/>
      <c r="AI53" s="906"/>
      <c r="AJ53" s="907"/>
      <c r="AK53" s="907"/>
      <c r="AL53" s="907"/>
      <c r="AM53" s="906"/>
      <c r="AN53" s="907"/>
      <c r="AO53" s="907"/>
      <c r="AP53" s="907"/>
      <c r="AQ53" s="906"/>
      <c r="AR53" s="907"/>
      <c r="AS53" s="907"/>
      <c r="AT53" s="907"/>
      <c r="AU53" s="906"/>
      <c r="AV53" s="907"/>
      <c r="AW53" s="907"/>
      <c r="AX53" s="907"/>
      <c r="AY53" s="906"/>
      <c r="AZ53" s="907"/>
      <c r="BA53" s="907"/>
      <c r="BB53" s="907"/>
      <c r="BC53" s="906"/>
      <c r="BD53" s="907"/>
      <c r="BE53" s="907"/>
      <c r="BF53" s="907"/>
      <c r="BG53" s="906"/>
      <c r="BH53" s="907"/>
      <c r="BI53" s="907"/>
      <c r="BJ53" s="907"/>
      <c r="BK53" s="906"/>
      <c r="BL53" s="907"/>
      <c r="BM53" s="907"/>
      <c r="BN53" s="907"/>
      <c r="BO53" s="906"/>
      <c r="BP53" s="907"/>
      <c r="BQ53" s="907"/>
      <c r="BR53" s="907"/>
      <c r="BS53" s="906"/>
      <c r="BT53" s="907"/>
      <c r="BU53" s="907"/>
      <c r="BV53" s="907"/>
      <c r="BW53" s="906"/>
      <c r="BX53" s="907"/>
      <c r="BY53" s="907"/>
      <c r="BZ53" s="907"/>
      <c r="CA53" s="906"/>
      <c r="CB53" s="907"/>
      <c r="CC53" s="907"/>
      <c r="CD53" s="907"/>
      <c r="CE53" s="906"/>
      <c r="CF53" s="907"/>
      <c r="CG53" s="907"/>
      <c r="CH53" s="907"/>
      <c r="CI53" s="906"/>
      <c r="CJ53" s="907"/>
      <c r="CK53" s="907"/>
      <c r="CL53" s="907"/>
      <c r="CM53" s="906"/>
      <c r="CN53" s="907"/>
      <c r="CO53" s="907"/>
      <c r="CP53" s="907"/>
      <c r="CQ53" s="906"/>
      <c r="CR53" s="907"/>
      <c r="CS53" s="907"/>
      <c r="CT53" s="907"/>
      <c r="CU53" s="906"/>
      <c r="CV53" s="907"/>
      <c r="CW53" s="907"/>
      <c r="CX53" s="907"/>
      <c r="CY53" s="906"/>
      <c r="CZ53" s="907"/>
      <c r="DA53" s="907"/>
      <c r="DB53" s="907"/>
      <c r="DC53" s="906"/>
      <c r="DD53" s="907"/>
      <c r="DE53" s="907"/>
      <c r="DF53" s="907"/>
      <c r="DG53" s="906"/>
    </row>
    <row r="54" hidden="1" spans="1:111">
      <c r="A54" s="824">
        <v>51</v>
      </c>
      <c r="B54" s="824">
        <f>STUDENT!F52</f>
        <v>0</v>
      </c>
      <c r="C54" s="824">
        <f>STUDENT!D52</f>
        <v>0</v>
      </c>
      <c r="D54" s="827">
        <f>STUDENT!E52</f>
        <v>0</v>
      </c>
      <c r="E54" s="827">
        <f>STUDENT!H52</f>
        <v>0</v>
      </c>
      <c r="F54" s="904"/>
      <c r="G54" s="904"/>
      <c r="H54" s="904"/>
      <c r="I54" s="824" t="str">
        <f t="shared" si="0"/>
        <v/>
      </c>
      <c r="J54" s="824" t="str">
        <f t="shared" si="1"/>
        <v/>
      </c>
      <c r="K54" s="824" t="str">
        <f t="shared" si="2"/>
        <v/>
      </c>
      <c r="L54" s="907"/>
      <c r="M54" s="907"/>
      <c r="N54" s="907"/>
      <c r="O54" s="906"/>
      <c r="P54" s="907"/>
      <c r="Q54" s="907"/>
      <c r="R54" s="907"/>
      <c r="S54" s="906"/>
      <c r="T54" s="907"/>
      <c r="U54" s="907"/>
      <c r="V54" s="907"/>
      <c r="W54" s="906"/>
      <c r="X54" s="907"/>
      <c r="Y54" s="907"/>
      <c r="Z54" s="907"/>
      <c r="AA54" s="906"/>
      <c r="AB54" s="907"/>
      <c r="AC54" s="907"/>
      <c r="AD54" s="907"/>
      <c r="AE54" s="906"/>
      <c r="AF54" s="907"/>
      <c r="AG54" s="907"/>
      <c r="AH54" s="907"/>
      <c r="AI54" s="906"/>
      <c r="AJ54" s="907"/>
      <c r="AK54" s="907"/>
      <c r="AL54" s="907"/>
      <c r="AM54" s="906"/>
      <c r="AN54" s="907"/>
      <c r="AO54" s="907"/>
      <c r="AP54" s="907"/>
      <c r="AQ54" s="906"/>
      <c r="AR54" s="907"/>
      <c r="AS54" s="907"/>
      <c r="AT54" s="907"/>
      <c r="AU54" s="906"/>
      <c r="AV54" s="907"/>
      <c r="AW54" s="907"/>
      <c r="AX54" s="907"/>
      <c r="AY54" s="906"/>
      <c r="AZ54" s="907"/>
      <c r="BA54" s="907"/>
      <c r="BB54" s="907"/>
      <c r="BC54" s="906"/>
      <c r="BD54" s="907"/>
      <c r="BE54" s="907"/>
      <c r="BF54" s="907"/>
      <c r="BG54" s="906"/>
      <c r="BH54" s="907"/>
      <c r="BI54" s="907"/>
      <c r="BJ54" s="907"/>
      <c r="BK54" s="906"/>
      <c r="BL54" s="907"/>
      <c r="BM54" s="907"/>
      <c r="BN54" s="907"/>
      <c r="BO54" s="906"/>
      <c r="BP54" s="907"/>
      <c r="BQ54" s="907"/>
      <c r="BR54" s="907"/>
      <c r="BS54" s="906"/>
      <c r="BT54" s="907"/>
      <c r="BU54" s="907"/>
      <c r="BV54" s="907"/>
      <c r="BW54" s="906"/>
      <c r="BX54" s="907"/>
      <c r="BY54" s="907"/>
      <c r="BZ54" s="907"/>
      <c r="CA54" s="906"/>
      <c r="CB54" s="907"/>
      <c r="CC54" s="907"/>
      <c r="CD54" s="907"/>
      <c r="CE54" s="906"/>
      <c r="CF54" s="907"/>
      <c r="CG54" s="907"/>
      <c r="CH54" s="907"/>
      <c r="CI54" s="906"/>
      <c r="CJ54" s="907"/>
      <c r="CK54" s="907"/>
      <c r="CL54" s="907"/>
      <c r="CM54" s="906"/>
      <c r="CN54" s="907"/>
      <c r="CO54" s="907"/>
      <c r="CP54" s="907"/>
      <c r="CQ54" s="906"/>
      <c r="CR54" s="907"/>
      <c r="CS54" s="907"/>
      <c r="CT54" s="907"/>
      <c r="CU54" s="906"/>
      <c r="CV54" s="907"/>
      <c r="CW54" s="907"/>
      <c r="CX54" s="907"/>
      <c r="CY54" s="906"/>
      <c r="CZ54" s="907"/>
      <c r="DA54" s="907"/>
      <c r="DB54" s="907"/>
      <c r="DC54" s="906"/>
      <c r="DD54" s="907"/>
      <c r="DE54" s="907"/>
      <c r="DF54" s="907"/>
      <c r="DG54" s="906"/>
    </row>
    <row r="55" hidden="1" spans="1:111">
      <c r="A55" s="824">
        <v>52</v>
      </c>
      <c r="B55" s="824">
        <f>STUDENT!F53</f>
        <v>0</v>
      </c>
      <c r="C55" s="824">
        <f>STUDENT!D53</f>
        <v>0</v>
      </c>
      <c r="D55" s="827">
        <f>STUDENT!E53</f>
        <v>0</v>
      </c>
      <c r="E55" s="827">
        <f>STUDENT!H53</f>
        <v>0</v>
      </c>
      <c r="F55" s="904"/>
      <c r="G55" s="904"/>
      <c r="H55" s="904"/>
      <c r="I55" s="824" t="str">
        <f t="shared" si="0"/>
        <v/>
      </c>
      <c r="J55" s="824" t="str">
        <f t="shared" si="1"/>
        <v/>
      </c>
      <c r="K55" s="824" t="str">
        <f t="shared" si="2"/>
        <v/>
      </c>
      <c r="L55" s="907"/>
      <c r="M55" s="907"/>
      <c r="N55" s="907"/>
      <c r="O55" s="906"/>
      <c r="P55" s="907"/>
      <c r="Q55" s="907"/>
      <c r="R55" s="907"/>
      <c r="S55" s="906"/>
      <c r="T55" s="907"/>
      <c r="U55" s="907"/>
      <c r="V55" s="907"/>
      <c r="W55" s="906"/>
      <c r="X55" s="907"/>
      <c r="Y55" s="907"/>
      <c r="Z55" s="907"/>
      <c r="AA55" s="906"/>
      <c r="AB55" s="907"/>
      <c r="AC55" s="907"/>
      <c r="AD55" s="907"/>
      <c r="AE55" s="906"/>
      <c r="AF55" s="907"/>
      <c r="AG55" s="907"/>
      <c r="AH55" s="907"/>
      <c r="AI55" s="906"/>
      <c r="AJ55" s="907"/>
      <c r="AK55" s="907"/>
      <c r="AL55" s="907"/>
      <c r="AM55" s="906"/>
      <c r="AN55" s="907"/>
      <c r="AO55" s="907"/>
      <c r="AP55" s="907"/>
      <c r="AQ55" s="906"/>
      <c r="AR55" s="907"/>
      <c r="AS55" s="907"/>
      <c r="AT55" s="907"/>
      <c r="AU55" s="906"/>
      <c r="AV55" s="907"/>
      <c r="AW55" s="907"/>
      <c r="AX55" s="907"/>
      <c r="AY55" s="906"/>
      <c r="AZ55" s="907"/>
      <c r="BA55" s="907"/>
      <c r="BB55" s="907"/>
      <c r="BC55" s="906"/>
      <c r="BD55" s="907"/>
      <c r="BE55" s="907"/>
      <c r="BF55" s="907"/>
      <c r="BG55" s="906"/>
      <c r="BH55" s="907"/>
      <c r="BI55" s="907"/>
      <c r="BJ55" s="907"/>
      <c r="BK55" s="906"/>
      <c r="BL55" s="907"/>
      <c r="BM55" s="907"/>
      <c r="BN55" s="907"/>
      <c r="BO55" s="906"/>
      <c r="BP55" s="907"/>
      <c r="BQ55" s="907"/>
      <c r="BR55" s="907"/>
      <c r="BS55" s="906"/>
      <c r="BT55" s="907"/>
      <c r="BU55" s="907"/>
      <c r="BV55" s="907"/>
      <c r="BW55" s="906"/>
      <c r="BX55" s="907"/>
      <c r="BY55" s="907"/>
      <c r="BZ55" s="907"/>
      <c r="CA55" s="906"/>
      <c r="CB55" s="907"/>
      <c r="CC55" s="907"/>
      <c r="CD55" s="907"/>
      <c r="CE55" s="906"/>
      <c r="CF55" s="907"/>
      <c r="CG55" s="907"/>
      <c r="CH55" s="907"/>
      <c r="CI55" s="906"/>
      <c r="CJ55" s="907"/>
      <c r="CK55" s="907"/>
      <c r="CL55" s="907"/>
      <c r="CM55" s="906"/>
      <c r="CN55" s="907"/>
      <c r="CO55" s="907"/>
      <c r="CP55" s="907"/>
      <c r="CQ55" s="906"/>
      <c r="CR55" s="907"/>
      <c r="CS55" s="907"/>
      <c r="CT55" s="907"/>
      <c r="CU55" s="906"/>
      <c r="CV55" s="907"/>
      <c r="CW55" s="907"/>
      <c r="CX55" s="907"/>
      <c r="CY55" s="906"/>
      <c r="CZ55" s="907"/>
      <c r="DA55" s="907"/>
      <c r="DB55" s="907"/>
      <c r="DC55" s="906"/>
      <c r="DD55" s="907"/>
      <c r="DE55" s="907"/>
      <c r="DF55" s="907"/>
      <c r="DG55" s="906"/>
    </row>
    <row r="56" hidden="1" spans="1:111">
      <c r="A56" s="824">
        <v>53</v>
      </c>
      <c r="B56" s="824">
        <f>STUDENT!F54</f>
        <v>0</v>
      </c>
      <c r="C56" s="824">
        <f>STUDENT!D54</f>
        <v>0</v>
      </c>
      <c r="D56" s="827">
        <f>STUDENT!E54</f>
        <v>0</v>
      </c>
      <c r="E56" s="827">
        <f>STUDENT!H54</f>
        <v>0</v>
      </c>
      <c r="F56" s="904"/>
      <c r="G56" s="904"/>
      <c r="H56" s="904"/>
      <c r="I56" s="824" t="str">
        <f t="shared" si="0"/>
        <v/>
      </c>
      <c r="J56" s="824" t="str">
        <f t="shared" si="1"/>
        <v/>
      </c>
      <c r="K56" s="824" t="str">
        <f t="shared" si="2"/>
        <v/>
      </c>
      <c r="L56" s="907"/>
      <c r="M56" s="907"/>
      <c r="N56" s="907"/>
      <c r="O56" s="906"/>
      <c r="P56" s="907"/>
      <c r="Q56" s="907"/>
      <c r="R56" s="907"/>
      <c r="S56" s="906"/>
      <c r="T56" s="907"/>
      <c r="U56" s="907"/>
      <c r="V56" s="907"/>
      <c r="W56" s="906"/>
      <c r="X56" s="907"/>
      <c r="Y56" s="907"/>
      <c r="Z56" s="907"/>
      <c r="AA56" s="906"/>
      <c r="AB56" s="907"/>
      <c r="AC56" s="907"/>
      <c r="AD56" s="907"/>
      <c r="AE56" s="906"/>
      <c r="AF56" s="907"/>
      <c r="AG56" s="907"/>
      <c r="AH56" s="907"/>
      <c r="AI56" s="906"/>
      <c r="AJ56" s="907"/>
      <c r="AK56" s="907"/>
      <c r="AL56" s="907"/>
      <c r="AM56" s="906"/>
      <c r="AN56" s="907"/>
      <c r="AO56" s="907"/>
      <c r="AP56" s="907"/>
      <c r="AQ56" s="906"/>
      <c r="AR56" s="907"/>
      <c r="AS56" s="907"/>
      <c r="AT56" s="907"/>
      <c r="AU56" s="906"/>
      <c r="AV56" s="907"/>
      <c r="AW56" s="907"/>
      <c r="AX56" s="907"/>
      <c r="AY56" s="906"/>
      <c r="AZ56" s="907"/>
      <c r="BA56" s="907"/>
      <c r="BB56" s="907"/>
      <c r="BC56" s="906"/>
      <c r="BD56" s="907"/>
      <c r="BE56" s="907"/>
      <c r="BF56" s="907"/>
      <c r="BG56" s="906"/>
      <c r="BH56" s="907"/>
      <c r="BI56" s="907"/>
      <c r="BJ56" s="907"/>
      <c r="BK56" s="906"/>
      <c r="BL56" s="907"/>
      <c r="BM56" s="907"/>
      <c r="BN56" s="907"/>
      <c r="BO56" s="906"/>
      <c r="BP56" s="907"/>
      <c r="BQ56" s="907"/>
      <c r="BR56" s="907"/>
      <c r="BS56" s="906"/>
      <c r="BT56" s="907"/>
      <c r="BU56" s="907"/>
      <c r="BV56" s="907"/>
      <c r="BW56" s="906"/>
      <c r="BX56" s="907"/>
      <c r="BY56" s="907"/>
      <c r="BZ56" s="907"/>
      <c r="CA56" s="906"/>
      <c r="CB56" s="907"/>
      <c r="CC56" s="907"/>
      <c r="CD56" s="907"/>
      <c r="CE56" s="906"/>
      <c r="CF56" s="907"/>
      <c r="CG56" s="907"/>
      <c r="CH56" s="907"/>
      <c r="CI56" s="906"/>
      <c r="CJ56" s="907"/>
      <c r="CK56" s="907"/>
      <c r="CL56" s="907"/>
      <c r="CM56" s="906"/>
      <c r="CN56" s="907"/>
      <c r="CO56" s="907"/>
      <c r="CP56" s="907"/>
      <c r="CQ56" s="906"/>
      <c r="CR56" s="907"/>
      <c r="CS56" s="907"/>
      <c r="CT56" s="907"/>
      <c r="CU56" s="906"/>
      <c r="CV56" s="907"/>
      <c r="CW56" s="907"/>
      <c r="CX56" s="907"/>
      <c r="CY56" s="906"/>
      <c r="CZ56" s="907"/>
      <c r="DA56" s="907"/>
      <c r="DB56" s="907"/>
      <c r="DC56" s="906"/>
      <c r="DD56" s="907"/>
      <c r="DE56" s="907"/>
      <c r="DF56" s="907"/>
      <c r="DG56" s="906"/>
    </row>
    <row r="57" hidden="1" spans="1:111">
      <c r="A57" s="824">
        <v>54</v>
      </c>
      <c r="B57" s="824">
        <f>STUDENT!F55</f>
        <v>0</v>
      </c>
      <c r="C57" s="824">
        <f>STUDENT!D55</f>
        <v>0</v>
      </c>
      <c r="D57" s="827">
        <f>STUDENT!E55</f>
        <v>0</v>
      </c>
      <c r="E57" s="827">
        <f>STUDENT!H55</f>
        <v>0</v>
      </c>
      <c r="F57" s="904"/>
      <c r="G57" s="904"/>
      <c r="H57" s="904"/>
      <c r="I57" s="824" t="str">
        <f t="shared" si="0"/>
        <v/>
      </c>
      <c r="J57" s="824" t="str">
        <f t="shared" si="1"/>
        <v/>
      </c>
      <c r="K57" s="824" t="str">
        <f t="shared" si="2"/>
        <v/>
      </c>
      <c r="L57" s="907"/>
      <c r="M57" s="907"/>
      <c r="N57" s="907"/>
      <c r="O57" s="906"/>
      <c r="P57" s="907"/>
      <c r="Q57" s="907"/>
      <c r="R57" s="907"/>
      <c r="S57" s="906"/>
      <c r="T57" s="907"/>
      <c r="U57" s="907"/>
      <c r="V57" s="907"/>
      <c r="W57" s="906"/>
      <c r="X57" s="907"/>
      <c r="Y57" s="907"/>
      <c r="Z57" s="907"/>
      <c r="AA57" s="906"/>
      <c r="AB57" s="907"/>
      <c r="AC57" s="907"/>
      <c r="AD57" s="907"/>
      <c r="AE57" s="906"/>
      <c r="AF57" s="907"/>
      <c r="AG57" s="907"/>
      <c r="AH57" s="907"/>
      <c r="AI57" s="906"/>
      <c r="AJ57" s="907"/>
      <c r="AK57" s="907"/>
      <c r="AL57" s="907"/>
      <c r="AM57" s="906"/>
      <c r="AN57" s="907"/>
      <c r="AO57" s="907"/>
      <c r="AP57" s="907"/>
      <c r="AQ57" s="906"/>
      <c r="AR57" s="907"/>
      <c r="AS57" s="907"/>
      <c r="AT57" s="907"/>
      <c r="AU57" s="906"/>
      <c r="AV57" s="907"/>
      <c r="AW57" s="907"/>
      <c r="AX57" s="907"/>
      <c r="AY57" s="906"/>
      <c r="AZ57" s="907"/>
      <c r="BA57" s="907"/>
      <c r="BB57" s="907"/>
      <c r="BC57" s="906"/>
      <c r="BD57" s="907"/>
      <c r="BE57" s="907"/>
      <c r="BF57" s="907"/>
      <c r="BG57" s="906"/>
      <c r="BH57" s="907"/>
      <c r="BI57" s="907"/>
      <c r="BJ57" s="907"/>
      <c r="BK57" s="906"/>
      <c r="BL57" s="907"/>
      <c r="BM57" s="907"/>
      <c r="BN57" s="907"/>
      <c r="BO57" s="906"/>
      <c r="BP57" s="907"/>
      <c r="BQ57" s="907"/>
      <c r="BR57" s="907"/>
      <c r="BS57" s="906"/>
      <c r="BT57" s="907"/>
      <c r="BU57" s="907"/>
      <c r="BV57" s="907"/>
      <c r="BW57" s="906"/>
      <c r="BX57" s="907"/>
      <c r="BY57" s="907"/>
      <c r="BZ57" s="907"/>
      <c r="CA57" s="906"/>
      <c r="CB57" s="907"/>
      <c r="CC57" s="907"/>
      <c r="CD57" s="907"/>
      <c r="CE57" s="906"/>
      <c r="CF57" s="907"/>
      <c r="CG57" s="907"/>
      <c r="CH57" s="907"/>
      <c r="CI57" s="906"/>
      <c r="CJ57" s="907"/>
      <c r="CK57" s="907"/>
      <c r="CL57" s="907"/>
      <c r="CM57" s="906"/>
      <c r="CN57" s="907"/>
      <c r="CO57" s="907"/>
      <c r="CP57" s="907"/>
      <c r="CQ57" s="906"/>
      <c r="CR57" s="907"/>
      <c r="CS57" s="907"/>
      <c r="CT57" s="907"/>
      <c r="CU57" s="906"/>
      <c r="CV57" s="907"/>
      <c r="CW57" s="907"/>
      <c r="CX57" s="907"/>
      <c r="CY57" s="906"/>
      <c r="CZ57" s="907"/>
      <c r="DA57" s="907"/>
      <c r="DB57" s="907"/>
      <c r="DC57" s="906"/>
      <c r="DD57" s="907"/>
      <c r="DE57" s="907"/>
      <c r="DF57" s="907"/>
      <c r="DG57" s="906"/>
    </row>
    <row r="58" hidden="1" spans="1:111">
      <c r="A58" s="824">
        <v>55</v>
      </c>
      <c r="B58" s="824">
        <f>STUDENT!F56</f>
        <v>0</v>
      </c>
      <c r="C58" s="824">
        <f>STUDENT!D56</f>
        <v>0</v>
      </c>
      <c r="D58" s="827">
        <f>STUDENT!E56</f>
        <v>0</v>
      </c>
      <c r="E58" s="827">
        <f>STUDENT!H56</f>
        <v>0</v>
      </c>
      <c r="F58" s="904"/>
      <c r="G58" s="904"/>
      <c r="H58" s="904"/>
      <c r="I58" s="824" t="str">
        <f t="shared" si="0"/>
        <v/>
      </c>
      <c r="J58" s="824" t="str">
        <f t="shared" si="1"/>
        <v/>
      </c>
      <c r="K58" s="824" t="str">
        <f t="shared" si="2"/>
        <v/>
      </c>
      <c r="L58" s="907"/>
      <c r="M58" s="907"/>
      <c r="N58" s="907"/>
      <c r="O58" s="906"/>
      <c r="P58" s="907"/>
      <c r="Q58" s="907"/>
      <c r="R58" s="907"/>
      <c r="S58" s="906"/>
      <c r="T58" s="907"/>
      <c r="U58" s="907"/>
      <c r="V58" s="907"/>
      <c r="W58" s="906"/>
      <c r="X58" s="907"/>
      <c r="Y58" s="907"/>
      <c r="Z58" s="907"/>
      <c r="AA58" s="906"/>
      <c r="AB58" s="907"/>
      <c r="AC58" s="907"/>
      <c r="AD58" s="907"/>
      <c r="AE58" s="906"/>
      <c r="AF58" s="907"/>
      <c r="AG58" s="907"/>
      <c r="AH58" s="907"/>
      <c r="AI58" s="906"/>
      <c r="AJ58" s="907"/>
      <c r="AK58" s="907"/>
      <c r="AL58" s="907"/>
      <c r="AM58" s="906"/>
      <c r="AN58" s="907"/>
      <c r="AO58" s="907"/>
      <c r="AP58" s="907"/>
      <c r="AQ58" s="906"/>
      <c r="AR58" s="907"/>
      <c r="AS58" s="907"/>
      <c r="AT58" s="907"/>
      <c r="AU58" s="906"/>
      <c r="AV58" s="907"/>
      <c r="AW58" s="907"/>
      <c r="AX58" s="907"/>
      <c r="AY58" s="906"/>
      <c r="AZ58" s="907"/>
      <c r="BA58" s="907"/>
      <c r="BB58" s="907"/>
      <c r="BC58" s="906"/>
      <c r="BD58" s="907"/>
      <c r="BE58" s="907"/>
      <c r="BF58" s="907"/>
      <c r="BG58" s="906"/>
      <c r="BH58" s="907"/>
      <c r="BI58" s="907"/>
      <c r="BJ58" s="907"/>
      <c r="BK58" s="906"/>
      <c r="BL58" s="907"/>
      <c r="BM58" s="907"/>
      <c r="BN58" s="907"/>
      <c r="BO58" s="906"/>
      <c r="BP58" s="907"/>
      <c r="BQ58" s="907"/>
      <c r="BR58" s="907"/>
      <c r="BS58" s="906"/>
      <c r="BT58" s="907"/>
      <c r="BU58" s="907"/>
      <c r="BV58" s="907"/>
      <c r="BW58" s="906"/>
      <c r="BX58" s="907"/>
      <c r="BY58" s="907"/>
      <c r="BZ58" s="907"/>
      <c r="CA58" s="906"/>
      <c r="CB58" s="907"/>
      <c r="CC58" s="907"/>
      <c r="CD58" s="907"/>
      <c r="CE58" s="906"/>
      <c r="CF58" s="907"/>
      <c r="CG58" s="907"/>
      <c r="CH58" s="907"/>
      <c r="CI58" s="906"/>
      <c r="CJ58" s="907"/>
      <c r="CK58" s="907"/>
      <c r="CL58" s="907"/>
      <c r="CM58" s="906"/>
      <c r="CN58" s="907"/>
      <c r="CO58" s="907"/>
      <c r="CP58" s="907"/>
      <c r="CQ58" s="906"/>
      <c r="CR58" s="907"/>
      <c r="CS58" s="907"/>
      <c r="CT58" s="907"/>
      <c r="CU58" s="906"/>
      <c r="CV58" s="907"/>
      <c r="CW58" s="907"/>
      <c r="CX58" s="907"/>
      <c r="CY58" s="906"/>
      <c r="CZ58" s="907"/>
      <c r="DA58" s="907"/>
      <c r="DB58" s="907"/>
      <c r="DC58" s="906"/>
      <c r="DD58" s="907"/>
      <c r="DE58" s="907"/>
      <c r="DF58" s="907"/>
      <c r="DG58" s="906"/>
    </row>
    <row r="59" hidden="1" spans="1:111">
      <c r="A59" s="824">
        <v>56</v>
      </c>
      <c r="B59" s="824">
        <f>STUDENT!F57</f>
        <v>0</v>
      </c>
      <c r="C59" s="824">
        <f>STUDENT!D57</f>
        <v>0</v>
      </c>
      <c r="D59" s="827">
        <f>STUDENT!E57</f>
        <v>0</v>
      </c>
      <c r="E59" s="827">
        <f>STUDENT!H57</f>
        <v>0</v>
      </c>
      <c r="F59" s="904"/>
      <c r="G59" s="904"/>
      <c r="H59" s="904"/>
      <c r="I59" s="824" t="str">
        <f t="shared" si="0"/>
        <v/>
      </c>
      <c r="J59" s="824" t="str">
        <f t="shared" si="1"/>
        <v/>
      </c>
      <c r="K59" s="824" t="str">
        <f t="shared" si="2"/>
        <v/>
      </c>
      <c r="L59" s="907"/>
      <c r="M59" s="907"/>
      <c r="N59" s="907"/>
      <c r="O59" s="906"/>
      <c r="P59" s="907"/>
      <c r="Q59" s="907"/>
      <c r="R59" s="907"/>
      <c r="S59" s="906"/>
      <c r="T59" s="907"/>
      <c r="U59" s="907"/>
      <c r="V59" s="907"/>
      <c r="W59" s="906"/>
      <c r="X59" s="907"/>
      <c r="Y59" s="907"/>
      <c r="Z59" s="907"/>
      <c r="AA59" s="906"/>
      <c r="AB59" s="907"/>
      <c r="AC59" s="907"/>
      <c r="AD59" s="907"/>
      <c r="AE59" s="906"/>
      <c r="AF59" s="907"/>
      <c r="AG59" s="907"/>
      <c r="AH59" s="907"/>
      <c r="AI59" s="906"/>
      <c r="AJ59" s="907"/>
      <c r="AK59" s="907"/>
      <c r="AL59" s="907"/>
      <c r="AM59" s="906"/>
      <c r="AN59" s="907"/>
      <c r="AO59" s="907"/>
      <c r="AP59" s="907"/>
      <c r="AQ59" s="906"/>
      <c r="AR59" s="907"/>
      <c r="AS59" s="907"/>
      <c r="AT59" s="907"/>
      <c r="AU59" s="906"/>
      <c r="AV59" s="907"/>
      <c r="AW59" s="907"/>
      <c r="AX59" s="907"/>
      <c r="AY59" s="906"/>
      <c r="AZ59" s="907"/>
      <c r="BA59" s="907"/>
      <c r="BB59" s="907"/>
      <c r="BC59" s="906"/>
      <c r="BD59" s="907"/>
      <c r="BE59" s="907"/>
      <c r="BF59" s="907"/>
      <c r="BG59" s="906"/>
      <c r="BH59" s="907"/>
      <c r="BI59" s="907"/>
      <c r="BJ59" s="907"/>
      <c r="BK59" s="906"/>
      <c r="BL59" s="907"/>
      <c r="BM59" s="907"/>
      <c r="BN59" s="907"/>
      <c r="BO59" s="906"/>
      <c r="BP59" s="907"/>
      <c r="BQ59" s="907"/>
      <c r="BR59" s="907"/>
      <c r="BS59" s="906"/>
      <c r="BT59" s="907"/>
      <c r="BU59" s="907"/>
      <c r="BV59" s="907"/>
      <c r="BW59" s="906"/>
      <c r="BX59" s="907"/>
      <c r="BY59" s="907"/>
      <c r="BZ59" s="907"/>
      <c r="CA59" s="906"/>
      <c r="CB59" s="907"/>
      <c r="CC59" s="907"/>
      <c r="CD59" s="907"/>
      <c r="CE59" s="906"/>
      <c r="CF59" s="907"/>
      <c r="CG59" s="907"/>
      <c r="CH59" s="907"/>
      <c r="CI59" s="906"/>
      <c r="CJ59" s="907"/>
      <c r="CK59" s="907"/>
      <c r="CL59" s="907"/>
      <c r="CM59" s="906"/>
      <c r="CN59" s="907"/>
      <c r="CO59" s="907"/>
      <c r="CP59" s="907"/>
      <c r="CQ59" s="906"/>
      <c r="CR59" s="907"/>
      <c r="CS59" s="907"/>
      <c r="CT59" s="907"/>
      <c r="CU59" s="906"/>
      <c r="CV59" s="907"/>
      <c r="CW59" s="907"/>
      <c r="CX59" s="907"/>
      <c r="CY59" s="906"/>
      <c r="CZ59" s="907"/>
      <c r="DA59" s="907"/>
      <c r="DB59" s="907"/>
      <c r="DC59" s="906"/>
      <c r="DD59" s="907"/>
      <c r="DE59" s="907"/>
      <c r="DF59" s="907"/>
      <c r="DG59" s="906"/>
    </row>
    <row r="60" hidden="1" spans="1:111">
      <c r="A60" s="824">
        <v>57</v>
      </c>
      <c r="B60" s="824">
        <f>STUDENT!F58</f>
        <v>0</v>
      </c>
      <c r="C60" s="824">
        <f>STUDENT!D58</f>
        <v>0</v>
      </c>
      <c r="D60" s="827">
        <f>STUDENT!E58</f>
        <v>0</v>
      </c>
      <c r="E60" s="827">
        <f>STUDENT!H58</f>
        <v>0</v>
      </c>
      <c r="F60" s="904"/>
      <c r="G60" s="904"/>
      <c r="H60" s="904"/>
      <c r="I60" s="824" t="str">
        <f t="shared" si="0"/>
        <v/>
      </c>
      <c r="J60" s="824" t="str">
        <f t="shared" si="1"/>
        <v/>
      </c>
      <c r="K60" s="824" t="str">
        <f t="shared" si="2"/>
        <v/>
      </c>
      <c r="L60" s="907"/>
      <c r="M60" s="907"/>
      <c r="N60" s="907"/>
      <c r="O60" s="906"/>
      <c r="P60" s="907"/>
      <c r="Q60" s="907"/>
      <c r="R60" s="907"/>
      <c r="S60" s="906"/>
      <c r="T60" s="907"/>
      <c r="U60" s="907"/>
      <c r="V60" s="907"/>
      <c r="W60" s="906"/>
      <c r="X60" s="907"/>
      <c r="Y60" s="907"/>
      <c r="Z60" s="907"/>
      <c r="AA60" s="906"/>
      <c r="AB60" s="907"/>
      <c r="AC60" s="907"/>
      <c r="AD60" s="907"/>
      <c r="AE60" s="906"/>
      <c r="AF60" s="907"/>
      <c r="AG60" s="907"/>
      <c r="AH60" s="907"/>
      <c r="AI60" s="906"/>
      <c r="AJ60" s="907"/>
      <c r="AK60" s="907"/>
      <c r="AL60" s="907"/>
      <c r="AM60" s="906"/>
      <c r="AN60" s="907"/>
      <c r="AO60" s="907"/>
      <c r="AP60" s="907"/>
      <c r="AQ60" s="906"/>
      <c r="AR60" s="907"/>
      <c r="AS60" s="907"/>
      <c r="AT60" s="907"/>
      <c r="AU60" s="906"/>
      <c r="AV60" s="907"/>
      <c r="AW60" s="907"/>
      <c r="AX60" s="907"/>
      <c r="AY60" s="906"/>
      <c r="AZ60" s="907"/>
      <c r="BA60" s="907"/>
      <c r="BB60" s="907"/>
      <c r="BC60" s="906"/>
      <c r="BD60" s="907"/>
      <c r="BE60" s="907"/>
      <c r="BF60" s="907"/>
      <c r="BG60" s="906"/>
      <c r="BH60" s="907"/>
      <c r="BI60" s="907"/>
      <c r="BJ60" s="907"/>
      <c r="BK60" s="906"/>
      <c r="BL60" s="907"/>
      <c r="BM60" s="907"/>
      <c r="BN60" s="907"/>
      <c r="BO60" s="906"/>
      <c r="BP60" s="907"/>
      <c r="BQ60" s="907"/>
      <c r="BR60" s="907"/>
      <c r="BS60" s="906"/>
      <c r="BT60" s="907"/>
      <c r="BU60" s="907"/>
      <c r="BV60" s="907"/>
      <c r="BW60" s="906"/>
      <c r="BX60" s="907"/>
      <c r="BY60" s="907"/>
      <c r="BZ60" s="907"/>
      <c r="CA60" s="906"/>
      <c r="CB60" s="907"/>
      <c r="CC60" s="907"/>
      <c r="CD60" s="907"/>
      <c r="CE60" s="906"/>
      <c r="CF60" s="907"/>
      <c r="CG60" s="907"/>
      <c r="CH60" s="907"/>
      <c r="CI60" s="906"/>
      <c r="CJ60" s="907"/>
      <c r="CK60" s="907"/>
      <c r="CL60" s="907"/>
      <c r="CM60" s="906"/>
      <c r="CN60" s="907"/>
      <c r="CO60" s="907"/>
      <c r="CP60" s="907"/>
      <c r="CQ60" s="906"/>
      <c r="CR60" s="907"/>
      <c r="CS60" s="907"/>
      <c r="CT60" s="907"/>
      <c r="CU60" s="906"/>
      <c r="CV60" s="907"/>
      <c r="CW60" s="907"/>
      <c r="CX60" s="907"/>
      <c r="CY60" s="906"/>
      <c r="CZ60" s="907"/>
      <c r="DA60" s="907"/>
      <c r="DB60" s="907"/>
      <c r="DC60" s="906"/>
      <c r="DD60" s="907"/>
      <c r="DE60" s="907"/>
      <c r="DF60" s="907"/>
      <c r="DG60" s="906"/>
    </row>
    <row r="61" hidden="1" spans="1:111">
      <c r="A61" s="824">
        <v>58</v>
      </c>
      <c r="B61" s="824">
        <f>STUDENT!F59</f>
        <v>0</v>
      </c>
      <c r="C61" s="824">
        <f>STUDENT!D59</f>
        <v>0</v>
      </c>
      <c r="D61" s="827">
        <f>STUDENT!E59</f>
        <v>0</v>
      </c>
      <c r="E61" s="827">
        <f>STUDENT!H59</f>
        <v>0</v>
      </c>
      <c r="F61" s="904"/>
      <c r="G61" s="904"/>
      <c r="H61" s="904"/>
      <c r="I61" s="824" t="str">
        <f t="shared" si="0"/>
        <v/>
      </c>
      <c r="J61" s="824" t="str">
        <f t="shared" si="1"/>
        <v/>
      </c>
      <c r="K61" s="824" t="str">
        <f t="shared" si="2"/>
        <v/>
      </c>
      <c r="L61" s="907"/>
      <c r="M61" s="907"/>
      <c r="N61" s="907"/>
      <c r="O61" s="906"/>
      <c r="P61" s="907"/>
      <c r="Q61" s="907"/>
      <c r="R61" s="907"/>
      <c r="S61" s="906"/>
      <c r="T61" s="907"/>
      <c r="U61" s="907"/>
      <c r="V61" s="907"/>
      <c r="W61" s="906"/>
      <c r="X61" s="907"/>
      <c r="Y61" s="907"/>
      <c r="Z61" s="907"/>
      <c r="AA61" s="906"/>
      <c r="AB61" s="907"/>
      <c r="AC61" s="907"/>
      <c r="AD61" s="907"/>
      <c r="AE61" s="906"/>
      <c r="AF61" s="907"/>
      <c r="AG61" s="907"/>
      <c r="AH61" s="907"/>
      <c r="AI61" s="906"/>
      <c r="AJ61" s="907"/>
      <c r="AK61" s="907"/>
      <c r="AL61" s="907"/>
      <c r="AM61" s="906"/>
      <c r="AN61" s="907"/>
      <c r="AO61" s="907"/>
      <c r="AP61" s="907"/>
      <c r="AQ61" s="906"/>
      <c r="AR61" s="907"/>
      <c r="AS61" s="907"/>
      <c r="AT61" s="907"/>
      <c r="AU61" s="906"/>
      <c r="AV61" s="907"/>
      <c r="AW61" s="907"/>
      <c r="AX61" s="907"/>
      <c r="AY61" s="906"/>
      <c r="AZ61" s="907"/>
      <c r="BA61" s="907"/>
      <c r="BB61" s="907"/>
      <c r="BC61" s="906"/>
      <c r="BD61" s="907"/>
      <c r="BE61" s="907"/>
      <c r="BF61" s="907"/>
      <c r="BG61" s="906"/>
      <c r="BH61" s="907"/>
      <c r="BI61" s="907"/>
      <c r="BJ61" s="907"/>
      <c r="BK61" s="906"/>
      <c r="BL61" s="907"/>
      <c r="BM61" s="907"/>
      <c r="BN61" s="907"/>
      <c r="BO61" s="906"/>
      <c r="BP61" s="907"/>
      <c r="BQ61" s="907"/>
      <c r="BR61" s="907"/>
      <c r="BS61" s="906"/>
      <c r="BT61" s="907"/>
      <c r="BU61" s="907"/>
      <c r="BV61" s="907"/>
      <c r="BW61" s="906"/>
      <c r="BX61" s="907"/>
      <c r="BY61" s="907"/>
      <c r="BZ61" s="907"/>
      <c r="CA61" s="906"/>
      <c r="CB61" s="907"/>
      <c r="CC61" s="907"/>
      <c r="CD61" s="907"/>
      <c r="CE61" s="906"/>
      <c r="CF61" s="907"/>
      <c r="CG61" s="907"/>
      <c r="CH61" s="907"/>
      <c r="CI61" s="906"/>
      <c r="CJ61" s="907"/>
      <c r="CK61" s="907"/>
      <c r="CL61" s="907"/>
      <c r="CM61" s="906"/>
      <c r="CN61" s="907"/>
      <c r="CO61" s="907"/>
      <c r="CP61" s="907"/>
      <c r="CQ61" s="906"/>
      <c r="CR61" s="907"/>
      <c r="CS61" s="907"/>
      <c r="CT61" s="907"/>
      <c r="CU61" s="906"/>
      <c r="CV61" s="907"/>
      <c r="CW61" s="907"/>
      <c r="CX61" s="907"/>
      <c r="CY61" s="906"/>
      <c r="CZ61" s="907"/>
      <c r="DA61" s="907"/>
      <c r="DB61" s="907"/>
      <c r="DC61" s="906"/>
      <c r="DD61" s="907"/>
      <c r="DE61" s="907"/>
      <c r="DF61" s="907"/>
      <c r="DG61" s="906"/>
    </row>
    <row r="62" hidden="1" spans="1:111">
      <c r="A62" s="824">
        <v>59</v>
      </c>
      <c r="B62" s="824">
        <f>STUDENT!F60</f>
        <v>0</v>
      </c>
      <c r="C62" s="824">
        <f>STUDENT!D60</f>
        <v>0</v>
      </c>
      <c r="D62" s="827">
        <f>STUDENT!E60</f>
        <v>0</v>
      </c>
      <c r="E62" s="827">
        <f>STUDENT!H60</f>
        <v>0</v>
      </c>
      <c r="F62" s="904"/>
      <c r="G62" s="904"/>
      <c r="H62" s="904"/>
      <c r="I62" s="824" t="str">
        <f t="shared" si="0"/>
        <v/>
      </c>
      <c r="J62" s="824" t="str">
        <f t="shared" si="1"/>
        <v/>
      </c>
      <c r="K62" s="824" t="str">
        <f t="shared" si="2"/>
        <v/>
      </c>
      <c r="L62" s="907"/>
      <c r="M62" s="907"/>
      <c r="N62" s="907"/>
      <c r="O62" s="906"/>
      <c r="P62" s="907"/>
      <c r="Q62" s="907"/>
      <c r="R62" s="907"/>
      <c r="S62" s="906"/>
      <c r="T62" s="907"/>
      <c r="U62" s="907"/>
      <c r="V62" s="907"/>
      <c r="W62" s="906"/>
      <c r="X62" s="907"/>
      <c r="Y62" s="907"/>
      <c r="Z62" s="907"/>
      <c r="AA62" s="906"/>
      <c r="AB62" s="907"/>
      <c r="AC62" s="907"/>
      <c r="AD62" s="907"/>
      <c r="AE62" s="906"/>
      <c r="AF62" s="907"/>
      <c r="AG62" s="907"/>
      <c r="AH62" s="907"/>
      <c r="AI62" s="906"/>
      <c r="AJ62" s="907"/>
      <c r="AK62" s="907"/>
      <c r="AL62" s="907"/>
      <c r="AM62" s="906"/>
      <c r="AN62" s="907"/>
      <c r="AO62" s="907"/>
      <c r="AP62" s="907"/>
      <c r="AQ62" s="906"/>
      <c r="AR62" s="907"/>
      <c r="AS62" s="907"/>
      <c r="AT62" s="907"/>
      <c r="AU62" s="906"/>
      <c r="AV62" s="907"/>
      <c r="AW62" s="907"/>
      <c r="AX62" s="907"/>
      <c r="AY62" s="906"/>
      <c r="AZ62" s="907"/>
      <c r="BA62" s="907"/>
      <c r="BB62" s="907"/>
      <c r="BC62" s="906"/>
      <c r="BD62" s="907"/>
      <c r="BE62" s="907"/>
      <c r="BF62" s="907"/>
      <c r="BG62" s="906"/>
      <c r="BH62" s="907"/>
      <c r="BI62" s="907"/>
      <c r="BJ62" s="907"/>
      <c r="BK62" s="906"/>
      <c r="BL62" s="907"/>
      <c r="BM62" s="907"/>
      <c r="BN62" s="907"/>
      <c r="BO62" s="906"/>
      <c r="BP62" s="907"/>
      <c r="BQ62" s="907"/>
      <c r="BR62" s="907"/>
      <c r="BS62" s="906"/>
      <c r="BT62" s="907"/>
      <c r="BU62" s="907"/>
      <c r="BV62" s="907"/>
      <c r="BW62" s="906"/>
      <c r="BX62" s="907"/>
      <c r="BY62" s="907"/>
      <c r="BZ62" s="907"/>
      <c r="CA62" s="906"/>
      <c r="CB62" s="907"/>
      <c r="CC62" s="907"/>
      <c r="CD62" s="907"/>
      <c r="CE62" s="906"/>
      <c r="CF62" s="907"/>
      <c r="CG62" s="907"/>
      <c r="CH62" s="907"/>
      <c r="CI62" s="906"/>
      <c r="CJ62" s="907"/>
      <c r="CK62" s="907"/>
      <c r="CL62" s="907"/>
      <c r="CM62" s="906"/>
      <c r="CN62" s="907"/>
      <c r="CO62" s="907"/>
      <c r="CP62" s="907"/>
      <c r="CQ62" s="906"/>
      <c r="CR62" s="907"/>
      <c r="CS62" s="907"/>
      <c r="CT62" s="907"/>
      <c r="CU62" s="906"/>
      <c r="CV62" s="907"/>
      <c r="CW62" s="907"/>
      <c r="CX62" s="907"/>
      <c r="CY62" s="906"/>
      <c r="CZ62" s="907"/>
      <c r="DA62" s="907"/>
      <c r="DB62" s="907"/>
      <c r="DC62" s="906"/>
      <c r="DD62" s="907"/>
      <c r="DE62" s="907"/>
      <c r="DF62" s="907"/>
      <c r="DG62" s="906"/>
    </row>
    <row r="63" hidden="1" spans="1:111">
      <c r="A63" s="824">
        <v>60</v>
      </c>
      <c r="B63" s="824">
        <f>STUDENT!F61</f>
        <v>0</v>
      </c>
      <c r="C63" s="824">
        <f>STUDENT!D61</f>
        <v>0</v>
      </c>
      <c r="D63" s="827">
        <f>STUDENT!E61</f>
        <v>0</v>
      </c>
      <c r="E63" s="827">
        <f>STUDENT!H61</f>
        <v>0</v>
      </c>
      <c r="F63" s="904"/>
      <c r="G63" s="904"/>
      <c r="H63" s="904"/>
      <c r="I63" s="824" t="str">
        <f t="shared" si="0"/>
        <v/>
      </c>
      <c r="J63" s="824" t="str">
        <f t="shared" si="1"/>
        <v/>
      </c>
      <c r="K63" s="824" t="str">
        <f t="shared" si="2"/>
        <v/>
      </c>
      <c r="L63" s="907"/>
      <c r="M63" s="907"/>
      <c r="N63" s="907"/>
      <c r="O63" s="906"/>
      <c r="P63" s="907"/>
      <c r="Q63" s="907"/>
      <c r="R63" s="907"/>
      <c r="S63" s="906"/>
      <c r="T63" s="907"/>
      <c r="U63" s="907"/>
      <c r="V63" s="907"/>
      <c r="W63" s="906"/>
      <c r="X63" s="907"/>
      <c r="Y63" s="907"/>
      <c r="Z63" s="907"/>
      <c r="AA63" s="906"/>
      <c r="AB63" s="907"/>
      <c r="AC63" s="907"/>
      <c r="AD63" s="907"/>
      <c r="AE63" s="906"/>
      <c r="AF63" s="907"/>
      <c r="AG63" s="907"/>
      <c r="AH63" s="907"/>
      <c r="AI63" s="906"/>
      <c r="AJ63" s="907"/>
      <c r="AK63" s="907"/>
      <c r="AL63" s="907"/>
      <c r="AM63" s="906"/>
      <c r="AN63" s="907"/>
      <c r="AO63" s="907"/>
      <c r="AP63" s="907"/>
      <c r="AQ63" s="906"/>
      <c r="AR63" s="907"/>
      <c r="AS63" s="907"/>
      <c r="AT63" s="907"/>
      <c r="AU63" s="906"/>
      <c r="AV63" s="907"/>
      <c r="AW63" s="907"/>
      <c r="AX63" s="907"/>
      <c r="AY63" s="906"/>
      <c r="AZ63" s="907"/>
      <c r="BA63" s="907"/>
      <c r="BB63" s="907"/>
      <c r="BC63" s="906"/>
      <c r="BD63" s="907"/>
      <c r="BE63" s="907"/>
      <c r="BF63" s="907"/>
      <c r="BG63" s="906"/>
      <c r="BH63" s="907"/>
      <c r="BI63" s="907"/>
      <c r="BJ63" s="907"/>
      <c r="BK63" s="906"/>
      <c r="BL63" s="907"/>
      <c r="BM63" s="907"/>
      <c r="BN63" s="907"/>
      <c r="BO63" s="906"/>
      <c r="BP63" s="907"/>
      <c r="BQ63" s="907"/>
      <c r="BR63" s="907"/>
      <c r="BS63" s="906"/>
      <c r="BT63" s="907"/>
      <c r="BU63" s="907"/>
      <c r="BV63" s="907"/>
      <c r="BW63" s="906"/>
      <c r="BX63" s="907"/>
      <c r="BY63" s="907"/>
      <c r="BZ63" s="907"/>
      <c r="CA63" s="906"/>
      <c r="CB63" s="907"/>
      <c r="CC63" s="907"/>
      <c r="CD63" s="907"/>
      <c r="CE63" s="906"/>
      <c r="CF63" s="907"/>
      <c r="CG63" s="907"/>
      <c r="CH63" s="907"/>
      <c r="CI63" s="906"/>
      <c r="CJ63" s="907"/>
      <c r="CK63" s="907"/>
      <c r="CL63" s="907"/>
      <c r="CM63" s="906"/>
      <c r="CN63" s="907"/>
      <c r="CO63" s="907"/>
      <c r="CP63" s="907"/>
      <c r="CQ63" s="906"/>
      <c r="CR63" s="907"/>
      <c r="CS63" s="907"/>
      <c r="CT63" s="907"/>
      <c r="CU63" s="906"/>
      <c r="CV63" s="907"/>
      <c r="CW63" s="907"/>
      <c r="CX63" s="907"/>
      <c r="CY63" s="906"/>
      <c r="CZ63" s="907"/>
      <c r="DA63" s="907"/>
      <c r="DB63" s="907"/>
      <c r="DC63" s="906"/>
      <c r="DD63" s="907"/>
      <c r="DE63" s="907"/>
      <c r="DF63" s="907"/>
      <c r="DG63" s="906"/>
    </row>
    <row r="64" hidden="1" spans="1:111">
      <c r="A64" s="824">
        <v>61</v>
      </c>
      <c r="B64" s="824">
        <f>STUDENT!F62</f>
        <v>0</v>
      </c>
      <c r="C64" s="824">
        <f>STUDENT!D62</f>
        <v>0</v>
      </c>
      <c r="D64" s="827">
        <f>STUDENT!E62</f>
        <v>0</v>
      </c>
      <c r="E64" s="827">
        <f>STUDENT!H62</f>
        <v>0</v>
      </c>
      <c r="F64" s="904"/>
      <c r="G64" s="904"/>
      <c r="H64" s="904"/>
      <c r="I64" s="824" t="str">
        <f t="shared" si="0"/>
        <v/>
      </c>
      <c r="J64" s="824" t="str">
        <f t="shared" si="1"/>
        <v/>
      </c>
      <c r="K64" s="824" t="str">
        <f t="shared" si="2"/>
        <v/>
      </c>
      <c r="L64" s="907"/>
      <c r="M64" s="907"/>
      <c r="N64" s="907"/>
      <c r="O64" s="906"/>
      <c r="P64" s="907"/>
      <c r="Q64" s="907"/>
      <c r="R64" s="907"/>
      <c r="S64" s="906"/>
      <c r="T64" s="907"/>
      <c r="U64" s="907"/>
      <c r="V64" s="907"/>
      <c r="W64" s="906"/>
      <c r="X64" s="907"/>
      <c r="Y64" s="907"/>
      <c r="Z64" s="907"/>
      <c r="AA64" s="906"/>
      <c r="AB64" s="907"/>
      <c r="AC64" s="907"/>
      <c r="AD64" s="907"/>
      <c r="AE64" s="906"/>
      <c r="AF64" s="907"/>
      <c r="AG64" s="907"/>
      <c r="AH64" s="907"/>
      <c r="AI64" s="906"/>
      <c r="AJ64" s="907"/>
      <c r="AK64" s="907"/>
      <c r="AL64" s="907"/>
      <c r="AM64" s="906"/>
      <c r="AN64" s="907"/>
      <c r="AO64" s="907"/>
      <c r="AP64" s="907"/>
      <c r="AQ64" s="906"/>
      <c r="AR64" s="907"/>
      <c r="AS64" s="907"/>
      <c r="AT64" s="907"/>
      <c r="AU64" s="906"/>
      <c r="AV64" s="907"/>
      <c r="AW64" s="907"/>
      <c r="AX64" s="907"/>
      <c r="AY64" s="906"/>
      <c r="AZ64" s="907"/>
      <c r="BA64" s="907"/>
      <c r="BB64" s="907"/>
      <c r="BC64" s="906"/>
      <c r="BD64" s="907"/>
      <c r="BE64" s="907"/>
      <c r="BF64" s="907"/>
      <c r="BG64" s="906"/>
      <c r="BH64" s="907"/>
      <c r="BI64" s="907"/>
      <c r="BJ64" s="907"/>
      <c r="BK64" s="906"/>
      <c r="BL64" s="907"/>
      <c r="BM64" s="907"/>
      <c r="BN64" s="907"/>
      <c r="BO64" s="906"/>
      <c r="BP64" s="907"/>
      <c r="BQ64" s="907"/>
      <c r="BR64" s="907"/>
      <c r="BS64" s="906"/>
      <c r="BT64" s="907"/>
      <c r="BU64" s="907"/>
      <c r="BV64" s="907"/>
      <c r="BW64" s="906"/>
      <c r="BX64" s="907"/>
      <c r="BY64" s="907"/>
      <c r="BZ64" s="907"/>
      <c r="CA64" s="906"/>
      <c r="CB64" s="907"/>
      <c r="CC64" s="907"/>
      <c r="CD64" s="907"/>
      <c r="CE64" s="906"/>
      <c r="CF64" s="907"/>
      <c r="CG64" s="907"/>
      <c r="CH64" s="907"/>
      <c r="CI64" s="906"/>
      <c r="CJ64" s="907"/>
      <c r="CK64" s="907"/>
      <c r="CL64" s="907"/>
      <c r="CM64" s="906"/>
      <c r="CN64" s="907"/>
      <c r="CO64" s="907"/>
      <c r="CP64" s="907"/>
      <c r="CQ64" s="906"/>
      <c r="CR64" s="907"/>
      <c r="CS64" s="907"/>
      <c r="CT64" s="907"/>
      <c r="CU64" s="906"/>
      <c r="CV64" s="907"/>
      <c r="CW64" s="907"/>
      <c r="CX64" s="907"/>
      <c r="CY64" s="906"/>
      <c r="CZ64" s="907"/>
      <c r="DA64" s="907"/>
      <c r="DB64" s="907"/>
      <c r="DC64" s="906"/>
      <c r="DD64" s="907"/>
      <c r="DE64" s="907"/>
      <c r="DF64" s="907"/>
      <c r="DG64" s="906"/>
    </row>
    <row r="65" hidden="1" spans="1:111">
      <c r="A65" s="824">
        <v>62</v>
      </c>
      <c r="B65" s="824">
        <f>STUDENT!F63</f>
        <v>0</v>
      </c>
      <c r="C65" s="824">
        <f>STUDENT!D63</f>
        <v>0</v>
      </c>
      <c r="D65" s="827">
        <f>STUDENT!E63</f>
        <v>0</v>
      </c>
      <c r="E65" s="827">
        <f>STUDENT!H63</f>
        <v>0</v>
      </c>
      <c r="F65" s="904"/>
      <c r="G65" s="904"/>
      <c r="H65" s="904"/>
      <c r="I65" s="824" t="str">
        <f t="shared" si="0"/>
        <v/>
      </c>
      <c r="J65" s="824" t="str">
        <f t="shared" si="1"/>
        <v/>
      </c>
      <c r="K65" s="824" t="str">
        <f t="shared" si="2"/>
        <v/>
      </c>
      <c r="L65" s="907"/>
      <c r="M65" s="907"/>
      <c r="N65" s="907"/>
      <c r="O65" s="906"/>
      <c r="P65" s="907"/>
      <c r="Q65" s="907"/>
      <c r="R65" s="907"/>
      <c r="S65" s="906"/>
      <c r="T65" s="907"/>
      <c r="U65" s="907"/>
      <c r="V65" s="907"/>
      <c r="W65" s="906"/>
      <c r="X65" s="907"/>
      <c r="Y65" s="907"/>
      <c r="Z65" s="907"/>
      <c r="AA65" s="906"/>
      <c r="AB65" s="907"/>
      <c r="AC65" s="907"/>
      <c r="AD65" s="907"/>
      <c r="AE65" s="906"/>
      <c r="AF65" s="907"/>
      <c r="AG65" s="907"/>
      <c r="AH65" s="907"/>
      <c r="AI65" s="906"/>
      <c r="AJ65" s="907"/>
      <c r="AK65" s="907"/>
      <c r="AL65" s="907"/>
      <c r="AM65" s="906"/>
      <c r="AN65" s="907"/>
      <c r="AO65" s="907"/>
      <c r="AP65" s="907"/>
      <c r="AQ65" s="906"/>
      <c r="AR65" s="907"/>
      <c r="AS65" s="907"/>
      <c r="AT65" s="907"/>
      <c r="AU65" s="906"/>
      <c r="AV65" s="907"/>
      <c r="AW65" s="907"/>
      <c r="AX65" s="907"/>
      <c r="AY65" s="906"/>
      <c r="AZ65" s="907"/>
      <c r="BA65" s="907"/>
      <c r="BB65" s="907"/>
      <c r="BC65" s="906"/>
      <c r="BD65" s="907"/>
      <c r="BE65" s="907"/>
      <c r="BF65" s="907"/>
      <c r="BG65" s="906"/>
      <c r="BH65" s="907"/>
      <c r="BI65" s="907"/>
      <c r="BJ65" s="907"/>
      <c r="BK65" s="906"/>
      <c r="BL65" s="907"/>
      <c r="BM65" s="907"/>
      <c r="BN65" s="907"/>
      <c r="BO65" s="906"/>
      <c r="BP65" s="907"/>
      <c r="BQ65" s="907"/>
      <c r="BR65" s="907"/>
      <c r="BS65" s="906"/>
      <c r="BT65" s="907"/>
      <c r="BU65" s="907"/>
      <c r="BV65" s="907"/>
      <c r="BW65" s="906"/>
      <c r="BX65" s="907"/>
      <c r="BY65" s="907"/>
      <c r="BZ65" s="907"/>
      <c r="CA65" s="906"/>
      <c r="CB65" s="907"/>
      <c r="CC65" s="907"/>
      <c r="CD65" s="907"/>
      <c r="CE65" s="906"/>
      <c r="CF65" s="907"/>
      <c r="CG65" s="907"/>
      <c r="CH65" s="907"/>
      <c r="CI65" s="906"/>
      <c r="CJ65" s="907"/>
      <c r="CK65" s="907"/>
      <c r="CL65" s="907"/>
      <c r="CM65" s="906"/>
      <c r="CN65" s="907"/>
      <c r="CO65" s="907"/>
      <c r="CP65" s="907"/>
      <c r="CQ65" s="906"/>
      <c r="CR65" s="907"/>
      <c r="CS65" s="907"/>
      <c r="CT65" s="907"/>
      <c r="CU65" s="906"/>
      <c r="CV65" s="907"/>
      <c r="CW65" s="907"/>
      <c r="CX65" s="907"/>
      <c r="CY65" s="906"/>
      <c r="CZ65" s="907"/>
      <c r="DA65" s="907"/>
      <c r="DB65" s="907"/>
      <c r="DC65" s="906"/>
      <c r="DD65" s="907"/>
      <c r="DE65" s="907"/>
      <c r="DF65" s="907"/>
      <c r="DG65" s="906"/>
    </row>
    <row r="66" hidden="1" spans="1:111">
      <c r="A66" s="824">
        <v>63</v>
      </c>
      <c r="B66" s="824">
        <f>STUDENT!F64</f>
        <v>0</v>
      </c>
      <c r="C66" s="824">
        <f>STUDENT!D64</f>
        <v>0</v>
      </c>
      <c r="D66" s="827">
        <f>STUDENT!E64</f>
        <v>0</v>
      </c>
      <c r="E66" s="827">
        <f>STUDENT!H64</f>
        <v>0</v>
      </c>
      <c r="F66" s="904"/>
      <c r="G66" s="904"/>
      <c r="H66" s="904"/>
      <c r="I66" s="824" t="str">
        <f t="shared" si="0"/>
        <v/>
      </c>
      <c r="J66" s="824" t="str">
        <f t="shared" si="1"/>
        <v/>
      </c>
      <c r="K66" s="824" t="str">
        <f t="shared" si="2"/>
        <v/>
      </c>
      <c r="L66" s="907"/>
      <c r="M66" s="907"/>
      <c r="N66" s="907"/>
      <c r="O66" s="906"/>
      <c r="P66" s="907"/>
      <c r="Q66" s="907"/>
      <c r="R66" s="907"/>
      <c r="S66" s="906"/>
      <c r="T66" s="907"/>
      <c r="U66" s="907"/>
      <c r="V66" s="907"/>
      <c r="W66" s="906"/>
      <c r="X66" s="907"/>
      <c r="Y66" s="907"/>
      <c r="Z66" s="907"/>
      <c r="AA66" s="906"/>
      <c r="AB66" s="907"/>
      <c r="AC66" s="907"/>
      <c r="AD66" s="907"/>
      <c r="AE66" s="906"/>
      <c r="AF66" s="907"/>
      <c r="AG66" s="907"/>
      <c r="AH66" s="907"/>
      <c r="AI66" s="906"/>
      <c r="AJ66" s="907"/>
      <c r="AK66" s="907"/>
      <c r="AL66" s="907"/>
      <c r="AM66" s="906"/>
      <c r="AN66" s="907"/>
      <c r="AO66" s="907"/>
      <c r="AP66" s="907"/>
      <c r="AQ66" s="906"/>
      <c r="AR66" s="907"/>
      <c r="AS66" s="907"/>
      <c r="AT66" s="907"/>
      <c r="AU66" s="906"/>
      <c r="AV66" s="907"/>
      <c r="AW66" s="907"/>
      <c r="AX66" s="907"/>
      <c r="AY66" s="906"/>
      <c r="AZ66" s="907"/>
      <c r="BA66" s="907"/>
      <c r="BB66" s="907"/>
      <c r="BC66" s="906"/>
      <c r="BD66" s="907"/>
      <c r="BE66" s="907"/>
      <c r="BF66" s="907"/>
      <c r="BG66" s="906"/>
      <c r="BH66" s="907"/>
      <c r="BI66" s="907"/>
      <c r="BJ66" s="907"/>
      <c r="BK66" s="906"/>
      <c r="BL66" s="907"/>
      <c r="BM66" s="907"/>
      <c r="BN66" s="907"/>
      <c r="BO66" s="906"/>
      <c r="BP66" s="907"/>
      <c r="BQ66" s="907"/>
      <c r="BR66" s="907"/>
      <c r="BS66" s="906"/>
      <c r="BT66" s="907"/>
      <c r="BU66" s="907"/>
      <c r="BV66" s="907"/>
      <c r="BW66" s="906"/>
      <c r="BX66" s="907"/>
      <c r="BY66" s="907"/>
      <c r="BZ66" s="907"/>
      <c r="CA66" s="906"/>
      <c r="CB66" s="907"/>
      <c r="CC66" s="907"/>
      <c r="CD66" s="907"/>
      <c r="CE66" s="906"/>
      <c r="CF66" s="907"/>
      <c r="CG66" s="907"/>
      <c r="CH66" s="907"/>
      <c r="CI66" s="906"/>
      <c r="CJ66" s="907"/>
      <c r="CK66" s="907"/>
      <c r="CL66" s="907"/>
      <c r="CM66" s="906"/>
      <c r="CN66" s="907"/>
      <c r="CO66" s="907"/>
      <c r="CP66" s="907"/>
      <c r="CQ66" s="906"/>
      <c r="CR66" s="907"/>
      <c r="CS66" s="907"/>
      <c r="CT66" s="907"/>
      <c r="CU66" s="906"/>
      <c r="CV66" s="907"/>
      <c r="CW66" s="907"/>
      <c r="CX66" s="907"/>
      <c r="CY66" s="906"/>
      <c r="CZ66" s="907"/>
      <c r="DA66" s="907"/>
      <c r="DB66" s="907"/>
      <c r="DC66" s="906"/>
      <c r="DD66" s="907"/>
      <c r="DE66" s="907"/>
      <c r="DF66" s="907"/>
      <c r="DG66" s="906"/>
    </row>
    <row r="67" hidden="1" spans="1:111">
      <c r="A67" s="824">
        <v>64</v>
      </c>
      <c r="B67" s="824">
        <f>STUDENT!F65</f>
        <v>0</v>
      </c>
      <c r="C67" s="824">
        <f>STUDENT!D65</f>
        <v>0</v>
      </c>
      <c r="D67" s="827">
        <f>STUDENT!E65</f>
        <v>0</v>
      </c>
      <c r="E67" s="827">
        <f>STUDENT!H65</f>
        <v>0</v>
      </c>
      <c r="F67" s="904"/>
      <c r="G67" s="904"/>
      <c r="H67" s="904"/>
      <c r="I67" s="824" t="str">
        <f t="shared" si="0"/>
        <v/>
      </c>
      <c r="J67" s="824" t="str">
        <f t="shared" si="1"/>
        <v/>
      </c>
      <c r="K67" s="824" t="str">
        <f t="shared" si="2"/>
        <v/>
      </c>
      <c r="L67" s="907"/>
      <c r="M67" s="907"/>
      <c r="N67" s="907"/>
      <c r="O67" s="906"/>
      <c r="P67" s="907"/>
      <c r="Q67" s="907"/>
      <c r="R67" s="907"/>
      <c r="S67" s="906"/>
      <c r="T67" s="907"/>
      <c r="U67" s="907"/>
      <c r="V67" s="907"/>
      <c r="W67" s="906"/>
      <c r="X67" s="907"/>
      <c r="Y67" s="907"/>
      <c r="Z67" s="907"/>
      <c r="AA67" s="906"/>
      <c r="AB67" s="907"/>
      <c r="AC67" s="907"/>
      <c r="AD67" s="907"/>
      <c r="AE67" s="906"/>
      <c r="AF67" s="907"/>
      <c r="AG67" s="907"/>
      <c r="AH67" s="907"/>
      <c r="AI67" s="906"/>
      <c r="AJ67" s="907"/>
      <c r="AK67" s="907"/>
      <c r="AL67" s="907"/>
      <c r="AM67" s="906"/>
      <c r="AN67" s="907"/>
      <c r="AO67" s="907"/>
      <c r="AP67" s="907"/>
      <c r="AQ67" s="906"/>
      <c r="AR67" s="907"/>
      <c r="AS67" s="907"/>
      <c r="AT67" s="907"/>
      <c r="AU67" s="906"/>
      <c r="AV67" s="907"/>
      <c r="AW67" s="907"/>
      <c r="AX67" s="907"/>
      <c r="AY67" s="906"/>
      <c r="AZ67" s="907"/>
      <c r="BA67" s="907"/>
      <c r="BB67" s="907"/>
      <c r="BC67" s="906"/>
      <c r="BD67" s="907"/>
      <c r="BE67" s="907"/>
      <c r="BF67" s="907"/>
      <c r="BG67" s="906"/>
      <c r="BH67" s="907"/>
      <c r="BI67" s="907"/>
      <c r="BJ67" s="907"/>
      <c r="BK67" s="906"/>
      <c r="BL67" s="907"/>
      <c r="BM67" s="907"/>
      <c r="BN67" s="907"/>
      <c r="BO67" s="906"/>
      <c r="BP67" s="907"/>
      <c r="BQ67" s="907"/>
      <c r="BR67" s="907"/>
      <c r="BS67" s="906"/>
      <c r="BT67" s="907"/>
      <c r="BU67" s="907"/>
      <c r="BV67" s="907"/>
      <c r="BW67" s="906"/>
      <c r="BX67" s="907"/>
      <c r="BY67" s="907"/>
      <c r="BZ67" s="907"/>
      <c r="CA67" s="906"/>
      <c r="CB67" s="907"/>
      <c r="CC67" s="907"/>
      <c r="CD67" s="907"/>
      <c r="CE67" s="906"/>
      <c r="CF67" s="907"/>
      <c r="CG67" s="907"/>
      <c r="CH67" s="907"/>
      <c r="CI67" s="906"/>
      <c r="CJ67" s="907"/>
      <c r="CK67" s="907"/>
      <c r="CL67" s="907"/>
      <c r="CM67" s="906"/>
      <c r="CN67" s="907"/>
      <c r="CO67" s="907"/>
      <c r="CP67" s="907"/>
      <c r="CQ67" s="906"/>
      <c r="CR67" s="907"/>
      <c r="CS67" s="907"/>
      <c r="CT67" s="907"/>
      <c r="CU67" s="906"/>
      <c r="CV67" s="907"/>
      <c r="CW67" s="907"/>
      <c r="CX67" s="907"/>
      <c r="CY67" s="906"/>
      <c r="CZ67" s="907"/>
      <c r="DA67" s="907"/>
      <c r="DB67" s="907"/>
      <c r="DC67" s="906"/>
      <c r="DD67" s="907"/>
      <c r="DE67" s="907"/>
      <c r="DF67" s="907"/>
      <c r="DG67" s="906"/>
    </row>
    <row r="68" hidden="1" spans="1:111">
      <c r="A68" s="824">
        <v>65</v>
      </c>
      <c r="B68" s="824">
        <f>STUDENT!F66</f>
        <v>0</v>
      </c>
      <c r="C68" s="824">
        <f>STUDENT!D66</f>
        <v>0</v>
      </c>
      <c r="D68" s="827">
        <f>STUDENT!E66</f>
        <v>0</v>
      </c>
      <c r="E68" s="827">
        <f>STUDENT!H66</f>
        <v>0</v>
      </c>
      <c r="F68" s="904"/>
      <c r="G68" s="904"/>
      <c r="H68" s="904"/>
      <c r="I68" s="824" t="str">
        <f t="shared" si="0"/>
        <v/>
      </c>
      <c r="J68" s="824" t="str">
        <f t="shared" si="1"/>
        <v/>
      </c>
      <c r="K68" s="824" t="str">
        <f t="shared" si="2"/>
        <v/>
      </c>
      <c r="L68" s="907"/>
      <c r="M68" s="907"/>
      <c r="N68" s="907"/>
      <c r="O68" s="906"/>
      <c r="P68" s="907"/>
      <c r="Q68" s="907"/>
      <c r="R68" s="907"/>
      <c r="S68" s="906"/>
      <c r="T68" s="907"/>
      <c r="U68" s="907"/>
      <c r="V68" s="907"/>
      <c r="W68" s="906"/>
      <c r="X68" s="907"/>
      <c r="Y68" s="907"/>
      <c r="Z68" s="907"/>
      <c r="AA68" s="906"/>
      <c r="AB68" s="907"/>
      <c r="AC68" s="907"/>
      <c r="AD68" s="907"/>
      <c r="AE68" s="906"/>
      <c r="AF68" s="907"/>
      <c r="AG68" s="907"/>
      <c r="AH68" s="907"/>
      <c r="AI68" s="906"/>
      <c r="AJ68" s="907"/>
      <c r="AK68" s="907"/>
      <c r="AL68" s="907"/>
      <c r="AM68" s="906"/>
      <c r="AN68" s="907"/>
      <c r="AO68" s="907"/>
      <c r="AP68" s="907"/>
      <c r="AQ68" s="906"/>
      <c r="AR68" s="907"/>
      <c r="AS68" s="907"/>
      <c r="AT68" s="907"/>
      <c r="AU68" s="906"/>
      <c r="AV68" s="907"/>
      <c r="AW68" s="907"/>
      <c r="AX68" s="907"/>
      <c r="AY68" s="906"/>
      <c r="AZ68" s="907"/>
      <c r="BA68" s="907"/>
      <c r="BB68" s="907"/>
      <c r="BC68" s="906"/>
      <c r="BD68" s="907"/>
      <c r="BE68" s="907"/>
      <c r="BF68" s="907"/>
      <c r="BG68" s="906"/>
      <c r="BH68" s="907"/>
      <c r="BI68" s="907"/>
      <c r="BJ68" s="907"/>
      <c r="BK68" s="906"/>
      <c r="BL68" s="907"/>
      <c r="BM68" s="907"/>
      <c r="BN68" s="907"/>
      <c r="BO68" s="906"/>
      <c r="BP68" s="907"/>
      <c r="BQ68" s="907"/>
      <c r="BR68" s="907"/>
      <c r="BS68" s="906"/>
      <c r="BT68" s="907"/>
      <c r="BU68" s="907"/>
      <c r="BV68" s="907"/>
      <c r="BW68" s="906"/>
      <c r="BX68" s="907"/>
      <c r="BY68" s="907"/>
      <c r="BZ68" s="907"/>
      <c r="CA68" s="906"/>
      <c r="CB68" s="907"/>
      <c r="CC68" s="907"/>
      <c r="CD68" s="907"/>
      <c r="CE68" s="906"/>
      <c r="CF68" s="907"/>
      <c r="CG68" s="907"/>
      <c r="CH68" s="907"/>
      <c r="CI68" s="906"/>
      <c r="CJ68" s="907"/>
      <c r="CK68" s="907"/>
      <c r="CL68" s="907"/>
      <c r="CM68" s="906"/>
      <c r="CN68" s="907"/>
      <c r="CO68" s="907"/>
      <c r="CP68" s="907"/>
      <c r="CQ68" s="906"/>
      <c r="CR68" s="907"/>
      <c r="CS68" s="907"/>
      <c r="CT68" s="907"/>
      <c r="CU68" s="906"/>
      <c r="CV68" s="907"/>
      <c r="CW68" s="907"/>
      <c r="CX68" s="907"/>
      <c r="CY68" s="906"/>
      <c r="CZ68" s="907"/>
      <c r="DA68" s="907"/>
      <c r="DB68" s="907"/>
      <c r="DC68" s="906"/>
      <c r="DD68" s="907"/>
      <c r="DE68" s="907"/>
      <c r="DF68" s="907"/>
      <c r="DG68" s="906"/>
    </row>
    <row r="69" hidden="1" spans="1:111">
      <c r="A69" s="824">
        <v>66</v>
      </c>
      <c r="B69" s="824">
        <f>STUDENT!F67</f>
        <v>0</v>
      </c>
      <c r="C69" s="824">
        <f>STUDENT!D67</f>
        <v>0</v>
      </c>
      <c r="D69" s="827">
        <f>STUDENT!E67</f>
        <v>0</v>
      </c>
      <c r="E69" s="827">
        <f>STUDENT!H67</f>
        <v>0</v>
      </c>
      <c r="F69" s="904"/>
      <c r="G69" s="904"/>
      <c r="H69" s="904"/>
      <c r="I69" s="824" t="str">
        <f t="shared" ref="I69:I103" si="3">IF(F69="Beginner",1,IF(F69="Alphabets",2,IF(F69="Words",3,IF(F69="Paragraph",4,IF(F69="Story",5,IF(F69="Absent","Ab",""))))))</f>
        <v/>
      </c>
      <c r="J69" s="824" t="str">
        <f t="shared" ref="J69:J103" si="4">IF(H69="Beginner",1,IF(H69="Character",2,IF(H69="Words",3,IF(H69="Paragraph",4,IF(H69="Story",5,IF(H69="Absent","Ab",""))))))</f>
        <v/>
      </c>
      <c r="K69" s="824" t="str">
        <f t="shared" ref="K69:K103" si="5">IF(G69="Beginner",1,IF(G69="Digit Recognition (1-9)",2,IF(G69="Number Recognition (10-99)",3,IF(G69="Subtraction",4,IF(G69="Division",5,IF(G69="Absent","Ab",""))))))</f>
        <v/>
      </c>
      <c r="L69" s="907"/>
      <c r="M69" s="907"/>
      <c r="N69" s="907"/>
      <c r="O69" s="906"/>
      <c r="P69" s="907"/>
      <c r="Q69" s="907"/>
      <c r="R69" s="907"/>
      <c r="S69" s="906"/>
      <c r="T69" s="907"/>
      <c r="U69" s="907"/>
      <c r="V69" s="907"/>
      <c r="W69" s="906"/>
      <c r="X69" s="907"/>
      <c r="Y69" s="907"/>
      <c r="Z69" s="907"/>
      <c r="AA69" s="906"/>
      <c r="AB69" s="907"/>
      <c r="AC69" s="907"/>
      <c r="AD69" s="907"/>
      <c r="AE69" s="906"/>
      <c r="AF69" s="907"/>
      <c r="AG69" s="907"/>
      <c r="AH69" s="907"/>
      <c r="AI69" s="906"/>
      <c r="AJ69" s="907"/>
      <c r="AK69" s="907"/>
      <c r="AL69" s="907"/>
      <c r="AM69" s="906"/>
      <c r="AN69" s="907"/>
      <c r="AO69" s="907"/>
      <c r="AP69" s="907"/>
      <c r="AQ69" s="906"/>
      <c r="AR69" s="907"/>
      <c r="AS69" s="907"/>
      <c r="AT69" s="907"/>
      <c r="AU69" s="906"/>
      <c r="AV69" s="907"/>
      <c r="AW69" s="907"/>
      <c r="AX69" s="907"/>
      <c r="AY69" s="906"/>
      <c r="AZ69" s="907"/>
      <c r="BA69" s="907"/>
      <c r="BB69" s="907"/>
      <c r="BC69" s="906"/>
      <c r="BD69" s="907"/>
      <c r="BE69" s="907"/>
      <c r="BF69" s="907"/>
      <c r="BG69" s="906"/>
      <c r="BH69" s="907"/>
      <c r="BI69" s="907"/>
      <c r="BJ69" s="907"/>
      <c r="BK69" s="906"/>
      <c r="BL69" s="907"/>
      <c r="BM69" s="907"/>
      <c r="BN69" s="907"/>
      <c r="BO69" s="906"/>
      <c r="BP69" s="907"/>
      <c r="BQ69" s="907"/>
      <c r="BR69" s="907"/>
      <c r="BS69" s="906"/>
      <c r="BT69" s="907"/>
      <c r="BU69" s="907"/>
      <c r="BV69" s="907"/>
      <c r="BW69" s="906"/>
      <c r="BX69" s="907"/>
      <c r="BY69" s="907"/>
      <c r="BZ69" s="907"/>
      <c r="CA69" s="906"/>
      <c r="CB69" s="907"/>
      <c r="CC69" s="907"/>
      <c r="CD69" s="907"/>
      <c r="CE69" s="906"/>
      <c r="CF69" s="907"/>
      <c r="CG69" s="907"/>
      <c r="CH69" s="907"/>
      <c r="CI69" s="906"/>
      <c r="CJ69" s="907"/>
      <c r="CK69" s="907"/>
      <c r="CL69" s="907"/>
      <c r="CM69" s="906"/>
      <c r="CN69" s="907"/>
      <c r="CO69" s="907"/>
      <c r="CP69" s="907"/>
      <c r="CQ69" s="906"/>
      <c r="CR69" s="907"/>
      <c r="CS69" s="907"/>
      <c r="CT69" s="907"/>
      <c r="CU69" s="906"/>
      <c r="CV69" s="907"/>
      <c r="CW69" s="907"/>
      <c r="CX69" s="907"/>
      <c r="CY69" s="906"/>
      <c r="CZ69" s="907"/>
      <c r="DA69" s="907"/>
      <c r="DB69" s="907"/>
      <c r="DC69" s="906"/>
      <c r="DD69" s="907"/>
      <c r="DE69" s="907"/>
      <c r="DF69" s="907"/>
      <c r="DG69" s="906"/>
    </row>
    <row r="70" hidden="1" spans="1:111">
      <c r="A70" s="824">
        <v>67</v>
      </c>
      <c r="B70" s="824">
        <f>STUDENT!F68</f>
        <v>0</v>
      </c>
      <c r="C70" s="824">
        <f>STUDENT!D68</f>
        <v>0</v>
      </c>
      <c r="D70" s="827">
        <f>STUDENT!E68</f>
        <v>0</v>
      </c>
      <c r="E70" s="827">
        <f>STUDENT!H68</f>
        <v>0</v>
      </c>
      <c r="F70" s="904"/>
      <c r="G70" s="904"/>
      <c r="H70" s="904"/>
      <c r="I70" s="824" t="str">
        <f t="shared" si="3"/>
        <v/>
      </c>
      <c r="J70" s="824" t="str">
        <f t="shared" si="4"/>
        <v/>
      </c>
      <c r="K70" s="824" t="str">
        <f t="shared" si="5"/>
        <v/>
      </c>
      <c r="L70" s="907"/>
      <c r="M70" s="907"/>
      <c r="N70" s="907"/>
      <c r="O70" s="906"/>
      <c r="P70" s="907"/>
      <c r="Q70" s="907"/>
      <c r="R70" s="907"/>
      <c r="S70" s="906"/>
      <c r="T70" s="907"/>
      <c r="U70" s="907"/>
      <c r="V70" s="907"/>
      <c r="W70" s="906"/>
      <c r="X70" s="907"/>
      <c r="Y70" s="907"/>
      <c r="Z70" s="907"/>
      <c r="AA70" s="906"/>
      <c r="AB70" s="907"/>
      <c r="AC70" s="907"/>
      <c r="AD70" s="907"/>
      <c r="AE70" s="906"/>
      <c r="AF70" s="907"/>
      <c r="AG70" s="907"/>
      <c r="AH70" s="907"/>
      <c r="AI70" s="906"/>
      <c r="AJ70" s="907"/>
      <c r="AK70" s="907"/>
      <c r="AL70" s="907"/>
      <c r="AM70" s="906"/>
      <c r="AN70" s="907"/>
      <c r="AO70" s="907"/>
      <c r="AP70" s="907"/>
      <c r="AQ70" s="906"/>
      <c r="AR70" s="907"/>
      <c r="AS70" s="907"/>
      <c r="AT70" s="907"/>
      <c r="AU70" s="906"/>
      <c r="AV70" s="907"/>
      <c r="AW70" s="907"/>
      <c r="AX70" s="907"/>
      <c r="AY70" s="906"/>
      <c r="AZ70" s="907"/>
      <c r="BA70" s="907"/>
      <c r="BB70" s="907"/>
      <c r="BC70" s="906"/>
      <c r="BD70" s="907"/>
      <c r="BE70" s="907"/>
      <c r="BF70" s="907"/>
      <c r="BG70" s="906"/>
      <c r="BH70" s="907"/>
      <c r="BI70" s="907"/>
      <c r="BJ70" s="907"/>
      <c r="BK70" s="906"/>
      <c r="BL70" s="907"/>
      <c r="BM70" s="907"/>
      <c r="BN70" s="907"/>
      <c r="BO70" s="906"/>
      <c r="BP70" s="907"/>
      <c r="BQ70" s="907"/>
      <c r="BR70" s="907"/>
      <c r="BS70" s="906"/>
      <c r="BT70" s="907"/>
      <c r="BU70" s="907"/>
      <c r="BV70" s="907"/>
      <c r="BW70" s="906"/>
      <c r="BX70" s="907"/>
      <c r="BY70" s="907"/>
      <c r="BZ70" s="907"/>
      <c r="CA70" s="906"/>
      <c r="CB70" s="907"/>
      <c r="CC70" s="907"/>
      <c r="CD70" s="907"/>
      <c r="CE70" s="906"/>
      <c r="CF70" s="907"/>
      <c r="CG70" s="907"/>
      <c r="CH70" s="907"/>
      <c r="CI70" s="906"/>
      <c r="CJ70" s="907"/>
      <c r="CK70" s="907"/>
      <c r="CL70" s="907"/>
      <c r="CM70" s="906"/>
      <c r="CN70" s="907"/>
      <c r="CO70" s="907"/>
      <c r="CP70" s="907"/>
      <c r="CQ70" s="906"/>
      <c r="CR70" s="907"/>
      <c r="CS70" s="907"/>
      <c r="CT70" s="907"/>
      <c r="CU70" s="906"/>
      <c r="CV70" s="907"/>
      <c r="CW70" s="907"/>
      <c r="CX70" s="907"/>
      <c r="CY70" s="906"/>
      <c r="CZ70" s="907"/>
      <c r="DA70" s="907"/>
      <c r="DB70" s="907"/>
      <c r="DC70" s="906"/>
      <c r="DD70" s="907"/>
      <c r="DE70" s="907"/>
      <c r="DF70" s="907"/>
      <c r="DG70" s="906"/>
    </row>
    <row r="71" hidden="1" spans="1:111">
      <c r="A71" s="824">
        <v>68</v>
      </c>
      <c r="B71" s="824">
        <f>STUDENT!F69</f>
        <v>0</v>
      </c>
      <c r="C71" s="824">
        <f>STUDENT!D69</f>
        <v>0</v>
      </c>
      <c r="D71" s="827">
        <f>STUDENT!E69</f>
        <v>0</v>
      </c>
      <c r="E71" s="827">
        <f>STUDENT!H69</f>
        <v>0</v>
      </c>
      <c r="F71" s="904"/>
      <c r="G71" s="904"/>
      <c r="H71" s="904"/>
      <c r="I71" s="824" t="str">
        <f t="shared" si="3"/>
        <v/>
      </c>
      <c r="J71" s="824" t="str">
        <f t="shared" si="4"/>
        <v/>
      </c>
      <c r="K71" s="824" t="str">
        <f t="shared" si="5"/>
        <v/>
      </c>
      <c r="L71" s="907"/>
      <c r="M71" s="907"/>
      <c r="N71" s="907"/>
      <c r="O71" s="906"/>
      <c r="P71" s="907"/>
      <c r="Q71" s="907"/>
      <c r="R71" s="907"/>
      <c r="S71" s="906"/>
      <c r="T71" s="907"/>
      <c r="U71" s="907"/>
      <c r="V71" s="907"/>
      <c r="W71" s="906"/>
      <c r="X71" s="907"/>
      <c r="Y71" s="907"/>
      <c r="Z71" s="907"/>
      <c r="AA71" s="906"/>
      <c r="AB71" s="907"/>
      <c r="AC71" s="907"/>
      <c r="AD71" s="907"/>
      <c r="AE71" s="906"/>
      <c r="AF71" s="907"/>
      <c r="AG71" s="907"/>
      <c r="AH71" s="907"/>
      <c r="AI71" s="906"/>
      <c r="AJ71" s="907"/>
      <c r="AK71" s="907"/>
      <c r="AL71" s="907"/>
      <c r="AM71" s="906"/>
      <c r="AN71" s="907"/>
      <c r="AO71" s="907"/>
      <c r="AP71" s="907"/>
      <c r="AQ71" s="906"/>
      <c r="AR71" s="907"/>
      <c r="AS71" s="907"/>
      <c r="AT71" s="907"/>
      <c r="AU71" s="906"/>
      <c r="AV71" s="907"/>
      <c r="AW71" s="907"/>
      <c r="AX71" s="907"/>
      <c r="AY71" s="906"/>
      <c r="AZ71" s="907"/>
      <c r="BA71" s="907"/>
      <c r="BB71" s="907"/>
      <c r="BC71" s="906"/>
      <c r="BD71" s="907"/>
      <c r="BE71" s="907"/>
      <c r="BF71" s="907"/>
      <c r="BG71" s="906"/>
      <c r="BH71" s="907"/>
      <c r="BI71" s="907"/>
      <c r="BJ71" s="907"/>
      <c r="BK71" s="906"/>
      <c r="BL71" s="907"/>
      <c r="BM71" s="907"/>
      <c r="BN71" s="907"/>
      <c r="BO71" s="906"/>
      <c r="BP71" s="907"/>
      <c r="BQ71" s="907"/>
      <c r="BR71" s="907"/>
      <c r="BS71" s="906"/>
      <c r="BT71" s="907"/>
      <c r="BU71" s="907"/>
      <c r="BV71" s="907"/>
      <c r="BW71" s="906"/>
      <c r="BX71" s="907"/>
      <c r="BY71" s="907"/>
      <c r="BZ71" s="907"/>
      <c r="CA71" s="906"/>
      <c r="CB71" s="907"/>
      <c r="CC71" s="907"/>
      <c r="CD71" s="907"/>
      <c r="CE71" s="906"/>
      <c r="CF71" s="907"/>
      <c r="CG71" s="907"/>
      <c r="CH71" s="907"/>
      <c r="CI71" s="906"/>
      <c r="CJ71" s="907"/>
      <c r="CK71" s="907"/>
      <c r="CL71" s="907"/>
      <c r="CM71" s="906"/>
      <c r="CN71" s="907"/>
      <c r="CO71" s="907"/>
      <c r="CP71" s="907"/>
      <c r="CQ71" s="906"/>
      <c r="CR71" s="907"/>
      <c r="CS71" s="907"/>
      <c r="CT71" s="907"/>
      <c r="CU71" s="906"/>
      <c r="CV71" s="907"/>
      <c r="CW71" s="907"/>
      <c r="CX71" s="907"/>
      <c r="CY71" s="906"/>
      <c r="CZ71" s="907"/>
      <c r="DA71" s="907"/>
      <c r="DB71" s="907"/>
      <c r="DC71" s="906"/>
      <c r="DD71" s="907"/>
      <c r="DE71" s="907"/>
      <c r="DF71" s="907"/>
      <c r="DG71" s="906"/>
    </row>
    <row r="72" hidden="1" spans="1:111">
      <c r="A72" s="824">
        <v>69</v>
      </c>
      <c r="B72" s="824">
        <f>STUDENT!F70</f>
        <v>0</v>
      </c>
      <c r="C72" s="824">
        <f>STUDENT!D70</f>
        <v>0</v>
      </c>
      <c r="D72" s="827">
        <f>STUDENT!E70</f>
        <v>0</v>
      </c>
      <c r="E72" s="827">
        <f>STUDENT!H70</f>
        <v>0</v>
      </c>
      <c r="F72" s="904"/>
      <c r="G72" s="904"/>
      <c r="H72" s="904"/>
      <c r="I72" s="824" t="str">
        <f t="shared" si="3"/>
        <v/>
      </c>
      <c r="J72" s="824" t="str">
        <f t="shared" si="4"/>
        <v/>
      </c>
      <c r="K72" s="824" t="str">
        <f t="shared" si="5"/>
        <v/>
      </c>
      <c r="L72" s="907"/>
      <c r="M72" s="907"/>
      <c r="N72" s="907"/>
      <c r="O72" s="906"/>
      <c r="P72" s="907"/>
      <c r="Q72" s="907"/>
      <c r="R72" s="907"/>
      <c r="S72" s="906"/>
      <c r="T72" s="907"/>
      <c r="U72" s="907"/>
      <c r="V72" s="907"/>
      <c r="W72" s="906"/>
      <c r="X72" s="907"/>
      <c r="Y72" s="907"/>
      <c r="Z72" s="907"/>
      <c r="AA72" s="906"/>
      <c r="AB72" s="907"/>
      <c r="AC72" s="907"/>
      <c r="AD72" s="907"/>
      <c r="AE72" s="906"/>
      <c r="AF72" s="907"/>
      <c r="AG72" s="907"/>
      <c r="AH72" s="907"/>
      <c r="AI72" s="906"/>
      <c r="AJ72" s="907"/>
      <c r="AK72" s="907"/>
      <c r="AL72" s="907"/>
      <c r="AM72" s="906"/>
      <c r="AN72" s="907"/>
      <c r="AO72" s="907"/>
      <c r="AP72" s="907"/>
      <c r="AQ72" s="906"/>
      <c r="AR72" s="907"/>
      <c r="AS72" s="907"/>
      <c r="AT72" s="907"/>
      <c r="AU72" s="906"/>
      <c r="AV72" s="907"/>
      <c r="AW72" s="907"/>
      <c r="AX72" s="907"/>
      <c r="AY72" s="906"/>
      <c r="AZ72" s="907"/>
      <c r="BA72" s="907"/>
      <c r="BB72" s="907"/>
      <c r="BC72" s="906"/>
      <c r="BD72" s="907"/>
      <c r="BE72" s="907"/>
      <c r="BF72" s="907"/>
      <c r="BG72" s="906"/>
      <c r="BH72" s="907"/>
      <c r="BI72" s="907"/>
      <c r="BJ72" s="907"/>
      <c r="BK72" s="906"/>
      <c r="BL72" s="907"/>
      <c r="BM72" s="907"/>
      <c r="BN72" s="907"/>
      <c r="BO72" s="906"/>
      <c r="BP72" s="907"/>
      <c r="BQ72" s="907"/>
      <c r="BR72" s="907"/>
      <c r="BS72" s="906"/>
      <c r="BT72" s="907"/>
      <c r="BU72" s="907"/>
      <c r="BV72" s="907"/>
      <c r="BW72" s="906"/>
      <c r="BX72" s="907"/>
      <c r="BY72" s="907"/>
      <c r="BZ72" s="907"/>
      <c r="CA72" s="906"/>
      <c r="CB72" s="907"/>
      <c r="CC72" s="907"/>
      <c r="CD72" s="907"/>
      <c r="CE72" s="906"/>
      <c r="CF72" s="907"/>
      <c r="CG72" s="907"/>
      <c r="CH72" s="907"/>
      <c r="CI72" s="906"/>
      <c r="CJ72" s="907"/>
      <c r="CK72" s="907"/>
      <c r="CL72" s="907"/>
      <c r="CM72" s="906"/>
      <c r="CN72" s="907"/>
      <c r="CO72" s="907"/>
      <c r="CP72" s="907"/>
      <c r="CQ72" s="906"/>
      <c r="CR72" s="907"/>
      <c r="CS72" s="907"/>
      <c r="CT72" s="907"/>
      <c r="CU72" s="906"/>
      <c r="CV72" s="907"/>
      <c r="CW72" s="907"/>
      <c r="CX72" s="907"/>
      <c r="CY72" s="906"/>
      <c r="CZ72" s="907"/>
      <c r="DA72" s="907"/>
      <c r="DB72" s="907"/>
      <c r="DC72" s="906"/>
      <c r="DD72" s="907"/>
      <c r="DE72" s="907"/>
      <c r="DF72" s="907"/>
      <c r="DG72" s="906"/>
    </row>
    <row r="73" hidden="1" spans="1:111">
      <c r="A73" s="824">
        <v>70</v>
      </c>
      <c r="B73" s="824">
        <f>STUDENT!F71</f>
        <v>0</v>
      </c>
      <c r="C73" s="824">
        <f>STUDENT!D71</f>
        <v>0</v>
      </c>
      <c r="D73" s="827">
        <f>STUDENT!E71</f>
        <v>0</v>
      </c>
      <c r="E73" s="827">
        <f>STUDENT!H71</f>
        <v>0</v>
      </c>
      <c r="F73" s="904"/>
      <c r="G73" s="904"/>
      <c r="H73" s="904"/>
      <c r="I73" s="824" t="str">
        <f t="shared" si="3"/>
        <v/>
      </c>
      <c r="J73" s="824" t="str">
        <f t="shared" si="4"/>
        <v/>
      </c>
      <c r="K73" s="824" t="str">
        <f t="shared" si="5"/>
        <v/>
      </c>
      <c r="L73" s="907"/>
      <c r="M73" s="907"/>
      <c r="N73" s="907"/>
      <c r="O73" s="906"/>
      <c r="P73" s="907"/>
      <c r="Q73" s="907"/>
      <c r="R73" s="907"/>
      <c r="S73" s="906"/>
      <c r="T73" s="907"/>
      <c r="U73" s="907"/>
      <c r="V73" s="907"/>
      <c r="W73" s="906"/>
      <c r="X73" s="907"/>
      <c r="Y73" s="907"/>
      <c r="Z73" s="907"/>
      <c r="AA73" s="906"/>
      <c r="AB73" s="907"/>
      <c r="AC73" s="907"/>
      <c r="AD73" s="907"/>
      <c r="AE73" s="906"/>
      <c r="AF73" s="907"/>
      <c r="AG73" s="907"/>
      <c r="AH73" s="907"/>
      <c r="AI73" s="906"/>
      <c r="AJ73" s="907"/>
      <c r="AK73" s="907"/>
      <c r="AL73" s="907"/>
      <c r="AM73" s="906"/>
      <c r="AN73" s="907"/>
      <c r="AO73" s="907"/>
      <c r="AP73" s="907"/>
      <c r="AQ73" s="906"/>
      <c r="AR73" s="907"/>
      <c r="AS73" s="907"/>
      <c r="AT73" s="907"/>
      <c r="AU73" s="906"/>
      <c r="AV73" s="907"/>
      <c r="AW73" s="907"/>
      <c r="AX73" s="907"/>
      <c r="AY73" s="906"/>
      <c r="AZ73" s="907"/>
      <c r="BA73" s="907"/>
      <c r="BB73" s="907"/>
      <c r="BC73" s="906"/>
      <c r="BD73" s="907"/>
      <c r="BE73" s="907"/>
      <c r="BF73" s="907"/>
      <c r="BG73" s="906"/>
      <c r="BH73" s="907"/>
      <c r="BI73" s="907"/>
      <c r="BJ73" s="907"/>
      <c r="BK73" s="906"/>
      <c r="BL73" s="907"/>
      <c r="BM73" s="907"/>
      <c r="BN73" s="907"/>
      <c r="BO73" s="906"/>
      <c r="BP73" s="907"/>
      <c r="BQ73" s="907"/>
      <c r="BR73" s="907"/>
      <c r="BS73" s="906"/>
      <c r="BT73" s="907"/>
      <c r="BU73" s="907"/>
      <c r="BV73" s="907"/>
      <c r="BW73" s="906"/>
      <c r="BX73" s="907"/>
      <c r="BY73" s="907"/>
      <c r="BZ73" s="907"/>
      <c r="CA73" s="906"/>
      <c r="CB73" s="907"/>
      <c r="CC73" s="907"/>
      <c r="CD73" s="907"/>
      <c r="CE73" s="906"/>
      <c r="CF73" s="907"/>
      <c r="CG73" s="907"/>
      <c r="CH73" s="907"/>
      <c r="CI73" s="906"/>
      <c r="CJ73" s="907"/>
      <c r="CK73" s="907"/>
      <c r="CL73" s="907"/>
      <c r="CM73" s="906"/>
      <c r="CN73" s="907"/>
      <c r="CO73" s="907"/>
      <c r="CP73" s="907"/>
      <c r="CQ73" s="906"/>
      <c r="CR73" s="907"/>
      <c r="CS73" s="907"/>
      <c r="CT73" s="907"/>
      <c r="CU73" s="906"/>
      <c r="CV73" s="907"/>
      <c r="CW73" s="907"/>
      <c r="CX73" s="907"/>
      <c r="CY73" s="906"/>
      <c r="CZ73" s="907"/>
      <c r="DA73" s="907"/>
      <c r="DB73" s="907"/>
      <c r="DC73" s="906"/>
      <c r="DD73" s="907"/>
      <c r="DE73" s="907"/>
      <c r="DF73" s="907"/>
      <c r="DG73" s="906"/>
    </row>
    <row r="74" hidden="1" spans="1:111">
      <c r="A74" s="824">
        <v>71</v>
      </c>
      <c r="B74" s="824">
        <f>STUDENT!F72</f>
        <v>0</v>
      </c>
      <c r="C74" s="824">
        <f>STUDENT!D72</f>
        <v>0</v>
      </c>
      <c r="D74" s="827">
        <f>STUDENT!E72</f>
        <v>0</v>
      </c>
      <c r="E74" s="827">
        <f>STUDENT!H72</f>
        <v>0</v>
      </c>
      <c r="F74" s="904"/>
      <c r="G74" s="904"/>
      <c r="H74" s="904"/>
      <c r="I74" s="824" t="str">
        <f t="shared" si="3"/>
        <v/>
      </c>
      <c r="J74" s="824" t="str">
        <f t="shared" si="4"/>
        <v/>
      </c>
      <c r="K74" s="824" t="str">
        <f t="shared" si="5"/>
        <v/>
      </c>
      <c r="L74" s="907"/>
      <c r="M74" s="907"/>
      <c r="N74" s="907"/>
      <c r="O74" s="906"/>
      <c r="P74" s="907"/>
      <c r="Q74" s="907"/>
      <c r="R74" s="907"/>
      <c r="S74" s="906"/>
      <c r="T74" s="907"/>
      <c r="U74" s="907"/>
      <c r="V74" s="907"/>
      <c r="W74" s="906"/>
      <c r="X74" s="907"/>
      <c r="Y74" s="907"/>
      <c r="Z74" s="907"/>
      <c r="AA74" s="906"/>
      <c r="AB74" s="907"/>
      <c r="AC74" s="907"/>
      <c r="AD74" s="907"/>
      <c r="AE74" s="906"/>
      <c r="AF74" s="907"/>
      <c r="AG74" s="907"/>
      <c r="AH74" s="907"/>
      <c r="AI74" s="906"/>
      <c r="AJ74" s="907"/>
      <c r="AK74" s="907"/>
      <c r="AL74" s="907"/>
      <c r="AM74" s="906"/>
      <c r="AN74" s="907"/>
      <c r="AO74" s="907"/>
      <c r="AP74" s="907"/>
      <c r="AQ74" s="906"/>
      <c r="AR74" s="907"/>
      <c r="AS74" s="907"/>
      <c r="AT74" s="907"/>
      <c r="AU74" s="906"/>
      <c r="AV74" s="907"/>
      <c r="AW74" s="907"/>
      <c r="AX74" s="907"/>
      <c r="AY74" s="906"/>
      <c r="AZ74" s="907"/>
      <c r="BA74" s="907"/>
      <c r="BB74" s="907"/>
      <c r="BC74" s="906"/>
      <c r="BD74" s="907"/>
      <c r="BE74" s="907"/>
      <c r="BF74" s="907"/>
      <c r="BG74" s="906"/>
      <c r="BH74" s="907"/>
      <c r="BI74" s="907"/>
      <c r="BJ74" s="907"/>
      <c r="BK74" s="906"/>
      <c r="BL74" s="907"/>
      <c r="BM74" s="907"/>
      <c r="BN74" s="907"/>
      <c r="BO74" s="906"/>
      <c r="BP74" s="907"/>
      <c r="BQ74" s="907"/>
      <c r="BR74" s="907"/>
      <c r="BS74" s="906"/>
      <c r="BT74" s="907"/>
      <c r="BU74" s="907"/>
      <c r="BV74" s="907"/>
      <c r="BW74" s="906"/>
      <c r="BX74" s="907"/>
      <c r="BY74" s="907"/>
      <c r="BZ74" s="907"/>
      <c r="CA74" s="906"/>
      <c r="CB74" s="907"/>
      <c r="CC74" s="907"/>
      <c r="CD74" s="907"/>
      <c r="CE74" s="906"/>
      <c r="CF74" s="907"/>
      <c r="CG74" s="907"/>
      <c r="CH74" s="907"/>
      <c r="CI74" s="906"/>
      <c r="CJ74" s="907"/>
      <c r="CK74" s="907"/>
      <c r="CL74" s="907"/>
      <c r="CM74" s="906"/>
      <c r="CN74" s="907"/>
      <c r="CO74" s="907"/>
      <c r="CP74" s="907"/>
      <c r="CQ74" s="906"/>
      <c r="CR74" s="907"/>
      <c r="CS74" s="907"/>
      <c r="CT74" s="907"/>
      <c r="CU74" s="906"/>
      <c r="CV74" s="907"/>
      <c r="CW74" s="907"/>
      <c r="CX74" s="907"/>
      <c r="CY74" s="906"/>
      <c r="CZ74" s="907"/>
      <c r="DA74" s="907"/>
      <c r="DB74" s="907"/>
      <c r="DC74" s="906"/>
      <c r="DD74" s="907"/>
      <c r="DE74" s="907"/>
      <c r="DF74" s="907"/>
      <c r="DG74" s="906"/>
    </row>
    <row r="75" hidden="1" spans="1:111">
      <c r="A75" s="824">
        <v>72</v>
      </c>
      <c r="B75" s="824">
        <f>STUDENT!F73</f>
        <v>0</v>
      </c>
      <c r="C75" s="824">
        <f>STUDENT!D73</f>
        <v>0</v>
      </c>
      <c r="D75" s="827">
        <f>STUDENT!E73</f>
        <v>0</v>
      </c>
      <c r="E75" s="827">
        <f>STUDENT!H73</f>
        <v>0</v>
      </c>
      <c r="F75" s="904"/>
      <c r="G75" s="904"/>
      <c r="H75" s="904"/>
      <c r="I75" s="824" t="str">
        <f t="shared" si="3"/>
        <v/>
      </c>
      <c r="J75" s="824" t="str">
        <f t="shared" si="4"/>
        <v/>
      </c>
      <c r="K75" s="824" t="str">
        <f t="shared" si="5"/>
        <v/>
      </c>
      <c r="L75" s="907"/>
      <c r="M75" s="907"/>
      <c r="N75" s="907"/>
      <c r="O75" s="906"/>
      <c r="P75" s="907"/>
      <c r="Q75" s="907"/>
      <c r="R75" s="907"/>
      <c r="S75" s="906"/>
      <c r="T75" s="907"/>
      <c r="U75" s="907"/>
      <c r="V75" s="907"/>
      <c r="W75" s="906"/>
      <c r="X75" s="907"/>
      <c r="Y75" s="907"/>
      <c r="Z75" s="907"/>
      <c r="AA75" s="906"/>
      <c r="AB75" s="907"/>
      <c r="AC75" s="907"/>
      <c r="AD75" s="907"/>
      <c r="AE75" s="906"/>
      <c r="AF75" s="907"/>
      <c r="AG75" s="907"/>
      <c r="AH75" s="907"/>
      <c r="AI75" s="906"/>
      <c r="AJ75" s="907"/>
      <c r="AK75" s="907"/>
      <c r="AL75" s="907"/>
      <c r="AM75" s="906"/>
      <c r="AN75" s="907"/>
      <c r="AO75" s="907"/>
      <c r="AP75" s="907"/>
      <c r="AQ75" s="906"/>
      <c r="AR75" s="907"/>
      <c r="AS75" s="907"/>
      <c r="AT75" s="907"/>
      <c r="AU75" s="906"/>
      <c r="AV75" s="907"/>
      <c r="AW75" s="907"/>
      <c r="AX75" s="907"/>
      <c r="AY75" s="906"/>
      <c r="AZ75" s="907"/>
      <c r="BA75" s="907"/>
      <c r="BB75" s="907"/>
      <c r="BC75" s="906"/>
      <c r="BD75" s="907"/>
      <c r="BE75" s="907"/>
      <c r="BF75" s="907"/>
      <c r="BG75" s="906"/>
      <c r="BH75" s="907"/>
      <c r="BI75" s="907"/>
      <c r="BJ75" s="907"/>
      <c r="BK75" s="906"/>
      <c r="BL75" s="907"/>
      <c r="BM75" s="907"/>
      <c r="BN75" s="907"/>
      <c r="BO75" s="906"/>
      <c r="BP75" s="907"/>
      <c r="BQ75" s="907"/>
      <c r="BR75" s="907"/>
      <c r="BS75" s="906"/>
      <c r="BT75" s="907"/>
      <c r="BU75" s="907"/>
      <c r="BV75" s="907"/>
      <c r="BW75" s="906"/>
      <c r="BX75" s="907"/>
      <c r="BY75" s="907"/>
      <c r="BZ75" s="907"/>
      <c r="CA75" s="906"/>
      <c r="CB75" s="907"/>
      <c r="CC75" s="907"/>
      <c r="CD75" s="907"/>
      <c r="CE75" s="906"/>
      <c r="CF75" s="907"/>
      <c r="CG75" s="907"/>
      <c r="CH75" s="907"/>
      <c r="CI75" s="906"/>
      <c r="CJ75" s="907"/>
      <c r="CK75" s="907"/>
      <c r="CL75" s="907"/>
      <c r="CM75" s="906"/>
      <c r="CN75" s="907"/>
      <c r="CO75" s="907"/>
      <c r="CP75" s="907"/>
      <c r="CQ75" s="906"/>
      <c r="CR75" s="907"/>
      <c r="CS75" s="907"/>
      <c r="CT75" s="907"/>
      <c r="CU75" s="906"/>
      <c r="CV75" s="907"/>
      <c r="CW75" s="907"/>
      <c r="CX75" s="907"/>
      <c r="CY75" s="906"/>
      <c r="CZ75" s="907"/>
      <c r="DA75" s="907"/>
      <c r="DB75" s="907"/>
      <c r="DC75" s="906"/>
      <c r="DD75" s="907"/>
      <c r="DE75" s="907"/>
      <c r="DF75" s="907"/>
      <c r="DG75" s="906"/>
    </row>
    <row r="76" hidden="1" spans="1:111">
      <c r="A76" s="824">
        <v>73</v>
      </c>
      <c r="B76" s="824">
        <f>STUDENT!F74</f>
        <v>0</v>
      </c>
      <c r="C76" s="824">
        <f>STUDENT!D74</f>
        <v>0</v>
      </c>
      <c r="D76" s="827">
        <f>STUDENT!E74</f>
        <v>0</v>
      </c>
      <c r="E76" s="827">
        <f>STUDENT!H74</f>
        <v>0</v>
      </c>
      <c r="F76" s="904"/>
      <c r="G76" s="904"/>
      <c r="H76" s="904"/>
      <c r="I76" s="824" t="str">
        <f t="shared" si="3"/>
        <v/>
      </c>
      <c r="J76" s="824" t="str">
        <f t="shared" si="4"/>
        <v/>
      </c>
      <c r="K76" s="824" t="str">
        <f t="shared" si="5"/>
        <v/>
      </c>
      <c r="L76" s="907"/>
      <c r="M76" s="907"/>
      <c r="N76" s="907"/>
      <c r="O76" s="906"/>
      <c r="P76" s="907"/>
      <c r="Q76" s="907"/>
      <c r="R76" s="907"/>
      <c r="S76" s="906"/>
      <c r="T76" s="907"/>
      <c r="U76" s="907"/>
      <c r="V76" s="907"/>
      <c r="W76" s="906"/>
      <c r="X76" s="907"/>
      <c r="Y76" s="907"/>
      <c r="Z76" s="907"/>
      <c r="AA76" s="906"/>
      <c r="AB76" s="907"/>
      <c r="AC76" s="907"/>
      <c r="AD76" s="907"/>
      <c r="AE76" s="906"/>
      <c r="AF76" s="907"/>
      <c r="AG76" s="907"/>
      <c r="AH76" s="907"/>
      <c r="AI76" s="906"/>
      <c r="AJ76" s="907"/>
      <c r="AK76" s="907"/>
      <c r="AL76" s="907"/>
      <c r="AM76" s="906"/>
      <c r="AN76" s="907"/>
      <c r="AO76" s="907"/>
      <c r="AP76" s="907"/>
      <c r="AQ76" s="906"/>
      <c r="AR76" s="907"/>
      <c r="AS76" s="907"/>
      <c r="AT76" s="907"/>
      <c r="AU76" s="906"/>
      <c r="AV76" s="907"/>
      <c r="AW76" s="907"/>
      <c r="AX76" s="907"/>
      <c r="AY76" s="906"/>
      <c r="AZ76" s="907"/>
      <c r="BA76" s="907"/>
      <c r="BB76" s="907"/>
      <c r="BC76" s="906"/>
      <c r="BD76" s="907"/>
      <c r="BE76" s="907"/>
      <c r="BF76" s="907"/>
      <c r="BG76" s="906"/>
      <c r="BH76" s="907"/>
      <c r="BI76" s="907"/>
      <c r="BJ76" s="907"/>
      <c r="BK76" s="906"/>
      <c r="BL76" s="907"/>
      <c r="BM76" s="907"/>
      <c r="BN76" s="907"/>
      <c r="BO76" s="906"/>
      <c r="BP76" s="907"/>
      <c r="BQ76" s="907"/>
      <c r="BR76" s="907"/>
      <c r="BS76" s="906"/>
      <c r="BT76" s="907"/>
      <c r="BU76" s="907"/>
      <c r="BV76" s="907"/>
      <c r="BW76" s="906"/>
      <c r="BX76" s="907"/>
      <c r="BY76" s="907"/>
      <c r="BZ76" s="907"/>
      <c r="CA76" s="906"/>
      <c r="CB76" s="907"/>
      <c r="CC76" s="907"/>
      <c r="CD76" s="907"/>
      <c r="CE76" s="906"/>
      <c r="CF76" s="907"/>
      <c r="CG76" s="907"/>
      <c r="CH76" s="907"/>
      <c r="CI76" s="906"/>
      <c r="CJ76" s="907"/>
      <c r="CK76" s="907"/>
      <c r="CL76" s="907"/>
      <c r="CM76" s="906"/>
      <c r="CN76" s="907"/>
      <c r="CO76" s="907"/>
      <c r="CP76" s="907"/>
      <c r="CQ76" s="906"/>
      <c r="CR76" s="907"/>
      <c r="CS76" s="907"/>
      <c r="CT76" s="907"/>
      <c r="CU76" s="906"/>
      <c r="CV76" s="907"/>
      <c r="CW76" s="907"/>
      <c r="CX76" s="907"/>
      <c r="CY76" s="906"/>
      <c r="CZ76" s="907"/>
      <c r="DA76" s="907"/>
      <c r="DB76" s="907"/>
      <c r="DC76" s="906"/>
      <c r="DD76" s="907"/>
      <c r="DE76" s="907"/>
      <c r="DF76" s="907"/>
      <c r="DG76" s="906"/>
    </row>
    <row r="77" hidden="1" spans="1:111">
      <c r="A77" s="824">
        <v>74</v>
      </c>
      <c r="B77" s="824">
        <f>STUDENT!F75</f>
        <v>0</v>
      </c>
      <c r="C77" s="824">
        <f>STUDENT!D75</f>
        <v>0</v>
      </c>
      <c r="D77" s="827">
        <f>STUDENT!E75</f>
        <v>0</v>
      </c>
      <c r="E77" s="827">
        <f>STUDENT!H75</f>
        <v>0</v>
      </c>
      <c r="F77" s="904"/>
      <c r="G77" s="904"/>
      <c r="H77" s="904"/>
      <c r="I77" s="824" t="str">
        <f t="shared" si="3"/>
        <v/>
      </c>
      <c r="J77" s="824" t="str">
        <f t="shared" si="4"/>
        <v/>
      </c>
      <c r="K77" s="824" t="str">
        <f t="shared" si="5"/>
        <v/>
      </c>
      <c r="L77" s="907"/>
      <c r="M77" s="907"/>
      <c r="N77" s="907"/>
      <c r="O77" s="906"/>
      <c r="P77" s="907"/>
      <c r="Q77" s="907"/>
      <c r="R77" s="907"/>
      <c r="S77" s="906"/>
      <c r="T77" s="907"/>
      <c r="U77" s="907"/>
      <c r="V77" s="907"/>
      <c r="W77" s="906"/>
      <c r="X77" s="907"/>
      <c r="Y77" s="907"/>
      <c r="Z77" s="907"/>
      <c r="AA77" s="906"/>
      <c r="AB77" s="907"/>
      <c r="AC77" s="907"/>
      <c r="AD77" s="907"/>
      <c r="AE77" s="906"/>
      <c r="AF77" s="907"/>
      <c r="AG77" s="907"/>
      <c r="AH77" s="907"/>
      <c r="AI77" s="906"/>
      <c r="AJ77" s="907"/>
      <c r="AK77" s="907"/>
      <c r="AL77" s="907"/>
      <c r="AM77" s="906"/>
      <c r="AN77" s="907"/>
      <c r="AO77" s="907"/>
      <c r="AP77" s="907"/>
      <c r="AQ77" s="906"/>
      <c r="AR77" s="907"/>
      <c r="AS77" s="907"/>
      <c r="AT77" s="907"/>
      <c r="AU77" s="906"/>
      <c r="AV77" s="907"/>
      <c r="AW77" s="907"/>
      <c r="AX77" s="907"/>
      <c r="AY77" s="906"/>
      <c r="AZ77" s="907"/>
      <c r="BA77" s="907"/>
      <c r="BB77" s="907"/>
      <c r="BC77" s="906"/>
      <c r="BD77" s="907"/>
      <c r="BE77" s="907"/>
      <c r="BF77" s="907"/>
      <c r="BG77" s="906"/>
      <c r="BH77" s="907"/>
      <c r="BI77" s="907"/>
      <c r="BJ77" s="907"/>
      <c r="BK77" s="906"/>
      <c r="BL77" s="907"/>
      <c r="BM77" s="907"/>
      <c r="BN77" s="907"/>
      <c r="BO77" s="906"/>
      <c r="BP77" s="907"/>
      <c r="BQ77" s="907"/>
      <c r="BR77" s="907"/>
      <c r="BS77" s="906"/>
      <c r="BT77" s="907"/>
      <c r="BU77" s="907"/>
      <c r="BV77" s="907"/>
      <c r="BW77" s="906"/>
      <c r="BX77" s="907"/>
      <c r="BY77" s="907"/>
      <c r="BZ77" s="907"/>
      <c r="CA77" s="906"/>
      <c r="CB77" s="907"/>
      <c r="CC77" s="907"/>
      <c r="CD77" s="907"/>
      <c r="CE77" s="906"/>
      <c r="CF77" s="907"/>
      <c r="CG77" s="907"/>
      <c r="CH77" s="907"/>
      <c r="CI77" s="906"/>
      <c r="CJ77" s="907"/>
      <c r="CK77" s="907"/>
      <c r="CL77" s="907"/>
      <c r="CM77" s="906"/>
      <c r="CN77" s="907"/>
      <c r="CO77" s="907"/>
      <c r="CP77" s="907"/>
      <c r="CQ77" s="906"/>
      <c r="CR77" s="907"/>
      <c r="CS77" s="907"/>
      <c r="CT77" s="907"/>
      <c r="CU77" s="906"/>
      <c r="CV77" s="907"/>
      <c r="CW77" s="907"/>
      <c r="CX77" s="907"/>
      <c r="CY77" s="906"/>
      <c r="CZ77" s="907"/>
      <c r="DA77" s="907"/>
      <c r="DB77" s="907"/>
      <c r="DC77" s="906"/>
      <c r="DD77" s="907"/>
      <c r="DE77" s="907"/>
      <c r="DF77" s="907"/>
      <c r="DG77" s="906"/>
    </row>
    <row r="78" hidden="1" spans="1:111">
      <c r="A78" s="824">
        <v>75</v>
      </c>
      <c r="B78" s="824">
        <f>STUDENT!F76</f>
        <v>0</v>
      </c>
      <c r="C78" s="824">
        <f>STUDENT!D76</f>
        <v>0</v>
      </c>
      <c r="D78" s="827">
        <f>STUDENT!E76</f>
        <v>0</v>
      </c>
      <c r="E78" s="827">
        <f>STUDENT!H76</f>
        <v>0</v>
      </c>
      <c r="F78" s="904"/>
      <c r="G78" s="904"/>
      <c r="H78" s="904"/>
      <c r="I78" s="824" t="str">
        <f t="shared" si="3"/>
        <v/>
      </c>
      <c r="J78" s="824" t="str">
        <f t="shared" si="4"/>
        <v/>
      </c>
      <c r="K78" s="824" t="str">
        <f t="shared" si="5"/>
        <v/>
      </c>
      <c r="L78" s="907"/>
      <c r="M78" s="907"/>
      <c r="N78" s="907"/>
      <c r="O78" s="906"/>
      <c r="P78" s="907"/>
      <c r="Q78" s="907"/>
      <c r="R78" s="907"/>
      <c r="S78" s="906"/>
      <c r="T78" s="907"/>
      <c r="U78" s="907"/>
      <c r="V78" s="907"/>
      <c r="W78" s="906"/>
      <c r="X78" s="907"/>
      <c r="Y78" s="907"/>
      <c r="Z78" s="907"/>
      <c r="AA78" s="906"/>
      <c r="AB78" s="907"/>
      <c r="AC78" s="907"/>
      <c r="AD78" s="907"/>
      <c r="AE78" s="906"/>
      <c r="AF78" s="907"/>
      <c r="AG78" s="907"/>
      <c r="AH78" s="907"/>
      <c r="AI78" s="906"/>
      <c r="AJ78" s="907"/>
      <c r="AK78" s="907"/>
      <c r="AL78" s="907"/>
      <c r="AM78" s="906"/>
      <c r="AN78" s="907"/>
      <c r="AO78" s="907"/>
      <c r="AP78" s="907"/>
      <c r="AQ78" s="906"/>
      <c r="AR78" s="907"/>
      <c r="AS78" s="907"/>
      <c r="AT78" s="907"/>
      <c r="AU78" s="906"/>
      <c r="AV78" s="907"/>
      <c r="AW78" s="907"/>
      <c r="AX78" s="907"/>
      <c r="AY78" s="906"/>
      <c r="AZ78" s="907"/>
      <c r="BA78" s="907"/>
      <c r="BB78" s="907"/>
      <c r="BC78" s="906"/>
      <c r="BD78" s="907"/>
      <c r="BE78" s="907"/>
      <c r="BF78" s="907"/>
      <c r="BG78" s="906"/>
      <c r="BH78" s="907"/>
      <c r="BI78" s="907"/>
      <c r="BJ78" s="907"/>
      <c r="BK78" s="906"/>
      <c r="BL78" s="907"/>
      <c r="BM78" s="907"/>
      <c r="BN78" s="907"/>
      <c r="BO78" s="906"/>
      <c r="BP78" s="907"/>
      <c r="BQ78" s="907"/>
      <c r="BR78" s="907"/>
      <c r="BS78" s="906"/>
      <c r="BT78" s="907"/>
      <c r="BU78" s="907"/>
      <c r="BV78" s="907"/>
      <c r="BW78" s="906"/>
      <c r="BX78" s="907"/>
      <c r="BY78" s="907"/>
      <c r="BZ78" s="907"/>
      <c r="CA78" s="906"/>
      <c r="CB78" s="907"/>
      <c r="CC78" s="907"/>
      <c r="CD78" s="907"/>
      <c r="CE78" s="906"/>
      <c r="CF78" s="907"/>
      <c r="CG78" s="907"/>
      <c r="CH78" s="907"/>
      <c r="CI78" s="906"/>
      <c r="CJ78" s="907"/>
      <c r="CK78" s="907"/>
      <c r="CL78" s="907"/>
      <c r="CM78" s="906"/>
      <c r="CN78" s="907"/>
      <c r="CO78" s="907"/>
      <c r="CP78" s="907"/>
      <c r="CQ78" s="906"/>
      <c r="CR78" s="907"/>
      <c r="CS78" s="907"/>
      <c r="CT78" s="907"/>
      <c r="CU78" s="906"/>
      <c r="CV78" s="907"/>
      <c r="CW78" s="907"/>
      <c r="CX78" s="907"/>
      <c r="CY78" s="906"/>
      <c r="CZ78" s="907"/>
      <c r="DA78" s="907"/>
      <c r="DB78" s="907"/>
      <c r="DC78" s="906"/>
      <c r="DD78" s="907"/>
      <c r="DE78" s="907"/>
      <c r="DF78" s="907"/>
      <c r="DG78" s="906"/>
    </row>
    <row r="79" hidden="1" spans="1:111">
      <c r="A79" s="824">
        <v>76</v>
      </c>
      <c r="B79" s="824">
        <f>STUDENT!F77</f>
        <v>0</v>
      </c>
      <c r="C79" s="824">
        <f>STUDENT!D77</f>
        <v>0</v>
      </c>
      <c r="D79" s="827">
        <f>STUDENT!E77</f>
        <v>0</v>
      </c>
      <c r="E79" s="827">
        <f>STUDENT!H77</f>
        <v>0</v>
      </c>
      <c r="F79" s="904"/>
      <c r="G79" s="904"/>
      <c r="H79" s="904"/>
      <c r="I79" s="824" t="str">
        <f t="shared" si="3"/>
        <v/>
      </c>
      <c r="J79" s="824" t="str">
        <f t="shared" si="4"/>
        <v/>
      </c>
      <c r="K79" s="824" t="str">
        <f t="shared" si="5"/>
        <v/>
      </c>
      <c r="L79" s="907"/>
      <c r="M79" s="907"/>
      <c r="N79" s="907"/>
      <c r="O79" s="906"/>
      <c r="P79" s="907"/>
      <c r="Q79" s="907"/>
      <c r="R79" s="907"/>
      <c r="S79" s="906"/>
      <c r="T79" s="907"/>
      <c r="U79" s="907"/>
      <c r="V79" s="907"/>
      <c r="W79" s="906"/>
      <c r="X79" s="907"/>
      <c r="Y79" s="907"/>
      <c r="Z79" s="907"/>
      <c r="AA79" s="906"/>
      <c r="AB79" s="907"/>
      <c r="AC79" s="907"/>
      <c r="AD79" s="907"/>
      <c r="AE79" s="906"/>
      <c r="AF79" s="907"/>
      <c r="AG79" s="907"/>
      <c r="AH79" s="907"/>
      <c r="AI79" s="906"/>
      <c r="AJ79" s="907"/>
      <c r="AK79" s="907"/>
      <c r="AL79" s="907"/>
      <c r="AM79" s="906"/>
      <c r="AN79" s="907"/>
      <c r="AO79" s="907"/>
      <c r="AP79" s="907"/>
      <c r="AQ79" s="906"/>
      <c r="AR79" s="907"/>
      <c r="AS79" s="907"/>
      <c r="AT79" s="907"/>
      <c r="AU79" s="906"/>
      <c r="AV79" s="907"/>
      <c r="AW79" s="907"/>
      <c r="AX79" s="907"/>
      <c r="AY79" s="906"/>
      <c r="AZ79" s="907"/>
      <c r="BA79" s="907"/>
      <c r="BB79" s="907"/>
      <c r="BC79" s="906"/>
      <c r="BD79" s="907"/>
      <c r="BE79" s="907"/>
      <c r="BF79" s="907"/>
      <c r="BG79" s="906"/>
      <c r="BH79" s="907"/>
      <c r="BI79" s="907"/>
      <c r="BJ79" s="907"/>
      <c r="BK79" s="906"/>
      <c r="BL79" s="907"/>
      <c r="BM79" s="907"/>
      <c r="BN79" s="907"/>
      <c r="BO79" s="906"/>
      <c r="BP79" s="907"/>
      <c r="BQ79" s="907"/>
      <c r="BR79" s="907"/>
      <c r="BS79" s="906"/>
      <c r="BT79" s="907"/>
      <c r="BU79" s="907"/>
      <c r="BV79" s="907"/>
      <c r="BW79" s="906"/>
      <c r="BX79" s="907"/>
      <c r="BY79" s="907"/>
      <c r="BZ79" s="907"/>
      <c r="CA79" s="906"/>
      <c r="CB79" s="907"/>
      <c r="CC79" s="907"/>
      <c r="CD79" s="907"/>
      <c r="CE79" s="906"/>
      <c r="CF79" s="907"/>
      <c r="CG79" s="907"/>
      <c r="CH79" s="907"/>
      <c r="CI79" s="906"/>
      <c r="CJ79" s="907"/>
      <c r="CK79" s="907"/>
      <c r="CL79" s="907"/>
      <c r="CM79" s="906"/>
      <c r="CN79" s="907"/>
      <c r="CO79" s="907"/>
      <c r="CP79" s="907"/>
      <c r="CQ79" s="906"/>
      <c r="CR79" s="907"/>
      <c r="CS79" s="907"/>
      <c r="CT79" s="907"/>
      <c r="CU79" s="906"/>
      <c r="CV79" s="907"/>
      <c r="CW79" s="907"/>
      <c r="CX79" s="907"/>
      <c r="CY79" s="906"/>
      <c r="CZ79" s="907"/>
      <c r="DA79" s="907"/>
      <c r="DB79" s="907"/>
      <c r="DC79" s="906"/>
      <c r="DD79" s="907"/>
      <c r="DE79" s="907"/>
      <c r="DF79" s="907"/>
      <c r="DG79" s="906"/>
    </row>
    <row r="80" hidden="1" spans="1:111">
      <c r="A80" s="824">
        <v>77</v>
      </c>
      <c r="B80" s="824">
        <f>STUDENT!F78</f>
        <v>0</v>
      </c>
      <c r="C80" s="824">
        <f>STUDENT!D78</f>
        <v>0</v>
      </c>
      <c r="D80" s="827">
        <f>STUDENT!E78</f>
        <v>0</v>
      </c>
      <c r="E80" s="827">
        <f>STUDENT!H78</f>
        <v>0</v>
      </c>
      <c r="F80" s="904"/>
      <c r="G80" s="904"/>
      <c r="H80" s="904"/>
      <c r="I80" s="824" t="str">
        <f t="shared" si="3"/>
        <v/>
      </c>
      <c r="J80" s="824" t="str">
        <f t="shared" si="4"/>
        <v/>
      </c>
      <c r="K80" s="824" t="str">
        <f t="shared" si="5"/>
        <v/>
      </c>
      <c r="L80" s="907"/>
      <c r="M80" s="907"/>
      <c r="N80" s="907"/>
      <c r="O80" s="906"/>
      <c r="P80" s="907"/>
      <c r="Q80" s="907"/>
      <c r="R80" s="907"/>
      <c r="S80" s="906"/>
      <c r="T80" s="907"/>
      <c r="U80" s="907"/>
      <c r="V80" s="907"/>
      <c r="W80" s="906"/>
      <c r="X80" s="907"/>
      <c r="Y80" s="907"/>
      <c r="Z80" s="907"/>
      <c r="AA80" s="906"/>
      <c r="AB80" s="907"/>
      <c r="AC80" s="907"/>
      <c r="AD80" s="907"/>
      <c r="AE80" s="906"/>
      <c r="AF80" s="907"/>
      <c r="AG80" s="907"/>
      <c r="AH80" s="907"/>
      <c r="AI80" s="906"/>
      <c r="AJ80" s="907"/>
      <c r="AK80" s="907"/>
      <c r="AL80" s="907"/>
      <c r="AM80" s="906"/>
      <c r="AN80" s="907"/>
      <c r="AO80" s="907"/>
      <c r="AP80" s="907"/>
      <c r="AQ80" s="906"/>
      <c r="AR80" s="907"/>
      <c r="AS80" s="907"/>
      <c r="AT80" s="907"/>
      <c r="AU80" s="906"/>
      <c r="AV80" s="907"/>
      <c r="AW80" s="907"/>
      <c r="AX80" s="907"/>
      <c r="AY80" s="906"/>
      <c r="AZ80" s="907"/>
      <c r="BA80" s="907"/>
      <c r="BB80" s="907"/>
      <c r="BC80" s="906"/>
      <c r="BD80" s="907"/>
      <c r="BE80" s="907"/>
      <c r="BF80" s="907"/>
      <c r="BG80" s="906"/>
      <c r="BH80" s="907"/>
      <c r="BI80" s="907"/>
      <c r="BJ80" s="907"/>
      <c r="BK80" s="906"/>
      <c r="BL80" s="907"/>
      <c r="BM80" s="907"/>
      <c r="BN80" s="907"/>
      <c r="BO80" s="906"/>
      <c r="BP80" s="907"/>
      <c r="BQ80" s="907"/>
      <c r="BR80" s="907"/>
      <c r="BS80" s="906"/>
      <c r="BT80" s="907"/>
      <c r="BU80" s="907"/>
      <c r="BV80" s="907"/>
      <c r="BW80" s="906"/>
      <c r="BX80" s="907"/>
      <c r="BY80" s="907"/>
      <c r="BZ80" s="907"/>
      <c r="CA80" s="906"/>
      <c r="CB80" s="907"/>
      <c r="CC80" s="907"/>
      <c r="CD80" s="907"/>
      <c r="CE80" s="906"/>
      <c r="CF80" s="907"/>
      <c r="CG80" s="907"/>
      <c r="CH80" s="907"/>
      <c r="CI80" s="906"/>
      <c r="CJ80" s="907"/>
      <c r="CK80" s="907"/>
      <c r="CL80" s="907"/>
      <c r="CM80" s="906"/>
      <c r="CN80" s="907"/>
      <c r="CO80" s="907"/>
      <c r="CP80" s="907"/>
      <c r="CQ80" s="906"/>
      <c r="CR80" s="907"/>
      <c r="CS80" s="907"/>
      <c r="CT80" s="907"/>
      <c r="CU80" s="906"/>
      <c r="CV80" s="907"/>
      <c r="CW80" s="907"/>
      <c r="CX80" s="907"/>
      <c r="CY80" s="906"/>
      <c r="CZ80" s="907"/>
      <c r="DA80" s="907"/>
      <c r="DB80" s="907"/>
      <c r="DC80" s="906"/>
      <c r="DD80" s="907"/>
      <c r="DE80" s="907"/>
      <c r="DF80" s="907"/>
      <c r="DG80" s="906"/>
    </row>
    <row r="81" hidden="1" spans="1:111">
      <c r="A81" s="824">
        <v>78</v>
      </c>
      <c r="B81" s="824">
        <f>STUDENT!F79</f>
        <v>0</v>
      </c>
      <c r="C81" s="824">
        <f>STUDENT!D79</f>
        <v>0</v>
      </c>
      <c r="D81" s="827">
        <f>STUDENT!E79</f>
        <v>0</v>
      </c>
      <c r="E81" s="827">
        <f>STUDENT!H79</f>
        <v>0</v>
      </c>
      <c r="F81" s="904"/>
      <c r="G81" s="904"/>
      <c r="H81" s="904"/>
      <c r="I81" s="824" t="str">
        <f t="shared" si="3"/>
        <v/>
      </c>
      <c r="J81" s="824" t="str">
        <f t="shared" si="4"/>
        <v/>
      </c>
      <c r="K81" s="824" t="str">
        <f t="shared" si="5"/>
        <v/>
      </c>
      <c r="L81" s="907"/>
      <c r="M81" s="907"/>
      <c r="N81" s="907"/>
      <c r="O81" s="906"/>
      <c r="P81" s="907"/>
      <c r="Q81" s="907"/>
      <c r="R81" s="907"/>
      <c r="S81" s="906"/>
      <c r="T81" s="907"/>
      <c r="U81" s="907"/>
      <c r="V81" s="907"/>
      <c r="W81" s="906"/>
      <c r="X81" s="907"/>
      <c r="Y81" s="907"/>
      <c r="Z81" s="907"/>
      <c r="AA81" s="906"/>
      <c r="AB81" s="907"/>
      <c r="AC81" s="907"/>
      <c r="AD81" s="907"/>
      <c r="AE81" s="906"/>
      <c r="AF81" s="907"/>
      <c r="AG81" s="907"/>
      <c r="AH81" s="907"/>
      <c r="AI81" s="906"/>
      <c r="AJ81" s="907"/>
      <c r="AK81" s="907"/>
      <c r="AL81" s="907"/>
      <c r="AM81" s="906"/>
      <c r="AN81" s="907"/>
      <c r="AO81" s="907"/>
      <c r="AP81" s="907"/>
      <c r="AQ81" s="906"/>
      <c r="AR81" s="907"/>
      <c r="AS81" s="907"/>
      <c r="AT81" s="907"/>
      <c r="AU81" s="906"/>
      <c r="AV81" s="907"/>
      <c r="AW81" s="907"/>
      <c r="AX81" s="907"/>
      <c r="AY81" s="906"/>
      <c r="AZ81" s="907"/>
      <c r="BA81" s="907"/>
      <c r="BB81" s="907"/>
      <c r="BC81" s="906"/>
      <c r="BD81" s="907"/>
      <c r="BE81" s="907"/>
      <c r="BF81" s="907"/>
      <c r="BG81" s="906"/>
      <c r="BH81" s="907"/>
      <c r="BI81" s="907"/>
      <c r="BJ81" s="907"/>
      <c r="BK81" s="906"/>
      <c r="BL81" s="907"/>
      <c r="BM81" s="907"/>
      <c r="BN81" s="907"/>
      <c r="BO81" s="906"/>
      <c r="BP81" s="907"/>
      <c r="BQ81" s="907"/>
      <c r="BR81" s="907"/>
      <c r="BS81" s="906"/>
      <c r="BT81" s="907"/>
      <c r="BU81" s="907"/>
      <c r="BV81" s="907"/>
      <c r="BW81" s="906"/>
      <c r="BX81" s="907"/>
      <c r="BY81" s="907"/>
      <c r="BZ81" s="907"/>
      <c r="CA81" s="906"/>
      <c r="CB81" s="907"/>
      <c r="CC81" s="907"/>
      <c r="CD81" s="907"/>
      <c r="CE81" s="906"/>
      <c r="CF81" s="907"/>
      <c r="CG81" s="907"/>
      <c r="CH81" s="907"/>
      <c r="CI81" s="906"/>
      <c r="CJ81" s="907"/>
      <c r="CK81" s="907"/>
      <c r="CL81" s="907"/>
      <c r="CM81" s="906"/>
      <c r="CN81" s="907"/>
      <c r="CO81" s="907"/>
      <c r="CP81" s="907"/>
      <c r="CQ81" s="906"/>
      <c r="CR81" s="907"/>
      <c r="CS81" s="907"/>
      <c r="CT81" s="907"/>
      <c r="CU81" s="906"/>
      <c r="CV81" s="907"/>
      <c r="CW81" s="907"/>
      <c r="CX81" s="907"/>
      <c r="CY81" s="906"/>
      <c r="CZ81" s="907"/>
      <c r="DA81" s="907"/>
      <c r="DB81" s="907"/>
      <c r="DC81" s="906"/>
      <c r="DD81" s="907"/>
      <c r="DE81" s="907"/>
      <c r="DF81" s="907"/>
      <c r="DG81" s="906"/>
    </row>
    <row r="82" hidden="1" spans="1:111">
      <c r="A82" s="824">
        <v>79</v>
      </c>
      <c r="B82" s="824">
        <f>STUDENT!F80</f>
        <v>0</v>
      </c>
      <c r="C82" s="824">
        <f>STUDENT!D80</f>
        <v>0</v>
      </c>
      <c r="D82" s="827">
        <f>STUDENT!E80</f>
        <v>0</v>
      </c>
      <c r="E82" s="827">
        <f>STUDENT!H80</f>
        <v>0</v>
      </c>
      <c r="F82" s="904"/>
      <c r="G82" s="904"/>
      <c r="H82" s="904"/>
      <c r="I82" s="824" t="str">
        <f t="shared" si="3"/>
        <v/>
      </c>
      <c r="J82" s="824" t="str">
        <f t="shared" si="4"/>
        <v/>
      </c>
      <c r="K82" s="824" t="str">
        <f t="shared" si="5"/>
        <v/>
      </c>
      <c r="L82" s="907"/>
      <c r="M82" s="907"/>
      <c r="N82" s="907"/>
      <c r="O82" s="906"/>
      <c r="P82" s="907"/>
      <c r="Q82" s="907"/>
      <c r="R82" s="907"/>
      <c r="S82" s="906"/>
      <c r="T82" s="907"/>
      <c r="U82" s="907"/>
      <c r="V82" s="907"/>
      <c r="W82" s="906"/>
      <c r="X82" s="907"/>
      <c r="Y82" s="907"/>
      <c r="Z82" s="907"/>
      <c r="AA82" s="906"/>
      <c r="AB82" s="907"/>
      <c r="AC82" s="907"/>
      <c r="AD82" s="907"/>
      <c r="AE82" s="906"/>
      <c r="AF82" s="907"/>
      <c r="AG82" s="907"/>
      <c r="AH82" s="907"/>
      <c r="AI82" s="906"/>
      <c r="AJ82" s="907"/>
      <c r="AK82" s="907"/>
      <c r="AL82" s="907"/>
      <c r="AM82" s="906"/>
      <c r="AN82" s="907"/>
      <c r="AO82" s="907"/>
      <c r="AP82" s="907"/>
      <c r="AQ82" s="906"/>
      <c r="AR82" s="907"/>
      <c r="AS82" s="907"/>
      <c r="AT82" s="907"/>
      <c r="AU82" s="906"/>
      <c r="AV82" s="907"/>
      <c r="AW82" s="907"/>
      <c r="AX82" s="907"/>
      <c r="AY82" s="906"/>
      <c r="AZ82" s="907"/>
      <c r="BA82" s="907"/>
      <c r="BB82" s="907"/>
      <c r="BC82" s="906"/>
      <c r="BD82" s="907"/>
      <c r="BE82" s="907"/>
      <c r="BF82" s="907"/>
      <c r="BG82" s="906"/>
      <c r="BH82" s="907"/>
      <c r="BI82" s="907"/>
      <c r="BJ82" s="907"/>
      <c r="BK82" s="906"/>
      <c r="BL82" s="907"/>
      <c r="BM82" s="907"/>
      <c r="BN82" s="907"/>
      <c r="BO82" s="906"/>
      <c r="BP82" s="907"/>
      <c r="BQ82" s="907"/>
      <c r="BR82" s="907"/>
      <c r="BS82" s="906"/>
      <c r="BT82" s="907"/>
      <c r="BU82" s="907"/>
      <c r="BV82" s="907"/>
      <c r="BW82" s="906"/>
      <c r="BX82" s="907"/>
      <c r="BY82" s="907"/>
      <c r="BZ82" s="907"/>
      <c r="CA82" s="906"/>
      <c r="CB82" s="907"/>
      <c r="CC82" s="907"/>
      <c r="CD82" s="907"/>
      <c r="CE82" s="906"/>
      <c r="CF82" s="907"/>
      <c r="CG82" s="907"/>
      <c r="CH82" s="907"/>
      <c r="CI82" s="906"/>
      <c r="CJ82" s="907"/>
      <c r="CK82" s="907"/>
      <c r="CL82" s="907"/>
      <c r="CM82" s="906"/>
      <c r="CN82" s="907"/>
      <c r="CO82" s="907"/>
      <c r="CP82" s="907"/>
      <c r="CQ82" s="906"/>
      <c r="CR82" s="907"/>
      <c r="CS82" s="907"/>
      <c r="CT82" s="907"/>
      <c r="CU82" s="906"/>
      <c r="CV82" s="907"/>
      <c r="CW82" s="907"/>
      <c r="CX82" s="907"/>
      <c r="CY82" s="906"/>
      <c r="CZ82" s="907"/>
      <c r="DA82" s="907"/>
      <c r="DB82" s="907"/>
      <c r="DC82" s="906"/>
      <c r="DD82" s="907"/>
      <c r="DE82" s="907"/>
      <c r="DF82" s="907"/>
      <c r="DG82" s="906"/>
    </row>
    <row r="83" hidden="1" spans="1:111">
      <c r="A83" s="824">
        <v>80</v>
      </c>
      <c r="B83" s="824">
        <f>STUDENT!F81</f>
        <v>0</v>
      </c>
      <c r="C83" s="824">
        <f>STUDENT!D81</f>
        <v>0</v>
      </c>
      <c r="D83" s="827">
        <f>STUDENT!E81</f>
        <v>0</v>
      </c>
      <c r="E83" s="827">
        <f>STUDENT!H81</f>
        <v>0</v>
      </c>
      <c r="F83" s="904"/>
      <c r="G83" s="904"/>
      <c r="H83" s="904"/>
      <c r="I83" s="824" t="str">
        <f t="shared" si="3"/>
        <v/>
      </c>
      <c r="J83" s="824" t="str">
        <f t="shared" si="4"/>
        <v/>
      </c>
      <c r="K83" s="824" t="str">
        <f t="shared" si="5"/>
        <v/>
      </c>
      <c r="L83" s="907"/>
      <c r="M83" s="907"/>
      <c r="N83" s="907"/>
      <c r="O83" s="906"/>
      <c r="P83" s="907"/>
      <c r="Q83" s="907"/>
      <c r="R83" s="907"/>
      <c r="S83" s="906"/>
      <c r="T83" s="907"/>
      <c r="U83" s="907"/>
      <c r="V83" s="907"/>
      <c r="W83" s="906"/>
      <c r="X83" s="907"/>
      <c r="Y83" s="907"/>
      <c r="Z83" s="907"/>
      <c r="AA83" s="906"/>
      <c r="AB83" s="907"/>
      <c r="AC83" s="907"/>
      <c r="AD83" s="907"/>
      <c r="AE83" s="906"/>
      <c r="AF83" s="907"/>
      <c r="AG83" s="907"/>
      <c r="AH83" s="907"/>
      <c r="AI83" s="906"/>
      <c r="AJ83" s="907"/>
      <c r="AK83" s="907"/>
      <c r="AL83" s="907"/>
      <c r="AM83" s="906"/>
      <c r="AN83" s="907"/>
      <c r="AO83" s="907"/>
      <c r="AP83" s="907"/>
      <c r="AQ83" s="906"/>
      <c r="AR83" s="907"/>
      <c r="AS83" s="907"/>
      <c r="AT83" s="907"/>
      <c r="AU83" s="906"/>
      <c r="AV83" s="907"/>
      <c r="AW83" s="907"/>
      <c r="AX83" s="907"/>
      <c r="AY83" s="906"/>
      <c r="AZ83" s="907"/>
      <c r="BA83" s="907"/>
      <c r="BB83" s="907"/>
      <c r="BC83" s="906"/>
      <c r="BD83" s="907"/>
      <c r="BE83" s="907"/>
      <c r="BF83" s="907"/>
      <c r="BG83" s="906"/>
      <c r="BH83" s="907"/>
      <c r="BI83" s="907"/>
      <c r="BJ83" s="907"/>
      <c r="BK83" s="906"/>
      <c r="BL83" s="907"/>
      <c r="BM83" s="907"/>
      <c r="BN83" s="907"/>
      <c r="BO83" s="906"/>
      <c r="BP83" s="907"/>
      <c r="BQ83" s="907"/>
      <c r="BR83" s="907"/>
      <c r="BS83" s="906"/>
      <c r="BT83" s="907"/>
      <c r="BU83" s="907"/>
      <c r="BV83" s="907"/>
      <c r="BW83" s="906"/>
      <c r="BX83" s="907"/>
      <c r="BY83" s="907"/>
      <c r="BZ83" s="907"/>
      <c r="CA83" s="906"/>
      <c r="CB83" s="907"/>
      <c r="CC83" s="907"/>
      <c r="CD83" s="907"/>
      <c r="CE83" s="906"/>
      <c r="CF83" s="907"/>
      <c r="CG83" s="907"/>
      <c r="CH83" s="907"/>
      <c r="CI83" s="906"/>
      <c r="CJ83" s="907"/>
      <c r="CK83" s="907"/>
      <c r="CL83" s="907"/>
      <c r="CM83" s="906"/>
      <c r="CN83" s="907"/>
      <c r="CO83" s="907"/>
      <c r="CP83" s="907"/>
      <c r="CQ83" s="906"/>
      <c r="CR83" s="907"/>
      <c r="CS83" s="907"/>
      <c r="CT83" s="907"/>
      <c r="CU83" s="906"/>
      <c r="CV83" s="907"/>
      <c r="CW83" s="907"/>
      <c r="CX83" s="907"/>
      <c r="CY83" s="906"/>
      <c r="CZ83" s="907"/>
      <c r="DA83" s="907"/>
      <c r="DB83" s="907"/>
      <c r="DC83" s="906"/>
      <c r="DD83" s="907"/>
      <c r="DE83" s="907"/>
      <c r="DF83" s="907"/>
      <c r="DG83" s="906"/>
    </row>
    <row r="84" hidden="1" spans="1:111">
      <c r="A84" s="824">
        <v>81</v>
      </c>
      <c r="B84" s="824">
        <f>STUDENT!F82</f>
        <v>0</v>
      </c>
      <c r="C84" s="824">
        <f>STUDENT!D82</f>
        <v>0</v>
      </c>
      <c r="D84" s="827">
        <f>STUDENT!E82</f>
        <v>0</v>
      </c>
      <c r="E84" s="827">
        <f>STUDENT!H82</f>
        <v>0</v>
      </c>
      <c r="F84" s="904"/>
      <c r="G84" s="904"/>
      <c r="H84" s="904"/>
      <c r="I84" s="824" t="str">
        <f t="shared" si="3"/>
        <v/>
      </c>
      <c r="J84" s="824" t="str">
        <f t="shared" si="4"/>
        <v/>
      </c>
      <c r="K84" s="824" t="str">
        <f t="shared" si="5"/>
        <v/>
      </c>
      <c r="L84" s="907"/>
      <c r="M84" s="907"/>
      <c r="N84" s="907"/>
      <c r="O84" s="906"/>
      <c r="P84" s="907"/>
      <c r="Q84" s="907"/>
      <c r="R84" s="907"/>
      <c r="S84" s="906"/>
      <c r="T84" s="907"/>
      <c r="U84" s="907"/>
      <c r="V84" s="907"/>
      <c r="W84" s="906"/>
      <c r="X84" s="907"/>
      <c r="Y84" s="907"/>
      <c r="Z84" s="907"/>
      <c r="AA84" s="906"/>
      <c r="AB84" s="907"/>
      <c r="AC84" s="907"/>
      <c r="AD84" s="907"/>
      <c r="AE84" s="906"/>
      <c r="AF84" s="907"/>
      <c r="AG84" s="907"/>
      <c r="AH84" s="907"/>
      <c r="AI84" s="906"/>
      <c r="AJ84" s="907"/>
      <c r="AK84" s="907"/>
      <c r="AL84" s="907"/>
      <c r="AM84" s="906"/>
      <c r="AN84" s="907"/>
      <c r="AO84" s="907"/>
      <c r="AP84" s="907"/>
      <c r="AQ84" s="906"/>
      <c r="AR84" s="907"/>
      <c r="AS84" s="907"/>
      <c r="AT84" s="907"/>
      <c r="AU84" s="906"/>
      <c r="AV84" s="907"/>
      <c r="AW84" s="907"/>
      <c r="AX84" s="907"/>
      <c r="AY84" s="906"/>
      <c r="AZ84" s="907"/>
      <c r="BA84" s="907"/>
      <c r="BB84" s="907"/>
      <c r="BC84" s="906"/>
      <c r="BD84" s="907"/>
      <c r="BE84" s="907"/>
      <c r="BF84" s="907"/>
      <c r="BG84" s="906"/>
      <c r="BH84" s="907"/>
      <c r="BI84" s="907"/>
      <c r="BJ84" s="907"/>
      <c r="BK84" s="906"/>
      <c r="BL84" s="907"/>
      <c r="BM84" s="907"/>
      <c r="BN84" s="907"/>
      <c r="BO84" s="906"/>
      <c r="BP84" s="907"/>
      <c r="BQ84" s="907"/>
      <c r="BR84" s="907"/>
      <c r="BS84" s="906"/>
      <c r="BT84" s="907"/>
      <c r="BU84" s="907"/>
      <c r="BV84" s="907"/>
      <c r="BW84" s="906"/>
      <c r="BX84" s="907"/>
      <c r="BY84" s="907"/>
      <c r="BZ84" s="907"/>
      <c r="CA84" s="906"/>
      <c r="CB84" s="907"/>
      <c r="CC84" s="907"/>
      <c r="CD84" s="907"/>
      <c r="CE84" s="906"/>
      <c r="CF84" s="907"/>
      <c r="CG84" s="907"/>
      <c r="CH84" s="907"/>
      <c r="CI84" s="906"/>
      <c r="CJ84" s="907"/>
      <c r="CK84" s="907"/>
      <c r="CL84" s="907"/>
      <c r="CM84" s="906"/>
      <c r="CN84" s="907"/>
      <c r="CO84" s="907"/>
      <c r="CP84" s="907"/>
      <c r="CQ84" s="906"/>
      <c r="CR84" s="907"/>
      <c r="CS84" s="907"/>
      <c r="CT84" s="907"/>
      <c r="CU84" s="906"/>
      <c r="CV84" s="907"/>
      <c r="CW84" s="907"/>
      <c r="CX84" s="907"/>
      <c r="CY84" s="906"/>
      <c r="CZ84" s="907"/>
      <c r="DA84" s="907"/>
      <c r="DB84" s="907"/>
      <c r="DC84" s="906"/>
      <c r="DD84" s="907"/>
      <c r="DE84" s="907"/>
      <c r="DF84" s="907"/>
      <c r="DG84" s="906"/>
    </row>
    <row r="85" hidden="1" spans="1:111">
      <c r="A85" s="824">
        <v>82</v>
      </c>
      <c r="B85" s="824">
        <f>STUDENT!F83</f>
        <v>0</v>
      </c>
      <c r="C85" s="824">
        <f>STUDENT!D83</f>
        <v>0</v>
      </c>
      <c r="D85" s="827">
        <f>STUDENT!E83</f>
        <v>0</v>
      </c>
      <c r="E85" s="827">
        <f>STUDENT!H83</f>
        <v>0</v>
      </c>
      <c r="F85" s="904"/>
      <c r="G85" s="904"/>
      <c r="H85" s="904"/>
      <c r="I85" s="824" t="str">
        <f t="shared" si="3"/>
        <v/>
      </c>
      <c r="J85" s="824" t="str">
        <f t="shared" si="4"/>
        <v/>
      </c>
      <c r="K85" s="824" t="str">
        <f t="shared" si="5"/>
        <v/>
      </c>
      <c r="L85" s="907"/>
      <c r="M85" s="907"/>
      <c r="N85" s="907"/>
      <c r="O85" s="906"/>
      <c r="P85" s="907"/>
      <c r="Q85" s="907"/>
      <c r="R85" s="907"/>
      <c r="S85" s="906"/>
      <c r="T85" s="907"/>
      <c r="U85" s="907"/>
      <c r="V85" s="907"/>
      <c r="W85" s="906"/>
      <c r="X85" s="907"/>
      <c r="Y85" s="907"/>
      <c r="Z85" s="907"/>
      <c r="AA85" s="906"/>
      <c r="AB85" s="907"/>
      <c r="AC85" s="907"/>
      <c r="AD85" s="907"/>
      <c r="AE85" s="906"/>
      <c r="AF85" s="907"/>
      <c r="AG85" s="907"/>
      <c r="AH85" s="907"/>
      <c r="AI85" s="906"/>
      <c r="AJ85" s="907"/>
      <c r="AK85" s="907"/>
      <c r="AL85" s="907"/>
      <c r="AM85" s="906"/>
      <c r="AN85" s="907"/>
      <c r="AO85" s="907"/>
      <c r="AP85" s="907"/>
      <c r="AQ85" s="906"/>
      <c r="AR85" s="907"/>
      <c r="AS85" s="907"/>
      <c r="AT85" s="907"/>
      <c r="AU85" s="906"/>
      <c r="AV85" s="907"/>
      <c r="AW85" s="907"/>
      <c r="AX85" s="907"/>
      <c r="AY85" s="906"/>
      <c r="AZ85" s="907"/>
      <c r="BA85" s="907"/>
      <c r="BB85" s="907"/>
      <c r="BC85" s="906"/>
      <c r="BD85" s="907"/>
      <c r="BE85" s="907"/>
      <c r="BF85" s="907"/>
      <c r="BG85" s="906"/>
      <c r="BH85" s="907"/>
      <c r="BI85" s="907"/>
      <c r="BJ85" s="907"/>
      <c r="BK85" s="906"/>
      <c r="BL85" s="907"/>
      <c r="BM85" s="907"/>
      <c r="BN85" s="907"/>
      <c r="BO85" s="906"/>
      <c r="BP85" s="907"/>
      <c r="BQ85" s="907"/>
      <c r="BR85" s="907"/>
      <c r="BS85" s="906"/>
      <c r="BT85" s="907"/>
      <c r="BU85" s="907"/>
      <c r="BV85" s="907"/>
      <c r="BW85" s="906"/>
      <c r="BX85" s="907"/>
      <c r="BY85" s="907"/>
      <c r="BZ85" s="907"/>
      <c r="CA85" s="906"/>
      <c r="CB85" s="907"/>
      <c r="CC85" s="907"/>
      <c r="CD85" s="907"/>
      <c r="CE85" s="906"/>
      <c r="CF85" s="907"/>
      <c r="CG85" s="907"/>
      <c r="CH85" s="907"/>
      <c r="CI85" s="906"/>
      <c r="CJ85" s="907"/>
      <c r="CK85" s="907"/>
      <c r="CL85" s="907"/>
      <c r="CM85" s="906"/>
      <c r="CN85" s="907"/>
      <c r="CO85" s="907"/>
      <c r="CP85" s="907"/>
      <c r="CQ85" s="906"/>
      <c r="CR85" s="907"/>
      <c r="CS85" s="907"/>
      <c r="CT85" s="907"/>
      <c r="CU85" s="906"/>
      <c r="CV85" s="907"/>
      <c r="CW85" s="907"/>
      <c r="CX85" s="907"/>
      <c r="CY85" s="906"/>
      <c r="CZ85" s="907"/>
      <c r="DA85" s="907"/>
      <c r="DB85" s="907"/>
      <c r="DC85" s="906"/>
      <c r="DD85" s="907"/>
      <c r="DE85" s="907"/>
      <c r="DF85" s="907"/>
      <c r="DG85" s="906"/>
    </row>
    <row r="86" hidden="1" spans="1:111">
      <c r="A86" s="824">
        <v>83</v>
      </c>
      <c r="B86" s="824">
        <f>STUDENT!F84</f>
        <v>0</v>
      </c>
      <c r="C86" s="824">
        <f>STUDENT!D84</f>
        <v>0</v>
      </c>
      <c r="D86" s="827">
        <f>STUDENT!E84</f>
        <v>0</v>
      </c>
      <c r="E86" s="827">
        <f>STUDENT!H84</f>
        <v>0</v>
      </c>
      <c r="F86" s="904"/>
      <c r="G86" s="904"/>
      <c r="H86" s="904"/>
      <c r="I86" s="824" t="str">
        <f t="shared" si="3"/>
        <v/>
      </c>
      <c r="J86" s="824" t="str">
        <f t="shared" si="4"/>
        <v/>
      </c>
      <c r="K86" s="824" t="str">
        <f t="shared" si="5"/>
        <v/>
      </c>
      <c r="L86" s="907"/>
      <c r="M86" s="907"/>
      <c r="N86" s="907"/>
      <c r="O86" s="906"/>
      <c r="P86" s="907"/>
      <c r="Q86" s="907"/>
      <c r="R86" s="907"/>
      <c r="S86" s="906"/>
      <c r="T86" s="907"/>
      <c r="U86" s="907"/>
      <c r="V86" s="907"/>
      <c r="W86" s="906"/>
      <c r="X86" s="907"/>
      <c r="Y86" s="907"/>
      <c r="Z86" s="907"/>
      <c r="AA86" s="906"/>
      <c r="AB86" s="907"/>
      <c r="AC86" s="907"/>
      <c r="AD86" s="907"/>
      <c r="AE86" s="906"/>
      <c r="AF86" s="907"/>
      <c r="AG86" s="907"/>
      <c r="AH86" s="907"/>
      <c r="AI86" s="906"/>
      <c r="AJ86" s="907"/>
      <c r="AK86" s="907"/>
      <c r="AL86" s="907"/>
      <c r="AM86" s="906"/>
      <c r="AN86" s="907"/>
      <c r="AO86" s="907"/>
      <c r="AP86" s="907"/>
      <c r="AQ86" s="906"/>
      <c r="AR86" s="907"/>
      <c r="AS86" s="907"/>
      <c r="AT86" s="907"/>
      <c r="AU86" s="906"/>
      <c r="AV86" s="907"/>
      <c r="AW86" s="907"/>
      <c r="AX86" s="907"/>
      <c r="AY86" s="906"/>
      <c r="AZ86" s="907"/>
      <c r="BA86" s="907"/>
      <c r="BB86" s="907"/>
      <c r="BC86" s="906"/>
      <c r="BD86" s="907"/>
      <c r="BE86" s="907"/>
      <c r="BF86" s="907"/>
      <c r="BG86" s="906"/>
      <c r="BH86" s="907"/>
      <c r="BI86" s="907"/>
      <c r="BJ86" s="907"/>
      <c r="BK86" s="906"/>
      <c r="BL86" s="907"/>
      <c r="BM86" s="907"/>
      <c r="BN86" s="907"/>
      <c r="BO86" s="906"/>
      <c r="BP86" s="907"/>
      <c r="BQ86" s="907"/>
      <c r="BR86" s="907"/>
      <c r="BS86" s="906"/>
      <c r="BT86" s="907"/>
      <c r="BU86" s="907"/>
      <c r="BV86" s="907"/>
      <c r="BW86" s="906"/>
      <c r="BX86" s="907"/>
      <c r="BY86" s="907"/>
      <c r="BZ86" s="907"/>
      <c r="CA86" s="906"/>
      <c r="CB86" s="907"/>
      <c r="CC86" s="907"/>
      <c r="CD86" s="907"/>
      <c r="CE86" s="906"/>
      <c r="CF86" s="907"/>
      <c r="CG86" s="907"/>
      <c r="CH86" s="907"/>
      <c r="CI86" s="906"/>
      <c r="CJ86" s="907"/>
      <c r="CK86" s="907"/>
      <c r="CL86" s="907"/>
      <c r="CM86" s="906"/>
      <c r="CN86" s="907"/>
      <c r="CO86" s="907"/>
      <c r="CP86" s="907"/>
      <c r="CQ86" s="906"/>
      <c r="CR86" s="907"/>
      <c r="CS86" s="907"/>
      <c r="CT86" s="907"/>
      <c r="CU86" s="906"/>
      <c r="CV86" s="907"/>
      <c r="CW86" s="907"/>
      <c r="CX86" s="907"/>
      <c r="CY86" s="906"/>
      <c r="CZ86" s="907"/>
      <c r="DA86" s="907"/>
      <c r="DB86" s="907"/>
      <c r="DC86" s="906"/>
      <c r="DD86" s="907"/>
      <c r="DE86" s="907"/>
      <c r="DF86" s="907"/>
      <c r="DG86" s="906"/>
    </row>
    <row r="87" hidden="1" spans="1:111">
      <c r="A87" s="824">
        <v>84</v>
      </c>
      <c r="B87" s="824">
        <f>STUDENT!F85</f>
        <v>0</v>
      </c>
      <c r="C87" s="824">
        <f>STUDENT!D85</f>
        <v>0</v>
      </c>
      <c r="D87" s="827">
        <f>STUDENT!E85</f>
        <v>0</v>
      </c>
      <c r="E87" s="827">
        <f>STUDENT!H85</f>
        <v>0</v>
      </c>
      <c r="F87" s="904"/>
      <c r="G87" s="904"/>
      <c r="H87" s="904"/>
      <c r="I87" s="824" t="str">
        <f t="shared" si="3"/>
        <v/>
      </c>
      <c r="J87" s="824" t="str">
        <f t="shared" si="4"/>
        <v/>
      </c>
      <c r="K87" s="824" t="str">
        <f t="shared" si="5"/>
        <v/>
      </c>
      <c r="L87" s="907"/>
      <c r="M87" s="907"/>
      <c r="N87" s="907"/>
      <c r="O87" s="906"/>
      <c r="P87" s="907"/>
      <c r="Q87" s="907"/>
      <c r="R87" s="907"/>
      <c r="S87" s="906"/>
      <c r="T87" s="907"/>
      <c r="U87" s="907"/>
      <c r="V87" s="907"/>
      <c r="W87" s="906"/>
      <c r="X87" s="907"/>
      <c r="Y87" s="907"/>
      <c r="Z87" s="907"/>
      <c r="AA87" s="906"/>
      <c r="AB87" s="907"/>
      <c r="AC87" s="907"/>
      <c r="AD87" s="907"/>
      <c r="AE87" s="906"/>
      <c r="AF87" s="907"/>
      <c r="AG87" s="907"/>
      <c r="AH87" s="907"/>
      <c r="AI87" s="906"/>
      <c r="AJ87" s="907"/>
      <c r="AK87" s="907"/>
      <c r="AL87" s="907"/>
      <c r="AM87" s="906"/>
      <c r="AN87" s="907"/>
      <c r="AO87" s="907"/>
      <c r="AP87" s="907"/>
      <c r="AQ87" s="906"/>
      <c r="AR87" s="907"/>
      <c r="AS87" s="907"/>
      <c r="AT87" s="907"/>
      <c r="AU87" s="906"/>
      <c r="AV87" s="907"/>
      <c r="AW87" s="907"/>
      <c r="AX87" s="907"/>
      <c r="AY87" s="906"/>
      <c r="AZ87" s="907"/>
      <c r="BA87" s="907"/>
      <c r="BB87" s="907"/>
      <c r="BC87" s="906"/>
      <c r="BD87" s="907"/>
      <c r="BE87" s="907"/>
      <c r="BF87" s="907"/>
      <c r="BG87" s="906"/>
      <c r="BH87" s="907"/>
      <c r="BI87" s="907"/>
      <c r="BJ87" s="907"/>
      <c r="BK87" s="906"/>
      <c r="BL87" s="907"/>
      <c r="BM87" s="907"/>
      <c r="BN87" s="907"/>
      <c r="BO87" s="906"/>
      <c r="BP87" s="907"/>
      <c r="BQ87" s="907"/>
      <c r="BR87" s="907"/>
      <c r="BS87" s="906"/>
      <c r="BT87" s="907"/>
      <c r="BU87" s="907"/>
      <c r="BV87" s="907"/>
      <c r="BW87" s="906"/>
      <c r="BX87" s="907"/>
      <c r="BY87" s="907"/>
      <c r="BZ87" s="907"/>
      <c r="CA87" s="906"/>
      <c r="CB87" s="907"/>
      <c r="CC87" s="907"/>
      <c r="CD87" s="907"/>
      <c r="CE87" s="906"/>
      <c r="CF87" s="907"/>
      <c r="CG87" s="907"/>
      <c r="CH87" s="907"/>
      <c r="CI87" s="906"/>
      <c r="CJ87" s="907"/>
      <c r="CK87" s="907"/>
      <c r="CL87" s="907"/>
      <c r="CM87" s="906"/>
      <c r="CN87" s="907"/>
      <c r="CO87" s="907"/>
      <c r="CP87" s="907"/>
      <c r="CQ87" s="906"/>
      <c r="CR87" s="907"/>
      <c r="CS87" s="907"/>
      <c r="CT87" s="907"/>
      <c r="CU87" s="906"/>
      <c r="CV87" s="907"/>
      <c r="CW87" s="907"/>
      <c r="CX87" s="907"/>
      <c r="CY87" s="906"/>
      <c r="CZ87" s="907"/>
      <c r="DA87" s="907"/>
      <c r="DB87" s="907"/>
      <c r="DC87" s="906"/>
      <c r="DD87" s="907"/>
      <c r="DE87" s="907"/>
      <c r="DF87" s="907"/>
      <c r="DG87" s="906"/>
    </row>
    <row r="88" hidden="1" spans="1:111">
      <c r="A88" s="824">
        <v>85</v>
      </c>
      <c r="B88" s="824">
        <f>STUDENT!F86</f>
        <v>0</v>
      </c>
      <c r="C88" s="824">
        <f>STUDENT!D86</f>
        <v>0</v>
      </c>
      <c r="D88" s="827">
        <f>STUDENT!E86</f>
        <v>0</v>
      </c>
      <c r="E88" s="827">
        <f>STUDENT!H86</f>
        <v>0</v>
      </c>
      <c r="F88" s="904"/>
      <c r="G88" s="904"/>
      <c r="H88" s="904"/>
      <c r="I88" s="824" t="str">
        <f t="shared" si="3"/>
        <v/>
      </c>
      <c r="J88" s="824" t="str">
        <f t="shared" si="4"/>
        <v/>
      </c>
      <c r="K88" s="824" t="str">
        <f t="shared" si="5"/>
        <v/>
      </c>
      <c r="L88" s="907"/>
      <c r="M88" s="907"/>
      <c r="N88" s="907"/>
      <c r="O88" s="906"/>
      <c r="P88" s="907"/>
      <c r="Q88" s="907"/>
      <c r="R88" s="907"/>
      <c r="S88" s="906"/>
      <c r="T88" s="907"/>
      <c r="U88" s="907"/>
      <c r="V88" s="907"/>
      <c r="W88" s="906"/>
      <c r="X88" s="907"/>
      <c r="Y88" s="907"/>
      <c r="Z88" s="907"/>
      <c r="AA88" s="906"/>
      <c r="AB88" s="907"/>
      <c r="AC88" s="907"/>
      <c r="AD88" s="907"/>
      <c r="AE88" s="906"/>
      <c r="AF88" s="907"/>
      <c r="AG88" s="907"/>
      <c r="AH88" s="907"/>
      <c r="AI88" s="906"/>
      <c r="AJ88" s="907"/>
      <c r="AK88" s="907"/>
      <c r="AL88" s="907"/>
      <c r="AM88" s="906"/>
      <c r="AN88" s="907"/>
      <c r="AO88" s="907"/>
      <c r="AP88" s="907"/>
      <c r="AQ88" s="906"/>
      <c r="AR88" s="907"/>
      <c r="AS88" s="907"/>
      <c r="AT88" s="907"/>
      <c r="AU88" s="906"/>
      <c r="AV88" s="907"/>
      <c r="AW88" s="907"/>
      <c r="AX88" s="907"/>
      <c r="AY88" s="906"/>
      <c r="AZ88" s="907"/>
      <c r="BA88" s="907"/>
      <c r="BB88" s="907"/>
      <c r="BC88" s="906"/>
      <c r="BD88" s="907"/>
      <c r="BE88" s="907"/>
      <c r="BF88" s="907"/>
      <c r="BG88" s="906"/>
      <c r="BH88" s="907"/>
      <c r="BI88" s="907"/>
      <c r="BJ88" s="907"/>
      <c r="BK88" s="906"/>
      <c r="BL88" s="907"/>
      <c r="BM88" s="907"/>
      <c r="BN88" s="907"/>
      <c r="BO88" s="906"/>
      <c r="BP88" s="907"/>
      <c r="BQ88" s="907"/>
      <c r="BR88" s="907"/>
      <c r="BS88" s="906"/>
      <c r="BT88" s="907"/>
      <c r="BU88" s="907"/>
      <c r="BV88" s="907"/>
      <c r="BW88" s="906"/>
      <c r="BX88" s="907"/>
      <c r="BY88" s="907"/>
      <c r="BZ88" s="907"/>
      <c r="CA88" s="906"/>
      <c r="CB88" s="907"/>
      <c r="CC88" s="907"/>
      <c r="CD88" s="907"/>
      <c r="CE88" s="906"/>
      <c r="CF88" s="907"/>
      <c r="CG88" s="907"/>
      <c r="CH88" s="907"/>
      <c r="CI88" s="906"/>
      <c r="CJ88" s="907"/>
      <c r="CK88" s="907"/>
      <c r="CL88" s="907"/>
      <c r="CM88" s="906"/>
      <c r="CN88" s="907"/>
      <c r="CO88" s="907"/>
      <c r="CP88" s="907"/>
      <c r="CQ88" s="906"/>
      <c r="CR88" s="907"/>
      <c r="CS88" s="907"/>
      <c r="CT88" s="907"/>
      <c r="CU88" s="906"/>
      <c r="CV88" s="907"/>
      <c r="CW88" s="907"/>
      <c r="CX88" s="907"/>
      <c r="CY88" s="906"/>
      <c r="CZ88" s="907"/>
      <c r="DA88" s="907"/>
      <c r="DB88" s="907"/>
      <c r="DC88" s="906"/>
      <c r="DD88" s="907"/>
      <c r="DE88" s="907"/>
      <c r="DF88" s="907"/>
      <c r="DG88" s="906"/>
    </row>
    <row r="89" hidden="1" spans="1:111">
      <c r="A89" s="824">
        <v>86</v>
      </c>
      <c r="B89" s="824">
        <f>STUDENT!F87</f>
        <v>0</v>
      </c>
      <c r="C89" s="824">
        <f>STUDENT!D87</f>
        <v>0</v>
      </c>
      <c r="D89" s="827">
        <f>STUDENT!E87</f>
        <v>0</v>
      </c>
      <c r="E89" s="827">
        <f>STUDENT!H87</f>
        <v>0</v>
      </c>
      <c r="F89" s="904"/>
      <c r="G89" s="904"/>
      <c r="H89" s="904"/>
      <c r="I89" s="824" t="str">
        <f t="shared" si="3"/>
        <v/>
      </c>
      <c r="J89" s="824" t="str">
        <f t="shared" si="4"/>
        <v/>
      </c>
      <c r="K89" s="824" t="str">
        <f t="shared" si="5"/>
        <v/>
      </c>
      <c r="L89" s="907"/>
      <c r="M89" s="907"/>
      <c r="N89" s="907"/>
      <c r="O89" s="906"/>
      <c r="P89" s="907"/>
      <c r="Q89" s="907"/>
      <c r="R89" s="907"/>
      <c r="S89" s="906"/>
      <c r="T89" s="907"/>
      <c r="U89" s="907"/>
      <c r="V89" s="907"/>
      <c r="W89" s="906"/>
      <c r="X89" s="907"/>
      <c r="Y89" s="907"/>
      <c r="Z89" s="907"/>
      <c r="AA89" s="906"/>
      <c r="AB89" s="907"/>
      <c r="AC89" s="907"/>
      <c r="AD89" s="907"/>
      <c r="AE89" s="906"/>
      <c r="AF89" s="907"/>
      <c r="AG89" s="907"/>
      <c r="AH89" s="907"/>
      <c r="AI89" s="906"/>
      <c r="AJ89" s="907"/>
      <c r="AK89" s="907"/>
      <c r="AL89" s="907"/>
      <c r="AM89" s="906"/>
      <c r="AN89" s="907"/>
      <c r="AO89" s="907"/>
      <c r="AP89" s="907"/>
      <c r="AQ89" s="906"/>
      <c r="AR89" s="907"/>
      <c r="AS89" s="907"/>
      <c r="AT89" s="907"/>
      <c r="AU89" s="906"/>
      <c r="AV89" s="907"/>
      <c r="AW89" s="907"/>
      <c r="AX89" s="907"/>
      <c r="AY89" s="906"/>
      <c r="AZ89" s="907"/>
      <c r="BA89" s="907"/>
      <c r="BB89" s="907"/>
      <c r="BC89" s="906"/>
      <c r="BD89" s="907"/>
      <c r="BE89" s="907"/>
      <c r="BF89" s="907"/>
      <c r="BG89" s="906"/>
      <c r="BH89" s="907"/>
      <c r="BI89" s="907"/>
      <c r="BJ89" s="907"/>
      <c r="BK89" s="906"/>
      <c r="BL89" s="907"/>
      <c r="BM89" s="907"/>
      <c r="BN89" s="907"/>
      <c r="BO89" s="906"/>
      <c r="BP89" s="907"/>
      <c r="BQ89" s="907"/>
      <c r="BR89" s="907"/>
      <c r="BS89" s="906"/>
      <c r="BT89" s="907"/>
      <c r="BU89" s="907"/>
      <c r="BV89" s="907"/>
      <c r="BW89" s="906"/>
      <c r="BX89" s="907"/>
      <c r="BY89" s="907"/>
      <c r="BZ89" s="907"/>
      <c r="CA89" s="906"/>
      <c r="CB89" s="907"/>
      <c r="CC89" s="907"/>
      <c r="CD89" s="907"/>
      <c r="CE89" s="906"/>
      <c r="CF89" s="907"/>
      <c r="CG89" s="907"/>
      <c r="CH89" s="907"/>
      <c r="CI89" s="906"/>
      <c r="CJ89" s="907"/>
      <c r="CK89" s="907"/>
      <c r="CL89" s="907"/>
      <c r="CM89" s="906"/>
      <c r="CN89" s="907"/>
      <c r="CO89" s="907"/>
      <c r="CP89" s="907"/>
      <c r="CQ89" s="906"/>
      <c r="CR89" s="907"/>
      <c r="CS89" s="907"/>
      <c r="CT89" s="907"/>
      <c r="CU89" s="906"/>
      <c r="CV89" s="907"/>
      <c r="CW89" s="907"/>
      <c r="CX89" s="907"/>
      <c r="CY89" s="906"/>
      <c r="CZ89" s="907"/>
      <c r="DA89" s="907"/>
      <c r="DB89" s="907"/>
      <c r="DC89" s="906"/>
      <c r="DD89" s="907"/>
      <c r="DE89" s="907"/>
      <c r="DF89" s="907"/>
      <c r="DG89" s="906"/>
    </row>
    <row r="90" hidden="1" spans="1:111">
      <c r="A90" s="824">
        <v>87</v>
      </c>
      <c r="B90" s="824">
        <f>STUDENT!F88</f>
        <v>0</v>
      </c>
      <c r="C90" s="824">
        <f>STUDENT!D88</f>
        <v>0</v>
      </c>
      <c r="D90" s="827">
        <f>STUDENT!E88</f>
        <v>0</v>
      </c>
      <c r="E90" s="827">
        <f>STUDENT!H88</f>
        <v>0</v>
      </c>
      <c r="F90" s="904"/>
      <c r="G90" s="904"/>
      <c r="H90" s="904"/>
      <c r="I90" s="824" t="str">
        <f t="shared" si="3"/>
        <v/>
      </c>
      <c r="J90" s="824" t="str">
        <f t="shared" si="4"/>
        <v/>
      </c>
      <c r="K90" s="824" t="str">
        <f t="shared" si="5"/>
        <v/>
      </c>
      <c r="L90" s="907"/>
      <c r="M90" s="907"/>
      <c r="N90" s="907"/>
      <c r="O90" s="906"/>
      <c r="P90" s="907"/>
      <c r="Q90" s="907"/>
      <c r="R90" s="907"/>
      <c r="S90" s="906"/>
      <c r="T90" s="907"/>
      <c r="U90" s="907"/>
      <c r="V90" s="907"/>
      <c r="W90" s="906"/>
      <c r="X90" s="907"/>
      <c r="Y90" s="907"/>
      <c r="Z90" s="907"/>
      <c r="AA90" s="906"/>
      <c r="AB90" s="907"/>
      <c r="AC90" s="907"/>
      <c r="AD90" s="907"/>
      <c r="AE90" s="906"/>
      <c r="AF90" s="907"/>
      <c r="AG90" s="907"/>
      <c r="AH90" s="907"/>
      <c r="AI90" s="906"/>
      <c r="AJ90" s="907"/>
      <c r="AK90" s="907"/>
      <c r="AL90" s="907"/>
      <c r="AM90" s="906"/>
      <c r="AN90" s="907"/>
      <c r="AO90" s="907"/>
      <c r="AP90" s="907"/>
      <c r="AQ90" s="906"/>
      <c r="AR90" s="907"/>
      <c r="AS90" s="907"/>
      <c r="AT90" s="907"/>
      <c r="AU90" s="906"/>
      <c r="AV90" s="907"/>
      <c r="AW90" s="907"/>
      <c r="AX90" s="907"/>
      <c r="AY90" s="906"/>
      <c r="AZ90" s="907"/>
      <c r="BA90" s="907"/>
      <c r="BB90" s="907"/>
      <c r="BC90" s="906"/>
      <c r="BD90" s="907"/>
      <c r="BE90" s="907"/>
      <c r="BF90" s="907"/>
      <c r="BG90" s="906"/>
      <c r="BH90" s="907"/>
      <c r="BI90" s="907"/>
      <c r="BJ90" s="907"/>
      <c r="BK90" s="906"/>
      <c r="BL90" s="907"/>
      <c r="BM90" s="907"/>
      <c r="BN90" s="907"/>
      <c r="BO90" s="906"/>
      <c r="BP90" s="907"/>
      <c r="BQ90" s="907"/>
      <c r="BR90" s="907"/>
      <c r="BS90" s="906"/>
      <c r="BT90" s="907"/>
      <c r="BU90" s="907"/>
      <c r="BV90" s="907"/>
      <c r="BW90" s="906"/>
      <c r="BX90" s="907"/>
      <c r="BY90" s="907"/>
      <c r="BZ90" s="907"/>
      <c r="CA90" s="906"/>
      <c r="CB90" s="907"/>
      <c r="CC90" s="907"/>
      <c r="CD90" s="907"/>
      <c r="CE90" s="906"/>
      <c r="CF90" s="907"/>
      <c r="CG90" s="907"/>
      <c r="CH90" s="907"/>
      <c r="CI90" s="906"/>
      <c r="CJ90" s="907"/>
      <c r="CK90" s="907"/>
      <c r="CL90" s="907"/>
      <c r="CM90" s="906"/>
      <c r="CN90" s="907"/>
      <c r="CO90" s="907"/>
      <c r="CP90" s="907"/>
      <c r="CQ90" s="906"/>
      <c r="CR90" s="907"/>
      <c r="CS90" s="907"/>
      <c r="CT90" s="907"/>
      <c r="CU90" s="906"/>
      <c r="CV90" s="907"/>
      <c r="CW90" s="907"/>
      <c r="CX90" s="907"/>
      <c r="CY90" s="906"/>
      <c r="CZ90" s="907"/>
      <c r="DA90" s="907"/>
      <c r="DB90" s="907"/>
      <c r="DC90" s="906"/>
      <c r="DD90" s="907"/>
      <c r="DE90" s="907"/>
      <c r="DF90" s="907"/>
      <c r="DG90" s="906"/>
    </row>
    <row r="91" hidden="1" spans="1:111">
      <c r="A91" s="824">
        <v>88</v>
      </c>
      <c r="B91" s="824">
        <f>STUDENT!F89</f>
        <v>0</v>
      </c>
      <c r="C91" s="824">
        <f>STUDENT!D89</f>
        <v>0</v>
      </c>
      <c r="D91" s="827">
        <f>STUDENT!E89</f>
        <v>0</v>
      </c>
      <c r="E91" s="827">
        <f>STUDENT!H89</f>
        <v>0</v>
      </c>
      <c r="F91" s="904"/>
      <c r="G91" s="904"/>
      <c r="H91" s="904"/>
      <c r="I91" s="824" t="str">
        <f t="shared" si="3"/>
        <v/>
      </c>
      <c r="J91" s="824" t="str">
        <f t="shared" si="4"/>
        <v/>
      </c>
      <c r="K91" s="824" t="str">
        <f t="shared" si="5"/>
        <v/>
      </c>
      <c r="L91" s="907"/>
      <c r="M91" s="907"/>
      <c r="N91" s="907"/>
      <c r="O91" s="906"/>
      <c r="P91" s="907"/>
      <c r="Q91" s="907"/>
      <c r="R91" s="907"/>
      <c r="S91" s="906"/>
      <c r="T91" s="907"/>
      <c r="U91" s="907"/>
      <c r="V91" s="907"/>
      <c r="W91" s="906"/>
      <c r="X91" s="907"/>
      <c r="Y91" s="907"/>
      <c r="Z91" s="907"/>
      <c r="AA91" s="906"/>
      <c r="AB91" s="907"/>
      <c r="AC91" s="907"/>
      <c r="AD91" s="907"/>
      <c r="AE91" s="906"/>
      <c r="AF91" s="907"/>
      <c r="AG91" s="907"/>
      <c r="AH91" s="907"/>
      <c r="AI91" s="906"/>
      <c r="AJ91" s="907"/>
      <c r="AK91" s="907"/>
      <c r="AL91" s="907"/>
      <c r="AM91" s="906"/>
      <c r="AN91" s="907"/>
      <c r="AO91" s="907"/>
      <c r="AP91" s="907"/>
      <c r="AQ91" s="906"/>
      <c r="AR91" s="907"/>
      <c r="AS91" s="907"/>
      <c r="AT91" s="907"/>
      <c r="AU91" s="906"/>
      <c r="AV91" s="907"/>
      <c r="AW91" s="907"/>
      <c r="AX91" s="907"/>
      <c r="AY91" s="906"/>
      <c r="AZ91" s="907"/>
      <c r="BA91" s="907"/>
      <c r="BB91" s="907"/>
      <c r="BC91" s="906"/>
      <c r="BD91" s="907"/>
      <c r="BE91" s="907"/>
      <c r="BF91" s="907"/>
      <c r="BG91" s="906"/>
      <c r="BH91" s="907"/>
      <c r="BI91" s="907"/>
      <c r="BJ91" s="907"/>
      <c r="BK91" s="906"/>
      <c r="BL91" s="907"/>
      <c r="BM91" s="907"/>
      <c r="BN91" s="907"/>
      <c r="BO91" s="906"/>
      <c r="BP91" s="907"/>
      <c r="BQ91" s="907"/>
      <c r="BR91" s="907"/>
      <c r="BS91" s="906"/>
      <c r="BT91" s="907"/>
      <c r="BU91" s="907"/>
      <c r="BV91" s="907"/>
      <c r="BW91" s="906"/>
      <c r="BX91" s="907"/>
      <c r="BY91" s="907"/>
      <c r="BZ91" s="907"/>
      <c r="CA91" s="906"/>
      <c r="CB91" s="907"/>
      <c r="CC91" s="907"/>
      <c r="CD91" s="907"/>
      <c r="CE91" s="906"/>
      <c r="CF91" s="907"/>
      <c r="CG91" s="907"/>
      <c r="CH91" s="907"/>
      <c r="CI91" s="906"/>
      <c r="CJ91" s="907"/>
      <c r="CK91" s="907"/>
      <c r="CL91" s="907"/>
      <c r="CM91" s="906"/>
      <c r="CN91" s="907"/>
      <c r="CO91" s="907"/>
      <c r="CP91" s="907"/>
      <c r="CQ91" s="906"/>
      <c r="CR91" s="907"/>
      <c r="CS91" s="907"/>
      <c r="CT91" s="907"/>
      <c r="CU91" s="906"/>
      <c r="CV91" s="907"/>
      <c r="CW91" s="907"/>
      <c r="CX91" s="907"/>
      <c r="CY91" s="906"/>
      <c r="CZ91" s="907"/>
      <c r="DA91" s="907"/>
      <c r="DB91" s="907"/>
      <c r="DC91" s="906"/>
      <c r="DD91" s="907"/>
      <c r="DE91" s="907"/>
      <c r="DF91" s="907"/>
      <c r="DG91" s="906"/>
    </row>
    <row r="92" hidden="1" spans="1:111">
      <c r="A92" s="824">
        <v>89</v>
      </c>
      <c r="B92" s="824">
        <f>STUDENT!F90</f>
        <v>0</v>
      </c>
      <c r="C92" s="824">
        <f>STUDENT!D90</f>
        <v>0</v>
      </c>
      <c r="D92" s="827">
        <f>STUDENT!E90</f>
        <v>0</v>
      </c>
      <c r="E92" s="827">
        <f>STUDENT!H90</f>
        <v>0</v>
      </c>
      <c r="F92" s="904"/>
      <c r="G92" s="904"/>
      <c r="H92" s="904"/>
      <c r="I92" s="824" t="str">
        <f t="shared" si="3"/>
        <v/>
      </c>
      <c r="J92" s="824" t="str">
        <f t="shared" si="4"/>
        <v/>
      </c>
      <c r="K92" s="824" t="str">
        <f t="shared" si="5"/>
        <v/>
      </c>
      <c r="L92" s="907"/>
      <c r="M92" s="907"/>
      <c r="N92" s="907"/>
      <c r="O92" s="906"/>
      <c r="P92" s="907"/>
      <c r="Q92" s="907"/>
      <c r="R92" s="907"/>
      <c r="S92" s="906"/>
      <c r="T92" s="907"/>
      <c r="U92" s="907"/>
      <c r="V92" s="907"/>
      <c r="W92" s="906"/>
      <c r="X92" s="907"/>
      <c r="Y92" s="907"/>
      <c r="Z92" s="907"/>
      <c r="AA92" s="906"/>
      <c r="AB92" s="907"/>
      <c r="AC92" s="907"/>
      <c r="AD92" s="907"/>
      <c r="AE92" s="906"/>
      <c r="AF92" s="907"/>
      <c r="AG92" s="907"/>
      <c r="AH92" s="907"/>
      <c r="AI92" s="906"/>
      <c r="AJ92" s="907"/>
      <c r="AK92" s="907"/>
      <c r="AL92" s="907"/>
      <c r="AM92" s="906"/>
      <c r="AN92" s="907"/>
      <c r="AO92" s="907"/>
      <c r="AP92" s="907"/>
      <c r="AQ92" s="906"/>
      <c r="AR92" s="907"/>
      <c r="AS92" s="907"/>
      <c r="AT92" s="907"/>
      <c r="AU92" s="906"/>
      <c r="AV92" s="907"/>
      <c r="AW92" s="907"/>
      <c r="AX92" s="907"/>
      <c r="AY92" s="906"/>
      <c r="AZ92" s="907"/>
      <c r="BA92" s="907"/>
      <c r="BB92" s="907"/>
      <c r="BC92" s="906"/>
      <c r="BD92" s="907"/>
      <c r="BE92" s="907"/>
      <c r="BF92" s="907"/>
      <c r="BG92" s="906"/>
      <c r="BH92" s="907"/>
      <c r="BI92" s="907"/>
      <c r="BJ92" s="907"/>
      <c r="BK92" s="906"/>
      <c r="BL92" s="907"/>
      <c r="BM92" s="907"/>
      <c r="BN92" s="907"/>
      <c r="BO92" s="906"/>
      <c r="BP92" s="907"/>
      <c r="BQ92" s="907"/>
      <c r="BR92" s="907"/>
      <c r="BS92" s="906"/>
      <c r="BT92" s="907"/>
      <c r="BU92" s="907"/>
      <c r="BV92" s="907"/>
      <c r="BW92" s="906"/>
      <c r="BX92" s="907"/>
      <c r="BY92" s="907"/>
      <c r="BZ92" s="907"/>
      <c r="CA92" s="906"/>
      <c r="CB92" s="907"/>
      <c r="CC92" s="907"/>
      <c r="CD92" s="907"/>
      <c r="CE92" s="906"/>
      <c r="CF92" s="907"/>
      <c r="CG92" s="907"/>
      <c r="CH92" s="907"/>
      <c r="CI92" s="906"/>
      <c r="CJ92" s="907"/>
      <c r="CK92" s="907"/>
      <c r="CL92" s="907"/>
      <c r="CM92" s="906"/>
      <c r="CN92" s="907"/>
      <c r="CO92" s="907"/>
      <c r="CP92" s="907"/>
      <c r="CQ92" s="906"/>
      <c r="CR92" s="907"/>
      <c r="CS92" s="907"/>
      <c r="CT92" s="907"/>
      <c r="CU92" s="906"/>
      <c r="CV92" s="907"/>
      <c r="CW92" s="907"/>
      <c r="CX92" s="907"/>
      <c r="CY92" s="906"/>
      <c r="CZ92" s="907"/>
      <c r="DA92" s="907"/>
      <c r="DB92" s="907"/>
      <c r="DC92" s="906"/>
      <c r="DD92" s="907"/>
      <c r="DE92" s="907"/>
      <c r="DF92" s="907"/>
      <c r="DG92" s="906"/>
    </row>
    <row r="93" hidden="1" spans="1:111">
      <c r="A93" s="824">
        <v>90</v>
      </c>
      <c r="B93" s="824">
        <f>STUDENT!F91</f>
        <v>0</v>
      </c>
      <c r="C93" s="824">
        <f>STUDENT!D91</f>
        <v>0</v>
      </c>
      <c r="D93" s="827">
        <f>STUDENT!E91</f>
        <v>0</v>
      </c>
      <c r="E93" s="827">
        <f>STUDENT!H91</f>
        <v>0</v>
      </c>
      <c r="F93" s="904"/>
      <c r="G93" s="904"/>
      <c r="H93" s="904"/>
      <c r="I93" s="824" t="str">
        <f t="shared" si="3"/>
        <v/>
      </c>
      <c r="J93" s="824" t="str">
        <f t="shared" si="4"/>
        <v/>
      </c>
      <c r="K93" s="824" t="str">
        <f t="shared" si="5"/>
        <v/>
      </c>
      <c r="L93" s="907"/>
      <c r="M93" s="907"/>
      <c r="N93" s="907"/>
      <c r="O93" s="906"/>
      <c r="P93" s="907"/>
      <c r="Q93" s="907"/>
      <c r="R93" s="907"/>
      <c r="S93" s="906"/>
      <c r="T93" s="907"/>
      <c r="U93" s="907"/>
      <c r="V93" s="907"/>
      <c r="W93" s="906"/>
      <c r="X93" s="907"/>
      <c r="Y93" s="907"/>
      <c r="Z93" s="907"/>
      <c r="AA93" s="906"/>
      <c r="AB93" s="907"/>
      <c r="AC93" s="907"/>
      <c r="AD93" s="907"/>
      <c r="AE93" s="906"/>
      <c r="AF93" s="907"/>
      <c r="AG93" s="907"/>
      <c r="AH93" s="907"/>
      <c r="AI93" s="906"/>
      <c r="AJ93" s="907"/>
      <c r="AK93" s="907"/>
      <c r="AL93" s="907"/>
      <c r="AM93" s="906"/>
      <c r="AN93" s="907"/>
      <c r="AO93" s="907"/>
      <c r="AP93" s="907"/>
      <c r="AQ93" s="906"/>
      <c r="AR93" s="907"/>
      <c r="AS93" s="907"/>
      <c r="AT93" s="907"/>
      <c r="AU93" s="906"/>
      <c r="AV93" s="907"/>
      <c r="AW93" s="907"/>
      <c r="AX93" s="907"/>
      <c r="AY93" s="906"/>
      <c r="AZ93" s="907"/>
      <c r="BA93" s="907"/>
      <c r="BB93" s="907"/>
      <c r="BC93" s="906"/>
      <c r="BD93" s="907"/>
      <c r="BE93" s="907"/>
      <c r="BF93" s="907"/>
      <c r="BG93" s="906"/>
      <c r="BH93" s="907"/>
      <c r="BI93" s="907"/>
      <c r="BJ93" s="907"/>
      <c r="BK93" s="906"/>
      <c r="BL93" s="907"/>
      <c r="BM93" s="907"/>
      <c r="BN93" s="907"/>
      <c r="BO93" s="906"/>
      <c r="BP93" s="907"/>
      <c r="BQ93" s="907"/>
      <c r="BR93" s="907"/>
      <c r="BS93" s="906"/>
      <c r="BT93" s="907"/>
      <c r="BU93" s="907"/>
      <c r="BV93" s="907"/>
      <c r="BW93" s="906"/>
      <c r="BX93" s="907"/>
      <c r="BY93" s="907"/>
      <c r="BZ93" s="907"/>
      <c r="CA93" s="906"/>
      <c r="CB93" s="907"/>
      <c r="CC93" s="907"/>
      <c r="CD93" s="907"/>
      <c r="CE93" s="906"/>
      <c r="CF93" s="907"/>
      <c r="CG93" s="907"/>
      <c r="CH93" s="907"/>
      <c r="CI93" s="906"/>
      <c r="CJ93" s="907"/>
      <c r="CK93" s="907"/>
      <c r="CL93" s="907"/>
      <c r="CM93" s="906"/>
      <c r="CN93" s="907"/>
      <c r="CO93" s="907"/>
      <c r="CP93" s="907"/>
      <c r="CQ93" s="906"/>
      <c r="CR93" s="907"/>
      <c r="CS93" s="907"/>
      <c r="CT93" s="907"/>
      <c r="CU93" s="906"/>
      <c r="CV93" s="907"/>
      <c r="CW93" s="907"/>
      <c r="CX93" s="907"/>
      <c r="CY93" s="906"/>
      <c r="CZ93" s="907"/>
      <c r="DA93" s="907"/>
      <c r="DB93" s="907"/>
      <c r="DC93" s="906"/>
      <c r="DD93" s="907"/>
      <c r="DE93" s="907"/>
      <c r="DF93" s="907"/>
      <c r="DG93" s="906"/>
    </row>
    <row r="94" hidden="1" spans="1:111">
      <c r="A94" s="824">
        <v>91</v>
      </c>
      <c r="B94" s="824">
        <f>STUDENT!F92</f>
        <v>0</v>
      </c>
      <c r="C94" s="824">
        <f>STUDENT!D92</f>
        <v>0</v>
      </c>
      <c r="D94" s="827">
        <f>STUDENT!E92</f>
        <v>0</v>
      </c>
      <c r="E94" s="827">
        <f>STUDENT!H92</f>
        <v>0</v>
      </c>
      <c r="F94" s="904"/>
      <c r="G94" s="904"/>
      <c r="H94" s="904"/>
      <c r="I94" s="824" t="str">
        <f t="shared" si="3"/>
        <v/>
      </c>
      <c r="J94" s="824" t="str">
        <f t="shared" si="4"/>
        <v/>
      </c>
      <c r="K94" s="824" t="str">
        <f t="shared" si="5"/>
        <v/>
      </c>
      <c r="L94" s="907"/>
      <c r="M94" s="907"/>
      <c r="N94" s="907"/>
      <c r="O94" s="906"/>
      <c r="P94" s="907"/>
      <c r="Q94" s="907"/>
      <c r="R94" s="907"/>
      <c r="S94" s="906"/>
      <c r="T94" s="907"/>
      <c r="U94" s="907"/>
      <c r="V94" s="907"/>
      <c r="W94" s="906"/>
      <c r="X94" s="907"/>
      <c r="Y94" s="907"/>
      <c r="Z94" s="907"/>
      <c r="AA94" s="906"/>
      <c r="AB94" s="907"/>
      <c r="AC94" s="907"/>
      <c r="AD94" s="907"/>
      <c r="AE94" s="906"/>
      <c r="AF94" s="907"/>
      <c r="AG94" s="907"/>
      <c r="AH94" s="907"/>
      <c r="AI94" s="906"/>
      <c r="AJ94" s="907"/>
      <c r="AK94" s="907"/>
      <c r="AL94" s="907"/>
      <c r="AM94" s="906"/>
      <c r="AN94" s="907"/>
      <c r="AO94" s="907"/>
      <c r="AP94" s="907"/>
      <c r="AQ94" s="906"/>
      <c r="AR94" s="907"/>
      <c r="AS94" s="907"/>
      <c r="AT94" s="907"/>
      <c r="AU94" s="906"/>
      <c r="AV94" s="907"/>
      <c r="AW94" s="907"/>
      <c r="AX94" s="907"/>
      <c r="AY94" s="906"/>
      <c r="AZ94" s="907"/>
      <c r="BA94" s="907"/>
      <c r="BB94" s="907"/>
      <c r="BC94" s="906"/>
      <c r="BD94" s="907"/>
      <c r="BE94" s="907"/>
      <c r="BF94" s="907"/>
      <c r="BG94" s="906"/>
      <c r="BH94" s="907"/>
      <c r="BI94" s="907"/>
      <c r="BJ94" s="907"/>
      <c r="BK94" s="906"/>
      <c r="BL94" s="907"/>
      <c r="BM94" s="907"/>
      <c r="BN94" s="907"/>
      <c r="BO94" s="906"/>
      <c r="BP94" s="907"/>
      <c r="BQ94" s="907"/>
      <c r="BR94" s="907"/>
      <c r="BS94" s="906"/>
      <c r="BT94" s="907"/>
      <c r="BU94" s="907"/>
      <c r="BV94" s="907"/>
      <c r="BW94" s="906"/>
      <c r="BX94" s="907"/>
      <c r="BY94" s="907"/>
      <c r="BZ94" s="907"/>
      <c r="CA94" s="906"/>
      <c r="CB94" s="907"/>
      <c r="CC94" s="907"/>
      <c r="CD94" s="907"/>
      <c r="CE94" s="906"/>
      <c r="CF94" s="907"/>
      <c r="CG94" s="907"/>
      <c r="CH94" s="907"/>
      <c r="CI94" s="906"/>
      <c r="CJ94" s="907"/>
      <c r="CK94" s="907"/>
      <c r="CL94" s="907"/>
      <c r="CM94" s="906"/>
      <c r="CN94" s="907"/>
      <c r="CO94" s="907"/>
      <c r="CP94" s="907"/>
      <c r="CQ94" s="906"/>
      <c r="CR94" s="907"/>
      <c r="CS94" s="907"/>
      <c r="CT94" s="907"/>
      <c r="CU94" s="906"/>
      <c r="CV94" s="907"/>
      <c r="CW94" s="907"/>
      <c r="CX94" s="907"/>
      <c r="CY94" s="906"/>
      <c r="CZ94" s="907"/>
      <c r="DA94" s="907"/>
      <c r="DB94" s="907"/>
      <c r="DC94" s="906"/>
      <c r="DD94" s="907"/>
      <c r="DE94" s="907"/>
      <c r="DF94" s="907"/>
      <c r="DG94" s="906"/>
    </row>
    <row r="95" hidden="1" spans="1:111">
      <c r="A95" s="824">
        <v>92</v>
      </c>
      <c r="B95" s="824">
        <f>STUDENT!F93</f>
        <v>0</v>
      </c>
      <c r="C95" s="824">
        <f>STUDENT!D93</f>
        <v>0</v>
      </c>
      <c r="D95" s="827">
        <f>STUDENT!E93</f>
        <v>0</v>
      </c>
      <c r="E95" s="827">
        <f>STUDENT!H93</f>
        <v>0</v>
      </c>
      <c r="F95" s="904"/>
      <c r="G95" s="904"/>
      <c r="H95" s="904"/>
      <c r="I95" s="824" t="str">
        <f t="shared" si="3"/>
        <v/>
      </c>
      <c r="J95" s="824" t="str">
        <f t="shared" si="4"/>
        <v/>
      </c>
      <c r="K95" s="824" t="str">
        <f t="shared" si="5"/>
        <v/>
      </c>
      <c r="L95" s="907"/>
      <c r="M95" s="907"/>
      <c r="N95" s="907"/>
      <c r="O95" s="906"/>
      <c r="P95" s="907"/>
      <c r="Q95" s="907"/>
      <c r="R95" s="907"/>
      <c r="S95" s="906"/>
      <c r="T95" s="907"/>
      <c r="U95" s="907"/>
      <c r="V95" s="907"/>
      <c r="W95" s="906"/>
      <c r="X95" s="907"/>
      <c r="Y95" s="907"/>
      <c r="Z95" s="907"/>
      <c r="AA95" s="906"/>
      <c r="AB95" s="907"/>
      <c r="AC95" s="907"/>
      <c r="AD95" s="907"/>
      <c r="AE95" s="906"/>
      <c r="AF95" s="907"/>
      <c r="AG95" s="907"/>
      <c r="AH95" s="907"/>
      <c r="AI95" s="906"/>
      <c r="AJ95" s="907"/>
      <c r="AK95" s="907"/>
      <c r="AL95" s="907"/>
      <c r="AM95" s="906"/>
      <c r="AN95" s="907"/>
      <c r="AO95" s="907"/>
      <c r="AP95" s="907"/>
      <c r="AQ95" s="906"/>
      <c r="AR95" s="907"/>
      <c r="AS95" s="907"/>
      <c r="AT95" s="907"/>
      <c r="AU95" s="906"/>
      <c r="AV95" s="907"/>
      <c r="AW95" s="907"/>
      <c r="AX95" s="907"/>
      <c r="AY95" s="906"/>
      <c r="AZ95" s="907"/>
      <c r="BA95" s="907"/>
      <c r="BB95" s="907"/>
      <c r="BC95" s="906"/>
      <c r="BD95" s="907"/>
      <c r="BE95" s="907"/>
      <c r="BF95" s="907"/>
      <c r="BG95" s="906"/>
      <c r="BH95" s="907"/>
      <c r="BI95" s="907"/>
      <c r="BJ95" s="907"/>
      <c r="BK95" s="906"/>
      <c r="BL95" s="907"/>
      <c r="BM95" s="907"/>
      <c r="BN95" s="907"/>
      <c r="BO95" s="906"/>
      <c r="BP95" s="907"/>
      <c r="BQ95" s="907"/>
      <c r="BR95" s="907"/>
      <c r="BS95" s="906"/>
      <c r="BT95" s="907"/>
      <c r="BU95" s="907"/>
      <c r="BV95" s="907"/>
      <c r="BW95" s="906"/>
      <c r="BX95" s="907"/>
      <c r="BY95" s="907"/>
      <c r="BZ95" s="907"/>
      <c r="CA95" s="906"/>
      <c r="CB95" s="907"/>
      <c r="CC95" s="907"/>
      <c r="CD95" s="907"/>
      <c r="CE95" s="906"/>
      <c r="CF95" s="907"/>
      <c r="CG95" s="907"/>
      <c r="CH95" s="907"/>
      <c r="CI95" s="906"/>
      <c r="CJ95" s="907"/>
      <c r="CK95" s="907"/>
      <c r="CL95" s="907"/>
      <c r="CM95" s="906"/>
      <c r="CN95" s="907"/>
      <c r="CO95" s="907"/>
      <c r="CP95" s="907"/>
      <c r="CQ95" s="906"/>
      <c r="CR95" s="907"/>
      <c r="CS95" s="907"/>
      <c r="CT95" s="907"/>
      <c r="CU95" s="906"/>
      <c r="CV95" s="907"/>
      <c r="CW95" s="907"/>
      <c r="CX95" s="907"/>
      <c r="CY95" s="906"/>
      <c r="CZ95" s="907"/>
      <c r="DA95" s="907"/>
      <c r="DB95" s="907"/>
      <c r="DC95" s="906"/>
      <c r="DD95" s="907"/>
      <c r="DE95" s="907"/>
      <c r="DF95" s="907"/>
      <c r="DG95" s="906"/>
    </row>
    <row r="96" hidden="1" spans="1:111">
      <c r="A96" s="824">
        <v>93</v>
      </c>
      <c r="B96" s="824">
        <f>STUDENT!F94</f>
        <v>0</v>
      </c>
      <c r="C96" s="824">
        <f>STUDENT!D94</f>
        <v>0</v>
      </c>
      <c r="D96" s="827">
        <f>STUDENT!E94</f>
        <v>0</v>
      </c>
      <c r="E96" s="827">
        <f>STUDENT!H94</f>
        <v>0</v>
      </c>
      <c r="F96" s="904"/>
      <c r="G96" s="904"/>
      <c r="H96" s="904"/>
      <c r="I96" s="824" t="str">
        <f t="shared" si="3"/>
        <v/>
      </c>
      <c r="J96" s="824" t="str">
        <f t="shared" si="4"/>
        <v/>
      </c>
      <c r="K96" s="824" t="str">
        <f t="shared" si="5"/>
        <v/>
      </c>
      <c r="L96" s="907"/>
      <c r="M96" s="907"/>
      <c r="N96" s="907"/>
      <c r="O96" s="906"/>
      <c r="P96" s="907"/>
      <c r="Q96" s="907"/>
      <c r="R96" s="907"/>
      <c r="S96" s="906"/>
      <c r="T96" s="907"/>
      <c r="U96" s="907"/>
      <c r="V96" s="907"/>
      <c r="W96" s="906"/>
      <c r="X96" s="907"/>
      <c r="Y96" s="907"/>
      <c r="Z96" s="907"/>
      <c r="AA96" s="906"/>
      <c r="AB96" s="907"/>
      <c r="AC96" s="907"/>
      <c r="AD96" s="907"/>
      <c r="AE96" s="906"/>
      <c r="AF96" s="907"/>
      <c r="AG96" s="907"/>
      <c r="AH96" s="907"/>
      <c r="AI96" s="906"/>
      <c r="AJ96" s="907"/>
      <c r="AK96" s="907"/>
      <c r="AL96" s="907"/>
      <c r="AM96" s="906"/>
      <c r="AN96" s="907"/>
      <c r="AO96" s="907"/>
      <c r="AP96" s="907"/>
      <c r="AQ96" s="906"/>
      <c r="AR96" s="907"/>
      <c r="AS96" s="907"/>
      <c r="AT96" s="907"/>
      <c r="AU96" s="906"/>
      <c r="AV96" s="907"/>
      <c r="AW96" s="907"/>
      <c r="AX96" s="907"/>
      <c r="AY96" s="906"/>
      <c r="AZ96" s="907"/>
      <c r="BA96" s="907"/>
      <c r="BB96" s="907"/>
      <c r="BC96" s="906"/>
      <c r="BD96" s="907"/>
      <c r="BE96" s="907"/>
      <c r="BF96" s="907"/>
      <c r="BG96" s="906"/>
      <c r="BH96" s="907"/>
      <c r="BI96" s="907"/>
      <c r="BJ96" s="907"/>
      <c r="BK96" s="906"/>
      <c r="BL96" s="907"/>
      <c r="BM96" s="907"/>
      <c r="BN96" s="907"/>
      <c r="BO96" s="906"/>
      <c r="BP96" s="907"/>
      <c r="BQ96" s="907"/>
      <c r="BR96" s="907"/>
      <c r="BS96" s="906"/>
      <c r="BT96" s="907"/>
      <c r="BU96" s="907"/>
      <c r="BV96" s="907"/>
      <c r="BW96" s="906"/>
      <c r="BX96" s="907"/>
      <c r="BY96" s="907"/>
      <c r="BZ96" s="907"/>
      <c r="CA96" s="906"/>
      <c r="CB96" s="907"/>
      <c r="CC96" s="907"/>
      <c r="CD96" s="907"/>
      <c r="CE96" s="906"/>
      <c r="CF96" s="907"/>
      <c r="CG96" s="907"/>
      <c r="CH96" s="907"/>
      <c r="CI96" s="906"/>
      <c r="CJ96" s="907"/>
      <c r="CK96" s="907"/>
      <c r="CL96" s="907"/>
      <c r="CM96" s="906"/>
      <c r="CN96" s="907"/>
      <c r="CO96" s="907"/>
      <c r="CP96" s="907"/>
      <c r="CQ96" s="906"/>
      <c r="CR96" s="907"/>
      <c r="CS96" s="907"/>
      <c r="CT96" s="907"/>
      <c r="CU96" s="906"/>
      <c r="CV96" s="907"/>
      <c r="CW96" s="907"/>
      <c r="CX96" s="907"/>
      <c r="CY96" s="906"/>
      <c r="CZ96" s="907"/>
      <c r="DA96" s="907"/>
      <c r="DB96" s="907"/>
      <c r="DC96" s="906"/>
      <c r="DD96" s="907"/>
      <c r="DE96" s="907"/>
      <c r="DF96" s="907"/>
      <c r="DG96" s="906"/>
    </row>
    <row r="97" hidden="1" spans="1:111">
      <c r="A97" s="824">
        <v>94</v>
      </c>
      <c r="B97" s="824">
        <f>STUDENT!F95</f>
        <v>0</v>
      </c>
      <c r="C97" s="824">
        <f>STUDENT!D95</f>
        <v>0</v>
      </c>
      <c r="D97" s="827">
        <f>STUDENT!E95</f>
        <v>0</v>
      </c>
      <c r="E97" s="827">
        <f>STUDENT!H95</f>
        <v>0</v>
      </c>
      <c r="F97" s="904"/>
      <c r="G97" s="904"/>
      <c r="H97" s="904"/>
      <c r="I97" s="824" t="str">
        <f t="shared" si="3"/>
        <v/>
      </c>
      <c r="J97" s="824" t="str">
        <f t="shared" si="4"/>
        <v/>
      </c>
      <c r="K97" s="824" t="str">
        <f t="shared" si="5"/>
        <v/>
      </c>
      <c r="L97" s="907"/>
      <c r="M97" s="907"/>
      <c r="N97" s="907"/>
      <c r="O97" s="906"/>
      <c r="P97" s="907"/>
      <c r="Q97" s="907"/>
      <c r="R97" s="907"/>
      <c r="S97" s="906"/>
      <c r="T97" s="907"/>
      <c r="U97" s="907"/>
      <c r="V97" s="907"/>
      <c r="W97" s="906"/>
      <c r="X97" s="907"/>
      <c r="Y97" s="907"/>
      <c r="Z97" s="907"/>
      <c r="AA97" s="906"/>
      <c r="AB97" s="907"/>
      <c r="AC97" s="907"/>
      <c r="AD97" s="907"/>
      <c r="AE97" s="906"/>
      <c r="AF97" s="907"/>
      <c r="AG97" s="907"/>
      <c r="AH97" s="907"/>
      <c r="AI97" s="906"/>
      <c r="AJ97" s="907"/>
      <c r="AK97" s="907"/>
      <c r="AL97" s="907"/>
      <c r="AM97" s="906"/>
      <c r="AN97" s="907"/>
      <c r="AO97" s="907"/>
      <c r="AP97" s="907"/>
      <c r="AQ97" s="906"/>
      <c r="AR97" s="907"/>
      <c r="AS97" s="907"/>
      <c r="AT97" s="907"/>
      <c r="AU97" s="906"/>
      <c r="AV97" s="907"/>
      <c r="AW97" s="907"/>
      <c r="AX97" s="907"/>
      <c r="AY97" s="906"/>
      <c r="AZ97" s="907"/>
      <c r="BA97" s="907"/>
      <c r="BB97" s="907"/>
      <c r="BC97" s="906"/>
      <c r="BD97" s="907"/>
      <c r="BE97" s="907"/>
      <c r="BF97" s="907"/>
      <c r="BG97" s="906"/>
      <c r="BH97" s="907"/>
      <c r="BI97" s="907"/>
      <c r="BJ97" s="907"/>
      <c r="BK97" s="906"/>
      <c r="BL97" s="907"/>
      <c r="BM97" s="907"/>
      <c r="BN97" s="907"/>
      <c r="BO97" s="906"/>
      <c r="BP97" s="907"/>
      <c r="BQ97" s="907"/>
      <c r="BR97" s="907"/>
      <c r="BS97" s="906"/>
      <c r="BT97" s="907"/>
      <c r="BU97" s="907"/>
      <c r="BV97" s="907"/>
      <c r="BW97" s="906"/>
      <c r="BX97" s="907"/>
      <c r="BY97" s="907"/>
      <c r="BZ97" s="907"/>
      <c r="CA97" s="906"/>
      <c r="CB97" s="907"/>
      <c r="CC97" s="907"/>
      <c r="CD97" s="907"/>
      <c r="CE97" s="906"/>
      <c r="CF97" s="907"/>
      <c r="CG97" s="907"/>
      <c r="CH97" s="907"/>
      <c r="CI97" s="906"/>
      <c r="CJ97" s="907"/>
      <c r="CK97" s="907"/>
      <c r="CL97" s="907"/>
      <c r="CM97" s="906"/>
      <c r="CN97" s="907"/>
      <c r="CO97" s="907"/>
      <c r="CP97" s="907"/>
      <c r="CQ97" s="906"/>
      <c r="CR97" s="907"/>
      <c r="CS97" s="907"/>
      <c r="CT97" s="907"/>
      <c r="CU97" s="906"/>
      <c r="CV97" s="907"/>
      <c r="CW97" s="907"/>
      <c r="CX97" s="907"/>
      <c r="CY97" s="906"/>
      <c r="CZ97" s="907"/>
      <c r="DA97" s="907"/>
      <c r="DB97" s="907"/>
      <c r="DC97" s="906"/>
      <c r="DD97" s="907"/>
      <c r="DE97" s="907"/>
      <c r="DF97" s="907"/>
      <c r="DG97" s="906"/>
    </row>
    <row r="98" hidden="1" spans="1:111">
      <c r="A98" s="824">
        <v>95</v>
      </c>
      <c r="B98" s="824">
        <f>STUDENT!F96</f>
        <v>0</v>
      </c>
      <c r="C98" s="824">
        <f>STUDENT!D96</f>
        <v>0</v>
      </c>
      <c r="D98" s="827">
        <f>STUDENT!E96</f>
        <v>0</v>
      </c>
      <c r="E98" s="827">
        <f>STUDENT!H96</f>
        <v>0</v>
      </c>
      <c r="F98" s="904"/>
      <c r="G98" s="904"/>
      <c r="H98" s="904"/>
      <c r="I98" s="824" t="str">
        <f t="shared" si="3"/>
        <v/>
      </c>
      <c r="J98" s="824" t="str">
        <f t="shared" si="4"/>
        <v/>
      </c>
      <c r="K98" s="824" t="str">
        <f t="shared" si="5"/>
        <v/>
      </c>
      <c r="L98" s="907"/>
      <c r="M98" s="907"/>
      <c r="N98" s="907"/>
      <c r="O98" s="906"/>
      <c r="P98" s="907"/>
      <c r="Q98" s="907"/>
      <c r="R98" s="907"/>
      <c r="S98" s="906"/>
      <c r="T98" s="907"/>
      <c r="U98" s="907"/>
      <c r="V98" s="907"/>
      <c r="W98" s="906"/>
      <c r="X98" s="907"/>
      <c r="Y98" s="907"/>
      <c r="Z98" s="907"/>
      <c r="AA98" s="906"/>
      <c r="AB98" s="907"/>
      <c r="AC98" s="907"/>
      <c r="AD98" s="907"/>
      <c r="AE98" s="906"/>
      <c r="AF98" s="907"/>
      <c r="AG98" s="907"/>
      <c r="AH98" s="907"/>
      <c r="AI98" s="906"/>
      <c r="AJ98" s="907"/>
      <c r="AK98" s="907"/>
      <c r="AL98" s="907"/>
      <c r="AM98" s="906"/>
      <c r="AN98" s="907"/>
      <c r="AO98" s="907"/>
      <c r="AP98" s="907"/>
      <c r="AQ98" s="906"/>
      <c r="AR98" s="907"/>
      <c r="AS98" s="907"/>
      <c r="AT98" s="907"/>
      <c r="AU98" s="906"/>
      <c r="AV98" s="907"/>
      <c r="AW98" s="907"/>
      <c r="AX98" s="907"/>
      <c r="AY98" s="906"/>
      <c r="AZ98" s="907"/>
      <c r="BA98" s="907"/>
      <c r="BB98" s="907"/>
      <c r="BC98" s="906"/>
      <c r="BD98" s="907"/>
      <c r="BE98" s="907"/>
      <c r="BF98" s="907"/>
      <c r="BG98" s="906"/>
      <c r="BH98" s="907"/>
      <c r="BI98" s="907"/>
      <c r="BJ98" s="907"/>
      <c r="BK98" s="906"/>
      <c r="BL98" s="907"/>
      <c r="BM98" s="907"/>
      <c r="BN98" s="907"/>
      <c r="BO98" s="906"/>
      <c r="BP98" s="907"/>
      <c r="BQ98" s="907"/>
      <c r="BR98" s="907"/>
      <c r="BS98" s="906"/>
      <c r="BT98" s="907"/>
      <c r="BU98" s="907"/>
      <c r="BV98" s="907"/>
      <c r="BW98" s="906"/>
      <c r="BX98" s="907"/>
      <c r="BY98" s="907"/>
      <c r="BZ98" s="907"/>
      <c r="CA98" s="906"/>
      <c r="CB98" s="907"/>
      <c r="CC98" s="907"/>
      <c r="CD98" s="907"/>
      <c r="CE98" s="906"/>
      <c r="CF98" s="907"/>
      <c r="CG98" s="907"/>
      <c r="CH98" s="907"/>
      <c r="CI98" s="906"/>
      <c r="CJ98" s="907"/>
      <c r="CK98" s="907"/>
      <c r="CL98" s="907"/>
      <c r="CM98" s="906"/>
      <c r="CN98" s="907"/>
      <c r="CO98" s="907"/>
      <c r="CP98" s="907"/>
      <c r="CQ98" s="906"/>
      <c r="CR98" s="907"/>
      <c r="CS98" s="907"/>
      <c r="CT98" s="907"/>
      <c r="CU98" s="906"/>
      <c r="CV98" s="907"/>
      <c r="CW98" s="907"/>
      <c r="CX98" s="907"/>
      <c r="CY98" s="906"/>
      <c r="CZ98" s="907"/>
      <c r="DA98" s="907"/>
      <c r="DB98" s="907"/>
      <c r="DC98" s="906"/>
      <c r="DD98" s="907"/>
      <c r="DE98" s="907"/>
      <c r="DF98" s="907"/>
      <c r="DG98" s="906"/>
    </row>
    <row r="99" hidden="1" spans="1:111">
      <c r="A99" s="824">
        <v>96</v>
      </c>
      <c r="B99" s="824">
        <f>STUDENT!F97</f>
        <v>0</v>
      </c>
      <c r="C99" s="824">
        <f>STUDENT!D97</f>
        <v>0</v>
      </c>
      <c r="D99" s="827">
        <f>STUDENT!E97</f>
        <v>0</v>
      </c>
      <c r="E99" s="827">
        <f>STUDENT!H97</f>
        <v>0</v>
      </c>
      <c r="F99" s="904"/>
      <c r="G99" s="904"/>
      <c r="H99" s="904"/>
      <c r="I99" s="824" t="str">
        <f t="shared" si="3"/>
        <v/>
      </c>
      <c r="J99" s="824" t="str">
        <f t="shared" si="4"/>
        <v/>
      </c>
      <c r="K99" s="824" t="str">
        <f t="shared" si="5"/>
        <v/>
      </c>
      <c r="L99" s="907"/>
      <c r="M99" s="907"/>
      <c r="N99" s="907"/>
      <c r="O99" s="906"/>
      <c r="P99" s="907"/>
      <c r="Q99" s="907"/>
      <c r="R99" s="907"/>
      <c r="S99" s="906"/>
      <c r="T99" s="907"/>
      <c r="U99" s="907"/>
      <c r="V99" s="907"/>
      <c r="W99" s="906"/>
      <c r="X99" s="907"/>
      <c r="Y99" s="907"/>
      <c r="Z99" s="907"/>
      <c r="AA99" s="906"/>
      <c r="AB99" s="907"/>
      <c r="AC99" s="907"/>
      <c r="AD99" s="907"/>
      <c r="AE99" s="906"/>
      <c r="AF99" s="907"/>
      <c r="AG99" s="907"/>
      <c r="AH99" s="907"/>
      <c r="AI99" s="906"/>
      <c r="AJ99" s="907"/>
      <c r="AK99" s="907"/>
      <c r="AL99" s="907"/>
      <c r="AM99" s="906"/>
      <c r="AN99" s="907"/>
      <c r="AO99" s="907"/>
      <c r="AP99" s="907"/>
      <c r="AQ99" s="906"/>
      <c r="AR99" s="907"/>
      <c r="AS99" s="907"/>
      <c r="AT99" s="907"/>
      <c r="AU99" s="906"/>
      <c r="AV99" s="907"/>
      <c r="AW99" s="907"/>
      <c r="AX99" s="907"/>
      <c r="AY99" s="906"/>
      <c r="AZ99" s="907"/>
      <c r="BA99" s="907"/>
      <c r="BB99" s="907"/>
      <c r="BC99" s="906"/>
      <c r="BD99" s="907"/>
      <c r="BE99" s="907"/>
      <c r="BF99" s="907"/>
      <c r="BG99" s="906"/>
      <c r="BH99" s="907"/>
      <c r="BI99" s="907"/>
      <c r="BJ99" s="907"/>
      <c r="BK99" s="906"/>
      <c r="BL99" s="907"/>
      <c r="BM99" s="907"/>
      <c r="BN99" s="907"/>
      <c r="BO99" s="906"/>
      <c r="BP99" s="907"/>
      <c r="BQ99" s="907"/>
      <c r="BR99" s="907"/>
      <c r="BS99" s="906"/>
      <c r="BT99" s="907"/>
      <c r="BU99" s="907"/>
      <c r="BV99" s="907"/>
      <c r="BW99" s="906"/>
      <c r="BX99" s="907"/>
      <c r="BY99" s="907"/>
      <c r="BZ99" s="907"/>
      <c r="CA99" s="906"/>
      <c r="CB99" s="907"/>
      <c r="CC99" s="907"/>
      <c r="CD99" s="907"/>
      <c r="CE99" s="906"/>
      <c r="CF99" s="907"/>
      <c r="CG99" s="907"/>
      <c r="CH99" s="907"/>
      <c r="CI99" s="906"/>
      <c r="CJ99" s="907"/>
      <c r="CK99" s="907"/>
      <c r="CL99" s="907"/>
      <c r="CM99" s="906"/>
      <c r="CN99" s="907"/>
      <c r="CO99" s="907"/>
      <c r="CP99" s="907"/>
      <c r="CQ99" s="906"/>
      <c r="CR99" s="907"/>
      <c r="CS99" s="907"/>
      <c r="CT99" s="907"/>
      <c r="CU99" s="906"/>
      <c r="CV99" s="907"/>
      <c r="CW99" s="907"/>
      <c r="CX99" s="907"/>
      <c r="CY99" s="906"/>
      <c r="CZ99" s="907"/>
      <c r="DA99" s="907"/>
      <c r="DB99" s="907"/>
      <c r="DC99" s="906"/>
      <c r="DD99" s="907"/>
      <c r="DE99" s="907"/>
      <c r="DF99" s="907"/>
      <c r="DG99" s="906"/>
    </row>
    <row r="100" hidden="1" spans="1:111">
      <c r="A100" s="824">
        <v>97</v>
      </c>
      <c r="B100" s="824">
        <f>STUDENT!F98</f>
        <v>0</v>
      </c>
      <c r="C100" s="824">
        <f>STUDENT!D98</f>
        <v>0</v>
      </c>
      <c r="D100" s="827">
        <f>STUDENT!E98</f>
        <v>0</v>
      </c>
      <c r="E100" s="827">
        <f>STUDENT!H98</f>
        <v>0</v>
      </c>
      <c r="F100" s="904"/>
      <c r="G100" s="904"/>
      <c r="H100" s="904"/>
      <c r="I100" s="824" t="str">
        <f t="shared" si="3"/>
        <v/>
      </c>
      <c r="J100" s="824" t="str">
        <f t="shared" si="4"/>
        <v/>
      </c>
      <c r="K100" s="824" t="str">
        <f t="shared" si="5"/>
        <v/>
      </c>
      <c r="L100" s="907"/>
      <c r="M100" s="907"/>
      <c r="N100" s="907"/>
      <c r="O100" s="906"/>
      <c r="P100" s="907"/>
      <c r="Q100" s="907"/>
      <c r="R100" s="907"/>
      <c r="S100" s="906"/>
      <c r="T100" s="907"/>
      <c r="U100" s="907"/>
      <c r="V100" s="907"/>
      <c r="W100" s="906"/>
      <c r="X100" s="907"/>
      <c r="Y100" s="907"/>
      <c r="Z100" s="907"/>
      <c r="AA100" s="906"/>
      <c r="AB100" s="907"/>
      <c r="AC100" s="907"/>
      <c r="AD100" s="907"/>
      <c r="AE100" s="906"/>
      <c r="AF100" s="907"/>
      <c r="AG100" s="907"/>
      <c r="AH100" s="907"/>
      <c r="AI100" s="906"/>
      <c r="AJ100" s="907"/>
      <c r="AK100" s="907"/>
      <c r="AL100" s="907"/>
      <c r="AM100" s="906"/>
      <c r="AN100" s="907"/>
      <c r="AO100" s="907"/>
      <c r="AP100" s="907"/>
      <c r="AQ100" s="906"/>
      <c r="AR100" s="907"/>
      <c r="AS100" s="907"/>
      <c r="AT100" s="907"/>
      <c r="AU100" s="906"/>
      <c r="AV100" s="907"/>
      <c r="AW100" s="907"/>
      <c r="AX100" s="907"/>
      <c r="AY100" s="906"/>
      <c r="AZ100" s="907"/>
      <c r="BA100" s="907"/>
      <c r="BB100" s="907"/>
      <c r="BC100" s="906"/>
      <c r="BD100" s="907"/>
      <c r="BE100" s="907"/>
      <c r="BF100" s="907"/>
      <c r="BG100" s="906"/>
      <c r="BH100" s="907"/>
      <c r="BI100" s="907"/>
      <c r="BJ100" s="907"/>
      <c r="BK100" s="906"/>
      <c r="BL100" s="907"/>
      <c r="BM100" s="907"/>
      <c r="BN100" s="907"/>
      <c r="BO100" s="906"/>
      <c r="BP100" s="907"/>
      <c r="BQ100" s="907"/>
      <c r="BR100" s="907"/>
      <c r="BS100" s="906"/>
      <c r="BT100" s="907"/>
      <c r="BU100" s="907"/>
      <c r="BV100" s="907"/>
      <c r="BW100" s="906"/>
      <c r="BX100" s="907"/>
      <c r="BY100" s="907"/>
      <c r="BZ100" s="907"/>
      <c r="CA100" s="906"/>
      <c r="CB100" s="907"/>
      <c r="CC100" s="907"/>
      <c r="CD100" s="907"/>
      <c r="CE100" s="906"/>
      <c r="CF100" s="907"/>
      <c r="CG100" s="907"/>
      <c r="CH100" s="907"/>
      <c r="CI100" s="906"/>
      <c r="CJ100" s="907"/>
      <c r="CK100" s="907"/>
      <c r="CL100" s="907"/>
      <c r="CM100" s="906"/>
      <c r="CN100" s="907"/>
      <c r="CO100" s="907"/>
      <c r="CP100" s="907"/>
      <c r="CQ100" s="906"/>
      <c r="CR100" s="907"/>
      <c r="CS100" s="907"/>
      <c r="CT100" s="907"/>
      <c r="CU100" s="906"/>
      <c r="CV100" s="907"/>
      <c r="CW100" s="907"/>
      <c r="CX100" s="907"/>
      <c r="CY100" s="906"/>
      <c r="CZ100" s="907"/>
      <c r="DA100" s="907"/>
      <c r="DB100" s="907"/>
      <c r="DC100" s="906"/>
      <c r="DD100" s="907"/>
      <c r="DE100" s="907"/>
      <c r="DF100" s="907"/>
      <c r="DG100" s="906"/>
    </row>
    <row r="101" hidden="1" spans="1:111">
      <c r="A101" s="824">
        <v>98</v>
      </c>
      <c r="B101" s="824">
        <f>STUDENT!F99</f>
        <v>0</v>
      </c>
      <c r="C101" s="824">
        <f>STUDENT!D99</f>
        <v>0</v>
      </c>
      <c r="D101" s="827">
        <f>STUDENT!E99</f>
        <v>0</v>
      </c>
      <c r="E101" s="827">
        <f>STUDENT!H99</f>
        <v>0</v>
      </c>
      <c r="F101" s="904"/>
      <c r="G101" s="904"/>
      <c r="H101" s="904"/>
      <c r="I101" s="824" t="str">
        <f t="shared" si="3"/>
        <v/>
      </c>
      <c r="J101" s="824" t="str">
        <f t="shared" si="4"/>
        <v/>
      </c>
      <c r="K101" s="824" t="str">
        <f t="shared" si="5"/>
        <v/>
      </c>
      <c r="L101" s="907"/>
      <c r="M101" s="907"/>
      <c r="N101" s="907"/>
      <c r="O101" s="906"/>
      <c r="P101" s="907"/>
      <c r="Q101" s="907"/>
      <c r="R101" s="907"/>
      <c r="S101" s="906"/>
      <c r="T101" s="907"/>
      <c r="U101" s="907"/>
      <c r="V101" s="907"/>
      <c r="W101" s="906"/>
      <c r="X101" s="907"/>
      <c r="Y101" s="907"/>
      <c r="Z101" s="907"/>
      <c r="AA101" s="906"/>
      <c r="AB101" s="907"/>
      <c r="AC101" s="907"/>
      <c r="AD101" s="907"/>
      <c r="AE101" s="906"/>
      <c r="AF101" s="907"/>
      <c r="AG101" s="907"/>
      <c r="AH101" s="907"/>
      <c r="AI101" s="906"/>
      <c r="AJ101" s="907"/>
      <c r="AK101" s="907"/>
      <c r="AL101" s="907"/>
      <c r="AM101" s="906"/>
      <c r="AN101" s="907"/>
      <c r="AO101" s="907"/>
      <c r="AP101" s="907"/>
      <c r="AQ101" s="906"/>
      <c r="AR101" s="907"/>
      <c r="AS101" s="907"/>
      <c r="AT101" s="907"/>
      <c r="AU101" s="906"/>
      <c r="AV101" s="907"/>
      <c r="AW101" s="907"/>
      <c r="AX101" s="907"/>
      <c r="AY101" s="906"/>
      <c r="AZ101" s="907"/>
      <c r="BA101" s="907"/>
      <c r="BB101" s="907"/>
      <c r="BC101" s="906"/>
      <c r="BD101" s="907"/>
      <c r="BE101" s="907"/>
      <c r="BF101" s="907"/>
      <c r="BG101" s="906"/>
      <c r="BH101" s="907"/>
      <c r="BI101" s="907"/>
      <c r="BJ101" s="907"/>
      <c r="BK101" s="906"/>
      <c r="BL101" s="907"/>
      <c r="BM101" s="907"/>
      <c r="BN101" s="907"/>
      <c r="BO101" s="906"/>
      <c r="BP101" s="907"/>
      <c r="BQ101" s="907"/>
      <c r="BR101" s="907"/>
      <c r="BS101" s="906"/>
      <c r="BT101" s="907"/>
      <c r="BU101" s="907"/>
      <c r="BV101" s="907"/>
      <c r="BW101" s="906"/>
      <c r="BX101" s="907"/>
      <c r="BY101" s="907"/>
      <c r="BZ101" s="907"/>
      <c r="CA101" s="906"/>
      <c r="CB101" s="907"/>
      <c r="CC101" s="907"/>
      <c r="CD101" s="907"/>
      <c r="CE101" s="906"/>
      <c r="CF101" s="907"/>
      <c r="CG101" s="907"/>
      <c r="CH101" s="907"/>
      <c r="CI101" s="906"/>
      <c r="CJ101" s="907"/>
      <c r="CK101" s="907"/>
      <c r="CL101" s="907"/>
      <c r="CM101" s="906"/>
      <c r="CN101" s="907"/>
      <c r="CO101" s="907"/>
      <c r="CP101" s="907"/>
      <c r="CQ101" s="906"/>
      <c r="CR101" s="907"/>
      <c r="CS101" s="907"/>
      <c r="CT101" s="907"/>
      <c r="CU101" s="906"/>
      <c r="CV101" s="907"/>
      <c r="CW101" s="907"/>
      <c r="CX101" s="907"/>
      <c r="CY101" s="906"/>
      <c r="CZ101" s="907"/>
      <c r="DA101" s="907"/>
      <c r="DB101" s="907"/>
      <c r="DC101" s="906"/>
      <c r="DD101" s="907"/>
      <c r="DE101" s="907"/>
      <c r="DF101" s="907"/>
      <c r="DG101" s="906"/>
    </row>
    <row r="102" hidden="1" spans="1:111">
      <c r="A102" s="824">
        <v>99</v>
      </c>
      <c r="B102" s="824">
        <f>STUDENT!F100</f>
        <v>0</v>
      </c>
      <c r="C102" s="824">
        <f>STUDENT!D100</f>
        <v>0</v>
      </c>
      <c r="D102" s="827">
        <f>STUDENT!E100</f>
        <v>0</v>
      </c>
      <c r="E102" s="827">
        <f>STUDENT!H100</f>
        <v>0</v>
      </c>
      <c r="F102" s="904"/>
      <c r="G102" s="904"/>
      <c r="H102" s="904"/>
      <c r="I102" s="824" t="str">
        <f t="shared" si="3"/>
        <v/>
      </c>
      <c r="J102" s="824" t="str">
        <f t="shared" si="4"/>
        <v/>
      </c>
      <c r="K102" s="824" t="str">
        <f t="shared" si="5"/>
        <v/>
      </c>
      <c r="L102" s="907"/>
      <c r="M102" s="907"/>
      <c r="N102" s="907"/>
      <c r="O102" s="906"/>
      <c r="P102" s="907"/>
      <c r="Q102" s="907"/>
      <c r="R102" s="907"/>
      <c r="S102" s="906"/>
      <c r="T102" s="907"/>
      <c r="U102" s="907"/>
      <c r="V102" s="907"/>
      <c r="W102" s="906"/>
      <c r="X102" s="907"/>
      <c r="Y102" s="907"/>
      <c r="Z102" s="907"/>
      <c r="AA102" s="906"/>
      <c r="AB102" s="907"/>
      <c r="AC102" s="907"/>
      <c r="AD102" s="907"/>
      <c r="AE102" s="906"/>
      <c r="AF102" s="907"/>
      <c r="AG102" s="907"/>
      <c r="AH102" s="907"/>
      <c r="AI102" s="906"/>
      <c r="AJ102" s="907"/>
      <c r="AK102" s="907"/>
      <c r="AL102" s="907"/>
      <c r="AM102" s="906"/>
      <c r="AN102" s="907"/>
      <c r="AO102" s="907"/>
      <c r="AP102" s="907"/>
      <c r="AQ102" s="906"/>
      <c r="AR102" s="907"/>
      <c r="AS102" s="907"/>
      <c r="AT102" s="907"/>
      <c r="AU102" s="906"/>
      <c r="AV102" s="907"/>
      <c r="AW102" s="907"/>
      <c r="AX102" s="907"/>
      <c r="AY102" s="906"/>
      <c r="AZ102" s="907"/>
      <c r="BA102" s="907"/>
      <c r="BB102" s="907"/>
      <c r="BC102" s="906"/>
      <c r="BD102" s="907"/>
      <c r="BE102" s="907"/>
      <c r="BF102" s="907"/>
      <c r="BG102" s="906"/>
      <c r="BH102" s="907"/>
      <c r="BI102" s="907"/>
      <c r="BJ102" s="907"/>
      <c r="BK102" s="906"/>
      <c r="BL102" s="907"/>
      <c r="BM102" s="907"/>
      <c r="BN102" s="907"/>
      <c r="BO102" s="906"/>
      <c r="BP102" s="907"/>
      <c r="BQ102" s="907"/>
      <c r="BR102" s="907"/>
      <c r="BS102" s="906"/>
      <c r="BT102" s="907"/>
      <c r="BU102" s="907"/>
      <c r="BV102" s="907"/>
      <c r="BW102" s="906"/>
      <c r="BX102" s="907"/>
      <c r="BY102" s="907"/>
      <c r="BZ102" s="907"/>
      <c r="CA102" s="906"/>
      <c r="CB102" s="907"/>
      <c r="CC102" s="907"/>
      <c r="CD102" s="907"/>
      <c r="CE102" s="906"/>
      <c r="CF102" s="907"/>
      <c r="CG102" s="907"/>
      <c r="CH102" s="907"/>
      <c r="CI102" s="906"/>
      <c r="CJ102" s="907"/>
      <c r="CK102" s="907"/>
      <c r="CL102" s="907"/>
      <c r="CM102" s="906"/>
      <c r="CN102" s="907"/>
      <c r="CO102" s="907"/>
      <c r="CP102" s="907"/>
      <c r="CQ102" s="906"/>
      <c r="CR102" s="907"/>
      <c r="CS102" s="907"/>
      <c r="CT102" s="907"/>
      <c r="CU102" s="906"/>
      <c r="CV102" s="907"/>
      <c r="CW102" s="907"/>
      <c r="CX102" s="907"/>
      <c r="CY102" s="906"/>
      <c r="CZ102" s="907"/>
      <c r="DA102" s="907"/>
      <c r="DB102" s="907"/>
      <c r="DC102" s="906"/>
      <c r="DD102" s="907"/>
      <c r="DE102" s="907"/>
      <c r="DF102" s="907"/>
      <c r="DG102" s="906"/>
    </row>
    <row r="103" hidden="1" spans="1:111">
      <c r="A103" s="824">
        <v>100</v>
      </c>
      <c r="B103" s="824">
        <f>STUDENT!F101</f>
        <v>0</v>
      </c>
      <c r="C103" s="824">
        <f>STUDENT!D101</f>
        <v>0</v>
      </c>
      <c r="D103" s="827">
        <f>STUDENT!E101</f>
        <v>0</v>
      </c>
      <c r="E103" s="827">
        <f>STUDENT!H101</f>
        <v>0</v>
      </c>
      <c r="F103" s="904"/>
      <c r="G103" s="904"/>
      <c r="H103" s="904"/>
      <c r="I103" s="824" t="str">
        <f t="shared" si="3"/>
        <v/>
      </c>
      <c r="J103" s="824" t="str">
        <f t="shared" si="4"/>
        <v/>
      </c>
      <c r="K103" s="824" t="str">
        <f t="shared" si="5"/>
        <v/>
      </c>
      <c r="L103" s="907"/>
      <c r="M103" s="907"/>
      <c r="N103" s="907"/>
      <c r="O103" s="906"/>
      <c r="P103" s="907"/>
      <c r="Q103" s="907"/>
      <c r="R103" s="907"/>
      <c r="S103" s="906"/>
      <c r="T103" s="907"/>
      <c r="U103" s="907"/>
      <c r="V103" s="907"/>
      <c r="W103" s="906"/>
      <c r="X103" s="907"/>
      <c r="Y103" s="907"/>
      <c r="Z103" s="907"/>
      <c r="AA103" s="906"/>
      <c r="AB103" s="907"/>
      <c r="AC103" s="907"/>
      <c r="AD103" s="907"/>
      <c r="AE103" s="906"/>
      <c r="AF103" s="907"/>
      <c r="AG103" s="907"/>
      <c r="AH103" s="907"/>
      <c r="AI103" s="906"/>
      <c r="AJ103" s="907"/>
      <c r="AK103" s="907"/>
      <c r="AL103" s="907"/>
      <c r="AM103" s="906"/>
      <c r="AN103" s="907"/>
      <c r="AO103" s="907"/>
      <c r="AP103" s="907"/>
      <c r="AQ103" s="906"/>
      <c r="AR103" s="907"/>
      <c r="AS103" s="907"/>
      <c r="AT103" s="907"/>
      <c r="AU103" s="906"/>
      <c r="AV103" s="907"/>
      <c r="AW103" s="907"/>
      <c r="AX103" s="907"/>
      <c r="AY103" s="906"/>
      <c r="AZ103" s="907"/>
      <c r="BA103" s="907"/>
      <c r="BB103" s="907"/>
      <c r="BC103" s="906"/>
      <c r="BD103" s="907"/>
      <c r="BE103" s="907"/>
      <c r="BF103" s="907"/>
      <c r="BG103" s="906"/>
      <c r="BH103" s="907"/>
      <c r="BI103" s="907"/>
      <c r="BJ103" s="907"/>
      <c r="BK103" s="906"/>
      <c r="BL103" s="907"/>
      <c r="BM103" s="907"/>
      <c r="BN103" s="907"/>
      <c r="BO103" s="906"/>
      <c r="BP103" s="907"/>
      <c r="BQ103" s="907"/>
      <c r="BR103" s="907"/>
      <c r="BS103" s="906"/>
      <c r="BT103" s="907"/>
      <c r="BU103" s="907"/>
      <c r="BV103" s="907"/>
      <c r="BW103" s="906"/>
      <c r="BX103" s="907"/>
      <c r="BY103" s="907"/>
      <c r="BZ103" s="907"/>
      <c r="CA103" s="906"/>
      <c r="CB103" s="907"/>
      <c r="CC103" s="907"/>
      <c r="CD103" s="907"/>
      <c r="CE103" s="906"/>
      <c r="CF103" s="907"/>
      <c r="CG103" s="907"/>
      <c r="CH103" s="907"/>
      <c r="CI103" s="906"/>
      <c r="CJ103" s="907"/>
      <c r="CK103" s="907"/>
      <c r="CL103" s="907"/>
      <c r="CM103" s="906"/>
      <c r="CN103" s="907"/>
      <c r="CO103" s="907"/>
      <c r="CP103" s="907"/>
      <c r="CQ103" s="906"/>
      <c r="CR103" s="907"/>
      <c r="CS103" s="907"/>
      <c r="CT103" s="907"/>
      <c r="CU103" s="906"/>
      <c r="CV103" s="907"/>
      <c r="CW103" s="907"/>
      <c r="CX103" s="907"/>
      <c r="CY103" s="906"/>
      <c r="CZ103" s="907"/>
      <c r="DA103" s="907"/>
      <c r="DB103" s="907"/>
      <c r="DC103" s="906"/>
      <c r="DD103" s="907"/>
      <c r="DE103" s="907"/>
      <c r="DF103" s="907"/>
      <c r="DG103" s="906"/>
    </row>
  </sheetData>
  <sheetProtection password="BF6F" sheet="1" formatCells="0" formatColumns="0" formatRows="0" objects="1" scenarios="1"/>
  <mergeCells count="30">
    <mergeCell ref="F1:H1"/>
    <mergeCell ref="I1:K1"/>
    <mergeCell ref="L3:N3"/>
    <mergeCell ref="P3:R3"/>
    <mergeCell ref="T3:V3"/>
    <mergeCell ref="X3:Z3"/>
    <mergeCell ref="AB3:AD3"/>
    <mergeCell ref="AF3:AH3"/>
    <mergeCell ref="AJ3:AL3"/>
    <mergeCell ref="AN3:AP3"/>
    <mergeCell ref="AR3:AT3"/>
    <mergeCell ref="AV3:AX3"/>
    <mergeCell ref="AZ3:BB3"/>
    <mergeCell ref="BD3:BF3"/>
    <mergeCell ref="BH3:BJ3"/>
    <mergeCell ref="BL3:BN3"/>
    <mergeCell ref="BP3:BR3"/>
    <mergeCell ref="BT3:BV3"/>
    <mergeCell ref="BX3:BZ3"/>
    <mergeCell ref="CB3:CD3"/>
    <mergeCell ref="CF3:CH3"/>
    <mergeCell ref="CJ3:CL3"/>
    <mergeCell ref="CN3:CP3"/>
    <mergeCell ref="CR3:CT3"/>
    <mergeCell ref="CV3:CX3"/>
    <mergeCell ref="CZ3:DB3"/>
    <mergeCell ref="DD3:DF3"/>
    <mergeCell ref="DH3:DJ3"/>
    <mergeCell ref="DK3:DM3"/>
    <mergeCell ref="DN3:DP3"/>
  </mergeCells>
  <conditionalFormatting sqref="P14:R14">
    <cfRule type="cellIs" dxfId="1" priority="22" operator="greaterThan">
      <formula>5</formula>
    </cfRule>
  </conditionalFormatting>
  <conditionalFormatting sqref="T14:V14">
    <cfRule type="cellIs" dxfId="1" priority="13" operator="greaterThan">
      <formula>5</formula>
    </cfRule>
  </conditionalFormatting>
  <conditionalFormatting sqref="X14:Z14">
    <cfRule type="cellIs" dxfId="1" priority="12" operator="greaterThan">
      <formula>5</formula>
    </cfRule>
  </conditionalFormatting>
  <conditionalFormatting sqref="AB14:AD14">
    <cfRule type="cellIs" dxfId="1" priority="11" operator="greaterThan">
      <formula>5</formula>
    </cfRule>
  </conditionalFormatting>
  <conditionalFormatting sqref="AF14:AH14">
    <cfRule type="cellIs" dxfId="1" priority="1" operator="greaterThan">
      <formula>5</formula>
    </cfRule>
  </conditionalFormatting>
  <conditionalFormatting sqref="O23">
    <cfRule type="cellIs" dxfId="1" priority="73" operator="greaterThan">
      <formula>5</formula>
    </cfRule>
  </conditionalFormatting>
  <conditionalFormatting sqref="O24">
    <cfRule type="cellIs" dxfId="1" priority="72" operator="greaterThan">
      <formula>5</formula>
    </cfRule>
  </conditionalFormatting>
  <conditionalFormatting sqref="O25">
    <cfRule type="cellIs" dxfId="1" priority="71" operator="greaterThan">
      <formula>5</formula>
    </cfRule>
  </conditionalFormatting>
  <conditionalFormatting sqref="O26">
    <cfRule type="cellIs" dxfId="1" priority="70" operator="greaterThan">
      <formula>5</formula>
    </cfRule>
  </conditionalFormatting>
  <conditionalFormatting sqref="O27">
    <cfRule type="cellIs" dxfId="1" priority="91" operator="greaterThan">
      <formula>5</formula>
    </cfRule>
  </conditionalFormatting>
  <conditionalFormatting sqref="O28">
    <cfRule type="cellIs" dxfId="1" priority="90" operator="greaterThan">
      <formula>5</formula>
    </cfRule>
  </conditionalFormatting>
  <conditionalFormatting sqref="O29">
    <cfRule type="cellIs" dxfId="1" priority="89" operator="greaterThan">
      <formula>5</formula>
    </cfRule>
  </conditionalFormatting>
  <conditionalFormatting sqref="O30">
    <cfRule type="cellIs" dxfId="1" priority="88" operator="greaterThan">
      <formula>5</formula>
    </cfRule>
  </conditionalFormatting>
  <conditionalFormatting sqref="O31">
    <cfRule type="cellIs" dxfId="1" priority="87" operator="greaterThan">
      <formula>5</formula>
    </cfRule>
  </conditionalFormatting>
  <conditionalFormatting sqref="O32">
    <cfRule type="cellIs" dxfId="1" priority="86" operator="greaterThan">
      <formula>5</formula>
    </cfRule>
  </conditionalFormatting>
  <conditionalFormatting sqref="O33">
    <cfRule type="cellIs" dxfId="1" priority="85" operator="greaterThan">
      <formula>5</formula>
    </cfRule>
  </conditionalFormatting>
  <conditionalFormatting sqref="O34">
    <cfRule type="cellIs" dxfId="1" priority="84" operator="greaterThan">
      <formula>5</formula>
    </cfRule>
  </conditionalFormatting>
  <conditionalFormatting sqref="O35">
    <cfRule type="cellIs" dxfId="1" priority="83" operator="greaterThan">
      <formula>5</formula>
    </cfRule>
  </conditionalFormatting>
  <conditionalFormatting sqref="O36">
    <cfRule type="cellIs" dxfId="1" priority="106" operator="greaterThan">
      <formula>5</formula>
    </cfRule>
  </conditionalFormatting>
  <conditionalFormatting sqref="S36">
    <cfRule type="cellIs" dxfId="1" priority="103" operator="greaterThan">
      <formula>5</formula>
    </cfRule>
  </conditionalFormatting>
  <conditionalFormatting sqref="W36">
    <cfRule type="cellIs" dxfId="1" priority="100" operator="greaterThan">
      <formula>5</formula>
    </cfRule>
  </conditionalFormatting>
  <conditionalFormatting sqref="AA36">
    <cfRule type="cellIs" dxfId="1" priority="94" operator="greaterThan">
      <formula>5</formula>
    </cfRule>
  </conditionalFormatting>
  <conditionalFormatting sqref="O37">
    <cfRule type="cellIs" dxfId="1" priority="105" operator="greaterThan">
      <formula>5</formula>
    </cfRule>
  </conditionalFormatting>
  <conditionalFormatting sqref="P37:R37">
    <cfRule type="cellIs" dxfId="1" priority="21" operator="greaterThan">
      <formula>5</formula>
    </cfRule>
  </conditionalFormatting>
  <conditionalFormatting sqref="S37">
    <cfRule type="cellIs" dxfId="1" priority="102" operator="greaterThan">
      <formula>5</formula>
    </cfRule>
  </conditionalFormatting>
  <conditionalFormatting sqref="T37:V37">
    <cfRule type="cellIs" dxfId="1" priority="18" operator="greaterThan">
      <formula>5</formula>
    </cfRule>
  </conditionalFormatting>
  <conditionalFormatting sqref="W37">
    <cfRule type="cellIs" dxfId="1" priority="99" operator="greaterThan">
      <formula>5</formula>
    </cfRule>
  </conditionalFormatting>
  <conditionalFormatting sqref="X37:Z37">
    <cfRule type="cellIs" dxfId="1" priority="17" operator="greaterThan">
      <formula>5</formula>
    </cfRule>
  </conditionalFormatting>
  <conditionalFormatting sqref="AA37">
    <cfRule type="cellIs" dxfId="1" priority="93" operator="greaterThan">
      <formula>5</formula>
    </cfRule>
  </conditionalFormatting>
  <conditionalFormatting sqref="AB37:AD37">
    <cfRule type="cellIs" dxfId="1" priority="15" operator="greaterThan">
      <formula>5</formula>
    </cfRule>
  </conditionalFormatting>
  <conditionalFormatting sqref="AF37:AH37">
    <cfRule type="cellIs" dxfId="1" priority="3" operator="greaterThan">
      <formula>5</formula>
    </cfRule>
  </conditionalFormatting>
  <conditionalFormatting sqref="O38">
    <cfRule type="cellIs" dxfId="1" priority="104" operator="greaterThan">
      <formula>5</formula>
    </cfRule>
  </conditionalFormatting>
  <conditionalFormatting sqref="S38">
    <cfRule type="cellIs" dxfId="1" priority="101" operator="greaterThan">
      <formula>5</formula>
    </cfRule>
  </conditionalFormatting>
  <conditionalFormatting sqref="W38">
    <cfRule type="cellIs" dxfId="1" priority="98" operator="greaterThan">
      <formula>5</formula>
    </cfRule>
  </conditionalFormatting>
  <conditionalFormatting sqref="AA38">
    <cfRule type="cellIs" dxfId="1" priority="92" operator="greaterThan">
      <formula>5</formula>
    </cfRule>
  </conditionalFormatting>
  <conditionalFormatting sqref="O39">
    <cfRule type="cellIs" dxfId="1" priority="117" operator="greaterThan">
      <formula>5</formula>
    </cfRule>
  </conditionalFormatting>
  <conditionalFormatting sqref="S39">
    <cfRule type="cellIs" dxfId="1" priority="115" operator="greaterThan">
      <formula>5</formula>
    </cfRule>
  </conditionalFormatting>
  <conditionalFormatting sqref="W39">
    <cfRule type="cellIs" dxfId="1" priority="113" operator="greaterThan">
      <formula>5</formula>
    </cfRule>
  </conditionalFormatting>
  <conditionalFormatting sqref="AA39">
    <cfRule type="cellIs" dxfId="1" priority="109" operator="greaterThan">
      <formula>5</formula>
    </cfRule>
  </conditionalFormatting>
  <conditionalFormatting sqref="AE39">
    <cfRule type="cellIs" dxfId="1" priority="107" operator="greaterThan">
      <formula>5</formula>
    </cfRule>
  </conditionalFormatting>
  <conditionalFormatting sqref="O40">
    <cfRule type="cellIs" dxfId="1" priority="118" operator="greaterThan">
      <formula>5</formula>
    </cfRule>
  </conditionalFormatting>
  <conditionalFormatting sqref="S40">
    <cfRule type="cellIs" dxfId="1" priority="116" operator="greaterThan">
      <formula>5</formula>
    </cfRule>
  </conditionalFormatting>
  <conditionalFormatting sqref="W40">
    <cfRule type="cellIs" dxfId="1" priority="114" operator="greaterThan">
      <formula>5</formula>
    </cfRule>
  </conditionalFormatting>
  <conditionalFormatting sqref="AA40">
    <cfRule type="cellIs" dxfId="1" priority="110" operator="greaterThan">
      <formula>5</formula>
    </cfRule>
  </conditionalFormatting>
  <conditionalFormatting sqref="AE40">
    <cfRule type="cellIs" dxfId="1" priority="108" operator="greaterThan">
      <formula>5</formula>
    </cfRule>
  </conditionalFormatting>
  <conditionalFormatting sqref="O42">
    <cfRule type="cellIs" dxfId="1" priority="145" operator="greaterThan">
      <formula>5</formula>
    </cfRule>
  </conditionalFormatting>
  <conditionalFormatting sqref="P42:R42">
    <cfRule type="cellIs" dxfId="1" priority="20" operator="greaterThan">
      <formula>5</formula>
    </cfRule>
  </conditionalFormatting>
  <conditionalFormatting sqref="S42">
    <cfRule type="cellIs" dxfId="1" priority="141" operator="greaterThan">
      <formula>5</formula>
    </cfRule>
  </conditionalFormatting>
  <conditionalFormatting sqref="T42:V42">
    <cfRule type="cellIs" dxfId="1" priority="19" operator="greaterThan">
      <formula>5</formula>
    </cfRule>
  </conditionalFormatting>
  <conditionalFormatting sqref="W42">
    <cfRule type="cellIs" dxfId="1" priority="137" operator="greaterThan">
      <formula>5</formula>
    </cfRule>
  </conditionalFormatting>
  <conditionalFormatting sqref="X42:Z42">
    <cfRule type="cellIs" dxfId="1" priority="16" operator="greaterThan">
      <formula>5</formula>
    </cfRule>
  </conditionalFormatting>
  <conditionalFormatting sqref="AA42">
    <cfRule type="cellIs" dxfId="1" priority="129" operator="greaterThan">
      <formula>5</formula>
    </cfRule>
  </conditionalFormatting>
  <conditionalFormatting sqref="AB42:AD42">
    <cfRule type="cellIs" dxfId="1" priority="14" operator="greaterThan">
      <formula>5</formula>
    </cfRule>
  </conditionalFormatting>
  <conditionalFormatting sqref="AE42">
    <cfRule type="cellIs" dxfId="1" priority="125" operator="greaterThan">
      <formula>5</formula>
    </cfRule>
  </conditionalFormatting>
  <conditionalFormatting sqref="AF42:AH42">
    <cfRule type="cellIs" dxfId="1" priority="2" operator="greaterThan">
      <formula>5</formula>
    </cfRule>
  </conditionalFormatting>
  <conditionalFormatting sqref="L43:N43">
    <cfRule type="cellIs" dxfId="1" priority="151" operator="greaterThan">
      <formula>5</formula>
    </cfRule>
  </conditionalFormatting>
  <conditionalFormatting sqref="O43:Q43">
    <cfRule type="cellIs" dxfId="1" priority="144" operator="greaterThan">
      <formula>5</formula>
    </cfRule>
  </conditionalFormatting>
  <conditionalFormatting sqref="R43:T43">
    <cfRule type="cellIs" dxfId="1" priority="140" operator="greaterThan">
      <formula>5</formula>
    </cfRule>
  </conditionalFormatting>
  <conditionalFormatting sqref="U43:W43">
    <cfRule type="cellIs" dxfId="1" priority="136" operator="greaterThan">
      <formula>5</formula>
    </cfRule>
  </conditionalFormatting>
  <conditionalFormatting sqref="X43:Z43">
    <cfRule type="cellIs" dxfId="1" priority="132" operator="greaterThan">
      <formula>5</formula>
    </cfRule>
  </conditionalFormatting>
  <conditionalFormatting sqref="AA43:AC43">
    <cfRule type="cellIs" dxfId="1" priority="128" operator="greaterThan">
      <formula>5</formula>
    </cfRule>
  </conditionalFormatting>
  <conditionalFormatting sqref="AD43:AE43">
    <cfRule type="cellIs" dxfId="1" priority="124" operator="greaterThan">
      <formula>5</formula>
    </cfRule>
  </conditionalFormatting>
  <conditionalFormatting sqref="AF43:AG43">
    <cfRule type="cellIs" dxfId="1" priority="9" operator="greaterThan">
      <formula>5</formula>
    </cfRule>
  </conditionalFormatting>
  <conditionalFormatting sqref="AH43">
    <cfRule type="cellIs" dxfId="1" priority="6" operator="greaterThan">
      <formula>5</formula>
    </cfRule>
  </conditionalFormatting>
  <conditionalFormatting sqref="L44:N44">
    <cfRule type="cellIs" dxfId="1" priority="154" operator="greaterThan">
      <formula>5</formula>
    </cfRule>
  </conditionalFormatting>
  <conditionalFormatting sqref="O44:Q44">
    <cfRule type="cellIs" dxfId="1" priority="143" operator="greaterThan">
      <formula>5</formula>
    </cfRule>
  </conditionalFormatting>
  <conditionalFormatting sqref="R44:T44">
    <cfRule type="cellIs" dxfId="1" priority="139" operator="greaterThan">
      <formula>5</formula>
    </cfRule>
  </conditionalFormatting>
  <conditionalFormatting sqref="U44:W44">
    <cfRule type="cellIs" dxfId="1" priority="135" operator="greaterThan">
      <formula>5</formula>
    </cfRule>
  </conditionalFormatting>
  <conditionalFormatting sqref="X44:Z44">
    <cfRule type="cellIs" dxfId="1" priority="131" operator="greaterThan">
      <formula>5</formula>
    </cfRule>
  </conditionalFormatting>
  <conditionalFormatting sqref="AA44:AC44">
    <cfRule type="cellIs" dxfId="1" priority="127" operator="greaterThan">
      <formula>5</formula>
    </cfRule>
  </conditionalFormatting>
  <conditionalFormatting sqref="AD44:AE44">
    <cfRule type="cellIs" dxfId="1" priority="123" operator="greaterThan">
      <formula>5</formula>
    </cfRule>
  </conditionalFormatting>
  <conditionalFormatting sqref="AF44:AG44">
    <cfRule type="cellIs" dxfId="1" priority="8" operator="greaterThan">
      <formula>5</formula>
    </cfRule>
  </conditionalFormatting>
  <conditionalFormatting sqref="AH44">
    <cfRule type="cellIs" dxfId="1" priority="5" operator="greaterThan">
      <formula>5</formula>
    </cfRule>
  </conditionalFormatting>
  <conditionalFormatting sqref="X45:Z45">
    <cfRule type="cellIs" dxfId="1" priority="134" operator="greaterThan">
      <formula>5</formula>
    </cfRule>
  </conditionalFormatting>
  <conditionalFormatting sqref="AF45:AG45">
    <cfRule type="cellIs" dxfId="1" priority="10" operator="greaterThan">
      <formula>5</formula>
    </cfRule>
  </conditionalFormatting>
  <conditionalFormatting sqref="AH45">
    <cfRule type="cellIs" dxfId="1" priority="7" operator="greaterThan">
      <formula>5</formula>
    </cfRule>
  </conditionalFormatting>
  <conditionalFormatting sqref="L46:N46">
    <cfRule type="cellIs" dxfId="1" priority="149" operator="greaterThan">
      <formula>5</formula>
    </cfRule>
  </conditionalFormatting>
  <conditionalFormatting sqref="L47:N47">
    <cfRule type="cellIs" dxfId="1" priority="148" operator="greaterThan">
      <formula>5</formula>
    </cfRule>
  </conditionalFormatting>
  <conditionalFormatting sqref="L48:N48">
    <cfRule type="cellIs" dxfId="1" priority="147" operator="greaterThan">
      <formula>5</formula>
    </cfRule>
  </conditionalFormatting>
  <conditionalFormatting sqref="I4:K49 I50:N103">
    <cfRule type="cellIs" dxfId="1" priority="201" operator="greaterThan">
      <formula>5</formula>
    </cfRule>
  </conditionalFormatting>
  <conditionalFormatting sqref="L4:N42">
    <cfRule type="cellIs" dxfId="1" priority="27" operator="greaterThan">
      <formula>5</formula>
    </cfRule>
  </conditionalFormatting>
  <conditionalFormatting sqref="P4:R13 P15:R36 P38:R41">
    <cfRule type="cellIs" dxfId="1" priority="26" operator="greaterThan">
      <formula>5</formula>
    </cfRule>
  </conditionalFormatting>
  <conditionalFormatting sqref="T4:V13 T15:V36 T38:V41">
    <cfRule type="cellIs" dxfId="1" priority="25" operator="greaterThan">
      <formula>5</formula>
    </cfRule>
  </conditionalFormatting>
  <conditionalFormatting sqref="X4:Z13 X15:Z36 X38:Z41">
    <cfRule type="cellIs" dxfId="1" priority="24" operator="greaterThan">
      <formula>5</formula>
    </cfRule>
  </conditionalFormatting>
  <conditionalFormatting sqref="AB4:AD13 AB15:AD36 AB38:AD41">
    <cfRule type="cellIs" dxfId="1" priority="23" operator="greaterThan">
      <formula>5</formula>
    </cfRule>
  </conditionalFormatting>
  <conditionalFormatting sqref="AF4:AH13 AF15:AH36 AF38:AH41">
    <cfRule type="cellIs" dxfId="1" priority="4" operator="greaterThan">
      <formula>5</formula>
    </cfRule>
  </conditionalFormatting>
  <conditionalFormatting sqref="AJ4:AL103">
    <cfRule type="cellIs" dxfId="1" priority="195" operator="greaterThan">
      <formula>5</formula>
    </cfRule>
  </conditionalFormatting>
  <conditionalFormatting sqref="AN4:AP103">
    <cfRule type="cellIs" dxfId="1" priority="194" operator="greaterThan">
      <formula>5</formula>
    </cfRule>
  </conditionalFormatting>
  <conditionalFormatting sqref="AR4:AT103">
    <cfRule type="cellIs" dxfId="1" priority="193" operator="greaterThan">
      <formula>5</formula>
    </cfRule>
  </conditionalFormatting>
  <conditionalFormatting sqref="AV4:AX37">
    <cfRule type="cellIs" dxfId="1" priority="176" operator="greaterThan">
      <formula>5</formula>
    </cfRule>
  </conditionalFormatting>
  <conditionalFormatting sqref="AZ4:BB103">
    <cfRule type="cellIs" dxfId="1" priority="191" operator="greaterThan">
      <formula>5</formula>
    </cfRule>
  </conditionalFormatting>
  <conditionalFormatting sqref="BD4:BF103">
    <cfRule type="cellIs" dxfId="1" priority="190" operator="greaterThan">
      <formula>5</formula>
    </cfRule>
  </conditionalFormatting>
  <conditionalFormatting sqref="BH4:BJ103">
    <cfRule type="cellIs" dxfId="1" priority="189" operator="greaterThan">
      <formula>5</formula>
    </cfRule>
  </conditionalFormatting>
  <conditionalFormatting sqref="BL4:BN103">
    <cfRule type="cellIs" dxfId="1" priority="188" operator="greaterThan">
      <formula>5</formula>
    </cfRule>
  </conditionalFormatting>
  <conditionalFormatting sqref="BP4:BR103">
    <cfRule type="cellIs" dxfId="1" priority="187" operator="greaterThan">
      <formula>5</formula>
    </cfRule>
  </conditionalFormatting>
  <conditionalFormatting sqref="BT4:BV103">
    <cfRule type="cellIs" dxfId="1" priority="186" operator="greaterThan">
      <formula>5</formula>
    </cfRule>
  </conditionalFormatting>
  <conditionalFormatting sqref="BX4:BZ103">
    <cfRule type="cellIs" dxfId="1" priority="185" operator="greaterThan">
      <formula>5</formula>
    </cfRule>
  </conditionalFormatting>
  <conditionalFormatting sqref="CB4:CD103">
    <cfRule type="cellIs" dxfId="1" priority="184" operator="greaterThan">
      <formula>5</formula>
    </cfRule>
  </conditionalFormatting>
  <conditionalFormatting sqref="CF4:CH103">
    <cfRule type="cellIs" dxfId="1" priority="183" operator="greaterThan">
      <formula>5</formula>
    </cfRule>
  </conditionalFormatting>
  <conditionalFormatting sqref="CJ4:CL103">
    <cfRule type="cellIs" dxfId="1" priority="182" operator="greaterThan">
      <formula>5</formula>
    </cfRule>
  </conditionalFormatting>
  <conditionalFormatting sqref="CN4:CP103">
    <cfRule type="cellIs" dxfId="1" priority="181" operator="greaterThan">
      <formula>5</formula>
    </cfRule>
  </conditionalFormatting>
  <conditionalFormatting sqref="CR4:CT103">
    <cfRule type="cellIs" dxfId="1" priority="180" operator="greaterThan">
      <formula>5</formula>
    </cfRule>
  </conditionalFormatting>
  <conditionalFormatting sqref="CV4:CX103">
    <cfRule type="cellIs" dxfId="1" priority="179" operator="greaterThan">
      <formula>5</formula>
    </cfRule>
  </conditionalFormatting>
  <conditionalFormatting sqref="CZ4:DB103">
    <cfRule type="cellIs" dxfId="1" priority="178" operator="greaterThan">
      <formula>5</formula>
    </cfRule>
  </conditionalFormatting>
  <conditionalFormatting sqref="DD4:DF103">
    <cfRule type="cellIs" dxfId="1" priority="177" operator="greaterThan">
      <formula>5</formula>
    </cfRule>
  </conditionalFormatting>
  <conditionalFormatting sqref="AV38:AX103">
    <cfRule type="cellIs" dxfId="1" priority="192" operator="greaterThan">
      <formula>5</formula>
    </cfRule>
  </conditionalFormatting>
  <conditionalFormatting sqref="O41 O45:Q45">
    <cfRule type="cellIs" dxfId="1" priority="146" operator="greaterThan">
      <formula>5</formula>
    </cfRule>
  </conditionalFormatting>
  <conditionalFormatting sqref="S41 R45:T45">
    <cfRule type="cellIs" dxfId="1" priority="142" operator="greaterThan">
      <formula>5</formula>
    </cfRule>
  </conditionalFormatting>
  <conditionalFormatting sqref="W41 U45:W45">
    <cfRule type="cellIs" dxfId="1" priority="138" operator="greaterThan">
      <formula>5</formula>
    </cfRule>
  </conditionalFormatting>
  <conditionalFormatting sqref="AA41 AA45:AC45">
    <cfRule type="cellIs" dxfId="1" priority="130" operator="greaterThan">
      <formula>5</formula>
    </cfRule>
  </conditionalFormatting>
  <conditionalFormatting sqref="AE41 AD45:AE45">
    <cfRule type="cellIs" dxfId="1" priority="126" operator="greaterThan">
      <formula>5</formula>
    </cfRule>
  </conditionalFormatting>
  <conditionalFormatting sqref="L45:N45 L49:N49">
    <cfRule type="cellIs" dxfId="1" priority="150" operator="greaterThan">
      <formula>5</formula>
    </cfRule>
  </conditionalFormatting>
  <conditionalFormatting sqref="P46:R103">
    <cfRule type="cellIs" dxfId="1" priority="200" operator="greaterThan">
      <formula>5</formula>
    </cfRule>
  </conditionalFormatting>
  <conditionalFormatting sqref="T46:V103">
    <cfRule type="cellIs" dxfId="1" priority="199" operator="greaterThan">
      <formula>5</formula>
    </cfRule>
  </conditionalFormatting>
  <conditionalFormatting sqref="X46:Z103">
    <cfRule type="cellIs" dxfId="1" priority="198" operator="greaterThan">
      <formula>5</formula>
    </cfRule>
  </conditionalFormatting>
  <conditionalFormatting sqref="AB46:AD103">
    <cfRule type="cellIs" dxfId="1" priority="197" operator="greaterThan">
      <formula>5</formula>
    </cfRule>
  </conditionalFormatting>
  <conditionalFormatting sqref="AF46:AH103">
    <cfRule type="cellIs" dxfId="1" priority="196" operator="greaterThan">
      <formula>5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03"/>
  <sheetViews>
    <sheetView zoomScale="55" zoomScaleNormal="55" workbookViewId="0">
      <pane xSplit="5" ySplit="3" topLeftCell="F4" activePane="bottomRight" state="frozen"/>
      <selection/>
      <selection pane="topRight"/>
      <selection pane="bottomLeft"/>
      <selection pane="bottomRight" activeCell="F9" sqref="F9"/>
    </sheetView>
  </sheetViews>
  <sheetFormatPr defaultColWidth="9.13888888888889" defaultRowHeight="18"/>
  <cols>
    <col min="1" max="1" width="9.13888888888889" style="587"/>
    <col min="2" max="2" width="14.5740740740741" style="587" customWidth="1"/>
    <col min="3" max="3" width="20.712962962963" style="587" customWidth="1"/>
    <col min="4" max="4" width="35.1388888888889" style="867" customWidth="1"/>
    <col min="5" max="5" width="30.287037037037" style="867" customWidth="1"/>
    <col min="6" max="85" width="10.712962962963" style="587" customWidth="1"/>
    <col min="86" max="16384" width="9.13888888888889" style="587"/>
  </cols>
  <sheetData>
    <row r="1" s="895" customFormat="1" spans="1:88">
      <c r="A1" s="869"/>
      <c r="B1" s="870"/>
      <c r="C1" s="869"/>
      <c r="D1" s="869"/>
      <c r="E1" s="869"/>
      <c r="F1" s="880"/>
      <c r="G1" s="880"/>
      <c r="H1" s="880"/>
      <c r="I1" s="880"/>
      <c r="J1" s="880"/>
      <c r="K1" s="880"/>
      <c r="L1" s="880"/>
      <c r="M1" s="880"/>
      <c r="N1" s="881"/>
      <c r="O1" s="881"/>
      <c r="P1" s="881"/>
      <c r="Q1" s="881"/>
      <c r="R1" s="881"/>
      <c r="S1" s="881"/>
      <c r="T1" s="881"/>
      <c r="U1" s="881"/>
      <c r="V1" s="882"/>
      <c r="W1" s="882"/>
      <c r="X1" s="882"/>
      <c r="Y1" s="882"/>
      <c r="Z1" s="882"/>
      <c r="AA1" s="882"/>
      <c r="AB1" s="882"/>
      <c r="AC1" s="882"/>
      <c r="AD1" s="880"/>
      <c r="AE1" s="880"/>
      <c r="AF1" s="880"/>
      <c r="AG1" s="880"/>
      <c r="AH1" s="880"/>
      <c r="AI1" s="880"/>
      <c r="AJ1" s="880"/>
      <c r="AK1" s="880"/>
      <c r="AL1" s="883"/>
      <c r="AM1" s="883"/>
      <c r="AN1" s="883"/>
      <c r="AO1" s="883"/>
      <c r="AP1" s="883"/>
      <c r="AQ1" s="883"/>
      <c r="AR1" s="883"/>
      <c r="AS1" s="883"/>
      <c r="AT1" s="883"/>
      <c r="AU1" s="883"/>
      <c r="AV1" s="883"/>
      <c r="AW1" s="883"/>
      <c r="AX1" s="883"/>
      <c r="AY1" s="883"/>
      <c r="AZ1" s="883"/>
      <c r="BA1" s="883"/>
      <c r="BB1" s="880"/>
      <c r="BC1" s="880"/>
      <c r="BD1" s="880"/>
      <c r="BE1" s="880"/>
      <c r="BF1" s="880"/>
      <c r="BG1" s="880"/>
      <c r="BH1" s="880"/>
      <c r="BI1" s="880"/>
      <c r="BJ1" s="881"/>
      <c r="BK1" s="881"/>
      <c r="BL1" s="881"/>
      <c r="BM1" s="881"/>
      <c r="BN1" s="881"/>
      <c r="BO1" s="881"/>
      <c r="BP1" s="881"/>
      <c r="BQ1" s="881"/>
      <c r="BR1" s="882"/>
      <c r="BS1" s="882"/>
      <c r="BT1" s="882"/>
      <c r="BU1" s="882"/>
      <c r="BV1" s="882"/>
      <c r="BW1" s="882"/>
      <c r="BX1" s="882"/>
      <c r="BY1" s="882"/>
      <c r="BZ1" s="880"/>
      <c r="CA1" s="880"/>
      <c r="CB1" s="880"/>
      <c r="CC1" s="880"/>
      <c r="CD1" s="880"/>
      <c r="CE1" s="880"/>
      <c r="CF1" s="880"/>
      <c r="CG1" s="880"/>
      <c r="CH1" s="884" t="s">
        <v>38</v>
      </c>
      <c r="CI1" s="884"/>
      <c r="CJ1" s="884"/>
    </row>
    <row r="2" s="895" customFormat="1" ht="36" spans="1:88">
      <c r="A2" s="869" t="s">
        <v>109</v>
      </c>
      <c r="B2" s="870" t="s">
        <v>114</v>
      </c>
      <c r="C2" s="869" t="s">
        <v>112</v>
      </c>
      <c r="D2" s="869" t="s">
        <v>113</v>
      </c>
      <c r="E2" s="869" t="s">
        <v>327</v>
      </c>
      <c r="F2" s="880" t="s">
        <v>342</v>
      </c>
      <c r="G2" s="880"/>
      <c r="H2" s="880"/>
      <c r="I2" s="880"/>
      <c r="J2" s="880"/>
      <c r="K2" s="880"/>
      <c r="L2" s="880"/>
      <c r="M2" s="880"/>
      <c r="N2" s="881" t="s">
        <v>343</v>
      </c>
      <c r="O2" s="881"/>
      <c r="P2" s="881"/>
      <c r="Q2" s="881"/>
      <c r="R2" s="881"/>
      <c r="S2" s="881"/>
      <c r="T2" s="881"/>
      <c r="U2" s="881"/>
      <c r="V2" s="882" t="s">
        <v>344</v>
      </c>
      <c r="W2" s="882"/>
      <c r="X2" s="882"/>
      <c r="Y2" s="882"/>
      <c r="Z2" s="882"/>
      <c r="AA2" s="882"/>
      <c r="AB2" s="882"/>
      <c r="AC2" s="882"/>
      <c r="AD2" s="880" t="s">
        <v>345</v>
      </c>
      <c r="AE2" s="880"/>
      <c r="AF2" s="880"/>
      <c r="AG2" s="880"/>
      <c r="AH2" s="880"/>
      <c r="AI2" s="880"/>
      <c r="AJ2" s="880"/>
      <c r="AK2" s="880"/>
      <c r="AL2" s="883" t="s">
        <v>346</v>
      </c>
      <c r="AM2" s="883"/>
      <c r="AN2" s="883"/>
      <c r="AO2" s="883"/>
      <c r="AP2" s="883"/>
      <c r="AQ2" s="883"/>
      <c r="AR2" s="883"/>
      <c r="AS2" s="883"/>
      <c r="AT2" s="883" t="s">
        <v>347</v>
      </c>
      <c r="AU2" s="883"/>
      <c r="AV2" s="883"/>
      <c r="AW2" s="883"/>
      <c r="AX2" s="883"/>
      <c r="AY2" s="883"/>
      <c r="AZ2" s="883"/>
      <c r="BA2" s="883"/>
      <c r="BB2" s="880" t="s">
        <v>342</v>
      </c>
      <c r="BC2" s="880"/>
      <c r="BD2" s="880"/>
      <c r="BE2" s="880"/>
      <c r="BF2" s="880"/>
      <c r="BG2" s="880"/>
      <c r="BH2" s="880"/>
      <c r="BI2" s="880"/>
      <c r="BJ2" s="881" t="s">
        <v>343</v>
      </c>
      <c r="BK2" s="881"/>
      <c r="BL2" s="881"/>
      <c r="BM2" s="881"/>
      <c r="BN2" s="881"/>
      <c r="BO2" s="881"/>
      <c r="BP2" s="881"/>
      <c r="BQ2" s="881"/>
      <c r="BR2" s="882" t="s">
        <v>344</v>
      </c>
      <c r="BS2" s="882"/>
      <c r="BT2" s="882"/>
      <c r="BU2" s="882"/>
      <c r="BV2" s="882"/>
      <c r="BW2" s="882"/>
      <c r="BX2" s="882"/>
      <c r="BY2" s="882"/>
      <c r="BZ2" s="880" t="s">
        <v>345</v>
      </c>
      <c r="CA2" s="880"/>
      <c r="CB2" s="880"/>
      <c r="CC2" s="880"/>
      <c r="CD2" s="880"/>
      <c r="CE2" s="880"/>
      <c r="CF2" s="880"/>
      <c r="CG2" s="880"/>
      <c r="CH2" s="884" t="s">
        <v>348</v>
      </c>
      <c r="CI2" s="884" t="s">
        <v>349</v>
      </c>
      <c r="CJ2" s="884" t="s">
        <v>102</v>
      </c>
    </row>
    <row r="3" s="895" customFormat="1" spans="1:88">
      <c r="A3" s="869"/>
      <c r="B3" s="870"/>
      <c r="C3" s="869"/>
      <c r="D3" s="869"/>
      <c r="E3" s="869"/>
      <c r="F3" s="880" t="s">
        <v>87</v>
      </c>
      <c r="G3" s="880" t="s">
        <v>350</v>
      </c>
      <c r="H3" s="880" t="s">
        <v>88</v>
      </c>
      <c r="I3" s="880" t="s">
        <v>351</v>
      </c>
      <c r="J3" s="880" t="s">
        <v>352</v>
      </c>
      <c r="K3" s="880" t="s">
        <v>353</v>
      </c>
      <c r="L3" s="880" t="s">
        <v>354</v>
      </c>
      <c r="M3" s="880" t="s">
        <v>102</v>
      </c>
      <c r="N3" s="881" t="s">
        <v>87</v>
      </c>
      <c r="O3" s="881" t="s">
        <v>350</v>
      </c>
      <c r="P3" s="881" t="s">
        <v>88</v>
      </c>
      <c r="Q3" s="881" t="s">
        <v>351</v>
      </c>
      <c r="R3" s="881" t="s">
        <v>352</v>
      </c>
      <c r="S3" s="881" t="s">
        <v>353</v>
      </c>
      <c r="T3" s="881" t="s">
        <v>354</v>
      </c>
      <c r="U3" s="881" t="s">
        <v>102</v>
      </c>
      <c r="V3" s="882" t="s">
        <v>87</v>
      </c>
      <c r="W3" s="882" t="s">
        <v>350</v>
      </c>
      <c r="X3" s="882" t="s">
        <v>88</v>
      </c>
      <c r="Y3" s="882" t="s">
        <v>351</v>
      </c>
      <c r="Z3" s="882" t="s">
        <v>352</v>
      </c>
      <c r="AA3" s="882" t="s">
        <v>353</v>
      </c>
      <c r="AB3" s="882" t="s">
        <v>354</v>
      </c>
      <c r="AC3" s="882" t="s">
        <v>102</v>
      </c>
      <c r="AD3" s="880" t="s">
        <v>87</v>
      </c>
      <c r="AE3" s="880" t="s">
        <v>350</v>
      </c>
      <c r="AF3" s="880" t="s">
        <v>88</v>
      </c>
      <c r="AG3" s="880" t="s">
        <v>351</v>
      </c>
      <c r="AH3" s="880" t="s">
        <v>352</v>
      </c>
      <c r="AI3" s="880" t="s">
        <v>353</v>
      </c>
      <c r="AJ3" s="880" t="s">
        <v>354</v>
      </c>
      <c r="AK3" s="880" t="s">
        <v>102</v>
      </c>
      <c r="AL3" s="883" t="s">
        <v>87</v>
      </c>
      <c r="AM3" s="883" t="s">
        <v>350</v>
      </c>
      <c r="AN3" s="883" t="s">
        <v>88</v>
      </c>
      <c r="AO3" s="883" t="s">
        <v>351</v>
      </c>
      <c r="AP3" s="883" t="s">
        <v>352</v>
      </c>
      <c r="AQ3" s="883" t="s">
        <v>353</v>
      </c>
      <c r="AR3" s="883" t="s">
        <v>354</v>
      </c>
      <c r="AS3" s="883" t="s">
        <v>102</v>
      </c>
      <c r="AT3" s="883" t="s">
        <v>87</v>
      </c>
      <c r="AU3" s="883" t="s">
        <v>350</v>
      </c>
      <c r="AV3" s="883" t="s">
        <v>88</v>
      </c>
      <c r="AW3" s="883" t="s">
        <v>351</v>
      </c>
      <c r="AX3" s="883" t="s">
        <v>352</v>
      </c>
      <c r="AY3" s="883" t="s">
        <v>353</v>
      </c>
      <c r="AZ3" s="883" t="s">
        <v>354</v>
      </c>
      <c r="BA3" s="883" t="s">
        <v>102</v>
      </c>
      <c r="BB3" s="880" t="s">
        <v>87</v>
      </c>
      <c r="BC3" s="880" t="s">
        <v>350</v>
      </c>
      <c r="BD3" s="880" t="s">
        <v>88</v>
      </c>
      <c r="BE3" s="880" t="s">
        <v>351</v>
      </c>
      <c r="BF3" s="880" t="s">
        <v>352</v>
      </c>
      <c r="BG3" s="880" t="s">
        <v>353</v>
      </c>
      <c r="BH3" s="880" t="s">
        <v>354</v>
      </c>
      <c r="BI3" s="880" t="s">
        <v>102</v>
      </c>
      <c r="BJ3" s="881" t="s">
        <v>87</v>
      </c>
      <c r="BK3" s="881" t="s">
        <v>350</v>
      </c>
      <c r="BL3" s="881" t="s">
        <v>88</v>
      </c>
      <c r="BM3" s="881" t="s">
        <v>351</v>
      </c>
      <c r="BN3" s="881" t="s">
        <v>352</v>
      </c>
      <c r="BO3" s="881" t="s">
        <v>353</v>
      </c>
      <c r="BP3" s="881" t="s">
        <v>354</v>
      </c>
      <c r="BQ3" s="881" t="s">
        <v>102</v>
      </c>
      <c r="BR3" s="882" t="s">
        <v>87</v>
      </c>
      <c r="BS3" s="882" t="s">
        <v>350</v>
      </c>
      <c r="BT3" s="882" t="s">
        <v>88</v>
      </c>
      <c r="BU3" s="882" t="s">
        <v>351</v>
      </c>
      <c r="BV3" s="882" t="s">
        <v>352</v>
      </c>
      <c r="BW3" s="882" t="s">
        <v>353</v>
      </c>
      <c r="BX3" s="882" t="s">
        <v>354</v>
      </c>
      <c r="BY3" s="882" t="s">
        <v>102</v>
      </c>
      <c r="BZ3" s="880" t="s">
        <v>87</v>
      </c>
      <c r="CA3" s="880" t="s">
        <v>350</v>
      </c>
      <c r="CB3" s="880" t="s">
        <v>88</v>
      </c>
      <c r="CC3" s="880" t="s">
        <v>351</v>
      </c>
      <c r="CD3" s="880" t="s">
        <v>352</v>
      </c>
      <c r="CE3" s="880" t="s">
        <v>353</v>
      </c>
      <c r="CF3" s="880" t="s">
        <v>354</v>
      </c>
      <c r="CG3" s="880" t="s">
        <v>102</v>
      </c>
      <c r="CH3" s="896">
        <f>ENTRY!$D$25</f>
        <v>0</v>
      </c>
      <c r="CI3" s="897">
        <f>ENTRY!$D$26</f>
        <v>0</v>
      </c>
      <c r="CJ3" s="898"/>
    </row>
    <row r="4" spans="1:88">
      <c r="A4" s="879">
        <v>1</v>
      </c>
      <c r="B4" s="879">
        <f>STUDENT!F2</f>
        <v>14779</v>
      </c>
      <c r="C4" s="879">
        <f>STUDENT!D2</f>
        <v>20220171896</v>
      </c>
      <c r="D4" s="886" t="str">
        <f>STUDENT!E2</f>
        <v>NAKSH</v>
      </c>
      <c r="E4" s="886" t="str">
        <f>STUDENT!H2</f>
        <v>NARESH</v>
      </c>
      <c r="F4" s="887">
        <v>10</v>
      </c>
      <c r="G4" s="887">
        <v>10</v>
      </c>
      <c r="H4" s="887">
        <v>11</v>
      </c>
      <c r="I4" s="887">
        <v>12</v>
      </c>
      <c r="J4" s="887"/>
      <c r="K4" s="887">
        <v>14</v>
      </c>
      <c r="L4" s="887"/>
      <c r="M4" s="888">
        <f>IF(B4&gt;0,SUM(F4:L4),"")</f>
        <v>57</v>
      </c>
      <c r="N4" s="887"/>
      <c r="O4" s="887"/>
      <c r="P4" s="887"/>
      <c r="Q4" s="887"/>
      <c r="R4" s="887"/>
      <c r="S4" s="887"/>
      <c r="T4" s="887"/>
      <c r="U4" s="889">
        <f>IF(B4&gt;0,SUM(N4:T4),"")</f>
        <v>0</v>
      </c>
      <c r="V4" s="887"/>
      <c r="W4" s="887"/>
      <c r="X4" s="887"/>
      <c r="Y4" s="887"/>
      <c r="Z4" s="887"/>
      <c r="AA4" s="887"/>
      <c r="AB4" s="887"/>
      <c r="AC4" s="890">
        <f>IF(B4&gt;0,SUM(V4:AB4),"")</f>
        <v>0</v>
      </c>
      <c r="AD4" s="887"/>
      <c r="AE4" s="887"/>
      <c r="AF4" s="887"/>
      <c r="AG4" s="887"/>
      <c r="AH4" s="887"/>
      <c r="AI4" s="887"/>
      <c r="AJ4" s="887"/>
      <c r="AK4" s="888">
        <f>IF(B4&gt;0,SUM(AD4:AJ4),"")</f>
        <v>0</v>
      </c>
      <c r="AL4" s="891">
        <f>ROUND(SUM(F4,N4)/8,)</f>
        <v>1</v>
      </c>
      <c r="AM4" s="891">
        <f t="shared" ref="AM4:AR4" si="0">ROUND(SUM(G4,O4)/8,)</f>
        <v>1</v>
      </c>
      <c r="AN4" s="891">
        <f t="shared" si="0"/>
        <v>1</v>
      </c>
      <c r="AO4" s="891">
        <f t="shared" si="0"/>
        <v>2</v>
      </c>
      <c r="AP4" s="891">
        <f t="shared" si="0"/>
        <v>0</v>
      </c>
      <c r="AQ4" s="891">
        <f t="shared" si="0"/>
        <v>2</v>
      </c>
      <c r="AR4" s="891">
        <f t="shared" si="0"/>
        <v>0</v>
      </c>
      <c r="AS4" s="891">
        <f>SUM(AL4:AR4)</f>
        <v>7</v>
      </c>
      <c r="AT4" s="891">
        <f>ROUND(SUM(V4,AD4)/8,)</f>
        <v>0</v>
      </c>
      <c r="AU4" s="891">
        <f t="shared" ref="AU4:AZ4" si="1">ROUND(SUM(W4,AE4)/8,)</f>
        <v>0</v>
      </c>
      <c r="AV4" s="891">
        <f t="shared" si="1"/>
        <v>0</v>
      </c>
      <c r="AW4" s="891">
        <f t="shared" si="1"/>
        <v>0</v>
      </c>
      <c r="AX4" s="891">
        <f t="shared" si="1"/>
        <v>0</v>
      </c>
      <c r="AY4" s="891">
        <f t="shared" si="1"/>
        <v>0</v>
      </c>
      <c r="AZ4" s="891">
        <f t="shared" si="1"/>
        <v>0</v>
      </c>
      <c r="BA4" s="891">
        <f>SUM(AT4:AZ4)</f>
        <v>0</v>
      </c>
      <c r="BB4" s="888" t="str">
        <f>IF(F4="","",IF(F4="Ab","Ab",IF(F4="DAB","DAB",IF(F4&gt;15,"A",IF(F4&gt;11,"B",IF(F4&gt;8,"C",IF(F4&gt;5,"D",IF(F4&gt;0,"E",0))))))))</f>
        <v>C</v>
      </c>
      <c r="BC4" s="888" t="str">
        <f t="shared" ref="BC4:BH4" si="2">IF(G4="","",IF(G4="Ab","Ab",IF(G4="DAB","DAB",IF(G4&gt;15,"A",IF(G4&gt;11,"B",IF(G4&gt;8,"C",IF(G4&gt;5,"D",IF(G4&gt;0,"E",0))))))))</f>
        <v>C</v>
      </c>
      <c r="BD4" s="888" t="str">
        <f t="shared" si="2"/>
        <v>C</v>
      </c>
      <c r="BE4" s="888" t="str">
        <f t="shared" si="2"/>
        <v>B</v>
      </c>
      <c r="BF4" s="888" t="str">
        <f t="shared" si="2"/>
        <v/>
      </c>
      <c r="BG4" s="888" t="str">
        <f t="shared" si="2"/>
        <v>B</v>
      </c>
      <c r="BH4" s="888" t="str">
        <f t="shared" si="2"/>
        <v/>
      </c>
      <c r="BI4" s="888" t="str">
        <f>IF(M4="","",IF(M4=0,"Ab",IF(M4="Ab","Ab",IF(M4="DAB","DAB",IF(M4&gt;=90,"A",IF(M4&gt;=66,"B",IF(M4&gt;=48,"C",IF(M4&gt;=30,"D",IF(M4&gt;0,"E","")))))))))</f>
        <v>C</v>
      </c>
      <c r="BJ4" s="889" t="str">
        <f>IF(N4="","",IF(N4="Ab","Ab",IF(N4="DAB","DAB",IF(N4&gt;15,"A",IF(N4&gt;11,"B",IF(N4&gt;8,"C",IF(N4&gt;5,"D",IF(N4&gt;0,"E",0))))))))</f>
        <v/>
      </c>
      <c r="BK4" s="889" t="str">
        <f t="shared" ref="BK4:BP4" si="3">IF(O4="","",IF(O4="Ab","Ab",IF(O4="DAB","DAB",IF(O4&gt;15,"A",IF(O4&gt;11,"B",IF(O4&gt;8,"C",IF(O4&gt;5,"D",IF(O4&gt;0,"E",0))))))))</f>
        <v/>
      </c>
      <c r="BL4" s="889" t="str">
        <f t="shared" si="3"/>
        <v/>
      </c>
      <c r="BM4" s="889" t="str">
        <f t="shared" si="3"/>
        <v/>
      </c>
      <c r="BN4" s="889" t="str">
        <f t="shared" si="3"/>
        <v/>
      </c>
      <c r="BO4" s="889" t="str">
        <f t="shared" si="3"/>
        <v/>
      </c>
      <c r="BP4" s="889" t="str">
        <f t="shared" si="3"/>
        <v/>
      </c>
      <c r="BQ4" s="889" t="str">
        <f>IF(U4="","",IF(U4=0,"Ab",IF(U4="Ab","Ab",IF(U4="DAB","DAB",IF(U4&gt;=90,"A",IF(U4&gt;=66,"B",IF(U4&gt;=48,"C",IF(U4&gt;=30,"D",IF(U4&gt;0,"E",0)))))))))</f>
        <v>Ab</v>
      </c>
      <c r="BR4" s="890" t="str">
        <f>IF(V4="","",IF(V4="Ab","Ab",IF(V4="DAB","DAB",IF(V4&gt;15,"A",IF(V4&gt;11,"B",IF(V4&gt;8,"C",IF(V4&gt;5,"D",IF(V4&gt;0,"E",0))))))))</f>
        <v/>
      </c>
      <c r="BS4" s="890" t="str">
        <f t="shared" ref="BS4:BX4" si="4">IF(W4="","",IF(W4="Ab","Ab",IF(W4="DAB","DAB",IF(W4&gt;15,"A",IF(W4&gt;11,"B",IF(W4&gt;8,"C",IF(W4&gt;5,"D",IF(W4&gt;0,"E",0))))))))</f>
        <v/>
      </c>
      <c r="BT4" s="890" t="str">
        <f t="shared" si="4"/>
        <v/>
      </c>
      <c r="BU4" s="890" t="str">
        <f t="shared" si="4"/>
        <v/>
      </c>
      <c r="BV4" s="890" t="str">
        <f t="shared" si="4"/>
        <v/>
      </c>
      <c r="BW4" s="890" t="str">
        <f t="shared" si="4"/>
        <v/>
      </c>
      <c r="BX4" s="890" t="str">
        <f t="shared" si="4"/>
        <v/>
      </c>
      <c r="BY4" s="890" t="str">
        <f>IF(AC4="","",IF(AC4=0,"Ab",IF(AC4="Ab","Ab",IF(AC4="DAB","DAB",IF(AC4&gt;=90,"A",IF(AC4&gt;=66,"B",IF(AC4&gt;=48,"C",IF(AC4&gt;=30,"D",IF(AC4&gt;0,"E",0)))))))))</f>
        <v>Ab</v>
      </c>
      <c r="BZ4" s="888" t="str">
        <f>IF(AD4="","",IF(AD4="Ab","Ab",IF(AD4="DAB","DAB",IF(AD4&gt;15,"A",IF(AD4&gt;11,"B",IF(AD4&gt;8,"C",IF(AD4&gt;5,"D",IF(AD4&gt;0,"E",0))))))))</f>
        <v/>
      </c>
      <c r="CA4" s="888" t="str">
        <f t="shared" ref="CA4:CF4" si="5">IF(AE4="","",IF(AE4="Ab","Ab",IF(AE4="DAB","DAB",IF(AE4&gt;15,"A",IF(AE4&gt;11,"B",IF(AE4&gt;8,"C",IF(AE4&gt;5,"D",IF(AE4&gt;0,"E",0))))))))</f>
        <v/>
      </c>
      <c r="CB4" s="888" t="str">
        <f t="shared" si="5"/>
        <v/>
      </c>
      <c r="CC4" s="888" t="str">
        <f t="shared" si="5"/>
        <v/>
      </c>
      <c r="CD4" s="888" t="str">
        <f t="shared" si="5"/>
        <v/>
      </c>
      <c r="CE4" s="888" t="str">
        <f t="shared" si="5"/>
        <v/>
      </c>
      <c r="CF4" s="888" t="str">
        <f t="shared" si="5"/>
        <v/>
      </c>
      <c r="CG4" s="888" t="str">
        <f>IF(AK4="","",IF(AK4=0,"Ab",IF(AK4="Ab","Ab",IF(AK4="DAB","DAB",IF(AK4&gt;=90,"A",IF(AK4&gt;=66,"B",IF(AK4&gt;=48,"C",IF(AK4&gt;=30,"D",IF(AK4&gt;0,"E",0)))))))))</f>
        <v>Ab</v>
      </c>
      <c r="CH4" s="887">
        <v>160</v>
      </c>
      <c r="CI4" s="899">
        <v>350</v>
      </c>
      <c r="CJ4" s="900">
        <v>417</v>
      </c>
    </row>
    <row r="5" spans="1:88">
      <c r="A5" s="879">
        <v>2</v>
      </c>
      <c r="B5" s="879">
        <f>STUDENT!F3</f>
        <v>14733</v>
      </c>
      <c r="C5" s="879">
        <f>STUDENT!D3</f>
        <v>20220354217</v>
      </c>
      <c r="D5" s="886" t="str">
        <f>STUDENT!E3</f>
        <v>NAVEEN</v>
      </c>
      <c r="E5" s="886" t="str">
        <f>STUDENT!H3</f>
        <v>SANJAY</v>
      </c>
      <c r="F5" s="887">
        <v>11</v>
      </c>
      <c r="G5" s="887">
        <v>10</v>
      </c>
      <c r="H5" s="887">
        <v>11</v>
      </c>
      <c r="I5" s="887">
        <v>12</v>
      </c>
      <c r="J5" s="887"/>
      <c r="K5" s="887">
        <v>16</v>
      </c>
      <c r="L5" s="887"/>
      <c r="M5" s="888">
        <f t="shared" ref="M5:M68" si="6">IF(B5&gt;0,SUM(F5:L5),"")</f>
        <v>60</v>
      </c>
      <c r="N5" s="887"/>
      <c r="O5" s="887"/>
      <c r="P5" s="887"/>
      <c r="Q5" s="887"/>
      <c r="R5" s="887"/>
      <c r="S5" s="887"/>
      <c r="T5" s="887"/>
      <c r="U5" s="889">
        <f t="shared" ref="U5:U68" si="7">IF(B5&gt;0,SUM(N5:T5),"")</f>
        <v>0</v>
      </c>
      <c r="V5" s="887"/>
      <c r="W5" s="887"/>
      <c r="X5" s="887"/>
      <c r="Y5" s="887"/>
      <c r="Z5" s="887"/>
      <c r="AA5" s="887"/>
      <c r="AB5" s="887"/>
      <c r="AC5" s="890">
        <f t="shared" ref="AC5:AC68" si="8">IF(B5&gt;0,SUM(V5:AB5),"")</f>
        <v>0</v>
      </c>
      <c r="AD5" s="887"/>
      <c r="AE5" s="887"/>
      <c r="AF5" s="887"/>
      <c r="AG5" s="887"/>
      <c r="AH5" s="887"/>
      <c r="AI5" s="887"/>
      <c r="AJ5" s="887"/>
      <c r="AK5" s="888">
        <f t="shared" ref="AK5:AK68" si="9">IF(B5&gt;0,SUM(AD5:AJ5),"")</f>
        <v>0</v>
      </c>
      <c r="AL5" s="891">
        <f t="shared" ref="AL5:AL68" si="10">ROUND(SUM(F5,N5)/8,)</f>
        <v>1</v>
      </c>
      <c r="AM5" s="891">
        <f t="shared" ref="AM5:AM68" si="11">ROUND(SUM(G5,O5)/8,)</f>
        <v>1</v>
      </c>
      <c r="AN5" s="891">
        <f t="shared" ref="AN5:AN68" si="12">ROUND(SUM(H5,P5)/8,)</f>
        <v>1</v>
      </c>
      <c r="AO5" s="891">
        <f t="shared" ref="AO5:AO68" si="13">ROUND(SUM(I5,Q5)/8,)</f>
        <v>2</v>
      </c>
      <c r="AP5" s="891">
        <f t="shared" ref="AP5:AP68" si="14">ROUND(SUM(J5,R5)/8,)</f>
        <v>0</v>
      </c>
      <c r="AQ5" s="891">
        <f t="shared" ref="AQ5:AQ68" si="15">ROUND(SUM(K5,S5)/8,)</f>
        <v>2</v>
      </c>
      <c r="AR5" s="891">
        <f t="shared" ref="AR5:AR68" si="16">ROUND(SUM(L5,T5)/8,)</f>
        <v>0</v>
      </c>
      <c r="AS5" s="891">
        <f t="shared" ref="AS5:AS68" si="17">SUM(AL5:AR5)</f>
        <v>7</v>
      </c>
      <c r="AT5" s="891">
        <f t="shared" ref="AT5:AT68" si="18">ROUND(SUM(V5,AD5)/8,)</f>
        <v>0</v>
      </c>
      <c r="AU5" s="891">
        <f t="shared" ref="AU5:AU68" si="19">ROUND(SUM(W5,AE5)/8,)</f>
        <v>0</v>
      </c>
      <c r="AV5" s="891">
        <f t="shared" ref="AV5:AV68" si="20">ROUND(SUM(X5,AF5)/8,)</f>
        <v>0</v>
      </c>
      <c r="AW5" s="891">
        <f t="shared" ref="AW5:AW68" si="21">ROUND(SUM(Y5,AG5)/8,)</f>
        <v>0</v>
      </c>
      <c r="AX5" s="891">
        <f t="shared" ref="AX5:AX68" si="22">ROUND(SUM(Z5,AH5)/8,)</f>
        <v>0</v>
      </c>
      <c r="AY5" s="891">
        <f t="shared" ref="AY5:AY68" si="23">ROUND(SUM(AA5,AI5)/8,)</f>
        <v>0</v>
      </c>
      <c r="AZ5" s="891">
        <f t="shared" ref="AZ5:AZ68" si="24">ROUND(SUM(AB5,AJ5)/8,)</f>
        <v>0</v>
      </c>
      <c r="BA5" s="891">
        <f t="shared" ref="BA5:BA68" si="25">SUM(AT5:AZ5)</f>
        <v>0</v>
      </c>
      <c r="BB5" s="888" t="str">
        <f t="shared" ref="BB5:BB68" si="26">IF(F5="","",IF(F5="Ab","Ab",IF(F5="DAB","DAB",IF(F5&gt;15,"A",IF(F5&gt;11,"B",IF(F5&gt;8,"C",IF(F5&gt;5,"D",IF(F5&gt;0,"E",0))))))))</f>
        <v>C</v>
      </c>
      <c r="BC5" s="888" t="str">
        <f t="shared" ref="BC5:BC68" si="27">IF(G5="","",IF(G5="Ab","Ab",IF(G5="DAB","DAB",IF(G5&gt;15,"A",IF(G5&gt;11,"B",IF(G5&gt;8,"C",IF(G5&gt;5,"D",IF(G5&gt;0,"E",0))))))))</f>
        <v>C</v>
      </c>
      <c r="BD5" s="888" t="str">
        <f t="shared" ref="BD5:BD68" si="28">IF(H5="","",IF(H5="Ab","Ab",IF(H5="DAB","DAB",IF(H5&gt;15,"A",IF(H5&gt;11,"B",IF(H5&gt;8,"C",IF(H5&gt;5,"D",IF(H5&gt;0,"E",0))))))))</f>
        <v>C</v>
      </c>
      <c r="BE5" s="888" t="str">
        <f t="shared" ref="BE5:BE68" si="29">IF(I5="","",IF(I5="Ab","Ab",IF(I5="DAB","DAB",IF(I5&gt;15,"A",IF(I5&gt;11,"B",IF(I5&gt;8,"C",IF(I5&gt;5,"D",IF(I5&gt;0,"E",0))))))))</f>
        <v>B</v>
      </c>
      <c r="BF5" s="888" t="str">
        <f t="shared" ref="BF5:BF68" si="30">IF(J5="","",IF(J5="Ab","Ab",IF(J5="DAB","DAB",IF(J5&gt;15,"A",IF(J5&gt;11,"B",IF(J5&gt;8,"C",IF(J5&gt;5,"D",IF(J5&gt;0,"E",0))))))))</f>
        <v/>
      </c>
      <c r="BG5" s="888" t="str">
        <f t="shared" ref="BG5:BG68" si="31">IF(K5="","",IF(K5="Ab","Ab",IF(K5="DAB","DAB",IF(K5&gt;15,"A",IF(K5&gt;11,"B",IF(K5&gt;8,"C",IF(K5&gt;5,"D",IF(K5&gt;0,"E",0))))))))</f>
        <v>A</v>
      </c>
      <c r="BH5" s="888" t="str">
        <f t="shared" ref="BH5:BH68" si="32">IF(L5="","",IF(L5="Ab","Ab",IF(L5="DAB","DAB",IF(L5&gt;15,"A",IF(L5&gt;11,"B",IF(L5&gt;8,"C",IF(L5&gt;5,"D",IF(L5&gt;0,"E",0))))))))</f>
        <v/>
      </c>
      <c r="BI5" s="888" t="str">
        <f t="shared" ref="BI5:BI68" si="33">IF(M5="","",IF(M5=0,"Ab",IF(M5="Ab","Ab",IF(M5="DAB","DAB",IF(M5&gt;=90,"A",IF(M5&gt;=66,"B",IF(M5&gt;=48,"C",IF(M5&gt;=30,"D",IF(M5&gt;0,"E","")))))))))</f>
        <v>C</v>
      </c>
      <c r="BJ5" s="889" t="str">
        <f t="shared" ref="BJ5:BJ68" si="34">IF(N5="","",IF(N5="Ab","Ab",IF(N5="DAB","DAB",IF(N5&gt;15,"A",IF(N5&gt;11,"B",IF(N5&gt;8,"C",IF(N5&gt;5,"D",IF(N5&gt;0,"E",0))))))))</f>
        <v/>
      </c>
      <c r="BK5" s="889" t="str">
        <f t="shared" ref="BK5:BK68" si="35">IF(O5="","",IF(O5="Ab","Ab",IF(O5="DAB","DAB",IF(O5&gt;15,"A",IF(O5&gt;11,"B",IF(O5&gt;8,"C",IF(O5&gt;5,"D",IF(O5&gt;0,"E",0))))))))</f>
        <v/>
      </c>
      <c r="BL5" s="889" t="str">
        <f t="shared" ref="BL5:BL68" si="36">IF(P5="","",IF(P5="Ab","Ab",IF(P5="DAB","DAB",IF(P5&gt;15,"A",IF(P5&gt;11,"B",IF(P5&gt;8,"C",IF(P5&gt;5,"D",IF(P5&gt;0,"E",0))))))))</f>
        <v/>
      </c>
      <c r="BM5" s="889" t="str">
        <f t="shared" ref="BM5:BM68" si="37">IF(Q5="","",IF(Q5="Ab","Ab",IF(Q5="DAB","DAB",IF(Q5&gt;15,"A",IF(Q5&gt;11,"B",IF(Q5&gt;8,"C",IF(Q5&gt;5,"D",IF(Q5&gt;0,"E",0))))))))</f>
        <v/>
      </c>
      <c r="BN5" s="889" t="str">
        <f t="shared" ref="BN5:BN68" si="38">IF(R5="","",IF(R5="Ab","Ab",IF(R5="DAB","DAB",IF(R5&gt;15,"A",IF(R5&gt;11,"B",IF(R5&gt;8,"C",IF(R5&gt;5,"D",IF(R5&gt;0,"E",0))))))))</f>
        <v/>
      </c>
      <c r="BO5" s="889" t="str">
        <f t="shared" ref="BO5:BO68" si="39">IF(S5="","",IF(S5="Ab","Ab",IF(S5="DAB","DAB",IF(S5&gt;15,"A",IF(S5&gt;11,"B",IF(S5&gt;8,"C",IF(S5&gt;5,"D",IF(S5&gt;0,"E",0))))))))</f>
        <v/>
      </c>
      <c r="BP5" s="889" t="str">
        <f t="shared" ref="BP5:BP68" si="40">IF(T5="","",IF(T5="Ab","Ab",IF(T5="DAB","DAB",IF(T5&gt;15,"A",IF(T5&gt;11,"B",IF(T5&gt;8,"C",IF(T5&gt;5,"D",IF(T5&gt;0,"E",0))))))))</f>
        <v/>
      </c>
      <c r="BQ5" s="889" t="str">
        <f t="shared" ref="BQ5:BQ68" si="41">IF(U5="","",IF(U5=0,"Ab",IF(U5="Ab","Ab",IF(U5="DAB","DAB",IF(U5&gt;=90,"A",IF(U5&gt;=66,"B",IF(U5&gt;=48,"C",IF(U5&gt;=30,"D",IF(U5&gt;0,"E",0)))))))))</f>
        <v>Ab</v>
      </c>
      <c r="BR5" s="890" t="str">
        <f t="shared" ref="BR5:BR68" si="42">IF(V5="","",IF(V5="Ab","Ab",IF(V5="DAB","DAB",IF(V5&gt;15,"A",IF(V5&gt;11,"B",IF(V5&gt;8,"C",IF(V5&gt;5,"D",IF(V5&gt;0,"E",0))))))))</f>
        <v/>
      </c>
      <c r="BS5" s="890" t="str">
        <f t="shared" ref="BS5:BS68" si="43">IF(W5="","",IF(W5="Ab","Ab",IF(W5="DAB","DAB",IF(W5&gt;15,"A",IF(W5&gt;11,"B",IF(W5&gt;8,"C",IF(W5&gt;5,"D",IF(W5&gt;0,"E",0))))))))</f>
        <v/>
      </c>
      <c r="BT5" s="890" t="str">
        <f t="shared" ref="BT5:BT68" si="44">IF(X5="","",IF(X5="Ab","Ab",IF(X5="DAB","DAB",IF(X5&gt;15,"A",IF(X5&gt;11,"B",IF(X5&gt;8,"C",IF(X5&gt;5,"D",IF(X5&gt;0,"E",0))))))))</f>
        <v/>
      </c>
      <c r="BU5" s="890" t="str">
        <f t="shared" ref="BU5:BU68" si="45">IF(Y5="","",IF(Y5="Ab","Ab",IF(Y5="DAB","DAB",IF(Y5&gt;15,"A",IF(Y5&gt;11,"B",IF(Y5&gt;8,"C",IF(Y5&gt;5,"D",IF(Y5&gt;0,"E",0))))))))</f>
        <v/>
      </c>
      <c r="BV5" s="890" t="str">
        <f t="shared" ref="BV5:BV68" si="46">IF(Z5="","",IF(Z5="Ab","Ab",IF(Z5="DAB","DAB",IF(Z5&gt;15,"A",IF(Z5&gt;11,"B",IF(Z5&gt;8,"C",IF(Z5&gt;5,"D",IF(Z5&gt;0,"E",0))))))))</f>
        <v/>
      </c>
      <c r="BW5" s="890" t="str">
        <f t="shared" ref="BW5:BW68" si="47">IF(AA5="","",IF(AA5="Ab","Ab",IF(AA5="DAB","DAB",IF(AA5&gt;15,"A",IF(AA5&gt;11,"B",IF(AA5&gt;8,"C",IF(AA5&gt;5,"D",IF(AA5&gt;0,"E",0))))))))</f>
        <v/>
      </c>
      <c r="BX5" s="890" t="str">
        <f t="shared" ref="BX5:BX68" si="48">IF(AB5="","",IF(AB5="Ab","Ab",IF(AB5="DAB","DAB",IF(AB5&gt;15,"A",IF(AB5&gt;11,"B",IF(AB5&gt;8,"C",IF(AB5&gt;5,"D",IF(AB5&gt;0,"E",0))))))))</f>
        <v/>
      </c>
      <c r="BY5" s="890" t="str">
        <f t="shared" ref="BY5:BY68" si="49">IF(AC5="","",IF(AC5=0,"Ab",IF(AC5="Ab","Ab",IF(AC5="DAB","DAB",IF(AC5&gt;=90,"A",IF(AC5&gt;=66,"B",IF(AC5&gt;=48,"C",IF(AC5&gt;=30,"D",IF(AC5&gt;0,"E",0)))))))))</f>
        <v>Ab</v>
      </c>
      <c r="BZ5" s="888" t="str">
        <f t="shared" ref="BZ5:BZ68" si="50">IF(AD5="","",IF(AD5="Ab","Ab",IF(AD5="DAB","DAB",IF(AD5&gt;15,"A",IF(AD5&gt;11,"B",IF(AD5&gt;8,"C",IF(AD5&gt;5,"D",IF(AD5&gt;0,"E",0))))))))</f>
        <v/>
      </c>
      <c r="CA5" s="888" t="str">
        <f t="shared" ref="CA5:CA68" si="51">IF(AE5="","",IF(AE5="Ab","Ab",IF(AE5="DAB","DAB",IF(AE5&gt;15,"A",IF(AE5&gt;11,"B",IF(AE5&gt;8,"C",IF(AE5&gt;5,"D",IF(AE5&gt;0,"E",0))))))))</f>
        <v/>
      </c>
      <c r="CB5" s="888" t="str">
        <f t="shared" ref="CB5:CB68" si="52">IF(AF5="","",IF(AF5="Ab","Ab",IF(AF5="DAB","DAB",IF(AF5&gt;15,"A",IF(AF5&gt;11,"B",IF(AF5&gt;8,"C",IF(AF5&gt;5,"D",IF(AF5&gt;0,"E",0))))))))</f>
        <v/>
      </c>
      <c r="CC5" s="888" t="str">
        <f t="shared" ref="CC5:CC68" si="53">IF(AG5="","",IF(AG5="Ab","Ab",IF(AG5="DAB","DAB",IF(AG5&gt;15,"A",IF(AG5&gt;11,"B",IF(AG5&gt;8,"C",IF(AG5&gt;5,"D",IF(AG5&gt;0,"E",0))))))))</f>
        <v/>
      </c>
      <c r="CD5" s="888" t="str">
        <f t="shared" ref="CD5:CD68" si="54">IF(AH5="","",IF(AH5="Ab","Ab",IF(AH5="DAB","DAB",IF(AH5&gt;15,"A",IF(AH5&gt;11,"B",IF(AH5&gt;8,"C",IF(AH5&gt;5,"D",IF(AH5&gt;0,"E",0))))))))</f>
        <v/>
      </c>
      <c r="CE5" s="888" t="str">
        <f t="shared" ref="CE5:CE68" si="55">IF(AI5="","",IF(AI5="Ab","Ab",IF(AI5="DAB","DAB",IF(AI5&gt;15,"A",IF(AI5&gt;11,"B",IF(AI5&gt;8,"C",IF(AI5&gt;5,"D",IF(AI5&gt;0,"E",0))))))))</f>
        <v/>
      </c>
      <c r="CF5" s="888" t="str">
        <f t="shared" ref="CF5:CF68" si="56">IF(AJ5="","",IF(AJ5="Ab","Ab",IF(AJ5="DAB","DAB",IF(AJ5&gt;15,"A",IF(AJ5&gt;11,"B",IF(AJ5&gt;8,"C",IF(AJ5&gt;5,"D",IF(AJ5&gt;0,"E",0))))))))</f>
        <v/>
      </c>
      <c r="CG5" s="888" t="str">
        <f t="shared" ref="CG5:CG68" si="57">IF(AK5="","",IF(AK5=0,"Ab",IF(AK5="Ab","Ab",IF(AK5="DAB","DAB",IF(AK5&gt;=90,"A",IF(AK5&gt;=66,"B",IF(AK5&gt;=48,"C",IF(AK5&gt;=30,"D",IF(AK5&gt;0,"E",0)))))))))</f>
        <v>Ab</v>
      </c>
      <c r="CH5" s="887">
        <v>82</v>
      </c>
      <c r="CI5" s="899">
        <v>290</v>
      </c>
      <c r="CJ5" s="900">
        <v>417</v>
      </c>
    </row>
    <row r="6" spans="1:88">
      <c r="A6" s="879">
        <v>3</v>
      </c>
      <c r="B6" s="879">
        <f>STUDENT!F4</f>
        <v>14757</v>
      </c>
      <c r="C6" s="879">
        <f>STUDENT!D4</f>
        <v>20220402586</v>
      </c>
      <c r="D6" s="886" t="str">
        <f>STUDENT!E4</f>
        <v>AADITYA KUMAR</v>
      </c>
      <c r="E6" s="886" t="str">
        <f>STUDENT!H4</f>
        <v>DHARMENDRA KUMAR</v>
      </c>
      <c r="F6" s="887">
        <v>12</v>
      </c>
      <c r="G6" s="887">
        <v>11</v>
      </c>
      <c r="H6" s="887">
        <v>13</v>
      </c>
      <c r="I6" s="887">
        <v>10</v>
      </c>
      <c r="J6" s="887"/>
      <c r="K6" s="887">
        <v>14</v>
      </c>
      <c r="L6" s="887"/>
      <c r="M6" s="888">
        <f t="shared" si="6"/>
        <v>60</v>
      </c>
      <c r="N6" s="887"/>
      <c r="O6" s="887"/>
      <c r="P6" s="887"/>
      <c r="Q6" s="887"/>
      <c r="R6" s="887"/>
      <c r="S6" s="887"/>
      <c r="T6" s="887"/>
      <c r="U6" s="889">
        <f t="shared" si="7"/>
        <v>0</v>
      </c>
      <c r="V6" s="887"/>
      <c r="W6" s="887"/>
      <c r="X6" s="887"/>
      <c r="Y6" s="887"/>
      <c r="Z6" s="887"/>
      <c r="AA6" s="887"/>
      <c r="AB6" s="887"/>
      <c r="AC6" s="890">
        <f t="shared" si="8"/>
        <v>0</v>
      </c>
      <c r="AD6" s="887"/>
      <c r="AE6" s="887"/>
      <c r="AF6" s="887"/>
      <c r="AG6" s="887"/>
      <c r="AH6" s="887"/>
      <c r="AI6" s="887"/>
      <c r="AJ6" s="887"/>
      <c r="AK6" s="888">
        <f t="shared" si="9"/>
        <v>0</v>
      </c>
      <c r="AL6" s="891">
        <f t="shared" si="10"/>
        <v>2</v>
      </c>
      <c r="AM6" s="891">
        <f t="shared" si="11"/>
        <v>1</v>
      </c>
      <c r="AN6" s="891">
        <f t="shared" si="12"/>
        <v>2</v>
      </c>
      <c r="AO6" s="891">
        <f t="shared" si="13"/>
        <v>1</v>
      </c>
      <c r="AP6" s="891">
        <f t="shared" si="14"/>
        <v>0</v>
      </c>
      <c r="AQ6" s="891">
        <f t="shared" si="15"/>
        <v>2</v>
      </c>
      <c r="AR6" s="891">
        <f t="shared" si="16"/>
        <v>0</v>
      </c>
      <c r="AS6" s="891">
        <f t="shared" si="17"/>
        <v>8</v>
      </c>
      <c r="AT6" s="891">
        <f t="shared" si="18"/>
        <v>0</v>
      </c>
      <c r="AU6" s="891">
        <f t="shared" si="19"/>
        <v>0</v>
      </c>
      <c r="AV6" s="891">
        <f t="shared" si="20"/>
        <v>0</v>
      </c>
      <c r="AW6" s="891">
        <f t="shared" si="21"/>
        <v>0</v>
      </c>
      <c r="AX6" s="891">
        <f t="shared" si="22"/>
        <v>0</v>
      </c>
      <c r="AY6" s="891">
        <f t="shared" si="23"/>
        <v>0</v>
      </c>
      <c r="AZ6" s="891">
        <f t="shared" si="24"/>
        <v>0</v>
      </c>
      <c r="BA6" s="891">
        <f t="shared" si="25"/>
        <v>0</v>
      </c>
      <c r="BB6" s="888" t="str">
        <f t="shared" si="26"/>
        <v>B</v>
      </c>
      <c r="BC6" s="888" t="str">
        <f t="shared" si="27"/>
        <v>C</v>
      </c>
      <c r="BD6" s="888" t="str">
        <f t="shared" si="28"/>
        <v>B</v>
      </c>
      <c r="BE6" s="888" t="str">
        <f t="shared" si="29"/>
        <v>C</v>
      </c>
      <c r="BF6" s="888" t="str">
        <f t="shared" si="30"/>
        <v/>
      </c>
      <c r="BG6" s="888" t="str">
        <f t="shared" si="31"/>
        <v>B</v>
      </c>
      <c r="BH6" s="888" t="str">
        <f t="shared" si="32"/>
        <v/>
      </c>
      <c r="BI6" s="888" t="str">
        <f t="shared" si="33"/>
        <v>C</v>
      </c>
      <c r="BJ6" s="889" t="str">
        <f t="shared" si="34"/>
        <v/>
      </c>
      <c r="BK6" s="889" t="str">
        <f t="shared" si="35"/>
        <v/>
      </c>
      <c r="BL6" s="889" t="str">
        <f t="shared" si="36"/>
        <v/>
      </c>
      <c r="BM6" s="889" t="str">
        <f t="shared" si="37"/>
        <v/>
      </c>
      <c r="BN6" s="889" t="str">
        <f t="shared" si="38"/>
        <v/>
      </c>
      <c r="BO6" s="889" t="str">
        <f t="shared" si="39"/>
        <v/>
      </c>
      <c r="BP6" s="889" t="str">
        <f t="shared" si="40"/>
        <v/>
      </c>
      <c r="BQ6" s="889" t="str">
        <f t="shared" si="41"/>
        <v>Ab</v>
      </c>
      <c r="BR6" s="890" t="str">
        <f t="shared" si="42"/>
        <v/>
      </c>
      <c r="BS6" s="890" t="str">
        <f t="shared" si="43"/>
        <v/>
      </c>
      <c r="BT6" s="890" t="str">
        <f t="shared" si="44"/>
        <v/>
      </c>
      <c r="BU6" s="890" t="str">
        <f t="shared" si="45"/>
        <v/>
      </c>
      <c r="BV6" s="890" t="str">
        <f t="shared" si="46"/>
        <v/>
      </c>
      <c r="BW6" s="890" t="str">
        <f t="shared" si="47"/>
        <v/>
      </c>
      <c r="BX6" s="890" t="str">
        <f t="shared" si="48"/>
        <v/>
      </c>
      <c r="BY6" s="890" t="str">
        <f t="shared" si="49"/>
        <v>Ab</v>
      </c>
      <c r="BZ6" s="888" t="str">
        <f t="shared" si="50"/>
        <v/>
      </c>
      <c r="CA6" s="888" t="str">
        <f t="shared" si="51"/>
        <v/>
      </c>
      <c r="CB6" s="888" t="str">
        <f t="shared" si="52"/>
        <v/>
      </c>
      <c r="CC6" s="888" t="str">
        <f t="shared" si="53"/>
        <v/>
      </c>
      <c r="CD6" s="888" t="str">
        <f t="shared" si="54"/>
        <v/>
      </c>
      <c r="CE6" s="888" t="str">
        <f t="shared" si="55"/>
        <v/>
      </c>
      <c r="CF6" s="888" t="str">
        <f t="shared" si="56"/>
        <v/>
      </c>
      <c r="CG6" s="888" t="str">
        <f t="shared" si="57"/>
        <v>Ab</v>
      </c>
      <c r="CH6" s="887">
        <v>102</v>
      </c>
      <c r="CI6" s="899">
        <v>180</v>
      </c>
      <c r="CJ6" s="900">
        <v>417</v>
      </c>
    </row>
    <row r="7" spans="1:88">
      <c r="A7" s="879">
        <v>4</v>
      </c>
      <c r="B7" s="879">
        <f>STUDENT!F5</f>
        <v>14778</v>
      </c>
      <c r="C7" s="879">
        <f>STUDENT!D5</f>
        <v>20220448164</v>
      </c>
      <c r="D7" s="886" t="str">
        <f>STUDENT!E5</f>
        <v>PRINCE KUMAR RAY</v>
      </c>
      <c r="E7" s="886" t="str">
        <f>STUDENT!H5</f>
        <v>RAMSHARAN RAY</v>
      </c>
      <c r="F7" s="887">
        <v>12</v>
      </c>
      <c r="G7" s="887">
        <v>11</v>
      </c>
      <c r="H7" s="887">
        <v>14</v>
      </c>
      <c r="I7" s="887">
        <v>12</v>
      </c>
      <c r="J7" s="887"/>
      <c r="K7" s="887">
        <v>11</v>
      </c>
      <c r="L7" s="887"/>
      <c r="M7" s="888">
        <f t="shared" si="6"/>
        <v>60</v>
      </c>
      <c r="N7" s="887"/>
      <c r="O7" s="887"/>
      <c r="P7" s="887"/>
      <c r="Q7" s="887"/>
      <c r="R7" s="887"/>
      <c r="S7" s="887"/>
      <c r="T7" s="887"/>
      <c r="U7" s="889">
        <f t="shared" si="7"/>
        <v>0</v>
      </c>
      <c r="V7" s="887"/>
      <c r="W7" s="887"/>
      <c r="X7" s="887"/>
      <c r="Y7" s="887"/>
      <c r="Z7" s="887"/>
      <c r="AA7" s="887"/>
      <c r="AB7" s="887"/>
      <c r="AC7" s="890">
        <f t="shared" si="8"/>
        <v>0</v>
      </c>
      <c r="AD7" s="887"/>
      <c r="AE7" s="887"/>
      <c r="AF7" s="887"/>
      <c r="AG7" s="887"/>
      <c r="AH7" s="887"/>
      <c r="AI7" s="887"/>
      <c r="AJ7" s="887"/>
      <c r="AK7" s="888">
        <f t="shared" si="9"/>
        <v>0</v>
      </c>
      <c r="AL7" s="891">
        <f t="shared" si="10"/>
        <v>2</v>
      </c>
      <c r="AM7" s="891">
        <f t="shared" si="11"/>
        <v>1</v>
      </c>
      <c r="AN7" s="891">
        <f t="shared" si="12"/>
        <v>2</v>
      </c>
      <c r="AO7" s="891">
        <f t="shared" si="13"/>
        <v>2</v>
      </c>
      <c r="AP7" s="891">
        <f t="shared" si="14"/>
        <v>0</v>
      </c>
      <c r="AQ7" s="891">
        <f t="shared" si="15"/>
        <v>1</v>
      </c>
      <c r="AR7" s="891">
        <f t="shared" si="16"/>
        <v>0</v>
      </c>
      <c r="AS7" s="891">
        <f t="shared" si="17"/>
        <v>8</v>
      </c>
      <c r="AT7" s="891">
        <f t="shared" si="18"/>
        <v>0</v>
      </c>
      <c r="AU7" s="891">
        <f t="shared" si="19"/>
        <v>0</v>
      </c>
      <c r="AV7" s="891">
        <f t="shared" si="20"/>
        <v>0</v>
      </c>
      <c r="AW7" s="891">
        <f t="shared" si="21"/>
        <v>0</v>
      </c>
      <c r="AX7" s="891">
        <f t="shared" si="22"/>
        <v>0</v>
      </c>
      <c r="AY7" s="891">
        <f t="shared" si="23"/>
        <v>0</v>
      </c>
      <c r="AZ7" s="891">
        <f t="shared" si="24"/>
        <v>0</v>
      </c>
      <c r="BA7" s="891">
        <f t="shared" si="25"/>
        <v>0</v>
      </c>
      <c r="BB7" s="888" t="str">
        <f t="shared" si="26"/>
        <v>B</v>
      </c>
      <c r="BC7" s="888" t="str">
        <f t="shared" si="27"/>
        <v>C</v>
      </c>
      <c r="BD7" s="888" t="str">
        <f t="shared" si="28"/>
        <v>B</v>
      </c>
      <c r="BE7" s="888" t="str">
        <f t="shared" si="29"/>
        <v>B</v>
      </c>
      <c r="BF7" s="888" t="str">
        <f t="shared" si="30"/>
        <v/>
      </c>
      <c r="BG7" s="888" t="str">
        <f t="shared" si="31"/>
        <v>C</v>
      </c>
      <c r="BH7" s="888" t="str">
        <f t="shared" si="32"/>
        <v/>
      </c>
      <c r="BI7" s="888" t="str">
        <f t="shared" si="33"/>
        <v>C</v>
      </c>
      <c r="BJ7" s="889" t="str">
        <f t="shared" si="34"/>
        <v/>
      </c>
      <c r="BK7" s="889" t="str">
        <f t="shared" si="35"/>
        <v/>
      </c>
      <c r="BL7" s="889" t="str">
        <f t="shared" si="36"/>
        <v/>
      </c>
      <c r="BM7" s="889" t="str">
        <f t="shared" si="37"/>
        <v/>
      </c>
      <c r="BN7" s="889" t="str">
        <f t="shared" si="38"/>
        <v/>
      </c>
      <c r="BO7" s="889" t="str">
        <f t="shared" si="39"/>
        <v/>
      </c>
      <c r="BP7" s="889" t="str">
        <f t="shared" si="40"/>
        <v/>
      </c>
      <c r="BQ7" s="889" t="str">
        <f t="shared" si="41"/>
        <v>Ab</v>
      </c>
      <c r="BR7" s="890" t="str">
        <f t="shared" si="42"/>
        <v/>
      </c>
      <c r="BS7" s="890" t="str">
        <f t="shared" si="43"/>
        <v/>
      </c>
      <c r="BT7" s="890" t="str">
        <f t="shared" si="44"/>
        <v/>
      </c>
      <c r="BU7" s="890" t="str">
        <f t="shared" si="45"/>
        <v/>
      </c>
      <c r="BV7" s="890" t="str">
        <f t="shared" si="46"/>
        <v/>
      </c>
      <c r="BW7" s="890" t="str">
        <f t="shared" si="47"/>
        <v/>
      </c>
      <c r="BX7" s="890" t="str">
        <f t="shared" si="48"/>
        <v/>
      </c>
      <c r="BY7" s="890" t="str">
        <f t="shared" si="49"/>
        <v>Ab</v>
      </c>
      <c r="BZ7" s="888" t="str">
        <f t="shared" si="50"/>
        <v/>
      </c>
      <c r="CA7" s="888" t="str">
        <f t="shared" si="51"/>
        <v/>
      </c>
      <c r="CB7" s="888" t="str">
        <f t="shared" si="52"/>
        <v/>
      </c>
      <c r="CC7" s="888" t="str">
        <f t="shared" si="53"/>
        <v/>
      </c>
      <c r="CD7" s="888" t="str">
        <f t="shared" si="54"/>
        <v/>
      </c>
      <c r="CE7" s="888" t="str">
        <f t="shared" si="55"/>
        <v/>
      </c>
      <c r="CF7" s="888" t="str">
        <f t="shared" si="56"/>
        <v/>
      </c>
      <c r="CG7" s="888" t="str">
        <f t="shared" si="57"/>
        <v>Ab</v>
      </c>
      <c r="CH7" s="887">
        <v>148</v>
      </c>
      <c r="CI7" s="899">
        <v>220</v>
      </c>
      <c r="CJ7" s="900">
        <v>417</v>
      </c>
    </row>
    <row r="8" spans="1:88">
      <c r="A8" s="879">
        <v>5</v>
      </c>
      <c r="B8" s="879">
        <f>STUDENT!F6</f>
        <v>14785</v>
      </c>
      <c r="C8" s="879">
        <f>STUDENT!D6</f>
        <v>20220482313</v>
      </c>
      <c r="D8" s="886" t="str">
        <f>STUDENT!E6</f>
        <v>KIRSHNA</v>
      </c>
      <c r="E8" s="886" t="str">
        <f>STUDENT!H6</f>
        <v>VISHNU KASHYAP</v>
      </c>
      <c r="F8" s="887">
        <v>14</v>
      </c>
      <c r="G8" s="887">
        <v>10</v>
      </c>
      <c r="H8" s="887">
        <v>11</v>
      </c>
      <c r="I8" s="887">
        <v>14</v>
      </c>
      <c r="J8" s="887"/>
      <c r="K8" s="887">
        <v>12</v>
      </c>
      <c r="L8" s="887"/>
      <c r="M8" s="888">
        <f t="shared" si="6"/>
        <v>61</v>
      </c>
      <c r="N8" s="887"/>
      <c r="O8" s="887"/>
      <c r="P8" s="887"/>
      <c r="Q8" s="887"/>
      <c r="R8" s="887"/>
      <c r="S8" s="887"/>
      <c r="T8" s="887"/>
      <c r="U8" s="889">
        <f t="shared" si="7"/>
        <v>0</v>
      </c>
      <c r="V8" s="887"/>
      <c r="W8" s="887"/>
      <c r="X8" s="887"/>
      <c r="Y8" s="887"/>
      <c r="Z8" s="887"/>
      <c r="AA8" s="887"/>
      <c r="AB8" s="887"/>
      <c r="AC8" s="890">
        <f t="shared" si="8"/>
        <v>0</v>
      </c>
      <c r="AD8" s="887"/>
      <c r="AE8" s="887"/>
      <c r="AF8" s="887"/>
      <c r="AG8" s="887"/>
      <c r="AH8" s="887"/>
      <c r="AI8" s="887"/>
      <c r="AJ8" s="887"/>
      <c r="AK8" s="888">
        <f t="shared" si="9"/>
        <v>0</v>
      </c>
      <c r="AL8" s="891">
        <f t="shared" si="10"/>
        <v>2</v>
      </c>
      <c r="AM8" s="891">
        <f t="shared" si="11"/>
        <v>1</v>
      </c>
      <c r="AN8" s="891">
        <f t="shared" si="12"/>
        <v>1</v>
      </c>
      <c r="AO8" s="891">
        <f t="shared" si="13"/>
        <v>2</v>
      </c>
      <c r="AP8" s="891">
        <f t="shared" si="14"/>
        <v>0</v>
      </c>
      <c r="AQ8" s="891">
        <f t="shared" si="15"/>
        <v>2</v>
      </c>
      <c r="AR8" s="891">
        <f t="shared" si="16"/>
        <v>0</v>
      </c>
      <c r="AS8" s="891">
        <f t="shared" si="17"/>
        <v>8</v>
      </c>
      <c r="AT8" s="891">
        <f t="shared" si="18"/>
        <v>0</v>
      </c>
      <c r="AU8" s="891">
        <f t="shared" si="19"/>
        <v>0</v>
      </c>
      <c r="AV8" s="891">
        <f t="shared" si="20"/>
        <v>0</v>
      </c>
      <c r="AW8" s="891">
        <f t="shared" si="21"/>
        <v>0</v>
      </c>
      <c r="AX8" s="891">
        <f t="shared" si="22"/>
        <v>0</v>
      </c>
      <c r="AY8" s="891">
        <f t="shared" si="23"/>
        <v>0</v>
      </c>
      <c r="AZ8" s="891">
        <f t="shared" si="24"/>
        <v>0</v>
      </c>
      <c r="BA8" s="891">
        <f t="shared" si="25"/>
        <v>0</v>
      </c>
      <c r="BB8" s="888" t="str">
        <f t="shared" si="26"/>
        <v>B</v>
      </c>
      <c r="BC8" s="888" t="str">
        <f t="shared" si="27"/>
        <v>C</v>
      </c>
      <c r="BD8" s="888" t="str">
        <f t="shared" si="28"/>
        <v>C</v>
      </c>
      <c r="BE8" s="888" t="str">
        <f t="shared" si="29"/>
        <v>B</v>
      </c>
      <c r="BF8" s="888" t="str">
        <f t="shared" si="30"/>
        <v/>
      </c>
      <c r="BG8" s="888" t="str">
        <f t="shared" si="31"/>
        <v>B</v>
      </c>
      <c r="BH8" s="888" t="str">
        <f t="shared" si="32"/>
        <v/>
      </c>
      <c r="BI8" s="888" t="str">
        <f t="shared" si="33"/>
        <v>C</v>
      </c>
      <c r="BJ8" s="889" t="str">
        <f t="shared" si="34"/>
        <v/>
      </c>
      <c r="BK8" s="889" t="str">
        <f t="shared" si="35"/>
        <v/>
      </c>
      <c r="BL8" s="889" t="str">
        <f t="shared" si="36"/>
        <v/>
      </c>
      <c r="BM8" s="889" t="str">
        <f t="shared" si="37"/>
        <v/>
      </c>
      <c r="BN8" s="889" t="str">
        <f t="shared" si="38"/>
        <v/>
      </c>
      <c r="BO8" s="889" t="str">
        <f t="shared" si="39"/>
        <v/>
      </c>
      <c r="BP8" s="889" t="str">
        <f t="shared" si="40"/>
        <v/>
      </c>
      <c r="BQ8" s="889" t="str">
        <f t="shared" si="41"/>
        <v>Ab</v>
      </c>
      <c r="BR8" s="890" t="str">
        <f t="shared" si="42"/>
        <v/>
      </c>
      <c r="BS8" s="890" t="str">
        <f t="shared" si="43"/>
        <v/>
      </c>
      <c r="BT8" s="890" t="str">
        <f t="shared" si="44"/>
        <v/>
      </c>
      <c r="BU8" s="890" t="str">
        <f t="shared" si="45"/>
        <v/>
      </c>
      <c r="BV8" s="890" t="str">
        <f t="shared" si="46"/>
        <v/>
      </c>
      <c r="BW8" s="890" t="str">
        <f t="shared" si="47"/>
        <v/>
      </c>
      <c r="BX8" s="890" t="str">
        <f t="shared" si="48"/>
        <v/>
      </c>
      <c r="BY8" s="890" t="str">
        <f t="shared" si="49"/>
        <v>Ab</v>
      </c>
      <c r="BZ8" s="888" t="str">
        <f t="shared" si="50"/>
        <v/>
      </c>
      <c r="CA8" s="888" t="str">
        <f t="shared" si="51"/>
        <v/>
      </c>
      <c r="CB8" s="888" t="str">
        <f t="shared" si="52"/>
        <v/>
      </c>
      <c r="CC8" s="888" t="str">
        <f t="shared" si="53"/>
        <v/>
      </c>
      <c r="CD8" s="888" t="str">
        <f t="shared" si="54"/>
        <v/>
      </c>
      <c r="CE8" s="888" t="str">
        <f t="shared" si="55"/>
        <v/>
      </c>
      <c r="CF8" s="888" t="str">
        <f t="shared" si="56"/>
        <v/>
      </c>
      <c r="CG8" s="888" t="str">
        <f t="shared" si="57"/>
        <v>Ab</v>
      </c>
      <c r="CH8" s="887">
        <v>96</v>
      </c>
      <c r="CI8" s="899">
        <v>140</v>
      </c>
      <c r="CJ8" s="900">
        <v>200</v>
      </c>
    </row>
    <row r="9" spans="1:88">
      <c r="A9" s="879">
        <v>6</v>
      </c>
      <c r="B9" s="879">
        <f>STUDENT!F7</f>
        <v>14780</v>
      </c>
      <c r="C9" s="879">
        <f>STUDENT!D7</f>
        <v>20230048303</v>
      </c>
      <c r="D9" s="886" t="str">
        <f>STUDENT!E7</f>
        <v>MD SOPHIYAN ALAM</v>
      </c>
      <c r="E9" s="886" t="str">
        <f>STUDENT!H7</f>
        <v>MD TABREJ ALAM</v>
      </c>
      <c r="F9" s="887">
        <v>16</v>
      </c>
      <c r="G9" s="887">
        <v>12</v>
      </c>
      <c r="H9" s="887">
        <v>16</v>
      </c>
      <c r="I9" s="887">
        <v>12</v>
      </c>
      <c r="J9" s="887"/>
      <c r="K9" s="887">
        <v>16</v>
      </c>
      <c r="L9" s="887"/>
      <c r="M9" s="888">
        <f t="shared" si="6"/>
        <v>72</v>
      </c>
      <c r="N9" s="887"/>
      <c r="O9" s="887"/>
      <c r="P9" s="887"/>
      <c r="Q9" s="887"/>
      <c r="R9" s="887"/>
      <c r="S9" s="887"/>
      <c r="T9" s="887"/>
      <c r="U9" s="889">
        <f t="shared" si="7"/>
        <v>0</v>
      </c>
      <c r="V9" s="887"/>
      <c r="W9" s="887"/>
      <c r="X9" s="887"/>
      <c r="Y9" s="887"/>
      <c r="Z9" s="887"/>
      <c r="AA9" s="887"/>
      <c r="AB9" s="887"/>
      <c r="AC9" s="890">
        <f t="shared" si="8"/>
        <v>0</v>
      </c>
      <c r="AD9" s="887"/>
      <c r="AE9" s="887"/>
      <c r="AF9" s="887"/>
      <c r="AG9" s="887"/>
      <c r="AH9" s="887"/>
      <c r="AI9" s="887"/>
      <c r="AJ9" s="887"/>
      <c r="AK9" s="888">
        <f t="shared" si="9"/>
        <v>0</v>
      </c>
      <c r="AL9" s="891">
        <f t="shared" si="10"/>
        <v>2</v>
      </c>
      <c r="AM9" s="891">
        <f t="shared" si="11"/>
        <v>2</v>
      </c>
      <c r="AN9" s="891">
        <f t="shared" si="12"/>
        <v>2</v>
      </c>
      <c r="AO9" s="891">
        <f t="shared" si="13"/>
        <v>2</v>
      </c>
      <c r="AP9" s="891">
        <f t="shared" si="14"/>
        <v>0</v>
      </c>
      <c r="AQ9" s="891">
        <f t="shared" si="15"/>
        <v>2</v>
      </c>
      <c r="AR9" s="891">
        <f t="shared" si="16"/>
        <v>0</v>
      </c>
      <c r="AS9" s="891">
        <f t="shared" si="17"/>
        <v>10</v>
      </c>
      <c r="AT9" s="891">
        <f t="shared" si="18"/>
        <v>0</v>
      </c>
      <c r="AU9" s="891">
        <f t="shared" si="19"/>
        <v>0</v>
      </c>
      <c r="AV9" s="891">
        <f t="shared" si="20"/>
        <v>0</v>
      </c>
      <c r="AW9" s="891">
        <f t="shared" si="21"/>
        <v>0</v>
      </c>
      <c r="AX9" s="891">
        <f t="shared" si="22"/>
        <v>0</v>
      </c>
      <c r="AY9" s="891">
        <f t="shared" si="23"/>
        <v>0</v>
      </c>
      <c r="AZ9" s="891">
        <f t="shared" si="24"/>
        <v>0</v>
      </c>
      <c r="BA9" s="891">
        <f t="shared" si="25"/>
        <v>0</v>
      </c>
      <c r="BB9" s="888" t="str">
        <f t="shared" si="26"/>
        <v>A</v>
      </c>
      <c r="BC9" s="888" t="str">
        <f t="shared" si="27"/>
        <v>B</v>
      </c>
      <c r="BD9" s="888" t="str">
        <f t="shared" si="28"/>
        <v>A</v>
      </c>
      <c r="BE9" s="888" t="str">
        <f t="shared" si="29"/>
        <v>B</v>
      </c>
      <c r="BF9" s="888" t="str">
        <f t="shared" si="30"/>
        <v/>
      </c>
      <c r="BG9" s="888" t="str">
        <f t="shared" si="31"/>
        <v>A</v>
      </c>
      <c r="BH9" s="888" t="str">
        <f t="shared" si="32"/>
        <v/>
      </c>
      <c r="BI9" s="888" t="str">
        <f t="shared" si="33"/>
        <v>B</v>
      </c>
      <c r="BJ9" s="889" t="str">
        <f t="shared" si="34"/>
        <v/>
      </c>
      <c r="BK9" s="889" t="str">
        <f t="shared" si="35"/>
        <v/>
      </c>
      <c r="BL9" s="889" t="str">
        <f t="shared" si="36"/>
        <v/>
      </c>
      <c r="BM9" s="889" t="str">
        <f t="shared" si="37"/>
        <v/>
      </c>
      <c r="BN9" s="889" t="str">
        <f t="shared" si="38"/>
        <v/>
      </c>
      <c r="BO9" s="889" t="str">
        <f t="shared" si="39"/>
        <v/>
      </c>
      <c r="BP9" s="889" t="str">
        <f t="shared" si="40"/>
        <v/>
      </c>
      <c r="BQ9" s="889" t="str">
        <f t="shared" si="41"/>
        <v>Ab</v>
      </c>
      <c r="BR9" s="890" t="str">
        <f t="shared" si="42"/>
        <v/>
      </c>
      <c r="BS9" s="890" t="str">
        <f t="shared" si="43"/>
        <v/>
      </c>
      <c r="BT9" s="890" t="str">
        <f t="shared" si="44"/>
        <v/>
      </c>
      <c r="BU9" s="890" t="str">
        <f t="shared" si="45"/>
        <v/>
      </c>
      <c r="BV9" s="890" t="str">
        <f t="shared" si="46"/>
        <v/>
      </c>
      <c r="BW9" s="890" t="str">
        <f t="shared" si="47"/>
        <v/>
      </c>
      <c r="BX9" s="890" t="str">
        <f t="shared" si="48"/>
        <v/>
      </c>
      <c r="BY9" s="890" t="str">
        <f t="shared" si="49"/>
        <v>Ab</v>
      </c>
      <c r="BZ9" s="888" t="str">
        <f t="shared" si="50"/>
        <v/>
      </c>
      <c r="CA9" s="888" t="str">
        <f t="shared" si="51"/>
        <v/>
      </c>
      <c r="CB9" s="888" t="str">
        <f t="shared" si="52"/>
        <v/>
      </c>
      <c r="CC9" s="888" t="str">
        <f t="shared" si="53"/>
        <v/>
      </c>
      <c r="CD9" s="888" t="str">
        <f t="shared" si="54"/>
        <v/>
      </c>
      <c r="CE9" s="888" t="str">
        <f t="shared" si="55"/>
        <v/>
      </c>
      <c r="CF9" s="888" t="str">
        <f t="shared" si="56"/>
        <v/>
      </c>
      <c r="CG9" s="888" t="str">
        <f t="shared" si="57"/>
        <v>Ab</v>
      </c>
      <c r="CH9" s="887">
        <v>92</v>
      </c>
      <c r="CI9" s="899">
        <v>170</v>
      </c>
      <c r="CJ9" s="900">
        <v>190</v>
      </c>
    </row>
    <row r="10" spans="1:88">
      <c r="A10" s="879">
        <v>7</v>
      </c>
      <c r="B10" s="879">
        <f>STUDENT!F8</f>
        <v>14773</v>
      </c>
      <c r="C10" s="879">
        <f>STUDENT!D8</f>
        <v>20230083520</v>
      </c>
      <c r="D10" s="886" t="str">
        <f>STUDENT!E8</f>
        <v>MD SAUBAN</v>
      </c>
      <c r="E10" s="886" t="str">
        <f>STUDENT!H8</f>
        <v>MD IRSHAD</v>
      </c>
      <c r="F10" s="887">
        <v>13</v>
      </c>
      <c r="G10" s="887">
        <v>11</v>
      </c>
      <c r="H10" s="887">
        <v>13</v>
      </c>
      <c r="I10" s="887">
        <v>14</v>
      </c>
      <c r="J10" s="887"/>
      <c r="K10" s="887">
        <v>16</v>
      </c>
      <c r="L10" s="887"/>
      <c r="M10" s="888">
        <f t="shared" si="6"/>
        <v>67</v>
      </c>
      <c r="N10" s="887"/>
      <c r="O10" s="887"/>
      <c r="P10" s="887"/>
      <c r="Q10" s="887"/>
      <c r="R10" s="887"/>
      <c r="S10" s="887"/>
      <c r="T10" s="887"/>
      <c r="U10" s="889">
        <f t="shared" si="7"/>
        <v>0</v>
      </c>
      <c r="V10" s="887"/>
      <c r="W10" s="887"/>
      <c r="X10" s="887"/>
      <c r="Y10" s="887"/>
      <c r="Z10" s="887"/>
      <c r="AA10" s="887"/>
      <c r="AB10" s="887"/>
      <c r="AC10" s="890">
        <f t="shared" si="8"/>
        <v>0</v>
      </c>
      <c r="AD10" s="887"/>
      <c r="AE10" s="887"/>
      <c r="AF10" s="887"/>
      <c r="AG10" s="887"/>
      <c r="AH10" s="887"/>
      <c r="AI10" s="887"/>
      <c r="AJ10" s="887"/>
      <c r="AK10" s="888">
        <f t="shared" si="9"/>
        <v>0</v>
      </c>
      <c r="AL10" s="891">
        <f t="shared" si="10"/>
        <v>2</v>
      </c>
      <c r="AM10" s="891">
        <f t="shared" si="11"/>
        <v>1</v>
      </c>
      <c r="AN10" s="891">
        <f t="shared" si="12"/>
        <v>2</v>
      </c>
      <c r="AO10" s="891">
        <f t="shared" si="13"/>
        <v>2</v>
      </c>
      <c r="AP10" s="891">
        <f t="shared" si="14"/>
        <v>0</v>
      </c>
      <c r="AQ10" s="891">
        <f t="shared" si="15"/>
        <v>2</v>
      </c>
      <c r="AR10" s="891">
        <f t="shared" si="16"/>
        <v>0</v>
      </c>
      <c r="AS10" s="891">
        <f t="shared" si="17"/>
        <v>9</v>
      </c>
      <c r="AT10" s="891">
        <f t="shared" si="18"/>
        <v>0</v>
      </c>
      <c r="AU10" s="891">
        <f t="shared" si="19"/>
        <v>0</v>
      </c>
      <c r="AV10" s="891">
        <f t="shared" si="20"/>
        <v>0</v>
      </c>
      <c r="AW10" s="891">
        <f t="shared" si="21"/>
        <v>0</v>
      </c>
      <c r="AX10" s="891">
        <f t="shared" si="22"/>
        <v>0</v>
      </c>
      <c r="AY10" s="891">
        <f t="shared" si="23"/>
        <v>0</v>
      </c>
      <c r="AZ10" s="891">
        <f t="shared" si="24"/>
        <v>0</v>
      </c>
      <c r="BA10" s="891">
        <f t="shared" si="25"/>
        <v>0</v>
      </c>
      <c r="BB10" s="888" t="str">
        <f t="shared" si="26"/>
        <v>B</v>
      </c>
      <c r="BC10" s="888" t="str">
        <f t="shared" si="27"/>
        <v>C</v>
      </c>
      <c r="BD10" s="888" t="str">
        <f t="shared" si="28"/>
        <v>B</v>
      </c>
      <c r="BE10" s="888" t="str">
        <f t="shared" si="29"/>
        <v>B</v>
      </c>
      <c r="BF10" s="888" t="str">
        <f t="shared" si="30"/>
        <v/>
      </c>
      <c r="BG10" s="888" t="str">
        <f t="shared" si="31"/>
        <v>A</v>
      </c>
      <c r="BH10" s="888" t="str">
        <f t="shared" si="32"/>
        <v/>
      </c>
      <c r="BI10" s="888" t="str">
        <f t="shared" si="33"/>
        <v>B</v>
      </c>
      <c r="BJ10" s="889" t="str">
        <f t="shared" si="34"/>
        <v/>
      </c>
      <c r="BK10" s="889" t="str">
        <f t="shared" si="35"/>
        <v/>
      </c>
      <c r="BL10" s="889" t="str">
        <f t="shared" si="36"/>
        <v/>
      </c>
      <c r="BM10" s="889" t="str">
        <f t="shared" si="37"/>
        <v/>
      </c>
      <c r="BN10" s="889" t="str">
        <f t="shared" si="38"/>
        <v/>
      </c>
      <c r="BO10" s="889" t="str">
        <f t="shared" si="39"/>
        <v/>
      </c>
      <c r="BP10" s="889" t="str">
        <f t="shared" si="40"/>
        <v/>
      </c>
      <c r="BQ10" s="889" t="str">
        <f t="shared" si="41"/>
        <v>Ab</v>
      </c>
      <c r="BR10" s="890" t="str">
        <f t="shared" si="42"/>
        <v/>
      </c>
      <c r="BS10" s="890" t="str">
        <f t="shared" si="43"/>
        <v/>
      </c>
      <c r="BT10" s="890" t="str">
        <f t="shared" si="44"/>
        <v/>
      </c>
      <c r="BU10" s="890" t="str">
        <f t="shared" si="45"/>
        <v/>
      </c>
      <c r="BV10" s="890" t="str">
        <f t="shared" si="46"/>
        <v/>
      </c>
      <c r="BW10" s="890" t="str">
        <f t="shared" si="47"/>
        <v/>
      </c>
      <c r="BX10" s="890" t="str">
        <f t="shared" si="48"/>
        <v/>
      </c>
      <c r="BY10" s="890" t="str">
        <f t="shared" si="49"/>
        <v>Ab</v>
      </c>
      <c r="BZ10" s="888" t="str">
        <f t="shared" si="50"/>
        <v/>
      </c>
      <c r="CA10" s="888" t="str">
        <f t="shared" si="51"/>
        <v/>
      </c>
      <c r="CB10" s="888" t="str">
        <f t="shared" si="52"/>
        <v/>
      </c>
      <c r="CC10" s="888" t="str">
        <f t="shared" si="53"/>
        <v/>
      </c>
      <c r="CD10" s="888" t="str">
        <f t="shared" si="54"/>
        <v/>
      </c>
      <c r="CE10" s="888" t="str">
        <f t="shared" si="55"/>
        <v/>
      </c>
      <c r="CF10" s="888" t="str">
        <f t="shared" si="56"/>
        <v/>
      </c>
      <c r="CG10" s="888" t="str">
        <f t="shared" si="57"/>
        <v>Ab</v>
      </c>
      <c r="CH10" s="887">
        <v>166</v>
      </c>
      <c r="CI10" s="899"/>
      <c r="CJ10" s="900"/>
    </row>
    <row r="11" spans="1:88">
      <c r="A11" s="879">
        <v>8</v>
      </c>
      <c r="B11" s="879">
        <f>STUDENT!F9</f>
        <v>14769</v>
      </c>
      <c r="C11" s="879">
        <f>STUDENT!D9</f>
        <v>20230095636</v>
      </c>
      <c r="D11" s="886" t="str">
        <f>STUDENT!E9</f>
        <v>DEEPANSHU</v>
      </c>
      <c r="E11" s="886" t="str">
        <f>STUDENT!H9</f>
        <v>AKHILESH KUMAR</v>
      </c>
      <c r="F11" s="887">
        <v>13</v>
      </c>
      <c r="G11" s="887">
        <v>10</v>
      </c>
      <c r="H11" s="887">
        <v>13</v>
      </c>
      <c r="I11" s="887">
        <v>13</v>
      </c>
      <c r="J11" s="887"/>
      <c r="K11" s="887">
        <v>16</v>
      </c>
      <c r="L11" s="887"/>
      <c r="M11" s="888">
        <f t="shared" si="6"/>
        <v>65</v>
      </c>
      <c r="N11" s="887"/>
      <c r="O11" s="887"/>
      <c r="P11" s="887"/>
      <c r="Q11" s="887"/>
      <c r="R11" s="887"/>
      <c r="S11" s="887"/>
      <c r="T11" s="887"/>
      <c r="U11" s="889">
        <f t="shared" si="7"/>
        <v>0</v>
      </c>
      <c r="V11" s="887"/>
      <c r="W11" s="887"/>
      <c r="X11" s="887"/>
      <c r="Y11" s="887"/>
      <c r="Z11" s="887"/>
      <c r="AA11" s="887"/>
      <c r="AB11" s="887"/>
      <c r="AC11" s="890">
        <f t="shared" si="8"/>
        <v>0</v>
      </c>
      <c r="AD11" s="887"/>
      <c r="AE11" s="887"/>
      <c r="AF11" s="887"/>
      <c r="AG11" s="887"/>
      <c r="AH11" s="887"/>
      <c r="AI11" s="887"/>
      <c r="AJ11" s="887"/>
      <c r="AK11" s="888">
        <f t="shared" si="9"/>
        <v>0</v>
      </c>
      <c r="AL11" s="891">
        <f t="shared" si="10"/>
        <v>2</v>
      </c>
      <c r="AM11" s="891">
        <f t="shared" si="11"/>
        <v>1</v>
      </c>
      <c r="AN11" s="891">
        <f t="shared" si="12"/>
        <v>2</v>
      </c>
      <c r="AO11" s="891">
        <f t="shared" si="13"/>
        <v>2</v>
      </c>
      <c r="AP11" s="891">
        <f t="shared" si="14"/>
        <v>0</v>
      </c>
      <c r="AQ11" s="891">
        <f t="shared" si="15"/>
        <v>2</v>
      </c>
      <c r="AR11" s="891">
        <f t="shared" si="16"/>
        <v>0</v>
      </c>
      <c r="AS11" s="891">
        <f t="shared" si="17"/>
        <v>9</v>
      </c>
      <c r="AT11" s="891">
        <f t="shared" si="18"/>
        <v>0</v>
      </c>
      <c r="AU11" s="891">
        <f t="shared" si="19"/>
        <v>0</v>
      </c>
      <c r="AV11" s="891">
        <f t="shared" si="20"/>
        <v>0</v>
      </c>
      <c r="AW11" s="891">
        <f t="shared" si="21"/>
        <v>0</v>
      </c>
      <c r="AX11" s="891">
        <f t="shared" si="22"/>
        <v>0</v>
      </c>
      <c r="AY11" s="891">
        <f t="shared" si="23"/>
        <v>0</v>
      </c>
      <c r="AZ11" s="891">
        <f t="shared" si="24"/>
        <v>0</v>
      </c>
      <c r="BA11" s="891">
        <f t="shared" si="25"/>
        <v>0</v>
      </c>
      <c r="BB11" s="888" t="str">
        <f t="shared" si="26"/>
        <v>B</v>
      </c>
      <c r="BC11" s="888" t="str">
        <f t="shared" si="27"/>
        <v>C</v>
      </c>
      <c r="BD11" s="888" t="str">
        <f t="shared" si="28"/>
        <v>B</v>
      </c>
      <c r="BE11" s="888" t="str">
        <f t="shared" si="29"/>
        <v>B</v>
      </c>
      <c r="BF11" s="888" t="str">
        <f t="shared" si="30"/>
        <v/>
      </c>
      <c r="BG11" s="888" t="str">
        <f t="shared" si="31"/>
        <v>A</v>
      </c>
      <c r="BH11" s="888" t="str">
        <f t="shared" si="32"/>
        <v/>
      </c>
      <c r="BI11" s="888" t="str">
        <f t="shared" si="33"/>
        <v>C</v>
      </c>
      <c r="BJ11" s="889" t="str">
        <f t="shared" si="34"/>
        <v/>
      </c>
      <c r="BK11" s="889" t="str">
        <f t="shared" si="35"/>
        <v/>
      </c>
      <c r="BL11" s="889" t="str">
        <f t="shared" si="36"/>
        <v/>
      </c>
      <c r="BM11" s="889" t="str">
        <f t="shared" si="37"/>
        <v/>
      </c>
      <c r="BN11" s="889" t="str">
        <f t="shared" si="38"/>
        <v/>
      </c>
      <c r="BO11" s="889" t="str">
        <f t="shared" si="39"/>
        <v/>
      </c>
      <c r="BP11" s="889" t="str">
        <f t="shared" si="40"/>
        <v/>
      </c>
      <c r="BQ11" s="889" t="str">
        <f t="shared" si="41"/>
        <v>Ab</v>
      </c>
      <c r="BR11" s="890" t="str">
        <f t="shared" si="42"/>
        <v/>
      </c>
      <c r="BS11" s="890" t="str">
        <f t="shared" si="43"/>
        <v/>
      </c>
      <c r="BT11" s="890" t="str">
        <f t="shared" si="44"/>
        <v/>
      </c>
      <c r="BU11" s="890" t="str">
        <f t="shared" si="45"/>
        <v/>
      </c>
      <c r="BV11" s="890" t="str">
        <f t="shared" si="46"/>
        <v/>
      </c>
      <c r="BW11" s="890" t="str">
        <f t="shared" si="47"/>
        <v/>
      </c>
      <c r="BX11" s="890" t="str">
        <f t="shared" si="48"/>
        <v/>
      </c>
      <c r="BY11" s="890" t="str">
        <f t="shared" si="49"/>
        <v>Ab</v>
      </c>
      <c r="BZ11" s="888" t="str">
        <f t="shared" si="50"/>
        <v/>
      </c>
      <c r="CA11" s="888" t="str">
        <f t="shared" si="51"/>
        <v/>
      </c>
      <c r="CB11" s="888" t="str">
        <f t="shared" si="52"/>
        <v/>
      </c>
      <c r="CC11" s="888" t="str">
        <f t="shared" si="53"/>
        <v/>
      </c>
      <c r="CD11" s="888" t="str">
        <f t="shared" si="54"/>
        <v/>
      </c>
      <c r="CE11" s="888" t="str">
        <f t="shared" si="55"/>
        <v/>
      </c>
      <c r="CF11" s="888" t="str">
        <f t="shared" si="56"/>
        <v/>
      </c>
      <c r="CG11" s="888" t="str">
        <f t="shared" si="57"/>
        <v>Ab</v>
      </c>
      <c r="CH11" s="887">
        <v>130</v>
      </c>
      <c r="CI11" s="899"/>
      <c r="CJ11" s="900"/>
    </row>
    <row r="12" spans="1:88">
      <c r="A12" s="879">
        <v>9</v>
      </c>
      <c r="B12" s="879">
        <f>STUDENT!F10</f>
        <v>14754</v>
      </c>
      <c r="C12" s="879">
        <f>STUDENT!D10</f>
        <v>20230130143</v>
      </c>
      <c r="D12" s="886" t="str">
        <f>STUDENT!E10</f>
        <v>ANUJ</v>
      </c>
      <c r="E12" s="886" t="str">
        <f>STUDENT!H10</f>
        <v>RANJEET DAS</v>
      </c>
      <c r="F12" s="887">
        <v>14</v>
      </c>
      <c r="G12" s="887">
        <v>13</v>
      </c>
      <c r="H12" s="887">
        <v>11</v>
      </c>
      <c r="I12" s="887">
        <v>11</v>
      </c>
      <c r="J12" s="887"/>
      <c r="K12" s="887">
        <v>14</v>
      </c>
      <c r="L12" s="887"/>
      <c r="M12" s="888">
        <f t="shared" si="6"/>
        <v>63</v>
      </c>
      <c r="N12" s="887"/>
      <c r="O12" s="887"/>
      <c r="P12" s="887"/>
      <c r="Q12" s="887"/>
      <c r="R12" s="887"/>
      <c r="S12" s="887"/>
      <c r="T12" s="887"/>
      <c r="U12" s="889">
        <f t="shared" si="7"/>
        <v>0</v>
      </c>
      <c r="V12" s="887"/>
      <c r="W12" s="887"/>
      <c r="X12" s="887"/>
      <c r="Y12" s="887"/>
      <c r="Z12" s="887"/>
      <c r="AA12" s="887"/>
      <c r="AB12" s="887"/>
      <c r="AC12" s="890">
        <f t="shared" si="8"/>
        <v>0</v>
      </c>
      <c r="AD12" s="887"/>
      <c r="AE12" s="887"/>
      <c r="AF12" s="887"/>
      <c r="AG12" s="887"/>
      <c r="AH12" s="887"/>
      <c r="AI12" s="887"/>
      <c r="AJ12" s="887"/>
      <c r="AK12" s="888">
        <f t="shared" si="9"/>
        <v>0</v>
      </c>
      <c r="AL12" s="891">
        <f t="shared" si="10"/>
        <v>2</v>
      </c>
      <c r="AM12" s="891">
        <f t="shared" si="11"/>
        <v>2</v>
      </c>
      <c r="AN12" s="891">
        <f t="shared" si="12"/>
        <v>1</v>
      </c>
      <c r="AO12" s="891">
        <f t="shared" si="13"/>
        <v>1</v>
      </c>
      <c r="AP12" s="891">
        <f t="shared" si="14"/>
        <v>0</v>
      </c>
      <c r="AQ12" s="891">
        <f t="shared" si="15"/>
        <v>2</v>
      </c>
      <c r="AR12" s="891">
        <f t="shared" si="16"/>
        <v>0</v>
      </c>
      <c r="AS12" s="891">
        <f t="shared" si="17"/>
        <v>8</v>
      </c>
      <c r="AT12" s="891">
        <f t="shared" si="18"/>
        <v>0</v>
      </c>
      <c r="AU12" s="891">
        <f t="shared" si="19"/>
        <v>0</v>
      </c>
      <c r="AV12" s="891">
        <f t="shared" si="20"/>
        <v>0</v>
      </c>
      <c r="AW12" s="891">
        <f t="shared" si="21"/>
        <v>0</v>
      </c>
      <c r="AX12" s="891">
        <f t="shared" si="22"/>
        <v>0</v>
      </c>
      <c r="AY12" s="891">
        <f t="shared" si="23"/>
        <v>0</v>
      </c>
      <c r="AZ12" s="891">
        <f t="shared" si="24"/>
        <v>0</v>
      </c>
      <c r="BA12" s="891">
        <f t="shared" si="25"/>
        <v>0</v>
      </c>
      <c r="BB12" s="888" t="str">
        <f t="shared" si="26"/>
        <v>B</v>
      </c>
      <c r="BC12" s="888" t="str">
        <f t="shared" si="27"/>
        <v>B</v>
      </c>
      <c r="BD12" s="888" t="str">
        <f t="shared" si="28"/>
        <v>C</v>
      </c>
      <c r="BE12" s="888" t="str">
        <f t="shared" si="29"/>
        <v>C</v>
      </c>
      <c r="BF12" s="888" t="str">
        <f t="shared" si="30"/>
        <v/>
      </c>
      <c r="BG12" s="888" t="str">
        <f t="shared" si="31"/>
        <v>B</v>
      </c>
      <c r="BH12" s="888" t="str">
        <f t="shared" si="32"/>
        <v/>
      </c>
      <c r="BI12" s="888" t="str">
        <f t="shared" si="33"/>
        <v>C</v>
      </c>
      <c r="BJ12" s="889" t="str">
        <f t="shared" si="34"/>
        <v/>
      </c>
      <c r="BK12" s="889" t="str">
        <f t="shared" si="35"/>
        <v/>
      </c>
      <c r="BL12" s="889" t="str">
        <f t="shared" si="36"/>
        <v/>
      </c>
      <c r="BM12" s="889" t="str">
        <f t="shared" si="37"/>
        <v/>
      </c>
      <c r="BN12" s="889" t="str">
        <f t="shared" si="38"/>
        <v/>
      </c>
      <c r="BO12" s="889" t="str">
        <f t="shared" si="39"/>
        <v/>
      </c>
      <c r="BP12" s="889" t="str">
        <f t="shared" si="40"/>
        <v/>
      </c>
      <c r="BQ12" s="889" t="str">
        <f t="shared" si="41"/>
        <v>Ab</v>
      </c>
      <c r="BR12" s="890" t="str">
        <f t="shared" si="42"/>
        <v/>
      </c>
      <c r="BS12" s="890" t="str">
        <f t="shared" si="43"/>
        <v/>
      </c>
      <c r="BT12" s="890" t="str">
        <f t="shared" si="44"/>
        <v/>
      </c>
      <c r="BU12" s="890" t="str">
        <f t="shared" si="45"/>
        <v/>
      </c>
      <c r="BV12" s="890" t="str">
        <f t="shared" si="46"/>
        <v/>
      </c>
      <c r="BW12" s="890" t="str">
        <f t="shared" si="47"/>
        <v/>
      </c>
      <c r="BX12" s="890" t="str">
        <f t="shared" si="48"/>
        <v/>
      </c>
      <c r="BY12" s="890" t="str">
        <f t="shared" si="49"/>
        <v>Ab</v>
      </c>
      <c r="BZ12" s="888" t="str">
        <f t="shared" si="50"/>
        <v/>
      </c>
      <c r="CA12" s="888" t="str">
        <f t="shared" si="51"/>
        <v/>
      </c>
      <c r="CB12" s="888" t="str">
        <f t="shared" si="52"/>
        <v/>
      </c>
      <c r="CC12" s="888" t="str">
        <f t="shared" si="53"/>
        <v/>
      </c>
      <c r="CD12" s="888" t="str">
        <f t="shared" si="54"/>
        <v/>
      </c>
      <c r="CE12" s="888" t="str">
        <f t="shared" si="55"/>
        <v/>
      </c>
      <c r="CF12" s="888" t="str">
        <f t="shared" si="56"/>
        <v/>
      </c>
      <c r="CG12" s="888" t="str">
        <f t="shared" si="57"/>
        <v>Ab</v>
      </c>
      <c r="CH12" s="887">
        <v>104</v>
      </c>
      <c r="CI12" s="899"/>
      <c r="CJ12" s="900"/>
    </row>
    <row r="13" spans="1:88">
      <c r="A13" s="879">
        <v>10</v>
      </c>
      <c r="B13" s="879">
        <f>STUDENT!F11</f>
        <v>14774</v>
      </c>
      <c r="C13" s="879">
        <f>STUDENT!D11</f>
        <v>20230268614</v>
      </c>
      <c r="D13" s="886" t="str">
        <f>STUDENT!E11</f>
        <v>PIYUSH KUMAR</v>
      </c>
      <c r="E13" s="886" t="str">
        <f>STUDENT!H11</f>
        <v>MUNNA LAL</v>
      </c>
      <c r="F13" s="887">
        <v>13</v>
      </c>
      <c r="G13" s="887">
        <v>10</v>
      </c>
      <c r="H13" s="887">
        <v>12</v>
      </c>
      <c r="I13" s="887">
        <v>12</v>
      </c>
      <c r="J13" s="887"/>
      <c r="K13" s="887">
        <v>14</v>
      </c>
      <c r="L13" s="887"/>
      <c r="M13" s="888">
        <f t="shared" si="6"/>
        <v>61</v>
      </c>
      <c r="N13" s="887"/>
      <c r="O13" s="887"/>
      <c r="P13" s="887"/>
      <c r="Q13" s="887"/>
      <c r="R13" s="887"/>
      <c r="S13" s="887"/>
      <c r="T13" s="887"/>
      <c r="U13" s="889">
        <f t="shared" si="7"/>
        <v>0</v>
      </c>
      <c r="V13" s="887"/>
      <c r="W13" s="887"/>
      <c r="X13" s="887"/>
      <c r="Y13" s="887"/>
      <c r="Z13" s="887"/>
      <c r="AA13" s="887"/>
      <c r="AB13" s="887"/>
      <c r="AC13" s="890">
        <f t="shared" si="8"/>
        <v>0</v>
      </c>
      <c r="AD13" s="887"/>
      <c r="AE13" s="887"/>
      <c r="AF13" s="887"/>
      <c r="AG13" s="887"/>
      <c r="AH13" s="887"/>
      <c r="AI13" s="887"/>
      <c r="AJ13" s="887"/>
      <c r="AK13" s="888">
        <f t="shared" si="9"/>
        <v>0</v>
      </c>
      <c r="AL13" s="891">
        <f t="shared" si="10"/>
        <v>2</v>
      </c>
      <c r="AM13" s="891">
        <f t="shared" si="11"/>
        <v>1</v>
      </c>
      <c r="AN13" s="891">
        <f t="shared" si="12"/>
        <v>2</v>
      </c>
      <c r="AO13" s="891">
        <f t="shared" si="13"/>
        <v>2</v>
      </c>
      <c r="AP13" s="891">
        <f t="shared" si="14"/>
        <v>0</v>
      </c>
      <c r="AQ13" s="891">
        <f t="shared" si="15"/>
        <v>2</v>
      </c>
      <c r="AR13" s="891">
        <f t="shared" si="16"/>
        <v>0</v>
      </c>
      <c r="AS13" s="891">
        <f t="shared" si="17"/>
        <v>9</v>
      </c>
      <c r="AT13" s="891">
        <f t="shared" si="18"/>
        <v>0</v>
      </c>
      <c r="AU13" s="891">
        <f t="shared" si="19"/>
        <v>0</v>
      </c>
      <c r="AV13" s="891">
        <f t="shared" si="20"/>
        <v>0</v>
      </c>
      <c r="AW13" s="891">
        <f t="shared" si="21"/>
        <v>0</v>
      </c>
      <c r="AX13" s="891">
        <f t="shared" si="22"/>
        <v>0</v>
      </c>
      <c r="AY13" s="891">
        <f t="shared" si="23"/>
        <v>0</v>
      </c>
      <c r="AZ13" s="891">
        <f t="shared" si="24"/>
        <v>0</v>
      </c>
      <c r="BA13" s="891">
        <f t="shared" si="25"/>
        <v>0</v>
      </c>
      <c r="BB13" s="888" t="str">
        <f t="shared" si="26"/>
        <v>B</v>
      </c>
      <c r="BC13" s="888" t="str">
        <f t="shared" si="27"/>
        <v>C</v>
      </c>
      <c r="BD13" s="888" t="str">
        <f t="shared" si="28"/>
        <v>B</v>
      </c>
      <c r="BE13" s="888" t="str">
        <f t="shared" si="29"/>
        <v>B</v>
      </c>
      <c r="BF13" s="888" t="str">
        <f t="shared" si="30"/>
        <v/>
      </c>
      <c r="BG13" s="888" t="str">
        <f t="shared" si="31"/>
        <v>B</v>
      </c>
      <c r="BH13" s="888" t="str">
        <f t="shared" si="32"/>
        <v/>
      </c>
      <c r="BI13" s="888" t="str">
        <f t="shared" si="33"/>
        <v>C</v>
      </c>
      <c r="BJ13" s="889" t="str">
        <f t="shared" si="34"/>
        <v/>
      </c>
      <c r="BK13" s="889" t="str">
        <f t="shared" si="35"/>
        <v/>
      </c>
      <c r="BL13" s="889" t="str">
        <f t="shared" si="36"/>
        <v/>
      </c>
      <c r="BM13" s="889" t="str">
        <f t="shared" si="37"/>
        <v/>
      </c>
      <c r="BN13" s="889" t="str">
        <f t="shared" si="38"/>
        <v/>
      </c>
      <c r="BO13" s="889" t="str">
        <f t="shared" si="39"/>
        <v/>
      </c>
      <c r="BP13" s="889" t="str">
        <f t="shared" si="40"/>
        <v/>
      </c>
      <c r="BQ13" s="889" t="str">
        <f t="shared" si="41"/>
        <v>Ab</v>
      </c>
      <c r="BR13" s="890" t="str">
        <f t="shared" si="42"/>
        <v/>
      </c>
      <c r="BS13" s="890" t="str">
        <f t="shared" si="43"/>
        <v/>
      </c>
      <c r="BT13" s="890" t="str">
        <f t="shared" si="44"/>
        <v/>
      </c>
      <c r="BU13" s="890" t="str">
        <f t="shared" si="45"/>
        <v/>
      </c>
      <c r="BV13" s="890" t="str">
        <f t="shared" si="46"/>
        <v/>
      </c>
      <c r="BW13" s="890" t="str">
        <f t="shared" si="47"/>
        <v/>
      </c>
      <c r="BX13" s="890" t="str">
        <f t="shared" si="48"/>
        <v/>
      </c>
      <c r="BY13" s="890" t="str">
        <f t="shared" si="49"/>
        <v>Ab</v>
      </c>
      <c r="BZ13" s="888" t="str">
        <f t="shared" si="50"/>
        <v/>
      </c>
      <c r="CA13" s="888" t="str">
        <f t="shared" si="51"/>
        <v/>
      </c>
      <c r="CB13" s="888" t="str">
        <f t="shared" si="52"/>
        <v/>
      </c>
      <c r="CC13" s="888" t="str">
        <f t="shared" si="53"/>
        <v/>
      </c>
      <c r="CD13" s="888" t="str">
        <f t="shared" si="54"/>
        <v/>
      </c>
      <c r="CE13" s="888" t="str">
        <f t="shared" si="55"/>
        <v/>
      </c>
      <c r="CF13" s="888" t="str">
        <f t="shared" si="56"/>
        <v/>
      </c>
      <c r="CG13" s="888" t="str">
        <f t="shared" si="57"/>
        <v>Ab</v>
      </c>
      <c r="CH13" s="887">
        <v>188</v>
      </c>
      <c r="CI13" s="899"/>
      <c r="CJ13" s="900"/>
    </row>
    <row r="14" spans="1:88">
      <c r="A14" s="879">
        <v>11</v>
      </c>
      <c r="B14" s="879">
        <f>STUDENT!F12</f>
        <v>14775</v>
      </c>
      <c r="C14" s="879">
        <f>STUDENT!D12</f>
        <v>20230349168</v>
      </c>
      <c r="D14" s="886" t="str">
        <f>STUDENT!E12</f>
        <v>MD MAHTAB</v>
      </c>
      <c r="E14" s="886" t="str">
        <f>STUDENT!H12</f>
        <v>MD ASRAF</v>
      </c>
      <c r="F14" s="887" t="s">
        <v>101</v>
      </c>
      <c r="G14" s="887" t="s">
        <v>101</v>
      </c>
      <c r="H14" s="887" t="s">
        <v>101</v>
      </c>
      <c r="I14" s="887" t="s">
        <v>101</v>
      </c>
      <c r="J14" s="887"/>
      <c r="K14" s="887" t="s">
        <v>101</v>
      </c>
      <c r="L14" s="887"/>
      <c r="M14" s="888">
        <f t="shared" si="6"/>
        <v>0</v>
      </c>
      <c r="N14" s="887"/>
      <c r="O14" s="887"/>
      <c r="P14" s="887"/>
      <c r="Q14" s="887"/>
      <c r="R14" s="887"/>
      <c r="S14" s="887"/>
      <c r="T14" s="887"/>
      <c r="U14" s="889">
        <f t="shared" si="7"/>
        <v>0</v>
      </c>
      <c r="V14" s="887"/>
      <c r="W14" s="887"/>
      <c r="X14" s="887"/>
      <c r="Y14" s="887"/>
      <c r="Z14" s="887"/>
      <c r="AA14" s="887"/>
      <c r="AB14" s="887"/>
      <c r="AC14" s="890">
        <f t="shared" si="8"/>
        <v>0</v>
      </c>
      <c r="AD14" s="887"/>
      <c r="AE14" s="887"/>
      <c r="AF14" s="887"/>
      <c r="AG14" s="887"/>
      <c r="AH14" s="887"/>
      <c r="AI14" s="887"/>
      <c r="AJ14" s="887"/>
      <c r="AK14" s="888">
        <f t="shared" si="9"/>
        <v>0</v>
      </c>
      <c r="AL14" s="891">
        <f t="shared" si="10"/>
        <v>0</v>
      </c>
      <c r="AM14" s="891">
        <f t="shared" si="11"/>
        <v>0</v>
      </c>
      <c r="AN14" s="891">
        <f t="shared" si="12"/>
        <v>0</v>
      </c>
      <c r="AO14" s="891">
        <f t="shared" si="13"/>
        <v>0</v>
      </c>
      <c r="AP14" s="891">
        <f t="shared" si="14"/>
        <v>0</v>
      </c>
      <c r="AQ14" s="891">
        <f t="shared" si="15"/>
        <v>0</v>
      </c>
      <c r="AR14" s="891">
        <f t="shared" si="16"/>
        <v>0</v>
      </c>
      <c r="AS14" s="891">
        <f t="shared" si="17"/>
        <v>0</v>
      </c>
      <c r="AT14" s="891">
        <f t="shared" si="18"/>
        <v>0</v>
      </c>
      <c r="AU14" s="891">
        <f t="shared" si="19"/>
        <v>0</v>
      </c>
      <c r="AV14" s="891">
        <f t="shared" si="20"/>
        <v>0</v>
      </c>
      <c r="AW14" s="891">
        <f t="shared" si="21"/>
        <v>0</v>
      </c>
      <c r="AX14" s="891">
        <f t="shared" si="22"/>
        <v>0</v>
      </c>
      <c r="AY14" s="891">
        <f t="shared" si="23"/>
        <v>0</v>
      </c>
      <c r="AZ14" s="891">
        <f t="shared" si="24"/>
        <v>0</v>
      </c>
      <c r="BA14" s="891">
        <f t="shared" si="25"/>
        <v>0</v>
      </c>
      <c r="BB14" s="888" t="str">
        <f t="shared" si="26"/>
        <v>Ab</v>
      </c>
      <c r="BC14" s="888" t="str">
        <f t="shared" si="27"/>
        <v>Ab</v>
      </c>
      <c r="BD14" s="888" t="str">
        <f t="shared" si="28"/>
        <v>Ab</v>
      </c>
      <c r="BE14" s="888" t="str">
        <f t="shared" si="29"/>
        <v>Ab</v>
      </c>
      <c r="BF14" s="888" t="str">
        <f t="shared" si="30"/>
        <v/>
      </c>
      <c r="BG14" s="888" t="str">
        <f t="shared" si="31"/>
        <v>Ab</v>
      </c>
      <c r="BH14" s="888" t="str">
        <f t="shared" si="32"/>
        <v/>
      </c>
      <c r="BI14" s="888" t="str">
        <f t="shared" si="33"/>
        <v>Ab</v>
      </c>
      <c r="BJ14" s="889" t="str">
        <f t="shared" si="34"/>
        <v/>
      </c>
      <c r="BK14" s="889" t="str">
        <f t="shared" si="35"/>
        <v/>
      </c>
      <c r="BL14" s="889" t="str">
        <f t="shared" si="36"/>
        <v/>
      </c>
      <c r="BM14" s="889" t="str">
        <f t="shared" si="37"/>
        <v/>
      </c>
      <c r="BN14" s="889" t="str">
        <f t="shared" si="38"/>
        <v/>
      </c>
      <c r="BO14" s="889" t="str">
        <f t="shared" si="39"/>
        <v/>
      </c>
      <c r="BP14" s="889" t="str">
        <f t="shared" si="40"/>
        <v/>
      </c>
      <c r="BQ14" s="889" t="str">
        <f t="shared" si="41"/>
        <v>Ab</v>
      </c>
      <c r="BR14" s="890" t="str">
        <f t="shared" si="42"/>
        <v/>
      </c>
      <c r="BS14" s="890" t="str">
        <f t="shared" si="43"/>
        <v/>
      </c>
      <c r="BT14" s="890" t="str">
        <f t="shared" si="44"/>
        <v/>
      </c>
      <c r="BU14" s="890" t="str">
        <f t="shared" si="45"/>
        <v/>
      </c>
      <c r="BV14" s="890" t="str">
        <f t="shared" si="46"/>
        <v/>
      </c>
      <c r="BW14" s="890" t="str">
        <f t="shared" si="47"/>
        <v/>
      </c>
      <c r="BX14" s="890" t="str">
        <f t="shared" si="48"/>
        <v/>
      </c>
      <c r="BY14" s="890" t="str">
        <f t="shared" si="49"/>
        <v>Ab</v>
      </c>
      <c r="BZ14" s="888" t="str">
        <f t="shared" si="50"/>
        <v/>
      </c>
      <c r="CA14" s="888" t="str">
        <f t="shared" si="51"/>
        <v/>
      </c>
      <c r="CB14" s="888" t="str">
        <f t="shared" si="52"/>
        <v/>
      </c>
      <c r="CC14" s="888" t="str">
        <f t="shared" si="53"/>
        <v/>
      </c>
      <c r="CD14" s="888" t="str">
        <f t="shared" si="54"/>
        <v/>
      </c>
      <c r="CE14" s="888" t="str">
        <f t="shared" si="55"/>
        <v/>
      </c>
      <c r="CF14" s="888" t="str">
        <f t="shared" si="56"/>
        <v/>
      </c>
      <c r="CG14" s="888" t="str">
        <f t="shared" si="57"/>
        <v>Ab</v>
      </c>
      <c r="CH14" s="887">
        <v>150</v>
      </c>
      <c r="CI14" s="899"/>
      <c r="CJ14" s="900"/>
    </row>
    <row r="15" spans="1:88">
      <c r="A15" s="879">
        <v>12</v>
      </c>
      <c r="B15" s="879">
        <f>STUDENT!F13</f>
        <v>14734</v>
      </c>
      <c r="C15" s="879">
        <f>STUDENT!D13</f>
        <v>20240008153</v>
      </c>
      <c r="D15" s="886" t="str">
        <f>STUDENT!E13</f>
        <v>PRADEEP</v>
      </c>
      <c r="E15" s="886" t="str">
        <f>STUDENT!H13</f>
        <v>RAM BHAWAN</v>
      </c>
      <c r="F15" s="887">
        <v>7</v>
      </c>
      <c r="G15" s="887">
        <v>9</v>
      </c>
      <c r="H15" s="887">
        <v>6</v>
      </c>
      <c r="I15" s="887">
        <v>9</v>
      </c>
      <c r="J15" s="887"/>
      <c r="K15" s="887">
        <v>17</v>
      </c>
      <c r="L15" s="887"/>
      <c r="M15" s="888">
        <f t="shared" si="6"/>
        <v>48</v>
      </c>
      <c r="N15" s="887"/>
      <c r="O15" s="887"/>
      <c r="P15" s="887"/>
      <c r="Q15" s="887"/>
      <c r="R15" s="887"/>
      <c r="S15" s="887"/>
      <c r="T15" s="887"/>
      <c r="U15" s="889">
        <f t="shared" si="7"/>
        <v>0</v>
      </c>
      <c r="V15" s="887"/>
      <c r="W15" s="887"/>
      <c r="X15" s="887"/>
      <c r="Y15" s="887"/>
      <c r="Z15" s="887"/>
      <c r="AA15" s="887"/>
      <c r="AB15" s="887"/>
      <c r="AC15" s="890">
        <f t="shared" si="8"/>
        <v>0</v>
      </c>
      <c r="AD15" s="887"/>
      <c r="AE15" s="887"/>
      <c r="AF15" s="887"/>
      <c r="AG15" s="887"/>
      <c r="AH15" s="887"/>
      <c r="AI15" s="887"/>
      <c r="AJ15" s="887"/>
      <c r="AK15" s="888">
        <f t="shared" si="9"/>
        <v>0</v>
      </c>
      <c r="AL15" s="891">
        <f t="shared" si="10"/>
        <v>1</v>
      </c>
      <c r="AM15" s="891">
        <f t="shared" si="11"/>
        <v>1</v>
      </c>
      <c r="AN15" s="891">
        <f t="shared" si="12"/>
        <v>1</v>
      </c>
      <c r="AO15" s="891">
        <f t="shared" si="13"/>
        <v>1</v>
      </c>
      <c r="AP15" s="891">
        <f t="shared" si="14"/>
        <v>0</v>
      </c>
      <c r="AQ15" s="891">
        <f t="shared" si="15"/>
        <v>2</v>
      </c>
      <c r="AR15" s="891">
        <f t="shared" si="16"/>
        <v>0</v>
      </c>
      <c r="AS15" s="891">
        <f t="shared" si="17"/>
        <v>6</v>
      </c>
      <c r="AT15" s="891">
        <f t="shared" si="18"/>
        <v>0</v>
      </c>
      <c r="AU15" s="891">
        <f t="shared" si="19"/>
        <v>0</v>
      </c>
      <c r="AV15" s="891">
        <f t="shared" si="20"/>
        <v>0</v>
      </c>
      <c r="AW15" s="891">
        <f t="shared" si="21"/>
        <v>0</v>
      </c>
      <c r="AX15" s="891">
        <f t="shared" si="22"/>
        <v>0</v>
      </c>
      <c r="AY15" s="891">
        <f t="shared" si="23"/>
        <v>0</v>
      </c>
      <c r="AZ15" s="891">
        <f t="shared" si="24"/>
        <v>0</v>
      </c>
      <c r="BA15" s="891">
        <f t="shared" si="25"/>
        <v>0</v>
      </c>
      <c r="BB15" s="888" t="str">
        <f t="shared" si="26"/>
        <v>D</v>
      </c>
      <c r="BC15" s="888" t="str">
        <f t="shared" si="27"/>
        <v>C</v>
      </c>
      <c r="BD15" s="888" t="str">
        <f t="shared" si="28"/>
        <v>D</v>
      </c>
      <c r="BE15" s="888" t="str">
        <f t="shared" si="29"/>
        <v>C</v>
      </c>
      <c r="BF15" s="888" t="str">
        <f t="shared" si="30"/>
        <v/>
      </c>
      <c r="BG15" s="888" t="str">
        <f t="shared" si="31"/>
        <v>A</v>
      </c>
      <c r="BH15" s="888" t="str">
        <f t="shared" si="32"/>
        <v/>
      </c>
      <c r="BI15" s="888" t="str">
        <f t="shared" si="33"/>
        <v>C</v>
      </c>
      <c r="BJ15" s="889" t="str">
        <f t="shared" si="34"/>
        <v/>
      </c>
      <c r="BK15" s="889" t="str">
        <f t="shared" si="35"/>
        <v/>
      </c>
      <c r="BL15" s="889" t="str">
        <f t="shared" si="36"/>
        <v/>
      </c>
      <c r="BM15" s="889" t="str">
        <f t="shared" si="37"/>
        <v/>
      </c>
      <c r="BN15" s="889" t="str">
        <f t="shared" si="38"/>
        <v/>
      </c>
      <c r="BO15" s="889" t="str">
        <f t="shared" si="39"/>
        <v/>
      </c>
      <c r="BP15" s="889" t="str">
        <f t="shared" si="40"/>
        <v/>
      </c>
      <c r="BQ15" s="889" t="str">
        <f t="shared" si="41"/>
        <v>Ab</v>
      </c>
      <c r="BR15" s="890" t="str">
        <f t="shared" si="42"/>
        <v/>
      </c>
      <c r="BS15" s="890" t="str">
        <f t="shared" si="43"/>
        <v/>
      </c>
      <c r="BT15" s="890" t="str">
        <f t="shared" si="44"/>
        <v/>
      </c>
      <c r="BU15" s="890" t="str">
        <f t="shared" si="45"/>
        <v/>
      </c>
      <c r="BV15" s="890" t="str">
        <f t="shared" si="46"/>
        <v/>
      </c>
      <c r="BW15" s="890" t="str">
        <f t="shared" si="47"/>
        <v/>
      </c>
      <c r="BX15" s="890" t="str">
        <f t="shared" si="48"/>
        <v/>
      </c>
      <c r="BY15" s="890" t="str">
        <f t="shared" si="49"/>
        <v>Ab</v>
      </c>
      <c r="BZ15" s="888" t="str">
        <f t="shared" si="50"/>
        <v/>
      </c>
      <c r="CA15" s="888" t="str">
        <f t="shared" si="51"/>
        <v/>
      </c>
      <c r="CB15" s="888" t="str">
        <f t="shared" si="52"/>
        <v/>
      </c>
      <c r="CC15" s="888" t="str">
        <f t="shared" si="53"/>
        <v/>
      </c>
      <c r="CD15" s="888" t="str">
        <f t="shared" si="54"/>
        <v/>
      </c>
      <c r="CE15" s="888" t="str">
        <f t="shared" si="55"/>
        <v/>
      </c>
      <c r="CF15" s="888" t="str">
        <f t="shared" si="56"/>
        <v/>
      </c>
      <c r="CG15" s="888" t="str">
        <f t="shared" si="57"/>
        <v>Ab</v>
      </c>
      <c r="CH15" s="887">
        <v>106</v>
      </c>
      <c r="CI15" s="899"/>
      <c r="CJ15" s="900"/>
    </row>
    <row r="16" spans="1:88">
      <c r="A16" s="879">
        <v>13</v>
      </c>
      <c r="B16" s="879">
        <f>STUDENT!F14</f>
        <v>14735</v>
      </c>
      <c r="C16" s="879">
        <f>STUDENT!D14</f>
        <v>20240008167</v>
      </c>
      <c r="D16" s="886" t="str">
        <f>STUDENT!E14</f>
        <v>MOHD JISAN</v>
      </c>
      <c r="E16" s="886" t="str">
        <f>STUDENT!H14</f>
        <v>MD ZAMEEL</v>
      </c>
      <c r="F16" s="887">
        <v>10</v>
      </c>
      <c r="G16" s="887">
        <v>8</v>
      </c>
      <c r="H16" s="887">
        <v>11</v>
      </c>
      <c r="I16" s="887">
        <v>13</v>
      </c>
      <c r="J16" s="887"/>
      <c r="K16" s="887">
        <v>10</v>
      </c>
      <c r="L16" s="887"/>
      <c r="M16" s="888">
        <f t="shared" si="6"/>
        <v>52</v>
      </c>
      <c r="N16" s="887"/>
      <c r="O16" s="887"/>
      <c r="P16" s="887"/>
      <c r="Q16" s="887"/>
      <c r="R16" s="887"/>
      <c r="S16" s="887"/>
      <c r="T16" s="887"/>
      <c r="U16" s="889">
        <f t="shared" si="7"/>
        <v>0</v>
      </c>
      <c r="V16" s="887"/>
      <c r="W16" s="887"/>
      <c r="X16" s="887"/>
      <c r="Y16" s="887"/>
      <c r="Z16" s="887"/>
      <c r="AA16" s="887"/>
      <c r="AB16" s="887"/>
      <c r="AC16" s="890">
        <f t="shared" si="8"/>
        <v>0</v>
      </c>
      <c r="AD16" s="887"/>
      <c r="AE16" s="887"/>
      <c r="AF16" s="887"/>
      <c r="AG16" s="887"/>
      <c r="AH16" s="887"/>
      <c r="AI16" s="887"/>
      <c r="AJ16" s="887"/>
      <c r="AK16" s="888">
        <f t="shared" si="9"/>
        <v>0</v>
      </c>
      <c r="AL16" s="891">
        <f t="shared" si="10"/>
        <v>1</v>
      </c>
      <c r="AM16" s="891">
        <f t="shared" si="11"/>
        <v>1</v>
      </c>
      <c r="AN16" s="891">
        <f t="shared" si="12"/>
        <v>1</v>
      </c>
      <c r="AO16" s="891">
        <f t="shared" si="13"/>
        <v>2</v>
      </c>
      <c r="AP16" s="891">
        <f t="shared" si="14"/>
        <v>0</v>
      </c>
      <c r="AQ16" s="891">
        <f t="shared" si="15"/>
        <v>1</v>
      </c>
      <c r="AR16" s="891">
        <f t="shared" si="16"/>
        <v>0</v>
      </c>
      <c r="AS16" s="891">
        <f t="shared" si="17"/>
        <v>6</v>
      </c>
      <c r="AT16" s="891">
        <f t="shared" si="18"/>
        <v>0</v>
      </c>
      <c r="AU16" s="891">
        <f t="shared" si="19"/>
        <v>0</v>
      </c>
      <c r="AV16" s="891">
        <f t="shared" si="20"/>
        <v>0</v>
      </c>
      <c r="AW16" s="891">
        <f t="shared" si="21"/>
        <v>0</v>
      </c>
      <c r="AX16" s="891">
        <f t="shared" si="22"/>
        <v>0</v>
      </c>
      <c r="AY16" s="891">
        <f t="shared" si="23"/>
        <v>0</v>
      </c>
      <c r="AZ16" s="891">
        <f t="shared" si="24"/>
        <v>0</v>
      </c>
      <c r="BA16" s="891">
        <f t="shared" si="25"/>
        <v>0</v>
      </c>
      <c r="BB16" s="888" t="str">
        <f t="shared" si="26"/>
        <v>C</v>
      </c>
      <c r="BC16" s="888" t="str">
        <f t="shared" si="27"/>
        <v>D</v>
      </c>
      <c r="BD16" s="888" t="str">
        <f t="shared" si="28"/>
        <v>C</v>
      </c>
      <c r="BE16" s="888" t="str">
        <f t="shared" si="29"/>
        <v>B</v>
      </c>
      <c r="BF16" s="888" t="str">
        <f t="shared" si="30"/>
        <v/>
      </c>
      <c r="BG16" s="888" t="str">
        <f t="shared" si="31"/>
        <v>C</v>
      </c>
      <c r="BH16" s="888" t="str">
        <f t="shared" si="32"/>
        <v/>
      </c>
      <c r="BI16" s="888" t="str">
        <f t="shared" si="33"/>
        <v>C</v>
      </c>
      <c r="BJ16" s="889" t="str">
        <f t="shared" si="34"/>
        <v/>
      </c>
      <c r="BK16" s="889" t="str">
        <f t="shared" si="35"/>
        <v/>
      </c>
      <c r="BL16" s="889" t="str">
        <f t="shared" si="36"/>
        <v/>
      </c>
      <c r="BM16" s="889" t="str">
        <f t="shared" si="37"/>
        <v/>
      </c>
      <c r="BN16" s="889" t="str">
        <f t="shared" si="38"/>
        <v/>
      </c>
      <c r="BO16" s="889" t="str">
        <f t="shared" si="39"/>
        <v/>
      </c>
      <c r="BP16" s="889" t="str">
        <f t="shared" si="40"/>
        <v/>
      </c>
      <c r="BQ16" s="889" t="str">
        <f t="shared" si="41"/>
        <v>Ab</v>
      </c>
      <c r="BR16" s="890" t="str">
        <f t="shared" si="42"/>
        <v/>
      </c>
      <c r="BS16" s="890" t="str">
        <f t="shared" si="43"/>
        <v/>
      </c>
      <c r="BT16" s="890" t="str">
        <f t="shared" si="44"/>
        <v/>
      </c>
      <c r="BU16" s="890" t="str">
        <f t="shared" si="45"/>
        <v/>
      </c>
      <c r="BV16" s="890" t="str">
        <f t="shared" si="46"/>
        <v/>
      </c>
      <c r="BW16" s="890" t="str">
        <f t="shared" si="47"/>
        <v/>
      </c>
      <c r="BX16" s="890" t="str">
        <f t="shared" si="48"/>
        <v/>
      </c>
      <c r="BY16" s="890" t="str">
        <f t="shared" si="49"/>
        <v>Ab</v>
      </c>
      <c r="BZ16" s="888" t="str">
        <f t="shared" si="50"/>
        <v/>
      </c>
      <c r="CA16" s="888" t="str">
        <f t="shared" si="51"/>
        <v/>
      </c>
      <c r="CB16" s="888" t="str">
        <f t="shared" si="52"/>
        <v/>
      </c>
      <c r="CC16" s="888" t="str">
        <f t="shared" si="53"/>
        <v/>
      </c>
      <c r="CD16" s="888" t="str">
        <f t="shared" si="54"/>
        <v/>
      </c>
      <c r="CE16" s="888" t="str">
        <f t="shared" si="55"/>
        <v/>
      </c>
      <c r="CF16" s="888" t="str">
        <f t="shared" si="56"/>
        <v/>
      </c>
      <c r="CG16" s="888" t="str">
        <f t="shared" si="57"/>
        <v>Ab</v>
      </c>
      <c r="CH16" s="887">
        <v>162</v>
      </c>
      <c r="CI16" s="899"/>
      <c r="CJ16" s="900"/>
    </row>
    <row r="17" spans="1:88">
      <c r="A17" s="879">
        <v>14</v>
      </c>
      <c r="B17" s="879">
        <f>STUDENT!F15</f>
        <v>14745</v>
      </c>
      <c r="C17" s="879">
        <f>STUDENT!D15</f>
        <v>20240015035</v>
      </c>
      <c r="D17" s="886" t="str">
        <f>STUDENT!E15</f>
        <v>KARN KUMAR</v>
      </c>
      <c r="E17" s="886" t="str">
        <f>STUDENT!H15</f>
        <v>MUKESH RAY</v>
      </c>
      <c r="F17" s="887">
        <v>9</v>
      </c>
      <c r="G17" s="887">
        <v>9</v>
      </c>
      <c r="H17" s="887">
        <v>6</v>
      </c>
      <c r="I17" s="887">
        <v>10</v>
      </c>
      <c r="J17" s="887"/>
      <c r="K17" s="887">
        <v>15</v>
      </c>
      <c r="L17" s="887"/>
      <c r="M17" s="888">
        <f t="shared" si="6"/>
        <v>49</v>
      </c>
      <c r="N17" s="887"/>
      <c r="O17" s="887"/>
      <c r="P17" s="887"/>
      <c r="Q17" s="887"/>
      <c r="R17" s="887"/>
      <c r="S17" s="887"/>
      <c r="T17" s="887"/>
      <c r="U17" s="889">
        <f t="shared" si="7"/>
        <v>0</v>
      </c>
      <c r="V17" s="887"/>
      <c r="W17" s="887"/>
      <c r="X17" s="887"/>
      <c r="Y17" s="887"/>
      <c r="Z17" s="887"/>
      <c r="AA17" s="887"/>
      <c r="AB17" s="887"/>
      <c r="AC17" s="890">
        <f t="shared" si="8"/>
        <v>0</v>
      </c>
      <c r="AD17" s="887"/>
      <c r="AE17" s="887"/>
      <c r="AF17" s="887"/>
      <c r="AG17" s="887"/>
      <c r="AH17" s="887"/>
      <c r="AI17" s="887"/>
      <c r="AJ17" s="887"/>
      <c r="AK17" s="888">
        <f t="shared" si="9"/>
        <v>0</v>
      </c>
      <c r="AL17" s="891">
        <f t="shared" si="10"/>
        <v>1</v>
      </c>
      <c r="AM17" s="891">
        <f t="shared" si="11"/>
        <v>1</v>
      </c>
      <c r="AN17" s="891">
        <f t="shared" si="12"/>
        <v>1</v>
      </c>
      <c r="AO17" s="891">
        <f t="shared" si="13"/>
        <v>1</v>
      </c>
      <c r="AP17" s="891">
        <f t="shared" si="14"/>
        <v>0</v>
      </c>
      <c r="AQ17" s="891">
        <f t="shared" si="15"/>
        <v>2</v>
      </c>
      <c r="AR17" s="891">
        <f t="shared" si="16"/>
        <v>0</v>
      </c>
      <c r="AS17" s="891">
        <f t="shared" si="17"/>
        <v>6</v>
      </c>
      <c r="AT17" s="891">
        <f t="shared" si="18"/>
        <v>0</v>
      </c>
      <c r="AU17" s="891">
        <f t="shared" si="19"/>
        <v>0</v>
      </c>
      <c r="AV17" s="891">
        <f t="shared" si="20"/>
        <v>0</v>
      </c>
      <c r="AW17" s="891">
        <f t="shared" si="21"/>
        <v>0</v>
      </c>
      <c r="AX17" s="891">
        <f t="shared" si="22"/>
        <v>0</v>
      </c>
      <c r="AY17" s="891">
        <f t="shared" si="23"/>
        <v>0</v>
      </c>
      <c r="AZ17" s="891">
        <f t="shared" si="24"/>
        <v>0</v>
      </c>
      <c r="BA17" s="891">
        <f t="shared" si="25"/>
        <v>0</v>
      </c>
      <c r="BB17" s="888" t="str">
        <f t="shared" si="26"/>
        <v>C</v>
      </c>
      <c r="BC17" s="888" t="str">
        <f t="shared" si="27"/>
        <v>C</v>
      </c>
      <c r="BD17" s="888" t="str">
        <f t="shared" si="28"/>
        <v>D</v>
      </c>
      <c r="BE17" s="888" t="str">
        <f t="shared" si="29"/>
        <v>C</v>
      </c>
      <c r="BF17" s="888" t="str">
        <f t="shared" si="30"/>
        <v/>
      </c>
      <c r="BG17" s="888" t="str">
        <f t="shared" si="31"/>
        <v>B</v>
      </c>
      <c r="BH17" s="888" t="str">
        <f t="shared" si="32"/>
        <v/>
      </c>
      <c r="BI17" s="888" t="str">
        <f t="shared" si="33"/>
        <v>C</v>
      </c>
      <c r="BJ17" s="889" t="str">
        <f t="shared" si="34"/>
        <v/>
      </c>
      <c r="BK17" s="889" t="str">
        <f t="shared" si="35"/>
        <v/>
      </c>
      <c r="BL17" s="889" t="str">
        <f t="shared" si="36"/>
        <v/>
      </c>
      <c r="BM17" s="889" t="str">
        <f t="shared" si="37"/>
        <v/>
      </c>
      <c r="BN17" s="889" t="str">
        <f t="shared" si="38"/>
        <v/>
      </c>
      <c r="BO17" s="889" t="str">
        <f t="shared" si="39"/>
        <v/>
      </c>
      <c r="BP17" s="889" t="str">
        <f t="shared" si="40"/>
        <v/>
      </c>
      <c r="BQ17" s="889" t="str">
        <f t="shared" si="41"/>
        <v>Ab</v>
      </c>
      <c r="BR17" s="890" t="str">
        <f t="shared" si="42"/>
        <v/>
      </c>
      <c r="BS17" s="890" t="str">
        <f t="shared" si="43"/>
        <v/>
      </c>
      <c r="BT17" s="890" t="str">
        <f t="shared" si="44"/>
        <v/>
      </c>
      <c r="BU17" s="890" t="str">
        <f t="shared" si="45"/>
        <v/>
      </c>
      <c r="BV17" s="890" t="str">
        <f t="shared" si="46"/>
        <v/>
      </c>
      <c r="BW17" s="890" t="str">
        <f t="shared" si="47"/>
        <v/>
      </c>
      <c r="BX17" s="890" t="str">
        <f t="shared" si="48"/>
        <v/>
      </c>
      <c r="BY17" s="890" t="str">
        <f t="shared" si="49"/>
        <v>Ab</v>
      </c>
      <c r="BZ17" s="888" t="str">
        <f t="shared" si="50"/>
        <v/>
      </c>
      <c r="CA17" s="888" t="str">
        <f t="shared" si="51"/>
        <v/>
      </c>
      <c r="CB17" s="888" t="str">
        <f t="shared" si="52"/>
        <v/>
      </c>
      <c r="CC17" s="888" t="str">
        <f t="shared" si="53"/>
        <v/>
      </c>
      <c r="CD17" s="888" t="str">
        <f t="shared" si="54"/>
        <v/>
      </c>
      <c r="CE17" s="888" t="str">
        <f t="shared" si="55"/>
        <v/>
      </c>
      <c r="CF17" s="888" t="str">
        <f t="shared" si="56"/>
        <v/>
      </c>
      <c r="CG17" s="888" t="str">
        <f t="shared" si="57"/>
        <v>Ab</v>
      </c>
      <c r="CH17" s="887">
        <v>132</v>
      </c>
      <c r="CI17" s="899"/>
      <c r="CJ17" s="900"/>
    </row>
    <row r="18" spans="1:88">
      <c r="A18" s="879">
        <v>15</v>
      </c>
      <c r="B18" s="879">
        <f>STUDENT!F16</f>
        <v>14746</v>
      </c>
      <c r="C18" s="879">
        <f>STUDENT!D16</f>
        <v>20240015112</v>
      </c>
      <c r="D18" s="886" t="str">
        <f>STUDENT!E16</f>
        <v>ROKI</v>
      </c>
      <c r="E18" s="886" t="str">
        <f>STUDENT!H16</f>
        <v>KUAR SINGH</v>
      </c>
      <c r="F18" s="887">
        <v>14</v>
      </c>
      <c r="G18" s="887">
        <v>11</v>
      </c>
      <c r="H18" s="887">
        <v>13</v>
      </c>
      <c r="I18" s="887">
        <v>9</v>
      </c>
      <c r="J18" s="887"/>
      <c r="K18" s="887">
        <v>16</v>
      </c>
      <c r="L18" s="887"/>
      <c r="M18" s="888">
        <f t="shared" si="6"/>
        <v>63</v>
      </c>
      <c r="N18" s="887"/>
      <c r="O18" s="887"/>
      <c r="P18" s="887"/>
      <c r="Q18" s="887"/>
      <c r="R18" s="887"/>
      <c r="S18" s="887"/>
      <c r="T18" s="887"/>
      <c r="U18" s="889">
        <f t="shared" si="7"/>
        <v>0</v>
      </c>
      <c r="V18" s="887"/>
      <c r="W18" s="887"/>
      <c r="X18" s="887"/>
      <c r="Y18" s="887"/>
      <c r="Z18" s="887"/>
      <c r="AA18" s="887"/>
      <c r="AB18" s="887"/>
      <c r="AC18" s="890">
        <f t="shared" si="8"/>
        <v>0</v>
      </c>
      <c r="AD18" s="887"/>
      <c r="AE18" s="887"/>
      <c r="AF18" s="887"/>
      <c r="AG18" s="887"/>
      <c r="AH18" s="887"/>
      <c r="AI18" s="887"/>
      <c r="AJ18" s="887"/>
      <c r="AK18" s="888">
        <f t="shared" si="9"/>
        <v>0</v>
      </c>
      <c r="AL18" s="891">
        <f t="shared" si="10"/>
        <v>2</v>
      </c>
      <c r="AM18" s="891">
        <f t="shared" si="11"/>
        <v>1</v>
      </c>
      <c r="AN18" s="891">
        <f t="shared" si="12"/>
        <v>2</v>
      </c>
      <c r="AO18" s="891">
        <f t="shared" si="13"/>
        <v>1</v>
      </c>
      <c r="AP18" s="891">
        <f t="shared" si="14"/>
        <v>0</v>
      </c>
      <c r="AQ18" s="891">
        <f t="shared" si="15"/>
        <v>2</v>
      </c>
      <c r="AR18" s="891">
        <f t="shared" si="16"/>
        <v>0</v>
      </c>
      <c r="AS18" s="891">
        <f t="shared" si="17"/>
        <v>8</v>
      </c>
      <c r="AT18" s="891">
        <f t="shared" si="18"/>
        <v>0</v>
      </c>
      <c r="AU18" s="891">
        <f t="shared" si="19"/>
        <v>0</v>
      </c>
      <c r="AV18" s="891">
        <f t="shared" si="20"/>
        <v>0</v>
      </c>
      <c r="AW18" s="891">
        <f t="shared" si="21"/>
        <v>0</v>
      </c>
      <c r="AX18" s="891">
        <f t="shared" si="22"/>
        <v>0</v>
      </c>
      <c r="AY18" s="891">
        <f t="shared" si="23"/>
        <v>0</v>
      </c>
      <c r="AZ18" s="891">
        <f t="shared" si="24"/>
        <v>0</v>
      </c>
      <c r="BA18" s="891">
        <f t="shared" si="25"/>
        <v>0</v>
      </c>
      <c r="BB18" s="888" t="str">
        <f t="shared" si="26"/>
        <v>B</v>
      </c>
      <c r="BC18" s="888" t="str">
        <f t="shared" si="27"/>
        <v>C</v>
      </c>
      <c r="BD18" s="888" t="str">
        <f t="shared" si="28"/>
        <v>B</v>
      </c>
      <c r="BE18" s="888" t="str">
        <f t="shared" si="29"/>
        <v>C</v>
      </c>
      <c r="BF18" s="888" t="str">
        <f t="shared" si="30"/>
        <v/>
      </c>
      <c r="BG18" s="888" t="str">
        <f t="shared" si="31"/>
        <v>A</v>
      </c>
      <c r="BH18" s="888" t="str">
        <f t="shared" si="32"/>
        <v/>
      </c>
      <c r="BI18" s="888" t="str">
        <f t="shared" si="33"/>
        <v>C</v>
      </c>
      <c r="BJ18" s="889" t="str">
        <f t="shared" si="34"/>
        <v/>
      </c>
      <c r="BK18" s="889" t="str">
        <f t="shared" si="35"/>
        <v/>
      </c>
      <c r="BL18" s="889" t="str">
        <f t="shared" si="36"/>
        <v/>
      </c>
      <c r="BM18" s="889" t="str">
        <f t="shared" si="37"/>
        <v/>
      </c>
      <c r="BN18" s="889" t="str">
        <f t="shared" si="38"/>
        <v/>
      </c>
      <c r="BO18" s="889" t="str">
        <f t="shared" si="39"/>
        <v/>
      </c>
      <c r="BP18" s="889" t="str">
        <f t="shared" si="40"/>
        <v/>
      </c>
      <c r="BQ18" s="889" t="str">
        <f t="shared" si="41"/>
        <v>Ab</v>
      </c>
      <c r="BR18" s="890" t="str">
        <f t="shared" si="42"/>
        <v/>
      </c>
      <c r="BS18" s="890" t="str">
        <f t="shared" si="43"/>
        <v/>
      </c>
      <c r="BT18" s="890" t="str">
        <f t="shared" si="44"/>
        <v/>
      </c>
      <c r="BU18" s="890" t="str">
        <f t="shared" si="45"/>
        <v/>
      </c>
      <c r="BV18" s="890" t="str">
        <f t="shared" si="46"/>
        <v/>
      </c>
      <c r="BW18" s="890" t="str">
        <f t="shared" si="47"/>
        <v/>
      </c>
      <c r="BX18" s="890" t="str">
        <f t="shared" si="48"/>
        <v/>
      </c>
      <c r="BY18" s="890" t="str">
        <f t="shared" si="49"/>
        <v>Ab</v>
      </c>
      <c r="BZ18" s="888" t="str">
        <f t="shared" si="50"/>
        <v/>
      </c>
      <c r="CA18" s="888" t="str">
        <f t="shared" si="51"/>
        <v/>
      </c>
      <c r="CB18" s="888" t="str">
        <f t="shared" si="52"/>
        <v/>
      </c>
      <c r="CC18" s="888" t="str">
        <f t="shared" si="53"/>
        <v/>
      </c>
      <c r="CD18" s="888" t="str">
        <f t="shared" si="54"/>
        <v/>
      </c>
      <c r="CE18" s="888" t="str">
        <f t="shared" si="55"/>
        <v/>
      </c>
      <c r="CF18" s="888" t="str">
        <f t="shared" si="56"/>
        <v/>
      </c>
      <c r="CG18" s="888" t="str">
        <f t="shared" si="57"/>
        <v>Ab</v>
      </c>
      <c r="CH18" s="887">
        <v>136</v>
      </c>
      <c r="CI18" s="899"/>
      <c r="CJ18" s="900"/>
    </row>
    <row r="19" spans="1:88">
      <c r="A19" s="879">
        <v>16</v>
      </c>
      <c r="B19" s="879">
        <f>STUDENT!F17</f>
        <v>14748</v>
      </c>
      <c r="C19" s="879">
        <f>STUDENT!D17</f>
        <v>20240015199</v>
      </c>
      <c r="D19" s="886" t="str">
        <f>STUDENT!E17</f>
        <v>MD BILAL</v>
      </c>
      <c r="E19" s="886" t="str">
        <f>STUDENT!H17</f>
        <v>MD AFROJ</v>
      </c>
      <c r="F19" s="887">
        <v>12</v>
      </c>
      <c r="G19" s="887">
        <v>10</v>
      </c>
      <c r="H19" s="887">
        <v>14</v>
      </c>
      <c r="I19" s="887">
        <v>11</v>
      </c>
      <c r="J19" s="887"/>
      <c r="K19" s="887">
        <v>16</v>
      </c>
      <c r="L19" s="887"/>
      <c r="M19" s="888">
        <f t="shared" si="6"/>
        <v>63</v>
      </c>
      <c r="N19" s="887"/>
      <c r="O19" s="887"/>
      <c r="P19" s="887"/>
      <c r="Q19" s="887"/>
      <c r="R19" s="887"/>
      <c r="S19" s="887"/>
      <c r="T19" s="887"/>
      <c r="U19" s="889">
        <f t="shared" si="7"/>
        <v>0</v>
      </c>
      <c r="V19" s="887"/>
      <c r="W19" s="887"/>
      <c r="X19" s="887"/>
      <c r="Y19" s="887"/>
      <c r="Z19" s="887"/>
      <c r="AA19" s="887"/>
      <c r="AB19" s="887"/>
      <c r="AC19" s="890">
        <f t="shared" si="8"/>
        <v>0</v>
      </c>
      <c r="AD19" s="887"/>
      <c r="AE19" s="887"/>
      <c r="AF19" s="887"/>
      <c r="AG19" s="887"/>
      <c r="AH19" s="887"/>
      <c r="AI19" s="887"/>
      <c r="AJ19" s="887"/>
      <c r="AK19" s="888">
        <f t="shared" si="9"/>
        <v>0</v>
      </c>
      <c r="AL19" s="891">
        <f t="shared" si="10"/>
        <v>2</v>
      </c>
      <c r="AM19" s="891">
        <f t="shared" si="11"/>
        <v>1</v>
      </c>
      <c r="AN19" s="891">
        <f t="shared" si="12"/>
        <v>2</v>
      </c>
      <c r="AO19" s="891">
        <f t="shared" si="13"/>
        <v>1</v>
      </c>
      <c r="AP19" s="891">
        <f t="shared" si="14"/>
        <v>0</v>
      </c>
      <c r="AQ19" s="891">
        <f t="shared" si="15"/>
        <v>2</v>
      </c>
      <c r="AR19" s="891">
        <f t="shared" si="16"/>
        <v>0</v>
      </c>
      <c r="AS19" s="891">
        <f t="shared" si="17"/>
        <v>8</v>
      </c>
      <c r="AT19" s="891">
        <f t="shared" si="18"/>
        <v>0</v>
      </c>
      <c r="AU19" s="891">
        <f t="shared" si="19"/>
        <v>0</v>
      </c>
      <c r="AV19" s="891">
        <f t="shared" si="20"/>
        <v>0</v>
      </c>
      <c r="AW19" s="891">
        <f t="shared" si="21"/>
        <v>0</v>
      </c>
      <c r="AX19" s="891">
        <f t="shared" si="22"/>
        <v>0</v>
      </c>
      <c r="AY19" s="891">
        <f t="shared" si="23"/>
        <v>0</v>
      </c>
      <c r="AZ19" s="891">
        <f t="shared" si="24"/>
        <v>0</v>
      </c>
      <c r="BA19" s="891">
        <f t="shared" si="25"/>
        <v>0</v>
      </c>
      <c r="BB19" s="888" t="str">
        <f t="shared" si="26"/>
        <v>B</v>
      </c>
      <c r="BC19" s="888" t="str">
        <f t="shared" si="27"/>
        <v>C</v>
      </c>
      <c r="BD19" s="888" t="str">
        <f t="shared" si="28"/>
        <v>B</v>
      </c>
      <c r="BE19" s="888" t="str">
        <f t="shared" si="29"/>
        <v>C</v>
      </c>
      <c r="BF19" s="888" t="str">
        <f t="shared" si="30"/>
        <v/>
      </c>
      <c r="BG19" s="888" t="str">
        <f t="shared" si="31"/>
        <v>A</v>
      </c>
      <c r="BH19" s="888" t="str">
        <f t="shared" si="32"/>
        <v/>
      </c>
      <c r="BI19" s="888" t="str">
        <f t="shared" si="33"/>
        <v>C</v>
      </c>
      <c r="BJ19" s="889" t="str">
        <f t="shared" si="34"/>
        <v/>
      </c>
      <c r="BK19" s="889" t="str">
        <f t="shared" si="35"/>
        <v/>
      </c>
      <c r="BL19" s="889" t="str">
        <f t="shared" si="36"/>
        <v/>
      </c>
      <c r="BM19" s="889" t="str">
        <f t="shared" si="37"/>
        <v/>
      </c>
      <c r="BN19" s="889" t="str">
        <f t="shared" si="38"/>
        <v/>
      </c>
      <c r="BO19" s="889" t="str">
        <f t="shared" si="39"/>
        <v/>
      </c>
      <c r="BP19" s="889" t="str">
        <f t="shared" si="40"/>
        <v/>
      </c>
      <c r="BQ19" s="889" t="str">
        <f t="shared" si="41"/>
        <v>Ab</v>
      </c>
      <c r="BR19" s="890" t="str">
        <f t="shared" si="42"/>
        <v/>
      </c>
      <c r="BS19" s="890" t="str">
        <f t="shared" si="43"/>
        <v/>
      </c>
      <c r="BT19" s="890" t="str">
        <f t="shared" si="44"/>
        <v/>
      </c>
      <c r="BU19" s="890" t="str">
        <f t="shared" si="45"/>
        <v/>
      </c>
      <c r="BV19" s="890" t="str">
        <f t="shared" si="46"/>
        <v/>
      </c>
      <c r="BW19" s="890" t="str">
        <f t="shared" si="47"/>
        <v/>
      </c>
      <c r="BX19" s="890" t="str">
        <f t="shared" si="48"/>
        <v/>
      </c>
      <c r="BY19" s="890" t="str">
        <f t="shared" si="49"/>
        <v>Ab</v>
      </c>
      <c r="BZ19" s="888" t="str">
        <f t="shared" si="50"/>
        <v/>
      </c>
      <c r="CA19" s="888" t="str">
        <f t="shared" si="51"/>
        <v/>
      </c>
      <c r="CB19" s="888" t="str">
        <f t="shared" si="52"/>
        <v/>
      </c>
      <c r="CC19" s="888" t="str">
        <f t="shared" si="53"/>
        <v/>
      </c>
      <c r="CD19" s="888" t="str">
        <f t="shared" si="54"/>
        <v/>
      </c>
      <c r="CE19" s="888" t="str">
        <f t="shared" si="55"/>
        <v/>
      </c>
      <c r="CF19" s="888" t="str">
        <f t="shared" si="56"/>
        <v/>
      </c>
      <c r="CG19" s="888" t="str">
        <f t="shared" si="57"/>
        <v>Ab</v>
      </c>
      <c r="CH19" s="887">
        <v>120</v>
      </c>
      <c r="CI19" s="899"/>
      <c r="CJ19" s="900"/>
    </row>
    <row r="20" spans="1:88">
      <c r="A20" s="879">
        <v>17</v>
      </c>
      <c r="B20" s="879">
        <f>STUDENT!F18</f>
        <v>14755</v>
      </c>
      <c r="C20" s="879">
        <f>STUDENT!D18</f>
        <v>20240023044</v>
      </c>
      <c r="D20" s="886" t="str">
        <f>STUDENT!E18</f>
        <v>GAURAV KUMAR</v>
      </c>
      <c r="E20" s="886" t="str">
        <f>STUDENT!H18</f>
        <v>HARINDER YADAV</v>
      </c>
      <c r="F20" s="887">
        <v>12</v>
      </c>
      <c r="G20" s="887">
        <v>8</v>
      </c>
      <c r="H20" s="887">
        <v>11</v>
      </c>
      <c r="I20" s="887">
        <v>10</v>
      </c>
      <c r="J20" s="887"/>
      <c r="K20" s="887">
        <v>16</v>
      </c>
      <c r="L20" s="887"/>
      <c r="M20" s="888">
        <f t="shared" si="6"/>
        <v>57</v>
      </c>
      <c r="N20" s="887"/>
      <c r="O20" s="887"/>
      <c r="P20" s="887"/>
      <c r="Q20" s="887"/>
      <c r="R20" s="887"/>
      <c r="S20" s="887"/>
      <c r="T20" s="887"/>
      <c r="U20" s="889">
        <f t="shared" si="7"/>
        <v>0</v>
      </c>
      <c r="V20" s="887"/>
      <c r="W20" s="887"/>
      <c r="X20" s="887"/>
      <c r="Y20" s="887"/>
      <c r="Z20" s="887"/>
      <c r="AA20" s="887"/>
      <c r="AB20" s="887"/>
      <c r="AC20" s="890">
        <f t="shared" si="8"/>
        <v>0</v>
      </c>
      <c r="AD20" s="887"/>
      <c r="AE20" s="887"/>
      <c r="AF20" s="887"/>
      <c r="AG20" s="887"/>
      <c r="AH20" s="887"/>
      <c r="AI20" s="887"/>
      <c r="AJ20" s="887"/>
      <c r="AK20" s="888">
        <f t="shared" si="9"/>
        <v>0</v>
      </c>
      <c r="AL20" s="891">
        <f t="shared" si="10"/>
        <v>2</v>
      </c>
      <c r="AM20" s="891">
        <f t="shared" si="11"/>
        <v>1</v>
      </c>
      <c r="AN20" s="891">
        <f t="shared" si="12"/>
        <v>1</v>
      </c>
      <c r="AO20" s="891">
        <f t="shared" si="13"/>
        <v>1</v>
      </c>
      <c r="AP20" s="891">
        <f t="shared" si="14"/>
        <v>0</v>
      </c>
      <c r="AQ20" s="891">
        <f t="shared" si="15"/>
        <v>2</v>
      </c>
      <c r="AR20" s="891">
        <f t="shared" si="16"/>
        <v>0</v>
      </c>
      <c r="AS20" s="891">
        <f t="shared" si="17"/>
        <v>7</v>
      </c>
      <c r="AT20" s="891">
        <f t="shared" si="18"/>
        <v>0</v>
      </c>
      <c r="AU20" s="891">
        <f t="shared" si="19"/>
        <v>0</v>
      </c>
      <c r="AV20" s="891">
        <f t="shared" si="20"/>
        <v>0</v>
      </c>
      <c r="AW20" s="891">
        <f t="shared" si="21"/>
        <v>0</v>
      </c>
      <c r="AX20" s="891">
        <f t="shared" si="22"/>
        <v>0</v>
      </c>
      <c r="AY20" s="891">
        <f t="shared" si="23"/>
        <v>0</v>
      </c>
      <c r="AZ20" s="891">
        <f t="shared" si="24"/>
        <v>0</v>
      </c>
      <c r="BA20" s="891">
        <f t="shared" si="25"/>
        <v>0</v>
      </c>
      <c r="BB20" s="888" t="str">
        <f t="shared" si="26"/>
        <v>B</v>
      </c>
      <c r="BC20" s="888" t="str">
        <f t="shared" si="27"/>
        <v>D</v>
      </c>
      <c r="BD20" s="888" t="str">
        <f t="shared" si="28"/>
        <v>C</v>
      </c>
      <c r="BE20" s="888" t="str">
        <f t="shared" si="29"/>
        <v>C</v>
      </c>
      <c r="BF20" s="888" t="str">
        <f t="shared" si="30"/>
        <v/>
      </c>
      <c r="BG20" s="888" t="str">
        <f t="shared" si="31"/>
        <v>A</v>
      </c>
      <c r="BH20" s="888" t="str">
        <f t="shared" si="32"/>
        <v/>
      </c>
      <c r="BI20" s="888" t="str">
        <f t="shared" si="33"/>
        <v>C</v>
      </c>
      <c r="BJ20" s="889" t="str">
        <f t="shared" si="34"/>
        <v/>
      </c>
      <c r="BK20" s="889" t="str">
        <f t="shared" si="35"/>
        <v/>
      </c>
      <c r="BL20" s="889" t="str">
        <f t="shared" si="36"/>
        <v/>
      </c>
      <c r="BM20" s="889" t="str">
        <f t="shared" si="37"/>
        <v/>
      </c>
      <c r="BN20" s="889" t="str">
        <f t="shared" si="38"/>
        <v/>
      </c>
      <c r="BO20" s="889" t="str">
        <f t="shared" si="39"/>
        <v/>
      </c>
      <c r="BP20" s="889" t="str">
        <f t="shared" si="40"/>
        <v/>
      </c>
      <c r="BQ20" s="889" t="str">
        <f t="shared" si="41"/>
        <v>Ab</v>
      </c>
      <c r="BR20" s="890" t="str">
        <f t="shared" si="42"/>
        <v/>
      </c>
      <c r="BS20" s="890" t="str">
        <f t="shared" si="43"/>
        <v/>
      </c>
      <c r="BT20" s="890" t="str">
        <f t="shared" si="44"/>
        <v/>
      </c>
      <c r="BU20" s="890" t="str">
        <f t="shared" si="45"/>
        <v/>
      </c>
      <c r="BV20" s="890" t="str">
        <f t="shared" si="46"/>
        <v/>
      </c>
      <c r="BW20" s="890" t="str">
        <f t="shared" si="47"/>
        <v/>
      </c>
      <c r="BX20" s="890" t="str">
        <f t="shared" si="48"/>
        <v/>
      </c>
      <c r="BY20" s="890" t="str">
        <f t="shared" si="49"/>
        <v>Ab</v>
      </c>
      <c r="BZ20" s="888" t="str">
        <f t="shared" si="50"/>
        <v/>
      </c>
      <c r="CA20" s="888" t="str">
        <f t="shared" si="51"/>
        <v/>
      </c>
      <c r="CB20" s="888" t="str">
        <f t="shared" si="52"/>
        <v/>
      </c>
      <c r="CC20" s="888" t="str">
        <f t="shared" si="53"/>
        <v/>
      </c>
      <c r="CD20" s="888" t="str">
        <f t="shared" si="54"/>
        <v/>
      </c>
      <c r="CE20" s="888" t="str">
        <f t="shared" si="55"/>
        <v/>
      </c>
      <c r="CF20" s="888" t="str">
        <f t="shared" si="56"/>
        <v/>
      </c>
      <c r="CG20" s="888" t="str">
        <f t="shared" si="57"/>
        <v>Ab</v>
      </c>
      <c r="CH20" s="887">
        <v>120</v>
      </c>
      <c r="CI20" s="899"/>
      <c r="CJ20" s="900"/>
    </row>
    <row r="21" ht="15.95" customHeight="1" spans="1:88">
      <c r="A21" s="879">
        <v>18</v>
      </c>
      <c r="B21" s="879">
        <f>STUDENT!F19</f>
        <v>14756</v>
      </c>
      <c r="C21" s="879">
        <f>STUDENT!D19</f>
        <v>20240023055</v>
      </c>
      <c r="D21" s="886" t="str">
        <f>STUDENT!E19</f>
        <v>SAURAV KUMAR</v>
      </c>
      <c r="E21" s="886" t="str">
        <f>STUDENT!H19</f>
        <v>HARINDER YADAV</v>
      </c>
      <c r="F21" s="887">
        <v>10</v>
      </c>
      <c r="G21" s="887">
        <v>9</v>
      </c>
      <c r="H21" s="887">
        <v>10</v>
      </c>
      <c r="I21" s="887">
        <v>10</v>
      </c>
      <c r="J21" s="887"/>
      <c r="K21" s="887">
        <v>11</v>
      </c>
      <c r="L21" s="887"/>
      <c r="M21" s="888">
        <f t="shared" si="6"/>
        <v>50</v>
      </c>
      <c r="N21" s="887"/>
      <c r="O21" s="887"/>
      <c r="P21" s="887"/>
      <c r="Q21" s="887"/>
      <c r="R21" s="887"/>
      <c r="S21" s="887"/>
      <c r="T21" s="887"/>
      <c r="U21" s="889">
        <f t="shared" si="7"/>
        <v>0</v>
      </c>
      <c r="V21" s="887"/>
      <c r="W21" s="887"/>
      <c r="X21" s="887"/>
      <c r="Y21" s="887"/>
      <c r="Z21" s="887"/>
      <c r="AA21" s="887"/>
      <c r="AB21" s="887"/>
      <c r="AC21" s="890">
        <f t="shared" si="8"/>
        <v>0</v>
      </c>
      <c r="AD21" s="887"/>
      <c r="AE21" s="887"/>
      <c r="AF21" s="887"/>
      <c r="AG21" s="887"/>
      <c r="AH21" s="887"/>
      <c r="AI21" s="887"/>
      <c r="AJ21" s="887"/>
      <c r="AK21" s="888">
        <f t="shared" si="9"/>
        <v>0</v>
      </c>
      <c r="AL21" s="891">
        <f t="shared" si="10"/>
        <v>1</v>
      </c>
      <c r="AM21" s="891">
        <f t="shared" si="11"/>
        <v>1</v>
      </c>
      <c r="AN21" s="891">
        <f t="shared" si="12"/>
        <v>1</v>
      </c>
      <c r="AO21" s="891">
        <f t="shared" si="13"/>
        <v>1</v>
      </c>
      <c r="AP21" s="891">
        <f t="shared" si="14"/>
        <v>0</v>
      </c>
      <c r="AQ21" s="891">
        <f t="shared" si="15"/>
        <v>1</v>
      </c>
      <c r="AR21" s="891">
        <f t="shared" si="16"/>
        <v>0</v>
      </c>
      <c r="AS21" s="891">
        <f t="shared" si="17"/>
        <v>5</v>
      </c>
      <c r="AT21" s="891">
        <f t="shared" si="18"/>
        <v>0</v>
      </c>
      <c r="AU21" s="891">
        <f t="shared" si="19"/>
        <v>0</v>
      </c>
      <c r="AV21" s="891">
        <f t="shared" si="20"/>
        <v>0</v>
      </c>
      <c r="AW21" s="891">
        <f t="shared" si="21"/>
        <v>0</v>
      </c>
      <c r="AX21" s="891">
        <f t="shared" si="22"/>
        <v>0</v>
      </c>
      <c r="AY21" s="891">
        <f t="shared" si="23"/>
        <v>0</v>
      </c>
      <c r="AZ21" s="891">
        <f t="shared" si="24"/>
        <v>0</v>
      </c>
      <c r="BA21" s="891">
        <f t="shared" si="25"/>
        <v>0</v>
      </c>
      <c r="BB21" s="888" t="str">
        <f t="shared" si="26"/>
        <v>C</v>
      </c>
      <c r="BC21" s="888" t="str">
        <f t="shared" si="27"/>
        <v>C</v>
      </c>
      <c r="BD21" s="888" t="str">
        <f t="shared" si="28"/>
        <v>C</v>
      </c>
      <c r="BE21" s="888" t="str">
        <f t="shared" si="29"/>
        <v>C</v>
      </c>
      <c r="BF21" s="888" t="str">
        <f t="shared" si="30"/>
        <v/>
      </c>
      <c r="BG21" s="888" t="str">
        <f t="shared" si="31"/>
        <v>C</v>
      </c>
      <c r="BH21" s="888" t="str">
        <f t="shared" si="32"/>
        <v/>
      </c>
      <c r="BI21" s="888" t="str">
        <f t="shared" si="33"/>
        <v>C</v>
      </c>
      <c r="BJ21" s="889" t="str">
        <f t="shared" si="34"/>
        <v/>
      </c>
      <c r="BK21" s="889" t="str">
        <f t="shared" si="35"/>
        <v/>
      </c>
      <c r="BL21" s="889" t="str">
        <f t="shared" si="36"/>
        <v/>
      </c>
      <c r="BM21" s="889" t="str">
        <f t="shared" si="37"/>
        <v/>
      </c>
      <c r="BN21" s="889" t="str">
        <f t="shared" si="38"/>
        <v/>
      </c>
      <c r="BO21" s="889" t="str">
        <f t="shared" si="39"/>
        <v/>
      </c>
      <c r="BP21" s="889" t="str">
        <f t="shared" si="40"/>
        <v/>
      </c>
      <c r="BQ21" s="889" t="str">
        <f t="shared" si="41"/>
        <v>Ab</v>
      </c>
      <c r="BR21" s="890" t="str">
        <f t="shared" si="42"/>
        <v/>
      </c>
      <c r="BS21" s="890" t="str">
        <f t="shared" si="43"/>
        <v/>
      </c>
      <c r="BT21" s="890" t="str">
        <f t="shared" si="44"/>
        <v/>
      </c>
      <c r="BU21" s="890" t="str">
        <f t="shared" si="45"/>
        <v/>
      </c>
      <c r="BV21" s="890" t="str">
        <f t="shared" si="46"/>
        <v/>
      </c>
      <c r="BW21" s="890" t="str">
        <f t="shared" si="47"/>
        <v/>
      </c>
      <c r="BX21" s="890" t="str">
        <f t="shared" si="48"/>
        <v/>
      </c>
      <c r="BY21" s="890" t="str">
        <f t="shared" si="49"/>
        <v>Ab</v>
      </c>
      <c r="BZ21" s="888" t="str">
        <f t="shared" si="50"/>
        <v/>
      </c>
      <c r="CA21" s="888" t="str">
        <f t="shared" si="51"/>
        <v/>
      </c>
      <c r="CB21" s="888" t="str">
        <f t="shared" si="52"/>
        <v/>
      </c>
      <c r="CC21" s="888" t="str">
        <f t="shared" si="53"/>
        <v/>
      </c>
      <c r="CD21" s="888" t="str">
        <f t="shared" si="54"/>
        <v/>
      </c>
      <c r="CE21" s="888" t="str">
        <f t="shared" si="55"/>
        <v/>
      </c>
      <c r="CF21" s="888" t="str">
        <f t="shared" si="56"/>
        <v/>
      </c>
      <c r="CG21" s="888" t="str">
        <f t="shared" si="57"/>
        <v>Ab</v>
      </c>
      <c r="CH21" s="887">
        <v>144</v>
      </c>
      <c r="CI21" s="899"/>
      <c r="CJ21" s="900"/>
    </row>
    <row r="22" spans="1:88">
      <c r="A22" s="879">
        <v>19</v>
      </c>
      <c r="B22" s="879">
        <f>STUDENT!F20</f>
        <v>14758</v>
      </c>
      <c r="C22" s="879">
        <f>STUDENT!D20</f>
        <v>20240023083</v>
      </c>
      <c r="D22" s="886" t="str">
        <f>STUDENT!E20</f>
        <v>HANAM AYUBI</v>
      </c>
      <c r="E22" s="886" t="str">
        <f>STUDENT!H20</f>
        <v>MD PARWEZ</v>
      </c>
      <c r="F22" s="887">
        <v>9</v>
      </c>
      <c r="G22" s="887">
        <v>10</v>
      </c>
      <c r="H22" s="887">
        <v>8</v>
      </c>
      <c r="I22" s="887">
        <v>9</v>
      </c>
      <c r="J22" s="887"/>
      <c r="K22" s="887">
        <v>10</v>
      </c>
      <c r="L22" s="887"/>
      <c r="M22" s="888">
        <f t="shared" si="6"/>
        <v>46</v>
      </c>
      <c r="N22" s="887"/>
      <c r="O22" s="887"/>
      <c r="P22" s="887"/>
      <c r="Q22" s="887"/>
      <c r="R22" s="887"/>
      <c r="S22" s="887"/>
      <c r="T22" s="887"/>
      <c r="U22" s="889">
        <f t="shared" si="7"/>
        <v>0</v>
      </c>
      <c r="V22" s="887"/>
      <c r="W22" s="887"/>
      <c r="X22" s="887"/>
      <c r="Y22" s="887"/>
      <c r="Z22" s="887"/>
      <c r="AA22" s="887"/>
      <c r="AB22" s="887"/>
      <c r="AC22" s="890">
        <f t="shared" si="8"/>
        <v>0</v>
      </c>
      <c r="AD22" s="887"/>
      <c r="AE22" s="887"/>
      <c r="AF22" s="887"/>
      <c r="AG22" s="887"/>
      <c r="AH22" s="887"/>
      <c r="AI22" s="887"/>
      <c r="AJ22" s="887"/>
      <c r="AK22" s="888">
        <f t="shared" si="9"/>
        <v>0</v>
      </c>
      <c r="AL22" s="891">
        <f t="shared" si="10"/>
        <v>1</v>
      </c>
      <c r="AM22" s="891">
        <f t="shared" si="11"/>
        <v>1</v>
      </c>
      <c r="AN22" s="891">
        <f t="shared" si="12"/>
        <v>1</v>
      </c>
      <c r="AO22" s="891">
        <f t="shared" si="13"/>
        <v>1</v>
      </c>
      <c r="AP22" s="891">
        <f t="shared" si="14"/>
        <v>0</v>
      </c>
      <c r="AQ22" s="891">
        <f t="shared" si="15"/>
        <v>1</v>
      </c>
      <c r="AR22" s="891">
        <f t="shared" si="16"/>
        <v>0</v>
      </c>
      <c r="AS22" s="891">
        <f t="shared" si="17"/>
        <v>5</v>
      </c>
      <c r="AT22" s="891">
        <f t="shared" si="18"/>
        <v>0</v>
      </c>
      <c r="AU22" s="891">
        <f t="shared" si="19"/>
        <v>0</v>
      </c>
      <c r="AV22" s="891">
        <f t="shared" si="20"/>
        <v>0</v>
      </c>
      <c r="AW22" s="891">
        <f t="shared" si="21"/>
        <v>0</v>
      </c>
      <c r="AX22" s="891">
        <f t="shared" si="22"/>
        <v>0</v>
      </c>
      <c r="AY22" s="891">
        <f t="shared" si="23"/>
        <v>0</v>
      </c>
      <c r="AZ22" s="891">
        <f t="shared" si="24"/>
        <v>0</v>
      </c>
      <c r="BA22" s="891">
        <f t="shared" si="25"/>
        <v>0</v>
      </c>
      <c r="BB22" s="888" t="str">
        <f t="shared" si="26"/>
        <v>C</v>
      </c>
      <c r="BC22" s="888" t="str">
        <f t="shared" si="27"/>
        <v>C</v>
      </c>
      <c r="BD22" s="888" t="str">
        <f t="shared" si="28"/>
        <v>D</v>
      </c>
      <c r="BE22" s="888" t="str">
        <f t="shared" si="29"/>
        <v>C</v>
      </c>
      <c r="BF22" s="888" t="str">
        <f t="shared" si="30"/>
        <v/>
      </c>
      <c r="BG22" s="888" t="str">
        <f t="shared" si="31"/>
        <v>C</v>
      </c>
      <c r="BH22" s="888" t="str">
        <f t="shared" si="32"/>
        <v/>
      </c>
      <c r="BI22" s="888" t="str">
        <f t="shared" si="33"/>
        <v>D</v>
      </c>
      <c r="BJ22" s="889" t="str">
        <f t="shared" si="34"/>
        <v/>
      </c>
      <c r="BK22" s="889" t="str">
        <f t="shared" si="35"/>
        <v/>
      </c>
      <c r="BL22" s="889" t="str">
        <f t="shared" si="36"/>
        <v/>
      </c>
      <c r="BM22" s="889" t="str">
        <f t="shared" si="37"/>
        <v/>
      </c>
      <c r="BN22" s="889" t="str">
        <f t="shared" si="38"/>
        <v/>
      </c>
      <c r="BO22" s="889" t="str">
        <f t="shared" si="39"/>
        <v/>
      </c>
      <c r="BP22" s="889" t="str">
        <f t="shared" si="40"/>
        <v/>
      </c>
      <c r="BQ22" s="889" t="str">
        <f t="shared" si="41"/>
        <v>Ab</v>
      </c>
      <c r="BR22" s="890" t="str">
        <f t="shared" si="42"/>
        <v/>
      </c>
      <c r="BS22" s="890" t="str">
        <f t="shared" si="43"/>
        <v/>
      </c>
      <c r="BT22" s="890" t="str">
        <f t="shared" si="44"/>
        <v/>
      </c>
      <c r="BU22" s="890" t="str">
        <f t="shared" si="45"/>
        <v/>
      </c>
      <c r="BV22" s="890" t="str">
        <f t="shared" si="46"/>
        <v/>
      </c>
      <c r="BW22" s="890" t="str">
        <f t="shared" si="47"/>
        <v/>
      </c>
      <c r="BX22" s="890" t="str">
        <f t="shared" si="48"/>
        <v/>
      </c>
      <c r="BY22" s="890" t="str">
        <f t="shared" si="49"/>
        <v>Ab</v>
      </c>
      <c r="BZ22" s="888" t="str">
        <f t="shared" si="50"/>
        <v/>
      </c>
      <c r="CA22" s="888" t="str">
        <f t="shared" si="51"/>
        <v/>
      </c>
      <c r="CB22" s="888" t="str">
        <f t="shared" si="52"/>
        <v/>
      </c>
      <c r="CC22" s="888" t="str">
        <f t="shared" si="53"/>
        <v/>
      </c>
      <c r="CD22" s="888" t="str">
        <f t="shared" si="54"/>
        <v/>
      </c>
      <c r="CE22" s="888" t="str">
        <f t="shared" si="55"/>
        <v/>
      </c>
      <c r="CF22" s="888" t="str">
        <f t="shared" si="56"/>
        <v/>
      </c>
      <c r="CG22" s="888" t="str">
        <f t="shared" si="57"/>
        <v>Ab</v>
      </c>
      <c r="CH22" s="887">
        <v>168</v>
      </c>
      <c r="CI22" s="899"/>
      <c r="CJ22" s="900"/>
    </row>
    <row r="23" spans="1:88">
      <c r="A23" s="879">
        <v>20</v>
      </c>
      <c r="B23" s="879">
        <f>STUDENT!F21</f>
        <v>14768</v>
      </c>
      <c r="C23" s="879">
        <f>STUDENT!D21</f>
        <v>20240028340</v>
      </c>
      <c r="D23" s="886" t="str">
        <f>STUDENT!E21</f>
        <v>ANKUR</v>
      </c>
      <c r="E23" s="886" t="str">
        <f>STUDENT!H21</f>
        <v>ASHOK KUMAR GUPTA</v>
      </c>
      <c r="F23" s="887">
        <v>11</v>
      </c>
      <c r="G23" s="887">
        <v>8</v>
      </c>
      <c r="H23" s="887">
        <v>8</v>
      </c>
      <c r="I23" s="887">
        <v>9</v>
      </c>
      <c r="J23" s="887"/>
      <c r="K23" s="887">
        <v>15</v>
      </c>
      <c r="L23" s="887"/>
      <c r="M23" s="888">
        <f t="shared" si="6"/>
        <v>51</v>
      </c>
      <c r="N23" s="887"/>
      <c r="O23" s="887"/>
      <c r="P23" s="887"/>
      <c r="Q23" s="887"/>
      <c r="R23" s="887"/>
      <c r="S23" s="887"/>
      <c r="T23" s="887"/>
      <c r="U23" s="889">
        <f t="shared" si="7"/>
        <v>0</v>
      </c>
      <c r="V23" s="887"/>
      <c r="W23" s="887"/>
      <c r="X23" s="887"/>
      <c r="Y23" s="887"/>
      <c r="Z23" s="887"/>
      <c r="AA23" s="887"/>
      <c r="AB23" s="887"/>
      <c r="AC23" s="890">
        <f t="shared" si="8"/>
        <v>0</v>
      </c>
      <c r="AD23" s="887"/>
      <c r="AE23" s="887"/>
      <c r="AF23" s="887"/>
      <c r="AG23" s="887"/>
      <c r="AH23" s="887"/>
      <c r="AI23" s="887"/>
      <c r="AJ23" s="887"/>
      <c r="AK23" s="888">
        <f t="shared" si="9"/>
        <v>0</v>
      </c>
      <c r="AL23" s="891">
        <f t="shared" si="10"/>
        <v>1</v>
      </c>
      <c r="AM23" s="891">
        <f t="shared" si="11"/>
        <v>1</v>
      </c>
      <c r="AN23" s="891">
        <f t="shared" si="12"/>
        <v>1</v>
      </c>
      <c r="AO23" s="891">
        <f t="shared" si="13"/>
        <v>1</v>
      </c>
      <c r="AP23" s="891">
        <f t="shared" si="14"/>
        <v>0</v>
      </c>
      <c r="AQ23" s="891">
        <f t="shared" si="15"/>
        <v>2</v>
      </c>
      <c r="AR23" s="891">
        <f t="shared" si="16"/>
        <v>0</v>
      </c>
      <c r="AS23" s="891">
        <f t="shared" si="17"/>
        <v>6</v>
      </c>
      <c r="AT23" s="891">
        <f t="shared" si="18"/>
        <v>0</v>
      </c>
      <c r="AU23" s="891">
        <f t="shared" si="19"/>
        <v>0</v>
      </c>
      <c r="AV23" s="891">
        <f t="shared" si="20"/>
        <v>0</v>
      </c>
      <c r="AW23" s="891">
        <f t="shared" si="21"/>
        <v>0</v>
      </c>
      <c r="AX23" s="891">
        <f t="shared" si="22"/>
        <v>0</v>
      </c>
      <c r="AY23" s="891">
        <f t="shared" si="23"/>
        <v>0</v>
      </c>
      <c r="AZ23" s="891">
        <f t="shared" si="24"/>
        <v>0</v>
      </c>
      <c r="BA23" s="891">
        <f t="shared" si="25"/>
        <v>0</v>
      </c>
      <c r="BB23" s="888" t="str">
        <f t="shared" si="26"/>
        <v>C</v>
      </c>
      <c r="BC23" s="888" t="str">
        <f t="shared" si="27"/>
        <v>D</v>
      </c>
      <c r="BD23" s="888" t="str">
        <f t="shared" si="28"/>
        <v>D</v>
      </c>
      <c r="BE23" s="888" t="str">
        <f t="shared" si="29"/>
        <v>C</v>
      </c>
      <c r="BF23" s="888" t="str">
        <f t="shared" si="30"/>
        <v/>
      </c>
      <c r="BG23" s="888" t="str">
        <f t="shared" si="31"/>
        <v>B</v>
      </c>
      <c r="BH23" s="888" t="str">
        <f t="shared" si="32"/>
        <v/>
      </c>
      <c r="BI23" s="888" t="str">
        <f t="shared" si="33"/>
        <v>C</v>
      </c>
      <c r="BJ23" s="889" t="str">
        <f t="shared" si="34"/>
        <v/>
      </c>
      <c r="BK23" s="889" t="str">
        <f t="shared" si="35"/>
        <v/>
      </c>
      <c r="BL23" s="889" t="str">
        <f t="shared" si="36"/>
        <v/>
      </c>
      <c r="BM23" s="889" t="str">
        <f t="shared" si="37"/>
        <v/>
      </c>
      <c r="BN23" s="889" t="str">
        <f t="shared" si="38"/>
        <v/>
      </c>
      <c r="BO23" s="889" t="str">
        <f t="shared" si="39"/>
        <v/>
      </c>
      <c r="BP23" s="889" t="str">
        <f t="shared" si="40"/>
        <v/>
      </c>
      <c r="BQ23" s="889" t="str">
        <f t="shared" si="41"/>
        <v>Ab</v>
      </c>
      <c r="BR23" s="890" t="str">
        <f t="shared" si="42"/>
        <v/>
      </c>
      <c r="BS23" s="890" t="str">
        <f t="shared" si="43"/>
        <v/>
      </c>
      <c r="BT23" s="890" t="str">
        <f t="shared" si="44"/>
        <v/>
      </c>
      <c r="BU23" s="890" t="str">
        <f t="shared" si="45"/>
        <v/>
      </c>
      <c r="BV23" s="890" t="str">
        <f t="shared" si="46"/>
        <v/>
      </c>
      <c r="BW23" s="890" t="str">
        <f t="shared" si="47"/>
        <v/>
      </c>
      <c r="BX23" s="890" t="str">
        <f t="shared" si="48"/>
        <v/>
      </c>
      <c r="BY23" s="890" t="str">
        <f t="shared" si="49"/>
        <v>Ab</v>
      </c>
      <c r="BZ23" s="888" t="str">
        <f t="shared" si="50"/>
        <v/>
      </c>
      <c r="CA23" s="888" t="str">
        <f t="shared" si="51"/>
        <v/>
      </c>
      <c r="CB23" s="888" t="str">
        <f t="shared" si="52"/>
        <v/>
      </c>
      <c r="CC23" s="888" t="str">
        <f t="shared" si="53"/>
        <v/>
      </c>
      <c r="CD23" s="888" t="str">
        <f t="shared" si="54"/>
        <v/>
      </c>
      <c r="CE23" s="888" t="str">
        <f t="shared" si="55"/>
        <v/>
      </c>
      <c r="CF23" s="888" t="str">
        <f t="shared" si="56"/>
        <v/>
      </c>
      <c r="CG23" s="888" t="str">
        <f t="shared" si="57"/>
        <v>Ab</v>
      </c>
      <c r="CH23" s="887">
        <v>146</v>
      </c>
      <c r="CI23" s="899"/>
      <c r="CJ23" s="900"/>
    </row>
    <row r="24" spans="1:88">
      <c r="A24" s="879">
        <v>21</v>
      </c>
      <c r="B24" s="879">
        <f>STUDENT!F22</f>
        <v>14792</v>
      </c>
      <c r="C24" s="879">
        <f>STUDENT!D22</f>
        <v>20240074441</v>
      </c>
      <c r="D24" s="886" t="str">
        <f>STUDENT!E22</f>
        <v>SOBHIT PASWAN</v>
      </c>
      <c r="E24" s="886" t="str">
        <f>STUDENT!H22</f>
        <v>SHANKAR PASWAN</v>
      </c>
      <c r="F24" s="887">
        <v>9</v>
      </c>
      <c r="G24" s="887">
        <v>8</v>
      </c>
      <c r="H24" s="887">
        <v>11</v>
      </c>
      <c r="I24" s="887">
        <v>9</v>
      </c>
      <c r="J24" s="887"/>
      <c r="K24" s="887">
        <v>16</v>
      </c>
      <c r="L24" s="887"/>
      <c r="M24" s="888">
        <f t="shared" si="6"/>
        <v>53</v>
      </c>
      <c r="N24" s="887"/>
      <c r="O24" s="887"/>
      <c r="P24" s="887"/>
      <c r="Q24" s="887"/>
      <c r="R24" s="887"/>
      <c r="S24" s="887"/>
      <c r="T24" s="887"/>
      <c r="U24" s="889">
        <f t="shared" si="7"/>
        <v>0</v>
      </c>
      <c r="V24" s="887"/>
      <c r="W24" s="887"/>
      <c r="X24" s="887"/>
      <c r="Y24" s="887"/>
      <c r="Z24" s="887"/>
      <c r="AA24" s="887"/>
      <c r="AB24" s="887"/>
      <c r="AC24" s="890">
        <f t="shared" si="8"/>
        <v>0</v>
      </c>
      <c r="AD24" s="887"/>
      <c r="AE24" s="887"/>
      <c r="AF24" s="887"/>
      <c r="AG24" s="887"/>
      <c r="AH24" s="887"/>
      <c r="AI24" s="887"/>
      <c r="AJ24" s="887"/>
      <c r="AK24" s="888">
        <f t="shared" si="9"/>
        <v>0</v>
      </c>
      <c r="AL24" s="891">
        <f t="shared" si="10"/>
        <v>1</v>
      </c>
      <c r="AM24" s="891">
        <f t="shared" si="11"/>
        <v>1</v>
      </c>
      <c r="AN24" s="891">
        <f t="shared" si="12"/>
        <v>1</v>
      </c>
      <c r="AO24" s="891">
        <f t="shared" si="13"/>
        <v>1</v>
      </c>
      <c r="AP24" s="891">
        <f t="shared" si="14"/>
        <v>0</v>
      </c>
      <c r="AQ24" s="891">
        <f t="shared" si="15"/>
        <v>2</v>
      </c>
      <c r="AR24" s="891">
        <f t="shared" si="16"/>
        <v>0</v>
      </c>
      <c r="AS24" s="891">
        <f t="shared" si="17"/>
        <v>6</v>
      </c>
      <c r="AT24" s="891">
        <f t="shared" si="18"/>
        <v>0</v>
      </c>
      <c r="AU24" s="891">
        <f t="shared" si="19"/>
        <v>0</v>
      </c>
      <c r="AV24" s="891">
        <f t="shared" si="20"/>
        <v>0</v>
      </c>
      <c r="AW24" s="891">
        <f t="shared" si="21"/>
        <v>0</v>
      </c>
      <c r="AX24" s="891">
        <f t="shared" si="22"/>
        <v>0</v>
      </c>
      <c r="AY24" s="891">
        <f t="shared" si="23"/>
        <v>0</v>
      </c>
      <c r="AZ24" s="891">
        <f t="shared" si="24"/>
        <v>0</v>
      </c>
      <c r="BA24" s="891">
        <f t="shared" si="25"/>
        <v>0</v>
      </c>
      <c r="BB24" s="888" t="str">
        <f t="shared" si="26"/>
        <v>C</v>
      </c>
      <c r="BC24" s="888" t="str">
        <f t="shared" si="27"/>
        <v>D</v>
      </c>
      <c r="BD24" s="888" t="str">
        <f t="shared" si="28"/>
        <v>C</v>
      </c>
      <c r="BE24" s="888" t="str">
        <f t="shared" si="29"/>
        <v>C</v>
      </c>
      <c r="BF24" s="888" t="str">
        <f t="shared" si="30"/>
        <v/>
      </c>
      <c r="BG24" s="888" t="str">
        <f t="shared" si="31"/>
        <v>A</v>
      </c>
      <c r="BH24" s="888" t="str">
        <f t="shared" si="32"/>
        <v/>
      </c>
      <c r="BI24" s="888" t="str">
        <f t="shared" si="33"/>
        <v>C</v>
      </c>
      <c r="BJ24" s="889" t="str">
        <f t="shared" si="34"/>
        <v/>
      </c>
      <c r="BK24" s="889" t="str">
        <f t="shared" si="35"/>
        <v/>
      </c>
      <c r="BL24" s="889" t="str">
        <f t="shared" si="36"/>
        <v/>
      </c>
      <c r="BM24" s="889" t="str">
        <f t="shared" si="37"/>
        <v/>
      </c>
      <c r="BN24" s="889" t="str">
        <f t="shared" si="38"/>
        <v/>
      </c>
      <c r="BO24" s="889" t="str">
        <f t="shared" si="39"/>
        <v/>
      </c>
      <c r="BP24" s="889" t="str">
        <f t="shared" si="40"/>
        <v/>
      </c>
      <c r="BQ24" s="889" t="str">
        <f t="shared" si="41"/>
        <v>Ab</v>
      </c>
      <c r="BR24" s="890" t="str">
        <f t="shared" si="42"/>
        <v/>
      </c>
      <c r="BS24" s="890" t="str">
        <f t="shared" si="43"/>
        <v/>
      </c>
      <c r="BT24" s="890" t="str">
        <f t="shared" si="44"/>
        <v/>
      </c>
      <c r="BU24" s="890" t="str">
        <f t="shared" si="45"/>
        <v/>
      </c>
      <c r="BV24" s="890" t="str">
        <f t="shared" si="46"/>
        <v/>
      </c>
      <c r="BW24" s="890" t="str">
        <f t="shared" si="47"/>
        <v/>
      </c>
      <c r="BX24" s="890" t="str">
        <f t="shared" si="48"/>
        <v/>
      </c>
      <c r="BY24" s="890" t="str">
        <f t="shared" si="49"/>
        <v>Ab</v>
      </c>
      <c r="BZ24" s="888" t="str">
        <f t="shared" si="50"/>
        <v/>
      </c>
      <c r="CA24" s="888" t="str">
        <f t="shared" si="51"/>
        <v/>
      </c>
      <c r="CB24" s="888" t="str">
        <f t="shared" si="52"/>
        <v/>
      </c>
      <c r="CC24" s="888" t="str">
        <f t="shared" si="53"/>
        <v/>
      </c>
      <c r="CD24" s="888" t="str">
        <f t="shared" si="54"/>
        <v/>
      </c>
      <c r="CE24" s="888" t="str">
        <f t="shared" si="55"/>
        <v/>
      </c>
      <c r="CF24" s="888" t="str">
        <f t="shared" si="56"/>
        <v/>
      </c>
      <c r="CG24" s="888" t="str">
        <f t="shared" si="57"/>
        <v>Ab</v>
      </c>
      <c r="CH24" s="887">
        <v>130</v>
      </c>
      <c r="CI24" s="899"/>
      <c r="CJ24" s="900"/>
    </row>
    <row r="25" spans="1:88">
      <c r="A25" s="879">
        <v>22</v>
      </c>
      <c r="B25" s="879">
        <f>STUDENT!F23</f>
        <v>14804</v>
      </c>
      <c r="C25" s="879">
        <f>STUDENT!D23</f>
        <v>20240100859</v>
      </c>
      <c r="D25" s="886" t="str">
        <f>STUDENT!E23</f>
        <v>ABHISHEK MUKHIYA</v>
      </c>
      <c r="E25" s="886" t="str">
        <f>STUDENT!H23</f>
        <v>ARJUN MUKHIYA</v>
      </c>
      <c r="F25" s="887">
        <v>13</v>
      </c>
      <c r="G25" s="887">
        <v>12</v>
      </c>
      <c r="H25" s="887">
        <v>14</v>
      </c>
      <c r="I25" s="887">
        <v>13</v>
      </c>
      <c r="J25" s="887"/>
      <c r="K25" s="887">
        <v>18</v>
      </c>
      <c r="L25" s="887"/>
      <c r="M25" s="888">
        <f t="shared" si="6"/>
        <v>70</v>
      </c>
      <c r="N25" s="887"/>
      <c r="O25" s="887"/>
      <c r="P25" s="887"/>
      <c r="Q25" s="887"/>
      <c r="R25" s="887"/>
      <c r="S25" s="887"/>
      <c r="T25" s="887"/>
      <c r="U25" s="889">
        <f t="shared" si="7"/>
        <v>0</v>
      </c>
      <c r="V25" s="887"/>
      <c r="W25" s="887"/>
      <c r="X25" s="887"/>
      <c r="Y25" s="887"/>
      <c r="Z25" s="887"/>
      <c r="AA25" s="887"/>
      <c r="AB25" s="887"/>
      <c r="AC25" s="890">
        <f t="shared" si="8"/>
        <v>0</v>
      </c>
      <c r="AD25" s="887"/>
      <c r="AE25" s="887"/>
      <c r="AF25" s="887"/>
      <c r="AG25" s="887"/>
      <c r="AH25" s="887"/>
      <c r="AI25" s="887"/>
      <c r="AJ25" s="887"/>
      <c r="AK25" s="888">
        <f t="shared" si="9"/>
        <v>0</v>
      </c>
      <c r="AL25" s="891">
        <f t="shared" si="10"/>
        <v>2</v>
      </c>
      <c r="AM25" s="891">
        <f t="shared" si="11"/>
        <v>2</v>
      </c>
      <c r="AN25" s="891">
        <f t="shared" si="12"/>
        <v>2</v>
      </c>
      <c r="AO25" s="891">
        <f t="shared" si="13"/>
        <v>2</v>
      </c>
      <c r="AP25" s="891">
        <f t="shared" si="14"/>
        <v>0</v>
      </c>
      <c r="AQ25" s="891">
        <f t="shared" si="15"/>
        <v>2</v>
      </c>
      <c r="AR25" s="891">
        <f t="shared" si="16"/>
        <v>0</v>
      </c>
      <c r="AS25" s="891">
        <f t="shared" si="17"/>
        <v>10</v>
      </c>
      <c r="AT25" s="891">
        <f t="shared" si="18"/>
        <v>0</v>
      </c>
      <c r="AU25" s="891">
        <f t="shared" si="19"/>
        <v>0</v>
      </c>
      <c r="AV25" s="891">
        <f t="shared" si="20"/>
        <v>0</v>
      </c>
      <c r="AW25" s="891">
        <f t="shared" si="21"/>
        <v>0</v>
      </c>
      <c r="AX25" s="891">
        <f t="shared" si="22"/>
        <v>0</v>
      </c>
      <c r="AY25" s="891">
        <f t="shared" si="23"/>
        <v>0</v>
      </c>
      <c r="AZ25" s="891">
        <f t="shared" si="24"/>
        <v>0</v>
      </c>
      <c r="BA25" s="891">
        <f t="shared" si="25"/>
        <v>0</v>
      </c>
      <c r="BB25" s="888" t="str">
        <f t="shared" si="26"/>
        <v>B</v>
      </c>
      <c r="BC25" s="888" t="str">
        <f t="shared" si="27"/>
        <v>B</v>
      </c>
      <c r="BD25" s="888" t="str">
        <f t="shared" si="28"/>
        <v>B</v>
      </c>
      <c r="BE25" s="888" t="str">
        <f t="shared" si="29"/>
        <v>B</v>
      </c>
      <c r="BF25" s="888" t="str">
        <f t="shared" si="30"/>
        <v/>
      </c>
      <c r="BG25" s="888" t="str">
        <f t="shared" si="31"/>
        <v>A</v>
      </c>
      <c r="BH25" s="888" t="str">
        <f t="shared" si="32"/>
        <v/>
      </c>
      <c r="BI25" s="888" t="str">
        <f t="shared" si="33"/>
        <v>B</v>
      </c>
      <c r="BJ25" s="889" t="str">
        <f t="shared" si="34"/>
        <v/>
      </c>
      <c r="BK25" s="889" t="str">
        <f t="shared" si="35"/>
        <v/>
      </c>
      <c r="BL25" s="889" t="str">
        <f t="shared" si="36"/>
        <v/>
      </c>
      <c r="BM25" s="889" t="str">
        <f t="shared" si="37"/>
        <v/>
      </c>
      <c r="BN25" s="889" t="str">
        <f t="shared" si="38"/>
        <v/>
      </c>
      <c r="BO25" s="889" t="str">
        <f t="shared" si="39"/>
        <v/>
      </c>
      <c r="BP25" s="889" t="str">
        <f t="shared" si="40"/>
        <v/>
      </c>
      <c r="BQ25" s="889" t="str">
        <f t="shared" si="41"/>
        <v>Ab</v>
      </c>
      <c r="BR25" s="890" t="str">
        <f t="shared" si="42"/>
        <v/>
      </c>
      <c r="BS25" s="890" t="str">
        <f t="shared" si="43"/>
        <v/>
      </c>
      <c r="BT25" s="890" t="str">
        <f t="shared" si="44"/>
        <v/>
      </c>
      <c r="BU25" s="890" t="str">
        <f t="shared" si="45"/>
        <v/>
      </c>
      <c r="BV25" s="890" t="str">
        <f t="shared" si="46"/>
        <v/>
      </c>
      <c r="BW25" s="890" t="str">
        <f t="shared" si="47"/>
        <v/>
      </c>
      <c r="BX25" s="890" t="str">
        <f t="shared" si="48"/>
        <v/>
      </c>
      <c r="BY25" s="890" t="str">
        <f t="shared" si="49"/>
        <v>Ab</v>
      </c>
      <c r="BZ25" s="888" t="str">
        <f t="shared" si="50"/>
        <v/>
      </c>
      <c r="CA25" s="888" t="str">
        <f t="shared" si="51"/>
        <v/>
      </c>
      <c r="CB25" s="888" t="str">
        <f t="shared" si="52"/>
        <v/>
      </c>
      <c r="CC25" s="888" t="str">
        <f t="shared" si="53"/>
        <v/>
      </c>
      <c r="CD25" s="888" t="str">
        <f t="shared" si="54"/>
        <v/>
      </c>
      <c r="CE25" s="888" t="str">
        <f t="shared" si="55"/>
        <v/>
      </c>
      <c r="CF25" s="888" t="str">
        <f t="shared" si="56"/>
        <v/>
      </c>
      <c r="CG25" s="888" t="str">
        <f t="shared" si="57"/>
        <v>Ab</v>
      </c>
      <c r="CH25" s="887">
        <v>114</v>
      </c>
      <c r="CI25" s="899"/>
      <c r="CJ25" s="900"/>
    </row>
    <row r="26" spans="1:88">
      <c r="A26" s="879">
        <v>23</v>
      </c>
      <c r="B26" s="879">
        <f>STUDENT!F24</f>
        <v>14805</v>
      </c>
      <c r="C26" s="879">
        <f>STUDENT!D24</f>
        <v>20240100885</v>
      </c>
      <c r="D26" s="886" t="str">
        <f>STUDENT!E24</f>
        <v>NITIN</v>
      </c>
      <c r="E26" s="886" t="str">
        <f>STUDENT!H24</f>
        <v>AJAY</v>
      </c>
      <c r="F26" s="887">
        <v>15</v>
      </c>
      <c r="G26" s="887">
        <v>13</v>
      </c>
      <c r="H26" s="887">
        <v>11</v>
      </c>
      <c r="I26" s="887">
        <v>9</v>
      </c>
      <c r="J26" s="887"/>
      <c r="K26" s="887">
        <v>18</v>
      </c>
      <c r="L26" s="887"/>
      <c r="M26" s="888">
        <f t="shared" si="6"/>
        <v>66</v>
      </c>
      <c r="N26" s="887"/>
      <c r="O26" s="887"/>
      <c r="P26" s="887"/>
      <c r="Q26" s="887"/>
      <c r="R26" s="887"/>
      <c r="S26" s="887"/>
      <c r="T26" s="887"/>
      <c r="U26" s="889">
        <f t="shared" si="7"/>
        <v>0</v>
      </c>
      <c r="V26" s="887"/>
      <c r="W26" s="887"/>
      <c r="X26" s="887"/>
      <c r="Y26" s="887"/>
      <c r="Z26" s="887"/>
      <c r="AA26" s="887"/>
      <c r="AB26" s="887"/>
      <c r="AC26" s="890">
        <f t="shared" si="8"/>
        <v>0</v>
      </c>
      <c r="AD26" s="887"/>
      <c r="AE26" s="887"/>
      <c r="AF26" s="887"/>
      <c r="AG26" s="887"/>
      <c r="AH26" s="887"/>
      <c r="AI26" s="887"/>
      <c r="AJ26" s="887"/>
      <c r="AK26" s="888">
        <f t="shared" si="9"/>
        <v>0</v>
      </c>
      <c r="AL26" s="891">
        <f t="shared" si="10"/>
        <v>2</v>
      </c>
      <c r="AM26" s="891">
        <f t="shared" si="11"/>
        <v>2</v>
      </c>
      <c r="AN26" s="891">
        <f t="shared" si="12"/>
        <v>1</v>
      </c>
      <c r="AO26" s="891">
        <f t="shared" si="13"/>
        <v>1</v>
      </c>
      <c r="AP26" s="891">
        <f t="shared" si="14"/>
        <v>0</v>
      </c>
      <c r="AQ26" s="891">
        <f t="shared" si="15"/>
        <v>2</v>
      </c>
      <c r="AR26" s="891">
        <f t="shared" si="16"/>
        <v>0</v>
      </c>
      <c r="AS26" s="891">
        <f t="shared" si="17"/>
        <v>8</v>
      </c>
      <c r="AT26" s="891">
        <f t="shared" si="18"/>
        <v>0</v>
      </c>
      <c r="AU26" s="891">
        <f t="shared" si="19"/>
        <v>0</v>
      </c>
      <c r="AV26" s="891">
        <f t="shared" si="20"/>
        <v>0</v>
      </c>
      <c r="AW26" s="891">
        <f t="shared" si="21"/>
        <v>0</v>
      </c>
      <c r="AX26" s="891">
        <f t="shared" si="22"/>
        <v>0</v>
      </c>
      <c r="AY26" s="891">
        <f t="shared" si="23"/>
        <v>0</v>
      </c>
      <c r="AZ26" s="891">
        <f t="shared" si="24"/>
        <v>0</v>
      </c>
      <c r="BA26" s="891">
        <f t="shared" si="25"/>
        <v>0</v>
      </c>
      <c r="BB26" s="888" t="str">
        <f t="shared" si="26"/>
        <v>B</v>
      </c>
      <c r="BC26" s="888" t="str">
        <f t="shared" si="27"/>
        <v>B</v>
      </c>
      <c r="BD26" s="888" t="str">
        <f t="shared" si="28"/>
        <v>C</v>
      </c>
      <c r="BE26" s="888" t="str">
        <f t="shared" si="29"/>
        <v>C</v>
      </c>
      <c r="BF26" s="888" t="str">
        <f t="shared" si="30"/>
        <v/>
      </c>
      <c r="BG26" s="888" t="str">
        <f t="shared" si="31"/>
        <v>A</v>
      </c>
      <c r="BH26" s="888" t="str">
        <f t="shared" si="32"/>
        <v/>
      </c>
      <c r="BI26" s="888" t="str">
        <f t="shared" si="33"/>
        <v>B</v>
      </c>
      <c r="BJ26" s="889" t="str">
        <f t="shared" si="34"/>
        <v/>
      </c>
      <c r="BK26" s="889" t="str">
        <f t="shared" si="35"/>
        <v/>
      </c>
      <c r="BL26" s="889" t="str">
        <f t="shared" si="36"/>
        <v/>
      </c>
      <c r="BM26" s="889" t="str">
        <f t="shared" si="37"/>
        <v/>
      </c>
      <c r="BN26" s="889" t="str">
        <f t="shared" si="38"/>
        <v/>
      </c>
      <c r="BO26" s="889" t="str">
        <f t="shared" si="39"/>
        <v/>
      </c>
      <c r="BP26" s="889" t="str">
        <f t="shared" si="40"/>
        <v/>
      </c>
      <c r="BQ26" s="889" t="str">
        <f t="shared" si="41"/>
        <v>Ab</v>
      </c>
      <c r="BR26" s="890" t="str">
        <f t="shared" si="42"/>
        <v/>
      </c>
      <c r="BS26" s="890" t="str">
        <f t="shared" si="43"/>
        <v/>
      </c>
      <c r="BT26" s="890" t="str">
        <f t="shared" si="44"/>
        <v/>
      </c>
      <c r="BU26" s="890" t="str">
        <f t="shared" si="45"/>
        <v/>
      </c>
      <c r="BV26" s="890" t="str">
        <f t="shared" si="46"/>
        <v/>
      </c>
      <c r="BW26" s="890" t="str">
        <f t="shared" si="47"/>
        <v/>
      </c>
      <c r="BX26" s="890" t="str">
        <f t="shared" si="48"/>
        <v/>
      </c>
      <c r="BY26" s="890" t="str">
        <f t="shared" si="49"/>
        <v>Ab</v>
      </c>
      <c r="BZ26" s="888" t="str">
        <f t="shared" si="50"/>
        <v/>
      </c>
      <c r="CA26" s="888" t="str">
        <f t="shared" si="51"/>
        <v/>
      </c>
      <c r="CB26" s="888" t="str">
        <f t="shared" si="52"/>
        <v/>
      </c>
      <c r="CC26" s="888" t="str">
        <f t="shared" si="53"/>
        <v/>
      </c>
      <c r="CD26" s="888" t="str">
        <f t="shared" si="54"/>
        <v/>
      </c>
      <c r="CE26" s="888" t="str">
        <f t="shared" si="55"/>
        <v/>
      </c>
      <c r="CF26" s="888" t="str">
        <f t="shared" si="56"/>
        <v/>
      </c>
      <c r="CG26" s="888" t="str">
        <f t="shared" si="57"/>
        <v>Ab</v>
      </c>
      <c r="CH26" s="887">
        <v>122</v>
      </c>
      <c r="CI26" s="899"/>
      <c r="CJ26" s="900"/>
    </row>
    <row r="27" spans="1:88">
      <c r="A27" s="879">
        <v>24</v>
      </c>
      <c r="B27" s="879">
        <f>STUDENT!F25</f>
        <v>14806</v>
      </c>
      <c r="C27" s="879">
        <f>STUDENT!D25</f>
        <v>20240100904</v>
      </c>
      <c r="D27" s="886" t="str">
        <f>STUDENT!E25</f>
        <v>SOORYA VANSHAL</v>
      </c>
      <c r="E27" s="886" t="str">
        <f>STUDENT!H25</f>
        <v>KAMLESH KUMAR</v>
      </c>
      <c r="F27" s="887">
        <v>11</v>
      </c>
      <c r="G27" s="887">
        <v>10</v>
      </c>
      <c r="H27" s="887">
        <v>9</v>
      </c>
      <c r="I27" s="887">
        <v>10</v>
      </c>
      <c r="J27" s="887"/>
      <c r="K27" s="887">
        <v>12</v>
      </c>
      <c r="L27" s="887"/>
      <c r="M27" s="888">
        <f t="shared" si="6"/>
        <v>52</v>
      </c>
      <c r="N27" s="887"/>
      <c r="O27" s="887"/>
      <c r="P27" s="887"/>
      <c r="Q27" s="887"/>
      <c r="R27" s="887"/>
      <c r="S27" s="887"/>
      <c r="T27" s="887"/>
      <c r="U27" s="889">
        <f t="shared" si="7"/>
        <v>0</v>
      </c>
      <c r="V27" s="887"/>
      <c r="W27" s="887"/>
      <c r="X27" s="887"/>
      <c r="Y27" s="887"/>
      <c r="Z27" s="887"/>
      <c r="AA27" s="887"/>
      <c r="AB27" s="887"/>
      <c r="AC27" s="890">
        <f t="shared" si="8"/>
        <v>0</v>
      </c>
      <c r="AD27" s="887"/>
      <c r="AE27" s="887"/>
      <c r="AF27" s="887"/>
      <c r="AG27" s="887"/>
      <c r="AH27" s="887"/>
      <c r="AI27" s="887"/>
      <c r="AJ27" s="887"/>
      <c r="AK27" s="888">
        <f t="shared" si="9"/>
        <v>0</v>
      </c>
      <c r="AL27" s="891">
        <f t="shared" si="10"/>
        <v>1</v>
      </c>
      <c r="AM27" s="891">
        <f t="shared" si="11"/>
        <v>1</v>
      </c>
      <c r="AN27" s="891">
        <f t="shared" si="12"/>
        <v>1</v>
      </c>
      <c r="AO27" s="891">
        <f t="shared" si="13"/>
        <v>1</v>
      </c>
      <c r="AP27" s="891">
        <f t="shared" si="14"/>
        <v>0</v>
      </c>
      <c r="AQ27" s="891">
        <f t="shared" si="15"/>
        <v>2</v>
      </c>
      <c r="AR27" s="891">
        <f t="shared" si="16"/>
        <v>0</v>
      </c>
      <c r="AS27" s="891">
        <f t="shared" si="17"/>
        <v>6</v>
      </c>
      <c r="AT27" s="891">
        <f t="shared" si="18"/>
        <v>0</v>
      </c>
      <c r="AU27" s="891">
        <f t="shared" si="19"/>
        <v>0</v>
      </c>
      <c r="AV27" s="891">
        <f t="shared" si="20"/>
        <v>0</v>
      </c>
      <c r="AW27" s="891">
        <f t="shared" si="21"/>
        <v>0</v>
      </c>
      <c r="AX27" s="891">
        <f t="shared" si="22"/>
        <v>0</v>
      </c>
      <c r="AY27" s="891">
        <f t="shared" si="23"/>
        <v>0</v>
      </c>
      <c r="AZ27" s="891">
        <f t="shared" si="24"/>
        <v>0</v>
      </c>
      <c r="BA27" s="891">
        <f t="shared" si="25"/>
        <v>0</v>
      </c>
      <c r="BB27" s="888" t="str">
        <f t="shared" si="26"/>
        <v>C</v>
      </c>
      <c r="BC27" s="888" t="str">
        <f t="shared" si="27"/>
        <v>C</v>
      </c>
      <c r="BD27" s="888" t="str">
        <f t="shared" si="28"/>
        <v>C</v>
      </c>
      <c r="BE27" s="888" t="str">
        <f t="shared" si="29"/>
        <v>C</v>
      </c>
      <c r="BF27" s="888" t="str">
        <f t="shared" si="30"/>
        <v/>
      </c>
      <c r="BG27" s="888" t="str">
        <f t="shared" si="31"/>
        <v>B</v>
      </c>
      <c r="BH27" s="888" t="str">
        <f t="shared" si="32"/>
        <v/>
      </c>
      <c r="BI27" s="888" t="str">
        <f t="shared" si="33"/>
        <v>C</v>
      </c>
      <c r="BJ27" s="889" t="str">
        <f t="shared" si="34"/>
        <v/>
      </c>
      <c r="BK27" s="889" t="str">
        <f t="shared" si="35"/>
        <v/>
      </c>
      <c r="BL27" s="889" t="str">
        <f t="shared" si="36"/>
        <v/>
      </c>
      <c r="BM27" s="889" t="str">
        <f t="shared" si="37"/>
        <v/>
      </c>
      <c r="BN27" s="889" t="str">
        <f t="shared" si="38"/>
        <v/>
      </c>
      <c r="BO27" s="889" t="str">
        <f t="shared" si="39"/>
        <v/>
      </c>
      <c r="BP27" s="889" t="str">
        <f t="shared" si="40"/>
        <v/>
      </c>
      <c r="BQ27" s="889" t="str">
        <f t="shared" si="41"/>
        <v>Ab</v>
      </c>
      <c r="BR27" s="890" t="str">
        <f t="shared" si="42"/>
        <v/>
      </c>
      <c r="BS27" s="890" t="str">
        <f t="shared" si="43"/>
        <v/>
      </c>
      <c r="BT27" s="890" t="str">
        <f t="shared" si="44"/>
        <v/>
      </c>
      <c r="BU27" s="890" t="str">
        <f t="shared" si="45"/>
        <v/>
      </c>
      <c r="BV27" s="890" t="str">
        <f t="shared" si="46"/>
        <v/>
      </c>
      <c r="BW27" s="890" t="str">
        <f t="shared" si="47"/>
        <v/>
      </c>
      <c r="BX27" s="890" t="str">
        <f t="shared" si="48"/>
        <v/>
      </c>
      <c r="BY27" s="890" t="str">
        <f t="shared" si="49"/>
        <v>Ab</v>
      </c>
      <c r="BZ27" s="888" t="str">
        <f t="shared" si="50"/>
        <v/>
      </c>
      <c r="CA27" s="888" t="str">
        <f t="shared" si="51"/>
        <v/>
      </c>
      <c r="CB27" s="888" t="str">
        <f t="shared" si="52"/>
        <v/>
      </c>
      <c r="CC27" s="888" t="str">
        <f t="shared" si="53"/>
        <v/>
      </c>
      <c r="CD27" s="888" t="str">
        <f t="shared" si="54"/>
        <v/>
      </c>
      <c r="CE27" s="888" t="str">
        <f t="shared" si="55"/>
        <v/>
      </c>
      <c r="CF27" s="888" t="str">
        <f t="shared" si="56"/>
        <v/>
      </c>
      <c r="CG27" s="888" t="str">
        <f t="shared" si="57"/>
        <v>Ab</v>
      </c>
      <c r="CH27" s="887">
        <v>122</v>
      </c>
      <c r="CI27" s="899"/>
      <c r="CJ27" s="900"/>
    </row>
    <row r="28" spans="1:88">
      <c r="A28" s="879">
        <v>25</v>
      </c>
      <c r="B28" s="879">
        <f>STUDENT!F26</f>
        <v>14943</v>
      </c>
      <c r="C28" s="879">
        <f>STUDENT!D26</f>
        <v>20250012364</v>
      </c>
      <c r="D28" s="886" t="str">
        <f>STUDENT!E26</f>
        <v>ANSHU KUMAR PANDIT</v>
      </c>
      <c r="E28" s="886" t="str">
        <f>STUDENT!H26</f>
        <v>RAMESH KUMAR PANDIT</v>
      </c>
      <c r="F28" s="887">
        <v>15</v>
      </c>
      <c r="G28" s="887">
        <v>12</v>
      </c>
      <c r="H28" s="887">
        <v>13</v>
      </c>
      <c r="I28" s="887">
        <v>13</v>
      </c>
      <c r="J28" s="887"/>
      <c r="K28" s="887">
        <v>18</v>
      </c>
      <c r="L28" s="887"/>
      <c r="M28" s="888">
        <f t="shared" si="6"/>
        <v>71</v>
      </c>
      <c r="N28" s="887"/>
      <c r="O28" s="887"/>
      <c r="P28" s="887"/>
      <c r="Q28" s="887"/>
      <c r="R28" s="887"/>
      <c r="S28" s="887"/>
      <c r="T28" s="887"/>
      <c r="U28" s="889">
        <f t="shared" si="7"/>
        <v>0</v>
      </c>
      <c r="V28" s="887"/>
      <c r="W28" s="887"/>
      <c r="X28" s="887"/>
      <c r="Y28" s="887"/>
      <c r="Z28" s="887"/>
      <c r="AA28" s="887"/>
      <c r="AB28" s="887"/>
      <c r="AC28" s="890">
        <f t="shared" si="8"/>
        <v>0</v>
      </c>
      <c r="AD28" s="887"/>
      <c r="AE28" s="887"/>
      <c r="AF28" s="887"/>
      <c r="AG28" s="887"/>
      <c r="AH28" s="887"/>
      <c r="AI28" s="887"/>
      <c r="AJ28" s="887"/>
      <c r="AK28" s="888">
        <f t="shared" si="9"/>
        <v>0</v>
      </c>
      <c r="AL28" s="891">
        <f t="shared" si="10"/>
        <v>2</v>
      </c>
      <c r="AM28" s="891">
        <f t="shared" si="11"/>
        <v>2</v>
      </c>
      <c r="AN28" s="891">
        <f t="shared" si="12"/>
        <v>2</v>
      </c>
      <c r="AO28" s="891">
        <f t="shared" si="13"/>
        <v>2</v>
      </c>
      <c r="AP28" s="891">
        <f t="shared" si="14"/>
        <v>0</v>
      </c>
      <c r="AQ28" s="891">
        <f t="shared" si="15"/>
        <v>2</v>
      </c>
      <c r="AR28" s="891">
        <f t="shared" si="16"/>
        <v>0</v>
      </c>
      <c r="AS28" s="891">
        <f t="shared" si="17"/>
        <v>10</v>
      </c>
      <c r="AT28" s="891">
        <f t="shared" si="18"/>
        <v>0</v>
      </c>
      <c r="AU28" s="891">
        <f t="shared" si="19"/>
        <v>0</v>
      </c>
      <c r="AV28" s="891">
        <f t="shared" si="20"/>
        <v>0</v>
      </c>
      <c r="AW28" s="891">
        <f t="shared" si="21"/>
        <v>0</v>
      </c>
      <c r="AX28" s="891">
        <f t="shared" si="22"/>
        <v>0</v>
      </c>
      <c r="AY28" s="891">
        <f t="shared" si="23"/>
        <v>0</v>
      </c>
      <c r="AZ28" s="891">
        <f t="shared" si="24"/>
        <v>0</v>
      </c>
      <c r="BA28" s="891">
        <f t="shared" si="25"/>
        <v>0</v>
      </c>
      <c r="BB28" s="888" t="str">
        <f t="shared" si="26"/>
        <v>B</v>
      </c>
      <c r="BC28" s="888" t="str">
        <f t="shared" si="27"/>
        <v>B</v>
      </c>
      <c r="BD28" s="888" t="str">
        <f t="shared" si="28"/>
        <v>B</v>
      </c>
      <c r="BE28" s="888" t="str">
        <f t="shared" si="29"/>
        <v>B</v>
      </c>
      <c r="BF28" s="888" t="str">
        <f t="shared" si="30"/>
        <v/>
      </c>
      <c r="BG28" s="888" t="str">
        <f t="shared" si="31"/>
        <v>A</v>
      </c>
      <c r="BH28" s="888" t="str">
        <f t="shared" si="32"/>
        <v/>
      </c>
      <c r="BI28" s="888" t="str">
        <f t="shared" si="33"/>
        <v>B</v>
      </c>
      <c r="BJ28" s="889" t="str">
        <f t="shared" si="34"/>
        <v/>
      </c>
      <c r="BK28" s="889" t="str">
        <f t="shared" si="35"/>
        <v/>
      </c>
      <c r="BL28" s="889" t="str">
        <f t="shared" si="36"/>
        <v/>
      </c>
      <c r="BM28" s="889" t="str">
        <f t="shared" si="37"/>
        <v/>
      </c>
      <c r="BN28" s="889" t="str">
        <f t="shared" si="38"/>
        <v/>
      </c>
      <c r="BO28" s="889" t="str">
        <f t="shared" si="39"/>
        <v/>
      </c>
      <c r="BP28" s="889" t="str">
        <f t="shared" si="40"/>
        <v/>
      </c>
      <c r="BQ28" s="889" t="str">
        <f t="shared" si="41"/>
        <v>Ab</v>
      </c>
      <c r="BR28" s="890" t="str">
        <f t="shared" si="42"/>
        <v/>
      </c>
      <c r="BS28" s="890" t="str">
        <f t="shared" si="43"/>
        <v/>
      </c>
      <c r="BT28" s="890" t="str">
        <f t="shared" si="44"/>
        <v/>
      </c>
      <c r="BU28" s="890" t="str">
        <f t="shared" si="45"/>
        <v/>
      </c>
      <c r="BV28" s="890" t="str">
        <f t="shared" si="46"/>
        <v/>
      </c>
      <c r="BW28" s="890" t="str">
        <f t="shared" si="47"/>
        <v/>
      </c>
      <c r="BX28" s="890" t="str">
        <f t="shared" si="48"/>
        <v/>
      </c>
      <c r="BY28" s="890" t="str">
        <f t="shared" si="49"/>
        <v>Ab</v>
      </c>
      <c r="BZ28" s="888" t="str">
        <f t="shared" si="50"/>
        <v/>
      </c>
      <c r="CA28" s="888" t="str">
        <f t="shared" si="51"/>
        <v/>
      </c>
      <c r="CB28" s="888" t="str">
        <f t="shared" si="52"/>
        <v/>
      </c>
      <c r="CC28" s="888" t="str">
        <f t="shared" si="53"/>
        <v/>
      </c>
      <c r="CD28" s="888" t="str">
        <f t="shared" si="54"/>
        <v/>
      </c>
      <c r="CE28" s="888" t="str">
        <f t="shared" si="55"/>
        <v/>
      </c>
      <c r="CF28" s="888" t="str">
        <f t="shared" si="56"/>
        <v/>
      </c>
      <c r="CG28" s="888" t="str">
        <f t="shared" si="57"/>
        <v>Ab</v>
      </c>
      <c r="CH28" s="887">
        <v>96</v>
      </c>
      <c r="CI28" s="899"/>
      <c r="CJ28" s="900"/>
    </row>
    <row r="29" spans="1:88">
      <c r="A29" s="879">
        <v>26</v>
      </c>
      <c r="B29" s="879">
        <f>STUDENT!F27</f>
        <v>14960</v>
      </c>
      <c r="C29" s="879">
        <f>STUDENT!D27</f>
        <v>20250045334</v>
      </c>
      <c r="D29" s="886" t="str">
        <f>STUDENT!E27</f>
        <v>MD ADAN SHEKH</v>
      </c>
      <c r="E29" s="886" t="str">
        <f>STUDENT!H27</f>
        <v>MD ISHTIKHAR</v>
      </c>
      <c r="F29" s="887">
        <v>10</v>
      </c>
      <c r="G29" s="887">
        <v>10</v>
      </c>
      <c r="H29" s="887">
        <v>11</v>
      </c>
      <c r="I29" s="887">
        <v>11</v>
      </c>
      <c r="J29" s="887"/>
      <c r="K29" s="887">
        <v>10</v>
      </c>
      <c r="L29" s="887"/>
      <c r="M29" s="888">
        <f t="shared" si="6"/>
        <v>52</v>
      </c>
      <c r="N29" s="887"/>
      <c r="O29" s="887"/>
      <c r="P29" s="887"/>
      <c r="Q29" s="887"/>
      <c r="R29" s="887"/>
      <c r="S29" s="887"/>
      <c r="T29" s="887"/>
      <c r="U29" s="889">
        <f t="shared" si="7"/>
        <v>0</v>
      </c>
      <c r="V29" s="887"/>
      <c r="W29" s="887"/>
      <c r="X29" s="887"/>
      <c r="Y29" s="887"/>
      <c r="Z29" s="887"/>
      <c r="AA29" s="887"/>
      <c r="AB29" s="887"/>
      <c r="AC29" s="890">
        <f t="shared" si="8"/>
        <v>0</v>
      </c>
      <c r="AD29" s="887"/>
      <c r="AE29" s="887"/>
      <c r="AF29" s="887"/>
      <c r="AG29" s="887"/>
      <c r="AH29" s="887"/>
      <c r="AI29" s="887"/>
      <c r="AJ29" s="887"/>
      <c r="AK29" s="888">
        <f t="shared" si="9"/>
        <v>0</v>
      </c>
      <c r="AL29" s="891">
        <f t="shared" si="10"/>
        <v>1</v>
      </c>
      <c r="AM29" s="891">
        <f t="shared" si="11"/>
        <v>1</v>
      </c>
      <c r="AN29" s="891">
        <f t="shared" si="12"/>
        <v>1</v>
      </c>
      <c r="AO29" s="891">
        <f t="shared" si="13"/>
        <v>1</v>
      </c>
      <c r="AP29" s="891">
        <f t="shared" si="14"/>
        <v>0</v>
      </c>
      <c r="AQ29" s="891">
        <f t="shared" si="15"/>
        <v>1</v>
      </c>
      <c r="AR29" s="891">
        <f t="shared" si="16"/>
        <v>0</v>
      </c>
      <c r="AS29" s="891">
        <f t="shared" si="17"/>
        <v>5</v>
      </c>
      <c r="AT29" s="891">
        <f t="shared" si="18"/>
        <v>0</v>
      </c>
      <c r="AU29" s="891">
        <f t="shared" si="19"/>
        <v>0</v>
      </c>
      <c r="AV29" s="891">
        <f t="shared" si="20"/>
        <v>0</v>
      </c>
      <c r="AW29" s="891">
        <f t="shared" si="21"/>
        <v>0</v>
      </c>
      <c r="AX29" s="891">
        <f t="shared" si="22"/>
        <v>0</v>
      </c>
      <c r="AY29" s="891">
        <f t="shared" si="23"/>
        <v>0</v>
      </c>
      <c r="AZ29" s="891">
        <f t="shared" si="24"/>
        <v>0</v>
      </c>
      <c r="BA29" s="891">
        <f t="shared" si="25"/>
        <v>0</v>
      </c>
      <c r="BB29" s="888" t="str">
        <f t="shared" si="26"/>
        <v>C</v>
      </c>
      <c r="BC29" s="888" t="str">
        <f t="shared" si="27"/>
        <v>C</v>
      </c>
      <c r="BD29" s="888" t="str">
        <f t="shared" si="28"/>
        <v>C</v>
      </c>
      <c r="BE29" s="888" t="str">
        <f t="shared" si="29"/>
        <v>C</v>
      </c>
      <c r="BF29" s="888" t="str">
        <f t="shared" si="30"/>
        <v/>
      </c>
      <c r="BG29" s="888" t="str">
        <f t="shared" si="31"/>
        <v>C</v>
      </c>
      <c r="BH29" s="888" t="str">
        <f t="shared" si="32"/>
        <v/>
      </c>
      <c r="BI29" s="888" t="str">
        <f t="shared" si="33"/>
        <v>C</v>
      </c>
      <c r="BJ29" s="889" t="str">
        <f t="shared" si="34"/>
        <v/>
      </c>
      <c r="BK29" s="889" t="str">
        <f t="shared" si="35"/>
        <v/>
      </c>
      <c r="BL29" s="889" t="str">
        <f t="shared" si="36"/>
        <v/>
      </c>
      <c r="BM29" s="889" t="str">
        <f t="shared" si="37"/>
        <v/>
      </c>
      <c r="BN29" s="889" t="str">
        <f t="shared" si="38"/>
        <v/>
      </c>
      <c r="BO29" s="889" t="str">
        <f t="shared" si="39"/>
        <v/>
      </c>
      <c r="BP29" s="889" t="str">
        <f t="shared" si="40"/>
        <v/>
      </c>
      <c r="BQ29" s="889" t="str">
        <f t="shared" si="41"/>
        <v>Ab</v>
      </c>
      <c r="BR29" s="890" t="str">
        <f t="shared" si="42"/>
        <v/>
      </c>
      <c r="BS29" s="890" t="str">
        <f t="shared" si="43"/>
        <v/>
      </c>
      <c r="BT29" s="890" t="str">
        <f t="shared" si="44"/>
        <v/>
      </c>
      <c r="BU29" s="890" t="str">
        <f t="shared" si="45"/>
        <v/>
      </c>
      <c r="BV29" s="890" t="str">
        <f t="shared" si="46"/>
        <v/>
      </c>
      <c r="BW29" s="890" t="str">
        <f t="shared" si="47"/>
        <v/>
      </c>
      <c r="BX29" s="890" t="str">
        <f t="shared" si="48"/>
        <v/>
      </c>
      <c r="BY29" s="890" t="str">
        <f t="shared" si="49"/>
        <v>Ab</v>
      </c>
      <c r="BZ29" s="888" t="str">
        <f t="shared" si="50"/>
        <v/>
      </c>
      <c r="CA29" s="888" t="str">
        <f t="shared" si="51"/>
        <v/>
      </c>
      <c r="CB29" s="888" t="str">
        <f t="shared" si="52"/>
        <v/>
      </c>
      <c r="CC29" s="888" t="str">
        <f t="shared" si="53"/>
        <v/>
      </c>
      <c r="CD29" s="888" t="str">
        <f t="shared" si="54"/>
        <v/>
      </c>
      <c r="CE29" s="888" t="str">
        <f t="shared" si="55"/>
        <v/>
      </c>
      <c r="CF29" s="888" t="str">
        <f t="shared" si="56"/>
        <v/>
      </c>
      <c r="CG29" s="888" t="str">
        <f t="shared" si="57"/>
        <v>Ab</v>
      </c>
      <c r="CH29" s="887">
        <v>104</v>
      </c>
      <c r="CI29" s="899"/>
      <c r="CJ29" s="900"/>
    </row>
    <row r="30" spans="1:88">
      <c r="A30" s="879">
        <v>27</v>
      </c>
      <c r="B30" s="879">
        <f>STUDENT!F28</f>
        <v>14976</v>
      </c>
      <c r="C30" s="879">
        <f>STUDENT!D28</f>
        <v>20250064030</v>
      </c>
      <c r="D30" s="886" t="str">
        <f>STUDENT!E28</f>
        <v>KARTIK</v>
      </c>
      <c r="E30" s="886" t="str">
        <f>STUDENT!H28</f>
        <v>SUNIL</v>
      </c>
      <c r="F30" s="887">
        <v>11</v>
      </c>
      <c r="G30" s="887">
        <v>10</v>
      </c>
      <c r="H30" s="887">
        <v>12</v>
      </c>
      <c r="I30" s="887">
        <v>15</v>
      </c>
      <c r="J30" s="887"/>
      <c r="K30" s="887">
        <v>16</v>
      </c>
      <c r="L30" s="887"/>
      <c r="M30" s="888">
        <f t="shared" si="6"/>
        <v>64</v>
      </c>
      <c r="N30" s="887"/>
      <c r="O30" s="887"/>
      <c r="P30" s="887"/>
      <c r="Q30" s="887"/>
      <c r="R30" s="887"/>
      <c r="S30" s="887"/>
      <c r="T30" s="887"/>
      <c r="U30" s="889">
        <f t="shared" si="7"/>
        <v>0</v>
      </c>
      <c r="V30" s="887"/>
      <c r="W30" s="887"/>
      <c r="X30" s="887"/>
      <c r="Y30" s="887"/>
      <c r="Z30" s="887"/>
      <c r="AA30" s="887"/>
      <c r="AB30" s="887"/>
      <c r="AC30" s="890">
        <f t="shared" si="8"/>
        <v>0</v>
      </c>
      <c r="AD30" s="887"/>
      <c r="AE30" s="887"/>
      <c r="AF30" s="887"/>
      <c r="AG30" s="887"/>
      <c r="AH30" s="887"/>
      <c r="AI30" s="887"/>
      <c r="AJ30" s="887"/>
      <c r="AK30" s="888">
        <f t="shared" si="9"/>
        <v>0</v>
      </c>
      <c r="AL30" s="891">
        <f t="shared" si="10"/>
        <v>1</v>
      </c>
      <c r="AM30" s="891">
        <f t="shared" si="11"/>
        <v>1</v>
      </c>
      <c r="AN30" s="891">
        <f t="shared" si="12"/>
        <v>2</v>
      </c>
      <c r="AO30" s="891">
        <f t="shared" si="13"/>
        <v>2</v>
      </c>
      <c r="AP30" s="891">
        <f t="shared" si="14"/>
        <v>0</v>
      </c>
      <c r="AQ30" s="891">
        <f t="shared" si="15"/>
        <v>2</v>
      </c>
      <c r="AR30" s="891">
        <f t="shared" si="16"/>
        <v>0</v>
      </c>
      <c r="AS30" s="891">
        <f t="shared" si="17"/>
        <v>8</v>
      </c>
      <c r="AT30" s="891">
        <f t="shared" si="18"/>
        <v>0</v>
      </c>
      <c r="AU30" s="891">
        <f t="shared" si="19"/>
        <v>0</v>
      </c>
      <c r="AV30" s="891">
        <f t="shared" si="20"/>
        <v>0</v>
      </c>
      <c r="AW30" s="891">
        <f t="shared" si="21"/>
        <v>0</v>
      </c>
      <c r="AX30" s="891">
        <f t="shared" si="22"/>
        <v>0</v>
      </c>
      <c r="AY30" s="891">
        <f t="shared" si="23"/>
        <v>0</v>
      </c>
      <c r="AZ30" s="891">
        <f t="shared" si="24"/>
        <v>0</v>
      </c>
      <c r="BA30" s="891">
        <f t="shared" si="25"/>
        <v>0</v>
      </c>
      <c r="BB30" s="888" t="str">
        <f t="shared" si="26"/>
        <v>C</v>
      </c>
      <c r="BC30" s="888" t="str">
        <f t="shared" si="27"/>
        <v>C</v>
      </c>
      <c r="BD30" s="888" t="str">
        <f t="shared" si="28"/>
        <v>B</v>
      </c>
      <c r="BE30" s="888" t="str">
        <f t="shared" si="29"/>
        <v>B</v>
      </c>
      <c r="BF30" s="888" t="str">
        <f t="shared" si="30"/>
        <v/>
      </c>
      <c r="BG30" s="888" t="str">
        <f t="shared" si="31"/>
        <v>A</v>
      </c>
      <c r="BH30" s="888" t="str">
        <f t="shared" si="32"/>
        <v/>
      </c>
      <c r="BI30" s="888" t="str">
        <f t="shared" si="33"/>
        <v>C</v>
      </c>
      <c r="BJ30" s="889" t="str">
        <f t="shared" si="34"/>
        <v/>
      </c>
      <c r="BK30" s="889" t="str">
        <f t="shared" si="35"/>
        <v/>
      </c>
      <c r="BL30" s="889" t="str">
        <f t="shared" si="36"/>
        <v/>
      </c>
      <c r="BM30" s="889" t="str">
        <f t="shared" si="37"/>
        <v/>
      </c>
      <c r="BN30" s="889" t="str">
        <f t="shared" si="38"/>
        <v/>
      </c>
      <c r="BO30" s="889" t="str">
        <f t="shared" si="39"/>
        <v/>
      </c>
      <c r="BP30" s="889" t="str">
        <f t="shared" si="40"/>
        <v/>
      </c>
      <c r="BQ30" s="889" t="str">
        <f t="shared" si="41"/>
        <v>Ab</v>
      </c>
      <c r="BR30" s="890" t="str">
        <f t="shared" si="42"/>
        <v/>
      </c>
      <c r="BS30" s="890" t="str">
        <f t="shared" si="43"/>
        <v/>
      </c>
      <c r="BT30" s="890" t="str">
        <f t="shared" si="44"/>
        <v/>
      </c>
      <c r="BU30" s="890" t="str">
        <f t="shared" si="45"/>
        <v/>
      </c>
      <c r="BV30" s="890" t="str">
        <f t="shared" si="46"/>
        <v/>
      </c>
      <c r="BW30" s="890" t="str">
        <f t="shared" si="47"/>
        <v/>
      </c>
      <c r="BX30" s="890" t="str">
        <f t="shared" si="48"/>
        <v/>
      </c>
      <c r="BY30" s="890" t="str">
        <f t="shared" si="49"/>
        <v>Ab</v>
      </c>
      <c r="BZ30" s="888" t="str">
        <f t="shared" si="50"/>
        <v/>
      </c>
      <c r="CA30" s="888" t="str">
        <f t="shared" si="51"/>
        <v/>
      </c>
      <c r="CB30" s="888" t="str">
        <f t="shared" si="52"/>
        <v/>
      </c>
      <c r="CC30" s="888" t="str">
        <f t="shared" si="53"/>
        <v/>
      </c>
      <c r="CD30" s="888" t="str">
        <f t="shared" si="54"/>
        <v/>
      </c>
      <c r="CE30" s="888" t="str">
        <f t="shared" si="55"/>
        <v/>
      </c>
      <c r="CF30" s="888" t="str">
        <f t="shared" si="56"/>
        <v/>
      </c>
      <c r="CG30" s="888" t="str">
        <f t="shared" si="57"/>
        <v>Ab</v>
      </c>
      <c r="CH30" s="887">
        <v>50</v>
      </c>
      <c r="CI30" s="899"/>
      <c r="CJ30" s="900"/>
    </row>
    <row r="31" spans="1:88">
      <c r="A31" s="879">
        <v>28</v>
      </c>
      <c r="B31" s="879">
        <f>STUDENT!F29</f>
        <v>14999</v>
      </c>
      <c r="C31" s="879">
        <f>STUDENT!D29</f>
        <v>20250104050</v>
      </c>
      <c r="D31" s="886" t="str">
        <f>STUDENT!E29</f>
        <v>ABDUL REHMAN</v>
      </c>
      <c r="E31" s="886" t="str">
        <f>STUDENT!H29</f>
        <v>MD LAL BABU</v>
      </c>
      <c r="F31" s="887">
        <v>11</v>
      </c>
      <c r="G31" s="887">
        <v>12</v>
      </c>
      <c r="H31" s="887">
        <v>11</v>
      </c>
      <c r="I31" s="887">
        <v>9</v>
      </c>
      <c r="J31" s="887"/>
      <c r="K31" s="887">
        <v>15</v>
      </c>
      <c r="L31" s="887"/>
      <c r="M31" s="888">
        <f t="shared" si="6"/>
        <v>58</v>
      </c>
      <c r="N31" s="887"/>
      <c r="O31" s="887"/>
      <c r="P31" s="887"/>
      <c r="Q31" s="887"/>
      <c r="R31" s="887"/>
      <c r="S31" s="887"/>
      <c r="T31" s="887"/>
      <c r="U31" s="889">
        <f t="shared" si="7"/>
        <v>0</v>
      </c>
      <c r="V31" s="887"/>
      <c r="W31" s="887"/>
      <c r="X31" s="887"/>
      <c r="Y31" s="887"/>
      <c r="Z31" s="887"/>
      <c r="AA31" s="887"/>
      <c r="AB31" s="887"/>
      <c r="AC31" s="890">
        <f t="shared" si="8"/>
        <v>0</v>
      </c>
      <c r="AD31" s="887"/>
      <c r="AE31" s="887"/>
      <c r="AF31" s="887"/>
      <c r="AG31" s="887"/>
      <c r="AH31" s="887"/>
      <c r="AI31" s="887"/>
      <c r="AJ31" s="887"/>
      <c r="AK31" s="888">
        <f t="shared" si="9"/>
        <v>0</v>
      </c>
      <c r="AL31" s="891">
        <f t="shared" si="10"/>
        <v>1</v>
      </c>
      <c r="AM31" s="891">
        <f t="shared" si="11"/>
        <v>2</v>
      </c>
      <c r="AN31" s="891">
        <f t="shared" si="12"/>
        <v>1</v>
      </c>
      <c r="AO31" s="891">
        <f t="shared" si="13"/>
        <v>1</v>
      </c>
      <c r="AP31" s="891">
        <f t="shared" si="14"/>
        <v>0</v>
      </c>
      <c r="AQ31" s="891">
        <f t="shared" si="15"/>
        <v>2</v>
      </c>
      <c r="AR31" s="891">
        <f t="shared" si="16"/>
        <v>0</v>
      </c>
      <c r="AS31" s="891">
        <f t="shared" si="17"/>
        <v>7</v>
      </c>
      <c r="AT31" s="891">
        <f t="shared" si="18"/>
        <v>0</v>
      </c>
      <c r="AU31" s="891">
        <f t="shared" si="19"/>
        <v>0</v>
      </c>
      <c r="AV31" s="891">
        <f t="shared" si="20"/>
        <v>0</v>
      </c>
      <c r="AW31" s="891">
        <f t="shared" si="21"/>
        <v>0</v>
      </c>
      <c r="AX31" s="891">
        <f t="shared" si="22"/>
        <v>0</v>
      </c>
      <c r="AY31" s="891">
        <f t="shared" si="23"/>
        <v>0</v>
      </c>
      <c r="AZ31" s="891">
        <f t="shared" si="24"/>
        <v>0</v>
      </c>
      <c r="BA31" s="891">
        <f t="shared" si="25"/>
        <v>0</v>
      </c>
      <c r="BB31" s="888" t="str">
        <f t="shared" si="26"/>
        <v>C</v>
      </c>
      <c r="BC31" s="888" t="str">
        <f t="shared" si="27"/>
        <v>B</v>
      </c>
      <c r="BD31" s="888" t="str">
        <f t="shared" si="28"/>
        <v>C</v>
      </c>
      <c r="BE31" s="888" t="str">
        <f t="shared" si="29"/>
        <v>C</v>
      </c>
      <c r="BF31" s="888" t="str">
        <f t="shared" si="30"/>
        <v/>
      </c>
      <c r="BG31" s="888" t="str">
        <f t="shared" si="31"/>
        <v>B</v>
      </c>
      <c r="BH31" s="888" t="str">
        <f t="shared" si="32"/>
        <v/>
      </c>
      <c r="BI31" s="888" t="str">
        <f t="shared" si="33"/>
        <v>C</v>
      </c>
      <c r="BJ31" s="889" t="str">
        <f t="shared" si="34"/>
        <v/>
      </c>
      <c r="BK31" s="889" t="str">
        <f t="shared" si="35"/>
        <v/>
      </c>
      <c r="BL31" s="889" t="str">
        <f t="shared" si="36"/>
        <v/>
      </c>
      <c r="BM31" s="889" t="str">
        <f t="shared" si="37"/>
        <v/>
      </c>
      <c r="BN31" s="889" t="str">
        <f t="shared" si="38"/>
        <v/>
      </c>
      <c r="BO31" s="889" t="str">
        <f t="shared" si="39"/>
        <v/>
      </c>
      <c r="BP31" s="889" t="str">
        <f t="shared" si="40"/>
        <v/>
      </c>
      <c r="BQ31" s="889" t="str">
        <f t="shared" si="41"/>
        <v>Ab</v>
      </c>
      <c r="BR31" s="890" t="str">
        <f t="shared" si="42"/>
        <v/>
      </c>
      <c r="BS31" s="890" t="str">
        <f t="shared" si="43"/>
        <v/>
      </c>
      <c r="BT31" s="890" t="str">
        <f t="shared" si="44"/>
        <v/>
      </c>
      <c r="BU31" s="890" t="str">
        <f t="shared" si="45"/>
        <v/>
      </c>
      <c r="BV31" s="890" t="str">
        <f t="shared" si="46"/>
        <v/>
      </c>
      <c r="BW31" s="890" t="str">
        <f t="shared" si="47"/>
        <v/>
      </c>
      <c r="BX31" s="890" t="str">
        <f t="shared" si="48"/>
        <v/>
      </c>
      <c r="BY31" s="890" t="str">
        <f t="shared" si="49"/>
        <v>Ab</v>
      </c>
      <c r="BZ31" s="888" t="str">
        <f t="shared" si="50"/>
        <v/>
      </c>
      <c r="CA31" s="888" t="str">
        <f t="shared" si="51"/>
        <v/>
      </c>
      <c r="CB31" s="888" t="str">
        <f t="shared" si="52"/>
        <v/>
      </c>
      <c r="CC31" s="888" t="str">
        <f t="shared" si="53"/>
        <v/>
      </c>
      <c r="CD31" s="888" t="str">
        <f t="shared" si="54"/>
        <v/>
      </c>
      <c r="CE31" s="888" t="str">
        <f t="shared" si="55"/>
        <v/>
      </c>
      <c r="CF31" s="888" t="str">
        <f t="shared" si="56"/>
        <v/>
      </c>
      <c r="CG31" s="888" t="str">
        <f t="shared" si="57"/>
        <v>Ab</v>
      </c>
      <c r="CH31" s="887">
        <v>52</v>
      </c>
      <c r="CI31" s="899"/>
      <c r="CJ31" s="900"/>
    </row>
    <row r="32" spans="1:88">
      <c r="A32" s="879">
        <v>29</v>
      </c>
      <c r="B32" s="879">
        <f>STUDENT!F30</f>
        <v>15000</v>
      </c>
      <c r="C32" s="879">
        <f>STUDENT!D30</f>
        <v>20250104062</v>
      </c>
      <c r="D32" s="886" t="str">
        <f>STUDENT!E30</f>
        <v>KARTIK</v>
      </c>
      <c r="E32" s="886" t="str">
        <f>STUDENT!H30</f>
        <v>AMAN YADAV</v>
      </c>
      <c r="F32" s="887">
        <v>8</v>
      </c>
      <c r="G32" s="887">
        <v>8</v>
      </c>
      <c r="H32" s="887">
        <v>9</v>
      </c>
      <c r="I32" s="887">
        <v>10</v>
      </c>
      <c r="J32" s="887"/>
      <c r="K32" s="887">
        <v>11</v>
      </c>
      <c r="L32" s="887"/>
      <c r="M32" s="888">
        <f t="shared" si="6"/>
        <v>46</v>
      </c>
      <c r="N32" s="887"/>
      <c r="O32" s="887"/>
      <c r="P32" s="887"/>
      <c r="Q32" s="887"/>
      <c r="R32" s="887"/>
      <c r="S32" s="887"/>
      <c r="T32" s="887"/>
      <c r="U32" s="889">
        <f t="shared" si="7"/>
        <v>0</v>
      </c>
      <c r="V32" s="887"/>
      <c r="W32" s="887"/>
      <c r="X32" s="887"/>
      <c r="Y32" s="887"/>
      <c r="Z32" s="887"/>
      <c r="AA32" s="887"/>
      <c r="AB32" s="887"/>
      <c r="AC32" s="890">
        <f t="shared" si="8"/>
        <v>0</v>
      </c>
      <c r="AD32" s="887"/>
      <c r="AE32" s="887"/>
      <c r="AF32" s="887"/>
      <c r="AG32" s="887"/>
      <c r="AH32" s="887"/>
      <c r="AI32" s="887"/>
      <c r="AJ32" s="887"/>
      <c r="AK32" s="888">
        <f t="shared" si="9"/>
        <v>0</v>
      </c>
      <c r="AL32" s="891">
        <f t="shared" si="10"/>
        <v>1</v>
      </c>
      <c r="AM32" s="891">
        <f t="shared" si="11"/>
        <v>1</v>
      </c>
      <c r="AN32" s="891">
        <f t="shared" si="12"/>
        <v>1</v>
      </c>
      <c r="AO32" s="891">
        <f t="shared" si="13"/>
        <v>1</v>
      </c>
      <c r="AP32" s="891">
        <f t="shared" si="14"/>
        <v>0</v>
      </c>
      <c r="AQ32" s="891">
        <f t="shared" si="15"/>
        <v>1</v>
      </c>
      <c r="AR32" s="891">
        <f t="shared" si="16"/>
        <v>0</v>
      </c>
      <c r="AS32" s="891">
        <f t="shared" si="17"/>
        <v>5</v>
      </c>
      <c r="AT32" s="891">
        <f t="shared" si="18"/>
        <v>0</v>
      </c>
      <c r="AU32" s="891">
        <f t="shared" si="19"/>
        <v>0</v>
      </c>
      <c r="AV32" s="891">
        <f t="shared" si="20"/>
        <v>0</v>
      </c>
      <c r="AW32" s="891">
        <f t="shared" si="21"/>
        <v>0</v>
      </c>
      <c r="AX32" s="891">
        <f t="shared" si="22"/>
        <v>0</v>
      </c>
      <c r="AY32" s="891">
        <f t="shared" si="23"/>
        <v>0</v>
      </c>
      <c r="AZ32" s="891">
        <f t="shared" si="24"/>
        <v>0</v>
      </c>
      <c r="BA32" s="891">
        <f t="shared" si="25"/>
        <v>0</v>
      </c>
      <c r="BB32" s="888" t="str">
        <f t="shared" si="26"/>
        <v>D</v>
      </c>
      <c r="BC32" s="888" t="str">
        <f t="shared" si="27"/>
        <v>D</v>
      </c>
      <c r="BD32" s="888" t="str">
        <f t="shared" si="28"/>
        <v>C</v>
      </c>
      <c r="BE32" s="888" t="str">
        <f t="shared" si="29"/>
        <v>C</v>
      </c>
      <c r="BF32" s="888" t="str">
        <f t="shared" si="30"/>
        <v/>
      </c>
      <c r="BG32" s="888" t="str">
        <f t="shared" si="31"/>
        <v>C</v>
      </c>
      <c r="BH32" s="888" t="str">
        <f t="shared" si="32"/>
        <v/>
      </c>
      <c r="BI32" s="888" t="str">
        <f t="shared" si="33"/>
        <v>D</v>
      </c>
      <c r="BJ32" s="889" t="str">
        <f t="shared" si="34"/>
        <v/>
      </c>
      <c r="BK32" s="889" t="str">
        <f t="shared" si="35"/>
        <v/>
      </c>
      <c r="BL32" s="889" t="str">
        <f t="shared" si="36"/>
        <v/>
      </c>
      <c r="BM32" s="889" t="str">
        <f t="shared" si="37"/>
        <v/>
      </c>
      <c r="BN32" s="889" t="str">
        <f t="shared" si="38"/>
        <v/>
      </c>
      <c r="BO32" s="889" t="str">
        <f t="shared" si="39"/>
        <v/>
      </c>
      <c r="BP32" s="889" t="str">
        <f t="shared" si="40"/>
        <v/>
      </c>
      <c r="BQ32" s="889" t="str">
        <f t="shared" si="41"/>
        <v>Ab</v>
      </c>
      <c r="BR32" s="890" t="str">
        <f t="shared" si="42"/>
        <v/>
      </c>
      <c r="BS32" s="890" t="str">
        <f t="shared" si="43"/>
        <v/>
      </c>
      <c r="BT32" s="890" t="str">
        <f t="shared" si="44"/>
        <v/>
      </c>
      <c r="BU32" s="890" t="str">
        <f t="shared" si="45"/>
        <v/>
      </c>
      <c r="BV32" s="890" t="str">
        <f t="shared" si="46"/>
        <v/>
      </c>
      <c r="BW32" s="890" t="str">
        <f t="shared" si="47"/>
        <v/>
      </c>
      <c r="BX32" s="890" t="str">
        <f t="shared" si="48"/>
        <v/>
      </c>
      <c r="BY32" s="890" t="str">
        <f t="shared" si="49"/>
        <v>Ab</v>
      </c>
      <c r="BZ32" s="888" t="str">
        <f t="shared" si="50"/>
        <v/>
      </c>
      <c r="CA32" s="888" t="str">
        <f t="shared" si="51"/>
        <v/>
      </c>
      <c r="CB32" s="888" t="str">
        <f t="shared" si="52"/>
        <v/>
      </c>
      <c r="CC32" s="888" t="str">
        <f t="shared" si="53"/>
        <v/>
      </c>
      <c r="CD32" s="888" t="str">
        <f t="shared" si="54"/>
        <v/>
      </c>
      <c r="CE32" s="888" t="str">
        <f t="shared" si="55"/>
        <v/>
      </c>
      <c r="CF32" s="888" t="str">
        <f t="shared" si="56"/>
        <v/>
      </c>
      <c r="CG32" s="888" t="str">
        <f t="shared" si="57"/>
        <v>Ab</v>
      </c>
      <c r="CH32" s="887">
        <v>98</v>
      </c>
      <c r="CI32" s="899"/>
      <c r="CJ32" s="900"/>
    </row>
    <row r="33" spans="1:88">
      <c r="A33" s="879">
        <v>30</v>
      </c>
      <c r="B33" s="879">
        <f>STUDENT!F31</f>
        <v>15022</v>
      </c>
      <c r="C33" s="879">
        <f>STUDENT!D31</f>
        <v>20250141853</v>
      </c>
      <c r="D33" s="886" t="str">
        <f>STUDENT!E31</f>
        <v>AYAN</v>
      </c>
      <c r="E33" s="886" t="str">
        <f>STUDENT!H31</f>
        <v>BABU HASAN</v>
      </c>
      <c r="F33" s="887">
        <v>10</v>
      </c>
      <c r="G33" s="887">
        <v>8</v>
      </c>
      <c r="H33" s="887">
        <v>10</v>
      </c>
      <c r="I33" s="887">
        <v>13</v>
      </c>
      <c r="J33" s="887"/>
      <c r="K33" s="887">
        <v>12</v>
      </c>
      <c r="L33" s="887"/>
      <c r="M33" s="888">
        <f t="shared" si="6"/>
        <v>53</v>
      </c>
      <c r="N33" s="887"/>
      <c r="O33" s="887"/>
      <c r="P33" s="887"/>
      <c r="Q33" s="887"/>
      <c r="R33" s="887"/>
      <c r="S33" s="887"/>
      <c r="T33" s="887"/>
      <c r="U33" s="889">
        <f t="shared" si="7"/>
        <v>0</v>
      </c>
      <c r="V33" s="887"/>
      <c r="W33" s="887"/>
      <c r="X33" s="887"/>
      <c r="Y33" s="887"/>
      <c r="Z33" s="887"/>
      <c r="AA33" s="887"/>
      <c r="AB33" s="887"/>
      <c r="AC33" s="890">
        <f t="shared" si="8"/>
        <v>0</v>
      </c>
      <c r="AD33" s="887"/>
      <c r="AE33" s="887"/>
      <c r="AF33" s="887"/>
      <c r="AG33" s="887"/>
      <c r="AH33" s="887"/>
      <c r="AI33" s="887"/>
      <c r="AJ33" s="887"/>
      <c r="AK33" s="888">
        <f t="shared" si="9"/>
        <v>0</v>
      </c>
      <c r="AL33" s="891">
        <f t="shared" si="10"/>
        <v>1</v>
      </c>
      <c r="AM33" s="891">
        <f t="shared" si="11"/>
        <v>1</v>
      </c>
      <c r="AN33" s="891">
        <f t="shared" si="12"/>
        <v>1</v>
      </c>
      <c r="AO33" s="891">
        <f t="shared" si="13"/>
        <v>2</v>
      </c>
      <c r="AP33" s="891">
        <f t="shared" si="14"/>
        <v>0</v>
      </c>
      <c r="AQ33" s="891">
        <f t="shared" si="15"/>
        <v>2</v>
      </c>
      <c r="AR33" s="891">
        <f t="shared" si="16"/>
        <v>0</v>
      </c>
      <c r="AS33" s="891">
        <f t="shared" si="17"/>
        <v>7</v>
      </c>
      <c r="AT33" s="891">
        <f t="shared" si="18"/>
        <v>0</v>
      </c>
      <c r="AU33" s="891">
        <f t="shared" si="19"/>
        <v>0</v>
      </c>
      <c r="AV33" s="891">
        <f t="shared" si="20"/>
        <v>0</v>
      </c>
      <c r="AW33" s="891">
        <f t="shared" si="21"/>
        <v>0</v>
      </c>
      <c r="AX33" s="891">
        <f t="shared" si="22"/>
        <v>0</v>
      </c>
      <c r="AY33" s="891">
        <f t="shared" si="23"/>
        <v>0</v>
      </c>
      <c r="AZ33" s="891">
        <f t="shared" si="24"/>
        <v>0</v>
      </c>
      <c r="BA33" s="891">
        <f t="shared" si="25"/>
        <v>0</v>
      </c>
      <c r="BB33" s="888" t="str">
        <f t="shared" si="26"/>
        <v>C</v>
      </c>
      <c r="BC33" s="888" t="str">
        <f t="shared" si="27"/>
        <v>D</v>
      </c>
      <c r="BD33" s="888" t="str">
        <f t="shared" si="28"/>
        <v>C</v>
      </c>
      <c r="BE33" s="888" t="str">
        <f t="shared" si="29"/>
        <v>B</v>
      </c>
      <c r="BF33" s="888" t="str">
        <f t="shared" si="30"/>
        <v/>
      </c>
      <c r="BG33" s="888" t="str">
        <f t="shared" si="31"/>
        <v>B</v>
      </c>
      <c r="BH33" s="888" t="str">
        <f t="shared" si="32"/>
        <v/>
      </c>
      <c r="BI33" s="888" t="str">
        <f t="shared" si="33"/>
        <v>C</v>
      </c>
      <c r="BJ33" s="889" t="str">
        <f t="shared" si="34"/>
        <v/>
      </c>
      <c r="BK33" s="889" t="str">
        <f t="shared" si="35"/>
        <v/>
      </c>
      <c r="BL33" s="889" t="str">
        <f t="shared" si="36"/>
        <v/>
      </c>
      <c r="BM33" s="889" t="str">
        <f t="shared" si="37"/>
        <v/>
      </c>
      <c r="BN33" s="889" t="str">
        <f t="shared" si="38"/>
        <v/>
      </c>
      <c r="BO33" s="889" t="str">
        <f t="shared" si="39"/>
        <v/>
      </c>
      <c r="BP33" s="889" t="str">
        <f t="shared" si="40"/>
        <v/>
      </c>
      <c r="BQ33" s="889" t="str">
        <f t="shared" si="41"/>
        <v>Ab</v>
      </c>
      <c r="BR33" s="890" t="str">
        <f t="shared" si="42"/>
        <v/>
      </c>
      <c r="BS33" s="890" t="str">
        <f t="shared" si="43"/>
        <v/>
      </c>
      <c r="BT33" s="890" t="str">
        <f t="shared" si="44"/>
        <v/>
      </c>
      <c r="BU33" s="890" t="str">
        <f t="shared" si="45"/>
        <v/>
      </c>
      <c r="BV33" s="890" t="str">
        <f t="shared" si="46"/>
        <v/>
      </c>
      <c r="BW33" s="890" t="str">
        <f t="shared" si="47"/>
        <v/>
      </c>
      <c r="BX33" s="890" t="str">
        <f t="shared" si="48"/>
        <v/>
      </c>
      <c r="BY33" s="890" t="str">
        <f t="shared" si="49"/>
        <v>Ab</v>
      </c>
      <c r="BZ33" s="888" t="str">
        <f t="shared" si="50"/>
        <v/>
      </c>
      <c r="CA33" s="888" t="str">
        <f t="shared" si="51"/>
        <v/>
      </c>
      <c r="CB33" s="888" t="str">
        <f t="shared" si="52"/>
        <v/>
      </c>
      <c r="CC33" s="888" t="str">
        <f t="shared" si="53"/>
        <v/>
      </c>
      <c r="CD33" s="888" t="str">
        <f t="shared" si="54"/>
        <v/>
      </c>
      <c r="CE33" s="888" t="str">
        <f t="shared" si="55"/>
        <v/>
      </c>
      <c r="CF33" s="888" t="str">
        <f t="shared" si="56"/>
        <v/>
      </c>
      <c r="CG33" s="888" t="str">
        <f t="shared" si="57"/>
        <v>Ab</v>
      </c>
      <c r="CH33" s="887">
        <v>83</v>
      </c>
      <c r="CI33" s="899"/>
      <c r="CJ33" s="900"/>
    </row>
    <row r="34" spans="1:88">
      <c r="A34" s="879">
        <v>31</v>
      </c>
      <c r="B34" s="879">
        <f>STUDENT!F32</f>
        <v>15034</v>
      </c>
      <c r="C34" s="879">
        <f>STUDENT!D32</f>
        <v>20250188568</v>
      </c>
      <c r="D34" s="886" t="str">
        <f>STUDENT!E32</f>
        <v>RAM CHANDER KUMAR</v>
      </c>
      <c r="E34" s="886" t="str">
        <f>STUDENT!H32</f>
        <v>AKASH SHARMA</v>
      </c>
      <c r="F34" s="887">
        <v>9</v>
      </c>
      <c r="G34" s="887">
        <v>8</v>
      </c>
      <c r="H34" s="887">
        <v>10</v>
      </c>
      <c r="I34" s="887">
        <v>7</v>
      </c>
      <c r="J34" s="887"/>
      <c r="K34" s="887">
        <v>12</v>
      </c>
      <c r="L34" s="887"/>
      <c r="M34" s="888">
        <f t="shared" si="6"/>
        <v>46</v>
      </c>
      <c r="N34" s="887"/>
      <c r="O34" s="887"/>
      <c r="P34" s="887"/>
      <c r="Q34" s="887"/>
      <c r="R34" s="887"/>
      <c r="S34" s="887"/>
      <c r="T34" s="887"/>
      <c r="U34" s="889">
        <f t="shared" si="7"/>
        <v>0</v>
      </c>
      <c r="V34" s="887"/>
      <c r="W34" s="887"/>
      <c r="X34" s="887"/>
      <c r="Y34" s="887"/>
      <c r="Z34" s="887"/>
      <c r="AA34" s="887"/>
      <c r="AB34" s="887"/>
      <c r="AC34" s="890">
        <f t="shared" si="8"/>
        <v>0</v>
      </c>
      <c r="AD34" s="887"/>
      <c r="AE34" s="887"/>
      <c r="AF34" s="887"/>
      <c r="AG34" s="887"/>
      <c r="AH34" s="887"/>
      <c r="AI34" s="887"/>
      <c r="AJ34" s="887"/>
      <c r="AK34" s="888">
        <f t="shared" si="9"/>
        <v>0</v>
      </c>
      <c r="AL34" s="891">
        <f t="shared" si="10"/>
        <v>1</v>
      </c>
      <c r="AM34" s="891">
        <f t="shared" si="11"/>
        <v>1</v>
      </c>
      <c r="AN34" s="891">
        <f t="shared" si="12"/>
        <v>1</v>
      </c>
      <c r="AO34" s="891">
        <f t="shared" si="13"/>
        <v>1</v>
      </c>
      <c r="AP34" s="891">
        <f t="shared" si="14"/>
        <v>0</v>
      </c>
      <c r="AQ34" s="891">
        <f t="shared" si="15"/>
        <v>2</v>
      </c>
      <c r="AR34" s="891">
        <f t="shared" si="16"/>
        <v>0</v>
      </c>
      <c r="AS34" s="891">
        <f t="shared" si="17"/>
        <v>6</v>
      </c>
      <c r="AT34" s="891">
        <f t="shared" si="18"/>
        <v>0</v>
      </c>
      <c r="AU34" s="891">
        <f t="shared" si="19"/>
        <v>0</v>
      </c>
      <c r="AV34" s="891">
        <f t="shared" si="20"/>
        <v>0</v>
      </c>
      <c r="AW34" s="891">
        <f t="shared" si="21"/>
        <v>0</v>
      </c>
      <c r="AX34" s="891">
        <f t="shared" si="22"/>
        <v>0</v>
      </c>
      <c r="AY34" s="891">
        <f t="shared" si="23"/>
        <v>0</v>
      </c>
      <c r="AZ34" s="891">
        <f t="shared" si="24"/>
        <v>0</v>
      </c>
      <c r="BA34" s="891">
        <f t="shared" si="25"/>
        <v>0</v>
      </c>
      <c r="BB34" s="888" t="str">
        <f t="shared" si="26"/>
        <v>C</v>
      </c>
      <c r="BC34" s="888" t="str">
        <f t="shared" si="27"/>
        <v>D</v>
      </c>
      <c r="BD34" s="888" t="str">
        <f t="shared" si="28"/>
        <v>C</v>
      </c>
      <c r="BE34" s="888" t="str">
        <f t="shared" si="29"/>
        <v>D</v>
      </c>
      <c r="BF34" s="888" t="str">
        <f t="shared" si="30"/>
        <v/>
      </c>
      <c r="BG34" s="888" t="str">
        <f t="shared" si="31"/>
        <v>B</v>
      </c>
      <c r="BH34" s="888" t="str">
        <f t="shared" si="32"/>
        <v/>
      </c>
      <c r="BI34" s="888" t="str">
        <f t="shared" si="33"/>
        <v>D</v>
      </c>
      <c r="BJ34" s="889" t="str">
        <f t="shared" si="34"/>
        <v/>
      </c>
      <c r="BK34" s="889" t="str">
        <f t="shared" si="35"/>
        <v/>
      </c>
      <c r="BL34" s="889" t="str">
        <f t="shared" si="36"/>
        <v/>
      </c>
      <c r="BM34" s="889" t="str">
        <f t="shared" si="37"/>
        <v/>
      </c>
      <c r="BN34" s="889" t="str">
        <f t="shared" si="38"/>
        <v/>
      </c>
      <c r="BO34" s="889" t="str">
        <f t="shared" si="39"/>
        <v/>
      </c>
      <c r="BP34" s="889" t="str">
        <f t="shared" si="40"/>
        <v/>
      </c>
      <c r="BQ34" s="889" t="str">
        <f t="shared" si="41"/>
        <v>Ab</v>
      </c>
      <c r="BR34" s="890" t="str">
        <f t="shared" si="42"/>
        <v/>
      </c>
      <c r="BS34" s="890" t="str">
        <f t="shared" si="43"/>
        <v/>
      </c>
      <c r="BT34" s="890" t="str">
        <f t="shared" si="44"/>
        <v/>
      </c>
      <c r="BU34" s="890" t="str">
        <f t="shared" si="45"/>
        <v/>
      </c>
      <c r="BV34" s="890" t="str">
        <f t="shared" si="46"/>
        <v/>
      </c>
      <c r="BW34" s="890" t="str">
        <f t="shared" si="47"/>
        <v/>
      </c>
      <c r="BX34" s="890" t="str">
        <f t="shared" si="48"/>
        <v/>
      </c>
      <c r="BY34" s="890" t="str">
        <f t="shared" si="49"/>
        <v>Ab</v>
      </c>
      <c r="BZ34" s="888" t="str">
        <f t="shared" si="50"/>
        <v/>
      </c>
      <c r="CA34" s="888" t="str">
        <f t="shared" si="51"/>
        <v/>
      </c>
      <c r="CB34" s="888" t="str">
        <f t="shared" si="52"/>
        <v/>
      </c>
      <c r="CC34" s="888" t="str">
        <f t="shared" si="53"/>
        <v/>
      </c>
      <c r="CD34" s="888" t="str">
        <f t="shared" si="54"/>
        <v/>
      </c>
      <c r="CE34" s="888" t="str">
        <f t="shared" si="55"/>
        <v/>
      </c>
      <c r="CF34" s="888" t="str">
        <f t="shared" si="56"/>
        <v/>
      </c>
      <c r="CG34" s="888" t="str">
        <f t="shared" si="57"/>
        <v>Ab</v>
      </c>
      <c r="CH34" s="887">
        <v>89</v>
      </c>
      <c r="CI34" s="899"/>
      <c r="CJ34" s="900"/>
    </row>
    <row r="35" spans="1:88">
      <c r="A35" s="879">
        <v>32</v>
      </c>
      <c r="B35" s="879">
        <f>STUDENT!F33</f>
        <v>15035</v>
      </c>
      <c r="C35" s="879">
        <f>STUDENT!D33</f>
        <v>20250188626</v>
      </c>
      <c r="D35" s="886" t="str">
        <f>STUDENT!E33</f>
        <v>HARSHIT</v>
      </c>
      <c r="E35" s="886" t="str">
        <f>STUDENT!H33</f>
        <v>ANKIT SINGH</v>
      </c>
      <c r="F35" s="887">
        <v>14</v>
      </c>
      <c r="G35" s="887">
        <v>13</v>
      </c>
      <c r="H35" s="887">
        <v>15</v>
      </c>
      <c r="I35" s="887">
        <v>14</v>
      </c>
      <c r="J35" s="887"/>
      <c r="K35" s="887">
        <v>18</v>
      </c>
      <c r="L35" s="887"/>
      <c r="M35" s="888">
        <f t="shared" si="6"/>
        <v>74</v>
      </c>
      <c r="N35" s="887"/>
      <c r="O35" s="887"/>
      <c r="P35" s="887"/>
      <c r="Q35" s="887"/>
      <c r="R35" s="887"/>
      <c r="S35" s="887"/>
      <c r="T35" s="887"/>
      <c r="U35" s="889">
        <f t="shared" si="7"/>
        <v>0</v>
      </c>
      <c r="V35" s="887"/>
      <c r="W35" s="887"/>
      <c r="X35" s="887"/>
      <c r="Y35" s="887"/>
      <c r="Z35" s="887"/>
      <c r="AA35" s="887"/>
      <c r="AB35" s="887"/>
      <c r="AC35" s="890">
        <f t="shared" si="8"/>
        <v>0</v>
      </c>
      <c r="AD35" s="887"/>
      <c r="AE35" s="887"/>
      <c r="AF35" s="887"/>
      <c r="AG35" s="887"/>
      <c r="AH35" s="887"/>
      <c r="AI35" s="887"/>
      <c r="AJ35" s="887"/>
      <c r="AK35" s="888">
        <f t="shared" si="9"/>
        <v>0</v>
      </c>
      <c r="AL35" s="891">
        <f t="shared" si="10"/>
        <v>2</v>
      </c>
      <c r="AM35" s="891">
        <f t="shared" si="11"/>
        <v>2</v>
      </c>
      <c r="AN35" s="891">
        <f t="shared" si="12"/>
        <v>2</v>
      </c>
      <c r="AO35" s="891">
        <f t="shared" si="13"/>
        <v>2</v>
      </c>
      <c r="AP35" s="891">
        <f t="shared" si="14"/>
        <v>0</v>
      </c>
      <c r="AQ35" s="891">
        <f t="shared" si="15"/>
        <v>2</v>
      </c>
      <c r="AR35" s="891">
        <f t="shared" si="16"/>
        <v>0</v>
      </c>
      <c r="AS35" s="891">
        <f t="shared" si="17"/>
        <v>10</v>
      </c>
      <c r="AT35" s="891">
        <f t="shared" si="18"/>
        <v>0</v>
      </c>
      <c r="AU35" s="891">
        <f t="shared" si="19"/>
        <v>0</v>
      </c>
      <c r="AV35" s="891">
        <f t="shared" si="20"/>
        <v>0</v>
      </c>
      <c r="AW35" s="891">
        <f t="shared" si="21"/>
        <v>0</v>
      </c>
      <c r="AX35" s="891">
        <f t="shared" si="22"/>
        <v>0</v>
      </c>
      <c r="AY35" s="891">
        <f t="shared" si="23"/>
        <v>0</v>
      </c>
      <c r="AZ35" s="891">
        <f t="shared" si="24"/>
        <v>0</v>
      </c>
      <c r="BA35" s="891">
        <f t="shared" si="25"/>
        <v>0</v>
      </c>
      <c r="BB35" s="888" t="str">
        <f t="shared" si="26"/>
        <v>B</v>
      </c>
      <c r="BC35" s="888" t="str">
        <f t="shared" si="27"/>
        <v>B</v>
      </c>
      <c r="BD35" s="888" t="str">
        <f t="shared" si="28"/>
        <v>B</v>
      </c>
      <c r="BE35" s="888" t="str">
        <f t="shared" si="29"/>
        <v>B</v>
      </c>
      <c r="BF35" s="888" t="str">
        <f t="shared" si="30"/>
        <v/>
      </c>
      <c r="BG35" s="888" t="str">
        <f t="shared" si="31"/>
        <v>A</v>
      </c>
      <c r="BH35" s="888" t="str">
        <f t="shared" si="32"/>
        <v/>
      </c>
      <c r="BI35" s="888" t="str">
        <f t="shared" si="33"/>
        <v>B</v>
      </c>
      <c r="BJ35" s="889" t="str">
        <f t="shared" si="34"/>
        <v/>
      </c>
      <c r="BK35" s="889" t="str">
        <f t="shared" si="35"/>
        <v/>
      </c>
      <c r="BL35" s="889" t="str">
        <f t="shared" si="36"/>
        <v/>
      </c>
      <c r="BM35" s="889" t="str">
        <f t="shared" si="37"/>
        <v/>
      </c>
      <c r="BN35" s="889" t="str">
        <f t="shared" si="38"/>
        <v/>
      </c>
      <c r="BO35" s="889" t="str">
        <f t="shared" si="39"/>
        <v/>
      </c>
      <c r="BP35" s="889" t="str">
        <f t="shared" si="40"/>
        <v/>
      </c>
      <c r="BQ35" s="889" t="str">
        <f t="shared" si="41"/>
        <v>Ab</v>
      </c>
      <c r="BR35" s="890" t="str">
        <f t="shared" si="42"/>
        <v/>
      </c>
      <c r="BS35" s="890" t="str">
        <f t="shared" si="43"/>
        <v/>
      </c>
      <c r="BT35" s="890" t="str">
        <f t="shared" si="44"/>
        <v/>
      </c>
      <c r="BU35" s="890" t="str">
        <f t="shared" si="45"/>
        <v/>
      </c>
      <c r="BV35" s="890" t="str">
        <f t="shared" si="46"/>
        <v/>
      </c>
      <c r="BW35" s="890" t="str">
        <f t="shared" si="47"/>
        <v/>
      </c>
      <c r="BX35" s="890" t="str">
        <f t="shared" si="48"/>
        <v/>
      </c>
      <c r="BY35" s="890" t="str">
        <f t="shared" si="49"/>
        <v>Ab</v>
      </c>
      <c r="BZ35" s="888" t="str">
        <f t="shared" si="50"/>
        <v/>
      </c>
      <c r="CA35" s="888" t="str">
        <f t="shared" si="51"/>
        <v/>
      </c>
      <c r="CB35" s="888" t="str">
        <f t="shared" si="52"/>
        <v/>
      </c>
      <c r="CC35" s="888" t="str">
        <f t="shared" si="53"/>
        <v/>
      </c>
      <c r="CD35" s="888" t="str">
        <f t="shared" si="54"/>
        <v/>
      </c>
      <c r="CE35" s="888" t="str">
        <f t="shared" si="55"/>
        <v/>
      </c>
      <c r="CF35" s="888" t="str">
        <f t="shared" si="56"/>
        <v/>
      </c>
      <c r="CG35" s="888" t="str">
        <f t="shared" si="57"/>
        <v>Ab</v>
      </c>
      <c r="CH35" s="887">
        <v>57</v>
      </c>
      <c r="CI35" s="899"/>
      <c r="CJ35" s="900"/>
    </row>
    <row r="36" spans="1:88">
      <c r="A36" s="879">
        <v>33</v>
      </c>
      <c r="B36" s="879">
        <f>STUDENT!F34</f>
        <v>15077</v>
      </c>
      <c r="C36" s="879">
        <f>STUDENT!D34</f>
        <v>20250246710</v>
      </c>
      <c r="D36" s="886" t="str">
        <f>STUDENT!E34</f>
        <v>HEMANT KUMAR</v>
      </c>
      <c r="E36" s="886" t="str">
        <f>STUDENT!H34</f>
        <v>PRADEEP KUMAR</v>
      </c>
      <c r="F36" s="887">
        <v>17</v>
      </c>
      <c r="G36" s="887">
        <v>15</v>
      </c>
      <c r="H36" s="887">
        <v>14</v>
      </c>
      <c r="I36" s="887">
        <v>14</v>
      </c>
      <c r="J36" s="887"/>
      <c r="K36" s="887">
        <v>18</v>
      </c>
      <c r="L36" s="887"/>
      <c r="M36" s="888">
        <f t="shared" si="6"/>
        <v>78</v>
      </c>
      <c r="N36" s="887"/>
      <c r="O36" s="887"/>
      <c r="P36" s="887"/>
      <c r="Q36" s="887"/>
      <c r="R36" s="887"/>
      <c r="S36" s="887"/>
      <c r="T36" s="887"/>
      <c r="U36" s="889">
        <f t="shared" si="7"/>
        <v>0</v>
      </c>
      <c r="V36" s="887"/>
      <c r="W36" s="887"/>
      <c r="X36" s="887"/>
      <c r="Y36" s="887"/>
      <c r="Z36" s="887"/>
      <c r="AA36" s="887"/>
      <c r="AB36" s="887"/>
      <c r="AC36" s="890">
        <f t="shared" si="8"/>
        <v>0</v>
      </c>
      <c r="AD36" s="887"/>
      <c r="AE36" s="887"/>
      <c r="AF36" s="887"/>
      <c r="AG36" s="887"/>
      <c r="AH36" s="887"/>
      <c r="AI36" s="887"/>
      <c r="AJ36" s="887"/>
      <c r="AK36" s="888">
        <f t="shared" si="9"/>
        <v>0</v>
      </c>
      <c r="AL36" s="891">
        <f t="shared" si="10"/>
        <v>2</v>
      </c>
      <c r="AM36" s="891">
        <f t="shared" si="11"/>
        <v>2</v>
      </c>
      <c r="AN36" s="891">
        <f t="shared" si="12"/>
        <v>2</v>
      </c>
      <c r="AO36" s="891">
        <f t="shared" si="13"/>
        <v>2</v>
      </c>
      <c r="AP36" s="891">
        <f t="shared" si="14"/>
        <v>0</v>
      </c>
      <c r="AQ36" s="891">
        <f t="shared" si="15"/>
        <v>2</v>
      </c>
      <c r="AR36" s="891">
        <f t="shared" si="16"/>
        <v>0</v>
      </c>
      <c r="AS36" s="891">
        <f t="shared" si="17"/>
        <v>10</v>
      </c>
      <c r="AT36" s="891">
        <f t="shared" si="18"/>
        <v>0</v>
      </c>
      <c r="AU36" s="891">
        <f t="shared" si="19"/>
        <v>0</v>
      </c>
      <c r="AV36" s="891">
        <f t="shared" si="20"/>
        <v>0</v>
      </c>
      <c r="AW36" s="891">
        <f t="shared" si="21"/>
        <v>0</v>
      </c>
      <c r="AX36" s="891">
        <f t="shared" si="22"/>
        <v>0</v>
      </c>
      <c r="AY36" s="891">
        <f t="shared" si="23"/>
        <v>0</v>
      </c>
      <c r="AZ36" s="891">
        <f t="shared" si="24"/>
        <v>0</v>
      </c>
      <c r="BA36" s="891">
        <f t="shared" si="25"/>
        <v>0</v>
      </c>
      <c r="BB36" s="888" t="str">
        <f t="shared" si="26"/>
        <v>A</v>
      </c>
      <c r="BC36" s="888" t="str">
        <f t="shared" si="27"/>
        <v>B</v>
      </c>
      <c r="BD36" s="888" t="str">
        <f t="shared" si="28"/>
        <v>B</v>
      </c>
      <c r="BE36" s="888" t="str">
        <f t="shared" si="29"/>
        <v>B</v>
      </c>
      <c r="BF36" s="888" t="str">
        <f t="shared" si="30"/>
        <v/>
      </c>
      <c r="BG36" s="888" t="str">
        <f t="shared" si="31"/>
        <v>A</v>
      </c>
      <c r="BH36" s="888" t="str">
        <f t="shared" si="32"/>
        <v/>
      </c>
      <c r="BI36" s="888" t="str">
        <f t="shared" si="33"/>
        <v>B</v>
      </c>
      <c r="BJ36" s="889" t="str">
        <f t="shared" si="34"/>
        <v/>
      </c>
      <c r="BK36" s="889" t="str">
        <f t="shared" si="35"/>
        <v/>
      </c>
      <c r="BL36" s="889" t="str">
        <f t="shared" si="36"/>
        <v/>
      </c>
      <c r="BM36" s="889" t="str">
        <f t="shared" si="37"/>
        <v/>
      </c>
      <c r="BN36" s="889" t="str">
        <f t="shared" si="38"/>
        <v/>
      </c>
      <c r="BO36" s="889" t="str">
        <f t="shared" si="39"/>
        <v/>
      </c>
      <c r="BP36" s="889" t="str">
        <f t="shared" si="40"/>
        <v/>
      </c>
      <c r="BQ36" s="889" t="str">
        <f t="shared" si="41"/>
        <v>Ab</v>
      </c>
      <c r="BR36" s="890" t="str">
        <f t="shared" si="42"/>
        <v/>
      </c>
      <c r="BS36" s="890" t="str">
        <f t="shared" si="43"/>
        <v/>
      </c>
      <c r="BT36" s="890" t="str">
        <f t="shared" si="44"/>
        <v/>
      </c>
      <c r="BU36" s="890" t="str">
        <f t="shared" si="45"/>
        <v/>
      </c>
      <c r="BV36" s="890" t="str">
        <f t="shared" si="46"/>
        <v/>
      </c>
      <c r="BW36" s="890" t="str">
        <f t="shared" si="47"/>
        <v/>
      </c>
      <c r="BX36" s="890" t="str">
        <f t="shared" si="48"/>
        <v/>
      </c>
      <c r="BY36" s="890" t="str">
        <f t="shared" si="49"/>
        <v>Ab</v>
      </c>
      <c r="BZ36" s="888" t="str">
        <f t="shared" si="50"/>
        <v/>
      </c>
      <c r="CA36" s="888" t="str">
        <f t="shared" si="51"/>
        <v/>
      </c>
      <c r="CB36" s="888" t="str">
        <f t="shared" si="52"/>
        <v/>
      </c>
      <c r="CC36" s="888" t="str">
        <f t="shared" si="53"/>
        <v/>
      </c>
      <c r="CD36" s="888" t="str">
        <f t="shared" si="54"/>
        <v/>
      </c>
      <c r="CE36" s="888" t="str">
        <f t="shared" si="55"/>
        <v/>
      </c>
      <c r="CF36" s="888" t="str">
        <f t="shared" si="56"/>
        <v/>
      </c>
      <c r="CG36" s="888" t="str">
        <f t="shared" si="57"/>
        <v>Ab</v>
      </c>
      <c r="CH36" s="887">
        <v>77</v>
      </c>
      <c r="CI36" s="899"/>
      <c r="CJ36" s="900"/>
    </row>
    <row r="37" spans="1:88">
      <c r="A37" s="879">
        <v>34</v>
      </c>
      <c r="B37" s="879">
        <f>STUDENT!F35</f>
        <v>15088</v>
      </c>
      <c r="C37" s="879">
        <f>STUDENT!D35</f>
        <v>20250257787</v>
      </c>
      <c r="D37" s="886" t="str">
        <f>STUDENT!E35</f>
        <v>VEERPARTAP SINGH</v>
      </c>
      <c r="E37" s="886" t="str">
        <f>STUDENT!H35</f>
        <v>VIJAY SINGH</v>
      </c>
      <c r="F37" s="887" t="s">
        <v>101</v>
      </c>
      <c r="G37" s="887" t="s">
        <v>101</v>
      </c>
      <c r="H37" s="887" t="s">
        <v>101</v>
      </c>
      <c r="I37" s="887" t="s">
        <v>101</v>
      </c>
      <c r="J37" s="887"/>
      <c r="K37" s="887" t="s">
        <v>101</v>
      </c>
      <c r="L37" s="887"/>
      <c r="M37" s="888">
        <f t="shared" si="6"/>
        <v>0</v>
      </c>
      <c r="N37" s="887"/>
      <c r="O37" s="887"/>
      <c r="P37" s="887"/>
      <c r="Q37" s="887"/>
      <c r="R37" s="887"/>
      <c r="S37" s="887"/>
      <c r="T37" s="887"/>
      <c r="U37" s="889">
        <f t="shared" si="7"/>
        <v>0</v>
      </c>
      <c r="V37" s="887"/>
      <c r="W37" s="887"/>
      <c r="X37" s="887"/>
      <c r="Y37" s="887"/>
      <c r="Z37" s="887"/>
      <c r="AA37" s="887"/>
      <c r="AB37" s="887"/>
      <c r="AC37" s="890">
        <f t="shared" si="8"/>
        <v>0</v>
      </c>
      <c r="AD37" s="887"/>
      <c r="AE37" s="887"/>
      <c r="AF37" s="887"/>
      <c r="AG37" s="887"/>
      <c r="AH37" s="887"/>
      <c r="AI37" s="887"/>
      <c r="AJ37" s="887"/>
      <c r="AK37" s="888">
        <f t="shared" si="9"/>
        <v>0</v>
      </c>
      <c r="AL37" s="891">
        <f t="shared" si="10"/>
        <v>0</v>
      </c>
      <c r="AM37" s="891">
        <f t="shared" si="11"/>
        <v>0</v>
      </c>
      <c r="AN37" s="891">
        <f t="shared" si="12"/>
        <v>0</v>
      </c>
      <c r="AO37" s="891">
        <f t="shared" si="13"/>
        <v>0</v>
      </c>
      <c r="AP37" s="891">
        <f t="shared" si="14"/>
        <v>0</v>
      </c>
      <c r="AQ37" s="891">
        <f t="shared" si="15"/>
        <v>0</v>
      </c>
      <c r="AR37" s="891">
        <f t="shared" si="16"/>
        <v>0</v>
      </c>
      <c r="AS37" s="891">
        <f t="shared" si="17"/>
        <v>0</v>
      </c>
      <c r="AT37" s="891">
        <f t="shared" si="18"/>
        <v>0</v>
      </c>
      <c r="AU37" s="891">
        <f t="shared" si="19"/>
        <v>0</v>
      </c>
      <c r="AV37" s="891">
        <f t="shared" si="20"/>
        <v>0</v>
      </c>
      <c r="AW37" s="891">
        <f t="shared" si="21"/>
        <v>0</v>
      </c>
      <c r="AX37" s="891">
        <f t="shared" si="22"/>
        <v>0</v>
      </c>
      <c r="AY37" s="891">
        <f t="shared" si="23"/>
        <v>0</v>
      </c>
      <c r="AZ37" s="891">
        <f t="shared" si="24"/>
        <v>0</v>
      </c>
      <c r="BA37" s="891">
        <f t="shared" si="25"/>
        <v>0</v>
      </c>
      <c r="BB37" s="888" t="str">
        <f t="shared" si="26"/>
        <v>Ab</v>
      </c>
      <c r="BC37" s="888" t="str">
        <f t="shared" si="27"/>
        <v>Ab</v>
      </c>
      <c r="BD37" s="888" t="str">
        <f t="shared" si="28"/>
        <v>Ab</v>
      </c>
      <c r="BE37" s="888" t="str">
        <f t="shared" si="29"/>
        <v>Ab</v>
      </c>
      <c r="BF37" s="888" t="str">
        <f t="shared" si="30"/>
        <v/>
      </c>
      <c r="BG37" s="888" t="str">
        <f t="shared" si="31"/>
        <v>Ab</v>
      </c>
      <c r="BH37" s="888" t="str">
        <f t="shared" si="32"/>
        <v/>
      </c>
      <c r="BI37" s="888" t="str">
        <f t="shared" si="33"/>
        <v>Ab</v>
      </c>
      <c r="BJ37" s="889" t="str">
        <f t="shared" si="34"/>
        <v/>
      </c>
      <c r="BK37" s="889" t="str">
        <f t="shared" si="35"/>
        <v/>
      </c>
      <c r="BL37" s="889" t="str">
        <f t="shared" si="36"/>
        <v/>
      </c>
      <c r="BM37" s="889" t="str">
        <f t="shared" si="37"/>
        <v/>
      </c>
      <c r="BN37" s="889" t="str">
        <f t="shared" si="38"/>
        <v/>
      </c>
      <c r="BO37" s="889" t="str">
        <f t="shared" si="39"/>
        <v/>
      </c>
      <c r="BP37" s="889" t="str">
        <f t="shared" si="40"/>
        <v/>
      </c>
      <c r="BQ37" s="889" t="str">
        <f t="shared" si="41"/>
        <v>Ab</v>
      </c>
      <c r="BR37" s="890" t="str">
        <f t="shared" si="42"/>
        <v/>
      </c>
      <c r="BS37" s="890" t="str">
        <f t="shared" si="43"/>
        <v/>
      </c>
      <c r="BT37" s="890" t="str">
        <f t="shared" si="44"/>
        <v/>
      </c>
      <c r="BU37" s="890" t="str">
        <f t="shared" si="45"/>
        <v/>
      </c>
      <c r="BV37" s="890" t="str">
        <f t="shared" si="46"/>
        <v/>
      </c>
      <c r="BW37" s="890" t="str">
        <f t="shared" si="47"/>
        <v/>
      </c>
      <c r="BX37" s="890" t="str">
        <f t="shared" si="48"/>
        <v/>
      </c>
      <c r="BY37" s="890" t="str">
        <f t="shared" si="49"/>
        <v>Ab</v>
      </c>
      <c r="BZ37" s="888" t="str">
        <f t="shared" si="50"/>
        <v/>
      </c>
      <c r="CA37" s="888" t="str">
        <f t="shared" si="51"/>
        <v/>
      </c>
      <c r="CB37" s="888" t="str">
        <f t="shared" si="52"/>
        <v/>
      </c>
      <c r="CC37" s="888" t="str">
        <f t="shared" si="53"/>
        <v/>
      </c>
      <c r="CD37" s="888" t="str">
        <f t="shared" si="54"/>
        <v/>
      </c>
      <c r="CE37" s="888" t="str">
        <f t="shared" si="55"/>
        <v/>
      </c>
      <c r="CF37" s="888" t="str">
        <f t="shared" si="56"/>
        <v/>
      </c>
      <c r="CG37" s="888" t="str">
        <f t="shared" si="57"/>
        <v>Ab</v>
      </c>
      <c r="CH37" s="887">
        <v>83</v>
      </c>
      <c r="CI37" s="899"/>
      <c r="CJ37" s="900"/>
    </row>
    <row r="38" spans="1:88">
      <c r="A38" s="879">
        <v>35</v>
      </c>
      <c r="B38" s="879">
        <f>STUDENT!F36</f>
        <v>15104</v>
      </c>
      <c r="C38" s="879">
        <f>STUDENT!D36</f>
        <v>20250272033</v>
      </c>
      <c r="D38" s="886" t="str">
        <f>STUDENT!E36</f>
        <v>NIKHIL KUMAR</v>
      </c>
      <c r="E38" s="886" t="str">
        <f>STUDENT!H36</f>
        <v>SUNIL KUMAR</v>
      </c>
      <c r="F38" s="887">
        <v>11</v>
      </c>
      <c r="G38" s="887">
        <v>8</v>
      </c>
      <c r="H38" s="887">
        <v>12</v>
      </c>
      <c r="I38" s="887">
        <v>10</v>
      </c>
      <c r="J38" s="887"/>
      <c r="K38" s="887">
        <v>13</v>
      </c>
      <c r="L38" s="887"/>
      <c r="M38" s="888">
        <f t="shared" si="6"/>
        <v>54</v>
      </c>
      <c r="N38" s="887"/>
      <c r="O38" s="887"/>
      <c r="P38" s="887"/>
      <c r="Q38" s="887"/>
      <c r="R38" s="887"/>
      <c r="S38" s="887"/>
      <c r="T38" s="887"/>
      <c r="U38" s="889">
        <f t="shared" si="7"/>
        <v>0</v>
      </c>
      <c r="V38" s="887"/>
      <c r="W38" s="887"/>
      <c r="X38" s="887"/>
      <c r="Y38" s="887"/>
      <c r="Z38" s="887"/>
      <c r="AA38" s="887"/>
      <c r="AB38" s="887"/>
      <c r="AC38" s="890">
        <f t="shared" si="8"/>
        <v>0</v>
      </c>
      <c r="AD38" s="887"/>
      <c r="AE38" s="887"/>
      <c r="AF38" s="887"/>
      <c r="AG38" s="887"/>
      <c r="AH38" s="887"/>
      <c r="AI38" s="887"/>
      <c r="AJ38" s="887"/>
      <c r="AK38" s="888">
        <f t="shared" si="9"/>
        <v>0</v>
      </c>
      <c r="AL38" s="891">
        <f t="shared" si="10"/>
        <v>1</v>
      </c>
      <c r="AM38" s="891">
        <f t="shared" si="11"/>
        <v>1</v>
      </c>
      <c r="AN38" s="891">
        <f t="shared" si="12"/>
        <v>2</v>
      </c>
      <c r="AO38" s="891">
        <f t="shared" si="13"/>
        <v>1</v>
      </c>
      <c r="AP38" s="891">
        <f t="shared" si="14"/>
        <v>0</v>
      </c>
      <c r="AQ38" s="891">
        <f t="shared" si="15"/>
        <v>2</v>
      </c>
      <c r="AR38" s="891">
        <f t="shared" si="16"/>
        <v>0</v>
      </c>
      <c r="AS38" s="891">
        <f t="shared" si="17"/>
        <v>7</v>
      </c>
      <c r="AT38" s="891">
        <f t="shared" si="18"/>
        <v>0</v>
      </c>
      <c r="AU38" s="891">
        <f t="shared" si="19"/>
        <v>0</v>
      </c>
      <c r="AV38" s="891">
        <f t="shared" si="20"/>
        <v>0</v>
      </c>
      <c r="AW38" s="891">
        <f t="shared" si="21"/>
        <v>0</v>
      </c>
      <c r="AX38" s="891">
        <f t="shared" si="22"/>
        <v>0</v>
      </c>
      <c r="AY38" s="891">
        <f t="shared" si="23"/>
        <v>0</v>
      </c>
      <c r="AZ38" s="891">
        <f t="shared" si="24"/>
        <v>0</v>
      </c>
      <c r="BA38" s="891">
        <f t="shared" si="25"/>
        <v>0</v>
      </c>
      <c r="BB38" s="888" t="str">
        <f t="shared" si="26"/>
        <v>C</v>
      </c>
      <c r="BC38" s="888" t="str">
        <f t="shared" si="27"/>
        <v>D</v>
      </c>
      <c r="BD38" s="888" t="str">
        <f t="shared" si="28"/>
        <v>B</v>
      </c>
      <c r="BE38" s="888" t="str">
        <f t="shared" si="29"/>
        <v>C</v>
      </c>
      <c r="BF38" s="888" t="str">
        <f t="shared" si="30"/>
        <v/>
      </c>
      <c r="BG38" s="888" t="str">
        <f t="shared" si="31"/>
        <v>B</v>
      </c>
      <c r="BH38" s="888" t="str">
        <f t="shared" si="32"/>
        <v/>
      </c>
      <c r="BI38" s="888" t="str">
        <f t="shared" si="33"/>
        <v>C</v>
      </c>
      <c r="BJ38" s="889" t="str">
        <f t="shared" si="34"/>
        <v/>
      </c>
      <c r="BK38" s="889" t="str">
        <f t="shared" si="35"/>
        <v/>
      </c>
      <c r="BL38" s="889" t="str">
        <f t="shared" si="36"/>
        <v/>
      </c>
      <c r="BM38" s="889" t="str">
        <f t="shared" si="37"/>
        <v/>
      </c>
      <c r="BN38" s="889" t="str">
        <f t="shared" si="38"/>
        <v/>
      </c>
      <c r="BO38" s="889" t="str">
        <f t="shared" si="39"/>
        <v/>
      </c>
      <c r="BP38" s="889" t="str">
        <f t="shared" si="40"/>
        <v/>
      </c>
      <c r="BQ38" s="889" t="str">
        <f t="shared" si="41"/>
        <v>Ab</v>
      </c>
      <c r="BR38" s="890" t="str">
        <f t="shared" si="42"/>
        <v/>
      </c>
      <c r="BS38" s="890" t="str">
        <f t="shared" si="43"/>
        <v/>
      </c>
      <c r="BT38" s="890" t="str">
        <f t="shared" si="44"/>
        <v/>
      </c>
      <c r="BU38" s="890" t="str">
        <f t="shared" si="45"/>
        <v/>
      </c>
      <c r="BV38" s="890" t="str">
        <f t="shared" si="46"/>
        <v/>
      </c>
      <c r="BW38" s="890" t="str">
        <f t="shared" si="47"/>
        <v/>
      </c>
      <c r="BX38" s="890" t="str">
        <f t="shared" si="48"/>
        <v/>
      </c>
      <c r="BY38" s="890" t="str">
        <f t="shared" si="49"/>
        <v>Ab</v>
      </c>
      <c r="BZ38" s="888" t="str">
        <f t="shared" si="50"/>
        <v/>
      </c>
      <c r="CA38" s="888" t="str">
        <f t="shared" si="51"/>
        <v/>
      </c>
      <c r="CB38" s="888" t="str">
        <f t="shared" si="52"/>
        <v/>
      </c>
      <c r="CC38" s="888" t="str">
        <f t="shared" si="53"/>
        <v/>
      </c>
      <c r="CD38" s="888" t="str">
        <f t="shared" si="54"/>
        <v/>
      </c>
      <c r="CE38" s="888" t="str">
        <f t="shared" si="55"/>
        <v/>
      </c>
      <c r="CF38" s="888" t="str">
        <f t="shared" si="56"/>
        <v/>
      </c>
      <c r="CG38" s="888" t="str">
        <f t="shared" si="57"/>
        <v>Ab</v>
      </c>
      <c r="CH38" s="887">
        <v>74</v>
      </c>
      <c r="CI38" s="899"/>
      <c r="CJ38" s="900"/>
    </row>
    <row r="39" spans="1:88">
      <c r="A39" s="879">
        <v>36</v>
      </c>
      <c r="B39" s="879">
        <f>STUDENT!F37</f>
        <v>15143</v>
      </c>
      <c r="C39" s="879">
        <f>STUDENT!D37</f>
        <v>20250310265</v>
      </c>
      <c r="D39" s="886" t="str">
        <f>STUDENT!E37</f>
        <v>JITENDRA</v>
      </c>
      <c r="E39" s="886" t="str">
        <f>STUDENT!H37</f>
        <v>RAM SUMAR</v>
      </c>
      <c r="F39" s="887">
        <v>12</v>
      </c>
      <c r="G39" s="887">
        <v>10</v>
      </c>
      <c r="H39" s="887">
        <v>11</v>
      </c>
      <c r="I39" s="887">
        <v>11</v>
      </c>
      <c r="J39" s="887"/>
      <c r="K39" s="887">
        <v>4</v>
      </c>
      <c r="L39" s="887"/>
      <c r="M39" s="888">
        <f t="shared" si="6"/>
        <v>48</v>
      </c>
      <c r="N39" s="887"/>
      <c r="O39" s="887"/>
      <c r="P39" s="887"/>
      <c r="Q39" s="887"/>
      <c r="R39" s="887"/>
      <c r="S39" s="887"/>
      <c r="T39" s="887"/>
      <c r="U39" s="889">
        <f t="shared" si="7"/>
        <v>0</v>
      </c>
      <c r="V39" s="887"/>
      <c r="W39" s="887"/>
      <c r="X39" s="887"/>
      <c r="Y39" s="887"/>
      <c r="Z39" s="887"/>
      <c r="AA39" s="887"/>
      <c r="AB39" s="887"/>
      <c r="AC39" s="890">
        <f t="shared" si="8"/>
        <v>0</v>
      </c>
      <c r="AD39" s="887"/>
      <c r="AE39" s="887"/>
      <c r="AF39" s="887"/>
      <c r="AG39" s="887"/>
      <c r="AH39" s="887"/>
      <c r="AI39" s="887"/>
      <c r="AJ39" s="887"/>
      <c r="AK39" s="888">
        <f t="shared" si="9"/>
        <v>0</v>
      </c>
      <c r="AL39" s="891">
        <f t="shared" si="10"/>
        <v>2</v>
      </c>
      <c r="AM39" s="891">
        <f t="shared" si="11"/>
        <v>1</v>
      </c>
      <c r="AN39" s="891">
        <f t="shared" si="12"/>
        <v>1</v>
      </c>
      <c r="AO39" s="891">
        <f t="shared" si="13"/>
        <v>1</v>
      </c>
      <c r="AP39" s="891">
        <f t="shared" si="14"/>
        <v>0</v>
      </c>
      <c r="AQ39" s="891">
        <f t="shared" si="15"/>
        <v>1</v>
      </c>
      <c r="AR39" s="891">
        <f t="shared" si="16"/>
        <v>0</v>
      </c>
      <c r="AS39" s="891">
        <f t="shared" si="17"/>
        <v>6</v>
      </c>
      <c r="AT39" s="891">
        <f t="shared" si="18"/>
        <v>0</v>
      </c>
      <c r="AU39" s="891">
        <f t="shared" si="19"/>
        <v>0</v>
      </c>
      <c r="AV39" s="891">
        <f t="shared" si="20"/>
        <v>0</v>
      </c>
      <c r="AW39" s="891">
        <f t="shared" si="21"/>
        <v>0</v>
      </c>
      <c r="AX39" s="891">
        <f t="shared" si="22"/>
        <v>0</v>
      </c>
      <c r="AY39" s="891">
        <f t="shared" si="23"/>
        <v>0</v>
      </c>
      <c r="AZ39" s="891">
        <f t="shared" si="24"/>
        <v>0</v>
      </c>
      <c r="BA39" s="891">
        <f t="shared" si="25"/>
        <v>0</v>
      </c>
      <c r="BB39" s="888" t="str">
        <f t="shared" si="26"/>
        <v>B</v>
      </c>
      <c r="BC39" s="888" t="str">
        <f t="shared" si="27"/>
        <v>C</v>
      </c>
      <c r="BD39" s="888" t="str">
        <f t="shared" si="28"/>
        <v>C</v>
      </c>
      <c r="BE39" s="888" t="str">
        <f t="shared" si="29"/>
        <v>C</v>
      </c>
      <c r="BF39" s="888" t="str">
        <f t="shared" si="30"/>
        <v/>
      </c>
      <c r="BG39" s="888" t="str">
        <f t="shared" si="31"/>
        <v>E</v>
      </c>
      <c r="BH39" s="888" t="str">
        <f t="shared" si="32"/>
        <v/>
      </c>
      <c r="BI39" s="888" t="str">
        <f t="shared" si="33"/>
        <v>C</v>
      </c>
      <c r="BJ39" s="889" t="str">
        <f t="shared" si="34"/>
        <v/>
      </c>
      <c r="BK39" s="889" t="str">
        <f t="shared" si="35"/>
        <v/>
      </c>
      <c r="BL39" s="889" t="str">
        <f t="shared" si="36"/>
        <v/>
      </c>
      <c r="BM39" s="889" t="str">
        <f t="shared" si="37"/>
        <v/>
      </c>
      <c r="BN39" s="889" t="str">
        <f t="shared" si="38"/>
        <v/>
      </c>
      <c r="BO39" s="889" t="str">
        <f t="shared" si="39"/>
        <v/>
      </c>
      <c r="BP39" s="889" t="str">
        <f t="shared" si="40"/>
        <v/>
      </c>
      <c r="BQ39" s="889" t="str">
        <f t="shared" si="41"/>
        <v>Ab</v>
      </c>
      <c r="BR39" s="890" t="str">
        <f t="shared" si="42"/>
        <v/>
      </c>
      <c r="BS39" s="890" t="str">
        <f t="shared" si="43"/>
        <v/>
      </c>
      <c r="BT39" s="890" t="str">
        <f t="shared" si="44"/>
        <v/>
      </c>
      <c r="BU39" s="890" t="str">
        <f t="shared" si="45"/>
        <v/>
      </c>
      <c r="BV39" s="890" t="str">
        <f t="shared" si="46"/>
        <v/>
      </c>
      <c r="BW39" s="890" t="str">
        <f t="shared" si="47"/>
        <v/>
      </c>
      <c r="BX39" s="890" t="str">
        <f t="shared" si="48"/>
        <v/>
      </c>
      <c r="BY39" s="890" t="str">
        <f t="shared" si="49"/>
        <v>Ab</v>
      </c>
      <c r="BZ39" s="888" t="str">
        <f t="shared" si="50"/>
        <v/>
      </c>
      <c r="CA39" s="888" t="str">
        <f t="shared" si="51"/>
        <v/>
      </c>
      <c r="CB39" s="888" t="str">
        <f t="shared" si="52"/>
        <v/>
      </c>
      <c r="CC39" s="888" t="str">
        <f t="shared" si="53"/>
        <v/>
      </c>
      <c r="CD39" s="888" t="str">
        <f t="shared" si="54"/>
        <v/>
      </c>
      <c r="CE39" s="888" t="str">
        <f t="shared" si="55"/>
        <v/>
      </c>
      <c r="CF39" s="888" t="str">
        <f t="shared" si="56"/>
        <v/>
      </c>
      <c r="CG39" s="888" t="str">
        <f t="shared" si="57"/>
        <v>Ab</v>
      </c>
      <c r="CH39" s="887">
        <v>67</v>
      </c>
      <c r="CI39" s="899"/>
      <c r="CJ39" s="900"/>
    </row>
    <row r="40" spans="1:88">
      <c r="A40" s="879">
        <v>37</v>
      </c>
      <c r="B40" s="879">
        <f>STUDENT!F38</f>
        <v>15144</v>
      </c>
      <c r="C40" s="879">
        <f>STUDENT!D38</f>
        <v>20250310269</v>
      </c>
      <c r="D40" s="886" t="str">
        <f>STUDENT!E38</f>
        <v>MOHD AYAN</v>
      </c>
      <c r="E40" s="886" t="str">
        <f>STUDENT!H38</f>
        <v>BUDHAN MIYAN</v>
      </c>
      <c r="F40" s="887" t="s">
        <v>101</v>
      </c>
      <c r="G40" s="887" t="s">
        <v>101</v>
      </c>
      <c r="H40" s="887" t="s">
        <v>101</v>
      </c>
      <c r="I40" s="887" t="s">
        <v>101</v>
      </c>
      <c r="J40" s="887"/>
      <c r="K40" s="887" t="s">
        <v>101</v>
      </c>
      <c r="L40" s="887"/>
      <c r="M40" s="888">
        <f t="shared" si="6"/>
        <v>0</v>
      </c>
      <c r="N40" s="887"/>
      <c r="O40" s="887"/>
      <c r="P40" s="887"/>
      <c r="Q40" s="887"/>
      <c r="R40" s="887"/>
      <c r="S40" s="887"/>
      <c r="T40" s="887"/>
      <c r="U40" s="889">
        <f t="shared" si="7"/>
        <v>0</v>
      </c>
      <c r="V40" s="887"/>
      <c r="W40" s="887"/>
      <c r="X40" s="887"/>
      <c r="Y40" s="887"/>
      <c r="Z40" s="887"/>
      <c r="AA40" s="887"/>
      <c r="AB40" s="887"/>
      <c r="AC40" s="890">
        <f t="shared" si="8"/>
        <v>0</v>
      </c>
      <c r="AD40" s="887"/>
      <c r="AE40" s="887"/>
      <c r="AF40" s="887"/>
      <c r="AG40" s="887"/>
      <c r="AH40" s="887"/>
      <c r="AI40" s="887"/>
      <c r="AJ40" s="887"/>
      <c r="AK40" s="888">
        <f t="shared" si="9"/>
        <v>0</v>
      </c>
      <c r="AL40" s="891">
        <f t="shared" si="10"/>
        <v>0</v>
      </c>
      <c r="AM40" s="891">
        <f t="shared" si="11"/>
        <v>0</v>
      </c>
      <c r="AN40" s="891">
        <f t="shared" si="12"/>
        <v>0</v>
      </c>
      <c r="AO40" s="891">
        <f t="shared" si="13"/>
        <v>0</v>
      </c>
      <c r="AP40" s="891">
        <f t="shared" si="14"/>
        <v>0</v>
      </c>
      <c r="AQ40" s="891">
        <f t="shared" si="15"/>
        <v>0</v>
      </c>
      <c r="AR40" s="891">
        <f t="shared" si="16"/>
        <v>0</v>
      </c>
      <c r="AS40" s="891">
        <f t="shared" si="17"/>
        <v>0</v>
      </c>
      <c r="AT40" s="891">
        <f t="shared" si="18"/>
        <v>0</v>
      </c>
      <c r="AU40" s="891">
        <f t="shared" si="19"/>
        <v>0</v>
      </c>
      <c r="AV40" s="891">
        <f t="shared" si="20"/>
        <v>0</v>
      </c>
      <c r="AW40" s="891">
        <f t="shared" si="21"/>
        <v>0</v>
      </c>
      <c r="AX40" s="891">
        <f t="shared" si="22"/>
        <v>0</v>
      </c>
      <c r="AY40" s="891">
        <f t="shared" si="23"/>
        <v>0</v>
      </c>
      <c r="AZ40" s="891">
        <f t="shared" si="24"/>
        <v>0</v>
      </c>
      <c r="BA40" s="891">
        <f t="shared" si="25"/>
        <v>0</v>
      </c>
      <c r="BB40" s="888" t="str">
        <f t="shared" si="26"/>
        <v>Ab</v>
      </c>
      <c r="BC40" s="888" t="str">
        <f t="shared" si="27"/>
        <v>Ab</v>
      </c>
      <c r="BD40" s="888" t="str">
        <f t="shared" si="28"/>
        <v>Ab</v>
      </c>
      <c r="BE40" s="888" t="str">
        <f t="shared" si="29"/>
        <v>Ab</v>
      </c>
      <c r="BF40" s="888" t="str">
        <f t="shared" si="30"/>
        <v/>
      </c>
      <c r="BG40" s="888" t="str">
        <f t="shared" si="31"/>
        <v>Ab</v>
      </c>
      <c r="BH40" s="888" t="str">
        <f t="shared" si="32"/>
        <v/>
      </c>
      <c r="BI40" s="888" t="str">
        <f t="shared" si="33"/>
        <v>Ab</v>
      </c>
      <c r="BJ40" s="889" t="str">
        <f t="shared" si="34"/>
        <v/>
      </c>
      <c r="BK40" s="889" t="str">
        <f t="shared" si="35"/>
        <v/>
      </c>
      <c r="BL40" s="889" t="str">
        <f t="shared" si="36"/>
        <v/>
      </c>
      <c r="BM40" s="889" t="str">
        <f t="shared" si="37"/>
        <v/>
      </c>
      <c r="BN40" s="889" t="str">
        <f t="shared" si="38"/>
        <v/>
      </c>
      <c r="BO40" s="889" t="str">
        <f t="shared" si="39"/>
        <v/>
      </c>
      <c r="BP40" s="889" t="str">
        <f t="shared" si="40"/>
        <v/>
      </c>
      <c r="BQ40" s="889" t="str">
        <f t="shared" si="41"/>
        <v>Ab</v>
      </c>
      <c r="BR40" s="890" t="str">
        <f t="shared" si="42"/>
        <v/>
      </c>
      <c r="BS40" s="890" t="str">
        <f t="shared" si="43"/>
        <v/>
      </c>
      <c r="BT40" s="890" t="str">
        <f t="shared" si="44"/>
        <v/>
      </c>
      <c r="BU40" s="890" t="str">
        <f t="shared" si="45"/>
        <v/>
      </c>
      <c r="BV40" s="890" t="str">
        <f t="shared" si="46"/>
        <v/>
      </c>
      <c r="BW40" s="890" t="str">
        <f t="shared" si="47"/>
        <v/>
      </c>
      <c r="BX40" s="890" t="str">
        <f t="shared" si="48"/>
        <v/>
      </c>
      <c r="BY40" s="890" t="str">
        <f t="shared" si="49"/>
        <v>Ab</v>
      </c>
      <c r="BZ40" s="888" t="str">
        <f t="shared" si="50"/>
        <v/>
      </c>
      <c r="CA40" s="888" t="str">
        <f t="shared" si="51"/>
        <v/>
      </c>
      <c r="CB40" s="888" t="str">
        <f t="shared" si="52"/>
        <v/>
      </c>
      <c r="CC40" s="888" t="str">
        <f t="shared" si="53"/>
        <v/>
      </c>
      <c r="CD40" s="888" t="str">
        <f t="shared" si="54"/>
        <v/>
      </c>
      <c r="CE40" s="888" t="str">
        <f t="shared" si="55"/>
        <v/>
      </c>
      <c r="CF40" s="888" t="str">
        <f t="shared" si="56"/>
        <v/>
      </c>
      <c r="CG40" s="888" t="str">
        <f t="shared" si="57"/>
        <v>Ab</v>
      </c>
      <c r="CH40" s="887">
        <v>53</v>
      </c>
      <c r="CI40" s="899"/>
      <c r="CJ40" s="900"/>
    </row>
    <row r="41" spans="1:88">
      <c r="A41" s="879">
        <v>38</v>
      </c>
      <c r="B41" s="879">
        <f>STUDENT!F39</f>
        <v>15145</v>
      </c>
      <c r="C41" s="879">
        <f>STUDENT!D39</f>
        <v>20250310277</v>
      </c>
      <c r="D41" s="886" t="str">
        <f>STUDENT!E39</f>
        <v>RAJA KUMAR</v>
      </c>
      <c r="E41" s="886" t="str">
        <f>STUDENT!H39</f>
        <v>AMAR PODDAR</v>
      </c>
      <c r="F41" s="887" t="s">
        <v>101</v>
      </c>
      <c r="G41" s="887" t="s">
        <v>101</v>
      </c>
      <c r="H41" s="887" t="s">
        <v>101</v>
      </c>
      <c r="I41" s="887" t="s">
        <v>101</v>
      </c>
      <c r="J41" s="887"/>
      <c r="K41" s="887" t="s">
        <v>101</v>
      </c>
      <c r="L41" s="887"/>
      <c r="M41" s="888">
        <f t="shared" si="6"/>
        <v>0</v>
      </c>
      <c r="N41" s="887"/>
      <c r="O41" s="887"/>
      <c r="P41" s="887"/>
      <c r="Q41" s="887"/>
      <c r="R41" s="887"/>
      <c r="S41" s="887"/>
      <c r="T41" s="887"/>
      <c r="U41" s="889">
        <f t="shared" si="7"/>
        <v>0</v>
      </c>
      <c r="V41" s="887"/>
      <c r="W41" s="887"/>
      <c r="X41" s="887"/>
      <c r="Y41" s="887"/>
      <c r="Z41" s="887"/>
      <c r="AA41" s="887"/>
      <c r="AB41" s="887"/>
      <c r="AC41" s="890">
        <f t="shared" si="8"/>
        <v>0</v>
      </c>
      <c r="AD41" s="887"/>
      <c r="AE41" s="887"/>
      <c r="AF41" s="887"/>
      <c r="AG41" s="887"/>
      <c r="AH41" s="887"/>
      <c r="AI41" s="887"/>
      <c r="AJ41" s="887"/>
      <c r="AK41" s="888">
        <f t="shared" si="9"/>
        <v>0</v>
      </c>
      <c r="AL41" s="891">
        <f t="shared" si="10"/>
        <v>0</v>
      </c>
      <c r="AM41" s="891">
        <f t="shared" si="11"/>
        <v>0</v>
      </c>
      <c r="AN41" s="891">
        <f t="shared" si="12"/>
        <v>0</v>
      </c>
      <c r="AO41" s="891">
        <f t="shared" si="13"/>
        <v>0</v>
      </c>
      <c r="AP41" s="891">
        <f t="shared" si="14"/>
        <v>0</v>
      </c>
      <c r="AQ41" s="891">
        <f t="shared" si="15"/>
        <v>0</v>
      </c>
      <c r="AR41" s="891">
        <f t="shared" si="16"/>
        <v>0</v>
      </c>
      <c r="AS41" s="891">
        <f t="shared" si="17"/>
        <v>0</v>
      </c>
      <c r="AT41" s="891">
        <f t="shared" si="18"/>
        <v>0</v>
      </c>
      <c r="AU41" s="891">
        <f t="shared" si="19"/>
        <v>0</v>
      </c>
      <c r="AV41" s="891">
        <f t="shared" si="20"/>
        <v>0</v>
      </c>
      <c r="AW41" s="891">
        <f t="shared" si="21"/>
        <v>0</v>
      </c>
      <c r="AX41" s="891">
        <f t="shared" si="22"/>
        <v>0</v>
      </c>
      <c r="AY41" s="891">
        <f t="shared" si="23"/>
        <v>0</v>
      </c>
      <c r="AZ41" s="891">
        <f t="shared" si="24"/>
        <v>0</v>
      </c>
      <c r="BA41" s="891">
        <f t="shared" si="25"/>
        <v>0</v>
      </c>
      <c r="BB41" s="888" t="str">
        <f t="shared" si="26"/>
        <v>Ab</v>
      </c>
      <c r="BC41" s="888" t="str">
        <f t="shared" si="27"/>
        <v>Ab</v>
      </c>
      <c r="BD41" s="888" t="str">
        <f t="shared" si="28"/>
        <v>Ab</v>
      </c>
      <c r="BE41" s="888" t="str">
        <f t="shared" si="29"/>
        <v>Ab</v>
      </c>
      <c r="BF41" s="888" t="str">
        <f t="shared" si="30"/>
        <v/>
      </c>
      <c r="BG41" s="888" t="str">
        <f t="shared" si="31"/>
        <v>Ab</v>
      </c>
      <c r="BH41" s="888" t="str">
        <f t="shared" si="32"/>
        <v/>
      </c>
      <c r="BI41" s="888" t="str">
        <f t="shared" si="33"/>
        <v>Ab</v>
      </c>
      <c r="BJ41" s="889" t="str">
        <f t="shared" si="34"/>
        <v/>
      </c>
      <c r="BK41" s="889" t="str">
        <f t="shared" si="35"/>
        <v/>
      </c>
      <c r="BL41" s="889" t="str">
        <f t="shared" si="36"/>
        <v/>
      </c>
      <c r="BM41" s="889" t="str">
        <f t="shared" si="37"/>
        <v/>
      </c>
      <c r="BN41" s="889" t="str">
        <f t="shared" si="38"/>
        <v/>
      </c>
      <c r="BO41" s="889" t="str">
        <f t="shared" si="39"/>
        <v/>
      </c>
      <c r="BP41" s="889" t="str">
        <f t="shared" si="40"/>
        <v/>
      </c>
      <c r="BQ41" s="889" t="str">
        <f t="shared" si="41"/>
        <v>Ab</v>
      </c>
      <c r="BR41" s="890" t="str">
        <f t="shared" si="42"/>
        <v/>
      </c>
      <c r="BS41" s="890" t="str">
        <f t="shared" si="43"/>
        <v/>
      </c>
      <c r="BT41" s="890" t="str">
        <f t="shared" si="44"/>
        <v/>
      </c>
      <c r="BU41" s="890" t="str">
        <f t="shared" si="45"/>
        <v/>
      </c>
      <c r="BV41" s="890" t="str">
        <f t="shared" si="46"/>
        <v/>
      </c>
      <c r="BW41" s="890" t="str">
        <f t="shared" si="47"/>
        <v/>
      </c>
      <c r="BX41" s="890" t="str">
        <f t="shared" si="48"/>
        <v/>
      </c>
      <c r="BY41" s="890" t="str">
        <f t="shared" si="49"/>
        <v>Ab</v>
      </c>
      <c r="BZ41" s="888" t="str">
        <f t="shared" si="50"/>
        <v/>
      </c>
      <c r="CA41" s="888" t="str">
        <f t="shared" si="51"/>
        <v/>
      </c>
      <c r="CB41" s="888" t="str">
        <f t="shared" si="52"/>
        <v/>
      </c>
      <c r="CC41" s="888" t="str">
        <f t="shared" si="53"/>
        <v/>
      </c>
      <c r="CD41" s="888" t="str">
        <f t="shared" si="54"/>
        <v/>
      </c>
      <c r="CE41" s="888" t="str">
        <f t="shared" si="55"/>
        <v/>
      </c>
      <c r="CF41" s="888" t="str">
        <f t="shared" si="56"/>
        <v/>
      </c>
      <c r="CG41" s="888" t="str">
        <f t="shared" si="57"/>
        <v>Ab</v>
      </c>
      <c r="CH41" s="887">
        <v>49</v>
      </c>
      <c r="CI41" s="899"/>
      <c r="CJ41" s="900"/>
    </row>
    <row r="42" spans="1:88">
      <c r="A42" s="879">
        <v>39</v>
      </c>
      <c r="B42" s="879">
        <f>STUDENT!F40</f>
        <v>15149</v>
      </c>
      <c r="C42" s="879">
        <f>STUDENT!D40</f>
        <v>20250325088</v>
      </c>
      <c r="D42" s="886" t="str">
        <f>STUDENT!E40</f>
        <v>LOVECESH KUMAR</v>
      </c>
      <c r="E42" s="886" t="str">
        <f>STUDENT!H40</f>
        <v>SANDEEP KUMAR</v>
      </c>
      <c r="F42" s="887" t="s">
        <v>101</v>
      </c>
      <c r="G42" s="887" t="s">
        <v>101</v>
      </c>
      <c r="H42" s="887" t="s">
        <v>101</v>
      </c>
      <c r="I42" s="887" t="s">
        <v>101</v>
      </c>
      <c r="J42" s="887"/>
      <c r="K42" s="887" t="s">
        <v>101</v>
      </c>
      <c r="L42" s="887"/>
      <c r="M42" s="888">
        <f t="shared" si="6"/>
        <v>0</v>
      </c>
      <c r="N42" s="887"/>
      <c r="O42" s="887"/>
      <c r="P42" s="887"/>
      <c r="Q42" s="887"/>
      <c r="R42" s="887"/>
      <c r="S42" s="887"/>
      <c r="T42" s="887"/>
      <c r="U42" s="889">
        <f t="shared" si="7"/>
        <v>0</v>
      </c>
      <c r="V42" s="887"/>
      <c r="W42" s="887"/>
      <c r="X42" s="887"/>
      <c r="Y42" s="887"/>
      <c r="Z42" s="887"/>
      <c r="AA42" s="887"/>
      <c r="AB42" s="887"/>
      <c r="AC42" s="890">
        <f t="shared" si="8"/>
        <v>0</v>
      </c>
      <c r="AD42" s="887"/>
      <c r="AE42" s="887"/>
      <c r="AF42" s="887"/>
      <c r="AG42" s="887"/>
      <c r="AH42" s="887"/>
      <c r="AI42" s="887"/>
      <c r="AJ42" s="887"/>
      <c r="AK42" s="888">
        <f t="shared" si="9"/>
        <v>0</v>
      </c>
      <c r="AL42" s="891">
        <f t="shared" si="10"/>
        <v>0</v>
      </c>
      <c r="AM42" s="891">
        <f t="shared" si="11"/>
        <v>0</v>
      </c>
      <c r="AN42" s="891">
        <f t="shared" si="12"/>
        <v>0</v>
      </c>
      <c r="AO42" s="891">
        <f t="shared" si="13"/>
        <v>0</v>
      </c>
      <c r="AP42" s="891">
        <f t="shared" si="14"/>
        <v>0</v>
      </c>
      <c r="AQ42" s="891">
        <f t="shared" si="15"/>
        <v>0</v>
      </c>
      <c r="AR42" s="891">
        <f t="shared" si="16"/>
        <v>0</v>
      </c>
      <c r="AS42" s="891">
        <f t="shared" si="17"/>
        <v>0</v>
      </c>
      <c r="AT42" s="891">
        <f t="shared" si="18"/>
        <v>0</v>
      </c>
      <c r="AU42" s="891">
        <f t="shared" si="19"/>
        <v>0</v>
      </c>
      <c r="AV42" s="891">
        <f t="shared" si="20"/>
        <v>0</v>
      </c>
      <c r="AW42" s="891">
        <f t="shared" si="21"/>
        <v>0</v>
      </c>
      <c r="AX42" s="891">
        <f t="shared" si="22"/>
        <v>0</v>
      </c>
      <c r="AY42" s="891">
        <f t="shared" si="23"/>
        <v>0</v>
      </c>
      <c r="AZ42" s="891">
        <f t="shared" si="24"/>
        <v>0</v>
      </c>
      <c r="BA42" s="891">
        <f t="shared" si="25"/>
        <v>0</v>
      </c>
      <c r="BB42" s="888" t="str">
        <f t="shared" si="26"/>
        <v>Ab</v>
      </c>
      <c r="BC42" s="888" t="str">
        <f t="shared" si="27"/>
        <v>Ab</v>
      </c>
      <c r="BD42" s="888" t="str">
        <f t="shared" si="28"/>
        <v>Ab</v>
      </c>
      <c r="BE42" s="888" t="str">
        <f t="shared" si="29"/>
        <v>Ab</v>
      </c>
      <c r="BF42" s="888" t="str">
        <f t="shared" si="30"/>
        <v/>
      </c>
      <c r="BG42" s="888" t="str">
        <f t="shared" si="31"/>
        <v>Ab</v>
      </c>
      <c r="BH42" s="888" t="str">
        <f t="shared" si="32"/>
        <v/>
      </c>
      <c r="BI42" s="888" t="str">
        <f t="shared" si="33"/>
        <v>Ab</v>
      </c>
      <c r="BJ42" s="889" t="str">
        <f t="shared" si="34"/>
        <v/>
      </c>
      <c r="BK42" s="889" t="str">
        <f t="shared" si="35"/>
        <v/>
      </c>
      <c r="BL42" s="889" t="str">
        <f t="shared" si="36"/>
        <v/>
      </c>
      <c r="BM42" s="889" t="str">
        <f t="shared" si="37"/>
        <v/>
      </c>
      <c r="BN42" s="889" t="str">
        <f t="shared" si="38"/>
        <v/>
      </c>
      <c r="BO42" s="889" t="str">
        <f t="shared" si="39"/>
        <v/>
      </c>
      <c r="BP42" s="889" t="str">
        <f t="shared" si="40"/>
        <v/>
      </c>
      <c r="BQ42" s="889" t="str">
        <f t="shared" si="41"/>
        <v>Ab</v>
      </c>
      <c r="BR42" s="890" t="str">
        <f t="shared" si="42"/>
        <v/>
      </c>
      <c r="BS42" s="890" t="str">
        <f t="shared" si="43"/>
        <v/>
      </c>
      <c r="BT42" s="890" t="str">
        <f t="shared" si="44"/>
        <v/>
      </c>
      <c r="BU42" s="890" t="str">
        <f t="shared" si="45"/>
        <v/>
      </c>
      <c r="BV42" s="890" t="str">
        <f t="shared" si="46"/>
        <v/>
      </c>
      <c r="BW42" s="890" t="str">
        <f t="shared" si="47"/>
        <v/>
      </c>
      <c r="BX42" s="890" t="str">
        <f t="shared" si="48"/>
        <v/>
      </c>
      <c r="BY42" s="890" t="str">
        <f t="shared" si="49"/>
        <v>Ab</v>
      </c>
      <c r="BZ42" s="888" t="str">
        <f t="shared" si="50"/>
        <v/>
      </c>
      <c r="CA42" s="888" t="str">
        <f t="shared" si="51"/>
        <v/>
      </c>
      <c r="CB42" s="888" t="str">
        <f t="shared" si="52"/>
        <v/>
      </c>
      <c r="CC42" s="888" t="str">
        <f t="shared" si="53"/>
        <v/>
      </c>
      <c r="CD42" s="888" t="str">
        <f t="shared" si="54"/>
        <v/>
      </c>
      <c r="CE42" s="888" t="str">
        <f t="shared" si="55"/>
        <v/>
      </c>
      <c r="CF42" s="888" t="str">
        <f t="shared" si="56"/>
        <v/>
      </c>
      <c r="CG42" s="888" t="str">
        <f t="shared" si="57"/>
        <v>Ab</v>
      </c>
      <c r="CH42" s="887">
        <v>43</v>
      </c>
      <c r="CI42" s="899"/>
      <c r="CJ42" s="900"/>
    </row>
    <row r="43" spans="1:88">
      <c r="A43" s="879">
        <v>40</v>
      </c>
      <c r="B43" s="879">
        <f>STUDENT!F41</f>
        <v>0</v>
      </c>
      <c r="C43" s="879">
        <f>STUDENT!D41</f>
        <v>0</v>
      </c>
      <c r="D43" s="886">
        <f>STUDENT!E41</f>
        <v>0</v>
      </c>
      <c r="E43" s="886">
        <f>STUDENT!H41</f>
        <v>0</v>
      </c>
      <c r="F43" s="887"/>
      <c r="G43" s="887"/>
      <c r="H43" s="887"/>
      <c r="I43" s="887"/>
      <c r="J43" s="887"/>
      <c r="K43" s="887"/>
      <c r="L43" s="887"/>
      <c r="M43" s="888" t="str">
        <f t="shared" si="6"/>
        <v/>
      </c>
      <c r="N43" s="887"/>
      <c r="O43" s="887"/>
      <c r="P43" s="887"/>
      <c r="Q43" s="887"/>
      <c r="R43" s="887"/>
      <c r="S43" s="887"/>
      <c r="T43" s="887"/>
      <c r="U43" s="889" t="str">
        <f t="shared" si="7"/>
        <v/>
      </c>
      <c r="V43" s="887"/>
      <c r="W43" s="887"/>
      <c r="X43" s="887"/>
      <c r="Y43" s="887"/>
      <c r="Z43" s="887"/>
      <c r="AA43" s="887"/>
      <c r="AB43" s="887"/>
      <c r="AC43" s="890" t="str">
        <f t="shared" si="8"/>
        <v/>
      </c>
      <c r="AD43" s="887"/>
      <c r="AE43" s="887"/>
      <c r="AF43" s="887"/>
      <c r="AG43" s="887"/>
      <c r="AH43" s="887"/>
      <c r="AI43" s="887"/>
      <c r="AJ43" s="887"/>
      <c r="AK43" s="888" t="str">
        <f t="shared" si="9"/>
        <v/>
      </c>
      <c r="AL43" s="891">
        <f t="shared" si="10"/>
        <v>0</v>
      </c>
      <c r="AM43" s="891">
        <f t="shared" si="11"/>
        <v>0</v>
      </c>
      <c r="AN43" s="891">
        <f t="shared" si="12"/>
        <v>0</v>
      </c>
      <c r="AO43" s="891">
        <f t="shared" si="13"/>
        <v>0</v>
      </c>
      <c r="AP43" s="891">
        <f t="shared" si="14"/>
        <v>0</v>
      </c>
      <c r="AQ43" s="891">
        <f t="shared" si="15"/>
        <v>0</v>
      </c>
      <c r="AR43" s="891">
        <f t="shared" si="16"/>
        <v>0</v>
      </c>
      <c r="AS43" s="891">
        <f t="shared" si="17"/>
        <v>0</v>
      </c>
      <c r="AT43" s="891">
        <f t="shared" si="18"/>
        <v>0</v>
      </c>
      <c r="AU43" s="891">
        <f t="shared" si="19"/>
        <v>0</v>
      </c>
      <c r="AV43" s="891">
        <f t="shared" si="20"/>
        <v>0</v>
      </c>
      <c r="AW43" s="891">
        <f t="shared" si="21"/>
        <v>0</v>
      </c>
      <c r="AX43" s="891">
        <f t="shared" si="22"/>
        <v>0</v>
      </c>
      <c r="AY43" s="891">
        <f t="shared" si="23"/>
        <v>0</v>
      </c>
      <c r="AZ43" s="891">
        <f t="shared" si="24"/>
        <v>0</v>
      </c>
      <c r="BA43" s="891">
        <f t="shared" si="25"/>
        <v>0</v>
      </c>
      <c r="BB43" s="888" t="str">
        <f t="shared" si="26"/>
        <v/>
      </c>
      <c r="BC43" s="888" t="str">
        <f t="shared" si="27"/>
        <v/>
      </c>
      <c r="BD43" s="888" t="str">
        <f t="shared" si="28"/>
        <v/>
      </c>
      <c r="BE43" s="888" t="str">
        <f t="shared" si="29"/>
        <v/>
      </c>
      <c r="BF43" s="888" t="str">
        <f t="shared" si="30"/>
        <v/>
      </c>
      <c r="BG43" s="888" t="str">
        <f t="shared" si="31"/>
        <v/>
      </c>
      <c r="BH43" s="888" t="str">
        <f t="shared" si="32"/>
        <v/>
      </c>
      <c r="BI43" s="888" t="str">
        <f t="shared" si="33"/>
        <v/>
      </c>
      <c r="BJ43" s="889" t="str">
        <f t="shared" si="34"/>
        <v/>
      </c>
      <c r="BK43" s="889" t="str">
        <f t="shared" si="35"/>
        <v/>
      </c>
      <c r="BL43" s="889" t="str">
        <f t="shared" si="36"/>
        <v/>
      </c>
      <c r="BM43" s="889" t="str">
        <f t="shared" si="37"/>
        <v/>
      </c>
      <c r="BN43" s="889" t="str">
        <f t="shared" si="38"/>
        <v/>
      </c>
      <c r="BO43" s="889" t="str">
        <f t="shared" si="39"/>
        <v/>
      </c>
      <c r="BP43" s="889" t="str">
        <f t="shared" si="40"/>
        <v/>
      </c>
      <c r="BQ43" s="889" t="str">
        <f t="shared" si="41"/>
        <v/>
      </c>
      <c r="BR43" s="890" t="str">
        <f t="shared" si="42"/>
        <v/>
      </c>
      <c r="BS43" s="890" t="str">
        <f t="shared" si="43"/>
        <v/>
      </c>
      <c r="BT43" s="890" t="str">
        <f t="shared" si="44"/>
        <v/>
      </c>
      <c r="BU43" s="890" t="str">
        <f t="shared" si="45"/>
        <v/>
      </c>
      <c r="BV43" s="890" t="str">
        <f t="shared" si="46"/>
        <v/>
      </c>
      <c r="BW43" s="890" t="str">
        <f t="shared" si="47"/>
        <v/>
      </c>
      <c r="BX43" s="890" t="str">
        <f t="shared" si="48"/>
        <v/>
      </c>
      <c r="BY43" s="890" t="str">
        <f t="shared" si="49"/>
        <v/>
      </c>
      <c r="BZ43" s="888" t="str">
        <f t="shared" si="50"/>
        <v/>
      </c>
      <c r="CA43" s="888" t="str">
        <f t="shared" si="51"/>
        <v/>
      </c>
      <c r="CB43" s="888" t="str">
        <f t="shared" si="52"/>
        <v/>
      </c>
      <c r="CC43" s="888" t="str">
        <f t="shared" si="53"/>
        <v/>
      </c>
      <c r="CD43" s="888" t="str">
        <f t="shared" si="54"/>
        <v/>
      </c>
      <c r="CE43" s="888" t="str">
        <f t="shared" si="55"/>
        <v/>
      </c>
      <c r="CF43" s="888" t="str">
        <f t="shared" si="56"/>
        <v/>
      </c>
      <c r="CG43" s="888" t="str">
        <f t="shared" si="57"/>
        <v/>
      </c>
      <c r="CH43" s="887">
        <v>45</v>
      </c>
      <c r="CI43" s="899"/>
      <c r="CJ43" s="900"/>
    </row>
    <row r="44" spans="1:88">
      <c r="A44" s="879">
        <v>41</v>
      </c>
      <c r="B44" s="879">
        <f>STUDENT!F42</f>
        <v>0</v>
      </c>
      <c r="C44" s="879">
        <f>STUDENT!D42</f>
        <v>0</v>
      </c>
      <c r="D44" s="886">
        <f>STUDENT!E42</f>
        <v>0</v>
      </c>
      <c r="E44" s="886">
        <f>STUDENT!H42</f>
        <v>0</v>
      </c>
      <c r="F44" s="887"/>
      <c r="G44" s="887"/>
      <c r="H44" s="887"/>
      <c r="I44" s="887"/>
      <c r="J44" s="887"/>
      <c r="K44" s="887"/>
      <c r="L44" s="887"/>
      <c r="M44" s="888" t="str">
        <f t="shared" si="6"/>
        <v/>
      </c>
      <c r="N44" s="887"/>
      <c r="O44" s="887"/>
      <c r="P44" s="887"/>
      <c r="Q44" s="887"/>
      <c r="R44" s="887"/>
      <c r="S44" s="887"/>
      <c r="T44" s="887"/>
      <c r="U44" s="889" t="str">
        <f t="shared" si="7"/>
        <v/>
      </c>
      <c r="V44" s="887"/>
      <c r="W44" s="887"/>
      <c r="X44" s="887"/>
      <c r="Y44" s="887"/>
      <c r="Z44" s="887"/>
      <c r="AA44" s="887"/>
      <c r="AB44" s="887"/>
      <c r="AC44" s="890" t="str">
        <f t="shared" si="8"/>
        <v/>
      </c>
      <c r="AD44" s="887"/>
      <c r="AE44" s="887"/>
      <c r="AF44" s="887"/>
      <c r="AG44" s="887"/>
      <c r="AH44" s="887"/>
      <c r="AI44" s="887"/>
      <c r="AJ44" s="887"/>
      <c r="AK44" s="888" t="str">
        <f t="shared" si="9"/>
        <v/>
      </c>
      <c r="AL44" s="891">
        <f t="shared" si="10"/>
        <v>0</v>
      </c>
      <c r="AM44" s="891">
        <f t="shared" si="11"/>
        <v>0</v>
      </c>
      <c r="AN44" s="891">
        <f t="shared" si="12"/>
        <v>0</v>
      </c>
      <c r="AO44" s="891">
        <f t="shared" si="13"/>
        <v>0</v>
      </c>
      <c r="AP44" s="891">
        <f t="shared" si="14"/>
        <v>0</v>
      </c>
      <c r="AQ44" s="891">
        <f t="shared" si="15"/>
        <v>0</v>
      </c>
      <c r="AR44" s="891">
        <f t="shared" si="16"/>
        <v>0</v>
      </c>
      <c r="AS44" s="891">
        <f t="shared" si="17"/>
        <v>0</v>
      </c>
      <c r="AT44" s="891">
        <f t="shared" si="18"/>
        <v>0</v>
      </c>
      <c r="AU44" s="891">
        <f t="shared" si="19"/>
        <v>0</v>
      </c>
      <c r="AV44" s="891">
        <f t="shared" si="20"/>
        <v>0</v>
      </c>
      <c r="AW44" s="891">
        <f t="shared" si="21"/>
        <v>0</v>
      </c>
      <c r="AX44" s="891">
        <f t="shared" si="22"/>
        <v>0</v>
      </c>
      <c r="AY44" s="891">
        <f t="shared" si="23"/>
        <v>0</v>
      </c>
      <c r="AZ44" s="891">
        <f t="shared" si="24"/>
        <v>0</v>
      </c>
      <c r="BA44" s="891">
        <f t="shared" si="25"/>
        <v>0</v>
      </c>
      <c r="BB44" s="888" t="str">
        <f t="shared" si="26"/>
        <v/>
      </c>
      <c r="BC44" s="888" t="str">
        <f t="shared" si="27"/>
        <v/>
      </c>
      <c r="BD44" s="888" t="str">
        <f t="shared" si="28"/>
        <v/>
      </c>
      <c r="BE44" s="888" t="str">
        <f t="shared" si="29"/>
        <v/>
      </c>
      <c r="BF44" s="888" t="str">
        <f t="shared" si="30"/>
        <v/>
      </c>
      <c r="BG44" s="888" t="str">
        <f t="shared" si="31"/>
        <v/>
      </c>
      <c r="BH44" s="888" t="str">
        <f t="shared" si="32"/>
        <v/>
      </c>
      <c r="BI44" s="888" t="str">
        <f t="shared" si="33"/>
        <v/>
      </c>
      <c r="BJ44" s="889" t="str">
        <f t="shared" si="34"/>
        <v/>
      </c>
      <c r="BK44" s="889" t="str">
        <f t="shared" si="35"/>
        <v/>
      </c>
      <c r="BL44" s="889" t="str">
        <f t="shared" si="36"/>
        <v/>
      </c>
      <c r="BM44" s="889" t="str">
        <f t="shared" si="37"/>
        <v/>
      </c>
      <c r="BN44" s="889" t="str">
        <f t="shared" si="38"/>
        <v/>
      </c>
      <c r="BO44" s="889" t="str">
        <f t="shared" si="39"/>
        <v/>
      </c>
      <c r="BP44" s="889" t="str">
        <f t="shared" si="40"/>
        <v/>
      </c>
      <c r="BQ44" s="889" t="str">
        <f t="shared" si="41"/>
        <v/>
      </c>
      <c r="BR44" s="890" t="str">
        <f t="shared" si="42"/>
        <v/>
      </c>
      <c r="BS44" s="890" t="str">
        <f t="shared" si="43"/>
        <v/>
      </c>
      <c r="BT44" s="890" t="str">
        <f t="shared" si="44"/>
        <v/>
      </c>
      <c r="BU44" s="890" t="str">
        <f t="shared" si="45"/>
        <v/>
      </c>
      <c r="BV44" s="890" t="str">
        <f t="shared" si="46"/>
        <v/>
      </c>
      <c r="BW44" s="890" t="str">
        <f t="shared" si="47"/>
        <v/>
      </c>
      <c r="BX44" s="890" t="str">
        <f t="shared" si="48"/>
        <v/>
      </c>
      <c r="BY44" s="890" t="str">
        <f t="shared" si="49"/>
        <v/>
      </c>
      <c r="BZ44" s="888" t="str">
        <f t="shared" si="50"/>
        <v/>
      </c>
      <c r="CA44" s="888" t="str">
        <f t="shared" si="51"/>
        <v/>
      </c>
      <c r="CB44" s="888" t="str">
        <f t="shared" si="52"/>
        <v/>
      </c>
      <c r="CC44" s="888" t="str">
        <f t="shared" si="53"/>
        <v/>
      </c>
      <c r="CD44" s="888" t="str">
        <f t="shared" si="54"/>
        <v/>
      </c>
      <c r="CE44" s="888" t="str">
        <f t="shared" si="55"/>
        <v/>
      </c>
      <c r="CF44" s="888" t="str">
        <f t="shared" si="56"/>
        <v/>
      </c>
      <c r="CG44" s="888" t="str">
        <f t="shared" si="57"/>
        <v/>
      </c>
      <c r="CH44" s="887">
        <v>41</v>
      </c>
      <c r="CI44" s="899"/>
      <c r="CJ44" s="900"/>
    </row>
    <row r="45" spans="1:88">
      <c r="A45" s="879">
        <v>42</v>
      </c>
      <c r="B45" s="879">
        <f>STUDENT!F43</f>
        <v>0</v>
      </c>
      <c r="C45" s="879">
        <f>STUDENT!D43</f>
        <v>0</v>
      </c>
      <c r="D45" s="886">
        <f>STUDENT!E43</f>
        <v>0</v>
      </c>
      <c r="E45" s="886">
        <f>STUDENT!H43</f>
        <v>0</v>
      </c>
      <c r="F45" s="887"/>
      <c r="G45" s="887"/>
      <c r="H45" s="887"/>
      <c r="I45" s="887"/>
      <c r="J45" s="887"/>
      <c r="K45" s="887"/>
      <c r="L45" s="887"/>
      <c r="M45" s="888" t="str">
        <f t="shared" si="6"/>
        <v/>
      </c>
      <c r="N45" s="887"/>
      <c r="O45" s="887"/>
      <c r="P45" s="887"/>
      <c r="Q45" s="887"/>
      <c r="R45" s="887"/>
      <c r="S45" s="887"/>
      <c r="T45" s="887"/>
      <c r="U45" s="889" t="str">
        <f t="shared" si="7"/>
        <v/>
      </c>
      <c r="V45" s="887"/>
      <c r="W45" s="887"/>
      <c r="X45" s="887"/>
      <c r="Y45" s="887"/>
      <c r="Z45" s="887"/>
      <c r="AA45" s="887"/>
      <c r="AB45" s="887"/>
      <c r="AC45" s="890" t="str">
        <f t="shared" si="8"/>
        <v/>
      </c>
      <c r="AD45" s="887"/>
      <c r="AE45" s="887"/>
      <c r="AF45" s="887"/>
      <c r="AG45" s="887"/>
      <c r="AH45" s="887"/>
      <c r="AI45" s="887"/>
      <c r="AJ45" s="887"/>
      <c r="AK45" s="888" t="str">
        <f t="shared" si="9"/>
        <v/>
      </c>
      <c r="AL45" s="891">
        <f t="shared" si="10"/>
        <v>0</v>
      </c>
      <c r="AM45" s="891">
        <f t="shared" si="11"/>
        <v>0</v>
      </c>
      <c r="AN45" s="891">
        <f t="shared" si="12"/>
        <v>0</v>
      </c>
      <c r="AO45" s="891">
        <f t="shared" si="13"/>
        <v>0</v>
      </c>
      <c r="AP45" s="891">
        <f t="shared" si="14"/>
        <v>0</v>
      </c>
      <c r="AQ45" s="891">
        <f t="shared" si="15"/>
        <v>0</v>
      </c>
      <c r="AR45" s="891">
        <f t="shared" si="16"/>
        <v>0</v>
      </c>
      <c r="AS45" s="891">
        <f t="shared" si="17"/>
        <v>0</v>
      </c>
      <c r="AT45" s="891">
        <f t="shared" si="18"/>
        <v>0</v>
      </c>
      <c r="AU45" s="891">
        <f t="shared" si="19"/>
        <v>0</v>
      </c>
      <c r="AV45" s="891">
        <f t="shared" si="20"/>
        <v>0</v>
      </c>
      <c r="AW45" s="891">
        <f t="shared" si="21"/>
        <v>0</v>
      </c>
      <c r="AX45" s="891">
        <f t="shared" si="22"/>
        <v>0</v>
      </c>
      <c r="AY45" s="891">
        <f t="shared" si="23"/>
        <v>0</v>
      </c>
      <c r="AZ45" s="891">
        <f t="shared" si="24"/>
        <v>0</v>
      </c>
      <c r="BA45" s="891">
        <f t="shared" si="25"/>
        <v>0</v>
      </c>
      <c r="BB45" s="888" t="str">
        <f t="shared" si="26"/>
        <v/>
      </c>
      <c r="BC45" s="888" t="str">
        <f t="shared" si="27"/>
        <v/>
      </c>
      <c r="BD45" s="888" t="str">
        <f t="shared" si="28"/>
        <v/>
      </c>
      <c r="BE45" s="888" t="str">
        <f t="shared" si="29"/>
        <v/>
      </c>
      <c r="BF45" s="888" t="str">
        <f t="shared" si="30"/>
        <v/>
      </c>
      <c r="BG45" s="888" t="str">
        <f t="shared" si="31"/>
        <v/>
      </c>
      <c r="BH45" s="888" t="str">
        <f t="shared" si="32"/>
        <v/>
      </c>
      <c r="BI45" s="888" t="str">
        <f t="shared" si="33"/>
        <v/>
      </c>
      <c r="BJ45" s="889" t="str">
        <f t="shared" si="34"/>
        <v/>
      </c>
      <c r="BK45" s="889" t="str">
        <f t="shared" si="35"/>
        <v/>
      </c>
      <c r="BL45" s="889" t="str">
        <f t="shared" si="36"/>
        <v/>
      </c>
      <c r="BM45" s="889" t="str">
        <f t="shared" si="37"/>
        <v/>
      </c>
      <c r="BN45" s="889" t="str">
        <f t="shared" si="38"/>
        <v/>
      </c>
      <c r="BO45" s="889" t="str">
        <f t="shared" si="39"/>
        <v/>
      </c>
      <c r="BP45" s="889" t="str">
        <f t="shared" si="40"/>
        <v/>
      </c>
      <c r="BQ45" s="889" t="str">
        <f t="shared" si="41"/>
        <v/>
      </c>
      <c r="BR45" s="890" t="str">
        <f t="shared" si="42"/>
        <v/>
      </c>
      <c r="BS45" s="890" t="str">
        <f t="shared" si="43"/>
        <v/>
      </c>
      <c r="BT45" s="890" t="str">
        <f t="shared" si="44"/>
        <v/>
      </c>
      <c r="BU45" s="890" t="str">
        <f t="shared" si="45"/>
        <v/>
      </c>
      <c r="BV45" s="890" t="str">
        <f t="shared" si="46"/>
        <v/>
      </c>
      <c r="BW45" s="890" t="str">
        <f t="shared" si="47"/>
        <v/>
      </c>
      <c r="BX45" s="890" t="str">
        <f t="shared" si="48"/>
        <v/>
      </c>
      <c r="BY45" s="890" t="str">
        <f t="shared" si="49"/>
        <v/>
      </c>
      <c r="BZ45" s="888" t="str">
        <f t="shared" si="50"/>
        <v/>
      </c>
      <c r="CA45" s="888" t="str">
        <f t="shared" si="51"/>
        <v/>
      </c>
      <c r="CB45" s="888" t="str">
        <f t="shared" si="52"/>
        <v/>
      </c>
      <c r="CC45" s="888" t="str">
        <f t="shared" si="53"/>
        <v/>
      </c>
      <c r="CD45" s="888" t="str">
        <f t="shared" si="54"/>
        <v/>
      </c>
      <c r="CE45" s="888" t="str">
        <f t="shared" si="55"/>
        <v/>
      </c>
      <c r="CF45" s="888" t="str">
        <f t="shared" si="56"/>
        <v/>
      </c>
      <c r="CG45" s="888" t="str">
        <f t="shared" si="57"/>
        <v/>
      </c>
      <c r="CH45" s="887"/>
      <c r="CI45" s="899"/>
      <c r="CJ45" s="900"/>
    </row>
    <row r="46" spans="1:88">
      <c r="A46" s="879">
        <v>43</v>
      </c>
      <c r="B46" s="879">
        <f>STUDENT!F44</f>
        <v>0</v>
      </c>
      <c r="C46" s="879">
        <f>STUDENT!D44</f>
        <v>0</v>
      </c>
      <c r="D46" s="886">
        <f>STUDENT!E44</f>
        <v>0</v>
      </c>
      <c r="E46" s="886">
        <f>STUDENT!H44</f>
        <v>0</v>
      </c>
      <c r="F46" s="887"/>
      <c r="G46" s="887"/>
      <c r="H46" s="887"/>
      <c r="I46" s="887"/>
      <c r="J46" s="887"/>
      <c r="K46" s="887"/>
      <c r="L46" s="887"/>
      <c r="M46" s="888" t="str">
        <f t="shared" si="6"/>
        <v/>
      </c>
      <c r="N46" s="887"/>
      <c r="O46" s="887"/>
      <c r="P46" s="887"/>
      <c r="Q46" s="887"/>
      <c r="R46" s="887"/>
      <c r="S46" s="887"/>
      <c r="T46" s="887"/>
      <c r="U46" s="889" t="str">
        <f t="shared" si="7"/>
        <v/>
      </c>
      <c r="V46" s="887"/>
      <c r="W46" s="887"/>
      <c r="X46" s="887"/>
      <c r="Y46" s="887"/>
      <c r="Z46" s="887"/>
      <c r="AA46" s="887"/>
      <c r="AB46" s="887"/>
      <c r="AC46" s="890" t="str">
        <f t="shared" si="8"/>
        <v/>
      </c>
      <c r="AD46" s="887"/>
      <c r="AE46" s="887"/>
      <c r="AF46" s="887"/>
      <c r="AG46" s="887"/>
      <c r="AH46" s="887"/>
      <c r="AI46" s="887"/>
      <c r="AJ46" s="887"/>
      <c r="AK46" s="888" t="str">
        <f t="shared" si="9"/>
        <v/>
      </c>
      <c r="AL46" s="891">
        <f t="shared" si="10"/>
        <v>0</v>
      </c>
      <c r="AM46" s="891">
        <f t="shared" si="11"/>
        <v>0</v>
      </c>
      <c r="AN46" s="891">
        <f t="shared" si="12"/>
        <v>0</v>
      </c>
      <c r="AO46" s="891">
        <f t="shared" si="13"/>
        <v>0</v>
      </c>
      <c r="AP46" s="891">
        <f t="shared" si="14"/>
        <v>0</v>
      </c>
      <c r="AQ46" s="891">
        <f t="shared" si="15"/>
        <v>0</v>
      </c>
      <c r="AR46" s="891">
        <f t="shared" si="16"/>
        <v>0</v>
      </c>
      <c r="AS46" s="891">
        <f t="shared" si="17"/>
        <v>0</v>
      </c>
      <c r="AT46" s="891">
        <f t="shared" si="18"/>
        <v>0</v>
      </c>
      <c r="AU46" s="891">
        <f t="shared" si="19"/>
        <v>0</v>
      </c>
      <c r="AV46" s="891">
        <f t="shared" si="20"/>
        <v>0</v>
      </c>
      <c r="AW46" s="891">
        <f t="shared" si="21"/>
        <v>0</v>
      </c>
      <c r="AX46" s="891">
        <f t="shared" si="22"/>
        <v>0</v>
      </c>
      <c r="AY46" s="891">
        <f t="shared" si="23"/>
        <v>0</v>
      </c>
      <c r="AZ46" s="891">
        <f t="shared" si="24"/>
        <v>0</v>
      </c>
      <c r="BA46" s="891">
        <f t="shared" si="25"/>
        <v>0</v>
      </c>
      <c r="BB46" s="888" t="str">
        <f t="shared" si="26"/>
        <v/>
      </c>
      <c r="BC46" s="888" t="str">
        <f t="shared" si="27"/>
        <v/>
      </c>
      <c r="BD46" s="888" t="str">
        <f t="shared" si="28"/>
        <v/>
      </c>
      <c r="BE46" s="888" t="str">
        <f t="shared" si="29"/>
        <v/>
      </c>
      <c r="BF46" s="888" t="str">
        <f t="shared" si="30"/>
        <v/>
      </c>
      <c r="BG46" s="888" t="str">
        <f t="shared" si="31"/>
        <v/>
      </c>
      <c r="BH46" s="888" t="str">
        <f t="shared" si="32"/>
        <v/>
      </c>
      <c r="BI46" s="888" t="str">
        <f t="shared" si="33"/>
        <v/>
      </c>
      <c r="BJ46" s="889" t="str">
        <f t="shared" si="34"/>
        <v/>
      </c>
      <c r="BK46" s="889" t="str">
        <f t="shared" si="35"/>
        <v/>
      </c>
      <c r="BL46" s="889" t="str">
        <f t="shared" si="36"/>
        <v/>
      </c>
      <c r="BM46" s="889" t="str">
        <f t="shared" si="37"/>
        <v/>
      </c>
      <c r="BN46" s="889" t="str">
        <f t="shared" si="38"/>
        <v/>
      </c>
      <c r="BO46" s="889" t="str">
        <f t="shared" si="39"/>
        <v/>
      </c>
      <c r="BP46" s="889" t="str">
        <f t="shared" si="40"/>
        <v/>
      </c>
      <c r="BQ46" s="889" t="str">
        <f t="shared" si="41"/>
        <v/>
      </c>
      <c r="BR46" s="890" t="str">
        <f t="shared" si="42"/>
        <v/>
      </c>
      <c r="BS46" s="890" t="str">
        <f t="shared" si="43"/>
        <v/>
      </c>
      <c r="BT46" s="890" t="str">
        <f t="shared" si="44"/>
        <v/>
      </c>
      <c r="BU46" s="890" t="str">
        <f t="shared" si="45"/>
        <v/>
      </c>
      <c r="BV46" s="890" t="str">
        <f t="shared" si="46"/>
        <v/>
      </c>
      <c r="BW46" s="890" t="str">
        <f t="shared" si="47"/>
        <v/>
      </c>
      <c r="BX46" s="890" t="str">
        <f t="shared" si="48"/>
        <v/>
      </c>
      <c r="BY46" s="890" t="str">
        <f t="shared" si="49"/>
        <v/>
      </c>
      <c r="BZ46" s="888" t="str">
        <f t="shared" si="50"/>
        <v/>
      </c>
      <c r="CA46" s="888" t="str">
        <f t="shared" si="51"/>
        <v/>
      </c>
      <c r="CB46" s="888" t="str">
        <f t="shared" si="52"/>
        <v/>
      </c>
      <c r="CC46" s="888" t="str">
        <f t="shared" si="53"/>
        <v/>
      </c>
      <c r="CD46" s="888" t="str">
        <f t="shared" si="54"/>
        <v/>
      </c>
      <c r="CE46" s="888" t="str">
        <f t="shared" si="55"/>
        <v/>
      </c>
      <c r="CF46" s="888" t="str">
        <f t="shared" si="56"/>
        <v/>
      </c>
      <c r="CG46" s="888" t="str">
        <f t="shared" si="57"/>
        <v/>
      </c>
      <c r="CH46" s="887"/>
      <c r="CI46" s="899"/>
      <c r="CJ46" s="900"/>
    </row>
    <row r="47" spans="1:88">
      <c r="A47" s="879">
        <v>44</v>
      </c>
      <c r="B47" s="879">
        <f>STUDENT!F45</f>
        <v>0</v>
      </c>
      <c r="C47" s="879">
        <f>STUDENT!D45</f>
        <v>0</v>
      </c>
      <c r="D47" s="886">
        <f>STUDENT!E45</f>
        <v>0</v>
      </c>
      <c r="E47" s="886">
        <f>STUDENT!H45</f>
        <v>0</v>
      </c>
      <c r="F47" s="887"/>
      <c r="G47" s="887"/>
      <c r="H47" s="887"/>
      <c r="I47" s="887"/>
      <c r="J47" s="887"/>
      <c r="K47" s="887"/>
      <c r="L47" s="887"/>
      <c r="M47" s="888" t="str">
        <f t="shared" si="6"/>
        <v/>
      </c>
      <c r="N47" s="887"/>
      <c r="O47" s="887"/>
      <c r="P47" s="887"/>
      <c r="Q47" s="887"/>
      <c r="R47" s="887"/>
      <c r="S47" s="887"/>
      <c r="T47" s="887"/>
      <c r="U47" s="889" t="str">
        <f t="shared" si="7"/>
        <v/>
      </c>
      <c r="V47" s="887"/>
      <c r="W47" s="887"/>
      <c r="X47" s="887"/>
      <c r="Y47" s="887"/>
      <c r="Z47" s="887"/>
      <c r="AA47" s="887"/>
      <c r="AB47" s="887"/>
      <c r="AC47" s="890" t="str">
        <f t="shared" si="8"/>
        <v/>
      </c>
      <c r="AD47" s="887"/>
      <c r="AE47" s="887"/>
      <c r="AF47" s="887"/>
      <c r="AG47" s="887"/>
      <c r="AH47" s="887"/>
      <c r="AI47" s="887"/>
      <c r="AJ47" s="887"/>
      <c r="AK47" s="888" t="str">
        <f t="shared" si="9"/>
        <v/>
      </c>
      <c r="AL47" s="891">
        <f t="shared" si="10"/>
        <v>0</v>
      </c>
      <c r="AM47" s="891">
        <f t="shared" si="11"/>
        <v>0</v>
      </c>
      <c r="AN47" s="891">
        <f t="shared" si="12"/>
        <v>0</v>
      </c>
      <c r="AO47" s="891">
        <f t="shared" si="13"/>
        <v>0</v>
      </c>
      <c r="AP47" s="891">
        <f t="shared" si="14"/>
        <v>0</v>
      </c>
      <c r="AQ47" s="891">
        <f t="shared" si="15"/>
        <v>0</v>
      </c>
      <c r="AR47" s="891">
        <f t="shared" si="16"/>
        <v>0</v>
      </c>
      <c r="AS47" s="891">
        <f t="shared" si="17"/>
        <v>0</v>
      </c>
      <c r="AT47" s="891">
        <f t="shared" si="18"/>
        <v>0</v>
      </c>
      <c r="AU47" s="891">
        <f t="shared" si="19"/>
        <v>0</v>
      </c>
      <c r="AV47" s="891">
        <f t="shared" si="20"/>
        <v>0</v>
      </c>
      <c r="AW47" s="891">
        <f t="shared" si="21"/>
        <v>0</v>
      </c>
      <c r="AX47" s="891">
        <f t="shared" si="22"/>
        <v>0</v>
      </c>
      <c r="AY47" s="891">
        <f t="shared" si="23"/>
        <v>0</v>
      </c>
      <c r="AZ47" s="891">
        <f t="shared" si="24"/>
        <v>0</v>
      </c>
      <c r="BA47" s="891">
        <f t="shared" si="25"/>
        <v>0</v>
      </c>
      <c r="BB47" s="888" t="str">
        <f t="shared" si="26"/>
        <v/>
      </c>
      <c r="BC47" s="888" t="str">
        <f t="shared" si="27"/>
        <v/>
      </c>
      <c r="BD47" s="888" t="str">
        <f t="shared" si="28"/>
        <v/>
      </c>
      <c r="BE47" s="888" t="str">
        <f t="shared" si="29"/>
        <v/>
      </c>
      <c r="BF47" s="888" t="str">
        <f t="shared" si="30"/>
        <v/>
      </c>
      <c r="BG47" s="888" t="str">
        <f t="shared" si="31"/>
        <v/>
      </c>
      <c r="BH47" s="888" t="str">
        <f t="shared" si="32"/>
        <v/>
      </c>
      <c r="BI47" s="888" t="str">
        <f t="shared" si="33"/>
        <v/>
      </c>
      <c r="BJ47" s="889" t="str">
        <f t="shared" si="34"/>
        <v/>
      </c>
      <c r="BK47" s="889" t="str">
        <f t="shared" si="35"/>
        <v/>
      </c>
      <c r="BL47" s="889" t="str">
        <f t="shared" si="36"/>
        <v/>
      </c>
      <c r="BM47" s="889" t="str">
        <f t="shared" si="37"/>
        <v/>
      </c>
      <c r="BN47" s="889" t="str">
        <f t="shared" si="38"/>
        <v/>
      </c>
      <c r="BO47" s="889" t="str">
        <f t="shared" si="39"/>
        <v/>
      </c>
      <c r="BP47" s="889" t="str">
        <f t="shared" si="40"/>
        <v/>
      </c>
      <c r="BQ47" s="889" t="str">
        <f t="shared" si="41"/>
        <v/>
      </c>
      <c r="BR47" s="890" t="str">
        <f t="shared" si="42"/>
        <v/>
      </c>
      <c r="BS47" s="890" t="str">
        <f t="shared" si="43"/>
        <v/>
      </c>
      <c r="BT47" s="890" t="str">
        <f t="shared" si="44"/>
        <v/>
      </c>
      <c r="BU47" s="890" t="str">
        <f t="shared" si="45"/>
        <v/>
      </c>
      <c r="BV47" s="890" t="str">
        <f t="shared" si="46"/>
        <v/>
      </c>
      <c r="BW47" s="890" t="str">
        <f t="shared" si="47"/>
        <v/>
      </c>
      <c r="BX47" s="890" t="str">
        <f t="shared" si="48"/>
        <v/>
      </c>
      <c r="BY47" s="890" t="str">
        <f t="shared" si="49"/>
        <v/>
      </c>
      <c r="BZ47" s="888" t="str">
        <f t="shared" si="50"/>
        <v/>
      </c>
      <c r="CA47" s="888" t="str">
        <f t="shared" si="51"/>
        <v/>
      </c>
      <c r="CB47" s="888" t="str">
        <f t="shared" si="52"/>
        <v/>
      </c>
      <c r="CC47" s="888" t="str">
        <f t="shared" si="53"/>
        <v/>
      </c>
      <c r="CD47" s="888" t="str">
        <f t="shared" si="54"/>
        <v/>
      </c>
      <c r="CE47" s="888" t="str">
        <f t="shared" si="55"/>
        <v/>
      </c>
      <c r="CF47" s="888" t="str">
        <f t="shared" si="56"/>
        <v/>
      </c>
      <c r="CG47" s="888" t="str">
        <f t="shared" si="57"/>
        <v/>
      </c>
      <c r="CH47" s="887"/>
      <c r="CI47" s="899"/>
      <c r="CJ47" s="900"/>
    </row>
    <row r="48" spans="1:88">
      <c r="A48" s="879">
        <v>45</v>
      </c>
      <c r="B48" s="879">
        <f>STUDENT!F46</f>
        <v>0</v>
      </c>
      <c r="C48" s="879">
        <f>STUDENT!D46</f>
        <v>0</v>
      </c>
      <c r="D48" s="886">
        <f>STUDENT!E46</f>
        <v>0</v>
      </c>
      <c r="E48" s="886">
        <f>STUDENT!H46</f>
        <v>0</v>
      </c>
      <c r="F48" s="887"/>
      <c r="G48" s="887"/>
      <c r="H48" s="887"/>
      <c r="I48" s="887"/>
      <c r="J48" s="887"/>
      <c r="K48" s="887"/>
      <c r="L48" s="887"/>
      <c r="M48" s="888" t="str">
        <f t="shared" si="6"/>
        <v/>
      </c>
      <c r="N48" s="887"/>
      <c r="O48" s="887"/>
      <c r="P48" s="887"/>
      <c r="Q48" s="887"/>
      <c r="R48" s="887"/>
      <c r="S48" s="887"/>
      <c r="T48" s="887"/>
      <c r="U48" s="889" t="str">
        <f t="shared" si="7"/>
        <v/>
      </c>
      <c r="V48" s="887"/>
      <c r="W48" s="887"/>
      <c r="X48" s="887"/>
      <c r="Y48" s="887"/>
      <c r="Z48" s="887"/>
      <c r="AA48" s="887"/>
      <c r="AB48" s="887"/>
      <c r="AC48" s="890" t="str">
        <f t="shared" si="8"/>
        <v/>
      </c>
      <c r="AD48" s="887"/>
      <c r="AE48" s="887"/>
      <c r="AF48" s="887"/>
      <c r="AG48" s="887"/>
      <c r="AH48" s="887"/>
      <c r="AI48" s="887"/>
      <c r="AJ48" s="887"/>
      <c r="AK48" s="888" t="str">
        <f t="shared" si="9"/>
        <v/>
      </c>
      <c r="AL48" s="891">
        <f t="shared" si="10"/>
        <v>0</v>
      </c>
      <c r="AM48" s="891">
        <f t="shared" si="11"/>
        <v>0</v>
      </c>
      <c r="AN48" s="891">
        <f t="shared" si="12"/>
        <v>0</v>
      </c>
      <c r="AO48" s="891">
        <f t="shared" si="13"/>
        <v>0</v>
      </c>
      <c r="AP48" s="891">
        <f t="shared" si="14"/>
        <v>0</v>
      </c>
      <c r="AQ48" s="891">
        <f t="shared" si="15"/>
        <v>0</v>
      </c>
      <c r="AR48" s="891">
        <f t="shared" si="16"/>
        <v>0</v>
      </c>
      <c r="AS48" s="891">
        <f t="shared" si="17"/>
        <v>0</v>
      </c>
      <c r="AT48" s="891">
        <f t="shared" si="18"/>
        <v>0</v>
      </c>
      <c r="AU48" s="891">
        <f t="shared" si="19"/>
        <v>0</v>
      </c>
      <c r="AV48" s="891">
        <f t="shared" si="20"/>
        <v>0</v>
      </c>
      <c r="AW48" s="891">
        <f t="shared" si="21"/>
        <v>0</v>
      </c>
      <c r="AX48" s="891">
        <f t="shared" si="22"/>
        <v>0</v>
      </c>
      <c r="AY48" s="891">
        <f t="shared" si="23"/>
        <v>0</v>
      </c>
      <c r="AZ48" s="891">
        <f t="shared" si="24"/>
        <v>0</v>
      </c>
      <c r="BA48" s="891">
        <f t="shared" si="25"/>
        <v>0</v>
      </c>
      <c r="BB48" s="888" t="str">
        <f t="shared" si="26"/>
        <v/>
      </c>
      <c r="BC48" s="888" t="str">
        <f t="shared" si="27"/>
        <v/>
      </c>
      <c r="BD48" s="888" t="str">
        <f t="shared" si="28"/>
        <v/>
      </c>
      <c r="BE48" s="888" t="str">
        <f t="shared" si="29"/>
        <v/>
      </c>
      <c r="BF48" s="888" t="str">
        <f t="shared" si="30"/>
        <v/>
      </c>
      <c r="BG48" s="888" t="str">
        <f t="shared" si="31"/>
        <v/>
      </c>
      <c r="BH48" s="888" t="str">
        <f t="shared" si="32"/>
        <v/>
      </c>
      <c r="BI48" s="888" t="str">
        <f t="shared" si="33"/>
        <v/>
      </c>
      <c r="BJ48" s="889" t="str">
        <f t="shared" si="34"/>
        <v/>
      </c>
      <c r="BK48" s="889" t="str">
        <f t="shared" si="35"/>
        <v/>
      </c>
      <c r="BL48" s="889" t="str">
        <f t="shared" si="36"/>
        <v/>
      </c>
      <c r="BM48" s="889" t="str">
        <f t="shared" si="37"/>
        <v/>
      </c>
      <c r="BN48" s="889" t="str">
        <f t="shared" si="38"/>
        <v/>
      </c>
      <c r="BO48" s="889" t="str">
        <f t="shared" si="39"/>
        <v/>
      </c>
      <c r="BP48" s="889" t="str">
        <f t="shared" si="40"/>
        <v/>
      </c>
      <c r="BQ48" s="889" t="str">
        <f t="shared" si="41"/>
        <v/>
      </c>
      <c r="BR48" s="890" t="str">
        <f t="shared" si="42"/>
        <v/>
      </c>
      <c r="BS48" s="890" t="str">
        <f t="shared" si="43"/>
        <v/>
      </c>
      <c r="BT48" s="890" t="str">
        <f t="shared" si="44"/>
        <v/>
      </c>
      <c r="BU48" s="890" t="str">
        <f t="shared" si="45"/>
        <v/>
      </c>
      <c r="BV48" s="890" t="str">
        <f t="shared" si="46"/>
        <v/>
      </c>
      <c r="BW48" s="890" t="str">
        <f t="shared" si="47"/>
        <v/>
      </c>
      <c r="BX48" s="890" t="str">
        <f t="shared" si="48"/>
        <v/>
      </c>
      <c r="BY48" s="890" t="str">
        <f t="shared" si="49"/>
        <v/>
      </c>
      <c r="BZ48" s="888" t="str">
        <f t="shared" si="50"/>
        <v/>
      </c>
      <c r="CA48" s="888" t="str">
        <f t="shared" si="51"/>
        <v/>
      </c>
      <c r="CB48" s="888" t="str">
        <f t="shared" si="52"/>
        <v/>
      </c>
      <c r="CC48" s="888" t="str">
        <f t="shared" si="53"/>
        <v/>
      </c>
      <c r="CD48" s="888" t="str">
        <f t="shared" si="54"/>
        <v/>
      </c>
      <c r="CE48" s="888" t="str">
        <f t="shared" si="55"/>
        <v/>
      </c>
      <c r="CF48" s="888" t="str">
        <f t="shared" si="56"/>
        <v/>
      </c>
      <c r="CG48" s="888" t="str">
        <f t="shared" si="57"/>
        <v/>
      </c>
      <c r="CH48" s="887"/>
      <c r="CI48" s="899"/>
      <c r="CJ48" s="900"/>
    </row>
    <row r="49" spans="1:88">
      <c r="A49" s="879">
        <v>46</v>
      </c>
      <c r="B49" s="879">
        <f>STUDENT!F47</f>
        <v>0</v>
      </c>
      <c r="C49" s="879">
        <f>STUDENT!D47</f>
        <v>0</v>
      </c>
      <c r="D49" s="886">
        <f>STUDENT!E47</f>
        <v>0</v>
      </c>
      <c r="E49" s="886">
        <f>STUDENT!H47</f>
        <v>0</v>
      </c>
      <c r="F49" s="887"/>
      <c r="G49" s="887"/>
      <c r="H49" s="887"/>
      <c r="I49" s="887"/>
      <c r="J49" s="887"/>
      <c r="K49" s="887"/>
      <c r="L49" s="887"/>
      <c r="M49" s="888" t="str">
        <f t="shared" si="6"/>
        <v/>
      </c>
      <c r="N49" s="887"/>
      <c r="O49" s="887"/>
      <c r="P49" s="887"/>
      <c r="Q49" s="887"/>
      <c r="R49" s="887"/>
      <c r="S49" s="887"/>
      <c r="T49" s="887"/>
      <c r="U49" s="889" t="str">
        <f t="shared" si="7"/>
        <v/>
      </c>
      <c r="V49" s="887"/>
      <c r="W49" s="887"/>
      <c r="X49" s="887"/>
      <c r="Y49" s="887"/>
      <c r="Z49" s="887"/>
      <c r="AA49" s="887"/>
      <c r="AB49" s="887"/>
      <c r="AC49" s="890" t="str">
        <f t="shared" si="8"/>
        <v/>
      </c>
      <c r="AD49" s="887"/>
      <c r="AE49" s="887"/>
      <c r="AF49" s="887"/>
      <c r="AG49" s="887"/>
      <c r="AH49" s="887"/>
      <c r="AI49" s="887"/>
      <c r="AJ49" s="887"/>
      <c r="AK49" s="888" t="str">
        <f t="shared" si="9"/>
        <v/>
      </c>
      <c r="AL49" s="891">
        <f t="shared" si="10"/>
        <v>0</v>
      </c>
      <c r="AM49" s="891">
        <f t="shared" si="11"/>
        <v>0</v>
      </c>
      <c r="AN49" s="891">
        <f t="shared" si="12"/>
        <v>0</v>
      </c>
      <c r="AO49" s="891">
        <f t="shared" si="13"/>
        <v>0</v>
      </c>
      <c r="AP49" s="891">
        <f t="shared" si="14"/>
        <v>0</v>
      </c>
      <c r="AQ49" s="891">
        <f t="shared" si="15"/>
        <v>0</v>
      </c>
      <c r="AR49" s="891">
        <f t="shared" si="16"/>
        <v>0</v>
      </c>
      <c r="AS49" s="891">
        <f t="shared" si="17"/>
        <v>0</v>
      </c>
      <c r="AT49" s="891">
        <f t="shared" si="18"/>
        <v>0</v>
      </c>
      <c r="AU49" s="891">
        <f t="shared" si="19"/>
        <v>0</v>
      </c>
      <c r="AV49" s="891">
        <f t="shared" si="20"/>
        <v>0</v>
      </c>
      <c r="AW49" s="891">
        <f t="shared" si="21"/>
        <v>0</v>
      </c>
      <c r="AX49" s="891">
        <f t="shared" si="22"/>
        <v>0</v>
      </c>
      <c r="AY49" s="891">
        <f t="shared" si="23"/>
        <v>0</v>
      </c>
      <c r="AZ49" s="891">
        <f t="shared" si="24"/>
        <v>0</v>
      </c>
      <c r="BA49" s="891">
        <f t="shared" si="25"/>
        <v>0</v>
      </c>
      <c r="BB49" s="888" t="str">
        <f t="shared" si="26"/>
        <v/>
      </c>
      <c r="BC49" s="888" t="str">
        <f t="shared" si="27"/>
        <v/>
      </c>
      <c r="BD49" s="888" t="str">
        <f t="shared" si="28"/>
        <v/>
      </c>
      <c r="BE49" s="888" t="str">
        <f t="shared" si="29"/>
        <v/>
      </c>
      <c r="BF49" s="888" t="str">
        <f t="shared" si="30"/>
        <v/>
      </c>
      <c r="BG49" s="888" t="str">
        <f t="shared" si="31"/>
        <v/>
      </c>
      <c r="BH49" s="888" t="str">
        <f t="shared" si="32"/>
        <v/>
      </c>
      <c r="BI49" s="888" t="str">
        <f t="shared" si="33"/>
        <v/>
      </c>
      <c r="BJ49" s="889" t="str">
        <f t="shared" si="34"/>
        <v/>
      </c>
      <c r="BK49" s="889" t="str">
        <f t="shared" si="35"/>
        <v/>
      </c>
      <c r="BL49" s="889" t="str">
        <f t="shared" si="36"/>
        <v/>
      </c>
      <c r="BM49" s="889" t="str">
        <f t="shared" si="37"/>
        <v/>
      </c>
      <c r="BN49" s="889" t="str">
        <f t="shared" si="38"/>
        <v/>
      </c>
      <c r="BO49" s="889" t="str">
        <f t="shared" si="39"/>
        <v/>
      </c>
      <c r="BP49" s="889" t="str">
        <f t="shared" si="40"/>
        <v/>
      </c>
      <c r="BQ49" s="889" t="str">
        <f t="shared" si="41"/>
        <v/>
      </c>
      <c r="BR49" s="890" t="str">
        <f t="shared" si="42"/>
        <v/>
      </c>
      <c r="BS49" s="890" t="str">
        <f t="shared" si="43"/>
        <v/>
      </c>
      <c r="BT49" s="890" t="str">
        <f t="shared" si="44"/>
        <v/>
      </c>
      <c r="BU49" s="890" t="str">
        <f t="shared" si="45"/>
        <v/>
      </c>
      <c r="BV49" s="890" t="str">
        <f t="shared" si="46"/>
        <v/>
      </c>
      <c r="BW49" s="890" t="str">
        <f t="shared" si="47"/>
        <v/>
      </c>
      <c r="BX49" s="890" t="str">
        <f t="shared" si="48"/>
        <v/>
      </c>
      <c r="BY49" s="890" t="str">
        <f t="shared" si="49"/>
        <v/>
      </c>
      <c r="BZ49" s="888" t="str">
        <f t="shared" si="50"/>
        <v/>
      </c>
      <c r="CA49" s="888" t="str">
        <f t="shared" si="51"/>
        <v/>
      </c>
      <c r="CB49" s="888" t="str">
        <f t="shared" si="52"/>
        <v/>
      </c>
      <c r="CC49" s="888" t="str">
        <f t="shared" si="53"/>
        <v/>
      </c>
      <c r="CD49" s="888" t="str">
        <f t="shared" si="54"/>
        <v/>
      </c>
      <c r="CE49" s="888" t="str">
        <f t="shared" si="55"/>
        <v/>
      </c>
      <c r="CF49" s="888" t="str">
        <f t="shared" si="56"/>
        <v/>
      </c>
      <c r="CG49" s="888" t="str">
        <f t="shared" si="57"/>
        <v/>
      </c>
      <c r="CH49" s="887"/>
      <c r="CI49" s="899"/>
      <c r="CJ49" s="900"/>
    </row>
    <row r="50" spans="1:88">
      <c r="A50" s="879">
        <v>47</v>
      </c>
      <c r="B50" s="879">
        <f>STUDENT!F48</f>
        <v>0</v>
      </c>
      <c r="C50" s="879">
        <f>STUDENT!D48</f>
        <v>0</v>
      </c>
      <c r="D50" s="886">
        <f>STUDENT!E48</f>
        <v>0</v>
      </c>
      <c r="E50" s="886">
        <f>STUDENT!H48</f>
        <v>0</v>
      </c>
      <c r="F50" s="887"/>
      <c r="G50" s="887"/>
      <c r="H50" s="887"/>
      <c r="I50" s="887"/>
      <c r="J50" s="887"/>
      <c r="K50" s="887"/>
      <c r="L50" s="887"/>
      <c r="M50" s="888" t="str">
        <f t="shared" si="6"/>
        <v/>
      </c>
      <c r="N50" s="887"/>
      <c r="O50" s="887"/>
      <c r="P50" s="887"/>
      <c r="Q50" s="887"/>
      <c r="R50" s="887"/>
      <c r="S50" s="887"/>
      <c r="T50" s="887"/>
      <c r="U50" s="889" t="str">
        <f t="shared" si="7"/>
        <v/>
      </c>
      <c r="V50" s="887"/>
      <c r="W50" s="887"/>
      <c r="X50" s="887"/>
      <c r="Y50" s="887"/>
      <c r="Z50" s="887"/>
      <c r="AA50" s="887"/>
      <c r="AB50" s="887"/>
      <c r="AC50" s="890" t="str">
        <f t="shared" si="8"/>
        <v/>
      </c>
      <c r="AD50" s="887"/>
      <c r="AE50" s="887"/>
      <c r="AF50" s="887"/>
      <c r="AG50" s="887"/>
      <c r="AH50" s="887"/>
      <c r="AI50" s="887"/>
      <c r="AJ50" s="887"/>
      <c r="AK50" s="888" t="str">
        <f t="shared" si="9"/>
        <v/>
      </c>
      <c r="AL50" s="891">
        <f t="shared" si="10"/>
        <v>0</v>
      </c>
      <c r="AM50" s="891">
        <f t="shared" si="11"/>
        <v>0</v>
      </c>
      <c r="AN50" s="891">
        <f t="shared" si="12"/>
        <v>0</v>
      </c>
      <c r="AO50" s="891">
        <f t="shared" si="13"/>
        <v>0</v>
      </c>
      <c r="AP50" s="891">
        <f t="shared" si="14"/>
        <v>0</v>
      </c>
      <c r="AQ50" s="891">
        <f t="shared" si="15"/>
        <v>0</v>
      </c>
      <c r="AR50" s="891">
        <f t="shared" si="16"/>
        <v>0</v>
      </c>
      <c r="AS50" s="891">
        <f t="shared" si="17"/>
        <v>0</v>
      </c>
      <c r="AT50" s="891">
        <f t="shared" si="18"/>
        <v>0</v>
      </c>
      <c r="AU50" s="891">
        <f t="shared" si="19"/>
        <v>0</v>
      </c>
      <c r="AV50" s="891">
        <f t="shared" si="20"/>
        <v>0</v>
      </c>
      <c r="AW50" s="891">
        <f t="shared" si="21"/>
        <v>0</v>
      </c>
      <c r="AX50" s="891">
        <f t="shared" si="22"/>
        <v>0</v>
      </c>
      <c r="AY50" s="891">
        <f t="shared" si="23"/>
        <v>0</v>
      </c>
      <c r="AZ50" s="891">
        <f t="shared" si="24"/>
        <v>0</v>
      </c>
      <c r="BA50" s="891">
        <f t="shared" si="25"/>
        <v>0</v>
      </c>
      <c r="BB50" s="888" t="str">
        <f t="shared" si="26"/>
        <v/>
      </c>
      <c r="BC50" s="888" t="str">
        <f t="shared" si="27"/>
        <v/>
      </c>
      <c r="BD50" s="888" t="str">
        <f t="shared" si="28"/>
        <v/>
      </c>
      <c r="BE50" s="888" t="str">
        <f t="shared" si="29"/>
        <v/>
      </c>
      <c r="BF50" s="888" t="str">
        <f t="shared" si="30"/>
        <v/>
      </c>
      <c r="BG50" s="888" t="str">
        <f t="shared" si="31"/>
        <v/>
      </c>
      <c r="BH50" s="888" t="str">
        <f t="shared" si="32"/>
        <v/>
      </c>
      <c r="BI50" s="888" t="str">
        <f t="shared" si="33"/>
        <v/>
      </c>
      <c r="BJ50" s="889" t="str">
        <f t="shared" si="34"/>
        <v/>
      </c>
      <c r="BK50" s="889" t="str">
        <f t="shared" si="35"/>
        <v/>
      </c>
      <c r="BL50" s="889" t="str">
        <f t="shared" si="36"/>
        <v/>
      </c>
      <c r="BM50" s="889" t="str">
        <f t="shared" si="37"/>
        <v/>
      </c>
      <c r="BN50" s="889" t="str">
        <f t="shared" si="38"/>
        <v/>
      </c>
      <c r="BO50" s="889" t="str">
        <f t="shared" si="39"/>
        <v/>
      </c>
      <c r="BP50" s="889" t="str">
        <f t="shared" si="40"/>
        <v/>
      </c>
      <c r="BQ50" s="889" t="str">
        <f t="shared" si="41"/>
        <v/>
      </c>
      <c r="BR50" s="890" t="str">
        <f t="shared" si="42"/>
        <v/>
      </c>
      <c r="BS50" s="890" t="str">
        <f t="shared" si="43"/>
        <v/>
      </c>
      <c r="BT50" s="890" t="str">
        <f t="shared" si="44"/>
        <v/>
      </c>
      <c r="BU50" s="890" t="str">
        <f t="shared" si="45"/>
        <v/>
      </c>
      <c r="BV50" s="890" t="str">
        <f t="shared" si="46"/>
        <v/>
      </c>
      <c r="BW50" s="890" t="str">
        <f t="shared" si="47"/>
        <v/>
      </c>
      <c r="BX50" s="890" t="str">
        <f t="shared" si="48"/>
        <v/>
      </c>
      <c r="BY50" s="890" t="str">
        <f t="shared" si="49"/>
        <v/>
      </c>
      <c r="BZ50" s="888" t="str">
        <f t="shared" si="50"/>
        <v/>
      </c>
      <c r="CA50" s="888" t="str">
        <f t="shared" si="51"/>
        <v/>
      </c>
      <c r="CB50" s="888" t="str">
        <f t="shared" si="52"/>
        <v/>
      </c>
      <c r="CC50" s="888" t="str">
        <f t="shared" si="53"/>
        <v/>
      </c>
      <c r="CD50" s="888" t="str">
        <f t="shared" si="54"/>
        <v/>
      </c>
      <c r="CE50" s="888" t="str">
        <f t="shared" si="55"/>
        <v/>
      </c>
      <c r="CF50" s="888" t="str">
        <f t="shared" si="56"/>
        <v/>
      </c>
      <c r="CG50" s="888" t="str">
        <f t="shared" si="57"/>
        <v/>
      </c>
      <c r="CH50" s="887"/>
      <c r="CI50" s="899"/>
      <c r="CJ50" s="900"/>
    </row>
    <row r="51" spans="1:88">
      <c r="A51" s="879">
        <v>48</v>
      </c>
      <c r="B51" s="879">
        <f>STUDENT!F49</f>
        <v>0</v>
      </c>
      <c r="C51" s="879">
        <f>STUDENT!D49</f>
        <v>0</v>
      </c>
      <c r="D51" s="886">
        <f>STUDENT!E49</f>
        <v>0</v>
      </c>
      <c r="E51" s="886">
        <f>STUDENT!H49</f>
        <v>0</v>
      </c>
      <c r="F51" s="887"/>
      <c r="G51" s="887"/>
      <c r="H51" s="887"/>
      <c r="I51" s="887"/>
      <c r="J51" s="887"/>
      <c r="K51" s="887"/>
      <c r="L51" s="887"/>
      <c r="M51" s="888" t="str">
        <f t="shared" si="6"/>
        <v/>
      </c>
      <c r="N51" s="887"/>
      <c r="O51" s="887"/>
      <c r="P51" s="887"/>
      <c r="Q51" s="887"/>
      <c r="R51" s="887"/>
      <c r="S51" s="887"/>
      <c r="T51" s="887"/>
      <c r="U51" s="889" t="str">
        <f t="shared" si="7"/>
        <v/>
      </c>
      <c r="V51" s="887"/>
      <c r="W51" s="887"/>
      <c r="X51" s="887"/>
      <c r="Y51" s="887"/>
      <c r="Z51" s="887"/>
      <c r="AA51" s="887"/>
      <c r="AB51" s="887"/>
      <c r="AC51" s="890" t="str">
        <f t="shared" si="8"/>
        <v/>
      </c>
      <c r="AD51" s="887"/>
      <c r="AE51" s="887"/>
      <c r="AF51" s="887"/>
      <c r="AG51" s="887"/>
      <c r="AH51" s="887"/>
      <c r="AI51" s="887"/>
      <c r="AJ51" s="887"/>
      <c r="AK51" s="888" t="str">
        <f t="shared" si="9"/>
        <v/>
      </c>
      <c r="AL51" s="891">
        <f t="shared" si="10"/>
        <v>0</v>
      </c>
      <c r="AM51" s="891">
        <f t="shared" si="11"/>
        <v>0</v>
      </c>
      <c r="AN51" s="891">
        <f t="shared" si="12"/>
        <v>0</v>
      </c>
      <c r="AO51" s="891">
        <f t="shared" si="13"/>
        <v>0</v>
      </c>
      <c r="AP51" s="891">
        <f t="shared" si="14"/>
        <v>0</v>
      </c>
      <c r="AQ51" s="891">
        <f t="shared" si="15"/>
        <v>0</v>
      </c>
      <c r="AR51" s="891">
        <f t="shared" si="16"/>
        <v>0</v>
      </c>
      <c r="AS51" s="891">
        <f t="shared" si="17"/>
        <v>0</v>
      </c>
      <c r="AT51" s="891">
        <f t="shared" si="18"/>
        <v>0</v>
      </c>
      <c r="AU51" s="891">
        <f t="shared" si="19"/>
        <v>0</v>
      </c>
      <c r="AV51" s="891">
        <f t="shared" si="20"/>
        <v>0</v>
      </c>
      <c r="AW51" s="891">
        <f t="shared" si="21"/>
        <v>0</v>
      </c>
      <c r="AX51" s="891">
        <f t="shared" si="22"/>
        <v>0</v>
      </c>
      <c r="AY51" s="891">
        <f t="shared" si="23"/>
        <v>0</v>
      </c>
      <c r="AZ51" s="891">
        <f t="shared" si="24"/>
        <v>0</v>
      </c>
      <c r="BA51" s="891">
        <f t="shared" si="25"/>
        <v>0</v>
      </c>
      <c r="BB51" s="888" t="str">
        <f t="shared" si="26"/>
        <v/>
      </c>
      <c r="BC51" s="888" t="str">
        <f t="shared" si="27"/>
        <v/>
      </c>
      <c r="BD51" s="888" t="str">
        <f t="shared" si="28"/>
        <v/>
      </c>
      <c r="BE51" s="888" t="str">
        <f t="shared" si="29"/>
        <v/>
      </c>
      <c r="BF51" s="888" t="str">
        <f t="shared" si="30"/>
        <v/>
      </c>
      <c r="BG51" s="888" t="str">
        <f t="shared" si="31"/>
        <v/>
      </c>
      <c r="BH51" s="888" t="str">
        <f t="shared" si="32"/>
        <v/>
      </c>
      <c r="BI51" s="888" t="str">
        <f t="shared" si="33"/>
        <v/>
      </c>
      <c r="BJ51" s="889" t="str">
        <f t="shared" si="34"/>
        <v/>
      </c>
      <c r="BK51" s="889" t="str">
        <f t="shared" si="35"/>
        <v/>
      </c>
      <c r="BL51" s="889" t="str">
        <f t="shared" si="36"/>
        <v/>
      </c>
      <c r="BM51" s="889" t="str">
        <f t="shared" si="37"/>
        <v/>
      </c>
      <c r="BN51" s="889" t="str">
        <f t="shared" si="38"/>
        <v/>
      </c>
      <c r="BO51" s="889" t="str">
        <f t="shared" si="39"/>
        <v/>
      </c>
      <c r="BP51" s="889" t="str">
        <f t="shared" si="40"/>
        <v/>
      </c>
      <c r="BQ51" s="889" t="str">
        <f t="shared" si="41"/>
        <v/>
      </c>
      <c r="BR51" s="890" t="str">
        <f t="shared" si="42"/>
        <v/>
      </c>
      <c r="BS51" s="890" t="str">
        <f t="shared" si="43"/>
        <v/>
      </c>
      <c r="BT51" s="890" t="str">
        <f t="shared" si="44"/>
        <v/>
      </c>
      <c r="BU51" s="890" t="str">
        <f t="shared" si="45"/>
        <v/>
      </c>
      <c r="BV51" s="890" t="str">
        <f t="shared" si="46"/>
        <v/>
      </c>
      <c r="BW51" s="890" t="str">
        <f t="shared" si="47"/>
        <v/>
      </c>
      <c r="BX51" s="890" t="str">
        <f t="shared" si="48"/>
        <v/>
      </c>
      <c r="BY51" s="890" t="str">
        <f t="shared" si="49"/>
        <v/>
      </c>
      <c r="BZ51" s="888" t="str">
        <f t="shared" si="50"/>
        <v/>
      </c>
      <c r="CA51" s="888" t="str">
        <f t="shared" si="51"/>
        <v/>
      </c>
      <c r="CB51" s="888" t="str">
        <f t="shared" si="52"/>
        <v/>
      </c>
      <c r="CC51" s="888" t="str">
        <f t="shared" si="53"/>
        <v/>
      </c>
      <c r="CD51" s="888" t="str">
        <f t="shared" si="54"/>
        <v/>
      </c>
      <c r="CE51" s="888" t="str">
        <f t="shared" si="55"/>
        <v/>
      </c>
      <c r="CF51" s="888" t="str">
        <f t="shared" si="56"/>
        <v/>
      </c>
      <c r="CG51" s="888" t="str">
        <f t="shared" si="57"/>
        <v/>
      </c>
      <c r="CH51" s="887"/>
      <c r="CI51" s="899"/>
      <c r="CJ51" s="900"/>
    </row>
    <row r="52" spans="1:88">
      <c r="A52" s="879">
        <v>49</v>
      </c>
      <c r="B52" s="879">
        <f>STUDENT!F50</f>
        <v>0</v>
      </c>
      <c r="C52" s="879">
        <f>STUDENT!D50</f>
        <v>0</v>
      </c>
      <c r="D52" s="886">
        <f>STUDENT!E50</f>
        <v>0</v>
      </c>
      <c r="E52" s="886">
        <f>STUDENT!H50</f>
        <v>0</v>
      </c>
      <c r="F52" s="887"/>
      <c r="G52" s="887"/>
      <c r="H52" s="887"/>
      <c r="I52" s="887"/>
      <c r="J52" s="887"/>
      <c r="K52" s="887"/>
      <c r="L52" s="887"/>
      <c r="M52" s="888" t="str">
        <f t="shared" si="6"/>
        <v/>
      </c>
      <c r="N52" s="887"/>
      <c r="O52" s="887"/>
      <c r="P52" s="887"/>
      <c r="Q52" s="887"/>
      <c r="R52" s="887"/>
      <c r="S52" s="887"/>
      <c r="T52" s="887"/>
      <c r="U52" s="889" t="str">
        <f t="shared" si="7"/>
        <v/>
      </c>
      <c r="V52" s="887"/>
      <c r="W52" s="887"/>
      <c r="X52" s="887"/>
      <c r="Y52" s="887"/>
      <c r="Z52" s="887"/>
      <c r="AA52" s="887"/>
      <c r="AB52" s="887"/>
      <c r="AC52" s="890" t="str">
        <f t="shared" si="8"/>
        <v/>
      </c>
      <c r="AD52" s="887"/>
      <c r="AE52" s="887"/>
      <c r="AF52" s="887"/>
      <c r="AG52" s="887"/>
      <c r="AH52" s="887"/>
      <c r="AI52" s="887"/>
      <c r="AJ52" s="887"/>
      <c r="AK52" s="888" t="str">
        <f t="shared" si="9"/>
        <v/>
      </c>
      <c r="AL52" s="891">
        <f t="shared" si="10"/>
        <v>0</v>
      </c>
      <c r="AM52" s="891">
        <f t="shared" si="11"/>
        <v>0</v>
      </c>
      <c r="AN52" s="891">
        <f t="shared" si="12"/>
        <v>0</v>
      </c>
      <c r="AO52" s="891">
        <f t="shared" si="13"/>
        <v>0</v>
      </c>
      <c r="AP52" s="891">
        <f t="shared" si="14"/>
        <v>0</v>
      </c>
      <c r="AQ52" s="891">
        <f t="shared" si="15"/>
        <v>0</v>
      </c>
      <c r="AR52" s="891">
        <f t="shared" si="16"/>
        <v>0</v>
      </c>
      <c r="AS52" s="891">
        <f t="shared" si="17"/>
        <v>0</v>
      </c>
      <c r="AT52" s="891">
        <f t="shared" si="18"/>
        <v>0</v>
      </c>
      <c r="AU52" s="891">
        <f t="shared" si="19"/>
        <v>0</v>
      </c>
      <c r="AV52" s="891">
        <f t="shared" si="20"/>
        <v>0</v>
      </c>
      <c r="AW52" s="891">
        <f t="shared" si="21"/>
        <v>0</v>
      </c>
      <c r="AX52" s="891">
        <f t="shared" si="22"/>
        <v>0</v>
      </c>
      <c r="AY52" s="891">
        <f t="shared" si="23"/>
        <v>0</v>
      </c>
      <c r="AZ52" s="891">
        <f t="shared" si="24"/>
        <v>0</v>
      </c>
      <c r="BA52" s="891">
        <f t="shared" si="25"/>
        <v>0</v>
      </c>
      <c r="BB52" s="888" t="str">
        <f t="shared" si="26"/>
        <v/>
      </c>
      <c r="BC52" s="888" t="str">
        <f t="shared" si="27"/>
        <v/>
      </c>
      <c r="BD52" s="888" t="str">
        <f t="shared" si="28"/>
        <v/>
      </c>
      <c r="BE52" s="888" t="str">
        <f t="shared" si="29"/>
        <v/>
      </c>
      <c r="BF52" s="888" t="str">
        <f t="shared" si="30"/>
        <v/>
      </c>
      <c r="BG52" s="888" t="str">
        <f t="shared" si="31"/>
        <v/>
      </c>
      <c r="BH52" s="888" t="str">
        <f t="shared" si="32"/>
        <v/>
      </c>
      <c r="BI52" s="888" t="str">
        <f t="shared" si="33"/>
        <v/>
      </c>
      <c r="BJ52" s="889" t="str">
        <f t="shared" si="34"/>
        <v/>
      </c>
      <c r="BK52" s="889" t="str">
        <f t="shared" si="35"/>
        <v/>
      </c>
      <c r="BL52" s="889" t="str">
        <f t="shared" si="36"/>
        <v/>
      </c>
      <c r="BM52" s="889" t="str">
        <f t="shared" si="37"/>
        <v/>
      </c>
      <c r="BN52" s="889" t="str">
        <f t="shared" si="38"/>
        <v/>
      </c>
      <c r="BO52" s="889" t="str">
        <f t="shared" si="39"/>
        <v/>
      </c>
      <c r="BP52" s="889" t="str">
        <f t="shared" si="40"/>
        <v/>
      </c>
      <c r="BQ52" s="889" t="str">
        <f t="shared" si="41"/>
        <v/>
      </c>
      <c r="BR52" s="890" t="str">
        <f t="shared" si="42"/>
        <v/>
      </c>
      <c r="BS52" s="890" t="str">
        <f t="shared" si="43"/>
        <v/>
      </c>
      <c r="BT52" s="890" t="str">
        <f t="shared" si="44"/>
        <v/>
      </c>
      <c r="BU52" s="890" t="str">
        <f t="shared" si="45"/>
        <v/>
      </c>
      <c r="BV52" s="890" t="str">
        <f t="shared" si="46"/>
        <v/>
      </c>
      <c r="BW52" s="890" t="str">
        <f t="shared" si="47"/>
        <v/>
      </c>
      <c r="BX52" s="890" t="str">
        <f t="shared" si="48"/>
        <v/>
      </c>
      <c r="BY52" s="890" t="str">
        <f t="shared" si="49"/>
        <v/>
      </c>
      <c r="BZ52" s="888" t="str">
        <f t="shared" si="50"/>
        <v/>
      </c>
      <c r="CA52" s="888" t="str">
        <f t="shared" si="51"/>
        <v/>
      </c>
      <c r="CB52" s="888" t="str">
        <f t="shared" si="52"/>
        <v/>
      </c>
      <c r="CC52" s="888" t="str">
        <f t="shared" si="53"/>
        <v/>
      </c>
      <c r="CD52" s="888" t="str">
        <f t="shared" si="54"/>
        <v/>
      </c>
      <c r="CE52" s="888" t="str">
        <f t="shared" si="55"/>
        <v/>
      </c>
      <c r="CF52" s="888" t="str">
        <f t="shared" si="56"/>
        <v/>
      </c>
      <c r="CG52" s="888" t="str">
        <f t="shared" si="57"/>
        <v/>
      </c>
      <c r="CH52" s="887"/>
      <c r="CI52" s="899"/>
      <c r="CJ52" s="900"/>
    </row>
    <row r="53" spans="1:88">
      <c r="A53" s="879">
        <v>50</v>
      </c>
      <c r="B53" s="879">
        <f>STUDENT!F51</f>
        <v>0</v>
      </c>
      <c r="C53" s="879">
        <f>STUDENT!D51</f>
        <v>0</v>
      </c>
      <c r="D53" s="886">
        <f>STUDENT!E51</f>
        <v>0</v>
      </c>
      <c r="E53" s="886">
        <f>STUDENT!H51</f>
        <v>0</v>
      </c>
      <c r="F53" s="887"/>
      <c r="G53" s="887"/>
      <c r="H53" s="887"/>
      <c r="I53" s="887"/>
      <c r="J53" s="887"/>
      <c r="K53" s="887"/>
      <c r="L53" s="887"/>
      <c r="M53" s="888" t="str">
        <f t="shared" si="6"/>
        <v/>
      </c>
      <c r="N53" s="887"/>
      <c r="O53" s="887"/>
      <c r="P53" s="887"/>
      <c r="Q53" s="887"/>
      <c r="R53" s="887"/>
      <c r="S53" s="887"/>
      <c r="T53" s="887"/>
      <c r="U53" s="889" t="str">
        <f t="shared" si="7"/>
        <v/>
      </c>
      <c r="V53" s="887"/>
      <c r="W53" s="887"/>
      <c r="X53" s="887"/>
      <c r="Y53" s="887"/>
      <c r="Z53" s="887"/>
      <c r="AA53" s="887"/>
      <c r="AB53" s="887"/>
      <c r="AC53" s="890" t="str">
        <f t="shared" si="8"/>
        <v/>
      </c>
      <c r="AD53" s="887"/>
      <c r="AE53" s="887"/>
      <c r="AF53" s="887"/>
      <c r="AG53" s="887"/>
      <c r="AH53" s="887"/>
      <c r="AI53" s="887"/>
      <c r="AJ53" s="887"/>
      <c r="AK53" s="888" t="str">
        <f t="shared" si="9"/>
        <v/>
      </c>
      <c r="AL53" s="891">
        <f t="shared" si="10"/>
        <v>0</v>
      </c>
      <c r="AM53" s="891">
        <f t="shared" si="11"/>
        <v>0</v>
      </c>
      <c r="AN53" s="891">
        <f t="shared" si="12"/>
        <v>0</v>
      </c>
      <c r="AO53" s="891">
        <f t="shared" si="13"/>
        <v>0</v>
      </c>
      <c r="AP53" s="891">
        <f t="shared" si="14"/>
        <v>0</v>
      </c>
      <c r="AQ53" s="891">
        <f t="shared" si="15"/>
        <v>0</v>
      </c>
      <c r="AR53" s="891">
        <f t="shared" si="16"/>
        <v>0</v>
      </c>
      <c r="AS53" s="891">
        <f t="shared" si="17"/>
        <v>0</v>
      </c>
      <c r="AT53" s="891">
        <f t="shared" si="18"/>
        <v>0</v>
      </c>
      <c r="AU53" s="891">
        <f t="shared" si="19"/>
        <v>0</v>
      </c>
      <c r="AV53" s="891">
        <f t="shared" si="20"/>
        <v>0</v>
      </c>
      <c r="AW53" s="891">
        <f t="shared" si="21"/>
        <v>0</v>
      </c>
      <c r="AX53" s="891">
        <f t="shared" si="22"/>
        <v>0</v>
      </c>
      <c r="AY53" s="891">
        <f t="shared" si="23"/>
        <v>0</v>
      </c>
      <c r="AZ53" s="891">
        <f t="shared" si="24"/>
        <v>0</v>
      </c>
      <c r="BA53" s="891">
        <f t="shared" si="25"/>
        <v>0</v>
      </c>
      <c r="BB53" s="888" t="str">
        <f t="shared" si="26"/>
        <v/>
      </c>
      <c r="BC53" s="888" t="str">
        <f t="shared" si="27"/>
        <v/>
      </c>
      <c r="BD53" s="888" t="str">
        <f t="shared" si="28"/>
        <v/>
      </c>
      <c r="BE53" s="888" t="str">
        <f t="shared" si="29"/>
        <v/>
      </c>
      <c r="BF53" s="888" t="str">
        <f t="shared" si="30"/>
        <v/>
      </c>
      <c r="BG53" s="888" t="str">
        <f t="shared" si="31"/>
        <v/>
      </c>
      <c r="BH53" s="888" t="str">
        <f t="shared" si="32"/>
        <v/>
      </c>
      <c r="BI53" s="888" t="str">
        <f t="shared" si="33"/>
        <v/>
      </c>
      <c r="BJ53" s="889" t="str">
        <f t="shared" si="34"/>
        <v/>
      </c>
      <c r="BK53" s="889" t="str">
        <f t="shared" si="35"/>
        <v/>
      </c>
      <c r="BL53" s="889" t="str">
        <f t="shared" si="36"/>
        <v/>
      </c>
      <c r="BM53" s="889" t="str">
        <f t="shared" si="37"/>
        <v/>
      </c>
      <c r="BN53" s="889" t="str">
        <f t="shared" si="38"/>
        <v/>
      </c>
      <c r="BO53" s="889" t="str">
        <f t="shared" si="39"/>
        <v/>
      </c>
      <c r="BP53" s="889" t="str">
        <f t="shared" si="40"/>
        <v/>
      </c>
      <c r="BQ53" s="889" t="str">
        <f t="shared" si="41"/>
        <v/>
      </c>
      <c r="BR53" s="890" t="str">
        <f t="shared" si="42"/>
        <v/>
      </c>
      <c r="BS53" s="890" t="str">
        <f t="shared" si="43"/>
        <v/>
      </c>
      <c r="BT53" s="890" t="str">
        <f t="shared" si="44"/>
        <v/>
      </c>
      <c r="BU53" s="890" t="str">
        <f t="shared" si="45"/>
        <v/>
      </c>
      <c r="BV53" s="890" t="str">
        <f t="shared" si="46"/>
        <v/>
      </c>
      <c r="BW53" s="890" t="str">
        <f t="shared" si="47"/>
        <v/>
      </c>
      <c r="BX53" s="890" t="str">
        <f t="shared" si="48"/>
        <v/>
      </c>
      <c r="BY53" s="890" t="str">
        <f t="shared" si="49"/>
        <v/>
      </c>
      <c r="BZ53" s="888" t="str">
        <f t="shared" si="50"/>
        <v/>
      </c>
      <c r="CA53" s="888" t="str">
        <f t="shared" si="51"/>
        <v/>
      </c>
      <c r="CB53" s="888" t="str">
        <f t="shared" si="52"/>
        <v/>
      </c>
      <c r="CC53" s="888" t="str">
        <f t="shared" si="53"/>
        <v/>
      </c>
      <c r="CD53" s="888" t="str">
        <f t="shared" si="54"/>
        <v/>
      </c>
      <c r="CE53" s="888" t="str">
        <f t="shared" si="55"/>
        <v/>
      </c>
      <c r="CF53" s="888" t="str">
        <f t="shared" si="56"/>
        <v/>
      </c>
      <c r="CG53" s="888" t="str">
        <f t="shared" si="57"/>
        <v/>
      </c>
      <c r="CH53" s="887"/>
      <c r="CI53" s="899"/>
      <c r="CJ53" s="900"/>
    </row>
    <row r="54" spans="1:88">
      <c r="A54" s="879">
        <v>51</v>
      </c>
      <c r="B54" s="879">
        <f>STUDENT!F52</f>
        <v>0</v>
      </c>
      <c r="C54" s="879">
        <f>STUDENT!D52</f>
        <v>0</v>
      </c>
      <c r="D54" s="886">
        <f>STUDENT!E52</f>
        <v>0</v>
      </c>
      <c r="E54" s="886">
        <f>STUDENT!H52</f>
        <v>0</v>
      </c>
      <c r="F54" s="887"/>
      <c r="G54" s="887"/>
      <c r="H54" s="887"/>
      <c r="I54" s="887"/>
      <c r="J54" s="887"/>
      <c r="K54" s="887"/>
      <c r="L54" s="887"/>
      <c r="M54" s="888" t="str">
        <f t="shared" si="6"/>
        <v/>
      </c>
      <c r="N54" s="887"/>
      <c r="O54" s="887"/>
      <c r="P54" s="887"/>
      <c r="Q54" s="887"/>
      <c r="R54" s="887"/>
      <c r="S54" s="887"/>
      <c r="T54" s="887"/>
      <c r="U54" s="889" t="str">
        <f t="shared" si="7"/>
        <v/>
      </c>
      <c r="V54" s="887"/>
      <c r="W54" s="887"/>
      <c r="X54" s="887"/>
      <c r="Y54" s="887"/>
      <c r="Z54" s="887"/>
      <c r="AA54" s="887"/>
      <c r="AB54" s="887"/>
      <c r="AC54" s="890" t="str">
        <f t="shared" si="8"/>
        <v/>
      </c>
      <c r="AD54" s="887"/>
      <c r="AE54" s="887"/>
      <c r="AF54" s="887"/>
      <c r="AG54" s="887"/>
      <c r="AH54" s="887"/>
      <c r="AI54" s="887"/>
      <c r="AJ54" s="887"/>
      <c r="AK54" s="888" t="str">
        <f t="shared" si="9"/>
        <v/>
      </c>
      <c r="AL54" s="891">
        <f t="shared" si="10"/>
        <v>0</v>
      </c>
      <c r="AM54" s="891">
        <f t="shared" si="11"/>
        <v>0</v>
      </c>
      <c r="AN54" s="891">
        <f t="shared" si="12"/>
        <v>0</v>
      </c>
      <c r="AO54" s="891">
        <f t="shared" si="13"/>
        <v>0</v>
      </c>
      <c r="AP54" s="891">
        <f t="shared" si="14"/>
        <v>0</v>
      </c>
      <c r="AQ54" s="891">
        <f t="shared" si="15"/>
        <v>0</v>
      </c>
      <c r="AR54" s="891">
        <f t="shared" si="16"/>
        <v>0</v>
      </c>
      <c r="AS54" s="891">
        <f t="shared" si="17"/>
        <v>0</v>
      </c>
      <c r="AT54" s="891">
        <f t="shared" si="18"/>
        <v>0</v>
      </c>
      <c r="AU54" s="891">
        <f t="shared" si="19"/>
        <v>0</v>
      </c>
      <c r="AV54" s="891">
        <f t="shared" si="20"/>
        <v>0</v>
      </c>
      <c r="AW54" s="891">
        <f t="shared" si="21"/>
        <v>0</v>
      </c>
      <c r="AX54" s="891">
        <f t="shared" si="22"/>
        <v>0</v>
      </c>
      <c r="AY54" s="891">
        <f t="shared" si="23"/>
        <v>0</v>
      </c>
      <c r="AZ54" s="891">
        <f t="shared" si="24"/>
        <v>0</v>
      </c>
      <c r="BA54" s="891">
        <f t="shared" si="25"/>
        <v>0</v>
      </c>
      <c r="BB54" s="888" t="str">
        <f t="shared" si="26"/>
        <v/>
      </c>
      <c r="BC54" s="888" t="str">
        <f t="shared" si="27"/>
        <v/>
      </c>
      <c r="BD54" s="888" t="str">
        <f t="shared" si="28"/>
        <v/>
      </c>
      <c r="BE54" s="888" t="str">
        <f t="shared" si="29"/>
        <v/>
      </c>
      <c r="BF54" s="888" t="str">
        <f t="shared" si="30"/>
        <v/>
      </c>
      <c r="BG54" s="888" t="str">
        <f t="shared" si="31"/>
        <v/>
      </c>
      <c r="BH54" s="888" t="str">
        <f t="shared" si="32"/>
        <v/>
      </c>
      <c r="BI54" s="888" t="str">
        <f t="shared" si="33"/>
        <v/>
      </c>
      <c r="BJ54" s="889" t="str">
        <f t="shared" si="34"/>
        <v/>
      </c>
      <c r="BK54" s="889" t="str">
        <f t="shared" si="35"/>
        <v/>
      </c>
      <c r="BL54" s="889" t="str">
        <f t="shared" si="36"/>
        <v/>
      </c>
      <c r="BM54" s="889" t="str">
        <f t="shared" si="37"/>
        <v/>
      </c>
      <c r="BN54" s="889" t="str">
        <f t="shared" si="38"/>
        <v/>
      </c>
      <c r="BO54" s="889" t="str">
        <f t="shared" si="39"/>
        <v/>
      </c>
      <c r="BP54" s="889" t="str">
        <f t="shared" si="40"/>
        <v/>
      </c>
      <c r="BQ54" s="889" t="str">
        <f t="shared" si="41"/>
        <v/>
      </c>
      <c r="BR54" s="890" t="str">
        <f t="shared" si="42"/>
        <v/>
      </c>
      <c r="BS54" s="890" t="str">
        <f t="shared" si="43"/>
        <v/>
      </c>
      <c r="BT54" s="890" t="str">
        <f t="shared" si="44"/>
        <v/>
      </c>
      <c r="BU54" s="890" t="str">
        <f t="shared" si="45"/>
        <v/>
      </c>
      <c r="BV54" s="890" t="str">
        <f t="shared" si="46"/>
        <v/>
      </c>
      <c r="BW54" s="890" t="str">
        <f t="shared" si="47"/>
        <v/>
      </c>
      <c r="BX54" s="890" t="str">
        <f t="shared" si="48"/>
        <v/>
      </c>
      <c r="BY54" s="890" t="str">
        <f t="shared" si="49"/>
        <v/>
      </c>
      <c r="BZ54" s="888" t="str">
        <f t="shared" si="50"/>
        <v/>
      </c>
      <c r="CA54" s="888" t="str">
        <f t="shared" si="51"/>
        <v/>
      </c>
      <c r="CB54" s="888" t="str">
        <f t="shared" si="52"/>
        <v/>
      </c>
      <c r="CC54" s="888" t="str">
        <f t="shared" si="53"/>
        <v/>
      </c>
      <c r="CD54" s="888" t="str">
        <f t="shared" si="54"/>
        <v/>
      </c>
      <c r="CE54" s="888" t="str">
        <f t="shared" si="55"/>
        <v/>
      </c>
      <c r="CF54" s="888" t="str">
        <f t="shared" si="56"/>
        <v/>
      </c>
      <c r="CG54" s="888" t="str">
        <f t="shared" si="57"/>
        <v/>
      </c>
      <c r="CH54" s="887"/>
      <c r="CI54" s="899"/>
      <c r="CJ54" s="900"/>
    </row>
    <row r="55" spans="1:88">
      <c r="A55" s="879">
        <v>52</v>
      </c>
      <c r="B55" s="879">
        <f>STUDENT!F53</f>
        <v>0</v>
      </c>
      <c r="C55" s="879">
        <f>STUDENT!D53</f>
        <v>0</v>
      </c>
      <c r="D55" s="886">
        <f>STUDENT!E53</f>
        <v>0</v>
      </c>
      <c r="E55" s="886">
        <f>STUDENT!H53</f>
        <v>0</v>
      </c>
      <c r="F55" s="887"/>
      <c r="G55" s="887"/>
      <c r="H55" s="887"/>
      <c r="I55" s="887"/>
      <c r="J55" s="887"/>
      <c r="K55" s="887"/>
      <c r="L55" s="887"/>
      <c r="M55" s="888" t="str">
        <f t="shared" si="6"/>
        <v/>
      </c>
      <c r="N55" s="887"/>
      <c r="O55" s="887"/>
      <c r="P55" s="887"/>
      <c r="Q55" s="887"/>
      <c r="R55" s="887"/>
      <c r="S55" s="887"/>
      <c r="T55" s="887"/>
      <c r="U55" s="889" t="str">
        <f t="shared" si="7"/>
        <v/>
      </c>
      <c r="V55" s="887"/>
      <c r="W55" s="887"/>
      <c r="X55" s="887"/>
      <c r="Y55" s="887"/>
      <c r="Z55" s="887"/>
      <c r="AA55" s="887"/>
      <c r="AB55" s="887"/>
      <c r="AC55" s="890" t="str">
        <f t="shared" si="8"/>
        <v/>
      </c>
      <c r="AD55" s="887"/>
      <c r="AE55" s="887"/>
      <c r="AF55" s="887"/>
      <c r="AG55" s="887"/>
      <c r="AH55" s="887"/>
      <c r="AI55" s="887"/>
      <c r="AJ55" s="887"/>
      <c r="AK55" s="888" t="str">
        <f t="shared" si="9"/>
        <v/>
      </c>
      <c r="AL55" s="891">
        <f t="shared" si="10"/>
        <v>0</v>
      </c>
      <c r="AM55" s="891">
        <f t="shared" si="11"/>
        <v>0</v>
      </c>
      <c r="AN55" s="891">
        <f t="shared" si="12"/>
        <v>0</v>
      </c>
      <c r="AO55" s="891">
        <f t="shared" si="13"/>
        <v>0</v>
      </c>
      <c r="AP55" s="891">
        <f t="shared" si="14"/>
        <v>0</v>
      </c>
      <c r="AQ55" s="891">
        <f t="shared" si="15"/>
        <v>0</v>
      </c>
      <c r="AR55" s="891">
        <f t="shared" si="16"/>
        <v>0</v>
      </c>
      <c r="AS55" s="891">
        <f t="shared" si="17"/>
        <v>0</v>
      </c>
      <c r="AT55" s="891">
        <f t="shared" si="18"/>
        <v>0</v>
      </c>
      <c r="AU55" s="891">
        <f t="shared" si="19"/>
        <v>0</v>
      </c>
      <c r="AV55" s="891">
        <f t="shared" si="20"/>
        <v>0</v>
      </c>
      <c r="AW55" s="891">
        <f t="shared" si="21"/>
        <v>0</v>
      </c>
      <c r="AX55" s="891">
        <f t="shared" si="22"/>
        <v>0</v>
      </c>
      <c r="AY55" s="891">
        <f t="shared" si="23"/>
        <v>0</v>
      </c>
      <c r="AZ55" s="891">
        <f t="shared" si="24"/>
        <v>0</v>
      </c>
      <c r="BA55" s="891">
        <f t="shared" si="25"/>
        <v>0</v>
      </c>
      <c r="BB55" s="888" t="str">
        <f t="shared" si="26"/>
        <v/>
      </c>
      <c r="BC55" s="888" t="str">
        <f t="shared" si="27"/>
        <v/>
      </c>
      <c r="BD55" s="888" t="str">
        <f t="shared" si="28"/>
        <v/>
      </c>
      <c r="BE55" s="888" t="str">
        <f t="shared" si="29"/>
        <v/>
      </c>
      <c r="BF55" s="888" t="str">
        <f t="shared" si="30"/>
        <v/>
      </c>
      <c r="BG55" s="888" t="str">
        <f t="shared" si="31"/>
        <v/>
      </c>
      <c r="BH55" s="888" t="str">
        <f t="shared" si="32"/>
        <v/>
      </c>
      <c r="BI55" s="888" t="str">
        <f t="shared" si="33"/>
        <v/>
      </c>
      <c r="BJ55" s="889" t="str">
        <f t="shared" si="34"/>
        <v/>
      </c>
      <c r="BK55" s="889" t="str">
        <f t="shared" si="35"/>
        <v/>
      </c>
      <c r="BL55" s="889" t="str">
        <f t="shared" si="36"/>
        <v/>
      </c>
      <c r="BM55" s="889" t="str">
        <f t="shared" si="37"/>
        <v/>
      </c>
      <c r="BN55" s="889" t="str">
        <f t="shared" si="38"/>
        <v/>
      </c>
      <c r="BO55" s="889" t="str">
        <f t="shared" si="39"/>
        <v/>
      </c>
      <c r="BP55" s="889" t="str">
        <f t="shared" si="40"/>
        <v/>
      </c>
      <c r="BQ55" s="889" t="str">
        <f t="shared" si="41"/>
        <v/>
      </c>
      <c r="BR55" s="890" t="str">
        <f t="shared" si="42"/>
        <v/>
      </c>
      <c r="BS55" s="890" t="str">
        <f t="shared" si="43"/>
        <v/>
      </c>
      <c r="BT55" s="890" t="str">
        <f t="shared" si="44"/>
        <v/>
      </c>
      <c r="BU55" s="890" t="str">
        <f t="shared" si="45"/>
        <v/>
      </c>
      <c r="BV55" s="890" t="str">
        <f t="shared" si="46"/>
        <v/>
      </c>
      <c r="BW55" s="890" t="str">
        <f t="shared" si="47"/>
        <v/>
      </c>
      <c r="BX55" s="890" t="str">
        <f t="shared" si="48"/>
        <v/>
      </c>
      <c r="BY55" s="890" t="str">
        <f t="shared" si="49"/>
        <v/>
      </c>
      <c r="BZ55" s="888" t="str">
        <f t="shared" si="50"/>
        <v/>
      </c>
      <c r="CA55" s="888" t="str">
        <f t="shared" si="51"/>
        <v/>
      </c>
      <c r="CB55" s="888" t="str">
        <f t="shared" si="52"/>
        <v/>
      </c>
      <c r="CC55" s="888" t="str">
        <f t="shared" si="53"/>
        <v/>
      </c>
      <c r="CD55" s="888" t="str">
        <f t="shared" si="54"/>
        <v/>
      </c>
      <c r="CE55" s="888" t="str">
        <f t="shared" si="55"/>
        <v/>
      </c>
      <c r="CF55" s="888" t="str">
        <f t="shared" si="56"/>
        <v/>
      </c>
      <c r="CG55" s="888" t="str">
        <f t="shared" si="57"/>
        <v/>
      </c>
      <c r="CH55" s="887"/>
      <c r="CI55" s="899"/>
      <c r="CJ55" s="900"/>
    </row>
    <row r="56" spans="1:88">
      <c r="A56" s="879">
        <v>53</v>
      </c>
      <c r="B56" s="879">
        <f>STUDENT!F54</f>
        <v>0</v>
      </c>
      <c r="C56" s="879">
        <f>STUDENT!D54</f>
        <v>0</v>
      </c>
      <c r="D56" s="886">
        <f>STUDENT!E54</f>
        <v>0</v>
      </c>
      <c r="E56" s="886">
        <f>STUDENT!H54</f>
        <v>0</v>
      </c>
      <c r="F56" s="887"/>
      <c r="G56" s="887"/>
      <c r="H56" s="887"/>
      <c r="I56" s="887"/>
      <c r="J56" s="887"/>
      <c r="K56" s="887"/>
      <c r="L56" s="887"/>
      <c r="M56" s="888" t="str">
        <f t="shared" si="6"/>
        <v/>
      </c>
      <c r="N56" s="887"/>
      <c r="O56" s="887"/>
      <c r="P56" s="887"/>
      <c r="Q56" s="887"/>
      <c r="R56" s="887"/>
      <c r="S56" s="887"/>
      <c r="T56" s="887"/>
      <c r="U56" s="889" t="str">
        <f t="shared" si="7"/>
        <v/>
      </c>
      <c r="V56" s="887"/>
      <c r="W56" s="887"/>
      <c r="X56" s="887"/>
      <c r="Y56" s="887"/>
      <c r="Z56" s="887"/>
      <c r="AA56" s="887"/>
      <c r="AB56" s="887"/>
      <c r="AC56" s="890" t="str">
        <f t="shared" si="8"/>
        <v/>
      </c>
      <c r="AD56" s="887"/>
      <c r="AE56" s="887"/>
      <c r="AF56" s="887"/>
      <c r="AG56" s="887"/>
      <c r="AH56" s="887"/>
      <c r="AI56" s="887"/>
      <c r="AJ56" s="887"/>
      <c r="AK56" s="888" t="str">
        <f t="shared" si="9"/>
        <v/>
      </c>
      <c r="AL56" s="891">
        <f t="shared" si="10"/>
        <v>0</v>
      </c>
      <c r="AM56" s="891">
        <f t="shared" si="11"/>
        <v>0</v>
      </c>
      <c r="AN56" s="891">
        <f t="shared" si="12"/>
        <v>0</v>
      </c>
      <c r="AO56" s="891">
        <f t="shared" si="13"/>
        <v>0</v>
      </c>
      <c r="AP56" s="891">
        <f t="shared" si="14"/>
        <v>0</v>
      </c>
      <c r="AQ56" s="891">
        <f t="shared" si="15"/>
        <v>0</v>
      </c>
      <c r="AR56" s="891">
        <f t="shared" si="16"/>
        <v>0</v>
      </c>
      <c r="AS56" s="891">
        <f t="shared" si="17"/>
        <v>0</v>
      </c>
      <c r="AT56" s="891">
        <f t="shared" si="18"/>
        <v>0</v>
      </c>
      <c r="AU56" s="891">
        <f t="shared" si="19"/>
        <v>0</v>
      </c>
      <c r="AV56" s="891">
        <f t="shared" si="20"/>
        <v>0</v>
      </c>
      <c r="AW56" s="891">
        <f t="shared" si="21"/>
        <v>0</v>
      </c>
      <c r="AX56" s="891">
        <f t="shared" si="22"/>
        <v>0</v>
      </c>
      <c r="AY56" s="891">
        <f t="shared" si="23"/>
        <v>0</v>
      </c>
      <c r="AZ56" s="891">
        <f t="shared" si="24"/>
        <v>0</v>
      </c>
      <c r="BA56" s="891">
        <f t="shared" si="25"/>
        <v>0</v>
      </c>
      <c r="BB56" s="888" t="str">
        <f t="shared" si="26"/>
        <v/>
      </c>
      <c r="BC56" s="888" t="str">
        <f t="shared" si="27"/>
        <v/>
      </c>
      <c r="BD56" s="888" t="str">
        <f t="shared" si="28"/>
        <v/>
      </c>
      <c r="BE56" s="888" t="str">
        <f t="shared" si="29"/>
        <v/>
      </c>
      <c r="BF56" s="888" t="str">
        <f t="shared" si="30"/>
        <v/>
      </c>
      <c r="BG56" s="888" t="str">
        <f t="shared" si="31"/>
        <v/>
      </c>
      <c r="BH56" s="888" t="str">
        <f t="shared" si="32"/>
        <v/>
      </c>
      <c r="BI56" s="888" t="str">
        <f t="shared" si="33"/>
        <v/>
      </c>
      <c r="BJ56" s="889" t="str">
        <f t="shared" si="34"/>
        <v/>
      </c>
      <c r="BK56" s="889" t="str">
        <f t="shared" si="35"/>
        <v/>
      </c>
      <c r="BL56" s="889" t="str">
        <f t="shared" si="36"/>
        <v/>
      </c>
      <c r="BM56" s="889" t="str">
        <f t="shared" si="37"/>
        <v/>
      </c>
      <c r="BN56" s="889" t="str">
        <f t="shared" si="38"/>
        <v/>
      </c>
      <c r="BO56" s="889" t="str">
        <f t="shared" si="39"/>
        <v/>
      </c>
      <c r="BP56" s="889" t="str">
        <f t="shared" si="40"/>
        <v/>
      </c>
      <c r="BQ56" s="889" t="str">
        <f t="shared" si="41"/>
        <v/>
      </c>
      <c r="BR56" s="890" t="str">
        <f t="shared" si="42"/>
        <v/>
      </c>
      <c r="BS56" s="890" t="str">
        <f t="shared" si="43"/>
        <v/>
      </c>
      <c r="BT56" s="890" t="str">
        <f t="shared" si="44"/>
        <v/>
      </c>
      <c r="BU56" s="890" t="str">
        <f t="shared" si="45"/>
        <v/>
      </c>
      <c r="BV56" s="890" t="str">
        <f t="shared" si="46"/>
        <v/>
      </c>
      <c r="BW56" s="890" t="str">
        <f t="shared" si="47"/>
        <v/>
      </c>
      <c r="BX56" s="890" t="str">
        <f t="shared" si="48"/>
        <v/>
      </c>
      <c r="BY56" s="890" t="str">
        <f t="shared" si="49"/>
        <v/>
      </c>
      <c r="BZ56" s="888" t="str">
        <f t="shared" si="50"/>
        <v/>
      </c>
      <c r="CA56" s="888" t="str">
        <f t="shared" si="51"/>
        <v/>
      </c>
      <c r="CB56" s="888" t="str">
        <f t="shared" si="52"/>
        <v/>
      </c>
      <c r="CC56" s="888" t="str">
        <f t="shared" si="53"/>
        <v/>
      </c>
      <c r="CD56" s="888" t="str">
        <f t="shared" si="54"/>
        <v/>
      </c>
      <c r="CE56" s="888" t="str">
        <f t="shared" si="55"/>
        <v/>
      </c>
      <c r="CF56" s="888" t="str">
        <f t="shared" si="56"/>
        <v/>
      </c>
      <c r="CG56" s="888" t="str">
        <f t="shared" si="57"/>
        <v/>
      </c>
      <c r="CH56" s="887"/>
      <c r="CI56" s="899"/>
      <c r="CJ56" s="900"/>
    </row>
    <row r="57" spans="1:88">
      <c r="A57" s="879">
        <v>54</v>
      </c>
      <c r="B57" s="879">
        <f>STUDENT!F55</f>
        <v>0</v>
      </c>
      <c r="C57" s="879">
        <f>STUDENT!D55</f>
        <v>0</v>
      </c>
      <c r="D57" s="886">
        <f>STUDENT!E55</f>
        <v>0</v>
      </c>
      <c r="E57" s="886">
        <f>STUDENT!H55</f>
        <v>0</v>
      </c>
      <c r="F57" s="887"/>
      <c r="G57" s="887"/>
      <c r="H57" s="887"/>
      <c r="I57" s="887"/>
      <c r="J57" s="887"/>
      <c r="K57" s="887"/>
      <c r="L57" s="887"/>
      <c r="M57" s="888" t="str">
        <f t="shared" si="6"/>
        <v/>
      </c>
      <c r="N57" s="887"/>
      <c r="O57" s="887"/>
      <c r="P57" s="887"/>
      <c r="Q57" s="887"/>
      <c r="R57" s="887"/>
      <c r="S57" s="887"/>
      <c r="T57" s="887"/>
      <c r="U57" s="889" t="str">
        <f t="shared" si="7"/>
        <v/>
      </c>
      <c r="V57" s="887"/>
      <c r="W57" s="887"/>
      <c r="X57" s="887"/>
      <c r="Y57" s="887"/>
      <c r="Z57" s="887"/>
      <c r="AA57" s="887"/>
      <c r="AB57" s="887"/>
      <c r="AC57" s="890" t="str">
        <f t="shared" si="8"/>
        <v/>
      </c>
      <c r="AD57" s="887"/>
      <c r="AE57" s="887"/>
      <c r="AF57" s="887"/>
      <c r="AG57" s="887"/>
      <c r="AH57" s="887"/>
      <c r="AI57" s="887"/>
      <c r="AJ57" s="887"/>
      <c r="AK57" s="888" t="str">
        <f t="shared" si="9"/>
        <v/>
      </c>
      <c r="AL57" s="891">
        <f t="shared" si="10"/>
        <v>0</v>
      </c>
      <c r="AM57" s="891">
        <f t="shared" si="11"/>
        <v>0</v>
      </c>
      <c r="AN57" s="891">
        <f t="shared" si="12"/>
        <v>0</v>
      </c>
      <c r="AO57" s="891">
        <f t="shared" si="13"/>
        <v>0</v>
      </c>
      <c r="AP57" s="891">
        <f t="shared" si="14"/>
        <v>0</v>
      </c>
      <c r="AQ57" s="891">
        <f t="shared" si="15"/>
        <v>0</v>
      </c>
      <c r="AR57" s="891">
        <f t="shared" si="16"/>
        <v>0</v>
      </c>
      <c r="AS57" s="891">
        <f t="shared" si="17"/>
        <v>0</v>
      </c>
      <c r="AT57" s="891">
        <f t="shared" si="18"/>
        <v>0</v>
      </c>
      <c r="AU57" s="891">
        <f t="shared" si="19"/>
        <v>0</v>
      </c>
      <c r="AV57" s="891">
        <f t="shared" si="20"/>
        <v>0</v>
      </c>
      <c r="AW57" s="891">
        <f t="shared" si="21"/>
        <v>0</v>
      </c>
      <c r="AX57" s="891">
        <f t="shared" si="22"/>
        <v>0</v>
      </c>
      <c r="AY57" s="891">
        <f t="shared" si="23"/>
        <v>0</v>
      </c>
      <c r="AZ57" s="891">
        <f t="shared" si="24"/>
        <v>0</v>
      </c>
      <c r="BA57" s="891">
        <f t="shared" si="25"/>
        <v>0</v>
      </c>
      <c r="BB57" s="888" t="str">
        <f t="shared" si="26"/>
        <v/>
      </c>
      <c r="BC57" s="888" t="str">
        <f t="shared" si="27"/>
        <v/>
      </c>
      <c r="BD57" s="888" t="str">
        <f t="shared" si="28"/>
        <v/>
      </c>
      <c r="BE57" s="888" t="str">
        <f t="shared" si="29"/>
        <v/>
      </c>
      <c r="BF57" s="888" t="str">
        <f t="shared" si="30"/>
        <v/>
      </c>
      <c r="BG57" s="888" t="str">
        <f t="shared" si="31"/>
        <v/>
      </c>
      <c r="BH57" s="888" t="str">
        <f t="shared" si="32"/>
        <v/>
      </c>
      <c r="BI57" s="888" t="str">
        <f t="shared" si="33"/>
        <v/>
      </c>
      <c r="BJ57" s="889" t="str">
        <f t="shared" si="34"/>
        <v/>
      </c>
      <c r="BK57" s="889" t="str">
        <f t="shared" si="35"/>
        <v/>
      </c>
      <c r="BL57" s="889" t="str">
        <f t="shared" si="36"/>
        <v/>
      </c>
      <c r="BM57" s="889" t="str">
        <f t="shared" si="37"/>
        <v/>
      </c>
      <c r="BN57" s="889" t="str">
        <f t="shared" si="38"/>
        <v/>
      </c>
      <c r="BO57" s="889" t="str">
        <f t="shared" si="39"/>
        <v/>
      </c>
      <c r="BP57" s="889" t="str">
        <f t="shared" si="40"/>
        <v/>
      </c>
      <c r="BQ57" s="889" t="str">
        <f t="shared" si="41"/>
        <v/>
      </c>
      <c r="BR57" s="890" t="str">
        <f t="shared" si="42"/>
        <v/>
      </c>
      <c r="BS57" s="890" t="str">
        <f t="shared" si="43"/>
        <v/>
      </c>
      <c r="BT57" s="890" t="str">
        <f t="shared" si="44"/>
        <v/>
      </c>
      <c r="BU57" s="890" t="str">
        <f t="shared" si="45"/>
        <v/>
      </c>
      <c r="BV57" s="890" t="str">
        <f t="shared" si="46"/>
        <v/>
      </c>
      <c r="BW57" s="890" t="str">
        <f t="shared" si="47"/>
        <v/>
      </c>
      <c r="BX57" s="890" t="str">
        <f t="shared" si="48"/>
        <v/>
      </c>
      <c r="BY57" s="890" t="str">
        <f t="shared" si="49"/>
        <v/>
      </c>
      <c r="BZ57" s="888" t="str">
        <f t="shared" si="50"/>
        <v/>
      </c>
      <c r="CA57" s="888" t="str">
        <f t="shared" si="51"/>
        <v/>
      </c>
      <c r="CB57" s="888" t="str">
        <f t="shared" si="52"/>
        <v/>
      </c>
      <c r="CC57" s="888" t="str">
        <f t="shared" si="53"/>
        <v/>
      </c>
      <c r="CD57" s="888" t="str">
        <f t="shared" si="54"/>
        <v/>
      </c>
      <c r="CE57" s="888" t="str">
        <f t="shared" si="55"/>
        <v/>
      </c>
      <c r="CF57" s="888" t="str">
        <f t="shared" si="56"/>
        <v/>
      </c>
      <c r="CG57" s="888" t="str">
        <f t="shared" si="57"/>
        <v/>
      </c>
      <c r="CH57" s="887"/>
      <c r="CI57" s="899"/>
      <c r="CJ57" s="900"/>
    </row>
    <row r="58" spans="1:88">
      <c r="A58" s="879">
        <v>55</v>
      </c>
      <c r="B58" s="879">
        <f>STUDENT!F56</f>
        <v>0</v>
      </c>
      <c r="C58" s="879">
        <f>STUDENT!D56</f>
        <v>0</v>
      </c>
      <c r="D58" s="886">
        <f>STUDENT!E56</f>
        <v>0</v>
      </c>
      <c r="E58" s="886">
        <f>STUDENT!H56</f>
        <v>0</v>
      </c>
      <c r="F58" s="887"/>
      <c r="G58" s="887"/>
      <c r="H58" s="887"/>
      <c r="I58" s="887"/>
      <c r="J58" s="887"/>
      <c r="K58" s="887"/>
      <c r="L58" s="887"/>
      <c r="M58" s="888" t="str">
        <f t="shared" si="6"/>
        <v/>
      </c>
      <c r="N58" s="887"/>
      <c r="O58" s="887"/>
      <c r="P58" s="887"/>
      <c r="Q58" s="887"/>
      <c r="R58" s="887"/>
      <c r="S58" s="887"/>
      <c r="T58" s="887"/>
      <c r="U58" s="889" t="str">
        <f t="shared" si="7"/>
        <v/>
      </c>
      <c r="V58" s="887"/>
      <c r="W58" s="887"/>
      <c r="X58" s="887"/>
      <c r="Y58" s="887"/>
      <c r="Z58" s="887"/>
      <c r="AA58" s="887"/>
      <c r="AB58" s="887"/>
      <c r="AC58" s="890" t="str">
        <f t="shared" si="8"/>
        <v/>
      </c>
      <c r="AD58" s="887"/>
      <c r="AE58" s="887"/>
      <c r="AF58" s="887"/>
      <c r="AG58" s="887"/>
      <c r="AH58" s="887"/>
      <c r="AI58" s="887"/>
      <c r="AJ58" s="887"/>
      <c r="AK58" s="888" t="str">
        <f t="shared" si="9"/>
        <v/>
      </c>
      <c r="AL58" s="891">
        <f t="shared" si="10"/>
        <v>0</v>
      </c>
      <c r="AM58" s="891">
        <f t="shared" si="11"/>
        <v>0</v>
      </c>
      <c r="AN58" s="891">
        <f t="shared" si="12"/>
        <v>0</v>
      </c>
      <c r="AO58" s="891">
        <f t="shared" si="13"/>
        <v>0</v>
      </c>
      <c r="AP58" s="891">
        <f t="shared" si="14"/>
        <v>0</v>
      </c>
      <c r="AQ58" s="891">
        <f t="shared" si="15"/>
        <v>0</v>
      </c>
      <c r="AR58" s="891">
        <f t="shared" si="16"/>
        <v>0</v>
      </c>
      <c r="AS58" s="891">
        <f t="shared" si="17"/>
        <v>0</v>
      </c>
      <c r="AT58" s="891">
        <f t="shared" si="18"/>
        <v>0</v>
      </c>
      <c r="AU58" s="891">
        <f t="shared" si="19"/>
        <v>0</v>
      </c>
      <c r="AV58" s="891">
        <f t="shared" si="20"/>
        <v>0</v>
      </c>
      <c r="AW58" s="891">
        <f t="shared" si="21"/>
        <v>0</v>
      </c>
      <c r="AX58" s="891">
        <f t="shared" si="22"/>
        <v>0</v>
      </c>
      <c r="AY58" s="891">
        <f t="shared" si="23"/>
        <v>0</v>
      </c>
      <c r="AZ58" s="891">
        <f t="shared" si="24"/>
        <v>0</v>
      </c>
      <c r="BA58" s="891">
        <f t="shared" si="25"/>
        <v>0</v>
      </c>
      <c r="BB58" s="888" t="str">
        <f t="shared" si="26"/>
        <v/>
      </c>
      <c r="BC58" s="888" t="str">
        <f t="shared" si="27"/>
        <v/>
      </c>
      <c r="BD58" s="888" t="str">
        <f t="shared" si="28"/>
        <v/>
      </c>
      <c r="BE58" s="888" t="str">
        <f t="shared" si="29"/>
        <v/>
      </c>
      <c r="BF58" s="888" t="str">
        <f t="shared" si="30"/>
        <v/>
      </c>
      <c r="BG58" s="888" t="str">
        <f t="shared" si="31"/>
        <v/>
      </c>
      <c r="BH58" s="888" t="str">
        <f t="shared" si="32"/>
        <v/>
      </c>
      <c r="BI58" s="888" t="str">
        <f t="shared" si="33"/>
        <v/>
      </c>
      <c r="BJ58" s="889" t="str">
        <f t="shared" si="34"/>
        <v/>
      </c>
      <c r="BK58" s="889" t="str">
        <f t="shared" si="35"/>
        <v/>
      </c>
      <c r="BL58" s="889" t="str">
        <f t="shared" si="36"/>
        <v/>
      </c>
      <c r="BM58" s="889" t="str">
        <f t="shared" si="37"/>
        <v/>
      </c>
      <c r="BN58" s="889" t="str">
        <f t="shared" si="38"/>
        <v/>
      </c>
      <c r="BO58" s="889" t="str">
        <f t="shared" si="39"/>
        <v/>
      </c>
      <c r="BP58" s="889" t="str">
        <f t="shared" si="40"/>
        <v/>
      </c>
      <c r="BQ58" s="889" t="str">
        <f t="shared" si="41"/>
        <v/>
      </c>
      <c r="BR58" s="890" t="str">
        <f t="shared" si="42"/>
        <v/>
      </c>
      <c r="BS58" s="890" t="str">
        <f t="shared" si="43"/>
        <v/>
      </c>
      <c r="BT58" s="890" t="str">
        <f t="shared" si="44"/>
        <v/>
      </c>
      <c r="BU58" s="890" t="str">
        <f t="shared" si="45"/>
        <v/>
      </c>
      <c r="BV58" s="890" t="str">
        <f t="shared" si="46"/>
        <v/>
      </c>
      <c r="BW58" s="890" t="str">
        <f t="shared" si="47"/>
        <v/>
      </c>
      <c r="BX58" s="890" t="str">
        <f t="shared" si="48"/>
        <v/>
      </c>
      <c r="BY58" s="890" t="str">
        <f t="shared" si="49"/>
        <v/>
      </c>
      <c r="BZ58" s="888" t="str">
        <f t="shared" si="50"/>
        <v/>
      </c>
      <c r="CA58" s="888" t="str">
        <f t="shared" si="51"/>
        <v/>
      </c>
      <c r="CB58" s="888" t="str">
        <f t="shared" si="52"/>
        <v/>
      </c>
      <c r="CC58" s="888" t="str">
        <f t="shared" si="53"/>
        <v/>
      </c>
      <c r="CD58" s="888" t="str">
        <f t="shared" si="54"/>
        <v/>
      </c>
      <c r="CE58" s="888" t="str">
        <f t="shared" si="55"/>
        <v/>
      </c>
      <c r="CF58" s="888" t="str">
        <f t="shared" si="56"/>
        <v/>
      </c>
      <c r="CG58" s="888" t="str">
        <f t="shared" si="57"/>
        <v/>
      </c>
      <c r="CH58" s="887"/>
      <c r="CI58" s="899"/>
      <c r="CJ58" s="900"/>
    </row>
    <row r="59" spans="1:88">
      <c r="A59" s="879">
        <v>56</v>
      </c>
      <c r="B59" s="879">
        <f>STUDENT!F57</f>
        <v>0</v>
      </c>
      <c r="C59" s="879">
        <f>STUDENT!D57</f>
        <v>0</v>
      </c>
      <c r="D59" s="886">
        <f>STUDENT!E57</f>
        <v>0</v>
      </c>
      <c r="E59" s="886">
        <f>STUDENT!H57</f>
        <v>0</v>
      </c>
      <c r="F59" s="887"/>
      <c r="G59" s="887"/>
      <c r="H59" s="887"/>
      <c r="I59" s="887"/>
      <c r="J59" s="887"/>
      <c r="K59" s="887"/>
      <c r="L59" s="887"/>
      <c r="M59" s="888" t="str">
        <f t="shared" si="6"/>
        <v/>
      </c>
      <c r="N59" s="887"/>
      <c r="O59" s="887"/>
      <c r="P59" s="887"/>
      <c r="Q59" s="887"/>
      <c r="R59" s="887"/>
      <c r="S59" s="887"/>
      <c r="T59" s="887"/>
      <c r="U59" s="889" t="str">
        <f t="shared" si="7"/>
        <v/>
      </c>
      <c r="V59" s="887"/>
      <c r="W59" s="887"/>
      <c r="X59" s="887"/>
      <c r="Y59" s="887"/>
      <c r="Z59" s="887"/>
      <c r="AA59" s="887"/>
      <c r="AB59" s="887"/>
      <c r="AC59" s="890" t="str">
        <f t="shared" si="8"/>
        <v/>
      </c>
      <c r="AD59" s="887"/>
      <c r="AE59" s="887"/>
      <c r="AF59" s="887"/>
      <c r="AG59" s="887"/>
      <c r="AH59" s="887"/>
      <c r="AI59" s="887"/>
      <c r="AJ59" s="887"/>
      <c r="AK59" s="888" t="str">
        <f t="shared" si="9"/>
        <v/>
      </c>
      <c r="AL59" s="891">
        <f t="shared" si="10"/>
        <v>0</v>
      </c>
      <c r="AM59" s="891">
        <f t="shared" si="11"/>
        <v>0</v>
      </c>
      <c r="AN59" s="891">
        <f t="shared" si="12"/>
        <v>0</v>
      </c>
      <c r="AO59" s="891">
        <f t="shared" si="13"/>
        <v>0</v>
      </c>
      <c r="AP59" s="891">
        <f t="shared" si="14"/>
        <v>0</v>
      </c>
      <c r="AQ59" s="891">
        <f t="shared" si="15"/>
        <v>0</v>
      </c>
      <c r="AR59" s="891">
        <f t="shared" si="16"/>
        <v>0</v>
      </c>
      <c r="AS59" s="891">
        <f t="shared" si="17"/>
        <v>0</v>
      </c>
      <c r="AT59" s="891">
        <f t="shared" si="18"/>
        <v>0</v>
      </c>
      <c r="AU59" s="891">
        <f t="shared" si="19"/>
        <v>0</v>
      </c>
      <c r="AV59" s="891">
        <f t="shared" si="20"/>
        <v>0</v>
      </c>
      <c r="AW59" s="891">
        <f t="shared" si="21"/>
        <v>0</v>
      </c>
      <c r="AX59" s="891">
        <f t="shared" si="22"/>
        <v>0</v>
      </c>
      <c r="AY59" s="891">
        <f t="shared" si="23"/>
        <v>0</v>
      </c>
      <c r="AZ59" s="891">
        <f t="shared" si="24"/>
        <v>0</v>
      </c>
      <c r="BA59" s="891">
        <f t="shared" si="25"/>
        <v>0</v>
      </c>
      <c r="BB59" s="888" t="str">
        <f t="shared" si="26"/>
        <v/>
      </c>
      <c r="BC59" s="888" t="str">
        <f t="shared" si="27"/>
        <v/>
      </c>
      <c r="BD59" s="888" t="str">
        <f t="shared" si="28"/>
        <v/>
      </c>
      <c r="BE59" s="888" t="str">
        <f t="shared" si="29"/>
        <v/>
      </c>
      <c r="BF59" s="888" t="str">
        <f t="shared" si="30"/>
        <v/>
      </c>
      <c r="BG59" s="888" t="str">
        <f t="shared" si="31"/>
        <v/>
      </c>
      <c r="BH59" s="888" t="str">
        <f t="shared" si="32"/>
        <v/>
      </c>
      <c r="BI59" s="888" t="str">
        <f t="shared" si="33"/>
        <v/>
      </c>
      <c r="BJ59" s="889" t="str">
        <f t="shared" si="34"/>
        <v/>
      </c>
      <c r="BK59" s="889" t="str">
        <f t="shared" si="35"/>
        <v/>
      </c>
      <c r="BL59" s="889" t="str">
        <f t="shared" si="36"/>
        <v/>
      </c>
      <c r="BM59" s="889" t="str">
        <f t="shared" si="37"/>
        <v/>
      </c>
      <c r="BN59" s="889" t="str">
        <f t="shared" si="38"/>
        <v/>
      </c>
      <c r="BO59" s="889" t="str">
        <f t="shared" si="39"/>
        <v/>
      </c>
      <c r="BP59" s="889" t="str">
        <f t="shared" si="40"/>
        <v/>
      </c>
      <c r="BQ59" s="889" t="str">
        <f t="shared" si="41"/>
        <v/>
      </c>
      <c r="BR59" s="890" t="str">
        <f t="shared" si="42"/>
        <v/>
      </c>
      <c r="BS59" s="890" t="str">
        <f t="shared" si="43"/>
        <v/>
      </c>
      <c r="BT59" s="890" t="str">
        <f t="shared" si="44"/>
        <v/>
      </c>
      <c r="BU59" s="890" t="str">
        <f t="shared" si="45"/>
        <v/>
      </c>
      <c r="BV59" s="890" t="str">
        <f t="shared" si="46"/>
        <v/>
      </c>
      <c r="BW59" s="890" t="str">
        <f t="shared" si="47"/>
        <v/>
      </c>
      <c r="BX59" s="890" t="str">
        <f t="shared" si="48"/>
        <v/>
      </c>
      <c r="BY59" s="890" t="str">
        <f t="shared" si="49"/>
        <v/>
      </c>
      <c r="BZ59" s="888" t="str">
        <f t="shared" si="50"/>
        <v/>
      </c>
      <c r="CA59" s="888" t="str">
        <f t="shared" si="51"/>
        <v/>
      </c>
      <c r="CB59" s="888" t="str">
        <f t="shared" si="52"/>
        <v/>
      </c>
      <c r="CC59" s="888" t="str">
        <f t="shared" si="53"/>
        <v/>
      </c>
      <c r="CD59" s="888" t="str">
        <f t="shared" si="54"/>
        <v/>
      </c>
      <c r="CE59" s="888" t="str">
        <f t="shared" si="55"/>
        <v/>
      </c>
      <c r="CF59" s="888" t="str">
        <f t="shared" si="56"/>
        <v/>
      </c>
      <c r="CG59" s="888" t="str">
        <f t="shared" si="57"/>
        <v/>
      </c>
      <c r="CH59" s="887"/>
      <c r="CI59" s="899"/>
      <c r="CJ59" s="900"/>
    </row>
    <row r="60" spans="1:88">
      <c r="A60" s="879">
        <v>57</v>
      </c>
      <c r="B60" s="879">
        <f>STUDENT!F58</f>
        <v>0</v>
      </c>
      <c r="C60" s="879">
        <f>STUDENT!D58</f>
        <v>0</v>
      </c>
      <c r="D60" s="886">
        <f>STUDENT!E58</f>
        <v>0</v>
      </c>
      <c r="E60" s="886">
        <f>STUDENT!H58</f>
        <v>0</v>
      </c>
      <c r="F60" s="887"/>
      <c r="G60" s="887"/>
      <c r="H60" s="887"/>
      <c r="I60" s="887"/>
      <c r="J60" s="887"/>
      <c r="K60" s="887"/>
      <c r="L60" s="887"/>
      <c r="M60" s="888" t="str">
        <f t="shared" si="6"/>
        <v/>
      </c>
      <c r="N60" s="887"/>
      <c r="O60" s="887"/>
      <c r="P60" s="887"/>
      <c r="Q60" s="887"/>
      <c r="R60" s="887"/>
      <c r="S60" s="887"/>
      <c r="T60" s="887"/>
      <c r="U60" s="889" t="str">
        <f t="shared" si="7"/>
        <v/>
      </c>
      <c r="V60" s="887"/>
      <c r="W60" s="887"/>
      <c r="X60" s="887"/>
      <c r="Y60" s="887"/>
      <c r="Z60" s="887"/>
      <c r="AA60" s="887"/>
      <c r="AB60" s="887"/>
      <c r="AC60" s="890" t="str">
        <f t="shared" si="8"/>
        <v/>
      </c>
      <c r="AD60" s="887"/>
      <c r="AE60" s="887"/>
      <c r="AF60" s="887"/>
      <c r="AG60" s="887"/>
      <c r="AH60" s="887"/>
      <c r="AI60" s="887"/>
      <c r="AJ60" s="887"/>
      <c r="AK60" s="888" t="str">
        <f t="shared" si="9"/>
        <v/>
      </c>
      <c r="AL60" s="891">
        <f t="shared" si="10"/>
        <v>0</v>
      </c>
      <c r="AM60" s="891">
        <f t="shared" si="11"/>
        <v>0</v>
      </c>
      <c r="AN60" s="891">
        <f t="shared" si="12"/>
        <v>0</v>
      </c>
      <c r="AO60" s="891">
        <f t="shared" si="13"/>
        <v>0</v>
      </c>
      <c r="AP60" s="891">
        <f t="shared" si="14"/>
        <v>0</v>
      </c>
      <c r="AQ60" s="891">
        <f t="shared" si="15"/>
        <v>0</v>
      </c>
      <c r="AR60" s="891">
        <f t="shared" si="16"/>
        <v>0</v>
      </c>
      <c r="AS60" s="891">
        <f t="shared" si="17"/>
        <v>0</v>
      </c>
      <c r="AT60" s="891">
        <f t="shared" si="18"/>
        <v>0</v>
      </c>
      <c r="AU60" s="891">
        <f t="shared" si="19"/>
        <v>0</v>
      </c>
      <c r="AV60" s="891">
        <f t="shared" si="20"/>
        <v>0</v>
      </c>
      <c r="AW60" s="891">
        <f t="shared" si="21"/>
        <v>0</v>
      </c>
      <c r="AX60" s="891">
        <f t="shared" si="22"/>
        <v>0</v>
      </c>
      <c r="AY60" s="891">
        <f t="shared" si="23"/>
        <v>0</v>
      </c>
      <c r="AZ60" s="891">
        <f t="shared" si="24"/>
        <v>0</v>
      </c>
      <c r="BA60" s="891">
        <f t="shared" si="25"/>
        <v>0</v>
      </c>
      <c r="BB60" s="888" t="str">
        <f t="shared" si="26"/>
        <v/>
      </c>
      <c r="BC60" s="888" t="str">
        <f t="shared" si="27"/>
        <v/>
      </c>
      <c r="BD60" s="888" t="str">
        <f t="shared" si="28"/>
        <v/>
      </c>
      <c r="BE60" s="888" t="str">
        <f t="shared" si="29"/>
        <v/>
      </c>
      <c r="BF60" s="888" t="str">
        <f t="shared" si="30"/>
        <v/>
      </c>
      <c r="BG60" s="888" t="str">
        <f t="shared" si="31"/>
        <v/>
      </c>
      <c r="BH60" s="888" t="str">
        <f t="shared" si="32"/>
        <v/>
      </c>
      <c r="BI60" s="888" t="str">
        <f t="shared" si="33"/>
        <v/>
      </c>
      <c r="BJ60" s="889" t="str">
        <f t="shared" si="34"/>
        <v/>
      </c>
      <c r="BK60" s="889" t="str">
        <f t="shared" si="35"/>
        <v/>
      </c>
      <c r="BL60" s="889" t="str">
        <f t="shared" si="36"/>
        <v/>
      </c>
      <c r="BM60" s="889" t="str">
        <f t="shared" si="37"/>
        <v/>
      </c>
      <c r="BN60" s="889" t="str">
        <f t="shared" si="38"/>
        <v/>
      </c>
      <c r="BO60" s="889" t="str">
        <f t="shared" si="39"/>
        <v/>
      </c>
      <c r="BP60" s="889" t="str">
        <f t="shared" si="40"/>
        <v/>
      </c>
      <c r="BQ60" s="889" t="str">
        <f t="shared" si="41"/>
        <v/>
      </c>
      <c r="BR60" s="890" t="str">
        <f t="shared" si="42"/>
        <v/>
      </c>
      <c r="BS60" s="890" t="str">
        <f t="shared" si="43"/>
        <v/>
      </c>
      <c r="BT60" s="890" t="str">
        <f t="shared" si="44"/>
        <v/>
      </c>
      <c r="BU60" s="890" t="str">
        <f t="shared" si="45"/>
        <v/>
      </c>
      <c r="BV60" s="890" t="str">
        <f t="shared" si="46"/>
        <v/>
      </c>
      <c r="BW60" s="890" t="str">
        <f t="shared" si="47"/>
        <v/>
      </c>
      <c r="BX60" s="890" t="str">
        <f t="shared" si="48"/>
        <v/>
      </c>
      <c r="BY60" s="890" t="str">
        <f t="shared" si="49"/>
        <v/>
      </c>
      <c r="BZ60" s="888" t="str">
        <f t="shared" si="50"/>
        <v/>
      </c>
      <c r="CA60" s="888" t="str">
        <f t="shared" si="51"/>
        <v/>
      </c>
      <c r="CB60" s="888" t="str">
        <f t="shared" si="52"/>
        <v/>
      </c>
      <c r="CC60" s="888" t="str">
        <f t="shared" si="53"/>
        <v/>
      </c>
      <c r="CD60" s="888" t="str">
        <f t="shared" si="54"/>
        <v/>
      </c>
      <c r="CE60" s="888" t="str">
        <f t="shared" si="55"/>
        <v/>
      </c>
      <c r="CF60" s="888" t="str">
        <f t="shared" si="56"/>
        <v/>
      </c>
      <c r="CG60" s="888" t="str">
        <f t="shared" si="57"/>
        <v/>
      </c>
      <c r="CH60" s="887"/>
      <c r="CI60" s="899"/>
      <c r="CJ60" s="900"/>
    </row>
    <row r="61" spans="1:88">
      <c r="A61" s="879">
        <v>58</v>
      </c>
      <c r="B61" s="879">
        <f>STUDENT!F59</f>
        <v>0</v>
      </c>
      <c r="C61" s="879">
        <f>STUDENT!D59</f>
        <v>0</v>
      </c>
      <c r="D61" s="886">
        <f>STUDENT!E59</f>
        <v>0</v>
      </c>
      <c r="E61" s="886">
        <f>STUDENT!H59</f>
        <v>0</v>
      </c>
      <c r="F61" s="887"/>
      <c r="G61" s="887"/>
      <c r="H61" s="887"/>
      <c r="I61" s="887"/>
      <c r="J61" s="887"/>
      <c r="K61" s="887"/>
      <c r="L61" s="887"/>
      <c r="M61" s="888" t="str">
        <f t="shared" si="6"/>
        <v/>
      </c>
      <c r="N61" s="887"/>
      <c r="O61" s="887"/>
      <c r="P61" s="887"/>
      <c r="Q61" s="887"/>
      <c r="R61" s="887"/>
      <c r="S61" s="887"/>
      <c r="T61" s="887"/>
      <c r="U61" s="889" t="str">
        <f t="shared" si="7"/>
        <v/>
      </c>
      <c r="V61" s="887"/>
      <c r="W61" s="887"/>
      <c r="X61" s="887"/>
      <c r="Y61" s="887"/>
      <c r="Z61" s="887"/>
      <c r="AA61" s="887"/>
      <c r="AB61" s="887"/>
      <c r="AC61" s="890" t="str">
        <f t="shared" si="8"/>
        <v/>
      </c>
      <c r="AD61" s="887"/>
      <c r="AE61" s="887"/>
      <c r="AF61" s="887"/>
      <c r="AG61" s="887"/>
      <c r="AH61" s="887"/>
      <c r="AI61" s="887"/>
      <c r="AJ61" s="887"/>
      <c r="AK61" s="888" t="str">
        <f t="shared" si="9"/>
        <v/>
      </c>
      <c r="AL61" s="891">
        <f t="shared" si="10"/>
        <v>0</v>
      </c>
      <c r="AM61" s="891">
        <f t="shared" si="11"/>
        <v>0</v>
      </c>
      <c r="AN61" s="891">
        <f t="shared" si="12"/>
        <v>0</v>
      </c>
      <c r="AO61" s="891">
        <f t="shared" si="13"/>
        <v>0</v>
      </c>
      <c r="AP61" s="891">
        <f t="shared" si="14"/>
        <v>0</v>
      </c>
      <c r="AQ61" s="891">
        <f t="shared" si="15"/>
        <v>0</v>
      </c>
      <c r="AR61" s="891">
        <f t="shared" si="16"/>
        <v>0</v>
      </c>
      <c r="AS61" s="891">
        <f t="shared" si="17"/>
        <v>0</v>
      </c>
      <c r="AT61" s="891">
        <f t="shared" si="18"/>
        <v>0</v>
      </c>
      <c r="AU61" s="891">
        <f t="shared" si="19"/>
        <v>0</v>
      </c>
      <c r="AV61" s="891">
        <f t="shared" si="20"/>
        <v>0</v>
      </c>
      <c r="AW61" s="891">
        <f t="shared" si="21"/>
        <v>0</v>
      </c>
      <c r="AX61" s="891">
        <f t="shared" si="22"/>
        <v>0</v>
      </c>
      <c r="AY61" s="891">
        <f t="shared" si="23"/>
        <v>0</v>
      </c>
      <c r="AZ61" s="891">
        <f t="shared" si="24"/>
        <v>0</v>
      </c>
      <c r="BA61" s="891">
        <f t="shared" si="25"/>
        <v>0</v>
      </c>
      <c r="BB61" s="888" t="str">
        <f t="shared" si="26"/>
        <v/>
      </c>
      <c r="BC61" s="888" t="str">
        <f t="shared" si="27"/>
        <v/>
      </c>
      <c r="BD61" s="888" t="str">
        <f t="shared" si="28"/>
        <v/>
      </c>
      <c r="BE61" s="888" t="str">
        <f t="shared" si="29"/>
        <v/>
      </c>
      <c r="BF61" s="888" t="str">
        <f t="shared" si="30"/>
        <v/>
      </c>
      <c r="BG61" s="888" t="str">
        <f t="shared" si="31"/>
        <v/>
      </c>
      <c r="BH61" s="888" t="str">
        <f t="shared" si="32"/>
        <v/>
      </c>
      <c r="BI61" s="888" t="str">
        <f t="shared" si="33"/>
        <v/>
      </c>
      <c r="BJ61" s="889" t="str">
        <f t="shared" si="34"/>
        <v/>
      </c>
      <c r="BK61" s="889" t="str">
        <f t="shared" si="35"/>
        <v/>
      </c>
      <c r="BL61" s="889" t="str">
        <f t="shared" si="36"/>
        <v/>
      </c>
      <c r="BM61" s="889" t="str">
        <f t="shared" si="37"/>
        <v/>
      </c>
      <c r="BN61" s="889" t="str">
        <f t="shared" si="38"/>
        <v/>
      </c>
      <c r="BO61" s="889" t="str">
        <f t="shared" si="39"/>
        <v/>
      </c>
      <c r="BP61" s="889" t="str">
        <f t="shared" si="40"/>
        <v/>
      </c>
      <c r="BQ61" s="889" t="str">
        <f t="shared" si="41"/>
        <v/>
      </c>
      <c r="BR61" s="890" t="str">
        <f t="shared" si="42"/>
        <v/>
      </c>
      <c r="BS61" s="890" t="str">
        <f t="shared" si="43"/>
        <v/>
      </c>
      <c r="BT61" s="890" t="str">
        <f t="shared" si="44"/>
        <v/>
      </c>
      <c r="BU61" s="890" t="str">
        <f t="shared" si="45"/>
        <v/>
      </c>
      <c r="BV61" s="890" t="str">
        <f t="shared" si="46"/>
        <v/>
      </c>
      <c r="BW61" s="890" t="str">
        <f t="shared" si="47"/>
        <v/>
      </c>
      <c r="BX61" s="890" t="str">
        <f t="shared" si="48"/>
        <v/>
      </c>
      <c r="BY61" s="890" t="str">
        <f t="shared" si="49"/>
        <v/>
      </c>
      <c r="BZ61" s="888" t="str">
        <f t="shared" si="50"/>
        <v/>
      </c>
      <c r="CA61" s="888" t="str">
        <f t="shared" si="51"/>
        <v/>
      </c>
      <c r="CB61" s="888" t="str">
        <f t="shared" si="52"/>
        <v/>
      </c>
      <c r="CC61" s="888" t="str">
        <f t="shared" si="53"/>
        <v/>
      </c>
      <c r="CD61" s="888" t="str">
        <f t="shared" si="54"/>
        <v/>
      </c>
      <c r="CE61" s="888" t="str">
        <f t="shared" si="55"/>
        <v/>
      </c>
      <c r="CF61" s="888" t="str">
        <f t="shared" si="56"/>
        <v/>
      </c>
      <c r="CG61" s="888" t="str">
        <f t="shared" si="57"/>
        <v/>
      </c>
      <c r="CH61" s="887"/>
      <c r="CI61" s="899"/>
      <c r="CJ61" s="900"/>
    </row>
    <row r="62" spans="1:88">
      <c r="A62" s="879">
        <v>59</v>
      </c>
      <c r="B62" s="879">
        <f>STUDENT!F60</f>
        <v>0</v>
      </c>
      <c r="C62" s="879">
        <f>STUDENT!D60</f>
        <v>0</v>
      </c>
      <c r="D62" s="886">
        <f>STUDENT!E60</f>
        <v>0</v>
      </c>
      <c r="E62" s="886">
        <f>STUDENT!H60</f>
        <v>0</v>
      </c>
      <c r="F62" s="887"/>
      <c r="G62" s="887"/>
      <c r="H62" s="887"/>
      <c r="I62" s="887"/>
      <c r="J62" s="887"/>
      <c r="K62" s="887"/>
      <c r="L62" s="887"/>
      <c r="M62" s="888" t="str">
        <f t="shared" si="6"/>
        <v/>
      </c>
      <c r="N62" s="887"/>
      <c r="O62" s="887"/>
      <c r="P62" s="887"/>
      <c r="Q62" s="887"/>
      <c r="R62" s="887"/>
      <c r="S62" s="887"/>
      <c r="T62" s="887"/>
      <c r="U62" s="889" t="str">
        <f t="shared" si="7"/>
        <v/>
      </c>
      <c r="V62" s="887"/>
      <c r="W62" s="887"/>
      <c r="X62" s="887"/>
      <c r="Y62" s="887"/>
      <c r="Z62" s="887"/>
      <c r="AA62" s="887"/>
      <c r="AB62" s="887"/>
      <c r="AC62" s="890" t="str">
        <f t="shared" si="8"/>
        <v/>
      </c>
      <c r="AD62" s="887"/>
      <c r="AE62" s="887"/>
      <c r="AF62" s="887"/>
      <c r="AG62" s="887"/>
      <c r="AH62" s="887"/>
      <c r="AI62" s="887"/>
      <c r="AJ62" s="887"/>
      <c r="AK62" s="888" t="str">
        <f t="shared" si="9"/>
        <v/>
      </c>
      <c r="AL62" s="891">
        <f t="shared" si="10"/>
        <v>0</v>
      </c>
      <c r="AM62" s="891">
        <f t="shared" si="11"/>
        <v>0</v>
      </c>
      <c r="AN62" s="891">
        <f t="shared" si="12"/>
        <v>0</v>
      </c>
      <c r="AO62" s="891">
        <f t="shared" si="13"/>
        <v>0</v>
      </c>
      <c r="AP62" s="891">
        <f t="shared" si="14"/>
        <v>0</v>
      </c>
      <c r="AQ62" s="891">
        <f t="shared" si="15"/>
        <v>0</v>
      </c>
      <c r="AR62" s="891">
        <f t="shared" si="16"/>
        <v>0</v>
      </c>
      <c r="AS62" s="891">
        <f t="shared" si="17"/>
        <v>0</v>
      </c>
      <c r="AT62" s="891">
        <f t="shared" si="18"/>
        <v>0</v>
      </c>
      <c r="AU62" s="891">
        <f t="shared" si="19"/>
        <v>0</v>
      </c>
      <c r="AV62" s="891">
        <f t="shared" si="20"/>
        <v>0</v>
      </c>
      <c r="AW62" s="891">
        <f t="shared" si="21"/>
        <v>0</v>
      </c>
      <c r="AX62" s="891">
        <f t="shared" si="22"/>
        <v>0</v>
      </c>
      <c r="AY62" s="891">
        <f t="shared" si="23"/>
        <v>0</v>
      </c>
      <c r="AZ62" s="891">
        <f t="shared" si="24"/>
        <v>0</v>
      </c>
      <c r="BA62" s="891">
        <f t="shared" si="25"/>
        <v>0</v>
      </c>
      <c r="BB62" s="888" t="str">
        <f t="shared" si="26"/>
        <v/>
      </c>
      <c r="BC62" s="888" t="str">
        <f t="shared" si="27"/>
        <v/>
      </c>
      <c r="BD62" s="888" t="str">
        <f t="shared" si="28"/>
        <v/>
      </c>
      <c r="BE62" s="888" t="str">
        <f t="shared" si="29"/>
        <v/>
      </c>
      <c r="BF62" s="888" t="str">
        <f t="shared" si="30"/>
        <v/>
      </c>
      <c r="BG62" s="888" t="str">
        <f t="shared" si="31"/>
        <v/>
      </c>
      <c r="BH62" s="888" t="str">
        <f t="shared" si="32"/>
        <v/>
      </c>
      <c r="BI62" s="888" t="str">
        <f t="shared" si="33"/>
        <v/>
      </c>
      <c r="BJ62" s="889" t="str">
        <f t="shared" si="34"/>
        <v/>
      </c>
      <c r="BK62" s="889" t="str">
        <f t="shared" si="35"/>
        <v/>
      </c>
      <c r="BL62" s="889" t="str">
        <f t="shared" si="36"/>
        <v/>
      </c>
      <c r="BM62" s="889" t="str">
        <f t="shared" si="37"/>
        <v/>
      </c>
      <c r="BN62" s="889" t="str">
        <f t="shared" si="38"/>
        <v/>
      </c>
      <c r="BO62" s="889" t="str">
        <f t="shared" si="39"/>
        <v/>
      </c>
      <c r="BP62" s="889" t="str">
        <f t="shared" si="40"/>
        <v/>
      </c>
      <c r="BQ62" s="889" t="str">
        <f t="shared" si="41"/>
        <v/>
      </c>
      <c r="BR62" s="890" t="str">
        <f t="shared" si="42"/>
        <v/>
      </c>
      <c r="BS62" s="890" t="str">
        <f t="shared" si="43"/>
        <v/>
      </c>
      <c r="BT62" s="890" t="str">
        <f t="shared" si="44"/>
        <v/>
      </c>
      <c r="BU62" s="890" t="str">
        <f t="shared" si="45"/>
        <v/>
      </c>
      <c r="BV62" s="890" t="str">
        <f t="shared" si="46"/>
        <v/>
      </c>
      <c r="BW62" s="890" t="str">
        <f t="shared" si="47"/>
        <v/>
      </c>
      <c r="BX62" s="890" t="str">
        <f t="shared" si="48"/>
        <v/>
      </c>
      <c r="BY62" s="890" t="str">
        <f t="shared" si="49"/>
        <v/>
      </c>
      <c r="BZ62" s="888" t="str">
        <f t="shared" si="50"/>
        <v/>
      </c>
      <c r="CA62" s="888" t="str">
        <f t="shared" si="51"/>
        <v/>
      </c>
      <c r="CB62" s="888" t="str">
        <f t="shared" si="52"/>
        <v/>
      </c>
      <c r="CC62" s="888" t="str">
        <f t="shared" si="53"/>
        <v/>
      </c>
      <c r="CD62" s="888" t="str">
        <f t="shared" si="54"/>
        <v/>
      </c>
      <c r="CE62" s="888" t="str">
        <f t="shared" si="55"/>
        <v/>
      </c>
      <c r="CF62" s="888" t="str">
        <f t="shared" si="56"/>
        <v/>
      </c>
      <c r="CG62" s="888" t="str">
        <f t="shared" si="57"/>
        <v/>
      </c>
      <c r="CH62" s="887"/>
      <c r="CI62" s="899"/>
      <c r="CJ62" s="900"/>
    </row>
    <row r="63" spans="1:88">
      <c r="A63" s="879">
        <v>60</v>
      </c>
      <c r="B63" s="879">
        <f>STUDENT!F61</f>
        <v>0</v>
      </c>
      <c r="C63" s="879">
        <f>STUDENT!D61</f>
        <v>0</v>
      </c>
      <c r="D63" s="886">
        <f>STUDENT!E61</f>
        <v>0</v>
      </c>
      <c r="E63" s="886">
        <f>STUDENT!H61</f>
        <v>0</v>
      </c>
      <c r="F63" s="887"/>
      <c r="G63" s="887"/>
      <c r="H63" s="887"/>
      <c r="I63" s="887"/>
      <c r="J63" s="887"/>
      <c r="K63" s="887"/>
      <c r="L63" s="887"/>
      <c r="M63" s="888" t="str">
        <f t="shared" si="6"/>
        <v/>
      </c>
      <c r="N63" s="887"/>
      <c r="O63" s="887"/>
      <c r="P63" s="887"/>
      <c r="Q63" s="887"/>
      <c r="R63" s="887"/>
      <c r="S63" s="887"/>
      <c r="T63" s="887"/>
      <c r="U63" s="889" t="str">
        <f t="shared" si="7"/>
        <v/>
      </c>
      <c r="V63" s="887"/>
      <c r="W63" s="887"/>
      <c r="X63" s="887"/>
      <c r="Y63" s="887"/>
      <c r="Z63" s="887"/>
      <c r="AA63" s="887"/>
      <c r="AB63" s="887"/>
      <c r="AC63" s="890" t="str">
        <f t="shared" si="8"/>
        <v/>
      </c>
      <c r="AD63" s="887"/>
      <c r="AE63" s="887"/>
      <c r="AF63" s="887"/>
      <c r="AG63" s="887"/>
      <c r="AH63" s="887"/>
      <c r="AI63" s="887"/>
      <c r="AJ63" s="887"/>
      <c r="AK63" s="888" t="str">
        <f t="shared" si="9"/>
        <v/>
      </c>
      <c r="AL63" s="891">
        <f t="shared" si="10"/>
        <v>0</v>
      </c>
      <c r="AM63" s="891">
        <f t="shared" si="11"/>
        <v>0</v>
      </c>
      <c r="AN63" s="891">
        <f t="shared" si="12"/>
        <v>0</v>
      </c>
      <c r="AO63" s="891">
        <f t="shared" si="13"/>
        <v>0</v>
      </c>
      <c r="AP63" s="891">
        <f t="shared" si="14"/>
        <v>0</v>
      </c>
      <c r="AQ63" s="891">
        <f t="shared" si="15"/>
        <v>0</v>
      </c>
      <c r="AR63" s="891">
        <f t="shared" si="16"/>
        <v>0</v>
      </c>
      <c r="AS63" s="891">
        <f t="shared" si="17"/>
        <v>0</v>
      </c>
      <c r="AT63" s="891">
        <f t="shared" si="18"/>
        <v>0</v>
      </c>
      <c r="AU63" s="891">
        <f t="shared" si="19"/>
        <v>0</v>
      </c>
      <c r="AV63" s="891">
        <f t="shared" si="20"/>
        <v>0</v>
      </c>
      <c r="AW63" s="891">
        <f t="shared" si="21"/>
        <v>0</v>
      </c>
      <c r="AX63" s="891">
        <f t="shared" si="22"/>
        <v>0</v>
      </c>
      <c r="AY63" s="891">
        <f t="shared" si="23"/>
        <v>0</v>
      </c>
      <c r="AZ63" s="891">
        <f t="shared" si="24"/>
        <v>0</v>
      </c>
      <c r="BA63" s="891">
        <f t="shared" si="25"/>
        <v>0</v>
      </c>
      <c r="BB63" s="888" t="str">
        <f t="shared" si="26"/>
        <v/>
      </c>
      <c r="BC63" s="888" t="str">
        <f t="shared" si="27"/>
        <v/>
      </c>
      <c r="BD63" s="888" t="str">
        <f t="shared" si="28"/>
        <v/>
      </c>
      <c r="BE63" s="888" t="str">
        <f t="shared" si="29"/>
        <v/>
      </c>
      <c r="BF63" s="888" t="str">
        <f t="shared" si="30"/>
        <v/>
      </c>
      <c r="BG63" s="888" t="str">
        <f t="shared" si="31"/>
        <v/>
      </c>
      <c r="BH63" s="888" t="str">
        <f t="shared" si="32"/>
        <v/>
      </c>
      <c r="BI63" s="888" t="str">
        <f t="shared" si="33"/>
        <v/>
      </c>
      <c r="BJ63" s="889" t="str">
        <f t="shared" si="34"/>
        <v/>
      </c>
      <c r="BK63" s="889" t="str">
        <f t="shared" si="35"/>
        <v/>
      </c>
      <c r="BL63" s="889" t="str">
        <f t="shared" si="36"/>
        <v/>
      </c>
      <c r="BM63" s="889" t="str">
        <f t="shared" si="37"/>
        <v/>
      </c>
      <c r="BN63" s="889" t="str">
        <f t="shared" si="38"/>
        <v/>
      </c>
      <c r="BO63" s="889" t="str">
        <f t="shared" si="39"/>
        <v/>
      </c>
      <c r="BP63" s="889" t="str">
        <f t="shared" si="40"/>
        <v/>
      </c>
      <c r="BQ63" s="889" t="str">
        <f t="shared" si="41"/>
        <v/>
      </c>
      <c r="BR63" s="890" t="str">
        <f t="shared" si="42"/>
        <v/>
      </c>
      <c r="BS63" s="890" t="str">
        <f t="shared" si="43"/>
        <v/>
      </c>
      <c r="BT63" s="890" t="str">
        <f t="shared" si="44"/>
        <v/>
      </c>
      <c r="BU63" s="890" t="str">
        <f t="shared" si="45"/>
        <v/>
      </c>
      <c r="BV63" s="890" t="str">
        <f t="shared" si="46"/>
        <v/>
      </c>
      <c r="BW63" s="890" t="str">
        <f t="shared" si="47"/>
        <v/>
      </c>
      <c r="BX63" s="890" t="str">
        <f t="shared" si="48"/>
        <v/>
      </c>
      <c r="BY63" s="890" t="str">
        <f t="shared" si="49"/>
        <v/>
      </c>
      <c r="BZ63" s="888" t="str">
        <f t="shared" si="50"/>
        <v/>
      </c>
      <c r="CA63" s="888" t="str">
        <f t="shared" si="51"/>
        <v/>
      </c>
      <c r="CB63" s="888" t="str">
        <f t="shared" si="52"/>
        <v/>
      </c>
      <c r="CC63" s="888" t="str">
        <f t="shared" si="53"/>
        <v/>
      </c>
      <c r="CD63" s="888" t="str">
        <f t="shared" si="54"/>
        <v/>
      </c>
      <c r="CE63" s="888" t="str">
        <f t="shared" si="55"/>
        <v/>
      </c>
      <c r="CF63" s="888" t="str">
        <f t="shared" si="56"/>
        <v/>
      </c>
      <c r="CG63" s="888" t="str">
        <f t="shared" si="57"/>
        <v/>
      </c>
      <c r="CH63" s="887"/>
      <c r="CI63" s="899"/>
      <c r="CJ63" s="900"/>
    </row>
    <row r="64" spans="1:88">
      <c r="A64" s="879">
        <v>61</v>
      </c>
      <c r="B64" s="879">
        <f>STUDENT!F62</f>
        <v>0</v>
      </c>
      <c r="C64" s="879">
        <f>STUDENT!D62</f>
        <v>0</v>
      </c>
      <c r="D64" s="886">
        <f>STUDENT!E62</f>
        <v>0</v>
      </c>
      <c r="E64" s="886">
        <f>STUDENT!H62</f>
        <v>0</v>
      </c>
      <c r="F64" s="887"/>
      <c r="G64" s="887"/>
      <c r="H64" s="887"/>
      <c r="I64" s="887"/>
      <c r="J64" s="887"/>
      <c r="K64" s="887"/>
      <c r="L64" s="887"/>
      <c r="M64" s="888" t="str">
        <f t="shared" si="6"/>
        <v/>
      </c>
      <c r="N64" s="887"/>
      <c r="O64" s="887"/>
      <c r="P64" s="887"/>
      <c r="Q64" s="887"/>
      <c r="R64" s="887"/>
      <c r="S64" s="887"/>
      <c r="T64" s="887"/>
      <c r="U64" s="889" t="str">
        <f t="shared" si="7"/>
        <v/>
      </c>
      <c r="V64" s="887"/>
      <c r="W64" s="887"/>
      <c r="X64" s="887"/>
      <c r="Y64" s="887"/>
      <c r="Z64" s="887"/>
      <c r="AA64" s="887"/>
      <c r="AB64" s="887"/>
      <c r="AC64" s="890" t="str">
        <f t="shared" si="8"/>
        <v/>
      </c>
      <c r="AD64" s="887"/>
      <c r="AE64" s="887"/>
      <c r="AF64" s="887"/>
      <c r="AG64" s="887"/>
      <c r="AH64" s="887"/>
      <c r="AI64" s="887"/>
      <c r="AJ64" s="887"/>
      <c r="AK64" s="888" t="str">
        <f t="shared" si="9"/>
        <v/>
      </c>
      <c r="AL64" s="891">
        <f t="shared" si="10"/>
        <v>0</v>
      </c>
      <c r="AM64" s="891">
        <f t="shared" si="11"/>
        <v>0</v>
      </c>
      <c r="AN64" s="891">
        <f t="shared" si="12"/>
        <v>0</v>
      </c>
      <c r="AO64" s="891">
        <f t="shared" si="13"/>
        <v>0</v>
      </c>
      <c r="AP64" s="891">
        <f t="shared" si="14"/>
        <v>0</v>
      </c>
      <c r="AQ64" s="891">
        <f t="shared" si="15"/>
        <v>0</v>
      </c>
      <c r="AR64" s="891">
        <f t="shared" si="16"/>
        <v>0</v>
      </c>
      <c r="AS64" s="891">
        <f t="shared" si="17"/>
        <v>0</v>
      </c>
      <c r="AT64" s="891">
        <f t="shared" si="18"/>
        <v>0</v>
      </c>
      <c r="AU64" s="891">
        <f t="shared" si="19"/>
        <v>0</v>
      </c>
      <c r="AV64" s="891">
        <f t="shared" si="20"/>
        <v>0</v>
      </c>
      <c r="AW64" s="891">
        <f t="shared" si="21"/>
        <v>0</v>
      </c>
      <c r="AX64" s="891">
        <f t="shared" si="22"/>
        <v>0</v>
      </c>
      <c r="AY64" s="891">
        <f t="shared" si="23"/>
        <v>0</v>
      </c>
      <c r="AZ64" s="891">
        <f t="shared" si="24"/>
        <v>0</v>
      </c>
      <c r="BA64" s="891">
        <f t="shared" si="25"/>
        <v>0</v>
      </c>
      <c r="BB64" s="888" t="str">
        <f t="shared" si="26"/>
        <v/>
      </c>
      <c r="BC64" s="888" t="str">
        <f t="shared" si="27"/>
        <v/>
      </c>
      <c r="BD64" s="888" t="str">
        <f t="shared" si="28"/>
        <v/>
      </c>
      <c r="BE64" s="888" t="str">
        <f t="shared" si="29"/>
        <v/>
      </c>
      <c r="BF64" s="888" t="str">
        <f t="shared" si="30"/>
        <v/>
      </c>
      <c r="BG64" s="888" t="str">
        <f t="shared" si="31"/>
        <v/>
      </c>
      <c r="BH64" s="888" t="str">
        <f t="shared" si="32"/>
        <v/>
      </c>
      <c r="BI64" s="888" t="str">
        <f t="shared" si="33"/>
        <v/>
      </c>
      <c r="BJ64" s="889" t="str">
        <f t="shared" si="34"/>
        <v/>
      </c>
      <c r="BK64" s="889" t="str">
        <f t="shared" si="35"/>
        <v/>
      </c>
      <c r="BL64" s="889" t="str">
        <f t="shared" si="36"/>
        <v/>
      </c>
      <c r="BM64" s="889" t="str">
        <f t="shared" si="37"/>
        <v/>
      </c>
      <c r="BN64" s="889" t="str">
        <f t="shared" si="38"/>
        <v/>
      </c>
      <c r="BO64" s="889" t="str">
        <f t="shared" si="39"/>
        <v/>
      </c>
      <c r="BP64" s="889" t="str">
        <f t="shared" si="40"/>
        <v/>
      </c>
      <c r="BQ64" s="889" t="str">
        <f t="shared" si="41"/>
        <v/>
      </c>
      <c r="BR64" s="890" t="str">
        <f t="shared" si="42"/>
        <v/>
      </c>
      <c r="BS64" s="890" t="str">
        <f t="shared" si="43"/>
        <v/>
      </c>
      <c r="BT64" s="890" t="str">
        <f t="shared" si="44"/>
        <v/>
      </c>
      <c r="BU64" s="890" t="str">
        <f t="shared" si="45"/>
        <v/>
      </c>
      <c r="BV64" s="890" t="str">
        <f t="shared" si="46"/>
        <v/>
      </c>
      <c r="BW64" s="890" t="str">
        <f t="shared" si="47"/>
        <v/>
      </c>
      <c r="BX64" s="890" t="str">
        <f t="shared" si="48"/>
        <v/>
      </c>
      <c r="BY64" s="890" t="str">
        <f t="shared" si="49"/>
        <v/>
      </c>
      <c r="BZ64" s="888" t="str">
        <f t="shared" si="50"/>
        <v/>
      </c>
      <c r="CA64" s="888" t="str">
        <f t="shared" si="51"/>
        <v/>
      </c>
      <c r="CB64" s="888" t="str">
        <f t="shared" si="52"/>
        <v/>
      </c>
      <c r="CC64" s="888" t="str">
        <f t="shared" si="53"/>
        <v/>
      </c>
      <c r="CD64" s="888" t="str">
        <f t="shared" si="54"/>
        <v/>
      </c>
      <c r="CE64" s="888" t="str">
        <f t="shared" si="55"/>
        <v/>
      </c>
      <c r="CF64" s="888" t="str">
        <f t="shared" si="56"/>
        <v/>
      </c>
      <c r="CG64" s="888" t="str">
        <f t="shared" si="57"/>
        <v/>
      </c>
      <c r="CH64" s="887"/>
      <c r="CI64" s="899"/>
      <c r="CJ64" s="900"/>
    </row>
    <row r="65" spans="1:88">
      <c r="A65" s="879">
        <v>62</v>
      </c>
      <c r="B65" s="879">
        <f>STUDENT!F63</f>
        <v>0</v>
      </c>
      <c r="C65" s="879">
        <f>STUDENT!D63</f>
        <v>0</v>
      </c>
      <c r="D65" s="886">
        <f>STUDENT!E63</f>
        <v>0</v>
      </c>
      <c r="E65" s="886">
        <f>STUDENT!H63</f>
        <v>0</v>
      </c>
      <c r="F65" s="887"/>
      <c r="G65" s="887"/>
      <c r="H65" s="887"/>
      <c r="I65" s="887"/>
      <c r="J65" s="887"/>
      <c r="K65" s="887"/>
      <c r="L65" s="887"/>
      <c r="M65" s="888" t="str">
        <f t="shared" si="6"/>
        <v/>
      </c>
      <c r="N65" s="887"/>
      <c r="O65" s="887"/>
      <c r="P65" s="887"/>
      <c r="Q65" s="887"/>
      <c r="R65" s="887"/>
      <c r="S65" s="887"/>
      <c r="T65" s="887"/>
      <c r="U65" s="889" t="str">
        <f t="shared" si="7"/>
        <v/>
      </c>
      <c r="V65" s="887"/>
      <c r="W65" s="887"/>
      <c r="X65" s="887"/>
      <c r="Y65" s="887"/>
      <c r="Z65" s="887"/>
      <c r="AA65" s="887"/>
      <c r="AB65" s="887"/>
      <c r="AC65" s="890" t="str">
        <f t="shared" si="8"/>
        <v/>
      </c>
      <c r="AD65" s="887"/>
      <c r="AE65" s="887"/>
      <c r="AF65" s="887"/>
      <c r="AG65" s="887"/>
      <c r="AH65" s="887"/>
      <c r="AI65" s="887"/>
      <c r="AJ65" s="887"/>
      <c r="AK65" s="888" t="str">
        <f t="shared" si="9"/>
        <v/>
      </c>
      <c r="AL65" s="891">
        <f t="shared" si="10"/>
        <v>0</v>
      </c>
      <c r="AM65" s="891">
        <f t="shared" si="11"/>
        <v>0</v>
      </c>
      <c r="AN65" s="891">
        <f t="shared" si="12"/>
        <v>0</v>
      </c>
      <c r="AO65" s="891">
        <f t="shared" si="13"/>
        <v>0</v>
      </c>
      <c r="AP65" s="891">
        <f t="shared" si="14"/>
        <v>0</v>
      </c>
      <c r="AQ65" s="891">
        <f t="shared" si="15"/>
        <v>0</v>
      </c>
      <c r="AR65" s="891">
        <f t="shared" si="16"/>
        <v>0</v>
      </c>
      <c r="AS65" s="891">
        <f t="shared" si="17"/>
        <v>0</v>
      </c>
      <c r="AT65" s="891">
        <f t="shared" si="18"/>
        <v>0</v>
      </c>
      <c r="AU65" s="891">
        <f t="shared" si="19"/>
        <v>0</v>
      </c>
      <c r="AV65" s="891">
        <f t="shared" si="20"/>
        <v>0</v>
      </c>
      <c r="AW65" s="891">
        <f t="shared" si="21"/>
        <v>0</v>
      </c>
      <c r="AX65" s="891">
        <f t="shared" si="22"/>
        <v>0</v>
      </c>
      <c r="AY65" s="891">
        <f t="shared" si="23"/>
        <v>0</v>
      </c>
      <c r="AZ65" s="891">
        <f t="shared" si="24"/>
        <v>0</v>
      </c>
      <c r="BA65" s="891">
        <f t="shared" si="25"/>
        <v>0</v>
      </c>
      <c r="BB65" s="888" t="str">
        <f t="shared" si="26"/>
        <v/>
      </c>
      <c r="BC65" s="888" t="str">
        <f t="shared" si="27"/>
        <v/>
      </c>
      <c r="BD65" s="888" t="str">
        <f t="shared" si="28"/>
        <v/>
      </c>
      <c r="BE65" s="888" t="str">
        <f t="shared" si="29"/>
        <v/>
      </c>
      <c r="BF65" s="888" t="str">
        <f t="shared" si="30"/>
        <v/>
      </c>
      <c r="BG65" s="888" t="str">
        <f t="shared" si="31"/>
        <v/>
      </c>
      <c r="BH65" s="888" t="str">
        <f t="shared" si="32"/>
        <v/>
      </c>
      <c r="BI65" s="888" t="str">
        <f t="shared" si="33"/>
        <v/>
      </c>
      <c r="BJ65" s="889" t="str">
        <f t="shared" si="34"/>
        <v/>
      </c>
      <c r="BK65" s="889" t="str">
        <f t="shared" si="35"/>
        <v/>
      </c>
      <c r="BL65" s="889" t="str">
        <f t="shared" si="36"/>
        <v/>
      </c>
      <c r="BM65" s="889" t="str">
        <f t="shared" si="37"/>
        <v/>
      </c>
      <c r="BN65" s="889" t="str">
        <f t="shared" si="38"/>
        <v/>
      </c>
      <c r="BO65" s="889" t="str">
        <f t="shared" si="39"/>
        <v/>
      </c>
      <c r="BP65" s="889" t="str">
        <f t="shared" si="40"/>
        <v/>
      </c>
      <c r="BQ65" s="889" t="str">
        <f t="shared" si="41"/>
        <v/>
      </c>
      <c r="BR65" s="890" t="str">
        <f t="shared" si="42"/>
        <v/>
      </c>
      <c r="BS65" s="890" t="str">
        <f t="shared" si="43"/>
        <v/>
      </c>
      <c r="BT65" s="890" t="str">
        <f t="shared" si="44"/>
        <v/>
      </c>
      <c r="BU65" s="890" t="str">
        <f t="shared" si="45"/>
        <v/>
      </c>
      <c r="BV65" s="890" t="str">
        <f t="shared" si="46"/>
        <v/>
      </c>
      <c r="BW65" s="890" t="str">
        <f t="shared" si="47"/>
        <v/>
      </c>
      <c r="BX65" s="890" t="str">
        <f t="shared" si="48"/>
        <v/>
      </c>
      <c r="BY65" s="890" t="str">
        <f t="shared" si="49"/>
        <v/>
      </c>
      <c r="BZ65" s="888" t="str">
        <f t="shared" si="50"/>
        <v/>
      </c>
      <c r="CA65" s="888" t="str">
        <f t="shared" si="51"/>
        <v/>
      </c>
      <c r="CB65" s="888" t="str">
        <f t="shared" si="52"/>
        <v/>
      </c>
      <c r="CC65" s="888" t="str">
        <f t="shared" si="53"/>
        <v/>
      </c>
      <c r="CD65" s="888" t="str">
        <f t="shared" si="54"/>
        <v/>
      </c>
      <c r="CE65" s="888" t="str">
        <f t="shared" si="55"/>
        <v/>
      </c>
      <c r="CF65" s="888" t="str">
        <f t="shared" si="56"/>
        <v/>
      </c>
      <c r="CG65" s="888" t="str">
        <f t="shared" si="57"/>
        <v/>
      </c>
      <c r="CH65" s="887"/>
      <c r="CI65" s="899"/>
      <c r="CJ65" s="900"/>
    </row>
    <row r="66" spans="1:88">
      <c r="A66" s="879">
        <v>63</v>
      </c>
      <c r="B66" s="879">
        <f>STUDENT!F64</f>
        <v>0</v>
      </c>
      <c r="C66" s="879">
        <f>STUDENT!D64</f>
        <v>0</v>
      </c>
      <c r="D66" s="886">
        <f>STUDENT!E64</f>
        <v>0</v>
      </c>
      <c r="E66" s="886">
        <f>STUDENT!H64</f>
        <v>0</v>
      </c>
      <c r="F66" s="887"/>
      <c r="G66" s="887"/>
      <c r="H66" s="887"/>
      <c r="I66" s="887"/>
      <c r="J66" s="887"/>
      <c r="K66" s="887"/>
      <c r="L66" s="887"/>
      <c r="M66" s="888" t="str">
        <f t="shared" si="6"/>
        <v/>
      </c>
      <c r="N66" s="887"/>
      <c r="O66" s="887"/>
      <c r="P66" s="887"/>
      <c r="Q66" s="887"/>
      <c r="R66" s="887"/>
      <c r="S66" s="887"/>
      <c r="T66" s="887"/>
      <c r="U66" s="889" t="str">
        <f t="shared" si="7"/>
        <v/>
      </c>
      <c r="V66" s="887"/>
      <c r="W66" s="887"/>
      <c r="X66" s="887"/>
      <c r="Y66" s="887"/>
      <c r="Z66" s="887"/>
      <c r="AA66" s="887"/>
      <c r="AB66" s="887"/>
      <c r="AC66" s="890" t="str">
        <f t="shared" si="8"/>
        <v/>
      </c>
      <c r="AD66" s="887"/>
      <c r="AE66" s="887"/>
      <c r="AF66" s="887"/>
      <c r="AG66" s="887"/>
      <c r="AH66" s="887"/>
      <c r="AI66" s="887"/>
      <c r="AJ66" s="887"/>
      <c r="AK66" s="888" t="str">
        <f t="shared" si="9"/>
        <v/>
      </c>
      <c r="AL66" s="891">
        <f t="shared" si="10"/>
        <v>0</v>
      </c>
      <c r="AM66" s="891">
        <f t="shared" si="11"/>
        <v>0</v>
      </c>
      <c r="AN66" s="891">
        <f t="shared" si="12"/>
        <v>0</v>
      </c>
      <c r="AO66" s="891">
        <f t="shared" si="13"/>
        <v>0</v>
      </c>
      <c r="AP66" s="891">
        <f t="shared" si="14"/>
        <v>0</v>
      </c>
      <c r="AQ66" s="891">
        <f t="shared" si="15"/>
        <v>0</v>
      </c>
      <c r="AR66" s="891">
        <f t="shared" si="16"/>
        <v>0</v>
      </c>
      <c r="AS66" s="891">
        <f t="shared" si="17"/>
        <v>0</v>
      </c>
      <c r="AT66" s="891">
        <f t="shared" si="18"/>
        <v>0</v>
      </c>
      <c r="AU66" s="891">
        <f t="shared" si="19"/>
        <v>0</v>
      </c>
      <c r="AV66" s="891">
        <f t="shared" si="20"/>
        <v>0</v>
      </c>
      <c r="AW66" s="891">
        <f t="shared" si="21"/>
        <v>0</v>
      </c>
      <c r="AX66" s="891">
        <f t="shared" si="22"/>
        <v>0</v>
      </c>
      <c r="AY66" s="891">
        <f t="shared" si="23"/>
        <v>0</v>
      </c>
      <c r="AZ66" s="891">
        <f t="shared" si="24"/>
        <v>0</v>
      </c>
      <c r="BA66" s="891">
        <f t="shared" si="25"/>
        <v>0</v>
      </c>
      <c r="BB66" s="888" t="str">
        <f t="shared" si="26"/>
        <v/>
      </c>
      <c r="BC66" s="888" t="str">
        <f t="shared" si="27"/>
        <v/>
      </c>
      <c r="BD66" s="888" t="str">
        <f t="shared" si="28"/>
        <v/>
      </c>
      <c r="BE66" s="888" t="str">
        <f t="shared" si="29"/>
        <v/>
      </c>
      <c r="BF66" s="888" t="str">
        <f t="shared" si="30"/>
        <v/>
      </c>
      <c r="BG66" s="888" t="str">
        <f t="shared" si="31"/>
        <v/>
      </c>
      <c r="BH66" s="888" t="str">
        <f t="shared" si="32"/>
        <v/>
      </c>
      <c r="BI66" s="888" t="str">
        <f t="shared" si="33"/>
        <v/>
      </c>
      <c r="BJ66" s="889" t="str">
        <f t="shared" si="34"/>
        <v/>
      </c>
      <c r="BK66" s="889" t="str">
        <f t="shared" si="35"/>
        <v/>
      </c>
      <c r="BL66" s="889" t="str">
        <f t="shared" si="36"/>
        <v/>
      </c>
      <c r="BM66" s="889" t="str">
        <f t="shared" si="37"/>
        <v/>
      </c>
      <c r="BN66" s="889" t="str">
        <f t="shared" si="38"/>
        <v/>
      </c>
      <c r="BO66" s="889" t="str">
        <f t="shared" si="39"/>
        <v/>
      </c>
      <c r="BP66" s="889" t="str">
        <f t="shared" si="40"/>
        <v/>
      </c>
      <c r="BQ66" s="889" t="str">
        <f t="shared" si="41"/>
        <v/>
      </c>
      <c r="BR66" s="890" t="str">
        <f t="shared" si="42"/>
        <v/>
      </c>
      <c r="BS66" s="890" t="str">
        <f t="shared" si="43"/>
        <v/>
      </c>
      <c r="BT66" s="890" t="str">
        <f t="shared" si="44"/>
        <v/>
      </c>
      <c r="BU66" s="890" t="str">
        <f t="shared" si="45"/>
        <v/>
      </c>
      <c r="BV66" s="890" t="str">
        <f t="shared" si="46"/>
        <v/>
      </c>
      <c r="BW66" s="890" t="str">
        <f t="shared" si="47"/>
        <v/>
      </c>
      <c r="BX66" s="890" t="str">
        <f t="shared" si="48"/>
        <v/>
      </c>
      <c r="BY66" s="890" t="str">
        <f t="shared" si="49"/>
        <v/>
      </c>
      <c r="BZ66" s="888" t="str">
        <f t="shared" si="50"/>
        <v/>
      </c>
      <c r="CA66" s="888" t="str">
        <f t="shared" si="51"/>
        <v/>
      </c>
      <c r="CB66" s="888" t="str">
        <f t="shared" si="52"/>
        <v/>
      </c>
      <c r="CC66" s="888" t="str">
        <f t="shared" si="53"/>
        <v/>
      </c>
      <c r="CD66" s="888" t="str">
        <f t="shared" si="54"/>
        <v/>
      </c>
      <c r="CE66" s="888" t="str">
        <f t="shared" si="55"/>
        <v/>
      </c>
      <c r="CF66" s="888" t="str">
        <f t="shared" si="56"/>
        <v/>
      </c>
      <c r="CG66" s="888" t="str">
        <f t="shared" si="57"/>
        <v/>
      </c>
      <c r="CH66" s="887"/>
      <c r="CI66" s="899"/>
      <c r="CJ66" s="900"/>
    </row>
    <row r="67" spans="1:88">
      <c r="A67" s="879">
        <v>64</v>
      </c>
      <c r="B67" s="879">
        <f>STUDENT!F65</f>
        <v>0</v>
      </c>
      <c r="C67" s="879">
        <f>STUDENT!D65</f>
        <v>0</v>
      </c>
      <c r="D67" s="886">
        <f>STUDENT!E65</f>
        <v>0</v>
      </c>
      <c r="E67" s="886">
        <f>STUDENT!H65</f>
        <v>0</v>
      </c>
      <c r="F67" s="887"/>
      <c r="G67" s="887"/>
      <c r="H67" s="887"/>
      <c r="I67" s="887"/>
      <c r="J67" s="887"/>
      <c r="K67" s="887"/>
      <c r="L67" s="887"/>
      <c r="M67" s="888" t="str">
        <f t="shared" si="6"/>
        <v/>
      </c>
      <c r="N67" s="887"/>
      <c r="O67" s="887"/>
      <c r="P67" s="887"/>
      <c r="Q67" s="887"/>
      <c r="R67" s="887"/>
      <c r="S67" s="887"/>
      <c r="T67" s="887"/>
      <c r="U67" s="889" t="str">
        <f t="shared" si="7"/>
        <v/>
      </c>
      <c r="V67" s="887"/>
      <c r="W67" s="887"/>
      <c r="X67" s="887"/>
      <c r="Y67" s="887"/>
      <c r="Z67" s="887"/>
      <c r="AA67" s="887"/>
      <c r="AB67" s="887"/>
      <c r="AC67" s="890" t="str">
        <f t="shared" si="8"/>
        <v/>
      </c>
      <c r="AD67" s="887"/>
      <c r="AE67" s="887"/>
      <c r="AF67" s="887"/>
      <c r="AG67" s="887"/>
      <c r="AH67" s="887"/>
      <c r="AI67" s="887"/>
      <c r="AJ67" s="887"/>
      <c r="AK67" s="888" t="str">
        <f t="shared" si="9"/>
        <v/>
      </c>
      <c r="AL67" s="891">
        <f t="shared" si="10"/>
        <v>0</v>
      </c>
      <c r="AM67" s="891">
        <f t="shared" si="11"/>
        <v>0</v>
      </c>
      <c r="AN67" s="891">
        <f t="shared" si="12"/>
        <v>0</v>
      </c>
      <c r="AO67" s="891">
        <f t="shared" si="13"/>
        <v>0</v>
      </c>
      <c r="AP67" s="891">
        <f t="shared" si="14"/>
        <v>0</v>
      </c>
      <c r="AQ67" s="891">
        <f t="shared" si="15"/>
        <v>0</v>
      </c>
      <c r="AR67" s="891">
        <f t="shared" si="16"/>
        <v>0</v>
      </c>
      <c r="AS67" s="891">
        <f t="shared" si="17"/>
        <v>0</v>
      </c>
      <c r="AT67" s="891">
        <f t="shared" si="18"/>
        <v>0</v>
      </c>
      <c r="AU67" s="891">
        <f t="shared" si="19"/>
        <v>0</v>
      </c>
      <c r="AV67" s="891">
        <f t="shared" si="20"/>
        <v>0</v>
      </c>
      <c r="AW67" s="891">
        <f t="shared" si="21"/>
        <v>0</v>
      </c>
      <c r="AX67" s="891">
        <f t="shared" si="22"/>
        <v>0</v>
      </c>
      <c r="AY67" s="891">
        <f t="shared" si="23"/>
        <v>0</v>
      </c>
      <c r="AZ67" s="891">
        <f t="shared" si="24"/>
        <v>0</v>
      </c>
      <c r="BA67" s="891">
        <f t="shared" si="25"/>
        <v>0</v>
      </c>
      <c r="BB67" s="888" t="str">
        <f t="shared" si="26"/>
        <v/>
      </c>
      <c r="BC67" s="888" t="str">
        <f t="shared" si="27"/>
        <v/>
      </c>
      <c r="BD67" s="888" t="str">
        <f t="shared" si="28"/>
        <v/>
      </c>
      <c r="BE67" s="888" t="str">
        <f t="shared" si="29"/>
        <v/>
      </c>
      <c r="BF67" s="888" t="str">
        <f t="shared" si="30"/>
        <v/>
      </c>
      <c r="BG67" s="888" t="str">
        <f t="shared" si="31"/>
        <v/>
      </c>
      <c r="BH67" s="888" t="str">
        <f t="shared" si="32"/>
        <v/>
      </c>
      <c r="BI67" s="888" t="str">
        <f t="shared" si="33"/>
        <v/>
      </c>
      <c r="BJ67" s="889" t="str">
        <f t="shared" si="34"/>
        <v/>
      </c>
      <c r="BK67" s="889" t="str">
        <f t="shared" si="35"/>
        <v/>
      </c>
      <c r="BL67" s="889" t="str">
        <f t="shared" si="36"/>
        <v/>
      </c>
      <c r="BM67" s="889" t="str">
        <f t="shared" si="37"/>
        <v/>
      </c>
      <c r="BN67" s="889" t="str">
        <f t="shared" si="38"/>
        <v/>
      </c>
      <c r="BO67" s="889" t="str">
        <f t="shared" si="39"/>
        <v/>
      </c>
      <c r="BP67" s="889" t="str">
        <f t="shared" si="40"/>
        <v/>
      </c>
      <c r="BQ67" s="889" t="str">
        <f t="shared" si="41"/>
        <v/>
      </c>
      <c r="BR67" s="890" t="str">
        <f t="shared" si="42"/>
        <v/>
      </c>
      <c r="BS67" s="890" t="str">
        <f t="shared" si="43"/>
        <v/>
      </c>
      <c r="BT67" s="890" t="str">
        <f t="shared" si="44"/>
        <v/>
      </c>
      <c r="BU67" s="890" t="str">
        <f t="shared" si="45"/>
        <v/>
      </c>
      <c r="BV67" s="890" t="str">
        <f t="shared" si="46"/>
        <v/>
      </c>
      <c r="BW67" s="890" t="str">
        <f t="shared" si="47"/>
        <v/>
      </c>
      <c r="BX67" s="890" t="str">
        <f t="shared" si="48"/>
        <v/>
      </c>
      <c r="BY67" s="890" t="str">
        <f t="shared" si="49"/>
        <v/>
      </c>
      <c r="BZ67" s="888" t="str">
        <f t="shared" si="50"/>
        <v/>
      </c>
      <c r="CA67" s="888" t="str">
        <f t="shared" si="51"/>
        <v/>
      </c>
      <c r="CB67" s="888" t="str">
        <f t="shared" si="52"/>
        <v/>
      </c>
      <c r="CC67" s="888" t="str">
        <f t="shared" si="53"/>
        <v/>
      </c>
      <c r="CD67" s="888" t="str">
        <f t="shared" si="54"/>
        <v/>
      </c>
      <c r="CE67" s="888" t="str">
        <f t="shared" si="55"/>
        <v/>
      </c>
      <c r="CF67" s="888" t="str">
        <f t="shared" si="56"/>
        <v/>
      </c>
      <c r="CG67" s="888" t="str">
        <f t="shared" si="57"/>
        <v/>
      </c>
      <c r="CH67" s="887"/>
      <c r="CI67" s="899"/>
      <c r="CJ67" s="900"/>
    </row>
    <row r="68" spans="1:88">
      <c r="A68" s="879">
        <v>65</v>
      </c>
      <c r="B68" s="879">
        <f>STUDENT!F66</f>
        <v>0</v>
      </c>
      <c r="C68" s="879">
        <f>STUDENT!D66</f>
        <v>0</v>
      </c>
      <c r="D68" s="886">
        <f>STUDENT!E66</f>
        <v>0</v>
      </c>
      <c r="E68" s="886">
        <f>STUDENT!H66</f>
        <v>0</v>
      </c>
      <c r="F68" s="887"/>
      <c r="G68" s="887"/>
      <c r="H68" s="887"/>
      <c r="I68" s="887"/>
      <c r="J68" s="887"/>
      <c r="K68" s="887"/>
      <c r="L68" s="887"/>
      <c r="M68" s="888" t="str">
        <f t="shared" si="6"/>
        <v/>
      </c>
      <c r="N68" s="887"/>
      <c r="O68" s="887"/>
      <c r="P68" s="887"/>
      <c r="Q68" s="887"/>
      <c r="R68" s="887"/>
      <c r="S68" s="887"/>
      <c r="T68" s="887"/>
      <c r="U68" s="889" t="str">
        <f t="shared" si="7"/>
        <v/>
      </c>
      <c r="V68" s="887"/>
      <c r="W68" s="887"/>
      <c r="X68" s="887"/>
      <c r="Y68" s="887"/>
      <c r="Z68" s="887"/>
      <c r="AA68" s="887"/>
      <c r="AB68" s="887"/>
      <c r="AC68" s="890" t="str">
        <f t="shared" si="8"/>
        <v/>
      </c>
      <c r="AD68" s="887"/>
      <c r="AE68" s="887"/>
      <c r="AF68" s="887"/>
      <c r="AG68" s="887"/>
      <c r="AH68" s="887"/>
      <c r="AI68" s="887"/>
      <c r="AJ68" s="887"/>
      <c r="AK68" s="888" t="str">
        <f t="shared" si="9"/>
        <v/>
      </c>
      <c r="AL68" s="891">
        <f t="shared" si="10"/>
        <v>0</v>
      </c>
      <c r="AM68" s="891">
        <f t="shared" si="11"/>
        <v>0</v>
      </c>
      <c r="AN68" s="891">
        <f t="shared" si="12"/>
        <v>0</v>
      </c>
      <c r="AO68" s="891">
        <f t="shared" si="13"/>
        <v>0</v>
      </c>
      <c r="AP68" s="891">
        <f t="shared" si="14"/>
        <v>0</v>
      </c>
      <c r="AQ68" s="891">
        <f t="shared" si="15"/>
        <v>0</v>
      </c>
      <c r="AR68" s="891">
        <f t="shared" si="16"/>
        <v>0</v>
      </c>
      <c r="AS68" s="891">
        <f t="shared" si="17"/>
        <v>0</v>
      </c>
      <c r="AT68" s="891">
        <f t="shared" si="18"/>
        <v>0</v>
      </c>
      <c r="AU68" s="891">
        <f t="shared" si="19"/>
        <v>0</v>
      </c>
      <c r="AV68" s="891">
        <f t="shared" si="20"/>
        <v>0</v>
      </c>
      <c r="AW68" s="891">
        <f t="shared" si="21"/>
        <v>0</v>
      </c>
      <c r="AX68" s="891">
        <f t="shared" si="22"/>
        <v>0</v>
      </c>
      <c r="AY68" s="891">
        <f t="shared" si="23"/>
        <v>0</v>
      </c>
      <c r="AZ68" s="891">
        <f t="shared" si="24"/>
        <v>0</v>
      </c>
      <c r="BA68" s="891">
        <f t="shared" si="25"/>
        <v>0</v>
      </c>
      <c r="BB68" s="888" t="str">
        <f t="shared" si="26"/>
        <v/>
      </c>
      <c r="BC68" s="888" t="str">
        <f t="shared" si="27"/>
        <v/>
      </c>
      <c r="BD68" s="888" t="str">
        <f t="shared" si="28"/>
        <v/>
      </c>
      <c r="BE68" s="888" t="str">
        <f t="shared" si="29"/>
        <v/>
      </c>
      <c r="BF68" s="888" t="str">
        <f t="shared" si="30"/>
        <v/>
      </c>
      <c r="BG68" s="888" t="str">
        <f t="shared" si="31"/>
        <v/>
      </c>
      <c r="BH68" s="888" t="str">
        <f t="shared" si="32"/>
        <v/>
      </c>
      <c r="BI68" s="888" t="str">
        <f t="shared" si="33"/>
        <v/>
      </c>
      <c r="BJ68" s="889" t="str">
        <f t="shared" si="34"/>
        <v/>
      </c>
      <c r="BK68" s="889" t="str">
        <f t="shared" si="35"/>
        <v/>
      </c>
      <c r="BL68" s="889" t="str">
        <f t="shared" si="36"/>
        <v/>
      </c>
      <c r="BM68" s="889" t="str">
        <f t="shared" si="37"/>
        <v/>
      </c>
      <c r="BN68" s="889" t="str">
        <f t="shared" si="38"/>
        <v/>
      </c>
      <c r="BO68" s="889" t="str">
        <f t="shared" si="39"/>
        <v/>
      </c>
      <c r="BP68" s="889" t="str">
        <f t="shared" si="40"/>
        <v/>
      </c>
      <c r="BQ68" s="889" t="str">
        <f t="shared" si="41"/>
        <v/>
      </c>
      <c r="BR68" s="890" t="str">
        <f t="shared" si="42"/>
        <v/>
      </c>
      <c r="BS68" s="890" t="str">
        <f t="shared" si="43"/>
        <v/>
      </c>
      <c r="BT68" s="890" t="str">
        <f t="shared" si="44"/>
        <v/>
      </c>
      <c r="BU68" s="890" t="str">
        <f t="shared" si="45"/>
        <v/>
      </c>
      <c r="BV68" s="890" t="str">
        <f t="shared" si="46"/>
        <v/>
      </c>
      <c r="BW68" s="890" t="str">
        <f t="shared" si="47"/>
        <v/>
      </c>
      <c r="BX68" s="890" t="str">
        <f t="shared" si="48"/>
        <v/>
      </c>
      <c r="BY68" s="890" t="str">
        <f t="shared" si="49"/>
        <v/>
      </c>
      <c r="BZ68" s="888" t="str">
        <f t="shared" si="50"/>
        <v/>
      </c>
      <c r="CA68" s="888" t="str">
        <f t="shared" si="51"/>
        <v/>
      </c>
      <c r="CB68" s="888" t="str">
        <f t="shared" si="52"/>
        <v/>
      </c>
      <c r="CC68" s="888" t="str">
        <f t="shared" si="53"/>
        <v/>
      </c>
      <c r="CD68" s="888" t="str">
        <f t="shared" si="54"/>
        <v/>
      </c>
      <c r="CE68" s="888" t="str">
        <f t="shared" si="55"/>
        <v/>
      </c>
      <c r="CF68" s="888" t="str">
        <f t="shared" si="56"/>
        <v/>
      </c>
      <c r="CG68" s="888" t="str">
        <f t="shared" si="57"/>
        <v/>
      </c>
      <c r="CH68" s="887"/>
      <c r="CI68" s="899"/>
      <c r="CJ68" s="900"/>
    </row>
    <row r="69" spans="1:88">
      <c r="A69" s="879">
        <v>66</v>
      </c>
      <c r="B69" s="879">
        <f>STUDENT!F67</f>
        <v>0</v>
      </c>
      <c r="C69" s="879">
        <f>STUDENT!D67</f>
        <v>0</v>
      </c>
      <c r="D69" s="886">
        <f>STUDENT!E67</f>
        <v>0</v>
      </c>
      <c r="E69" s="886">
        <f>STUDENT!H67</f>
        <v>0</v>
      </c>
      <c r="F69" s="887"/>
      <c r="G69" s="887"/>
      <c r="H69" s="887"/>
      <c r="I69" s="887"/>
      <c r="J69" s="887"/>
      <c r="K69" s="887"/>
      <c r="L69" s="887"/>
      <c r="M69" s="888" t="str">
        <f t="shared" ref="M69:M103" si="58">IF(B69&gt;0,SUM(F69:L69),"")</f>
        <v/>
      </c>
      <c r="N69" s="887"/>
      <c r="O69" s="887"/>
      <c r="P69" s="887"/>
      <c r="Q69" s="887"/>
      <c r="R69" s="887"/>
      <c r="S69" s="887"/>
      <c r="T69" s="887"/>
      <c r="U69" s="889" t="str">
        <f t="shared" ref="U69:U103" si="59">IF(B69&gt;0,SUM(N69:T69),"")</f>
        <v/>
      </c>
      <c r="V69" s="887"/>
      <c r="W69" s="887"/>
      <c r="X69" s="887"/>
      <c r="Y69" s="887"/>
      <c r="Z69" s="887"/>
      <c r="AA69" s="887"/>
      <c r="AB69" s="887"/>
      <c r="AC69" s="890" t="str">
        <f t="shared" ref="AC69:AC103" si="60">IF(B69&gt;0,SUM(V69:AB69),"")</f>
        <v/>
      </c>
      <c r="AD69" s="887"/>
      <c r="AE69" s="887"/>
      <c r="AF69" s="887"/>
      <c r="AG69" s="887"/>
      <c r="AH69" s="887"/>
      <c r="AI69" s="887"/>
      <c r="AJ69" s="887"/>
      <c r="AK69" s="888" t="str">
        <f t="shared" ref="AK69:AK103" si="61">IF(B69&gt;0,SUM(AD69:AJ69),"")</f>
        <v/>
      </c>
      <c r="AL69" s="891">
        <f t="shared" ref="AL69:AL103" si="62">ROUND(SUM(F69,N69)/8,)</f>
        <v>0</v>
      </c>
      <c r="AM69" s="891">
        <f t="shared" ref="AM69:AM103" si="63">ROUND(SUM(G69,O69)/8,)</f>
        <v>0</v>
      </c>
      <c r="AN69" s="891">
        <f t="shared" ref="AN69:AN103" si="64">ROUND(SUM(H69,P69)/8,)</f>
        <v>0</v>
      </c>
      <c r="AO69" s="891">
        <f t="shared" ref="AO69:AO103" si="65">ROUND(SUM(I69,Q69)/8,)</f>
        <v>0</v>
      </c>
      <c r="AP69" s="891">
        <f t="shared" ref="AP69:AP103" si="66">ROUND(SUM(J69,R69)/8,)</f>
        <v>0</v>
      </c>
      <c r="AQ69" s="891">
        <f t="shared" ref="AQ69:AQ103" si="67">ROUND(SUM(K69,S69)/8,)</f>
        <v>0</v>
      </c>
      <c r="AR69" s="891">
        <f t="shared" ref="AR69:AR103" si="68">ROUND(SUM(L69,T69)/8,)</f>
        <v>0</v>
      </c>
      <c r="AS69" s="891">
        <f t="shared" ref="AS69:AS103" si="69">SUM(AL69:AR69)</f>
        <v>0</v>
      </c>
      <c r="AT69" s="891">
        <f t="shared" ref="AT69:AT103" si="70">ROUND(SUM(V69,AD69)/8,)</f>
        <v>0</v>
      </c>
      <c r="AU69" s="891">
        <f t="shared" ref="AU69:AU103" si="71">ROUND(SUM(W69,AE69)/8,)</f>
        <v>0</v>
      </c>
      <c r="AV69" s="891">
        <f t="shared" ref="AV69:AV103" si="72">ROUND(SUM(X69,AF69)/8,)</f>
        <v>0</v>
      </c>
      <c r="AW69" s="891">
        <f t="shared" ref="AW69:AW103" si="73">ROUND(SUM(Y69,AG69)/8,)</f>
        <v>0</v>
      </c>
      <c r="AX69" s="891">
        <f t="shared" ref="AX69:AX103" si="74">ROUND(SUM(Z69,AH69)/8,)</f>
        <v>0</v>
      </c>
      <c r="AY69" s="891">
        <f t="shared" ref="AY69:AY103" si="75">ROUND(SUM(AA69,AI69)/8,)</f>
        <v>0</v>
      </c>
      <c r="AZ69" s="891">
        <f t="shared" ref="AZ69:AZ103" si="76">ROUND(SUM(AB69,AJ69)/8,)</f>
        <v>0</v>
      </c>
      <c r="BA69" s="891">
        <f t="shared" ref="BA69:BA103" si="77">SUM(AT69:AZ69)</f>
        <v>0</v>
      </c>
      <c r="BB69" s="888" t="str">
        <f t="shared" ref="BB69:BB103" si="78">IF(F69="","",IF(F69="Ab","Ab",IF(F69="DAB","DAB",IF(F69&gt;15,"A",IF(F69&gt;11,"B",IF(F69&gt;8,"C",IF(F69&gt;5,"D",IF(F69&gt;0,"E",0))))))))</f>
        <v/>
      </c>
      <c r="BC69" s="888" t="str">
        <f t="shared" ref="BC69:BC103" si="79">IF(G69="","",IF(G69="Ab","Ab",IF(G69="DAB","DAB",IF(G69&gt;15,"A",IF(G69&gt;11,"B",IF(G69&gt;8,"C",IF(G69&gt;5,"D",IF(G69&gt;0,"E",0))))))))</f>
        <v/>
      </c>
      <c r="BD69" s="888" t="str">
        <f t="shared" ref="BD69:BD103" si="80">IF(H69="","",IF(H69="Ab","Ab",IF(H69="DAB","DAB",IF(H69&gt;15,"A",IF(H69&gt;11,"B",IF(H69&gt;8,"C",IF(H69&gt;5,"D",IF(H69&gt;0,"E",0))))))))</f>
        <v/>
      </c>
      <c r="BE69" s="888" t="str">
        <f t="shared" ref="BE69:BE103" si="81">IF(I69="","",IF(I69="Ab","Ab",IF(I69="DAB","DAB",IF(I69&gt;15,"A",IF(I69&gt;11,"B",IF(I69&gt;8,"C",IF(I69&gt;5,"D",IF(I69&gt;0,"E",0))))))))</f>
        <v/>
      </c>
      <c r="BF69" s="888" t="str">
        <f t="shared" ref="BF69:BF103" si="82">IF(J69="","",IF(J69="Ab","Ab",IF(J69="DAB","DAB",IF(J69&gt;15,"A",IF(J69&gt;11,"B",IF(J69&gt;8,"C",IF(J69&gt;5,"D",IF(J69&gt;0,"E",0))))))))</f>
        <v/>
      </c>
      <c r="BG69" s="888" t="str">
        <f t="shared" ref="BG69:BG103" si="83">IF(K69="","",IF(K69="Ab","Ab",IF(K69="DAB","DAB",IF(K69&gt;15,"A",IF(K69&gt;11,"B",IF(K69&gt;8,"C",IF(K69&gt;5,"D",IF(K69&gt;0,"E",0))))))))</f>
        <v/>
      </c>
      <c r="BH69" s="888" t="str">
        <f t="shared" ref="BH69:BH103" si="84">IF(L69="","",IF(L69="Ab","Ab",IF(L69="DAB","DAB",IF(L69&gt;15,"A",IF(L69&gt;11,"B",IF(L69&gt;8,"C",IF(L69&gt;5,"D",IF(L69&gt;0,"E",0))))))))</f>
        <v/>
      </c>
      <c r="BI69" s="888" t="str">
        <f t="shared" ref="BI69:BI103" si="85">IF(M69="","",IF(M69=0,"Ab",IF(M69="Ab","Ab",IF(M69="DAB","DAB",IF(M69&gt;=90,"A",IF(M69&gt;=66,"B",IF(M69&gt;=48,"C",IF(M69&gt;=30,"D",IF(M69&gt;0,"E","")))))))))</f>
        <v/>
      </c>
      <c r="BJ69" s="889" t="str">
        <f t="shared" ref="BJ69:BJ103" si="86">IF(N69="","",IF(N69="Ab","Ab",IF(N69="DAB","DAB",IF(N69&gt;15,"A",IF(N69&gt;11,"B",IF(N69&gt;8,"C",IF(N69&gt;5,"D",IF(N69&gt;0,"E",0))))))))</f>
        <v/>
      </c>
      <c r="BK69" s="889" t="str">
        <f t="shared" ref="BK69:BK103" si="87">IF(O69="","",IF(O69="Ab","Ab",IF(O69="DAB","DAB",IF(O69&gt;15,"A",IF(O69&gt;11,"B",IF(O69&gt;8,"C",IF(O69&gt;5,"D",IF(O69&gt;0,"E",0))))))))</f>
        <v/>
      </c>
      <c r="BL69" s="889" t="str">
        <f t="shared" ref="BL69:BL103" si="88">IF(P69="","",IF(P69="Ab","Ab",IF(P69="DAB","DAB",IF(P69&gt;15,"A",IF(P69&gt;11,"B",IF(P69&gt;8,"C",IF(P69&gt;5,"D",IF(P69&gt;0,"E",0))))))))</f>
        <v/>
      </c>
      <c r="BM69" s="889" t="str">
        <f t="shared" ref="BM69:BM103" si="89">IF(Q69="","",IF(Q69="Ab","Ab",IF(Q69="DAB","DAB",IF(Q69&gt;15,"A",IF(Q69&gt;11,"B",IF(Q69&gt;8,"C",IF(Q69&gt;5,"D",IF(Q69&gt;0,"E",0))))))))</f>
        <v/>
      </c>
      <c r="BN69" s="889" t="str">
        <f t="shared" ref="BN69:BN103" si="90">IF(R69="","",IF(R69="Ab","Ab",IF(R69="DAB","DAB",IF(R69&gt;15,"A",IF(R69&gt;11,"B",IF(R69&gt;8,"C",IF(R69&gt;5,"D",IF(R69&gt;0,"E",0))))))))</f>
        <v/>
      </c>
      <c r="BO69" s="889" t="str">
        <f t="shared" ref="BO69:BO103" si="91">IF(S69="","",IF(S69="Ab","Ab",IF(S69="DAB","DAB",IF(S69&gt;15,"A",IF(S69&gt;11,"B",IF(S69&gt;8,"C",IF(S69&gt;5,"D",IF(S69&gt;0,"E",0))))))))</f>
        <v/>
      </c>
      <c r="BP69" s="889" t="str">
        <f t="shared" ref="BP69:BP103" si="92">IF(T69="","",IF(T69="Ab","Ab",IF(T69="DAB","DAB",IF(T69&gt;15,"A",IF(T69&gt;11,"B",IF(T69&gt;8,"C",IF(T69&gt;5,"D",IF(T69&gt;0,"E",0))))))))</f>
        <v/>
      </c>
      <c r="BQ69" s="889" t="str">
        <f t="shared" ref="BQ69:BQ103" si="93">IF(U69="","",IF(U69=0,"Ab",IF(U69="Ab","Ab",IF(U69="DAB","DAB",IF(U69&gt;=90,"A",IF(U69&gt;=66,"B",IF(U69&gt;=48,"C",IF(U69&gt;=30,"D",IF(U69&gt;0,"E",0)))))))))</f>
        <v/>
      </c>
      <c r="BR69" s="890" t="str">
        <f t="shared" ref="BR69:BR103" si="94">IF(V69="","",IF(V69="Ab","Ab",IF(V69="DAB","DAB",IF(V69&gt;15,"A",IF(V69&gt;11,"B",IF(V69&gt;8,"C",IF(V69&gt;5,"D",IF(V69&gt;0,"E",0))))))))</f>
        <v/>
      </c>
      <c r="BS69" s="890" t="str">
        <f t="shared" ref="BS69:BS103" si="95">IF(W69="","",IF(W69="Ab","Ab",IF(W69="DAB","DAB",IF(W69&gt;15,"A",IF(W69&gt;11,"B",IF(W69&gt;8,"C",IF(W69&gt;5,"D",IF(W69&gt;0,"E",0))))))))</f>
        <v/>
      </c>
      <c r="BT69" s="890" t="str">
        <f t="shared" ref="BT69:BT103" si="96">IF(X69="","",IF(X69="Ab","Ab",IF(X69="DAB","DAB",IF(X69&gt;15,"A",IF(X69&gt;11,"B",IF(X69&gt;8,"C",IF(X69&gt;5,"D",IF(X69&gt;0,"E",0))))))))</f>
        <v/>
      </c>
      <c r="BU69" s="890" t="str">
        <f t="shared" ref="BU69:BU103" si="97">IF(Y69="","",IF(Y69="Ab","Ab",IF(Y69="DAB","DAB",IF(Y69&gt;15,"A",IF(Y69&gt;11,"B",IF(Y69&gt;8,"C",IF(Y69&gt;5,"D",IF(Y69&gt;0,"E",0))))))))</f>
        <v/>
      </c>
      <c r="BV69" s="890" t="str">
        <f t="shared" ref="BV69:BV103" si="98">IF(Z69="","",IF(Z69="Ab","Ab",IF(Z69="DAB","DAB",IF(Z69&gt;15,"A",IF(Z69&gt;11,"B",IF(Z69&gt;8,"C",IF(Z69&gt;5,"D",IF(Z69&gt;0,"E",0))))))))</f>
        <v/>
      </c>
      <c r="BW69" s="890" t="str">
        <f t="shared" ref="BW69:BW103" si="99">IF(AA69="","",IF(AA69="Ab","Ab",IF(AA69="DAB","DAB",IF(AA69&gt;15,"A",IF(AA69&gt;11,"B",IF(AA69&gt;8,"C",IF(AA69&gt;5,"D",IF(AA69&gt;0,"E",0))))))))</f>
        <v/>
      </c>
      <c r="BX69" s="890" t="str">
        <f t="shared" ref="BX69:BX103" si="100">IF(AB69="","",IF(AB69="Ab","Ab",IF(AB69="DAB","DAB",IF(AB69&gt;15,"A",IF(AB69&gt;11,"B",IF(AB69&gt;8,"C",IF(AB69&gt;5,"D",IF(AB69&gt;0,"E",0))))))))</f>
        <v/>
      </c>
      <c r="BY69" s="890" t="str">
        <f t="shared" ref="BY69:BY103" si="101">IF(AC69="","",IF(AC69=0,"Ab",IF(AC69="Ab","Ab",IF(AC69="DAB","DAB",IF(AC69&gt;=90,"A",IF(AC69&gt;=66,"B",IF(AC69&gt;=48,"C",IF(AC69&gt;=30,"D",IF(AC69&gt;0,"E",0)))))))))</f>
        <v/>
      </c>
      <c r="BZ69" s="888" t="str">
        <f t="shared" ref="BZ69:BZ103" si="102">IF(AD69="","",IF(AD69="Ab","Ab",IF(AD69="DAB","DAB",IF(AD69&gt;15,"A",IF(AD69&gt;11,"B",IF(AD69&gt;8,"C",IF(AD69&gt;5,"D",IF(AD69&gt;0,"E",0))))))))</f>
        <v/>
      </c>
      <c r="CA69" s="888" t="str">
        <f t="shared" ref="CA69:CA103" si="103">IF(AE69="","",IF(AE69="Ab","Ab",IF(AE69="DAB","DAB",IF(AE69&gt;15,"A",IF(AE69&gt;11,"B",IF(AE69&gt;8,"C",IF(AE69&gt;5,"D",IF(AE69&gt;0,"E",0))))))))</f>
        <v/>
      </c>
      <c r="CB69" s="888" t="str">
        <f t="shared" ref="CB69:CB103" si="104">IF(AF69="","",IF(AF69="Ab","Ab",IF(AF69="DAB","DAB",IF(AF69&gt;15,"A",IF(AF69&gt;11,"B",IF(AF69&gt;8,"C",IF(AF69&gt;5,"D",IF(AF69&gt;0,"E",0))))))))</f>
        <v/>
      </c>
      <c r="CC69" s="888" t="str">
        <f t="shared" ref="CC69:CC103" si="105">IF(AG69="","",IF(AG69="Ab","Ab",IF(AG69="DAB","DAB",IF(AG69&gt;15,"A",IF(AG69&gt;11,"B",IF(AG69&gt;8,"C",IF(AG69&gt;5,"D",IF(AG69&gt;0,"E",0))))))))</f>
        <v/>
      </c>
      <c r="CD69" s="888" t="str">
        <f t="shared" ref="CD69:CD103" si="106">IF(AH69="","",IF(AH69="Ab","Ab",IF(AH69="DAB","DAB",IF(AH69&gt;15,"A",IF(AH69&gt;11,"B",IF(AH69&gt;8,"C",IF(AH69&gt;5,"D",IF(AH69&gt;0,"E",0))))))))</f>
        <v/>
      </c>
      <c r="CE69" s="888" t="str">
        <f t="shared" ref="CE69:CE103" si="107">IF(AI69="","",IF(AI69="Ab","Ab",IF(AI69="DAB","DAB",IF(AI69&gt;15,"A",IF(AI69&gt;11,"B",IF(AI69&gt;8,"C",IF(AI69&gt;5,"D",IF(AI69&gt;0,"E",0))))))))</f>
        <v/>
      </c>
      <c r="CF69" s="888" t="str">
        <f t="shared" ref="CF69:CF103" si="108">IF(AJ69="","",IF(AJ69="Ab","Ab",IF(AJ69="DAB","DAB",IF(AJ69&gt;15,"A",IF(AJ69&gt;11,"B",IF(AJ69&gt;8,"C",IF(AJ69&gt;5,"D",IF(AJ69&gt;0,"E",0))))))))</f>
        <v/>
      </c>
      <c r="CG69" s="888" t="str">
        <f t="shared" ref="CG69:CG103" si="109">IF(AK69="","",IF(AK69=0,"Ab",IF(AK69="Ab","Ab",IF(AK69="DAB","DAB",IF(AK69&gt;=90,"A",IF(AK69&gt;=66,"B",IF(AK69&gt;=48,"C",IF(AK69&gt;=30,"D",IF(AK69&gt;0,"E",0)))))))))</f>
        <v/>
      </c>
      <c r="CH69" s="887"/>
      <c r="CI69" s="899"/>
      <c r="CJ69" s="900"/>
    </row>
    <row r="70" spans="1:88">
      <c r="A70" s="879">
        <v>67</v>
      </c>
      <c r="B70" s="879">
        <f>STUDENT!F68</f>
        <v>0</v>
      </c>
      <c r="C70" s="879">
        <f>STUDENT!D68</f>
        <v>0</v>
      </c>
      <c r="D70" s="886">
        <f>STUDENT!E68</f>
        <v>0</v>
      </c>
      <c r="E70" s="886">
        <f>STUDENT!H68</f>
        <v>0</v>
      </c>
      <c r="F70" s="887"/>
      <c r="G70" s="887"/>
      <c r="H70" s="887"/>
      <c r="I70" s="887"/>
      <c r="J70" s="887"/>
      <c r="K70" s="887"/>
      <c r="L70" s="887"/>
      <c r="M70" s="888" t="str">
        <f t="shared" si="58"/>
        <v/>
      </c>
      <c r="N70" s="887"/>
      <c r="O70" s="887"/>
      <c r="P70" s="887"/>
      <c r="Q70" s="887"/>
      <c r="R70" s="887"/>
      <c r="S70" s="887"/>
      <c r="T70" s="887"/>
      <c r="U70" s="889" t="str">
        <f t="shared" si="59"/>
        <v/>
      </c>
      <c r="V70" s="887"/>
      <c r="W70" s="887"/>
      <c r="X70" s="887"/>
      <c r="Y70" s="887"/>
      <c r="Z70" s="887"/>
      <c r="AA70" s="887"/>
      <c r="AB70" s="887"/>
      <c r="AC70" s="890" t="str">
        <f t="shared" si="60"/>
        <v/>
      </c>
      <c r="AD70" s="887"/>
      <c r="AE70" s="887"/>
      <c r="AF70" s="887"/>
      <c r="AG70" s="887"/>
      <c r="AH70" s="887"/>
      <c r="AI70" s="887"/>
      <c r="AJ70" s="887"/>
      <c r="AK70" s="888" t="str">
        <f t="shared" si="61"/>
        <v/>
      </c>
      <c r="AL70" s="891">
        <f t="shared" si="62"/>
        <v>0</v>
      </c>
      <c r="AM70" s="891">
        <f t="shared" si="63"/>
        <v>0</v>
      </c>
      <c r="AN70" s="891">
        <f t="shared" si="64"/>
        <v>0</v>
      </c>
      <c r="AO70" s="891">
        <f t="shared" si="65"/>
        <v>0</v>
      </c>
      <c r="AP70" s="891">
        <f t="shared" si="66"/>
        <v>0</v>
      </c>
      <c r="AQ70" s="891">
        <f t="shared" si="67"/>
        <v>0</v>
      </c>
      <c r="AR70" s="891">
        <f t="shared" si="68"/>
        <v>0</v>
      </c>
      <c r="AS70" s="891">
        <f t="shared" si="69"/>
        <v>0</v>
      </c>
      <c r="AT70" s="891">
        <f t="shared" si="70"/>
        <v>0</v>
      </c>
      <c r="AU70" s="891">
        <f t="shared" si="71"/>
        <v>0</v>
      </c>
      <c r="AV70" s="891">
        <f t="shared" si="72"/>
        <v>0</v>
      </c>
      <c r="AW70" s="891">
        <f t="shared" si="73"/>
        <v>0</v>
      </c>
      <c r="AX70" s="891">
        <f t="shared" si="74"/>
        <v>0</v>
      </c>
      <c r="AY70" s="891">
        <f t="shared" si="75"/>
        <v>0</v>
      </c>
      <c r="AZ70" s="891">
        <f t="shared" si="76"/>
        <v>0</v>
      </c>
      <c r="BA70" s="891">
        <f t="shared" si="77"/>
        <v>0</v>
      </c>
      <c r="BB70" s="888" t="str">
        <f t="shared" si="78"/>
        <v/>
      </c>
      <c r="BC70" s="888" t="str">
        <f t="shared" si="79"/>
        <v/>
      </c>
      <c r="BD70" s="888" t="str">
        <f t="shared" si="80"/>
        <v/>
      </c>
      <c r="BE70" s="888" t="str">
        <f t="shared" si="81"/>
        <v/>
      </c>
      <c r="BF70" s="888" t="str">
        <f t="shared" si="82"/>
        <v/>
      </c>
      <c r="BG70" s="888" t="str">
        <f t="shared" si="83"/>
        <v/>
      </c>
      <c r="BH70" s="888" t="str">
        <f t="shared" si="84"/>
        <v/>
      </c>
      <c r="BI70" s="888" t="str">
        <f t="shared" si="85"/>
        <v/>
      </c>
      <c r="BJ70" s="889" t="str">
        <f t="shared" si="86"/>
        <v/>
      </c>
      <c r="BK70" s="889" t="str">
        <f t="shared" si="87"/>
        <v/>
      </c>
      <c r="BL70" s="889" t="str">
        <f t="shared" si="88"/>
        <v/>
      </c>
      <c r="BM70" s="889" t="str">
        <f t="shared" si="89"/>
        <v/>
      </c>
      <c r="BN70" s="889" t="str">
        <f t="shared" si="90"/>
        <v/>
      </c>
      <c r="BO70" s="889" t="str">
        <f t="shared" si="91"/>
        <v/>
      </c>
      <c r="BP70" s="889" t="str">
        <f t="shared" si="92"/>
        <v/>
      </c>
      <c r="BQ70" s="889" t="str">
        <f t="shared" si="93"/>
        <v/>
      </c>
      <c r="BR70" s="890" t="str">
        <f t="shared" si="94"/>
        <v/>
      </c>
      <c r="BS70" s="890" t="str">
        <f t="shared" si="95"/>
        <v/>
      </c>
      <c r="BT70" s="890" t="str">
        <f t="shared" si="96"/>
        <v/>
      </c>
      <c r="BU70" s="890" t="str">
        <f t="shared" si="97"/>
        <v/>
      </c>
      <c r="BV70" s="890" t="str">
        <f t="shared" si="98"/>
        <v/>
      </c>
      <c r="BW70" s="890" t="str">
        <f t="shared" si="99"/>
        <v/>
      </c>
      <c r="BX70" s="890" t="str">
        <f t="shared" si="100"/>
        <v/>
      </c>
      <c r="BY70" s="890" t="str">
        <f t="shared" si="101"/>
        <v/>
      </c>
      <c r="BZ70" s="888" t="str">
        <f t="shared" si="102"/>
        <v/>
      </c>
      <c r="CA70" s="888" t="str">
        <f t="shared" si="103"/>
        <v/>
      </c>
      <c r="CB70" s="888" t="str">
        <f t="shared" si="104"/>
        <v/>
      </c>
      <c r="CC70" s="888" t="str">
        <f t="shared" si="105"/>
        <v/>
      </c>
      <c r="CD70" s="888" t="str">
        <f t="shared" si="106"/>
        <v/>
      </c>
      <c r="CE70" s="888" t="str">
        <f t="shared" si="107"/>
        <v/>
      </c>
      <c r="CF70" s="888" t="str">
        <f t="shared" si="108"/>
        <v/>
      </c>
      <c r="CG70" s="888" t="str">
        <f t="shared" si="109"/>
        <v/>
      </c>
      <c r="CH70" s="887"/>
      <c r="CI70" s="899"/>
      <c r="CJ70" s="900"/>
    </row>
    <row r="71" spans="1:88">
      <c r="A71" s="879">
        <v>68</v>
      </c>
      <c r="B71" s="879">
        <f>STUDENT!F69</f>
        <v>0</v>
      </c>
      <c r="C71" s="879">
        <f>STUDENT!D69</f>
        <v>0</v>
      </c>
      <c r="D71" s="886">
        <f>STUDENT!E69</f>
        <v>0</v>
      </c>
      <c r="E71" s="886">
        <f>STUDENT!H69</f>
        <v>0</v>
      </c>
      <c r="F71" s="887"/>
      <c r="G71" s="887"/>
      <c r="H71" s="887"/>
      <c r="I71" s="887"/>
      <c r="J71" s="887"/>
      <c r="K71" s="887"/>
      <c r="L71" s="887"/>
      <c r="M71" s="888" t="str">
        <f t="shared" si="58"/>
        <v/>
      </c>
      <c r="N71" s="887"/>
      <c r="O71" s="887"/>
      <c r="P71" s="887"/>
      <c r="Q71" s="887"/>
      <c r="R71" s="887"/>
      <c r="S71" s="887"/>
      <c r="T71" s="887"/>
      <c r="U71" s="889" t="str">
        <f t="shared" si="59"/>
        <v/>
      </c>
      <c r="V71" s="887"/>
      <c r="W71" s="887"/>
      <c r="X71" s="887"/>
      <c r="Y71" s="887"/>
      <c r="Z71" s="887"/>
      <c r="AA71" s="887"/>
      <c r="AB71" s="887"/>
      <c r="AC71" s="890" t="str">
        <f t="shared" si="60"/>
        <v/>
      </c>
      <c r="AD71" s="887"/>
      <c r="AE71" s="887"/>
      <c r="AF71" s="887"/>
      <c r="AG71" s="887"/>
      <c r="AH71" s="887"/>
      <c r="AI71" s="887"/>
      <c r="AJ71" s="887"/>
      <c r="AK71" s="888" t="str">
        <f t="shared" si="61"/>
        <v/>
      </c>
      <c r="AL71" s="891">
        <f t="shared" si="62"/>
        <v>0</v>
      </c>
      <c r="AM71" s="891">
        <f t="shared" si="63"/>
        <v>0</v>
      </c>
      <c r="AN71" s="891">
        <f t="shared" si="64"/>
        <v>0</v>
      </c>
      <c r="AO71" s="891">
        <f t="shared" si="65"/>
        <v>0</v>
      </c>
      <c r="AP71" s="891">
        <f t="shared" si="66"/>
        <v>0</v>
      </c>
      <c r="AQ71" s="891">
        <f t="shared" si="67"/>
        <v>0</v>
      </c>
      <c r="AR71" s="891">
        <f t="shared" si="68"/>
        <v>0</v>
      </c>
      <c r="AS71" s="891">
        <f t="shared" si="69"/>
        <v>0</v>
      </c>
      <c r="AT71" s="891">
        <f t="shared" si="70"/>
        <v>0</v>
      </c>
      <c r="AU71" s="891">
        <f t="shared" si="71"/>
        <v>0</v>
      </c>
      <c r="AV71" s="891">
        <f t="shared" si="72"/>
        <v>0</v>
      </c>
      <c r="AW71" s="891">
        <f t="shared" si="73"/>
        <v>0</v>
      </c>
      <c r="AX71" s="891">
        <f t="shared" si="74"/>
        <v>0</v>
      </c>
      <c r="AY71" s="891">
        <f t="shared" si="75"/>
        <v>0</v>
      </c>
      <c r="AZ71" s="891">
        <f t="shared" si="76"/>
        <v>0</v>
      </c>
      <c r="BA71" s="891">
        <f t="shared" si="77"/>
        <v>0</v>
      </c>
      <c r="BB71" s="888" t="str">
        <f t="shared" si="78"/>
        <v/>
      </c>
      <c r="BC71" s="888" t="str">
        <f t="shared" si="79"/>
        <v/>
      </c>
      <c r="BD71" s="888" t="str">
        <f t="shared" si="80"/>
        <v/>
      </c>
      <c r="BE71" s="888" t="str">
        <f t="shared" si="81"/>
        <v/>
      </c>
      <c r="BF71" s="888" t="str">
        <f t="shared" si="82"/>
        <v/>
      </c>
      <c r="BG71" s="888" t="str">
        <f t="shared" si="83"/>
        <v/>
      </c>
      <c r="BH71" s="888" t="str">
        <f t="shared" si="84"/>
        <v/>
      </c>
      <c r="BI71" s="888" t="str">
        <f t="shared" si="85"/>
        <v/>
      </c>
      <c r="BJ71" s="889" t="str">
        <f t="shared" si="86"/>
        <v/>
      </c>
      <c r="BK71" s="889" t="str">
        <f t="shared" si="87"/>
        <v/>
      </c>
      <c r="BL71" s="889" t="str">
        <f t="shared" si="88"/>
        <v/>
      </c>
      <c r="BM71" s="889" t="str">
        <f t="shared" si="89"/>
        <v/>
      </c>
      <c r="BN71" s="889" t="str">
        <f t="shared" si="90"/>
        <v/>
      </c>
      <c r="BO71" s="889" t="str">
        <f t="shared" si="91"/>
        <v/>
      </c>
      <c r="BP71" s="889" t="str">
        <f t="shared" si="92"/>
        <v/>
      </c>
      <c r="BQ71" s="889" t="str">
        <f t="shared" si="93"/>
        <v/>
      </c>
      <c r="BR71" s="890" t="str">
        <f t="shared" si="94"/>
        <v/>
      </c>
      <c r="BS71" s="890" t="str">
        <f t="shared" si="95"/>
        <v/>
      </c>
      <c r="BT71" s="890" t="str">
        <f t="shared" si="96"/>
        <v/>
      </c>
      <c r="BU71" s="890" t="str">
        <f t="shared" si="97"/>
        <v/>
      </c>
      <c r="BV71" s="890" t="str">
        <f t="shared" si="98"/>
        <v/>
      </c>
      <c r="BW71" s="890" t="str">
        <f t="shared" si="99"/>
        <v/>
      </c>
      <c r="BX71" s="890" t="str">
        <f t="shared" si="100"/>
        <v/>
      </c>
      <c r="BY71" s="890" t="str">
        <f t="shared" si="101"/>
        <v/>
      </c>
      <c r="BZ71" s="888" t="str">
        <f t="shared" si="102"/>
        <v/>
      </c>
      <c r="CA71" s="888" t="str">
        <f t="shared" si="103"/>
        <v/>
      </c>
      <c r="CB71" s="888" t="str">
        <f t="shared" si="104"/>
        <v/>
      </c>
      <c r="CC71" s="888" t="str">
        <f t="shared" si="105"/>
        <v/>
      </c>
      <c r="CD71" s="888" t="str">
        <f t="shared" si="106"/>
        <v/>
      </c>
      <c r="CE71" s="888" t="str">
        <f t="shared" si="107"/>
        <v/>
      </c>
      <c r="CF71" s="888" t="str">
        <f t="shared" si="108"/>
        <v/>
      </c>
      <c r="CG71" s="888" t="str">
        <f t="shared" si="109"/>
        <v/>
      </c>
      <c r="CH71" s="887"/>
      <c r="CI71" s="899"/>
      <c r="CJ71" s="900"/>
    </row>
    <row r="72" spans="1:88">
      <c r="A72" s="879">
        <v>69</v>
      </c>
      <c r="B72" s="879">
        <f>STUDENT!F70</f>
        <v>0</v>
      </c>
      <c r="C72" s="879">
        <f>STUDENT!D70</f>
        <v>0</v>
      </c>
      <c r="D72" s="886">
        <f>STUDENT!E70</f>
        <v>0</v>
      </c>
      <c r="E72" s="886">
        <f>STUDENT!H70</f>
        <v>0</v>
      </c>
      <c r="F72" s="887"/>
      <c r="G72" s="887"/>
      <c r="H72" s="887"/>
      <c r="I72" s="887"/>
      <c r="J72" s="887"/>
      <c r="K72" s="887"/>
      <c r="L72" s="887"/>
      <c r="M72" s="888" t="str">
        <f t="shared" si="58"/>
        <v/>
      </c>
      <c r="N72" s="887"/>
      <c r="O72" s="887"/>
      <c r="P72" s="887"/>
      <c r="Q72" s="887"/>
      <c r="R72" s="887"/>
      <c r="S72" s="887"/>
      <c r="T72" s="887"/>
      <c r="U72" s="889" t="str">
        <f t="shared" si="59"/>
        <v/>
      </c>
      <c r="V72" s="887"/>
      <c r="W72" s="887"/>
      <c r="X72" s="887"/>
      <c r="Y72" s="887"/>
      <c r="Z72" s="887"/>
      <c r="AA72" s="887"/>
      <c r="AB72" s="887"/>
      <c r="AC72" s="890" t="str">
        <f t="shared" si="60"/>
        <v/>
      </c>
      <c r="AD72" s="887"/>
      <c r="AE72" s="887"/>
      <c r="AF72" s="887"/>
      <c r="AG72" s="887"/>
      <c r="AH72" s="887"/>
      <c r="AI72" s="887"/>
      <c r="AJ72" s="887"/>
      <c r="AK72" s="888" t="str">
        <f t="shared" si="61"/>
        <v/>
      </c>
      <c r="AL72" s="891">
        <f t="shared" si="62"/>
        <v>0</v>
      </c>
      <c r="AM72" s="891">
        <f t="shared" si="63"/>
        <v>0</v>
      </c>
      <c r="AN72" s="891">
        <f t="shared" si="64"/>
        <v>0</v>
      </c>
      <c r="AO72" s="891">
        <f t="shared" si="65"/>
        <v>0</v>
      </c>
      <c r="AP72" s="891">
        <f t="shared" si="66"/>
        <v>0</v>
      </c>
      <c r="AQ72" s="891">
        <f t="shared" si="67"/>
        <v>0</v>
      </c>
      <c r="AR72" s="891">
        <f t="shared" si="68"/>
        <v>0</v>
      </c>
      <c r="AS72" s="891">
        <f t="shared" si="69"/>
        <v>0</v>
      </c>
      <c r="AT72" s="891">
        <f t="shared" si="70"/>
        <v>0</v>
      </c>
      <c r="AU72" s="891">
        <f t="shared" si="71"/>
        <v>0</v>
      </c>
      <c r="AV72" s="891">
        <f t="shared" si="72"/>
        <v>0</v>
      </c>
      <c r="AW72" s="891">
        <f t="shared" si="73"/>
        <v>0</v>
      </c>
      <c r="AX72" s="891">
        <f t="shared" si="74"/>
        <v>0</v>
      </c>
      <c r="AY72" s="891">
        <f t="shared" si="75"/>
        <v>0</v>
      </c>
      <c r="AZ72" s="891">
        <f t="shared" si="76"/>
        <v>0</v>
      </c>
      <c r="BA72" s="891">
        <f t="shared" si="77"/>
        <v>0</v>
      </c>
      <c r="BB72" s="888" t="str">
        <f t="shared" si="78"/>
        <v/>
      </c>
      <c r="BC72" s="888" t="str">
        <f t="shared" si="79"/>
        <v/>
      </c>
      <c r="BD72" s="888" t="str">
        <f t="shared" si="80"/>
        <v/>
      </c>
      <c r="BE72" s="888" t="str">
        <f t="shared" si="81"/>
        <v/>
      </c>
      <c r="BF72" s="888" t="str">
        <f t="shared" si="82"/>
        <v/>
      </c>
      <c r="BG72" s="888" t="str">
        <f t="shared" si="83"/>
        <v/>
      </c>
      <c r="BH72" s="888" t="str">
        <f t="shared" si="84"/>
        <v/>
      </c>
      <c r="BI72" s="888" t="str">
        <f t="shared" si="85"/>
        <v/>
      </c>
      <c r="BJ72" s="889" t="str">
        <f t="shared" si="86"/>
        <v/>
      </c>
      <c r="BK72" s="889" t="str">
        <f t="shared" si="87"/>
        <v/>
      </c>
      <c r="BL72" s="889" t="str">
        <f t="shared" si="88"/>
        <v/>
      </c>
      <c r="BM72" s="889" t="str">
        <f t="shared" si="89"/>
        <v/>
      </c>
      <c r="BN72" s="889" t="str">
        <f t="shared" si="90"/>
        <v/>
      </c>
      <c r="BO72" s="889" t="str">
        <f t="shared" si="91"/>
        <v/>
      </c>
      <c r="BP72" s="889" t="str">
        <f t="shared" si="92"/>
        <v/>
      </c>
      <c r="BQ72" s="889" t="str">
        <f t="shared" si="93"/>
        <v/>
      </c>
      <c r="BR72" s="890" t="str">
        <f t="shared" si="94"/>
        <v/>
      </c>
      <c r="BS72" s="890" t="str">
        <f t="shared" si="95"/>
        <v/>
      </c>
      <c r="BT72" s="890" t="str">
        <f t="shared" si="96"/>
        <v/>
      </c>
      <c r="BU72" s="890" t="str">
        <f t="shared" si="97"/>
        <v/>
      </c>
      <c r="BV72" s="890" t="str">
        <f t="shared" si="98"/>
        <v/>
      </c>
      <c r="BW72" s="890" t="str">
        <f t="shared" si="99"/>
        <v/>
      </c>
      <c r="BX72" s="890" t="str">
        <f t="shared" si="100"/>
        <v/>
      </c>
      <c r="BY72" s="890" t="str">
        <f t="shared" si="101"/>
        <v/>
      </c>
      <c r="BZ72" s="888" t="str">
        <f t="shared" si="102"/>
        <v/>
      </c>
      <c r="CA72" s="888" t="str">
        <f t="shared" si="103"/>
        <v/>
      </c>
      <c r="CB72" s="888" t="str">
        <f t="shared" si="104"/>
        <v/>
      </c>
      <c r="CC72" s="888" t="str">
        <f t="shared" si="105"/>
        <v/>
      </c>
      <c r="CD72" s="888" t="str">
        <f t="shared" si="106"/>
        <v/>
      </c>
      <c r="CE72" s="888" t="str">
        <f t="shared" si="107"/>
        <v/>
      </c>
      <c r="CF72" s="888" t="str">
        <f t="shared" si="108"/>
        <v/>
      </c>
      <c r="CG72" s="888" t="str">
        <f t="shared" si="109"/>
        <v/>
      </c>
      <c r="CH72" s="887"/>
      <c r="CI72" s="899"/>
      <c r="CJ72" s="900"/>
    </row>
    <row r="73" spans="1:88">
      <c r="A73" s="879">
        <v>70</v>
      </c>
      <c r="B73" s="879">
        <f>STUDENT!F71</f>
        <v>0</v>
      </c>
      <c r="C73" s="879">
        <f>STUDENT!D71</f>
        <v>0</v>
      </c>
      <c r="D73" s="886">
        <f>STUDENT!E71</f>
        <v>0</v>
      </c>
      <c r="E73" s="886">
        <f>STUDENT!H71</f>
        <v>0</v>
      </c>
      <c r="F73" s="887"/>
      <c r="G73" s="887"/>
      <c r="H73" s="887"/>
      <c r="I73" s="887"/>
      <c r="J73" s="887"/>
      <c r="K73" s="887"/>
      <c r="L73" s="887"/>
      <c r="M73" s="888" t="str">
        <f t="shared" si="58"/>
        <v/>
      </c>
      <c r="N73" s="887"/>
      <c r="O73" s="887"/>
      <c r="P73" s="887"/>
      <c r="Q73" s="887"/>
      <c r="R73" s="887"/>
      <c r="S73" s="887"/>
      <c r="T73" s="887"/>
      <c r="U73" s="889" t="str">
        <f t="shared" si="59"/>
        <v/>
      </c>
      <c r="V73" s="887"/>
      <c r="W73" s="887"/>
      <c r="X73" s="887"/>
      <c r="Y73" s="887"/>
      <c r="Z73" s="887"/>
      <c r="AA73" s="887"/>
      <c r="AB73" s="887"/>
      <c r="AC73" s="890" t="str">
        <f t="shared" si="60"/>
        <v/>
      </c>
      <c r="AD73" s="887"/>
      <c r="AE73" s="887"/>
      <c r="AF73" s="887"/>
      <c r="AG73" s="887"/>
      <c r="AH73" s="887"/>
      <c r="AI73" s="887"/>
      <c r="AJ73" s="887"/>
      <c r="AK73" s="888" t="str">
        <f t="shared" si="61"/>
        <v/>
      </c>
      <c r="AL73" s="891">
        <f t="shared" si="62"/>
        <v>0</v>
      </c>
      <c r="AM73" s="891">
        <f t="shared" si="63"/>
        <v>0</v>
      </c>
      <c r="AN73" s="891">
        <f t="shared" si="64"/>
        <v>0</v>
      </c>
      <c r="AO73" s="891">
        <f t="shared" si="65"/>
        <v>0</v>
      </c>
      <c r="AP73" s="891">
        <f t="shared" si="66"/>
        <v>0</v>
      </c>
      <c r="AQ73" s="891">
        <f t="shared" si="67"/>
        <v>0</v>
      </c>
      <c r="AR73" s="891">
        <f t="shared" si="68"/>
        <v>0</v>
      </c>
      <c r="AS73" s="891">
        <f t="shared" si="69"/>
        <v>0</v>
      </c>
      <c r="AT73" s="891">
        <f t="shared" si="70"/>
        <v>0</v>
      </c>
      <c r="AU73" s="891">
        <f t="shared" si="71"/>
        <v>0</v>
      </c>
      <c r="AV73" s="891">
        <f t="shared" si="72"/>
        <v>0</v>
      </c>
      <c r="AW73" s="891">
        <f t="shared" si="73"/>
        <v>0</v>
      </c>
      <c r="AX73" s="891">
        <f t="shared" si="74"/>
        <v>0</v>
      </c>
      <c r="AY73" s="891">
        <f t="shared" si="75"/>
        <v>0</v>
      </c>
      <c r="AZ73" s="891">
        <f t="shared" si="76"/>
        <v>0</v>
      </c>
      <c r="BA73" s="891">
        <f t="shared" si="77"/>
        <v>0</v>
      </c>
      <c r="BB73" s="888" t="str">
        <f t="shared" si="78"/>
        <v/>
      </c>
      <c r="BC73" s="888" t="str">
        <f t="shared" si="79"/>
        <v/>
      </c>
      <c r="BD73" s="888" t="str">
        <f t="shared" si="80"/>
        <v/>
      </c>
      <c r="BE73" s="888" t="str">
        <f t="shared" si="81"/>
        <v/>
      </c>
      <c r="BF73" s="888" t="str">
        <f t="shared" si="82"/>
        <v/>
      </c>
      <c r="BG73" s="888" t="str">
        <f t="shared" si="83"/>
        <v/>
      </c>
      <c r="BH73" s="888" t="str">
        <f t="shared" si="84"/>
        <v/>
      </c>
      <c r="BI73" s="888" t="str">
        <f t="shared" si="85"/>
        <v/>
      </c>
      <c r="BJ73" s="889" t="str">
        <f t="shared" si="86"/>
        <v/>
      </c>
      <c r="BK73" s="889" t="str">
        <f t="shared" si="87"/>
        <v/>
      </c>
      <c r="BL73" s="889" t="str">
        <f t="shared" si="88"/>
        <v/>
      </c>
      <c r="BM73" s="889" t="str">
        <f t="shared" si="89"/>
        <v/>
      </c>
      <c r="BN73" s="889" t="str">
        <f t="shared" si="90"/>
        <v/>
      </c>
      <c r="BO73" s="889" t="str">
        <f t="shared" si="91"/>
        <v/>
      </c>
      <c r="BP73" s="889" t="str">
        <f t="shared" si="92"/>
        <v/>
      </c>
      <c r="BQ73" s="889" t="str">
        <f t="shared" si="93"/>
        <v/>
      </c>
      <c r="BR73" s="890" t="str">
        <f t="shared" si="94"/>
        <v/>
      </c>
      <c r="BS73" s="890" t="str">
        <f t="shared" si="95"/>
        <v/>
      </c>
      <c r="BT73" s="890" t="str">
        <f t="shared" si="96"/>
        <v/>
      </c>
      <c r="BU73" s="890" t="str">
        <f t="shared" si="97"/>
        <v/>
      </c>
      <c r="BV73" s="890" t="str">
        <f t="shared" si="98"/>
        <v/>
      </c>
      <c r="BW73" s="890" t="str">
        <f t="shared" si="99"/>
        <v/>
      </c>
      <c r="BX73" s="890" t="str">
        <f t="shared" si="100"/>
        <v/>
      </c>
      <c r="BY73" s="890" t="str">
        <f t="shared" si="101"/>
        <v/>
      </c>
      <c r="BZ73" s="888" t="str">
        <f t="shared" si="102"/>
        <v/>
      </c>
      <c r="CA73" s="888" t="str">
        <f t="shared" si="103"/>
        <v/>
      </c>
      <c r="CB73" s="888" t="str">
        <f t="shared" si="104"/>
        <v/>
      </c>
      <c r="CC73" s="888" t="str">
        <f t="shared" si="105"/>
        <v/>
      </c>
      <c r="CD73" s="888" t="str">
        <f t="shared" si="106"/>
        <v/>
      </c>
      <c r="CE73" s="888" t="str">
        <f t="shared" si="107"/>
        <v/>
      </c>
      <c r="CF73" s="888" t="str">
        <f t="shared" si="108"/>
        <v/>
      </c>
      <c r="CG73" s="888" t="str">
        <f t="shared" si="109"/>
        <v/>
      </c>
      <c r="CH73" s="887"/>
      <c r="CI73" s="899"/>
      <c r="CJ73" s="900"/>
    </row>
    <row r="74" spans="1:88">
      <c r="A74" s="879">
        <v>71</v>
      </c>
      <c r="B74" s="879">
        <f>STUDENT!F72</f>
        <v>0</v>
      </c>
      <c r="C74" s="879">
        <f>STUDENT!D72</f>
        <v>0</v>
      </c>
      <c r="D74" s="886">
        <f>STUDENT!E72</f>
        <v>0</v>
      </c>
      <c r="E74" s="886">
        <f>STUDENT!H72</f>
        <v>0</v>
      </c>
      <c r="F74" s="887"/>
      <c r="G74" s="887"/>
      <c r="H74" s="887"/>
      <c r="I74" s="887"/>
      <c r="J74" s="887"/>
      <c r="K74" s="887"/>
      <c r="L74" s="887"/>
      <c r="M74" s="888" t="str">
        <f t="shared" si="58"/>
        <v/>
      </c>
      <c r="N74" s="887"/>
      <c r="O74" s="887"/>
      <c r="P74" s="887"/>
      <c r="Q74" s="887"/>
      <c r="R74" s="887"/>
      <c r="S74" s="887"/>
      <c r="T74" s="887"/>
      <c r="U74" s="889" t="str">
        <f t="shared" si="59"/>
        <v/>
      </c>
      <c r="V74" s="887"/>
      <c r="W74" s="887"/>
      <c r="X74" s="887"/>
      <c r="Y74" s="887"/>
      <c r="Z74" s="887"/>
      <c r="AA74" s="887"/>
      <c r="AB74" s="887"/>
      <c r="AC74" s="890" t="str">
        <f t="shared" si="60"/>
        <v/>
      </c>
      <c r="AD74" s="887"/>
      <c r="AE74" s="887"/>
      <c r="AF74" s="887"/>
      <c r="AG74" s="887"/>
      <c r="AH74" s="887"/>
      <c r="AI74" s="887"/>
      <c r="AJ74" s="887"/>
      <c r="AK74" s="888" t="str">
        <f t="shared" si="61"/>
        <v/>
      </c>
      <c r="AL74" s="891">
        <f t="shared" si="62"/>
        <v>0</v>
      </c>
      <c r="AM74" s="891">
        <f t="shared" si="63"/>
        <v>0</v>
      </c>
      <c r="AN74" s="891">
        <f t="shared" si="64"/>
        <v>0</v>
      </c>
      <c r="AO74" s="891">
        <f t="shared" si="65"/>
        <v>0</v>
      </c>
      <c r="AP74" s="891">
        <f t="shared" si="66"/>
        <v>0</v>
      </c>
      <c r="AQ74" s="891">
        <f t="shared" si="67"/>
        <v>0</v>
      </c>
      <c r="AR74" s="891">
        <f t="shared" si="68"/>
        <v>0</v>
      </c>
      <c r="AS74" s="891">
        <f t="shared" si="69"/>
        <v>0</v>
      </c>
      <c r="AT74" s="891">
        <f t="shared" si="70"/>
        <v>0</v>
      </c>
      <c r="AU74" s="891">
        <f t="shared" si="71"/>
        <v>0</v>
      </c>
      <c r="AV74" s="891">
        <f t="shared" si="72"/>
        <v>0</v>
      </c>
      <c r="AW74" s="891">
        <f t="shared" si="73"/>
        <v>0</v>
      </c>
      <c r="AX74" s="891">
        <f t="shared" si="74"/>
        <v>0</v>
      </c>
      <c r="AY74" s="891">
        <f t="shared" si="75"/>
        <v>0</v>
      </c>
      <c r="AZ74" s="891">
        <f t="shared" si="76"/>
        <v>0</v>
      </c>
      <c r="BA74" s="891">
        <f t="shared" si="77"/>
        <v>0</v>
      </c>
      <c r="BB74" s="888" t="str">
        <f t="shared" si="78"/>
        <v/>
      </c>
      <c r="BC74" s="888" t="str">
        <f t="shared" si="79"/>
        <v/>
      </c>
      <c r="BD74" s="888" t="str">
        <f t="shared" si="80"/>
        <v/>
      </c>
      <c r="BE74" s="888" t="str">
        <f t="shared" si="81"/>
        <v/>
      </c>
      <c r="BF74" s="888" t="str">
        <f t="shared" si="82"/>
        <v/>
      </c>
      <c r="BG74" s="888" t="str">
        <f t="shared" si="83"/>
        <v/>
      </c>
      <c r="BH74" s="888" t="str">
        <f t="shared" si="84"/>
        <v/>
      </c>
      <c r="BI74" s="888" t="str">
        <f t="shared" si="85"/>
        <v/>
      </c>
      <c r="BJ74" s="889" t="str">
        <f t="shared" si="86"/>
        <v/>
      </c>
      <c r="BK74" s="889" t="str">
        <f t="shared" si="87"/>
        <v/>
      </c>
      <c r="BL74" s="889" t="str">
        <f t="shared" si="88"/>
        <v/>
      </c>
      <c r="BM74" s="889" t="str">
        <f t="shared" si="89"/>
        <v/>
      </c>
      <c r="BN74" s="889" t="str">
        <f t="shared" si="90"/>
        <v/>
      </c>
      <c r="BO74" s="889" t="str">
        <f t="shared" si="91"/>
        <v/>
      </c>
      <c r="BP74" s="889" t="str">
        <f t="shared" si="92"/>
        <v/>
      </c>
      <c r="BQ74" s="889" t="str">
        <f t="shared" si="93"/>
        <v/>
      </c>
      <c r="BR74" s="890" t="str">
        <f t="shared" si="94"/>
        <v/>
      </c>
      <c r="BS74" s="890" t="str">
        <f t="shared" si="95"/>
        <v/>
      </c>
      <c r="BT74" s="890" t="str">
        <f t="shared" si="96"/>
        <v/>
      </c>
      <c r="BU74" s="890" t="str">
        <f t="shared" si="97"/>
        <v/>
      </c>
      <c r="BV74" s="890" t="str">
        <f t="shared" si="98"/>
        <v/>
      </c>
      <c r="BW74" s="890" t="str">
        <f t="shared" si="99"/>
        <v/>
      </c>
      <c r="BX74" s="890" t="str">
        <f t="shared" si="100"/>
        <v/>
      </c>
      <c r="BY74" s="890" t="str">
        <f t="shared" si="101"/>
        <v/>
      </c>
      <c r="BZ74" s="888" t="str">
        <f t="shared" si="102"/>
        <v/>
      </c>
      <c r="CA74" s="888" t="str">
        <f t="shared" si="103"/>
        <v/>
      </c>
      <c r="CB74" s="888" t="str">
        <f t="shared" si="104"/>
        <v/>
      </c>
      <c r="CC74" s="888" t="str">
        <f t="shared" si="105"/>
        <v/>
      </c>
      <c r="CD74" s="888" t="str">
        <f t="shared" si="106"/>
        <v/>
      </c>
      <c r="CE74" s="888" t="str">
        <f t="shared" si="107"/>
        <v/>
      </c>
      <c r="CF74" s="888" t="str">
        <f t="shared" si="108"/>
        <v/>
      </c>
      <c r="CG74" s="888" t="str">
        <f t="shared" si="109"/>
        <v/>
      </c>
      <c r="CH74" s="887"/>
      <c r="CI74" s="899"/>
      <c r="CJ74" s="900"/>
    </row>
    <row r="75" spans="1:88">
      <c r="A75" s="879">
        <v>72</v>
      </c>
      <c r="B75" s="879">
        <f>STUDENT!F73</f>
        <v>0</v>
      </c>
      <c r="C75" s="879">
        <f>STUDENT!D73</f>
        <v>0</v>
      </c>
      <c r="D75" s="886">
        <f>STUDENT!E73</f>
        <v>0</v>
      </c>
      <c r="E75" s="886">
        <f>STUDENT!H73</f>
        <v>0</v>
      </c>
      <c r="F75" s="887"/>
      <c r="G75" s="887"/>
      <c r="H75" s="887"/>
      <c r="I75" s="887"/>
      <c r="J75" s="887"/>
      <c r="K75" s="887"/>
      <c r="L75" s="887"/>
      <c r="M75" s="888" t="str">
        <f t="shared" si="58"/>
        <v/>
      </c>
      <c r="N75" s="887"/>
      <c r="O75" s="887"/>
      <c r="P75" s="887"/>
      <c r="Q75" s="887"/>
      <c r="R75" s="887"/>
      <c r="S75" s="887"/>
      <c r="T75" s="887"/>
      <c r="U75" s="889" t="str">
        <f t="shared" si="59"/>
        <v/>
      </c>
      <c r="V75" s="887"/>
      <c r="W75" s="887"/>
      <c r="X75" s="887"/>
      <c r="Y75" s="887"/>
      <c r="Z75" s="887"/>
      <c r="AA75" s="887"/>
      <c r="AB75" s="887"/>
      <c r="AC75" s="890" t="str">
        <f t="shared" si="60"/>
        <v/>
      </c>
      <c r="AD75" s="887"/>
      <c r="AE75" s="887"/>
      <c r="AF75" s="887"/>
      <c r="AG75" s="887"/>
      <c r="AH75" s="887"/>
      <c r="AI75" s="887"/>
      <c r="AJ75" s="887"/>
      <c r="AK75" s="888" t="str">
        <f t="shared" si="61"/>
        <v/>
      </c>
      <c r="AL75" s="891">
        <f t="shared" si="62"/>
        <v>0</v>
      </c>
      <c r="AM75" s="891">
        <f t="shared" si="63"/>
        <v>0</v>
      </c>
      <c r="AN75" s="891">
        <f t="shared" si="64"/>
        <v>0</v>
      </c>
      <c r="AO75" s="891">
        <f t="shared" si="65"/>
        <v>0</v>
      </c>
      <c r="AP75" s="891">
        <f t="shared" si="66"/>
        <v>0</v>
      </c>
      <c r="AQ75" s="891">
        <f t="shared" si="67"/>
        <v>0</v>
      </c>
      <c r="AR75" s="891">
        <f t="shared" si="68"/>
        <v>0</v>
      </c>
      <c r="AS75" s="891">
        <f t="shared" si="69"/>
        <v>0</v>
      </c>
      <c r="AT75" s="891">
        <f t="shared" si="70"/>
        <v>0</v>
      </c>
      <c r="AU75" s="891">
        <f t="shared" si="71"/>
        <v>0</v>
      </c>
      <c r="AV75" s="891">
        <f t="shared" si="72"/>
        <v>0</v>
      </c>
      <c r="AW75" s="891">
        <f t="shared" si="73"/>
        <v>0</v>
      </c>
      <c r="AX75" s="891">
        <f t="shared" si="74"/>
        <v>0</v>
      </c>
      <c r="AY75" s="891">
        <f t="shared" si="75"/>
        <v>0</v>
      </c>
      <c r="AZ75" s="891">
        <f t="shared" si="76"/>
        <v>0</v>
      </c>
      <c r="BA75" s="891">
        <f t="shared" si="77"/>
        <v>0</v>
      </c>
      <c r="BB75" s="888" t="str">
        <f t="shared" si="78"/>
        <v/>
      </c>
      <c r="BC75" s="888" t="str">
        <f t="shared" si="79"/>
        <v/>
      </c>
      <c r="BD75" s="888" t="str">
        <f t="shared" si="80"/>
        <v/>
      </c>
      <c r="BE75" s="888" t="str">
        <f t="shared" si="81"/>
        <v/>
      </c>
      <c r="BF75" s="888" t="str">
        <f t="shared" si="82"/>
        <v/>
      </c>
      <c r="BG75" s="888" t="str">
        <f t="shared" si="83"/>
        <v/>
      </c>
      <c r="BH75" s="888" t="str">
        <f t="shared" si="84"/>
        <v/>
      </c>
      <c r="BI75" s="888" t="str">
        <f t="shared" si="85"/>
        <v/>
      </c>
      <c r="BJ75" s="889" t="str">
        <f t="shared" si="86"/>
        <v/>
      </c>
      <c r="BK75" s="889" t="str">
        <f t="shared" si="87"/>
        <v/>
      </c>
      <c r="BL75" s="889" t="str">
        <f t="shared" si="88"/>
        <v/>
      </c>
      <c r="BM75" s="889" t="str">
        <f t="shared" si="89"/>
        <v/>
      </c>
      <c r="BN75" s="889" t="str">
        <f t="shared" si="90"/>
        <v/>
      </c>
      <c r="BO75" s="889" t="str">
        <f t="shared" si="91"/>
        <v/>
      </c>
      <c r="BP75" s="889" t="str">
        <f t="shared" si="92"/>
        <v/>
      </c>
      <c r="BQ75" s="889" t="str">
        <f t="shared" si="93"/>
        <v/>
      </c>
      <c r="BR75" s="890" t="str">
        <f t="shared" si="94"/>
        <v/>
      </c>
      <c r="BS75" s="890" t="str">
        <f t="shared" si="95"/>
        <v/>
      </c>
      <c r="BT75" s="890" t="str">
        <f t="shared" si="96"/>
        <v/>
      </c>
      <c r="BU75" s="890" t="str">
        <f t="shared" si="97"/>
        <v/>
      </c>
      <c r="BV75" s="890" t="str">
        <f t="shared" si="98"/>
        <v/>
      </c>
      <c r="BW75" s="890" t="str">
        <f t="shared" si="99"/>
        <v/>
      </c>
      <c r="BX75" s="890" t="str">
        <f t="shared" si="100"/>
        <v/>
      </c>
      <c r="BY75" s="890" t="str">
        <f t="shared" si="101"/>
        <v/>
      </c>
      <c r="BZ75" s="888" t="str">
        <f t="shared" si="102"/>
        <v/>
      </c>
      <c r="CA75" s="888" t="str">
        <f t="shared" si="103"/>
        <v/>
      </c>
      <c r="CB75" s="888" t="str">
        <f t="shared" si="104"/>
        <v/>
      </c>
      <c r="CC75" s="888" t="str">
        <f t="shared" si="105"/>
        <v/>
      </c>
      <c r="CD75" s="888" t="str">
        <f t="shared" si="106"/>
        <v/>
      </c>
      <c r="CE75" s="888" t="str">
        <f t="shared" si="107"/>
        <v/>
      </c>
      <c r="CF75" s="888" t="str">
        <f t="shared" si="108"/>
        <v/>
      </c>
      <c r="CG75" s="888" t="str">
        <f t="shared" si="109"/>
        <v/>
      </c>
      <c r="CH75" s="887"/>
      <c r="CI75" s="899"/>
      <c r="CJ75" s="900"/>
    </row>
    <row r="76" spans="1:88">
      <c r="A76" s="879">
        <v>73</v>
      </c>
      <c r="B76" s="879">
        <f>STUDENT!F74</f>
        <v>0</v>
      </c>
      <c r="C76" s="879">
        <f>STUDENT!D74</f>
        <v>0</v>
      </c>
      <c r="D76" s="886">
        <f>STUDENT!E74</f>
        <v>0</v>
      </c>
      <c r="E76" s="886">
        <f>STUDENT!H74</f>
        <v>0</v>
      </c>
      <c r="F76" s="887"/>
      <c r="G76" s="887"/>
      <c r="H76" s="887"/>
      <c r="I76" s="887"/>
      <c r="J76" s="887"/>
      <c r="K76" s="887"/>
      <c r="L76" s="887"/>
      <c r="M76" s="888" t="str">
        <f t="shared" si="58"/>
        <v/>
      </c>
      <c r="N76" s="887"/>
      <c r="O76" s="887"/>
      <c r="P76" s="887"/>
      <c r="Q76" s="887"/>
      <c r="R76" s="887"/>
      <c r="S76" s="887"/>
      <c r="T76" s="887"/>
      <c r="U76" s="889" t="str">
        <f t="shared" si="59"/>
        <v/>
      </c>
      <c r="V76" s="887"/>
      <c r="W76" s="887"/>
      <c r="X76" s="887"/>
      <c r="Y76" s="887"/>
      <c r="Z76" s="887"/>
      <c r="AA76" s="887"/>
      <c r="AB76" s="887"/>
      <c r="AC76" s="890" t="str">
        <f t="shared" si="60"/>
        <v/>
      </c>
      <c r="AD76" s="887"/>
      <c r="AE76" s="887"/>
      <c r="AF76" s="887"/>
      <c r="AG76" s="887"/>
      <c r="AH76" s="887"/>
      <c r="AI76" s="887"/>
      <c r="AJ76" s="887"/>
      <c r="AK76" s="888" t="str">
        <f t="shared" si="61"/>
        <v/>
      </c>
      <c r="AL76" s="891">
        <f t="shared" si="62"/>
        <v>0</v>
      </c>
      <c r="AM76" s="891">
        <f t="shared" si="63"/>
        <v>0</v>
      </c>
      <c r="AN76" s="891">
        <f t="shared" si="64"/>
        <v>0</v>
      </c>
      <c r="AO76" s="891">
        <f t="shared" si="65"/>
        <v>0</v>
      </c>
      <c r="AP76" s="891">
        <f t="shared" si="66"/>
        <v>0</v>
      </c>
      <c r="AQ76" s="891">
        <f t="shared" si="67"/>
        <v>0</v>
      </c>
      <c r="AR76" s="891">
        <f t="shared" si="68"/>
        <v>0</v>
      </c>
      <c r="AS76" s="891">
        <f t="shared" si="69"/>
        <v>0</v>
      </c>
      <c r="AT76" s="891">
        <f t="shared" si="70"/>
        <v>0</v>
      </c>
      <c r="AU76" s="891">
        <f t="shared" si="71"/>
        <v>0</v>
      </c>
      <c r="AV76" s="891">
        <f t="shared" si="72"/>
        <v>0</v>
      </c>
      <c r="AW76" s="891">
        <f t="shared" si="73"/>
        <v>0</v>
      </c>
      <c r="AX76" s="891">
        <f t="shared" si="74"/>
        <v>0</v>
      </c>
      <c r="AY76" s="891">
        <f t="shared" si="75"/>
        <v>0</v>
      </c>
      <c r="AZ76" s="891">
        <f t="shared" si="76"/>
        <v>0</v>
      </c>
      <c r="BA76" s="891">
        <f t="shared" si="77"/>
        <v>0</v>
      </c>
      <c r="BB76" s="888" t="str">
        <f t="shared" si="78"/>
        <v/>
      </c>
      <c r="BC76" s="888" t="str">
        <f t="shared" si="79"/>
        <v/>
      </c>
      <c r="BD76" s="888" t="str">
        <f t="shared" si="80"/>
        <v/>
      </c>
      <c r="BE76" s="888" t="str">
        <f t="shared" si="81"/>
        <v/>
      </c>
      <c r="BF76" s="888" t="str">
        <f t="shared" si="82"/>
        <v/>
      </c>
      <c r="BG76" s="888" t="str">
        <f t="shared" si="83"/>
        <v/>
      </c>
      <c r="BH76" s="888" t="str">
        <f t="shared" si="84"/>
        <v/>
      </c>
      <c r="BI76" s="888" t="str">
        <f t="shared" si="85"/>
        <v/>
      </c>
      <c r="BJ76" s="889" t="str">
        <f t="shared" si="86"/>
        <v/>
      </c>
      <c r="BK76" s="889" t="str">
        <f t="shared" si="87"/>
        <v/>
      </c>
      <c r="BL76" s="889" t="str">
        <f t="shared" si="88"/>
        <v/>
      </c>
      <c r="BM76" s="889" t="str">
        <f t="shared" si="89"/>
        <v/>
      </c>
      <c r="BN76" s="889" t="str">
        <f t="shared" si="90"/>
        <v/>
      </c>
      <c r="BO76" s="889" t="str">
        <f t="shared" si="91"/>
        <v/>
      </c>
      <c r="BP76" s="889" t="str">
        <f t="shared" si="92"/>
        <v/>
      </c>
      <c r="BQ76" s="889" t="str">
        <f t="shared" si="93"/>
        <v/>
      </c>
      <c r="BR76" s="890" t="str">
        <f t="shared" si="94"/>
        <v/>
      </c>
      <c r="BS76" s="890" t="str">
        <f t="shared" si="95"/>
        <v/>
      </c>
      <c r="BT76" s="890" t="str">
        <f t="shared" si="96"/>
        <v/>
      </c>
      <c r="BU76" s="890" t="str">
        <f t="shared" si="97"/>
        <v/>
      </c>
      <c r="BV76" s="890" t="str">
        <f t="shared" si="98"/>
        <v/>
      </c>
      <c r="BW76" s="890" t="str">
        <f t="shared" si="99"/>
        <v/>
      </c>
      <c r="BX76" s="890" t="str">
        <f t="shared" si="100"/>
        <v/>
      </c>
      <c r="BY76" s="890" t="str">
        <f t="shared" si="101"/>
        <v/>
      </c>
      <c r="BZ76" s="888" t="str">
        <f t="shared" si="102"/>
        <v/>
      </c>
      <c r="CA76" s="888" t="str">
        <f t="shared" si="103"/>
        <v/>
      </c>
      <c r="CB76" s="888" t="str">
        <f t="shared" si="104"/>
        <v/>
      </c>
      <c r="CC76" s="888" t="str">
        <f t="shared" si="105"/>
        <v/>
      </c>
      <c r="CD76" s="888" t="str">
        <f t="shared" si="106"/>
        <v/>
      </c>
      <c r="CE76" s="888" t="str">
        <f t="shared" si="107"/>
        <v/>
      </c>
      <c r="CF76" s="888" t="str">
        <f t="shared" si="108"/>
        <v/>
      </c>
      <c r="CG76" s="888" t="str">
        <f t="shared" si="109"/>
        <v/>
      </c>
      <c r="CH76" s="887"/>
      <c r="CI76" s="899"/>
      <c r="CJ76" s="900"/>
    </row>
    <row r="77" spans="1:88">
      <c r="A77" s="879">
        <v>74</v>
      </c>
      <c r="B77" s="879">
        <f>STUDENT!F75</f>
        <v>0</v>
      </c>
      <c r="C77" s="879">
        <f>STUDENT!D75</f>
        <v>0</v>
      </c>
      <c r="D77" s="886">
        <f>STUDENT!E75</f>
        <v>0</v>
      </c>
      <c r="E77" s="886">
        <f>STUDENT!H75</f>
        <v>0</v>
      </c>
      <c r="F77" s="887"/>
      <c r="G77" s="887"/>
      <c r="H77" s="887"/>
      <c r="I77" s="887"/>
      <c r="J77" s="887"/>
      <c r="K77" s="887"/>
      <c r="L77" s="887"/>
      <c r="M77" s="888" t="str">
        <f t="shared" si="58"/>
        <v/>
      </c>
      <c r="N77" s="887"/>
      <c r="O77" s="887"/>
      <c r="P77" s="887"/>
      <c r="Q77" s="887"/>
      <c r="R77" s="887"/>
      <c r="S77" s="887"/>
      <c r="T77" s="887"/>
      <c r="U77" s="889" t="str">
        <f t="shared" si="59"/>
        <v/>
      </c>
      <c r="V77" s="887"/>
      <c r="W77" s="887"/>
      <c r="X77" s="887"/>
      <c r="Y77" s="887"/>
      <c r="Z77" s="887"/>
      <c r="AA77" s="887"/>
      <c r="AB77" s="887"/>
      <c r="AC77" s="890" t="str">
        <f t="shared" si="60"/>
        <v/>
      </c>
      <c r="AD77" s="887"/>
      <c r="AE77" s="887"/>
      <c r="AF77" s="887"/>
      <c r="AG77" s="887"/>
      <c r="AH77" s="887"/>
      <c r="AI77" s="887"/>
      <c r="AJ77" s="887"/>
      <c r="AK77" s="888" t="str">
        <f t="shared" si="61"/>
        <v/>
      </c>
      <c r="AL77" s="891">
        <f t="shared" si="62"/>
        <v>0</v>
      </c>
      <c r="AM77" s="891">
        <f t="shared" si="63"/>
        <v>0</v>
      </c>
      <c r="AN77" s="891">
        <f t="shared" si="64"/>
        <v>0</v>
      </c>
      <c r="AO77" s="891">
        <f t="shared" si="65"/>
        <v>0</v>
      </c>
      <c r="AP77" s="891">
        <f t="shared" si="66"/>
        <v>0</v>
      </c>
      <c r="AQ77" s="891">
        <f t="shared" si="67"/>
        <v>0</v>
      </c>
      <c r="AR77" s="891">
        <f t="shared" si="68"/>
        <v>0</v>
      </c>
      <c r="AS77" s="891">
        <f t="shared" si="69"/>
        <v>0</v>
      </c>
      <c r="AT77" s="891">
        <f t="shared" si="70"/>
        <v>0</v>
      </c>
      <c r="AU77" s="891">
        <f t="shared" si="71"/>
        <v>0</v>
      </c>
      <c r="AV77" s="891">
        <f t="shared" si="72"/>
        <v>0</v>
      </c>
      <c r="AW77" s="891">
        <f t="shared" si="73"/>
        <v>0</v>
      </c>
      <c r="AX77" s="891">
        <f t="shared" si="74"/>
        <v>0</v>
      </c>
      <c r="AY77" s="891">
        <f t="shared" si="75"/>
        <v>0</v>
      </c>
      <c r="AZ77" s="891">
        <f t="shared" si="76"/>
        <v>0</v>
      </c>
      <c r="BA77" s="891">
        <f t="shared" si="77"/>
        <v>0</v>
      </c>
      <c r="BB77" s="888" t="str">
        <f t="shared" si="78"/>
        <v/>
      </c>
      <c r="BC77" s="888" t="str">
        <f t="shared" si="79"/>
        <v/>
      </c>
      <c r="BD77" s="888" t="str">
        <f t="shared" si="80"/>
        <v/>
      </c>
      <c r="BE77" s="888" t="str">
        <f t="shared" si="81"/>
        <v/>
      </c>
      <c r="BF77" s="888" t="str">
        <f t="shared" si="82"/>
        <v/>
      </c>
      <c r="BG77" s="888" t="str">
        <f t="shared" si="83"/>
        <v/>
      </c>
      <c r="BH77" s="888" t="str">
        <f t="shared" si="84"/>
        <v/>
      </c>
      <c r="BI77" s="888" t="str">
        <f t="shared" si="85"/>
        <v/>
      </c>
      <c r="BJ77" s="889" t="str">
        <f t="shared" si="86"/>
        <v/>
      </c>
      <c r="BK77" s="889" t="str">
        <f t="shared" si="87"/>
        <v/>
      </c>
      <c r="BL77" s="889" t="str">
        <f t="shared" si="88"/>
        <v/>
      </c>
      <c r="BM77" s="889" t="str">
        <f t="shared" si="89"/>
        <v/>
      </c>
      <c r="BN77" s="889" t="str">
        <f t="shared" si="90"/>
        <v/>
      </c>
      <c r="BO77" s="889" t="str">
        <f t="shared" si="91"/>
        <v/>
      </c>
      <c r="BP77" s="889" t="str">
        <f t="shared" si="92"/>
        <v/>
      </c>
      <c r="BQ77" s="889" t="str">
        <f t="shared" si="93"/>
        <v/>
      </c>
      <c r="BR77" s="890" t="str">
        <f t="shared" si="94"/>
        <v/>
      </c>
      <c r="BS77" s="890" t="str">
        <f t="shared" si="95"/>
        <v/>
      </c>
      <c r="BT77" s="890" t="str">
        <f t="shared" si="96"/>
        <v/>
      </c>
      <c r="BU77" s="890" t="str">
        <f t="shared" si="97"/>
        <v/>
      </c>
      <c r="BV77" s="890" t="str">
        <f t="shared" si="98"/>
        <v/>
      </c>
      <c r="BW77" s="890" t="str">
        <f t="shared" si="99"/>
        <v/>
      </c>
      <c r="BX77" s="890" t="str">
        <f t="shared" si="100"/>
        <v/>
      </c>
      <c r="BY77" s="890" t="str">
        <f t="shared" si="101"/>
        <v/>
      </c>
      <c r="BZ77" s="888" t="str">
        <f t="shared" si="102"/>
        <v/>
      </c>
      <c r="CA77" s="888" t="str">
        <f t="shared" si="103"/>
        <v/>
      </c>
      <c r="CB77" s="888" t="str">
        <f t="shared" si="104"/>
        <v/>
      </c>
      <c r="CC77" s="888" t="str">
        <f t="shared" si="105"/>
        <v/>
      </c>
      <c r="CD77" s="888" t="str">
        <f t="shared" si="106"/>
        <v/>
      </c>
      <c r="CE77" s="888" t="str">
        <f t="shared" si="107"/>
        <v/>
      </c>
      <c r="CF77" s="888" t="str">
        <f t="shared" si="108"/>
        <v/>
      </c>
      <c r="CG77" s="888" t="str">
        <f t="shared" si="109"/>
        <v/>
      </c>
      <c r="CH77" s="887"/>
      <c r="CI77" s="899"/>
      <c r="CJ77" s="900"/>
    </row>
    <row r="78" spans="1:88">
      <c r="A78" s="879">
        <v>75</v>
      </c>
      <c r="B78" s="879">
        <f>STUDENT!F76</f>
        <v>0</v>
      </c>
      <c r="C78" s="879">
        <f>STUDENT!D76</f>
        <v>0</v>
      </c>
      <c r="D78" s="886">
        <f>STUDENT!E76</f>
        <v>0</v>
      </c>
      <c r="E78" s="886">
        <f>STUDENT!H76</f>
        <v>0</v>
      </c>
      <c r="F78" s="887"/>
      <c r="G78" s="887"/>
      <c r="H78" s="887"/>
      <c r="I78" s="887"/>
      <c r="J78" s="887"/>
      <c r="K78" s="887"/>
      <c r="L78" s="887"/>
      <c r="M78" s="888" t="str">
        <f t="shared" si="58"/>
        <v/>
      </c>
      <c r="N78" s="887"/>
      <c r="O78" s="887"/>
      <c r="P78" s="887"/>
      <c r="Q78" s="887"/>
      <c r="R78" s="887"/>
      <c r="S78" s="887"/>
      <c r="T78" s="887"/>
      <c r="U78" s="889" t="str">
        <f t="shared" si="59"/>
        <v/>
      </c>
      <c r="V78" s="887"/>
      <c r="W78" s="887"/>
      <c r="X78" s="887"/>
      <c r="Y78" s="887"/>
      <c r="Z78" s="887"/>
      <c r="AA78" s="887"/>
      <c r="AB78" s="887"/>
      <c r="AC78" s="890" t="str">
        <f t="shared" si="60"/>
        <v/>
      </c>
      <c r="AD78" s="887"/>
      <c r="AE78" s="887"/>
      <c r="AF78" s="887"/>
      <c r="AG78" s="887"/>
      <c r="AH78" s="887"/>
      <c r="AI78" s="887"/>
      <c r="AJ78" s="887"/>
      <c r="AK78" s="888" t="str">
        <f t="shared" si="61"/>
        <v/>
      </c>
      <c r="AL78" s="891">
        <f t="shared" si="62"/>
        <v>0</v>
      </c>
      <c r="AM78" s="891">
        <f t="shared" si="63"/>
        <v>0</v>
      </c>
      <c r="AN78" s="891">
        <f t="shared" si="64"/>
        <v>0</v>
      </c>
      <c r="AO78" s="891">
        <f t="shared" si="65"/>
        <v>0</v>
      </c>
      <c r="AP78" s="891">
        <f t="shared" si="66"/>
        <v>0</v>
      </c>
      <c r="AQ78" s="891">
        <f t="shared" si="67"/>
        <v>0</v>
      </c>
      <c r="AR78" s="891">
        <f t="shared" si="68"/>
        <v>0</v>
      </c>
      <c r="AS78" s="891">
        <f t="shared" si="69"/>
        <v>0</v>
      </c>
      <c r="AT78" s="891">
        <f t="shared" si="70"/>
        <v>0</v>
      </c>
      <c r="AU78" s="891">
        <f t="shared" si="71"/>
        <v>0</v>
      </c>
      <c r="AV78" s="891">
        <f t="shared" si="72"/>
        <v>0</v>
      </c>
      <c r="AW78" s="891">
        <f t="shared" si="73"/>
        <v>0</v>
      </c>
      <c r="AX78" s="891">
        <f t="shared" si="74"/>
        <v>0</v>
      </c>
      <c r="AY78" s="891">
        <f t="shared" si="75"/>
        <v>0</v>
      </c>
      <c r="AZ78" s="891">
        <f t="shared" si="76"/>
        <v>0</v>
      </c>
      <c r="BA78" s="891">
        <f t="shared" si="77"/>
        <v>0</v>
      </c>
      <c r="BB78" s="888" t="str">
        <f t="shared" si="78"/>
        <v/>
      </c>
      <c r="BC78" s="888" t="str">
        <f t="shared" si="79"/>
        <v/>
      </c>
      <c r="BD78" s="888" t="str">
        <f t="shared" si="80"/>
        <v/>
      </c>
      <c r="BE78" s="888" t="str">
        <f t="shared" si="81"/>
        <v/>
      </c>
      <c r="BF78" s="888" t="str">
        <f t="shared" si="82"/>
        <v/>
      </c>
      <c r="BG78" s="888" t="str">
        <f t="shared" si="83"/>
        <v/>
      </c>
      <c r="BH78" s="888" t="str">
        <f t="shared" si="84"/>
        <v/>
      </c>
      <c r="BI78" s="888" t="str">
        <f t="shared" si="85"/>
        <v/>
      </c>
      <c r="BJ78" s="889" t="str">
        <f t="shared" si="86"/>
        <v/>
      </c>
      <c r="BK78" s="889" t="str">
        <f t="shared" si="87"/>
        <v/>
      </c>
      <c r="BL78" s="889" t="str">
        <f t="shared" si="88"/>
        <v/>
      </c>
      <c r="BM78" s="889" t="str">
        <f t="shared" si="89"/>
        <v/>
      </c>
      <c r="BN78" s="889" t="str">
        <f t="shared" si="90"/>
        <v/>
      </c>
      <c r="BO78" s="889" t="str">
        <f t="shared" si="91"/>
        <v/>
      </c>
      <c r="BP78" s="889" t="str">
        <f t="shared" si="92"/>
        <v/>
      </c>
      <c r="BQ78" s="889" t="str">
        <f t="shared" si="93"/>
        <v/>
      </c>
      <c r="BR78" s="890" t="str">
        <f t="shared" si="94"/>
        <v/>
      </c>
      <c r="BS78" s="890" t="str">
        <f t="shared" si="95"/>
        <v/>
      </c>
      <c r="BT78" s="890" t="str">
        <f t="shared" si="96"/>
        <v/>
      </c>
      <c r="BU78" s="890" t="str">
        <f t="shared" si="97"/>
        <v/>
      </c>
      <c r="BV78" s="890" t="str">
        <f t="shared" si="98"/>
        <v/>
      </c>
      <c r="BW78" s="890" t="str">
        <f t="shared" si="99"/>
        <v/>
      </c>
      <c r="BX78" s="890" t="str">
        <f t="shared" si="100"/>
        <v/>
      </c>
      <c r="BY78" s="890" t="str">
        <f t="shared" si="101"/>
        <v/>
      </c>
      <c r="BZ78" s="888" t="str">
        <f t="shared" si="102"/>
        <v/>
      </c>
      <c r="CA78" s="888" t="str">
        <f t="shared" si="103"/>
        <v/>
      </c>
      <c r="CB78" s="888" t="str">
        <f t="shared" si="104"/>
        <v/>
      </c>
      <c r="CC78" s="888" t="str">
        <f t="shared" si="105"/>
        <v/>
      </c>
      <c r="CD78" s="888" t="str">
        <f t="shared" si="106"/>
        <v/>
      </c>
      <c r="CE78" s="888" t="str">
        <f t="shared" si="107"/>
        <v/>
      </c>
      <c r="CF78" s="888" t="str">
        <f t="shared" si="108"/>
        <v/>
      </c>
      <c r="CG78" s="888" t="str">
        <f t="shared" si="109"/>
        <v/>
      </c>
      <c r="CH78" s="887"/>
      <c r="CI78" s="899"/>
      <c r="CJ78" s="900"/>
    </row>
    <row r="79" spans="1:88">
      <c r="A79" s="879">
        <v>76</v>
      </c>
      <c r="B79" s="879">
        <f>STUDENT!F77</f>
        <v>0</v>
      </c>
      <c r="C79" s="879">
        <f>STUDENT!D77</f>
        <v>0</v>
      </c>
      <c r="D79" s="886">
        <f>STUDENT!E77</f>
        <v>0</v>
      </c>
      <c r="E79" s="886">
        <f>STUDENT!H77</f>
        <v>0</v>
      </c>
      <c r="F79" s="887"/>
      <c r="G79" s="887"/>
      <c r="H79" s="887"/>
      <c r="I79" s="887"/>
      <c r="J79" s="887"/>
      <c r="K79" s="887"/>
      <c r="L79" s="887"/>
      <c r="M79" s="888" t="str">
        <f t="shared" si="58"/>
        <v/>
      </c>
      <c r="N79" s="887"/>
      <c r="O79" s="887"/>
      <c r="P79" s="887"/>
      <c r="Q79" s="887"/>
      <c r="R79" s="887"/>
      <c r="S79" s="887"/>
      <c r="T79" s="887"/>
      <c r="U79" s="889" t="str">
        <f t="shared" si="59"/>
        <v/>
      </c>
      <c r="V79" s="887"/>
      <c r="W79" s="887"/>
      <c r="X79" s="887"/>
      <c r="Y79" s="887"/>
      <c r="Z79" s="887"/>
      <c r="AA79" s="887"/>
      <c r="AB79" s="887"/>
      <c r="AC79" s="890" t="str">
        <f t="shared" si="60"/>
        <v/>
      </c>
      <c r="AD79" s="887"/>
      <c r="AE79" s="887"/>
      <c r="AF79" s="887"/>
      <c r="AG79" s="887"/>
      <c r="AH79" s="887"/>
      <c r="AI79" s="887"/>
      <c r="AJ79" s="887"/>
      <c r="AK79" s="888" t="str">
        <f t="shared" si="61"/>
        <v/>
      </c>
      <c r="AL79" s="891">
        <f t="shared" si="62"/>
        <v>0</v>
      </c>
      <c r="AM79" s="891">
        <f t="shared" si="63"/>
        <v>0</v>
      </c>
      <c r="AN79" s="891">
        <f t="shared" si="64"/>
        <v>0</v>
      </c>
      <c r="AO79" s="891">
        <f t="shared" si="65"/>
        <v>0</v>
      </c>
      <c r="AP79" s="891">
        <f t="shared" si="66"/>
        <v>0</v>
      </c>
      <c r="AQ79" s="891">
        <f t="shared" si="67"/>
        <v>0</v>
      </c>
      <c r="AR79" s="891">
        <f t="shared" si="68"/>
        <v>0</v>
      </c>
      <c r="AS79" s="891">
        <f t="shared" si="69"/>
        <v>0</v>
      </c>
      <c r="AT79" s="891">
        <f t="shared" si="70"/>
        <v>0</v>
      </c>
      <c r="AU79" s="891">
        <f t="shared" si="71"/>
        <v>0</v>
      </c>
      <c r="AV79" s="891">
        <f t="shared" si="72"/>
        <v>0</v>
      </c>
      <c r="AW79" s="891">
        <f t="shared" si="73"/>
        <v>0</v>
      </c>
      <c r="AX79" s="891">
        <f t="shared" si="74"/>
        <v>0</v>
      </c>
      <c r="AY79" s="891">
        <f t="shared" si="75"/>
        <v>0</v>
      </c>
      <c r="AZ79" s="891">
        <f t="shared" si="76"/>
        <v>0</v>
      </c>
      <c r="BA79" s="891">
        <f t="shared" si="77"/>
        <v>0</v>
      </c>
      <c r="BB79" s="888" t="str">
        <f t="shared" si="78"/>
        <v/>
      </c>
      <c r="BC79" s="888" t="str">
        <f t="shared" si="79"/>
        <v/>
      </c>
      <c r="BD79" s="888" t="str">
        <f t="shared" si="80"/>
        <v/>
      </c>
      <c r="BE79" s="888" t="str">
        <f t="shared" si="81"/>
        <v/>
      </c>
      <c r="BF79" s="888" t="str">
        <f t="shared" si="82"/>
        <v/>
      </c>
      <c r="BG79" s="888" t="str">
        <f t="shared" si="83"/>
        <v/>
      </c>
      <c r="BH79" s="888" t="str">
        <f t="shared" si="84"/>
        <v/>
      </c>
      <c r="BI79" s="888" t="str">
        <f t="shared" si="85"/>
        <v/>
      </c>
      <c r="BJ79" s="889" t="str">
        <f t="shared" si="86"/>
        <v/>
      </c>
      <c r="BK79" s="889" t="str">
        <f t="shared" si="87"/>
        <v/>
      </c>
      <c r="BL79" s="889" t="str">
        <f t="shared" si="88"/>
        <v/>
      </c>
      <c r="BM79" s="889" t="str">
        <f t="shared" si="89"/>
        <v/>
      </c>
      <c r="BN79" s="889" t="str">
        <f t="shared" si="90"/>
        <v/>
      </c>
      <c r="BO79" s="889" t="str">
        <f t="shared" si="91"/>
        <v/>
      </c>
      <c r="BP79" s="889" t="str">
        <f t="shared" si="92"/>
        <v/>
      </c>
      <c r="BQ79" s="889" t="str">
        <f t="shared" si="93"/>
        <v/>
      </c>
      <c r="BR79" s="890" t="str">
        <f t="shared" si="94"/>
        <v/>
      </c>
      <c r="BS79" s="890" t="str">
        <f t="shared" si="95"/>
        <v/>
      </c>
      <c r="BT79" s="890" t="str">
        <f t="shared" si="96"/>
        <v/>
      </c>
      <c r="BU79" s="890" t="str">
        <f t="shared" si="97"/>
        <v/>
      </c>
      <c r="BV79" s="890" t="str">
        <f t="shared" si="98"/>
        <v/>
      </c>
      <c r="BW79" s="890" t="str">
        <f t="shared" si="99"/>
        <v/>
      </c>
      <c r="BX79" s="890" t="str">
        <f t="shared" si="100"/>
        <v/>
      </c>
      <c r="BY79" s="890" t="str">
        <f t="shared" si="101"/>
        <v/>
      </c>
      <c r="BZ79" s="888" t="str">
        <f t="shared" si="102"/>
        <v/>
      </c>
      <c r="CA79" s="888" t="str">
        <f t="shared" si="103"/>
        <v/>
      </c>
      <c r="CB79" s="888" t="str">
        <f t="shared" si="104"/>
        <v/>
      </c>
      <c r="CC79" s="888" t="str">
        <f t="shared" si="105"/>
        <v/>
      </c>
      <c r="CD79" s="888" t="str">
        <f t="shared" si="106"/>
        <v/>
      </c>
      <c r="CE79" s="888" t="str">
        <f t="shared" si="107"/>
        <v/>
      </c>
      <c r="CF79" s="888" t="str">
        <f t="shared" si="108"/>
        <v/>
      </c>
      <c r="CG79" s="888" t="str">
        <f t="shared" si="109"/>
        <v/>
      </c>
      <c r="CH79" s="887"/>
      <c r="CI79" s="899"/>
      <c r="CJ79" s="900"/>
    </row>
    <row r="80" spans="1:88">
      <c r="A80" s="879">
        <v>77</v>
      </c>
      <c r="B80" s="879">
        <f>STUDENT!F78</f>
        <v>0</v>
      </c>
      <c r="C80" s="879">
        <f>STUDENT!D78</f>
        <v>0</v>
      </c>
      <c r="D80" s="886">
        <f>STUDENT!E78</f>
        <v>0</v>
      </c>
      <c r="E80" s="886">
        <f>STUDENT!H78</f>
        <v>0</v>
      </c>
      <c r="F80" s="887"/>
      <c r="G80" s="887"/>
      <c r="H80" s="887"/>
      <c r="I80" s="887"/>
      <c r="J80" s="887"/>
      <c r="K80" s="887"/>
      <c r="L80" s="887"/>
      <c r="M80" s="888" t="str">
        <f t="shared" si="58"/>
        <v/>
      </c>
      <c r="N80" s="887"/>
      <c r="O80" s="887"/>
      <c r="P80" s="887"/>
      <c r="Q80" s="887"/>
      <c r="R80" s="887"/>
      <c r="S80" s="887"/>
      <c r="T80" s="887"/>
      <c r="U80" s="889" t="str">
        <f t="shared" si="59"/>
        <v/>
      </c>
      <c r="V80" s="887"/>
      <c r="W80" s="887"/>
      <c r="X80" s="887"/>
      <c r="Y80" s="887"/>
      <c r="Z80" s="887"/>
      <c r="AA80" s="887"/>
      <c r="AB80" s="887"/>
      <c r="AC80" s="890" t="str">
        <f t="shared" si="60"/>
        <v/>
      </c>
      <c r="AD80" s="887"/>
      <c r="AE80" s="887"/>
      <c r="AF80" s="887"/>
      <c r="AG80" s="887"/>
      <c r="AH80" s="887"/>
      <c r="AI80" s="887"/>
      <c r="AJ80" s="887"/>
      <c r="AK80" s="888" t="str">
        <f t="shared" si="61"/>
        <v/>
      </c>
      <c r="AL80" s="891">
        <f t="shared" si="62"/>
        <v>0</v>
      </c>
      <c r="AM80" s="891">
        <f t="shared" si="63"/>
        <v>0</v>
      </c>
      <c r="AN80" s="891">
        <f t="shared" si="64"/>
        <v>0</v>
      </c>
      <c r="AO80" s="891">
        <f t="shared" si="65"/>
        <v>0</v>
      </c>
      <c r="AP80" s="891">
        <f t="shared" si="66"/>
        <v>0</v>
      </c>
      <c r="AQ80" s="891">
        <f t="shared" si="67"/>
        <v>0</v>
      </c>
      <c r="AR80" s="891">
        <f t="shared" si="68"/>
        <v>0</v>
      </c>
      <c r="AS80" s="891">
        <f t="shared" si="69"/>
        <v>0</v>
      </c>
      <c r="AT80" s="891">
        <f t="shared" si="70"/>
        <v>0</v>
      </c>
      <c r="AU80" s="891">
        <f t="shared" si="71"/>
        <v>0</v>
      </c>
      <c r="AV80" s="891">
        <f t="shared" si="72"/>
        <v>0</v>
      </c>
      <c r="AW80" s="891">
        <f t="shared" si="73"/>
        <v>0</v>
      </c>
      <c r="AX80" s="891">
        <f t="shared" si="74"/>
        <v>0</v>
      </c>
      <c r="AY80" s="891">
        <f t="shared" si="75"/>
        <v>0</v>
      </c>
      <c r="AZ80" s="891">
        <f t="shared" si="76"/>
        <v>0</v>
      </c>
      <c r="BA80" s="891">
        <f t="shared" si="77"/>
        <v>0</v>
      </c>
      <c r="BB80" s="888" t="str">
        <f t="shared" si="78"/>
        <v/>
      </c>
      <c r="BC80" s="888" t="str">
        <f t="shared" si="79"/>
        <v/>
      </c>
      <c r="BD80" s="888" t="str">
        <f t="shared" si="80"/>
        <v/>
      </c>
      <c r="BE80" s="888" t="str">
        <f t="shared" si="81"/>
        <v/>
      </c>
      <c r="BF80" s="888" t="str">
        <f t="shared" si="82"/>
        <v/>
      </c>
      <c r="BG80" s="888" t="str">
        <f t="shared" si="83"/>
        <v/>
      </c>
      <c r="BH80" s="888" t="str">
        <f t="shared" si="84"/>
        <v/>
      </c>
      <c r="BI80" s="888" t="str">
        <f t="shared" si="85"/>
        <v/>
      </c>
      <c r="BJ80" s="889" t="str">
        <f t="shared" si="86"/>
        <v/>
      </c>
      <c r="BK80" s="889" t="str">
        <f t="shared" si="87"/>
        <v/>
      </c>
      <c r="BL80" s="889" t="str">
        <f t="shared" si="88"/>
        <v/>
      </c>
      <c r="BM80" s="889" t="str">
        <f t="shared" si="89"/>
        <v/>
      </c>
      <c r="BN80" s="889" t="str">
        <f t="shared" si="90"/>
        <v/>
      </c>
      <c r="BO80" s="889" t="str">
        <f t="shared" si="91"/>
        <v/>
      </c>
      <c r="BP80" s="889" t="str">
        <f t="shared" si="92"/>
        <v/>
      </c>
      <c r="BQ80" s="889" t="str">
        <f t="shared" si="93"/>
        <v/>
      </c>
      <c r="BR80" s="890" t="str">
        <f t="shared" si="94"/>
        <v/>
      </c>
      <c r="BS80" s="890" t="str">
        <f t="shared" si="95"/>
        <v/>
      </c>
      <c r="BT80" s="890" t="str">
        <f t="shared" si="96"/>
        <v/>
      </c>
      <c r="BU80" s="890" t="str">
        <f t="shared" si="97"/>
        <v/>
      </c>
      <c r="BV80" s="890" t="str">
        <f t="shared" si="98"/>
        <v/>
      </c>
      <c r="BW80" s="890" t="str">
        <f t="shared" si="99"/>
        <v/>
      </c>
      <c r="BX80" s="890" t="str">
        <f t="shared" si="100"/>
        <v/>
      </c>
      <c r="BY80" s="890" t="str">
        <f t="shared" si="101"/>
        <v/>
      </c>
      <c r="BZ80" s="888" t="str">
        <f t="shared" si="102"/>
        <v/>
      </c>
      <c r="CA80" s="888" t="str">
        <f t="shared" si="103"/>
        <v/>
      </c>
      <c r="CB80" s="888" t="str">
        <f t="shared" si="104"/>
        <v/>
      </c>
      <c r="CC80" s="888" t="str">
        <f t="shared" si="105"/>
        <v/>
      </c>
      <c r="CD80" s="888" t="str">
        <f t="shared" si="106"/>
        <v/>
      </c>
      <c r="CE80" s="888" t="str">
        <f t="shared" si="107"/>
        <v/>
      </c>
      <c r="CF80" s="888" t="str">
        <f t="shared" si="108"/>
        <v/>
      </c>
      <c r="CG80" s="888" t="str">
        <f t="shared" si="109"/>
        <v/>
      </c>
      <c r="CH80" s="887"/>
      <c r="CI80" s="899"/>
      <c r="CJ80" s="900"/>
    </row>
    <row r="81" spans="1:88">
      <c r="A81" s="879">
        <v>78</v>
      </c>
      <c r="B81" s="879">
        <f>STUDENT!F79</f>
        <v>0</v>
      </c>
      <c r="C81" s="879">
        <f>STUDENT!D79</f>
        <v>0</v>
      </c>
      <c r="D81" s="886">
        <f>STUDENT!E79</f>
        <v>0</v>
      </c>
      <c r="E81" s="886">
        <f>STUDENT!H79</f>
        <v>0</v>
      </c>
      <c r="F81" s="887"/>
      <c r="G81" s="887"/>
      <c r="H81" s="887"/>
      <c r="I81" s="887"/>
      <c r="J81" s="887"/>
      <c r="K81" s="887"/>
      <c r="L81" s="887"/>
      <c r="M81" s="888" t="str">
        <f t="shared" si="58"/>
        <v/>
      </c>
      <c r="N81" s="887"/>
      <c r="O81" s="887"/>
      <c r="P81" s="887"/>
      <c r="Q81" s="887"/>
      <c r="R81" s="887"/>
      <c r="S81" s="887"/>
      <c r="T81" s="887"/>
      <c r="U81" s="889" t="str">
        <f t="shared" si="59"/>
        <v/>
      </c>
      <c r="V81" s="887"/>
      <c r="W81" s="887"/>
      <c r="X81" s="887"/>
      <c r="Y81" s="887"/>
      <c r="Z81" s="887"/>
      <c r="AA81" s="887"/>
      <c r="AB81" s="887"/>
      <c r="AC81" s="890" t="str">
        <f t="shared" si="60"/>
        <v/>
      </c>
      <c r="AD81" s="887"/>
      <c r="AE81" s="887"/>
      <c r="AF81" s="887"/>
      <c r="AG81" s="887"/>
      <c r="AH81" s="887"/>
      <c r="AI81" s="887"/>
      <c r="AJ81" s="887"/>
      <c r="AK81" s="888" t="str">
        <f t="shared" si="61"/>
        <v/>
      </c>
      <c r="AL81" s="891">
        <f t="shared" si="62"/>
        <v>0</v>
      </c>
      <c r="AM81" s="891">
        <f t="shared" si="63"/>
        <v>0</v>
      </c>
      <c r="AN81" s="891">
        <f t="shared" si="64"/>
        <v>0</v>
      </c>
      <c r="AO81" s="891">
        <f t="shared" si="65"/>
        <v>0</v>
      </c>
      <c r="AP81" s="891">
        <f t="shared" si="66"/>
        <v>0</v>
      </c>
      <c r="AQ81" s="891">
        <f t="shared" si="67"/>
        <v>0</v>
      </c>
      <c r="AR81" s="891">
        <f t="shared" si="68"/>
        <v>0</v>
      </c>
      <c r="AS81" s="891">
        <f t="shared" si="69"/>
        <v>0</v>
      </c>
      <c r="AT81" s="891">
        <f t="shared" si="70"/>
        <v>0</v>
      </c>
      <c r="AU81" s="891">
        <f t="shared" si="71"/>
        <v>0</v>
      </c>
      <c r="AV81" s="891">
        <f t="shared" si="72"/>
        <v>0</v>
      </c>
      <c r="AW81" s="891">
        <f t="shared" si="73"/>
        <v>0</v>
      </c>
      <c r="AX81" s="891">
        <f t="shared" si="74"/>
        <v>0</v>
      </c>
      <c r="AY81" s="891">
        <f t="shared" si="75"/>
        <v>0</v>
      </c>
      <c r="AZ81" s="891">
        <f t="shared" si="76"/>
        <v>0</v>
      </c>
      <c r="BA81" s="891">
        <f t="shared" si="77"/>
        <v>0</v>
      </c>
      <c r="BB81" s="888" t="str">
        <f t="shared" si="78"/>
        <v/>
      </c>
      <c r="BC81" s="888" t="str">
        <f t="shared" si="79"/>
        <v/>
      </c>
      <c r="BD81" s="888" t="str">
        <f t="shared" si="80"/>
        <v/>
      </c>
      <c r="BE81" s="888" t="str">
        <f t="shared" si="81"/>
        <v/>
      </c>
      <c r="BF81" s="888" t="str">
        <f t="shared" si="82"/>
        <v/>
      </c>
      <c r="BG81" s="888" t="str">
        <f t="shared" si="83"/>
        <v/>
      </c>
      <c r="BH81" s="888" t="str">
        <f t="shared" si="84"/>
        <v/>
      </c>
      <c r="BI81" s="888" t="str">
        <f t="shared" si="85"/>
        <v/>
      </c>
      <c r="BJ81" s="889" t="str">
        <f t="shared" si="86"/>
        <v/>
      </c>
      <c r="BK81" s="889" t="str">
        <f t="shared" si="87"/>
        <v/>
      </c>
      <c r="BL81" s="889" t="str">
        <f t="shared" si="88"/>
        <v/>
      </c>
      <c r="BM81" s="889" t="str">
        <f t="shared" si="89"/>
        <v/>
      </c>
      <c r="BN81" s="889" t="str">
        <f t="shared" si="90"/>
        <v/>
      </c>
      <c r="BO81" s="889" t="str">
        <f t="shared" si="91"/>
        <v/>
      </c>
      <c r="BP81" s="889" t="str">
        <f t="shared" si="92"/>
        <v/>
      </c>
      <c r="BQ81" s="889" t="str">
        <f t="shared" si="93"/>
        <v/>
      </c>
      <c r="BR81" s="890" t="str">
        <f t="shared" si="94"/>
        <v/>
      </c>
      <c r="BS81" s="890" t="str">
        <f t="shared" si="95"/>
        <v/>
      </c>
      <c r="BT81" s="890" t="str">
        <f t="shared" si="96"/>
        <v/>
      </c>
      <c r="BU81" s="890" t="str">
        <f t="shared" si="97"/>
        <v/>
      </c>
      <c r="BV81" s="890" t="str">
        <f t="shared" si="98"/>
        <v/>
      </c>
      <c r="BW81" s="890" t="str">
        <f t="shared" si="99"/>
        <v/>
      </c>
      <c r="BX81" s="890" t="str">
        <f t="shared" si="100"/>
        <v/>
      </c>
      <c r="BY81" s="890" t="str">
        <f t="shared" si="101"/>
        <v/>
      </c>
      <c r="BZ81" s="888" t="str">
        <f t="shared" si="102"/>
        <v/>
      </c>
      <c r="CA81" s="888" t="str">
        <f t="shared" si="103"/>
        <v/>
      </c>
      <c r="CB81" s="888" t="str">
        <f t="shared" si="104"/>
        <v/>
      </c>
      <c r="CC81" s="888" t="str">
        <f t="shared" si="105"/>
        <v/>
      </c>
      <c r="CD81" s="888" t="str">
        <f t="shared" si="106"/>
        <v/>
      </c>
      <c r="CE81" s="888" t="str">
        <f t="shared" si="107"/>
        <v/>
      </c>
      <c r="CF81" s="888" t="str">
        <f t="shared" si="108"/>
        <v/>
      </c>
      <c r="CG81" s="888" t="str">
        <f t="shared" si="109"/>
        <v/>
      </c>
      <c r="CH81" s="887"/>
      <c r="CI81" s="899"/>
      <c r="CJ81" s="900"/>
    </row>
    <row r="82" spans="1:88">
      <c r="A82" s="879">
        <v>79</v>
      </c>
      <c r="B82" s="879">
        <f>STUDENT!F80</f>
        <v>0</v>
      </c>
      <c r="C82" s="879">
        <f>STUDENT!D80</f>
        <v>0</v>
      </c>
      <c r="D82" s="886">
        <f>STUDENT!E80</f>
        <v>0</v>
      </c>
      <c r="E82" s="886">
        <f>STUDENT!H80</f>
        <v>0</v>
      </c>
      <c r="F82" s="887"/>
      <c r="G82" s="887"/>
      <c r="H82" s="887"/>
      <c r="I82" s="887"/>
      <c r="J82" s="887"/>
      <c r="K82" s="887"/>
      <c r="L82" s="887"/>
      <c r="M82" s="888" t="str">
        <f t="shared" si="58"/>
        <v/>
      </c>
      <c r="N82" s="887"/>
      <c r="O82" s="887"/>
      <c r="P82" s="887"/>
      <c r="Q82" s="887"/>
      <c r="R82" s="887"/>
      <c r="S82" s="887"/>
      <c r="T82" s="887"/>
      <c r="U82" s="889" t="str">
        <f t="shared" si="59"/>
        <v/>
      </c>
      <c r="V82" s="887"/>
      <c r="W82" s="887"/>
      <c r="X82" s="887"/>
      <c r="Y82" s="887"/>
      <c r="Z82" s="887"/>
      <c r="AA82" s="887"/>
      <c r="AB82" s="887"/>
      <c r="AC82" s="890" t="str">
        <f t="shared" si="60"/>
        <v/>
      </c>
      <c r="AD82" s="887"/>
      <c r="AE82" s="887"/>
      <c r="AF82" s="887"/>
      <c r="AG82" s="887"/>
      <c r="AH82" s="887"/>
      <c r="AI82" s="887"/>
      <c r="AJ82" s="887"/>
      <c r="AK82" s="888" t="str">
        <f t="shared" si="61"/>
        <v/>
      </c>
      <c r="AL82" s="891">
        <f t="shared" si="62"/>
        <v>0</v>
      </c>
      <c r="AM82" s="891">
        <f t="shared" si="63"/>
        <v>0</v>
      </c>
      <c r="AN82" s="891">
        <f t="shared" si="64"/>
        <v>0</v>
      </c>
      <c r="AO82" s="891">
        <f t="shared" si="65"/>
        <v>0</v>
      </c>
      <c r="AP82" s="891">
        <f t="shared" si="66"/>
        <v>0</v>
      </c>
      <c r="AQ82" s="891">
        <f t="shared" si="67"/>
        <v>0</v>
      </c>
      <c r="AR82" s="891">
        <f t="shared" si="68"/>
        <v>0</v>
      </c>
      <c r="AS82" s="891">
        <f t="shared" si="69"/>
        <v>0</v>
      </c>
      <c r="AT82" s="891">
        <f t="shared" si="70"/>
        <v>0</v>
      </c>
      <c r="AU82" s="891">
        <f t="shared" si="71"/>
        <v>0</v>
      </c>
      <c r="AV82" s="891">
        <f t="shared" si="72"/>
        <v>0</v>
      </c>
      <c r="AW82" s="891">
        <f t="shared" si="73"/>
        <v>0</v>
      </c>
      <c r="AX82" s="891">
        <f t="shared" si="74"/>
        <v>0</v>
      </c>
      <c r="AY82" s="891">
        <f t="shared" si="75"/>
        <v>0</v>
      </c>
      <c r="AZ82" s="891">
        <f t="shared" si="76"/>
        <v>0</v>
      </c>
      <c r="BA82" s="891">
        <f t="shared" si="77"/>
        <v>0</v>
      </c>
      <c r="BB82" s="888" t="str">
        <f t="shared" si="78"/>
        <v/>
      </c>
      <c r="BC82" s="888" t="str">
        <f t="shared" si="79"/>
        <v/>
      </c>
      <c r="BD82" s="888" t="str">
        <f t="shared" si="80"/>
        <v/>
      </c>
      <c r="BE82" s="888" t="str">
        <f t="shared" si="81"/>
        <v/>
      </c>
      <c r="BF82" s="888" t="str">
        <f t="shared" si="82"/>
        <v/>
      </c>
      <c r="BG82" s="888" t="str">
        <f t="shared" si="83"/>
        <v/>
      </c>
      <c r="BH82" s="888" t="str">
        <f t="shared" si="84"/>
        <v/>
      </c>
      <c r="BI82" s="888" t="str">
        <f t="shared" si="85"/>
        <v/>
      </c>
      <c r="BJ82" s="889" t="str">
        <f t="shared" si="86"/>
        <v/>
      </c>
      <c r="BK82" s="889" t="str">
        <f t="shared" si="87"/>
        <v/>
      </c>
      <c r="BL82" s="889" t="str">
        <f t="shared" si="88"/>
        <v/>
      </c>
      <c r="BM82" s="889" t="str">
        <f t="shared" si="89"/>
        <v/>
      </c>
      <c r="BN82" s="889" t="str">
        <f t="shared" si="90"/>
        <v/>
      </c>
      <c r="BO82" s="889" t="str">
        <f t="shared" si="91"/>
        <v/>
      </c>
      <c r="BP82" s="889" t="str">
        <f t="shared" si="92"/>
        <v/>
      </c>
      <c r="BQ82" s="889" t="str">
        <f t="shared" si="93"/>
        <v/>
      </c>
      <c r="BR82" s="890" t="str">
        <f t="shared" si="94"/>
        <v/>
      </c>
      <c r="BS82" s="890" t="str">
        <f t="shared" si="95"/>
        <v/>
      </c>
      <c r="BT82" s="890" t="str">
        <f t="shared" si="96"/>
        <v/>
      </c>
      <c r="BU82" s="890" t="str">
        <f t="shared" si="97"/>
        <v/>
      </c>
      <c r="BV82" s="890" t="str">
        <f t="shared" si="98"/>
        <v/>
      </c>
      <c r="BW82" s="890" t="str">
        <f t="shared" si="99"/>
        <v/>
      </c>
      <c r="BX82" s="890" t="str">
        <f t="shared" si="100"/>
        <v/>
      </c>
      <c r="BY82" s="890" t="str">
        <f t="shared" si="101"/>
        <v/>
      </c>
      <c r="BZ82" s="888" t="str">
        <f t="shared" si="102"/>
        <v/>
      </c>
      <c r="CA82" s="888" t="str">
        <f t="shared" si="103"/>
        <v/>
      </c>
      <c r="CB82" s="888" t="str">
        <f t="shared" si="104"/>
        <v/>
      </c>
      <c r="CC82" s="888" t="str">
        <f t="shared" si="105"/>
        <v/>
      </c>
      <c r="CD82" s="888" t="str">
        <f t="shared" si="106"/>
        <v/>
      </c>
      <c r="CE82" s="888" t="str">
        <f t="shared" si="107"/>
        <v/>
      </c>
      <c r="CF82" s="888" t="str">
        <f t="shared" si="108"/>
        <v/>
      </c>
      <c r="CG82" s="888" t="str">
        <f t="shared" si="109"/>
        <v/>
      </c>
      <c r="CH82" s="887"/>
      <c r="CI82" s="899"/>
      <c r="CJ82" s="900"/>
    </row>
    <row r="83" spans="1:88">
      <c r="A83" s="879">
        <v>80</v>
      </c>
      <c r="B83" s="879">
        <f>STUDENT!F81</f>
        <v>0</v>
      </c>
      <c r="C83" s="879">
        <f>STUDENT!D81</f>
        <v>0</v>
      </c>
      <c r="D83" s="886">
        <f>STUDENT!E81</f>
        <v>0</v>
      </c>
      <c r="E83" s="886">
        <f>STUDENT!H81</f>
        <v>0</v>
      </c>
      <c r="F83" s="887"/>
      <c r="G83" s="887"/>
      <c r="H83" s="887"/>
      <c r="I83" s="887"/>
      <c r="J83" s="887"/>
      <c r="K83" s="887"/>
      <c r="L83" s="887"/>
      <c r="M83" s="888" t="str">
        <f t="shared" si="58"/>
        <v/>
      </c>
      <c r="N83" s="887"/>
      <c r="O83" s="887"/>
      <c r="P83" s="887"/>
      <c r="Q83" s="887"/>
      <c r="R83" s="887"/>
      <c r="S83" s="887"/>
      <c r="T83" s="887"/>
      <c r="U83" s="889" t="str">
        <f t="shared" si="59"/>
        <v/>
      </c>
      <c r="V83" s="887"/>
      <c r="W83" s="887"/>
      <c r="X83" s="887"/>
      <c r="Y83" s="887"/>
      <c r="Z83" s="887"/>
      <c r="AA83" s="887"/>
      <c r="AB83" s="887"/>
      <c r="AC83" s="890" t="str">
        <f t="shared" si="60"/>
        <v/>
      </c>
      <c r="AD83" s="887"/>
      <c r="AE83" s="887"/>
      <c r="AF83" s="887"/>
      <c r="AG83" s="887"/>
      <c r="AH83" s="887"/>
      <c r="AI83" s="887"/>
      <c r="AJ83" s="887"/>
      <c r="AK83" s="888" t="str">
        <f t="shared" si="61"/>
        <v/>
      </c>
      <c r="AL83" s="891">
        <f t="shared" si="62"/>
        <v>0</v>
      </c>
      <c r="AM83" s="891">
        <f t="shared" si="63"/>
        <v>0</v>
      </c>
      <c r="AN83" s="891">
        <f t="shared" si="64"/>
        <v>0</v>
      </c>
      <c r="AO83" s="891">
        <f t="shared" si="65"/>
        <v>0</v>
      </c>
      <c r="AP83" s="891">
        <f t="shared" si="66"/>
        <v>0</v>
      </c>
      <c r="AQ83" s="891">
        <f t="shared" si="67"/>
        <v>0</v>
      </c>
      <c r="AR83" s="891">
        <f t="shared" si="68"/>
        <v>0</v>
      </c>
      <c r="AS83" s="891">
        <f t="shared" si="69"/>
        <v>0</v>
      </c>
      <c r="AT83" s="891">
        <f t="shared" si="70"/>
        <v>0</v>
      </c>
      <c r="AU83" s="891">
        <f t="shared" si="71"/>
        <v>0</v>
      </c>
      <c r="AV83" s="891">
        <f t="shared" si="72"/>
        <v>0</v>
      </c>
      <c r="AW83" s="891">
        <f t="shared" si="73"/>
        <v>0</v>
      </c>
      <c r="AX83" s="891">
        <f t="shared" si="74"/>
        <v>0</v>
      </c>
      <c r="AY83" s="891">
        <f t="shared" si="75"/>
        <v>0</v>
      </c>
      <c r="AZ83" s="891">
        <f t="shared" si="76"/>
        <v>0</v>
      </c>
      <c r="BA83" s="891">
        <f t="shared" si="77"/>
        <v>0</v>
      </c>
      <c r="BB83" s="888" t="str">
        <f t="shared" si="78"/>
        <v/>
      </c>
      <c r="BC83" s="888" t="str">
        <f t="shared" si="79"/>
        <v/>
      </c>
      <c r="BD83" s="888" t="str">
        <f t="shared" si="80"/>
        <v/>
      </c>
      <c r="BE83" s="888" t="str">
        <f t="shared" si="81"/>
        <v/>
      </c>
      <c r="BF83" s="888" t="str">
        <f t="shared" si="82"/>
        <v/>
      </c>
      <c r="BG83" s="888" t="str">
        <f t="shared" si="83"/>
        <v/>
      </c>
      <c r="BH83" s="888" t="str">
        <f t="shared" si="84"/>
        <v/>
      </c>
      <c r="BI83" s="888" t="str">
        <f t="shared" si="85"/>
        <v/>
      </c>
      <c r="BJ83" s="889" t="str">
        <f t="shared" si="86"/>
        <v/>
      </c>
      <c r="BK83" s="889" t="str">
        <f t="shared" si="87"/>
        <v/>
      </c>
      <c r="BL83" s="889" t="str">
        <f t="shared" si="88"/>
        <v/>
      </c>
      <c r="BM83" s="889" t="str">
        <f t="shared" si="89"/>
        <v/>
      </c>
      <c r="BN83" s="889" t="str">
        <f t="shared" si="90"/>
        <v/>
      </c>
      <c r="BO83" s="889" t="str">
        <f t="shared" si="91"/>
        <v/>
      </c>
      <c r="BP83" s="889" t="str">
        <f t="shared" si="92"/>
        <v/>
      </c>
      <c r="BQ83" s="889" t="str">
        <f t="shared" si="93"/>
        <v/>
      </c>
      <c r="BR83" s="890" t="str">
        <f t="shared" si="94"/>
        <v/>
      </c>
      <c r="BS83" s="890" t="str">
        <f t="shared" si="95"/>
        <v/>
      </c>
      <c r="BT83" s="890" t="str">
        <f t="shared" si="96"/>
        <v/>
      </c>
      <c r="BU83" s="890" t="str">
        <f t="shared" si="97"/>
        <v/>
      </c>
      <c r="BV83" s="890" t="str">
        <f t="shared" si="98"/>
        <v/>
      </c>
      <c r="BW83" s="890" t="str">
        <f t="shared" si="99"/>
        <v/>
      </c>
      <c r="BX83" s="890" t="str">
        <f t="shared" si="100"/>
        <v/>
      </c>
      <c r="BY83" s="890" t="str">
        <f t="shared" si="101"/>
        <v/>
      </c>
      <c r="BZ83" s="888" t="str">
        <f t="shared" si="102"/>
        <v/>
      </c>
      <c r="CA83" s="888" t="str">
        <f t="shared" si="103"/>
        <v/>
      </c>
      <c r="CB83" s="888" t="str">
        <f t="shared" si="104"/>
        <v/>
      </c>
      <c r="CC83" s="888" t="str">
        <f t="shared" si="105"/>
        <v/>
      </c>
      <c r="CD83" s="888" t="str">
        <f t="shared" si="106"/>
        <v/>
      </c>
      <c r="CE83" s="888" t="str">
        <f t="shared" si="107"/>
        <v/>
      </c>
      <c r="CF83" s="888" t="str">
        <f t="shared" si="108"/>
        <v/>
      </c>
      <c r="CG83" s="888" t="str">
        <f t="shared" si="109"/>
        <v/>
      </c>
      <c r="CH83" s="887"/>
      <c r="CI83" s="899"/>
      <c r="CJ83" s="900"/>
    </row>
    <row r="84" spans="1:88">
      <c r="A84" s="879">
        <v>81</v>
      </c>
      <c r="B84" s="879">
        <f>STUDENT!F82</f>
        <v>0</v>
      </c>
      <c r="C84" s="879">
        <f>STUDENT!D82</f>
        <v>0</v>
      </c>
      <c r="D84" s="886">
        <f>STUDENT!E82</f>
        <v>0</v>
      </c>
      <c r="E84" s="886">
        <f>STUDENT!H82</f>
        <v>0</v>
      </c>
      <c r="F84" s="887"/>
      <c r="G84" s="887"/>
      <c r="H84" s="887"/>
      <c r="I84" s="887"/>
      <c r="J84" s="887"/>
      <c r="K84" s="887"/>
      <c r="L84" s="887"/>
      <c r="M84" s="888" t="str">
        <f t="shared" si="58"/>
        <v/>
      </c>
      <c r="N84" s="887"/>
      <c r="O84" s="887"/>
      <c r="P84" s="887"/>
      <c r="Q84" s="887"/>
      <c r="R84" s="887"/>
      <c r="S84" s="887"/>
      <c r="T84" s="887"/>
      <c r="U84" s="889" t="str">
        <f t="shared" si="59"/>
        <v/>
      </c>
      <c r="V84" s="887"/>
      <c r="W84" s="887"/>
      <c r="X84" s="887"/>
      <c r="Y84" s="887"/>
      <c r="Z84" s="887"/>
      <c r="AA84" s="887"/>
      <c r="AB84" s="887"/>
      <c r="AC84" s="890" t="str">
        <f t="shared" si="60"/>
        <v/>
      </c>
      <c r="AD84" s="887"/>
      <c r="AE84" s="887"/>
      <c r="AF84" s="887"/>
      <c r="AG84" s="887"/>
      <c r="AH84" s="887"/>
      <c r="AI84" s="887"/>
      <c r="AJ84" s="887"/>
      <c r="AK84" s="888" t="str">
        <f t="shared" si="61"/>
        <v/>
      </c>
      <c r="AL84" s="891">
        <f t="shared" si="62"/>
        <v>0</v>
      </c>
      <c r="AM84" s="891">
        <f t="shared" si="63"/>
        <v>0</v>
      </c>
      <c r="AN84" s="891">
        <f t="shared" si="64"/>
        <v>0</v>
      </c>
      <c r="AO84" s="891">
        <f t="shared" si="65"/>
        <v>0</v>
      </c>
      <c r="AP84" s="891">
        <f t="shared" si="66"/>
        <v>0</v>
      </c>
      <c r="AQ84" s="891">
        <f t="shared" si="67"/>
        <v>0</v>
      </c>
      <c r="AR84" s="891">
        <f t="shared" si="68"/>
        <v>0</v>
      </c>
      <c r="AS84" s="891">
        <f t="shared" si="69"/>
        <v>0</v>
      </c>
      <c r="AT84" s="891">
        <f t="shared" si="70"/>
        <v>0</v>
      </c>
      <c r="AU84" s="891">
        <f t="shared" si="71"/>
        <v>0</v>
      </c>
      <c r="AV84" s="891">
        <f t="shared" si="72"/>
        <v>0</v>
      </c>
      <c r="AW84" s="891">
        <f t="shared" si="73"/>
        <v>0</v>
      </c>
      <c r="AX84" s="891">
        <f t="shared" si="74"/>
        <v>0</v>
      </c>
      <c r="AY84" s="891">
        <f t="shared" si="75"/>
        <v>0</v>
      </c>
      <c r="AZ84" s="891">
        <f t="shared" si="76"/>
        <v>0</v>
      </c>
      <c r="BA84" s="891">
        <f t="shared" si="77"/>
        <v>0</v>
      </c>
      <c r="BB84" s="888" t="str">
        <f t="shared" si="78"/>
        <v/>
      </c>
      <c r="BC84" s="888" t="str">
        <f t="shared" si="79"/>
        <v/>
      </c>
      <c r="BD84" s="888" t="str">
        <f t="shared" si="80"/>
        <v/>
      </c>
      <c r="BE84" s="888" t="str">
        <f t="shared" si="81"/>
        <v/>
      </c>
      <c r="BF84" s="888" t="str">
        <f t="shared" si="82"/>
        <v/>
      </c>
      <c r="BG84" s="888" t="str">
        <f t="shared" si="83"/>
        <v/>
      </c>
      <c r="BH84" s="888" t="str">
        <f t="shared" si="84"/>
        <v/>
      </c>
      <c r="BI84" s="888" t="str">
        <f t="shared" si="85"/>
        <v/>
      </c>
      <c r="BJ84" s="889" t="str">
        <f t="shared" si="86"/>
        <v/>
      </c>
      <c r="BK84" s="889" t="str">
        <f t="shared" si="87"/>
        <v/>
      </c>
      <c r="BL84" s="889" t="str">
        <f t="shared" si="88"/>
        <v/>
      </c>
      <c r="BM84" s="889" t="str">
        <f t="shared" si="89"/>
        <v/>
      </c>
      <c r="BN84" s="889" t="str">
        <f t="shared" si="90"/>
        <v/>
      </c>
      <c r="BO84" s="889" t="str">
        <f t="shared" si="91"/>
        <v/>
      </c>
      <c r="BP84" s="889" t="str">
        <f t="shared" si="92"/>
        <v/>
      </c>
      <c r="BQ84" s="889" t="str">
        <f t="shared" si="93"/>
        <v/>
      </c>
      <c r="BR84" s="890" t="str">
        <f t="shared" si="94"/>
        <v/>
      </c>
      <c r="BS84" s="890" t="str">
        <f t="shared" si="95"/>
        <v/>
      </c>
      <c r="BT84" s="890" t="str">
        <f t="shared" si="96"/>
        <v/>
      </c>
      <c r="BU84" s="890" t="str">
        <f t="shared" si="97"/>
        <v/>
      </c>
      <c r="BV84" s="890" t="str">
        <f t="shared" si="98"/>
        <v/>
      </c>
      <c r="BW84" s="890" t="str">
        <f t="shared" si="99"/>
        <v/>
      </c>
      <c r="BX84" s="890" t="str">
        <f t="shared" si="100"/>
        <v/>
      </c>
      <c r="BY84" s="890" t="str">
        <f t="shared" si="101"/>
        <v/>
      </c>
      <c r="BZ84" s="888" t="str">
        <f t="shared" si="102"/>
        <v/>
      </c>
      <c r="CA84" s="888" t="str">
        <f t="shared" si="103"/>
        <v/>
      </c>
      <c r="CB84" s="888" t="str">
        <f t="shared" si="104"/>
        <v/>
      </c>
      <c r="CC84" s="888" t="str">
        <f t="shared" si="105"/>
        <v/>
      </c>
      <c r="CD84" s="888" t="str">
        <f t="shared" si="106"/>
        <v/>
      </c>
      <c r="CE84" s="888" t="str">
        <f t="shared" si="107"/>
        <v/>
      </c>
      <c r="CF84" s="888" t="str">
        <f t="shared" si="108"/>
        <v/>
      </c>
      <c r="CG84" s="888" t="str">
        <f t="shared" si="109"/>
        <v/>
      </c>
      <c r="CH84" s="887"/>
      <c r="CI84" s="899"/>
      <c r="CJ84" s="900"/>
    </row>
    <row r="85" spans="1:88">
      <c r="A85" s="879">
        <v>82</v>
      </c>
      <c r="B85" s="879">
        <f>STUDENT!F83</f>
        <v>0</v>
      </c>
      <c r="C85" s="879">
        <f>STUDENT!D83</f>
        <v>0</v>
      </c>
      <c r="D85" s="886">
        <f>STUDENT!E83</f>
        <v>0</v>
      </c>
      <c r="E85" s="886">
        <f>STUDENT!H83</f>
        <v>0</v>
      </c>
      <c r="F85" s="887"/>
      <c r="G85" s="887"/>
      <c r="H85" s="887"/>
      <c r="I85" s="887"/>
      <c r="J85" s="887"/>
      <c r="K85" s="887"/>
      <c r="L85" s="887"/>
      <c r="M85" s="888" t="str">
        <f t="shared" si="58"/>
        <v/>
      </c>
      <c r="N85" s="887"/>
      <c r="O85" s="887"/>
      <c r="P85" s="887"/>
      <c r="Q85" s="887"/>
      <c r="R85" s="887"/>
      <c r="S85" s="887"/>
      <c r="T85" s="887"/>
      <c r="U85" s="889" t="str">
        <f t="shared" si="59"/>
        <v/>
      </c>
      <c r="V85" s="887"/>
      <c r="W85" s="887"/>
      <c r="X85" s="887"/>
      <c r="Y85" s="887"/>
      <c r="Z85" s="887"/>
      <c r="AA85" s="887"/>
      <c r="AB85" s="887"/>
      <c r="AC85" s="890" t="str">
        <f t="shared" si="60"/>
        <v/>
      </c>
      <c r="AD85" s="887"/>
      <c r="AE85" s="887"/>
      <c r="AF85" s="887"/>
      <c r="AG85" s="887"/>
      <c r="AH85" s="887"/>
      <c r="AI85" s="887"/>
      <c r="AJ85" s="887"/>
      <c r="AK85" s="888" t="str">
        <f t="shared" si="61"/>
        <v/>
      </c>
      <c r="AL85" s="891">
        <f t="shared" si="62"/>
        <v>0</v>
      </c>
      <c r="AM85" s="891">
        <f t="shared" si="63"/>
        <v>0</v>
      </c>
      <c r="AN85" s="891">
        <f t="shared" si="64"/>
        <v>0</v>
      </c>
      <c r="AO85" s="891">
        <f t="shared" si="65"/>
        <v>0</v>
      </c>
      <c r="AP85" s="891">
        <f t="shared" si="66"/>
        <v>0</v>
      </c>
      <c r="AQ85" s="891">
        <f t="shared" si="67"/>
        <v>0</v>
      </c>
      <c r="AR85" s="891">
        <f t="shared" si="68"/>
        <v>0</v>
      </c>
      <c r="AS85" s="891">
        <f t="shared" si="69"/>
        <v>0</v>
      </c>
      <c r="AT85" s="891">
        <f t="shared" si="70"/>
        <v>0</v>
      </c>
      <c r="AU85" s="891">
        <f t="shared" si="71"/>
        <v>0</v>
      </c>
      <c r="AV85" s="891">
        <f t="shared" si="72"/>
        <v>0</v>
      </c>
      <c r="AW85" s="891">
        <f t="shared" si="73"/>
        <v>0</v>
      </c>
      <c r="AX85" s="891">
        <f t="shared" si="74"/>
        <v>0</v>
      </c>
      <c r="AY85" s="891">
        <f t="shared" si="75"/>
        <v>0</v>
      </c>
      <c r="AZ85" s="891">
        <f t="shared" si="76"/>
        <v>0</v>
      </c>
      <c r="BA85" s="891">
        <f t="shared" si="77"/>
        <v>0</v>
      </c>
      <c r="BB85" s="888" t="str">
        <f t="shared" si="78"/>
        <v/>
      </c>
      <c r="BC85" s="888" t="str">
        <f t="shared" si="79"/>
        <v/>
      </c>
      <c r="BD85" s="888" t="str">
        <f t="shared" si="80"/>
        <v/>
      </c>
      <c r="BE85" s="888" t="str">
        <f t="shared" si="81"/>
        <v/>
      </c>
      <c r="BF85" s="888" t="str">
        <f t="shared" si="82"/>
        <v/>
      </c>
      <c r="BG85" s="888" t="str">
        <f t="shared" si="83"/>
        <v/>
      </c>
      <c r="BH85" s="888" t="str">
        <f t="shared" si="84"/>
        <v/>
      </c>
      <c r="BI85" s="888" t="str">
        <f t="shared" si="85"/>
        <v/>
      </c>
      <c r="BJ85" s="889" t="str">
        <f t="shared" si="86"/>
        <v/>
      </c>
      <c r="BK85" s="889" t="str">
        <f t="shared" si="87"/>
        <v/>
      </c>
      <c r="BL85" s="889" t="str">
        <f t="shared" si="88"/>
        <v/>
      </c>
      <c r="BM85" s="889" t="str">
        <f t="shared" si="89"/>
        <v/>
      </c>
      <c r="BN85" s="889" t="str">
        <f t="shared" si="90"/>
        <v/>
      </c>
      <c r="BO85" s="889" t="str">
        <f t="shared" si="91"/>
        <v/>
      </c>
      <c r="BP85" s="889" t="str">
        <f t="shared" si="92"/>
        <v/>
      </c>
      <c r="BQ85" s="889" t="str">
        <f t="shared" si="93"/>
        <v/>
      </c>
      <c r="BR85" s="890" t="str">
        <f t="shared" si="94"/>
        <v/>
      </c>
      <c r="BS85" s="890" t="str">
        <f t="shared" si="95"/>
        <v/>
      </c>
      <c r="BT85" s="890" t="str">
        <f t="shared" si="96"/>
        <v/>
      </c>
      <c r="BU85" s="890" t="str">
        <f t="shared" si="97"/>
        <v/>
      </c>
      <c r="BV85" s="890" t="str">
        <f t="shared" si="98"/>
        <v/>
      </c>
      <c r="BW85" s="890" t="str">
        <f t="shared" si="99"/>
        <v/>
      </c>
      <c r="BX85" s="890" t="str">
        <f t="shared" si="100"/>
        <v/>
      </c>
      <c r="BY85" s="890" t="str">
        <f t="shared" si="101"/>
        <v/>
      </c>
      <c r="BZ85" s="888" t="str">
        <f t="shared" si="102"/>
        <v/>
      </c>
      <c r="CA85" s="888" t="str">
        <f t="shared" si="103"/>
        <v/>
      </c>
      <c r="CB85" s="888" t="str">
        <f t="shared" si="104"/>
        <v/>
      </c>
      <c r="CC85" s="888" t="str">
        <f t="shared" si="105"/>
        <v/>
      </c>
      <c r="CD85" s="888" t="str">
        <f t="shared" si="106"/>
        <v/>
      </c>
      <c r="CE85" s="888" t="str">
        <f t="shared" si="107"/>
        <v/>
      </c>
      <c r="CF85" s="888" t="str">
        <f t="shared" si="108"/>
        <v/>
      </c>
      <c r="CG85" s="888" t="str">
        <f t="shared" si="109"/>
        <v/>
      </c>
      <c r="CH85" s="887"/>
      <c r="CI85" s="899"/>
      <c r="CJ85" s="900"/>
    </row>
    <row r="86" spans="1:88">
      <c r="A86" s="879">
        <v>83</v>
      </c>
      <c r="B86" s="879">
        <f>STUDENT!F84</f>
        <v>0</v>
      </c>
      <c r="C86" s="879">
        <f>STUDENT!D84</f>
        <v>0</v>
      </c>
      <c r="D86" s="886">
        <f>STUDENT!E84</f>
        <v>0</v>
      </c>
      <c r="E86" s="886">
        <f>STUDENT!H84</f>
        <v>0</v>
      </c>
      <c r="F86" s="887"/>
      <c r="G86" s="887"/>
      <c r="H86" s="887"/>
      <c r="I86" s="887"/>
      <c r="J86" s="887"/>
      <c r="K86" s="887"/>
      <c r="L86" s="887"/>
      <c r="M86" s="888" t="str">
        <f t="shared" si="58"/>
        <v/>
      </c>
      <c r="N86" s="887"/>
      <c r="O86" s="887"/>
      <c r="P86" s="887"/>
      <c r="Q86" s="887"/>
      <c r="R86" s="887"/>
      <c r="S86" s="887"/>
      <c r="T86" s="887"/>
      <c r="U86" s="889" t="str">
        <f t="shared" si="59"/>
        <v/>
      </c>
      <c r="V86" s="887"/>
      <c r="W86" s="887"/>
      <c r="X86" s="887"/>
      <c r="Y86" s="887"/>
      <c r="Z86" s="887"/>
      <c r="AA86" s="887"/>
      <c r="AB86" s="887"/>
      <c r="AC86" s="890" t="str">
        <f t="shared" si="60"/>
        <v/>
      </c>
      <c r="AD86" s="887"/>
      <c r="AE86" s="887"/>
      <c r="AF86" s="887"/>
      <c r="AG86" s="887"/>
      <c r="AH86" s="887"/>
      <c r="AI86" s="887"/>
      <c r="AJ86" s="887"/>
      <c r="AK86" s="888" t="str">
        <f t="shared" si="61"/>
        <v/>
      </c>
      <c r="AL86" s="891">
        <f t="shared" si="62"/>
        <v>0</v>
      </c>
      <c r="AM86" s="891">
        <f t="shared" si="63"/>
        <v>0</v>
      </c>
      <c r="AN86" s="891">
        <f t="shared" si="64"/>
        <v>0</v>
      </c>
      <c r="AO86" s="891">
        <f t="shared" si="65"/>
        <v>0</v>
      </c>
      <c r="AP86" s="891">
        <f t="shared" si="66"/>
        <v>0</v>
      </c>
      <c r="AQ86" s="891">
        <f t="shared" si="67"/>
        <v>0</v>
      </c>
      <c r="AR86" s="891">
        <f t="shared" si="68"/>
        <v>0</v>
      </c>
      <c r="AS86" s="891">
        <f t="shared" si="69"/>
        <v>0</v>
      </c>
      <c r="AT86" s="891">
        <f t="shared" si="70"/>
        <v>0</v>
      </c>
      <c r="AU86" s="891">
        <f t="shared" si="71"/>
        <v>0</v>
      </c>
      <c r="AV86" s="891">
        <f t="shared" si="72"/>
        <v>0</v>
      </c>
      <c r="AW86" s="891">
        <f t="shared" si="73"/>
        <v>0</v>
      </c>
      <c r="AX86" s="891">
        <f t="shared" si="74"/>
        <v>0</v>
      </c>
      <c r="AY86" s="891">
        <f t="shared" si="75"/>
        <v>0</v>
      </c>
      <c r="AZ86" s="891">
        <f t="shared" si="76"/>
        <v>0</v>
      </c>
      <c r="BA86" s="891">
        <f t="shared" si="77"/>
        <v>0</v>
      </c>
      <c r="BB86" s="888" t="str">
        <f t="shared" si="78"/>
        <v/>
      </c>
      <c r="BC86" s="888" t="str">
        <f t="shared" si="79"/>
        <v/>
      </c>
      <c r="BD86" s="888" t="str">
        <f t="shared" si="80"/>
        <v/>
      </c>
      <c r="BE86" s="888" t="str">
        <f t="shared" si="81"/>
        <v/>
      </c>
      <c r="BF86" s="888" t="str">
        <f t="shared" si="82"/>
        <v/>
      </c>
      <c r="BG86" s="888" t="str">
        <f t="shared" si="83"/>
        <v/>
      </c>
      <c r="BH86" s="888" t="str">
        <f t="shared" si="84"/>
        <v/>
      </c>
      <c r="BI86" s="888" t="str">
        <f t="shared" si="85"/>
        <v/>
      </c>
      <c r="BJ86" s="889" t="str">
        <f t="shared" si="86"/>
        <v/>
      </c>
      <c r="BK86" s="889" t="str">
        <f t="shared" si="87"/>
        <v/>
      </c>
      <c r="BL86" s="889" t="str">
        <f t="shared" si="88"/>
        <v/>
      </c>
      <c r="BM86" s="889" t="str">
        <f t="shared" si="89"/>
        <v/>
      </c>
      <c r="BN86" s="889" t="str">
        <f t="shared" si="90"/>
        <v/>
      </c>
      <c r="BO86" s="889" t="str">
        <f t="shared" si="91"/>
        <v/>
      </c>
      <c r="BP86" s="889" t="str">
        <f t="shared" si="92"/>
        <v/>
      </c>
      <c r="BQ86" s="889" t="str">
        <f t="shared" si="93"/>
        <v/>
      </c>
      <c r="BR86" s="890" t="str">
        <f t="shared" si="94"/>
        <v/>
      </c>
      <c r="BS86" s="890" t="str">
        <f t="shared" si="95"/>
        <v/>
      </c>
      <c r="BT86" s="890" t="str">
        <f t="shared" si="96"/>
        <v/>
      </c>
      <c r="BU86" s="890" t="str">
        <f t="shared" si="97"/>
        <v/>
      </c>
      <c r="BV86" s="890" t="str">
        <f t="shared" si="98"/>
        <v/>
      </c>
      <c r="BW86" s="890" t="str">
        <f t="shared" si="99"/>
        <v/>
      </c>
      <c r="BX86" s="890" t="str">
        <f t="shared" si="100"/>
        <v/>
      </c>
      <c r="BY86" s="890" t="str">
        <f t="shared" si="101"/>
        <v/>
      </c>
      <c r="BZ86" s="888" t="str">
        <f t="shared" si="102"/>
        <v/>
      </c>
      <c r="CA86" s="888" t="str">
        <f t="shared" si="103"/>
        <v/>
      </c>
      <c r="CB86" s="888" t="str">
        <f t="shared" si="104"/>
        <v/>
      </c>
      <c r="CC86" s="888" t="str">
        <f t="shared" si="105"/>
        <v/>
      </c>
      <c r="CD86" s="888" t="str">
        <f t="shared" si="106"/>
        <v/>
      </c>
      <c r="CE86" s="888" t="str">
        <f t="shared" si="107"/>
        <v/>
      </c>
      <c r="CF86" s="888" t="str">
        <f t="shared" si="108"/>
        <v/>
      </c>
      <c r="CG86" s="888" t="str">
        <f t="shared" si="109"/>
        <v/>
      </c>
      <c r="CH86" s="887"/>
      <c r="CI86" s="899"/>
      <c r="CJ86" s="900"/>
    </row>
    <row r="87" spans="1:88">
      <c r="A87" s="879">
        <v>84</v>
      </c>
      <c r="B87" s="879">
        <f>STUDENT!F85</f>
        <v>0</v>
      </c>
      <c r="C87" s="879">
        <f>STUDENT!D85</f>
        <v>0</v>
      </c>
      <c r="D87" s="886">
        <f>STUDENT!E85</f>
        <v>0</v>
      </c>
      <c r="E87" s="886">
        <f>STUDENT!H85</f>
        <v>0</v>
      </c>
      <c r="F87" s="887"/>
      <c r="G87" s="887"/>
      <c r="H87" s="887"/>
      <c r="I87" s="887"/>
      <c r="J87" s="887"/>
      <c r="K87" s="887"/>
      <c r="L87" s="887"/>
      <c r="M87" s="888" t="str">
        <f t="shared" si="58"/>
        <v/>
      </c>
      <c r="N87" s="887"/>
      <c r="O87" s="887"/>
      <c r="P87" s="887"/>
      <c r="Q87" s="887"/>
      <c r="R87" s="887"/>
      <c r="S87" s="887"/>
      <c r="T87" s="887"/>
      <c r="U87" s="889" t="str">
        <f t="shared" si="59"/>
        <v/>
      </c>
      <c r="V87" s="887"/>
      <c r="W87" s="887"/>
      <c r="X87" s="887"/>
      <c r="Y87" s="887"/>
      <c r="Z87" s="887"/>
      <c r="AA87" s="887"/>
      <c r="AB87" s="887"/>
      <c r="AC87" s="890" t="str">
        <f t="shared" si="60"/>
        <v/>
      </c>
      <c r="AD87" s="887"/>
      <c r="AE87" s="887"/>
      <c r="AF87" s="887"/>
      <c r="AG87" s="887"/>
      <c r="AH87" s="887"/>
      <c r="AI87" s="887"/>
      <c r="AJ87" s="887"/>
      <c r="AK87" s="888" t="str">
        <f t="shared" si="61"/>
        <v/>
      </c>
      <c r="AL87" s="891">
        <f t="shared" si="62"/>
        <v>0</v>
      </c>
      <c r="AM87" s="891">
        <f t="shared" si="63"/>
        <v>0</v>
      </c>
      <c r="AN87" s="891">
        <f t="shared" si="64"/>
        <v>0</v>
      </c>
      <c r="AO87" s="891">
        <f t="shared" si="65"/>
        <v>0</v>
      </c>
      <c r="AP87" s="891">
        <f t="shared" si="66"/>
        <v>0</v>
      </c>
      <c r="AQ87" s="891">
        <f t="shared" si="67"/>
        <v>0</v>
      </c>
      <c r="AR87" s="891">
        <f t="shared" si="68"/>
        <v>0</v>
      </c>
      <c r="AS87" s="891">
        <f t="shared" si="69"/>
        <v>0</v>
      </c>
      <c r="AT87" s="891">
        <f t="shared" si="70"/>
        <v>0</v>
      </c>
      <c r="AU87" s="891">
        <f t="shared" si="71"/>
        <v>0</v>
      </c>
      <c r="AV87" s="891">
        <f t="shared" si="72"/>
        <v>0</v>
      </c>
      <c r="AW87" s="891">
        <f t="shared" si="73"/>
        <v>0</v>
      </c>
      <c r="AX87" s="891">
        <f t="shared" si="74"/>
        <v>0</v>
      </c>
      <c r="AY87" s="891">
        <f t="shared" si="75"/>
        <v>0</v>
      </c>
      <c r="AZ87" s="891">
        <f t="shared" si="76"/>
        <v>0</v>
      </c>
      <c r="BA87" s="891">
        <f t="shared" si="77"/>
        <v>0</v>
      </c>
      <c r="BB87" s="888" t="str">
        <f t="shared" si="78"/>
        <v/>
      </c>
      <c r="BC87" s="888" t="str">
        <f t="shared" si="79"/>
        <v/>
      </c>
      <c r="BD87" s="888" t="str">
        <f t="shared" si="80"/>
        <v/>
      </c>
      <c r="BE87" s="888" t="str">
        <f t="shared" si="81"/>
        <v/>
      </c>
      <c r="BF87" s="888" t="str">
        <f t="shared" si="82"/>
        <v/>
      </c>
      <c r="BG87" s="888" t="str">
        <f t="shared" si="83"/>
        <v/>
      </c>
      <c r="BH87" s="888" t="str">
        <f t="shared" si="84"/>
        <v/>
      </c>
      <c r="BI87" s="888" t="str">
        <f t="shared" si="85"/>
        <v/>
      </c>
      <c r="BJ87" s="889" t="str">
        <f t="shared" si="86"/>
        <v/>
      </c>
      <c r="BK87" s="889" t="str">
        <f t="shared" si="87"/>
        <v/>
      </c>
      <c r="BL87" s="889" t="str">
        <f t="shared" si="88"/>
        <v/>
      </c>
      <c r="BM87" s="889" t="str">
        <f t="shared" si="89"/>
        <v/>
      </c>
      <c r="BN87" s="889" t="str">
        <f t="shared" si="90"/>
        <v/>
      </c>
      <c r="BO87" s="889" t="str">
        <f t="shared" si="91"/>
        <v/>
      </c>
      <c r="BP87" s="889" t="str">
        <f t="shared" si="92"/>
        <v/>
      </c>
      <c r="BQ87" s="889" t="str">
        <f t="shared" si="93"/>
        <v/>
      </c>
      <c r="BR87" s="890" t="str">
        <f t="shared" si="94"/>
        <v/>
      </c>
      <c r="BS87" s="890" t="str">
        <f t="shared" si="95"/>
        <v/>
      </c>
      <c r="BT87" s="890" t="str">
        <f t="shared" si="96"/>
        <v/>
      </c>
      <c r="BU87" s="890" t="str">
        <f t="shared" si="97"/>
        <v/>
      </c>
      <c r="BV87" s="890" t="str">
        <f t="shared" si="98"/>
        <v/>
      </c>
      <c r="BW87" s="890" t="str">
        <f t="shared" si="99"/>
        <v/>
      </c>
      <c r="BX87" s="890" t="str">
        <f t="shared" si="100"/>
        <v/>
      </c>
      <c r="BY87" s="890" t="str">
        <f t="shared" si="101"/>
        <v/>
      </c>
      <c r="BZ87" s="888" t="str">
        <f t="shared" si="102"/>
        <v/>
      </c>
      <c r="CA87" s="888" t="str">
        <f t="shared" si="103"/>
        <v/>
      </c>
      <c r="CB87" s="888" t="str">
        <f t="shared" si="104"/>
        <v/>
      </c>
      <c r="CC87" s="888" t="str">
        <f t="shared" si="105"/>
        <v/>
      </c>
      <c r="CD87" s="888" t="str">
        <f t="shared" si="106"/>
        <v/>
      </c>
      <c r="CE87" s="888" t="str">
        <f t="shared" si="107"/>
        <v/>
      </c>
      <c r="CF87" s="888" t="str">
        <f t="shared" si="108"/>
        <v/>
      </c>
      <c r="CG87" s="888" t="str">
        <f t="shared" si="109"/>
        <v/>
      </c>
      <c r="CH87" s="887"/>
      <c r="CI87" s="899"/>
      <c r="CJ87" s="900"/>
    </row>
    <row r="88" spans="1:88">
      <c r="A88" s="879">
        <v>85</v>
      </c>
      <c r="B88" s="879">
        <f>STUDENT!F86</f>
        <v>0</v>
      </c>
      <c r="C88" s="879">
        <f>STUDENT!D86</f>
        <v>0</v>
      </c>
      <c r="D88" s="886">
        <f>STUDENT!E86</f>
        <v>0</v>
      </c>
      <c r="E88" s="886">
        <f>STUDENT!H86</f>
        <v>0</v>
      </c>
      <c r="F88" s="887"/>
      <c r="G88" s="887"/>
      <c r="H88" s="887"/>
      <c r="I88" s="887"/>
      <c r="J88" s="887"/>
      <c r="K88" s="887"/>
      <c r="L88" s="887"/>
      <c r="M88" s="888" t="str">
        <f t="shared" si="58"/>
        <v/>
      </c>
      <c r="N88" s="887"/>
      <c r="O88" s="887"/>
      <c r="P88" s="887"/>
      <c r="Q88" s="887"/>
      <c r="R88" s="887"/>
      <c r="S88" s="887"/>
      <c r="T88" s="887"/>
      <c r="U88" s="889" t="str">
        <f t="shared" si="59"/>
        <v/>
      </c>
      <c r="V88" s="887"/>
      <c r="W88" s="887"/>
      <c r="X88" s="887"/>
      <c r="Y88" s="887"/>
      <c r="Z88" s="887"/>
      <c r="AA88" s="887"/>
      <c r="AB88" s="887"/>
      <c r="AC88" s="890" t="str">
        <f t="shared" si="60"/>
        <v/>
      </c>
      <c r="AD88" s="887"/>
      <c r="AE88" s="887"/>
      <c r="AF88" s="887"/>
      <c r="AG88" s="887"/>
      <c r="AH88" s="887"/>
      <c r="AI88" s="887"/>
      <c r="AJ88" s="887"/>
      <c r="AK88" s="888" t="str">
        <f t="shared" si="61"/>
        <v/>
      </c>
      <c r="AL88" s="891">
        <f t="shared" si="62"/>
        <v>0</v>
      </c>
      <c r="AM88" s="891">
        <f t="shared" si="63"/>
        <v>0</v>
      </c>
      <c r="AN88" s="891">
        <f t="shared" si="64"/>
        <v>0</v>
      </c>
      <c r="AO88" s="891">
        <f t="shared" si="65"/>
        <v>0</v>
      </c>
      <c r="AP88" s="891">
        <f t="shared" si="66"/>
        <v>0</v>
      </c>
      <c r="AQ88" s="891">
        <f t="shared" si="67"/>
        <v>0</v>
      </c>
      <c r="AR88" s="891">
        <f t="shared" si="68"/>
        <v>0</v>
      </c>
      <c r="AS88" s="891">
        <f t="shared" si="69"/>
        <v>0</v>
      </c>
      <c r="AT88" s="891">
        <f t="shared" si="70"/>
        <v>0</v>
      </c>
      <c r="AU88" s="891">
        <f t="shared" si="71"/>
        <v>0</v>
      </c>
      <c r="AV88" s="891">
        <f t="shared" si="72"/>
        <v>0</v>
      </c>
      <c r="AW88" s="891">
        <f t="shared" si="73"/>
        <v>0</v>
      </c>
      <c r="AX88" s="891">
        <f t="shared" si="74"/>
        <v>0</v>
      </c>
      <c r="AY88" s="891">
        <f t="shared" si="75"/>
        <v>0</v>
      </c>
      <c r="AZ88" s="891">
        <f t="shared" si="76"/>
        <v>0</v>
      </c>
      <c r="BA88" s="891">
        <f t="shared" si="77"/>
        <v>0</v>
      </c>
      <c r="BB88" s="888" t="str">
        <f t="shared" si="78"/>
        <v/>
      </c>
      <c r="BC88" s="888" t="str">
        <f t="shared" si="79"/>
        <v/>
      </c>
      <c r="BD88" s="888" t="str">
        <f t="shared" si="80"/>
        <v/>
      </c>
      <c r="BE88" s="888" t="str">
        <f t="shared" si="81"/>
        <v/>
      </c>
      <c r="BF88" s="888" t="str">
        <f t="shared" si="82"/>
        <v/>
      </c>
      <c r="BG88" s="888" t="str">
        <f t="shared" si="83"/>
        <v/>
      </c>
      <c r="BH88" s="888" t="str">
        <f t="shared" si="84"/>
        <v/>
      </c>
      <c r="BI88" s="888" t="str">
        <f t="shared" si="85"/>
        <v/>
      </c>
      <c r="BJ88" s="889" t="str">
        <f t="shared" si="86"/>
        <v/>
      </c>
      <c r="BK88" s="889" t="str">
        <f t="shared" si="87"/>
        <v/>
      </c>
      <c r="BL88" s="889" t="str">
        <f t="shared" si="88"/>
        <v/>
      </c>
      <c r="BM88" s="889" t="str">
        <f t="shared" si="89"/>
        <v/>
      </c>
      <c r="BN88" s="889" t="str">
        <f t="shared" si="90"/>
        <v/>
      </c>
      <c r="BO88" s="889" t="str">
        <f t="shared" si="91"/>
        <v/>
      </c>
      <c r="BP88" s="889" t="str">
        <f t="shared" si="92"/>
        <v/>
      </c>
      <c r="BQ88" s="889" t="str">
        <f t="shared" si="93"/>
        <v/>
      </c>
      <c r="BR88" s="890" t="str">
        <f t="shared" si="94"/>
        <v/>
      </c>
      <c r="BS88" s="890" t="str">
        <f t="shared" si="95"/>
        <v/>
      </c>
      <c r="BT88" s="890" t="str">
        <f t="shared" si="96"/>
        <v/>
      </c>
      <c r="BU88" s="890" t="str">
        <f t="shared" si="97"/>
        <v/>
      </c>
      <c r="BV88" s="890" t="str">
        <f t="shared" si="98"/>
        <v/>
      </c>
      <c r="BW88" s="890" t="str">
        <f t="shared" si="99"/>
        <v/>
      </c>
      <c r="BX88" s="890" t="str">
        <f t="shared" si="100"/>
        <v/>
      </c>
      <c r="BY88" s="890" t="str">
        <f t="shared" si="101"/>
        <v/>
      </c>
      <c r="BZ88" s="888" t="str">
        <f t="shared" si="102"/>
        <v/>
      </c>
      <c r="CA88" s="888" t="str">
        <f t="shared" si="103"/>
        <v/>
      </c>
      <c r="CB88" s="888" t="str">
        <f t="shared" si="104"/>
        <v/>
      </c>
      <c r="CC88" s="888" t="str">
        <f t="shared" si="105"/>
        <v/>
      </c>
      <c r="CD88" s="888" t="str">
        <f t="shared" si="106"/>
        <v/>
      </c>
      <c r="CE88" s="888" t="str">
        <f t="shared" si="107"/>
        <v/>
      </c>
      <c r="CF88" s="888" t="str">
        <f t="shared" si="108"/>
        <v/>
      </c>
      <c r="CG88" s="888" t="str">
        <f t="shared" si="109"/>
        <v/>
      </c>
      <c r="CH88" s="887"/>
      <c r="CI88" s="899"/>
      <c r="CJ88" s="900"/>
    </row>
    <row r="89" spans="1:88">
      <c r="A89" s="879">
        <v>86</v>
      </c>
      <c r="B89" s="879">
        <f>STUDENT!F87</f>
        <v>0</v>
      </c>
      <c r="C89" s="879">
        <f>STUDENT!D87</f>
        <v>0</v>
      </c>
      <c r="D89" s="886">
        <f>STUDENT!E87</f>
        <v>0</v>
      </c>
      <c r="E89" s="886">
        <f>STUDENT!H87</f>
        <v>0</v>
      </c>
      <c r="F89" s="887"/>
      <c r="G89" s="887"/>
      <c r="H89" s="887"/>
      <c r="I89" s="887"/>
      <c r="J89" s="887"/>
      <c r="K89" s="887"/>
      <c r="L89" s="887"/>
      <c r="M89" s="888" t="str">
        <f t="shared" si="58"/>
        <v/>
      </c>
      <c r="N89" s="887"/>
      <c r="O89" s="887"/>
      <c r="P89" s="887"/>
      <c r="Q89" s="887"/>
      <c r="R89" s="887"/>
      <c r="S89" s="887"/>
      <c r="T89" s="887"/>
      <c r="U89" s="889" t="str">
        <f t="shared" si="59"/>
        <v/>
      </c>
      <c r="V89" s="887"/>
      <c r="W89" s="887"/>
      <c r="X89" s="887"/>
      <c r="Y89" s="887"/>
      <c r="Z89" s="887"/>
      <c r="AA89" s="887"/>
      <c r="AB89" s="887"/>
      <c r="AC89" s="890" t="str">
        <f t="shared" si="60"/>
        <v/>
      </c>
      <c r="AD89" s="887"/>
      <c r="AE89" s="887"/>
      <c r="AF89" s="887"/>
      <c r="AG89" s="887"/>
      <c r="AH89" s="887"/>
      <c r="AI89" s="887"/>
      <c r="AJ89" s="887"/>
      <c r="AK89" s="888" t="str">
        <f t="shared" si="61"/>
        <v/>
      </c>
      <c r="AL89" s="891">
        <f t="shared" si="62"/>
        <v>0</v>
      </c>
      <c r="AM89" s="891">
        <f t="shared" si="63"/>
        <v>0</v>
      </c>
      <c r="AN89" s="891">
        <f t="shared" si="64"/>
        <v>0</v>
      </c>
      <c r="AO89" s="891">
        <f t="shared" si="65"/>
        <v>0</v>
      </c>
      <c r="AP89" s="891">
        <f t="shared" si="66"/>
        <v>0</v>
      </c>
      <c r="AQ89" s="891">
        <f t="shared" si="67"/>
        <v>0</v>
      </c>
      <c r="AR89" s="891">
        <f t="shared" si="68"/>
        <v>0</v>
      </c>
      <c r="AS89" s="891">
        <f t="shared" si="69"/>
        <v>0</v>
      </c>
      <c r="AT89" s="891">
        <f t="shared" si="70"/>
        <v>0</v>
      </c>
      <c r="AU89" s="891">
        <f t="shared" si="71"/>
        <v>0</v>
      </c>
      <c r="AV89" s="891">
        <f t="shared" si="72"/>
        <v>0</v>
      </c>
      <c r="AW89" s="891">
        <f t="shared" si="73"/>
        <v>0</v>
      </c>
      <c r="AX89" s="891">
        <f t="shared" si="74"/>
        <v>0</v>
      </c>
      <c r="AY89" s="891">
        <f t="shared" si="75"/>
        <v>0</v>
      </c>
      <c r="AZ89" s="891">
        <f t="shared" si="76"/>
        <v>0</v>
      </c>
      <c r="BA89" s="891">
        <f t="shared" si="77"/>
        <v>0</v>
      </c>
      <c r="BB89" s="888" t="str">
        <f t="shared" si="78"/>
        <v/>
      </c>
      <c r="BC89" s="888" t="str">
        <f t="shared" si="79"/>
        <v/>
      </c>
      <c r="BD89" s="888" t="str">
        <f t="shared" si="80"/>
        <v/>
      </c>
      <c r="BE89" s="888" t="str">
        <f t="shared" si="81"/>
        <v/>
      </c>
      <c r="BF89" s="888" t="str">
        <f t="shared" si="82"/>
        <v/>
      </c>
      <c r="BG89" s="888" t="str">
        <f t="shared" si="83"/>
        <v/>
      </c>
      <c r="BH89" s="888" t="str">
        <f t="shared" si="84"/>
        <v/>
      </c>
      <c r="BI89" s="888" t="str">
        <f t="shared" si="85"/>
        <v/>
      </c>
      <c r="BJ89" s="889" t="str">
        <f t="shared" si="86"/>
        <v/>
      </c>
      <c r="BK89" s="889" t="str">
        <f t="shared" si="87"/>
        <v/>
      </c>
      <c r="BL89" s="889" t="str">
        <f t="shared" si="88"/>
        <v/>
      </c>
      <c r="BM89" s="889" t="str">
        <f t="shared" si="89"/>
        <v/>
      </c>
      <c r="BN89" s="889" t="str">
        <f t="shared" si="90"/>
        <v/>
      </c>
      <c r="BO89" s="889" t="str">
        <f t="shared" si="91"/>
        <v/>
      </c>
      <c r="BP89" s="889" t="str">
        <f t="shared" si="92"/>
        <v/>
      </c>
      <c r="BQ89" s="889" t="str">
        <f t="shared" si="93"/>
        <v/>
      </c>
      <c r="BR89" s="890" t="str">
        <f t="shared" si="94"/>
        <v/>
      </c>
      <c r="BS89" s="890" t="str">
        <f t="shared" si="95"/>
        <v/>
      </c>
      <c r="BT89" s="890" t="str">
        <f t="shared" si="96"/>
        <v/>
      </c>
      <c r="BU89" s="890" t="str">
        <f t="shared" si="97"/>
        <v/>
      </c>
      <c r="BV89" s="890" t="str">
        <f t="shared" si="98"/>
        <v/>
      </c>
      <c r="BW89" s="890" t="str">
        <f t="shared" si="99"/>
        <v/>
      </c>
      <c r="BX89" s="890" t="str">
        <f t="shared" si="100"/>
        <v/>
      </c>
      <c r="BY89" s="890" t="str">
        <f t="shared" si="101"/>
        <v/>
      </c>
      <c r="BZ89" s="888" t="str">
        <f t="shared" si="102"/>
        <v/>
      </c>
      <c r="CA89" s="888" t="str">
        <f t="shared" si="103"/>
        <v/>
      </c>
      <c r="CB89" s="888" t="str">
        <f t="shared" si="104"/>
        <v/>
      </c>
      <c r="CC89" s="888" t="str">
        <f t="shared" si="105"/>
        <v/>
      </c>
      <c r="CD89" s="888" t="str">
        <f t="shared" si="106"/>
        <v/>
      </c>
      <c r="CE89" s="888" t="str">
        <f t="shared" si="107"/>
        <v/>
      </c>
      <c r="CF89" s="888" t="str">
        <f t="shared" si="108"/>
        <v/>
      </c>
      <c r="CG89" s="888" t="str">
        <f t="shared" si="109"/>
        <v/>
      </c>
      <c r="CH89" s="887"/>
      <c r="CI89" s="899"/>
      <c r="CJ89" s="900"/>
    </row>
    <row r="90" spans="1:88">
      <c r="A90" s="879">
        <v>87</v>
      </c>
      <c r="B90" s="879">
        <f>STUDENT!F88</f>
        <v>0</v>
      </c>
      <c r="C90" s="879">
        <f>STUDENT!D88</f>
        <v>0</v>
      </c>
      <c r="D90" s="886">
        <f>STUDENT!E88</f>
        <v>0</v>
      </c>
      <c r="E90" s="886">
        <f>STUDENT!H88</f>
        <v>0</v>
      </c>
      <c r="F90" s="887"/>
      <c r="G90" s="887"/>
      <c r="H90" s="887"/>
      <c r="I90" s="887"/>
      <c r="J90" s="887"/>
      <c r="K90" s="887"/>
      <c r="L90" s="887"/>
      <c r="M90" s="888" t="str">
        <f t="shared" si="58"/>
        <v/>
      </c>
      <c r="N90" s="887"/>
      <c r="O90" s="887"/>
      <c r="P90" s="887"/>
      <c r="Q90" s="887"/>
      <c r="R90" s="887"/>
      <c r="S90" s="887"/>
      <c r="T90" s="887"/>
      <c r="U90" s="889" t="str">
        <f t="shared" si="59"/>
        <v/>
      </c>
      <c r="V90" s="887"/>
      <c r="W90" s="887"/>
      <c r="X90" s="887"/>
      <c r="Y90" s="887"/>
      <c r="Z90" s="887"/>
      <c r="AA90" s="887"/>
      <c r="AB90" s="887"/>
      <c r="AC90" s="890" t="str">
        <f t="shared" si="60"/>
        <v/>
      </c>
      <c r="AD90" s="887"/>
      <c r="AE90" s="887"/>
      <c r="AF90" s="887"/>
      <c r="AG90" s="887"/>
      <c r="AH90" s="887"/>
      <c r="AI90" s="887"/>
      <c r="AJ90" s="887"/>
      <c r="AK90" s="888" t="str">
        <f t="shared" si="61"/>
        <v/>
      </c>
      <c r="AL90" s="891">
        <f t="shared" si="62"/>
        <v>0</v>
      </c>
      <c r="AM90" s="891">
        <f t="shared" si="63"/>
        <v>0</v>
      </c>
      <c r="AN90" s="891">
        <f t="shared" si="64"/>
        <v>0</v>
      </c>
      <c r="AO90" s="891">
        <f t="shared" si="65"/>
        <v>0</v>
      </c>
      <c r="AP90" s="891">
        <f t="shared" si="66"/>
        <v>0</v>
      </c>
      <c r="AQ90" s="891">
        <f t="shared" si="67"/>
        <v>0</v>
      </c>
      <c r="AR90" s="891">
        <f t="shared" si="68"/>
        <v>0</v>
      </c>
      <c r="AS90" s="891">
        <f t="shared" si="69"/>
        <v>0</v>
      </c>
      <c r="AT90" s="891">
        <f t="shared" si="70"/>
        <v>0</v>
      </c>
      <c r="AU90" s="891">
        <f t="shared" si="71"/>
        <v>0</v>
      </c>
      <c r="AV90" s="891">
        <f t="shared" si="72"/>
        <v>0</v>
      </c>
      <c r="AW90" s="891">
        <f t="shared" si="73"/>
        <v>0</v>
      </c>
      <c r="AX90" s="891">
        <f t="shared" si="74"/>
        <v>0</v>
      </c>
      <c r="AY90" s="891">
        <f t="shared" si="75"/>
        <v>0</v>
      </c>
      <c r="AZ90" s="891">
        <f t="shared" si="76"/>
        <v>0</v>
      </c>
      <c r="BA90" s="891">
        <f t="shared" si="77"/>
        <v>0</v>
      </c>
      <c r="BB90" s="888" t="str">
        <f t="shared" si="78"/>
        <v/>
      </c>
      <c r="BC90" s="888" t="str">
        <f t="shared" si="79"/>
        <v/>
      </c>
      <c r="BD90" s="888" t="str">
        <f t="shared" si="80"/>
        <v/>
      </c>
      <c r="BE90" s="888" t="str">
        <f t="shared" si="81"/>
        <v/>
      </c>
      <c r="BF90" s="888" t="str">
        <f t="shared" si="82"/>
        <v/>
      </c>
      <c r="BG90" s="888" t="str">
        <f t="shared" si="83"/>
        <v/>
      </c>
      <c r="BH90" s="888" t="str">
        <f t="shared" si="84"/>
        <v/>
      </c>
      <c r="BI90" s="888" t="str">
        <f t="shared" si="85"/>
        <v/>
      </c>
      <c r="BJ90" s="889" t="str">
        <f t="shared" si="86"/>
        <v/>
      </c>
      <c r="BK90" s="889" t="str">
        <f t="shared" si="87"/>
        <v/>
      </c>
      <c r="BL90" s="889" t="str">
        <f t="shared" si="88"/>
        <v/>
      </c>
      <c r="BM90" s="889" t="str">
        <f t="shared" si="89"/>
        <v/>
      </c>
      <c r="BN90" s="889" t="str">
        <f t="shared" si="90"/>
        <v/>
      </c>
      <c r="BO90" s="889" t="str">
        <f t="shared" si="91"/>
        <v/>
      </c>
      <c r="BP90" s="889" t="str">
        <f t="shared" si="92"/>
        <v/>
      </c>
      <c r="BQ90" s="889" t="str">
        <f t="shared" si="93"/>
        <v/>
      </c>
      <c r="BR90" s="890" t="str">
        <f t="shared" si="94"/>
        <v/>
      </c>
      <c r="BS90" s="890" t="str">
        <f t="shared" si="95"/>
        <v/>
      </c>
      <c r="BT90" s="890" t="str">
        <f t="shared" si="96"/>
        <v/>
      </c>
      <c r="BU90" s="890" t="str">
        <f t="shared" si="97"/>
        <v/>
      </c>
      <c r="BV90" s="890" t="str">
        <f t="shared" si="98"/>
        <v/>
      </c>
      <c r="BW90" s="890" t="str">
        <f t="shared" si="99"/>
        <v/>
      </c>
      <c r="BX90" s="890" t="str">
        <f t="shared" si="100"/>
        <v/>
      </c>
      <c r="BY90" s="890" t="str">
        <f t="shared" si="101"/>
        <v/>
      </c>
      <c r="BZ90" s="888" t="str">
        <f t="shared" si="102"/>
        <v/>
      </c>
      <c r="CA90" s="888" t="str">
        <f t="shared" si="103"/>
        <v/>
      </c>
      <c r="CB90" s="888" t="str">
        <f t="shared" si="104"/>
        <v/>
      </c>
      <c r="CC90" s="888" t="str">
        <f t="shared" si="105"/>
        <v/>
      </c>
      <c r="CD90" s="888" t="str">
        <f t="shared" si="106"/>
        <v/>
      </c>
      <c r="CE90" s="888" t="str">
        <f t="shared" si="107"/>
        <v/>
      </c>
      <c r="CF90" s="888" t="str">
        <f t="shared" si="108"/>
        <v/>
      </c>
      <c r="CG90" s="888" t="str">
        <f t="shared" si="109"/>
        <v/>
      </c>
      <c r="CH90" s="887"/>
      <c r="CI90" s="899"/>
      <c r="CJ90" s="900"/>
    </row>
    <row r="91" spans="1:88">
      <c r="A91" s="879">
        <v>88</v>
      </c>
      <c r="B91" s="879">
        <f>STUDENT!F89</f>
        <v>0</v>
      </c>
      <c r="C91" s="879">
        <f>STUDENT!D89</f>
        <v>0</v>
      </c>
      <c r="D91" s="886">
        <f>STUDENT!E89</f>
        <v>0</v>
      </c>
      <c r="E91" s="886">
        <f>STUDENT!H89</f>
        <v>0</v>
      </c>
      <c r="F91" s="887"/>
      <c r="G91" s="887"/>
      <c r="H91" s="887"/>
      <c r="I91" s="887"/>
      <c r="J91" s="887"/>
      <c r="K91" s="887"/>
      <c r="L91" s="887"/>
      <c r="M91" s="888" t="str">
        <f t="shared" si="58"/>
        <v/>
      </c>
      <c r="N91" s="887"/>
      <c r="O91" s="887"/>
      <c r="P91" s="887"/>
      <c r="Q91" s="887"/>
      <c r="R91" s="887"/>
      <c r="S91" s="887"/>
      <c r="T91" s="887"/>
      <c r="U91" s="889" t="str">
        <f t="shared" si="59"/>
        <v/>
      </c>
      <c r="V91" s="887"/>
      <c r="W91" s="887"/>
      <c r="X91" s="887"/>
      <c r="Y91" s="887"/>
      <c r="Z91" s="887"/>
      <c r="AA91" s="887"/>
      <c r="AB91" s="887"/>
      <c r="AC91" s="890" t="str">
        <f t="shared" si="60"/>
        <v/>
      </c>
      <c r="AD91" s="887"/>
      <c r="AE91" s="887"/>
      <c r="AF91" s="887"/>
      <c r="AG91" s="887"/>
      <c r="AH91" s="887"/>
      <c r="AI91" s="887"/>
      <c r="AJ91" s="887"/>
      <c r="AK91" s="888" t="str">
        <f t="shared" si="61"/>
        <v/>
      </c>
      <c r="AL91" s="891">
        <f t="shared" si="62"/>
        <v>0</v>
      </c>
      <c r="AM91" s="891">
        <f t="shared" si="63"/>
        <v>0</v>
      </c>
      <c r="AN91" s="891">
        <f t="shared" si="64"/>
        <v>0</v>
      </c>
      <c r="AO91" s="891">
        <f t="shared" si="65"/>
        <v>0</v>
      </c>
      <c r="AP91" s="891">
        <f t="shared" si="66"/>
        <v>0</v>
      </c>
      <c r="AQ91" s="891">
        <f t="shared" si="67"/>
        <v>0</v>
      </c>
      <c r="AR91" s="891">
        <f t="shared" si="68"/>
        <v>0</v>
      </c>
      <c r="AS91" s="891">
        <f t="shared" si="69"/>
        <v>0</v>
      </c>
      <c r="AT91" s="891">
        <f t="shared" si="70"/>
        <v>0</v>
      </c>
      <c r="AU91" s="891">
        <f t="shared" si="71"/>
        <v>0</v>
      </c>
      <c r="AV91" s="891">
        <f t="shared" si="72"/>
        <v>0</v>
      </c>
      <c r="AW91" s="891">
        <f t="shared" si="73"/>
        <v>0</v>
      </c>
      <c r="AX91" s="891">
        <f t="shared" si="74"/>
        <v>0</v>
      </c>
      <c r="AY91" s="891">
        <f t="shared" si="75"/>
        <v>0</v>
      </c>
      <c r="AZ91" s="891">
        <f t="shared" si="76"/>
        <v>0</v>
      </c>
      <c r="BA91" s="891">
        <f t="shared" si="77"/>
        <v>0</v>
      </c>
      <c r="BB91" s="888" t="str">
        <f t="shared" si="78"/>
        <v/>
      </c>
      <c r="BC91" s="888" t="str">
        <f t="shared" si="79"/>
        <v/>
      </c>
      <c r="BD91" s="888" t="str">
        <f t="shared" si="80"/>
        <v/>
      </c>
      <c r="BE91" s="888" t="str">
        <f t="shared" si="81"/>
        <v/>
      </c>
      <c r="BF91" s="888" t="str">
        <f t="shared" si="82"/>
        <v/>
      </c>
      <c r="BG91" s="888" t="str">
        <f t="shared" si="83"/>
        <v/>
      </c>
      <c r="BH91" s="888" t="str">
        <f t="shared" si="84"/>
        <v/>
      </c>
      <c r="BI91" s="888" t="str">
        <f t="shared" si="85"/>
        <v/>
      </c>
      <c r="BJ91" s="889" t="str">
        <f t="shared" si="86"/>
        <v/>
      </c>
      <c r="BK91" s="889" t="str">
        <f t="shared" si="87"/>
        <v/>
      </c>
      <c r="BL91" s="889" t="str">
        <f t="shared" si="88"/>
        <v/>
      </c>
      <c r="BM91" s="889" t="str">
        <f t="shared" si="89"/>
        <v/>
      </c>
      <c r="BN91" s="889" t="str">
        <f t="shared" si="90"/>
        <v/>
      </c>
      <c r="BO91" s="889" t="str">
        <f t="shared" si="91"/>
        <v/>
      </c>
      <c r="BP91" s="889" t="str">
        <f t="shared" si="92"/>
        <v/>
      </c>
      <c r="BQ91" s="889" t="str">
        <f t="shared" si="93"/>
        <v/>
      </c>
      <c r="BR91" s="890" t="str">
        <f t="shared" si="94"/>
        <v/>
      </c>
      <c r="BS91" s="890" t="str">
        <f t="shared" si="95"/>
        <v/>
      </c>
      <c r="BT91" s="890" t="str">
        <f t="shared" si="96"/>
        <v/>
      </c>
      <c r="BU91" s="890" t="str">
        <f t="shared" si="97"/>
        <v/>
      </c>
      <c r="BV91" s="890" t="str">
        <f t="shared" si="98"/>
        <v/>
      </c>
      <c r="BW91" s="890" t="str">
        <f t="shared" si="99"/>
        <v/>
      </c>
      <c r="BX91" s="890" t="str">
        <f t="shared" si="100"/>
        <v/>
      </c>
      <c r="BY91" s="890" t="str">
        <f t="shared" si="101"/>
        <v/>
      </c>
      <c r="BZ91" s="888" t="str">
        <f t="shared" si="102"/>
        <v/>
      </c>
      <c r="CA91" s="888" t="str">
        <f t="shared" si="103"/>
        <v/>
      </c>
      <c r="CB91" s="888" t="str">
        <f t="shared" si="104"/>
        <v/>
      </c>
      <c r="CC91" s="888" t="str">
        <f t="shared" si="105"/>
        <v/>
      </c>
      <c r="CD91" s="888" t="str">
        <f t="shared" si="106"/>
        <v/>
      </c>
      <c r="CE91" s="888" t="str">
        <f t="shared" si="107"/>
        <v/>
      </c>
      <c r="CF91" s="888" t="str">
        <f t="shared" si="108"/>
        <v/>
      </c>
      <c r="CG91" s="888" t="str">
        <f t="shared" si="109"/>
        <v/>
      </c>
      <c r="CH91" s="887"/>
      <c r="CI91" s="899"/>
      <c r="CJ91" s="900"/>
    </row>
    <row r="92" spans="1:88">
      <c r="A92" s="879">
        <v>89</v>
      </c>
      <c r="B92" s="879">
        <f>STUDENT!F90</f>
        <v>0</v>
      </c>
      <c r="C92" s="879">
        <f>STUDENT!D90</f>
        <v>0</v>
      </c>
      <c r="D92" s="886">
        <f>STUDENT!E90</f>
        <v>0</v>
      </c>
      <c r="E92" s="886">
        <f>STUDENT!H90</f>
        <v>0</v>
      </c>
      <c r="F92" s="887"/>
      <c r="G92" s="887"/>
      <c r="H92" s="887"/>
      <c r="I92" s="887"/>
      <c r="J92" s="887"/>
      <c r="K92" s="887"/>
      <c r="L92" s="887"/>
      <c r="M92" s="888" t="str">
        <f t="shared" si="58"/>
        <v/>
      </c>
      <c r="N92" s="887"/>
      <c r="O92" s="887"/>
      <c r="P92" s="887"/>
      <c r="Q92" s="887"/>
      <c r="R92" s="887"/>
      <c r="S92" s="887"/>
      <c r="T92" s="887"/>
      <c r="U92" s="889" t="str">
        <f t="shared" si="59"/>
        <v/>
      </c>
      <c r="V92" s="887"/>
      <c r="W92" s="887"/>
      <c r="X92" s="887"/>
      <c r="Y92" s="887"/>
      <c r="Z92" s="887"/>
      <c r="AA92" s="887"/>
      <c r="AB92" s="887"/>
      <c r="AC92" s="890" t="str">
        <f t="shared" si="60"/>
        <v/>
      </c>
      <c r="AD92" s="887"/>
      <c r="AE92" s="887"/>
      <c r="AF92" s="887"/>
      <c r="AG92" s="887"/>
      <c r="AH92" s="887"/>
      <c r="AI92" s="887"/>
      <c r="AJ92" s="887"/>
      <c r="AK92" s="888" t="str">
        <f t="shared" si="61"/>
        <v/>
      </c>
      <c r="AL92" s="891">
        <f t="shared" si="62"/>
        <v>0</v>
      </c>
      <c r="AM92" s="891">
        <f t="shared" si="63"/>
        <v>0</v>
      </c>
      <c r="AN92" s="891">
        <f t="shared" si="64"/>
        <v>0</v>
      </c>
      <c r="AO92" s="891">
        <f t="shared" si="65"/>
        <v>0</v>
      </c>
      <c r="AP92" s="891">
        <f t="shared" si="66"/>
        <v>0</v>
      </c>
      <c r="AQ92" s="891">
        <f t="shared" si="67"/>
        <v>0</v>
      </c>
      <c r="AR92" s="891">
        <f t="shared" si="68"/>
        <v>0</v>
      </c>
      <c r="AS92" s="891">
        <f t="shared" si="69"/>
        <v>0</v>
      </c>
      <c r="AT92" s="891">
        <f t="shared" si="70"/>
        <v>0</v>
      </c>
      <c r="AU92" s="891">
        <f t="shared" si="71"/>
        <v>0</v>
      </c>
      <c r="AV92" s="891">
        <f t="shared" si="72"/>
        <v>0</v>
      </c>
      <c r="AW92" s="891">
        <f t="shared" si="73"/>
        <v>0</v>
      </c>
      <c r="AX92" s="891">
        <f t="shared" si="74"/>
        <v>0</v>
      </c>
      <c r="AY92" s="891">
        <f t="shared" si="75"/>
        <v>0</v>
      </c>
      <c r="AZ92" s="891">
        <f t="shared" si="76"/>
        <v>0</v>
      </c>
      <c r="BA92" s="891">
        <f t="shared" si="77"/>
        <v>0</v>
      </c>
      <c r="BB92" s="888" t="str">
        <f t="shared" si="78"/>
        <v/>
      </c>
      <c r="BC92" s="888" t="str">
        <f t="shared" si="79"/>
        <v/>
      </c>
      <c r="BD92" s="888" t="str">
        <f t="shared" si="80"/>
        <v/>
      </c>
      <c r="BE92" s="888" t="str">
        <f t="shared" si="81"/>
        <v/>
      </c>
      <c r="BF92" s="888" t="str">
        <f t="shared" si="82"/>
        <v/>
      </c>
      <c r="BG92" s="888" t="str">
        <f t="shared" si="83"/>
        <v/>
      </c>
      <c r="BH92" s="888" t="str">
        <f t="shared" si="84"/>
        <v/>
      </c>
      <c r="BI92" s="888" t="str">
        <f t="shared" si="85"/>
        <v/>
      </c>
      <c r="BJ92" s="889" t="str">
        <f t="shared" si="86"/>
        <v/>
      </c>
      <c r="BK92" s="889" t="str">
        <f t="shared" si="87"/>
        <v/>
      </c>
      <c r="BL92" s="889" t="str">
        <f t="shared" si="88"/>
        <v/>
      </c>
      <c r="BM92" s="889" t="str">
        <f t="shared" si="89"/>
        <v/>
      </c>
      <c r="BN92" s="889" t="str">
        <f t="shared" si="90"/>
        <v/>
      </c>
      <c r="BO92" s="889" t="str">
        <f t="shared" si="91"/>
        <v/>
      </c>
      <c r="BP92" s="889" t="str">
        <f t="shared" si="92"/>
        <v/>
      </c>
      <c r="BQ92" s="889" t="str">
        <f t="shared" si="93"/>
        <v/>
      </c>
      <c r="BR92" s="890" t="str">
        <f t="shared" si="94"/>
        <v/>
      </c>
      <c r="BS92" s="890" t="str">
        <f t="shared" si="95"/>
        <v/>
      </c>
      <c r="BT92" s="890" t="str">
        <f t="shared" si="96"/>
        <v/>
      </c>
      <c r="BU92" s="890" t="str">
        <f t="shared" si="97"/>
        <v/>
      </c>
      <c r="BV92" s="890" t="str">
        <f t="shared" si="98"/>
        <v/>
      </c>
      <c r="BW92" s="890" t="str">
        <f t="shared" si="99"/>
        <v/>
      </c>
      <c r="BX92" s="890" t="str">
        <f t="shared" si="100"/>
        <v/>
      </c>
      <c r="BY92" s="890" t="str">
        <f t="shared" si="101"/>
        <v/>
      </c>
      <c r="BZ92" s="888" t="str">
        <f t="shared" si="102"/>
        <v/>
      </c>
      <c r="CA92" s="888" t="str">
        <f t="shared" si="103"/>
        <v/>
      </c>
      <c r="CB92" s="888" t="str">
        <f t="shared" si="104"/>
        <v/>
      </c>
      <c r="CC92" s="888" t="str">
        <f t="shared" si="105"/>
        <v/>
      </c>
      <c r="CD92" s="888" t="str">
        <f t="shared" si="106"/>
        <v/>
      </c>
      <c r="CE92" s="888" t="str">
        <f t="shared" si="107"/>
        <v/>
      </c>
      <c r="CF92" s="888" t="str">
        <f t="shared" si="108"/>
        <v/>
      </c>
      <c r="CG92" s="888" t="str">
        <f t="shared" si="109"/>
        <v/>
      </c>
      <c r="CH92" s="887"/>
      <c r="CI92" s="899"/>
      <c r="CJ92" s="900"/>
    </row>
    <row r="93" spans="1:88">
      <c r="A93" s="879">
        <v>90</v>
      </c>
      <c r="B93" s="879">
        <f>STUDENT!F91</f>
        <v>0</v>
      </c>
      <c r="C93" s="879">
        <f>STUDENT!D91</f>
        <v>0</v>
      </c>
      <c r="D93" s="886">
        <f>STUDENT!E91</f>
        <v>0</v>
      </c>
      <c r="E93" s="886">
        <f>STUDENT!H91</f>
        <v>0</v>
      </c>
      <c r="F93" s="887"/>
      <c r="G93" s="887"/>
      <c r="H93" s="887"/>
      <c r="I93" s="887"/>
      <c r="J93" s="887"/>
      <c r="K93" s="887"/>
      <c r="L93" s="887"/>
      <c r="M93" s="888" t="str">
        <f t="shared" si="58"/>
        <v/>
      </c>
      <c r="N93" s="887"/>
      <c r="O93" s="887"/>
      <c r="P93" s="887"/>
      <c r="Q93" s="887"/>
      <c r="R93" s="887"/>
      <c r="S93" s="887"/>
      <c r="T93" s="887"/>
      <c r="U93" s="889" t="str">
        <f t="shared" si="59"/>
        <v/>
      </c>
      <c r="V93" s="887"/>
      <c r="W93" s="887"/>
      <c r="X93" s="887"/>
      <c r="Y93" s="887"/>
      <c r="Z93" s="887"/>
      <c r="AA93" s="887"/>
      <c r="AB93" s="887"/>
      <c r="AC93" s="890" t="str">
        <f t="shared" si="60"/>
        <v/>
      </c>
      <c r="AD93" s="887"/>
      <c r="AE93" s="887"/>
      <c r="AF93" s="887"/>
      <c r="AG93" s="887"/>
      <c r="AH93" s="887"/>
      <c r="AI93" s="887"/>
      <c r="AJ93" s="887"/>
      <c r="AK93" s="888" t="str">
        <f t="shared" si="61"/>
        <v/>
      </c>
      <c r="AL93" s="891">
        <f t="shared" si="62"/>
        <v>0</v>
      </c>
      <c r="AM93" s="891">
        <f t="shared" si="63"/>
        <v>0</v>
      </c>
      <c r="AN93" s="891">
        <f t="shared" si="64"/>
        <v>0</v>
      </c>
      <c r="AO93" s="891">
        <f t="shared" si="65"/>
        <v>0</v>
      </c>
      <c r="AP93" s="891">
        <f t="shared" si="66"/>
        <v>0</v>
      </c>
      <c r="AQ93" s="891">
        <f t="shared" si="67"/>
        <v>0</v>
      </c>
      <c r="AR93" s="891">
        <f t="shared" si="68"/>
        <v>0</v>
      </c>
      <c r="AS93" s="891">
        <f t="shared" si="69"/>
        <v>0</v>
      </c>
      <c r="AT93" s="891">
        <f t="shared" si="70"/>
        <v>0</v>
      </c>
      <c r="AU93" s="891">
        <f t="shared" si="71"/>
        <v>0</v>
      </c>
      <c r="AV93" s="891">
        <f t="shared" si="72"/>
        <v>0</v>
      </c>
      <c r="AW93" s="891">
        <f t="shared" si="73"/>
        <v>0</v>
      </c>
      <c r="AX93" s="891">
        <f t="shared" si="74"/>
        <v>0</v>
      </c>
      <c r="AY93" s="891">
        <f t="shared" si="75"/>
        <v>0</v>
      </c>
      <c r="AZ93" s="891">
        <f t="shared" si="76"/>
        <v>0</v>
      </c>
      <c r="BA93" s="891">
        <f t="shared" si="77"/>
        <v>0</v>
      </c>
      <c r="BB93" s="888" t="str">
        <f t="shared" si="78"/>
        <v/>
      </c>
      <c r="BC93" s="888" t="str">
        <f t="shared" si="79"/>
        <v/>
      </c>
      <c r="BD93" s="888" t="str">
        <f t="shared" si="80"/>
        <v/>
      </c>
      <c r="BE93" s="888" t="str">
        <f t="shared" si="81"/>
        <v/>
      </c>
      <c r="BF93" s="888" t="str">
        <f t="shared" si="82"/>
        <v/>
      </c>
      <c r="BG93" s="888" t="str">
        <f t="shared" si="83"/>
        <v/>
      </c>
      <c r="BH93" s="888" t="str">
        <f t="shared" si="84"/>
        <v/>
      </c>
      <c r="BI93" s="888" t="str">
        <f t="shared" si="85"/>
        <v/>
      </c>
      <c r="BJ93" s="889" t="str">
        <f t="shared" si="86"/>
        <v/>
      </c>
      <c r="BK93" s="889" t="str">
        <f t="shared" si="87"/>
        <v/>
      </c>
      <c r="BL93" s="889" t="str">
        <f t="shared" si="88"/>
        <v/>
      </c>
      <c r="BM93" s="889" t="str">
        <f t="shared" si="89"/>
        <v/>
      </c>
      <c r="BN93" s="889" t="str">
        <f t="shared" si="90"/>
        <v/>
      </c>
      <c r="BO93" s="889" t="str">
        <f t="shared" si="91"/>
        <v/>
      </c>
      <c r="BP93" s="889" t="str">
        <f t="shared" si="92"/>
        <v/>
      </c>
      <c r="BQ93" s="889" t="str">
        <f t="shared" si="93"/>
        <v/>
      </c>
      <c r="BR93" s="890" t="str">
        <f t="shared" si="94"/>
        <v/>
      </c>
      <c r="BS93" s="890" t="str">
        <f t="shared" si="95"/>
        <v/>
      </c>
      <c r="BT93" s="890" t="str">
        <f t="shared" si="96"/>
        <v/>
      </c>
      <c r="BU93" s="890" t="str">
        <f t="shared" si="97"/>
        <v/>
      </c>
      <c r="BV93" s="890" t="str">
        <f t="shared" si="98"/>
        <v/>
      </c>
      <c r="BW93" s="890" t="str">
        <f t="shared" si="99"/>
        <v/>
      </c>
      <c r="BX93" s="890" t="str">
        <f t="shared" si="100"/>
        <v/>
      </c>
      <c r="BY93" s="890" t="str">
        <f t="shared" si="101"/>
        <v/>
      </c>
      <c r="BZ93" s="888" t="str">
        <f t="shared" si="102"/>
        <v/>
      </c>
      <c r="CA93" s="888" t="str">
        <f t="shared" si="103"/>
        <v/>
      </c>
      <c r="CB93" s="888" t="str">
        <f t="shared" si="104"/>
        <v/>
      </c>
      <c r="CC93" s="888" t="str">
        <f t="shared" si="105"/>
        <v/>
      </c>
      <c r="CD93" s="888" t="str">
        <f t="shared" si="106"/>
        <v/>
      </c>
      <c r="CE93" s="888" t="str">
        <f t="shared" si="107"/>
        <v/>
      </c>
      <c r="CF93" s="888" t="str">
        <f t="shared" si="108"/>
        <v/>
      </c>
      <c r="CG93" s="888" t="str">
        <f t="shared" si="109"/>
        <v/>
      </c>
      <c r="CH93" s="887"/>
      <c r="CI93" s="899"/>
      <c r="CJ93" s="900"/>
    </row>
    <row r="94" spans="1:88">
      <c r="A94" s="879">
        <v>91</v>
      </c>
      <c r="B94" s="879">
        <f>STUDENT!F92</f>
        <v>0</v>
      </c>
      <c r="C94" s="879">
        <f>STUDENT!D92</f>
        <v>0</v>
      </c>
      <c r="D94" s="886">
        <f>STUDENT!E92</f>
        <v>0</v>
      </c>
      <c r="E94" s="886">
        <f>STUDENT!H92</f>
        <v>0</v>
      </c>
      <c r="F94" s="887"/>
      <c r="G94" s="887"/>
      <c r="H94" s="887"/>
      <c r="I94" s="887"/>
      <c r="J94" s="887"/>
      <c r="K94" s="887"/>
      <c r="L94" s="887"/>
      <c r="M94" s="888" t="str">
        <f t="shared" si="58"/>
        <v/>
      </c>
      <c r="N94" s="887"/>
      <c r="O94" s="887"/>
      <c r="P94" s="887"/>
      <c r="Q94" s="887"/>
      <c r="R94" s="887"/>
      <c r="S94" s="887"/>
      <c r="T94" s="887"/>
      <c r="U94" s="889" t="str">
        <f t="shared" si="59"/>
        <v/>
      </c>
      <c r="V94" s="887"/>
      <c r="W94" s="887"/>
      <c r="X94" s="887"/>
      <c r="Y94" s="887"/>
      <c r="Z94" s="887"/>
      <c r="AA94" s="887"/>
      <c r="AB94" s="887"/>
      <c r="AC94" s="890" t="str">
        <f t="shared" si="60"/>
        <v/>
      </c>
      <c r="AD94" s="887"/>
      <c r="AE94" s="887"/>
      <c r="AF94" s="887"/>
      <c r="AG94" s="887"/>
      <c r="AH94" s="887"/>
      <c r="AI94" s="887"/>
      <c r="AJ94" s="887"/>
      <c r="AK94" s="888" t="str">
        <f t="shared" si="61"/>
        <v/>
      </c>
      <c r="AL94" s="891">
        <f t="shared" si="62"/>
        <v>0</v>
      </c>
      <c r="AM94" s="891">
        <f t="shared" si="63"/>
        <v>0</v>
      </c>
      <c r="AN94" s="891">
        <f t="shared" si="64"/>
        <v>0</v>
      </c>
      <c r="AO94" s="891">
        <f t="shared" si="65"/>
        <v>0</v>
      </c>
      <c r="AP94" s="891">
        <f t="shared" si="66"/>
        <v>0</v>
      </c>
      <c r="AQ94" s="891">
        <f t="shared" si="67"/>
        <v>0</v>
      </c>
      <c r="AR94" s="891">
        <f t="shared" si="68"/>
        <v>0</v>
      </c>
      <c r="AS94" s="891">
        <f t="shared" si="69"/>
        <v>0</v>
      </c>
      <c r="AT94" s="891">
        <f t="shared" si="70"/>
        <v>0</v>
      </c>
      <c r="AU94" s="891">
        <f t="shared" si="71"/>
        <v>0</v>
      </c>
      <c r="AV94" s="891">
        <f t="shared" si="72"/>
        <v>0</v>
      </c>
      <c r="AW94" s="891">
        <f t="shared" si="73"/>
        <v>0</v>
      </c>
      <c r="AX94" s="891">
        <f t="shared" si="74"/>
        <v>0</v>
      </c>
      <c r="AY94" s="891">
        <f t="shared" si="75"/>
        <v>0</v>
      </c>
      <c r="AZ94" s="891">
        <f t="shared" si="76"/>
        <v>0</v>
      </c>
      <c r="BA94" s="891">
        <f t="shared" si="77"/>
        <v>0</v>
      </c>
      <c r="BB94" s="888" t="str">
        <f t="shared" si="78"/>
        <v/>
      </c>
      <c r="BC94" s="888" t="str">
        <f t="shared" si="79"/>
        <v/>
      </c>
      <c r="BD94" s="888" t="str">
        <f t="shared" si="80"/>
        <v/>
      </c>
      <c r="BE94" s="888" t="str">
        <f t="shared" si="81"/>
        <v/>
      </c>
      <c r="BF94" s="888" t="str">
        <f t="shared" si="82"/>
        <v/>
      </c>
      <c r="BG94" s="888" t="str">
        <f t="shared" si="83"/>
        <v/>
      </c>
      <c r="BH94" s="888" t="str">
        <f t="shared" si="84"/>
        <v/>
      </c>
      <c r="BI94" s="888" t="str">
        <f t="shared" si="85"/>
        <v/>
      </c>
      <c r="BJ94" s="889" t="str">
        <f t="shared" si="86"/>
        <v/>
      </c>
      <c r="BK94" s="889" t="str">
        <f t="shared" si="87"/>
        <v/>
      </c>
      <c r="BL94" s="889" t="str">
        <f t="shared" si="88"/>
        <v/>
      </c>
      <c r="BM94" s="889" t="str">
        <f t="shared" si="89"/>
        <v/>
      </c>
      <c r="BN94" s="889" t="str">
        <f t="shared" si="90"/>
        <v/>
      </c>
      <c r="BO94" s="889" t="str">
        <f t="shared" si="91"/>
        <v/>
      </c>
      <c r="BP94" s="889" t="str">
        <f t="shared" si="92"/>
        <v/>
      </c>
      <c r="BQ94" s="889" t="str">
        <f t="shared" si="93"/>
        <v/>
      </c>
      <c r="BR94" s="890" t="str">
        <f t="shared" si="94"/>
        <v/>
      </c>
      <c r="BS94" s="890" t="str">
        <f t="shared" si="95"/>
        <v/>
      </c>
      <c r="BT94" s="890" t="str">
        <f t="shared" si="96"/>
        <v/>
      </c>
      <c r="BU94" s="890" t="str">
        <f t="shared" si="97"/>
        <v/>
      </c>
      <c r="BV94" s="890" t="str">
        <f t="shared" si="98"/>
        <v/>
      </c>
      <c r="BW94" s="890" t="str">
        <f t="shared" si="99"/>
        <v/>
      </c>
      <c r="BX94" s="890" t="str">
        <f t="shared" si="100"/>
        <v/>
      </c>
      <c r="BY94" s="890" t="str">
        <f t="shared" si="101"/>
        <v/>
      </c>
      <c r="BZ94" s="888" t="str">
        <f t="shared" si="102"/>
        <v/>
      </c>
      <c r="CA94" s="888" t="str">
        <f t="shared" si="103"/>
        <v/>
      </c>
      <c r="CB94" s="888" t="str">
        <f t="shared" si="104"/>
        <v/>
      </c>
      <c r="CC94" s="888" t="str">
        <f t="shared" si="105"/>
        <v/>
      </c>
      <c r="CD94" s="888" t="str">
        <f t="shared" si="106"/>
        <v/>
      </c>
      <c r="CE94" s="888" t="str">
        <f t="shared" si="107"/>
        <v/>
      </c>
      <c r="CF94" s="888" t="str">
        <f t="shared" si="108"/>
        <v/>
      </c>
      <c r="CG94" s="888" t="str">
        <f t="shared" si="109"/>
        <v/>
      </c>
      <c r="CH94" s="887"/>
      <c r="CI94" s="899"/>
      <c r="CJ94" s="900"/>
    </row>
    <row r="95" spans="1:88">
      <c r="A95" s="879">
        <v>92</v>
      </c>
      <c r="B95" s="879">
        <f>STUDENT!F93</f>
        <v>0</v>
      </c>
      <c r="C95" s="879">
        <f>STUDENT!D93</f>
        <v>0</v>
      </c>
      <c r="D95" s="886">
        <f>STUDENT!E93</f>
        <v>0</v>
      </c>
      <c r="E95" s="886">
        <f>STUDENT!H93</f>
        <v>0</v>
      </c>
      <c r="F95" s="887"/>
      <c r="G95" s="887"/>
      <c r="H95" s="887"/>
      <c r="I95" s="887"/>
      <c r="J95" s="887"/>
      <c r="K95" s="887"/>
      <c r="L95" s="887"/>
      <c r="M95" s="888" t="str">
        <f t="shared" si="58"/>
        <v/>
      </c>
      <c r="N95" s="887"/>
      <c r="O95" s="887"/>
      <c r="P95" s="887"/>
      <c r="Q95" s="887"/>
      <c r="R95" s="887"/>
      <c r="S95" s="887"/>
      <c r="T95" s="887"/>
      <c r="U95" s="889" t="str">
        <f t="shared" si="59"/>
        <v/>
      </c>
      <c r="V95" s="887"/>
      <c r="W95" s="887"/>
      <c r="X95" s="887"/>
      <c r="Y95" s="887"/>
      <c r="Z95" s="887"/>
      <c r="AA95" s="887"/>
      <c r="AB95" s="887"/>
      <c r="AC95" s="890" t="str">
        <f t="shared" si="60"/>
        <v/>
      </c>
      <c r="AD95" s="887"/>
      <c r="AE95" s="887"/>
      <c r="AF95" s="887"/>
      <c r="AG95" s="887"/>
      <c r="AH95" s="887"/>
      <c r="AI95" s="887"/>
      <c r="AJ95" s="887"/>
      <c r="AK95" s="888" t="str">
        <f t="shared" si="61"/>
        <v/>
      </c>
      <c r="AL95" s="891">
        <f t="shared" si="62"/>
        <v>0</v>
      </c>
      <c r="AM95" s="891">
        <f t="shared" si="63"/>
        <v>0</v>
      </c>
      <c r="AN95" s="891">
        <f t="shared" si="64"/>
        <v>0</v>
      </c>
      <c r="AO95" s="891">
        <f t="shared" si="65"/>
        <v>0</v>
      </c>
      <c r="AP95" s="891">
        <f t="shared" si="66"/>
        <v>0</v>
      </c>
      <c r="AQ95" s="891">
        <f t="shared" si="67"/>
        <v>0</v>
      </c>
      <c r="AR95" s="891">
        <f t="shared" si="68"/>
        <v>0</v>
      </c>
      <c r="AS95" s="891">
        <f t="shared" si="69"/>
        <v>0</v>
      </c>
      <c r="AT95" s="891">
        <f t="shared" si="70"/>
        <v>0</v>
      </c>
      <c r="AU95" s="891">
        <f t="shared" si="71"/>
        <v>0</v>
      </c>
      <c r="AV95" s="891">
        <f t="shared" si="72"/>
        <v>0</v>
      </c>
      <c r="AW95" s="891">
        <f t="shared" si="73"/>
        <v>0</v>
      </c>
      <c r="AX95" s="891">
        <f t="shared" si="74"/>
        <v>0</v>
      </c>
      <c r="AY95" s="891">
        <f t="shared" si="75"/>
        <v>0</v>
      </c>
      <c r="AZ95" s="891">
        <f t="shared" si="76"/>
        <v>0</v>
      </c>
      <c r="BA95" s="891">
        <f t="shared" si="77"/>
        <v>0</v>
      </c>
      <c r="BB95" s="888" t="str">
        <f t="shared" si="78"/>
        <v/>
      </c>
      <c r="BC95" s="888" t="str">
        <f t="shared" si="79"/>
        <v/>
      </c>
      <c r="BD95" s="888" t="str">
        <f t="shared" si="80"/>
        <v/>
      </c>
      <c r="BE95" s="888" t="str">
        <f t="shared" si="81"/>
        <v/>
      </c>
      <c r="BF95" s="888" t="str">
        <f t="shared" si="82"/>
        <v/>
      </c>
      <c r="BG95" s="888" t="str">
        <f t="shared" si="83"/>
        <v/>
      </c>
      <c r="BH95" s="888" t="str">
        <f t="shared" si="84"/>
        <v/>
      </c>
      <c r="BI95" s="888" t="str">
        <f t="shared" si="85"/>
        <v/>
      </c>
      <c r="BJ95" s="889" t="str">
        <f t="shared" si="86"/>
        <v/>
      </c>
      <c r="BK95" s="889" t="str">
        <f t="shared" si="87"/>
        <v/>
      </c>
      <c r="BL95" s="889" t="str">
        <f t="shared" si="88"/>
        <v/>
      </c>
      <c r="BM95" s="889" t="str">
        <f t="shared" si="89"/>
        <v/>
      </c>
      <c r="BN95" s="889" t="str">
        <f t="shared" si="90"/>
        <v/>
      </c>
      <c r="BO95" s="889" t="str">
        <f t="shared" si="91"/>
        <v/>
      </c>
      <c r="BP95" s="889" t="str">
        <f t="shared" si="92"/>
        <v/>
      </c>
      <c r="BQ95" s="889" t="str">
        <f t="shared" si="93"/>
        <v/>
      </c>
      <c r="BR95" s="890" t="str">
        <f t="shared" si="94"/>
        <v/>
      </c>
      <c r="BS95" s="890" t="str">
        <f t="shared" si="95"/>
        <v/>
      </c>
      <c r="BT95" s="890" t="str">
        <f t="shared" si="96"/>
        <v/>
      </c>
      <c r="BU95" s="890" t="str">
        <f t="shared" si="97"/>
        <v/>
      </c>
      <c r="BV95" s="890" t="str">
        <f t="shared" si="98"/>
        <v/>
      </c>
      <c r="BW95" s="890" t="str">
        <f t="shared" si="99"/>
        <v/>
      </c>
      <c r="BX95" s="890" t="str">
        <f t="shared" si="100"/>
        <v/>
      </c>
      <c r="BY95" s="890" t="str">
        <f t="shared" si="101"/>
        <v/>
      </c>
      <c r="BZ95" s="888" t="str">
        <f t="shared" si="102"/>
        <v/>
      </c>
      <c r="CA95" s="888" t="str">
        <f t="shared" si="103"/>
        <v/>
      </c>
      <c r="CB95" s="888" t="str">
        <f t="shared" si="104"/>
        <v/>
      </c>
      <c r="CC95" s="888" t="str">
        <f t="shared" si="105"/>
        <v/>
      </c>
      <c r="CD95" s="888" t="str">
        <f t="shared" si="106"/>
        <v/>
      </c>
      <c r="CE95" s="888" t="str">
        <f t="shared" si="107"/>
        <v/>
      </c>
      <c r="CF95" s="888" t="str">
        <f t="shared" si="108"/>
        <v/>
      </c>
      <c r="CG95" s="888" t="str">
        <f t="shared" si="109"/>
        <v/>
      </c>
      <c r="CH95" s="887"/>
      <c r="CI95" s="899"/>
      <c r="CJ95" s="900"/>
    </row>
    <row r="96" spans="1:88">
      <c r="A96" s="879">
        <v>93</v>
      </c>
      <c r="B96" s="879">
        <f>STUDENT!F94</f>
        <v>0</v>
      </c>
      <c r="C96" s="879">
        <f>STUDENT!D94</f>
        <v>0</v>
      </c>
      <c r="D96" s="886">
        <f>STUDENT!E94</f>
        <v>0</v>
      </c>
      <c r="E96" s="886">
        <f>STUDENT!H94</f>
        <v>0</v>
      </c>
      <c r="F96" s="887"/>
      <c r="G96" s="887"/>
      <c r="H96" s="887"/>
      <c r="I96" s="887"/>
      <c r="J96" s="887"/>
      <c r="K96" s="887"/>
      <c r="L96" s="887"/>
      <c r="M96" s="888" t="str">
        <f t="shared" si="58"/>
        <v/>
      </c>
      <c r="N96" s="887"/>
      <c r="O96" s="887"/>
      <c r="P96" s="887"/>
      <c r="Q96" s="887"/>
      <c r="R96" s="887"/>
      <c r="S96" s="887"/>
      <c r="T96" s="887"/>
      <c r="U96" s="889" t="str">
        <f t="shared" si="59"/>
        <v/>
      </c>
      <c r="V96" s="887"/>
      <c r="W96" s="887"/>
      <c r="X96" s="887"/>
      <c r="Y96" s="887"/>
      <c r="Z96" s="887"/>
      <c r="AA96" s="887"/>
      <c r="AB96" s="887"/>
      <c r="AC96" s="890" t="str">
        <f t="shared" si="60"/>
        <v/>
      </c>
      <c r="AD96" s="887"/>
      <c r="AE96" s="887"/>
      <c r="AF96" s="887"/>
      <c r="AG96" s="887"/>
      <c r="AH96" s="887"/>
      <c r="AI96" s="887"/>
      <c r="AJ96" s="887"/>
      <c r="AK96" s="888" t="str">
        <f t="shared" si="61"/>
        <v/>
      </c>
      <c r="AL96" s="891">
        <f t="shared" si="62"/>
        <v>0</v>
      </c>
      <c r="AM96" s="891">
        <f t="shared" si="63"/>
        <v>0</v>
      </c>
      <c r="AN96" s="891">
        <f t="shared" si="64"/>
        <v>0</v>
      </c>
      <c r="AO96" s="891">
        <f t="shared" si="65"/>
        <v>0</v>
      </c>
      <c r="AP96" s="891">
        <f t="shared" si="66"/>
        <v>0</v>
      </c>
      <c r="AQ96" s="891">
        <f t="shared" si="67"/>
        <v>0</v>
      </c>
      <c r="AR96" s="891">
        <f t="shared" si="68"/>
        <v>0</v>
      </c>
      <c r="AS96" s="891">
        <f t="shared" si="69"/>
        <v>0</v>
      </c>
      <c r="AT96" s="891">
        <f t="shared" si="70"/>
        <v>0</v>
      </c>
      <c r="AU96" s="891">
        <f t="shared" si="71"/>
        <v>0</v>
      </c>
      <c r="AV96" s="891">
        <f t="shared" si="72"/>
        <v>0</v>
      </c>
      <c r="AW96" s="891">
        <f t="shared" si="73"/>
        <v>0</v>
      </c>
      <c r="AX96" s="891">
        <f t="shared" si="74"/>
        <v>0</v>
      </c>
      <c r="AY96" s="891">
        <f t="shared" si="75"/>
        <v>0</v>
      </c>
      <c r="AZ96" s="891">
        <f t="shared" si="76"/>
        <v>0</v>
      </c>
      <c r="BA96" s="891">
        <f t="shared" si="77"/>
        <v>0</v>
      </c>
      <c r="BB96" s="888" t="str">
        <f t="shared" si="78"/>
        <v/>
      </c>
      <c r="BC96" s="888" t="str">
        <f t="shared" si="79"/>
        <v/>
      </c>
      <c r="BD96" s="888" t="str">
        <f t="shared" si="80"/>
        <v/>
      </c>
      <c r="BE96" s="888" t="str">
        <f t="shared" si="81"/>
        <v/>
      </c>
      <c r="BF96" s="888" t="str">
        <f t="shared" si="82"/>
        <v/>
      </c>
      <c r="BG96" s="888" t="str">
        <f t="shared" si="83"/>
        <v/>
      </c>
      <c r="BH96" s="888" t="str">
        <f t="shared" si="84"/>
        <v/>
      </c>
      <c r="BI96" s="888" t="str">
        <f t="shared" si="85"/>
        <v/>
      </c>
      <c r="BJ96" s="889" t="str">
        <f t="shared" si="86"/>
        <v/>
      </c>
      <c r="BK96" s="889" t="str">
        <f t="shared" si="87"/>
        <v/>
      </c>
      <c r="BL96" s="889" t="str">
        <f t="shared" si="88"/>
        <v/>
      </c>
      <c r="BM96" s="889" t="str">
        <f t="shared" si="89"/>
        <v/>
      </c>
      <c r="BN96" s="889" t="str">
        <f t="shared" si="90"/>
        <v/>
      </c>
      <c r="BO96" s="889" t="str">
        <f t="shared" si="91"/>
        <v/>
      </c>
      <c r="BP96" s="889" t="str">
        <f t="shared" si="92"/>
        <v/>
      </c>
      <c r="BQ96" s="889" t="str">
        <f t="shared" si="93"/>
        <v/>
      </c>
      <c r="BR96" s="890" t="str">
        <f t="shared" si="94"/>
        <v/>
      </c>
      <c r="BS96" s="890" t="str">
        <f t="shared" si="95"/>
        <v/>
      </c>
      <c r="BT96" s="890" t="str">
        <f t="shared" si="96"/>
        <v/>
      </c>
      <c r="BU96" s="890" t="str">
        <f t="shared" si="97"/>
        <v/>
      </c>
      <c r="BV96" s="890" t="str">
        <f t="shared" si="98"/>
        <v/>
      </c>
      <c r="BW96" s="890" t="str">
        <f t="shared" si="99"/>
        <v/>
      </c>
      <c r="BX96" s="890" t="str">
        <f t="shared" si="100"/>
        <v/>
      </c>
      <c r="BY96" s="890" t="str">
        <f t="shared" si="101"/>
        <v/>
      </c>
      <c r="BZ96" s="888" t="str">
        <f t="shared" si="102"/>
        <v/>
      </c>
      <c r="CA96" s="888" t="str">
        <f t="shared" si="103"/>
        <v/>
      </c>
      <c r="CB96" s="888" t="str">
        <f t="shared" si="104"/>
        <v/>
      </c>
      <c r="CC96" s="888" t="str">
        <f t="shared" si="105"/>
        <v/>
      </c>
      <c r="CD96" s="888" t="str">
        <f t="shared" si="106"/>
        <v/>
      </c>
      <c r="CE96" s="888" t="str">
        <f t="shared" si="107"/>
        <v/>
      </c>
      <c r="CF96" s="888" t="str">
        <f t="shared" si="108"/>
        <v/>
      </c>
      <c r="CG96" s="888" t="str">
        <f t="shared" si="109"/>
        <v/>
      </c>
      <c r="CH96" s="887"/>
      <c r="CI96" s="899"/>
      <c r="CJ96" s="900"/>
    </row>
    <row r="97" spans="1:88">
      <c r="A97" s="879">
        <v>94</v>
      </c>
      <c r="B97" s="879">
        <f>STUDENT!F95</f>
        <v>0</v>
      </c>
      <c r="C97" s="879">
        <f>STUDENT!D95</f>
        <v>0</v>
      </c>
      <c r="D97" s="886">
        <f>STUDENT!E95</f>
        <v>0</v>
      </c>
      <c r="E97" s="886">
        <f>STUDENT!H95</f>
        <v>0</v>
      </c>
      <c r="F97" s="887"/>
      <c r="G97" s="887"/>
      <c r="H97" s="887"/>
      <c r="I97" s="887"/>
      <c r="J97" s="887"/>
      <c r="K97" s="887"/>
      <c r="L97" s="887"/>
      <c r="M97" s="888" t="str">
        <f t="shared" si="58"/>
        <v/>
      </c>
      <c r="N97" s="887"/>
      <c r="O97" s="887"/>
      <c r="P97" s="887"/>
      <c r="Q97" s="887"/>
      <c r="R97" s="887"/>
      <c r="S97" s="887"/>
      <c r="T97" s="887"/>
      <c r="U97" s="889" t="str">
        <f t="shared" si="59"/>
        <v/>
      </c>
      <c r="V97" s="887"/>
      <c r="W97" s="887"/>
      <c r="X97" s="887"/>
      <c r="Y97" s="887"/>
      <c r="Z97" s="887"/>
      <c r="AA97" s="887"/>
      <c r="AB97" s="887"/>
      <c r="AC97" s="890" t="str">
        <f t="shared" si="60"/>
        <v/>
      </c>
      <c r="AD97" s="887"/>
      <c r="AE97" s="887"/>
      <c r="AF97" s="887"/>
      <c r="AG97" s="887"/>
      <c r="AH97" s="887"/>
      <c r="AI97" s="887"/>
      <c r="AJ97" s="887"/>
      <c r="AK97" s="888" t="str">
        <f t="shared" si="61"/>
        <v/>
      </c>
      <c r="AL97" s="891">
        <f t="shared" si="62"/>
        <v>0</v>
      </c>
      <c r="AM97" s="891">
        <f t="shared" si="63"/>
        <v>0</v>
      </c>
      <c r="AN97" s="891">
        <f t="shared" si="64"/>
        <v>0</v>
      </c>
      <c r="AO97" s="891">
        <f t="shared" si="65"/>
        <v>0</v>
      </c>
      <c r="AP97" s="891">
        <f t="shared" si="66"/>
        <v>0</v>
      </c>
      <c r="AQ97" s="891">
        <f t="shared" si="67"/>
        <v>0</v>
      </c>
      <c r="AR97" s="891">
        <f t="shared" si="68"/>
        <v>0</v>
      </c>
      <c r="AS97" s="891">
        <f t="shared" si="69"/>
        <v>0</v>
      </c>
      <c r="AT97" s="891">
        <f t="shared" si="70"/>
        <v>0</v>
      </c>
      <c r="AU97" s="891">
        <f t="shared" si="71"/>
        <v>0</v>
      </c>
      <c r="AV97" s="891">
        <f t="shared" si="72"/>
        <v>0</v>
      </c>
      <c r="AW97" s="891">
        <f t="shared" si="73"/>
        <v>0</v>
      </c>
      <c r="AX97" s="891">
        <f t="shared" si="74"/>
        <v>0</v>
      </c>
      <c r="AY97" s="891">
        <f t="shared" si="75"/>
        <v>0</v>
      </c>
      <c r="AZ97" s="891">
        <f t="shared" si="76"/>
        <v>0</v>
      </c>
      <c r="BA97" s="891">
        <f t="shared" si="77"/>
        <v>0</v>
      </c>
      <c r="BB97" s="888" t="str">
        <f t="shared" si="78"/>
        <v/>
      </c>
      <c r="BC97" s="888" t="str">
        <f t="shared" si="79"/>
        <v/>
      </c>
      <c r="BD97" s="888" t="str">
        <f t="shared" si="80"/>
        <v/>
      </c>
      <c r="BE97" s="888" t="str">
        <f t="shared" si="81"/>
        <v/>
      </c>
      <c r="BF97" s="888" t="str">
        <f t="shared" si="82"/>
        <v/>
      </c>
      <c r="BG97" s="888" t="str">
        <f t="shared" si="83"/>
        <v/>
      </c>
      <c r="BH97" s="888" t="str">
        <f t="shared" si="84"/>
        <v/>
      </c>
      <c r="BI97" s="888" t="str">
        <f t="shared" si="85"/>
        <v/>
      </c>
      <c r="BJ97" s="889" t="str">
        <f t="shared" si="86"/>
        <v/>
      </c>
      <c r="BK97" s="889" t="str">
        <f t="shared" si="87"/>
        <v/>
      </c>
      <c r="BL97" s="889" t="str">
        <f t="shared" si="88"/>
        <v/>
      </c>
      <c r="BM97" s="889" t="str">
        <f t="shared" si="89"/>
        <v/>
      </c>
      <c r="BN97" s="889" t="str">
        <f t="shared" si="90"/>
        <v/>
      </c>
      <c r="BO97" s="889" t="str">
        <f t="shared" si="91"/>
        <v/>
      </c>
      <c r="BP97" s="889" t="str">
        <f t="shared" si="92"/>
        <v/>
      </c>
      <c r="BQ97" s="889" t="str">
        <f t="shared" si="93"/>
        <v/>
      </c>
      <c r="BR97" s="890" t="str">
        <f t="shared" si="94"/>
        <v/>
      </c>
      <c r="BS97" s="890" t="str">
        <f t="shared" si="95"/>
        <v/>
      </c>
      <c r="BT97" s="890" t="str">
        <f t="shared" si="96"/>
        <v/>
      </c>
      <c r="BU97" s="890" t="str">
        <f t="shared" si="97"/>
        <v/>
      </c>
      <c r="BV97" s="890" t="str">
        <f t="shared" si="98"/>
        <v/>
      </c>
      <c r="BW97" s="890" t="str">
        <f t="shared" si="99"/>
        <v/>
      </c>
      <c r="BX97" s="890" t="str">
        <f t="shared" si="100"/>
        <v/>
      </c>
      <c r="BY97" s="890" t="str">
        <f t="shared" si="101"/>
        <v/>
      </c>
      <c r="BZ97" s="888" t="str">
        <f t="shared" si="102"/>
        <v/>
      </c>
      <c r="CA97" s="888" t="str">
        <f t="shared" si="103"/>
        <v/>
      </c>
      <c r="CB97" s="888" t="str">
        <f t="shared" si="104"/>
        <v/>
      </c>
      <c r="CC97" s="888" t="str">
        <f t="shared" si="105"/>
        <v/>
      </c>
      <c r="CD97" s="888" t="str">
        <f t="shared" si="106"/>
        <v/>
      </c>
      <c r="CE97" s="888" t="str">
        <f t="shared" si="107"/>
        <v/>
      </c>
      <c r="CF97" s="888" t="str">
        <f t="shared" si="108"/>
        <v/>
      </c>
      <c r="CG97" s="888" t="str">
        <f t="shared" si="109"/>
        <v/>
      </c>
      <c r="CH97" s="887"/>
      <c r="CI97" s="899"/>
      <c r="CJ97" s="900"/>
    </row>
    <row r="98" spans="1:88">
      <c r="A98" s="879">
        <v>95</v>
      </c>
      <c r="B98" s="879">
        <f>STUDENT!F96</f>
        <v>0</v>
      </c>
      <c r="C98" s="879">
        <f>STUDENT!D96</f>
        <v>0</v>
      </c>
      <c r="D98" s="886">
        <f>STUDENT!E96</f>
        <v>0</v>
      </c>
      <c r="E98" s="886">
        <f>STUDENT!H96</f>
        <v>0</v>
      </c>
      <c r="F98" s="887"/>
      <c r="G98" s="887"/>
      <c r="H98" s="887"/>
      <c r="I98" s="887"/>
      <c r="J98" s="887"/>
      <c r="K98" s="887"/>
      <c r="L98" s="887"/>
      <c r="M98" s="888" t="str">
        <f t="shared" si="58"/>
        <v/>
      </c>
      <c r="N98" s="887"/>
      <c r="O98" s="887"/>
      <c r="P98" s="887"/>
      <c r="Q98" s="887"/>
      <c r="R98" s="887"/>
      <c r="S98" s="887"/>
      <c r="T98" s="887"/>
      <c r="U98" s="889" t="str">
        <f t="shared" si="59"/>
        <v/>
      </c>
      <c r="V98" s="887"/>
      <c r="W98" s="887"/>
      <c r="X98" s="887"/>
      <c r="Y98" s="887"/>
      <c r="Z98" s="887"/>
      <c r="AA98" s="887"/>
      <c r="AB98" s="887"/>
      <c r="AC98" s="890" t="str">
        <f t="shared" si="60"/>
        <v/>
      </c>
      <c r="AD98" s="887"/>
      <c r="AE98" s="887"/>
      <c r="AF98" s="887"/>
      <c r="AG98" s="887"/>
      <c r="AH98" s="887"/>
      <c r="AI98" s="887"/>
      <c r="AJ98" s="887"/>
      <c r="AK98" s="888" t="str">
        <f t="shared" si="61"/>
        <v/>
      </c>
      <c r="AL98" s="891">
        <f t="shared" si="62"/>
        <v>0</v>
      </c>
      <c r="AM98" s="891">
        <f t="shared" si="63"/>
        <v>0</v>
      </c>
      <c r="AN98" s="891">
        <f t="shared" si="64"/>
        <v>0</v>
      </c>
      <c r="AO98" s="891">
        <f t="shared" si="65"/>
        <v>0</v>
      </c>
      <c r="AP98" s="891">
        <f t="shared" si="66"/>
        <v>0</v>
      </c>
      <c r="AQ98" s="891">
        <f t="shared" si="67"/>
        <v>0</v>
      </c>
      <c r="AR98" s="891">
        <f t="shared" si="68"/>
        <v>0</v>
      </c>
      <c r="AS98" s="891">
        <f t="shared" si="69"/>
        <v>0</v>
      </c>
      <c r="AT98" s="891">
        <f t="shared" si="70"/>
        <v>0</v>
      </c>
      <c r="AU98" s="891">
        <f t="shared" si="71"/>
        <v>0</v>
      </c>
      <c r="AV98" s="891">
        <f t="shared" si="72"/>
        <v>0</v>
      </c>
      <c r="AW98" s="891">
        <f t="shared" si="73"/>
        <v>0</v>
      </c>
      <c r="AX98" s="891">
        <f t="shared" si="74"/>
        <v>0</v>
      </c>
      <c r="AY98" s="891">
        <f t="shared" si="75"/>
        <v>0</v>
      </c>
      <c r="AZ98" s="891">
        <f t="shared" si="76"/>
        <v>0</v>
      </c>
      <c r="BA98" s="891">
        <f t="shared" si="77"/>
        <v>0</v>
      </c>
      <c r="BB98" s="888" t="str">
        <f t="shared" si="78"/>
        <v/>
      </c>
      <c r="BC98" s="888" t="str">
        <f t="shared" si="79"/>
        <v/>
      </c>
      <c r="BD98" s="888" t="str">
        <f t="shared" si="80"/>
        <v/>
      </c>
      <c r="BE98" s="888" t="str">
        <f t="shared" si="81"/>
        <v/>
      </c>
      <c r="BF98" s="888" t="str">
        <f t="shared" si="82"/>
        <v/>
      </c>
      <c r="BG98" s="888" t="str">
        <f t="shared" si="83"/>
        <v/>
      </c>
      <c r="BH98" s="888" t="str">
        <f t="shared" si="84"/>
        <v/>
      </c>
      <c r="BI98" s="888" t="str">
        <f t="shared" si="85"/>
        <v/>
      </c>
      <c r="BJ98" s="889" t="str">
        <f t="shared" si="86"/>
        <v/>
      </c>
      <c r="BK98" s="889" t="str">
        <f t="shared" si="87"/>
        <v/>
      </c>
      <c r="BL98" s="889" t="str">
        <f t="shared" si="88"/>
        <v/>
      </c>
      <c r="BM98" s="889" t="str">
        <f t="shared" si="89"/>
        <v/>
      </c>
      <c r="BN98" s="889" t="str">
        <f t="shared" si="90"/>
        <v/>
      </c>
      <c r="BO98" s="889" t="str">
        <f t="shared" si="91"/>
        <v/>
      </c>
      <c r="BP98" s="889" t="str">
        <f t="shared" si="92"/>
        <v/>
      </c>
      <c r="BQ98" s="889" t="str">
        <f t="shared" si="93"/>
        <v/>
      </c>
      <c r="BR98" s="890" t="str">
        <f t="shared" si="94"/>
        <v/>
      </c>
      <c r="BS98" s="890" t="str">
        <f t="shared" si="95"/>
        <v/>
      </c>
      <c r="BT98" s="890" t="str">
        <f t="shared" si="96"/>
        <v/>
      </c>
      <c r="BU98" s="890" t="str">
        <f t="shared" si="97"/>
        <v/>
      </c>
      <c r="BV98" s="890" t="str">
        <f t="shared" si="98"/>
        <v/>
      </c>
      <c r="BW98" s="890" t="str">
        <f t="shared" si="99"/>
        <v/>
      </c>
      <c r="BX98" s="890" t="str">
        <f t="shared" si="100"/>
        <v/>
      </c>
      <c r="BY98" s="890" t="str">
        <f t="shared" si="101"/>
        <v/>
      </c>
      <c r="BZ98" s="888" t="str">
        <f t="shared" si="102"/>
        <v/>
      </c>
      <c r="CA98" s="888" t="str">
        <f t="shared" si="103"/>
        <v/>
      </c>
      <c r="CB98" s="888" t="str">
        <f t="shared" si="104"/>
        <v/>
      </c>
      <c r="CC98" s="888" t="str">
        <f t="shared" si="105"/>
        <v/>
      </c>
      <c r="CD98" s="888" t="str">
        <f t="shared" si="106"/>
        <v/>
      </c>
      <c r="CE98" s="888" t="str">
        <f t="shared" si="107"/>
        <v/>
      </c>
      <c r="CF98" s="888" t="str">
        <f t="shared" si="108"/>
        <v/>
      </c>
      <c r="CG98" s="888" t="str">
        <f t="shared" si="109"/>
        <v/>
      </c>
      <c r="CH98" s="887"/>
      <c r="CI98" s="899"/>
      <c r="CJ98" s="900"/>
    </row>
    <row r="99" spans="1:88">
      <c r="A99" s="879">
        <v>96</v>
      </c>
      <c r="B99" s="879">
        <f>STUDENT!F97</f>
        <v>0</v>
      </c>
      <c r="C99" s="879">
        <f>STUDENT!D97</f>
        <v>0</v>
      </c>
      <c r="D99" s="886">
        <f>STUDENT!E97</f>
        <v>0</v>
      </c>
      <c r="E99" s="886">
        <f>STUDENT!H97</f>
        <v>0</v>
      </c>
      <c r="F99" s="887"/>
      <c r="G99" s="887"/>
      <c r="H99" s="887"/>
      <c r="I99" s="887"/>
      <c r="J99" s="887"/>
      <c r="K99" s="887"/>
      <c r="L99" s="887"/>
      <c r="M99" s="888" t="str">
        <f t="shared" si="58"/>
        <v/>
      </c>
      <c r="N99" s="887"/>
      <c r="O99" s="887"/>
      <c r="P99" s="887"/>
      <c r="Q99" s="887"/>
      <c r="R99" s="887"/>
      <c r="S99" s="887"/>
      <c r="T99" s="887"/>
      <c r="U99" s="889" t="str">
        <f t="shared" si="59"/>
        <v/>
      </c>
      <c r="V99" s="887"/>
      <c r="W99" s="887"/>
      <c r="X99" s="887"/>
      <c r="Y99" s="887"/>
      <c r="Z99" s="887"/>
      <c r="AA99" s="887"/>
      <c r="AB99" s="887"/>
      <c r="AC99" s="890" t="str">
        <f t="shared" si="60"/>
        <v/>
      </c>
      <c r="AD99" s="887"/>
      <c r="AE99" s="887"/>
      <c r="AF99" s="887"/>
      <c r="AG99" s="887"/>
      <c r="AH99" s="887"/>
      <c r="AI99" s="887"/>
      <c r="AJ99" s="887"/>
      <c r="AK99" s="888" t="str">
        <f t="shared" si="61"/>
        <v/>
      </c>
      <c r="AL99" s="891">
        <f t="shared" si="62"/>
        <v>0</v>
      </c>
      <c r="AM99" s="891">
        <f t="shared" si="63"/>
        <v>0</v>
      </c>
      <c r="AN99" s="891">
        <f t="shared" si="64"/>
        <v>0</v>
      </c>
      <c r="AO99" s="891">
        <f t="shared" si="65"/>
        <v>0</v>
      </c>
      <c r="AP99" s="891">
        <f t="shared" si="66"/>
        <v>0</v>
      </c>
      <c r="AQ99" s="891">
        <f t="shared" si="67"/>
        <v>0</v>
      </c>
      <c r="AR99" s="891">
        <f t="shared" si="68"/>
        <v>0</v>
      </c>
      <c r="AS99" s="891">
        <f t="shared" si="69"/>
        <v>0</v>
      </c>
      <c r="AT99" s="891">
        <f t="shared" si="70"/>
        <v>0</v>
      </c>
      <c r="AU99" s="891">
        <f t="shared" si="71"/>
        <v>0</v>
      </c>
      <c r="AV99" s="891">
        <f t="shared" si="72"/>
        <v>0</v>
      </c>
      <c r="AW99" s="891">
        <f t="shared" si="73"/>
        <v>0</v>
      </c>
      <c r="AX99" s="891">
        <f t="shared" si="74"/>
        <v>0</v>
      </c>
      <c r="AY99" s="891">
        <f t="shared" si="75"/>
        <v>0</v>
      </c>
      <c r="AZ99" s="891">
        <f t="shared" si="76"/>
        <v>0</v>
      </c>
      <c r="BA99" s="891">
        <f t="shared" si="77"/>
        <v>0</v>
      </c>
      <c r="BB99" s="888" t="str">
        <f t="shared" si="78"/>
        <v/>
      </c>
      <c r="BC99" s="888" t="str">
        <f t="shared" si="79"/>
        <v/>
      </c>
      <c r="BD99" s="888" t="str">
        <f t="shared" si="80"/>
        <v/>
      </c>
      <c r="BE99" s="888" t="str">
        <f t="shared" si="81"/>
        <v/>
      </c>
      <c r="BF99" s="888" t="str">
        <f t="shared" si="82"/>
        <v/>
      </c>
      <c r="BG99" s="888" t="str">
        <f t="shared" si="83"/>
        <v/>
      </c>
      <c r="BH99" s="888" t="str">
        <f t="shared" si="84"/>
        <v/>
      </c>
      <c r="BI99" s="888" t="str">
        <f t="shared" si="85"/>
        <v/>
      </c>
      <c r="BJ99" s="889" t="str">
        <f t="shared" si="86"/>
        <v/>
      </c>
      <c r="BK99" s="889" t="str">
        <f t="shared" si="87"/>
        <v/>
      </c>
      <c r="BL99" s="889" t="str">
        <f t="shared" si="88"/>
        <v/>
      </c>
      <c r="BM99" s="889" t="str">
        <f t="shared" si="89"/>
        <v/>
      </c>
      <c r="BN99" s="889" t="str">
        <f t="shared" si="90"/>
        <v/>
      </c>
      <c r="BO99" s="889" t="str">
        <f t="shared" si="91"/>
        <v/>
      </c>
      <c r="BP99" s="889" t="str">
        <f t="shared" si="92"/>
        <v/>
      </c>
      <c r="BQ99" s="889" t="str">
        <f t="shared" si="93"/>
        <v/>
      </c>
      <c r="BR99" s="890" t="str">
        <f t="shared" si="94"/>
        <v/>
      </c>
      <c r="BS99" s="890" t="str">
        <f t="shared" si="95"/>
        <v/>
      </c>
      <c r="BT99" s="890" t="str">
        <f t="shared" si="96"/>
        <v/>
      </c>
      <c r="BU99" s="890" t="str">
        <f t="shared" si="97"/>
        <v/>
      </c>
      <c r="BV99" s="890" t="str">
        <f t="shared" si="98"/>
        <v/>
      </c>
      <c r="BW99" s="890" t="str">
        <f t="shared" si="99"/>
        <v/>
      </c>
      <c r="BX99" s="890" t="str">
        <f t="shared" si="100"/>
        <v/>
      </c>
      <c r="BY99" s="890" t="str">
        <f t="shared" si="101"/>
        <v/>
      </c>
      <c r="BZ99" s="888" t="str">
        <f t="shared" si="102"/>
        <v/>
      </c>
      <c r="CA99" s="888" t="str">
        <f t="shared" si="103"/>
        <v/>
      </c>
      <c r="CB99" s="888" t="str">
        <f t="shared" si="104"/>
        <v/>
      </c>
      <c r="CC99" s="888" t="str">
        <f t="shared" si="105"/>
        <v/>
      </c>
      <c r="CD99" s="888" t="str">
        <f t="shared" si="106"/>
        <v/>
      </c>
      <c r="CE99" s="888" t="str">
        <f t="shared" si="107"/>
        <v/>
      </c>
      <c r="CF99" s="888" t="str">
        <f t="shared" si="108"/>
        <v/>
      </c>
      <c r="CG99" s="888" t="str">
        <f t="shared" si="109"/>
        <v/>
      </c>
      <c r="CH99" s="887"/>
      <c r="CI99" s="899"/>
      <c r="CJ99" s="900"/>
    </row>
    <row r="100" spans="1:88">
      <c r="A100" s="879">
        <v>97</v>
      </c>
      <c r="B100" s="879">
        <f>STUDENT!F98</f>
        <v>0</v>
      </c>
      <c r="C100" s="879">
        <f>STUDENT!D98</f>
        <v>0</v>
      </c>
      <c r="D100" s="886">
        <f>STUDENT!E98</f>
        <v>0</v>
      </c>
      <c r="E100" s="886">
        <f>STUDENT!H98</f>
        <v>0</v>
      </c>
      <c r="F100" s="887"/>
      <c r="G100" s="887"/>
      <c r="H100" s="887"/>
      <c r="I100" s="887"/>
      <c r="J100" s="887"/>
      <c r="K100" s="887"/>
      <c r="L100" s="887"/>
      <c r="M100" s="888" t="str">
        <f t="shared" si="58"/>
        <v/>
      </c>
      <c r="N100" s="887"/>
      <c r="O100" s="887"/>
      <c r="P100" s="887"/>
      <c r="Q100" s="887"/>
      <c r="R100" s="887"/>
      <c r="S100" s="887"/>
      <c r="T100" s="887"/>
      <c r="U100" s="889" t="str">
        <f t="shared" si="59"/>
        <v/>
      </c>
      <c r="V100" s="887"/>
      <c r="W100" s="887"/>
      <c r="X100" s="887"/>
      <c r="Y100" s="887"/>
      <c r="Z100" s="887"/>
      <c r="AA100" s="887"/>
      <c r="AB100" s="887"/>
      <c r="AC100" s="890" t="str">
        <f t="shared" si="60"/>
        <v/>
      </c>
      <c r="AD100" s="887"/>
      <c r="AE100" s="887"/>
      <c r="AF100" s="887"/>
      <c r="AG100" s="887"/>
      <c r="AH100" s="887"/>
      <c r="AI100" s="887"/>
      <c r="AJ100" s="887"/>
      <c r="AK100" s="888" t="str">
        <f t="shared" si="61"/>
        <v/>
      </c>
      <c r="AL100" s="891">
        <f t="shared" si="62"/>
        <v>0</v>
      </c>
      <c r="AM100" s="891">
        <f t="shared" si="63"/>
        <v>0</v>
      </c>
      <c r="AN100" s="891">
        <f t="shared" si="64"/>
        <v>0</v>
      </c>
      <c r="AO100" s="891">
        <f t="shared" si="65"/>
        <v>0</v>
      </c>
      <c r="AP100" s="891">
        <f t="shared" si="66"/>
        <v>0</v>
      </c>
      <c r="AQ100" s="891">
        <f t="shared" si="67"/>
        <v>0</v>
      </c>
      <c r="AR100" s="891">
        <f t="shared" si="68"/>
        <v>0</v>
      </c>
      <c r="AS100" s="891">
        <f t="shared" si="69"/>
        <v>0</v>
      </c>
      <c r="AT100" s="891">
        <f t="shared" si="70"/>
        <v>0</v>
      </c>
      <c r="AU100" s="891">
        <f t="shared" si="71"/>
        <v>0</v>
      </c>
      <c r="AV100" s="891">
        <f t="shared" si="72"/>
        <v>0</v>
      </c>
      <c r="AW100" s="891">
        <f t="shared" si="73"/>
        <v>0</v>
      </c>
      <c r="AX100" s="891">
        <f t="shared" si="74"/>
        <v>0</v>
      </c>
      <c r="AY100" s="891">
        <f t="shared" si="75"/>
        <v>0</v>
      </c>
      <c r="AZ100" s="891">
        <f t="shared" si="76"/>
        <v>0</v>
      </c>
      <c r="BA100" s="891">
        <f t="shared" si="77"/>
        <v>0</v>
      </c>
      <c r="BB100" s="888" t="str">
        <f t="shared" si="78"/>
        <v/>
      </c>
      <c r="BC100" s="888" t="str">
        <f t="shared" si="79"/>
        <v/>
      </c>
      <c r="BD100" s="888" t="str">
        <f t="shared" si="80"/>
        <v/>
      </c>
      <c r="BE100" s="888" t="str">
        <f t="shared" si="81"/>
        <v/>
      </c>
      <c r="BF100" s="888" t="str">
        <f t="shared" si="82"/>
        <v/>
      </c>
      <c r="BG100" s="888" t="str">
        <f t="shared" si="83"/>
        <v/>
      </c>
      <c r="BH100" s="888" t="str">
        <f t="shared" si="84"/>
        <v/>
      </c>
      <c r="BI100" s="888" t="str">
        <f t="shared" si="85"/>
        <v/>
      </c>
      <c r="BJ100" s="889" t="str">
        <f t="shared" si="86"/>
        <v/>
      </c>
      <c r="BK100" s="889" t="str">
        <f t="shared" si="87"/>
        <v/>
      </c>
      <c r="BL100" s="889" t="str">
        <f t="shared" si="88"/>
        <v/>
      </c>
      <c r="BM100" s="889" t="str">
        <f t="shared" si="89"/>
        <v/>
      </c>
      <c r="BN100" s="889" t="str">
        <f t="shared" si="90"/>
        <v/>
      </c>
      <c r="BO100" s="889" t="str">
        <f t="shared" si="91"/>
        <v/>
      </c>
      <c r="BP100" s="889" t="str">
        <f t="shared" si="92"/>
        <v/>
      </c>
      <c r="BQ100" s="889" t="str">
        <f t="shared" si="93"/>
        <v/>
      </c>
      <c r="BR100" s="890" t="str">
        <f t="shared" si="94"/>
        <v/>
      </c>
      <c r="BS100" s="890" t="str">
        <f t="shared" si="95"/>
        <v/>
      </c>
      <c r="BT100" s="890" t="str">
        <f t="shared" si="96"/>
        <v/>
      </c>
      <c r="BU100" s="890" t="str">
        <f t="shared" si="97"/>
        <v/>
      </c>
      <c r="BV100" s="890" t="str">
        <f t="shared" si="98"/>
        <v/>
      </c>
      <c r="BW100" s="890" t="str">
        <f t="shared" si="99"/>
        <v/>
      </c>
      <c r="BX100" s="890" t="str">
        <f t="shared" si="100"/>
        <v/>
      </c>
      <c r="BY100" s="890" t="str">
        <f t="shared" si="101"/>
        <v/>
      </c>
      <c r="BZ100" s="888" t="str">
        <f t="shared" si="102"/>
        <v/>
      </c>
      <c r="CA100" s="888" t="str">
        <f t="shared" si="103"/>
        <v/>
      </c>
      <c r="CB100" s="888" t="str">
        <f t="shared" si="104"/>
        <v/>
      </c>
      <c r="CC100" s="888" t="str">
        <f t="shared" si="105"/>
        <v/>
      </c>
      <c r="CD100" s="888" t="str">
        <f t="shared" si="106"/>
        <v/>
      </c>
      <c r="CE100" s="888" t="str">
        <f t="shared" si="107"/>
        <v/>
      </c>
      <c r="CF100" s="888" t="str">
        <f t="shared" si="108"/>
        <v/>
      </c>
      <c r="CG100" s="888" t="str">
        <f t="shared" si="109"/>
        <v/>
      </c>
      <c r="CH100" s="887"/>
      <c r="CI100" s="899"/>
      <c r="CJ100" s="900"/>
    </row>
    <row r="101" spans="1:88">
      <c r="A101" s="879">
        <v>98</v>
      </c>
      <c r="B101" s="879">
        <f>STUDENT!F99</f>
        <v>0</v>
      </c>
      <c r="C101" s="879">
        <f>STUDENT!D99</f>
        <v>0</v>
      </c>
      <c r="D101" s="886">
        <f>STUDENT!E99</f>
        <v>0</v>
      </c>
      <c r="E101" s="886">
        <f>STUDENT!H99</f>
        <v>0</v>
      </c>
      <c r="F101" s="887"/>
      <c r="G101" s="887"/>
      <c r="H101" s="887"/>
      <c r="I101" s="887"/>
      <c r="J101" s="887"/>
      <c r="K101" s="887"/>
      <c r="L101" s="887"/>
      <c r="M101" s="888" t="str">
        <f t="shared" si="58"/>
        <v/>
      </c>
      <c r="N101" s="887"/>
      <c r="O101" s="887"/>
      <c r="P101" s="887"/>
      <c r="Q101" s="887"/>
      <c r="R101" s="887"/>
      <c r="S101" s="887"/>
      <c r="T101" s="887"/>
      <c r="U101" s="889" t="str">
        <f t="shared" si="59"/>
        <v/>
      </c>
      <c r="V101" s="887"/>
      <c r="W101" s="887"/>
      <c r="X101" s="887"/>
      <c r="Y101" s="887"/>
      <c r="Z101" s="887"/>
      <c r="AA101" s="887"/>
      <c r="AB101" s="887"/>
      <c r="AC101" s="890" t="str">
        <f t="shared" si="60"/>
        <v/>
      </c>
      <c r="AD101" s="887"/>
      <c r="AE101" s="887"/>
      <c r="AF101" s="887"/>
      <c r="AG101" s="887"/>
      <c r="AH101" s="887"/>
      <c r="AI101" s="887"/>
      <c r="AJ101" s="887"/>
      <c r="AK101" s="888" t="str">
        <f t="shared" si="61"/>
        <v/>
      </c>
      <c r="AL101" s="891">
        <f t="shared" si="62"/>
        <v>0</v>
      </c>
      <c r="AM101" s="891">
        <f t="shared" si="63"/>
        <v>0</v>
      </c>
      <c r="AN101" s="891">
        <f t="shared" si="64"/>
        <v>0</v>
      </c>
      <c r="AO101" s="891">
        <f t="shared" si="65"/>
        <v>0</v>
      </c>
      <c r="AP101" s="891">
        <f t="shared" si="66"/>
        <v>0</v>
      </c>
      <c r="AQ101" s="891">
        <f t="shared" si="67"/>
        <v>0</v>
      </c>
      <c r="AR101" s="891">
        <f t="shared" si="68"/>
        <v>0</v>
      </c>
      <c r="AS101" s="891">
        <f t="shared" si="69"/>
        <v>0</v>
      </c>
      <c r="AT101" s="891">
        <f t="shared" si="70"/>
        <v>0</v>
      </c>
      <c r="AU101" s="891">
        <f t="shared" si="71"/>
        <v>0</v>
      </c>
      <c r="AV101" s="891">
        <f t="shared" si="72"/>
        <v>0</v>
      </c>
      <c r="AW101" s="891">
        <f t="shared" si="73"/>
        <v>0</v>
      </c>
      <c r="AX101" s="891">
        <f t="shared" si="74"/>
        <v>0</v>
      </c>
      <c r="AY101" s="891">
        <f t="shared" si="75"/>
        <v>0</v>
      </c>
      <c r="AZ101" s="891">
        <f t="shared" si="76"/>
        <v>0</v>
      </c>
      <c r="BA101" s="891">
        <f t="shared" si="77"/>
        <v>0</v>
      </c>
      <c r="BB101" s="888" t="str">
        <f t="shared" si="78"/>
        <v/>
      </c>
      <c r="BC101" s="888" t="str">
        <f t="shared" si="79"/>
        <v/>
      </c>
      <c r="BD101" s="888" t="str">
        <f t="shared" si="80"/>
        <v/>
      </c>
      <c r="BE101" s="888" t="str">
        <f t="shared" si="81"/>
        <v/>
      </c>
      <c r="BF101" s="888" t="str">
        <f t="shared" si="82"/>
        <v/>
      </c>
      <c r="BG101" s="888" t="str">
        <f t="shared" si="83"/>
        <v/>
      </c>
      <c r="BH101" s="888" t="str">
        <f t="shared" si="84"/>
        <v/>
      </c>
      <c r="BI101" s="888" t="str">
        <f t="shared" si="85"/>
        <v/>
      </c>
      <c r="BJ101" s="889" t="str">
        <f t="shared" si="86"/>
        <v/>
      </c>
      <c r="BK101" s="889" t="str">
        <f t="shared" si="87"/>
        <v/>
      </c>
      <c r="BL101" s="889" t="str">
        <f t="shared" si="88"/>
        <v/>
      </c>
      <c r="BM101" s="889" t="str">
        <f t="shared" si="89"/>
        <v/>
      </c>
      <c r="BN101" s="889" t="str">
        <f t="shared" si="90"/>
        <v/>
      </c>
      <c r="BO101" s="889" t="str">
        <f t="shared" si="91"/>
        <v/>
      </c>
      <c r="BP101" s="889" t="str">
        <f t="shared" si="92"/>
        <v/>
      </c>
      <c r="BQ101" s="889" t="str">
        <f t="shared" si="93"/>
        <v/>
      </c>
      <c r="BR101" s="890" t="str">
        <f t="shared" si="94"/>
        <v/>
      </c>
      <c r="BS101" s="890" t="str">
        <f t="shared" si="95"/>
        <v/>
      </c>
      <c r="BT101" s="890" t="str">
        <f t="shared" si="96"/>
        <v/>
      </c>
      <c r="BU101" s="890" t="str">
        <f t="shared" si="97"/>
        <v/>
      </c>
      <c r="BV101" s="890" t="str">
        <f t="shared" si="98"/>
        <v/>
      </c>
      <c r="BW101" s="890" t="str">
        <f t="shared" si="99"/>
        <v/>
      </c>
      <c r="BX101" s="890" t="str">
        <f t="shared" si="100"/>
        <v/>
      </c>
      <c r="BY101" s="890" t="str">
        <f t="shared" si="101"/>
        <v/>
      </c>
      <c r="BZ101" s="888" t="str">
        <f t="shared" si="102"/>
        <v/>
      </c>
      <c r="CA101" s="888" t="str">
        <f t="shared" si="103"/>
        <v/>
      </c>
      <c r="CB101" s="888" t="str">
        <f t="shared" si="104"/>
        <v/>
      </c>
      <c r="CC101" s="888" t="str">
        <f t="shared" si="105"/>
        <v/>
      </c>
      <c r="CD101" s="888" t="str">
        <f t="shared" si="106"/>
        <v/>
      </c>
      <c r="CE101" s="888" t="str">
        <f t="shared" si="107"/>
        <v/>
      </c>
      <c r="CF101" s="888" t="str">
        <f t="shared" si="108"/>
        <v/>
      </c>
      <c r="CG101" s="888" t="str">
        <f t="shared" si="109"/>
        <v/>
      </c>
      <c r="CH101" s="887"/>
      <c r="CI101" s="899"/>
      <c r="CJ101" s="900"/>
    </row>
    <row r="102" spans="1:88">
      <c r="A102" s="879">
        <v>99</v>
      </c>
      <c r="B102" s="879">
        <f>STUDENT!F100</f>
        <v>0</v>
      </c>
      <c r="C102" s="879">
        <f>STUDENT!D100</f>
        <v>0</v>
      </c>
      <c r="D102" s="886">
        <f>STUDENT!E100</f>
        <v>0</v>
      </c>
      <c r="E102" s="886">
        <f>STUDENT!H100</f>
        <v>0</v>
      </c>
      <c r="F102" s="887"/>
      <c r="G102" s="887"/>
      <c r="H102" s="887"/>
      <c r="I102" s="887"/>
      <c r="J102" s="887"/>
      <c r="K102" s="887"/>
      <c r="L102" s="887"/>
      <c r="M102" s="888" t="str">
        <f t="shared" si="58"/>
        <v/>
      </c>
      <c r="N102" s="887"/>
      <c r="O102" s="887"/>
      <c r="P102" s="887"/>
      <c r="Q102" s="887"/>
      <c r="R102" s="887"/>
      <c r="S102" s="887"/>
      <c r="T102" s="887"/>
      <c r="U102" s="889" t="str">
        <f t="shared" si="59"/>
        <v/>
      </c>
      <c r="V102" s="887"/>
      <c r="W102" s="887"/>
      <c r="X102" s="887"/>
      <c r="Y102" s="887"/>
      <c r="Z102" s="887"/>
      <c r="AA102" s="887"/>
      <c r="AB102" s="887"/>
      <c r="AC102" s="890" t="str">
        <f t="shared" si="60"/>
        <v/>
      </c>
      <c r="AD102" s="887"/>
      <c r="AE102" s="887"/>
      <c r="AF102" s="887"/>
      <c r="AG102" s="887"/>
      <c r="AH102" s="887"/>
      <c r="AI102" s="887"/>
      <c r="AJ102" s="887"/>
      <c r="AK102" s="888" t="str">
        <f t="shared" si="61"/>
        <v/>
      </c>
      <c r="AL102" s="891">
        <f t="shared" si="62"/>
        <v>0</v>
      </c>
      <c r="AM102" s="891">
        <f t="shared" si="63"/>
        <v>0</v>
      </c>
      <c r="AN102" s="891">
        <f t="shared" si="64"/>
        <v>0</v>
      </c>
      <c r="AO102" s="891">
        <f t="shared" si="65"/>
        <v>0</v>
      </c>
      <c r="AP102" s="891">
        <f t="shared" si="66"/>
        <v>0</v>
      </c>
      <c r="AQ102" s="891">
        <f t="shared" si="67"/>
        <v>0</v>
      </c>
      <c r="AR102" s="891">
        <f t="shared" si="68"/>
        <v>0</v>
      </c>
      <c r="AS102" s="891">
        <f t="shared" si="69"/>
        <v>0</v>
      </c>
      <c r="AT102" s="891">
        <f t="shared" si="70"/>
        <v>0</v>
      </c>
      <c r="AU102" s="891">
        <f t="shared" si="71"/>
        <v>0</v>
      </c>
      <c r="AV102" s="891">
        <f t="shared" si="72"/>
        <v>0</v>
      </c>
      <c r="AW102" s="891">
        <f t="shared" si="73"/>
        <v>0</v>
      </c>
      <c r="AX102" s="891">
        <f t="shared" si="74"/>
        <v>0</v>
      </c>
      <c r="AY102" s="891">
        <f t="shared" si="75"/>
        <v>0</v>
      </c>
      <c r="AZ102" s="891">
        <f t="shared" si="76"/>
        <v>0</v>
      </c>
      <c r="BA102" s="891">
        <f t="shared" si="77"/>
        <v>0</v>
      </c>
      <c r="BB102" s="888" t="str">
        <f t="shared" si="78"/>
        <v/>
      </c>
      <c r="BC102" s="888" t="str">
        <f t="shared" si="79"/>
        <v/>
      </c>
      <c r="BD102" s="888" t="str">
        <f t="shared" si="80"/>
        <v/>
      </c>
      <c r="BE102" s="888" t="str">
        <f t="shared" si="81"/>
        <v/>
      </c>
      <c r="BF102" s="888" t="str">
        <f t="shared" si="82"/>
        <v/>
      </c>
      <c r="BG102" s="888" t="str">
        <f t="shared" si="83"/>
        <v/>
      </c>
      <c r="BH102" s="888" t="str">
        <f t="shared" si="84"/>
        <v/>
      </c>
      <c r="BI102" s="888" t="str">
        <f t="shared" si="85"/>
        <v/>
      </c>
      <c r="BJ102" s="889" t="str">
        <f t="shared" si="86"/>
        <v/>
      </c>
      <c r="BK102" s="889" t="str">
        <f t="shared" si="87"/>
        <v/>
      </c>
      <c r="BL102" s="889" t="str">
        <f t="shared" si="88"/>
        <v/>
      </c>
      <c r="BM102" s="889" t="str">
        <f t="shared" si="89"/>
        <v/>
      </c>
      <c r="BN102" s="889" t="str">
        <f t="shared" si="90"/>
        <v/>
      </c>
      <c r="BO102" s="889" t="str">
        <f t="shared" si="91"/>
        <v/>
      </c>
      <c r="BP102" s="889" t="str">
        <f t="shared" si="92"/>
        <v/>
      </c>
      <c r="BQ102" s="889" t="str">
        <f t="shared" si="93"/>
        <v/>
      </c>
      <c r="BR102" s="890" t="str">
        <f t="shared" si="94"/>
        <v/>
      </c>
      <c r="BS102" s="890" t="str">
        <f t="shared" si="95"/>
        <v/>
      </c>
      <c r="BT102" s="890" t="str">
        <f t="shared" si="96"/>
        <v/>
      </c>
      <c r="BU102" s="890" t="str">
        <f t="shared" si="97"/>
        <v/>
      </c>
      <c r="BV102" s="890" t="str">
        <f t="shared" si="98"/>
        <v/>
      </c>
      <c r="BW102" s="890" t="str">
        <f t="shared" si="99"/>
        <v/>
      </c>
      <c r="BX102" s="890" t="str">
        <f t="shared" si="100"/>
        <v/>
      </c>
      <c r="BY102" s="890" t="str">
        <f t="shared" si="101"/>
        <v/>
      </c>
      <c r="BZ102" s="888" t="str">
        <f t="shared" si="102"/>
        <v/>
      </c>
      <c r="CA102" s="888" t="str">
        <f t="shared" si="103"/>
        <v/>
      </c>
      <c r="CB102" s="888" t="str">
        <f t="shared" si="104"/>
        <v/>
      </c>
      <c r="CC102" s="888" t="str">
        <f t="shared" si="105"/>
        <v/>
      </c>
      <c r="CD102" s="888" t="str">
        <f t="shared" si="106"/>
        <v/>
      </c>
      <c r="CE102" s="888" t="str">
        <f t="shared" si="107"/>
        <v/>
      </c>
      <c r="CF102" s="888" t="str">
        <f t="shared" si="108"/>
        <v/>
      </c>
      <c r="CG102" s="888" t="str">
        <f t="shared" si="109"/>
        <v/>
      </c>
      <c r="CH102" s="887"/>
      <c r="CI102" s="899"/>
      <c r="CJ102" s="900"/>
    </row>
    <row r="103" spans="1:88">
      <c r="A103" s="879">
        <v>100</v>
      </c>
      <c r="B103" s="879">
        <f>STUDENT!F101</f>
        <v>0</v>
      </c>
      <c r="C103" s="879">
        <f>STUDENT!D101</f>
        <v>0</v>
      </c>
      <c r="D103" s="886">
        <f>STUDENT!E101</f>
        <v>0</v>
      </c>
      <c r="E103" s="886">
        <f>STUDENT!H101</f>
        <v>0</v>
      </c>
      <c r="F103" s="887"/>
      <c r="G103" s="887"/>
      <c r="H103" s="887"/>
      <c r="I103" s="887"/>
      <c r="J103" s="887"/>
      <c r="K103" s="887"/>
      <c r="L103" s="887"/>
      <c r="M103" s="888" t="str">
        <f t="shared" si="58"/>
        <v/>
      </c>
      <c r="N103" s="887"/>
      <c r="O103" s="887"/>
      <c r="P103" s="887"/>
      <c r="Q103" s="887"/>
      <c r="R103" s="887"/>
      <c r="S103" s="887"/>
      <c r="T103" s="887"/>
      <c r="U103" s="889" t="str">
        <f t="shared" si="59"/>
        <v/>
      </c>
      <c r="V103" s="887"/>
      <c r="W103" s="887"/>
      <c r="X103" s="887"/>
      <c r="Y103" s="887"/>
      <c r="Z103" s="887"/>
      <c r="AA103" s="887"/>
      <c r="AB103" s="887"/>
      <c r="AC103" s="890" t="str">
        <f t="shared" si="60"/>
        <v/>
      </c>
      <c r="AD103" s="887"/>
      <c r="AE103" s="887"/>
      <c r="AF103" s="887"/>
      <c r="AG103" s="887"/>
      <c r="AH103" s="887"/>
      <c r="AI103" s="887"/>
      <c r="AJ103" s="887"/>
      <c r="AK103" s="888" t="str">
        <f t="shared" si="61"/>
        <v/>
      </c>
      <c r="AL103" s="891">
        <f t="shared" si="62"/>
        <v>0</v>
      </c>
      <c r="AM103" s="891">
        <f t="shared" si="63"/>
        <v>0</v>
      </c>
      <c r="AN103" s="891">
        <f t="shared" si="64"/>
        <v>0</v>
      </c>
      <c r="AO103" s="891">
        <f t="shared" si="65"/>
        <v>0</v>
      </c>
      <c r="AP103" s="891">
        <f t="shared" si="66"/>
        <v>0</v>
      </c>
      <c r="AQ103" s="891">
        <f t="shared" si="67"/>
        <v>0</v>
      </c>
      <c r="AR103" s="891">
        <f t="shared" si="68"/>
        <v>0</v>
      </c>
      <c r="AS103" s="891">
        <f t="shared" si="69"/>
        <v>0</v>
      </c>
      <c r="AT103" s="891">
        <f t="shared" si="70"/>
        <v>0</v>
      </c>
      <c r="AU103" s="891">
        <f t="shared" si="71"/>
        <v>0</v>
      </c>
      <c r="AV103" s="891">
        <f t="shared" si="72"/>
        <v>0</v>
      </c>
      <c r="AW103" s="891">
        <f t="shared" si="73"/>
        <v>0</v>
      </c>
      <c r="AX103" s="891">
        <f t="shared" si="74"/>
        <v>0</v>
      </c>
      <c r="AY103" s="891">
        <f t="shared" si="75"/>
        <v>0</v>
      </c>
      <c r="AZ103" s="891">
        <f t="shared" si="76"/>
        <v>0</v>
      </c>
      <c r="BA103" s="891">
        <f t="shared" si="77"/>
        <v>0</v>
      </c>
      <c r="BB103" s="888" t="str">
        <f t="shared" si="78"/>
        <v/>
      </c>
      <c r="BC103" s="888" t="str">
        <f t="shared" si="79"/>
        <v/>
      </c>
      <c r="BD103" s="888" t="str">
        <f t="shared" si="80"/>
        <v/>
      </c>
      <c r="BE103" s="888" t="str">
        <f t="shared" si="81"/>
        <v/>
      </c>
      <c r="BF103" s="888" t="str">
        <f t="shared" si="82"/>
        <v/>
      </c>
      <c r="BG103" s="888" t="str">
        <f t="shared" si="83"/>
        <v/>
      </c>
      <c r="BH103" s="888" t="str">
        <f t="shared" si="84"/>
        <v/>
      </c>
      <c r="BI103" s="888" t="str">
        <f t="shared" si="85"/>
        <v/>
      </c>
      <c r="BJ103" s="889" t="str">
        <f t="shared" si="86"/>
        <v/>
      </c>
      <c r="BK103" s="889" t="str">
        <f t="shared" si="87"/>
        <v/>
      </c>
      <c r="BL103" s="889" t="str">
        <f t="shared" si="88"/>
        <v/>
      </c>
      <c r="BM103" s="889" t="str">
        <f t="shared" si="89"/>
        <v/>
      </c>
      <c r="BN103" s="889" t="str">
        <f t="shared" si="90"/>
        <v/>
      </c>
      <c r="BO103" s="889" t="str">
        <f t="shared" si="91"/>
        <v/>
      </c>
      <c r="BP103" s="889" t="str">
        <f t="shared" si="92"/>
        <v/>
      </c>
      <c r="BQ103" s="889" t="str">
        <f t="shared" si="93"/>
        <v/>
      </c>
      <c r="BR103" s="890" t="str">
        <f t="shared" si="94"/>
        <v/>
      </c>
      <c r="BS103" s="890" t="str">
        <f t="shared" si="95"/>
        <v/>
      </c>
      <c r="BT103" s="890" t="str">
        <f t="shared" si="96"/>
        <v/>
      </c>
      <c r="BU103" s="890" t="str">
        <f t="shared" si="97"/>
        <v/>
      </c>
      <c r="BV103" s="890" t="str">
        <f t="shared" si="98"/>
        <v/>
      </c>
      <c r="BW103" s="890" t="str">
        <f t="shared" si="99"/>
        <v/>
      </c>
      <c r="BX103" s="890" t="str">
        <f t="shared" si="100"/>
        <v/>
      </c>
      <c r="BY103" s="890" t="str">
        <f t="shared" si="101"/>
        <v/>
      </c>
      <c r="BZ103" s="888" t="str">
        <f t="shared" si="102"/>
        <v/>
      </c>
      <c r="CA103" s="888" t="str">
        <f t="shared" si="103"/>
        <v/>
      </c>
      <c r="CB103" s="888" t="str">
        <f t="shared" si="104"/>
        <v/>
      </c>
      <c r="CC103" s="888" t="str">
        <f t="shared" si="105"/>
        <v/>
      </c>
      <c r="CD103" s="888" t="str">
        <f t="shared" si="106"/>
        <v/>
      </c>
      <c r="CE103" s="888" t="str">
        <f t="shared" si="107"/>
        <v/>
      </c>
      <c r="CF103" s="888" t="str">
        <f t="shared" si="108"/>
        <v/>
      </c>
      <c r="CG103" s="888" t="str">
        <f t="shared" si="109"/>
        <v/>
      </c>
      <c r="CH103" s="887"/>
      <c r="CI103" s="899"/>
      <c r="CJ103" s="900"/>
    </row>
  </sheetData>
  <sheetProtection password="BF6F" sheet="1" formatCells="0" formatColumns="0" formatRows="0" objects="1" scenarios="1"/>
  <mergeCells count="11">
    <mergeCell ref="CH1:CJ1"/>
    <mergeCell ref="F2:M2"/>
    <mergeCell ref="N2:U2"/>
    <mergeCell ref="V2:AC2"/>
    <mergeCell ref="AD2:AK2"/>
    <mergeCell ref="AL2:AS2"/>
    <mergeCell ref="AT2:BA2"/>
    <mergeCell ref="BB2:BI2"/>
    <mergeCell ref="BJ2:BQ2"/>
    <mergeCell ref="BR2:BY2"/>
    <mergeCell ref="BZ2:CG2"/>
  </mergeCells>
  <conditionalFormatting sqref="CH4:CH103">
    <cfRule type="cellIs" dxfId="1" priority="7" operator="greaterThan">
      <formula>$CH$3</formula>
    </cfRule>
  </conditionalFormatting>
  <conditionalFormatting sqref="CJ4:CJ103">
    <cfRule type="cellIs" dxfId="2" priority="2" operator="greaterThan">
      <formula>$CI$3</formula>
    </cfRule>
  </conditionalFormatting>
  <conditionalFormatting sqref="L4:L42 F43:L103">
    <cfRule type="cellIs" dxfId="1" priority="11" operator="greaterThan">
      <formula>20</formula>
    </cfRule>
  </conditionalFormatting>
  <conditionalFormatting sqref="F4:K42">
    <cfRule type="cellIs" dxfId="1" priority="1" operator="greaterThan">
      <formula>20</formula>
    </cfRule>
  </conditionalFormatting>
  <conditionalFormatting sqref="N4:T103">
    <cfRule type="cellIs" dxfId="1" priority="10" operator="greaterThan">
      <formula>20</formula>
    </cfRule>
  </conditionalFormatting>
  <conditionalFormatting sqref="V4:AB103">
    <cfRule type="cellIs" dxfId="1" priority="9" operator="greaterThan">
      <formula>20</formula>
    </cfRule>
  </conditionalFormatting>
  <conditionalFormatting sqref="AD4:AJ103">
    <cfRule type="cellIs" dxfId="1" priority="8" operator="greaterThan">
      <formula>20</formula>
    </cfRule>
  </conditionalFormatting>
  <hyperlinks>
    <hyperlink ref="CH3" location="ENTRY!D25" display="=ENTRY!$D$25"/>
    <hyperlink ref="CI3" location="ENTRY!D26" display="=ENTRY!$D$26"/>
  </hyperlinks>
  <pageMargins left="0.7" right="0.7" top="0.75" bottom="0.75" header="0.3" footer="0.3"/>
  <pageSetup paperSize="1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103"/>
  <sheetViews>
    <sheetView zoomScale="55" zoomScaleNormal="55" workbookViewId="0">
      <pane xSplit="5" ySplit="3" topLeftCell="AU4" activePane="bottomRight" state="frozen"/>
      <selection/>
      <selection pane="topRight"/>
      <selection pane="bottomLeft"/>
      <selection pane="bottomRight" activeCell="AY23" sqref="AY23"/>
    </sheetView>
  </sheetViews>
  <sheetFormatPr defaultColWidth="9.13888888888889" defaultRowHeight="18"/>
  <cols>
    <col min="1" max="1" width="9.13888888888889" style="587"/>
    <col min="2" max="2" width="13.1388888888889" style="587" customWidth="1"/>
    <col min="3" max="3" width="17.1388888888889" style="587" customWidth="1"/>
    <col min="4" max="4" width="35.1388888888889" style="867" customWidth="1"/>
    <col min="5" max="5" width="30.287037037037" style="867" customWidth="1"/>
    <col min="6" max="101" width="10.712962962963" style="587" customWidth="1"/>
    <col min="102" max="133" width="10.712962962963" style="868" customWidth="1"/>
    <col min="134" max="16384" width="9.13888888888889" style="587"/>
  </cols>
  <sheetData>
    <row r="1" spans="1:133">
      <c r="A1" s="869"/>
      <c r="B1" s="870"/>
      <c r="C1" s="869"/>
      <c r="D1" s="869"/>
      <c r="E1" s="869"/>
      <c r="F1" s="871" t="s">
        <v>355</v>
      </c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2"/>
      <c r="S1" s="872"/>
      <c r="T1" s="872"/>
      <c r="U1" s="872"/>
      <c r="V1" s="872"/>
      <c r="W1" s="872"/>
      <c r="X1" s="872"/>
      <c r="Y1" s="872"/>
      <c r="Z1" s="872"/>
      <c r="AA1" s="872"/>
      <c r="AB1" s="872"/>
      <c r="AC1" s="872"/>
      <c r="AD1" s="872"/>
      <c r="AE1" s="872"/>
      <c r="AF1" s="872"/>
      <c r="AG1" s="872"/>
      <c r="AH1" s="872"/>
      <c r="AI1" s="872"/>
      <c r="AJ1" s="872"/>
      <c r="AK1" s="873"/>
      <c r="AL1" s="874" t="s">
        <v>356</v>
      </c>
      <c r="AM1" s="875"/>
      <c r="AN1" s="875"/>
      <c r="AO1" s="875"/>
      <c r="AP1" s="875"/>
      <c r="AQ1" s="875"/>
      <c r="AR1" s="875"/>
      <c r="AS1" s="875"/>
      <c r="AT1" s="875"/>
      <c r="AU1" s="875"/>
      <c r="AV1" s="875"/>
      <c r="AW1" s="875"/>
      <c r="AX1" s="875"/>
      <c r="AY1" s="875"/>
      <c r="AZ1" s="875"/>
      <c r="BA1" s="875"/>
      <c r="BB1" s="875"/>
      <c r="BC1" s="875"/>
      <c r="BD1" s="875"/>
      <c r="BE1" s="875"/>
      <c r="BF1" s="875"/>
      <c r="BG1" s="875"/>
      <c r="BH1" s="875"/>
      <c r="BI1" s="875"/>
      <c r="BJ1" s="875"/>
      <c r="BK1" s="875"/>
      <c r="BL1" s="875"/>
      <c r="BM1" s="875"/>
      <c r="BN1" s="875"/>
      <c r="BO1" s="875"/>
      <c r="BP1" s="875"/>
      <c r="BQ1" s="876"/>
      <c r="BR1" s="877"/>
      <c r="BS1" s="877"/>
      <c r="BT1" s="877"/>
      <c r="BU1" s="877"/>
      <c r="BV1" s="877"/>
      <c r="BW1" s="877"/>
      <c r="BX1" s="877"/>
      <c r="BY1" s="877"/>
      <c r="BZ1" s="877"/>
      <c r="CA1" s="877"/>
      <c r="CB1" s="877"/>
      <c r="CC1" s="877"/>
      <c r="CD1" s="877"/>
      <c r="CE1" s="877"/>
      <c r="CF1" s="877"/>
      <c r="CG1" s="877"/>
      <c r="CH1" s="878"/>
      <c r="CI1" s="878"/>
      <c r="CJ1" s="878"/>
      <c r="CK1" s="878"/>
      <c r="CL1" s="878"/>
      <c r="CM1" s="878"/>
      <c r="CN1" s="878"/>
      <c r="CO1" s="878"/>
      <c r="CP1" s="878"/>
      <c r="CQ1" s="878"/>
      <c r="CR1" s="878"/>
      <c r="CS1" s="878"/>
      <c r="CT1" s="878"/>
      <c r="CU1" s="878"/>
      <c r="CV1" s="878"/>
      <c r="CW1" s="878"/>
      <c r="CX1" s="879"/>
      <c r="CY1" s="879"/>
      <c r="CZ1" s="879"/>
      <c r="DA1" s="879"/>
      <c r="DB1" s="879"/>
      <c r="DC1" s="879"/>
      <c r="DD1" s="879"/>
      <c r="DE1" s="879"/>
      <c r="DF1" s="879"/>
      <c r="DG1" s="879"/>
      <c r="DH1" s="879"/>
      <c r="DI1" s="879"/>
      <c r="DJ1" s="879"/>
      <c r="DK1" s="879"/>
      <c r="DL1" s="879"/>
      <c r="DM1" s="879"/>
      <c r="DN1" s="879"/>
      <c r="DO1" s="879"/>
      <c r="DP1" s="879"/>
      <c r="DQ1" s="879"/>
      <c r="DR1" s="879"/>
      <c r="DS1" s="879"/>
      <c r="DT1" s="879"/>
      <c r="DU1" s="879"/>
      <c r="DV1" s="879"/>
      <c r="DW1" s="879"/>
      <c r="DX1" s="879"/>
      <c r="DY1" s="879"/>
      <c r="DZ1" s="879"/>
      <c r="EA1" s="879"/>
      <c r="EB1" s="879"/>
      <c r="EC1" s="879"/>
    </row>
    <row r="2" ht="36" spans="1:133">
      <c r="A2" s="869" t="s">
        <v>109</v>
      </c>
      <c r="B2" s="870" t="s">
        <v>114</v>
      </c>
      <c r="C2" s="869" t="s">
        <v>112</v>
      </c>
      <c r="D2" s="869" t="s">
        <v>113</v>
      </c>
      <c r="E2" s="869" t="s">
        <v>327</v>
      </c>
      <c r="F2" s="880" t="s">
        <v>357</v>
      </c>
      <c r="G2" s="880"/>
      <c r="H2" s="880"/>
      <c r="I2" s="880"/>
      <c r="J2" s="880"/>
      <c r="K2" s="880"/>
      <c r="L2" s="880"/>
      <c r="M2" s="880"/>
      <c r="N2" s="881" t="s">
        <v>358</v>
      </c>
      <c r="O2" s="881"/>
      <c r="P2" s="881"/>
      <c r="Q2" s="881"/>
      <c r="R2" s="881"/>
      <c r="S2" s="881"/>
      <c r="T2" s="881"/>
      <c r="U2" s="881"/>
      <c r="V2" s="882" t="s">
        <v>359</v>
      </c>
      <c r="W2" s="882"/>
      <c r="X2" s="882"/>
      <c r="Y2" s="882"/>
      <c r="Z2" s="882"/>
      <c r="AA2" s="882"/>
      <c r="AB2" s="882"/>
      <c r="AC2" s="882"/>
      <c r="AD2" s="880" t="s">
        <v>360</v>
      </c>
      <c r="AE2" s="880"/>
      <c r="AF2" s="880"/>
      <c r="AG2" s="880"/>
      <c r="AH2" s="880"/>
      <c r="AI2" s="880"/>
      <c r="AJ2" s="880"/>
      <c r="AK2" s="880"/>
      <c r="AL2" s="883" t="s">
        <v>361</v>
      </c>
      <c r="AM2" s="883"/>
      <c r="AN2" s="883"/>
      <c r="AO2" s="883"/>
      <c r="AP2" s="883"/>
      <c r="AQ2" s="883"/>
      <c r="AR2" s="883"/>
      <c r="AS2" s="883"/>
      <c r="AT2" s="881" t="s">
        <v>362</v>
      </c>
      <c r="AU2" s="881"/>
      <c r="AV2" s="881"/>
      <c r="AW2" s="881"/>
      <c r="AX2" s="881"/>
      <c r="AY2" s="881"/>
      <c r="AZ2" s="881"/>
      <c r="BA2" s="881"/>
      <c r="BB2" s="882" t="s">
        <v>363</v>
      </c>
      <c r="BC2" s="882"/>
      <c r="BD2" s="882"/>
      <c r="BE2" s="882"/>
      <c r="BF2" s="882"/>
      <c r="BG2" s="882"/>
      <c r="BH2" s="882"/>
      <c r="BI2" s="882"/>
      <c r="BJ2" s="880" t="s">
        <v>364</v>
      </c>
      <c r="BK2" s="880"/>
      <c r="BL2" s="880"/>
      <c r="BM2" s="880"/>
      <c r="BN2" s="880"/>
      <c r="BO2" s="880"/>
      <c r="BP2" s="880"/>
      <c r="BQ2" s="880"/>
      <c r="BR2" s="884" t="s">
        <v>360</v>
      </c>
      <c r="BS2" s="884"/>
      <c r="BT2" s="884"/>
      <c r="BU2" s="884"/>
      <c r="BV2" s="884"/>
      <c r="BW2" s="884"/>
      <c r="BX2" s="884"/>
      <c r="BY2" s="884"/>
      <c r="BZ2" s="884" t="s">
        <v>364</v>
      </c>
      <c r="CA2" s="884"/>
      <c r="CB2" s="884"/>
      <c r="CC2" s="884"/>
      <c r="CD2" s="884"/>
      <c r="CE2" s="884"/>
      <c r="CF2" s="884"/>
      <c r="CG2" s="884"/>
      <c r="CH2" s="883" t="s">
        <v>365</v>
      </c>
      <c r="CI2" s="883"/>
      <c r="CJ2" s="883"/>
      <c r="CK2" s="883"/>
      <c r="CL2" s="883"/>
      <c r="CM2" s="883"/>
      <c r="CN2" s="883"/>
      <c r="CO2" s="883"/>
      <c r="CP2" s="883" t="s">
        <v>366</v>
      </c>
      <c r="CQ2" s="883"/>
      <c r="CR2" s="883"/>
      <c r="CS2" s="883"/>
      <c r="CT2" s="883"/>
      <c r="CU2" s="883"/>
      <c r="CV2" s="883"/>
      <c r="CW2" s="883"/>
      <c r="CX2" s="885" t="s">
        <v>367</v>
      </c>
      <c r="CY2" s="885"/>
      <c r="CZ2" s="885"/>
      <c r="DA2" s="885"/>
      <c r="DB2" s="885"/>
      <c r="DC2" s="885"/>
      <c r="DD2" s="885"/>
      <c r="DE2" s="885"/>
      <c r="DF2" s="885" t="s">
        <v>368</v>
      </c>
      <c r="DG2" s="885"/>
      <c r="DH2" s="885"/>
      <c r="DI2" s="885"/>
      <c r="DJ2" s="885"/>
      <c r="DK2" s="885"/>
      <c r="DL2" s="885"/>
      <c r="DM2" s="885"/>
      <c r="DN2" s="885" t="s">
        <v>369</v>
      </c>
      <c r="DO2" s="885"/>
      <c r="DP2" s="885"/>
      <c r="DQ2" s="885"/>
      <c r="DR2" s="885"/>
      <c r="DS2" s="885"/>
      <c r="DT2" s="885"/>
      <c r="DU2" s="885"/>
      <c r="DV2" s="885" t="s">
        <v>370</v>
      </c>
      <c r="DW2" s="885"/>
      <c r="DX2" s="885"/>
      <c r="DY2" s="885"/>
      <c r="DZ2" s="885"/>
      <c r="EA2" s="885"/>
      <c r="EB2" s="885"/>
      <c r="EC2" s="885"/>
    </row>
    <row r="3" spans="1:133">
      <c r="A3" s="869"/>
      <c r="B3" s="870"/>
      <c r="C3" s="869"/>
      <c r="D3" s="869"/>
      <c r="E3" s="869"/>
      <c r="F3" s="880" t="s">
        <v>87</v>
      </c>
      <c r="G3" s="880" t="s">
        <v>350</v>
      </c>
      <c r="H3" s="880" t="s">
        <v>88</v>
      </c>
      <c r="I3" s="880" t="s">
        <v>351</v>
      </c>
      <c r="J3" s="880" t="s">
        <v>352</v>
      </c>
      <c r="K3" s="880" t="s">
        <v>353</v>
      </c>
      <c r="L3" s="880" t="s">
        <v>354</v>
      </c>
      <c r="M3" s="880" t="s">
        <v>102</v>
      </c>
      <c r="N3" s="881" t="s">
        <v>87</v>
      </c>
      <c r="O3" s="881" t="s">
        <v>350</v>
      </c>
      <c r="P3" s="881" t="s">
        <v>88</v>
      </c>
      <c r="Q3" s="881" t="s">
        <v>351</v>
      </c>
      <c r="R3" s="881" t="s">
        <v>352</v>
      </c>
      <c r="S3" s="881" t="s">
        <v>353</v>
      </c>
      <c r="T3" s="881" t="s">
        <v>354</v>
      </c>
      <c r="U3" s="881" t="s">
        <v>102</v>
      </c>
      <c r="V3" s="882" t="s">
        <v>87</v>
      </c>
      <c r="W3" s="882" t="s">
        <v>350</v>
      </c>
      <c r="X3" s="882" t="s">
        <v>88</v>
      </c>
      <c r="Y3" s="882" t="s">
        <v>351</v>
      </c>
      <c r="Z3" s="882" t="s">
        <v>352</v>
      </c>
      <c r="AA3" s="882" t="s">
        <v>353</v>
      </c>
      <c r="AB3" s="882" t="s">
        <v>354</v>
      </c>
      <c r="AC3" s="882" t="s">
        <v>102</v>
      </c>
      <c r="AD3" s="880" t="s">
        <v>87</v>
      </c>
      <c r="AE3" s="880" t="s">
        <v>350</v>
      </c>
      <c r="AF3" s="880" t="s">
        <v>88</v>
      </c>
      <c r="AG3" s="880" t="s">
        <v>351</v>
      </c>
      <c r="AH3" s="880" t="s">
        <v>352</v>
      </c>
      <c r="AI3" s="880" t="s">
        <v>353</v>
      </c>
      <c r="AJ3" s="880" t="s">
        <v>354</v>
      </c>
      <c r="AK3" s="880" t="s">
        <v>102</v>
      </c>
      <c r="AL3" s="883" t="s">
        <v>87</v>
      </c>
      <c r="AM3" s="883" t="s">
        <v>350</v>
      </c>
      <c r="AN3" s="883" t="s">
        <v>88</v>
      </c>
      <c r="AO3" s="883" t="s">
        <v>351</v>
      </c>
      <c r="AP3" s="883" t="s">
        <v>352</v>
      </c>
      <c r="AQ3" s="883" t="s">
        <v>353</v>
      </c>
      <c r="AR3" s="883" t="s">
        <v>354</v>
      </c>
      <c r="AS3" s="883" t="s">
        <v>102</v>
      </c>
      <c r="AT3" s="881" t="s">
        <v>87</v>
      </c>
      <c r="AU3" s="881" t="s">
        <v>350</v>
      </c>
      <c r="AV3" s="881" t="s">
        <v>88</v>
      </c>
      <c r="AW3" s="881" t="s">
        <v>351</v>
      </c>
      <c r="AX3" s="881" t="s">
        <v>352</v>
      </c>
      <c r="AY3" s="881" t="s">
        <v>353</v>
      </c>
      <c r="AZ3" s="881" t="s">
        <v>354</v>
      </c>
      <c r="BA3" s="881" t="s">
        <v>102</v>
      </c>
      <c r="BB3" s="882" t="s">
        <v>87</v>
      </c>
      <c r="BC3" s="882" t="s">
        <v>350</v>
      </c>
      <c r="BD3" s="882" t="s">
        <v>88</v>
      </c>
      <c r="BE3" s="882" t="s">
        <v>351</v>
      </c>
      <c r="BF3" s="882" t="s">
        <v>352</v>
      </c>
      <c r="BG3" s="882" t="s">
        <v>353</v>
      </c>
      <c r="BH3" s="882" t="s">
        <v>354</v>
      </c>
      <c r="BI3" s="882" t="s">
        <v>102</v>
      </c>
      <c r="BJ3" s="880" t="s">
        <v>87</v>
      </c>
      <c r="BK3" s="880" t="s">
        <v>350</v>
      </c>
      <c r="BL3" s="880" t="s">
        <v>88</v>
      </c>
      <c r="BM3" s="880" t="s">
        <v>351</v>
      </c>
      <c r="BN3" s="880" t="s">
        <v>352</v>
      </c>
      <c r="BO3" s="880" t="s">
        <v>353</v>
      </c>
      <c r="BP3" s="880" t="s">
        <v>354</v>
      </c>
      <c r="BQ3" s="880" t="s">
        <v>102</v>
      </c>
      <c r="BR3" s="884" t="s">
        <v>87</v>
      </c>
      <c r="BS3" s="884" t="s">
        <v>350</v>
      </c>
      <c r="BT3" s="884" t="s">
        <v>88</v>
      </c>
      <c r="BU3" s="884" t="s">
        <v>351</v>
      </c>
      <c r="BV3" s="884" t="s">
        <v>352</v>
      </c>
      <c r="BW3" s="884" t="s">
        <v>353</v>
      </c>
      <c r="BX3" s="884" t="s">
        <v>354</v>
      </c>
      <c r="BY3" s="884" t="s">
        <v>102</v>
      </c>
      <c r="BZ3" s="884" t="s">
        <v>87</v>
      </c>
      <c r="CA3" s="884" t="s">
        <v>350</v>
      </c>
      <c r="CB3" s="884" t="s">
        <v>88</v>
      </c>
      <c r="CC3" s="884" t="s">
        <v>351</v>
      </c>
      <c r="CD3" s="884" t="s">
        <v>352</v>
      </c>
      <c r="CE3" s="884" t="s">
        <v>353</v>
      </c>
      <c r="CF3" s="884" t="s">
        <v>354</v>
      </c>
      <c r="CG3" s="884" t="s">
        <v>102</v>
      </c>
      <c r="CH3" s="883" t="s">
        <v>87</v>
      </c>
      <c r="CI3" s="883" t="s">
        <v>350</v>
      </c>
      <c r="CJ3" s="883" t="s">
        <v>88</v>
      </c>
      <c r="CK3" s="883" t="s">
        <v>351</v>
      </c>
      <c r="CL3" s="883" t="s">
        <v>352</v>
      </c>
      <c r="CM3" s="883" t="s">
        <v>353</v>
      </c>
      <c r="CN3" s="883" t="s">
        <v>354</v>
      </c>
      <c r="CO3" s="883" t="s">
        <v>102</v>
      </c>
      <c r="CP3" s="883" t="s">
        <v>87</v>
      </c>
      <c r="CQ3" s="883" t="s">
        <v>350</v>
      </c>
      <c r="CR3" s="883" t="s">
        <v>88</v>
      </c>
      <c r="CS3" s="883" t="s">
        <v>351</v>
      </c>
      <c r="CT3" s="883" t="s">
        <v>352</v>
      </c>
      <c r="CU3" s="883" t="s">
        <v>353</v>
      </c>
      <c r="CV3" s="883" t="s">
        <v>354</v>
      </c>
      <c r="CW3" s="883" t="s">
        <v>102</v>
      </c>
      <c r="CX3" s="885" t="s">
        <v>87</v>
      </c>
      <c r="CY3" s="885" t="s">
        <v>350</v>
      </c>
      <c r="CZ3" s="885" t="s">
        <v>88</v>
      </c>
      <c r="DA3" s="885" t="s">
        <v>351</v>
      </c>
      <c r="DB3" s="885" t="s">
        <v>352</v>
      </c>
      <c r="DC3" s="885" t="s">
        <v>353</v>
      </c>
      <c r="DD3" s="885" t="s">
        <v>354</v>
      </c>
      <c r="DE3" s="885" t="s">
        <v>102</v>
      </c>
      <c r="DF3" s="885" t="s">
        <v>87</v>
      </c>
      <c r="DG3" s="885" t="s">
        <v>350</v>
      </c>
      <c r="DH3" s="885" t="s">
        <v>88</v>
      </c>
      <c r="DI3" s="885" t="s">
        <v>351</v>
      </c>
      <c r="DJ3" s="885" t="s">
        <v>352</v>
      </c>
      <c r="DK3" s="885" t="s">
        <v>353</v>
      </c>
      <c r="DL3" s="885" t="s">
        <v>354</v>
      </c>
      <c r="DM3" s="885" t="s">
        <v>102</v>
      </c>
      <c r="DN3" s="885" t="s">
        <v>87</v>
      </c>
      <c r="DO3" s="885" t="s">
        <v>350</v>
      </c>
      <c r="DP3" s="885" t="s">
        <v>88</v>
      </c>
      <c r="DQ3" s="885" t="s">
        <v>351</v>
      </c>
      <c r="DR3" s="885" t="s">
        <v>352</v>
      </c>
      <c r="DS3" s="885" t="s">
        <v>353</v>
      </c>
      <c r="DT3" s="885" t="s">
        <v>354</v>
      </c>
      <c r="DU3" s="885" t="s">
        <v>102</v>
      </c>
      <c r="DV3" s="885" t="s">
        <v>87</v>
      </c>
      <c r="DW3" s="885" t="s">
        <v>350</v>
      </c>
      <c r="DX3" s="885" t="s">
        <v>88</v>
      </c>
      <c r="DY3" s="885" t="s">
        <v>351</v>
      </c>
      <c r="DZ3" s="885" t="s">
        <v>352</v>
      </c>
      <c r="EA3" s="885" t="s">
        <v>353</v>
      </c>
      <c r="EB3" s="885" t="s">
        <v>354</v>
      </c>
      <c r="EC3" s="885" t="s">
        <v>102</v>
      </c>
    </row>
    <row r="4" spans="1:133">
      <c r="A4" s="879">
        <v>1</v>
      </c>
      <c r="B4" s="879">
        <f>STUDENT!F2</f>
        <v>14779</v>
      </c>
      <c r="C4" s="879">
        <f>STUDENT!D2</f>
        <v>20220171896</v>
      </c>
      <c r="D4" s="886" t="str">
        <f>STUDENT!E2</f>
        <v>NAKSH</v>
      </c>
      <c r="E4" s="886" t="str">
        <f>STUDENT!H2</f>
        <v>NARESH</v>
      </c>
      <c r="F4" s="887"/>
      <c r="G4" s="887"/>
      <c r="H4" s="887"/>
      <c r="I4" s="887"/>
      <c r="J4" s="887"/>
      <c r="K4" s="887"/>
      <c r="L4" s="887"/>
      <c r="M4" s="888">
        <f t="shared" ref="M4:M68" si="0">SUM(F4:L4)</f>
        <v>0</v>
      </c>
      <c r="N4" s="887"/>
      <c r="O4" s="887"/>
      <c r="P4" s="887"/>
      <c r="Q4" s="887"/>
      <c r="R4" s="887"/>
      <c r="S4" s="887"/>
      <c r="T4" s="887"/>
      <c r="U4" s="889">
        <f>SUM(N4:T4)</f>
        <v>0</v>
      </c>
      <c r="V4" s="887"/>
      <c r="W4" s="887"/>
      <c r="X4" s="887"/>
      <c r="Y4" s="887"/>
      <c r="Z4" s="887"/>
      <c r="AA4" s="887"/>
      <c r="AB4" s="887"/>
      <c r="AC4" s="890">
        <f>SUM(V4:AB4)</f>
        <v>0</v>
      </c>
      <c r="AD4" s="887">
        <v>27</v>
      </c>
      <c r="AE4" s="887">
        <v>19</v>
      </c>
      <c r="AF4" s="887">
        <v>21</v>
      </c>
      <c r="AG4" s="887">
        <v>23</v>
      </c>
      <c r="AH4" s="887">
        <v>21</v>
      </c>
      <c r="AI4" s="887">
        <v>27</v>
      </c>
      <c r="AJ4" s="887"/>
      <c r="AK4" s="888">
        <f t="shared" ref="AK4:AK68" si="1">IF(B4&gt;0,SUM(AD4:AJ4),"")</f>
        <v>138</v>
      </c>
      <c r="AL4" s="887"/>
      <c r="AM4" s="887"/>
      <c r="AN4" s="887"/>
      <c r="AO4" s="887"/>
      <c r="AP4" s="887"/>
      <c r="AQ4" s="887"/>
      <c r="AR4" s="887"/>
      <c r="AS4" s="891">
        <f>SUM(AL4:AR4)</f>
        <v>0</v>
      </c>
      <c r="AT4" s="887"/>
      <c r="AU4" s="887"/>
      <c r="AV4" s="887"/>
      <c r="AW4" s="887"/>
      <c r="AX4" s="887"/>
      <c r="AY4" s="887"/>
      <c r="AZ4" s="887"/>
      <c r="BA4" s="889">
        <f>SUM(AT4:AZ4)</f>
        <v>0</v>
      </c>
      <c r="BB4" s="887"/>
      <c r="BC4" s="887"/>
      <c r="BD4" s="887"/>
      <c r="BE4" s="887"/>
      <c r="BF4" s="887"/>
      <c r="BG4" s="887"/>
      <c r="BH4" s="887"/>
      <c r="BI4" s="890">
        <f>SUM(BB4:BH4)</f>
        <v>0</v>
      </c>
      <c r="BJ4" s="887">
        <v>23</v>
      </c>
      <c r="BK4" s="887"/>
      <c r="BL4" s="887"/>
      <c r="BM4" s="887"/>
      <c r="BN4" s="887"/>
      <c r="BO4" s="887"/>
      <c r="BP4" s="887"/>
      <c r="BQ4" s="888">
        <f>IF(B4&gt;0,SUM(BJ4:BP4),"")</f>
        <v>23</v>
      </c>
      <c r="BR4" s="892" t="str">
        <f>IF(AD4="","",IF(AD4="Ab","Ab",IF(AD4="DAB","DAB",IF(AD4&gt;24,"A",IF(AD4&gt;18,"B",IF(AD4&gt;12,"C",IF(AD4&gt;9,"D",IF(AD4&gt;0,"E",0))))))))</f>
        <v>A</v>
      </c>
      <c r="BS4" s="892" t="str">
        <f t="shared" ref="BS4:BX4" si="2">IF(AE4="","",IF(AE4="Ab","Ab",IF(AE4="DAB","DAB",IF(AE4&gt;24,"A",IF(AE4&gt;18,"B",IF(AE4&gt;12,"C",IF(AE4&gt;9,"D",IF(AE4&gt;0,"E",0))))))))</f>
        <v>B</v>
      </c>
      <c r="BT4" s="892" t="str">
        <f t="shared" si="2"/>
        <v>B</v>
      </c>
      <c r="BU4" s="892" t="str">
        <f t="shared" si="2"/>
        <v>B</v>
      </c>
      <c r="BV4" s="892" t="str">
        <f t="shared" si="2"/>
        <v>B</v>
      </c>
      <c r="BW4" s="892" t="str">
        <f t="shared" si="2"/>
        <v>A</v>
      </c>
      <c r="BX4" s="892" t="str">
        <f t="shared" si="2"/>
        <v/>
      </c>
      <c r="BY4" s="892" t="str">
        <f>IF(AK4="","",IF(AK4=0,"Ab",IF(AK4="Ab","Ab",IF(AK4="DAB","DAB",IF(AK4&gt;=144,"A",IF(AK4&gt;=108,"B",IF(AK4&gt;=79,"C",IF(AK4&gt;=59,"D",IF(AK4&gt;0,"E","")))))))))</f>
        <v>B</v>
      </c>
      <c r="BZ4" s="892" t="str">
        <f>IF(BJ4="","",IF(BJ4="Ab","Ab",IF(BJ4="DAB","DAB",IF(BJ4&gt;24,"A",IF(BJ4&gt;318,"B",IF(BJ4&gt;12,"C",IF(BJ4&gt;9,"D",IF(BJ4&gt;0,"E",0))))))))</f>
        <v>C</v>
      </c>
      <c r="CA4" s="892" t="str">
        <f t="shared" ref="CA4:CF4" si="3">IF(BK4="","",IF(BK4="Ab","Ab",IF(BK4="DAB","DAB",IF(BK4&gt;24,"A",IF(BK4&gt;318,"B",IF(BK4&gt;12,"C",IF(BK4&gt;9,"D",IF(BK4&gt;0,"E",0))))))))</f>
        <v/>
      </c>
      <c r="CB4" s="892" t="str">
        <f t="shared" si="3"/>
        <v/>
      </c>
      <c r="CC4" s="892" t="str">
        <f t="shared" si="3"/>
        <v/>
      </c>
      <c r="CD4" s="892" t="str">
        <f t="shared" si="3"/>
        <v/>
      </c>
      <c r="CE4" s="892" t="str">
        <f t="shared" si="3"/>
        <v/>
      </c>
      <c r="CF4" s="892" t="str">
        <f t="shared" si="3"/>
        <v/>
      </c>
      <c r="CG4" s="892" t="str">
        <f>IF(BQ4="","",IF(BQ4=0,"Ab",IF(BQ4="Ab","Ab",IF(BQ4="DAB","DAB",IF(BQ4&gt;=144,"A",IF(BQ4&gt;=108,"B",IF(BQ4&gt;=79,"C",IF(BQ4&gt;=59,"D",IF(BQ4&gt;0,"E","")))))))))</f>
        <v>E</v>
      </c>
      <c r="CH4" s="891">
        <f>IFERROR(IF($B4&gt;0,PASHEET!AL4+PASHEET!AT4+MARKS!F4+MARKS!N4+MARKS!V4+MARKS!AD4+MARKS!AL4+MARKS!AT4+MARKS!BB4+MARKS!BJ4,""),"Ab")</f>
        <v>51</v>
      </c>
      <c r="CI4" s="891">
        <f>IFERROR(IF($B4&gt;0,PASHEET!AM4+PASHEET!AU4+MARKS!G4+MARKS!O4+MARKS!W4+MARKS!AE4+MARKS!AM4+MARKS!AU4+MARKS!BC4+MARKS!BK4,""),"Ab")</f>
        <v>20</v>
      </c>
      <c r="CJ4" s="891">
        <f>IFERROR(IF($B4&gt;0,PASHEET!AN4+PASHEET!AV4+MARKS!H4+MARKS!P4+MARKS!X4+MARKS!AF4+MARKS!AN4+MARKS!AV4+MARKS!BD4+MARKS!BL4,""),"Ab")</f>
        <v>22</v>
      </c>
      <c r="CK4" s="891">
        <f>IFERROR(IF($B4&gt;0,PASHEET!AO4+PASHEET!AW4+MARKS!I4+MARKS!Q4+MARKS!Y4+MARKS!AG4+MARKS!AO4+MARKS!AW4+MARKS!BE4+MARKS!BM4,""),"Ab")</f>
        <v>25</v>
      </c>
      <c r="CL4" s="891">
        <f>IFERROR(IF($B4&gt;0,PASHEET!AP4+PASHEET!AX4+MARKS!J4+MARKS!R4+MARKS!Z4+MARKS!AH4+MARKS!AP4+MARKS!AX4+MARKS!BF4+MARKS!BN4,""),"Ab")</f>
        <v>21</v>
      </c>
      <c r="CM4" s="891">
        <f>IFERROR(IF($B4&gt;0,PASHEET!AQ4+PASHEET!AY4+MARKS!K4+MARKS!S4+MARKS!AA4+MARKS!AI4+MARKS!AQ4+MARKS!AY4+MARKS!BG4+MARKS!BO4,""),"Ab")</f>
        <v>29</v>
      </c>
      <c r="CN4" s="891">
        <f>IFERROR(IF($B4&gt;0,PASHEET!AR4+PASHEET!AZ4+MARKS!L4+MARKS!T4+MARKS!AB4+MARKS!AJ4+MARKS!AR4+MARKS!AZ4+MARKS!BH4+MARKS!BP4,""),"Ab")</f>
        <v>0</v>
      </c>
      <c r="CO4" s="891">
        <f>IFERROR(IF($B4&gt;0,SUM(CH4:CN4),""),"Ab")</f>
        <v>168</v>
      </c>
      <c r="CP4" s="893" t="str">
        <f>IF(CH4="","",IF(CH4="Ab","Ab",IF(CH4="DAB","DAB",IF(CH4&gt;80,"A",IF(CH4&gt;60,"B",IF(CH4&gt;44,"C",IF(CH4&gt;33,"D",IF(CH4&gt;0,"E",0))))))))</f>
        <v>C</v>
      </c>
      <c r="CQ4" s="893" t="str">
        <f t="shared" ref="CQ4:CV4" si="4">IF(CI4="","",IF(CI4="Ab","Ab",IF(CI4="DAB","DAB",IF(CI4&gt;80,"A",IF(CI4&gt;60,"B",IF(CI4&gt;44,"C",IF(CI4&gt;33,"D",IF(CI4&gt;0,"E",0))))))))</f>
        <v>E</v>
      </c>
      <c r="CR4" s="893" t="str">
        <f t="shared" si="4"/>
        <v>E</v>
      </c>
      <c r="CS4" s="893" t="str">
        <f t="shared" si="4"/>
        <v>E</v>
      </c>
      <c r="CT4" s="893" t="str">
        <f t="shared" si="4"/>
        <v>E</v>
      </c>
      <c r="CU4" s="893" t="str">
        <f t="shared" si="4"/>
        <v>E</v>
      </c>
      <c r="CV4" s="893">
        <f t="shared" si="4"/>
        <v>0</v>
      </c>
      <c r="CW4" s="893" t="str">
        <f>IF(CO4="","",IF(CO4=0,"Ab",IF(CO4="Ab","Ab",IF(CO4="DAB","DAB",IF(CO4&gt;=480,"A",IF(CO4&gt;=360,"B",IF(CO4&gt;=264,"C",IF(CO4&gt;=192,"D",IF(CO4&gt;0,"E","")))))))))</f>
        <v>E</v>
      </c>
      <c r="CX4" s="894">
        <f>IFERROR(IF($B4&gt;0,PASHEET!AL4+MARKS!F4+MARKS!N4+MARKS!V4+MARKS!AD4,""),"Ab")</f>
        <v>28</v>
      </c>
      <c r="CY4" s="894">
        <f>IFERROR(IF($B4&gt;0,PASHEET!AM4+MARKS!G4+MARKS!O4+MARKS!W4+MARKS!AE4,""),"Ab")</f>
        <v>20</v>
      </c>
      <c r="CZ4" s="894">
        <f>IFERROR(IF($B4&gt;0,PASHEET!AN4+MARKS!H4+MARKS!P4+MARKS!X4+MARKS!AF4,""),"Ab")</f>
        <v>22</v>
      </c>
      <c r="DA4" s="894">
        <f>IFERROR(IF($B4&gt;0,PASHEET!AO4+MARKS!I4+MARKS!Q4+MARKS!Y4+MARKS!AG4,""),"Ab")</f>
        <v>25</v>
      </c>
      <c r="DB4" s="894">
        <f>IFERROR(IF($B4&gt;0,PASHEET!AP4+MARKS!J4+MARKS!R4+MARKS!Z4+MARKS!AH4,""),"Ab")</f>
        <v>21</v>
      </c>
      <c r="DC4" s="894">
        <f>IFERROR(IF($B4&gt;0,PASHEET!AQ4+MARKS!K4+MARKS!S4+MARKS!AA4+MARKS!AI4,""),"Ab")</f>
        <v>29</v>
      </c>
      <c r="DD4" s="894">
        <f>IFERROR(IF($B4&gt;0,PASHEET!AR4+MARKS!L4+MARKS!T4+MARKS!AB4+MARKS!AJ4,""),"Ab")</f>
        <v>0</v>
      </c>
      <c r="DE4" s="879">
        <f>IFERROR(IF($B4&gt;0,SUM(CX4:DD4),""),"Ab")</f>
        <v>145</v>
      </c>
      <c r="DF4" s="894" t="str">
        <f>IF(CX4="","",IF(CX4="Ab","Ab",IF(CX4="DAB","DAB",IF(CX4&gt;40,"A",IF(CX4&gt;30,"B",IF(CX4&gt;22,"C",IF(CX4&gt;15,"D",IF(CX4&gt;0,"E",0))))))))</f>
        <v>C</v>
      </c>
      <c r="DG4" s="894" t="str">
        <f t="shared" ref="DG4:DL4" si="5">IF(CY4="","",IF(CY4="Ab","Ab",IF(CY4="DAB","DAB",IF(CY4&gt;40,"A",IF(CY4&gt;30,"B",IF(CY4&gt;22,"C",IF(CY4&gt;15,"D",IF(CY4&gt;0,"E",0))))))))</f>
        <v>D</v>
      </c>
      <c r="DH4" s="894" t="str">
        <f t="shared" si="5"/>
        <v>D</v>
      </c>
      <c r="DI4" s="894" t="str">
        <f t="shared" si="5"/>
        <v>C</v>
      </c>
      <c r="DJ4" s="894" t="str">
        <f t="shared" si="5"/>
        <v>D</v>
      </c>
      <c r="DK4" s="894" t="str">
        <f t="shared" si="5"/>
        <v>C</v>
      </c>
      <c r="DL4" s="894">
        <f t="shared" si="5"/>
        <v>0</v>
      </c>
      <c r="DM4" s="894" t="str">
        <f>IF(DE4="","",IF(DE4=0,"Ab",IF(DE4="Ab","Ab",IF(DE4="DAB","DAB",IF(DE4&gt;=240,"A",IF(DE4&gt;=180,"B",IF(DE4&gt;=132,"C",IF(DE4&gt;=98,"D",IF(DE4&gt;0,"E","")))))))))</f>
        <v>C</v>
      </c>
      <c r="DN4" s="894">
        <f>IFERROR(IF($B4&gt;0,PASHEET!AT4+MARKS!AL4+MARKS!AT4+MARKS!BB4+MARKS!BJ4,""),"Ab")</f>
        <v>23</v>
      </c>
      <c r="DO4" s="894">
        <f>IFERROR(IF($B4&gt;0,PASHEET!AU4+MARKS!AM4+MARKS!AU4+MARKS!BC4+MARKS!BK4,""),"Ab")</f>
        <v>0</v>
      </c>
      <c r="DP4" s="894">
        <f>IFERROR(IF($B4&gt;0,PASHEET!AV4+MARKS!AN4+MARKS!AV4+MARKS!BD4+MARKS!BL4,""),"Ab")</f>
        <v>0</v>
      </c>
      <c r="DQ4" s="894">
        <f>IFERROR(IF($B4&gt;0,PASHEET!AW4+MARKS!AO4+MARKS!AW4+MARKS!BE4+MARKS!BM4,""),"Ab")</f>
        <v>0</v>
      </c>
      <c r="DR4" s="894">
        <f>IFERROR(IF($B4&gt;0,PASHEET!AX4+MARKS!AP4+MARKS!AX4+MARKS!BF4+MARKS!BN4,""),"Ab")</f>
        <v>0</v>
      </c>
      <c r="DS4" s="894">
        <f>IFERROR(IF($B4&gt;0,PASHEET!AY4+MARKS!AQ4+MARKS!AY4+MARKS!BG4+MARKS!BO4,""),"Ab")</f>
        <v>0</v>
      </c>
      <c r="DT4" s="894">
        <f>IFERROR(IF($B4&gt;0,PASHEET!AZ4+MARKS!AR4+MARKS!AZ4+MARKS!BH4+MARKS!BP4,""),"Ab")</f>
        <v>0</v>
      </c>
      <c r="DU4" s="879">
        <f>IFERROR(IF($B4&gt;0,SUM(DN4:DT4),""),"Ab")</f>
        <v>23</v>
      </c>
      <c r="DV4" s="894" t="str">
        <f>IF(DN4="","",IF(DN4="Ab","Ab",IF(DN4="DAB","DAB",IF(DN4&gt;40,"A",IF(DN4&gt;30,"B",IF(DN4&gt;22,"C",IF(DN4&gt;15,"D",IF(DN4&gt;0,"E",0))))))))</f>
        <v>C</v>
      </c>
      <c r="DW4" s="894">
        <f t="shared" ref="DW4:EB4" si="6">IF(DO4="","",IF(DO4="Ab","Ab",IF(DO4="DAB","DAB",IF(DO4&gt;40,"A",IF(DO4&gt;30,"B",IF(DO4&gt;22,"C",IF(DO4&gt;15,"D",IF(DO4&gt;0,"E",0))))))))</f>
        <v>0</v>
      </c>
      <c r="DX4" s="894">
        <f t="shared" si="6"/>
        <v>0</v>
      </c>
      <c r="DY4" s="894">
        <f t="shared" si="6"/>
        <v>0</v>
      </c>
      <c r="DZ4" s="894">
        <f t="shared" si="6"/>
        <v>0</v>
      </c>
      <c r="EA4" s="894">
        <f t="shared" si="6"/>
        <v>0</v>
      </c>
      <c r="EB4" s="894">
        <f t="shared" si="6"/>
        <v>0</v>
      </c>
      <c r="EC4" s="894" t="str">
        <f>IF(DU4="","",IF(DU4=0,"Ab",IF(DU4="Ab","Ab",IF(DU4="DAB","DAB",IF(DU4&gt;=240,"A",IF(DU4&gt;=180,"B",IF(DU4&gt;=132,"C",IF(DU4&gt;=98,"D",IF(DU4&gt;0,"E","")))))))))</f>
        <v>E</v>
      </c>
    </row>
    <row r="5" spans="1:133">
      <c r="A5" s="879">
        <v>2</v>
      </c>
      <c r="B5" s="879">
        <f>STUDENT!F3</f>
        <v>14733</v>
      </c>
      <c r="C5" s="879">
        <f>STUDENT!D3</f>
        <v>20220354217</v>
      </c>
      <c r="D5" s="886" t="str">
        <f>STUDENT!E3</f>
        <v>NAVEEN</v>
      </c>
      <c r="E5" s="886" t="str">
        <f>STUDENT!H3</f>
        <v>SANJAY</v>
      </c>
      <c r="F5" s="887"/>
      <c r="G5" s="887"/>
      <c r="H5" s="887"/>
      <c r="I5" s="887"/>
      <c r="J5" s="887"/>
      <c r="K5" s="887"/>
      <c r="L5" s="887"/>
      <c r="M5" s="888">
        <f t="shared" si="0"/>
        <v>0</v>
      </c>
      <c r="N5" s="887"/>
      <c r="O5" s="887"/>
      <c r="P5" s="887"/>
      <c r="Q5" s="887"/>
      <c r="R5" s="887"/>
      <c r="S5" s="887"/>
      <c r="T5" s="887"/>
      <c r="U5" s="889">
        <f t="shared" ref="U5:U68" si="7">SUM(N5:T5)</f>
        <v>0</v>
      </c>
      <c r="V5" s="887"/>
      <c r="W5" s="887"/>
      <c r="X5" s="887"/>
      <c r="Y5" s="887"/>
      <c r="Z5" s="887"/>
      <c r="AA5" s="887"/>
      <c r="AB5" s="887"/>
      <c r="AC5" s="890">
        <f t="shared" ref="AC5:AC68" si="8">SUM(V5:AB5)</f>
        <v>0</v>
      </c>
      <c r="AD5" s="887">
        <v>12</v>
      </c>
      <c r="AE5" s="887">
        <v>11</v>
      </c>
      <c r="AF5" s="887">
        <v>13</v>
      </c>
      <c r="AG5" s="887">
        <v>13</v>
      </c>
      <c r="AH5" s="887">
        <v>15</v>
      </c>
      <c r="AI5" s="887">
        <v>25</v>
      </c>
      <c r="AJ5" s="887"/>
      <c r="AK5" s="888">
        <f t="shared" si="1"/>
        <v>89</v>
      </c>
      <c r="AL5" s="887"/>
      <c r="AM5" s="887"/>
      <c r="AN5" s="887"/>
      <c r="AO5" s="887"/>
      <c r="AP5" s="887"/>
      <c r="AQ5" s="887"/>
      <c r="AR5" s="887"/>
      <c r="AS5" s="891">
        <f t="shared" ref="AS5:AS68" si="9">SUM(AL5:AR5)</f>
        <v>0</v>
      </c>
      <c r="AT5" s="887"/>
      <c r="AU5" s="887"/>
      <c r="AV5" s="887"/>
      <c r="AW5" s="887"/>
      <c r="AX5" s="887"/>
      <c r="AY5" s="887"/>
      <c r="AZ5" s="887"/>
      <c r="BA5" s="889">
        <f t="shared" ref="BA5:BA68" si="10">SUM(AT5:AZ5)</f>
        <v>0</v>
      </c>
      <c r="BB5" s="887"/>
      <c r="BC5" s="887"/>
      <c r="BD5" s="887"/>
      <c r="BE5" s="887"/>
      <c r="BF5" s="887"/>
      <c r="BG5" s="887"/>
      <c r="BH5" s="887"/>
      <c r="BI5" s="890">
        <f t="shared" ref="BI5:BI68" si="11">SUM(BB5:BH5)</f>
        <v>0</v>
      </c>
      <c r="BJ5" s="887">
        <v>15</v>
      </c>
      <c r="BK5" s="887"/>
      <c r="BL5" s="887"/>
      <c r="BM5" s="887"/>
      <c r="BN5" s="887"/>
      <c r="BO5" s="887"/>
      <c r="BP5" s="887"/>
      <c r="BQ5" s="888">
        <f t="shared" ref="BQ5:BQ68" si="12">IF(B5&gt;0,SUM(BJ5:BP5),"")</f>
        <v>15</v>
      </c>
      <c r="BR5" s="892" t="str">
        <f t="shared" ref="BR5:BR68" si="13">IF(AD5="","",IF(AD5="Ab","Ab",IF(AD5="DAB","DAB",IF(AD5&gt;24,"A",IF(AD5&gt;18,"B",IF(AD5&gt;12,"C",IF(AD5&gt;9,"D",IF(AD5&gt;0,"E",0))))))))</f>
        <v>D</v>
      </c>
      <c r="BS5" s="892" t="str">
        <f t="shared" ref="BS5:BS68" si="14">IF(AE5="","",IF(AE5="Ab","Ab",IF(AE5="DAB","DAB",IF(AE5&gt;24,"A",IF(AE5&gt;18,"B",IF(AE5&gt;12,"C",IF(AE5&gt;9,"D",IF(AE5&gt;0,"E",0))))))))</f>
        <v>D</v>
      </c>
      <c r="BT5" s="892" t="str">
        <f t="shared" ref="BT5:BT68" si="15">IF(AF5="","",IF(AF5="Ab","Ab",IF(AF5="DAB","DAB",IF(AF5&gt;24,"A",IF(AF5&gt;18,"B",IF(AF5&gt;12,"C",IF(AF5&gt;9,"D",IF(AF5&gt;0,"E",0))))))))</f>
        <v>C</v>
      </c>
      <c r="BU5" s="892" t="str">
        <f t="shared" ref="BU5:BU68" si="16">IF(AG5="","",IF(AG5="Ab","Ab",IF(AG5="DAB","DAB",IF(AG5&gt;24,"A",IF(AG5&gt;18,"B",IF(AG5&gt;12,"C",IF(AG5&gt;9,"D",IF(AG5&gt;0,"E",0))))))))</f>
        <v>C</v>
      </c>
      <c r="BV5" s="892" t="str">
        <f t="shared" ref="BV5:BV68" si="17">IF(AH5="","",IF(AH5="Ab","Ab",IF(AH5="DAB","DAB",IF(AH5&gt;24,"A",IF(AH5&gt;18,"B",IF(AH5&gt;12,"C",IF(AH5&gt;9,"D",IF(AH5&gt;0,"E",0))))))))</f>
        <v>C</v>
      </c>
      <c r="BW5" s="892" t="str">
        <f t="shared" ref="BW5:BW68" si="18">IF(AI5="","",IF(AI5="Ab","Ab",IF(AI5="DAB","DAB",IF(AI5&gt;24,"A",IF(AI5&gt;18,"B",IF(AI5&gt;12,"C",IF(AI5&gt;9,"D",IF(AI5&gt;0,"E",0))))))))</f>
        <v>A</v>
      </c>
      <c r="BX5" s="892" t="str">
        <f t="shared" ref="BX5:BX68" si="19">IF(AJ5="","",IF(AJ5="Ab","Ab",IF(AJ5="DAB","DAB",IF(AJ5&gt;24,"A",IF(AJ5&gt;18,"B",IF(AJ5&gt;12,"C",IF(AJ5&gt;9,"D",IF(AJ5&gt;0,"E",0))))))))</f>
        <v/>
      </c>
      <c r="BY5" s="892" t="str">
        <f t="shared" ref="BY5:BY68" si="20">IF(AK5="","",IF(AK5=0,"Ab",IF(AK5="Ab","Ab",IF(AK5="DAB","DAB",IF(AK5&gt;=144,"A",IF(AK5&gt;=108,"B",IF(AK5&gt;=79,"C",IF(AK5&gt;=59,"D",IF(AK5&gt;0,"E","")))))))))</f>
        <v>C</v>
      </c>
      <c r="BZ5" s="892" t="str">
        <f t="shared" ref="BZ5:BZ68" si="21">IF(BJ5="","",IF(BJ5="Ab","Ab",IF(BJ5="DAB","DAB",IF(BJ5&gt;24,"A",IF(BJ5&gt;318,"B",IF(BJ5&gt;12,"C",IF(BJ5&gt;9,"D",IF(BJ5&gt;0,"E",0))))))))</f>
        <v>C</v>
      </c>
      <c r="CA5" s="892" t="str">
        <f t="shared" ref="CA5:CA68" si="22">IF(BK5="","",IF(BK5="Ab","Ab",IF(BK5="DAB","DAB",IF(BK5&gt;24,"A",IF(BK5&gt;318,"B",IF(BK5&gt;12,"C",IF(BK5&gt;9,"D",IF(BK5&gt;0,"E",0))))))))</f>
        <v/>
      </c>
      <c r="CB5" s="892" t="str">
        <f t="shared" ref="CB5:CB68" si="23">IF(BL5="","",IF(BL5="Ab","Ab",IF(BL5="DAB","DAB",IF(BL5&gt;24,"A",IF(BL5&gt;318,"B",IF(BL5&gt;12,"C",IF(BL5&gt;9,"D",IF(BL5&gt;0,"E",0))))))))</f>
        <v/>
      </c>
      <c r="CC5" s="892" t="str">
        <f t="shared" ref="CC5:CC68" si="24">IF(BM5="","",IF(BM5="Ab","Ab",IF(BM5="DAB","DAB",IF(BM5&gt;24,"A",IF(BM5&gt;318,"B",IF(BM5&gt;12,"C",IF(BM5&gt;9,"D",IF(BM5&gt;0,"E",0))))))))</f>
        <v/>
      </c>
      <c r="CD5" s="892" t="str">
        <f t="shared" ref="CD5:CD68" si="25">IF(BN5="","",IF(BN5="Ab","Ab",IF(BN5="DAB","DAB",IF(BN5&gt;24,"A",IF(BN5&gt;318,"B",IF(BN5&gt;12,"C",IF(BN5&gt;9,"D",IF(BN5&gt;0,"E",0))))))))</f>
        <v/>
      </c>
      <c r="CE5" s="892" t="str">
        <f t="shared" ref="CE5:CE68" si="26">IF(BO5="","",IF(BO5="Ab","Ab",IF(BO5="DAB","DAB",IF(BO5&gt;24,"A",IF(BO5&gt;318,"B",IF(BO5&gt;12,"C",IF(BO5&gt;9,"D",IF(BO5&gt;0,"E",0))))))))</f>
        <v/>
      </c>
      <c r="CF5" s="892" t="str">
        <f t="shared" ref="CF5:CF68" si="27">IF(BP5="","",IF(BP5="Ab","Ab",IF(BP5="DAB","DAB",IF(BP5&gt;24,"A",IF(BP5&gt;318,"B",IF(BP5&gt;12,"C",IF(BP5&gt;9,"D",IF(BP5&gt;0,"E",0))))))))</f>
        <v/>
      </c>
      <c r="CG5" s="892" t="str">
        <f t="shared" ref="CG5:CG68" si="28">IF(BQ5="","",IF(BQ5=0,"Ab",IF(BQ5="Ab","Ab",IF(BQ5="DAB","DAB",IF(BQ5&gt;=144,"A",IF(BQ5&gt;=108,"B",IF(BQ5&gt;=79,"C",IF(BQ5&gt;=59,"D",IF(BQ5&gt;0,"E","")))))))))</f>
        <v>E</v>
      </c>
      <c r="CH5" s="891">
        <f>IFERROR(IF($B5&gt;0,PASHEET!AL5+PASHEET!AT5+MARKS!F5+MARKS!N5+MARKS!V5+MARKS!AD5+MARKS!AL5+MARKS!AT5+MARKS!BB5+MARKS!BJ5,""),"Ab")</f>
        <v>28</v>
      </c>
      <c r="CI5" s="891">
        <f>IFERROR(IF($B5&gt;0,PASHEET!AM5+PASHEET!AU5+MARKS!G5+MARKS!O5+MARKS!W5+MARKS!AE5+MARKS!AM5+MARKS!AU5+MARKS!BC5+MARKS!BK5,""),"Ab")</f>
        <v>12</v>
      </c>
      <c r="CJ5" s="891">
        <f>IFERROR(IF($B5&gt;0,PASHEET!AN5+PASHEET!AV5+MARKS!H5+MARKS!P5+MARKS!X5+MARKS!AF5+MARKS!AN5+MARKS!AV5+MARKS!BD5+MARKS!BL5,""),"Ab")</f>
        <v>14</v>
      </c>
      <c r="CK5" s="891">
        <f>IFERROR(IF($B5&gt;0,PASHEET!AO5+PASHEET!AW5+MARKS!I5+MARKS!Q5+MARKS!Y5+MARKS!AG5+MARKS!AO5+MARKS!AW5+MARKS!BE5+MARKS!BM5,""),"Ab")</f>
        <v>15</v>
      </c>
      <c r="CL5" s="891">
        <f>IFERROR(IF($B5&gt;0,PASHEET!AP5+PASHEET!AX5+MARKS!J5+MARKS!R5+MARKS!Z5+MARKS!AH5+MARKS!AP5+MARKS!AX5+MARKS!BF5+MARKS!BN5,""),"Ab")</f>
        <v>15</v>
      </c>
      <c r="CM5" s="891">
        <f>IFERROR(IF($B5&gt;0,PASHEET!AQ5+PASHEET!AY5+MARKS!K5+MARKS!S5+MARKS!AA5+MARKS!AI5+MARKS!AQ5+MARKS!AY5+MARKS!BG5+MARKS!BO5,""),"Ab")</f>
        <v>27</v>
      </c>
      <c r="CN5" s="891">
        <f>IFERROR(IF($B5&gt;0,PASHEET!AR5+PASHEET!AZ5+MARKS!L5+MARKS!T5+MARKS!AB5+MARKS!AJ5+MARKS!AR5+MARKS!AZ5+MARKS!BH5+MARKS!BP5,""),"Ab")</f>
        <v>0</v>
      </c>
      <c r="CO5" s="891">
        <f t="shared" ref="CO5:CO68" si="29">IFERROR(IF($B5&gt;0,SUM(CH5:CN5),""),"Ab")</f>
        <v>111</v>
      </c>
      <c r="CP5" s="893" t="str">
        <f t="shared" ref="CP5:CP68" si="30">IF(CH5="","",IF(CH5="Ab","Ab",IF(CH5="DAB","DAB",IF(CH5&gt;80,"A",IF(CH5&gt;60,"B",IF(CH5&gt;44,"C",IF(CH5&gt;33,"D",IF(CH5&gt;0,"E",0))))))))</f>
        <v>E</v>
      </c>
      <c r="CQ5" s="893" t="str">
        <f t="shared" ref="CQ5:CQ68" si="31">IF(CI5="","",IF(CI5="Ab","Ab",IF(CI5="DAB","DAB",IF(CI5&gt;80,"A",IF(CI5&gt;60,"B",IF(CI5&gt;44,"C",IF(CI5&gt;33,"D",IF(CI5&gt;0,"E",0))))))))</f>
        <v>E</v>
      </c>
      <c r="CR5" s="893" t="str">
        <f t="shared" ref="CR5:CR68" si="32">IF(CJ5="","",IF(CJ5="Ab","Ab",IF(CJ5="DAB","DAB",IF(CJ5&gt;80,"A",IF(CJ5&gt;60,"B",IF(CJ5&gt;44,"C",IF(CJ5&gt;33,"D",IF(CJ5&gt;0,"E",0))))))))</f>
        <v>E</v>
      </c>
      <c r="CS5" s="893" t="str">
        <f t="shared" ref="CS5:CS68" si="33">IF(CK5="","",IF(CK5="Ab","Ab",IF(CK5="DAB","DAB",IF(CK5&gt;80,"A",IF(CK5&gt;60,"B",IF(CK5&gt;44,"C",IF(CK5&gt;33,"D",IF(CK5&gt;0,"E",0))))))))</f>
        <v>E</v>
      </c>
      <c r="CT5" s="893" t="str">
        <f t="shared" ref="CT5:CT68" si="34">IF(CL5="","",IF(CL5="Ab","Ab",IF(CL5="DAB","DAB",IF(CL5&gt;80,"A",IF(CL5&gt;60,"B",IF(CL5&gt;44,"C",IF(CL5&gt;33,"D",IF(CL5&gt;0,"E",0))))))))</f>
        <v>E</v>
      </c>
      <c r="CU5" s="893" t="str">
        <f t="shared" ref="CU5:CU68" si="35">IF(CM5="","",IF(CM5="Ab","Ab",IF(CM5="DAB","DAB",IF(CM5&gt;80,"A",IF(CM5&gt;60,"B",IF(CM5&gt;44,"C",IF(CM5&gt;33,"D",IF(CM5&gt;0,"E",0))))))))</f>
        <v>E</v>
      </c>
      <c r="CV5" s="893">
        <f t="shared" ref="CV5:CV68" si="36">IF(CN5="","",IF(CN5="Ab","Ab",IF(CN5="DAB","DAB",IF(CN5&gt;80,"A",IF(CN5&gt;60,"B",IF(CN5&gt;44,"C",IF(CN5&gt;33,"D",IF(CN5&gt;0,"E",0))))))))</f>
        <v>0</v>
      </c>
      <c r="CW5" s="893" t="str">
        <f t="shared" ref="CW5:CW68" si="37">IF(CO5="","",IF(CO5=0,"Ab",IF(CO5="Ab","Ab",IF(CO5="DAB","DAB",IF(CO5&gt;=480,"A",IF(CO5&gt;=360,"B",IF(CO5&gt;=264,"C",IF(CO5&gt;=192,"D",IF(CO5&gt;0,"E","")))))))))</f>
        <v>E</v>
      </c>
      <c r="CX5" s="894">
        <f>IFERROR(IF($B5&gt;0,PASHEET!AL5+MARKS!F5+MARKS!N5+MARKS!V5+MARKS!AD5,""),"Ab")</f>
        <v>13</v>
      </c>
      <c r="CY5" s="894">
        <f>IFERROR(IF($B5&gt;0,PASHEET!AM5+MARKS!G5+MARKS!O5+MARKS!W5+MARKS!AE5,""),"Ab")</f>
        <v>12</v>
      </c>
      <c r="CZ5" s="894">
        <f>IFERROR(IF($B5&gt;0,PASHEET!AN5+MARKS!H5+MARKS!P5+MARKS!X5+MARKS!AF5,""),"Ab")</f>
        <v>14</v>
      </c>
      <c r="DA5" s="894">
        <f>IFERROR(IF($B5&gt;0,PASHEET!AO5+MARKS!I5+MARKS!Q5+MARKS!Y5+MARKS!AG5,""),"Ab")</f>
        <v>15</v>
      </c>
      <c r="DB5" s="894">
        <f>IFERROR(IF($B5&gt;0,PASHEET!AP5+MARKS!J5+MARKS!R5+MARKS!Z5+MARKS!AH5,""),"Ab")</f>
        <v>15</v>
      </c>
      <c r="DC5" s="894">
        <f>IFERROR(IF($B5&gt;0,PASHEET!AQ5+MARKS!K5+MARKS!S5+MARKS!AA5+MARKS!AI5,""),"Ab")</f>
        <v>27</v>
      </c>
      <c r="DD5" s="894">
        <f>IFERROR(IF($B5&gt;0,PASHEET!AR5+MARKS!L5+MARKS!T5+MARKS!AB5+MARKS!AJ5,""),"Ab")</f>
        <v>0</v>
      </c>
      <c r="DE5" s="879">
        <f t="shared" ref="DE5:DE68" si="38">IFERROR(IF($B5&gt;0,SUM(CX5:DD5),""),"Ab")</f>
        <v>96</v>
      </c>
      <c r="DF5" s="894" t="str">
        <f t="shared" ref="DF5:DF68" si="39">IF(CX5="","",IF(CX5="Ab","Ab",IF(CX5="DAB","DAB",IF(CX5&gt;40,"A",IF(CX5&gt;30,"B",IF(CX5&gt;22,"C",IF(CX5&gt;15,"D",IF(CX5&gt;0,"E",0))))))))</f>
        <v>E</v>
      </c>
      <c r="DG5" s="894" t="str">
        <f t="shared" ref="DG5:DG68" si="40">IF(CY5="","",IF(CY5="Ab","Ab",IF(CY5="DAB","DAB",IF(CY5&gt;40,"A",IF(CY5&gt;30,"B",IF(CY5&gt;22,"C",IF(CY5&gt;15,"D",IF(CY5&gt;0,"E",0))))))))</f>
        <v>E</v>
      </c>
      <c r="DH5" s="894" t="str">
        <f t="shared" ref="DH5:DH68" si="41">IF(CZ5="","",IF(CZ5="Ab","Ab",IF(CZ5="DAB","DAB",IF(CZ5&gt;40,"A",IF(CZ5&gt;30,"B",IF(CZ5&gt;22,"C",IF(CZ5&gt;15,"D",IF(CZ5&gt;0,"E",0))))))))</f>
        <v>E</v>
      </c>
      <c r="DI5" s="894" t="str">
        <f t="shared" ref="DI5:DI68" si="42">IF(DA5="","",IF(DA5="Ab","Ab",IF(DA5="DAB","DAB",IF(DA5&gt;40,"A",IF(DA5&gt;30,"B",IF(DA5&gt;22,"C",IF(DA5&gt;15,"D",IF(DA5&gt;0,"E",0))))))))</f>
        <v>E</v>
      </c>
      <c r="DJ5" s="894" t="str">
        <f t="shared" ref="DJ5:DJ68" si="43">IF(DB5="","",IF(DB5="Ab","Ab",IF(DB5="DAB","DAB",IF(DB5&gt;40,"A",IF(DB5&gt;30,"B",IF(DB5&gt;22,"C",IF(DB5&gt;15,"D",IF(DB5&gt;0,"E",0))))))))</f>
        <v>E</v>
      </c>
      <c r="DK5" s="894" t="str">
        <f t="shared" ref="DK5:DK68" si="44">IF(DC5="","",IF(DC5="Ab","Ab",IF(DC5="DAB","DAB",IF(DC5&gt;40,"A",IF(DC5&gt;30,"B",IF(DC5&gt;22,"C",IF(DC5&gt;15,"D",IF(DC5&gt;0,"E",0))))))))</f>
        <v>C</v>
      </c>
      <c r="DL5" s="894">
        <f t="shared" ref="DL5:DL68" si="45">IF(DD5="","",IF(DD5="Ab","Ab",IF(DD5="DAB","DAB",IF(DD5&gt;40,"A",IF(DD5&gt;30,"B",IF(DD5&gt;22,"C",IF(DD5&gt;15,"D",IF(DD5&gt;0,"E",0))))))))</f>
        <v>0</v>
      </c>
      <c r="DM5" s="894" t="str">
        <f t="shared" ref="DM5:DM68" si="46">IF(DE5="","",IF(DE5=0,"Ab",IF(DE5="Ab","Ab",IF(DE5="DAB","DAB",IF(DE5&gt;=240,"A",IF(DE5&gt;=180,"B",IF(DE5&gt;=132,"C",IF(DE5&gt;=98,"D",IF(DE5&gt;0,"E","")))))))))</f>
        <v>E</v>
      </c>
      <c r="DN5" s="894">
        <f>IFERROR(IF($B5&gt;0,PASHEET!AT5+MARKS!AL5+MARKS!AT5+MARKS!BB5+MARKS!BJ5,""),"Ab")</f>
        <v>15</v>
      </c>
      <c r="DO5" s="894">
        <f>IFERROR(IF($B5&gt;0,PASHEET!AU5+MARKS!AM5+MARKS!AU5+MARKS!BC5+MARKS!BK5,""),"Ab")</f>
        <v>0</v>
      </c>
      <c r="DP5" s="894">
        <f>IFERROR(IF($B5&gt;0,PASHEET!AV5+MARKS!AN5+MARKS!AV5+MARKS!BD5+MARKS!BL5,""),"Ab")</f>
        <v>0</v>
      </c>
      <c r="DQ5" s="894">
        <f>IFERROR(IF($B5&gt;0,PASHEET!AW5+MARKS!AO5+MARKS!AW5+MARKS!BE5+MARKS!BM5,""),"Ab")</f>
        <v>0</v>
      </c>
      <c r="DR5" s="894">
        <f>IFERROR(IF($B5&gt;0,PASHEET!AX5+MARKS!AP5+MARKS!AX5+MARKS!BF5+MARKS!BN5,""),"Ab")</f>
        <v>0</v>
      </c>
      <c r="DS5" s="894">
        <f>IFERROR(IF($B5&gt;0,PASHEET!AY5+MARKS!AQ5+MARKS!AY5+MARKS!BG5+MARKS!BO5,""),"Ab")</f>
        <v>0</v>
      </c>
      <c r="DT5" s="894">
        <f>IFERROR(IF($B5&gt;0,PASHEET!AZ5+MARKS!AR5+MARKS!AZ5+MARKS!BH5+MARKS!BP5,""),"Ab")</f>
        <v>0</v>
      </c>
      <c r="DU5" s="879">
        <f t="shared" ref="DU5:DU68" si="47">IFERROR(IF($B5&gt;0,SUM(DN5:DT5),""),"Ab")</f>
        <v>15</v>
      </c>
      <c r="DV5" s="894" t="str">
        <f t="shared" ref="DV5:DV68" si="48">IF(DN5="","",IF(DN5="Ab","Ab",IF(DN5="DAB","DAB",IF(DN5&gt;40,"A",IF(DN5&gt;30,"B",IF(DN5&gt;22,"C",IF(DN5&gt;15,"D",IF(DN5&gt;0,"E",0))))))))</f>
        <v>E</v>
      </c>
      <c r="DW5" s="894">
        <f t="shared" ref="DW5:DW68" si="49">IF(DO5="","",IF(DO5="Ab","Ab",IF(DO5="DAB","DAB",IF(DO5&gt;40,"A",IF(DO5&gt;30,"B",IF(DO5&gt;22,"C",IF(DO5&gt;15,"D",IF(DO5&gt;0,"E",0))))))))</f>
        <v>0</v>
      </c>
      <c r="DX5" s="894">
        <f t="shared" ref="DX5:DX68" si="50">IF(DP5="","",IF(DP5="Ab","Ab",IF(DP5="DAB","DAB",IF(DP5&gt;40,"A",IF(DP5&gt;30,"B",IF(DP5&gt;22,"C",IF(DP5&gt;15,"D",IF(DP5&gt;0,"E",0))))))))</f>
        <v>0</v>
      </c>
      <c r="DY5" s="894">
        <f t="shared" ref="DY5:DY68" si="51">IF(DQ5="","",IF(DQ5="Ab","Ab",IF(DQ5="DAB","DAB",IF(DQ5&gt;40,"A",IF(DQ5&gt;30,"B",IF(DQ5&gt;22,"C",IF(DQ5&gt;15,"D",IF(DQ5&gt;0,"E",0))))))))</f>
        <v>0</v>
      </c>
      <c r="DZ5" s="894">
        <f t="shared" ref="DZ5:DZ68" si="52">IF(DR5="","",IF(DR5="Ab","Ab",IF(DR5="DAB","DAB",IF(DR5&gt;40,"A",IF(DR5&gt;30,"B",IF(DR5&gt;22,"C",IF(DR5&gt;15,"D",IF(DR5&gt;0,"E",0))))))))</f>
        <v>0</v>
      </c>
      <c r="EA5" s="894">
        <f t="shared" ref="EA5:EA68" si="53">IF(DS5="","",IF(DS5="Ab","Ab",IF(DS5="DAB","DAB",IF(DS5&gt;40,"A",IF(DS5&gt;30,"B",IF(DS5&gt;22,"C",IF(DS5&gt;15,"D",IF(DS5&gt;0,"E",0))))))))</f>
        <v>0</v>
      </c>
      <c r="EB5" s="894">
        <f t="shared" ref="EB5:EB68" si="54">IF(DT5="","",IF(DT5="Ab","Ab",IF(DT5="DAB","DAB",IF(DT5&gt;40,"A",IF(DT5&gt;30,"B",IF(DT5&gt;22,"C",IF(DT5&gt;15,"D",IF(DT5&gt;0,"E",0))))))))</f>
        <v>0</v>
      </c>
      <c r="EC5" s="894" t="str">
        <f t="shared" ref="EC5:EC68" si="55">IF(DU5="","",IF(DU5=0,"Ab",IF(DU5="Ab","Ab",IF(DU5="DAB","DAB",IF(DU5&gt;=240,"A",IF(DU5&gt;=180,"B",IF(DU5&gt;=132,"C",IF(DU5&gt;=98,"D",IF(DU5&gt;0,"E","")))))))))</f>
        <v>E</v>
      </c>
    </row>
    <row r="6" spans="1:133">
      <c r="A6" s="879">
        <v>3</v>
      </c>
      <c r="B6" s="879">
        <f>STUDENT!F4</f>
        <v>14757</v>
      </c>
      <c r="C6" s="879">
        <f>STUDENT!D4</f>
        <v>20220402586</v>
      </c>
      <c r="D6" s="886" t="str">
        <f>STUDENT!E4</f>
        <v>AADITYA KUMAR</v>
      </c>
      <c r="E6" s="886" t="str">
        <f>STUDENT!H4</f>
        <v>DHARMENDRA KUMAR</v>
      </c>
      <c r="F6" s="887"/>
      <c r="G6" s="887"/>
      <c r="H6" s="887"/>
      <c r="I6" s="887"/>
      <c r="J6" s="887"/>
      <c r="K6" s="887"/>
      <c r="L6" s="887"/>
      <c r="M6" s="888">
        <f t="shared" si="0"/>
        <v>0</v>
      </c>
      <c r="N6" s="887"/>
      <c r="O6" s="887"/>
      <c r="P6" s="887"/>
      <c r="Q6" s="887"/>
      <c r="R6" s="887"/>
      <c r="S6" s="887"/>
      <c r="T6" s="887"/>
      <c r="U6" s="889">
        <f t="shared" si="7"/>
        <v>0</v>
      </c>
      <c r="V6" s="887"/>
      <c r="W6" s="887"/>
      <c r="X6" s="887"/>
      <c r="Y6" s="887"/>
      <c r="Z6" s="887"/>
      <c r="AA6" s="887"/>
      <c r="AB6" s="887"/>
      <c r="AC6" s="890">
        <f t="shared" si="8"/>
        <v>0</v>
      </c>
      <c r="AD6" s="887">
        <v>23</v>
      </c>
      <c r="AE6" s="887">
        <v>16</v>
      </c>
      <c r="AF6" s="887">
        <v>12</v>
      </c>
      <c r="AG6" s="887">
        <v>23</v>
      </c>
      <c r="AH6" s="887">
        <v>20</v>
      </c>
      <c r="AI6" s="887">
        <v>25</v>
      </c>
      <c r="AJ6" s="887"/>
      <c r="AK6" s="888">
        <f t="shared" si="1"/>
        <v>119</v>
      </c>
      <c r="AL6" s="887"/>
      <c r="AM6" s="887"/>
      <c r="AN6" s="887"/>
      <c r="AO6" s="887"/>
      <c r="AP6" s="887"/>
      <c r="AQ6" s="887"/>
      <c r="AR6" s="887"/>
      <c r="AS6" s="891">
        <f t="shared" si="9"/>
        <v>0</v>
      </c>
      <c r="AT6" s="887"/>
      <c r="AU6" s="887"/>
      <c r="AV6" s="887"/>
      <c r="AW6" s="887"/>
      <c r="AX6" s="887"/>
      <c r="AY6" s="887"/>
      <c r="AZ6" s="887"/>
      <c r="BA6" s="889">
        <f t="shared" si="10"/>
        <v>0</v>
      </c>
      <c r="BB6" s="887"/>
      <c r="BC6" s="887"/>
      <c r="BD6" s="887"/>
      <c r="BE6" s="887"/>
      <c r="BF6" s="887"/>
      <c r="BG6" s="887"/>
      <c r="BH6" s="887"/>
      <c r="BI6" s="890">
        <f t="shared" si="11"/>
        <v>0</v>
      </c>
      <c r="BJ6" s="887">
        <v>23</v>
      </c>
      <c r="BK6" s="887"/>
      <c r="BL6" s="887"/>
      <c r="BM6" s="887"/>
      <c r="BN6" s="887"/>
      <c r="BO6" s="887"/>
      <c r="BP6" s="887"/>
      <c r="BQ6" s="888">
        <f t="shared" si="12"/>
        <v>23</v>
      </c>
      <c r="BR6" s="892" t="str">
        <f t="shared" si="13"/>
        <v>B</v>
      </c>
      <c r="BS6" s="892" t="str">
        <f t="shared" si="14"/>
        <v>C</v>
      </c>
      <c r="BT6" s="892" t="str">
        <f t="shared" si="15"/>
        <v>D</v>
      </c>
      <c r="BU6" s="892" t="str">
        <f t="shared" si="16"/>
        <v>B</v>
      </c>
      <c r="BV6" s="892" t="str">
        <f t="shared" si="17"/>
        <v>B</v>
      </c>
      <c r="BW6" s="892" t="str">
        <f t="shared" si="18"/>
        <v>A</v>
      </c>
      <c r="BX6" s="892" t="str">
        <f t="shared" si="19"/>
        <v/>
      </c>
      <c r="BY6" s="892" t="str">
        <f t="shared" si="20"/>
        <v>B</v>
      </c>
      <c r="BZ6" s="892" t="str">
        <f t="shared" si="21"/>
        <v>C</v>
      </c>
      <c r="CA6" s="892" t="str">
        <f t="shared" si="22"/>
        <v/>
      </c>
      <c r="CB6" s="892" t="str">
        <f t="shared" si="23"/>
        <v/>
      </c>
      <c r="CC6" s="892" t="str">
        <f t="shared" si="24"/>
        <v/>
      </c>
      <c r="CD6" s="892" t="str">
        <f t="shared" si="25"/>
        <v/>
      </c>
      <c r="CE6" s="892" t="str">
        <f t="shared" si="26"/>
        <v/>
      </c>
      <c r="CF6" s="892" t="str">
        <f t="shared" si="27"/>
        <v/>
      </c>
      <c r="CG6" s="892" t="str">
        <f t="shared" si="28"/>
        <v>E</v>
      </c>
      <c r="CH6" s="891">
        <f>IFERROR(IF($B6&gt;0,PASHEET!AL6+PASHEET!AT6+MARKS!F6+MARKS!N6+MARKS!V6+MARKS!AD6+MARKS!AL6+MARKS!AT6+MARKS!BB6+MARKS!BJ6,""),"Ab")</f>
        <v>48</v>
      </c>
      <c r="CI6" s="891">
        <f>IFERROR(IF($B6&gt;0,PASHEET!AM6+PASHEET!AU6+MARKS!G6+MARKS!O6+MARKS!W6+MARKS!AE6+MARKS!AM6+MARKS!AU6+MARKS!BC6+MARKS!BK6,""),"Ab")</f>
        <v>17</v>
      </c>
      <c r="CJ6" s="891">
        <f>IFERROR(IF($B6&gt;0,PASHEET!AN6+PASHEET!AV6+MARKS!H6+MARKS!P6+MARKS!X6+MARKS!AF6+MARKS!AN6+MARKS!AV6+MARKS!BD6+MARKS!BL6,""),"Ab")</f>
        <v>14</v>
      </c>
      <c r="CK6" s="891">
        <f>IFERROR(IF($B6&gt;0,PASHEET!AO6+PASHEET!AW6+MARKS!I6+MARKS!Q6+MARKS!Y6+MARKS!AG6+MARKS!AO6+MARKS!AW6+MARKS!BE6+MARKS!BM6,""),"Ab")</f>
        <v>24</v>
      </c>
      <c r="CL6" s="891">
        <f>IFERROR(IF($B6&gt;0,PASHEET!AP6+PASHEET!AX6+MARKS!J6+MARKS!R6+MARKS!Z6+MARKS!AH6+MARKS!AP6+MARKS!AX6+MARKS!BF6+MARKS!BN6,""),"Ab")</f>
        <v>20</v>
      </c>
      <c r="CM6" s="891">
        <f>IFERROR(IF($B6&gt;0,PASHEET!AQ6+PASHEET!AY6+MARKS!K6+MARKS!S6+MARKS!AA6+MARKS!AI6+MARKS!AQ6+MARKS!AY6+MARKS!BG6+MARKS!BO6,""),"Ab")</f>
        <v>27</v>
      </c>
      <c r="CN6" s="891">
        <f>IFERROR(IF($B6&gt;0,PASHEET!AR6+PASHEET!AZ6+MARKS!L6+MARKS!T6+MARKS!AB6+MARKS!AJ6+MARKS!AR6+MARKS!AZ6+MARKS!BH6+MARKS!BP6,""),"Ab")</f>
        <v>0</v>
      </c>
      <c r="CO6" s="891">
        <f t="shared" si="29"/>
        <v>150</v>
      </c>
      <c r="CP6" s="893" t="str">
        <f t="shared" si="30"/>
        <v>C</v>
      </c>
      <c r="CQ6" s="893" t="str">
        <f t="shared" si="31"/>
        <v>E</v>
      </c>
      <c r="CR6" s="893" t="str">
        <f t="shared" si="32"/>
        <v>E</v>
      </c>
      <c r="CS6" s="893" t="str">
        <f t="shared" si="33"/>
        <v>E</v>
      </c>
      <c r="CT6" s="893" t="str">
        <f t="shared" si="34"/>
        <v>E</v>
      </c>
      <c r="CU6" s="893" t="str">
        <f t="shared" si="35"/>
        <v>E</v>
      </c>
      <c r="CV6" s="893">
        <f t="shared" si="36"/>
        <v>0</v>
      </c>
      <c r="CW6" s="893" t="str">
        <f t="shared" si="37"/>
        <v>E</v>
      </c>
      <c r="CX6" s="894">
        <f>IFERROR(IF($B6&gt;0,PASHEET!AL6+MARKS!F6+MARKS!N6+MARKS!V6+MARKS!AD6,""),"Ab")</f>
        <v>25</v>
      </c>
      <c r="CY6" s="894">
        <f>IFERROR(IF($B6&gt;0,PASHEET!AM6+MARKS!G6+MARKS!O6+MARKS!W6+MARKS!AE6,""),"Ab")</f>
        <v>17</v>
      </c>
      <c r="CZ6" s="894">
        <f>IFERROR(IF($B6&gt;0,PASHEET!AN6+MARKS!H6+MARKS!P6+MARKS!X6+MARKS!AF6,""),"Ab")</f>
        <v>14</v>
      </c>
      <c r="DA6" s="894">
        <f>IFERROR(IF($B6&gt;0,PASHEET!AO6+MARKS!I6+MARKS!Q6+MARKS!Y6+MARKS!AG6,""),"Ab")</f>
        <v>24</v>
      </c>
      <c r="DB6" s="894">
        <f>IFERROR(IF($B6&gt;0,PASHEET!AP6+MARKS!J6+MARKS!R6+MARKS!Z6+MARKS!AH6,""),"Ab")</f>
        <v>20</v>
      </c>
      <c r="DC6" s="894">
        <f>IFERROR(IF($B6&gt;0,PASHEET!AQ6+MARKS!K6+MARKS!S6+MARKS!AA6+MARKS!AI6,""),"Ab")</f>
        <v>27</v>
      </c>
      <c r="DD6" s="894">
        <f>IFERROR(IF($B6&gt;0,PASHEET!AR6+MARKS!L6+MARKS!T6+MARKS!AB6+MARKS!AJ6,""),"Ab")</f>
        <v>0</v>
      </c>
      <c r="DE6" s="879">
        <f t="shared" si="38"/>
        <v>127</v>
      </c>
      <c r="DF6" s="894" t="str">
        <f t="shared" si="39"/>
        <v>C</v>
      </c>
      <c r="DG6" s="894" t="str">
        <f t="shared" si="40"/>
        <v>D</v>
      </c>
      <c r="DH6" s="894" t="str">
        <f t="shared" si="41"/>
        <v>E</v>
      </c>
      <c r="DI6" s="894" t="str">
        <f t="shared" si="42"/>
        <v>C</v>
      </c>
      <c r="DJ6" s="894" t="str">
        <f t="shared" si="43"/>
        <v>D</v>
      </c>
      <c r="DK6" s="894" t="str">
        <f t="shared" si="44"/>
        <v>C</v>
      </c>
      <c r="DL6" s="894">
        <f t="shared" si="45"/>
        <v>0</v>
      </c>
      <c r="DM6" s="894" t="str">
        <f t="shared" si="46"/>
        <v>D</v>
      </c>
      <c r="DN6" s="894">
        <f>IFERROR(IF($B6&gt;0,PASHEET!AT6+MARKS!AL6+MARKS!AT6+MARKS!BB6+MARKS!BJ6,""),"Ab")</f>
        <v>23</v>
      </c>
      <c r="DO6" s="894">
        <f>IFERROR(IF($B6&gt;0,PASHEET!AU6+MARKS!AM6+MARKS!AU6+MARKS!BC6+MARKS!BK6,""),"Ab")</f>
        <v>0</v>
      </c>
      <c r="DP6" s="894">
        <f>IFERROR(IF($B6&gt;0,PASHEET!AV6+MARKS!AN6+MARKS!AV6+MARKS!BD6+MARKS!BL6,""),"Ab")</f>
        <v>0</v>
      </c>
      <c r="DQ6" s="894">
        <f>IFERROR(IF($B6&gt;0,PASHEET!AW6+MARKS!AO6+MARKS!AW6+MARKS!BE6+MARKS!BM6,""),"Ab")</f>
        <v>0</v>
      </c>
      <c r="DR6" s="894">
        <f>IFERROR(IF($B6&gt;0,PASHEET!AX6+MARKS!AP6+MARKS!AX6+MARKS!BF6+MARKS!BN6,""),"Ab")</f>
        <v>0</v>
      </c>
      <c r="DS6" s="894">
        <f>IFERROR(IF($B6&gt;0,PASHEET!AY6+MARKS!AQ6+MARKS!AY6+MARKS!BG6+MARKS!BO6,""),"Ab")</f>
        <v>0</v>
      </c>
      <c r="DT6" s="894">
        <f>IFERROR(IF($B6&gt;0,PASHEET!AZ6+MARKS!AR6+MARKS!AZ6+MARKS!BH6+MARKS!BP6,""),"Ab")</f>
        <v>0</v>
      </c>
      <c r="DU6" s="879">
        <f t="shared" si="47"/>
        <v>23</v>
      </c>
      <c r="DV6" s="894" t="str">
        <f t="shared" si="48"/>
        <v>C</v>
      </c>
      <c r="DW6" s="894">
        <f t="shared" si="49"/>
        <v>0</v>
      </c>
      <c r="DX6" s="894">
        <f t="shared" si="50"/>
        <v>0</v>
      </c>
      <c r="DY6" s="894">
        <f t="shared" si="51"/>
        <v>0</v>
      </c>
      <c r="DZ6" s="894">
        <f t="shared" si="52"/>
        <v>0</v>
      </c>
      <c r="EA6" s="894">
        <f t="shared" si="53"/>
        <v>0</v>
      </c>
      <c r="EB6" s="894">
        <f t="shared" si="54"/>
        <v>0</v>
      </c>
      <c r="EC6" s="894" t="str">
        <f t="shared" si="55"/>
        <v>E</v>
      </c>
    </row>
    <row r="7" spans="1:133">
      <c r="A7" s="879">
        <v>4</v>
      </c>
      <c r="B7" s="879">
        <f>STUDENT!F5</f>
        <v>14778</v>
      </c>
      <c r="C7" s="879">
        <f>STUDENT!D5</f>
        <v>20220448164</v>
      </c>
      <c r="D7" s="886" t="str">
        <f>STUDENT!E5</f>
        <v>PRINCE KUMAR RAY</v>
      </c>
      <c r="E7" s="886" t="str">
        <f>STUDENT!H5</f>
        <v>RAMSHARAN RAY</v>
      </c>
      <c r="F7" s="887"/>
      <c r="G7" s="887"/>
      <c r="H7" s="887"/>
      <c r="I7" s="887"/>
      <c r="J7" s="887"/>
      <c r="K7" s="887"/>
      <c r="L7" s="887"/>
      <c r="M7" s="888">
        <f t="shared" si="0"/>
        <v>0</v>
      </c>
      <c r="N7" s="887"/>
      <c r="O7" s="887"/>
      <c r="P7" s="887"/>
      <c r="Q7" s="887"/>
      <c r="R7" s="887"/>
      <c r="S7" s="887"/>
      <c r="T7" s="887"/>
      <c r="U7" s="889">
        <f t="shared" si="7"/>
        <v>0</v>
      </c>
      <c r="V7" s="887"/>
      <c r="W7" s="887"/>
      <c r="X7" s="887"/>
      <c r="Y7" s="887"/>
      <c r="Z7" s="887"/>
      <c r="AA7" s="887"/>
      <c r="AB7" s="887"/>
      <c r="AC7" s="890">
        <f t="shared" si="8"/>
        <v>0</v>
      </c>
      <c r="AD7" s="887">
        <v>10</v>
      </c>
      <c r="AE7" s="887">
        <v>11</v>
      </c>
      <c r="AF7" s="887">
        <v>15</v>
      </c>
      <c r="AG7" s="887">
        <v>15</v>
      </c>
      <c r="AH7" s="887">
        <v>11</v>
      </c>
      <c r="AI7" s="887">
        <v>25</v>
      </c>
      <c r="AJ7" s="887"/>
      <c r="AK7" s="888">
        <f t="shared" si="1"/>
        <v>87</v>
      </c>
      <c r="AL7" s="887"/>
      <c r="AM7" s="887"/>
      <c r="AN7" s="887"/>
      <c r="AO7" s="887"/>
      <c r="AP7" s="887"/>
      <c r="AQ7" s="887"/>
      <c r="AR7" s="887"/>
      <c r="AS7" s="891">
        <f t="shared" si="9"/>
        <v>0</v>
      </c>
      <c r="AT7" s="887"/>
      <c r="AU7" s="887"/>
      <c r="AV7" s="887"/>
      <c r="AW7" s="887"/>
      <c r="AX7" s="887"/>
      <c r="AY7" s="887"/>
      <c r="AZ7" s="887"/>
      <c r="BA7" s="889">
        <f t="shared" si="10"/>
        <v>0</v>
      </c>
      <c r="BB7" s="887"/>
      <c r="BC7" s="887"/>
      <c r="BD7" s="887"/>
      <c r="BE7" s="887"/>
      <c r="BF7" s="887"/>
      <c r="BG7" s="887"/>
      <c r="BH7" s="887"/>
      <c r="BI7" s="890">
        <f t="shared" si="11"/>
        <v>0</v>
      </c>
      <c r="BJ7" s="887">
        <v>15</v>
      </c>
      <c r="BK7" s="887"/>
      <c r="BL7" s="887"/>
      <c r="BM7" s="887"/>
      <c r="BN7" s="887"/>
      <c r="BO7" s="887"/>
      <c r="BP7" s="887"/>
      <c r="BQ7" s="888">
        <f t="shared" si="12"/>
        <v>15</v>
      </c>
      <c r="BR7" s="892" t="str">
        <f t="shared" si="13"/>
        <v>D</v>
      </c>
      <c r="BS7" s="892" t="str">
        <f t="shared" si="14"/>
        <v>D</v>
      </c>
      <c r="BT7" s="892" t="str">
        <f t="shared" si="15"/>
        <v>C</v>
      </c>
      <c r="BU7" s="892" t="str">
        <f t="shared" si="16"/>
        <v>C</v>
      </c>
      <c r="BV7" s="892" t="str">
        <f t="shared" si="17"/>
        <v>D</v>
      </c>
      <c r="BW7" s="892" t="str">
        <f t="shared" si="18"/>
        <v>A</v>
      </c>
      <c r="BX7" s="892" t="str">
        <f t="shared" si="19"/>
        <v/>
      </c>
      <c r="BY7" s="892" t="str">
        <f t="shared" si="20"/>
        <v>C</v>
      </c>
      <c r="BZ7" s="892" t="str">
        <f t="shared" si="21"/>
        <v>C</v>
      </c>
      <c r="CA7" s="892" t="str">
        <f t="shared" si="22"/>
        <v/>
      </c>
      <c r="CB7" s="892" t="str">
        <f t="shared" si="23"/>
        <v/>
      </c>
      <c r="CC7" s="892" t="str">
        <f t="shared" si="24"/>
        <v/>
      </c>
      <c r="CD7" s="892" t="str">
        <f t="shared" si="25"/>
        <v/>
      </c>
      <c r="CE7" s="892" t="str">
        <f t="shared" si="26"/>
        <v/>
      </c>
      <c r="CF7" s="892" t="str">
        <f t="shared" si="27"/>
        <v/>
      </c>
      <c r="CG7" s="892" t="str">
        <f t="shared" si="28"/>
        <v>E</v>
      </c>
      <c r="CH7" s="891">
        <f>IFERROR(IF($B7&gt;0,PASHEET!AL7+PASHEET!AT7+MARKS!F7+MARKS!N7+MARKS!V7+MARKS!AD7+MARKS!AL7+MARKS!AT7+MARKS!BB7+MARKS!BJ7,""),"Ab")</f>
        <v>27</v>
      </c>
      <c r="CI7" s="891">
        <f>IFERROR(IF($B7&gt;0,PASHEET!AM7+PASHEET!AU7+MARKS!G7+MARKS!O7+MARKS!W7+MARKS!AE7+MARKS!AM7+MARKS!AU7+MARKS!BC7+MARKS!BK7,""),"Ab")</f>
        <v>12</v>
      </c>
      <c r="CJ7" s="891">
        <f>IFERROR(IF($B7&gt;0,PASHEET!AN7+PASHEET!AV7+MARKS!H7+MARKS!P7+MARKS!X7+MARKS!AF7+MARKS!AN7+MARKS!AV7+MARKS!BD7+MARKS!BL7,""),"Ab")</f>
        <v>17</v>
      </c>
      <c r="CK7" s="891">
        <f>IFERROR(IF($B7&gt;0,PASHEET!AO7+PASHEET!AW7+MARKS!I7+MARKS!Q7+MARKS!Y7+MARKS!AG7+MARKS!AO7+MARKS!AW7+MARKS!BE7+MARKS!BM7,""),"Ab")</f>
        <v>17</v>
      </c>
      <c r="CL7" s="891">
        <f>IFERROR(IF($B7&gt;0,PASHEET!AP7+PASHEET!AX7+MARKS!J7+MARKS!R7+MARKS!Z7+MARKS!AH7+MARKS!AP7+MARKS!AX7+MARKS!BF7+MARKS!BN7,""),"Ab")</f>
        <v>11</v>
      </c>
      <c r="CM7" s="891">
        <f>IFERROR(IF($B7&gt;0,PASHEET!AQ7+PASHEET!AY7+MARKS!K7+MARKS!S7+MARKS!AA7+MARKS!AI7+MARKS!AQ7+MARKS!AY7+MARKS!BG7+MARKS!BO7,""),"Ab")</f>
        <v>26</v>
      </c>
      <c r="CN7" s="891">
        <f>IFERROR(IF($B7&gt;0,PASHEET!AR7+PASHEET!AZ7+MARKS!L7+MARKS!T7+MARKS!AB7+MARKS!AJ7+MARKS!AR7+MARKS!AZ7+MARKS!BH7+MARKS!BP7,""),"Ab")</f>
        <v>0</v>
      </c>
      <c r="CO7" s="891">
        <f t="shared" si="29"/>
        <v>110</v>
      </c>
      <c r="CP7" s="893" t="str">
        <f t="shared" si="30"/>
        <v>E</v>
      </c>
      <c r="CQ7" s="893" t="str">
        <f t="shared" si="31"/>
        <v>E</v>
      </c>
      <c r="CR7" s="893" t="str">
        <f t="shared" si="32"/>
        <v>E</v>
      </c>
      <c r="CS7" s="893" t="str">
        <f t="shared" si="33"/>
        <v>E</v>
      </c>
      <c r="CT7" s="893" t="str">
        <f t="shared" si="34"/>
        <v>E</v>
      </c>
      <c r="CU7" s="893" t="str">
        <f t="shared" si="35"/>
        <v>E</v>
      </c>
      <c r="CV7" s="893">
        <f t="shared" si="36"/>
        <v>0</v>
      </c>
      <c r="CW7" s="893" t="str">
        <f t="shared" si="37"/>
        <v>E</v>
      </c>
      <c r="CX7" s="894">
        <f>IFERROR(IF($B7&gt;0,PASHEET!AL7+MARKS!F7+MARKS!N7+MARKS!V7+MARKS!AD7,""),"Ab")</f>
        <v>12</v>
      </c>
      <c r="CY7" s="894">
        <f>IFERROR(IF($B7&gt;0,PASHEET!AM7+MARKS!G7+MARKS!O7+MARKS!W7+MARKS!AE7,""),"Ab")</f>
        <v>12</v>
      </c>
      <c r="CZ7" s="894">
        <f>IFERROR(IF($B7&gt;0,PASHEET!AN7+MARKS!H7+MARKS!P7+MARKS!X7+MARKS!AF7,""),"Ab")</f>
        <v>17</v>
      </c>
      <c r="DA7" s="894">
        <f>IFERROR(IF($B7&gt;0,PASHEET!AO7+MARKS!I7+MARKS!Q7+MARKS!Y7+MARKS!AG7,""),"Ab")</f>
        <v>17</v>
      </c>
      <c r="DB7" s="894">
        <f>IFERROR(IF($B7&gt;0,PASHEET!AP7+MARKS!J7+MARKS!R7+MARKS!Z7+MARKS!AH7,""),"Ab")</f>
        <v>11</v>
      </c>
      <c r="DC7" s="894">
        <f>IFERROR(IF($B7&gt;0,PASHEET!AQ7+MARKS!K7+MARKS!S7+MARKS!AA7+MARKS!AI7,""),"Ab")</f>
        <v>26</v>
      </c>
      <c r="DD7" s="894">
        <f>IFERROR(IF($B7&gt;0,PASHEET!AR7+MARKS!L7+MARKS!T7+MARKS!AB7+MARKS!AJ7,""),"Ab")</f>
        <v>0</v>
      </c>
      <c r="DE7" s="879">
        <f t="shared" si="38"/>
        <v>95</v>
      </c>
      <c r="DF7" s="894" t="str">
        <f t="shared" si="39"/>
        <v>E</v>
      </c>
      <c r="DG7" s="894" t="str">
        <f t="shared" si="40"/>
        <v>E</v>
      </c>
      <c r="DH7" s="894" t="str">
        <f t="shared" si="41"/>
        <v>D</v>
      </c>
      <c r="DI7" s="894" t="str">
        <f t="shared" si="42"/>
        <v>D</v>
      </c>
      <c r="DJ7" s="894" t="str">
        <f t="shared" si="43"/>
        <v>E</v>
      </c>
      <c r="DK7" s="894" t="str">
        <f t="shared" si="44"/>
        <v>C</v>
      </c>
      <c r="DL7" s="894">
        <f t="shared" si="45"/>
        <v>0</v>
      </c>
      <c r="DM7" s="894" t="str">
        <f t="shared" si="46"/>
        <v>E</v>
      </c>
      <c r="DN7" s="894">
        <f>IFERROR(IF($B7&gt;0,PASHEET!AT7+MARKS!AL7+MARKS!AT7+MARKS!BB7+MARKS!BJ7,""),"Ab")</f>
        <v>15</v>
      </c>
      <c r="DO7" s="894">
        <f>IFERROR(IF($B7&gt;0,PASHEET!AU7+MARKS!AM7+MARKS!AU7+MARKS!BC7+MARKS!BK7,""),"Ab")</f>
        <v>0</v>
      </c>
      <c r="DP7" s="894">
        <f>IFERROR(IF($B7&gt;0,PASHEET!AV7+MARKS!AN7+MARKS!AV7+MARKS!BD7+MARKS!BL7,""),"Ab")</f>
        <v>0</v>
      </c>
      <c r="DQ7" s="894">
        <f>IFERROR(IF($B7&gt;0,PASHEET!AW7+MARKS!AO7+MARKS!AW7+MARKS!BE7+MARKS!BM7,""),"Ab")</f>
        <v>0</v>
      </c>
      <c r="DR7" s="894">
        <f>IFERROR(IF($B7&gt;0,PASHEET!AX7+MARKS!AP7+MARKS!AX7+MARKS!BF7+MARKS!BN7,""),"Ab")</f>
        <v>0</v>
      </c>
      <c r="DS7" s="894">
        <f>IFERROR(IF($B7&gt;0,PASHEET!AY7+MARKS!AQ7+MARKS!AY7+MARKS!BG7+MARKS!BO7,""),"Ab")</f>
        <v>0</v>
      </c>
      <c r="DT7" s="894">
        <f>IFERROR(IF($B7&gt;0,PASHEET!AZ7+MARKS!AR7+MARKS!AZ7+MARKS!BH7+MARKS!BP7,""),"Ab")</f>
        <v>0</v>
      </c>
      <c r="DU7" s="879">
        <f t="shared" si="47"/>
        <v>15</v>
      </c>
      <c r="DV7" s="894" t="str">
        <f t="shared" si="48"/>
        <v>E</v>
      </c>
      <c r="DW7" s="894">
        <f t="shared" si="49"/>
        <v>0</v>
      </c>
      <c r="DX7" s="894">
        <f t="shared" si="50"/>
        <v>0</v>
      </c>
      <c r="DY7" s="894">
        <f t="shared" si="51"/>
        <v>0</v>
      </c>
      <c r="DZ7" s="894">
        <f t="shared" si="52"/>
        <v>0</v>
      </c>
      <c r="EA7" s="894">
        <f t="shared" si="53"/>
        <v>0</v>
      </c>
      <c r="EB7" s="894">
        <f t="shared" si="54"/>
        <v>0</v>
      </c>
      <c r="EC7" s="894" t="str">
        <f t="shared" si="55"/>
        <v>E</v>
      </c>
    </row>
    <row r="8" spans="1:133">
      <c r="A8" s="879">
        <v>5</v>
      </c>
      <c r="B8" s="879">
        <f>STUDENT!F6</f>
        <v>14785</v>
      </c>
      <c r="C8" s="879">
        <f>STUDENT!D6</f>
        <v>20220482313</v>
      </c>
      <c r="D8" s="886" t="str">
        <f>STUDENT!E6</f>
        <v>KIRSHNA</v>
      </c>
      <c r="E8" s="886" t="str">
        <f>STUDENT!H6</f>
        <v>VISHNU KASHYAP</v>
      </c>
      <c r="F8" s="887"/>
      <c r="G8" s="887"/>
      <c r="H8" s="887"/>
      <c r="I8" s="887"/>
      <c r="J8" s="887"/>
      <c r="K8" s="887"/>
      <c r="L8" s="887"/>
      <c r="M8" s="888">
        <f t="shared" si="0"/>
        <v>0</v>
      </c>
      <c r="N8" s="887"/>
      <c r="O8" s="887"/>
      <c r="P8" s="887"/>
      <c r="Q8" s="887"/>
      <c r="R8" s="887"/>
      <c r="S8" s="887"/>
      <c r="T8" s="887"/>
      <c r="U8" s="889">
        <f t="shared" si="7"/>
        <v>0</v>
      </c>
      <c r="V8" s="887"/>
      <c r="W8" s="887"/>
      <c r="X8" s="887"/>
      <c r="Y8" s="887"/>
      <c r="Z8" s="887"/>
      <c r="AA8" s="887"/>
      <c r="AB8" s="887"/>
      <c r="AC8" s="890">
        <f t="shared" si="8"/>
        <v>0</v>
      </c>
      <c r="AD8" s="887">
        <v>15</v>
      </c>
      <c r="AE8" s="887">
        <v>19</v>
      </c>
      <c r="AF8" s="887">
        <v>20</v>
      </c>
      <c r="AG8" s="887">
        <v>15</v>
      </c>
      <c r="AH8" s="887">
        <v>18</v>
      </c>
      <c r="AI8" s="887">
        <v>28</v>
      </c>
      <c r="AJ8" s="887"/>
      <c r="AK8" s="888">
        <f t="shared" si="1"/>
        <v>115</v>
      </c>
      <c r="AL8" s="887"/>
      <c r="AM8" s="887"/>
      <c r="AN8" s="887"/>
      <c r="AO8" s="887"/>
      <c r="AP8" s="887"/>
      <c r="AQ8" s="887"/>
      <c r="AR8" s="887"/>
      <c r="AS8" s="891">
        <f t="shared" si="9"/>
        <v>0</v>
      </c>
      <c r="AT8" s="887"/>
      <c r="AU8" s="887"/>
      <c r="AV8" s="887"/>
      <c r="AW8" s="887"/>
      <c r="AX8" s="887"/>
      <c r="AY8" s="887"/>
      <c r="AZ8" s="887"/>
      <c r="BA8" s="889">
        <f t="shared" si="10"/>
        <v>0</v>
      </c>
      <c r="BB8" s="887"/>
      <c r="BC8" s="887"/>
      <c r="BD8" s="887"/>
      <c r="BE8" s="887"/>
      <c r="BF8" s="887"/>
      <c r="BG8" s="887"/>
      <c r="BH8" s="887"/>
      <c r="BI8" s="890">
        <f t="shared" si="11"/>
        <v>0</v>
      </c>
      <c r="BJ8" s="887">
        <v>20</v>
      </c>
      <c r="BK8" s="887"/>
      <c r="BL8" s="887"/>
      <c r="BM8" s="887"/>
      <c r="BN8" s="887"/>
      <c r="BO8" s="887"/>
      <c r="BP8" s="887"/>
      <c r="BQ8" s="888">
        <f t="shared" si="12"/>
        <v>20</v>
      </c>
      <c r="BR8" s="892" t="str">
        <f t="shared" si="13"/>
        <v>C</v>
      </c>
      <c r="BS8" s="892" t="str">
        <f t="shared" si="14"/>
        <v>B</v>
      </c>
      <c r="BT8" s="892" t="str">
        <f t="shared" si="15"/>
        <v>B</v>
      </c>
      <c r="BU8" s="892" t="str">
        <f t="shared" si="16"/>
        <v>C</v>
      </c>
      <c r="BV8" s="892" t="str">
        <f t="shared" si="17"/>
        <v>C</v>
      </c>
      <c r="BW8" s="892" t="str">
        <f t="shared" si="18"/>
        <v>A</v>
      </c>
      <c r="BX8" s="892" t="str">
        <f t="shared" si="19"/>
        <v/>
      </c>
      <c r="BY8" s="892" t="str">
        <f t="shared" si="20"/>
        <v>B</v>
      </c>
      <c r="BZ8" s="892" t="str">
        <f t="shared" si="21"/>
        <v>C</v>
      </c>
      <c r="CA8" s="892" t="str">
        <f t="shared" si="22"/>
        <v/>
      </c>
      <c r="CB8" s="892" t="str">
        <f t="shared" si="23"/>
        <v/>
      </c>
      <c r="CC8" s="892" t="str">
        <f t="shared" si="24"/>
        <v/>
      </c>
      <c r="CD8" s="892" t="str">
        <f t="shared" si="25"/>
        <v/>
      </c>
      <c r="CE8" s="892" t="str">
        <f t="shared" si="26"/>
        <v/>
      </c>
      <c r="CF8" s="892" t="str">
        <f t="shared" si="27"/>
        <v/>
      </c>
      <c r="CG8" s="892" t="str">
        <f t="shared" si="28"/>
        <v>E</v>
      </c>
      <c r="CH8" s="891">
        <f>IFERROR(IF($B8&gt;0,PASHEET!AL8+PASHEET!AT8+MARKS!F8+MARKS!N8+MARKS!V8+MARKS!AD8+MARKS!AL8+MARKS!AT8+MARKS!BB8+MARKS!BJ8,""),"Ab")</f>
        <v>37</v>
      </c>
      <c r="CI8" s="891">
        <f>IFERROR(IF($B8&gt;0,PASHEET!AM8+PASHEET!AU8+MARKS!G8+MARKS!O8+MARKS!W8+MARKS!AE8+MARKS!AM8+MARKS!AU8+MARKS!BC8+MARKS!BK8,""),"Ab")</f>
        <v>20</v>
      </c>
      <c r="CJ8" s="891">
        <f>IFERROR(IF($B8&gt;0,PASHEET!AN8+PASHEET!AV8+MARKS!H8+MARKS!P8+MARKS!X8+MARKS!AF8+MARKS!AN8+MARKS!AV8+MARKS!BD8+MARKS!BL8,""),"Ab")</f>
        <v>21</v>
      </c>
      <c r="CK8" s="891">
        <f>IFERROR(IF($B8&gt;0,PASHEET!AO8+PASHEET!AW8+MARKS!I8+MARKS!Q8+MARKS!Y8+MARKS!AG8+MARKS!AO8+MARKS!AW8+MARKS!BE8+MARKS!BM8,""),"Ab")</f>
        <v>17</v>
      </c>
      <c r="CL8" s="891">
        <f>IFERROR(IF($B8&gt;0,PASHEET!AP8+PASHEET!AX8+MARKS!J8+MARKS!R8+MARKS!Z8+MARKS!AH8+MARKS!AP8+MARKS!AX8+MARKS!BF8+MARKS!BN8,""),"Ab")</f>
        <v>18</v>
      </c>
      <c r="CM8" s="891">
        <f>IFERROR(IF($B8&gt;0,PASHEET!AQ8+PASHEET!AY8+MARKS!K8+MARKS!S8+MARKS!AA8+MARKS!AI8+MARKS!AQ8+MARKS!AY8+MARKS!BG8+MARKS!BO8,""),"Ab")</f>
        <v>30</v>
      </c>
      <c r="CN8" s="891">
        <f>IFERROR(IF($B8&gt;0,PASHEET!AR8+PASHEET!AZ8+MARKS!L8+MARKS!T8+MARKS!AB8+MARKS!AJ8+MARKS!AR8+MARKS!AZ8+MARKS!BH8+MARKS!BP8,""),"Ab")</f>
        <v>0</v>
      </c>
      <c r="CO8" s="891">
        <f t="shared" si="29"/>
        <v>143</v>
      </c>
      <c r="CP8" s="893" t="str">
        <f t="shared" si="30"/>
        <v>D</v>
      </c>
      <c r="CQ8" s="893" t="str">
        <f t="shared" si="31"/>
        <v>E</v>
      </c>
      <c r="CR8" s="893" t="str">
        <f t="shared" si="32"/>
        <v>E</v>
      </c>
      <c r="CS8" s="893" t="str">
        <f t="shared" si="33"/>
        <v>E</v>
      </c>
      <c r="CT8" s="893" t="str">
        <f t="shared" si="34"/>
        <v>E</v>
      </c>
      <c r="CU8" s="893" t="str">
        <f t="shared" si="35"/>
        <v>E</v>
      </c>
      <c r="CV8" s="893">
        <f t="shared" si="36"/>
        <v>0</v>
      </c>
      <c r="CW8" s="893" t="str">
        <f t="shared" si="37"/>
        <v>E</v>
      </c>
      <c r="CX8" s="894">
        <f>IFERROR(IF($B8&gt;0,PASHEET!AL8+MARKS!F8+MARKS!N8+MARKS!V8+MARKS!AD8,""),"Ab")</f>
        <v>17</v>
      </c>
      <c r="CY8" s="894">
        <f>IFERROR(IF($B8&gt;0,PASHEET!AM8+MARKS!G8+MARKS!O8+MARKS!W8+MARKS!AE8,""),"Ab")</f>
        <v>20</v>
      </c>
      <c r="CZ8" s="894">
        <f>IFERROR(IF($B8&gt;0,PASHEET!AN8+MARKS!H8+MARKS!P8+MARKS!X8+MARKS!AF8,""),"Ab")</f>
        <v>21</v>
      </c>
      <c r="DA8" s="894">
        <f>IFERROR(IF($B8&gt;0,PASHEET!AO8+MARKS!I8+MARKS!Q8+MARKS!Y8+MARKS!AG8,""),"Ab")</f>
        <v>17</v>
      </c>
      <c r="DB8" s="894">
        <f>IFERROR(IF($B8&gt;0,PASHEET!AP8+MARKS!J8+MARKS!R8+MARKS!Z8+MARKS!AH8,""),"Ab")</f>
        <v>18</v>
      </c>
      <c r="DC8" s="894">
        <f>IFERROR(IF($B8&gt;0,PASHEET!AQ8+MARKS!K8+MARKS!S8+MARKS!AA8+MARKS!AI8,""),"Ab")</f>
        <v>30</v>
      </c>
      <c r="DD8" s="894">
        <f>IFERROR(IF($B8&gt;0,PASHEET!AR8+MARKS!L8+MARKS!T8+MARKS!AB8+MARKS!AJ8,""),"Ab")</f>
        <v>0</v>
      </c>
      <c r="DE8" s="879">
        <f t="shared" si="38"/>
        <v>123</v>
      </c>
      <c r="DF8" s="894" t="str">
        <f t="shared" si="39"/>
        <v>D</v>
      </c>
      <c r="DG8" s="894" t="str">
        <f t="shared" si="40"/>
        <v>D</v>
      </c>
      <c r="DH8" s="894" t="str">
        <f t="shared" si="41"/>
        <v>D</v>
      </c>
      <c r="DI8" s="894" t="str">
        <f t="shared" si="42"/>
        <v>D</v>
      </c>
      <c r="DJ8" s="894" t="str">
        <f t="shared" si="43"/>
        <v>D</v>
      </c>
      <c r="DK8" s="894" t="str">
        <f t="shared" si="44"/>
        <v>C</v>
      </c>
      <c r="DL8" s="894">
        <f t="shared" si="45"/>
        <v>0</v>
      </c>
      <c r="DM8" s="894" t="str">
        <f t="shared" si="46"/>
        <v>D</v>
      </c>
      <c r="DN8" s="894">
        <f>IFERROR(IF($B8&gt;0,PASHEET!AT8+MARKS!AL8+MARKS!AT8+MARKS!BB8+MARKS!BJ8,""),"Ab")</f>
        <v>20</v>
      </c>
      <c r="DO8" s="894">
        <f>IFERROR(IF($B8&gt;0,PASHEET!AU8+MARKS!AM8+MARKS!AU8+MARKS!BC8+MARKS!BK8,""),"Ab")</f>
        <v>0</v>
      </c>
      <c r="DP8" s="894">
        <f>IFERROR(IF($B8&gt;0,PASHEET!AV8+MARKS!AN8+MARKS!AV8+MARKS!BD8+MARKS!BL8,""),"Ab")</f>
        <v>0</v>
      </c>
      <c r="DQ8" s="894">
        <f>IFERROR(IF($B8&gt;0,PASHEET!AW8+MARKS!AO8+MARKS!AW8+MARKS!BE8+MARKS!BM8,""),"Ab")</f>
        <v>0</v>
      </c>
      <c r="DR8" s="894">
        <f>IFERROR(IF($B8&gt;0,PASHEET!AX8+MARKS!AP8+MARKS!AX8+MARKS!BF8+MARKS!BN8,""),"Ab")</f>
        <v>0</v>
      </c>
      <c r="DS8" s="894">
        <f>IFERROR(IF($B8&gt;0,PASHEET!AY8+MARKS!AQ8+MARKS!AY8+MARKS!BG8+MARKS!BO8,""),"Ab")</f>
        <v>0</v>
      </c>
      <c r="DT8" s="894">
        <f>IFERROR(IF($B8&gt;0,PASHEET!AZ8+MARKS!AR8+MARKS!AZ8+MARKS!BH8+MARKS!BP8,""),"Ab")</f>
        <v>0</v>
      </c>
      <c r="DU8" s="879">
        <f t="shared" si="47"/>
        <v>20</v>
      </c>
      <c r="DV8" s="894" t="str">
        <f t="shared" si="48"/>
        <v>D</v>
      </c>
      <c r="DW8" s="894">
        <f t="shared" si="49"/>
        <v>0</v>
      </c>
      <c r="DX8" s="894">
        <f t="shared" si="50"/>
        <v>0</v>
      </c>
      <c r="DY8" s="894">
        <f t="shared" si="51"/>
        <v>0</v>
      </c>
      <c r="DZ8" s="894">
        <f t="shared" si="52"/>
        <v>0</v>
      </c>
      <c r="EA8" s="894">
        <f t="shared" si="53"/>
        <v>0</v>
      </c>
      <c r="EB8" s="894">
        <f t="shared" si="54"/>
        <v>0</v>
      </c>
      <c r="EC8" s="894" t="str">
        <f t="shared" si="55"/>
        <v>E</v>
      </c>
    </row>
    <row r="9" spans="1:133">
      <c r="A9" s="879">
        <v>6</v>
      </c>
      <c r="B9" s="879">
        <f>STUDENT!F7</f>
        <v>14780</v>
      </c>
      <c r="C9" s="879">
        <f>STUDENT!D7</f>
        <v>20230048303</v>
      </c>
      <c r="D9" s="886" t="str">
        <f>STUDENT!E7</f>
        <v>MD SOPHIYAN ALAM</v>
      </c>
      <c r="E9" s="886" t="str">
        <f>STUDENT!H7</f>
        <v>MD TABREJ ALAM</v>
      </c>
      <c r="F9" s="887"/>
      <c r="G9" s="887"/>
      <c r="H9" s="887"/>
      <c r="I9" s="887"/>
      <c r="J9" s="887"/>
      <c r="K9" s="887"/>
      <c r="L9" s="887"/>
      <c r="M9" s="888">
        <f t="shared" si="0"/>
        <v>0</v>
      </c>
      <c r="N9" s="887"/>
      <c r="O9" s="887"/>
      <c r="P9" s="887"/>
      <c r="Q9" s="887"/>
      <c r="R9" s="887"/>
      <c r="S9" s="887"/>
      <c r="T9" s="887"/>
      <c r="U9" s="889">
        <f t="shared" si="7"/>
        <v>0</v>
      </c>
      <c r="V9" s="887"/>
      <c r="W9" s="887"/>
      <c r="X9" s="887"/>
      <c r="Y9" s="887"/>
      <c r="Z9" s="887"/>
      <c r="AA9" s="887"/>
      <c r="AB9" s="887"/>
      <c r="AC9" s="890">
        <f t="shared" si="8"/>
        <v>0</v>
      </c>
      <c r="AD9" s="887">
        <v>15</v>
      </c>
      <c r="AE9" s="887">
        <v>16</v>
      </c>
      <c r="AF9" s="887">
        <v>12</v>
      </c>
      <c r="AG9" s="887">
        <v>13</v>
      </c>
      <c r="AH9" s="887">
        <v>15</v>
      </c>
      <c r="AI9" s="887">
        <v>16</v>
      </c>
      <c r="AJ9" s="887"/>
      <c r="AK9" s="888">
        <f t="shared" si="1"/>
        <v>87</v>
      </c>
      <c r="AL9" s="887"/>
      <c r="AM9" s="887"/>
      <c r="AN9" s="887"/>
      <c r="AO9" s="887"/>
      <c r="AP9" s="887"/>
      <c r="AQ9" s="887"/>
      <c r="AR9" s="887"/>
      <c r="AS9" s="891">
        <f t="shared" si="9"/>
        <v>0</v>
      </c>
      <c r="AT9" s="887"/>
      <c r="AU9" s="887"/>
      <c r="AV9" s="887"/>
      <c r="AW9" s="887"/>
      <c r="AX9" s="887"/>
      <c r="AY9" s="887"/>
      <c r="AZ9" s="887"/>
      <c r="BA9" s="889">
        <f t="shared" si="10"/>
        <v>0</v>
      </c>
      <c r="BB9" s="887"/>
      <c r="BC9" s="887"/>
      <c r="BD9" s="887"/>
      <c r="BE9" s="887"/>
      <c r="BF9" s="887"/>
      <c r="BG9" s="887"/>
      <c r="BH9" s="887"/>
      <c r="BI9" s="890">
        <f t="shared" si="11"/>
        <v>0</v>
      </c>
      <c r="BJ9" s="887">
        <v>15</v>
      </c>
      <c r="BK9" s="887"/>
      <c r="BL9" s="887"/>
      <c r="BM9" s="887"/>
      <c r="BN9" s="887"/>
      <c r="BO9" s="887"/>
      <c r="BP9" s="887"/>
      <c r="BQ9" s="888">
        <f t="shared" si="12"/>
        <v>15</v>
      </c>
      <c r="BR9" s="892" t="str">
        <f t="shared" si="13"/>
        <v>C</v>
      </c>
      <c r="BS9" s="892" t="str">
        <f t="shared" si="14"/>
        <v>C</v>
      </c>
      <c r="BT9" s="892" t="str">
        <f t="shared" si="15"/>
        <v>D</v>
      </c>
      <c r="BU9" s="892" t="str">
        <f t="shared" si="16"/>
        <v>C</v>
      </c>
      <c r="BV9" s="892" t="str">
        <f t="shared" si="17"/>
        <v>C</v>
      </c>
      <c r="BW9" s="892" t="str">
        <f t="shared" si="18"/>
        <v>C</v>
      </c>
      <c r="BX9" s="892" t="str">
        <f t="shared" si="19"/>
        <v/>
      </c>
      <c r="BY9" s="892" t="str">
        <f t="shared" si="20"/>
        <v>C</v>
      </c>
      <c r="BZ9" s="892" t="str">
        <f t="shared" si="21"/>
        <v>C</v>
      </c>
      <c r="CA9" s="892" t="str">
        <f t="shared" si="22"/>
        <v/>
      </c>
      <c r="CB9" s="892" t="str">
        <f t="shared" si="23"/>
        <v/>
      </c>
      <c r="CC9" s="892" t="str">
        <f t="shared" si="24"/>
        <v/>
      </c>
      <c r="CD9" s="892" t="str">
        <f t="shared" si="25"/>
        <v/>
      </c>
      <c r="CE9" s="892" t="str">
        <f t="shared" si="26"/>
        <v/>
      </c>
      <c r="CF9" s="892" t="str">
        <f t="shared" si="27"/>
        <v/>
      </c>
      <c r="CG9" s="892" t="str">
        <f t="shared" si="28"/>
        <v>E</v>
      </c>
      <c r="CH9" s="891">
        <f>IFERROR(IF($B9&gt;0,PASHEET!AL9+PASHEET!AT9+MARKS!F9+MARKS!N9+MARKS!V9+MARKS!AD9+MARKS!AL9+MARKS!AT9+MARKS!BB9+MARKS!BJ9,""),"Ab")</f>
        <v>32</v>
      </c>
      <c r="CI9" s="891">
        <f>IFERROR(IF($B9&gt;0,PASHEET!AM9+PASHEET!AU9+MARKS!G9+MARKS!O9+MARKS!W9+MARKS!AE9+MARKS!AM9+MARKS!AU9+MARKS!BC9+MARKS!BK9,""),"Ab")</f>
        <v>18</v>
      </c>
      <c r="CJ9" s="891">
        <f>IFERROR(IF($B9&gt;0,PASHEET!AN9+PASHEET!AV9+MARKS!H9+MARKS!P9+MARKS!X9+MARKS!AF9+MARKS!AN9+MARKS!AV9+MARKS!BD9+MARKS!BL9,""),"Ab")</f>
        <v>14</v>
      </c>
      <c r="CK9" s="891">
        <f>IFERROR(IF($B9&gt;0,PASHEET!AO9+PASHEET!AW9+MARKS!I9+MARKS!Q9+MARKS!Y9+MARKS!AG9+MARKS!AO9+MARKS!AW9+MARKS!BE9+MARKS!BM9,""),"Ab")</f>
        <v>15</v>
      </c>
      <c r="CL9" s="891">
        <f>IFERROR(IF($B9&gt;0,PASHEET!AP9+PASHEET!AX9+MARKS!J9+MARKS!R9+MARKS!Z9+MARKS!AH9+MARKS!AP9+MARKS!AX9+MARKS!BF9+MARKS!BN9,""),"Ab")</f>
        <v>15</v>
      </c>
      <c r="CM9" s="891">
        <f>IFERROR(IF($B9&gt;0,PASHEET!AQ9+PASHEET!AY9+MARKS!K9+MARKS!S9+MARKS!AA9+MARKS!AI9+MARKS!AQ9+MARKS!AY9+MARKS!BG9+MARKS!BO9,""),"Ab")</f>
        <v>18</v>
      </c>
      <c r="CN9" s="891">
        <f>IFERROR(IF($B9&gt;0,PASHEET!AR9+PASHEET!AZ9+MARKS!L9+MARKS!T9+MARKS!AB9+MARKS!AJ9+MARKS!AR9+MARKS!AZ9+MARKS!BH9+MARKS!BP9,""),"Ab")</f>
        <v>0</v>
      </c>
      <c r="CO9" s="891">
        <f t="shared" si="29"/>
        <v>112</v>
      </c>
      <c r="CP9" s="893" t="str">
        <f t="shared" si="30"/>
        <v>E</v>
      </c>
      <c r="CQ9" s="893" t="str">
        <f t="shared" si="31"/>
        <v>E</v>
      </c>
      <c r="CR9" s="893" t="str">
        <f t="shared" si="32"/>
        <v>E</v>
      </c>
      <c r="CS9" s="893" t="str">
        <f t="shared" si="33"/>
        <v>E</v>
      </c>
      <c r="CT9" s="893" t="str">
        <f t="shared" si="34"/>
        <v>E</v>
      </c>
      <c r="CU9" s="893" t="str">
        <f t="shared" si="35"/>
        <v>E</v>
      </c>
      <c r="CV9" s="893">
        <f t="shared" si="36"/>
        <v>0</v>
      </c>
      <c r="CW9" s="893" t="str">
        <f t="shared" si="37"/>
        <v>E</v>
      </c>
      <c r="CX9" s="894">
        <f>IFERROR(IF($B9&gt;0,PASHEET!AL9+MARKS!F9+MARKS!N9+MARKS!V9+MARKS!AD9,""),"Ab")</f>
        <v>17</v>
      </c>
      <c r="CY9" s="894">
        <f>IFERROR(IF($B9&gt;0,PASHEET!AM9+MARKS!G9+MARKS!O9+MARKS!W9+MARKS!AE9,""),"Ab")</f>
        <v>18</v>
      </c>
      <c r="CZ9" s="894">
        <f>IFERROR(IF($B9&gt;0,PASHEET!AN9+MARKS!H9+MARKS!P9+MARKS!X9+MARKS!AF9,""),"Ab")</f>
        <v>14</v>
      </c>
      <c r="DA9" s="894">
        <f>IFERROR(IF($B9&gt;0,PASHEET!AO9+MARKS!I9+MARKS!Q9+MARKS!Y9+MARKS!AG9,""),"Ab")</f>
        <v>15</v>
      </c>
      <c r="DB9" s="894">
        <f>IFERROR(IF($B9&gt;0,PASHEET!AP9+MARKS!J9+MARKS!R9+MARKS!Z9+MARKS!AH9,""),"Ab")</f>
        <v>15</v>
      </c>
      <c r="DC9" s="894">
        <f>IFERROR(IF($B9&gt;0,PASHEET!AQ9+MARKS!K9+MARKS!S9+MARKS!AA9+MARKS!AI9,""),"Ab")</f>
        <v>18</v>
      </c>
      <c r="DD9" s="894">
        <f>IFERROR(IF($B9&gt;0,PASHEET!AR9+MARKS!L9+MARKS!T9+MARKS!AB9+MARKS!AJ9,""),"Ab")</f>
        <v>0</v>
      </c>
      <c r="DE9" s="879">
        <f t="shared" si="38"/>
        <v>97</v>
      </c>
      <c r="DF9" s="894" t="str">
        <f t="shared" si="39"/>
        <v>D</v>
      </c>
      <c r="DG9" s="894" t="str">
        <f t="shared" si="40"/>
        <v>D</v>
      </c>
      <c r="DH9" s="894" t="str">
        <f t="shared" si="41"/>
        <v>E</v>
      </c>
      <c r="DI9" s="894" t="str">
        <f t="shared" si="42"/>
        <v>E</v>
      </c>
      <c r="DJ9" s="894" t="str">
        <f t="shared" si="43"/>
        <v>E</v>
      </c>
      <c r="DK9" s="894" t="str">
        <f t="shared" si="44"/>
        <v>D</v>
      </c>
      <c r="DL9" s="894">
        <f t="shared" si="45"/>
        <v>0</v>
      </c>
      <c r="DM9" s="894" t="str">
        <f t="shared" si="46"/>
        <v>E</v>
      </c>
      <c r="DN9" s="894">
        <f>IFERROR(IF($B9&gt;0,PASHEET!AT9+MARKS!AL9+MARKS!AT9+MARKS!BB9+MARKS!BJ9,""),"Ab")</f>
        <v>15</v>
      </c>
      <c r="DO9" s="894">
        <f>IFERROR(IF($B9&gt;0,PASHEET!AU9+MARKS!AM9+MARKS!AU9+MARKS!BC9+MARKS!BK9,""),"Ab")</f>
        <v>0</v>
      </c>
      <c r="DP9" s="894">
        <f>IFERROR(IF($B9&gt;0,PASHEET!AV9+MARKS!AN9+MARKS!AV9+MARKS!BD9+MARKS!BL9,""),"Ab")</f>
        <v>0</v>
      </c>
      <c r="DQ9" s="894">
        <f>IFERROR(IF($B9&gt;0,PASHEET!AW9+MARKS!AO9+MARKS!AW9+MARKS!BE9+MARKS!BM9,""),"Ab")</f>
        <v>0</v>
      </c>
      <c r="DR9" s="894">
        <f>IFERROR(IF($B9&gt;0,PASHEET!AX9+MARKS!AP9+MARKS!AX9+MARKS!BF9+MARKS!BN9,""),"Ab")</f>
        <v>0</v>
      </c>
      <c r="DS9" s="894">
        <f>IFERROR(IF($B9&gt;0,PASHEET!AY9+MARKS!AQ9+MARKS!AY9+MARKS!BG9+MARKS!BO9,""),"Ab")</f>
        <v>0</v>
      </c>
      <c r="DT9" s="894">
        <f>IFERROR(IF($B9&gt;0,PASHEET!AZ9+MARKS!AR9+MARKS!AZ9+MARKS!BH9+MARKS!BP9,""),"Ab")</f>
        <v>0</v>
      </c>
      <c r="DU9" s="879">
        <f t="shared" si="47"/>
        <v>15</v>
      </c>
      <c r="DV9" s="894" t="str">
        <f t="shared" si="48"/>
        <v>E</v>
      </c>
      <c r="DW9" s="894">
        <f t="shared" si="49"/>
        <v>0</v>
      </c>
      <c r="DX9" s="894">
        <f t="shared" si="50"/>
        <v>0</v>
      </c>
      <c r="DY9" s="894">
        <f t="shared" si="51"/>
        <v>0</v>
      </c>
      <c r="DZ9" s="894">
        <f t="shared" si="52"/>
        <v>0</v>
      </c>
      <c r="EA9" s="894">
        <f t="shared" si="53"/>
        <v>0</v>
      </c>
      <c r="EB9" s="894">
        <f t="shared" si="54"/>
        <v>0</v>
      </c>
      <c r="EC9" s="894" t="str">
        <f t="shared" si="55"/>
        <v>E</v>
      </c>
    </row>
    <row r="10" spans="1:133">
      <c r="A10" s="879">
        <v>7</v>
      </c>
      <c r="B10" s="879">
        <f>STUDENT!F8</f>
        <v>14773</v>
      </c>
      <c r="C10" s="879">
        <f>STUDENT!D8</f>
        <v>20230083520</v>
      </c>
      <c r="D10" s="886" t="str">
        <f>STUDENT!E8</f>
        <v>MD SAUBAN</v>
      </c>
      <c r="E10" s="886" t="str">
        <f>STUDENT!H8</f>
        <v>MD IRSHAD</v>
      </c>
      <c r="F10" s="887"/>
      <c r="G10" s="887"/>
      <c r="H10" s="887"/>
      <c r="I10" s="887"/>
      <c r="J10" s="887"/>
      <c r="K10" s="887"/>
      <c r="L10" s="887"/>
      <c r="M10" s="888">
        <f t="shared" si="0"/>
        <v>0</v>
      </c>
      <c r="N10" s="887"/>
      <c r="O10" s="887"/>
      <c r="P10" s="887"/>
      <c r="Q10" s="887"/>
      <c r="R10" s="887"/>
      <c r="S10" s="887"/>
      <c r="T10" s="887"/>
      <c r="U10" s="889">
        <f t="shared" si="7"/>
        <v>0</v>
      </c>
      <c r="V10" s="887"/>
      <c r="W10" s="887"/>
      <c r="X10" s="887"/>
      <c r="Y10" s="887"/>
      <c r="Z10" s="887"/>
      <c r="AA10" s="887"/>
      <c r="AB10" s="887"/>
      <c r="AC10" s="890">
        <f t="shared" si="8"/>
        <v>0</v>
      </c>
      <c r="AD10" s="887">
        <v>10</v>
      </c>
      <c r="AE10" s="887">
        <v>11</v>
      </c>
      <c r="AF10" s="887">
        <v>11</v>
      </c>
      <c r="AG10" s="887">
        <v>13</v>
      </c>
      <c r="AH10" s="887">
        <v>15</v>
      </c>
      <c r="AI10" s="887">
        <v>20</v>
      </c>
      <c r="AJ10" s="887"/>
      <c r="AK10" s="888">
        <f t="shared" si="1"/>
        <v>80</v>
      </c>
      <c r="AL10" s="887"/>
      <c r="AM10" s="887"/>
      <c r="AN10" s="887"/>
      <c r="AO10" s="887"/>
      <c r="AP10" s="887"/>
      <c r="AQ10" s="887"/>
      <c r="AR10" s="887"/>
      <c r="AS10" s="891">
        <f t="shared" si="9"/>
        <v>0</v>
      </c>
      <c r="AT10" s="887"/>
      <c r="AU10" s="887"/>
      <c r="AV10" s="887"/>
      <c r="AW10" s="887"/>
      <c r="AX10" s="887"/>
      <c r="AY10" s="887"/>
      <c r="AZ10" s="887"/>
      <c r="BA10" s="889">
        <f t="shared" si="10"/>
        <v>0</v>
      </c>
      <c r="BB10" s="887"/>
      <c r="BC10" s="887"/>
      <c r="BD10" s="887"/>
      <c r="BE10" s="887"/>
      <c r="BF10" s="887"/>
      <c r="BG10" s="887"/>
      <c r="BH10" s="887"/>
      <c r="BI10" s="890">
        <f t="shared" si="11"/>
        <v>0</v>
      </c>
      <c r="BJ10" s="887">
        <v>15</v>
      </c>
      <c r="BK10" s="887"/>
      <c r="BL10" s="887"/>
      <c r="BM10" s="887"/>
      <c r="BN10" s="887"/>
      <c r="BO10" s="887"/>
      <c r="BP10" s="887"/>
      <c r="BQ10" s="888">
        <f t="shared" si="12"/>
        <v>15</v>
      </c>
      <c r="BR10" s="892" t="str">
        <f t="shared" si="13"/>
        <v>D</v>
      </c>
      <c r="BS10" s="892" t="str">
        <f t="shared" si="14"/>
        <v>D</v>
      </c>
      <c r="BT10" s="892" t="str">
        <f t="shared" si="15"/>
        <v>D</v>
      </c>
      <c r="BU10" s="892" t="str">
        <f t="shared" si="16"/>
        <v>C</v>
      </c>
      <c r="BV10" s="892" t="str">
        <f t="shared" si="17"/>
        <v>C</v>
      </c>
      <c r="BW10" s="892" t="str">
        <f t="shared" si="18"/>
        <v>B</v>
      </c>
      <c r="BX10" s="892" t="str">
        <f t="shared" si="19"/>
        <v/>
      </c>
      <c r="BY10" s="892" t="str">
        <f t="shared" si="20"/>
        <v>C</v>
      </c>
      <c r="BZ10" s="892" t="str">
        <f t="shared" si="21"/>
        <v>C</v>
      </c>
      <c r="CA10" s="892" t="str">
        <f t="shared" si="22"/>
        <v/>
      </c>
      <c r="CB10" s="892" t="str">
        <f t="shared" si="23"/>
        <v/>
      </c>
      <c r="CC10" s="892" t="str">
        <f t="shared" si="24"/>
        <v/>
      </c>
      <c r="CD10" s="892" t="str">
        <f t="shared" si="25"/>
        <v/>
      </c>
      <c r="CE10" s="892" t="str">
        <f t="shared" si="26"/>
        <v/>
      </c>
      <c r="CF10" s="892" t="str">
        <f t="shared" si="27"/>
        <v/>
      </c>
      <c r="CG10" s="892" t="str">
        <f t="shared" si="28"/>
        <v>E</v>
      </c>
      <c r="CH10" s="891">
        <f>IFERROR(IF($B10&gt;0,PASHEET!AL10+PASHEET!AT10+MARKS!F10+MARKS!N10+MARKS!V10+MARKS!AD10+MARKS!AL10+MARKS!AT10+MARKS!BB10+MARKS!BJ10,""),"Ab")</f>
        <v>27</v>
      </c>
      <c r="CI10" s="891">
        <f>IFERROR(IF($B10&gt;0,PASHEET!AM10+PASHEET!AU10+MARKS!G10+MARKS!O10+MARKS!W10+MARKS!AE10+MARKS!AM10+MARKS!AU10+MARKS!BC10+MARKS!BK10,""),"Ab")</f>
        <v>12</v>
      </c>
      <c r="CJ10" s="891">
        <f>IFERROR(IF($B10&gt;0,PASHEET!AN10+PASHEET!AV10+MARKS!H10+MARKS!P10+MARKS!X10+MARKS!AF10+MARKS!AN10+MARKS!AV10+MARKS!BD10+MARKS!BL10,""),"Ab")</f>
        <v>13</v>
      </c>
      <c r="CK10" s="891">
        <f>IFERROR(IF($B10&gt;0,PASHEET!AO10+PASHEET!AW10+MARKS!I10+MARKS!Q10+MARKS!Y10+MARKS!AG10+MARKS!AO10+MARKS!AW10+MARKS!BE10+MARKS!BM10,""),"Ab")</f>
        <v>15</v>
      </c>
      <c r="CL10" s="891">
        <f>IFERROR(IF($B10&gt;0,PASHEET!AP10+PASHEET!AX10+MARKS!J10+MARKS!R10+MARKS!Z10+MARKS!AH10+MARKS!AP10+MARKS!AX10+MARKS!BF10+MARKS!BN10,""),"Ab")</f>
        <v>15</v>
      </c>
      <c r="CM10" s="891">
        <f>IFERROR(IF($B10&gt;0,PASHEET!AQ10+PASHEET!AY10+MARKS!K10+MARKS!S10+MARKS!AA10+MARKS!AI10+MARKS!AQ10+MARKS!AY10+MARKS!BG10+MARKS!BO10,""),"Ab")</f>
        <v>22</v>
      </c>
      <c r="CN10" s="891">
        <f>IFERROR(IF($B10&gt;0,PASHEET!AR10+PASHEET!AZ10+MARKS!L10+MARKS!T10+MARKS!AB10+MARKS!AJ10+MARKS!AR10+MARKS!AZ10+MARKS!BH10+MARKS!BP10,""),"Ab")</f>
        <v>0</v>
      </c>
      <c r="CO10" s="891">
        <f t="shared" si="29"/>
        <v>104</v>
      </c>
      <c r="CP10" s="893" t="str">
        <f t="shared" si="30"/>
        <v>E</v>
      </c>
      <c r="CQ10" s="893" t="str">
        <f t="shared" si="31"/>
        <v>E</v>
      </c>
      <c r="CR10" s="893" t="str">
        <f t="shared" si="32"/>
        <v>E</v>
      </c>
      <c r="CS10" s="893" t="str">
        <f t="shared" si="33"/>
        <v>E</v>
      </c>
      <c r="CT10" s="893" t="str">
        <f t="shared" si="34"/>
        <v>E</v>
      </c>
      <c r="CU10" s="893" t="str">
        <f t="shared" si="35"/>
        <v>E</v>
      </c>
      <c r="CV10" s="893">
        <f t="shared" si="36"/>
        <v>0</v>
      </c>
      <c r="CW10" s="893" t="str">
        <f t="shared" si="37"/>
        <v>E</v>
      </c>
      <c r="CX10" s="894">
        <f>IFERROR(IF($B10&gt;0,PASHEET!AL10+MARKS!F10+MARKS!N10+MARKS!V10+MARKS!AD10,""),"Ab")</f>
        <v>12</v>
      </c>
      <c r="CY10" s="894">
        <f>IFERROR(IF($B10&gt;0,PASHEET!AM10+MARKS!G10+MARKS!O10+MARKS!W10+MARKS!AE10,""),"Ab")</f>
        <v>12</v>
      </c>
      <c r="CZ10" s="894">
        <f>IFERROR(IF($B10&gt;0,PASHEET!AN10+MARKS!H10+MARKS!P10+MARKS!X10+MARKS!AF10,""),"Ab")</f>
        <v>13</v>
      </c>
      <c r="DA10" s="894">
        <f>IFERROR(IF($B10&gt;0,PASHEET!AO10+MARKS!I10+MARKS!Q10+MARKS!Y10+MARKS!AG10,""),"Ab")</f>
        <v>15</v>
      </c>
      <c r="DB10" s="894">
        <f>IFERROR(IF($B10&gt;0,PASHEET!AP10+MARKS!J10+MARKS!R10+MARKS!Z10+MARKS!AH10,""),"Ab")</f>
        <v>15</v>
      </c>
      <c r="DC10" s="894">
        <f>IFERROR(IF($B10&gt;0,PASHEET!AQ10+MARKS!K10+MARKS!S10+MARKS!AA10+MARKS!AI10,""),"Ab")</f>
        <v>22</v>
      </c>
      <c r="DD10" s="894">
        <f>IFERROR(IF($B10&gt;0,PASHEET!AR10+MARKS!L10+MARKS!T10+MARKS!AB10+MARKS!AJ10,""),"Ab")</f>
        <v>0</v>
      </c>
      <c r="DE10" s="879">
        <f t="shared" si="38"/>
        <v>89</v>
      </c>
      <c r="DF10" s="894" t="str">
        <f t="shared" si="39"/>
        <v>E</v>
      </c>
      <c r="DG10" s="894" t="str">
        <f t="shared" si="40"/>
        <v>E</v>
      </c>
      <c r="DH10" s="894" t="str">
        <f t="shared" si="41"/>
        <v>E</v>
      </c>
      <c r="DI10" s="894" t="str">
        <f t="shared" si="42"/>
        <v>E</v>
      </c>
      <c r="DJ10" s="894" t="str">
        <f t="shared" si="43"/>
        <v>E</v>
      </c>
      <c r="DK10" s="894" t="str">
        <f t="shared" si="44"/>
        <v>D</v>
      </c>
      <c r="DL10" s="894">
        <f t="shared" si="45"/>
        <v>0</v>
      </c>
      <c r="DM10" s="894" t="str">
        <f t="shared" si="46"/>
        <v>E</v>
      </c>
      <c r="DN10" s="894">
        <f>IFERROR(IF($B10&gt;0,PASHEET!AT10+MARKS!AL10+MARKS!AT10+MARKS!BB10+MARKS!BJ10,""),"Ab")</f>
        <v>15</v>
      </c>
      <c r="DO10" s="894">
        <f>IFERROR(IF($B10&gt;0,PASHEET!AU10+MARKS!AM10+MARKS!AU10+MARKS!BC10+MARKS!BK10,""),"Ab")</f>
        <v>0</v>
      </c>
      <c r="DP10" s="894">
        <f>IFERROR(IF($B10&gt;0,PASHEET!AV10+MARKS!AN10+MARKS!AV10+MARKS!BD10+MARKS!BL10,""),"Ab")</f>
        <v>0</v>
      </c>
      <c r="DQ10" s="894">
        <f>IFERROR(IF($B10&gt;0,PASHEET!AW10+MARKS!AO10+MARKS!AW10+MARKS!BE10+MARKS!BM10,""),"Ab")</f>
        <v>0</v>
      </c>
      <c r="DR10" s="894">
        <f>IFERROR(IF($B10&gt;0,PASHEET!AX10+MARKS!AP10+MARKS!AX10+MARKS!BF10+MARKS!BN10,""),"Ab")</f>
        <v>0</v>
      </c>
      <c r="DS10" s="894">
        <f>IFERROR(IF($B10&gt;0,PASHEET!AY10+MARKS!AQ10+MARKS!AY10+MARKS!BG10+MARKS!BO10,""),"Ab")</f>
        <v>0</v>
      </c>
      <c r="DT10" s="894">
        <f>IFERROR(IF($B10&gt;0,PASHEET!AZ10+MARKS!AR10+MARKS!AZ10+MARKS!BH10+MARKS!BP10,""),"Ab")</f>
        <v>0</v>
      </c>
      <c r="DU10" s="879">
        <f t="shared" si="47"/>
        <v>15</v>
      </c>
      <c r="DV10" s="894" t="str">
        <f t="shared" si="48"/>
        <v>E</v>
      </c>
      <c r="DW10" s="894">
        <f t="shared" si="49"/>
        <v>0</v>
      </c>
      <c r="DX10" s="894">
        <f t="shared" si="50"/>
        <v>0</v>
      </c>
      <c r="DY10" s="894">
        <f t="shared" si="51"/>
        <v>0</v>
      </c>
      <c r="DZ10" s="894">
        <f t="shared" si="52"/>
        <v>0</v>
      </c>
      <c r="EA10" s="894">
        <f t="shared" si="53"/>
        <v>0</v>
      </c>
      <c r="EB10" s="894">
        <f t="shared" si="54"/>
        <v>0</v>
      </c>
      <c r="EC10" s="894" t="str">
        <f t="shared" si="55"/>
        <v>E</v>
      </c>
    </row>
    <row r="11" spans="1:133">
      <c r="A11" s="879">
        <v>8</v>
      </c>
      <c r="B11" s="879">
        <f>STUDENT!F9</f>
        <v>14769</v>
      </c>
      <c r="C11" s="879">
        <f>STUDENT!D9</f>
        <v>20230095636</v>
      </c>
      <c r="D11" s="886" t="str">
        <f>STUDENT!E9</f>
        <v>DEEPANSHU</v>
      </c>
      <c r="E11" s="886" t="str">
        <f>STUDENT!H9</f>
        <v>AKHILESH KUMAR</v>
      </c>
      <c r="F11" s="887"/>
      <c r="G11" s="887"/>
      <c r="H11" s="887"/>
      <c r="I11" s="887"/>
      <c r="J11" s="887"/>
      <c r="K11" s="887"/>
      <c r="L11" s="887"/>
      <c r="M11" s="888">
        <f t="shared" si="0"/>
        <v>0</v>
      </c>
      <c r="N11" s="887"/>
      <c r="O11" s="887"/>
      <c r="P11" s="887"/>
      <c r="Q11" s="887"/>
      <c r="R11" s="887"/>
      <c r="S11" s="887"/>
      <c r="T11" s="887"/>
      <c r="U11" s="889">
        <f t="shared" si="7"/>
        <v>0</v>
      </c>
      <c r="V11" s="887"/>
      <c r="W11" s="887"/>
      <c r="X11" s="887"/>
      <c r="Y11" s="887"/>
      <c r="Z11" s="887"/>
      <c r="AA11" s="887"/>
      <c r="AB11" s="887"/>
      <c r="AC11" s="890">
        <f t="shared" si="8"/>
        <v>0</v>
      </c>
      <c r="AD11" s="887">
        <v>22</v>
      </c>
      <c r="AE11" s="887">
        <v>17</v>
      </c>
      <c r="AF11" s="887">
        <v>21</v>
      </c>
      <c r="AG11" s="887">
        <v>21</v>
      </c>
      <c r="AH11" s="887">
        <v>22</v>
      </c>
      <c r="AI11" s="887">
        <v>28</v>
      </c>
      <c r="AJ11" s="887"/>
      <c r="AK11" s="888">
        <f t="shared" si="1"/>
        <v>131</v>
      </c>
      <c r="AL11" s="887"/>
      <c r="AM11" s="887"/>
      <c r="AN11" s="887"/>
      <c r="AO11" s="887"/>
      <c r="AP11" s="887"/>
      <c r="AQ11" s="887"/>
      <c r="AR11" s="887"/>
      <c r="AS11" s="891">
        <f t="shared" si="9"/>
        <v>0</v>
      </c>
      <c r="AT11" s="887"/>
      <c r="AU11" s="887"/>
      <c r="AV11" s="887"/>
      <c r="AW11" s="887"/>
      <c r="AX11" s="887"/>
      <c r="AY11" s="887"/>
      <c r="AZ11" s="887"/>
      <c r="BA11" s="889">
        <f t="shared" si="10"/>
        <v>0</v>
      </c>
      <c r="BB11" s="887"/>
      <c r="BC11" s="887"/>
      <c r="BD11" s="887"/>
      <c r="BE11" s="887"/>
      <c r="BF11" s="887"/>
      <c r="BG11" s="887"/>
      <c r="BH11" s="887"/>
      <c r="BI11" s="890">
        <f t="shared" si="11"/>
        <v>0</v>
      </c>
      <c r="BJ11" s="887">
        <v>23</v>
      </c>
      <c r="BK11" s="887"/>
      <c r="BL11" s="887"/>
      <c r="BM11" s="887"/>
      <c r="BN11" s="887"/>
      <c r="BO11" s="887"/>
      <c r="BP11" s="887"/>
      <c r="BQ11" s="888">
        <f t="shared" si="12"/>
        <v>23</v>
      </c>
      <c r="BR11" s="892" t="str">
        <f t="shared" si="13"/>
        <v>B</v>
      </c>
      <c r="BS11" s="892" t="str">
        <f t="shared" si="14"/>
        <v>C</v>
      </c>
      <c r="BT11" s="892" t="str">
        <f t="shared" si="15"/>
        <v>B</v>
      </c>
      <c r="BU11" s="892" t="str">
        <f t="shared" si="16"/>
        <v>B</v>
      </c>
      <c r="BV11" s="892" t="str">
        <f t="shared" si="17"/>
        <v>B</v>
      </c>
      <c r="BW11" s="892" t="str">
        <f t="shared" si="18"/>
        <v>A</v>
      </c>
      <c r="BX11" s="892" t="str">
        <f t="shared" si="19"/>
        <v/>
      </c>
      <c r="BY11" s="892" t="str">
        <f t="shared" si="20"/>
        <v>B</v>
      </c>
      <c r="BZ11" s="892" t="str">
        <f t="shared" si="21"/>
        <v>C</v>
      </c>
      <c r="CA11" s="892" t="str">
        <f t="shared" si="22"/>
        <v/>
      </c>
      <c r="CB11" s="892" t="str">
        <f t="shared" si="23"/>
        <v/>
      </c>
      <c r="CC11" s="892" t="str">
        <f t="shared" si="24"/>
        <v/>
      </c>
      <c r="CD11" s="892" t="str">
        <f t="shared" si="25"/>
        <v/>
      </c>
      <c r="CE11" s="892" t="str">
        <f t="shared" si="26"/>
        <v/>
      </c>
      <c r="CF11" s="892" t="str">
        <f t="shared" si="27"/>
        <v/>
      </c>
      <c r="CG11" s="892" t="str">
        <f t="shared" si="28"/>
        <v>E</v>
      </c>
      <c r="CH11" s="891">
        <f>IFERROR(IF($B11&gt;0,PASHEET!AL11+PASHEET!AT11+MARKS!F11+MARKS!N11+MARKS!V11+MARKS!AD11+MARKS!AL11+MARKS!AT11+MARKS!BB11+MARKS!BJ11,""),"Ab")</f>
        <v>47</v>
      </c>
      <c r="CI11" s="891">
        <f>IFERROR(IF($B11&gt;0,PASHEET!AM11+PASHEET!AU11+MARKS!G11+MARKS!O11+MARKS!W11+MARKS!AE11+MARKS!AM11+MARKS!AU11+MARKS!BC11+MARKS!BK11,""),"Ab")</f>
        <v>18</v>
      </c>
      <c r="CJ11" s="891">
        <f>IFERROR(IF($B11&gt;0,PASHEET!AN11+PASHEET!AV11+MARKS!H11+MARKS!P11+MARKS!X11+MARKS!AF11+MARKS!AN11+MARKS!AV11+MARKS!BD11+MARKS!BL11,""),"Ab")</f>
        <v>23</v>
      </c>
      <c r="CK11" s="891">
        <f>IFERROR(IF($B11&gt;0,PASHEET!AO11+PASHEET!AW11+MARKS!I11+MARKS!Q11+MARKS!Y11+MARKS!AG11+MARKS!AO11+MARKS!AW11+MARKS!BE11+MARKS!BM11,""),"Ab")</f>
        <v>23</v>
      </c>
      <c r="CL11" s="891">
        <f>IFERROR(IF($B11&gt;0,PASHEET!AP11+PASHEET!AX11+MARKS!J11+MARKS!R11+MARKS!Z11+MARKS!AH11+MARKS!AP11+MARKS!AX11+MARKS!BF11+MARKS!BN11,""),"Ab")</f>
        <v>22</v>
      </c>
      <c r="CM11" s="891">
        <f>IFERROR(IF($B11&gt;0,PASHEET!AQ11+PASHEET!AY11+MARKS!K11+MARKS!S11+MARKS!AA11+MARKS!AI11+MARKS!AQ11+MARKS!AY11+MARKS!BG11+MARKS!BO11,""),"Ab")</f>
        <v>30</v>
      </c>
      <c r="CN11" s="891">
        <f>IFERROR(IF($B11&gt;0,PASHEET!AR11+PASHEET!AZ11+MARKS!L11+MARKS!T11+MARKS!AB11+MARKS!AJ11+MARKS!AR11+MARKS!AZ11+MARKS!BH11+MARKS!BP11,""),"Ab")</f>
        <v>0</v>
      </c>
      <c r="CO11" s="891">
        <f t="shared" si="29"/>
        <v>163</v>
      </c>
      <c r="CP11" s="893" t="str">
        <f t="shared" si="30"/>
        <v>C</v>
      </c>
      <c r="CQ11" s="893" t="str">
        <f t="shared" si="31"/>
        <v>E</v>
      </c>
      <c r="CR11" s="893" t="str">
        <f t="shared" si="32"/>
        <v>E</v>
      </c>
      <c r="CS11" s="893" t="str">
        <f t="shared" si="33"/>
        <v>E</v>
      </c>
      <c r="CT11" s="893" t="str">
        <f t="shared" si="34"/>
        <v>E</v>
      </c>
      <c r="CU11" s="893" t="str">
        <f t="shared" si="35"/>
        <v>E</v>
      </c>
      <c r="CV11" s="893">
        <f t="shared" si="36"/>
        <v>0</v>
      </c>
      <c r="CW11" s="893" t="str">
        <f t="shared" si="37"/>
        <v>E</v>
      </c>
      <c r="CX11" s="894">
        <f>IFERROR(IF($B11&gt;0,PASHEET!AL11+MARKS!F11+MARKS!N11+MARKS!V11+MARKS!AD11,""),"Ab")</f>
        <v>24</v>
      </c>
      <c r="CY11" s="894">
        <f>IFERROR(IF($B11&gt;0,PASHEET!AM11+MARKS!G11+MARKS!O11+MARKS!W11+MARKS!AE11,""),"Ab")</f>
        <v>18</v>
      </c>
      <c r="CZ11" s="894">
        <f>IFERROR(IF($B11&gt;0,PASHEET!AN11+MARKS!H11+MARKS!P11+MARKS!X11+MARKS!AF11,""),"Ab")</f>
        <v>23</v>
      </c>
      <c r="DA11" s="894">
        <f>IFERROR(IF($B11&gt;0,PASHEET!AO11+MARKS!I11+MARKS!Q11+MARKS!Y11+MARKS!AG11,""),"Ab")</f>
        <v>23</v>
      </c>
      <c r="DB11" s="894">
        <f>IFERROR(IF($B11&gt;0,PASHEET!AP11+MARKS!J11+MARKS!R11+MARKS!Z11+MARKS!AH11,""),"Ab")</f>
        <v>22</v>
      </c>
      <c r="DC11" s="894">
        <f>IFERROR(IF($B11&gt;0,PASHEET!AQ11+MARKS!K11+MARKS!S11+MARKS!AA11+MARKS!AI11,""),"Ab")</f>
        <v>30</v>
      </c>
      <c r="DD11" s="894">
        <f>IFERROR(IF($B11&gt;0,PASHEET!AR11+MARKS!L11+MARKS!T11+MARKS!AB11+MARKS!AJ11,""),"Ab")</f>
        <v>0</v>
      </c>
      <c r="DE11" s="879">
        <f t="shared" si="38"/>
        <v>140</v>
      </c>
      <c r="DF11" s="894" t="str">
        <f t="shared" si="39"/>
        <v>C</v>
      </c>
      <c r="DG11" s="894" t="str">
        <f t="shared" si="40"/>
        <v>D</v>
      </c>
      <c r="DH11" s="894" t="str">
        <f t="shared" si="41"/>
        <v>C</v>
      </c>
      <c r="DI11" s="894" t="str">
        <f t="shared" si="42"/>
        <v>C</v>
      </c>
      <c r="DJ11" s="894" t="str">
        <f t="shared" si="43"/>
        <v>D</v>
      </c>
      <c r="DK11" s="894" t="str">
        <f t="shared" si="44"/>
        <v>C</v>
      </c>
      <c r="DL11" s="894">
        <f t="shared" si="45"/>
        <v>0</v>
      </c>
      <c r="DM11" s="894" t="str">
        <f t="shared" si="46"/>
        <v>C</v>
      </c>
      <c r="DN11" s="894">
        <f>IFERROR(IF($B11&gt;0,PASHEET!AT11+MARKS!AL11+MARKS!AT11+MARKS!BB11+MARKS!BJ11,""),"Ab")</f>
        <v>23</v>
      </c>
      <c r="DO11" s="894">
        <f>IFERROR(IF($B11&gt;0,PASHEET!AU11+MARKS!AM11+MARKS!AU11+MARKS!BC11+MARKS!BK11,""),"Ab")</f>
        <v>0</v>
      </c>
      <c r="DP11" s="894">
        <f>IFERROR(IF($B11&gt;0,PASHEET!AV11+MARKS!AN11+MARKS!AV11+MARKS!BD11+MARKS!BL11,""),"Ab")</f>
        <v>0</v>
      </c>
      <c r="DQ11" s="894">
        <f>IFERROR(IF($B11&gt;0,PASHEET!AW11+MARKS!AO11+MARKS!AW11+MARKS!BE11+MARKS!BM11,""),"Ab")</f>
        <v>0</v>
      </c>
      <c r="DR11" s="894">
        <f>IFERROR(IF($B11&gt;0,PASHEET!AX11+MARKS!AP11+MARKS!AX11+MARKS!BF11+MARKS!BN11,""),"Ab")</f>
        <v>0</v>
      </c>
      <c r="DS11" s="894">
        <f>IFERROR(IF($B11&gt;0,PASHEET!AY11+MARKS!AQ11+MARKS!AY11+MARKS!BG11+MARKS!BO11,""),"Ab")</f>
        <v>0</v>
      </c>
      <c r="DT11" s="894">
        <f>IFERROR(IF($B11&gt;0,PASHEET!AZ11+MARKS!AR11+MARKS!AZ11+MARKS!BH11+MARKS!BP11,""),"Ab")</f>
        <v>0</v>
      </c>
      <c r="DU11" s="879">
        <f t="shared" si="47"/>
        <v>23</v>
      </c>
      <c r="DV11" s="894" t="str">
        <f t="shared" si="48"/>
        <v>C</v>
      </c>
      <c r="DW11" s="894">
        <f t="shared" si="49"/>
        <v>0</v>
      </c>
      <c r="DX11" s="894">
        <f t="shared" si="50"/>
        <v>0</v>
      </c>
      <c r="DY11" s="894">
        <f t="shared" si="51"/>
        <v>0</v>
      </c>
      <c r="DZ11" s="894">
        <f t="shared" si="52"/>
        <v>0</v>
      </c>
      <c r="EA11" s="894">
        <f t="shared" si="53"/>
        <v>0</v>
      </c>
      <c r="EB11" s="894">
        <f t="shared" si="54"/>
        <v>0</v>
      </c>
      <c r="EC11" s="894" t="str">
        <f t="shared" si="55"/>
        <v>E</v>
      </c>
    </row>
    <row r="12" spans="1:133">
      <c r="A12" s="879">
        <v>9</v>
      </c>
      <c r="B12" s="879">
        <f>STUDENT!F10</f>
        <v>14754</v>
      </c>
      <c r="C12" s="879">
        <f>STUDENT!D10</f>
        <v>20230130143</v>
      </c>
      <c r="D12" s="886" t="str">
        <f>STUDENT!E10</f>
        <v>ANUJ</v>
      </c>
      <c r="E12" s="886" t="str">
        <f>STUDENT!H10</f>
        <v>RANJEET DAS</v>
      </c>
      <c r="F12" s="887"/>
      <c r="G12" s="887"/>
      <c r="H12" s="887"/>
      <c r="I12" s="887"/>
      <c r="J12" s="887"/>
      <c r="K12" s="887"/>
      <c r="L12" s="887"/>
      <c r="M12" s="888">
        <f t="shared" si="0"/>
        <v>0</v>
      </c>
      <c r="N12" s="887"/>
      <c r="O12" s="887"/>
      <c r="P12" s="887"/>
      <c r="Q12" s="887"/>
      <c r="R12" s="887"/>
      <c r="S12" s="887"/>
      <c r="T12" s="887"/>
      <c r="U12" s="889">
        <f t="shared" si="7"/>
        <v>0</v>
      </c>
      <c r="V12" s="887"/>
      <c r="W12" s="887"/>
      <c r="X12" s="887"/>
      <c r="Y12" s="887"/>
      <c r="Z12" s="887"/>
      <c r="AA12" s="887"/>
      <c r="AB12" s="887"/>
      <c r="AC12" s="890">
        <f t="shared" si="8"/>
        <v>0</v>
      </c>
      <c r="AD12" s="887">
        <v>19</v>
      </c>
      <c r="AE12" s="887">
        <v>21</v>
      </c>
      <c r="AF12" s="887">
        <v>22</v>
      </c>
      <c r="AG12" s="887">
        <v>23</v>
      </c>
      <c r="AH12" s="887">
        <v>23</v>
      </c>
      <c r="AI12" s="887">
        <v>18</v>
      </c>
      <c r="AJ12" s="887"/>
      <c r="AK12" s="888">
        <f t="shared" si="1"/>
        <v>126</v>
      </c>
      <c r="AL12" s="887"/>
      <c r="AM12" s="887"/>
      <c r="AN12" s="887"/>
      <c r="AO12" s="887"/>
      <c r="AP12" s="887"/>
      <c r="AQ12" s="887"/>
      <c r="AR12" s="887"/>
      <c r="AS12" s="891">
        <f t="shared" si="9"/>
        <v>0</v>
      </c>
      <c r="AT12" s="887"/>
      <c r="AU12" s="887"/>
      <c r="AV12" s="887"/>
      <c r="AW12" s="887"/>
      <c r="AX12" s="887"/>
      <c r="AY12" s="887"/>
      <c r="AZ12" s="887"/>
      <c r="BA12" s="889">
        <f t="shared" si="10"/>
        <v>0</v>
      </c>
      <c r="BB12" s="887"/>
      <c r="BC12" s="887"/>
      <c r="BD12" s="887"/>
      <c r="BE12" s="887"/>
      <c r="BF12" s="887"/>
      <c r="BG12" s="887"/>
      <c r="BH12" s="887"/>
      <c r="BI12" s="890">
        <f t="shared" si="11"/>
        <v>0</v>
      </c>
      <c r="BJ12" s="887">
        <v>25</v>
      </c>
      <c r="BK12" s="887"/>
      <c r="BL12" s="887"/>
      <c r="BM12" s="887"/>
      <c r="BN12" s="887"/>
      <c r="BO12" s="887"/>
      <c r="BP12" s="887"/>
      <c r="BQ12" s="888">
        <f t="shared" si="12"/>
        <v>25</v>
      </c>
      <c r="BR12" s="892" t="str">
        <f t="shared" si="13"/>
        <v>B</v>
      </c>
      <c r="BS12" s="892" t="str">
        <f t="shared" si="14"/>
        <v>B</v>
      </c>
      <c r="BT12" s="892" t="str">
        <f t="shared" si="15"/>
        <v>B</v>
      </c>
      <c r="BU12" s="892" t="str">
        <f t="shared" si="16"/>
        <v>B</v>
      </c>
      <c r="BV12" s="892" t="str">
        <f t="shared" si="17"/>
        <v>B</v>
      </c>
      <c r="BW12" s="892" t="str">
        <f t="shared" si="18"/>
        <v>C</v>
      </c>
      <c r="BX12" s="892" t="str">
        <f t="shared" si="19"/>
        <v/>
      </c>
      <c r="BY12" s="892" t="str">
        <f t="shared" si="20"/>
        <v>B</v>
      </c>
      <c r="BZ12" s="892" t="str">
        <f t="shared" si="21"/>
        <v>A</v>
      </c>
      <c r="CA12" s="892" t="str">
        <f t="shared" si="22"/>
        <v/>
      </c>
      <c r="CB12" s="892" t="str">
        <f t="shared" si="23"/>
        <v/>
      </c>
      <c r="CC12" s="892" t="str">
        <f t="shared" si="24"/>
        <v/>
      </c>
      <c r="CD12" s="892" t="str">
        <f t="shared" si="25"/>
        <v/>
      </c>
      <c r="CE12" s="892" t="str">
        <f t="shared" si="26"/>
        <v/>
      </c>
      <c r="CF12" s="892" t="str">
        <f t="shared" si="27"/>
        <v/>
      </c>
      <c r="CG12" s="892" t="str">
        <f t="shared" si="28"/>
        <v>E</v>
      </c>
      <c r="CH12" s="891">
        <f>IFERROR(IF($B12&gt;0,PASHEET!AL12+PASHEET!AT12+MARKS!F12+MARKS!N12+MARKS!V12+MARKS!AD12+MARKS!AL12+MARKS!AT12+MARKS!BB12+MARKS!BJ12,""),"Ab")</f>
        <v>46</v>
      </c>
      <c r="CI12" s="891">
        <f>IFERROR(IF($B12&gt;0,PASHEET!AM12+PASHEET!AU12+MARKS!G12+MARKS!O12+MARKS!W12+MARKS!AE12+MARKS!AM12+MARKS!AU12+MARKS!BC12+MARKS!BK12,""),"Ab")</f>
        <v>23</v>
      </c>
      <c r="CJ12" s="891">
        <f>IFERROR(IF($B12&gt;0,PASHEET!AN12+PASHEET!AV12+MARKS!H12+MARKS!P12+MARKS!X12+MARKS!AF12+MARKS!AN12+MARKS!AV12+MARKS!BD12+MARKS!BL12,""),"Ab")</f>
        <v>23</v>
      </c>
      <c r="CK12" s="891">
        <f>IFERROR(IF($B12&gt;0,PASHEET!AO12+PASHEET!AW12+MARKS!I12+MARKS!Q12+MARKS!Y12+MARKS!AG12+MARKS!AO12+MARKS!AW12+MARKS!BE12+MARKS!BM12,""),"Ab")</f>
        <v>24</v>
      </c>
      <c r="CL12" s="891">
        <f>IFERROR(IF($B12&gt;0,PASHEET!AP12+PASHEET!AX12+MARKS!J12+MARKS!R12+MARKS!Z12+MARKS!AH12+MARKS!AP12+MARKS!AX12+MARKS!BF12+MARKS!BN12,""),"Ab")</f>
        <v>23</v>
      </c>
      <c r="CM12" s="891">
        <f>IFERROR(IF($B12&gt;0,PASHEET!AQ12+PASHEET!AY12+MARKS!K12+MARKS!S12+MARKS!AA12+MARKS!AI12+MARKS!AQ12+MARKS!AY12+MARKS!BG12+MARKS!BO12,""),"Ab")</f>
        <v>20</v>
      </c>
      <c r="CN12" s="891">
        <f>IFERROR(IF($B12&gt;0,PASHEET!AR12+PASHEET!AZ12+MARKS!L12+MARKS!T12+MARKS!AB12+MARKS!AJ12+MARKS!AR12+MARKS!AZ12+MARKS!BH12+MARKS!BP12,""),"Ab")</f>
        <v>0</v>
      </c>
      <c r="CO12" s="891">
        <f t="shared" si="29"/>
        <v>159</v>
      </c>
      <c r="CP12" s="893" t="str">
        <f t="shared" si="30"/>
        <v>C</v>
      </c>
      <c r="CQ12" s="893" t="str">
        <f t="shared" si="31"/>
        <v>E</v>
      </c>
      <c r="CR12" s="893" t="str">
        <f t="shared" si="32"/>
        <v>E</v>
      </c>
      <c r="CS12" s="893" t="str">
        <f t="shared" si="33"/>
        <v>E</v>
      </c>
      <c r="CT12" s="893" t="str">
        <f t="shared" si="34"/>
        <v>E</v>
      </c>
      <c r="CU12" s="893" t="str">
        <f t="shared" si="35"/>
        <v>E</v>
      </c>
      <c r="CV12" s="893">
        <f t="shared" si="36"/>
        <v>0</v>
      </c>
      <c r="CW12" s="893" t="str">
        <f t="shared" si="37"/>
        <v>E</v>
      </c>
      <c r="CX12" s="894">
        <f>IFERROR(IF($B12&gt;0,PASHEET!AL12+MARKS!F12+MARKS!N12+MARKS!V12+MARKS!AD12,""),"Ab")</f>
        <v>21</v>
      </c>
      <c r="CY12" s="894">
        <f>IFERROR(IF($B12&gt;0,PASHEET!AM12+MARKS!G12+MARKS!O12+MARKS!W12+MARKS!AE12,""),"Ab")</f>
        <v>23</v>
      </c>
      <c r="CZ12" s="894">
        <f>IFERROR(IF($B12&gt;0,PASHEET!AN12+MARKS!H12+MARKS!P12+MARKS!X12+MARKS!AF12,""),"Ab")</f>
        <v>23</v>
      </c>
      <c r="DA12" s="894">
        <f>IFERROR(IF($B12&gt;0,PASHEET!AO12+MARKS!I12+MARKS!Q12+MARKS!Y12+MARKS!AG12,""),"Ab")</f>
        <v>24</v>
      </c>
      <c r="DB12" s="894">
        <f>IFERROR(IF($B12&gt;0,PASHEET!AP12+MARKS!J12+MARKS!R12+MARKS!Z12+MARKS!AH12,""),"Ab")</f>
        <v>23</v>
      </c>
      <c r="DC12" s="894">
        <f>IFERROR(IF($B12&gt;0,PASHEET!AQ12+MARKS!K12+MARKS!S12+MARKS!AA12+MARKS!AI12,""),"Ab")</f>
        <v>20</v>
      </c>
      <c r="DD12" s="894">
        <f>IFERROR(IF($B12&gt;0,PASHEET!AR12+MARKS!L12+MARKS!T12+MARKS!AB12+MARKS!AJ12,""),"Ab")</f>
        <v>0</v>
      </c>
      <c r="DE12" s="879">
        <f t="shared" si="38"/>
        <v>134</v>
      </c>
      <c r="DF12" s="894" t="str">
        <f t="shared" si="39"/>
        <v>D</v>
      </c>
      <c r="DG12" s="894" t="str">
        <f t="shared" si="40"/>
        <v>C</v>
      </c>
      <c r="DH12" s="894" t="str">
        <f t="shared" si="41"/>
        <v>C</v>
      </c>
      <c r="DI12" s="894" t="str">
        <f t="shared" si="42"/>
        <v>C</v>
      </c>
      <c r="DJ12" s="894" t="str">
        <f t="shared" si="43"/>
        <v>C</v>
      </c>
      <c r="DK12" s="894" t="str">
        <f t="shared" si="44"/>
        <v>D</v>
      </c>
      <c r="DL12" s="894">
        <f t="shared" si="45"/>
        <v>0</v>
      </c>
      <c r="DM12" s="894" t="str">
        <f t="shared" si="46"/>
        <v>C</v>
      </c>
      <c r="DN12" s="894">
        <f>IFERROR(IF($B12&gt;0,PASHEET!AT12+MARKS!AL12+MARKS!AT12+MARKS!BB12+MARKS!BJ12,""),"Ab")</f>
        <v>25</v>
      </c>
      <c r="DO12" s="894">
        <f>IFERROR(IF($B12&gt;0,PASHEET!AU12+MARKS!AM12+MARKS!AU12+MARKS!BC12+MARKS!BK12,""),"Ab")</f>
        <v>0</v>
      </c>
      <c r="DP12" s="894">
        <f>IFERROR(IF($B12&gt;0,PASHEET!AV12+MARKS!AN12+MARKS!AV12+MARKS!BD12+MARKS!BL12,""),"Ab")</f>
        <v>0</v>
      </c>
      <c r="DQ12" s="894">
        <f>IFERROR(IF($B12&gt;0,PASHEET!AW12+MARKS!AO12+MARKS!AW12+MARKS!BE12+MARKS!BM12,""),"Ab")</f>
        <v>0</v>
      </c>
      <c r="DR12" s="894">
        <f>IFERROR(IF($B12&gt;0,PASHEET!AX12+MARKS!AP12+MARKS!AX12+MARKS!BF12+MARKS!BN12,""),"Ab")</f>
        <v>0</v>
      </c>
      <c r="DS12" s="894">
        <f>IFERROR(IF($B12&gt;0,PASHEET!AY12+MARKS!AQ12+MARKS!AY12+MARKS!BG12+MARKS!BO12,""),"Ab")</f>
        <v>0</v>
      </c>
      <c r="DT12" s="894">
        <f>IFERROR(IF($B12&gt;0,PASHEET!AZ12+MARKS!AR12+MARKS!AZ12+MARKS!BH12+MARKS!BP12,""),"Ab")</f>
        <v>0</v>
      </c>
      <c r="DU12" s="879">
        <f t="shared" si="47"/>
        <v>25</v>
      </c>
      <c r="DV12" s="894" t="str">
        <f t="shared" si="48"/>
        <v>C</v>
      </c>
      <c r="DW12" s="894">
        <f t="shared" si="49"/>
        <v>0</v>
      </c>
      <c r="DX12" s="894">
        <f t="shared" si="50"/>
        <v>0</v>
      </c>
      <c r="DY12" s="894">
        <f t="shared" si="51"/>
        <v>0</v>
      </c>
      <c r="DZ12" s="894">
        <f t="shared" si="52"/>
        <v>0</v>
      </c>
      <c r="EA12" s="894">
        <f t="shared" si="53"/>
        <v>0</v>
      </c>
      <c r="EB12" s="894">
        <f t="shared" si="54"/>
        <v>0</v>
      </c>
      <c r="EC12" s="894" t="str">
        <f t="shared" si="55"/>
        <v>E</v>
      </c>
    </row>
    <row r="13" spans="1:133">
      <c r="A13" s="879">
        <v>10</v>
      </c>
      <c r="B13" s="879">
        <f>STUDENT!F11</f>
        <v>14774</v>
      </c>
      <c r="C13" s="879">
        <f>STUDENT!D11</f>
        <v>20230268614</v>
      </c>
      <c r="D13" s="886" t="str">
        <f>STUDENT!E11</f>
        <v>PIYUSH KUMAR</v>
      </c>
      <c r="E13" s="886" t="str">
        <f>STUDENT!H11</f>
        <v>MUNNA LAL</v>
      </c>
      <c r="F13" s="887"/>
      <c r="G13" s="887"/>
      <c r="H13" s="887"/>
      <c r="I13" s="887"/>
      <c r="J13" s="887"/>
      <c r="K13" s="887"/>
      <c r="L13" s="887"/>
      <c r="M13" s="888">
        <f t="shared" si="0"/>
        <v>0</v>
      </c>
      <c r="N13" s="887"/>
      <c r="O13" s="887"/>
      <c r="P13" s="887"/>
      <c r="Q13" s="887"/>
      <c r="R13" s="887"/>
      <c r="S13" s="887"/>
      <c r="T13" s="887"/>
      <c r="U13" s="889">
        <f t="shared" si="7"/>
        <v>0</v>
      </c>
      <c r="V13" s="887"/>
      <c r="W13" s="887"/>
      <c r="X13" s="887"/>
      <c r="Y13" s="887"/>
      <c r="Z13" s="887"/>
      <c r="AA13" s="887"/>
      <c r="AB13" s="887"/>
      <c r="AC13" s="890">
        <f t="shared" si="8"/>
        <v>0</v>
      </c>
      <c r="AD13" s="887">
        <v>21</v>
      </c>
      <c r="AE13" s="887">
        <v>22</v>
      </c>
      <c r="AF13" s="887">
        <v>22</v>
      </c>
      <c r="AG13" s="887">
        <v>21</v>
      </c>
      <c r="AH13" s="887">
        <v>21</v>
      </c>
      <c r="AI13" s="887">
        <v>20</v>
      </c>
      <c r="AJ13" s="887"/>
      <c r="AK13" s="888">
        <f t="shared" si="1"/>
        <v>127</v>
      </c>
      <c r="AL13" s="887"/>
      <c r="AM13" s="887"/>
      <c r="AN13" s="887"/>
      <c r="AO13" s="887"/>
      <c r="AP13" s="887"/>
      <c r="AQ13" s="887"/>
      <c r="AR13" s="887"/>
      <c r="AS13" s="891">
        <f t="shared" si="9"/>
        <v>0</v>
      </c>
      <c r="AT13" s="887"/>
      <c r="AU13" s="887"/>
      <c r="AV13" s="887"/>
      <c r="AW13" s="887"/>
      <c r="AX13" s="887"/>
      <c r="AY13" s="887"/>
      <c r="AZ13" s="887"/>
      <c r="BA13" s="889">
        <f t="shared" si="10"/>
        <v>0</v>
      </c>
      <c r="BB13" s="887"/>
      <c r="BC13" s="887"/>
      <c r="BD13" s="887"/>
      <c r="BE13" s="887"/>
      <c r="BF13" s="887"/>
      <c r="BG13" s="887"/>
      <c r="BH13" s="887"/>
      <c r="BI13" s="890">
        <f t="shared" si="11"/>
        <v>0</v>
      </c>
      <c r="BJ13" s="887">
        <v>23</v>
      </c>
      <c r="BK13" s="887"/>
      <c r="BL13" s="887"/>
      <c r="BM13" s="887"/>
      <c r="BN13" s="887"/>
      <c r="BO13" s="887"/>
      <c r="BP13" s="887"/>
      <c r="BQ13" s="888">
        <f t="shared" si="12"/>
        <v>23</v>
      </c>
      <c r="BR13" s="892" t="str">
        <f t="shared" si="13"/>
        <v>B</v>
      </c>
      <c r="BS13" s="892" t="str">
        <f t="shared" si="14"/>
        <v>B</v>
      </c>
      <c r="BT13" s="892" t="str">
        <f t="shared" si="15"/>
        <v>B</v>
      </c>
      <c r="BU13" s="892" t="str">
        <f t="shared" si="16"/>
        <v>B</v>
      </c>
      <c r="BV13" s="892" t="str">
        <f t="shared" si="17"/>
        <v>B</v>
      </c>
      <c r="BW13" s="892" t="str">
        <f t="shared" si="18"/>
        <v>B</v>
      </c>
      <c r="BX13" s="892" t="str">
        <f t="shared" si="19"/>
        <v/>
      </c>
      <c r="BY13" s="892" t="str">
        <f t="shared" si="20"/>
        <v>B</v>
      </c>
      <c r="BZ13" s="892" t="str">
        <f t="shared" si="21"/>
        <v>C</v>
      </c>
      <c r="CA13" s="892" t="str">
        <f t="shared" si="22"/>
        <v/>
      </c>
      <c r="CB13" s="892" t="str">
        <f t="shared" si="23"/>
        <v/>
      </c>
      <c r="CC13" s="892" t="str">
        <f t="shared" si="24"/>
        <v/>
      </c>
      <c r="CD13" s="892" t="str">
        <f t="shared" si="25"/>
        <v/>
      </c>
      <c r="CE13" s="892" t="str">
        <f t="shared" si="26"/>
        <v/>
      </c>
      <c r="CF13" s="892" t="str">
        <f t="shared" si="27"/>
        <v/>
      </c>
      <c r="CG13" s="892" t="str">
        <f t="shared" si="28"/>
        <v>E</v>
      </c>
      <c r="CH13" s="891">
        <f>IFERROR(IF($B13&gt;0,PASHEET!AL13+PASHEET!AT13+MARKS!F13+MARKS!N13+MARKS!V13+MARKS!AD13+MARKS!AL13+MARKS!AT13+MARKS!BB13+MARKS!BJ13,""),"Ab")</f>
        <v>46</v>
      </c>
      <c r="CI13" s="891">
        <f>IFERROR(IF($B13&gt;0,PASHEET!AM13+PASHEET!AU13+MARKS!G13+MARKS!O13+MARKS!W13+MARKS!AE13+MARKS!AM13+MARKS!AU13+MARKS!BC13+MARKS!BK13,""),"Ab")</f>
        <v>23</v>
      </c>
      <c r="CJ13" s="891">
        <f>IFERROR(IF($B13&gt;0,PASHEET!AN13+PASHEET!AV13+MARKS!H13+MARKS!P13+MARKS!X13+MARKS!AF13+MARKS!AN13+MARKS!AV13+MARKS!BD13+MARKS!BL13,""),"Ab")</f>
        <v>24</v>
      </c>
      <c r="CK13" s="891">
        <f>IFERROR(IF($B13&gt;0,PASHEET!AO13+PASHEET!AW13+MARKS!I13+MARKS!Q13+MARKS!Y13+MARKS!AG13+MARKS!AO13+MARKS!AW13+MARKS!BE13+MARKS!BM13,""),"Ab")</f>
        <v>23</v>
      </c>
      <c r="CL13" s="891">
        <f>IFERROR(IF($B13&gt;0,PASHEET!AP13+PASHEET!AX13+MARKS!J13+MARKS!R13+MARKS!Z13+MARKS!AH13+MARKS!AP13+MARKS!AX13+MARKS!BF13+MARKS!BN13,""),"Ab")</f>
        <v>21</v>
      </c>
      <c r="CM13" s="891">
        <f>IFERROR(IF($B13&gt;0,PASHEET!AQ13+PASHEET!AY13+MARKS!K13+MARKS!S13+MARKS!AA13+MARKS!AI13+MARKS!AQ13+MARKS!AY13+MARKS!BG13+MARKS!BO13,""),"Ab")</f>
        <v>22</v>
      </c>
      <c r="CN13" s="891">
        <f>IFERROR(IF($B13&gt;0,PASHEET!AR13+PASHEET!AZ13+MARKS!L13+MARKS!T13+MARKS!AB13+MARKS!AJ13+MARKS!AR13+MARKS!AZ13+MARKS!BH13+MARKS!BP13,""),"Ab")</f>
        <v>0</v>
      </c>
      <c r="CO13" s="891">
        <f t="shared" si="29"/>
        <v>159</v>
      </c>
      <c r="CP13" s="893" t="str">
        <f t="shared" si="30"/>
        <v>C</v>
      </c>
      <c r="CQ13" s="893" t="str">
        <f t="shared" si="31"/>
        <v>E</v>
      </c>
      <c r="CR13" s="893" t="str">
        <f t="shared" si="32"/>
        <v>E</v>
      </c>
      <c r="CS13" s="893" t="str">
        <f t="shared" si="33"/>
        <v>E</v>
      </c>
      <c r="CT13" s="893" t="str">
        <f t="shared" si="34"/>
        <v>E</v>
      </c>
      <c r="CU13" s="893" t="str">
        <f t="shared" si="35"/>
        <v>E</v>
      </c>
      <c r="CV13" s="893">
        <f t="shared" si="36"/>
        <v>0</v>
      </c>
      <c r="CW13" s="893" t="str">
        <f t="shared" si="37"/>
        <v>E</v>
      </c>
      <c r="CX13" s="894">
        <f>IFERROR(IF($B13&gt;0,PASHEET!AL13+MARKS!F13+MARKS!N13+MARKS!V13+MARKS!AD13,""),"Ab")</f>
        <v>23</v>
      </c>
      <c r="CY13" s="894">
        <f>IFERROR(IF($B13&gt;0,PASHEET!AM13+MARKS!G13+MARKS!O13+MARKS!W13+MARKS!AE13,""),"Ab")</f>
        <v>23</v>
      </c>
      <c r="CZ13" s="894">
        <f>IFERROR(IF($B13&gt;0,PASHEET!AN13+MARKS!H13+MARKS!P13+MARKS!X13+MARKS!AF13,""),"Ab")</f>
        <v>24</v>
      </c>
      <c r="DA13" s="894">
        <f>IFERROR(IF($B13&gt;0,PASHEET!AO13+MARKS!I13+MARKS!Q13+MARKS!Y13+MARKS!AG13,""),"Ab")</f>
        <v>23</v>
      </c>
      <c r="DB13" s="894">
        <f>IFERROR(IF($B13&gt;0,PASHEET!AP13+MARKS!J13+MARKS!R13+MARKS!Z13+MARKS!AH13,""),"Ab")</f>
        <v>21</v>
      </c>
      <c r="DC13" s="894">
        <f>IFERROR(IF($B13&gt;0,PASHEET!AQ13+MARKS!K13+MARKS!S13+MARKS!AA13+MARKS!AI13,""),"Ab")</f>
        <v>22</v>
      </c>
      <c r="DD13" s="894">
        <f>IFERROR(IF($B13&gt;0,PASHEET!AR13+MARKS!L13+MARKS!T13+MARKS!AB13+MARKS!AJ13,""),"Ab")</f>
        <v>0</v>
      </c>
      <c r="DE13" s="879">
        <f t="shared" si="38"/>
        <v>136</v>
      </c>
      <c r="DF13" s="894" t="str">
        <f t="shared" si="39"/>
        <v>C</v>
      </c>
      <c r="DG13" s="894" t="str">
        <f t="shared" si="40"/>
        <v>C</v>
      </c>
      <c r="DH13" s="894" t="str">
        <f t="shared" si="41"/>
        <v>C</v>
      </c>
      <c r="DI13" s="894" t="str">
        <f t="shared" si="42"/>
        <v>C</v>
      </c>
      <c r="DJ13" s="894" t="str">
        <f t="shared" si="43"/>
        <v>D</v>
      </c>
      <c r="DK13" s="894" t="str">
        <f t="shared" si="44"/>
        <v>D</v>
      </c>
      <c r="DL13" s="894">
        <f t="shared" si="45"/>
        <v>0</v>
      </c>
      <c r="DM13" s="894" t="str">
        <f t="shared" si="46"/>
        <v>C</v>
      </c>
      <c r="DN13" s="894">
        <f>IFERROR(IF($B13&gt;0,PASHEET!AT13+MARKS!AL13+MARKS!AT13+MARKS!BB13+MARKS!BJ13,""),"Ab")</f>
        <v>23</v>
      </c>
      <c r="DO13" s="894">
        <f>IFERROR(IF($B13&gt;0,PASHEET!AU13+MARKS!AM13+MARKS!AU13+MARKS!BC13+MARKS!BK13,""),"Ab")</f>
        <v>0</v>
      </c>
      <c r="DP13" s="894">
        <f>IFERROR(IF($B13&gt;0,PASHEET!AV13+MARKS!AN13+MARKS!AV13+MARKS!BD13+MARKS!BL13,""),"Ab")</f>
        <v>0</v>
      </c>
      <c r="DQ13" s="894">
        <f>IFERROR(IF($B13&gt;0,PASHEET!AW13+MARKS!AO13+MARKS!AW13+MARKS!BE13+MARKS!BM13,""),"Ab")</f>
        <v>0</v>
      </c>
      <c r="DR13" s="894">
        <f>IFERROR(IF($B13&gt;0,PASHEET!AX13+MARKS!AP13+MARKS!AX13+MARKS!BF13+MARKS!BN13,""),"Ab")</f>
        <v>0</v>
      </c>
      <c r="DS13" s="894">
        <f>IFERROR(IF($B13&gt;0,PASHEET!AY13+MARKS!AQ13+MARKS!AY13+MARKS!BG13+MARKS!BO13,""),"Ab")</f>
        <v>0</v>
      </c>
      <c r="DT13" s="894">
        <f>IFERROR(IF($B13&gt;0,PASHEET!AZ13+MARKS!AR13+MARKS!AZ13+MARKS!BH13+MARKS!BP13,""),"Ab")</f>
        <v>0</v>
      </c>
      <c r="DU13" s="879">
        <f t="shared" si="47"/>
        <v>23</v>
      </c>
      <c r="DV13" s="894" t="str">
        <f t="shared" si="48"/>
        <v>C</v>
      </c>
      <c r="DW13" s="894">
        <f t="shared" si="49"/>
        <v>0</v>
      </c>
      <c r="DX13" s="894">
        <f t="shared" si="50"/>
        <v>0</v>
      </c>
      <c r="DY13" s="894">
        <f t="shared" si="51"/>
        <v>0</v>
      </c>
      <c r="DZ13" s="894">
        <f t="shared" si="52"/>
        <v>0</v>
      </c>
      <c r="EA13" s="894">
        <f t="shared" si="53"/>
        <v>0</v>
      </c>
      <c r="EB13" s="894">
        <f t="shared" si="54"/>
        <v>0</v>
      </c>
      <c r="EC13" s="894" t="str">
        <f t="shared" si="55"/>
        <v>E</v>
      </c>
    </row>
    <row r="14" spans="1:133">
      <c r="A14" s="879">
        <v>11</v>
      </c>
      <c r="B14" s="879">
        <f>STUDENT!F12</f>
        <v>14775</v>
      </c>
      <c r="C14" s="879">
        <f>STUDENT!D12</f>
        <v>20230349168</v>
      </c>
      <c r="D14" s="886" t="str">
        <f>STUDENT!E12</f>
        <v>MD MAHTAB</v>
      </c>
      <c r="E14" s="886" t="str">
        <f>STUDENT!H12</f>
        <v>MD ASRAF</v>
      </c>
      <c r="F14" s="887"/>
      <c r="G14" s="887"/>
      <c r="H14" s="887"/>
      <c r="I14" s="887"/>
      <c r="J14" s="887"/>
      <c r="K14" s="887"/>
      <c r="L14" s="887"/>
      <c r="M14" s="888">
        <f t="shared" si="0"/>
        <v>0</v>
      </c>
      <c r="N14" s="887"/>
      <c r="O14" s="887"/>
      <c r="P14" s="887"/>
      <c r="Q14" s="887"/>
      <c r="R14" s="887"/>
      <c r="S14" s="887"/>
      <c r="T14" s="887"/>
      <c r="U14" s="889">
        <f t="shared" si="7"/>
        <v>0</v>
      </c>
      <c r="V14" s="887"/>
      <c r="W14" s="887"/>
      <c r="X14" s="887"/>
      <c r="Y14" s="887"/>
      <c r="Z14" s="887"/>
      <c r="AA14" s="887"/>
      <c r="AB14" s="887"/>
      <c r="AC14" s="890">
        <f t="shared" si="8"/>
        <v>0</v>
      </c>
      <c r="AD14" s="887">
        <v>15</v>
      </c>
      <c r="AE14" s="887">
        <v>12</v>
      </c>
      <c r="AF14" s="887">
        <v>17</v>
      </c>
      <c r="AG14" s="887">
        <v>18</v>
      </c>
      <c r="AH14" s="887">
        <v>18</v>
      </c>
      <c r="AI14" s="887">
        <v>20</v>
      </c>
      <c r="AJ14" s="887"/>
      <c r="AK14" s="888">
        <f t="shared" si="1"/>
        <v>100</v>
      </c>
      <c r="AL14" s="887"/>
      <c r="AM14" s="887"/>
      <c r="AN14" s="887"/>
      <c r="AO14" s="887"/>
      <c r="AP14" s="887"/>
      <c r="AQ14" s="887"/>
      <c r="AR14" s="887"/>
      <c r="AS14" s="891">
        <f t="shared" si="9"/>
        <v>0</v>
      </c>
      <c r="AT14" s="887"/>
      <c r="AU14" s="887"/>
      <c r="AV14" s="887"/>
      <c r="AW14" s="887"/>
      <c r="AX14" s="887"/>
      <c r="AY14" s="887"/>
      <c r="AZ14" s="887"/>
      <c r="BA14" s="889">
        <f t="shared" si="10"/>
        <v>0</v>
      </c>
      <c r="BB14" s="887"/>
      <c r="BC14" s="887"/>
      <c r="BD14" s="887"/>
      <c r="BE14" s="887"/>
      <c r="BF14" s="887"/>
      <c r="BG14" s="887"/>
      <c r="BH14" s="887"/>
      <c r="BI14" s="890">
        <f t="shared" si="11"/>
        <v>0</v>
      </c>
      <c r="BJ14" s="887">
        <v>20</v>
      </c>
      <c r="BK14" s="887"/>
      <c r="BL14" s="887"/>
      <c r="BM14" s="887"/>
      <c r="BN14" s="887"/>
      <c r="BO14" s="887"/>
      <c r="BP14" s="887"/>
      <c r="BQ14" s="888">
        <f t="shared" si="12"/>
        <v>20</v>
      </c>
      <c r="BR14" s="892" t="str">
        <f t="shared" si="13"/>
        <v>C</v>
      </c>
      <c r="BS14" s="892" t="str">
        <f t="shared" si="14"/>
        <v>D</v>
      </c>
      <c r="BT14" s="892" t="str">
        <f t="shared" si="15"/>
        <v>C</v>
      </c>
      <c r="BU14" s="892" t="str">
        <f t="shared" si="16"/>
        <v>C</v>
      </c>
      <c r="BV14" s="892" t="str">
        <f t="shared" si="17"/>
        <v>C</v>
      </c>
      <c r="BW14" s="892" t="str">
        <f t="shared" si="18"/>
        <v>B</v>
      </c>
      <c r="BX14" s="892" t="str">
        <f t="shared" si="19"/>
        <v/>
      </c>
      <c r="BY14" s="892" t="str">
        <f t="shared" si="20"/>
        <v>C</v>
      </c>
      <c r="BZ14" s="892" t="str">
        <f t="shared" si="21"/>
        <v>C</v>
      </c>
      <c r="CA14" s="892" t="str">
        <f t="shared" si="22"/>
        <v/>
      </c>
      <c r="CB14" s="892" t="str">
        <f t="shared" si="23"/>
        <v/>
      </c>
      <c r="CC14" s="892" t="str">
        <f t="shared" si="24"/>
        <v/>
      </c>
      <c r="CD14" s="892" t="str">
        <f t="shared" si="25"/>
        <v/>
      </c>
      <c r="CE14" s="892" t="str">
        <f t="shared" si="26"/>
        <v/>
      </c>
      <c r="CF14" s="892" t="str">
        <f t="shared" si="27"/>
        <v/>
      </c>
      <c r="CG14" s="892" t="str">
        <f t="shared" si="28"/>
        <v>E</v>
      </c>
      <c r="CH14" s="891">
        <f>IFERROR(IF($B14&gt;0,PASHEET!AL14+PASHEET!AT14+MARKS!F14+MARKS!N14+MARKS!V14+MARKS!AD14+MARKS!AL14+MARKS!AT14+MARKS!BB14+MARKS!BJ14,""),"Ab")</f>
        <v>35</v>
      </c>
      <c r="CI14" s="891">
        <f>IFERROR(IF($B14&gt;0,PASHEET!AM14+PASHEET!AU14+MARKS!G14+MARKS!O14+MARKS!W14+MARKS!AE14+MARKS!AM14+MARKS!AU14+MARKS!BC14+MARKS!BK14,""),"Ab")</f>
        <v>12</v>
      </c>
      <c r="CJ14" s="891">
        <f>IFERROR(IF($B14&gt;0,PASHEET!AN14+PASHEET!AV14+MARKS!H14+MARKS!P14+MARKS!X14+MARKS!AF14+MARKS!AN14+MARKS!AV14+MARKS!BD14+MARKS!BL14,""),"Ab")</f>
        <v>17</v>
      </c>
      <c r="CK14" s="891">
        <f>IFERROR(IF($B14&gt;0,PASHEET!AO14+PASHEET!AW14+MARKS!I14+MARKS!Q14+MARKS!Y14+MARKS!AG14+MARKS!AO14+MARKS!AW14+MARKS!BE14+MARKS!BM14,""),"Ab")</f>
        <v>18</v>
      </c>
      <c r="CL14" s="891">
        <f>IFERROR(IF($B14&gt;0,PASHEET!AP14+PASHEET!AX14+MARKS!J14+MARKS!R14+MARKS!Z14+MARKS!AH14+MARKS!AP14+MARKS!AX14+MARKS!BF14+MARKS!BN14,""),"Ab")</f>
        <v>18</v>
      </c>
      <c r="CM14" s="891">
        <f>IFERROR(IF($B14&gt;0,PASHEET!AQ14+PASHEET!AY14+MARKS!K14+MARKS!S14+MARKS!AA14+MARKS!AI14+MARKS!AQ14+MARKS!AY14+MARKS!BG14+MARKS!BO14,""),"Ab")</f>
        <v>20</v>
      </c>
      <c r="CN14" s="891">
        <f>IFERROR(IF($B14&gt;0,PASHEET!AR14+PASHEET!AZ14+MARKS!L14+MARKS!T14+MARKS!AB14+MARKS!AJ14+MARKS!AR14+MARKS!AZ14+MARKS!BH14+MARKS!BP14,""),"Ab")</f>
        <v>0</v>
      </c>
      <c r="CO14" s="891">
        <f t="shared" si="29"/>
        <v>120</v>
      </c>
      <c r="CP14" s="893" t="str">
        <f t="shared" si="30"/>
        <v>D</v>
      </c>
      <c r="CQ14" s="893" t="str">
        <f t="shared" si="31"/>
        <v>E</v>
      </c>
      <c r="CR14" s="893" t="str">
        <f t="shared" si="32"/>
        <v>E</v>
      </c>
      <c r="CS14" s="893" t="str">
        <f t="shared" si="33"/>
        <v>E</v>
      </c>
      <c r="CT14" s="893" t="str">
        <f t="shared" si="34"/>
        <v>E</v>
      </c>
      <c r="CU14" s="893" t="str">
        <f t="shared" si="35"/>
        <v>E</v>
      </c>
      <c r="CV14" s="893">
        <f t="shared" si="36"/>
        <v>0</v>
      </c>
      <c r="CW14" s="893" t="str">
        <f t="shared" si="37"/>
        <v>E</v>
      </c>
      <c r="CX14" s="894">
        <f>IFERROR(IF($B14&gt;0,PASHEET!AL14+MARKS!F14+MARKS!N14+MARKS!V14+MARKS!AD14,""),"Ab")</f>
        <v>15</v>
      </c>
      <c r="CY14" s="894">
        <f>IFERROR(IF($B14&gt;0,PASHEET!AM14+MARKS!G14+MARKS!O14+MARKS!W14+MARKS!AE14,""),"Ab")</f>
        <v>12</v>
      </c>
      <c r="CZ14" s="894">
        <f>IFERROR(IF($B14&gt;0,PASHEET!AN14+MARKS!H14+MARKS!P14+MARKS!X14+MARKS!AF14,""),"Ab")</f>
        <v>17</v>
      </c>
      <c r="DA14" s="894">
        <f>IFERROR(IF($B14&gt;0,PASHEET!AO14+MARKS!I14+MARKS!Q14+MARKS!Y14+MARKS!AG14,""),"Ab")</f>
        <v>18</v>
      </c>
      <c r="DB14" s="894">
        <f>IFERROR(IF($B14&gt;0,PASHEET!AP14+MARKS!J14+MARKS!R14+MARKS!Z14+MARKS!AH14,""),"Ab")</f>
        <v>18</v>
      </c>
      <c r="DC14" s="894">
        <f>IFERROR(IF($B14&gt;0,PASHEET!AQ14+MARKS!K14+MARKS!S14+MARKS!AA14+MARKS!AI14,""),"Ab")</f>
        <v>20</v>
      </c>
      <c r="DD14" s="894">
        <f>IFERROR(IF($B14&gt;0,PASHEET!AR14+MARKS!L14+MARKS!T14+MARKS!AB14+MARKS!AJ14,""),"Ab")</f>
        <v>0</v>
      </c>
      <c r="DE14" s="879">
        <f t="shared" si="38"/>
        <v>100</v>
      </c>
      <c r="DF14" s="894" t="str">
        <f t="shared" si="39"/>
        <v>E</v>
      </c>
      <c r="DG14" s="894" t="str">
        <f t="shared" si="40"/>
        <v>E</v>
      </c>
      <c r="DH14" s="894" t="str">
        <f t="shared" si="41"/>
        <v>D</v>
      </c>
      <c r="DI14" s="894" t="str">
        <f t="shared" si="42"/>
        <v>D</v>
      </c>
      <c r="DJ14" s="894" t="str">
        <f t="shared" si="43"/>
        <v>D</v>
      </c>
      <c r="DK14" s="894" t="str">
        <f t="shared" si="44"/>
        <v>D</v>
      </c>
      <c r="DL14" s="894">
        <f t="shared" si="45"/>
        <v>0</v>
      </c>
      <c r="DM14" s="894" t="str">
        <f t="shared" si="46"/>
        <v>D</v>
      </c>
      <c r="DN14" s="894">
        <f>IFERROR(IF($B14&gt;0,PASHEET!AT14+MARKS!AL14+MARKS!AT14+MARKS!BB14+MARKS!BJ14,""),"Ab")</f>
        <v>20</v>
      </c>
      <c r="DO14" s="894">
        <f>IFERROR(IF($B14&gt;0,PASHEET!AU14+MARKS!AM14+MARKS!AU14+MARKS!BC14+MARKS!BK14,""),"Ab")</f>
        <v>0</v>
      </c>
      <c r="DP14" s="894">
        <f>IFERROR(IF($B14&gt;0,PASHEET!AV14+MARKS!AN14+MARKS!AV14+MARKS!BD14+MARKS!BL14,""),"Ab")</f>
        <v>0</v>
      </c>
      <c r="DQ14" s="894">
        <f>IFERROR(IF($B14&gt;0,PASHEET!AW14+MARKS!AO14+MARKS!AW14+MARKS!BE14+MARKS!BM14,""),"Ab")</f>
        <v>0</v>
      </c>
      <c r="DR14" s="894">
        <f>IFERROR(IF($B14&gt;0,PASHEET!AX14+MARKS!AP14+MARKS!AX14+MARKS!BF14+MARKS!BN14,""),"Ab")</f>
        <v>0</v>
      </c>
      <c r="DS14" s="894">
        <f>IFERROR(IF($B14&gt;0,PASHEET!AY14+MARKS!AQ14+MARKS!AY14+MARKS!BG14+MARKS!BO14,""),"Ab")</f>
        <v>0</v>
      </c>
      <c r="DT14" s="894">
        <f>IFERROR(IF($B14&gt;0,PASHEET!AZ14+MARKS!AR14+MARKS!AZ14+MARKS!BH14+MARKS!BP14,""),"Ab")</f>
        <v>0</v>
      </c>
      <c r="DU14" s="879">
        <f t="shared" si="47"/>
        <v>20</v>
      </c>
      <c r="DV14" s="894" t="str">
        <f t="shared" si="48"/>
        <v>D</v>
      </c>
      <c r="DW14" s="894">
        <f t="shared" si="49"/>
        <v>0</v>
      </c>
      <c r="DX14" s="894">
        <f t="shared" si="50"/>
        <v>0</v>
      </c>
      <c r="DY14" s="894">
        <f t="shared" si="51"/>
        <v>0</v>
      </c>
      <c r="DZ14" s="894">
        <f t="shared" si="52"/>
        <v>0</v>
      </c>
      <c r="EA14" s="894">
        <f t="shared" si="53"/>
        <v>0</v>
      </c>
      <c r="EB14" s="894">
        <f t="shared" si="54"/>
        <v>0</v>
      </c>
      <c r="EC14" s="894" t="str">
        <f t="shared" si="55"/>
        <v>E</v>
      </c>
    </row>
    <row r="15" spans="1:133">
      <c r="A15" s="879">
        <v>12</v>
      </c>
      <c r="B15" s="879">
        <f>STUDENT!F13</f>
        <v>14734</v>
      </c>
      <c r="C15" s="879">
        <f>STUDENT!D13</f>
        <v>20240008153</v>
      </c>
      <c r="D15" s="886" t="str">
        <f>STUDENT!E13</f>
        <v>PRADEEP</v>
      </c>
      <c r="E15" s="886" t="str">
        <f>STUDENT!H13</f>
        <v>RAM BHAWAN</v>
      </c>
      <c r="F15" s="887"/>
      <c r="G15" s="887"/>
      <c r="H15" s="887"/>
      <c r="I15" s="887"/>
      <c r="J15" s="887"/>
      <c r="K15" s="887"/>
      <c r="L15" s="887"/>
      <c r="M15" s="888">
        <f t="shared" si="0"/>
        <v>0</v>
      </c>
      <c r="N15" s="887"/>
      <c r="O15" s="887"/>
      <c r="P15" s="887"/>
      <c r="Q15" s="887"/>
      <c r="R15" s="887"/>
      <c r="S15" s="887"/>
      <c r="T15" s="887"/>
      <c r="U15" s="889">
        <f t="shared" si="7"/>
        <v>0</v>
      </c>
      <c r="V15" s="887"/>
      <c r="W15" s="887"/>
      <c r="X15" s="887"/>
      <c r="Y15" s="887"/>
      <c r="Z15" s="887"/>
      <c r="AA15" s="887"/>
      <c r="AB15" s="887"/>
      <c r="AC15" s="890">
        <f t="shared" si="8"/>
        <v>0</v>
      </c>
      <c r="AD15" s="887">
        <v>16</v>
      </c>
      <c r="AE15" s="887">
        <v>11</v>
      </c>
      <c r="AF15" s="887">
        <v>23</v>
      </c>
      <c r="AG15" s="887">
        <v>24</v>
      </c>
      <c r="AH15" s="887">
        <v>23</v>
      </c>
      <c r="AI15" s="887">
        <v>18</v>
      </c>
      <c r="AJ15" s="887"/>
      <c r="AK15" s="888">
        <f t="shared" si="1"/>
        <v>115</v>
      </c>
      <c r="AL15" s="887"/>
      <c r="AM15" s="887"/>
      <c r="AN15" s="887"/>
      <c r="AO15" s="887"/>
      <c r="AP15" s="887"/>
      <c r="AQ15" s="887"/>
      <c r="AR15" s="887"/>
      <c r="AS15" s="891">
        <f t="shared" si="9"/>
        <v>0</v>
      </c>
      <c r="AT15" s="887"/>
      <c r="AU15" s="887"/>
      <c r="AV15" s="887"/>
      <c r="AW15" s="887"/>
      <c r="AX15" s="887"/>
      <c r="AY15" s="887"/>
      <c r="AZ15" s="887"/>
      <c r="BA15" s="889">
        <f t="shared" si="10"/>
        <v>0</v>
      </c>
      <c r="BB15" s="887"/>
      <c r="BC15" s="887"/>
      <c r="BD15" s="887"/>
      <c r="BE15" s="887"/>
      <c r="BF15" s="887"/>
      <c r="BG15" s="887"/>
      <c r="BH15" s="887"/>
      <c r="BI15" s="890">
        <f t="shared" si="11"/>
        <v>0</v>
      </c>
      <c r="BJ15" s="887">
        <v>18</v>
      </c>
      <c r="BK15" s="887"/>
      <c r="BL15" s="887"/>
      <c r="BM15" s="887"/>
      <c r="BN15" s="887"/>
      <c r="BO15" s="887"/>
      <c r="BP15" s="887"/>
      <c r="BQ15" s="888">
        <f t="shared" si="12"/>
        <v>18</v>
      </c>
      <c r="BR15" s="892" t="str">
        <f t="shared" si="13"/>
        <v>C</v>
      </c>
      <c r="BS15" s="892" t="str">
        <f t="shared" si="14"/>
        <v>D</v>
      </c>
      <c r="BT15" s="892" t="str">
        <f t="shared" si="15"/>
        <v>B</v>
      </c>
      <c r="BU15" s="892" t="str">
        <f t="shared" si="16"/>
        <v>B</v>
      </c>
      <c r="BV15" s="892" t="str">
        <f t="shared" si="17"/>
        <v>B</v>
      </c>
      <c r="BW15" s="892" t="str">
        <f t="shared" si="18"/>
        <v>C</v>
      </c>
      <c r="BX15" s="892" t="str">
        <f t="shared" si="19"/>
        <v/>
      </c>
      <c r="BY15" s="892" t="str">
        <f t="shared" si="20"/>
        <v>B</v>
      </c>
      <c r="BZ15" s="892" t="str">
        <f t="shared" si="21"/>
        <v>C</v>
      </c>
      <c r="CA15" s="892" t="str">
        <f t="shared" si="22"/>
        <v/>
      </c>
      <c r="CB15" s="892" t="str">
        <f t="shared" si="23"/>
        <v/>
      </c>
      <c r="CC15" s="892" t="str">
        <f t="shared" si="24"/>
        <v/>
      </c>
      <c r="CD15" s="892" t="str">
        <f t="shared" si="25"/>
        <v/>
      </c>
      <c r="CE15" s="892" t="str">
        <f t="shared" si="26"/>
        <v/>
      </c>
      <c r="CF15" s="892" t="str">
        <f t="shared" si="27"/>
        <v/>
      </c>
      <c r="CG15" s="892" t="str">
        <f t="shared" si="28"/>
        <v>E</v>
      </c>
      <c r="CH15" s="891">
        <f>IFERROR(IF($B15&gt;0,PASHEET!AL15+PASHEET!AT15+MARKS!F15+MARKS!N15+MARKS!V15+MARKS!AD15+MARKS!AL15+MARKS!AT15+MARKS!BB15+MARKS!BJ15,""),"Ab")</f>
        <v>35</v>
      </c>
      <c r="CI15" s="891">
        <f>IFERROR(IF($B15&gt;0,PASHEET!AM15+PASHEET!AU15+MARKS!G15+MARKS!O15+MARKS!W15+MARKS!AE15+MARKS!AM15+MARKS!AU15+MARKS!BC15+MARKS!BK15,""),"Ab")</f>
        <v>12</v>
      </c>
      <c r="CJ15" s="891">
        <f>IFERROR(IF($B15&gt;0,PASHEET!AN15+PASHEET!AV15+MARKS!H15+MARKS!P15+MARKS!X15+MARKS!AF15+MARKS!AN15+MARKS!AV15+MARKS!BD15+MARKS!BL15,""),"Ab")</f>
        <v>24</v>
      </c>
      <c r="CK15" s="891">
        <f>IFERROR(IF($B15&gt;0,PASHEET!AO15+PASHEET!AW15+MARKS!I15+MARKS!Q15+MARKS!Y15+MARKS!AG15+MARKS!AO15+MARKS!AW15+MARKS!BE15+MARKS!BM15,""),"Ab")</f>
        <v>25</v>
      </c>
      <c r="CL15" s="891">
        <f>IFERROR(IF($B15&gt;0,PASHEET!AP15+PASHEET!AX15+MARKS!J15+MARKS!R15+MARKS!Z15+MARKS!AH15+MARKS!AP15+MARKS!AX15+MARKS!BF15+MARKS!BN15,""),"Ab")</f>
        <v>23</v>
      </c>
      <c r="CM15" s="891">
        <f>IFERROR(IF($B15&gt;0,PASHEET!AQ15+PASHEET!AY15+MARKS!K15+MARKS!S15+MARKS!AA15+MARKS!AI15+MARKS!AQ15+MARKS!AY15+MARKS!BG15+MARKS!BO15,""),"Ab")</f>
        <v>20</v>
      </c>
      <c r="CN15" s="891">
        <f>IFERROR(IF($B15&gt;0,PASHEET!AR15+PASHEET!AZ15+MARKS!L15+MARKS!T15+MARKS!AB15+MARKS!AJ15+MARKS!AR15+MARKS!AZ15+MARKS!BH15+MARKS!BP15,""),"Ab")</f>
        <v>0</v>
      </c>
      <c r="CO15" s="891">
        <f t="shared" si="29"/>
        <v>139</v>
      </c>
      <c r="CP15" s="893" t="str">
        <f t="shared" si="30"/>
        <v>D</v>
      </c>
      <c r="CQ15" s="893" t="str">
        <f t="shared" si="31"/>
        <v>E</v>
      </c>
      <c r="CR15" s="893" t="str">
        <f t="shared" si="32"/>
        <v>E</v>
      </c>
      <c r="CS15" s="893" t="str">
        <f t="shared" si="33"/>
        <v>E</v>
      </c>
      <c r="CT15" s="893" t="str">
        <f t="shared" si="34"/>
        <v>E</v>
      </c>
      <c r="CU15" s="893" t="str">
        <f t="shared" si="35"/>
        <v>E</v>
      </c>
      <c r="CV15" s="893">
        <f t="shared" si="36"/>
        <v>0</v>
      </c>
      <c r="CW15" s="893" t="str">
        <f t="shared" si="37"/>
        <v>E</v>
      </c>
      <c r="CX15" s="894">
        <f>IFERROR(IF($B15&gt;0,PASHEET!AL15+MARKS!F15+MARKS!N15+MARKS!V15+MARKS!AD15,""),"Ab")</f>
        <v>17</v>
      </c>
      <c r="CY15" s="894">
        <f>IFERROR(IF($B15&gt;0,PASHEET!AM15+MARKS!G15+MARKS!O15+MARKS!W15+MARKS!AE15,""),"Ab")</f>
        <v>12</v>
      </c>
      <c r="CZ15" s="894">
        <f>IFERROR(IF($B15&gt;0,PASHEET!AN15+MARKS!H15+MARKS!P15+MARKS!X15+MARKS!AF15,""),"Ab")</f>
        <v>24</v>
      </c>
      <c r="DA15" s="894">
        <f>IFERROR(IF($B15&gt;0,PASHEET!AO15+MARKS!I15+MARKS!Q15+MARKS!Y15+MARKS!AG15,""),"Ab")</f>
        <v>25</v>
      </c>
      <c r="DB15" s="894">
        <f>IFERROR(IF($B15&gt;0,PASHEET!AP15+MARKS!J15+MARKS!R15+MARKS!Z15+MARKS!AH15,""),"Ab")</f>
        <v>23</v>
      </c>
      <c r="DC15" s="894">
        <f>IFERROR(IF($B15&gt;0,PASHEET!AQ15+MARKS!K15+MARKS!S15+MARKS!AA15+MARKS!AI15,""),"Ab")</f>
        <v>20</v>
      </c>
      <c r="DD15" s="894">
        <f>IFERROR(IF($B15&gt;0,PASHEET!AR15+MARKS!L15+MARKS!T15+MARKS!AB15+MARKS!AJ15,""),"Ab")</f>
        <v>0</v>
      </c>
      <c r="DE15" s="879">
        <f t="shared" si="38"/>
        <v>121</v>
      </c>
      <c r="DF15" s="894" t="str">
        <f t="shared" si="39"/>
        <v>D</v>
      </c>
      <c r="DG15" s="894" t="str">
        <f t="shared" si="40"/>
        <v>E</v>
      </c>
      <c r="DH15" s="894" t="str">
        <f t="shared" si="41"/>
        <v>C</v>
      </c>
      <c r="DI15" s="894" t="str">
        <f t="shared" si="42"/>
        <v>C</v>
      </c>
      <c r="DJ15" s="894" t="str">
        <f t="shared" si="43"/>
        <v>C</v>
      </c>
      <c r="DK15" s="894" t="str">
        <f t="shared" si="44"/>
        <v>D</v>
      </c>
      <c r="DL15" s="894">
        <f t="shared" si="45"/>
        <v>0</v>
      </c>
      <c r="DM15" s="894" t="str">
        <f t="shared" si="46"/>
        <v>D</v>
      </c>
      <c r="DN15" s="894">
        <f>IFERROR(IF($B15&gt;0,PASHEET!AT15+MARKS!AL15+MARKS!AT15+MARKS!BB15+MARKS!BJ15,""),"Ab")</f>
        <v>18</v>
      </c>
      <c r="DO15" s="894">
        <f>IFERROR(IF($B15&gt;0,PASHEET!AU15+MARKS!AM15+MARKS!AU15+MARKS!BC15+MARKS!BK15,""),"Ab")</f>
        <v>0</v>
      </c>
      <c r="DP15" s="894">
        <f>IFERROR(IF($B15&gt;0,PASHEET!AV15+MARKS!AN15+MARKS!AV15+MARKS!BD15+MARKS!BL15,""),"Ab")</f>
        <v>0</v>
      </c>
      <c r="DQ15" s="894">
        <f>IFERROR(IF($B15&gt;0,PASHEET!AW15+MARKS!AO15+MARKS!AW15+MARKS!BE15+MARKS!BM15,""),"Ab")</f>
        <v>0</v>
      </c>
      <c r="DR15" s="894">
        <f>IFERROR(IF($B15&gt;0,PASHEET!AX15+MARKS!AP15+MARKS!AX15+MARKS!BF15+MARKS!BN15,""),"Ab")</f>
        <v>0</v>
      </c>
      <c r="DS15" s="894">
        <f>IFERROR(IF($B15&gt;0,PASHEET!AY15+MARKS!AQ15+MARKS!AY15+MARKS!BG15+MARKS!BO15,""),"Ab")</f>
        <v>0</v>
      </c>
      <c r="DT15" s="894">
        <f>IFERROR(IF($B15&gt;0,PASHEET!AZ15+MARKS!AR15+MARKS!AZ15+MARKS!BH15+MARKS!BP15,""),"Ab")</f>
        <v>0</v>
      </c>
      <c r="DU15" s="879">
        <f t="shared" si="47"/>
        <v>18</v>
      </c>
      <c r="DV15" s="894" t="str">
        <f t="shared" si="48"/>
        <v>D</v>
      </c>
      <c r="DW15" s="894">
        <f t="shared" si="49"/>
        <v>0</v>
      </c>
      <c r="DX15" s="894">
        <f t="shared" si="50"/>
        <v>0</v>
      </c>
      <c r="DY15" s="894">
        <f t="shared" si="51"/>
        <v>0</v>
      </c>
      <c r="DZ15" s="894">
        <f t="shared" si="52"/>
        <v>0</v>
      </c>
      <c r="EA15" s="894">
        <f t="shared" si="53"/>
        <v>0</v>
      </c>
      <c r="EB15" s="894">
        <f t="shared" si="54"/>
        <v>0</v>
      </c>
      <c r="EC15" s="894" t="str">
        <f t="shared" si="55"/>
        <v>E</v>
      </c>
    </row>
    <row r="16" spans="1:133">
      <c r="A16" s="879">
        <v>13</v>
      </c>
      <c r="B16" s="879">
        <f>STUDENT!F14</f>
        <v>14735</v>
      </c>
      <c r="C16" s="879">
        <f>STUDENT!D14</f>
        <v>20240008167</v>
      </c>
      <c r="D16" s="886" t="str">
        <f>STUDENT!E14</f>
        <v>MOHD JISAN</v>
      </c>
      <c r="E16" s="886" t="str">
        <f>STUDENT!H14</f>
        <v>MD ZAMEEL</v>
      </c>
      <c r="F16" s="887"/>
      <c r="G16" s="887"/>
      <c r="H16" s="887"/>
      <c r="I16" s="887"/>
      <c r="J16" s="887"/>
      <c r="K16" s="887"/>
      <c r="L16" s="887"/>
      <c r="M16" s="888">
        <f t="shared" si="0"/>
        <v>0</v>
      </c>
      <c r="N16" s="887"/>
      <c r="O16" s="887"/>
      <c r="P16" s="887"/>
      <c r="Q16" s="887"/>
      <c r="R16" s="887"/>
      <c r="S16" s="887"/>
      <c r="T16" s="887"/>
      <c r="U16" s="889">
        <f t="shared" si="7"/>
        <v>0</v>
      </c>
      <c r="V16" s="887"/>
      <c r="W16" s="887"/>
      <c r="X16" s="887"/>
      <c r="Y16" s="887"/>
      <c r="Z16" s="887"/>
      <c r="AA16" s="887"/>
      <c r="AB16" s="887"/>
      <c r="AC16" s="890">
        <f t="shared" si="8"/>
        <v>0</v>
      </c>
      <c r="AD16" s="887">
        <v>25</v>
      </c>
      <c r="AE16" s="887">
        <v>17</v>
      </c>
      <c r="AF16" s="887">
        <v>15</v>
      </c>
      <c r="AG16" s="887">
        <v>15</v>
      </c>
      <c r="AH16" s="887">
        <v>15</v>
      </c>
      <c r="AI16" s="887">
        <v>28</v>
      </c>
      <c r="AJ16" s="887"/>
      <c r="AK16" s="888">
        <f t="shared" si="1"/>
        <v>115</v>
      </c>
      <c r="AL16" s="887"/>
      <c r="AM16" s="887"/>
      <c r="AN16" s="887"/>
      <c r="AO16" s="887"/>
      <c r="AP16" s="887"/>
      <c r="AQ16" s="887"/>
      <c r="AR16" s="887"/>
      <c r="AS16" s="891">
        <f t="shared" si="9"/>
        <v>0</v>
      </c>
      <c r="AT16" s="887"/>
      <c r="AU16" s="887"/>
      <c r="AV16" s="887"/>
      <c r="AW16" s="887"/>
      <c r="AX16" s="887"/>
      <c r="AY16" s="887"/>
      <c r="AZ16" s="887"/>
      <c r="BA16" s="889">
        <f t="shared" si="10"/>
        <v>0</v>
      </c>
      <c r="BB16" s="887"/>
      <c r="BC16" s="887"/>
      <c r="BD16" s="887"/>
      <c r="BE16" s="887"/>
      <c r="BF16" s="887"/>
      <c r="BG16" s="887"/>
      <c r="BH16" s="887"/>
      <c r="BI16" s="890">
        <f t="shared" si="11"/>
        <v>0</v>
      </c>
      <c r="BJ16" s="887">
        <v>23</v>
      </c>
      <c r="BK16" s="887"/>
      <c r="BL16" s="887"/>
      <c r="BM16" s="887"/>
      <c r="BN16" s="887"/>
      <c r="BO16" s="887"/>
      <c r="BP16" s="887"/>
      <c r="BQ16" s="888">
        <f t="shared" si="12"/>
        <v>23</v>
      </c>
      <c r="BR16" s="892" t="str">
        <f t="shared" si="13"/>
        <v>A</v>
      </c>
      <c r="BS16" s="892" t="str">
        <f t="shared" si="14"/>
        <v>C</v>
      </c>
      <c r="BT16" s="892" t="str">
        <f t="shared" si="15"/>
        <v>C</v>
      </c>
      <c r="BU16" s="892" t="str">
        <f t="shared" si="16"/>
        <v>C</v>
      </c>
      <c r="BV16" s="892" t="str">
        <f t="shared" si="17"/>
        <v>C</v>
      </c>
      <c r="BW16" s="892" t="str">
        <f t="shared" si="18"/>
        <v>A</v>
      </c>
      <c r="BX16" s="892" t="str">
        <f t="shared" si="19"/>
        <v/>
      </c>
      <c r="BY16" s="892" t="str">
        <f t="shared" si="20"/>
        <v>B</v>
      </c>
      <c r="BZ16" s="892" t="str">
        <f t="shared" si="21"/>
        <v>C</v>
      </c>
      <c r="CA16" s="892" t="str">
        <f t="shared" si="22"/>
        <v/>
      </c>
      <c r="CB16" s="892" t="str">
        <f t="shared" si="23"/>
        <v/>
      </c>
      <c r="CC16" s="892" t="str">
        <f t="shared" si="24"/>
        <v/>
      </c>
      <c r="CD16" s="892" t="str">
        <f t="shared" si="25"/>
        <v/>
      </c>
      <c r="CE16" s="892" t="str">
        <f t="shared" si="26"/>
        <v/>
      </c>
      <c r="CF16" s="892" t="str">
        <f t="shared" si="27"/>
        <v/>
      </c>
      <c r="CG16" s="892" t="str">
        <f t="shared" si="28"/>
        <v>E</v>
      </c>
      <c r="CH16" s="891">
        <f>IFERROR(IF($B16&gt;0,PASHEET!AL16+PASHEET!AT16+MARKS!F16+MARKS!N16+MARKS!V16+MARKS!AD16+MARKS!AL16+MARKS!AT16+MARKS!BB16+MARKS!BJ16,""),"Ab")</f>
        <v>49</v>
      </c>
      <c r="CI16" s="891">
        <f>IFERROR(IF($B16&gt;0,PASHEET!AM16+PASHEET!AU16+MARKS!G16+MARKS!O16+MARKS!W16+MARKS!AE16+MARKS!AM16+MARKS!AU16+MARKS!BC16+MARKS!BK16,""),"Ab")</f>
        <v>18</v>
      </c>
      <c r="CJ16" s="891">
        <f>IFERROR(IF($B16&gt;0,PASHEET!AN16+PASHEET!AV16+MARKS!H16+MARKS!P16+MARKS!X16+MARKS!AF16+MARKS!AN16+MARKS!AV16+MARKS!BD16+MARKS!BL16,""),"Ab")</f>
        <v>16</v>
      </c>
      <c r="CK16" s="891">
        <f>IFERROR(IF($B16&gt;0,PASHEET!AO16+PASHEET!AW16+MARKS!I16+MARKS!Q16+MARKS!Y16+MARKS!AG16+MARKS!AO16+MARKS!AW16+MARKS!BE16+MARKS!BM16,""),"Ab")</f>
        <v>17</v>
      </c>
      <c r="CL16" s="891">
        <f>IFERROR(IF($B16&gt;0,PASHEET!AP16+PASHEET!AX16+MARKS!J16+MARKS!R16+MARKS!Z16+MARKS!AH16+MARKS!AP16+MARKS!AX16+MARKS!BF16+MARKS!BN16,""),"Ab")</f>
        <v>15</v>
      </c>
      <c r="CM16" s="891">
        <f>IFERROR(IF($B16&gt;0,PASHEET!AQ16+PASHEET!AY16+MARKS!K16+MARKS!S16+MARKS!AA16+MARKS!AI16+MARKS!AQ16+MARKS!AY16+MARKS!BG16+MARKS!BO16,""),"Ab")</f>
        <v>29</v>
      </c>
      <c r="CN16" s="891">
        <f>IFERROR(IF($B16&gt;0,PASHEET!AR16+PASHEET!AZ16+MARKS!L16+MARKS!T16+MARKS!AB16+MARKS!AJ16+MARKS!AR16+MARKS!AZ16+MARKS!BH16+MARKS!BP16,""),"Ab")</f>
        <v>0</v>
      </c>
      <c r="CO16" s="891">
        <f t="shared" si="29"/>
        <v>144</v>
      </c>
      <c r="CP16" s="893" t="str">
        <f t="shared" si="30"/>
        <v>C</v>
      </c>
      <c r="CQ16" s="893" t="str">
        <f t="shared" si="31"/>
        <v>E</v>
      </c>
      <c r="CR16" s="893" t="str">
        <f t="shared" si="32"/>
        <v>E</v>
      </c>
      <c r="CS16" s="893" t="str">
        <f t="shared" si="33"/>
        <v>E</v>
      </c>
      <c r="CT16" s="893" t="str">
        <f t="shared" si="34"/>
        <v>E</v>
      </c>
      <c r="CU16" s="893" t="str">
        <f t="shared" si="35"/>
        <v>E</v>
      </c>
      <c r="CV16" s="893">
        <f t="shared" si="36"/>
        <v>0</v>
      </c>
      <c r="CW16" s="893" t="str">
        <f t="shared" si="37"/>
        <v>E</v>
      </c>
      <c r="CX16" s="894">
        <f>IFERROR(IF($B16&gt;0,PASHEET!AL16+MARKS!F16+MARKS!N16+MARKS!V16+MARKS!AD16,""),"Ab")</f>
        <v>26</v>
      </c>
      <c r="CY16" s="894">
        <f>IFERROR(IF($B16&gt;0,PASHEET!AM16+MARKS!G16+MARKS!O16+MARKS!W16+MARKS!AE16,""),"Ab")</f>
        <v>18</v>
      </c>
      <c r="CZ16" s="894">
        <f>IFERROR(IF($B16&gt;0,PASHEET!AN16+MARKS!H16+MARKS!P16+MARKS!X16+MARKS!AF16,""),"Ab")</f>
        <v>16</v>
      </c>
      <c r="DA16" s="894">
        <f>IFERROR(IF($B16&gt;0,PASHEET!AO16+MARKS!I16+MARKS!Q16+MARKS!Y16+MARKS!AG16,""),"Ab")</f>
        <v>17</v>
      </c>
      <c r="DB16" s="894">
        <f>IFERROR(IF($B16&gt;0,PASHEET!AP16+MARKS!J16+MARKS!R16+MARKS!Z16+MARKS!AH16,""),"Ab")</f>
        <v>15</v>
      </c>
      <c r="DC16" s="894">
        <f>IFERROR(IF($B16&gt;0,PASHEET!AQ16+MARKS!K16+MARKS!S16+MARKS!AA16+MARKS!AI16,""),"Ab")</f>
        <v>29</v>
      </c>
      <c r="DD16" s="894">
        <f>IFERROR(IF($B16&gt;0,PASHEET!AR16+MARKS!L16+MARKS!T16+MARKS!AB16+MARKS!AJ16,""),"Ab")</f>
        <v>0</v>
      </c>
      <c r="DE16" s="879">
        <f t="shared" si="38"/>
        <v>121</v>
      </c>
      <c r="DF16" s="894" t="str">
        <f t="shared" si="39"/>
        <v>C</v>
      </c>
      <c r="DG16" s="894" t="str">
        <f t="shared" si="40"/>
        <v>D</v>
      </c>
      <c r="DH16" s="894" t="str">
        <f t="shared" si="41"/>
        <v>D</v>
      </c>
      <c r="DI16" s="894" t="str">
        <f t="shared" si="42"/>
        <v>D</v>
      </c>
      <c r="DJ16" s="894" t="str">
        <f t="shared" si="43"/>
        <v>E</v>
      </c>
      <c r="DK16" s="894" t="str">
        <f t="shared" si="44"/>
        <v>C</v>
      </c>
      <c r="DL16" s="894">
        <f t="shared" si="45"/>
        <v>0</v>
      </c>
      <c r="DM16" s="894" t="str">
        <f t="shared" si="46"/>
        <v>D</v>
      </c>
      <c r="DN16" s="894">
        <f>IFERROR(IF($B16&gt;0,PASHEET!AT16+MARKS!AL16+MARKS!AT16+MARKS!BB16+MARKS!BJ16,""),"Ab")</f>
        <v>23</v>
      </c>
      <c r="DO16" s="894">
        <f>IFERROR(IF($B16&gt;0,PASHEET!AU16+MARKS!AM16+MARKS!AU16+MARKS!BC16+MARKS!BK16,""),"Ab")</f>
        <v>0</v>
      </c>
      <c r="DP16" s="894">
        <f>IFERROR(IF($B16&gt;0,PASHEET!AV16+MARKS!AN16+MARKS!AV16+MARKS!BD16+MARKS!BL16,""),"Ab")</f>
        <v>0</v>
      </c>
      <c r="DQ16" s="894">
        <f>IFERROR(IF($B16&gt;0,PASHEET!AW16+MARKS!AO16+MARKS!AW16+MARKS!BE16+MARKS!BM16,""),"Ab")</f>
        <v>0</v>
      </c>
      <c r="DR16" s="894">
        <f>IFERROR(IF($B16&gt;0,PASHEET!AX16+MARKS!AP16+MARKS!AX16+MARKS!BF16+MARKS!BN16,""),"Ab")</f>
        <v>0</v>
      </c>
      <c r="DS16" s="894">
        <f>IFERROR(IF($B16&gt;0,PASHEET!AY16+MARKS!AQ16+MARKS!AY16+MARKS!BG16+MARKS!BO16,""),"Ab")</f>
        <v>0</v>
      </c>
      <c r="DT16" s="894">
        <f>IFERROR(IF($B16&gt;0,PASHEET!AZ16+MARKS!AR16+MARKS!AZ16+MARKS!BH16+MARKS!BP16,""),"Ab")</f>
        <v>0</v>
      </c>
      <c r="DU16" s="879">
        <f t="shared" si="47"/>
        <v>23</v>
      </c>
      <c r="DV16" s="894" t="str">
        <f t="shared" si="48"/>
        <v>C</v>
      </c>
      <c r="DW16" s="894">
        <f t="shared" si="49"/>
        <v>0</v>
      </c>
      <c r="DX16" s="894">
        <f t="shared" si="50"/>
        <v>0</v>
      </c>
      <c r="DY16" s="894">
        <f t="shared" si="51"/>
        <v>0</v>
      </c>
      <c r="DZ16" s="894">
        <f t="shared" si="52"/>
        <v>0</v>
      </c>
      <c r="EA16" s="894">
        <f t="shared" si="53"/>
        <v>0</v>
      </c>
      <c r="EB16" s="894">
        <f t="shared" si="54"/>
        <v>0</v>
      </c>
      <c r="EC16" s="894" t="str">
        <f t="shared" si="55"/>
        <v>E</v>
      </c>
    </row>
    <row r="17" spans="1:133">
      <c r="A17" s="879">
        <v>14</v>
      </c>
      <c r="B17" s="879">
        <f>STUDENT!F15</f>
        <v>14745</v>
      </c>
      <c r="C17" s="879">
        <f>STUDENT!D15</f>
        <v>20240015035</v>
      </c>
      <c r="D17" s="886" t="str">
        <f>STUDENT!E15</f>
        <v>KARN KUMAR</v>
      </c>
      <c r="E17" s="886" t="str">
        <f>STUDENT!H15</f>
        <v>MUKESH RAY</v>
      </c>
      <c r="F17" s="887"/>
      <c r="G17" s="887"/>
      <c r="H17" s="887"/>
      <c r="I17" s="887"/>
      <c r="J17" s="887"/>
      <c r="K17" s="887"/>
      <c r="L17" s="887"/>
      <c r="M17" s="888">
        <f t="shared" si="0"/>
        <v>0</v>
      </c>
      <c r="N17" s="887"/>
      <c r="O17" s="887"/>
      <c r="P17" s="887"/>
      <c r="Q17" s="887"/>
      <c r="R17" s="887"/>
      <c r="S17" s="887"/>
      <c r="T17" s="887"/>
      <c r="U17" s="889">
        <f t="shared" si="7"/>
        <v>0</v>
      </c>
      <c r="V17" s="887"/>
      <c r="W17" s="887"/>
      <c r="X17" s="887"/>
      <c r="Y17" s="887"/>
      <c r="Z17" s="887"/>
      <c r="AA17" s="887"/>
      <c r="AB17" s="887"/>
      <c r="AC17" s="890">
        <f t="shared" si="8"/>
        <v>0</v>
      </c>
      <c r="AD17" s="887">
        <v>13</v>
      </c>
      <c r="AE17" s="887">
        <v>15</v>
      </c>
      <c r="AF17" s="887">
        <v>15</v>
      </c>
      <c r="AG17" s="887">
        <v>20</v>
      </c>
      <c r="AH17" s="887">
        <v>21</v>
      </c>
      <c r="AI17" s="887">
        <v>25</v>
      </c>
      <c r="AJ17" s="887"/>
      <c r="AK17" s="888">
        <f t="shared" si="1"/>
        <v>109</v>
      </c>
      <c r="AL17" s="887"/>
      <c r="AM17" s="887"/>
      <c r="AN17" s="887"/>
      <c r="AO17" s="887"/>
      <c r="AP17" s="887"/>
      <c r="AQ17" s="887"/>
      <c r="AR17" s="887"/>
      <c r="AS17" s="891">
        <f t="shared" si="9"/>
        <v>0</v>
      </c>
      <c r="AT17" s="887"/>
      <c r="AU17" s="887"/>
      <c r="AV17" s="887"/>
      <c r="AW17" s="887"/>
      <c r="AX17" s="887"/>
      <c r="AY17" s="887"/>
      <c r="AZ17" s="887"/>
      <c r="BA17" s="889">
        <f t="shared" si="10"/>
        <v>0</v>
      </c>
      <c r="BB17" s="887"/>
      <c r="BC17" s="887"/>
      <c r="BD17" s="887"/>
      <c r="BE17" s="887"/>
      <c r="BF17" s="887"/>
      <c r="BG17" s="887"/>
      <c r="BH17" s="887"/>
      <c r="BI17" s="890">
        <f t="shared" si="11"/>
        <v>0</v>
      </c>
      <c r="BJ17" s="887">
        <v>18</v>
      </c>
      <c r="BK17" s="887"/>
      <c r="BL17" s="887"/>
      <c r="BM17" s="887"/>
      <c r="BN17" s="887"/>
      <c r="BO17" s="887"/>
      <c r="BP17" s="887"/>
      <c r="BQ17" s="888">
        <f t="shared" si="12"/>
        <v>18</v>
      </c>
      <c r="BR17" s="892" t="str">
        <f t="shared" si="13"/>
        <v>C</v>
      </c>
      <c r="BS17" s="892" t="str">
        <f t="shared" si="14"/>
        <v>C</v>
      </c>
      <c r="BT17" s="892" t="str">
        <f t="shared" si="15"/>
        <v>C</v>
      </c>
      <c r="BU17" s="892" t="str">
        <f t="shared" si="16"/>
        <v>B</v>
      </c>
      <c r="BV17" s="892" t="str">
        <f t="shared" si="17"/>
        <v>B</v>
      </c>
      <c r="BW17" s="892" t="str">
        <f t="shared" si="18"/>
        <v>A</v>
      </c>
      <c r="BX17" s="892" t="str">
        <f t="shared" si="19"/>
        <v/>
      </c>
      <c r="BY17" s="892" t="str">
        <f t="shared" si="20"/>
        <v>B</v>
      </c>
      <c r="BZ17" s="892" t="str">
        <f t="shared" si="21"/>
        <v>C</v>
      </c>
      <c r="CA17" s="892" t="str">
        <f t="shared" si="22"/>
        <v/>
      </c>
      <c r="CB17" s="892" t="str">
        <f t="shared" si="23"/>
        <v/>
      </c>
      <c r="CC17" s="892" t="str">
        <f t="shared" si="24"/>
        <v/>
      </c>
      <c r="CD17" s="892" t="str">
        <f t="shared" si="25"/>
        <v/>
      </c>
      <c r="CE17" s="892" t="str">
        <f t="shared" si="26"/>
        <v/>
      </c>
      <c r="CF17" s="892" t="str">
        <f t="shared" si="27"/>
        <v/>
      </c>
      <c r="CG17" s="892" t="str">
        <f t="shared" si="28"/>
        <v>E</v>
      </c>
      <c r="CH17" s="891">
        <f>IFERROR(IF($B17&gt;0,PASHEET!AL17+PASHEET!AT17+MARKS!F17+MARKS!N17+MARKS!V17+MARKS!AD17+MARKS!AL17+MARKS!AT17+MARKS!BB17+MARKS!BJ17,""),"Ab")</f>
        <v>32</v>
      </c>
      <c r="CI17" s="891">
        <f>IFERROR(IF($B17&gt;0,PASHEET!AM17+PASHEET!AU17+MARKS!G17+MARKS!O17+MARKS!W17+MARKS!AE17+MARKS!AM17+MARKS!AU17+MARKS!BC17+MARKS!BK17,""),"Ab")</f>
        <v>16</v>
      </c>
      <c r="CJ17" s="891">
        <f>IFERROR(IF($B17&gt;0,PASHEET!AN17+PASHEET!AV17+MARKS!H17+MARKS!P17+MARKS!X17+MARKS!AF17+MARKS!AN17+MARKS!AV17+MARKS!BD17+MARKS!BL17,""),"Ab")</f>
        <v>16</v>
      </c>
      <c r="CK17" s="891">
        <f>IFERROR(IF($B17&gt;0,PASHEET!AO17+PASHEET!AW17+MARKS!I17+MARKS!Q17+MARKS!Y17+MARKS!AG17+MARKS!AO17+MARKS!AW17+MARKS!BE17+MARKS!BM17,""),"Ab")</f>
        <v>21</v>
      </c>
      <c r="CL17" s="891">
        <f>IFERROR(IF($B17&gt;0,PASHEET!AP17+PASHEET!AX17+MARKS!J17+MARKS!R17+MARKS!Z17+MARKS!AH17+MARKS!AP17+MARKS!AX17+MARKS!BF17+MARKS!BN17,""),"Ab")</f>
        <v>21</v>
      </c>
      <c r="CM17" s="891">
        <f>IFERROR(IF($B17&gt;0,PASHEET!AQ17+PASHEET!AY17+MARKS!K17+MARKS!S17+MARKS!AA17+MARKS!AI17+MARKS!AQ17+MARKS!AY17+MARKS!BG17+MARKS!BO17,""),"Ab")</f>
        <v>27</v>
      </c>
      <c r="CN17" s="891">
        <f>IFERROR(IF($B17&gt;0,PASHEET!AR17+PASHEET!AZ17+MARKS!L17+MARKS!T17+MARKS!AB17+MARKS!AJ17+MARKS!AR17+MARKS!AZ17+MARKS!BH17+MARKS!BP17,""),"Ab")</f>
        <v>0</v>
      </c>
      <c r="CO17" s="891">
        <f t="shared" si="29"/>
        <v>133</v>
      </c>
      <c r="CP17" s="893" t="str">
        <f t="shared" si="30"/>
        <v>E</v>
      </c>
      <c r="CQ17" s="893" t="str">
        <f t="shared" si="31"/>
        <v>E</v>
      </c>
      <c r="CR17" s="893" t="str">
        <f t="shared" si="32"/>
        <v>E</v>
      </c>
      <c r="CS17" s="893" t="str">
        <f t="shared" si="33"/>
        <v>E</v>
      </c>
      <c r="CT17" s="893" t="str">
        <f t="shared" si="34"/>
        <v>E</v>
      </c>
      <c r="CU17" s="893" t="str">
        <f t="shared" si="35"/>
        <v>E</v>
      </c>
      <c r="CV17" s="893">
        <f t="shared" si="36"/>
        <v>0</v>
      </c>
      <c r="CW17" s="893" t="str">
        <f t="shared" si="37"/>
        <v>E</v>
      </c>
      <c r="CX17" s="894">
        <f>IFERROR(IF($B17&gt;0,PASHEET!AL17+MARKS!F17+MARKS!N17+MARKS!V17+MARKS!AD17,""),"Ab")</f>
        <v>14</v>
      </c>
      <c r="CY17" s="894">
        <f>IFERROR(IF($B17&gt;0,PASHEET!AM17+MARKS!G17+MARKS!O17+MARKS!W17+MARKS!AE17,""),"Ab")</f>
        <v>16</v>
      </c>
      <c r="CZ17" s="894">
        <f>IFERROR(IF($B17&gt;0,PASHEET!AN17+MARKS!H17+MARKS!P17+MARKS!X17+MARKS!AF17,""),"Ab")</f>
        <v>16</v>
      </c>
      <c r="DA17" s="894">
        <f>IFERROR(IF($B17&gt;0,PASHEET!AO17+MARKS!I17+MARKS!Q17+MARKS!Y17+MARKS!AG17,""),"Ab")</f>
        <v>21</v>
      </c>
      <c r="DB17" s="894">
        <f>IFERROR(IF($B17&gt;0,PASHEET!AP17+MARKS!J17+MARKS!R17+MARKS!Z17+MARKS!AH17,""),"Ab")</f>
        <v>21</v>
      </c>
      <c r="DC17" s="894">
        <f>IFERROR(IF($B17&gt;0,PASHEET!AQ17+MARKS!K17+MARKS!S17+MARKS!AA17+MARKS!AI17,""),"Ab")</f>
        <v>27</v>
      </c>
      <c r="DD17" s="894">
        <f>IFERROR(IF($B17&gt;0,PASHEET!AR17+MARKS!L17+MARKS!T17+MARKS!AB17+MARKS!AJ17,""),"Ab")</f>
        <v>0</v>
      </c>
      <c r="DE17" s="879">
        <f t="shared" si="38"/>
        <v>115</v>
      </c>
      <c r="DF17" s="894" t="str">
        <f t="shared" si="39"/>
        <v>E</v>
      </c>
      <c r="DG17" s="894" t="str">
        <f t="shared" si="40"/>
        <v>D</v>
      </c>
      <c r="DH17" s="894" t="str">
        <f t="shared" si="41"/>
        <v>D</v>
      </c>
      <c r="DI17" s="894" t="str">
        <f t="shared" si="42"/>
        <v>D</v>
      </c>
      <c r="DJ17" s="894" t="str">
        <f t="shared" si="43"/>
        <v>D</v>
      </c>
      <c r="DK17" s="894" t="str">
        <f t="shared" si="44"/>
        <v>C</v>
      </c>
      <c r="DL17" s="894">
        <f t="shared" si="45"/>
        <v>0</v>
      </c>
      <c r="DM17" s="894" t="str">
        <f t="shared" si="46"/>
        <v>D</v>
      </c>
      <c r="DN17" s="894">
        <f>IFERROR(IF($B17&gt;0,PASHEET!AT17+MARKS!AL17+MARKS!AT17+MARKS!BB17+MARKS!BJ17,""),"Ab")</f>
        <v>18</v>
      </c>
      <c r="DO17" s="894">
        <f>IFERROR(IF($B17&gt;0,PASHEET!AU17+MARKS!AM17+MARKS!AU17+MARKS!BC17+MARKS!BK17,""),"Ab")</f>
        <v>0</v>
      </c>
      <c r="DP17" s="894">
        <f>IFERROR(IF($B17&gt;0,PASHEET!AV17+MARKS!AN17+MARKS!AV17+MARKS!BD17+MARKS!BL17,""),"Ab")</f>
        <v>0</v>
      </c>
      <c r="DQ17" s="894">
        <f>IFERROR(IF($B17&gt;0,PASHEET!AW17+MARKS!AO17+MARKS!AW17+MARKS!BE17+MARKS!BM17,""),"Ab")</f>
        <v>0</v>
      </c>
      <c r="DR17" s="894">
        <f>IFERROR(IF($B17&gt;0,PASHEET!AX17+MARKS!AP17+MARKS!AX17+MARKS!BF17+MARKS!BN17,""),"Ab")</f>
        <v>0</v>
      </c>
      <c r="DS17" s="894">
        <f>IFERROR(IF($B17&gt;0,PASHEET!AY17+MARKS!AQ17+MARKS!AY17+MARKS!BG17+MARKS!BO17,""),"Ab")</f>
        <v>0</v>
      </c>
      <c r="DT17" s="894">
        <f>IFERROR(IF($B17&gt;0,PASHEET!AZ17+MARKS!AR17+MARKS!AZ17+MARKS!BH17+MARKS!BP17,""),"Ab")</f>
        <v>0</v>
      </c>
      <c r="DU17" s="879">
        <f t="shared" si="47"/>
        <v>18</v>
      </c>
      <c r="DV17" s="894" t="str">
        <f t="shared" si="48"/>
        <v>D</v>
      </c>
      <c r="DW17" s="894">
        <f t="shared" si="49"/>
        <v>0</v>
      </c>
      <c r="DX17" s="894">
        <f t="shared" si="50"/>
        <v>0</v>
      </c>
      <c r="DY17" s="894">
        <f t="shared" si="51"/>
        <v>0</v>
      </c>
      <c r="DZ17" s="894">
        <f t="shared" si="52"/>
        <v>0</v>
      </c>
      <c r="EA17" s="894">
        <f t="shared" si="53"/>
        <v>0</v>
      </c>
      <c r="EB17" s="894">
        <f t="shared" si="54"/>
        <v>0</v>
      </c>
      <c r="EC17" s="894" t="str">
        <f t="shared" si="55"/>
        <v>E</v>
      </c>
    </row>
    <row r="18" spans="1:133">
      <c r="A18" s="879">
        <v>15</v>
      </c>
      <c r="B18" s="879">
        <f>STUDENT!F16</f>
        <v>14746</v>
      </c>
      <c r="C18" s="879">
        <f>STUDENT!D16</f>
        <v>20240015112</v>
      </c>
      <c r="D18" s="886" t="str">
        <f>STUDENT!E16</f>
        <v>ROKI</v>
      </c>
      <c r="E18" s="886" t="str">
        <f>STUDENT!H16</f>
        <v>KUAR SINGH</v>
      </c>
      <c r="F18" s="887"/>
      <c r="G18" s="887"/>
      <c r="H18" s="887"/>
      <c r="I18" s="887"/>
      <c r="J18" s="887"/>
      <c r="K18" s="887"/>
      <c r="L18" s="887"/>
      <c r="M18" s="888">
        <f t="shared" si="0"/>
        <v>0</v>
      </c>
      <c r="N18" s="887"/>
      <c r="O18" s="887"/>
      <c r="P18" s="887"/>
      <c r="Q18" s="887"/>
      <c r="R18" s="887"/>
      <c r="S18" s="887"/>
      <c r="T18" s="887"/>
      <c r="U18" s="889">
        <f t="shared" si="7"/>
        <v>0</v>
      </c>
      <c r="V18" s="887"/>
      <c r="W18" s="887"/>
      <c r="X18" s="887"/>
      <c r="Y18" s="887"/>
      <c r="Z18" s="887"/>
      <c r="AA18" s="887"/>
      <c r="AB18" s="887"/>
      <c r="AC18" s="890">
        <f t="shared" si="8"/>
        <v>0</v>
      </c>
      <c r="AD18" s="887">
        <v>11</v>
      </c>
      <c r="AE18" s="887">
        <v>16</v>
      </c>
      <c r="AF18" s="887">
        <v>11</v>
      </c>
      <c r="AG18" s="887">
        <v>13</v>
      </c>
      <c r="AH18" s="887">
        <v>13</v>
      </c>
      <c r="AI18" s="887">
        <v>19</v>
      </c>
      <c r="AJ18" s="887"/>
      <c r="AK18" s="888">
        <f t="shared" si="1"/>
        <v>83</v>
      </c>
      <c r="AL18" s="887"/>
      <c r="AM18" s="887"/>
      <c r="AN18" s="887"/>
      <c r="AO18" s="887"/>
      <c r="AP18" s="887"/>
      <c r="AQ18" s="887"/>
      <c r="AR18" s="887"/>
      <c r="AS18" s="891">
        <f t="shared" si="9"/>
        <v>0</v>
      </c>
      <c r="AT18" s="887"/>
      <c r="AU18" s="887"/>
      <c r="AV18" s="887"/>
      <c r="AW18" s="887"/>
      <c r="AX18" s="887"/>
      <c r="AY18" s="887"/>
      <c r="AZ18" s="887"/>
      <c r="BA18" s="889">
        <f t="shared" si="10"/>
        <v>0</v>
      </c>
      <c r="BB18" s="887"/>
      <c r="BC18" s="887"/>
      <c r="BD18" s="887"/>
      <c r="BE18" s="887"/>
      <c r="BF18" s="887"/>
      <c r="BG18" s="887"/>
      <c r="BH18" s="887"/>
      <c r="BI18" s="890">
        <f t="shared" si="11"/>
        <v>0</v>
      </c>
      <c r="BJ18" s="887">
        <v>21</v>
      </c>
      <c r="BK18" s="887"/>
      <c r="BL18" s="887"/>
      <c r="BM18" s="887"/>
      <c r="BN18" s="887"/>
      <c r="BO18" s="887"/>
      <c r="BP18" s="887"/>
      <c r="BQ18" s="888">
        <f t="shared" si="12"/>
        <v>21</v>
      </c>
      <c r="BR18" s="892" t="str">
        <f t="shared" si="13"/>
        <v>D</v>
      </c>
      <c r="BS18" s="892" t="str">
        <f t="shared" si="14"/>
        <v>C</v>
      </c>
      <c r="BT18" s="892" t="str">
        <f t="shared" si="15"/>
        <v>D</v>
      </c>
      <c r="BU18" s="892" t="str">
        <f t="shared" si="16"/>
        <v>C</v>
      </c>
      <c r="BV18" s="892" t="str">
        <f t="shared" si="17"/>
        <v>C</v>
      </c>
      <c r="BW18" s="892" t="str">
        <f t="shared" si="18"/>
        <v>B</v>
      </c>
      <c r="BX18" s="892" t="str">
        <f t="shared" si="19"/>
        <v/>
      </c>
      <c r="BY18" s="892" t="str">
        <f t="shared" si="20"/>
        <v>C</v>
      </c>
      <c r="BZ18" s="892" t="str">
        <f t="shared" si="21"/>
        <v>C</v>
      </c>
      <c r="CA18" s="892" t="str">
        <f t="shared" si="22"/>
        <v/>
      </c>
      <c r="CB18" s="892" t="str">
        <f t="shared" si="23"/>
        <v/>
      </c>
      <c r="CC18" s="892" t="str">
        <f t="shared" si="24"/>
        <v/>
      </c>
      <c r="CD18" s="892" t="str">
        <f t="shared" si="25"/>
        <v/>
      </c>
      <c r="CE18" s="892" t="str">
        <f t="shared" si="26"/>
        <v/>
      </c>
      <c r="CF18" s="892" t="str">
        <f t="shared" si="27"/>
        <v/>
      </c>
      <c r="CG18" s="892" t="str">
        <f t="shared" si="28"/>
        <v>E</v>
      </c>
      <c r="CH18" s="891">
        <f>IFERROR(IF($B18&gt;0,PASHEET!AL18+PASHEET!AT18+MARKS!F18+MARKS!N18+MARKS!V18+MARKS!AD18+MARKS!AL18+MARKS!AT18+MARKS!BB18+MARKS!BJ18,""),"Ab")</f>
        <v>34</v>
      </c>
      <c r="CI18" s="891">
        <f>IFERROR(IF($B18&gt;0,PASHEET!AM18+PASHEET!AU18+MARKS!G18+MARKS!O18+MARKS!W18+MARKS!AE18+MARKS!AM18+MARKS!AU18+MARKS!BC18+MARKS!BK18,""),"Ab")</f>
        <v>17</v>
      </c>
      <c r="CJ18" s="891">
        <f>IFERROR(IF($B18&gt;0,PASHEET!AN18+PASHEET!AV18+MARKS!H18+MARKS!P18+MARKS!X18+MARKS!AF18+MARKS!AN18+MARKS!AV18+MARKS!BD18+MARKS!BL18,""),"Ab")</f>
        <v>13</v>
      </c>
      <c r="CK18" s="891">
        <f>IFERROR(IF($B18&gt;0,PASHEET!AO18+PASHEET!AW18+MARKS!I18+MARKS!Q18+MARKS!Y18+MARKS!AG18+MARKS!AO18+MARKS!AW18+MARKS!BE18+MARKS!BM18,""),"Ab")</f>
        <v>14</v>
      </c>
      <c r="CL18" s="891">
        <f>IFERROR(IF($B18&gt;0,PASHEET!AP18+PASHEET!AX18+MARKS!J18+MARKS!R18+MARKS!Z18+MARKS!AH18+MARKS!AP18+MARKS!AX18+MARKS!BF18+MARKS!BN18,""),"Ab")</f>
        <v>13</v>
      </c>
      <c r="CM18" s="891">
        <f>IFERROR(IF($B18&gt;0,PASHEET!AQ18+PASHEET!AY18+MARKS!K18+MARKS!S18+MARKS!AA18+MARKS!AI18+MARKS!AQ18+MARKS!AY18+MARKS!BG18+MARKS!BO18,""),"Ab")</f>
        <v>21</v>
      </c>
      <c r="CN18" s="891">
        <f>IFERROR(IF($B18&gt;0,PASHEET!AR18+PASHEET!AZ18+MARKS!L18+MARKS!T18+MARKS!AB18+MARKS!AJ18+MARKS!AR18+MARKS!AZ18+MARKS!BH18+MARKS!BP18,""),"Ab")</f>
        <v>0</v>
      </c>
      <c r="CO18" s="891">
        <f t="shared" si="29"/>
        <v>112</v>
      </c>
      <c r="CP18" s="893" t="str">
        <f t="shared" si="30"/>
        <v>D</v>
      </c>
      <c r="CQ18" s="893" t="str">
        <f t="shared" si="31"/>
        <v>E</v>
      </c>
      <c r="CR18" s="893" t="str">
        <f t="shared" si="32"/>
        <v>E</v>
      </c>
      <c r="CS18" s="893" t="str">
        <f t="shared" si="33"/>
        <v>E</v>
      </c>
      <c r="CT18" s="893" t="str">
        <f t="shared" si="34"/>
        <v>E</v>
      </c>
      <c r="CU18" s="893" t="str">
        <f t="shared" si="35"/>
        <v>E</v>
      </c>
      <c r="CV18" s="893">
        <f t="shared" si="36"/>
        <v>0</v>
      </c>
      <c r="CW18" s="893" t="str">
        <f t="shared" si="37"/>
        <v>E</v>
      </c>
      <c r="CX18" s="894">
        <f>IFERROR(IF($B18&gt;0,PASHEET!AL18+MARKS!F18+MARKS!N18+MARKS!V18+MARKS!AD18,""),"Ab")</f>
        <v>13</v>
      </c>
      <c r="CY18" s="894">
        <f>IFERROR(IF($B18&gt;0,PASHEET!AM18+MARKS!G18+MARKS!O18+MARKS!W18+MARKS!AE18,""),"Ab")</f>
        <v>17</v>
      </c>
      <c r="CZ18" s="894">
        <f>IFERROR(IF($B18&gt;0,PASHEET!AN18+MARKS!H18+MARKS!P18+MARKS!X18+MARKS!AF18,""),"Ab")</f>
        <v>13</v>
      </c>
      <c r="DA18" s="894">
        <f>IFERROR(IF($B18&gt;0,PASHEET!AO18+MARKS!I18+MARKS!Q18+MARKS!Y18+MARKS!AG18,""),"Ab")</f>
        <v>14</v>
      </c>
      <c r="DB18" s="894">
        <f>IFERROR(IF($B18&gt;0,PASHEET!AP18+MARKS!J18+MARKS!R18+MARKS!Z18+MARKS!AH18,""),"Ab")</f>
        <v>13</v>
      </c>
      <c r="DC18" s="894">
        <f>IFERROR(IF($B18&gt;0,PASHEET!AQ18+MARKS!K18+MARKS!S18+MARKS!AA18+MARKS!AI18,""),"Ab")</f>
        <v>21</v>
      </c>
      <c r="DD18" s="894">
        <f>IFERROR(IF($B18&gt;0,PASHEET!AR18+MARKS!L18+MARKS!T18+MARKS!AB18+MARKS!AJ18,""),"Ab")</f>
        <v>0</v>
      </c>
      <c r="DE18" s="879">
        <f t="shared" si="38"/>
        <v>91</v>
      </c>
      <c r="DF18" s="894" t="str">
        <f t="shared" si="39"/>
        <v>E</v>
      </c>
      <c r="DG18" s="894" t="str">
        <f t="shared" si="40"/>
        <v>D</v>
      </c>
      <c r="DH18" s="894" t="str">
        <f t="shared" si="41"/>
        <v>E</v>
      </c>
      <c r="DI18" s="894" t="str">
        <f t="shared" si="42"/>
        <v>E</v>
      </c>
      <c r="DJ18" s="894" t="str">
        <f t="shared" si="43"/>
        <v>E</v>
      </c>
      <c r="DK18" s="894" t="str">
        <f t="shared" si="44"/>
        <v>D</v>
      </c>
      <c r="DL18" s="894">
        <f t="shared" si="45"/>
        <v>0</v>
      </c>
      <c r="DM18" s="894" t="str">
        <f t="shared" si="46"/>
        <v>E</v>
      </c>
      <c r="DN18" s="894">
        <f>IFERROR(IF($B18&gt;0,PASHEET!AT18+MARKS!AL18+MARKS!AT18+MARKS!BB18+MARKS!BJ18,""),"Ab")</f>
        <v>21</v>
      </c>
      <c r="DO18" s="894">
        <f>IFERROR(IF($B18&gt;0,PASHEET!AU18+MARKS!AM18+MARKS!AU18+MARKS!BC18+MARKS!BK18,""),"Ab")</f>
        <v>0</v>
      </c>
      <c r="DP18" s="894">
        <f>IFERROR(IF($B18&gt;0,PASHEET!AV18+MARKS!AN18+MARKS!AV18+MARKS!BD18+MARKS!BL18,""),"Ab")</f>
        <v>0</v>
      </c>
      <c r="DQ18" s="894">
        <f>IFERROR(IF($B18&gt;0,PASHEET!AW18+MARKS!AO18+MARKS!AW18+MARKS!BE18+MARKS!BM18,""),"Ab")</f>
        <v>0</v>
      </c>
      <c r="DR18" s="894">
        <f>IFERROR(IF($B18&gt;0,PASHEET!AX18+MARKS!AP18+MARKS!AX18+MARKS!BF18+MARKS!BN18,""),"Ab")</f>
        <v>0</v>
      </c>
      <c r="DS18" s="894">
        <f>IFERROR(IF($B18&gt;0,PASHEET!AY18+MARKS!AQ18+MARKS!AY18+MARKS!BG18+MARKS!BO18,""),"Ab")</f>
        <v>0</v>
      </c>
      <c r="DT18" s="894">
        <f>IFERROR(IF($B18&gt;0,PASHEET!AZ18+MARKS!AR18+MARKS!AZ18+MARKS!BH18+MARKS!BP18,""),"Ab")</f>
        <v>0</v>
      </c>
      <c r="DU18" s="879">
        <f t="shared" si="47"/>
        <v>21</v>
      </c>
      <c r="DV18" s="894" t="str">
        <f t="shared" si="48"/>
        <v>D</v>
      </c>
      <c r="DW18" s="894">
        <f t="shared" si="49"/>
        <v>0</v>
      </c>
      <c r="DX18" s="894">
        <f t="shared" si="50"/>
        <v>0</v>
      </c>
      <c r="DY18" s="894">
        <f t="shared" si="51"/>
        <v>0</v>
      </c>
      <c r="DZ18" s="894">
        <f t="shared" si="52"/>
        <v>0</v>
      </c>
      <c r="EA18" s="894">
        <f t="shared" si="53"/>
        <v>0</v>
      </c>
      <c r="EB18" s="894">
        <f t="shared" si="54"/>
        <v>0</v>
      </c>
      <c r="EC18" s="894" t="str">
        <f t="shared" si="55"/>
        <v>E</v>
      </c>
    </row>
    <row r="19" spans="1:133">
      <c r="A19" s="879">
        <v>16</v>
      </c>
      <c r="B19" s="879">
        <f>STUDENT!F17</f>
        <v>14748</v>
      </c>
      <c r="C19" s="879">
        <f>STUDENT!D17</f>
        <v>20240015199</v>
      </c>
      <c r="D19" s="886" t="str">
        <f>STUDENT!E17</f>
        <v>MD BILAL</v>
      </c>
      <c r="E19" s="886" t="str">
        <f>STUDENT!H17</f>
        <v>MD AFROJ</v>
      </c>
      <c r="F19" s="887"/>
      <c r="G19" s="887"/>
      <c r="H19" s="887"/>
      <c r="I19" s="887"/>
      <c r="J19" s="887"/>
      <c r="K19" s="887"/>
      <c r="L19" s="887"/>
      <c r="M19" s="888">
        <f t="shared" si="0"/>
        <v>0</v>
      </c>
      <c r="N19" s="887"/>
      <c r="O19" s="887"/>
      <c r="P19" s="887"/>
      <c r="Q19" s="887"/>
      <c r="R19" s="887"/>
      <c r="S19" s="887"/>
      <c r="T19" s="887"/>
      <c r="U19" s="889">
        <f t="shared" si="7"/>
        <v>0</v>
      </c>
      <c r="V19" s="887"/>
      <c r="W19" s="887"/>
      <c r="X19" s="887"/>
      <c r="Y19" s="887"/>
      <c r="Z19" s="887"/>
      <c r="AA19" s="887"/>
      <c r="AB19" s="887"/>
      <c r="AC19" s="890">
        <f t="shared" si="8"/>
        <v>0</v>
      </c>
      <c r="AD19" s="887">
        <v>23</v>
      </c>
      <c r="AE19" s="887">
        <v>15</v>
      </c>
      <c r="AF19" s="887">
        <v>22</v>
      </c>
      <c r="AG19" s="887">
        <v>23</v>
      </c>
      <c r="AH19" s="887">
        <v>25</v>
      </c>
      <c r="AI19" s="887">
        <v>25</v>
      </c>
      <c r="AJ19" s="887"/>
      <c r="AK19" s="888">
        <f t="shared" si="1"/>
        <v>133</v>
      </c>
      <c r="AL19" s="887"/>
      <c r="AM19" s="887"/>
      <c r="AN19" s="887"/>
      <c r="AO19" s="887"/>
      <c r="AP19" s="887"/>
      <c r="AQ19" s="887"/>
      <c r="AR19" s="887"/>
      <c r="AS19" s="891">
        <f t="shared" si="9"/>
        <v>0</v>
      </c>
      <c r="AT19" s="887"/>
      <c r="AU19" s="887"/>
      <c r="AV19" s="887"/>
      <c r="AW19" s="887"/>
      <c r="AX19" s="887"/>
      <c r="AY19" s="887"/>
      <c r="AZ19" s="887"/>
      <c r="BA19" s="889">
        <f t="shared" si="10"/>
        <v>0</v>
      </c>
      <c r="BB19" s="887"/>
      <c r="BC19" s="887"/>
      <c r="BD19" s="887"/>
      <c r="BE19" s="887"/>
      <c r="BF19" s="887"/>
      <c r="BG19" s="887"/>
      <c r="BH19" s="887"/>
      <c r="BI19" s="890">
        <f t="shared" si="11"/>
        <v>0</v>
      </c>
      <c r="BJ19" s="887">
        <v>28</v>
      </c>
      <c r="BK19" s="887"/>
      <c r="BL19" s="887"/>
      <c r="BM19" s="887"/>
      <c r="BN19" s="887"/>
      <c r="BO19" s="887"/>
      <c r="BP19" s="887"/>
      <c r="BQ19" s="888">
        <f t="shared" si="12"/>
        <v>28</v>
      </c>
      <c r="BR19" s="892" t="str">
        <f t="shared" si="13"/>
        <v>B</v>
      </c>
      <c r="BS19" s="892" t="str">
        <f t="shared" si="14"/>
        <v>C</v>
      </c>
      <c r="BT19" s="892" t="str">
        <f t="shared" si="15"/>
        <v>B</v>
      </c>
      <c r="BU19" s="892" t="str">
        <f t="shared" si="16"/>
        <v>B</v>
      </c>
      <c r="BV19" s="892" t="str">
        <f t="shared" si="17"/>
        <v>A</v>
      </c>
      <c r="BW19" s="892" t="str">
        <f t="shared" si="18"/>
        <v>A</v>
      </c>
      <c r="BX19" s="892" t="str">
        <f t="shared" si="19"/>
        <v/>
      </c>
      <c r="BY19" s="892" t="str">
        <f t="shared" si="20"/>
        <v>B</v>
      </c>
      <c r="BZ19" s="892" t="str">
        <f t="shared" si="21"/>
        <v>A</v>
      </c>
      <c r="CA19" s="892" t="str">
        <f t="shared" si="22"/>
        <v/>
      </c>
      <c r="CB19" s="892" t="str">
        <f t="shared" si="23"/>
        <v/>
      </c>
      <c r="CC19" s="892" t="str">
        <f t="shared" si="24"/>
        <v/>
      </c>
      <c r="CD19" s="892" t="str">
        <f t="shared" si="25"/>
        <v/>
      </c>
      <c r="CE19" s="892" t="str">
        <f t="shared" si="26"/>
        <v/>
      </c>
      <c r="CF19" s="892" t="str">
        <f t="shared" si="27"/>
        <v/>
      </c>
      <c r="CG19" s="892" t="str">
        <f t="shared" si="28"/>
        <v>E</v>
      </c>
      <c r="CH19" s="891">
        <f>IFERROR(IF($B19&gt;0,PASHEET!AL19+PASHEET!AT19+MARKS!F19+MARKS!N19+MARKS!V19+MARKS!AD19+MARKS!AL19+MARKS!AT19+MARKS!BB19+MARKS!BJ19,""),"Ab")</f>
        <v>53</v>
      </c>
      <c r="CI19" s="891">
        <f>IFERROR(IF($B19&gt;0,PASHEET!AM19+PASHEET!AU19+MARKS!G19+MARKS!O19+MARKS!W19+MARKS!AE19+MARKS!AM19+MARKS!AU19+MARKS!BC19+MARKS!BK19,""),"Ab")</f>
        <v>16</v>
      </c>
      <c r="CJ19" s="891">
        <f>IFERROR(IF($B19&gt;0,PASHEET!AN19+PASHEET!AV19+MARKS!H19+MARKS!P19+MARKS!X19+MARKS!AF19+MARKS!AN19+MARKS!AV19+MARKS!BD19+MARKS!BL19,""),"Ab")</f>
        <v>24</v>
      </c>
      <c r="CK19" s="891">
        <f>IFERROR(IF($B19&gt;0,PASHEET!AO19+PASHEET!AW19+MARKS!I19+MARKS!Q19+MARKS!Y19+MARKS!AG19+MARKS!AO19+MARKS!AW19+MARKS!BE19+MARKS!BM19,""),"Ab")</f>
        <v>24</v>
      </c>
      <c r="CL19" s="891">
        <f>IFERROR(IF($B19&gt;0,PASHEET!AP19+PASHEET!AX19+MARKS!J19+MARKS!R19+MARKS!Z19+MARKS!AH19+MARKS!AP19+MARKS!AX19+MARKS!BF19+MARKS!BN19,""),"Ab")</f>
        <v>25</v>
      </c>
      <c r="CM19" s="891">
        <f>IFERROR(IF($B19&gt;0,PASHEET!AQ19+PASHEET!AY19+MARKS!K19+MARKS!S19+MARKS!AA19+MARKS!AI19+MARKS!AQ19+MARKS!AY19+MARKS!BG19+MARKS!BO19,""),"Ab")</f>
        <v>27</v>
      </c>
      <c r="CN19" s="891">
        <f>IFERROR(IF($B19&gt;0,PASHEET!AR19+PASHEET!AZ19+MARKS!L19+MARKS!T19+MARKS!AB19+MARKS!AJ19+MARKS!AR19+MARKS!AZ19+MARKS!BH19+MARKS!BP19,""),"Ab")</f>
        <v>0</v>
      </c>
      <c r="CO19" s="891">
        <f t="shared" si="29"/>
        <v>169</v>
      </c>
      <c r="CP19" s="893" t="str">
        <f t="shared" si="30"/>
        <v>C</v>
      </c>
      <c r="CQ19" s="893" t="str">
        <f t="shared" si="31"/>
        <v>E</v>
      </c>
      <c r="CR19" s="893" t="str">
        <f t="shared" si="32"/>
        <v>E</v>
      </c>
      <c r="CS19" s="893" t="str">
        <f t="shared" si="33"/>
        <v>E</v>
      </c>
      <c r="CT19" s="893" t="str">
        <f t="shared" si="34"/>
        <v>E</v>
      </c>
      <c r="CU19" s="893" t="str">
        <f t="shared" si="35"/>
        <v>E</v>
      </c>
      <c r="CV19" s="893">
        <f t="shared" si="36"/>
        <v>0</v>
      </c>
      <c r="CW19" s="893" t="str">
        <f t="shared" si="37"/>
        <v>E</v>
      </c>
      <c r="CX19" s="894">
        <f>IFERROR(IF($B19&gt;0,PASHEET!AL19+MARKS!F19+MARKS!N19+MARKS!V19+MARKS!AD19,""),"Ab")</f>
        <v>25</v>
      </c>
      <c r="CY19" s="894">
        <f>IFERROR(IF($B19&gt;0,PASHEET!AM19+MARKS!G19+MARKS!O19+MARKS!W19+MARKS!AE19,""),"Ab")</f>
        <v>16</v>
      </c>
      <c r="CZ19" s="894">
        <f>IFERROR(IF($B19&gt;0,PASHEET!AN19+MARKS!H19+MARKS!P19+MARKS!X19+MARKS!AF19,""),"Ab")</f>
        <v>24</v>
      </c>
      <c r="DA19" s="894">
        <f>IFERROR(IF($B19&gt;0,PASHEET!AO19+MARKS!I19+MARKS!Q19+MARKS!Y19+MARKS!AG19,""),"Ab")</f>
        <v>24</v>
      </c>
      <c r="DB19" s="894">
        <f>IFERROR(IF($B19&gt;0,PASHEET!AP19+MARKS!J19+MARKS!R19+MARKS!Z19+MARKS!AH19,""),"Ab")</f>
        <v>25</v>
      </c>
      <c r="DC19" s="894">
        <f>IFERROR(IF($B19&gt;0,PASHEET!AQ19+MARKS!K19+MARKS!S19+MARKS!AA19+MARKS!AI19,""),"Ab")</f>
        <v>27</v>
      </c>
      <c r="DD19" s="894">
        <f>IFERROR(IF($B19&gt;0,PASHEET!AR19+MARKS!L19+MARKS!T19+MARKS!AB19+MARKS!AJ19,""),"Ab")</f>
        <v>0</v>
      </c>
      <c r="DE19" s="879">
        <f t="shared" si="38"/>
        <v>141</v>
      </c>
      <c r="DF19" s="894" t="str">
        <f t="shared" si="39"/>
        <v>C</v>
      </c>
      <c r="DG19" s="894" t="str">
        <f t="shared" si="40"/>
        <v>D</v>
      </c>
      <c r="DH19" s="894" t="str">
        <f t="shared" si="41"/>
        <v>C</v>
      </c>
      <c r="DI19" s="894" t="str">
        <f t="shared" si="42"/>
        <v>C</v>
      </c>
      <c r="DJ19" s="894" t="str">
        <f t="shared" si="43"/>
        <v>C</v>
      </c>
      <c r="DK19" s="894" t="str">
        <f t="shared" si="44"/>
        <v>C</v>
      </c>
      <c r="DL19" s="894">
        <f t="shared" si="45"/>
        <v>0</v>
      </c>
      <c r="DM19" s="894" t="str">
        <f t="shared" si="46"/>
        <v>C</v>
      </c>
      <c r="DN19" s="894">
        <f>IFERROR(IF($B19&gt;0,PASHEET!AT19+MARKS!AL19+MARKS!AT19+MARKS!BB19+MARKS!BJ19,""),"Ab")</f>
        <v>28</v>
      </c>
      <c r="DO19" s="894">
        <f>IFERROR(IF($B19&gt;0,PASHEET!AU19+MARKS!AM19+MARKS!AU19+MARKS!BC19+MARKS!BK19,""),"Ab")</f>
        <v>0</v>
      </c>
      <c r="DP19" s="894">
        <f>IFERROR(IF($B19&gt;0,PASHEET!AV19+MARKS!AN19+MARKS!AV19+MARKS!BD19+MARKS!BL19,""),"Ab")</f>
        <v>0</v>
      </c>
      <c r="DQ19" s="894">
        <f>IFERROR(IF($B19&gt;0,PASHEET!AW19+MARKS!AO19+MARKS!AW19+MARKS!BE19+MARKS!BM19,""),"Ab")</f>
        <v>0</v>
      </c>
      <c r="DR19" s="894">
        <f>IFERROR(IF($B19&gt;0,PASHEET!AX19+MARKS!AP19+MARKS!AX19+MARKS!BF19+MARKS!BN19,""),"Ab")</f>
        <v>0</v>
      </c>
      <c r="DS19" s="894">
        <f>IFERROR(IF($B19&gt;0,PASHEET!AY19+MARKS!AQ19+MARKS!AY19+MARKS!BG19+MARKS!BO19,""),"Ab")</f>
        <v>0</v>
      </c>
      <c r="DT19" s="894">
        <f>IFERROR(IF($B19&gt;0,PASHEET!AZ19+MARKS!AR19+MARKS!AZ19+MARKS!BH19+MARKS!BP19,""),"Ab")</f>
        <v>0</v>
      </c>
      <c r="DU19" s="879">
        <f t="shared" si="47"/>
        <v>28</v>
      </c>
      <c r="DV19" s="894" t="str">
        <f t="shared" si="48"/>
        <v>C</v>
      </c>
      <c r="DW19" s="894">
        <f t="shared" si="49"/>
        <v>0</v>
      </c>
      <c r="DX19" s="894">
        <f t="shared" si="50"/>
        <v>0</v>
      </c>
      <c r="DY19" s="894">
        <f t="shared" si="51"/>
        <v>0</v>
      </c>
      <c r="DZ19" s="894">
        <f t="shared" si="52"/>
        <v>0</v>
      </c>
      <c r="EA19" s="894">
        <f t="shared" si="53"/>
        <v>0</v>
      </c>
      <c r="EB19" s="894">
        <f t="shared" si="54"/>
        <v>0</v>
      </c>
      <c r="EC19" s="894" t="str">
        <f t="shared" si="55"/>
        <v>E</v>
      </c>
    </row>
    <row r="20" spans="1:133">
      <c r="A20" s="879">
        <v>17</v>
      </c>
      <c r="B20" s="879">
        <f>STUDENT!F18</f>
        <v>14755</v>
      </c>
      <c r="C20" s="879">
        <f>STUDENT!D18</f>
        <v>20240023044</v>
      </c>
      <c r="D20" s="886" t="str">
        <f>STUDENT!E18</f>
        <v>GAURAV KUMAR</v>
      </c>
      <c r="E20" s="886" t="str">
        <f>STUDENT!H18</f>
        <v>HARINDER YADAV</v>
      </c>
      <c r="F20" s="887"/>
      <c r="G20" s="887"/>
      <c r="H20" s="887"/>
      <c r="I20" s="887"/>
      <c r="J20" s="887"/>
      <c r="K20" s="887"/>
      <c r="L20" s="887"/>
      <c r="M20" s="888">
        <f t="shared" si="0"/>
        <v>0</v>
      </c>
      <c r="N20" s="887"/>
      <c r="O20" s="887"/>
      <c r="P20" s="887"/>
      <c r="Q20" s="887"/>
      <c r="R20" s="887"/>
      <c r="S20" s="887"/>
      <c r="T20" s="887"/>
      <c r="U20" s="889">
        <f t="shared" si="7"/>
        <v>0</v>
      </c>
      <c r="V20" s="887"/>
      <c r="W20" s="887"/>
      <c r="X20" s="887"/>
      <c r="Y20" s="887"/>
      <c r="Z20" s="887"/>
      <c r="AA20" s="887"/>
      <c r="AB20" s="887"/>
      <c r="AC20" s="890">
        <f t="shared" si="8"/>
        <v>0</v>
      </c>
      <c r="AD20" s="887">
        <v>11</v>
      </c>
      <c r="AE20" s="887">
        <v>16</v>
      </c>
      <c r="AF20" s="887">
        <v>11</v>
      </c>
      <c r="AG20" s="887">
        <v>13</v>
      </c>
      <c r="AH20" s="887">
        <v>12</v>
      </c>
      <c r="AI20" s="887">
        <v>22</v>
      </c>
      <c r="AJ20" s="887"/>
      <c r="AK20" s="888">
        <f t="shared" si="1"/>
        <v>85</v>
      </c>
      <c r="AL20" s="887"/>
      <c r="AM20" s="887"/>
      <c r="AN20" s="887"/>
      <c r="AO20" s="887"/>
      <c r="AP20" s="887"/>
      <c r="AQ20" s="887"/>
      <c r="AR20" s="887"/>
      <c r="AS20" s="891">
        <f t="shared" si="9"/>
        <v>0</v>
      </c>
      <c r="AT20" s="887"/>
      <c r="AU20" s="887"/>
      <c r="AV20" s="887"/>
      <c r="AW20" s="887"/>
      <c r="AX20" s="887"/>
      <c r="AY20" s="887"/>
      <c r="AZ20" s="887"/>
      <c r="BA20" s="889">
        <f t="shared" si="10"/>
        <v>0</v>
      </c>
      <c r="BB20" s="887"/>
      <c r="BC20" s="887"/>
      <c r="BD20" s="887"/>
      <c r="BE20" s="887"/>
      <c r="BF20" s="887"/>
      <c r="BG20" s="887"/>
      <c r="BH20" s="887"/>
      <c r="BI20" s="890">
        <f t="shared" si="11"/>
        <v>0</v>
      </c>
      <c r="BJ20" s="887">
        <v>15</v>
      </c>
      <c r="BK20" s="887"/>
      <c r="BL20" s="887"/>
      <c r="BM20" s="887"/>
      <c r="BN20" s="887"/>
      <c r="BO20" s="887"/>
      <c r="BP20" s="887"/>
      <c r="BQ20" s="888">
        <f t="shared" si="12"/>
        <v>15</v>
      </c>
      <c r="BR20" s="892" t="str">
        <f t="shared" si="13"/>
        <v>D</v>
      </c>
      <c r="BS20" s="892" t="str">
        <f t="shared" si="14"/>
        <v>C</v>
      </c>
      <c r="BT20" s="892" t="str">
        <f t="shared" si="15"/>
        <v>D</v>
      </c>
      <c r="BU20" s="892" t="str">
        <f t="shared" si="16"/>
        <v>C</v>
      </c>
      <c r="BV20" s="892" t="str">
        <f t="shared" si="17"/>
        <v>D</v>
      </c>
      <c r="BW20" s="892" t="str">
        <f t="shared" si="18"/>
        <v>B</v>
      </c>
      <c r="BX20" s="892" t="str">
        <f t="shared" si="19"/>
        <v/>
      </c>
      <c r="BY20" s="892" t="str">
        <f t="shared" si="20"/>
        <v>C</v>
      </c>
      <c r="BZ20" s="892" t="str">
        <f t="shared" si="21"/>
        <v>C</v>
      </c>
      <c r="CA20" s="892" t="str">
        <f t="shared" si="22"/>
        <v/>
      </c>
      <c r="CB20" s="892" t="str">
        <f t="shared" si="23"/>
        <v/>
      </c>
      <c r="CC20" s="892" t="str">
        <f t="shared" si="24"/>
        <v/>
      </c>
      <c r="CD20" s="892" t="str">
        <f t="shared" si="25"/>
        <v/>
      </c>
      <c r="CE20" s="892" t="str">
        <f t="shared" si="26"/>
        <v/>
      </c>
      <c r="CF20" s="892" t="str">
        <f t="shared" si="27"/>
        <v/>
      </c>
      <c r="CG20" s="892" t="str">
        <f t="shared" si="28"/>
        <v>E</v>
      </c>
      <c r="CH20" s="891">
        <f>IFERROR(IF($B20&gt;0,PASHEET!AL20+PASHEET!AT20+MARKS!F20+MARKS!N20+MARKS!V20+MARKS!AD20+MARKS!AL20+MARKS!AT20+MARKS!BB20+MARKS!BJ20,""),"Ab")</f>
        <v>28</v>
      </c>
      <c r="CI20" s="891">
        <f>IFERROR(IF($B20&gt;0,PASHEET!AM20+PASHEET!AU20+MARKS!G20+MARKS!O20+MARKS!W20+MARKS!AE20+MARKS!AM20+MARKS!AU20+MARKS!BC20+MARKS!BK20,""),"Ab")</f>
        <v>17</v>
      </c>
      <c r="CJ20" s="891">
        <f>IFERROR(IF($B20&gt;0,PASHEET!AN20+PASHEET!AV20+MARKS!H20+MARKS!P20+MARKS!X20+MARKS!AF20+MARKS!AN20+MARKS!AV20+MARKS!BD20+MARKS!BL20,""),"Ab")</f>
        <v>12</v>
      </c>
      <c r="CK20" s="891">
        <f>IFERROR(IF($B20&gt;0,PASHEET!AO20+PASHEET!AW20+MARKS!I20+MARKS!Q20+MARKS!Y20+MARKS!AG20+MARKS!AO20+MARKS!AW20+MARKS!BE20+MARKS!BM20,""),"Ab")</f>
        <v>14</v>
      </c>
      <c r="CL20" s="891">
        <f>IFERROR(IF($B20&gt;0,PASHEET!AP20+PASHEET!AX20+MARKS!J20+MARKS!R20+MARKS!Z20+MARKS!AH20+MARKS!AP20+MARKS!AX20+MARKS!BF20+MARKS!BN20,""),"Ab")</f>
        <v>12</v>
      </c>
      <c r="CM20" s="891">
        <f>IFERROR(IF($B20&gt;0,PASHEET!AQ20+PASHEET!AY20+MARKS!K20+MARKS!S20+MARKS!AA20+MARKS!AI20+MARKS!AQ20+MARKS!AY20+MARKS!BG20+MARKS!BO20,""),"Ab")</f>
        <v>24</v>
      </c>
      <c r="CN20" s="891">
        <f>IFERROR(IF($B20&gt;0,PASHEET!AR20+PASHEET!AZ20+MARKS!L20+MARKS!T20+MARKS!AB20+MARKS!AJ20+MARKS!AR20+MARKS!AZ20+MARKS!BH20+MARKS!BP20,""),"Ab")</f>
        <v>0</v>
      </c>
      <c r="CO20" s="891">
        <f t="shared" si="29"/>
        <v>107</v>
      </c>
      <c r="CP20" s="893" t="str">
        <f t="shared" si="30"/>
        <v>E</v>
      </c>
      <c r="CQ20" s="893" t="str">
        <f t="shared" si="31"/>
        <v>E</v>
      </c>
      <c r="CR20" s="893" t="str">
        <f t="shared" si="32"/>
        <v>E</v>
      </c>
      <c r="CS20" s="893" t="str">
        <f t="shared" si="33"/>
        <v>E</v>
      </c>
      <c r="CT20" s="893" t="str">
        <f t="shared" si="34"/>
        <v>E</v>
      </c>
      <c r="CU20" s="893" t="str">
        <f t="shared" si="35"/>
        <v>E</v>
      </c>
      <c r="CV20" s="893">
        <f t="shared" si="36"/>
        <v>0</v>
      </c>
      <c r="CW20" s="893" t="str">
        <f t="shared" si="37"/>
        <v>E</v>
      </c>
      <c r="CX20" s="894">
        <f>IFERROR(IF($B20&gt;0,PASHEET!AL20+MARKS!F20+MARKS!N20+MARKS!V20+MARKS!AD20,""),"Ab")</f>
        <v>13</v>
      </c>
      <c r="CY20" s="894">
        <f>IFERROR(IF($B20&gt;0,PASHEET!AM20+MARKS!G20+MARKS!O20+MARKS!W20+MARKS!AE20,""),"Ab")</f>
        <v>17</v>
      </c>
      <c r="CZ20" s="894">
        <f>IFERROR(IF($B20&gt;0,PASHEET!AN20+MARKS!H20+MARKS!P20+MARKS!X20+MARKS!AF20,""),"Ab")</f>
        <v>12</v>
      </c>
      <c r="DA20" s="894">
        <f>IFERROR(IF($B20&gt;0,PASHEET!AO20+MARKS!I20+MARKS!Q20+MARKS!Y20+MARKS!AG20,""),"Ab")</f>
        <v>14</v>
      </c>
      <c r="DB20" s="894">
        <f>IFERROR(IF($B20&gt;0,PASHEET!AP20+MARKS!J20+MARKS!R20+MARKS!Z20+MARKS!AH20,""),"Ab")</f>
        <v>12</v>
      </c>
      <c r="DC20" s="894">
        <f>IFERROR(IF($B20&gt;0,PASHEET!AQ20+MARKS!K20+MARKS!S20+MARKS!AA20+MARKS!AI20,""),"Ab")</f>
        <v>24</v>
      </c>
      <c r="DD20" s="894">
        <f>IFERROR(IF($B20&gt;0,PASHEET!AR20+MARKS!L20+MARKS!T20+MARKS!AB20+MARKS!AJ20,""),"Ab")</f>
        <v>0</v>
      </c>
      <c r="DE20" s="879">
        <f t="shared" si="38"/>
        <v>92</v>
      </c>
      <c r="DF20" s="894" t="str">
        <f t="shared" si="39"/>
        <v>E</v>
      </c>
      <c r="DG20" s="894" t="str">
        <f t="shared" si="40"/>
        <v>D</v>
      </c>
      <c r="DH20" s="894" t="str">
        <f t="shared" si="41"/>
        <v>E</v>
      </c>
      <c r="DI20" s="894" t="str">
        <f t="shared" si="42"/>
        <v>E</v>
      </c>
      <c r="DJ20" s="894" t="str">
        <f t="shared" si="43"/>
        <v>E</v>
      </c>
      <c r="DK20" s="894" t="str">
        <f t="shared" si="44"/>
        <v>C</v>
      </c>
      <c r="DL20" s="894">
        <f t="shared" si="45"/>
        <v>0</v>
      </c>
      <c r="DM20" s="894" t="str">
        <f t="shared" si="46"/>
        <v>E</v>
      </c>
      <c r="DN20" s="894">
        <f>IFERROR(IF($B20&gt;0,PASHEET!AT20+MARKS!AL20+MARKS!AT20+MARKS!BB20+MARKS!BJ20,""),"Ab")</f>
        <v>15</v>
      </c>
      <c r="DO20" s="894">
        <f>IFERROR(IF($B20&gt;0,PASHEET!AU20+MARKS!AM20+MARKS!AU20+MARKS!BC20+MARKS!BK20,""),"Ab")</f>
        <v>0</v>
      </c>
      <c r="DP20" s="894">
        <f>IFERROR(IF($B20&gt;0,PASHEET!AV20+MARKS!AN20+MARKS!AV20+MARKS!BD20+MARKS!BL20,""),"Ab")</f>
        <v>0</v>
      </c>
      <c r="DQ20" s="894">
        <f>IFERROR(IF($B20&gt;0,PASHEET!AW20+MARKS!AO20+MARKS!AW20+MARKS!BE20+MARKS!BM20,""),"Ab")</f>
        <v>0</v>
      </c>
      <c r="DR20" s="894">
        <f>IFERROR(IF($B20&gt;0,PASHEET!AX20+MARKS!AP20+MARKS!AX20+MARKS!BF20+MARKS!BN20,""),"Ab")</f>
        <v>0</v>
      </c>
      <c r="DS20" s="894">
        <f>IFERROR(IF($B20&gt;0,PASHEET!AY20+MARKS!AQ20+MARKS!AY20+MARKS!BG20+MARKS!BO20,""),"Ab")</f>
        <v>0</v>
      </c>
      <c r="DT20" s="894">
        <f>IFERROR(IF($B20&gt;0,PASHEET!AZ20+MARKS!AR20+MARKS!AZ20+MARKS!BH20+MARKS!BP20,""),"Ab")</f>
        <v>0</v>
      </c>
      <c r="DU20" s="879">
        <f t="shared" si="47"/>
        <v>15</v>
      </c>
      <c r="DV20" s="894" t="str">
        <f t="shared" si="48"/>
        <v>E</v>
      </c>
      <c r="DW20" s="894">
        <f t="shared" si="49"/>
        <v>0</v>
      </c>
      <c r="DX20" s="894">
        <f t="shared" si="50"/>
        <v>0</v>
      </c>
      <c r="DY20" s="894">
        <f t="shared" si="51"/>
        <v>0</v>
      </c>
      <c r="DZ20" s="894">
        <f t="shared" si="52"/>
        <v>0</v>
      </c>
      <c r="EA20" s="894">
        <f t="shared" si="53"/>
        <v>0</v>
      </c>
      <c r="EB20" s="894">
        <f t="shared" si="54"/>
        <v>0</v>
      </c>
      <c r="EC20" s="894" t="str">
        <f t="shared" si="55"/>
        <v>E</v>
      </c>
    </row>
    <row r="21" spans="1:133">
      <c r="A21" s="879">
        <v>18</v>
      </c>
      <c r="B21" s="879">
        <f>STUDENT!F19</f>
        <v>14756</v>
      </c>
      <c r="C21" s="879">
        <f>STUDENT!D19</f>
        <v>20240023055</v>
      </c>
      <c r="D21" s="886" t="str">
        <f>STUDENT!E19</f>
        <v>SAURAV KUMAR</v>
      </c>
      <c r="E21" s="886" t="str">
        <f>STUDENT!H19</f>
        <v>HARINDER YADAV</v>
      </c>
      <c r="F21" s="887"/>
      <c r="G21" s="887"/>
      <c r="H21" s="887"/>
      <c r="I21" s="887"/>
      <c r="J21" s="887"/>
      <c r="K21" s="887"/>
      <c r="L21" s="887"/>
      <c r="M21" s="888">
        <f t="shared" si="0"/>
        <v>0</v>
      </c>
      <c r="N21" s="887"/>
      <c r="O21" s="887"/>
      <c r="P21" s="887"/>
      <c r="Q21" s="887"/>
      <c r="R21" s="887"/>
      <c r="S21" s="887"/>
      <c r="T21" s="887"/>
      <c r="U21" s="889">
        <f t="shared" si="7"/>
        <v>0</v>
      </c>
      <c r="V21" s="887"/>
      <c r="W21" s="887"/>
      <c r="X21" s="887"/>
      <c r="Y21" s="887"/>
      <c r="Z21" s="887"/>
      <c r="AA21" s="887"/>
      <c r="AB21" s="887"/>
      <c r="AC21" s="890">
        <f t="shared" si="8"/>
        <v>0</v>
      </c>
      <c r="AD21" s="887">
        <v>10</v>
      </c>
      <c r="AE21" s="887">
        <v>13</v>
      </c>
      <c r="AF21" s="887">
        <v>17</v>
      </c>
      <c r="AG21" s="887">
        <v>13</v>
      </c>
      <c r="AH21" s="887">
        <v>13</v>
      </c>
      <c r="AI21" s="887">
        <v>23</v>
      </c>
      <c r="AJ21" s="887"/>
      <c r="AK21" s="888">
        <f t="shared" si="1"/>
        <v>89</v>
      </c>
      <c r="AL21" s="887"/>
      <c r="AM21" s="887"/>
      <c r="AN21" s="887"/>
      <c r="AO21" s="887"/>
      <c r="AP21" s="887"/>
      <c r="AQ21" s="887"/>
      <c r="AR21" s="887"/>
      <c r="AS21" s="891">
        <f t="shared" si="9"/>
        <v>0</v>
      </c>
      <c r="AT21" s="887"/>
      <c r="AU21" s="887"/>
      <c r="AV21" s="887"/>
      <c r="AW21" s="887"/>
      <c r="AX21" s="887"/>
      <c r="AY21" s="887"/>
      <c r="AZ21" s="887"/>
      <c r="BA21" s="889">
        <f t="shared" si="10"/>
        <v>0</v>
      </c>
      <c r="BB21" s="887"/>
      <c r="BC21" s="887"/>
      <c r="BD21" s="887"/>
      <c r="BE21" s="887"/>
      <c r="BF21" s="887"/>
      <c r="BG21" s="887"/>
      <c r="BH21" s="887"/>
      <c r="BI21" s="890">
        <f t="shared" si="11"/>
        <v>0</v>
      </c>
      <c r="BJ21" s="887">
        <v>15</v>
      </c>
      <c r="BK21" s="887"/>
      <c r="BL21" s="887"/>
      <c r="BM21" s="887"/>
      <c r="BN21" s="887"/>
      <c r="BO21" s="887"/>
      <c r="BP21" s="887"/>
      <c r="BQ21" s="888">
        <f t="shared" si="12"/>
        <v>15</v>
      </c>
      <c r="BR21" s="892" t="str">
        <f t="shared" si="13"/>
        <v>D</v>
      </c>
      <c r="BS21" s="892" t="str">
        <f t="shared" si="14"/>
        <v>C</v>
      </c>
      <c r="BT21" s="892" t="str">
        <f t="shared" si="15"/>
        <v>C</v>
      </c>
      <c r="BU21" s="892" t="str">
        <f t="shared" si="16"/>
        <v>C</v>
      </c>
      <c r="BV21" s="892" t="str">
        <f t="shared" si="17"/>
        <v>C</v>
      </c>
      <c r="BW21" s="892" t="str">
        <f t="shared" si="18"/>
        <v>B</v>
      </c>
      <c r="BX21" s="892" t="str">
        <f t="shared" si="19"/>
        <v/>
      </c>
      <c r="BY21" s="892" t="str">
        <f t="shared" si="20"/>
        <v>C</v>
      </c>
      <c r="BZ21" s="892" t="str">
        <f t="shared" si="21"/>
        <v>C</v>
      </c>
      <c r="CA21" s="892" t="str">
        <f t="shared" si="22"/>
        <v/>
      </c>
      <c r="CB21" s="892" t="str">
        <f t="shared" si="23"/>
        <v/>
      </c>
      <c r="CC21" s="892" t="str">
        <f t="shared" si="24"/>
        <v/>
      </c>
      <c r="CD21" s="892" t="str">
        <f t="shared" si="25"/>
        <v/>
      </c>
      <c r="CE21" s="892" t="str">
        <f t="shared" si="26"/>
        <v/>
      </c>
      <c r="CF21" s="892" t="str">
        <f t="shared" si="27"/>
        <v/>
      </c>
      <c r="CG21" s="892" t="str">
        <f t="shared" si="28"/>
        <v>E</v>
      </c>
      <c r="CH21" s="891">
        <f>IFERROR(IF($B21&gt;0,PASHEET!AL21+PASHEET!AT21+MARKS!F21+MARKS!N21+MARKS!V21+MARKS!AD21+MARKS!AL21+MARKS!AT21+MARKS!BB21+MARKS!BJ21,""),"Ab")</f>
        <v>26</v>
      </c>
      <c r="CI21" s="891">
        <f>IFERROR(IF($B21&gt;0,PASHEET!AM21+PASHEET!AU21+MARKS!G21+MARKS!O21+MARKS!W21+MARKS!AE21+MARKS!AM21+MARKS!AU21+MARKS!BC21+MARKS!BK21,""),"Ab")</f>
        <v>14</v>
      </c>
      <c r="CJ21" s="891">
        <f>IFERROR(IF($B21&gt;0,PASHEET!AN21+PASHEET!AV21+MARKS!H21+MARKS!P21+MARKS!X21+MARKS!AF21+MARKS!AN21+MARKS!AV21+MARKS!BD21+MARKS!BL21,""),"Ab")</f>
        <v>18</v>
      </c>
      <c r="CK21" s="891">
        <f>IFERROR(IF($B21&gt;0,PASHEET!AO21+PASHEET!AW21+MARKS!I21+MARKS!Q21+MARKS!Y21+MARKS!AG21+MARKS!AO21+MARKS!AW21+MARKS!BE21+MARKS!BM21,""),"Ab")</f>
        <v>14</v>
      </c>
      <c r="CL21" s="891">
        <f>IFERROR(IF($B21&gt;0,PASHEET!AP21+PASHEET!AX21+MARKS!J21+MARKS!R21+MARKS!Z21+MARKS!AH21+MARKS!AP21+MARKS!AX21+MARKS!BF21+MARKS!BN21,""),"Ab")</f>
        <v>13</v>
      </c>
      <c r="CM21" s="891">
        <f>IFERROR(IF($B21&gt;0,PASHEET!AQ21+PASHEET!AY21+MARKS!K21+MARKS!S21+MARKS!AA21+MARKS!AI21+MARKS!AQ21+MARKS!AY21+MARKS!BG21+MARKS!BO21,""),"Ab")</f>
        <v>24</v>
      </c>
      <c r="CN21" s="891">
        <f>IFERROR(IF($B21&gt;0,PASHEET!AR21+PASHEET!AZ21+MARKS!L21+MARKS!T21+MARKS!AB21+MARKS!AJ21+MARKS!AR21+MARKS!AZ21+MARKS!BH21+MARKS!BP21,""),"Ab")</f>
        <v>0</v>
      </c>
      <c r="CO21" s="891">
        <f t="shared" si="29"/>
        <v>109</v>
      </c>
      <c r="CP21" s="893" t="str">
        <f t="shared" si="30"/>
        <v>E</v>
      </c>
      <c r="CQ21" s="893" t="str">
        <f t="shared" si="31"/>
        <v>E</v>
      </c>
      <c r="CR21" s="893" t="str">
        <f t="shared" si="32"/>
        <v>E</v>
      </c>
      <c r="CS21" s="893" t="str">
        <f t="shared" si="33"/>
        <v>E</v>
      </c>
      <c r="CT21" s="893" t="str">
        <f t="shared" si="34"/>
        <v>E</v>
      </c>
      <c r="CU21" s="893" t="str">
        <f t="shared" si="35"/>
        <v>E</v>
      </c>
      <c r="CV21" s="893">
        <f t="shared" si="36"/>
        <v>0</v>
      </c>
      <c r="CW21" s="893" t="str">
        <f t="shared" si="37"/>
        <v>E</v>
      </c>
      <c r="CX21" s="894">
        <f>IFERROR(IF($B21&gt;0,PASHEET!AL21+MARKS!F21+MARKS!N21+MARKS!V21+MARKS!AD21,""),"Ab")</f>
        <v>11</v>
      </c>
      <c r="CY21" s="894">
        <f>IFERROR(IF($B21&gt;0,PASHEET!AM21+MARKS!G21+MARKS!O21+MARKS!W21+MARKS!AE21,""),"Ab")</f>
        <v>14</v>
      </c>
      <c r="CZ21" s="894">
        <f>IFERROR(IF($B21&gt;0,PASHEET!AN21+MARKS!H21+MARKS!P21+MARKS!X21+MARKS!AF21,""),"Ab")</f>
        <v>18</v>
      </c>
      <c r="DA21" s="894">
        <f>IFERROR(IF($B21&gt;0,PASHEET!AO21+MARKS!I21+MARKS!Q21+MARKS!Y21+MARKS!AG21,""),"Ab")</f>
        <v>14</v>
      </c>
      <c r="DB21" s="894">
        <f>IFERROR(IF($B21&gt;0,PASHEET!AP21+MARKS!J21+MARKS!R21+MARKS!Z21+MARKS!AH21,""),"Ab")</f>
        <v>13</v>
      </c>
      <c r="DC21" s="894">
        <f>IFERROR(IF($B21&gt;0,PASHEET!AQ21+MARKS!K21+MARKS!S21+MARKS!AA21+MARKS!AI21,""),"Ab")</f>
        <v>24</v>
      </c>
      <c r="DD21" s="894">
        <f>IFERROR(IF($B21&gt;0,PASHEET!AR21+MARKS!L21+MARKS!T21+MARKS!AB21+MARKS!AJ21,""),"Ab")</f>
        <v>0</v>
      </c>
      <c r="DE21" s="879">
        <f t="shared" si="38"/>
        <v>94</v>
      </c>
      <c r="DF21" s="894" t="str">
        <f t="shared" si="39"/>
        <v>E</v>
      </c>
      <c r="DG21" s="894" t="str">
        <f t="shared" si="40"/>
        <v>E</v>
      </c>
      <c r="DH21" s="894" t="str">
        <f t="shared" si="41"/>
        <v>D</v>
      </c>
      <c r="DI21" s="894" t="str">
        <f t="shared" si="42"/>
        <v>E</v>
      </c>
      <c r="DJ21" s="894" t="str">
        <f t="shared" si="43"/>
        <v>E</v>
      </c>
      <c r="DK21" s="894" t="str">
        <f t="shared" si="44"/>
        <v>C</v>
      </c>
      <c r="DL21" s="894">
        <f t="shared" si="45"/>
        <v>0</v>
      </c>
      <c r="DM21" s="894" t="str">
        <f t="shared" si="46"/>
        <v>E</v>
      </c>
      <c r="DN21" s="894">
        <f>IFERROR(IF($B21&gt;0,PASHEET!AT21+MARKS!AL21+MARKS!AT21+MARKS!BB21+MARKS!BJ21,""),"Ab")</f>
        <v>15</v>
      </c>
      <c r="DO21" s="894">
        <f>IFERROR(IF($B21&gt;0,PASHEET!AU21+MARKS!AM21+MARKS!AU21+MARKS!BC21+MARKS!BK21,""),"Ab")</f>
        <v>0</v>
      </c>
      <c r="DP21" s="894">
        <f>IFERROR(IF($B21&gt;0,PASHEET!AV21+MARKS!AN21+MARKS!AV21+MARKS!BD21+MARKS!BL21,""),"Ab")</f>
        <v>0</v>
      </c>
      <c r="DQ21" s="894">
        <f>IFERROR(IF($B21&gt;0,PASHEET!AW21+MARKS!AO21+MARKS!AW21+MARKS!BE21+MARKS!BM21,""),"Ab")</f>
        <v>0</v>
      </c>
      <c r="DR21" s="894">
        <f>IFERROR(IF($B21&gt;0,PASHEET!AX21+MARKS!AP21+MARKS!AX21+MARKS!BF21+MARKS!BN21,""),"Ab")</f>
        <v>0</v>
      </c>
      <c r="DS21" s="894">
        <f>IFERROR(IF($B21&gt;0,PASHEET!AY21+MARKS!AQ21+MARKS!AY21+MARKS!BG21+MARKS!BO21,""),"Ab")</f>
        <v>0</v>
      </c>
      <c r="DT21" s="894">
        <f>IFERROR(IF($B21&gt;0,PASHEET!AZ21+MARKS!AR21+MARKS!AZ21+MARKS!BH21+MARKS!BP21,""),"Ab")</f>
        <v>0</v>
      </c>
      <c r="DU21" s="879">
        <f t="shared" si="47"/>
        <v>15</v>
      </c>
      <c r="DV21" s="894" t="str">
        <f t="shared" si="48"/>
        <v>E</v>
      </c>
      <c r="DW21" s="894">
        <f t="shared" si="49"/>
        <v>0</v>
      </c>
      <c r="DX21" s="894">
        <f t="shared" si="50"/>
        <v>0</v>
      </c>
      <c r="DY21" s="894">
        <f t="shared" si="51"/>
        <v>0</v>
      </c>
      <c r="DZ21" s="894">
        <f t="shared" si="52"/>
        <v>0</v>
      </c>
      <c r="EA21" s="894">
        <f t="shared" si="53"/>
        <v>0</v>
      </c>
      <c r="EB21" s="894">
        <f t="shared" si="54"/>
        <v>0</v>
      </c>
      <c r="EC21" s="894" t="str">
        <f t="shared" si="55"/>
        <v>E</v>
      </c>
    </row>
    <row r="22" spans="1:133">
      <c r="A22" s="879">
        <v>19</v>
      </c>
      <c r="B22" s="879">
        <f>STUDENT!F20</f>
        <v>14758</v>
      </c>
      <c r="C22" s="879">
        <f>STUDENT!D20</f>
        <v>20240023083</v>
      </c>
      <c r="D22" s="886" t="str">
        <f>STUDENT!E20</f>
        <v>HANAM AYUBI</v>
      </c>
      <c r="E22" s="886" t="str">
        <f>STUDENT!H20</f>
        <v>MD PARWEZ</v>
      </c>
      <c r="F22" s="887"/>
      <c r="G22" s="887"/>
      <c r="H22" s="887"/>
      <c r="I22" s="887"/>
      <c r="J22" s="887"/>
      <c r="K22" s="887"/>
      <c r="L22" s="887"/>
      <c r="M22" s="888">
        <f t="shared" si="0"/>
        <v>0</v>
      </c>
      <c r="N22" s="887"/>
      <c r="O22" s="887"/>
      <c r="P22" s="887"/>
      <c r="Q22" s="887"/>
      <c r="R22" s="887"/>
      <c r="S22" s="887"/>
      <c r="T22" s="887"/>
      <c r="U22" s="889">
        <f t="shared" si="7"/>
        <v>0</v>
      </c>
      <c r="V22" s="887"/>
      <c r="W22" s="887"/>
      <c r="X22" s="887"/>
      <c r="Y22" s="887"/>
      <c r="Z22" s="887"/>
      <c r="AA22" s="887"/>
      <c r="AB22" s="887"/>
      <c r="AC22" s="890">
        <f t="shared" si="8"/>
        <v>0</v>
      </c>
      <c r="AD22" s="887">
        <v>26</v>
      </c>
      <c r="AE22" s="887">
        <v>27</v>
      </c>
      <c r="AF22" s="887">
        <v>22</v>
      </c>
      <c r="AG22" s="887">
        <v>26</v>
      </c>
      <c r="AH22" s="887">
        <v>25</v>
      </c>
      <c r="AI22" s="887">
        <v>28</v>
      </c>
      <c r="AJ22" s="887"/>
      <c r="AK22" s="888">
        <f t="shared" si="1"/>
        <v>154</v>
      </c>
      <c r="AL22" s="887"/>
      <c r="AM22" s="887"/>
      <c r="AN22" s="887"/>
      <c r="AO22" s="887"/>
      <c r="AP22" s="887"/>
      <c r="AQ22" s="887"/>
      <c r="AR22" s="887"/>
      <c r="AS22" s="891">
        <f t="shared" si="9"/>
        <v>0</v>
      </c>
      <c r="AT22" s="887"/>
      <c r="AU22" s="887"/>
      <c r="AV22" s="887"/>
      <c r="AW22" s="887"/>
      <c r="AX22" s="887"/>
      <c r="AY22" s="887"/>
      <c r="AZ22" s="887"/>
      <c r="BA22" s="889">
        <f t="shared" si="10"/>
        <v>0</v>
      </c>
      <c r="BB22" s="887"/>
      <c r="BC22" s="887"/>
      <c r="BD22" s="887"/>
      <c r="BE22" s="887"/>
      <c r="BF22" s="887"/>
      <c r="BG22" s="887"/>
      <c r="BH22" s="887"/>
      <c r="BI22" s="890">
        <f t="shared" si="11"/>
        <v>0</v>
      </c>
      <c r="BJ22" s="887">
        <v>25</v>
      </c>
      <c r="BK22" s="887"/>
      <c r="BL22" s="887"/>
      <c r="BM22" s="887"/>
      <c r="BN22" s="887"/>
      <c r="BO22" s="887"/>
      <c r="BP22" s="887"/>
      <c r="BQ22" s="888">
        <f t="shared" si="12"/>
        <v>25</v>
      </c>
      <c r="BR22" s="892" t="str">
        <f t="shared" si="13"/>
        <v>A</v>
      </c>
      <c r="BS22" s="892" t="str">
        <f t="shared" si="14"/>
        <v>A</v>
      </c>
      <c r="BT22" s="892" t="str">
        <f t="shared" si="15"/>
        <v>B</v>
      </c>
      <c r="BU22" s="892" t="str">
        <f t="shared" si="16"/>
        <v>A</v>
      </c>
      <c r="BV22" s="892" t="str">
        <f t="shared" si="17"/>
        <v>A</v>
      </c>
      <c r="BW22" s="892" t="str">
        <f t="shared" si="18"/>
        <v>A</v>
      </c>
      <c r="BX22" s="892" t="str">
        <f t="shared" si="19"/>
        <v/>
      </c>
      <c r="BY22" s="892" t="str">
        <f t="shared" si="20"/>
        <v>A</v>
      </c>
      <c r="BZ22" s="892" t="str">
        <f t="shared" si="21"/>
        <v>A</v>
      </c>
      <c r="CA22" s="892" t="str">
        <f t="shared" si="22"/>
        <v/>
      </c>
      <c r="CB22" s="892" t="str">
        <f t="shared" si="23"/>
        <v/>
      </c>
      <c r="CC22" s="892" t="str">
        <f t="shared" si="24"/>
        <v/>
      </c>
      <c r="CD22" s="892" t="str">
        <f t="shared" si="25"/>
        <v/>
      </c>
      <c r="CE22" s="892" t="str">
        <f t="shared" si="26"/>
        <v/>
      </c>
      <c r="CF22" s="892" t="str">
        <f t="shared" si="27"/>
        <v/>
      </c>
      <c r="CG22" s="892" t="str">
        <f t="shared" si="28"/>
        <v>E</v>
      </c>
      <c r="CH22" s="891">
        <f>IFERROR(IF($B22&gt;0,PASHEET!AL22+PASHEET!AT22+MARKS!F22+MARKS!N22+MARKS!V22+MARKS!AD22+MARKS!AL22+MARKS!AT22+MARKS!BB22+MARKS!BJ22,""),"Ab")</f>
        <v>52</v>
      </c>
      <c r="CI22" s="891">
        <f>IFERROR(IF($B22&gt;0,PASHEET!AM22+PASHEET!AU22+MARKS!G22+MARKS!O22+MARKS!W22+MARKS!AE22+MARKS!AM22+MARKS!AU22+MARKS!BC22+MARKS!BK22,""),"Ab")</f>
        <v>28</v>
      </c>
      <c r="CJ22" s="891">
        <f>IFERROR(IF($B22&gt;0,PASHEET!AN22+PASHEET!AV22+MARKS!H22+MARKS!P22+MARKS!X22+MARKS!AF22+MARKS!AN22+MARKS!AV22+MARKS!BD22+MARKS!BL22,""),"Ab")</f>
        <v>23</v>
      </c>
      <c r="CK22" s="891">
        <f>IFERROR(IF($B22&gt;0,PASHEET!AO22+PASHEET!AW22+MARKS!I22+MARKS!Q22+MARKS!Y22+MARKS!AG22+MARKS!AO22+MARKS!AW22+MARKS!BE22+MARKS!BM22,""),"Ab")</f>
        <v>27</v>
      </c>
      <c r="CL22" s="891">
        <f>IFERROR(IF($B22&gt;0,PASHEET!AP22+PASHEET!AX22+MARKS!J22+MARKS!R22+MARKS!Z22+MARKS!AH22+MARKS!AP22+MARKS!AX22+MARKS!BF22+MARKS!BN22,""),"Ab")</f>
        <v>25</v>
      </c>
      <c r="CM22" s="891">
        <f>IFERROR(IF($B22&gt;0,PASHEET!AQ22+PASHEET!AY22+MARKS!K22+MARKS!S22+MARKS!AA22+MARKS!AI22+MARKS!AQ22+MARKS!AY22+MARKS!BG22+MARKS!BO22,""),"Ab")</f>
        <v>29</v>
      </c>
      <c r="CN22" s="891">
        <f>IFERROR(IF($B22&gt;0,PASHEET!AR22+PASHEET!AZ22+MARKS!L22+MARKS!T22+MARKS!AB22+MARKS!AJ22+MARKS!AR22+MARKS!AZ22+MARKS!BH22+MARKS!BP22,""),"Ab")</f>
        <v>0</v>
      </c>
      <c r="CO22" s="891">
        <f t="shared" si="29"/>
        <v>184</v>
      </c>
      <c r="CP22" s="893" t="str">
        <f t="shared" si="30"/>
        <v>C</v>
      </c>
      <c r="CQ22" s="893" t="str">
        <f t="shared" si="31"/>
        <v>E</v>
      </c>
      <c r="CR22" s="893" t="str">
        <f t="shared" si="32"/>
        <v>E</v>
      </c>
      <c r="CS22" s="893" t="str">
        <f t="shared" si="33"/>
        <v>E</v>
      </c>
      <c r="CT22" s="893" t="str">
        <f t="shared" si="34"/>
        <v>E</v>
      </c>
      <c r="CU22" s="893" t="str">
        <f t="shared" si="35"/>
        <v>E</v>
      </c>
      <c r="CV22" s="893">
        <f t="shared" si="36"/>
        <v>0</v>
      </c>
      <c r="CW22" s="893" t="str">
        <f t="shared" si="37"/>
        <v>E</v>
      </c>
      <c r="CX22" s="894">
        <f>IFERROR(IF($B22&gt;0,PASHEET!AL22+MARKS!F22+MARKS!N22+MARKS!V22+MARKS!AD22,""),"Ab")</f>
        <v>27</v>
      </c>
      <c r="CY22" s="894">
        <f>IFERROR(IF($B22&gt;0,PASHEET!AM22+MARKS!G22+MARKS!O22+MARKS!W22+MARKS!AE22,""),"Ab")</f>
        <v>28</v>
      </c>
      <c r="CZ22" s="894">
        <f>IFERROR(IF($B22&gt;0,PASHEET!AN22+MARKS!H22+MARKS!P22+MARKS!X22+MARKS!AF22,""),"Ab")</f>
        <v>23</v>
      </c>
      <c r="DA22" s="894">
        <f>IFERROR(IF($B22&gt;0,PASHEET!AO22+MARKS!I22+MARKS!Q22+MARKS!Y22+MARKS!AG22,""),"Ab")</f>
        <v>27</v>
      </c>
      <c r="DB22" s="894">
        <f>IFERROR(IF($B22&gt;0,PASHEET!AP22+MARKS!J22+MARKS!R22+MARKS!Z22+MARKS!AH22,""),"Ab")</f>
        <v>25</v>
      </c>
      <c r="DC22" s="894">
        <f>IFERROR(IF($B22&gt;0,PASHEET!AQ22+MARKS!K22+MARKS!S22+MARKS!AA22+MARKS!AI22,""),"Ab")</f>
        <v>29</v>
      </c>
      <c r="DD22" s="894">
        <f>IFERROR(IF($B22&gt;0,PASHEET!AR22+MARKS!L22+MARKS!T22+MARKS!AB22+MARKS!AJ22,""),"Ab")</f>
        <v>0</v>
      </c>
      <c r="DE22" s="879">
        <f t="shared" si="38"/>
        <v>159</v>
      </c>
      <c r="DF22" s="894" t="str">
        <f t="shared" si="39"/>
        <v>C</v>
      </c>
      <c r="DG22" s="894" t="str">
        <f t="shared" si="40"/>
        <v>C</v>
      </c>
      <c r="DH22" s="894" t="str">
        <f t="shared" si="41"/>
        <v>C</v>
      </c>
      <c r="DI22" s="894" t="str">
        <f t="shared" si="42"/>
        <v>C</v>
      </c>
      <c r="DJ22" s="894" t="str">
        <f t="shared" si="43"/>
        <v>C</v>
      </c>
      <c r="DK22" s="894" t="str">
        <f t="shared" si="44"/>
        <v>C</v>
      </c>
      <c r="DL22" s="894">
        <f t="shared" si="45"/>
        <v>0</v>
      </c>
      <c r="DM22" s="894" t="str">
        <f t="shared" si="46"/>
        <v>C</v>
      </c>
      <c r="DN22" s="894">
        <f>IFERROR(IF($B22&gt;0,PASHEET!AT22+MARKS!AL22+MARKS!AT22+MARKS!BB22+MARKS!BJ22,""),"Ab")</f>
        <v>25</v>
      </c>
      <c r="DO22" s="894">
        <f>IFERROR(IF($B22&gt;0,PASHEET!AU22+MARKS!AM22+MARKS!AU22+MARKS!BC22+MARKS!BK22,""),"Ab")</f>
        <v>0</v>
      </c>
      <c r="DP22" s="894">
        <f>IFERROR(IF($B22&gt;0,PASHEET!AV22+MARKS!AN22+MARKS!AV22+MARKS!BD22+MARKS!BL22,""),"Ab")</f>
        <v>0</v>
      </c>
      <c r="DQ22" s="894">
        <f>IFERROR(IF($B22&gt;0,PASHEET!AW22+MARKS!AO22+MARKS!AW22+MARKS!BE22+MARKS!BM22,""),"Ab")</f>
        <v>0</v>
      </c>
      <c r="DR22" s="894">
        <f>IFERROR(IF($B22&gt;0,PASHEET!AX22+MARKS!AP22+MARKS!AX22+MARKS!BF22+MARKS!BN22,""),"Ab")</f>
        <v>0</v>
      </c>
      <c r="DS22" s="894">
        <f>IFERROR(IF($B22&gt;0,PASHEET!AY22+MARKS!AQ22+MARKS!AY22+MARKS!BG22+MARKS!BO22,""),"Ab")</f>
        <v>0</v>
      </c>
      <c r="DT22" s="894">
        <f>IFERROR(IF($B22&gt;0,PASHEET!AZ22+MARKS!AR22+MARKS!AZ22+MARKS!BH22+MARKS!BP22,""),"Ab")</f>
        <v>0</v>
      </c>
      <c r="DU22" s="879">
        <f t="shared" si="47"/>
        <v>25</v>
      </c>
      <c r="DV22" s="894" t="str">
        <f t="shared" si="48"/>
        <v>C</v>
      </c>
      <c r="DW22" s="894">
        <f t="shared" si="49"/>
        <v>0</v>
      </c>
      <c r="DX22" s="894">
        <f t="shared" si="50"/>
        <v>0</v>
      </c>
      <c r="DY22" s="894">
        <f t="shared" si="51"/>
        <v>0</v>
      </c>
      <c r="DZ22" s="894">
        <f t="shared" si="52"/>
        <v>0</v>
      </c>
      <c r="EA22" s="894">
        <f t="shared" si="53"/>
        <v>0</v>
      </c>
      <c r="EB22" s="894">
        <f t="shared" si="54"/>
        <v>0</v>
      </c>
      <c r="EC22" s="894" t="str">
        <f t="shared" si="55"/>
        <v>E</v>
      </c>
    </row>
    <row r="23" spans="1:133">
      <c r="A23" s="879">
        <v>20</v>
      </c>
      <c r="B23" s="879">
        <f>STUDENT!F21</f>
        <v>14768</v>
      </c>
      <c r="C23" s="879">
        <f>STUDENT!D21</f>
        <v>20240028340</v>
      </c>
      <c r="D23" s="886" t="str">
        <f>STUDENT!E21</f>
        <v>ANKUR</v>
      </c>
      <c r="E23" s="886" t="str">
        <f>STUDENT!H21</f>
        <v>ASHOK KUMAR GUPTA</v>
      </c>
      <c r="F23" s="887"/>
      <c r="G23" s="887"/>
      <c r="H23" s="887"/>
      <c r="I23" s="887"/>
      <c r="J23" s="887"/>
      <c r="K23" s="887"/>
      <c r="L23" s="887"/>
      <c r="M23" s="888">
        <f t="shared" si="0"/>
        <v>0</v>
      </c>
      <c r="N23" s="887"/>
      <c r="O23" s="887"/>
      <c r="P23" s="887"/>
      <c r="Q23" s="887"/>
      <c r="R23" s="887"/>
      <c r="S23" s="887"/>
      <c r="T23" s="887"/>
      <c r="U23" s="889">
        <f t="shared" si="7"/>
        <v>0</v>
      </c>
      <c r="V23" s="887"/>
      <c r="W23" s="887"/>
      <c r="X23" s="887"/>
      <c r="Y23" s="887"/>
      <c r="Z23" s="887"/>
      <c r="AA23" s="887"/>
      <c r="AB23" s="887"/>
      <c r="AC23" s="890">
        <f t="shared" si="8"/>
        <v>0</v>
      </c>
      <c r="AD23" s="887">
        <v>15</v>
      </c>
      <c r="AE23" s="887">
        <v>13</v>
      </c>
      <c r="AF23" s="887">
        <v>18</v>
      </c>
      <c r="AG23" s="887">
        <v>18</v>
      </c>
      <c r="AH23" s="887">
        <v>22</v>
      </c>
      <c r="AI23" s="887">
        <v>20</v>
      </c>
      <c r="AJ23" s="887"/>
      <c r="AK23" s="888">
        <f t="shared" si="1"/>
        <v>106</v>
      </c>
      <c r="AL23" s="887"/>
      <c r="AM23" s="887"/>
      <c r="AN23" s="887"/>
      <c r="AO23" s="887"/>
      <c r="AP23" s="887"/>
      <c r="AQ23" s="887"/>
      <c r="AR23" s="887"/>
      <c r="AS23" s="891">
        <f t="shared" si="9"/>
        <v>0</v>
      </c>
      <c r="AT23" s="887"/>
      <c r="AU23" s="887"/>
      <c r="AV23" s="887"/>
      <c r="AW23" s="887"/>
      <c r="AX23" s="887"/>
      <c r="AY23" s="887"/>
      <c r="AZ23" s="887"/>
      <c r="BA23" s="889">
        <f t="shared" si="10"/>
        <v>0</v>
      </c>
      <c r="BB23" s="887"/>
      <c r="BC23" s="887"/>
      <c r="BD23" s="887"/>
      <c r="BE23" s="887"/>
      <c r="BF23" s="887"/>
      <c r="BG23" s="887"/>
      <c r="BH23" s="887"/>
      <c r="BI23" s="890">
        <f t="shared" si="11"/>
        <v>0</v>
      </c>
      <c r="BJ23" s="887">
        <v>15</v>
      </c>
      <c r="BK23" s="887"/>
      <c r="BL23" s="887"/>
      <c r="BM23" s="887"/>
      <c r="BN23" s="887"/>
      <c r="BO23" s="887"/>
      <c r="BP23" s="887"/>
      <c r="BQ23" s="888">
        <f t="shared" si="12"/>
        <v>15</v>
      </c>
      <c r="BR23" s="892" t="str">
        <f t="shared" si="13"/>
        <v>C</v>
      </c>
      <c r="BS23" s="892" t="str">
        <f t="shared" si="14"/>
        <v>C</v>
      </c>
      <c r="BT23" s="892" t="str">
        <f t="shared" si="15"/>
        <v>C</v>
      </c>
      <c r="BU23" s="892" t="str">
        <f t="shared" si="16"/>
        <v>C</v>
      </c>
      <c r="BV23" s="892" t="str">
        <f t="shared" si="17"/>
        <v>B</v>
      </c>
      <c r="BW23" s="892" t="str">
        <f t="shared" si="18"/>
        <v>B</v>
      </c>
      <c r="BX23" s="892" t="str">
        <f t="shared" si="19"/>
        <v/>
      </c>
      <c r="BY23" s="892" t="str">
        <f t="shared" si="20"/>
        <v>C</v>
      </c>
      <c r="BZ23" s="892" t="str">
        <f t="shared" si="21"/>
        <v>C</v>
      </c>
      <c r="CA23" s="892" t="str">
        <f t="shared" si="22"/>
        <v/>
      </c>
      <c r="CB23" s="892" t="str">
        <f t="shared" si="23"/>
        <v/>
      </c>
      <c r="CC23" s="892" t="str">
        <f t="shared" si="24"/>
        <v/>
      </c>
      <c r="CD23" s="892" t="str">
        <f t="shared" si="25"/>
        <v/>
      </c>
      <c r="CE23" s="892" t="str">
        <f t="shared" si="26"/>
        <v/>
      </c>
      <c r="CF23" s="892" t="str">
        <f t="shared" si="27"/>
        <v/>
      </c>
      <c r="CG23" s="892" t="str">
        <f t="shared" si="28"/>
        <v>E</v>
      </c>
      <c r="CH23" s="891">
        <f>IFERROR(IF($B23&gt;0,PASHEET!AL23+PASHEET!AT23+MARKS!F23+MARKS!N23+MARKS!V23+MARKS!AD23+MARKS!AL23+MARKS!AT23+MARKS!BB23+MARKS!BJ23,""),"Ab")</f>
        <v>31</v>
      </c>
      <c r="CI23" s="891">
        <f>IFERROR(IF($B23&gt;0,PASHEET!AM23+PASHEET!AU23+MARKS!G23+MARKS!O23+MARKS!W23+MARKS!AE23+MARKS!AM23+MARKS!AU23+MARKS!BC23+MARKS!BK23,""),"Ab")</f>
        <v>14</v>
      </c>
      <c r="CJ23" s="891">
        <f>IFERROR(IF($B23&gt;0,PASHEET!AN23+PASHEET!AV23+MARKS!H23+MARKS!P23+MARKS!X23+MARKS!AF23+MARKS!AN23+MARKS!AV23+MARKS!BD23+MARKS!BL23,""),"Ab")</f>
        <v>19</v>
      </c>
      <c r="CK23" s="891">
        <f>IFERROR(IF($B23&gt;0,PASHEET!AO23+PASHEET!AW23+MARKS!I23+MARKS!Q23+MARKS!Y23+MARKS!AG23+MARKS!AO23+MARKS!AW23+MARKS!BE23+MARKS!BM23,""),"Ab")</f>
        <v>19</v>
      </c>
      <c r="CL23" s="891">
        <f>IFERROR(IF($B23&gt;0,PASHEET!AP23+PASHEET!AX23+MARKS!J23+MARKS!R23+MARKS!Z23+MARKS!AH23+MARKS!AP23+MARKS!AX23+MARKS!BF23+MARKS!BN23,""),"Ab")</f>
        <v>22</v>
      </c>
      <c r="CM23" s="891">
        <f>IFERROR(IF($B23&gt;0,PASHEET!AQ23+PASHEET!AY23+MARKS!K23+MARKS!S23+MARKS!AA23+MARKS!AI23+MARKS!AQ23+MARKS!AY23+MARKS!BG23+MARKS!BO23,""),"Ab")</f>
        <v>22</v>
      </c>
      <c r="CN23" s="891">
        <f>IFERROR(IF($B23&gt;0,PASHEET!AR23+PASHEET!AZ23+MARKS!L23+MARKS!T23+MARKS!AB23+MARKS!AJ23+MARKS!AR23+MARKS!AZ23+MARKS!BH23+MARKS!BP23,""),"Ab")</f>
        <v>0</v>
      </c>
      <c r="CO23" s="891">
        <f t="shared" si="29"/>
        <v>127</v>
      </c>
      <c r="CP23" s="893" t="str">
        <f t="shared" si="30"/>
        <v>E</v>
      </c>
      <c r="CQ23" s="893" t="str">
        <f t="shared" si="31"/>
        <v>E</v>
      </c>
      <c r="CR23" s="893" t="str">
        <f t="shared" si="32"/>
        <v>E</v>
      </c>
      <c r="CS23" s="893" t="str">
        <f t="shared" si="33"/>
        <v>E</v>
      </c>
      <c r="CT23" s="893" t="str">
        <f t="shared" si="34"/>
        <v>E</v>
      </c>
      <c r="CU23" s="893" t="str">
        <f t="shared" si="35"/>
        <v>E</v>
      </c>
      <c r="CV23" s="893">
        <f t="shared" si="36"/>
        <v>0</v>
      </c>
      <c r="CW23" s="893" t="str">
        <f t="shared" si="37"/>
        <v>E</v>
      </c>
      <c r="CX23" s="894">
        <f>IFERROR(IF($B23&gt;0,PASHEET!AL23+MARKS!F23+MARKS!N23+MARKS!V23+MARKS!AD23,""),"Ab")</f>
        <v>16</v>
      </c>
      <c r="CY23" s="894">
        <f>IFERROR(IF($B23&gt;0,PASHEET!AM23+MARKS!G23+MARKS!O23+MARKS!W23+MARKS!AE23,""),"Ab")</f>
        <v>14</v>
      </c>
      <c r="CZ23" s="894">
        <f>IFERROR(IF($B23&gt;0,PASHEET!AN23+MARKS!H23+MARKS!P23+MARKS!X23+MARKS!AF23,""),"Ab")</f>
        <v>19</v>
      </c>
      <c r="DA23" s="894">
        <f>IFERROR(IF($B23&gt;0,PASHEET!AO23+MARKS!I23+MARKS!Q23+MARKS!Y23+MARKS!AG23,""),"Ab")</f>
        <v>19</v>
      </c>
      <c r="DB23" s="894">
        <f>IFERROR(IF($B23&gt;0,PASHEET!AP23+MARKS!J23+MARKS!R23+MARKS!Z23+MARKS!AH23,""),"Ab")</f>
        <v>22</v>
      </c>
      <c r="DC23" s="894">
        <f>IFERROR(IF($B23&gt;0,PASHEET!AQ23+MARKS!K23+MARKS!S23+MARKS!AA23+MARKS!AI23,""),"Ab")</f>
        <v>22</v>
      </c>
      <c r="DD23" s="894">
        <f>IFERROR(IF($B23&gt;0,PASHEET!AR23+MARKS!L23+MARKS!T23+MARKS!AB23+MARKS!AJ23,""),"Ab")</f>
        <v>0</v>
      </c>
      <c r="DE23" s="879">
        <f t="shared" si="38"/>
        <v>112</v>
      </c>
      <c r="DF23" s="894" t="str">
        <f t="shared" si="39"/>
        <v>D</v>
      </c>
      <c r="DG23" s="894" t="str">
        <f t="shared" si="40"/>
        <v>E</v>
      </c>
      <c r="DH23" s="894" t="str">
        <f t="shared" si="41"/>
        <v>D</v>
      </c>
      <c r="DI23" s="894" t="str">
        <f t="shared" si="42"/>
        <v>D</v>
      </c>
      <c r="DJ23" s="894" t="str">
        <f t="shared" si="43"/>
        <v>D</v>
      </c>
      <c r="DK23" s="894" t="str">
        <f t="shared" si="44"/>
        <v>D</v>
      </c>
      <c r="DL23" s="894">
        <f t="shared" si="45"/>
        <v>0</v>
      </c>
      <c r="DM23" s="894" t="str">
        <f t="shared" si="46"/>
        <v>D</v>
      </c>
      <c r="DN23" s="894">
        <f>IFERROR(IF($B23&gt;0,PASHEET!AT23+MARKS!AL23+MARKS!AT23+MARKS!BB23+MARKS!BJ23,""),"Ab")</f>
        <v>15</v>
      </c>
      <c r="DO23" s="894">
        <f>IFERROR(IF($B23&gt;0,PASHEET!AU23+MARKS!AM23+MARKS!AU23+MARKS!BC23+MARKS!BK23,""),"Ab")</f>
        <v>0</v>
      </c>
      <c r="DP23" s="894">
        <f>IFERROR(IF($B23&gt;0,PASHEET!AV23+MARKS!AN23+MARKS!AV23+MARKS!BD23+MARKS!BL23,""),"Ab")</f>
        <v>0</v>
      </c>
      <c r="DQ23" s="894">
        <f>IFERROR(IF($B23&gt;0,PASHEET!AW23+MARKS!AO23+MARKS!AW23+MARKS!BE23+MARKS!BM23,""),"Ab")</f>
        <v>0</v>
      </c>
      <c r="DR23" s="894">
        <f>IFERROR(IF($B23&gt;0,PASHEET!AX23+MARKS!AP23+MARKS!AX23+MARKS!BF23+MARKS!BN23,""),"Ab")</f>
        <v>0</v>
      </c>
      <c r="DS23" s="894">
        <f>IFERROR(IF($B23&gt;0,PASHEET!AY23+MARKS!AQ23+MARKS!AY23+MARKS!BG23+MARKS!BO23,""),"Ab")</f>
        <v>0</v>
      </c>
      <c r="DT23" s="894">
        <f>IFERROR(IF($B23&gt;0,PASHEET!AZ23+MARKS!AR23+MARKS!AZ23+MARKS!BH23+MARKS!BP23,""),"Ab")</f>
        <v>0</v>
      </c>
      <c r="DU23" s="879">
        <f t="shared" si="47"/>
        <v>15</v>
      </c>
      <c r="DV23" s="894" t="str">
        <f t="shared" si="48"/>
        <v>E</v>
      </c>
      <c r="DW23" s="894">
        <f t="shared" si="49"/>
        <v>0</v>
      </c>
      <c r="DX23" s="894">
        <f t="shared" si="50"/>
        <v>0</v>
      </c>
      <c r="DY23" s="894">
        <f t="shared" si="51"/>
        <v>0</v>
      </c>
      <c r="DZ23" s="894">
        <f t="shared" si="52"/>
        <v>0</v>
      </c>
      <c r="EA23" s="894">
        <f t="shared" si="53"/>
        <v>0</v>
      </c>
      <c r="EB23" s="894">
        <f t="shared" si="54"/>
        <v>0</v>
      </c>
      <c r="EC23" s="894" t="str">
        <f t="shared" si="55"/>
        <v>E</v>
      </c>
    </row>
    <row r="24" spans="1:133">
      <c r="A24" s="879">
        <v>21</v>
      </c>
      <c r="B24" s="879">
        <f>STUDENT!F22</f>
        <v>14792</v>
      </c>
      <c r="C24" s="879">
        <f>STUDENT!D22</f>
        <v>20240074441</v>
      </c>
      <c r="D24" s="886" t="str">
        <f>STUDENT!E22</f>
        <v>SOBHIT PASWAN</v>
      </c>
      <c r="E24" s="886" t="str">
        <f>STUDENT!H22</f>
        <v>SHANKAR PASWAN</v>
      </c>
      <c r="F24" s="887"/>
      <c r="G24" s="887"/>
      <c r="H24" s="887"/>
      <c r="I24" s="887"/>
      <c r="J24" s="887"/>
      <c r="K24" s="887"/>
      <c r="L24" s="887"/>
      <c r="M24" s="888">
        <f t="shared" si="0"/>
        <v>0</v>
      </c>
      <c r="N24" s="887"/>
      <c r="O24" s="887"/>
      <c r="P24" s="887"/>
      <c r="Q24" s="887"/>
      <c r="R24" s="887"/>
      <c r="S24" s="887"/>
      <c r="T24" s="887"/>
      <c r="U24" s="889">
        <f t="shared" si="7"/>
        <v>0</v>
      </c>
      <c r="V24" s="887"/>
      <c r="W24" s="887"/>
      <c r="X24" s="887"/>
      <c r="Y24" s="887"/>
      <c r="Z24" s="887"/>
      <c r="AA24" s="887"/>
      <c r="AB24" s="887"/>
      <c r="AC24" s="890">
        <f t="shared" si="8"/>
        <v>0</v>
      </c>
      <c r="AD24" s="887">
        <v>11</v>
      </c>
      <c r="AE24" s="887">
        <v>13</v>
      </c>
      <c r="AF24" s="887">
        <v>13</v>
      </c>
      <c r="AG24" s="887">
        <v>13</v>
      </c>
      <c r="AH24" s="887">
        <v>13</v>
      </c>
      <c r="AI24" s="887">
        <v>18</v>
      </c>
      <c r="AJ24" s="887"/>
      <c r="AK24" s="888">
        <f t="shared" si="1"/>
        <v>81</v>
      </c>
      <c r="AL24" s="887"/>
      <c r="AM24" s="887"/>
      <c r="AN24" s="887"/>
      <c r="AO24" s="887"/>
      <c r="AP24" s="887"/>
      <c r="AQ24" s="887"/>
      <c r="AR24" s="887"/>
      <c r="AS24" s="891">
        <f t="shared" si="9"/>
        <v>0</v>
      </c>
      <c r="AT24" s="887"/>
      <c r="AU24" s="887"/>
      <c r="AV24" s="887"/>
      <c r="AW24" s="887"/>
      <c r="AX24" s="887"/>
      <c r="AY24" s="887"/>
      <c r="AZ24" s="887"/>
      <c r="BA24" s="889">
        <f t="shared" si="10"/>
        <v>0</v>
      </c>
      <c r="BB24" s="887"/>
      <c r="BC24" s="887"/>
      <c r="BD24" s="887"/>
      <c r="BE24" s="887"/>
      <c r="BF24" s="887"/>
      <c r="BG24" s="887"/>
      <c r="BH24" s="887"/>
      <c r="BI24" s="890">
        <f t="shared" si="11"/>
        <v>0</v>
      </c>
      <c r="BJ24" s="887">
        <v>19</v>
      </c>
      <c r="BK24" s="887"/>
      <c r="BL24" s="887"/>
      <c r="BM24" s="887"/>
      <c r="BN24" s="887"/>
      <c r="BO24" s="887"/>
      <c r="BP24" s="887"/>
      <c r="BQ24" s="888">
        <f t="shared" si="12"/>
        <v>19</v>
      </c>
      <c r="BR24" s="892" t="str">
        <f t="shared" si="13"/>
        <v>D</v>
      </c>
      <c r="BS24" s="892" t="str">
        <f t="shared" si="14"/>
        <v>C</v>
      </c>
      <c r="BT24" s="892" t="str">
        <f t="shared" si="15"/>
        <v>C</v>
      </c>
      <c r="BU24" s="892" t="str">
        <f t="shared" si="16"/>
        <v>C</v>
      </c>
      <c r="BV24" s="892" t="str">
        <f t="shared" si="17"/>
        <v>C</v>
      </c>
      <c r="BW24" s="892" t="str">
        <f t="shared" si="18"/>
        <v>C</v>
      </c>
      <c r="BX24" s="892" t="str">
        <f t="shared" si="19"/>
        <v/>
      </c>
      <c r="BY24" s="892" t="str">
        <f t="shared" si="20"/>
        <v>C</v>
      </c>
      <c r="BZ24" s="892" t="str">
        <f t="shared" si="21"/>
        <v>C</v>
      </c>
      <c r="CA24" s="892" t="str">
        <f t="shared" si="22"/>
        <v/>
      </c>
      <c r="CB24" s="892" t="str">
        <f t="shared" si="23"/>
        <v/>
      </c>
      <c r="CC24" s="892" t="str">
        <f t="shared" si="24"/>
        <v/>
      </c>
      <c r="CD24" s="892" t="str">
        <f t="shared" si="25"/>
        <v/>
      </c>
      <c r="CE24" s="892" t="str">
        <f t="shared" si="26"/>
        <v/>
      </c>
      <c r="CF24" s="892" t="str">
        <f t="shared" si="27"/>
        <v/>
      </c>
      <c r="CG24" s="892" t="str">
        <f t="shared" si="28"/>
        <v>E</v>
      </c>
      <c r="CH24" s="891">
        <f>IFERROR(IF($B24&gt;0,PASHEET!AL24+PASHEET!AT24+MARKS!F24+MARKS!N24+MARKS!V24+MARKS!AD24+MARKS!AL24+MARKS!AT24+MARKS!BB24+MARKS!BJ24,""),"Ab")</f>
        <v>31</v>
      </c>
      <c r="CI24" s="891">
        <f>IFERROR(IF($B24&gt;0,PASHEET!AM24+PASHEET!AU24+MARKS!G24+MARKS!O24+MARKS!W24+MARKS!AE24+MARKS!AM24+MARKS!AU24+MARKS!BC24+MARKS!BK24,""),"Ab")</f>
        <v>14</v>
      </c>
      <c r="CJ24" s="891">
        <f>IFERROR(IF($B24&gt;0,PASHEET!AN24+PASHEET!AV24+MARKS!H24+MARKS!P24+MARKS!X24+MARKS!AF24+MARKS!AN24+MARKS!AV24+MARKS!BD24+MARKS!BL24,""),"Ab")</f>
        <v>14</v>
      </c>
      <c r="CK24" s="891">
        <f>IFERROR(IF($B24&gt;0,PASHEET!AO24+PASHEET!AW24+MARKS!I24+MARKS!Q24+MARKS!Y24+MARKS!AG24+MARKS!AO24+MARKS!AW24+MARKS!BE24+MARKS!BM24,""),"Ab")</f>
        <v>14</v>
      </c>
      <c r="CL24" s="891">
        <f>IFERROR(IF($B24&gt;0,PASHEET!AP24+PASHEET!AX24+MARKS!J24+MARKS!R24+MARKS!Z24+MARKS!AH24+MARKS!AP24+MARKS!AX24+MARKS!BF24+MARKS!BN24,""),"Ab")</f>
        <v>13</v>
      </c>
      <c r="CM24" s="891">
        <f>IFERROR(IF($B24&gt;0,PASHEET!AQ24+PASHEET!AY24+MARKS!K24+MARKS!S24+MARKS!AA24+MARKS!AI24+MARKS!AQ24+MARKS!AY24+MARKS!BG24+MARKS!BO24,""),"Ab")</f>
        <v>20</v>
      </c>
      <c r="CN24" s="891">
        <f>IFERROR(IF($B24&gt;0,PASHEET!AR24+PASHEET!AZ24+MARKS!L24+MARKS!T24+MARKS!AB24+MARKS!AJ24+MARKS!AR24+MARKS!AZ24+MARKS!BH24+MARKS!BP24,""),"Ab")</f>
        <v>0</v>
      </c>
      <c r="CO24" s="891">
        <f t="shared" si="29"/>
        <v>106</v>
      </c>
      <c r="CP24" s="893" t="str">
        <f t="shared" si="30"/>
        <v>E</v>
      </c>
      <c r="CQ24" s="893" t="str">
        <f t="shared" si="31"/>
        <v>E</v>
      </c>
      <c r="CR24" s="893" t="str">
        <f t="shared" si="32"/>
        <v>E</v>
      </c>
      <c r="CS24" s="893" t="str">
        <f t="shared" si="33"/>
        <v>E</v>
      </c>
      <c r="CT24" s="893" t="str">
        <f t="shared" si="34"/>
        <v>E</v>
      </c>
      <c r="CU24" s="893" t="str">
        <f t="shared" si="35"/>
        <v>E</v>
      </c>
      <c r="CV24" s="893">
        <f t="shared" si="36"/>
        <v>0</v>
      </c>
      <c r="CW24" s="893" t="str">
        <f t="shared" si="37"/>
        <v>E</v>
      </c>
      <c r="CX24" s="894">
        <f>IFERROR(IF($B24&gt;0,PASHEET!AL24+MARKS!F24+MARKS!N24+MARKS!V24+MARKS!AD24,""),"Ab")</f>
        <v>12</v>
      </c>
      <c r="CY24" s="894">
        <f>IFERROR(IF($B24&gt;0,PASHEET!AM24+MARKS!G24+MARKS!O24+MARKS!W24+MARKS!AE24,""),"Ab")</f>
        <v>14</v>
      </c>
      <c r="CZ24" s="894">
        <f>IFERROR(IF($B24&gt;0,PASHEET!AN24+MARKS!H24+MARKS!P24+MARKS!X24+MARKS!AF24,""),"Ab")</f>
        <v>14</v>
      </c>
      <c r="DA24" s="894">
        <f>IFERROR(IF($B24&gt;0,PASHEET!AO24+MARKS!I24+MARKS!Q24+MARKS!Y24+MARKS!AG24,""),"Ab")</f>
        <v>14</v>
      </c>
      <c r="DB24" s="894">
        <f>IFERROR(IF($B24&gt;0,PASHEET!AP24+MARKS!J24+MARKS!R24+MARKS!Z24+MARKS!AH24,""),"Ab")</f>
        <v>13</v>
      </c>
      <c r="DC24" s="894">
        <f>IFERROR(IF($B24&gt;0,PASHEET!AQ24+MARKS!K24+MARKS!S24+MARKS!AA24+MARKS!AI24,""),"Ab")</f>
        <v>20</v>
      </c>
      <c r="DD24" s="894">
        <f>IFERROR(IF($B24&gt;0,PASHEET!AR24+MARKS!L24+MARKS!T24+MARKS!AB24+MARKS!AJ24,""),"Ab")</f>
        <v>0</v>
      </c>
      <c r="DE24" s="879">
        <f t="shared" si="38"/>
        <v>87</v>
      </c>
      <c r="DF24" s="894" t="str">
        <f t="shared" si="39"/>
        <v>E</v>
      </c>
      <c r="DG24" s="894" t="str">
        <f t="shared" si="40"/>
        <v>E</v>
      </c>
      <c r="DH24" s="894" t="str">
        <f t="shared" si="41"/>
        <v>E</v>
      </c>
      <c r="DI24" s="894" t="str">
        <f t="shared" si="42"/>
        <v>E</v>
      </c>
      <c r="DJ24" s="894" t="str">
        <f t="shared" si="43"/>
        <v>E</v>
      </c>
      <c r="DK24" s="894" t="str">
        <f t="shared" si="44"/>
        <v>D</v>
      </c>
      <c r="DL24" s="894">
        <f t="shared" si="45"/>
        <v>0</v>
      </c>
      <c r="DM24" s="894" t="str">
        <f t="shared" si="46"/>
        <v>E</v>
      </c>
      <c r="DN24" s="894">
        <f>IFERROR(IF($B24&gt;0,PASHEET!AT24+MARKS!AL24+MARKS!AT24+MARKS!BB24+MARKS!BJ24,""),"Ab")</f>
        <v>19</v>
      </c>
      <c r="DO24" s="894">
        <f>IFERROR(IF($B24&gt;0,PASHEET!AU24+MARKS!AM24+MARKS!AU24+MARKS!BC24+MARKS!BK24,""),"Ab")</f>
        <v>0</v>
      </c>
      <c r="DP24" s="894">
        <f>IFERROR(IF($B24&gt;0,PASHEET!AV24+MARKS!AN24+MARKS!AV24+MARKS!BD24+MARKS!BL24,""),"Ab")</f>
        <v>0</v>
      </c>
      <c r="DQ24" s="894">
        <f>IFERROR(IF($B24&gt;0,PASHEET!AW24+MARKS!AO24+MARKS!AW24+MARKS!BE24+MARKS!BM24,""),"Ab")</f>
        <v>0</v>
      </c>
      <c r="DR24" s="894">
        <f>IFERROR(IF($B24&gt;0,PASHEET!AX24+MARKS!AP24+MARKS!AX24+MARKS!BF24+MARKS!BN24,""),"Ab")</f>
        <v>0</v>
      </c>
      <c r="DS24" s="894">
        <f>IFERROR(IF($B24&gt;0,PASHEET!AY24+MARKS!AQ24+MARKS!AY24+MARKS!BG24+MARKS!BO24,""),"Ab")</f>
        <v>0</v>
      </c>
      <c r="DT24" s="894">
        <f>IFERROR(IF($B24&gt;0,PASHEET!AZ24+MARKS!AR24+MARKS!AZ24+MARKS!BH24+MARKS!BP24,""),"Ab")</f>
        <v>0</v>
      </c>
      <c r="DU24" s="879">
        <f t="shared" si="47"/>
        <v>19</v>
      </c>
      <c r="DV24" s="894" t="str">
        <f t="shared" si="48"/>
        <v>D</v>
      </c>
      <c r="DW24" s="894">
        <f t="shared" si="49"/>
        <v>0</v>
      </c>
      <c r="DX24" s="894">
        <f t="shared" si="50"/>
        <v>0</v>
      </c>
      <c r="DY24" s="894">
        <f t="shared" si="51"/>
        <v>0</v>
      </c>
      <c r="DZ24" s="894">
        <f t="shared" si="52"/>
        <v>0</v>
      </c>
      <c r="EA24" s="894">
        <f t="shared" si="53"/>
        <v>0</v>
      </c>
      <c r="EB24" s="894">
        <f t="shared" si="54"/>
        <v>0</v>
      </c>
      <c r="EC24" s="894" t="str">
        <f t="shared" si="55"/>
        <v>E</v>
      </c>
    </row>
    <row r="25" spans="1:133">
      <c r="A25" s="879">
        <v>22</v>
      </c>
      <c r="B25" s="879">
        <f>STUDENT!F23</f>
        <v>14804</v>
      </c>
      <c r="C25" s="879">
        <f>STUDENT!D23</f>
        <v>20240100859</v>
      </c>
      <c r="D25" s="886" t="str">
        <f>STUDENT!E23</f>
        <v>ABHISHEK MUKHIYA</v>
      </c>
      <c r="E25" s="886" t="str">
        <f>STUDENT!H23</f>
        <v>ARJUN MUKHIYA</v>
      </c>
      <c r="F25" s="887"/>
      <c r="G25" s="887"/>
      <c r="H25" s="887"/>
      <c r="I25" s="887"/>
      <c r="J25" s="887"/>
      <c r="K25" s="887"/>
      <c r="L25" s="887"/>
      <c r="M25" s="888">
        <f t="shared" si="0"/>
        <v>0</v>
      </c>
      <c r="N25" s="887"/>
      <c r="O25" s="887"/>
      <c r="P25" s="887"/>
      <c r="Q25" s="887"/>
      <c r="R25" s="887"/>
      <c r="S25" s="887"/>
      <c r="T25" s="887"/>
      <c r="U25" s="889">
        <f t="shared" si="7"/>
        <v>0</v>
      </c>
      <c r="V25" s="887"/>
      <c r="W25" s="887"/>
      <c r="X25" s="887"/>
      <c r="Y25" s="887"/>
      <c r="Z25" s="887"/>
      <c r="AA25" s="887"/>
      <c r="AB25" s="887"/>
      <c r="AC25" s="890">
        <f t="shared" si="8"/>
        <v>0</v>
      </c>
      <c r="AD25" s="887">
        <v>20</v>
      </c>
      <c r="AE25" s="887">
        <v>26</v>
      </c>
      <c r="AF25" s="887">
        <v>22</v>
      </c>
      <c r="AG25" s="887">
        <v>23</v>
      </c>
      <c r="AH25" s="887">
        <v>25</v>
      </c>
      <c r="AI25" s="887">
        <v>25</v>
      </c>
      <c r="AJ25" s="887"/>
      <c r="AK25" s="888">
        <f t="shared" si="1"/>
        <v>141</v>
      </c>
      <c r="AL25" s="887"/>
      <c r="AM25" s="887"/>
      <c r="AN25" s="887"/>
      <c r="AO25" s="887"/>
      <c r="AP25" s="887"/>
      <c r="AQ25" s="887"/>
      <c r="AR25" s="887"/>
      <c r="AS25" s="891">
        <f t="shared" si="9"/>
        <v>0</v>
      </c>
      <c r="AT25" s="887"/>
      <c r="AU25" s="887"/>
      <c r="AV25" s="887"/>
      <c r="AW25" s="887"/>
      <c r="AX25" s="887"/>
      <c r="AY25" s="887"/>
      <c r="AZ25" s="887"/>
      <c r="BA25" s="889">
        <f t="shared" si="10"/>
        <v>0</v>
      </c>
      <c r="BB25" s="887"/>
      <c r="BC25" s="887"/>
      <c r="BD25" s="887"/>
      <c r="BE25" s="887"/>
      <c r="BF25" s="887"/>
      <c r="BG25" s="887"/>
      <c r="BH25" s="887"/>
      <c r="BI25" s="890">
        <f t="shared" si="11"/>
        <v>0</v>
      </c>
      <c r="BJ25" s="887">
        <v>25</v>
      </c>
      <c r="BK25" s="887"/>
      <c r="BL25" s="887"/>
      <c r="BM25" s="887"/>
      <c r="BN25" s="887"/>
      <c r="BO25" s="887"/>
      <c r="BP25" s="887"/>
      <c r="BQ25" s="888">
        <f t="shared" si="12"/>
        <v>25</v>
      </c>
      <c r="BR25" s="892" t="str">
        <f t="shared" si="13"/>
        <v>B</v>
      </c>
      <c r="BS25" s="892" t="str">
        <f t="shared" si="14"/>
        <v>A</v>
      </c>
      <c r="BT25" s="892" t="str">
        <f t="shared" si="15"/>
        <v>B</v>
      </c>
      <c r="BU25" s="892" t="str">
        <f t="shared" si="16"/>
        <v>B</v>
      </c>
      <c r="BV25" s="892" t="str">
        <f t="shared" si="17"/>
        <v>A</v>
      </c>
      <c r="BW25" s="892" t="str">
        <f t="shared" si="18"/>
        <v>A</v>
      </c>
      <c r="BX25" s="892" t="str">
        <f t="shared" si="19"/>
        <v/>
      </c>
      <c r="BY25" s="892" t="str">
        <f t="shared" si="20"/>
        <v>B</v>
      </c>
      <c r="BZ25" s="892" t="str">
        <f t="shared" si="21"/>
        <v>A</v>
      </c>
      <c r="CA25" s="892" t="str">
        <f t="shared" si="22"/>
        <v/>
      </c>
      <c r="CB25" s="892" t="str">
        <f t="shared" si="23"/>
        <v/>
      </c>
      <c r="CC25" s="892" t="str">
        <f t="shared" si="24"/>
        <v/>
      </c>
      <c r="CD25" s="892" t="str">
        <f t="shared" si="25"/>
        <v/>
      </c>
      <c r="CE25" s="892" t="str">
        <f t="shared" si="26"/>
        <v/>
      </c>
      <c r="CF25" s="892" t="str">
        <f t="shared" si="27"/>
        <v/>
      </c>
      <c r="CG25" s="892" t="str">
        <f t="shared" si="28"/>
        <v>E</v>
      </c>
      <c r="CH25" s="891">
        <f>IFERROR(IF($B25&gt;0,PASHEET!AL25+PASHEET!AT25+MARKS!F25+MARKS!N25+MARKS!V25+MARKS!AD25+MARKS!AL25+MARKS!AT25+MARKS!BB25+MARKS!BJ25,""),"Ab")</f>
        <v>47</v>
      </c>
      <c r="CI25" s="891">
        <f>IFERROR(IF($B25&gt;0,PASHEET!AM25+PASHEET!AU25+MARKS!G25+MARKS!O25+MARKS!W25+MARKS!AE25+MARKS!AM25+MARKS!AU25+MARKS!BC25+MARKS!BK25,""),"Ab")</f>
        <v>28</v>
      </c>
      <c r="CJ25" s="891">
        <f>IFERROR(IF($B25&gt;0,PASHEET!AN25+PASHEET!AV25+MARKS!H25+MARKS!P25+MARKS!X25+MARKS!AF25+MARKS!AN25+MARKS!AV25+MARKS!BD25+MARKS!BL25,""),"Ab")</f>
        <v>24</v>
      </c>
      <c r="CK25" s="891">
        <f>IFERROR(IF($B25&gt;0,PASHEET!AO25+PASHEET!AW25+MARKS!I25+MARKS!Q25+MARKS!Y25+MARKS!AG25+MARKS!AO25+MARKS!AW25+MARKS!BE25+MARKS!BM25,""),"Ab")</f>
        <v>25</v>
      </c>
      <c r="CL25" s="891">
        <f>IFERROR(IF($B25&gt;0,PASHEET!AP25+PASHEET!AX25+MARKS!J25+MARKS!R25+MARKS!Z25+MARKS!AH25+MARKS!AP25+MARKS!AX25+MARKS!BF25+MARKS!BN25,""),"Ab")</f>
        <v>25</v>
      </c>
      <c r="CM25" s="891">
        <f>IFERROR(IF($B25&gt;0,PASHEET!AQ25+PASHEET!AY25+MARKS!K25+MARKS!S25+MARKS!AA25+MARKS!AI25+MARKS!AQ25+MARKS!AY25+MARKS!BG25+MARKS!BO25,""),"Ab")</f>
        <v>27</v>
      </c>
      <c r="CN25" s="891">
        <f>IFERROR(IF($B25&gt;0,PASHEET!AR25+PASHEET!AZ25+MARKS!L25+MARKS!T25+MARKS!AB25+MARKS!AJ25+MARKS!AR25+MARKS!AZ25+MARKS!BH25+MARKS!BP25,""),"Ab")</f>
        <v>0</v>
      </c>
      <c r="CO25" s="891">
        <f t="shared" si="29"/>
        <v>176</v>
      </c>
      <c r="CP25" s="893" t="str">
        <f t="shared" si="30"/>
        <v>C</v>
      </c>
      <c r="CQ25" s="893" t="str">
        <f t="shared" si="31"/>
        <v>E</v>
      </c>
      <c r="CR25" s="893" t="str">
        <f t="shared" si="32"/>
        <v>E</v>
      </c>
      <c r="CS25" s="893" t="str">
        <f t="shared" si="33"/>
        <v>E</v>
      </c>
      <c r="CT25" s="893" t="str">
        <f t="shared" si="34"/>
        <v>E</v>
      </c>
      <c r="CU25" s="893" t="str">
        <f t="shared" si="35"/>
        <v>E</v>
      </c>
      <c r="CV25" s="893">
        <f t="shared" si="36"/>
        <v>0</v>
      </c>
      <c r="CW25" s="893" t="str">
        <f t="shared" si="37"/>
        <v>E</v>
      </c>
      <c r="CX25" s="894">
        <f>IFERROR(IF($B25&gt;0,PASHEET!AL25+MARKS!F25+MARKS!N25+MARKS!V25+MARKS!AD25,""),"Ab")</f>
        <v>22</v>
      </c>
      <c r="CY25" s="894">
        <f>IFERROR(IF($B25&gt;0,PASHEET!AM25+MARKS!G25+MARKS!O25+MARKS!W25+MARKS!AE25,""),"Ab")</f>
        <v>28</v>
      </c>
      <c r="CZ25" s="894">
        <f>IFERROR(IF($B25&gt;0,PASHEET!AN25+MARKS!H25+MARKS!P25+MARKS!X25+MARKS!AF25,""),"Ab")</f>
        <v>24</v>
      </c>
      <c r="DA25" s="894">
        <f>IFERROR(IF($B25&gt;0,PASHEET!AO25+MARKS!I25+MARKS!Q25+MARKS!Y25+MARKS!AG25,""),"Ab")</f>
        <v>25</v>
      </c>
      <c r="DB25" s="894">
        <f>IFERROR(IF($B25&gt;0,PASHEET!AP25+MARKS!J25+MARKS!R25+MARKS!Z25+MARKS!AH25,""),"Ab")</f>
        <v>25</v>
      </c>
      <c r="DC25" s="894">
        <f>IFERROR(IF($B25&gt;0,PASHEET!AQ25+MARKS!K25+MARKS!S25+MARKS!AA25+MARKS!AI25,""),"Ab")</f>
        <v>27</v>
      </c>
      <c r="DD25" s="894">
        <f>IFERROR(IF($B25&gt;0,PASHEET!AR25+MARKS!L25+MARKS!T25+MARKS!AB25+MARKS!AJ25,""),"Ab")</f>
        <v>0</v>
      </c>
      <c r="DE25" s="879">
        <f t="shared" si="38"/>
        <v>151</v>
      </c>
      <c r="DF25" s="894" t="str">
        <f t="shared" si="39"/>
        <v>D</v>
      </c>
      <c r="DG25" s="894" t="str">
        <f t="shared" si="40"/>
        <v>C</v>
      </c>
      <c r="DH25" s="894" t="str">
        <f t="shared" si="41"/>
        <v>C</v>
      </c>
      <c r="DI25" s="894" t="str">
        <f t="shared" si="42"/>
        <v>C</v>
      </c>
      <c r="DJ25" s="894" t="str">
        <f t="shared" si="43"/>
        <v>C</v>
      </c>
      <c r="DK25" s="894" t="str">
        <f t="shared" si="44"/>
        <v>C</v>
      </c>
      <c r="DL25" s="894">
        <f t="shared" si="45"/>
        <v>0</v>
      </c>
      <c r="DM25" s="894" t="str">
        <f t="shared" si="46"/>
        <v>C</v>
      </c>
      <c r="DN25" s="894">
        <f>IFERROR(IF($B25&gt;0,PASHEET!AT25+MARKS!AL25+MARKS!AT25+MARKS!BB25+MARKS!BJ25,""),"Ab")</f>
        <v>25</v>
      </c>
      <c r="DO25" s="894">
        <f>IFERROR(IF($B25&gt;0,PASHEET!AU25+MARKS!AM25+MARKS!AU25+MARKS!BC25+MARKS!BK25,""),"Ab")</f>
        <v>0</v>
      </c>
      <c r="DP25" s="894">
        <f>IFERROR(IF($B25&gt;0,PASHEET!AV25+MARKS!AN25+MARKS!AV25+MARKS!BD25+MARKS!BL25,""),"Ab")</f>
        <v>0</v>
      </c>
      <c r="DQ25" s="894">
        <f>IFERROR(IF($B25&gt;0,PASHEET!AW25+MARKS!AO25+MARKS!AW25+MARKS!BE25+MARKS!BM25,""),"Ab")</f>
        <v>0</v>
      </c>
      <c r="DR25" s="894">
        <f>IFERROR(IF($B25&gt;0,PASHEET!AX25+MARKS!AP25+MARKS!AX25+MARKS!BF25+MARKS!BN25,""),"Ab")</f>
        <v>0</v>
      </c>
      <c r="DS25" s="894">
        <f>IFERROR(IF($B25&gt;0,PASHEET!AY25+MARKS!AQ25+MARKS!AY25+MARKS!BG25+MARKS!BO25,""),"Ab")</f>
        <v>0</v>
      </c>
      <c r="DT25" s="894">
        <f>IFERROR(IF($B25&gt;0,PASHEET!AZ25+MARKS!AR25+MARKS!AZ25+MARKS!BH25+MARKS!BP25,""),"Ab")</f>
        <v>0</v>
      </c>
      <c r="DU25" s="879">
        <f t="shared" si="47"/>
        <v>25</v>
      </c>
      <c r="DV25" s="894" t="str">
        <f t="shared" si="48"/>
        <v>C</v>
      </c>
      <c r="DW25" s="894">
        <f t="shared" si="49"/>
        <v>0</v>
      </c>
      <c r="DX25" s="894">
        <f t="shared" si="50"/>
        <v>0</v>
      </c>
      <c r="DY25" s="894">
        <f t="shared" si="51"/>
        <v>0</v>
      </c>
      <c r="DZ25" s="894">
        <f t="shared" si="52"/>
        <v>0</v>
      </c>
      <c r="EA25" s="894">
        <f t="shared" si="53"/>
        <v>0</v>
      </c>
      <c r="EB25" s="894">
        <f t="shared" si="54"/>
        <v>0</v>
      </c>
      <c r="EC25" s="894" t="str">
        <f t="shared" si="55"/>
        <v>E</v>
      </c>
    </row>
    <row r="26" spans="1:133">
      <c r="A26" s="879">
        <v>23</v>
      </c>
      <c r="B26" s="879">
        <f>STUDENT!F24</f>
        <v>14805</v>
      </c>
      <c r="C26" s="879">
        <f>STUDENT!D24</f>
        <v>20240100885</v>
      </c>
      <c r="D26" s="886" t="str">
        <f>STUDENT!E24</f>
        <v>NITIN</v>
      </c>
      <c r="E26" s="886" t="str">
        <f>STUDENT!H24</f>
        <v>AJAY</v>
      </c>
      <c r="F26" s="887"/>
      <c r="G26" s="887"/>
      <c r="H26" s="887"/>
      <c r="I26" s="887"/>
      <c r="J26" s="887"/>
      <c r="K26" s="887"/>
      <c r="L26" s="887"/>
      <c r="M26" s="888">
        <f t="shared" si="0"/>
        <v>0</v>
      </c>
      <c r="N26" s="887"/>
      <c r="O26" s="887"/>
      <c r="P26" s="887"/>
      <c r="Q26" s="887"/>
      <c r="R26" s="887"/>
      <c r="S26" s="887"/>
      <c r="T26" s="887"/>
      <c r="U26" s="889">
        <f t="shared" si="7"/>
        <v>0</v>
      </c>
      <c r="V26" s="887"/>
      <c r="W26" s="887"/>
      <c r="X26" s="887"/>
      <c r="Y26" s="887"/>
      <c r="Z26" s="887"/>
      <c r="AA26" s="887"/>
      <c r="AB26" s="887"/>
      <c r="AC26" s="890">
        <f t="shared" si="8"/>
        <v>0</v>
      </c>
      <c r="AD26" s="887">
        <v>18</v>
      </c>
      <c r="AE26" s="887">
        <v>23</v>
      </c>
      <c r="AF26" s="887">
        <v>22</v>
      </c>
      <c r="AG26" s="887">
        <v>23</v>
      </c>
      <c r="AH26" s="887">
        <v>21</v>
      </c>
      <c r="AI26" s="887">
        <v>27</v>
      </c>
      <c r="AJ26" s="887"/>
      <c r="AK26" s="888">
        <f t="shared" si="1"/>
        <v>134</v>
      </c>
      <c r="AL26" s="887"/>
      <c r="AM26" s="887"/>
      <c r="AN26" s="887"/>
      <c r="AO26" s="887"/>
      <c r="AP26" s="887"/>
      <c r="AQ26" s="887"/>
      <c r="AR26" s="887"/>
      <c r="AS26" s="891">
        <f t="shared" si="9"/>
        <v>0</v>
      </c>
      <c r="AT26" s="887"/>
      <c r="AU26" s="887"/>
      <c r="AV26" s="887"/>
      <c r="AW26" s="887"/>
      <c r="AX26" s="887"/>
      <c r="AY26" s="887"/>
      <c r="AZ26" s="887"/>
      <c r="BA26" s="889">
        <f t="shared" si="10"/>
        <v>0</v>
      </c>
      <c r="BB26" s="887"/>
      <c r="BC26" s="887"/>
      <c r="BD26" s="887"/>
      <c r="BE26" s="887"/>
      <c r="BF26" s="887"/>
      <c r="BG26" s="887"/>
      <c r="BH26" s="887"/>
      <c r="BI26" s="890">
        <f t="shared" si="11"/>
        <v>0</v>
      </c>
      <c r="BJ26" s="887">
        <v>27</v>
      </c>
      <c r="BK26" s="887"/>
      <c r="BL26" s="887"/>
      <c r="BM26" s="887"/>
      <c r="BN26" s="887"/>
      <c r="BO26" s="887"/>
      <c r="BP26" s="887"/>
      <c r="BQ26" s="888">
        <f t="shared" si="12"/>
        <v>27</v>
      </c>
      <c r="BR26" s="892" t="str">
        <f t="shared" si="13"/>
        <v>C</v>
      </c>
      <c r="BS26" s="892" t="str">
        <f t="shared" si="14"/>
        <v>B</v>
      </c>
      <c r="BT26" s="892" t="str">
        <f t="shared" si="15"/>
        <v>B</v>
      </c>
      <c r="BU26" s="892" t="str">
        <f t="shared" si="16"/>
        <v>B</v>
      </c>
      <c r="BV26" s="892" t="str">
        <f t="shared" si="17"/>
        <v>B</v>
      </c>
      <c r="BW26" s="892" t="str">
        <f t="shared" si="18"/>
        <v>A</v>
      </c>
      <c r="BX26" s="892" t="str">
        <f t="shared" si="19"/>
        <v/>
      </c>
      <c r="BY26" s="892" t="str">
        <f t="shared" si="20"/>
        <v>B</v>
      </c>
      <c r="BZ26" s="892" t="str">
        <f t="shared" si="21"/>
        <v>A</v>
      </c>
      <c r="CA26" s="892" t="str">
        <f t="shared" si="22"/>
        <v/>
      </c>
      <c r="CB26" s="892" t="str">
        <f t="shared" si="23"/>
        <v/>
      </c>
      <c r="CC26" s="892" t="str">
        <f t="shared" si="24"/>
        <v/>
      </c>
      <c r="CD26" s="892" t="str">
        <f t="shared" si="25"/>
        <v/>
      </c>
      <c r="CE26" s="892" t="str">
        <f t="shared" si="26"/>
        <v/>
      </c>
      <c r="CF26" s="892" t="str">
        <f t="shared" si="27"/>
        <v/>
      </c>
      <c r="CG26" s="892" t="str">
        <f t="shared" si="28"/>
        <v>E</v>
      </c>
      <c r="CH26" s="891">
        <f>IFERROR(IF($B26&gt;0,PASHEET!AL26+PASHEET!AT26+MARKS!F26+MARKS!N26+MARKS!V26+MARKS!AD26+MARKS!AL26+MARKS!AT26+MARKS!BB26+MARKS!BJ26,""),"Ab")</f>
        <v>47</v>
      </c>
      <c r="CI26" s="891">
        <f>IFERROR(IF($B26&gt;0,PASHEET!AM26+PASHEET!AU26+MARKS!G26+MARKS!O26+MARKS!W26+MARKS!AE26+MARKS!AM26+MARKS!AU26+MARKS!BC26+MARKS!BK26,""),"Ab")</f>
        <v>25</v>
      </c>
      <c r="CJ26" s="891">
        <f>IFERROR(IF($B26&gt;0,PASHEET!AN26+PASHEET!AV26+MARKS!H26+MARKS!P26+MARKS!X26+MARKS!AF26+MARKS!AN26+MARKS!AV26+MARKS!BD26+MARKS!BL26,""),"Ab")</f>
        <v>23</v>
      </c>
      <c r="CK26" s="891">
        <f>IFERROR(IF($B26&gt;0,PASHEET!AO26+PASHEET!AW26+MARKS!I26+MARKS!Q26+MARKS!Y26+MARKS!AG26+MARKS!AO26+MARKS!AW26+MARKS!BE26+MARKS!BM26,""),"Ab")</f>
        <v>24</v>
      </c>
      <c r="CL26" s="891">
        <f>IFERROR(IF($B26&gt;0,PASHEET!AP26+PASHEET!AX26+MARKS!J26+MARKS!R26+MARKS!Z26+MARKS!AH26+MARKS!AP26+MARKS!AX26+MARKS!BF26+MARKS!BN26,""),"Ab")</f>
        <v>21</v>
      </c>
      <c r="CM26" s="891">
        <f>IFERROR(IF($B26&gt;0,PASHEET!AQ26+PASHEET!AY26+MARKS!K26+MARKS!S26+MARKS!AA26+MARKS!AI26+MARKS!AQ26+MARKS!AY26+MARKS!BG26+MARKS!BO26,""),"Ab")</f>
        <v>29</v>
      </c>
      <c r="CN26" s="891">
        <f>IFERROR(IF($B26&gt;0,PASHEET!AR26+PASHEET!AZ26+MARKS!L26+MARKS!T26+MARKS!AB26+MARKS!AJ26+MARKS!AR26+MARKS!AZ26+MARKS!BH26+MARKS!BP26,""),"Ab")</f>
        <v>0</v>
      </c>
      <c r="CO26" s="891">
        <f t="shared" si="29"/>
        <v>169</v>
      </c>
      <c r="CP26" s="893" t="str">
        <f t="shared" si="30"/>
        <v>C</v>
      </c>
      <c r="CQ26" s="893" t="str">
        <f t="shared" si="31"/>
        <v>E</v>
      </c>
      <c r="CR26" s="893" t="str">
        <f t="shared" si="32"/>
        <v>E</v>
      </c>
      <c r="CS26" s="893" t="str">
        <f t="shared" si="33"/>
        <v>E</v>
      </c>
      <c r="CT26" s="893" t="str">
        <f t="shared" si="34"/>
        <v>E</v>
      </c>
      <c r="CU26" s="893" t="str">
        <f t="shared" si="35"/>
        <v>E</v>
      </c>
      <c r="CV26" s="893">
        <f t="shared" si="36"/>
        <v>0</v>
      </c>
      <c r="CW26" s="893" t="str">
        <f t="shared" si="37"/>
        <v>E</v>
      </c>
      <c r="CX26" s="894">
        <f>IFERROR(IF($B26&gt;0,PASHEET!AL26+MARKS!F26+MARKS!N26+MARKS!V26+MARKS!AD26,""),"Ab")</f>
        <v>20</v>
      </c>
      <c r="CY26" s="894">
        <f>IFERROR(IF($B26&gt;0,PASHEET!AM26+MARKS!G26+MARKS!O26+MARKS!W26+MARKS!AE26,""),"Ab")</f>
        <v>25</v>
      </c>
      <c r="CZ26" s="894">
        <f>IFERROR(IF($B26&gt;0,PASHEET!AN26+MARKS!H26+MARKS!P26+MARKS!X26+MARKS!AF26,""),"Ab")</f>
        <v>23</v>
      </c>
      <c r="DA26" s="894">
        <f>IFERROR(IF($B26&gt;0,PASHEET!AO26+MARKS!I26+MARKS!Q26+MARKS!Y26+MARKS!AG26,""),"Ab")</f>
        <v>24</v>
      </c>
      <c r="DB26" s="894">
        <f>IFERROR(IF($B26&gt;0,PASHEET!AP26+MARKS!J26+MARKS!R26+MARKS!Z26+MARKS!AH26,""),"Ab")</f>
        <v>21</v>
      </c>
      <c r="DC26" s="894">
        <f>IFERROR(IF($B26&gt;0,PASHEET!AQ26+MARKS!K26+MARKS!S26+MARKS!AA26+MARKS!AI26,""),"Ab")</f>
        <v>29</v>
      </c>
      <c r="DD26" s="894">
        <f>IFERROR(IF($B26&gt;0,PASHEET!AR26+MARKS!L26+MARKS!T26+MARKS!AB26+MARKS!AJ26,""),"Ab")</f>
        <v>0</v>
      </c>
      <c r="DE26" s="879">
        <f t="shared" si="38"/>
        <v>142</v>
      </c>
      <c r="DF26" s="894" t="str">
        <f t="shared" si="39"/>
        <v>D</v>
      </c>
      <c r="DG26" s="894" t="str">
        <f t="shared" si="40"/>
        <v>C</v>
      </c>
      <c r="DH26" s="894" t="str">
        <f t="shared" si="41"/>
        <v>C</v>
      </c>
      <c r="DI26" s="894" t="str">
        <f t="shared" si="42"/>
        <v>C</v>
      </c>
      <c r="DJ26" s="894" t="str">
        <f t="shared" si="43"/>
        <v>D</v>
      </c>
      <c r="DK26" s="894" t="str">
        <f t="shared" si="44"/>
        <v>C</v>
      </c>
      <c r="DL26" s="894">
        <f t="shared" si="45"/>
        <v>0</v>
      </c>
      <c r="DM26" s="894" t="str">
        <f t="shared" si="46"/>
        <v>C</v>
      </c>
      <c r="DN26" s="894">
        <f>IFERROR(IF($B26&gt;0,PASHEET!AT26+MARKS!AL26+MARKS!AT26+MARKS!BB26+MARKS!BJ26,""),"Ab")</f>
        <v>27</v>
      </c>
      <c r="DO26" s="894">
        <f>IFERROR(IF($B26&gt;0,PASHEET!AU26+MARKS!AM26+MARKS!AU26+MARKS!BC26+MARKS!BK26,""),"Ab")</f>
        <v>0</v>
      </c>
      <c r="DP26" s="894">
        <f>IFERROR(IF($B26&gt;0,PASHEET!AV26+MARKS!AN26+MARKS!AV26+MARKS!BD26+MARKS!BL26,""),"Ab")</f>
        <v>0</v>
      </c>
      <c r="DQ26" s="894">
        <f>IFERROR(IF($B26&gt;0,PASHEET!AW26+MARKS!AO26+MARKS!AW26+MARKS!BE26+MARKS!BM26,""),"Ab")</f>
        <v>0</v>
      </c>
      <c r="DR26" s="894">
        <f>IFERROR(IF($B26&gt;0,PASHEET!AX26+MARKS!AP26+MARKS!AX26+MARKS!BF26+MARKS!BN26,""),"Ab")</f>
        <v>0</v>
      </c>
      <c r="DS26" s="894">
        <f>IFERROR(IF($B26&gt;0,PASHEET!AY26+MARKS!AQ26+MARKS!AY26+MARKS!BG26+MARKS!BO26,""),"Ab")</f>
        <v>0</v>
      </c>
      <c r="DT26" s="894">
        <f>IFERROR(IF($B26&gt;0,PASHEET!AZ26+MARKS!AR26+MARKS!AZ26+MARKS!BH26+MARKS!BP26,""),"Ab")</f>
        <v>0</v>
      </c>
      <c r="DU26" s="879">
        <f t="shared" si="47"/>
        <v>27</v>
      </c>
      <c r="DV26" s="894" t="str">
        <f t="shared" si="48"/>
        <v>C</v>
      </c>
      <c r="DW26" s="894">
        <f t="shared" si="49"/>
        <v>0</v>
      </c>
      <c r="DX26" s="894">
        <f t="shared" si="50"/>
        <v>0</v>
      </c>
      <c r="DY26" s="894">
        <f t="shared" si="51"/>
        <v>0</v>
      </c>
      <c r="DZ26" s="894">
        <f t="shared" si="52"/>
        <v>0</v>
      </c>
      <c r="EA26" s="894">
        <f t="shared" si="53"/>
        <v>0</v>
      </c>
      <c r="EB26" s="894">
        <f t="shared" si="54"/>
        <v>0</v>
      </c>
      <c r="EC26" s="894" t="str">
        <f t="shared" si="55"/>
        <v>E</v>
      </c>
    </row>
    <row r="27" spans="1:133">
      <c r="A27" s="879">
        <v>24</v>
      </c>
      <c r="B27" s="879">
        <f>STUDENT!F25</f>
        <v>14806</v>
      </c>
      <c r="C27" s="879">
        <f>STUDENT!D25</f>
        <v>20240100904</v>
      </c>
      <c r="D27" s="886" t="str">
        <f>STUDENT!E25</f>
        <v>SOORYA VANSHAL</v>
      </c>
      <c r="E27" s="886" t="str">
        <f>STUDENT!H25</f>
        <v>KAMLESH KUMAR</v>
      </c>
      <c r="F27" s="887"/>
      <c r="G27" s="887"/>
      <c r="H27" s="887"/>
      <c r="I27" s="887"/>
      <c r="J27" s="887"/>
      <c r="K27" s="887"/>
      <c r="L27" s="887"/>
      <c r="M27" s="888">
        <f t="shared" si="0"/>
        <v>0</v>
      </c>
      <c r="N27" s="887"/>
      <c r="O27" s="887"/>
      <c r="P27" s="887"/>
      <c r="Q27" s="887"/>
      <c r="R27" s="887"/>
      <c r="S27" s="887"/>
      <c r="T27" s="887"/>
      <c r="U27" s="889">
        <f t="shared" si="7"/>
        <v>0</v>
      </c>
      <c r="V27" s="887"/>
      <c r="W27" s="887"/>
      <c r="X27" s="887"/>
      <c r="Y27" s="887"/>
      <c r="Z27" s="887"/>
      <c r="AA27" s="887"/>
      <c r="AB27" s="887"/>
      <c r="AC27" s="890">
        <f t="shared" si="8"/>
        <v>0</v>
      </c>
      <c r="AD27" s="887">
        <v>22</v>
      </c>
      <c r="AE27" s="887">
        <v>22</v>
      </c>
      <c r="AF27" s="887">
        <v>20</v>
      </c>
      <c r="AG27" s="887">
        <v>21</v>
      </c>
      <c r="AH27" s="887">
        <v>21</v>
      </c>
      <c r="AI27" s="887">
        <v>26</v>
      </c>
      <c r="AJ27" s="887"/>
      <c r="AK27" s="888">
        <f t="shared" si="1"/>
        <v>132</v>
      </c>
      <c r="AL27" s="887"/>
      <c r="AM27" s="887"/>
      <c r="AN27" s="887"/>
      <c r="AO27" s="887"/>
      <c r="AP27" s="887"/>
      <c r="AQ27" s="887"/>
      <c r="AR27" s="887"/>
      <c r="AS27" s="891">
        <f t="shared" si="9"/>
        <v>0</v>
      </c>
      <c r="AT27" s="887"/>
      <c r="AU27" s="887"/>
      <c r="AV27" s="887"/>
      <c r="AW27" s="887"/>
      <c r="AX27" s="887"/>
      <c r="AY27" s="887"/>
      <c r="AZ27" s="887"/>
      <c r="BA27" s="889">
        <f t="shared" si="10"/>
        <v>0</v>
      </c>
      <c r="BB27" s="887"/>
      <c r="BC27" s="887"/>
      <c r="BD27" s="887"/>
      <c r="BE27" s="887"/>
      <c r="BF27" s="887"/>
      <c r="BG27" s="887"/>
      <c r="BH27" s="887"/>
      <c r="BI27" s="890">
        <f t="shared" si="11"/>
        <v>0</v>
      </c>
      <c r="BJ27" s="887">
        <v>25</v>
      </c>
      <c r="BK27" s="887"/>
      <c r="BL27" s="887"/>
      <c r="BM27" s="887"/>
      <c r="BN27" s="887"/>
      <c r="BO27" s="887"/>
      <c r="BP27" s="887"/>
      <c r="BQ27" s="888">
        <f t="shared" si="12"/>
        <v>25</v>
      </c>
      <c r="BR27" s="892" t="str">
        <f t="shared" si="13"/>
        <v>B</v>
      </c>
      <c r="BS27" s="892" t="str">
        <f t="shared" si="14"/>
        <v>B</v>
      </c>
      <c r="BT27" s="892" t="str">
        <f t="shared" si="15"/>
        <v>B</v>
      </c>
      <c r="BU27" s="892" t="str">
        <f t="shared" si="16"/>
        <v>B</v>
      </c>
      <c r="BV27" s="892" t="str">
        <f t="shared" si="17"/>
        <v>B</v>
      </c>
      <c r="BW27" s="892" t="str">
        <f t="shared" si="18"/>
        <v>A</v>
      </c>
      <c r="BX27" s="892" t="str">
        <f t="shared" si="19"/>
        <v/>
      </c>
      <c r="BY27" s="892" t="str">
        <f t="shared" si="20"/>
        <v>B</v>
      </c>
      <c r="BZ27" s="892" t="str">
        <f t="shared" si="21"/>
        <v>A</v>
      </c>
      <c r="CA27" s="892" t="str">
        <f t="shared" si="22"/>
        <v/>
      </c>
      <c r="CB27" s="892" t="str">
        <f t="shared" si="23"/>
        <v/>
      </c>
      <c r="CC27" s="892" t="str">
        <f t="shared" si="24"/>
        <v/>
      </c>
      <c r="CD27" s="892" t="str">
        <f t="shared" si="25"/>
        <v/>
      </c>
      <c r="CE27" s="892" t="str">
        <f t="shared" si="26"/>
        <v/>
      </c>
      <c r="CF27" s="892" t="str">
        <f t="shared" si="27"/>
        <v/>
      </c>
      <c r="CG27" s="892" t="str">
        <f t="shared" si="28"/>
        <v>E</v>
      </c>
      <c r="CH27" s="891">
        <f>IFERROR(IF($B27&gt;0,PASHEET!AL27+PASHEET!AT27+MARKS!F27+MARKS!N27+MARKS!V27+MARKS!AD27+MARKS!AL27+MARKS!AT27+MARKS!BB27+MARKS!BJ27,""),"Ab")</f>
        <v>48</v>
      </c>
      <c r="CI27" s="891">
        <f>IFERROR(IF($B27&gt;0,PASHEET!AM27+PASHEET!AU27+MARKS!G27+MARKS!O27+MARKS!W27+MARKS!AE27+MARKS!AM27+MARKS!AU27+MARKS!BC27+MARKS!BK27,""),"Ab")</f>
        <v>23</v>
      </c>
      <c r="CJ27" s="891">
        <f>IFERROR(IF($B27&gt;0,PASHEET!AN27+PASHEET!AV27+MARKS!H27+MARKS!P27+MARKS!X27+MARKS!AF27+MARKS!AN27+MARKS!AV27+MARKS!BD27+MARKS!BL27,""),"Ab")</f>
        <v>21</v>
      </c>
      <c r="CK27" s="891">
        <f>IFERROR(IF($B27&gt;0,PASHEET!AO27+PASHEET!AW27+MARKS!I27+MARKS!Q27+MARKS!Y27+MARKS!AG27+MARKS!AO27+MARKS!AW27+MARKS!BE27+MARKS!BM27,""),"Ab")</f>
        <v>22</v>
      </c>
      <c r="CL27" s="891">
        <f>IFERROR(IF($B27&gt;0,PASHEET!AP27+PASHEET!AX27+MARKS!J27+MARKS!R27+MARKS!Z27+MARKS!AH27+MARKS!AP27+MARKS!AX27+MARKS!BF27+MARKS!BN27,""),"Ab")</f>
        <v>21</v>
      </c>
      <c r="CM27" s="891">
        <f>IFERROR(IF($B27&gt;0,PASHEET!AQ27+PASHEET!AY27+MARKS!K27+MARKS!S27+MARKS!AA27+MARKS!AI27+MARKS!AQ27+MARKS!AY27+MARKS!BG27+MARKS!BO27,""),"Ab")</f>
        <v>28</v>
      </c>
      <c r="CN27" s="891">
        <f>IFERROR(IF($B27&gt;0,PASHEET!AR27+PASHEET!AZ27+MARKS!L27+MARKS!T27+MARKS!AB27+MARKS!AJ27+MARKS!AR27+MARKS!AZ27+MARKS!BH27+MARKS!BP27,""),"Ab")</f>
        <v>0</v>
      </c>
      <c r="CO27" s="891">
        <f t="shared" si="29"/>
        <v>163</v>
      </c>
      <c r="CP27" s="893" t="str">
        <f t="shared" si="30"/>
        <v>C</v>
      </c>
      <c r="CQ27" s="893" t="str">
        <f t="shared" si="31"/>
        <v>E</v>
      </c>
      <c r="CR27" s="893" t="str">
        <f t="shared" si="32"/>
        <v>E</v>
      </c>
      <c r="CS27" s="893" t="str">
        <f t="shared" si="33"/>
        <v>E</v>
      </c>
      <c r="CT27" s="893" t="str">
        <f t="shared" si="34"/>
        <v>E</v>
      </c>
      <c r="CU27" s="893" t="str">
        <f t="shared" si="35"/>
        <v>E</v>
      </c>
      <c r="CV27" s="893">
        <f t="shared" si="36"/>
        <v>0</v>
      </c>
      <c r="CW27" s="893" t="str">
        <f t="shared" si="37"/>
        <v>E</v>
      </c>
      <c r="CX27" s="894">
        <f>IFERROR(IF($B27&gt;0,PASHEET!AL27+MARKS!F27+MARKS!N27+MARKS!V27+MARKS!AD27,""),"Ab")</f>
        <v>23</v>
      </c>
      <c r="CY27" s="894">
        <f>IFERROR(IF($B27&gt;0,PASHEET!AM27+MARKS!G27+MARKS!O27+MARKS!W27+MARKS!AE27,""),"Ab")</f>
        <v>23</v>
      </c>
      <c r="CZ27" s="894">
        <f>IFERROR(IF($B27&gt;0,PASHEET!AN27+MARKS!H27+MARKS!P27+MARKS!X27+MARKS!AF27,""),"Ab")</f>
        <v>21</v>
      </c>
      <c r="DA27" s="894">
        <f>IFERROR(IF($B27&gt;0,PASHEET!AO27+MARKS!I27+MARKS!Q27+MARKS!Y27+MARKS!AG27,""),"Ab")</f>
        <v>22</v>
      </c>
      <c r="DB27" s="894">
        <f>IFERROR(IF($B27&gt;0,PASHEET!AP27+MARKS!J27+MARKS!R27+MARKS!Z27+MARKS!AH27,""),"Ab")</f>
        <v>21</v>
      </c>
      <c r="DC27" s="894">
        <f>IFERROR(IF($B27&gt;0,PASHEET!AQ27+MARKS!K27+MARKS!S27+MARKS!AA27+MARKS!AI27,""),"Ab")</f>
        <v>28</v>
      </c>
      <c r="DD27" s="894">
        <f>IFERROR(IF($B27&gt;0,PASHEET!AR27+MARKS!L27+MARKS!T27+MARKS!AB27+MARKS!AJ27,""),"Ab")</f>
        <v>0</v>
      </c>
      <c r="DE27" s="879">
        <f t="shared" si="38"/>
        <v>138</v>
      </c>
      <c r="DF27" s="894" t="str">
        <f t="shared" si="39"/>
        <v>C</v>
      </c>
      <c r="DG27" s="894" t="str">
        <f t="shared" si="40"/>
        <v>C</v>
      </c>
      <c r="DH27" s="894" t="str">
        <f t="shared" si="41"/>
        <v>D</v>
      </c>
      <c r="DI27" s="894" t="str">
        <f t="shared" si="42"/>
        <v>D</v>
      </c>
      <c r="DJ27" s="894" t="str">
        <f t="shared" si="43"/>
        <v>D</v>
      </c>
      <c r="DK27" s="894" t="str">
        <f t="shared" si="44"/>
        <v>C</v>
      </c>
      <c r="DL27" s="894">
        <f t="shared" si="45"/>
        <v>0</v>
      </c>
      <c r="DM27" s="894" t="str">
        <f t="shared" si="46"/>
        <v>C</v>
      </c>
      <c r="DN27" s="894">
        <f>IFERROR(IF($B27&gt;0,PASHEET!AT27+MARKS!AL27+MARKS!AT27+MARKS!BB27+MARKS!BJ27,""),"Ab")</f>
        <v>25</v>
      </c>
      <c r="DO27" s="894">
        <f>IFERROR(IF($B27&gt;0,PASHEET!AU27+MARKS!AM27+MARKS!AU27+MARKS!BC27+MARKS!BK27,""),"Ab")</f>
        <v>0</v>
      </c>
      <c r="DP27" s="894">
        <f>IFERROR(IF($B27&gt;0,PASHEET!AV27+MARKS!AN27+MARKS!AV27+MARKS!BD27+MARKS!BL27,""),"Ab")</f>
        <v>0</v>
      </c>
      <c r="DQ27" s="894">
        <f>IFERROR(IF($B27&gt;0,PASHEET!AW27+MARKS!AO27+MARKS!AW27+MARKS!BE27+MARKS!BM27,""),"Ab")</f>
        <v>0</v>
      </c>
      <c r="DR27" s="894">
        <f>IFERROR(IF($B27&gt;0,PASHEET!AX27+MARKS!AP27+MARKS!AX27+MARKS!BF27+MARKS!BN27,""),"Ab")</f>
        <v>0</v>
      </c>
      <c r="DS27" s="894">
        <f>IFERROR(IF($B27&gt;0,PASHEET!AY27+MARKS!AQ27+MARKS!AY27+MARKS!BG27+MARKS!BO27,""),"Ab")</f>
        <v>0</v>
      </c>
      <c r="DT27" s="894">
        <f>IFERROR(IF($B27&gt;0,PASHEET!AZ27+MARKS!AR27+MARKS!AZ27+MARKS!BH27+MARKS!BP27,""),"Ab")</f>
        <v>0</v>
      </c>
      <c r="DU27" s="879">
        <f t="shared" si="47"/>
        <v>25</v>
      </c>
      <c r="DV27" s="894" t="str">
        <f t="shared" si="48"/>
        <v>C</v>
      </c>
      <c r="DW27" s="894">
        <f t="shared" si="49"/>
        <v>0</v>
      </c>
      <c r="DX27" s="894">
        <f t="shared" si="50"/>
        <v>0</v>
      </c>
      <c r="DY27" s="894">
        <f t="shared" si="51"/>
        <v>0</v>
      </c>
      <c r="DZ27" s="894">
        <f t="shared" si="52"/>
        <v>0</v>
      </c>
      <c r="EA27" s="894">
        <f t="shared" si="53"/>
        <v>0</v>
      </c>
      <c r="EB27" s="894">
        <f t="shared" si="54"/>
        <v>0</v>
      </c>
      <c r="EC27" s="894" t="str">
        <f t="shared" si="55"/>
        <v>E</v>
      </c>
    </row>
    <row r="28" spans="1:133">
      <c r="A28" s="879">
        <v>25</v>
      </c>
      <c r="B28" s="879">
        <f>STUDENT!F26</f>
        <v>14943</v>
      </c>
      <c r="C28" s="879">
        <f>STUDENT!D26</f>
        <v>20250012364</v>
      </c>
      <c r="D28" s="886" t="str">
        <f>STUDENT!E26</f>
        <v>ANSHU KUMAR PANDIT</v>
      </c>
      <c r="E28" s="886" t="str">
        <f>STUDENT!H26</f>
        <v>RAMESH KUMAR PANDIT</v>
      </c>
      <c r="F28" s="887"/>
      <c r="G28" s="887"/>
      <c r="H28" s="887"/>
      <c r="I28" s="887"/>
      <c r="J28" s="887"/>
      <c r="K28" s="887"/>
      <c r="L28" s="887"/>
      <c r="M28" s="888">
        <f t="shared" si="0"/>
        <v>0</v>
      </c>
      <c r="N28" s="887"/>
      <c r="O28" s="887"/>
      <c r="P28" s="887"/>
      <c r="Q28" s="887"/>
      <c r="R28" s="887"/>
      <c r="S28" s="887"/>
      <c r="T28" s="887"/>
      <c r="U28" s="889">
        <f t="shared" si="7"/>
        <v>0</v>
      </c>
      <c r="V28" s="887"/>
      <c r="W28" s="887"/>
      <c r="X28" s="887"/>
      <c r="Y28" s="887"/>
      <c r="Z28" s="887"/>
      <c r="AA28" s="887"/>
      <c r="AB28" s="887"/>
      <c r="AC28" s="890">
        <f t="shared" si="8"/>
        <v>0</v>
      </c>
      <c r="AD28" s="887">
        <v>23</v>
      </c>
      <c r="AE28" s="887">
        <v>21</v>
      </c>
      <c r="AF28" s="887">
        <v>25</v>
      </c>
      <c r="AG28" s="887">
        <v>26</v>
      </c>
      <c r="AH28" s="887">
        <v>25</v>
      </c>
      <c r="AI28" s="887">
        <v>28</v>
      </c>
      <c r="AJ28" s="887"/>
      <c r="AK28" s="888">
        <f t="shared" si="1"/>
        <v>148</v>
      </c>
      <c r="AL28" s="887"/>
      <c r="AM28" s="887"/>
      <c r="AN28" s="887"/>
      <c r="AO28" s="887"/>
      <c r="AP28" s="887"/>
      <c r="AQ28" s="887"/>
      <c r="AR28" s="887"/>
      <c r="AS28" s="891">
        <f t="shared" si="9"/>
        <v>0</v>
      </c>
      <c r="AT28" s="887"/>
      <c r="AU28" s="887"/>
      <c r="AV28" s="887"/>
      <c r="AW28" s="887"/>
      <c r="AX28" s="887"/>
      <c r="AY28" s="887"/>
      <c r="AZ28" s="887"/>
      <c r="BA28" s="889">
        <f t="shared" si="10"/>
        <v>0</v>
      </c>
      <c r="BB28" s="887"/>
      <c r="BC28" s="887"/>
      <c r="BD28" s="887"/>
      <c r="BE28" s="887"/>
      <c r="BF28" s="887"/>
      <c r="BG28" s="887"/>
      <c r="BH28" s="887"/>
      <c r="BI28" s="890">
        <f t="shared" si="11"/>
        <v>0</v>
      </c>
      <c r="BJ28" s="887">
        <v>25</v>
      </c>
      <c r="BK28" s="887"/>
      <c r="BL28" s="887"/>
      <c r="BM28" s="887"/>
      <c r="BN28" s="887"/>
      <c r="BO28" s="887"/>
      <c r="BP28" s="887"/>
      <c r="BQ28" s="888">
        <f t="shared" si="12"/>
        <v>25</v>
      </c>
      <c r="BR28" s="892" t="str">
        <f t="shared" si="13"/>
        <v>B</v>
      </c>
      <c r="BS28" s="892" t="str">
        <f t="shared" si="14"/>
        <v>B</v>
      </c>
      <c r="BT28" s="892" t="str">
        <f t="shared" si="15"/>
        <v>A</v>
      </c>
      <c r="BU28" s="892" t="str">
        <f t="shared" si="16"/>
        <v>A</v>
      </c>
      <c r="BV28" s="892" t="str">
        <f t="shared" si="17"/>
        <v>A</v>
      </c>
      <c r="BW28" s="892" t="str">
        <f t="shared" si="18"/>
        <v>A</v>
      </c>
      <c r="BX28" s="892" t="str">
        <f t="shared" si="19"/>
        <v/>
      </c>
      <c r="BY28" s="892" t="str">
        <f t="shared" si="20"/>
        <v>A</v>
      </c>
      <c r="BZ28" s="892" t="str">
        <f t="shared" si="21"/>
        <v>A</v>
      </c>
      <c r="CA28" s="892" t="str">
        <f t="shared" si="22"/>
        <v/>
      </c>
      <c r="CB28" s="892" t="str">
        <f t="shared" si="23"/>
        <v/>
      </c>
      <c r="CC28" s="892" t="str">
        <f t="shared" si="24"/>
        <v/>
      </c>
      <c r="CD28" s="892" t="str">
        <f t="shared" si="25"/>
        <v/>
      </c>
      <c r="CE28" s="892" t="str">
        <f t="shared" si="26"/>
        <v/>
      </c>
      <c r="CF28" s="892" t="str">
        <f t="shared" si="27"/>
        <v/>
      </c>
      <c r="CG28" s="892" t="str">
        <f t="shared" si="28"/>
        <v>E</v>
      </c>
      <c r="CH28" s="891">
        <f>IFERROR(IF($B28&gt;0,PASHEET!AL28+PASHEET!AT28+MARKS!F28+MARKS!N28+MARKS!V28+MARKS!AD28+MARKS!AL28+MARKS!AT28+MARKS!BB28+MARKS!BJ28,""),"Ab")</f>
        <v>50</v>
      </c>
      <c r="CI28" s="891">
        <f>IFERROR(IF($B28&gt;0,PASHEET!AM28+PASHEET!AU28+MARKS!G28+MARKS!O28+MARKS!W28+MARKS!AE28+MARKS!AM28+MARKS!AU28+MARKS!BC28+MARKS!BK28,""),"Ab")</f>
        <v>23</v>
      </c>
      <c r="CJ28" s="891">
        <f>IFERROR(IF($B28&gt;0,PASHEET!AN28+PASHEET!AV28+MARKS!H28+MARKS!P28+MARKS!X28+MARKS!AF28+MARKS!AN28+MARKS!AV28+MARKS!BD28+MARKS!BL28,""),"Ab")</f>
        <v>27</v>
      </c>
      <c r="CK28" s="891">
        <f>IFERROR(IF($B28&gt;0,PASHEET!AO28+PASHEET!AW28+MARKS!I28+MARKS!Q28+MARKS!Y28+MARKS!AG28+MARKS!AO28+MARKS!AW28+MARKS!BE28+MARKS!BM28,""),"Ab")</f>
        <v>28</v>
      </c>
      <c r="CL28" s="891">
        <f>IFERROR(IF($B28&gt;0,PASHEET!AP28+PASHEET!AX28+MARKS!J28+MARKS!R28+MARKS!Z28+MARKS!AH28+MARKS!AP28+MARKS!AX28+MARKS!BF28+MARKS!BN28,""),"Ab")</f>
        <v>25</v>
      </c>
      <c r="CM28" s="891">
        <f>IFERROR(IF($B28&gt;0,PASHEET!AQ28+PASHEET!AY28+MARKS!K28+MARKS!S28+MARKS!AA28+MARKS!AI28+MARKS!AQ28+MARKS!AY28+MARKS!BG28+MARKS!BO28,""),"Ab")</f>
        <v>30</v>
      </c>
      <c r="CN28" s="891">
        <f>IFERROR(IF($B28&gt;0,PASHEET!AR28+PASHEET!AZ28+MARKS!L28+MARKS!T28+MARKS!AB28+MARKS!AJ28+MARKS!AR28+MARKS!AZ28+MARKS!BH28+MARKS!BP28,""),"Ab")</f>
        <v>0</v>
      </c>
      <c r="CO28" s="891">
        <f t="shared" si="29"/>
        <v>183</v>
      </c>
      <c r="CP28" s="893" t="str">
        <f t="shared" si="30"/>
        <v>C</v>
      </c>
      <c r="CQ28" s="893" t="str">
        <f t="shared" si="31"/>
        <v>E</v>
      </c>
      <c r="CR28" s="893" t="str">
        <f t="shared" si="32"/>
        <v>E</v>
      </c>
      <c r="CS28" s="893" t="str">
        <f t="shared" si="33"/>
        <v>E</v>
      </c>
      <c r="CT28" s="893" t="str">
        <f t="shared" si="34"/>
        <v>E</v>
      </c>
      <c r="CU28" s="893" t="str">
        <f t="shared" si="35"/>
        <v>E</v>
      </c>
      <c r="CV28" s="893">
        <f t="shared" si="36"/>
        <v>0</v>
      </c>
      <c r="CW28" s="893" t="str">
        <f t="shared" si="37"/>
        <v>E</v>
      </c>
      <c r="CX28" s="894">
        <f>IFERROR(IF($B28&gt;0,PASHEET!AL28+MARKS!F28+MARKS!N28+MARKS!V28+MARKS!AD28,""),"Ab")</f>
        <v>25</v>
      </c>
      <c r="CY28" s="894">
        <f>IFERROR(IF($B28&gt;0,PASHEET!AM28+MARKS!G28+MARKS!O28+MARKS!W28+MARKS!AE28,""),"Ab")</f>
        <v>23</v>
      </c>
      <c r="CZ28" s="894">
        <f>IFERROR(IF($B28&gt;0,PASHEET!AN28+MARKS!H28+MARKS!P28+MARKS!X28+MARKS!AF28,""),"Ab")</f>
        <v>27</v>
      </c>
      <c r="DA28" s="894">
        <f>IFERROR(IF($B28&gt;0,PASHEET!AO28+MARKS!I28+MARKS!Q28+MARKS!Y28+MARKS!AG28,""),"Ab")</f>
        <v>28</v>
      </c>
      <c r="DB28" s="894">
        <f>IFERROR(IF($B28&gt;0,PASHEET!AP28+MARKS!J28+MARKS!R28+MARKS!Z28+MARKS!AH28,""),"Ab")</f>
        <v>25</v>
      </c>
      <c r="DC28" s="894">
        <f>IFERROR(IF($B28&gt;0,PASHEET!AQ28+MARKS!K28+MARKS!S28+MARKS!AA28+MARKS!AI28,""),"Ab")</f>
        <v>30</v>
      </c>
      <c r="DD28" s="894">
        <f>IFERROR(IF($B28&gt;0,PASHEET!AR28+MARKS!L28+MARKS!T28+MARKS!AB28+MARKS!AJ28,""),"Ab")</f>
        <v>0</v>
      </c>
      <c r="DE28" s="879">
        <f t="shared" si="38"/>
        <v>158</v>
      </c>
      <c r="DF28" s="894" t="str">
        <f t="shared" si="39"/>
        <v>C</v>
      </c>
      <c r="DG28" s="894" t="str">
        <f t="shared" si="40"/>
        <v>C</v>
      </c>
      <c r="DH28" s="894" t="str">
        <f t="shared" si="41"/>
        <v>C</v>
      </c>
      <c r="DI28" s="894" t="str">
        <f t="shared" si="42"/>
        <v>C</v>
      </c>
      <c r="DJ28" s="894" t="str">
        <f t="shared" si="43"/>
        <v>C</v>
      </c>
      <c r="DK28" s="894" t="str">
        <f t="shared" si="44"/>
        <v>C</v>
      </c>
      <c r="DL28" s="894">
        <f t="shared" si="45"/>
        <v>0</v>
      </c>
      <c r="DM28" s="894" t="str">
        <f t="shared" si="46"/>
        <v>C</v>
      </c>
      <c r="DN28" s="894">
        <f>IFERROR(IF($B28&gt;0,PASHEET!AT28+MARKS!AL28+MARKS!AT28+MARKS!BB28+MARKS!BJ28,""),"Ab")</f>
        <v>25</v>
      </c>
      <c r="DO28" s="894">
        <f>IFERROR(IF($B28&gt;0,PASHEET!AU28+MARKS!AM28+MARKS!AU28+MARKS!BC28+MARKS!BK28,""),"Ab")</f>
        <v>0</v>
      </c>
      <c r="DP28" s="894">
        <f>IFERROR(IF($B28&gt;0,PASHEET!AV28+MARKS!AN28+MARKS!AV28+MARKS!BD28+MARKS!BL28,""),"Ab")</f>
        <v>0</v>
      </c>
      <c r="DQ28" s="894">
        <f>IFERROR(IF($B28&gt;0,PASHEET!AW28+MARKS!AO28+MARKS!AW28+MARKS!BE28+MARKS!BM28,""),"Ab")</f>
        <v>0</v>
      </c>
      <c r="DR28" s="894">
        <f>IFERROR(IF($B28&gt;0,PASHEET!AX28+MARKS!AP28+MARKS!AX28+MARKS!BF28+MARKS!BN28,""),"Ab")</f>
        <v>0</v>
      </c>
      <c r="DS28" s="894">
        <f>IFERROR(IF($B28&gt;0,PASHEET!AY28+MARKS!AQ28+MARKS!AY28+MARKS!BG28+MARKS!BO28,""),"Ab")</f>
        <v>0</v>
      </c>
      <c r="DT28" s="894">
        <f>IFERROR(IF($B28&gt;0,PASHEET!AZ28+MARKS!AR28+MARKS!AZ28+MARKS!BH28+MARKS!BP28,""),"Ab")</f>
        <v>0</v>
      </c>
      <c r="DU28" s="879">
        <f t="shared" si="47"/>
        <v>25</v>
      </c>
      <c r="DV28" s="894" t="str">
        <f t="shared" si="48"/>
        <v>C</v>
      </c>
      <c r="DW28" s="894">
        <f t="shared" si="49"/>
        <v>0</v>
      </c>
      <c r="DX28" s="894">
        <f t="shared" si="50"/>
        <v>0</v>
      </c>
      <c r="DY28" s="894">
        <f t="shared" si="51"/>
        <v>0</v>
      </c>
      <c r="DZ28" s="894">
        <f t="shared" si="52"/>
        <v>0</v>
      </c>
      <c r="EA28" s="894">
        <f t="shared" si="53"/>
        <v>0</v>
      </c>
      <c r="EB28" s="894">
        <f t="shared" si="54"/>
        <v>0</v>
      </c>
      <c r="EC28" s="894" t="str">
        <f t="shared" si="55"/>
        <v>E</v>
      </c>
    </row>
    <row r="29" spans="1:133">
      <c r="A29" s="879">
        <v>26</v>
      </c>
      <c r="B29" s="879">
        <f>STUDENT!F27</f>
        <v>14960</v>
      </c>
      <c r="C29" s="879">
        <f>STUDENT!D27</f>
        <v>20250045334</v>
      </c>
      <c r="D29" s="886" t="str">
        <f>STUDENT!E27</f>
        <v>MD ADAN SHEKH</v>
      </c>
      <c r="E29" s="886" t="str">
        <f>STUDENT!H27</f>
        <v>MD ISHTIKHAR</v>
      </c>
      <c r="F29" s="887"/>
      <c r="G29" s="887"/>
      <c r="H29" s="887"/>
      <c r="I29" s="887"/>
      <c r="J29" s="887"/>
      <c r="K29" s="887"/>
      <c r="L29" s="887"/>
      <c r="M29" s="888">
        <f t="shared" si="0"/>
        <v>0</v>
      </c>
      <c r="N29" s="887"/>
      <c r="O29" s="887"/>
      <c r="P29" s="887"/>
      <c r="Q29" s="887"/>
      <c r="R29" s="887"/>
      <c r="S29" s="887"/>
      <c r="T29" s="887"/>
      <c r="U29" s="889">
        <f t="shared" si="7"/>
        <v>0</v>
      </c>
      <c r="V29" s="887"/>
      <c r="W29" s="887"/>
      <c r="X29" s="887"/>
      <c r="Y29" s="887"/>
      <c r="Z29" s="887"/>
      <c r="AA29" s="887"/>
      <c r="AB29" s="887"/>
      <c r="AC29" s="890">
        <f t="shared" si="8"/>
        <v>0</v>
      </c>
      <c r="AD29" s="887">
        <v>21</v>
      </c>
      <c r="AE29" s="887">
        <v>21</v>
      </c>
      <c r="AF29" s="887">
        <v>23</v>
      </c>
      <c r="AG29" s="887">
        <v>25</v>
      </c>
      <c r="AH29" s="887">
        <v>23</v>
      </c>
      <c r="AI29" s="887">
        <v>27</v>
      </c>
      <c r="AJ29" s="887"/>
      <c r="AK29" s="888">
        <f t="shared" si="1"/>
        <v>140</v>
      </c>
      <c r="AL29" s="887"/>
      <c r="AM29" s="887"/>
      <c r="AN29" s="887"/>
      <c r="AO29" s="887"/>
      <c r="AP29" s="887"/>
      <c r="AQ29" s="887"/>
      <c r="AR29" s="887"/>
      <c r="AS29" s="891">
        <f t="shared" si="9"/>
        <v>0</v>
      </c>
      <c r="AT29" s="887"/>
      <c r="AU29" s="887"/>
      <c r="AV29" s="887"/>
      <c r="AW29" s="887"/>
      <c r="AX29" s="887"/>
      <c r="AY29" s="887"/>
      <c r="AZ29" s="887"/>
      <c r="BA29" s="889">
        <f t="shared" si="10"/>
        <v>0</v>
      </c>
      <c r="BB29" s="887"/>
      <c r="BC29" s="887"/>
      <c r="BD29" s="887"/>
      <c r="BE29" s="887"/>
      <c r="BF29" s="887"/>
      <c r="BG29" s="887"/>
      <c r="BH29" s="887"/>
      <c r="BI29" s="890">
        <f t="shared" si="11"/>
        <v>0</v>
      </c>
      <c r="BJ29" s="887">
        <v>18</v>
      </c>
      <c r="BK29" s="887"/>
      <c r="BL29" s="887"/>
      <c r="BM29" s="887"/>
      <c r="BN29" s="887"/>
      <c r="BO29" s="887"/>
      <c r="BP29" s="887"/>
      <c r="BQ29" s="888">
        <f t="shared" si="12"/>
        <v>18</v>
      </c>
      <c r="BR29" s="892" t="str">
        <f t="shared" si="13"/>
        <v>B</v>
      </c>
      <c r="BS29" s="892" t="str">
        <f t="shared" si="14"/>
        <v>B</v>
      </c>
      <c r="BT29" s="892" t="str">
        <f t="shared" si="15"/>
        <v>B</v>
      </c>
      <c r="BU29" s="892" t="str">
        <f t="shared" si="16"/>
        <v>A</v>
      </c>
      <c r="BV29" s="892" t="str">
        <f t="shared" si="17"/>
        <v>B</v>
      </c>
      <c r="BW29" s="892" t="str">
        <f t="shared" si="18"/>
        <v>A</v>
      </c>
      <c r="BX29" s="892" t="str">
        <f t="shared" si="19"/>
        <v/>
      </c>
      <c r="BY29" s="892" t="str">
        <f t="shared" si="20"/>
        <v>B</v>
      </c>
      <c r="BZ29" s="892" t="str">
        <f t="shared" si="21"/>
        <v>C</v>
      </c>
      <c r="CA29" s="892" t="str">
        <f t="shared" si="22"/>
        <v/>
      </c>
      <c r="CB29" s="892" t="str">
        <f t="shared" si="23"/>
        <v/>
      </c>
      <c r="CC29" s="892" t="str">
        <f t="shared" si="24"/>
        <v/>
      </c>
      <c r="CD29" s="892" t="str">
        <f t="shared" si="25"/>
        <v/>
      </c>
      <c r="CE29" s="892" t="str">
        <f t="shared" si="26"/>
        <v/>
      </c>
      <c r="CF29" s="892" t="str">
        <f t="shared" si="27"/>
        <v/>
      </c>
      <c r="CG29" s="892" t="str">
        <f t="shared" si="28"/>
        <v>E</v>
      </c>
      <c r="CH29" s="891">
        <f>IFERROR(IF($B29&gt;0,PASHEET!AL29+PASHEET!AT29+MARKS!F29+MARKS!N29+MARKS!V29+MARKS!AD29+MARKS!AL29+MARKS!AT29+MARKS!BB29+MARKS!BJ29,""),"Ab")</f>
        <v>40</v>
      </c>
      <c r="CI29" s="891">
        <f>IFERROR(IF($B29&gt;0,PASHEET!AM29+PASHEET!AU29+MARKS!G29+MARKS!O29+MARKS!W29+MARKS!AE29+MARKS!AM29+MARKS!AU29+MARKS!BC29+MARKS!BK29,""),"Ab")</f>
        <v>22</v>
      </c>
      <c r="CJ29" s="891">
        <f>IFERROR(IF($B29&gt;0,PASHEET!AN29+PASHEET!AV29+MARKS!H29+MARKS!P29+MARKS!X29+MARKS!AF29+MARKS!AN29+MARKS!AV29+MARKS!BD29+MARKS!BL29,""),"Ab")</f>
        <v>24</v>
      </c>
      <c r="CK29" s="891">
        <f>IFERROR(IF($B29&gt;0,PASHEET!AO29+PASHEET!AW29+MARKS!I29+MARKS!Q29+MARKS!Y29+MARKS!AG29+MARKS!AO29+MARKS!AW29+MARKS!BE29+MARKS!BM29,""),"Ab")</f>
        <v>26</v>
      </c>
      <c r="CL29" s="891">
        <f>IFERROR(IF($B29&gt;0,PASHEET!AP29+PASHEET!AX29+MARKS!J29+MARKS!R29+MARKS!Z29+MARKS!AH29+MARKS!AP29+MARKS!AX29+MARKS!BF29+MARKS!BN29,""),"Ab")</f>
        <v>23</v>
      </c>
      <c r="CM29" s="891">
        <f>IFERROR(IF($B29&gt;0,PASHEET!AQ29+PASHEET!AY29+MARKS!K29+MARKS!S29+MARKS!AA29+MARKS!AI29+MARKS!AQ29+MARKS!AY29+MARKS!BG29+MARKS!BO29,""),"Ab")</f>
        <v>28</v>
      </c>
      <c r="CN29" s="891">
        <f>IFERROR(IF($B29&gt;0,PASHEET!AR29+PASHEET!AZ29+MARKS!L29+MARKS!T29+MARKS!AB29+MARKS!AJ29+MARKS!AR29+MARKS!AZ29+MARKS!BH29+MARKS!BP29,""),"Ab")</f>
        <v>0</v>
      </c>
      <c r="CO29" s="891">
        <f t="shared" si="29"/>
        <v>163</v>
      </c>
      <c r="CP29" s="893" t="str">
        <f t="shared" si="30"/>
        <v>D</v>
      </c>
      <c r="CQ29" s="893" t="str">
        <f t="shared" si="31"/>
        <v>E</v>
      </c>
      <c r="CR29" s="893" t="str">
        <f t="shared" si="32"/>
        <v>E</v>
      </c>
      <c r="CS29" s="893" t="str">
        <f t="shared" si="33"/>
        <v>E</v>
      </c>
      <c r="CT29" s="893" t="str">
        <f t="shared" si="34"/>
        <v>E</v>
      </c>
      <c r="CU29" s="893" t="str">
        <f t="shared" si="35"/>
        <v>E</v>
      </c>
      <c r="CV29" s="893">
        <f t="shared" si="36"/>
        <v>0</v>
      </c>
      <c r="CW29" s="893" t="str">
        <f t="shared" si="37"/>
        <v>E</v>
      </c>
      <c r="CX29" s="894">
        <f>IFERROR(IF($B29&gt;0,PASHEET!AL29+MARKS!F29+MARKS!N29+MARKS!V29+MARKS!AD29,""),"Ab")</f>
        <v>22</v>
      </c>
      <c r="CY29" s="894">
        <f>IFERROR(IF($B29&gt;0,PASHEET!AM29+MARKS!G29+MARKS!O29+MARKS!W29+MARKS!AE29,""),"Ab")</f>
        <v>22</v>
      </c>
      <c r="CZ29" s="894">
        <f>IFERROR(IF($B29&gt;0,PASHEET!AN29+MARKS!H29+MARKS!P29+MARKS!X29+MARKS!AF29,""),"Ab")</f>
        <v>24</v>
      </c>
      <c r="DA29" s="894">
        <f>IFERROR(IF($B29&gt;0,PASHEET!AO29+MARKS!I29+MARKS!Q29+MARKS!Y29+MARKS!AG29,""),"Ab")</f>
        <v>26</v>
      </c>
      <c r="DB29" s="894">
        <f>IFERROR(IF($B29&gt;0,PASHEET!AP29+MARKS!J29+MARKS!R29+MARKS!Z29+MARKS!AH29,""),"Ab")</f>
        <v>23</v>
      </c>
      <c r="DC29" s="894">
        <f>IFERROR(IF($B29&gt;0,PASHEET!AQ29+MARKS!K29+MARKS!S29+MARKS!AA29+MARKS!AI29,""),"Ab")</f>
        <v>28</v>
      </c>
      <c r="DD29" s="894">
        <f>IFERROR(IF($B29&gt;0,PASHEET!AR29+MARKS!L29+MARKS!T29+MARKS!AB29+MARKS!AJ29,""),"Ab")</f>
        <v>0</v>
      </c>
      <c r="DE29" s="879">
        <f t="shared" si="38"/>
        <v>145</v>
      </c>
      <c r="DF29" s="894" t="str">
        <f t="shared" si="39"/>
        <v>D</v>
      </c>
      <c r="DG29" s="894" t="str">
        <f t="shared" si="40"/>
        <v>D</v>
      </c>
      <c r="DH29" s="894" t="str">
        <f t="shared" si="41"/>
        <v>C</v>
      </c>
      <c r="DI29" s="894" t="str">
        <f t="shared" si="42"/>
        <v>C</v>
      </c>
      <c r="DJ29" s="894" t="str">
        <f t="shared" si="43"/>
        <v>C</v>
      </c>
      <c r="DK29" s="894" t="str">
        <f t="shared" si="44"/>
        <v>C</v>
      </c>
      <c r="DL29" s="894">
        <f t="shared" si="45"/>
        <v>0</v>
      </c>
      <c r="DM29" s="894" t="str">
        <f t="shared" si="46"/>
        <v>C</v>
      </c>
      <c r="DN29" s="894">
        <f>IFERROR(IF($B29&gt;0,PASHEET!AT29+MARKS!AL29+MARKS!AT29+MARKS!BB29+MARKS!BJ29,""),"Ab")</f>
        <v>18</v>
      </c>
      <c r="DO29" s="894">
        <f>IFERROR(IF($B29&gt;0,PASHEET!AU29+MARKS!AM29+MARKS!AU29+MARKS!BC29+MARKS!BK29,""),"Ab")</f>
        <v>0</v>
      </c>
      <c r="DP29" s="894">
        <f>IFERROR(IF($B29&gt;0,PASHEET!AV29+MARKS!AN29+MARKS!AV29+MARKS!BD29+MARKS!BL29,""),"Ab")</f>
        <v>0</v>
      </c>
      <c r="DQ29" s="894">
        <f>IFERROR(IF($B29&gt;0,PASHEET!AW29+MARKS!AO29+MARKS!AW29+MARKS!BE29+MARKS!BM29,""),"Ab")</f>
        <v>0</v>
      </c>
      <c r="DR29" s="894">
        <f>IFERROR(IF($B29&gt;0,PASHEET!AX29+MARKS!AP29+MARKS!AX29+MARKS!BF29+MARKS!BN29,""),"Ab")</f>
        <v>0</v>
      </c>
      <c r="DS29" s="894">
        <f>IFERROR(IF($B29&gt;0,PASHEET!AY29+MARKS!AQ29+MARKS!AY29+MARKS!BG29+MARKS!BO29,""),"Ab")</f>
        <v>0</v>
      </c>
      <c r="DT29" s="894">
        <f>IFERROR(IF($B29&gt;0,PASHEET!AZ29+MARKS!AR29+MARKS!AZ29+MARKS!BH29+MARKS!BP29,""),"Ab")</f>
        <v>0</v>
      </c>
      <c r="DU29" s="879">
        <f t="shared" si="47"/>
        <v>18</v>
      </c>
      <c r="DV29" s="894" t="str">
        <f t="shared" si="48"/>
        <v>D</v>
      </c>
      <c r="DW29" s="894">
        <f t="shared" si="49"/>
        <v>0</v>
      </c>
      <c r="DX29" s="894">
        <f t="shared" si="50"/>
        <v>0</v>
      </c>
      <c r="DY29" s="894">
        <f t="shared" si="51"/>
        <v>0</v>
      </c>
      <c r="DZ29" s="894">
        <f t="shared" si="52"/>
        <v>0</v>
      </c>
      <c r="EA29" s="894">
        <f t="shared" si="53"/>
        <v>0</v>
      </c>
      <c r="EB29" s="894">
        <f t="shared" si="54"/>
        <v>0</v>
      </c>
      <c r="EC29" s="894" t="str">
        <f t="shared" si="55"/>
        <v>E</v>
      </c>
    </row>
    <row r="30" spans="1:133">
      <c r="A30" s="879">
        <v>27</v>
      </c>
      <c r="B30" s="879">
        <f>STUDENT!F28</f>
        <v>14976</v>
      </c>
      <c r="C30" s="879">
        <f>STUDENT!D28</f>
        <v>20250064030</v>
      </c>
      <c r="D30" s="886" t="str">
        <f>STUDENT!E28</f>
        <v>KARTIK</v>
      </c>
      <c r="E30" s="886" t="str">
        <f>STUDENT!H28</f>
        <v>SUNIL</v>
      </c>
      <c r="F30" s="887"/>
      <c r="G30" s="887"/>
      <c r="H30" s="887"/>
      <c r="I30" s="887"/>
      <c r="J30" s="887"/>
      <c r="K30" s="887"/>
      <c r="L30" s="887"/>
      <c r="M30" s="888">
        <f t="shared" si="0"/>
        <v>0</v>
      </c>
      <c r="N30" s="887"/>
      <c r="O30" s="887"/>
      <c r="P30" s="887"/>
      <c r="Q30" s="887"/>
      <c r="R30" s="887"/>
      <c r="S30" s="887"/>
      <c r="T30" s="887"/>
      <c r="U30" s="889">
        <f t="shared" si="7"/>
        <v>0</v>
      </c>
      <c r="V30" s="887"/>
      <c r="W30" s="887"/>
      <c r="X30" s="887"/>
      <c r="Y30" s="887"/>
      <c r="Z30" s="887"/>
      <c r="AA30" s="887"/>
      <c r="AB30" s="887"/>
      <c r="AC30" s="890">
        <f t="shared" si="8"/>
        <v>0</v>
      </c>
      <c r="AD30" s="887">
        <v>10</v>
      </c>
      <c r="AE30" s="887">
        <v>11</v>
      </c>
      <c r="AF30" s="887">
        <v>15</v>
      </c>
      <c r="AG30" s="887">
        <v>11</v>
      </c>
      <c r="AH30" s="887">
        <v>16</v>
      </c>
      <c r="AI30" s="887">
        <v>13</v>
      </c>
      <c r="AJ30" s="887"/>
      <c r="AK30" s="888">
        <f t="shared" si="1"/>
        <v>76</v>
      </c>
      <c r="AL30" s="887"/>
      <c r="AM30" s="887"/>
      <c r="AN30" s="887"/>
      <c r="AO30" s="887"/>
      <c r="AP30" s="887"/>
      <c r="AQ30" s="887"/>
      <c r="AR30" s="887"/>
      <c r="AS30" s="891">
        <f t="shared" si="9"/>
        <v>0</v>
      </c>
      <c r="AT30" s="887"/>
      <c r="AU30" s="887"/>
      <c r="AV30" s="887"/>
      <c r="AW30" s="887"/>
      <c r="AX30" s="887"/>
      <c r="AY30" s="887"/>
      <c r="AZ30" s="887"/>
      <c r="BA30" s="889">
        <f t="shared" si="10"/>
        <v>0</v>
      </c>
      <c r="BB30" s="887"/>
      <c r="BC30" s="887"/>
      <c r="BD30" s="887"/>
      <c r="BE30" s="887"/>
      <c r="BF30" s="887"/>
      <c r="BG30" s="887"/>
      <c r="BH30" s="887"/>
      <c r="BI30" s="890">
        <f t="shared" si="11"/>
        <v>0</v>
      </c>
      <c r="BJ30" s="887">
        <v>19</v>
      </c>
      <c r="BK30" s="887"/>
      <c r="BL30" s="887"/>
      <c r="BM30" s="887"/>
      <c r="BN30" s="887"/>
      <c r="BO30" s="887"/>
      <c r="BP30" s="887"/>
      <c r="BQ30" s="888">
        <f t="shared" si="12"/>
        <v>19</v>
      </c>
      <c r="BR30" s="892" t="str">
        <f t="shared" si="13"/>
        <v>D</v>
      </c>
      <c r="BS30" s="892" t="str">
        <f t="shared" si="14"/>
        <v>D</v>
      </c>
      <c r="BT30" s="892" t="str">
        <f t="shared" si="15"/>
        <v>C</v>
      </c>
      <c r="BU30" s="892" t="str">
        <f t="shared" si="16"/>
        <v>D</v>
      </c>
      <c r="BV30" s="892" t="str">
        <f t="shared" si="17"/>
        <v>C</v>
      </c>
      <c r="BW30" s="892" t="str">
        <f t="shared" si="18"/>
        <v>C</v>
      </c>
      <c r="BX30" s="892" t="str">
        <f t="shared" si="19"/>
        <v/>
      </c>
      <c r="BY30" s="892" t="str">
        <f t="shared" si="20"/>
        <v>D</v>
      </c>
      <c r="BZ30" s="892" t="str">
        <f t="shared" si="21"/>
        <v>C</v>
      </c>
      <c r="CA30" s="892" t="str">
        <f t="shared" si="22"/>
        <v/>
      </c>
      <c r="CB30" s="892" t="str">
        <f t="shared" si="23"/>
        <v/>
      </c>
      <c r="CC30" s="892" t="str">
        <f t="shared" si="24"/>
        <v/>
      </c>
      <c r="CD30" s="892" t="str">
        <f t="shared" si="25"/>
        <v/>
      </c>
      <c r="CE30" s="892" t="str">
        <f t="shared" si="26"/>
        <v/>
      </c>
      <c r="CF30" s="892" t="str">
        <f t="shared" si="27"/>
        <v/>
      </c>
      <c r="CG30" s="892" t="str">
        <f t="shared" si="28"/>
        <v>E</v>
      </c>
      <c r="CH30" s="891">
        <f>IFERROR(IF($B30&gt;0,PASHEET!AL30+PASHEET!AT30+MARKS!F30+MARKS!N30+MARKS!V30+MARKS!AD30+MARKS!AL30+MARKS!AT30+MARKS!BB30+MARKS!BJ30,""),"Ab")</f>
        <v>30</v>
      </c>
      <c r="CI30" s="891">
        <f>IFERROR(IF($B30&gt;0,PASHEET!AM30+PASHEET!AU30+MARKS!G30+MARKS!O30+MARKS!W30+MARKS!AE30+MARKS!AM30+MARKS!AU30+MARKS!BC30+MARKS!BK30,""),"Ab")</f>
        <v>12</v>
      </c>
      <c r="CJ30" s="891">
        <f>IFERROR(IF($B30&gt;0,PASHEET!AN30+PASHEET!AV30+MARKS!H30+MARKS!P30+MARKS!X30+MARKS!AF30+MARKS!AN30+MARKS!AV30+MARKS!BD30+MARKS!BL30,""),"Ab")</f>
        <v>17</v>
      </c>
      <c r="CK30" s="891">
        <f>IFERROR(IF($B30&gt;0,PASHEET!AO30+PASHEET!AW30+MARKS!I30+MARKS!Q30+MARKS!Y30+MARKS!AG30+MARKS!AO30+MARKS!AW30+MARKS!BE30+MARKS!BM30,""),"Ab")</f>
        <v>13</v>
      </c>
      <c r="CL30" s="891">
        <f>IFERROR(IF($B30&gt;0,PASHEET!AP30+PASHEET!AX30+MARKS!J30+MARKS!R30+MARKS!Z30+MARKS!AH30+MARKS!AP30+MARKS!AX30+MARKS!BF30+MARKS!BN30,""),"Ab")</f>
        <v>16</v>
      </c>
      <c r="CM30" s="891">
        <f>IFERROR(IF($B30&gt;0,PASHEET!AQ30+PASHEET!AY30+MARKS!K30+MARKS!S30+MARKS!AA30+MARKS!AI30+MARKS!AQ30+MARKS!AY30+MARKS!BG30+MARKS!BO30,""),"Ab")</f>
        <v>15</v>
      </c>
      <c r="CN30" s="891">
        <f>IFERROR(IF($B30&gt;0,PASHEET!AR30+PASHEET!AZ30+MARKS!L30+MARKS!T30+MARKS!AB30+MARKS!AJ30+MARKS!AR30+MARKS!AZ30+MARKS!BH30+MARKS!BP30,""),"Ab")</f>
        <v>0</v>
      </c>
      <c r="CO30" s="891">
        <f t="shared" si="29"/>
        <v>103</v>
      </c>
      <c r="CP30" s="893" t="str">
        <f t="shared" si="30"/>
        <v>E</v>
      </c>
      <c r="CQ30" s="893" t="str">
        <f t="shared" si="31"/>
        <v>E</v>
      </c>
      <c r="CR30" s="893" t="str">
        <f t="shared" si="32"/>
        <v>E</v>
      </c>
      <c r="CS30" s="893" t="str">
        <f t="shared" si="33"/>
        <v>E</v>
      </c>
      <c r="CT30" s="893" t="str">
        <f t="shared" si="34"/>
        <v>E</v>
      </c>
      <c r="CU30" s="893" t="str">
        <f t="shared" si="35"/>
        <v>E</v>
      </c>
      <c r="CV30" s="893">
        <f t="shared" si="36"/>
        <v>0</v>
      </c>
      <c r="CW30" s="893" t="str">
        <f t="shared" si="37"/>
        <v>E</v>
      </c>
      <c r="CX30" s="894">
        <f>IFERROR(IF($B30&gt;0,PASHEET!AL30+MARKS!F30+MARKS!N30+MARKS!V30+MARKS!AD30,""),"Ab")</f>
        <v>11</v>
      </c>
      <c r="CY30" s="894">
        <f>IFERROR(IF($B30&gt;0,PASHEET!AM30+MARKS!G30+MARKS!O30+MARKS!W30+MARKS!AE30,""),"Ab")</f>
        <v>12</v>
      </c>
      <c r="CZ30" s="894">
        <f>IFERROR(IF($B30&gt;0,PASHEET!AN30+MARKS!H30+MARKS!P30+MARKS!X30+MARKS!AF30,""),"Ab")</f>
        <v>17</v>
      </c>
      <c r="DA30" s="894">
        <f>IFERROR(IF($B30&gt;0,PASHEET!AO30+MARKS!I30+MARKS!Q30+MARKS!Y30+MARKS!AG30,""),"Ab")</f>
        <v>13</v>
      </c>
      <c r="DB30" s="894">
        <f>IFERROR(IF($B30&gt;0,PASHEET!AP30+MARKS!J30+MARKS!R30+MARKS!Z30+MARKS!AH30,""),"Ab")</f>
        <v>16</v>
      </c>
      <c r="DC30" s="894">
        <f>IFERROR(IF($B30&gt;0,PASHEET!AQ30+MARKS!K30+MARKS!S30+MARKS!AA30+MARKS!AI30,""),"Ab")</f>
        <v>15</v>
      </c>
      <c r="DD30" s="894">
        <f>IFERROR(IF($B30&gt;0,PASHEET!AR30+MARKS!L30+MARKS!T30+MARKS!AB30+MARKS!AJ30,""),"Ab")</f>
        <v>0</v>
      </c>
      <c r="DE30" s="879">
        <f t="shared" si="38"/>
        <v>84</v>
      </c>
      <c r="DF30" s="894" t="str">
        <f t="shared" si="39"/>
        <v>E</v>
      </c>
      <c r="DG30" s="894" t="str">
        <f t="shared" si="40"/>
        <v>E</v>
      </c>
      <c r="DH30" s="894" t="str">
        <f t="shared" si="41"/>
        <v>D</v>
      </c>
      <c r="DI30" s="894" t="str">
        <f t="shared" si="42"/>
        <v>E</v>
      </c>
      <c r="DJ30" s="894" t="str">
        <f t="shared" si="43"/>
        <v>D</v>
      </c>
      <c r="DK30" s="894" t="str">
        <f t="shared" si="44"/>
        <v>E</v>
      </c>
      <c r="DL30" s="894">
        <f t="shared" si="45"/>
        <v>0</v>
      </c>
      <c r="DM30" s="894" t="str">
        <f t="shared" si="46"/>
        <v>E</v>
      </c>
      <c r="DN30" s="894">
        <f>IFERROR(IF($B30&gt;0,PASHEET!AT30+MARKS!AL30+MARKS!AT30+MARKS!BB30+MARKS!BJ30,""),"Ab")</f>
        <v>19</v>
      </c>
      <c r="DO30" s="894">
        <f>IFERROR(IF($B30&gt;0,PASHEET!AU30+MARKS!AM30+MARKS!AU30+MARKS!BC30+MARKS!BK30,""),"Ab")</f>
        <v>0</v>
      </c>
      <c r="DP30" s="894">
        <f>IFERROR(IF($B30&gt;0,PASHEET!AV30+MARKS!AN30+MARKS!AV30+MARKS!BD30+MARKS!BL30,""),"Ab")</f>
        <v>0</v>
      </c>
      <c r="DQ30" s="894">
        <f>IFERROR(IF($B30&gt;0,PASHEET!AW30+MARKS!AO30+MARKS!AW30+MARKS!BE30+MARKS!BM30,""),"Ab")</f>
        <v>0</v>
      </c>
      <c r="DR30" s="894">
        <f>IFERROR(IF($B30&gt;0,PASHEET!AX30+MARKS!AP30+MARKS!AX30+MARKS!BF30+MARKS!BN30,""),"Ab")</f>
        <v>0</v>
      </c>
      <c r="DS30" s="894">
        <f>IFERROR(IF($B30&gt;0,PASHEET!AY30+MARKS!AQ30+MARKS!AY30+MARKS!BG30+MARKS!BO30,""),"Ab")</f>
        <v>0</v>
      </c>
      <c r="DT30" s="894">
        <f>IFERROR(IF($B30&gt;0,PASHEET!AZ30+MARKS!AR30+MARKS!AZ30+MARKS!BH30+MARKS!BP30,""),"Ab")</f>
        <v>0</v>
      </c>
      <c r="DU30" s="879">
        <f t="shared" si="47"/>
        <v>19</v>
      </c>
      <c r="DV30" s="894" t="str">
        <f t="shared" si="48"/>
        <v>D</v>
      </c>
      <c r="DW30" s="894">
        <f t="shared" si="49"/>
        <v>0</v>
      </c>
      <c r="DX30" s="894">
        <f t="shared" si="50"/>
        <v>0</v>
      </c>
      <c r="DY30" s="894">
        <f t="shared" si="51"/>
        <v>0</v>
      </c>
      <c r="DZ30" s="894">
        <f t="shared" si="52"/>
        <v>0</v>
      </c>
      <c r="EA30" s="894">
        <f t="shared" si="53"/>
        <v>0</v>
      </c>
      <c r="EB30" s="894">
        <f t="shared" si="54"/>
        <v>0</v>
      </c>
      <c r="EC30" s="894" t="str">
        <f t="shared" si="55"/>
        <v>E</v>
      </c>
    </row>
    <row r="31" spans="1:133">
      <c r="A31" s="879">
        <v>28</v>
      </c>
      <c r="B31" s="879">
        <f>STUDENT!F29</f>
        <v>14999</v>
      </c>
      <c r="C31" s="879">
        <f>STUDENT!D29</f>
        <v>20250104050</v>
      </c>
      <c r="D31" s="886" t="str">
        <f>STUDENT!E29</f>
        <v>ABDUL REHMAN</v>
      </c>
      <c r="E31" s="886" t="str">
        <f>STUDENT!H29</f>
        <v>MD LAL BABU</v>
      </c>
      <c r="F31" s="887"/>
      <c r="G31" s="887"/>
      <c r="H31" s="887"/>
      <c r="I31" s="887"/>
      <c r="J31" s="887"/>
      <c r="K31" s="887"/>
      <c r="L31" s="887"/>
      <c r="M31" s="888">
        <f t="shared" si="0"/>
        <v>0</v>
      </c>
      <c r="N31" s="887"/>
      <c r="O31" s="887"/>
      <c r="P31" s="887"/>
      <c r="Q31" s="887"/>
      <c r="R31" s="887"/>
      <c r="S31" s="887"/>
      <c r="T31" s="887"/>
      <c r="U31" s="889">
        <f t="shared" si="7"/>
        <v>0</v>
      </c>
      <c r="V31" s="887"/>
      <c r="W31" s="887"/>
      <c r="X31" s="887"/>
      <c r="Y31" s="887"/>
      <c r="Z31" s="887"/>
      <c r="AA31" s="887"/>
      <c r="AB31" s="887"/>
      <c r="AC31" s="890">
        <f t="shared" si="8"/>
        <v>0</v>
      </c>
      <c r="AD31" s="887">
        <v>13</v>
      </c>
      <c r="AE31" s="887">
        <v>11</v>
      </c>
      <c r="AF31" s="887">
        <v>11</v>
      </c>
      <c r="AG31" s="887">
        <v>13</v>
      </c>
      <c r="AH31" s="887">
        <v>16</v>
      </c>
      <c r="AI31" s="887">
        <v>13</v>
      </c>
      <c r="AJ31" s="887"/>
      <c r="AK31" s="888">
        <f t="shared" si="1"/>
        <v>77</v>
      </c>
      <c r="AL31" s="887"/>
      <c r="AM31" s="887"/>
      <c r="AN31" s="887"/>
      <c r="AO31" s="887"/>
      <c r="AP31" s="887"/>
      <c r="AQ31" s="887"/>
      <c r="AR31" s="887"/>
      <c r="AS31" s="891">
        <f t="shared" si="9"/>
        <v>0</v>
      </c>
      <c r="AT31" s="887"/>
      <c r="AU31" s="887"/>
      <c r="AV31" s="887"/>
      <c r="AW31" s="887"/>
      <c r="AX31" s="887"/>
      <c r="AY31" s="887"/>
      <c r="AZ31" s="887"/>
      <c r="BA31" s="889">
        <f t="shared" si="10"/>
        <v>0</v>
      </c>
      <c r="BB31" s="887"/>
      <c r="BC31" s="887"/>
      <c r="BD31" s="887"/>
      <c r="BE31" s="887"/>
      <c r="BF31" s="887"/>
      <c r="BG31" s="887"/>
      <c r="BH31" s="887"/>
      <c r="BI31" s="890">
        <f t="shared" si="11"/>
        <v>0</v>
      </c>
      <c r="BJ31" s="887">
        <v>18</v>
      </c>
      <c r="BK31" s="887"/>
      <c r="BL31" s="887"/>
      <c r="BM31" s="887"/>
      <c r="BN31" s="887"/>
      <c r="BO31" s="887"/>
      <c r="BP31" s="887"/>
      <c r="BQ31" s="888">
        <f t="shared" si="12"/>
        <v>18</v>
      </c>
      <c r="BR31" s="892" t="str">
        <f t="shared" si="13"/>
        <v>C</v>
      </c>
      <c r="BS31" s="892" t="str">
        <f t="shared" si="14"/>
        <v>D</v>
      </c>
      <c r="BT31" s="892" t="str">
        <f t="shared" si="15"/>
        <v>D</v>
      </c>
      <c r="BU31" s="892" t="str">
        <f t="shared" si="16"/>
        <v>C</v>
      </c>
      <c r="BV31" s="892" t="str">
        <f t="shared" si="17"/>
        <v>C</v>
      </c>
      <c r="BW31" s="892" t="str">
        <f t="shared" si="18"/>
        <v>C</v>
      </c>
      <c r="BX31" s="892" t="str">
        <f t="shared" si="19"/>
        <v/>
      </c>
      <c r="BY31" s="892" t="str">
        <f t="shared" si="20"/>
        <v>D</v>
      </c>
      <c r="BZ31" s="892" t="str">
        <f t="shared" si="21"/>
        <v>C</v>
      </c>
      <c r="CA31" s="892" t="str">
        <f t="shared" si="22"/>
        <v/>
      </c>
      <c r="CB31" s="892" t="str">
        <f t="shared" si="23"/>
        <v/>
      </c>
      <c r="CC31" s="892" t="str">
        <f t="shared" si="24"/>
        <v/>
      </c>
      <c r="CD31" s="892" t="str">
        <f t="shared" si="25"/>
        <v/>
      </c>
      <c r="CE31" s="892" t="str">
        <f t="shared" si="26"/>
        <v/>
      </c>
      <c r="CF31" s="892" t="str">
        <f t="shared" si="27"/>
        <v/>
      </c>
      <c r="CG31" s="892" t="str">
        <f t="shared" si="28"/>
        <v>E</v>
      </c>
      <c r="CH31" s="891">
        <f>IFERROR(IF($B31&gt;0,PASHEET!AL31+PASHEET!AT31+MARKS!F31+MARKS!N31+MARKS!V31+MARKS!AD31+MARKS!AL31+MARKS!AT31+MARKS!BB31+MARKS!BJ31,""),"Ab")</f>
        <v>32</v>
      </c>
      <c r="CI31" s="891">
        <f>IFERROR(IF($B31&gt;0,PASHEET!AM31+PASHEET!AU31+MARKS!G31+MARKS!O31+MARKS!W31+MARKS!AE31+MARKS!AM31+MARKS!AU31+MARKS!BC31+MARKS!BK31,""),"Ab")</f>
        <v>13</v>
      </c>
      <c r="CJ31" s="891">
        <f>IFERROR(IF($B31&gt;0,PASHEET!AN31+PASHEET!AV31+MARKS!H31+MARKS!P31+MARKS!X31+MARKS!AF31+MARKS!AN31+MARKS!AV31+MARKS!BD31+MARKS!BL31,""),"Ab")</f>
        <v>12</v>
      </c>
      <c r="CK31" s="891">
        <f>IFERROR(IF($B31&gt;0,PASHEET!AO31+PASHEET!AW31+MARKS!I31+MARKS!Q31+MARKS!Y31+MARKS!AG31+MARKS!AO31+MARKS!AW31+MARKS!BE31+MARKS!BM31,""),"Ab")</f>
        <v>14</v>
      </c>
      <c r="CL31" s="891">
        <f>IFERROR(IF($B31&gt;0,PASHEET!AP31+PASHEET!AX31+MARKS!J31+MARKS!R31+MARKS!Z31+MARKS!AH31+MARKS!AP31+MARKS!AX31+MARKS!BF31+MARKS!BN31,""),"Ab")</f>
        <v>16</v>
      </c>
      <c r="CM31" s="891">
        <f>IFERROR(IF($B31&gt;0,PASHEET!AQ31+PASHEET!AY31+MARKS!K31+MARKS!S31+MARKS!AA31+MARKS!AI31+MARKS!AQ31+MARKS!AY31+MARKS!BG31+MARKS!BO31,""),"Ab")</f>
        <v>15</v>
      </c>
      <c r="CN31" s="891">
        <f>IFERROR(IF($B31&gt;0,PASHEET!AR31+PASHEET!AZ31+MARKS!L31+MARKS!T31+MARKS!AB31+MARKS!AJ31+MARKS!AR31+MARKS!AZ31+MARKS!BH31+MARKS!BP31,""),"Ab")</f>
        <v>0</v>
      </c>
      <c r="CO31" s="891">
        <f t="shared" si="29"/>
        <v>102</v>
      </c>
      <c r="CP31" s="893" t="str">
        <f t="shared" si="30"/>
        <v>E</v>
      </c>
      <c r="CQ31" s="893" t="str">
        <f t="shared" si="31"/>
        <v>E</v>
      </c>
      <c r="CR31" s="893" t="str">
        <f t="shared" si="32"/>
        <v>E</v>
      </c>
      <c r="CS31" s="893" t="str">
        <f t="shared" si="33"/>
        <v>E</v>
      </c>
      <c r="CT31" s="893" t="str">
        <f t="shared" si="34"/>
        <v>E</v>
      </c>
      <c r="CU31" s="893" t="str">
        <f t="shared" si="35"/>
        <v>E</v>
      </c>
      <c r="CV31" s="893">
        <f t="shared" si="36"/>
        <v>0</v>
      </c>
      <c r="CW31" s="893" t="str">
        <f t="shared" si="37"/>
        <v>E</v>
      </c>
      <c r="CX31" s="894">
        <f>IFERROR(IF($B31&gt;0,PASHEET!AL31+MARKS!F31+MARKS!N31+MARKS!V31+MARKS!AD31,""),"Ab")</f>
        <v>14</v>
      </c>
      <c r="CY31" s="894">
        <f>IFERROR(IF($B31&gt;0,PASHEET!AM31+MARKS!G31+MARKS!O31+MARKS!W31+MARKS!AE31,""),"Ab")</f>
        <v>13</v>
      </c>
      <c r="CZ31" s="894">
        <f>IFERROR(IF($B31&gt;0,PASHEET!AN31+MARKS!H31+MARKS!P31+MARKS!X31+MARKS!AF31,""),"Ab")</f>
        <v>12</v>
      </c>
      <c r="DA31" s="894">
        <f>IFERROR(IF($B31&gt;0,PASHEET!AO31+MARKS!I31+MARKS!Q31+MARKS!Y31+MARKS!AG31,""),"Ab")</f>
        <v>14</v>
      </c>
      <c r="DB31" s="894">
        <f>IFERROR(IF($B31&gt;0,PASHEET!AP31+MARKS!J31+MARKS!R31+MARKS!Z31+MARKS!AH31,""),"Ab")</f>
        <v>16</v>
      </c>
      <c r="DC31" s="894">
        <f>IFERROR(IF($B31&gt;0,PASHEET!AQ31+MARKS!K31+MARKS!S31+MARKS!AA31+MARKS!AI31,""),"Ab")</f>
        <v>15</v>
      </c>
      <c r="DD31" s="894">
        <f>IFERROR(IF($B31&gt;0,PASHEET!AR31+MARKS!L31+MARKS!T31+MARKS!AB31+MARKS!AJ31,""),"Ab")</f>
        <v>0</v>
      </c>
      <c r="DE31" s="879">
        <f t="shared" si="38"/>
        <v>84</v>
      </c>
      <c r="DF31" s="894" t="str">
        <f t="shared" si="39"/>
        <v>E</v>
      </c>
      <c r="DG31" s="894" t="str">
        <f t="shared" si="40"/>
        <v>E</v>
      </c>
      <c r="DH31" s="894" t="str">
        <f t="shared" si="41"/>
        <v>E</v>
      </c>
      <c r="DI31" s="894" t="str">
        <f t="shared" si="42"/>
        <v>E</v>
      </c>
      <c r="DJ31" s="894" t="str">
        <f t="shared" si="43"/>
        <v>D</v>
      </c>
      <c r="DK31" s="894" t="str">
        <f t="shared" si="44"/>
        <v>E</v>
      </c>
      <c r="DL31" s="894">
        <f t="shared" si="45"/>
        <v>0</v>
      </c>
      <c r="DM31" s="894" t="str">
        <f t="shared" si="46"/>
        <v>E</v>
      </c>
      <c r="DN31" s="894">
        <f>IFERROR(IF($B31&gt;0,PASHEET!AT31+MARKS!AL31+MARKS!AT31+MARKS!BB31+MARKS!BJ31,""),"Ab")</f>
        <v>18</v>
      </c>
      <c r="DO31" s="894">
        <f>IFERROR(IF($B31&gt;0,PASHEET!AU31+MARKS!AM31+MARKS!AU31+MARKS!BC31+MARKS!BK31,""),"Ab")</f>
        <v>0</v>
      </c>
      <c r="DP31" s="894">
        <f>IFERROR(IF($B31&gt;0,PASHEET!AV31+MARKS!AN31+MARKS!AV31+MARKS!BD31+MARKS!BL31,""),"Ab")</f>
        <v>0</v>
      </c>
      <c r="DQ31" s="894">
        <f>IFERROR(IF($B31&gt;0,PASHEET!AW31+MARKS!AO31+MARKS!AW31+MARKS!BE31+MARKS!BM31,""),"Ab")</f>
        <v>0</v>
      </c>
      <c r="DR31" s="894">
        <f>IFERROR(IF($B31&gt;0,PASHEET!AX31+MARKS!AP31+MARKS!AX31+MARKS!BF31+MARKS!BN31,""),"Ab")</f>
        <v>0</v>
      </c>
      <c r="DS31" s="894">
        <f>IFERROR(IF($B31&gt;0,PASHEET!AY31+MARKS!AQ31+MARKS!AY31+MARKS!BG31+MARKS!BO31,""),"Ab")</f>
        <v>0</v>
      </c>
      <c r="DT31" s="894">
        <f>IFERROR(IF($B31&gt;0,PASHEET!AZ31+MARKS!AR31+MARKS!AZ31+MARKS!BH31+MARKS!BP31,""),"Ab")</f>
        <v>0</v>
      </c>
      <c r="DU31" s="879">
        <f t="shared" si="47"/>
        <v>18</v>
      </c>
      <c r="DV31" s="894" t="str">
        <f t="shared" si="48"/>
        <v>D</v>
      </c>
      <c r="DW31" s="894">
        <f t="shared" si="49"/>
        <v>0</v>
      </c>
      <c r="DX31" s="894">
        <f t="shared" si="50"/>
        <v>0</v>
      </c>
      <c r="DY31" s="894">
        <f t="shared" si="51"/>
        <v>0</v>
      </c>
      <c r="DZ31" s="894">
        <f t="shared" si="52"/>
        <v>0</v>
      </c>
      <c r="EA31" s="894">
        <f t="shared" si="53"/>
        <v>0</v>
      </c>
      <c r="EB31" s="894">
        <f t="shared" si="54"/>
        <v>0</v>
      </c>
      <c r="EC31" s="894" t="str">
        <f t="shared" si="55"/>
        <v>E</v>
      </c>
    </row>
    <row r="32" spans="1:133">
      <c r="A32" s="879">
        <v>29</v>
      </c>
      <c r="B32" s="879">
        <f>STUDENT!F30</f>
        <v>15000</v>
      </c>
      <c r="C32" s="879">
        <f>STUDENT!D30</f>
        <v>20250104062</v>
      </c>
      <c r="D32" s="886" t="str">
        <f>STUDENT!E30</f>
        <v>KARTIK</v>
      </c>
      <c r="E32" s="886" t="str">
        <f>STUDENT!H30</f>
        <v>AMAN YADAV</v>
      </c>
      <c r="F32" s="887"/>
      <c r="G32" s="887"/>
      <c r="H32" s="887"/>
      <c r="I32" s="887"/>
      <c r="J32" s="887"/>
      <c r="K32" s="887"/>
      <c r="L32" s="887"/>
      <c r="M32" s="888">
        <f t="shared" si="0"/>
        <v>0</v>
      </c>
      <c r="N32" s="887"/>
      <c r="O32" s="887"/>
      <c r="P32" s="887"/>
      <c r="Q32" s="887"/>
      <c r="R32" s="887"/>
      <c r="S32" s="887"/>
      <c r="T32" s="887"/>
      <c r="U32" s="889">
        <f t="shared" si="7"/>
        <v>0</v>
      </c>
      <c r="V32" s="887"/>
      <c r="W32" s="887"/>
      <c r="X32" s="887"/>
      <c r="Y32" s="887"/>
      <c r="Z32" s="887"/>
      <c r="AA32" s="887"/>
      <c r="AB32" s="887"/>
      <c r="AC32" s="890">
        <f t="shared" si="8"/>
        <v>0</v>
      </c>
      <c r="AD32" s="887">
        <v>14</v>
      </c>
      <c r="AE32" s="887">
        <v>13</v>
      </c>
      <c r="AF32" s="887">
        <v>12</v>
      </c>
      <c r="AG32" s="887">
        <v>13</v>
      </c>
      <c r="AH32" s="887">
        <v>13</v>
      </c>
      <c r="AI32" s="887">
        <v>27</v>
      </c>
      <c r="AJ32" s="887"/>
      <c r="AK32" s="888">
        <f t="shared" si="1"/>
        <v>92</v>
      </c>
      <c r="AL32" s="887"/>
      <c r="AM32" s="887"/>
      <c r="AN32" s="887"/>
      <c r="AO32" s="887"/>
      <c r="AP32" s="887"/>
      <c r="AQ32" s="887"/>
      <c r="AR32" s="887"/>
      <c r="AS32" s="891">
        <f t="shared" si="9"/>
        <v>0</v>
      </c>
      <c r="AT32" s="887"/>
      <c r="AU32" s="887"/>
      <c r="AV32" s="887"/>
      <c r="AW32" s="887"/>
      <c r="AX32" s="887"/>
      <c r="AY32" s="887"/>
      <c r="AZ32" s="887"/>
      <c r="BA32" s="889">
        <f t="shared" si="10"/>
        <v>0</v>
      </c>
      <c r="BB32" s="887"/>
      <c r="BC32" s="887"/>
      <c r="BD32" s="887"/>
      <c r="BE32" s="887"/>
      <c r="BF32" s="887"/>
      <c r="BG32" s="887"/>
      <c r="BH32" s="887"/>
      <c r="BI32" s="890">
        <f t="shared" si="11"/>
        <v>0</v>
      </c>
      <c r="BJ32" s="887">
        <v>23</v>
      </c>
      <c r="BK32" s="887"/>
      <c r="BL32" s="887"/>
      <c r="BM32" s="887"/>
      <c r="BN32" s="887"/>
      <c r="BO32" s="887"/>
      <c r="BP32" s="887"/>
      <c r="BQ32" s="888">
        <f t="shared" si="12"/>
        <v>23</v>
      </c>
      <c r="BR32" s="892" t="str">
        <f t="shared" si="13"/>
        <v>C</v>
      </c>
      <c r="BS32" s="892" t="str">
        <f t="shared" si="14"/>
        <v>C</v>
      </c>
      <c r="BT32" s="892" t="str">
        <f t="shared" si="15"/>
        <v>D</v>
      </c>
      <c r="BU32" s="892" t="str">
        <f t="shared" si="16"/>
        <v>C</v>
      </c>
      <c r="BV32" s="892" t="str">
        <f t="shared" si="17"/>
        <v>C</v>
      </c>
      <c r="BW32" s="892" t="str">
        <f t="shared" si="18"/>
        <v>A</v>
      </c>
      <c r="BX32" s="892" t="str">
        <f t="shared" si="19"/>
        <v/>
      </c>
      <c r="BY32" s="892" t="str">
        <f t="shared" si="20"/>
        <v>C</v>
      </c>
      <c r="BZ32" s="892" t="str">
        <f t="shared" si="21"/>
        <v>C</v>
      </c>
      <c r="CA32" s="892" t="str">
        <f t="shared" si="22"/>
        <v/>
      </c>
      <c r="CB32" s="892" t="str">
        <f t="shared" si="23"/>
        <v/>
      </c>
      <c r="CC32" s="892" t="str">
        <f t="shared" si="24"/>
        <v/>
      </c>
      <c r="CD32" s="892" t="str">
        <f t="shared" si="25"/>
        <v/>
      </c>
      <c r="CE32" s="892" t="str">
        <f t="shared" si="26"/>
        <v/>
      </c>
      <c r="CF32" s="892" t="str">
        <f t="shared" si="27"/>
        <v/>
      </c>
      <c r="CG32" s="892" t="str">
        <f t="shared" si="28"/>
        <v>E</v>
      </c>
      <c r="CH32" s="891">
        <f>IFERROR(IF($B32&gt;0,PASHEET!AL32+PASHEET!AT32+MARKS!F32+MARKS!N32+MARKS!V32+MARKS!AD32+MARKS!AL32+MARKS!AT32+MARKS!BB32+MARKS!BJ32,""),"Ab")</f>
        <v>38</v>
      </c>
      <c r="CI32" s="891">
        <f>IFERROR(IF($B32&gt;0,PASHEET!AM32+PASHEET!AU32+MARKS!G32+MARKS!O32+MARKS!W32+MARKS!AE32+MARKS!AM32+MARKS!AU32+MARKS!BC32+MARKS!BK32,""),"Ab")</f>
        <v>14</v>
      </c>
      <c r="CJ32" s="891">
        <f>IFERROR(IF($B32&gt;0,PASHEET!AN32+PASHEET!AV32+MARKS!H32+MARKS!P32+MARKS!X32+MARKS!AF32+MARKS!AN32+MARKS!AV32+MARKS!BD32+MARKS!BL32,""),"Ab")</f>
        <v>13</v>
      </c>
      <c r="CK32" s="891">
        <f>IFERROR(IF($B32&gt;0,PASHEET!AO32+PASHEET!AW32+MARKS!I32+MARKS!Q32+MARKS!Y32+MARKS!AG32+MARKS!AO32+MARKS!AW32+MARKS!BE32+MARKS!BM32,""),"Ab")</f>
        <v>14</v>
      </c>
      <c r="CL32" s="891">
        <f>IFERROR(IF($B32&gt;0,PASHEET!AP32+PASHEET!AX32+MARKS!J32+MARKS!R32+MARKS!Z32+MARKS!AH32+MARKS!AP32+MARKS!AX32+MARKS!BF32+MARKS!BN32,""),"Ab")</f>
        <v>13</v>
      </c>
      <c r="CM32" s="891">
        <f>IFERROR(IF($B32&gt;0,PASHEET!AQ32+PASHEET!AY32+MARKS!K32+MARKS!S32+MARKS!AA32+MARKS!AI32+MARKS!AQ32+MARKS!AY32+MARKS!BG32+MARKS!BO32,""),"Ab")</f>
        <v>28</v>
      </c>
      <c r="CN32" s="891">
        <f>IFERROR(IF($B32&gt;0,PASHEET!AR32+PASHEET!AZ32+MARKS!L32+MARKS!T32+MARKS!AB32+MARKS!AJ32+MARKS!AR32+MARKS!AZ32+MARKS!BH32+MARKS!BP32,""),"Ab")</f>
        <v>0</v>
      </c>
      <c r="CO32" s="891">
        <f t="shared" si="29"/>
        <v>120</v>
      </c>
      <c r="CP32" s="893" t="str">
        <f t="shared" si="30"/>
        <v>D</v>
      </c>
      <c r="CQ32" s="893" t="str">
        <f t="shared" si="31"/>
        <v>E</v>
      </c>
      <c r="CR32" s="893" t="str">
        <f t="shared" si="32"/>
        <v>E</v>
      </c>
      <c r="CS32" s="893" t="str">
        <f t="shared" si="33"/>
        <v>E</v>
      </c>
      <c r="CT32" s="893" t="str">
        <f t="shared" si="34"/>
        <v>E</v>
      </c>
      <c r="CU32" s="893" t="str">
        <f t="shared" si="35"/>
        <v>E</v>
      </c>
      <c r="CV32" s="893">
        <f t="shared" si="36"/>
        <v>0</v>
      </c>
      <c r="CW32" s="893" t="str">
        <f t="shared" si="37"/>
        <v>E</v>
      </c>
      <c r="CX32" s="894">
        <f>IFERROR(IF($B32&gt;0,PASHEET!AL32+MARKS!F32+MARKS!N32+MARKS!V32+MARKS!AD32,""),"Ab")</f>
        <v>15</v>
      </c>
      <c r="CY32" s="894">
        <f>IFERROR(IF($B32&gt;0,PASHEET!AM32+MARKS!G32+MARKS!O32+MARKS!W32+MARKS!AE32,""),"Ab")</f>
        <v>14</v>
      </c>
      <c r="CZ32" s="894">
        <f>IFERROR(IF($B32&gt;0,PASHEET!AN32+MARKS!H32+MARKS!P32+MARKS!X32+MARKS!AF32,""),"Ab")</f>
        <v>13</v>
      </c>
      <c r="DA32" s="894">
        <f>IFERROR(IF($B32&gt;0,PASHEET!AO32+MARKS!I32+MARKS!Q32+MARKS!Y32+MARKS!AG32,""),"Ab")</f>
        <v>14</v>
      </c>
      <c r="DB32" s="894">
        <f>IFERROR(IF($B32&gt;0,PASHEET!AP32+MARKS!J32+MARKS!R32+MARKS!Z32+MARKS!AH32,""),"Ab")</f>
        <v>13</v>
      </c>
      <c r="DC32" s="894">
        <f>IFERROR(IF($B32&gt;0,PASHEET!AQ32+MARKS!K32+MARKS!S32+MARKS!AA32+MARKS!AI32,""),"Ab")</f>
        <v>28</v>
      </c>
      <c r="DD32" s="894">
        <f>IFERROR(IF($B32&gt;0,PASHEET!AR32+MARKS!L32+MARKS!T32+MARKS!AB32+MARKS!AJ32,""),"Ab")</f>
        <v>0</v>
      </c>
      <c r="DE32" s="879">
        <f t="shared" si="38"/>
        <v>97</v>
      </c>
      <c r="DF32" s="894" t="str">
        <f t="shared" si="39"/>
        <v>E</v>
      </c>
      <c r="DG32" s="894" t="str">
        <f t="shared" si="40"/>
        <v>E</v>
      </c>
      <c r="DH32" s="894" t="str">
        <f t="shared" si="41"/>
        <v>E</v>
      </c>
      <c r="DI32" s="894" t="str">
        <f t="shared" si="42"/>
        <v>E</v>
      </c>
      <c r="DJ32" s="894" t="str">
        <f t="shared" si="43"/>
        <v>E</v>
      </c>
      <c r="DK32" s="894" t="str">
        <f t="shared" si="44"/>
        <v>C</v>
      </c>
      <c r="DL32" s="894">
        <f t="shared" si="45"/>
        <v>0</v>
      </c>
      <c r="DM32" s="894" t="str">
        <f t="shared" si="46"/>
        <v>E</v>
      </c>
      <c r="DN32" s="894">
        <f>IFERROR(IF($B32&gt;0,PASHEET!AT32+MARKS!AL32+MARKS!AT32+MARKS!BB32+MARKS!BJ32,""),"Ab")</f>
        <v>23</v>
      </c>
      <c r="DO32" s="894">
        <f>IFERROR(IF($B32&gt;0,PASHEET!AU32+MARKS!AM32+MARKS!AU32+MARKS!BC32+MARKS!BK32,""),"Ab")</f>
        <v>0</v>
      </c>
      <c r="DP32" s="894">
        <f>IFERROR(IF($B32&gt;0,PASHEET!AV32+MARKS!AN32+MARKS!AV32+MARKS!BD32+MARKS!BL32,""),"Ab")</f>
        <v>0</v>
      </c>
      <c r="DQ32" s="894">
        <f>IFERROR(IF($B32&gt;0,PASHEET!AW32+MARKS!AO32+MARKS!AW32+MARKS!BE32+MARKS!BM32,""),"Ab")</f>
        <v>0</v>
      </c>
      <c r="DR32" s="894">
        <f>IFERROR(IF($B32&gt;0,PASHEET!AX32+MARKS!AP32+MARKS!AX32+MARKS!BF32+MARKS!BN32,""),"Ab")</f>
        <v>0</v>
      </c>
      <c r="DS32" s="894">
        <f>IFERROR(IF($B32&gt;0,PASHEET!AY32+MARKS!AQ32+MARKS!AY32+MARKS!BG32+MARKS!BO32,""),"Ab")</f>
        <v>0</v>
      </c>
      <c r="DT32" s="894">
        <f>IFERROR(IF($B32&gt;0,PASHEET!AZ32+MARKS!AR32+MARKS!AZ32+MARKS!BH32+MARKS!BP32,""),"Ab")</f>
        <v>0</v>
      </c>
      <c r="DU32" s="879">
        <f t="shared" si="47"/>
        <v>23</v>
      </c>
      <c r="DV32" s="894" t="str">
        <f t="shared" si="48"/>
        <v>C</v>
      </c>
      <c r="DW32" s="894">
        <f t="shared" si="49"/>
        <v>0</v>
      </c>
      <c r="DX32" s="894">
        <f t="shared" si="50"/>
        <v>0</v>
      </c>
      <c r="DY32" s="894">
        <f t="shared" si="51"/>
        <v>0</v>
      </c>
      <c r="DZ32" s="894">
        <f t="shared" si="52"/>
        <v>0</v>
      </c>
      <c r="EA32" s="894">
        <f t="shared" si="53"/>
        <v>0</v>
      </c>
      <c r="EB32" s="894">
        <f t="shared" si="54"/>
        <v>0</v>
      </c>
      <c r="EC32" s="894" t="str">
        <f t="shared" si="55"/>
        <v>E</v>
      </c>
    </row>
    <row r="33" spans="1:133">
      <c r="A33" s="879">
        <v>30</v>
      </c>
      <c r="B33" s="879">
        <f>STUDENT!F31</f>
        <v>15022</v>
      </c>
      <c r="C33" s="879">
        <f>STUDENT!D31</f>
        <v>20250141853</v>
      </c>
      <c r="D33" s="886" t="str">
        <f>STUDENT!E31</f>
        <v>AYAN</v>
      </c>
      <c r="E33" s="886" t="str">
        <f>STUDENT!H31</f>
        <v>BABU HASAN</v>
      </c>
      <c r="F33" s="887"/>
      <c r="G33" s="887"/>
      <c r="H33" s="887"/>
      <c r="I33" s="887"/>
      <c r="J33" s="887"/>
      <c r="K33" s="887"/>
      <c r="L33" s="887"/>
      <c r="M33" s="888">
        <f t="shared" si="0"/>
        <v>0</v>
      </c>
      <c r="N33" s="887"/>
      <c r="O33" s="887"/>
      <c r="P33" s="887"/>
      <c r="Q33" s="887"/>
      <c r="R33" s="887"/>
      <c r="S33" s="887"/>
      <c r="T33" s="887"/>
      <c r="U33" s="889">
        <f t="shared" si="7"/>
        <v>0</v>
      </c>
      <c r="V33" s="887"/>
      <c r="W33" s="887"/>
      <c r="X33" s="887"/>
      <c r="Y33" s="887"/>
      <c r="Z33" s="887"/>
      <c r="AA33" s="887"/>
      <c r="AB33" s="887"/>
      <c r="AC33" s="890">
        <f t="shared" si="8"/>
        <v>0</v>
      </c>
      <c r="AD33" s="887">
        <v>29</v>
      </c>
      <c r="AE33" s="887">
        <v>25</v>
      </c>
      <c r="AF33" s="887">
        <v>20</v>
      </c>
      <c r="AG33" s="887">
        <v>26</v>
      </c>
      <c r="AH33" s="887">
        <v>25</v>
      </c>
      <c r="AI33" s="887">
        <v>27</v>
      </c>
      <c r="AJ33" s="887"/>
      <c r="AK33" s="888">
        <f t="shared" si="1"/>
        <v>152</v>
      </c>
      <c r="AL33" s="887"/>
      <c r="AM33" s="887"/>
      <c r="AN33" s="887"/>
      <c r="AO33" s="887"/>
      <c r="AP33" s="887"/>
      <c r="AQ33" s="887"/>
      <c r="AR33" s="887"/>
      <c r="AS33" s="891">
        <f t="shared" si="9"/>
        <v>0</v>
      </c>
      <c r="AT33" s="887"/>
      <c r="AU33" s="887"/>
      <c r="AV33" s="887"/>
      <c r="AW33" s="887"/>
      <c r="AX33" s="887"/>
      <c r="AY33" s="887"/>
      <c r="AZ33" s="887"/>
      <c r="BA33" s="889">
        <f t="shared" si="10"/>
        <v>0</v>
      </c>
      <c r="BB33" s="887"/>
      <c r="BC33" s="887"/>
      <c r="BD33" s="887"/>
      <c r="BE33" s="887"/>
      <c r="BF33" s="887"/>
      <c r="BG33" s="887"/>
      <c r="BH33" s="887"/>
      <c r="BI33" s="890">
        <f t="shared" si="11"/>
        <v>0</v>
      </c>
      <c r="BJ33" s="887">
        <v>23</v>
      </c>
      <c r="BK33" s="887"/>
      <c r="BL33" s="887"/>
      <c r="BM33" s="887"/>
      <c r="BN33" s="887"/>
      <c r="BO33" s="887"/>
      <c r="BP33" s="887"/>
      <c r="BQ33" s="888">
        <f t="shared" si="12"/>
        <v>23</v>
      </c>
      <c r="BR33" s="892" t="str">
        <f t="shared" si="13"/>
        <v>A</v>
      </c>
      <c r="BS33" s="892" t="str">
        <f t="shared" si="14"/>
        <v>A</v>
      </c>
      <c r="BT33" s="892" t="str">
        <f t="shared" si="15"/>
        <v>B</v>
      </c>
      <c r="BU33" s="892" t="str">
        <f t="shared" si="16"/>
        <v>A</v>
      </c>
      <c r="BV33" s="892" t="str">
        <f t="shared" si="17"/>
        <v>A</v>
      </c>
      <c r="BW33" s="892" t="str">
        <f t="shared" si="18"/>
        <v>A</v>
      </c>
      <c r="BX33" s="892" t="str">
        <f t="shared" si="19"/>
        <v/>
      </c>
      <c r="BY33" s="892" t="str">
        <f t="shared" si="20"/>
        <v>A</v>
      </c>
      <c r="BZ33" s="892" t="str">
        <f t="shared" si="21"/>
        <v>C</v>
      </c>
      <c r="CA33" s="892" t="str">
        <f t="shared" si="22"/>
        <v/>
      </c>
      <c r="CB33" s="892" t="str">
        <f t="shared" si="23"/>
        <v/>
      </c>
      <c r="CC33" s="892" t="str">
        <f t="shared" si="24"/>
        <v/>
      </c>
      <c r="CD33" s="892" t="str">
        <f t="shared" si="25"/>
        <v/>
      </c>
      <c r="CE33" s="892" t="str">
        <f t="shared" si="26"/>
        <v/>
      </c>
      <c r="CF33" s="892" t="str">
        <f t="shared" si="27"/>
        <v/>
      </c>
      <c r="CG33" s="892" t="str">
        <f t="shared" si="28"/>
        <v>E</v>
      </c>
      <c r="CH33" s="891">
        <f>IFERROR(IF($B33&gt;0,PASHEET!AL33+PASHEET!AT33+MARKS!F33+MARKS!N33+MARKS!V33+MARKS!AD33+MARKS!AL33+MARKS!AT33+MARKS!BB33+MARKS!BJ33,""),"Ab")</f>
        <v>53</v>
      </c>
      <c r="CI33" s="891">
        <f>IFERROR(IF($B33&gt;0,PASHEET!AM33+PASHEET!AU33+MARKS!G33+MARKS!O33+MARKS!W33+MARKS!AE33+MARKS!AM33+MARKS!AU33+MARKS!BC33+MARKS!BK33,""),"Ab")</f>
        <v>26</v>
      </c>
      <c r="CJ33" s="891">
        <f>IFERROR(IF($B33&gt;0,PASHEET!AN33+PASHEET!AV33+MARKS!H33+MARKS!P33+MARKS!X33+MARKS!AF33+MARKS!AN33+MARKS!AV33+MARKS!BD33+MARKS!BL33,""),"Ab")</f>
        <v>21</v>
      </c>
      <c r="CK33" s="891">
        <f>IFERROR(IF($B33&gt;0,PASHEET!AO33+PASHEET!AW33+MARKS!I33+MARKS!Q33+MARKS!Y33+MARKS!AG33+MARKS!AO33+MARKS!AW33+MARKS!BE33+MARKS!BM33,""),"Ab")</f>
        <v>28</v>
      </c>
      <c r="CL33" s="891">
        <f>IFERROR(IF($B33&gt;0,PASHEET!AP33+PASHEET!AX33+MARKS!J33+MARKS!R33+MARKS!Z33+MARKS!AH33+MARKS!AP33+MARKS!AX33+MARKS!BF33+MARKS!BN33,""),"Ab")</f>
        <v>25</v>
      </c>
      <c r="CM33" s="891">
        <f>IFERROR(IF($B33&gt;0,PASHEET!AQ33+PASHEET!AY33+MARKS!K33+MARKS!S33+MARKS!AA33+MARKS!AI33+MARKS!AQ33+MARKS!AY33+MARKS!BG33+MARKS!BO33,""),"Ab")</f>
        <v>29</v>
      </c>
      <c r="CN33" s="891">
        <f>IFERROR(IF($B33&gt;0,PASHEET!AR33+PASHEET!AZ33+MARKS!L33+MARKS!T33+MARKS!AB33+MARKS!AJ33+MARKS!AR33+MARKS!AZ33+MARKS!BH33+MARKS!BP33,""),"Ab")</f>
        <v>0</v>
      </c>
      <c r="CO33" s="891">
        <f t="shared" si="29"/>
        <v>182</v>
      </c>
      <c r="CP33" s="893" t="str">
        <f t="shared" si="30"/>
        <v>C</v>
      </c>
      <c r="CQ33" s="893" t="str">
        <f t="shared" si="31"/>
        <v>E</v>
      </c>
      <c r="CR33" s="893" t="str">
        <f t="shared" si="32"/>
        <v>E</v>
      </c>
      <c r="CS33" s="893" t="str">
        <f t="shared" si="33"/>
        <v>E</v>
      </c>
      <c r="CT33" s="893" t="str">
        <f t="shared" si="34"/>
        <v>E</v>
      </c>
      <c r="CU33" s="893" t="str">
        <f t="shared" si="35"/>
        <v>E</v>
      </c>
      <c r="CV33" s="893">
        <f t="shared" si="36"/>
        <v>0</v>
      </c>
      <c r="CW33" s="893" t="str">
        <f t="shared" si="37"/>
        <v>E</v>
      </c>
      <c r="CX33" s="894">
        <f>IFERROR(IF($B33&gt;0,PASHEET!AL33+MARKS!F33+MARKS!N33+MARKS!V33+MARKS!AD33,""),"Ab")</f>
        <v>30</v>
      </c>
      <c r="CY33" s="894">
        <f>IFERROR(IF($B33&gt;0,PASHEET!AM33+MARKS!G33+MARKS!O33+MARKS!W33+MARKS!AE33,""),"Ab")</f>
        <v>26</v>
      </c>
      <c r="CZ33" s="894">
        <f>IFERROR(IF($B33&gt;0,PASHEET!AN33+MARKS!H33+MARKS!P33+MARKS!X33+MARKS!AF33,""),"Ab")</f>
        <v>21</v>
      </c>
      <c r="DA33" s="894">
        <f>IFERROR(IF($B33&gt;0,PASHEET!AO33+MARKS!I33+MARKS!Q33+MARKS!Y33+MARKS!AG33,""),"Ab")</f>
        <v>28</v>
      </c>
      <c r="DB33" s="894">
        <f>IFERROR(IF($B33&gt;0,PASHEET!AP33+MARKS!J33+MARKS!R33+MARKS!Z33+MARKS!AH33,""),"Ab")</f>
        <v>25</v>
      </c>
      <c r="DC33" s="894">
        <f>IFERROR(IF($B33&gt;0,PASHEET!AQ33+MARKS!K33+MARKS!S33+MARKS!AA33+MARKS!AI33,""),"Ab")</f>
        <v>29</v>
      </c>
      <c r="DD33" s="894">
        <f>IFERROR(IF($B33&gt;0,PASHEET!AR33+MARKS!L33+MARKS!T33+MARKS!AB33+MARKS!AJ33,""),"Ab")</f>
        <v>0</v>
      </c>
      <c r="DE33" s="879">
        <f t="shared" si="38"/>
        <v>159</v>
      </c>
      <c r="DF33" s="894" t="str">
        <f t="shared" si="39"/>
        <v>C</v>
      </c>
      <c r="DG33" s="894" t="str">
        <f t="shared" si="40"/>
        <v>C</v>
      </c>
      <c r="DH33" s="894" t="str">
        <f t="shared" si="41"/>
        <v>D</v>
      </c>
      <c r="DI33" s="894" t="str">
        <f t="shared" si="42"/>
        <v>C</v>
      </c>
      <c r="DJ33" s="894" t="str">
        <f t="shared" si="43"/>
        <v>C</v>
      </c>
      <c r="DK33" s="894" t="str">
        <f t="shared" si="44"/>
        <v>C</v>
      </c>
      <c r="DL33" s="894">
        <f t="shared" si="45"/>
        <v>0</v>
      </c>
      <c r="DM33" s="894" t="str">
        <f t="shared" si="46"/>
        <v>C</v>
      </c>
      <c r="DN33" s="894">
        <f>IFERROR(IF($B33&gt;0,PASHEET!AT33+MARKS!AL33+MARKS!AT33+MARKS!BB33+MARKS!BJ33,""),"Ab")</f>
        <v>23</v>
      </c>
      <c r="DO33" s="894">
        <f>IFERROR(IF($B33&gt;0,PASHEET!AU33+MARKS!AM33+MARKS!AU33+MARKS!BC33+MARKS!BK33,""),"Ab")</f>
        <v>0</v>
      </c>
      <c r="DP33" s="894">
        <f>IFERROR(IF($B33&gt;0,PASHEET!AV33+MARKS!AN33+MARKS!AV33+MARKS!BD33+MARKS!BL33,""),"Ab")</f>
        <v>0</v>
      </c>
      <c r="DQ33" s="894">
        <f>IFERROR(IF($B33&gt;0,PASHEET!AW33+MARKS!AO33+MARKS!AW33+MARKS!BE33+MARKS!BM33,""),"Ab")</f>
        <v>0</v>
      </c>
      <c r="DR33" s="894">
        <f>IFERROR(IF($B33&gt;0,PASHEET!AX33+MARKS!AP33+MARKS!AX33+MARKS!BF33+MARKS!BN33,""),"Ab")</f>
        <v>0</v>
      </c>
      <c r="DS33" s="894">
        <f>IFERROR(IF($B33&gt;0,PASHEET!AY33+MARKS!AQ33+MARKS!AY33+MARKS!BG33+MARKS!BO33,""),"Ab")</f>
        <v>0</v>
      </c>
      <c r="DT33" s="894">
        <f>IFERROR(IF($B33&gt;0,PASHEET!AZ33+MARKS!AR33+MARKS!AZ33+MARKS!BH33+MARKS!BP33,""),"Ab")</f>
        <v>0</v>
      </c>
      <c r="DU33" s="879">
        <f t="shared" si="47"/>
        <v>23</v>
      </c>
      <c r="DV33" s="894" t="str">
        <f t="shared" si="48"/>
        <v>C</v>
      </c>
      <c r="DW33" s="894">
        <f t="shared" si="49"/>
        <v>0</v>
      </c>
      <c r="DX33" s="894">
        <f t="shared" si="50"/>
        <v>0</v>
      </c>
      <c r="DY33" s="894">
        <f t="shared" si="51"/>
        <v>0</v>
      </c>
      <c r="DZ33" s="894">
        <f t="shared" si="52"/>
        <v>0</v>
      </c>
      <c r="EA33" s="894">
        <f t="shared" si="53"/>
        <v>0</v>
      </c>
      <c r="EB33" s="894">
        <f t="shared" si="54"/>
        <v>0</v>
      </c>
      <c r="EC33" s="894" t="str">
        <f t="shared" si="55"/>
        <v>E</v>
      </c>
    </row>
    <row r="34" spans="1:133">
      <c r="A34" s="879">
        <v>31</v>
      </c>
      <c r="B34" s="879">
        <f>STUDENT!F32</f>
        <v>15034</v>
      </c>
      <c r="C34" s="879">
        <f>STUDENT!D32</f>
        <v>20250188568</v>
      </c>
      <c r="D34" s="886" t="str">
        <f>STUDENT!E32</f>
        <v>RAM CHANDER KUMAR</v>
      </c>
      <c r="E34" s="886" t="str">
        <f>STUDENT!H32</f>
        <v>AKASH SHARMA</v>
      </c>
      <c r="F34" s="887"/>
      <c r="G34" s="887"/>
      <c r="H34" s="887"/>
      <c r="I34" s="887"/>
      <c r="J34" s="887"/>
      <c r="K34" s="887"/>
      <c r="L34" s="887"/>
      <c r="M34" s="888">
        <f t="shared" si="0"/>
        <v>0</v>
      </c>
      <c r="N34" s="887"/>
      <c r="O34" s="887"/>
      <c r="P34" s="887"/>
      <c r="Q34" s="887"/>
      <c r="R34" s="887"/>
      <c r="S34" s="887"/>
      <c r="T34" s="887"/>
      <c r="U34" s="889">
        <f t="shared" si="7"/>
        <v>0</v>
      </c>
      <c r="V34" s="887"/>
      <c r="W34" s="887"/>
      <c r="X34" s="887"/>
      <c r="Y34" s="887"/>
      <c r="Z34" s="887"/>
      <c r="AA34" s="887"/>
      <c r="AB34" s="887"/>
      <c r="AC34" s="890">
        <f t="shared" si="8"/>
        <v>0</v>
      </c>
      <c r="AD34" s="887">
        <v>11</v>
      </c>
      <c r="AE34" s="887">
        <v>15</v>
      </c>
      <c r="AF34" s="887">
        <v>15</v>
      </c>
      <c r="AG34" s="887">
        <v>16</v>
      </c>
      <c r="AH34" s="887">
        <v>15</v>
      </c>
      <c r="AI34" s="887">
        <v>17</v>
      </c>
      <c r="AJ34" s="887"/>
      <c r="AK34" s="888">
        <f t="shared" si="1"/>
        <v>89</v>
      </c>
      <c r="AL34" s="887"/>
      <c r="AM34" s="887"/>
      <c r="AN34" s="887"/>
      <c r="AO34" s="887"/>
      <c r="AP34" s="887"/>
      <c r="AQ34" s="887"/>
      <c r="AR34" s="887"/>
      <c r="AS34" s="891">
        <f t="shared" si="9"/>
        <v>0</v>
      </c>
      <c r="AT34" s="887"/>
      <c r="AU34" s="887"/>
      <c r="AV34" s="887"/>
      <c r="AW34" s="887"/>
      <c r="AX34" s="887"/>
      <c r="AY34" s="887"/>
      <c r="AZ34" s="887"/>
      <c r="BA34" s="889">
        <f t="shared" si="10"/>
        <v>0</v>
      </c>
      <c r="BB34" s="887"/>
      <c r="BC34" s="887"/>
      <c r="BD34" s="887"/>
      <c r="BE34" s="887"/>
      <c r="BF34" s="887"/>
      <c r="BG34" s="887"/>
      <c r="BH34" s="887"/>
      <c r="BI34" s="890">
        <f t="shared" si="11"/>
        <v>0</v>
      </c>
      <c r="BJ34" s="887">
        <v>23</v>
      </c>
      <c r="BK34" s="887"/>
      <c r="BL34" s="887"/>
      <c r="BM34" s="887"/>
      <c r="BN34" s="887"/>
      <c r="BO34" s="887"/>
      <c r="BP34" s="887"/>
      <c r="BQ34" s="888">
        <f t="shared" si="12"/>
        <v>23</v>
      </c>
      <c r="BR34" s="892" t="str">
        <f t="shared" si="13"/>
        <v>D</v>
      </c>
      <c r="BS34" s="892" t="str">
        <f t="shared" si="14"/>
        <v>C</v>
      </c>
      <c r="BT34" s="892" t="str">
        <f t="shared" si="15"/>
        <v>C</v>
      </c>
      <c r="BU34" s="892" t="str">
        <f t="shared" si="16"/>
        <v>C</v>
      </c>
      <c r="BV34" s="892" t="str">
        <f t="shared" si="17"/>
        <v>C</v>
      </c>
      <c r="BW34" s="892" t="str">
        <f t="shared" si="18"/>
        <v>C</v>
      </c>
      <c r="BX34" s="892" t="str">
        <f t="shared" si="19"/>
        <v/>
      </c>
      <c r="BY34" s="892" t="str">
        <f t="shared" si="20"/>
        <v>C</v>
      </c>
      <c r="BZ34" s="892" t="str">
        <f t="shared" si="21"/>
        <v>C</v>
      </c>
      <c r="CA34" s="892" t="str">
        <f t="shared" si="22"/>
        <v/>
      </c>
      <c r="CB34" s="892" t="str">
        <f t="shared" si="23"/>
        <v/>
      </c>
      <c r="CC34" s="892" t="str">
        <f t="shared" si="24"/>
        <v/>
      </c>
      <c r="CD34" s="892" t="str">
        <f t="shared" si="25"/>
        <v/>
      </c>
      <c r="CE34" s="892" t="str">
        <f t="shared" si="26"/>
        <v/>
      </c>
      <c r="CF34" s="892" t="str">
        <f t="shared" si="27"/>
        <v/>
      </c>
      <c r="CG34" s="892" t="str">
        <f t="shared" si="28"/>
        <v>E</v>
      </c>
      <c r="CH34" s="891">
        <f>IFERROR(IF($B34&gt;0,PASHEET!AL34+PASHEET!AT34+MARKS!F34+MARKS!N34+MARKS!V34+MARKS!AD34+MARKS!AL34+MARKS!AT34+MARKS!BB34+MARKS!BJ34,""),"Ab")</f>
        <v>35</v>
      </c>
      <c r="CI34" s="891">
        <f>IFERROR(IF($B34&gt;0,PASHEET!AM34+PASHEET!AU34+MARKS!G34+MARKS!O34+MARKS!W34+MARKS!AE34+MARKS!AM34+MARKS!AU34+MARKS!BC34+MARKS!BK34,""),"Ab")</f>
        <v>16</v>
      </c>
      <c r="CJ34" s="891">
        <f>IFERROR(IF($B34&gt;0,PASHEET!AN34+PASHEET!AV34+MARKS!H34+MARKS!P34+MARKS!X34+MARKS!AF34+MARKS!AN34+MARKS!AV34+MARKS!BD34+MARKS!BL34,""),"Ab")</f>
        <v>16</v>
      </c>
      <c r="CK34" s="891">
        <f>IFERROR(IF($B34&gt;0,PASHEET!AO34+PASHEET!AW34+MARKS!I34+MARKS!Q34+MARKS!Y34+MARKS!AG34+MARKS!AO34+MARKS!AW34+MARKS!BE34+MARKS!BM34,""),"Ab")</f>
        <v>17</v>
      </c>
      <c r="CL34" s="891">
        <f>IFERROR(IF($B34&gt;0,PASHEET!AP34+PASHEET!AX34+MARKS!J34+MARKS!R34+MARKS!Z34+MARKS!AH34+MARKS!AP34+MARKS!AX34+MARKS!BF34+MARKS!BN34,""),"Ab")</f>
        <v>15</v>
      </c>
      <c r="CM34" s="891">
        <f>IFERROR(IF($B34&gt;0,PASHEET!AQ34+PASHEET!AY34+MARKS!K34+MARKS!S34+MARKS!AA34+MARKS!AI34+MARKS!AQ34+MARKS!AY34+MARKS!BG34+MARKS!BO34,""),"Ab")</f>
        <v>19</v>
      </c>
      <c r="CN34" s="891">
        <f>IFERROR(IF($B34&gt;0,PASHEET!AR34+PASHEET!AZ34+MARKS!L34+MARKS!T34+MARKS!AB34+MARKS!AJ34+MARKS!AR34+MARKS!AZ34+MARKS!BH34+MARKS!BP34,""),"Ab")</f>
        <v>0</v>
      </c>
      <c r="CO34" s="891">
        <f t="shared" si="29"/>
        <v>118</v>
      </c>
      <c r="CP34" s="893" t="str">
        <f t="shared" si="30"/>
        <v>D</v>
      </c>
      <c r="CQ34" s="893" t="str">
        <f t="shared" si="31"/>
        <v>E</v>
      </c>
      <c r="CR34" s="893" t="str">
        <f t="shared" si="32"/>
        <v>E</v>
      </c>
      <c r="CS34" s="893" t="str">
        <f t="shared" si="33"/>
        <v>E</v>
      </c>
      <c r="CT34" s="893" t="str">
        <f t="shared" si="34"/>
        <v>E</v>
      </c>
      <c r="CU34" s="893" t="str">
        <f t="shared" si="35"/>
        <v>E</v>
      </c>
      <c r="CV34" s="893">
        <f t="shared" si="36"/>
        <v>0</v>
      </c>
      <c r="CW34" s="893" t="str">
        <f t="shared" si="37"/>
        <v>E</v>
      </c>
      <c r="CX34" s="894">
        <f>IFERROR(IF($B34&gt;0,PASHEET!AL34+MARKS!F34+MARKS!N34+MARKS!V34+MARKS!AD34,""),"Ab")</f>
        <v>12</v>
      </c>
      <c r="CY34" s="894">
        <f>IFERROR(IF($B34&gt;0,PASHEET!AM34+MARKS!G34+MARKS!O34+MARKS!W34+MARKS!AE34,""),"Ab")</f>
        <v>16</v>
      </c>
      <c r="CZ34" s="894">
        <f>IFERROR(IF($B34&gt;0,PASHEET!AN34+MARKS!H34+MARKS!P34+MARKS!X34+MARKS!AF34,""),"Ab")</f>
        <v>16</v>
      </c>
      <c r="DA34" s="894">
        <f>IFERROR(IF($B34&gt;0,PASHEET!AO34+MARKS!I34+MARKS!Q34+MARKS!Y34+MARKS!AG34,""),"Ab")</f>
        <v>17</v>
      </c>
      <c r="DB34" s="894">
        <f>IFERROR(IF($B34&gt;0,PASHEET!AP34+MARKS!J34+MARKS!R34+MARKS!Z34+MARKS!AH34,""),"Ab")</f>
        <v>15</v>
      </c>
      <c r="DC34" s="894">
        <f>IFERROR(IF($B34&gt;0,PASHEET!AQ34+MARKS!K34+MARKS!S34+MARKS!AA34+MARKS!AI34,""),"Ab")</f>
        <v>19</v>
      </c>
      <c r="DD34" s="894">
        <f>IFERROR(IF($B34&gt;0,PASHEET!AR34+MARKS!L34+MARKS!T34+MARKS!AB34+MARKS!AJ34,""),"Ab")</f>
        <v>0</v>
      </c>
      <c r="DE34" s="879">
        <f t="shared" si="38"/>
        <v>95</v>
      </c>
      <c r="DF34" s="894" t="str">
        <f t="shared" si="39"/>
        <v>E</v>
      </c>
      <c r="DG34" s="894" t="str">
        <f t="shared" si="40"/>
        <v>D</v>
      </c>
      <c r="DH34" s="894" t="str">
        <f t="shared" si="41"/>
        <v>D</v>
      </c>
      <c r="DI34" s="894" t="str">
        <f t="shared" si="42"/>
        <v>D</v>
      </c>
      <c r="DJ34" s="894" t="str">
        <f t="shared" si="43"/>
        <v>E</v>
      </c>
      <c r="DK34" s="894" t="str">
        <f t="shared" si="44"/>
        <v>D</v>
      </c>
      <c r="DL34" s="894">
        <f t="shared" si="45"/>
        <v>0</v>
      </c>
      <c r="DM34" s="894" t="str">
        <f t="shared" si="46"/>
        <v>E</v>
      </c>
      <c r="DN34" s="894">
        <f>IFERROR(IF($B34&gt;0,PASHEET!AT34+MARKS!AL34+MARKS!AT34+MARKS!BB34+MARKS!BJ34,""),"Ab")</f>
        <v>23</v>
      </c>
      <c r="DO34" s="894">
        <f>IFERROR(IF($B34&gt;0,PASHEET!AU34+MARKS!AM34+MARKS!AU34+MARKS!BC34+MARKS!BK34,""),"Ab")</f>
        <v>0</v>
      </c>
      <c r="DP34" s="894">
        <f>IFERROR(IF($B34&gt;0,PASHEET!AV34+MARKS!AN34+MARKS!AV34+MARKS!BD34+MARKS!BL34,""),"Ab")</f>
        <v>0</v>
      </c>
      <c r="DQ34" s="894">
        <f>IFERROR(IF($B34&gt;0,PASHEET!AW34+MARKS!AO34+MARKS!AW34+MARKS!BE34+MARKS!BM34,""),"Ab")</f>
        <v>0</v>
      </c>
      <c r="DR34" s="894">
        <f>IFERROR(IF($B34&gt;0,PASHEET!AX34+MARKS!AP34+MARKS!AX34+MARKS!BF34+MARKS!BN34,""),"Ab")</f>
        <v>0</v>
      </c>
      <c r="DS34" s="894">
        <f>IFERROR(IF($B34&gt;0,PASHEET!AY34+MARKS!AQ34+MARKS!AY34+MARKS!BG34+MARKS!BO34,""),"Ab")</f>
        <v>0</v>
      </c>
      <c r="DT34" s="894">
        <f>IFERROR(IF($B34&gt;0,PASHEET!AZ34+MARKS!AR34+MARKS!AZ34+MARKS!BH34+MARKS!BP34,""),"Ab")</f>
        <v>0</v>
      </c>
      <c r="DU34" s="879">
        <f t="shared" si="47"/>
        <v>23</v>
      </c>
      <c r="DV34" s="894" t="str">
        <f t="shared" si="48"/>
        <v>C</v>
      </c>
      <c r="DW34" s="894">
        <f t="shared" si="49"/>
        <v>0</v>
      </c>
      <c r="DX34" s="894">
        <f t="shared" si="50"/>
        <v>0</v>
      </c>
      <c r="DY34" s="894">
        <f t="shared" si="51"/>
        <v>0</v>
      </c>
      <c r="DZ34" s="894">
        <f t="shared" si="52"/>
        <v>0</v>
      </c>
      <c r="EA34" s="894">
        <f t="shared" si="53"/>
        <v>0</v>
      </c>
      <c r="EB34" s="894">
        <f t="shared" si="54"/>
        <v>0</v>
      </c>
      <c r="EC34" s="894" t="str">
        <f t="shared" si="55"/>
        <v>E</v>
      </c>
    </row>
    <row r="35" spans="1:133">
      <c r="A35" s="879">
        <v>32</v>
      </c>
      <c r="B35" s="879">
        <f>STUDENT!F33</f>
        <v>15035</v>
      </c>
      <c r="C35" s="879">
        <f>STUDENT!D33</f>
        <v>20250188626</v>
      </c>
      <c r="D35" s="886" t="str">
        <f>STUDENT!E33</f>
        <v>HARSHIT</v>
      </c>
      <c r="E35" s="886" t="str">
        <f>STUDENT!H33</f>
        <v>ANKIT SINGH</v>
      </c>
      <c r="F35" s="887"/>
      <c r="G35" s="887"/>
      <c r="H35" s="887"/>
      <c r="I35" s="887"/>
      <c r="J35" s="887"/>
      <c r="K35" s="887"/>
      <c r="L35" s="887"/>
      <c r="M35" s="888">
        <f t="shared" si="0"/>
        <v>0</v>
      </c>
      <c r="N35" s="887"/>
      <c r="O35" s="887"/>
      <c r="P35" s="887"/>
      <c r="Q35" s="887"/>
      <c r="R35" s="887"/>
      <c r="S35" s="887"/>
      <c r="T35" s="887"/>
      <c r="U35" s="889">
        <f t="shared" si="7"/>
        <v>0</v>
      </c>
      <c r="V35" s="887"/>
      <c r="W35" s="887"/>
      <c r="X35" s="887"/>
      <c r="Y35" s="887"/>
      <c r="Z35" s="887"/>
      <c r="AA35" s="887"/>
      <c r="AB35" s="887"/>
      <c r="AC35" s="890">
        <f t="shared" si="8"/>
        <v>0</v>
      </c>
      <c r="AD35" s="887">
        <v>26</v>
      </c>
      <c r="AE35" s="887">
        <v>26</v>
      </c>
      <c r="AF35" s="887">
        <v>26</v>
      </c>
      <c r="AG35" s="887">
        <v>28</v>
      </c>
      <c r="AH35" s="887">
        <v>25</v>
      </c>
      <c r="AI35" s="887">
        <v>28</v>
      </c>
      <c r="AJ35" s="887"/>
      <c r="AK35" s="888">
        <f t="shared" si="1"/>
        <v>159</v>
      </c>
      <c r="AL35" s="887"/>
      <c r="AM35" s="887"/>
      <c r="AN35" s="887"/>
      <c r="AO35" s="887"/>
      <c r="AP35" s="887"/>
      <c r="AQ35" s="887"/>
      <c r="AR35" s="887"/>
      <c r="AS35" s="891">
        <f t="shared" si="9"/>
        <v>0</v>
      </c>
      <c r="AT35" s="887"/>
      <c r="AU35" s="887"/>
      <c r="AV35" s="887"/>
      <c r="AW35" s="887"/>
      <c r="AX35" s="887"/>
      <c r="AY35" s="887"/>
      <c r="AZ35" s="887"/>
      <c r="BA35" s="889">
        <f t="shared" si="10"/>
        <v>0</v>
      </c>
      <c r="BB35" s="887"/>
      <c r="BC35" s="887"/>
      <c r="BD35" s="887"/>
      <c r="BE35" s="887"/>
      <c r="BF35" s="887"/>
      <c r="BG35" s="887"/>
      <c r="BH35" s="887"/>
      <c r="BI35" s="890">
        <f t="shared" si="11"/>
        <v>0</v>
      </c>
      <c r="BJ35" s="887">
        <v>30</v>
      </c>
      <c r="BK35" s="887"/>
      <c r="BL35" s="887"/>
      <c r="BM35" s="887"/>
      <c r="BN35" s="887"/>
      <c r="BO35" s="887"/>
      <c r="BP35" s="887"/>
      <c r="BQ35" s="888">
        <f t="shared" si="12"/>
        <v>30</v>
      </c>
      <c r="BR35" s="892" t="str">
        <f t="shared" si="13"/>
        <v>A</v>
      </c>
      <c r="BS35" s="892" t="str">
        <f t="shared" si="14"/>
        <v>A</v>
      </c>
      <c r="BT35" s="892" t="str">
        <f t="shared" si="15"/>
        <v>A</v>
      </c>
      <c r="BU35" s="892" t="str">
        <f t="shared" si="16"/>
        <v>A</v>
      </c>
      <c r="BV35" s="892" t="str">
        <f t="shared" si="17"/>
        <v>A</v>
      </c>
      <c r="BW35" s="892" t="str">
        <f t="shared" si="18"/>
        <v>A</v>
      </c>
      <c r="BX35" s="892" t="str">
        <f t="shared" si="19"/>
        <v/>
      </c>
      <c r="BY35" s="892" t="str">
        <f t="shared" si="20"/>
        <v>A</v>
      </c>
      <c r="BZ35" s="892" t="str">
        <f t="shared" si="21"/>
        <v>A</v>
      </c>
      <c r="CA35" s="892" t="str">
        <f t="shared" si="22"/>
        <v/>
      </c>
      <c r="CB35" s="892" t="str">
        <f t="shared" si="23"/>
        <v/>
      </c>
      <c r="CC35" s="892" t="str">
        <f t="shared" si="24"/>
        <v/>
      </c>
      <c r="CD35" s="892" t="str">
        <f t="shared" si="25"/>
        <v/>
      </c>
      <c r="CE35" s="892" t="str">
        <f t="shared" si="26"/>
        <v/>
      </c>
      <c r="CF35" s="892" t="str">
        <f t="shared" si="27"/>
        <v/>
      </c>
      <c r="CG35" s="892" t="str">
        <f t="shared" si="28"/>
        <v>E</v>
      </c>
      <c r="CH35" s="891">
        <f>IFERROR(IF($B35&gt;0,PASHEET!AL35+PASHEET!AT35+MARKS!F35+MARKS!N35+MARKS!V35+MARKS!AD35+MARKS!AL35+MARKS!AT35+MARKS!BB35+MARKS!BJ35,""),"Ab")</f>
        <v>58</v>
      </c>
      <c r="CI35" s="891">
        <f>IFERROR(IF($B35&gt;0,PASHEET!AM35+PASHEET!AU35+MARKS!G35+MARKS!O35+MARKS!W35+MARKS!AE35+MARKS!AM35+MARKS!AU35+MARKS!BC35+MARKS!BK35,""),"Ab")</f>
        <v>28</v>
      </c>
      <c r="CJ35" s="891">
        <f>IFERROR(IF($B35&gt;0,PASHEET!AN35+PASHEET!AV35+MARKS!H35+MARKS!P35+MARKS!X35+MARKS!AF35+MARKS!AN35+MARKS!AV35+MARKS!BD35+MARKS!BL35,""),"Ab")</f>
        <v>28</v>
      </c>
      <c r="CK35" s="891">
        <f>IFERROR(IF($B35&gt;0,PASHEET!AO35+PASHEET!AW35+MARKS!I35+MARKS!Q35+MARKS!Y35+MARKS!AG35+MARKS!AO35+MARKS!AW35+MARKS!BE35+MARKS!BM35,""),"Ab")</f>
        <v>30</v>
      </c>
      <c r="CL35" s="891">
        <f>IFERROR(IF($B35&gt;0,PASHEET!AP35+PASHEET!AX35+MARKS!J35+MARKS!R35+MARKS!Z35+MARKS!AH35+MARKS!AP35+MARKS!AX35+MARKS!BF35+MARKS!BN35,""),"Ab")</f>
        <v>25</v>
      </c>
      <c r="CM35" s="891">
        <f>IFERROR(IF($B35&gt;0,PASHEET!AQ35+PASHEET!AY35+MARKS!K35+MARKS!S35+MARKS!AA35+MARKS!AI35+MARKS!AQ35+MARKS!AY35+MARKS!BG35+MARKS!BO35,""),"Ab")</f>
        <v>30</v>
      </c>
      <c r="CN35" s="891">
        <f>IFERROR(IF($B35&gt;0,PASHEET!AR35+PASHEET!AZ35+MARKS!L35+MARKS!T35+MARKS!AB35+MARKS!AJ35+MARKS!AR35+MARKS!AZ35+MARKS!BH35+MARKS!BP35,""),"Ab")</f>
        <v>0</v>
      </c>
      <c r="CO35" s="891">
        <f t="shared" si="29"/>
        <v>199</v>
      </c>
      <c r="CP35" s="893" t="str">
        <f t="shared" si="30"/>
        <v>C</v>
      </c>
      <c r="CQ35" s="893" t="str">
        <f t="shared" si="31"/>
        <v>E</v>
      </c>
      <c r="CR35" s="893" t="str">
        <f t="shared" si="32"/>
        <v>E</v>
      </c>
      <c r="CS35" s="893" t="str">
        <f t="shared" si="33"/>
        <v>E</v>
      </c>
      <c r="CT35" s="893" t="str">
        <f t="shared" si="34"/>
        <v>E</v>
      </c>
      <c r="CU35" s="893" t="str">
        <f t="shared" si="35"/>
        <v>E</v>
      </c>
      <c r="CV35" s="893">
        <f t="shared" si="36"/>
        <v>0</v>
      </c>
      <c r="CW35" s="893" t="str">
        <f t="shared" si="37"/>
        <v>D</v>
      </c>
      <c r="CX35" s="894">
        <f>IFERROR(IF($B35&gt;0,PASHEET!AL35+MARKS!F35+MARKS!N35+MARKS!V35+MARKS!AD35,""),"Ab")</f>
        <v>28</v>
      </c>
      <c r="CY35" s="894">
        <f>IFERROR(IF($B35&gt;0,PASHEET!AM35+MARKS!G35+MARKS!O35+MARKS!W35+MARKS!AE35,""),"Ab")</f>
        <v>28</v>
      </c>
      <c r="CZ35" s="894">
        <f>IFERROR(IF($B35&gt;0,PASHEET!AN35+MARKS!H35+MARKS!P35+MARKS!X35+MARKS!AF35,""),"Ab")</f>
        <v>28</v>
      </c>
      <c r="DA35" s="894">
        <f>IFERROR(IF($B35&gt;0,PASHEET!AO35+MARKS!I35+MARKS!Q35+MARKS!Y35+MARKS!AG35,""),"Ab")</f>
        <v>30</v>
      </c>
      <c r="DB35" s="894">
        <f>IFERROR(IF($B35&gt;0,PASHEET!AP35+MARKS!J35+MARKS!R35+MARKS!Z35+MARKS!AH35,""),"Ab")</f>
        <v>25</v>
      </c>
      <c r="DC35" s="894">
        <f>IFERROR(IF($B35&gt;0,PASHEET!AQ35+MARKS!K35+MARKS!S35+MARKS!AA35+MARKS!AI35,""),"Ab")</f>
        <v>30</v>
      </c>
      <c r="DD35" s="894">
        <f>IFERROR(IF($B35&gt;0,PASHEET!AR35+MARKS!L35+MARKS!T35+MARKS!AB35+MARKS!AJ35,""),"Ab")</f>
        <v>0</v>
      </c>
      <c r="DE35" s="879">
        <f t="shared" si="38"/>
        <v>169</v>
      </c>
      <c r="DF35" s="894" t="str">
        <f t="shared" si="39"/>
        <v>C</v>
      </c>
      <c r="DG35" s="894" t="str">
        <f t="shared" si="40"/>
        <v>C</v>
      </c>
      <c r="DH35" s="894" t="str">
        <f t="shared" si="41"/>
        <v>C</v>
      </c>
      <c r="DI35" s="894" t="str">
        <f t="shared" si="42"/>
        <v>C</v>
      </c>
      <c r="DJ35" s="894" t="str">
        <f t="shared" si="43"/>
        <v>C</v>
      </c>
      <c r="DK35" s="894" t="str">
        <f t="shared" si="44"/>
        <v>C</v>
      </c>
      <c r="DL35" s="894">
        <f t="shared" si="45"/>
        <v>0</v>
      </c>
      <c r="DM35" s="894" t="str">
        <f t="shared" si="46"/>
        <v>C</v>
      </c>
      <c r="DN35" s="894">
        <f>IFERROR(IF($B35&gt;0,PASHEET!AT35+MARKS!AL35+MARKS!AT35+MARKS!BB35+MARKS!BJ35,""),"Ab")</f>
        <v>30</v>
      </c>
      <c r="DO35" s="894">
        <f>IFERROR(IF($B35&gt;0,PASHEET!AU35+MARKS!AM35+MARKS!AU35+MARKS!BC35+MARKS!BK35,""),"Ab")</f>
        <v>0</v>
      </c>
      <c r="DP35" s="894">
        <f>IFERROR(IF($B35&gt;0,PASHEET!AV35+MARKS!AN35+MARKS!AV35+MARKS!BD35+MARKS!BL35,""),"Ab")</f>
        <v>0</v>
      </c>
      <c r="DQ35" s="894">
        <f>IFERROR(IF($B35&gt;0,PASHEET!AW35+MARKS!AO35+MARKS!AW35+MARKS!BE35+MARKS!BM35,""),"Ab")</f>
        <v>0</v>
      </c>
      <c r="DR35" s="894">
        <f>IFERROR(IF($B35&gt;0,PASHEET!AX35+MARKS!AP35+MARKS!AX35+MARKS!BF35+MARKS!BN35,""),"Ab")</f>
        <v>0</v>
      </c>
      <c r="DS35" s="894">
        <f>IFERROR(IF($B35&gt;0,PASHEET!AY35+MARKS!AQ35+MARKS!AY35+MARKS!BG35+MARKS!BO35,""),"Ab")</f>
        <v>0</v>
      </c>
      <c r="DT35" s="894">
        <f>IFERROR(IF($B35&gt;0,PASHEET!AZ35+MARKS!AR35+MARKS!AZ35+MARKS!BH35+MARKS!BP35,""),"Ab")</f>
        <v>0</v>
      </c>
      <c r="DU35" s="879">
        <f t="shared" si="47"/>
        <v>30</v>
      </c>
      <c r="DV35" s="894" t="str">
        <f t="shared" si="48"/>
        <v>C</v>
      </c>
      <c r="DW35" s="894">
        <f t="shared" si="49"/>
        <v>0</v>
      </c>
      <c r="DX35" s="894">
        <f t="shared" si="50"/>
        <v>0</v>
      </c>
      <c r="DY35" s="894">
        <f t="shared" si="51"/>
        <v>0</v>
      </c>
      <c r="DZ35" s="894">
        <f t="shared" si="52"/>
        <v>0</v>
      </c>
      <c r="EA35" s="894">
        <f t="shared" si="53"/>
        <v>0</v>
      </c>
      <c r="EB35" s="894">
        <f t="shared" si="54"/>
        <v>0</v>
      </c>
      <c r="EC35" s="894" t="str">
        <f t="shared" si="55"/>
        <v>E</v>
      </c>
    </row>
    <row r="36" spans="1:133">
      <c r="A36" s="879">
        <v>33</v>
      </c>
      <c r="B36" s="879">
        <f>STUDENT!F34</f>
        <v>15077</v>
      </c>
      <c r="C36" s="879">
        <f>STUDENT!D34</f>
        <v>20250246710</v>
      </c>
      <c r="D36" s="886" t="str">
        <f>STUDENT!E34</f>
        <v>HEMANT KUMAR</v>
      </c>
      <c r="E36" s="886" t="str">
        <f>STUDENT!H34</f>
        <v>PRADEEP KUMAR</v>
      </c>
      <c r="F36" s="887"/>
      <c r="G36" s="887"/>
      <c r="H36" s="887"/>
      <c r="I36" s="887"/>
      <c r="J36" s="887"/>
      <c r="K36" s="887"/>
      <c r="L36" s="887"/>
      <c r="M36" s="888">
        <f t="shared" si="0"/>
        <v>0</v>
      </c>
      <c r="N36" s="887"/>
      <c r="O36" s="887"/>
      <c r="P36" s="887"/>
      <c r="Q36" s="887"/>
      <c r="R36" s="887"/>
      <c r="S36" s="887"/>
      <c r="T36" s="887"/>
      <c r="U36" s="889">
        <f t="shared" si="7"/>
        <v>0</v>
      </c>
      <c r="V36" s="887"/>
      <c r="W36" s="887"/>
      <c r="X36" s="887"/>
      <c r="Y36" s="887"/>
      <c r="Z36" s="887"/>
      <c r="AA36" s="887"/>
      <c r="AB36" s="887"/>
      <c r="AC36" s="890">
        <f t="shared" si="8"/>
        <v>0</v>
      </c>
      <c r="AD36" s="887">
        <v>15</v>
      </c>
      <c r="AE36" s="887">
        <v>12</v>
      </c>
      <c r="AF36" s="887">
        <v>15</v>
      </c>
      <c r="AG36" s="887">
        <v>16</v>
      </c>
      <c r="AH36" s="887">
        <v>18</v>
      </c>
      <c r="AI36" s="887">
        <v>12</v>
      </c>
      <c r="AJ36" s="887"/>
      <c r="AK36" s="888">
        <f t="shared" si="1"/>
        <v>88</v>
      </c>
      <c r="AL36" s="887"/>
      <c r="AM36" s="887"/>
      <c r="AN36" s="887"/>
      <c r="AO36" s="887"/>
      <c r="AP36" s="887"/>
      <c r="AQ36" s="887"/>
      <c r="AR36" s="887"/>
      <c r="AS36" s="891">
        <f t="shared" si="9"/>
        <v>0</v>
      </c>
      <c r="AT36" s="887"/>
      <c r="AU36" s="887"/>
      <c r="AV36" s="887"/>
      <c r="AW36" s="887"/>
      <c r="AX36" s="887"/>
      <c r="AY36" s="887"/>
      <c r="AZ36" s="887"/>
      <c r="BA36" s="889">
        <f t="shared" si="10"/>
        <v>0</v>
      </c>
      <c r="BB36" s="887"/>
      <c r="BC36" s="887"/>
      <c r="BD36" s="887"/>
      <c r="BE36" s="887"/>
      <c r="BF36" s="887"/>
      <c r="BG36" s="887"/>
      <c r="BH36" s="887"/>
      <c r="BI36" s="890">
        <f t="shared" si="11"/>
        <v>0</v>
      </c>
      <c r="BJ36" s="887">
        <v>28</v>
      </c>
      <c r="BK36" s="887"/>
      <c r="BL36" s="887"/>
      <c r="BM36" s="887"/>
      <c r="BN36" s="887"/>
      <c r="BO36" s="887"/>
      <c r="BP36" s="887"/>
      <c r="BQ36" s="888">
        <f t="shared" si="12"/>
        <v>28</v>
      </c>
      <c r="BR36" s="892" t="str">
        <f t="shared" si="13"/>
        <v>C</v>
      </c>
      <c r="BS36" s="892" t="str">
        <f t="shared" si="14"/>
        <v>D</v>
      </c>
      <c r="BT36" s="892" t="str">
        <f t="shared" si="15"/>
        <v>C</v>
      </c>
      <c r="BU36" s="892" t="str">
        <f t="shared" si="16"/>
        <v>C</v>
      </c>
      <c r="BV36" s="892" t="str">
        <f t="shared" si="17"/>
        <v>C</v>
      </c>
      <c r="BW36" s="892" t="str">
        <f t="shared" si="18"/>
        <v>D</v>
      </c>
      <c r="BX36" s="892" t="str">
        <f t="shared" si="19"/>
        <v/>
      </c>
      <c r="BY36" s="892" t="str">
        <f t="shared" si="20"/>
        <v>C</v>
      </c>
      <c r="BZ36" s="892" t="str">
        <f t="shared" si="21"/>
        <v>A</v>
      </c>
      <c r="CA36" s="892" t="str">
        <f t="shared" si="22"/>
        <v/>
      </c>
      <c r="CB36" s="892" t="str">
        <f t="shared" si="23"/>
        <v/>
      </c>
      <c r="CC36" s="892" t="str">
        <f t="shared" si="24"/>
        <v/>
      </c>
      <c r="CD36" s="892" t="str">
        <f t="shared" si="25"/>
        <v/>
      </c>
      <c r="CE36" s="892" t="str">
        <f t="shared" si="26"/>
        <v/>
      </c>
      <c r="CF36" s="892" t="str">
        <f t="shared" si="27"/>
        <v/>
      </c>
      <c r="CG36" s="892" t="str">
        <f t="shared" si="28"/>
        <v>E</v>
      </c>
      <c r="CH36" s="891">
        <f>IFERROR(IF($B36&gt;0,PASHEET!AL36+PASHEET!AT36+MARKS!F36+MARKS!N36+MARKS!V36+MARKS!AD36+MARKS!AL36+MARKS!AT36+MARKS!BB36+MARKS!BJ36,""),"Ab")</f>
        <v>45</v>
      </c>
      <c r="CI36" s="891">
        <f>IFERROR(IF($B36&gt;0,PASHEET!AM36+PASHEET!AU36+MARKS!G36+MARKS!O36+MARKS!W36+MARKS!AE36+MARKS!AM36+MARKS!AU36+MARKS!BC36+MARKS!BK36,""),"Ab")</f>
        <v>14</v>
      </c>
      <c r="CJ36" s="891">
        <f>IFERROR(IF($B36&gt;0,PASHEET!AN36+PASHEET!AV36+MARKS!H36+MARKS!P36+MARKS!X36+MARKS!AF36+MARKS!AN36+MARKS!AV36+MARKS!BD36+MARKS!BL36,""),"Ab")</f>
        <v>17</v>
      </c>
      <c r="CK36" s="891">
        <f>IFERROR(IF($B36&gt;0,PASHEET!AO36+PASHEET!AW36+MARKS!I36+MARKS!Q36+MARKS!Y36+MARKS!AG36+MARKS!AO36+MARKS!AW36+MARKS!BE36+MARKS!BM36,""),"Ab")</f>
        <v>18</v>
      </c>
      <c r="CL36" s="891">
        <f>IFERROR(IF($B36&gt;0,PASHEET!AP36+PASHEET!AX36+MARKS!J36+MARKS!R36+MARKS!Z36+MARKS!AH36+MARKS!AP36+MARKS!AX36+MARKS!BF36+MARKS!BN36,""),"Ab")</f>
        <v>18</v>
      </c>
      <c r="CM36" s="891">
        <f>IFERROR(IF($B36&gt;0,PASHEET!AQ36+PASHEET!AY36+MARKS!K36+MARKS!S36+MARKS!AA36+MARKS!AI36+MARKS!AQ36+MARKS!AY36+MARKS!BG36+MARKS!BO36,""),"Ab")</f>
        <v>14</v>
      </c>
      <c r="CN36" s="891">
        <f>IFERROR(IF($B36&gt;0,PASHEET!AR36+PASHEET!AZ36+MARKS!L36+MARKS!T36+MARKS!AB36+MARKS!AJ36+MARKS!AR36+MARKS!AZ36+MARKS!BH36+MARKS!BP36,""),"Ab")</f>
        <v>0</v>
      </c>
      <c r="CO36" s="891">
        <f t="shared" si="29"/>
        <v>126</v>
      </c>
      <c r="CP36" s="893" t="str">
        <f t="shared" si="30"/>
        <v>C</v>
      </c>
      <c r="CQ36" s="893" t="str">
        <f t="shared" si="31"/>
        <v>E</v>
      </c>
      <c r="CR36" s="893" t="str">
        <f t="shared" si="32"/>
        <v>E</v>
      </c>
      <c r="CS36" s="893" t="str">
        <f t="shared" si="33"/>
        <v>E</v>
      </c>
      <c r="CT36" s="893" t="str">
        <f t="shared" si="34"/>
        <v>E</v>
      </c>
      <c r="CU36" s="893" t="str">
        <f t="shared" si="35"/>
        <v>E</v>
      </c>
      <c r="CV36" s="893">
        <f t="shared" si="36"/>
        <v>0</v>
      </c>
      <c r="CW36" s="893" t="str">
        <f t="shared" si="37"/>
        <v>E</v>
      </c>
      <c r="CX36" s="894">
        <f>IFERROR(IF($B36&gt;0,PASHEET!AL36+MARKS!F36+MARKS!N36+MARKS!V36+MARKS!AD36,""),"Ab")</f>
        <v>17</v>
      </c>
      <c r="CY36" s="894">
        <f>IFERROR(IF($B36&gt;0,PASHEET!AM36+MARKS!G36+MARKS!O36+MARKS!W36+MARKS!AE36,""),"Ab")</f>
        <v>14</v>
      </c>
      <c r="CZ36" s="894">
        <f>IFERROR(IF($B36&gt;0,PASHEET!AN36+MARKS!H36+MARKS!P36+MARKS!X36+MARKS!AF36,""),"Ab")</f>
        <v>17</v>
      </c>
      <c r="DA36" s="894">
        <f>IFERROR(IF($B36&gt;0,PASHEET!AO36+MARKS!I36+MARKS!Q36+MARKS!Y36+MARKS!AG36,""),"Ab")</f>
        <v>18</v>
      </c>
      <c r="DB36" s="894">
        <f>IFERROR(IF($B36&gt;0,PASHEET!AP36+MARKS!J36+MARKS!R36+MARKS!Z36+MARKS!AH36,""),"Ab")</f>
        <v>18</v>
      </c>
      <c r="DC36" s="894">
        <f>IFERROR(IF($B36&gt;0,PASHEET!AQ36+MARKS!K36+MARKS!S36+MARKS!AA36+MARKS!AI36,""),"Ab")</f>
        <v>14</v>
      </c>
      <c r="DD36" s="894">
        <f>IFERROR(IF($B36&gt;0,PASHEET!AR36+MARKS!L36+MARKS!T36+MARKS!AB36+MARKS!AJ36,""),"Ab")</f>
        <v>0</v>
      </c>
      <c r="DE36" s="879">
        <f t="shared" si="38"/>
        <v>98</v>
      </c>
      <c r="DF36" s="894" t="str">
        <f t="shared" si="39"/>
        <v>D</v>
      </c>
      <c r="DG36" s="894" t="str">
        <f t="shared" si="40"/>
        <v>E</v>
      </c>
      <c r="DH36" s="894" t="str">
        <f t="shared" si="41"/>
        <v>D</v>
      </c>
      <c r="DI36" s="894" t="str">
        <f t="shared" si="42"/>
        <v>D</v>
      </c>
      <c r="DJ36" s="894" t="str">
        <f t="shared" si="43"/>
        <v>D</v>
      </c>
      <c r="DK36" s="894" t="str">
        <f t="shared" si="44"/>
        <v>E</v>
      </c>
      <c r="DL36" s="894">
        <f t="shared" si="45"/>
        <v>0</v>
      </c>
      <c r="DM36" s="894" t="str">
        <f t="shared" si="46"/>
        <v>D</v>
      </c>
      <c r="DN36" s="894">
        <f>IFERROR(IF($B36&gt;0,PASHEET!AT36+MARKS!AL36+MARKS!AT36+MARKS!BB36+MARKS!BJ36,""),"Ab")</f>
        <v>28</v>
      </c>
      <c r="DO36" s="894">
        <f>IFERROR(IF($B36&gt;0,PASHEET!AU36+MARKS!AM36+MARKS!AU36+MARKS!BC36+MARKS!BK36,""),"Ab")</f>
        <v>0</v>
      </c>
      <c r="DP36" s="894">
        <f>IFERROR(IF($B36&gt;0,PASHEET!AV36+MARKS!AN36+MARKS!AV36+MARKS!BD36+MARKS!BL36,""),"Ab")</f>
        <v>0</v>
      </c>
      <c r="DQ36" s="894">
        <f>IFERROR(IF($B36&gt;0,PASHEET!AW36+MARKS!AO36+MARKS!AW36+MARKS!BE36+MARKS!BM36,""),"Ab")</f>
        <v>0</v>
      </c>
      <c r="DR36" s="894">
        <f>IFERROR(IF($B36&gt;0,PASHEET!AX36+MARKS!AP36+MARKS!AX36+MARKS!BF36+MARKS!BN36,""),"Ab")</f>
        <v>0</v>
      </c>
      <c r="DS36" s="894">
        <f>IFERROR(IF($B36&gt;0,PASHEET!AY36+MARKS!AQ36+MARKS!AY36+MARKS!BG36+MARKS!BO36,""),"Ab")</f>
        <v>0</v>
      </c>
      <c r="DT36" s="894">
        <f>IFERROR(IF($B36&gt;0,PASHEET!AZ36+MARKS!AR36+MARKS!AZ36+MARKS!BH36+MARKS!BP36,""),"Ab")</f>
        <v>0</v>
      </c>
      <c r="DU36" s="879">
        <f t="shared" si="47"/>
        <v>28</v>
      </c>
      <c r="DV36" s="894" t="str">
        <f t="shared" si="48"/>
        <v>C</v>
      </c>
      <c r="DW36" s="894">
        <f t="shared" si="49"/>
        <v>0</v>
      </c>
      <c r="DX36" s="894">
        <f t="shared" si="50"/>
        <v>0</v>
      </c>
      <c r="DY36" s="894">
        <f t="shared" si="51"/>
        <v>0</v>
      </c>
      <c r="DZ36" s="894">
        <f t="shared" si="52"/>
        <v>0</v>
      </c>
      <c r="EA36" s="894">
        <f t="shared" si="53"/>
        <v>0</v>
      </c>
      <c r="EB36" s="894">
        <f t="shared" si="54"/>
        <v>0</v>
      </c>
      <c r="EC36" s="894" t="str">
        <f t="shared" si="55"/>
        <v>E</v>
      </c>
    </row>
    <row r="37" spans="1:133">
      <c r="A37" s="879">
        <v>34</v>
      </c>
      <c r="B37" s="879">
        <f>STUDENT!F35</f>
        <v>15088</v>
      </c>
      <c r="C37" s="879">
        <f>STUDENT!D35</f>
        <v>20250257787</v>
      </c>
      <c r="D37" s="886" t="str">
        <f>STUDENT!E35</f>
        <v>VEERPARTAP SINGH</v>
      </c>
      <c r="E37" s="886" t="str">
        <f>STUDENT!H35</f>
        <v>VIJAY SINGH</v>
      </c>
      <c r="F37" s="887"/>
      <c r="G37" s="887"/>
      <c r="H37" s="887"/>
      <c r="I37" s="887"/>
      <c r="J37" s="887"/>
      <c r="K37" s="887"/>
      <c r="L37" s="887"/>
      <c r="M37" s="888">
        <f t="shared" si="0"/>
        <v>0</v>
      </c>
      <c r="N37" s="887"/>
      <c r="O37" s="887"/>
      <c r="P37" s="887"/>
      <c r="Q37" s="887"/>
      <c r="R37" s="887"/>
      <c r="S37" s="887"/>
      <c r="T37" s="887"/>
      <c r="U37" s="889">
        <f t="shared" si="7"/>
        <v>0</v>
      </c>
      <c r="V37" s="887"/>
      <c r="W37" s="887"/>
      <c r="X37" s="887"/>
      <c r="Y37" s="887"/>
      <c r="Z37" s="887"/>
      <c r="AA37" s="887"/>
      <c r="AB37" s="887"/>
      <c r="AC37" s="890">
        <f t="shared" si="8"/>
        <v>0</v>
      </c>
      <c r="AD37" s="887">
        <v>15</v>
      </c>
      <c r="AE37" s="887">
        <v>11</v>
      </c>
      <c r="AF37" s="887">
        <v>17</v>
      </c>
      <c r="AG37" s="887">
        <v>20</v>
      </c>
      <c r="AH37" s="887">
        <v>23</v>
      </c>
      <c r="AI37" s="887">
        <v>23</v>
      </c>
      <c r="AJ37" s="887"/>
      <c r="AK37" s="888">
        <f t="shared" si="1"/>
        <v>109</v>
      </c>
      <c r="AL37" s="887"/>
      <c r="AM37" s="887"/>
      <c r="AN37" s="887"/>
      <c r="AO37" s="887"/>
      <c r="AP37" s="887"/>
      <c r="AQ37" s="887"/>
      <c r="AR37" s="887"/>
      <c r="AS37" s="891">
        <f t="shared" si="9"/>
        <v>0</v>
      </c>
      <c r="AT37" s="887"/>
      <c r="AU37" s="887"/>
      <c r="AV37" s="887"/>
      <c r="AW37" s="887"/>
      <c r="AX37" s="887"/>
      <c r="AY37" s="887"/>
      <c r="AZ37" s="887"/>
      <c r="BA37" s="889">
        <f t="shared" si="10"/>
        <v>0</v>
      </c>
      <c r="BB37" s="887"/>
      <c r="BC37" s="887"/>
      <c r="BD37" s="887"/>
      <c r="BE37" s="887"/>
      <c r="BF37" s="887"/>
      <c r="BG37" s="887"/>
      <c r="BH37" s="887"/>
      <c r="BI37" s="890">
        <f t="shared" si="11"/>
        <v>0</v>
      </c>
      <c r="BJ37" s="887">
        <v>23</v>
      </c>
      <c r="BK37" s="887"/>
      <c r="BL37" s="887"/>
      <c r="BM37" s="887"/>
      <c r="BN37" s="887"/>
      <c r="BO37" s="887"/>
      <c r="BP37" s="887"/>
      <c r="BQ37" s="888">
        <f t="shared" si="12"/>
        <v>23</v>
      </c>
      <c r="BR37" s="892" t="str">
        <f t="shared" si="13"/>
        <v>C</v>
      </c>
      <c r="BS37" s="892" t="str">
        <f t="shared" si="14"/>
        <v>D</v>
      </c>
      <c r="BT37" s="892" t="str">
        <f t="shared" si="15"/>
        <v>C</v>
      </c>
      <c r="BU37" s="892" t="str">
        <f t="shared" si="16"/>
        <v>B</v>
      </c>
      <c r="BV37" s="892" t="str">
        <f t="shared" si="17"/>
        <v>B</v>
      </c>
      <c r="BW37" s="892" t="str">
        <f t="shared" si="18"/>
        <v>B</v>
      </c>
      <c r="BX37" s="892" t="str">
        <f t="shared" si="19"/>
        <v/>
      </c>
      <c r="BY37" s="892" t="str">
        <f t="shared" si="20"/>
        <v>B</v>
      </c>
      <c r="BZ37" s="892" t="str">
        <f t="shared" si="21"/>
        <v>C</v>
      </c>
      <c r="CA37" s="892" t="str">
        <f t="shared" si="22"/>
        <v/>
      </c>
      <c r="CB37" s="892" t="str">
        <f t="shared" si="23"/>
        <v/>
      </c>
      <c r="CC37" s="892" t="str">
        <f t="shared" si="24"/>
        <v/>
      </c>
      <c r="CD37" s="892" t="str">
        <f t="shared" si="25"/>
        <v/>
      </c>
      <c r="CE37" s="892" t="str">
        <f t="shared" si="26"/>
        <v/>
      </c>
      <c r="CF37" s="892" t="str">
        <f t="shared" si="27"/>
        <v/>
      </c>
      <c r="CG37" s="892" t="str">
        <f t="shared" si="28"/>
        <v>E</v>
      </c>
      <c r="CH37" s="891">
        <f>IFERROR(IF($B37&gt;0,PASHEET!AL37+PASHEET!AT37+MARKS!F37+MARKS!N37+MARKS!V37+MARKS!AD37+MARKS!AL37+MARKS!AT37+MARKS!BB37+MARKS!BJ37,""),"Ab")</f>
        <v>38</v>
      </c>
      <c r="CI37" s="891">
        <f>IFERROR(IF($B37&gt;0,PASHEET!AM37+PASHEET!AU37+MARKS!G37+MARKS!O37+MARKS!W37+MARKS!AE37+MARKS!AM37+MARKS!AU37+MARKS!BC37+MARKS!BK37,""),"Ab")</f>
        <v>11</v>
      </c>
      <c r="CJ37" s="891">
        <f>IFERROR(IF($B37&gt;0,PASHEET!AN37+PASHEET!AV37+MARKS!H37+MARKS!P37+MARKS!X37+MARKS!AF37+MARKS!AN37+MARKS!AV37+MARKS!BD37+MARKS!BL37,""),"Ab")</f>
        <v>17</v>
      </c>
      <c r="CK37" s="891">
        <f>IFERROR(IF($B37&gt;0,PASHEET!AO37+PASHEET!AW37+MARKS!I37+MARKS!Q37+MARKS!Y37+MARKS!AG37+MARKS!AO37+MARKS!AW37+MARKS!BE37+MARKS!BM37,""),"Ab")</f>
        <v>20</v>
      </c>
      <c r="CL37" s="891">
        <f>IFERROR(IF($B37&gt;0,PASHEET!AP37+PASHEET!AX37+MARKS!J37+MARKS!R37+MARKS!Z37+MARKS!AH37+MARKS!AP37+MARKS!AX37+MARKS!BF37+MARKS!BN37,""),"Ab")</f>
        <v>23</v>
      </c>
      <c r="CM37" s="891">
        <f>IFERROR(IF($B37&gt;0,PASHEET!AQ37+PASHEET!AY37+MARKS!K37+MARKS!S37+MARKS!AA37+MARKS!AI37+MARKS!AQ37+MARKS!AY37+MARKS!BG37+MARKS!BO37,""),"Ab")</f>
        <v>23</v>
      </c>
      <c r="CN37" s="891">
        <f>IFERROR(IF($B37&gt;0,PASHEET!AR37+PASHEET!AZ37+MARKS!L37+MARKS!T37+MARKS!AB37+MARKS!AJ37+MARKS!AR37+MARKS!AZ37+MARKS!BH37+MARKS!BP37,""),"Ab")</f>
        <v>0</v>
      </c>
      <c r="CO37" s="891">
        <f t="shared" si="29"/>
        <v>132</v>
      </c>
      <c r="CP37" s="893" t="str">
        <f t="shared" si="30"/>
        <v>D</v>
      </c>
      <c r="CQ37" s="893" t="str">
        <f t="shared" si="31"/>
        <v>E</v>
      </c>
      <c r="CR37" s="893" t="str">
        <f t="shared" si="32"/>
        <v>E</v>
      </c>
      <c r="CS37" s="893" t="str">
        <f t="shared" si="33"/>
        <v>E</v>
      </c>
      <c r="CT37" s="893" t="str">
        <f t="shared" si="34"/>
        <v>E</v>
      </c>
      <c r="CU37" s="893" t="str">
        <f t="shared" si="35"/>
        <v>E</v>
      </c>
      <c r="CV37" s="893">
        <f t="shared" si="36"/>
        <v>0</v>
      </c>
      <c r="CW37" s="893" t="str">
        <f t="shared" si="37"/>
        <v>E</v>
      </c>
      <c r="CX37" s="894">
        <f>IFERROR(IF($B37&gt;0,PASHEET!AL37+MARKS!F37+MARKS!N37+MARKS!V37+MARKS!AD37,""),"Ab")</f>
        <v>15</v>
      </c>
      <c r="CY37" s="894">
        <f>IFERROR(IF($B37&gt;0,PASHEET!AM37+MARKS!G37+MARKS!O37+MARKS!W37+MARKS!AE37,""),"Ab")</f>
        <v>11</v>
      </c>
      <c r="CZ37" s="894">
        <f>IFERROR(IF($B37&gt;0,PASHEET!AN37+MARKS!H37+MARKS!P37+MARKS!X37+MARKS!AF37,""),"Ab")</f>
        <v>17</v>
      </c>
      <c r="DA37" s="894">
        <f>IFERROR(IF($B37&gt;0,PASHEET!AO37+MARKS!I37+MARKS!Q37+MARKS!Y37+MARKS!AG37,""),"Ab")</f>
        <v>20</v>
      </c>
      <c r="DB37" s="894">
        <f>IFERROR(IF($B37&gt;0,PASHEET!AP37+MARKS!J37+MARKS!R37+MARKS!Z37+MARKS!AH37,""),"Ab")</f>
        <v>23</v>
      </c>
      <c r="DC37" s="894">
        <f>IFERROR(IF($B37&gt;0,PASHEET!AQ37+MARKS!K37+MARKS!S37+MARKS!AA37+MARKS!AI37,""),"Ab")</f>
        <v>23</v>
      </c>
      <c r="DD37" s="894">
        <f>IFERROR(IF($B37&gt;0,PASHEET!AR37+MARKS!L37+MARKS!T37+MARKS!AB37+MARKS!AJ37,""),"Ab")</f>
        <v>0</v>
      </c>
      <c r="DE37" s="879">
        <f t="shared" si="38"/>
        <v>109</v>
      </c>
      <c r="DF37" s="894" t="str">
        <f t="shared" si="39"/>
        <v>E</v>
      </c>
      <c r="DG37" s="894" t="str">
        <f t="shared" si="40"/>
        <v>E</v>
      </c>
      <c r="DH37" s="894" t="str">
        <f t="shared" si="41"/>
        <v>D</v>
      </c>
      <c r="DI37" s="894" t="str">
        <f t="shared" si="42"/>
        <v>D</v>
      </c>
      <c r="DJ37" s="894" t="str">
        <f t="shared" si="43"/>
        <v>C</v>
      </c>
      <c r="DK37" s="894" t="str">
        <f t="shared" si="44"/>
        <v>C</v>
      </c>
      <c r="DL37" s="894">
        <f t="shared" si="45"/>
        <v>0</v>
      </c>
      <c r="DM37" s="894" t="str">
        <f t="shared" si="46"/>
        <v>D</v>
      </c>
      <c r="DN37" s="894">
        <f>IFERROR(IF($B37&gt;0,PASHEET!AT37+MARKS!AL37+MARKS!AT37+MARKS!BB37+MARKS!BJ37,""),"Ab")</f>
        <v>23</v>
      </c>
      <c r="DO37" s="894">
        <f>IFERROR(IF($B37&gt;0,PASHEET!AU37+MARKS!AM37+MARKS!AU37+MARKS!BC37+MARKS!BK37,""),"Ab")</f>
        <v>0</v>
      </c>
      <c r="DP37" s="894">
        <f>IFERROR(IF($B37&gt;0,PASHEET!AV37+MARKS!AN37+MARKS!AV37+MARKS!BD37+MARKS!BL37,""),"Ab")</f>
        <v>0</v>
      </c>
      <c r="DQ37" s="894">
        <f>IFERROR(IF($B37&gt;0,PASHEET!AW37+MARKS!AO37+MARKS!AW37+MARKS!BE37+MARKS!BM37,""),"Ab")</f>
        <v>0</v>
      </c>
      <c r="DR37" s="894">
        <f>IFERROR(IF($B37&gt;0,PASHEET!AX37+MARKS!AP37+MARKS!AX37+MARKS!BF37+MARKS!BN37,""),"Ab")</f>
        <v>0</v>
      </c>
      <c r="DS37" s="894">
        <f>IFERROR(IF($B37&gt;0,PASHEET!AY37+MARKS!AQ37+MARKS!AY37+MARKS!BG37+MARKS!BO37,""),"Ab")</f>
        <v>0</v>
      </c>
      <c r="DT37" s="894">
        <f>IFERROR(IF($B37&gt;0,PASHEET!AZ37+MARKS!AR37+MARKS!AZ37+MARKS!BH37+MARKS!BP37,""),"Ab")</f>
        <v>0</v>
      </c>
      <c r="DU37" s="879">
        <f t="shared" si="47"/>
        <v>23</v>
      </c>
      <c r="DV37" s="894" t="str">
        <f t="shared" si="48"/>
        <v>C</v>
      </c>
      <c r="DW37" s="894">
        <f t="shared" si="49"/>
        <v>0</v>
      </c>
      <c r="DX37" s="894">
        <f t="shared" si="50"/>
        <v>0</v>
      </c>
      <c r="DY37" s="894">
        <f t="shared" si="51"/>
        <v>0</v>
      </c>
      <c r="DZ37" s="894">
        <f t="shared" si="52"/>
        <v>0</v>
      </c>
      <c r="EA37" s="894">
        <f t="shared" si="53"/>
        <v>0</v>
      </c>
      <c r="EB37" s="894">
        <f t="shared" si="54"/>
        <v>0</v>
      </c>
      <c r="EC37" s="894" t="str">
        <f t="shared" si="55"/>
        <v>E</v>
      </c>
    </row>
    <row r="38" spans="1:133">
      <c r="A38" s="879">
        <v>35</v>
      </c>
      <c r="B38" s="879">
        <f>STUDENT!F36</f>
        <v>15104</v>
      </c>
      <c r="C38" s="879">
        <f>STUDENT!D36</f>
        <v>20250272033</v>
      </c>
      <c r="D38" s="886" t="str">
        <f>STUDENT!E36</f>
        <v>NIKHIL KUMAR</v>
      </c>
      <c r="E38" s="886" t="str">
        <f>STUDENT!H36</f>
        <v>SUNIL KUMAR</v>
      </c>
      <c r="F38" s="887"/>
      <c r="G38" s="887"/>
      <c r="H38" s="887"/>
      <c r="I38" s="887"/>
      <c r="J38" s="887"/>
      <c r="K38" s="887"/>
      <c r="L38" s="887"/>
      <c r="M38" s="888">
        <f t="shared" si="0"/>
        <v>0</v>
      </c>
      <c r="N38" s="887"/>
      <c r="O38" s="887"/>
      <c r="P38" s="887"/>
      <c r="Q38" s="887"/>
      <c r="R38" s="887"/>
      <c r="S38" s="887"/>
      <c r="T38" s="887"/>
      <c r="U38" s="889">
        <f t="shared" si="7"/>
        <v>0</v>
      </c>
      <c r="V38" s="887"/>
      <c r="W38" s="887"/>
      <c r="X38" s="887"/>
      <c r="Y38" s="887"/>
      <c r="Z38" s="887"/>
      <c r="AA38" s="887"/>
      <c r="AB38" s="887"/>
      <c r="AC38" s="890">
        <f t="shared" si="8"/>
        <v>0</v>
      </c>
      <c r="AD38" s="887">
        <v>21</v>
      </c>
      <c r="AE38" s="887">
        <v>11</v>
      </c>
      <c r="AF38" s="887">
        <v>22</v>
      </c>
      <c r="AG38" s="887">
        <v>13</v>
      </c>
      <c r="AH38" s="887">
        <v>14</v>
      </c>
      <c r="AI38" s="887">
        <v>22</v>
      </c>
      <c r="AJ38" s="887"/>
      <c r="AK38" s="888">
        <f t="shared" si="1"/>
        <v>103</v>
      </c>
      <c r="AL38" s="887"/>
      <c r="AM38" s="887"/>
      <c r="AN38" s="887"/>
      <c r="AO38" s="887"/>
      <c r="AP38" s="887"/>
      <c r="AQ38" s="887"/>
      <c r="AR38" s="887"/>
      <c r="AS38" s="891">
        <f t="shared" si="9"/>
        <v>0</v>
      </c>
      <c r="AT38" s="887"/>
      <c r="AU38" s="887"/>
      <c r="AV38" s="887"/>
      <c r="AW38" s="887"/>
      <c r="AX38" s="887"/>
      <c r="AY38" s="887"/>
      <c r="AZ38" s="887"/>
      <c r="BA38" s="889">
        <f t="shared" si="10"/>
        <v>0</v>
      </c>
      <c r="BB38" s="887"/>
      <c r="BC38" s="887"/>
      <c r="BD38" s="887"/>
      <c r="BE38" s="887"/>
      <c r="BF38" s="887"/>
      <c r="BG38" s="887"/>
      <c r="BH38" s="887"/>
      <c r="BI38" s="890">
        <f t="shared" si="11"/>
        <v>0</v>
      </c>
      <c r="BJ38" s="887">
        <v>15</v>
      </c>
      <c r="BK38" s="887"/>
      <c r="BL38" s="887"/>
      <c r="BM38" s="887"/>
      <c r="BN38" s="887"/>
      <c r="BO38" s="887"/>
      <c r="BP38" s="887"/>
      <c r="BQ38" s="888">
        <f t="shared" si="12"/>
        <v>15</v>
      </c>
      <c r="BR38" s="892" t="str">
        <f t="shared" si="13"/>
        <v>B</v>
      </c>
      <c r="BS38" s="892" t="str">
        <f t="shared" si="14"/>
        <v>D</v>
      </c>
      <c r="BT38" s="892" t="str">
        <f t="shared" si="15"/>
        <v>B</v>
      </c>
      <c r="BU38" s="892" t="str">
        <f t="shared" si="16"/>
        <v>C</v>
      </c>
      <c r="BV38" s="892" t="str">
        <f t="shared" si="17"/>
        <v>C</v>
      </c>
      <c r="BW38" s="892" t="str">
        <f t="shared" si="18"/>
        <v>B</v>
      </c>
      <c r="BX38" s="892" t="str">
        <f t="shared" si="19"/>
        <v/>
      </c>
      <c r="BY38" s="892" t="str">
        <f t="shared" si="20"/>
        <v>C</v>
      </c>
      <c r="BZ38" s="892" t="str">
        <f t="shared" si="21"/>
        <v>C</v>
      </c>
      <c r="CA38" s="892" t="str">
        <f t="shared" si="22"/>
        <v/>
      </c>
      <c r="CB38" s="892" t="str">
        <f t="shared" si="23"/>
        <v/>
      </c>
      <c r="CC38" s="892" t="str">
        <f t="shared" si="24"/>
        <v/>
      </c>
      <c r="CD38" s="892" t="str">
        <f t="shared" si="25"/>
        <v/>
      </c>
      <c r="CE38" s="892" t="str">
        <f t="shared" si="26"/>
        <v/>
      </c>
      <c r="CF38" s="892" t="str">
        <f t="shared" si="27"/>
        <v/>
      </c>
      <c r="CG38" s="892" t="str">
        <f t="shared" si="28"/>
        <v>E</v>
      </c>
      <c r="CH38" s="891">
        <f>IFERROR(IF($B38&gt;0,PASHEET!AL38+PASHEET!AT38+MARKS!F38+MARKS!N38+MARKS!V38+MARKS!AD38+MARKS!AL38+MARKS!AT38+MARKS!BB38+MARKS!BJ38,""),"Ab")</f>
        <v>37</v>
      </c>
      <c r="CI38" s="891">
        <f>IFERROR(IF($B38&gt;0,PASHEET!AM38+PASHEET!AU38+MARKS!G38+MARKS!O38+MARKS!W38+MARKS!AE38+MARKS!AM38+MARKS!AU38+MARKS!BC38+MARKS!BK38,""),"Ab")</f>
        <v>12</v>
      </c>
      <c r="CJ38" s="891">
        <f>IFERROR(IF($B38&gt;0,PASHEET!AN38+PASHEET!AV38+MARKS!H38+MARKS!P38+MARKS!X38+MARKS!AF38+MARKS!AN38+MARKS!AV38+MARKS!BD38+MARKS!BL38,""),"Ab")</f>
        <v>24</v>
      </c>
      <c r="CK38" s="891">
        <f>IFERROR(IF($B38&gt;0,PASHEET!AO38+PASHEET!AW38+MARKS!I38+MARKS!Q38+MARKS!Y38+MARKS!AG38+MARKS!AO38+MARKS!AW38+MARKS!BE38+MARKS!BM38,""),"Ab")</f>
        <v>14</v>
      </c>
      <c r="CL38" s="891">
        <f>IFERROR(IF($B38&gt;0,PASHEET!AP38+PASHEET!AX38+MARKS!J38+MARKS!R38+MARKS!Z38+MARKS!AH38+MARKS!AP38+MARKS!AX38+MARKS!BF38+MARKS!BN38,""),"Ab")</f>
        <v>14</v>
      </c>
      <c r="CM38" s="891">
        <f>IFERROR(IF($B38&gt;0,PASHEET!AQ38+PASHEET!AY38+MARKS!K38+MARKS!S38+MARKS!AA38+MARKS!AI38+MARKS!AQ38+MARKS!AY38+MARKS!BG38+MARKS!BO38,""),"Ab")</f>
        <v>24</v>
      </c>
      <c r="CN38" s="891">
        <f>IFERROR(IF($B38&gt;0,PASHEET!AR38+PASHEET!AZ38+MARKS!L38+MARKS!T38+MARKS!AB38+MARKS!AJ38+MARKS!AR38+MARKS!AZ38+MARKS!BH38+MARKS!BP38,""),"Ab")</f>
        <v>0</v>
      </c>
      <c r="CO38" s="891">
        <f t="shared" si="29"/>
        <v>125</v>
      </c>
      <c r="CP38" s="893" t="str">
        <f t="shared" si="30"/>
        <v>D</v>
      </c>
      <c r="CQ38" s="893" t="str">
        <f t="shared" si="31"/>
        <v>E</v>
      </c>
      <c r="CR38" s="893" t="str">
        <f t="shared" si="32"/>
        <v>E</v>
      </c>
      <c r="CS38" s="893" t="str">
        <f t="shared" si="33"/>
        <v>E</v>
      </c>
      <c r="CT38" s="893" t="str">
        <f t="shared" si="34"/>
        <v>E</v>
      </c>
      <c r="CU38" s="893" t="str">
        <f t="shared" si="35"/>
        <v>E</v>
      </c>
      <c r="CV38" s="893">
        <f t="shared" si="36"/>
        <v>0</v>
      </c>
      <c r="CW38" s="893" t="str">
        <f t="shared" si="37"/>
        <v>E</v>
      </c>
      <c r="CX38" s="894">
        <f>IFERROR(IF($B38&gt;0,PASHEET!AL38+MARKS!F38+MARKS!N38+MARKS!V38+MARKS!AD38,""),"Ab")</f>
        <v>22</v>
      </c>
      <c r="CY38" s="894">
        <f>IFERROR(IF($B38&gt;0,PASHEET!AM38+MARKS!G38+MARKS!O38+MARKS!W38+MARKS!AE38,""),"Ab")</f>
        <v>12</v>
      </c>
      <c r="CZ38" s="894">
        <f>IFERROR(IF($B38&gt;0,PASHEET!AN38+MARKS!H38+MARKS!P38+MARKS!X38+MARKS!AF38,""),"Ab")</f>
        <v>24</v>
      </c>
      <c r="DA38" s="894">
        <f>IFERROR(IF($B38&gt;0,PASHEET!AO38+MARKS!I38+MARKS!Q38+MARKS!Y38+MARKS!AG38,""),"Ab")</f>
        <v>14</v>
      </c>
      <c r="DB38" s="894">
        <f>IFERROR(IF($B38&gt;0,PASHEET!AP38+MARKS!J38+MARKS!R38+MARKS!Z38+MARKS!AH38,""),"Ab")</f>
        <v>14</v>
      </c>
      <c r="DC38" s="894">
        <f>IFERROR(IF($B38&gt;0,PASHEET!AQ38+MARKS!K38+MARKS!S38+MARKS!AA38+MARKS!AI38,""),"Ab")</f>
        <v>24</v>
      </c>
      <c r="DD38" s="894">
        <f>IFERROR(IF($B38&gt;0,PASHEET!AR38+MARKS!L38+MARKS!T38+MARKS!AB38+MARKS!AJ38,""),"Ab")</f>
        <v>0</v>
      </c>
      <c r="DE38" s="879">
        <f t="shared" si="38"/>
        <v>110</v>
      </c>
      <c r="DF38" s="894" t="str">
        <f t="shared" si="39"/>
        <v>D</v>
      </c>
      <c r="DG38" s="894" t="str">
        <f t="shared" si="40"/>
        <v>E</v>
      </c>
      <c r="DH38" s="894" t="str">
        <f t="shared" si="41"/>
        <v>C</v>
      </c>
      <c r="DI38" s="894" t="str">
        <f t="shared" si="42"/>
        <v>E</v>
      </c>
      <c r="DJ38" s="894" t="str">
        <f t="shared" si="43"/>
        <v>E</v>
      </c>
      <c r="DK38" s="894" t="str">
        <f t="shared" si="44"/>
        <v>C</v>
      </c>
      <c r="DL38" s="894">
        <f t="shared" si="45"/>
        <v>0</v>
      </c>
      <c r="DM38" s="894" t="str">
        <f t="shared" si="46"/>
        <v>D</v>
      </c>
      <c r="DN38" s="894">
        <f>IFERROR(IF($B38&gt;0,PASHEET!AT38+MARKS!AL38+MARKS!AT38+MARKS!BB38+MARKS!BJ38,""),"Ab")</f>
        <v>15</v>
      </c>
      <c r="DO38" s="894">
        <f>IFERROR(IF($B38&gt;0,PASHEET!AU38+MARKS!AM38+MARKS!AU38+MARKS!BC38+MARKS!BK38,""),"Ab")</f>
        <v>0</v>
      </c>
      <c r="DP38" s="894">
        <f>IFERROR(IF($B38&gt;0,PASHEET!AV38+MARKS!AN38+MARKS!AV38+MARKS!BD38+MARKS!BL38,""),"Ab")</f>
        <v>0</v>
      </c>
      <c r="DQ38" s="894">
        <f>IFERROR(IF($B38&gt;0,PASHEET!AW38+MARKS!AO38+MARKS!AW38+MARKS!BE38+MARKS!BM38,""),"Ab")</f>
        <v>0</v>
      </c>
      <c r="DR38" s="894">
        <f>IFERROR(IF($B38&gt;0,PASHEET!AX38+MARKS!AP38+MARKS!AX38+MARKS!BF38+MARKS!BN38,""),"Ab")</f>
        <v>0</v>
      </c>
      <c r="DS38" s="894">
        <f>IFERROR(IF($B38&gt;0,PASHEET!AY38+MARKS!AQ38+MARKS!AY38+MARKS!BG38+MARKS!BO38,""),"Ab")</f>
        <v>0</v>
      </c>
      <c r="DT38" s="894">
        <f>IFERROR(IF($B38&gt;0,PASHEET!AZ38+MARKS!AR38+MARKS!AZ38+MARKS!BH38+MARKS!BP38,""),"Ab")</f>
        <v>0</v>
      </c>
      <c r="DU38" s="879">
        <f t="shared" si="47"/>
        <v>15</v>
      </c>
      <c r="DV38" s="894" t="str">
        <f t="shared" si="48"/>
        <v>E</v>
      </c>
      <c r="DW38" s="894">
        <f t="shared" si="49"/>
        <v>0</v>
      </c>
      <c r="DX38" s="894">
        <f t="shared" si="50"/>
        <v>0</v>
      </c>
      <c r="DY38" s="894">
        <f t="shared" si="51"/>
        <v>0</v>
      </c>
      <c r="DZ38" s="894">
        <f t="shared" si="52"/>
        <v>0</v>
      </c>
      <c r="EA38" s="894">
        <f t="shared" si="53"/>
        <v>0</v>
      </c>
      <c r="EB38" s="894">
        <f t="shared" si="54"/>
        <v>0</v>
      </c>
      <c r="EC38" s="894" t="str">
        <f t="shared" si="55"/>
        <v>E</v>
      </c>
    </row>
    <row r="39" spans="1:133">
      <c r="A39" s="879">
        <v>36</v>
      </c>
      <c r="B39" s="879">
        <f>STUDENT!F37</f>
        <v>15143</v>
      </c>
      <c r="C39" s="879">
        <f>STUDENT!D37</f>
        <v>20250310265</v>
      </c>
      <c r="D39" s="886" t="str">
        <f>STUDENT!E37</f>
        <v>JITENDRA</v>
      </c>
      <c r="E39" s="886" t="str">
        <f>STUDENT!H37</f>
        <v>RAM SUMAR</v>
      </c>
      <c r="F39" s="887"/>
      <c r="G39" s="887"/>
      <c r="H39" s="887"/>
      <c r="I39" s="887"/>
      <c r="J39" s="887"/>
      <c r="K39" s="887"/>
      <c r="L39" s="887"/>
      <c r="M39" s="888">
        <f t="shared" si="0"/>
        <v>0</v>
      </c>
      <c r="N39" s="887"/>
      <c r="O39" s="887"/>
      <c r="P39" s="887"/>
      <c r="Q39" s="887"/>
      <c r="R39" s="887"/>
      <c r="S39" s="887"/>
      <c r="T39" s="887"/>
      <c r="U39" s="889">
        <f t="shared" si="7"/>
        <v>0</v>
      </c>
      <c r="V39" s="887"/>
      <c r="W39" s="887"/>
      <c r="X39" s="887"/>
      <c r="Y39" s="887"/>
      <c r="Z39" s="887"/>
      <c r="AA39" s="887"/>
      <c r="AB39" s="887"/>
      <c r="AC39" s="890">
        <f t="shared" si="8"/>
        <v>0</v>
      </c>
      <c r="AD39" s="887">
        <v>10</v>
      </c>
      <c r="AE39" s="887">
        <v>13</v>
      </c>
      <c r="AF39" s="887">
        <v>13</v>
      </c>
      <c r="AG39" s="887">
        <v>13</v>
      </c>
      <c r="AH39" s="887">
        <v>12</v>
      </c>
      <c r="AI39" s="887">
        <v>23</v>
      </c>
      <c r="AJ39" s="887"/>
      <c r="AK39" s="888">
        <f t="shared" si="1"/>
        <v>84</v>
      </c>
      <c r="AL39" s="887"/>
      <c r="AM39" s="887"/>
      <c r="AN39" s="887"/>
      <c r="AO39" s="887"/>
      <c r="AP39" s="887"/>
      <c r="AQ39" s="887"/>
      <c r="AR39" s="887"/>
      <c r="AS39" s="891">
        <f t="shared" si="9"/>
        <v>0</v>
      </c>
      <c r="AT39" s="887"/>
      <c r="AU39" s="887"/>
      <c r="AV39" s="887"/>
      <c r="AW39" s="887"/>
      <c r="AX39" s="887"/>
      <c r="AY39" s="887"/>
      <c r="AZ39" s="887"/>
      <c r="BA39" s="889">
        <f t="shared" si="10"/>
        <v>0</v>
      </c>
      <c r="BB39" s="887"/>
      <c r="BC39" s="887"/>
      <c r="BD39" s="887"/>
      <c r="BE39" s="887"/>
      <c r="BF39" s="887"/>
      <c r="BG39" s="887"/>
      <c r="BH39" s="887"/>
      <c r="BI39" s="890">
        <f t="shared" si="11"/>
        <v>0</v>
      </c>
      <c r="BJ39" s="887">
        <v>23</v>
      </c>
      <c r="BK39" s="887"/>
      <c r="BL39" s="887"/>
      <c r="BM39" s="887"/>
      <c r="BN39" s="887"/>
      <c r="BO39" s="887"/>
      <c r="BP39" s="887"/>
      <c r="BQ39" s="888">
        <f t="shared" si="12"/>
        <v>23</v>
      </c>
      <c r="BR39" s="892" t="str">
        <f t="shared" si="13"/>
        <v>D</v>
      </c>
      <c r="BS39" s="892" t="str">
        <f t="shared" si="14"/>
        <v>C</v>
      </c>
      <c r="BT39" s="892" t="str">
        <f t="shared" si="15"/>
        <v>C</v>
      </c>
      <c r="BU39" s="892" t="str">
        <f t="shared" si="16"/>
        <v>C</v>
      </c>
      <c r="BV39" s="892" t="str">
        <f t="shared" si="17"/>
        <v>D</v>
      </c>
      <c r="BW39" s="892" t="str">
        <f t="shared" si="18"/>
        <v>B</v>
      </c>
      <c r="BX39" s="892" t="str">
        <f t="shared" si="19"/>
        <v/>
      </c>
      <c r="BY39" s="892" t="str">
        <f t="shared" si="20"/>
        <v>C</v>
      </c>
      <c r="BZ39" s="892" t="str">
        <f t="shared" si="21"/>
        <v>C</v>
      </c>
      <c r="CA39" s="892" t="str">
        <f t="shared" si="22"/>
        <v/>
      </c>
      <c r="CB39" s="892" t="str">
        <f t="shared" si="23"/>
        <v/>
      </c>
      <c r="CC39" s="892" t="str">
        <f t="shared" si="24"/>
        <v/>
      </c>
      <c r="CD39" s="892" t="str">
        <f t="shared" si="25"/>
        <v/>
      </c>
      <c r="CE39" s="892" t="str">
        <f t="shared" si="26"/>
        <v/>
      </c>
      <c r="CF39" s="892" t="str">
        <f t="shared" si="27"/>
        <v/>
      </c>
      <c r="CG39" s="892" t="str">
        <f t="shared" si="28"/>
        <v>E</v>
      </c>
      <c r="CH39" s="891">
        <f>IFERROR(IF($B39&gt;0,PASHEET!AL39+PASHEET!AT39+MARKS!F39+MARKS!N39+MARKS!V39+MARKS!AD39+MARKS!AL39+MARKS!AT39+MARKS!BB39+MARKS!BJ39,""),"Ab")</f>
        <v>35</v>
      </c>
      <c r="CI39" s="891">
        <f>IFERROR(IF($B39&gt;0,PASHEET!AM39+PASHEET!AU39+MARKS!G39+MARKS!O39+MARKS!W39+MARKS!AE39+MARKS!AM39+MARKS!AU39+MARKS!BC39+MARKS!BK39,""),"Ab")</f>
        <v>14</v>
      </c>
      <c r="CJ39" s="891">
        <f>IFERROR(IF($B39&gt;0,PASHEET!AN39+PASHEET!AV39+MARKS!H39+MARKS!P39+MARKS!X39+MARKS!AF39+MARKS!AN39+MARKS!AV39+MARKS!BD39+MARKS!BL39,""),"Ab")</f>
        <v>14</v>
      </c>
      <c r="CK39" s="891">
        <f>IFERROR(IF($B39&gt;0,PASHEET!AO39+PASHEET!AW39+MARKS!I39+MARKS!Q39+MARKS!Y39+MARKS!AG39+MARKS!AO39+MARKS!AW39+MARKS!BE39+MARKS!BM39,""),"Ab")</f>
        <v>14</v>
      </c>
      <c r="CL39" s="891">
        <f>IFERROR(IF($B39&gt;0,PASHEET!AP39+PASHEET!AX39+MARKS!J39+MARKS!R39+MARKS!Z39+MARKS!AH39+MARKS!AP39+MARKS!AX39+MARKS!BF39+MARKS!BN39,""),"Ab")</f>
        <v>12</v>
      </c>
      <c r="CM39" s="891">
        <f>IFERROR(IF($B39&gt;0,PASHEET!AQ39+PASHEET!AY39+MARKS!K39+MARKS!S39+MARKS!AA39+MARKS!AI39+MARKS!AQ39+MARKS!AY39+MARKS!BG39+MARKS!BO39,""),"Ab")</f>
        <v>24</v>
      </c>
      <c r="CN39" s="891">
        <f>IFERROR(IF($B39&gt;0,PASHEET!AR39+PASHEET!AZ39+MARKS!L39+MARKS!T39+MARKS!AB39+MARKS!AJ39+MARKS!AR39+MARKS!AZ39+MARKS!BH39+MARKS!BP39,""),"Ab")</f>
        <v>0</v>
      </c>
      <c r="CO39" s="891">
        <f t="shared" si="29"/>
        <v>113</v>
      </c>
      <c r="CP39" s="893" t="str">
        <f t="shared" si="30"/>
        <v>D</v>
      </c>
      <c r="CQ39" s="893" t="str">
        <f t="shared" si="31"/>
        <v>E</v>
      </c>
      <c r="CR39" s="893" t="str">
        <f t="shared" si="32"/>
        <v>E</v>
      </c>
      <c r="CS39" s="893" t="str">
        <f t="shared" si="33"/>
        <v>E</v>
      </c>
      <c r="CT39" s="893" t="str">
        <f t="shared" si="34"/>
        <v>E</v>
      </c>
      <c r="CU39" s="893" t="str">
        <f t="shared" si="35"/>
        <v>E</v>
      </c>
      <c r="CV39" s="893">
        <f t="shared" si="36"/>
        <v>0</v>
      </c>
      <c r="CW39" s="893" t="str">
        <f t="shared" si="37"/>
        <v>E</v>
      </c>
      <c r="CX39" s="894">
        <f>IFERROR(IF($B39&gt;0,PASHEET!AL39+MARKS!F39+MARKS!N39+MARKS!V39+MARKS!AD39,""),"Ab")</f>
        <v>12</v>
      </c>
      <c r="CY39" s="894">
        <f>IFERROR(IF($B39&gt;0,PASHEET!AM39+MARKS!G39+MARKS!O39+MARKS!W39+MARKS!AE39,""),"Ab")</f>
        <v>14</v>
      </c>
      <c r="CZ39" s="894">
        <f>IFERROR(IF($B39&gt;0,PASHEET!AN39+MARKS!H39+MARKS!P39+MARKS!X39+MARKS!AF39,""),"Ab")</f>
        <v>14</v>
      </c>
      <c r="DA39" s="894">
        <f>IFERROR(IF($B39&gt;0,PASHEET!AO39+MARKS!I39+MARKS!Q39+MARKS!Y39+MARKS!AG39,""),"Ab")</f>
        <v>14</v>
      </c>
      <c r="DB39" s="894">
        <f>IFERROR(IF($B39&gt;0,PASHEET!AP39+MARKS!J39+MARKS!R39+MARKS!Z39+MARKS!AH39,""),"Ab")</f>
        <v>12</v>
      </c>
      <c r="DC39" s="894">
        <f>IFERROR(IF($B39&gt;0,PASHEET!AQ39+MARKS!K39+MARKS!S39+MARKS!AA39+MARKS!AI39,""),"Ab")</f>
        <v>24</v>
      </c>
      <c r="DD39" s="894">
        <f>IFERROR(IF($B39&gt;0,PASHEET!AR39+MARKS!L39+MARKS!T39+MARKS!AB39+MARKS!AJ39,""),"Ab")</f>
        <v>0</v>
      </c>
      <c r="DE39" s="879">
        <f t="shared" si="38"/>
        <v>90</v>
      </c>
      <c r="DF39" s="894" t="str">
        <f t="shared" si="39"/>
        <v>E</v>
      </c>
      <c r="DG39" s="894" t="str">
        <f t="shared" si="40"/>
        <v>E</v>
      </c>
      <c r="DH39" s="894" t="str">
        <f t="shared" si="41"/>
        <v>E</v>
      </c>
      <c r="DI39" s="894" t="str">
        <f t="shared" si="42"/>
        <v>E</v>
      </c>
      <c r="DJ39" s="894" t="str">
        <f t="shared" si="43"/>
        <v>E</v>
      </c>
      <c r="DK39" s="894" t="str">
        <f t="shared" si="44"/>
        <v>C</v>
      </c>
      <c r="DL39" s="894">
        <f t="shared" si="45"/>
        <v>0</v>
      </c>
      <c r="DM39" s="894" t="str">
        <f t="shared" si="46"/>
        <v>E</v>
      </c>
      <c r="DN39" s="894">
        <f>IFERROR(IF($B39&gt;0,PASHEET!AT39+MARKS!AL39+MARKS!AT39+MARKS!BB39+MARKS!BJ39,""),"Ab")</f>
        <v>23</v>
      </c>
      <c r="DO39" s="894">
        <f>IFERROR(IF($B39&gt;0,PASHEET!AU39+MARKS!AM39+MARKS!AU39+MARKS!BC39+MARKS!BK39,""),"Ab")</f>
        <v>0</v>
      </c>
      <c r="DP39" s="894">
        <f>IFERROR(IF($B39&gt;0,PASHEET!AV39+MARKS!AN39+MARKS!AV39+MARKS!BD39+MARKS!BL39,""),"Ab")</f>
        <v>0</v>
      </c>
      <c r="DQ39" s="894">
        <f>IFERROR(IF($B39&gt;0,PASHEET!AW39+MARKS!AO39+MARKS!AW39+MARKS!BE39+MARKS!BM39,""),"Ab")</f>
        <v>0</v>
      </c>
      <c r="DR39" s="894">
        <f>IFERROR(IF($B39&gt;0,PASHEET!AX39+MARKS!AP39+MARKS!AX39+MARKS!BF39+MARKS!BN39,""),"Ab")</f>
        <v>0</v>
      </c>
      <c r="DS39" s="894">
        <f>IFERROR(IF($B39&gt;0,PASHEET!AY39+MARKS!AQ39+MARKS!AY39+MARKS!BG39+MARKS!BO39,""),"Ab")</f>
        <v>0</v>
      </c>
      <c r="DT39" s="894">
        <f>IFERROR(IF($B39&gt;0,PASHEET!AZ39+MARKS!AR39+MARKS!AZ39+MARKS!BH39+MARKS!BP39,""),"Ab")</f>
        <v>0</v>
      </c>
      <c r="DU39" s="879">
        <f t="shared" si="47"/>
        <v>23</v>
      </c>
      <c r="DV39" s="894" t="str">
        <f t="shared" si="48"/>
        <v>C</v>
      </c>
      <c r="DW39" s="894">
        <f t="shared" si="49"/>
        <v>0</v>
      </c>
      <c r="DX39" s="894">
        <f t="shared" si="50"/>
        <v>0</v>
      </c>
      <c r="DY39" s="894">
        <f t="shared" si="51"/>
        <v>0</v>
      </c>
      <c r="DZ39" s="894">
        <f t="shared" si="52"/>
        <v>0</v>
      </c>
      <c r="EA39" s="894">
        <f t="shared" si="53"/>
        <v>0</v>
      </c>
      <c r="EB39" s="894">
        <f t="shared" si="54"/>
        <v>0</v>
      </c>
      <c r="EC39" s="894" t="str">
        <f t="shared" si="55"/>
        <v>E</v>
      </c>
    </row>
    <row r="40" spans="1:133">
      <c r="A40" s="879">
        <v>37</v>
      </c>
      <c r="B40" s="879">
        <f>STUDENT!F38</f>
        <v>15144</v>
      </c>
      <c r="C40" s="879">
        <f>STUDENT!D38</f>
        <v>20250310269</v>
      </c>
      <c r="D40" s="886" t="str">
        <f>STUDENT!E38</f>
        <v>MOHD AYAN</v>
      </c>
      <c r="E40" s="886" t="str">
        <f>STUDENT!H38</f>
        <v>BUDHAN MIYAN</v>
      </c>
      <c r="F40" s="887"/>
      <c r="G40" s="887"/>
      <c r="H40" s="887"/>
      <c r="I40" s="887"/>
      <c r="J40" s="887"/>
      <c r="K40" s="887"/>
      <c r="L40" s="887"/>
      <c r="M40" s="888">
        <f t="shared" si="0"/>
        <v>0</v>
      </c>
      <c r="N40" s="887"/>
      <c r="O40" s="887"/>
      <c r="P40" s="887"/>
      <c r="Q40" s="887"/>
      <c r="R40" s="887"/>
      <c r="S40" s="887"/>
      <c r="T40" s="887"/>
      <c r="U40" s="889">
        <f t="shared" si="7"/>
        <v>0</v>
      </c>
      <c r="V40" s="887"/>
      <c r="W40" s="887"/>
      <c r="X40" s="887"/>
      <c r="Y40" s="887"/>
      <c r="Z40" s="887"/>
      <c r="AA40" s="887"/>
      <c r="AB40" s="887"/>
      <c r="AC40" s="890">
        <f t="shared" si="8"/>
        <v>0</v>
      </c>
      <c r="AD40" s="887">
        <v>13</v>
      </c>
      <c r="AE40" s="887">
        <v>14</v>
      </c>
      <c r="AF40" s="887">
        <v>15</v>
      </c>
      <c r="AG40" s="887">
        <v>16</v>
      </c>
      <c r="AH40" s="887">
        <v>16</v>
      </c>
      <c r="AI40" s="887">
        <v>23</v>
      </c>
      <c r="AJ40" s="887"/>
      <c r="AK40" s="888">
        <f t="shared" si="1"/>
        <v>97</v>
      </c>
      <c r="AL40" s="887"/>
      <c r="AM40" s="887"/>
      <c r="AN40" s="887"/>
      <c r="AO40" s="887"/>
      <c r="AP40" s="887"/>
      <c r="AQ40" s="887"/>
      <c r="AR40" s="887"/>
      <c r="AS40" s="891">
        <f t="shared" si="9"/>
        <v>0</v>
      </c>
      <c r="AT40" s="887"/>
      <c r="AU40" s="887"/>
      <c r="AV40" s="887"/>
      <c r="AW40" s="887"/>
      <c r="AX40" s="887"/>
      <c r="AY40" s="887"/>
      <c r="AZ40" s="887"/>
      <c r="BA40" s="889">
        <f t="shared" si="10"/>
        <v>0</v>
      </c>
      <c r="BB40" s="887"/>
      <c r="BC40" s="887"/>
      <c r="BD40" s="887"/>
      <c r="BE40" s="887"/>
      <c r="BF40" s="887"/>
      <c r="BG40" s="887"/>
      <c r="BH40" s="887"/>
      <c r="BI40" s="890">
        <f t="shared" si="11"/>
        <v>0</v>
      </c>
      <c r="BJ40" s="887">
        <v>20</v>
      </c>
      <c r="BK40" s="887"/>
      <c r="BL40" s="887"/>
      <c r="BM40" s="887"/>
      <c r="BN40" s="887"/>
      <c r="BO40" s="887"/>
      <c r="BP40" s="887"/>
      <c r="BQ40" s="888">
        <f t="shared" si="12"/>
        <v>20</v>
      </c>
      <c r="BR40" s="892" t="str">
        <f t="shared" si="13"/>
        <v>C</v>
      </c>
      <c r="BS40" s="892" t="str">
        <f t="shared" si="14"/>
        <v>C</v>
      </c>
      <c r="BT40" s="892" t="str">
        <f t="shared" si="15"/>
        <v>C</v>
      </c>
      <c r="BU40" s="892" t="str">
        <f t="shared" si="16"/>
        <v>C</v>
      </c>
      <c r="BV40" s="892" t="str">
        <f t="shared" si="17"/>
        <v>C</v>
      </c>
      <c r="BW40" s="892" t="str">
        <f t="shared" si="18"/>
        <v>B</v>
      </c>
      <c r="BX40" s="892" t="str">
        <f t="shared" si="19"/>
        <v/>
      </c>
      <c r="BY40" s="892" t="str">
        <f t="shared" si="20"/>
        <v>C</v>
      </c>
      <c r="BZ40" s="892" t="str">
        <f t="shared" si="21"/>
        <v>C</v>
      </c>
      <c r="CA40" s="892" t="str">
        <f t="shared" si="22"/>
        <v/>
      </c>
      <c r="CB40" s="892" t="str">
        <f t="shared" si="23"/>
        <v/>
      </c>
      <c r="CC40" s="892" t="str">
        <f t="shared" si="24"/>
        <v/>
      </c>
      <c r="CD40" s="892" t="str">
        <f t="shared" si="25"/>
        <v/>
      </c>
      <c r="CE40" s="892" t="str">
        <f t="shared" si="26"/>
        <v/>
      </c>
      <c r="CF40" s="892" t="str">
        <f t="shared" si="27"/>
        <v/>
      </c>
      <c r="CG40" s="892" t="str">
        <f t="shared" si="28"/>
        <v>E</v>
      </c>
      <c r="CH40" s="891">
        <f>IFERROR(IF($B40&gt;0,PASHEET!AL40+PASHEET!AT40+MARKS!F40+MARKS!N40+MARKS!V40+MARKS!AD40+MARKS!AL40+MARKS!AT40+MARKS!BB40+MARKS!BJ40,""),"Ab")</f>
        <v>33</v>
      </c>
      <c r="CI40" s="891">
        <f>IFERROR(IF($B40&gt;0,PASHEET!AM40+PASHEET!AU40+MARKS!G40+MARKS!O40+MARKS!W40+MARKS!AE40+MARKS!AM40+MARKS!AU40+MARKS!BC40+MARKS!BK40,""),"Ab")</f>
        <v>14</v>
      </c>
      <c r="CJ40" s="891">
        <f>IFERROR(IF($B40&gt;0,PASHEET!AN40+PASHEET!AV40+MARKS!H40+MARKS!P40+MARKS!X40+MARKS!AF40+MARKS!AN40+MARKS!AV40+MARKS!BD40+MARKS!BL40,""),"Ab")</f>
        <v>15</v>
      </c>
      <c r="CK40" s="891">
        <f>IFERROR(IF($B40&gt;0,PASHEET!AO40+PASHEET!AW40+MARKS!I40+MARKS!Q40+MARKS!Y40+MARKS!AG40+MARKS!AO40+MARKS!AW40+MARKS!BE40+MARKS!BM40,""),"Ab")</f>
        <v>16</v>
      </c>
      <c r="CL40" s="891">
        <f>IFERROR(IF($B40&gt;0,PASHEET!AP40+PASHEET!AX40+MARKS!J40+MARKS!R40+MARKS!Z40+MARKS!AH40+MARKS!AP40+MARKS!AX40+MARKS!BF40+MARKS!BN40,""),"Ab")</f>
        <v>16</v>
      </c>
      <c r="CM40" s="891">
        <f>IFERROR(IF($B40&gt;0,PASHEET!AQ40+PASHEET!AY40+MARKS!K40+MARKS!S40+MARKS!AA40+MARKS!AI40+MARKS!AQ40+MARKS!AY40+MARKS!BG40+MARKS!BO40,""),"Ab")</f>
        <v>23</v>
      </c>
      <c r="CN40" s="891">
        <f>IFERROR(IF($B40&gt;0,PASHEET!AR40+PASHEET!AZ40+MARKS!L40+MARKS!T40+MARKS!AB40+MARKS!AJ40+MARKS!AR40+MARKS!AZ40+MARKS!BH40+MARKS!BP40,""),"Ab")</f>
        <v>0</v>
      </c>
      <c r="CO40" s="891">
        <f t="shared" si="29"/>
        <v>117</v>
      </c>
      <c r="CP40" s="893" t="str">
        <f t="shared" si="30"/>
        <v>E</v>
      </c>
      <c r="CQ40" s="893" t="str">
        <f t="shared" si="31"/>
        <v>E</v>
      </c>
      <c r="CR40" s="893" t="str">
        <f t="shared" si="32"/>
        <v>E</v>
      </c>
      <c r="CS40" s="893" t="str">
        <f t="shared" si="33"/>
        <v>E</v>
      </c>
      <c r="CT40" s="893" t="str">
        <f t="shared" si="34"/>
        <v>E</v>
      </c>
      <c r="CU40" s="893" t="str">
        <f t="shared" si="35"/>
        <v>E</v>
      </c>
      <c r="CV40" s="893">
        <f t="shared" si="36"/>
        <v>0</v>
      </c>
      <c r="CW40" s="893" t="str">
        <f t="shared" si="37"/>
        <v>E</v>
      </c>
      <c r="CX40" s="894">
        <f>IFERROR(IF($B40&gt;0,PASHEET!AL40+MARKS!F40+MARKS!N40+MARKS!V40+MARKS!AD40,""),"Ab")</f>
        <v>13</v>
      </c>
      <c r="CY40" s="894">
        <f>IFERROR(IF($B40&gt;0,PASHEET!AM40+MARKS!G40+MARKS!O40+MARKS!W40+MARKS!AE40,""),"Ab")</f>
        <v>14</v>
      </c>
      <c r="CZ40" s="894">
        <f>IFERROR(IF($B40&gt;0,PASHEET!AN40+MARKS!H40+MARKS!P40+MARKS!X40+MARKS!AF40,""),"Ab")</f>
        <v>15</v>
      </c>
      <c r="DA40" s="894">
        <f>IFERROR(IF($B40&gt;0,PASHEET!AO40+MARKS!I40+MARKS!Q40+MARKS!Y40+MARKS!AG40,""),"Ab")</f>
        <v>16</v>
      </c>
      <c r="DB40" s="894">
        <f>IFERROR(IF($B40&gt;0,PASHEET!AP40+MARKS!J40+MARKS!R40+MARKS!Z40+MARKS!AH40,""),"Ab")</f>
        <v>16</v>
      </c>
      <c r="DC40" s="894">
        <f>IFERROR(IF($B40&gt;0,PASHEET!AQ40+MARKS!K40+MARKS!S40+MARKS!AA40+MARKS!AI40,""),"Ab")</f>
        <v>23</v>
      </c>
      <c r="DD40" s="894">
        <f>IFERROR(IF($B40&gt;0,PASHEET!AR40+MARKS!L40+MARKS!T40+MARKS!AB40+MARKS!AJ40,""),"Ab")</f>
        <v>0</v>
      </c>
      <c r="DE40" s="879">
        <f t="shared" si="38"/>
        <v>97</v>
      </c>
      <c r="DF40" s="894" t="str">
        <f t="shared" si="39"/>
        <v>E</v>
      </c>
      <c r="DG40" s="894" t="str">
        <f t="shared" si="40"/>
        <v>E</v>
      </c>
      <c r="DH40" s="894" t="str">
        <f t="shared" si="41"/>
        <v>E</v>
      </c>
      <c r="DI40" s="894" t="str">
        <f t="shared" si="42"/>
        <v>D</v>
      </c>
      <c r="DJ40" s="894" t="str">
        <f t="shared" si="43"/>
        <v>D</v>
      </c>
      <c r="DK40" s="894" t="str">
        <f t="shared" si="44"/>
        <v>C</v>
      </c>
      <c r="DL40" s="894">
        <f t="shared" si="45"/>
        <v>0</v>
      </c>
      <c r="DM40" s="894" t="str">
        <f t="shared" si="46"/>
        <v>E</v>
      </c>
      <c r="DN40" s="894">
        <f>IFERROR(IF($B40&gt;0,PASHEET!AT40+MARKS!AL40+MARKS!AT40+MARKS!BB40+MARKS!BJ40,""),"Ab")</f>
        <v>20</v>
      </c>
      <c r="DO40" s="894">
        <f>IFERROR(IF($B40&gt;0,PASHEET!AU40+MARKS!AM40+MARKS!AU40+MARKS!BC40+MARKS!BK40,""),"Ab")</f>
        <v>0</v>
      </c>
      <c r="DP40" s="894">
        <f>IFERROR(IF($B40&gt;0,PASHEET!AV40+MARKS!AN40+MARKS!AV40+MARKS!BD40+MARKS!BL40,""),"Ab")</f>
        <v>0</v>
      </c>
      <c r="DQ40" s="894">
        <f>IFERROR(IF($B40&gt;0,PASHEET!AW40+MARKS!AO40+MARKS!AW40+MARKS!BE40+MARKS!BM40,""),"Ab")</f>
        <v>0</v>
      </c>
      <c r="DR40" s="894">
        <f>IFERROR(IF($B40&gt;0,PASHEET!AX40+MARKS!AP40+MARKS!AX40+MARKS!BF40+MARKS!BN40,""),"Ab")</f>
        <v>0</v>
      </c>
      <c r="DS40" s="894">
        <f>IFERROR(IF($B40&gt;0,PASHEET!AY40+MARKS!AQ40+MARKS!AY40+MARKS!BG40+MARKS!BO40,""),"Ab")</f>
        <v>0</v>
      </c>
      <c r="DT40" s="894">
        <f>IFERROR(IF($B40&gt;0,PASHEET!AZ40+MARKS!AR40+MARKS!AZ40+MARKS!BH40+MARKS!BP40,""),"Ab")</f>
        <v>0</v>
      </c>
      <c r="DU40" s="879">
        <f t="shared" si="47"/>
        <v>20</v>
      </c>
      <c r="DV40" s="894" t="str">
        <f t="shared" si="48"/>
        <v>D</v>
      </c>
      <c r="DW40" s="894">
        <f t="shared" si="49"/>
        <v>0</v>
      </c>
      <c r="DX40" s="894">
        <f t="shared" si="50"/>
        <v>0</v>
      </c>
      <c r="DY40" s="894">
        <f t="shared" si="51"/>
        <v>0</v>
      </c>
      <c r="DZ40" s="894">
        <f t="shared" si="52"/>
        <v>0</v>
      </c>
      <c r="EA40" s="894">
        <f t="shared" si="53"/>
        <v>0</v>
      </c>
      <c r="EB40" s="894">
        <f t="shared" si="54"/>
        <v>0</v>
      </c>
      <c r="EC40" s="894" t="str">
        <f t="shared" si="55"/>
        <v>E</v>
      </c>
    </row>
    <row r="41" spans="1:133">
      <c r="A41" s="879">
        <v>38</v>
      </c>
      <c r="B41" s="879">
        <f>STUDENT!F39</f>
        <v>15145</v>
      </c>
      <c r="C41" s="879">
        <f>STUDENT!D39</f>
        <v>20250310277</v>
      </c>
      <c r="D41" s="886" t="str">
        <f>STUDENT!E39</f>
        <v>RAJA KUMAR</v>
      </c>
      <c r="E41" s="886" t="str">
        <f>STUDENT!H39</f>
        <v>AMAR PODDAR</v>
      </c>
      <c r="F41" s="887"/>
      <c r="G41" s="887"/>
      <c r="H41" s="887"/>
      <c r="I41" s="887"/>
      <c r="J41" s="887"/>
      <c r="K41" s="887"/>
      <c r="L41" s="887"/>
      <c r="M41" s="888">
        <f t="shared" si="0"/>
        <v>0</v>
      </c>
      <c r="N41" s="887"/>
      <c r="O41" s="887"/>
      <c r="P41" s="887"/>
      <c r="Q41" s="887"/>
      <c r="R41" s="887"/>
      <c r="S41" s="887"/>
      <c r="T41" s="887"/>
      <c r="U41" s="889">
        <f t="shared" si="7"/>
        <v>0</v>
      </c>
      <c r="V41" s="887"/>
      <c r="W41" s="887"/>
      <c r="X41" s="887"/>
      <c r="Y41" s="887"/>
      <c r="Z41" s="887"/>
      <c r="AA41" s="887"/>
      <c r="AB41" s="887"/>
      <c r="AC41" s="890">
        <f t="shared" si="8"/>
        <v>0</v>
      </c>
      <c r="AD41" s="887">
        <v>13</v>
      </c>
      <c r="AE41" s="887">
        <v>12</v>
      </c>
      <c r="AF41" s="887">
        <v>12</v>
      </c>
      <c r="AG41" s="887">
        <v>13</v>
      </c>
      <c r="AH41" s="887">
        <v>17</v>
      </c>
      <c r="AI41" s="887">
        <v>25</v>
      </c>
      <c r="AJ41" s="887"/>
      <c r="AK41" s="888">
        <f t="shared" si="1"/>
        <v>92</v>
      </c>
      <c r="AL41" s="887"/>
      <c r="AM41" s="887"/>
      <c r="AN41" s="887"/>
      <c r="AO41" s="887"/>
      <c r="AP41" s="887"/>
      <c r="AQ41" s="887"/>
      <c r="AR41" s="887"/>
      <c r="AS41" s="891">
        <f t="shared" si="9"/>
        <v>0</v>
      </c>
      <c r="AT41" s="887"/>
      <c r="AU41" s="887"/>
      <c r="AV41" s="887"/>
      <c r="AW41" s="887"/>
      <c r="AX41" s="887"/>
      <c r="AY41" s="887"/>
      <c r="AZ41" s="887"/>
      <c r="BA41" s="889">
        <f t="shared" si="10"/>
        <v>0</v>
      </c>
      <c r="BB41" s="887"/>
      <c r="BC41" s="887"/>
      <c r="BD41" s="887"/>
      <c r="BE41" s="887"/>
      <c r="BF41" s="887"/>
      <c r="BG41" s="887"/>
      <c r="BH41" s="887"/>
      <c r="BI41" s="890">
        <f t="shared" si="11"/>
        <v>0</v>
      </c>
      <c r="BJ41" s="887">
        <v>15</v>
      </c>
      <c r="BK41" s="887"/>
      <c r="BL41" s="887"/>
      <c r="BM41" s="887"/>
      <c r="BN41" s="887"/>
      <c r="BO41" s="887"/>
      <c r="BP41" s="887"/>
      <c r="BQ41" s="888">
        <f t="shared" si="12"/>
        <v>15</v>
      </c>
      <c r="BR41" s="892" t="str">
        <f t="shared" si="13"/>
        <v>C</v>
      </c>
      <c r="BS41" s="892" t="str">
        <f t="shared" si="14"/>
        <v>D</v>
      </c>
      <c r="BT41" s="892" t="str">
        <f t="shared" si="15"/>
        <v>D</v>
      </c>
      <c r="BU41" s="892" t="str">
        <f t="shared" si="16"/>
        <v>C</v>
      </c>
      <c r="BV41" s="892" t="str">
        <f t="shared" si="17"/>
        <v>C</v>
      </c>
      <c r="BW41" s="892" t="str">
        <f t="shared" si="18"/>
        <v>A</v>
      </c>
      <c r="BX41" s="892" t="str">
        <f t="shared" si="19"/>
        <v/>
      </c>
      <c r="BY41" s="892" t="str">
        <f t="shared" si="20"/>
        <v>C</v>
      </c>
      <c r="BZ41" s="892" t="str">
        <f t="shared" si="21"/>
        <v>C</v>
      </c>
      <c r="CA41" s="892" t="str">
        <f t="shared" si="22"/>
        <v/>
      </c>
      <c r="CB41" s="892" t="str">
        <f t="shared" si="23"/>
        <v/>
      </c>
      <c r="CC41" s="892" t="str">
        <f t="shared" si="24"/>
        <v/>
      </c>
      <c r="CD41" s="892" t="str">
        <f t="shared" si="25"/>
        <v/>
      </c>
      <c r="CE41" s="892" t="str">
        <f t="shared" si="26"/>
        <v/>
      </c>
      <c r="CF41" s="892" t="str">
        <f t="shared" si="27"/>
        <v/>
      </c>
      <c r="CG41" s="892" t="str">
        <f t="shared" si="28"/>
        <v>E</v>
      </c>
      <c r="CH41" s="891">
        <f>IFERROR(IF($B41&gt;0,PASHEET!AL41+PASHEET!AT41+MARKS!F41+MARKS!N41+MARKS!V41+MARKS!AD41+MARKS!AL41+MARKS!AT41+MARKS!BB41+MARKS!BJ41,""),"Ab")</f>
        <v>28</v>
      </c>
      <c r="CI41" s="891">
        <f>IFERROR(IF($B41&gt;0,PASHEET!AM41+PASHEET!AU41+MARKS!G41+MARKS!O41+MARKS!W41+MARKS!AE41+MARKS!AM41+MARKS!AU41+MARKS!BC41+MARKS!BK41,""),"Ab")</f>
        <v>12</v>
      </c>
      <c r="CJ41" s="891">
        <f>IFERROR(IF($B41&gt;0,PASHEET!AN41+PASHEET!AV41+MARKS!H41+MARKS!P41+MARKS!X41+MARKS!AF41+MARKS!AN41+MARKS!AV41+MARKS!BD41+MARKS!BL41,""),"Ab")</f>
        <v>12</v>
      </c>
      <c r="CK41" s="891">
        <f>IFERROR(IF($B41&gt;0,PASHEET!AO41+PASHEET!AW41+MARKS!I41+MARKS!Q41+MARKS!Y41+MARKS!AG41+MARKS!AO41+MARKS!AW41+MARKS!BE41+MARKS!BM41,""),"Ab")</f>
        <v>13</v>
      </c>
      <c r="CL41" s="891">
        <f>IFERROR(IF($B41&gt;0,PASHEET!AP41+PASHEET!AX41+MARKS!J41+MARKS!R41+MARKS!Z41+MARKS!AH41+MARKS!AP41+MARKS!AX41+MARKS!BF41+MARKS!BN41,""),"Ab")</f>
        <v>17</v>
      </c>
      <c r="CM41" s="891">
        <f>IFERROR(IF($B41&gt;0,PASHEET!AQ41+PASHEET!AY41+MARKS!K41+MARKS!S41+MARKS!AA41+MARKS!AI41+MARKS!AQ41+MARKS!AY41+MARKS!BG41+MARKS!BO41,""),"Ab")</f>
        <v>25</v>
      </c>
      <c r="CN41" s="891">
        <f>IFERROR(IF($B41&gt;0,PASHEET!AR41+PASHEET!AZ41+MARKS!L41+MARKS!T41+MARKS!AB41+MARKS!AJ41+MARKS!AR41+MARKS!AZ41+MARKS!BH41+MARKS!BP41,""),"Ab")</f>
        <v>0</v>
      </c>
      <c r="CO41" s="891">
        <f t="shared" si="29"/>
        <v>107</v>
      </c>
      <c r="CP41" s="893" t="str">
        <f t="shared" si="30"/>
        <v>E</v>
      </c>
      <c r="CQ41" s="893" t="str">
        <f t="shared" si="31"/>
        <v>E</v>
      </c>
      <c r="CR41" s="893" t="str">
        <f t="shared" si="32"/>
        <v>E</v>
      </c>
      <c r="CS41" s="893" t="str">
        <f t="shared" si="33"/>
        <v>E</v>
      </c>
      <c r="CT41" s="893" t="str">
        <f t="shared" si="34"/>
        <v>E</v>
      </c>
      <c r="CU41" s="893" t="str">
        <f t="shared" si="35"/>
        <v>E</v>
      </c>
      <c r="CV41" s="893">
        <f t="shared" si="36"/>
        <v>0</v>
      </c>
      <c r="CW41" s="893" t="str">
        <f t="shared" si="37"/>
        <v>E</v>
      </c>
      <c r="CX41" s="894">
        <f>IFERROR(IF($B41&gt;0,PASHEET!AL41+MARKS!F41+MARKS!N41+MARKS!V41+MARKS!AD41,""),"Ab")</f>
        <v>13</v>
      </c>
      <c r="CY41" s="894">
        <f>IFERROR(IF($B41&gt;0,PASHEET!AM41+MARKS!G41+MARKS!O41+MARKS!W41+MARKS!AE41,""),"Ab")</f>
        <v>12</v>
      </c>
      <c r="CZ41" s="894">
        <f>IFERROR(IF($B41&gt;0,PASHEET!AN41+MARKS!H41+MARKS!P41+MARKS!X41+MARKS!AF41,""),"Ab")</f>
        <v>12</v>
      </c>
      <c r="DA41" s="894">
        <f>IFERROR(IF($B41&gt;0,PASHEET!AO41+MARKS!I41+MARKS!Q41+MARKS!Y41+MARKS!AG41,""),"Ab")</f>
        <v>13</v>
      </c>
      <c r="DB41" s="894">
        <f>IFERROR(IF($B41&gt;0,PASHEET!AP41+MARKS!J41+MARKS!R41+MARKS!Z41+MARKS!AH41,""),"Ab")</f>
        <v>17</v>
      </c>
      <c r="DC41" s="894">
        <f>IFERROR(IF($B41&gt;0,PASHEET!AQ41+MARKS!K41+MARKS!S41+MARKS!AA41+MARKS!AI41,""),"Ab")</f>
        <v>25</v>
      </c>
      <c r="DD41" s="894">
        <f>IFERROR(IF($B41&gt;0,PASHEET!AR41+MARKS!L41+MARKS!T41+MARKS!AB41+MARKS!AJ41,""),"Ab")</f>
        <v>0</v>
      </c>
      <c r="DE41" s="879">
        <f t="shared" si="38"/>
        <v>92</v>
      </c>
      <c r="DF41" s="894" t="str">
        <f t="shared" si="39"/>
        <v>E</v>
      </c>
      <c r="DG41" s="894" t="str">
        <f t="shared" si="40"/>
        <v>E</v>
      </c>
      <c r="DH41" s="894" t="str">
        <f t="shared" si="41"/>
        <v>E</v>
      </c>
      <c r="DI41" s="894" t="str">
        <f t="shared" si="42"/>
        <v>E</v>
      </c>
      <c r="DJ41" s="894" t="str">
        <f t="shared" si="43"/>
        <v>D</v>
      </c>
      <c r="DK41" s="894" t="str">
        <f t="shared" si="44"/>
        <v>C</v>
      </c>
      <c r="DL41" s="894">
        <f t="shared" si="45"/>
        <v>0</v>
      </c>
      <c r="DM41" s="894" t="str">
        <f t="shared" si="46"/>
        <v>E</v>
      </c>
      <c r="DN41" s="894">
        <f>IFERROR(IF($B41&gt;0,PASHEET!AT41+MARKS!AL41+MARKS!AT41+MARKS!BB41+MARKS!BJ41,""),"Ab")</f>
        <v>15</v>
      </c>
      <c r="DO41" s="894">
        <f>IFERROR(IF($B41&gt;0,PASHEET!AU41+MARKS!AM41+MARKS!AU41+MARKS!BC41+MARKS!BK41,""),"Ab")</f>
        <v>0</v>
      </c>
      <c r="DP41" s="894">
        <f>IFERROR(IF($B41&gt;0,PASHEET!AV41+MARKS!AN41+MARKS!AV41+MARKS!BD41+MARKS!BL41,""),"Ab")</f>
        <v>0</v>
      </c>
      <c r="DQ41" s="894">
        <f>IFERROR(IF($B41&gt;0,PASHEET!AW41+MARKS!AO41+MARKS!AW41+MARKS!BE41+MARKS!BM41,""),"Ab")</f>
        <v>0</v>
      </c>
      <c r="DR41" s="894">
        <f>IFERROR(IF($B41&gt;0,PASHEET!AX41+MARKS!AP41+MARKS!AX41+MARKS!BF41+MARKS!BN41,""),"Ab")</f>
        <v>0</v>
      </c>
      <c r="DS41" s="894">
        <f>IFERROR(IF($B41&gt;0,PASHEET!AY41+MARKS!AQ41+MARKS!AY41+MARKS!BG41+MARKS!BO41,""),"Ab")</f>
        <v>0</v>
      </c>
      <c r="DT41" s="894">
        <f>IFERROR(IF($B41&gt;0,PASHEET!AZ41+MARKS!AR41+MARKS!AZ41+MARKS!BH41+MARKS!BP41,""),"Ab")</f>
        <v>0</v>
      </c>
      <c r="DU41" s="879">
        <f t="shared" si="47"/>
        <v>15</v>
      </c>
      <c r="DV41" s="894" t="str">
        <f t="shared" si="48"/>
        <v>E</v>
      </c>
      <c r="DW41" s="894">
        <f t="shared" si="49"/>
        <v>0</v>
      </c>
      <c r="DX41" s="894">
        <f t="shared" si="50"/>
        <v>0</v>
      </c>
      <c r="DY41" s="894">
        <f t="shared" si="51"/>
        <v>0</v>
      </c>
      <c r="DZ41" s="894">
        <f t="shared" si="52"/>
        <v>0</v>
      </c>
      <c r="EA41" s="894">
        <f t="shared" si="53"/>
        <v>0</v>
      </c>
      <c r="EB41" s="894">
        <f t="shared" si="54"/>
        <v>0</v>
      </c>
      <c r="EC41" s="894" t="str">
        <f t="shared" si="55"/>
        <v>E</v>
      </c>
    </row>
    <row r="42" spans="1:133">
      <c r="A42" s="879">
        <v>39</v>
      </c>
      <c r="B42" s="879">
        <f>STUDENT!F40</f>
        <v>15149</v>
      </c>
      <c r="C42" s="879">
        <f>STUDENT!D40</f>
        <v>20250325088</v>
      </c>
      <c r="D42" s="886" t="str">
        <f>STUDENT!E40</f>
        <v>LOVECESH KUMAR</v>
      </c>
      <c r="E42" s="886" t="str">
        <f>STUDENT!H40</f>
        <v>SANDEEP KUMAR</v>
      </c>
      <c r="F42" s="887"/>
      <c r="G42" s="887"/>
      <c r="H42" s="887"/>
      <c r="I42" s="887"/>
      <c r="J42" s="887"/>
      <c r="K42" s="887"/>
      <c r="L42" s="887"/>
      <c r="M42" s="888">
        <f t="shared" si="0"/>
        <v>0</v>
      </c>
      <c r="N42" s="887"/>
      <c r="O42" s="887"/>
      <c r="P42" s="887"/>
      <c r="Q42" s="887"/>
      <c r="R42" s="887"/>
      <c r="S42" s="887"/>
      <c r="T42" s="887"/>
      <c r="U42" s="889">
        <f t="shared" si="7"/>
        <v>0</v>
      </c>
      <c r="V42" s="887"/>
      <c r="W42" s="887"/>
      <c r="X42" s="887"/>
      <c r="Y42" s="887"/>
      <c r="Z42" s="887"/>
      <c r="AA42" s="887"/>
      <c r="AB42" s="887"/>
      <c r="AC42" s="890">
        <f t="shared" si="8"/>
        <v>0</v>
      </c>
      <c r="AD42" s="887">
        <v>11</v>
      </c>
      <c r="AE42" s="887">
        <v>21</v>
      </c>
      <c r="AF42" s="887">
        <v>15</v>
      </c>
      <c r="AG42" s="887">
        <v>13</v>
      </c>
      <c r="AH42" s="887">
        <v>16</v>
      </c>
      <c r="AI42" s="887">
        <v>20</v>
      </c>
      <c r="AJ42" s="887"/>
      <c r="AK42" s="888">
        <f t="shared" si="1"/>
        <v>96</v>
      </c>
      <c r="AL42" s="887"/>
      <c r="AM42" s="887"/>
      <c r="AN42" s="887"/>
      <c r="AO42" s="887"/>
      <c r="AP42" s="887"/>
      <c r="AQ42" s="887"/>
      <c r="AR42" s="887"/>
      <c r="AS42" s="891">
        <f t="shared" si="9"/>
        <v>0</v>
      </c>
      <c r="AT42" s="887"/>
      <c r="AU42" s="887"/>
      <c r="AV42" s="887"/>
      <c r="AW42" s="887"/>
      <c r="AX42" s="887"/>
      <c r="AY42" s="887"/>
      <c r="AZ42" s="887"/>
      <c r="BA42" s="889">
        <f t="shared" si="10"/>
        <v>0</v>
      </c>
      <c r="BB42" s="887"/>
      <c r="BC42" s="887"/>
      <c r="BD42" s="887"/>
      <c r="BE42" s="887"/>
      <c r="BF42" s="887"/>
      <c r="BG42" s="887"/>
      <c r="BH42" s="887"/>
      <c r="BI42" s="890">
        <f t="shared" si="11"/>
        <v>0</v>
      </c>
      <c r="BJ42" s="887">
        <v>20</v>
      </c>
      <c r="BK42" s="887"/>
      <c r="BL42" s="887"/>
      <c r="BM42" s="887"/>
      <c r="BN42" s="887"/>
      <c r="BO42" s="887"/>
      <c r="BP42" s="887"/>
      <c r="BQ42" s="888">
        <f t="shared" si="12"/>
        <v>20</v>
      </c>
      <c r="BR42" s="892" t="str">
        <f t="shared" si="13"/>
        <v>D</v>
      </c>
      <c r="BS42" s="892" t="str">
        <f t="shared" si="14"/>
        <v>B</v>
      </c>
      <c r="BT42" s="892" t="str">
        <f t="shared" si="15"/>
        <v>C</v>
      </c>
      <c r="BU42" s="892" t="str">
        <f t="shared" si="16"/>
        <v>C</v>
      </c>
      <c r="BV42" s="892" t="str">
        <f t="shared" si="17"/>
        <v>C</v>
      </c>
      <c r="BW42" s="892" t="str">
        <f t="shared" si="18"/>
        <v>B</v>
      </c>
      <c r="BX42" s="892" t="str">
        <f t="shared" si="19"/>
        <v/>
      </c>
      <c r="BY42" s="892" t="str">
        <f t="shared" si="20"/>
        <v>C</v>
      </c>
      <c r="BZ42" s="892" t="str">
        <f t="shared" si="21"/>
        <v>C</v>
      </c>
      <c r="CA42" s="892" t="str">
        <f t="shared" si="22"/>
        <v/>
      </c>
      <c r="CB42" s="892" t="str">
        <f t="shared" si="23"/>
        <v/>
      </c>
      <c r="CC42" s="892" t="str">
        <f t="shared" si="24"/>
        <v/>
      </c>
      <c r="CD42" s="892" t="str">
        <f t="shared" si="25"/>
        <v/>
      </c>
      <c r="CE42" s="892" t="str">
        <f t="shared" si="26"/>
        <v/>
      </c>
      <c r="CF42" s="892" t="str">
        <f t="shared" si="27"/>
        <v/>
      </c>
      <c r="CG42" s="892" t="str">
        <f t="shared" si="28"/>
        <v>E</v>
      </c>
      <c r="CH42" s="891">
        <f>IFERROR(IF($B42&gt;0,PASHEET!AL42+PASHEET!AT42+MARKS!F42+MARKS!N42+MARKS!V42+MARKS!AD42+MARKS!AL42+MARKS!AT42+MARKS!BB42+MARKS!BJ42,""),"Ab")</f>
        <v>31</v>
      </c>
      <c r="CI42" s="891">
        <f>IFERROR(IF($B42&gt;0,PASHEET!AM42+PASHEET!AU42+MARKS!G42+MARKS!O42+MARKS!W42+MARKS!AE42+MARKS!AM42+MARKS!AU42+MARKS!BC42+MARKS!BK42,""),"Ab")</f>
        <v>21</v>
      </c>
      <c r="CJ42" s="891">
        <f>IFERROR(IF($B42&gt;0,PASHEET!AN42+PASHEET!AV42+MARKS!H42+MARKS!P42+MARKS!X42+MARKS!AF42+MARKS!AN42+MARKS!AV42+MARKS!BD42+MARKS!BL42,""),"Ab")</f>
        <v>15</v>
      </c>
      <c r="CK42" s="891">
        <f>IFERROR(IF($B42&gt;0,PASHEET!AO42+PASHEET!AW42+MARKS!I42+MARKS!Q42+MARKS!Y42+MARKS!AG42+MARKS!AO42+MARKS!AW42+MARKS!BE42+MARKS!BM42,""),"Ab")</f>
        <v>13</v>
      </c>
      <c r="CL42" s="891">
        <f>IFERROR(IF($B42&gt;0,PASHEET!AP42+PASHEET!AX42+MARKS!J42+MARKS!R42+MARKS!Z42+MARKS!AH42+MARKS!AP42+MARKS!AX42+MARKS!BF42+MARKS!BN42,""),"Ab")</f>
        <v>16</v>
      </c>
      <c r="CM42" s="891">
        <f>IFERROR(IF($B42&gt;0,PASHEET!AQ42+PASHEET!AY42+MARKS!K42+MARKS!S42+MARKS!AA42+MARKS!AI42+MARKS!AQ42+MARKS!AY42+MARKS!BG42+MARKS!BO42,""),"Ab")</f>
        <v>20</v>
      </c>
      <c r="CN42" s="891">
        <f>IFERROR(IF($B42&gt;0,PASHEET!AR42+PASHEET!AZ42+MARKS!L42+MARKS!T42+MARKS!AB42+MARKS!AJ42+MARKS!AR42+MARKS!AZ42+MARKS!BH42+MARKS!BP42,""),"Ab")</f>
        <v>0</v>
      </c>
      <c r="CO42" s="891">
        <f t="shared" si="29"/>
        <v>116</v>
      </c>
      <c r="CP42" s="893" t="str">
        <f t="shared" si="30"/>
        <v>E</v>
      </c>
      <c r="CQ42" s="893" t="str">
        <f t="shared" si="31"/>
        <v>E</v>
      </c>
      <c r="CR42" s="893" t="str">
        <f t="shared" si="32"/>
        <v>E</v>
      </c>
      <c r="CS42" s="893" t="str">
        <f t="shared" si="33"/>
        <v>E</v>
      </c>
      <c r="CT42" s="893" t="str">
        <f t="shared" si="34"/>
        <v>E</v>
      </c>
      <c r="CU42" s="893" t="str">
        <f t="shared" si="35"/>
        <v>E</v>
      </c>
      <c r="CV42" s="893">
        <f t="shared" si="36"/>
        <v>0</v>
      </c>
      <c r="CW42" s="893" t="str">
        <f t="shared" si="37"/>
        <v>E</v>
      </c>
      <c r="CX42" s="894">
        <f>IFERROR(IF($B42&gt;0,PASHEET!AL42+MARKS!F42+MARKS!N42+MARKS!V42+MARKS!AD42,""),"Ab")</f>
        <v>11</v>
      </c>
      <c r="CY42" s="894">
        <f>IFERROR(IF($B42&gt;0,PASHEET!AM42+MARKS!G42+MARKS!O42+MARKS!W42+MARKS!AE42,""),"Ab")</f>
        <v>21</v>
      </c>
      <c r="CZ42" s="894">
        <f>IFERROR(IF($B42&gt;0,PASHEET!AN42+MARKS!H42+MARKS!P42+MARKS!X42+MARKS!AF42,""),"Ab")</f>
        <v>15</v>
      </c>
      <c r="DA42" s="894">
        <f>IFERROR(IF($B42&gt;0,PASHEET!AO42+MARKS!I42+MARKS!Q42+MARKS!Y42+MARKS!AG42,""),"Ab")</f>
        <v>13</v>
      </c>
      <c r="DB42" s="894">
        <f>IFERROR(IF($B42&gt;0,PASHEET!AP42+MARKS!J42+MARKS!R42+MARKS!Z42+MARKS!AH42,""),"Ab")</f>
        <v>16</v>
      </c>
      <c r="DC42" s="894">
        <f>IFERROR(IF($B42&gt;0,PASHEET!AQ42+MARKS!K42+MARKS!S42+MARKS!AA42+MARKS!AI42,""),"Ab")</f>
        <v>20</v>
      </c>
      <c r="DD42" s="894">
        <f>IFERROR(IF($B42&gt;0,PASHEET!AR42+MARKS!L42+MARKS!T42+MARKS!AB42+MARKS!AJ42,""),"Ab")</f>
        <v>0</v>
      </c>
      <c r="DE42" s="879">
        <f t="shared" si="38"/>
        <v>96</v>
      </c>
      <c r="DF42" s="894" t="str">
        <f t="shared" si="39"/>
        <v>E</v>
      </c>
      <c r="DG42" s="894" t="str">
        <f t="shared" si="40"/>
        <v>D</v>
      </c>
      <c r="DH42" s="894" t="str">
        <f t="shared" si="41"/>
        <v>E</v>
      </c>
      <c r="DI42" s="894" t="str">
        <f t="shared" si="42"/>
        <v>E</v>
      </c>
      <c r="DJ42" s="894" t="str">
        <f t="shared" si="43"/>
        <v>D</v>
      </c>
      <c r="DK42" s="894" t="str">
        <f t="shared" si="44"/>
        <v>D</v>
      </c>
      <c r="DL42" s="894">
        <f t="shared" si="45"/>
        <v>0</v>
      </c>
      <c r="DM42" s="894" t="str">
        <f t="shared" si="46"/>
        <v>E</v>
      </c>
      <c r="DN42" s="894">
        <f>IFERROR(IF($B42&gt;0,PASHEET!AT42+MARKS!AL42+MARKS!AT42+MARKS!BB42+MARKS!BJ42,""),"Ab")</f>
        <v>20</v>
      </c>
      <c r="DO42" s="894">
        <f>IFERROR(IF($B42&gt;0,PASHEET!AU42+MARKS!AM42+MARKS!AU42+MARKS!BC42+MARKS!BK42,""),"Ab")</f>
        <v>0</v>
      </c>
      <c r="DP42" s="894">
        <f>IFERROR(IF($B42&gt;0,PASHEET!AV42+MARKS!AN42+MARKS!AV42+MARKS!BD42+MARKS!BL42,""),"Ab")</f>
        <v>0</v>
      </c>
      <c r="DQ42" s="894">
        <f>IFERROR(IF($B42&gt;0,PASHEET!AW42+MARKS!AO42+MARKS!AW42+MARKS!BE42+MARKS!BM42,""),"Ab")</f>
        <v>0</v>
      </c>
      <c r="DR42" s="894">
        <f>IFERROR(IF($B42&gt;0,PASHEET!AX42+MARKS!AP42+MARKS!AX42+MARKS!BF42+MARKS!BN42,""),"Ab")</f>
        <v>0</v>
      </c>
      <c r="DS42" s="894">
        <f>IFERROR(IF($B42&gt;0,PASHEET!AY42+MARKS!AQ42+MARKS!AY42+MARKS!BG42+MARKS!BO42,""),"Ab")</f>
        <v>0</v>
      </c>
      <c r="DT42" s="894">
        <f>IFERROR(IF($B42&gt;0,PASHEET!AZ42+MARKS!AR42+MARKS!AZ42+MARKS!BH42+MARKS!BP42,""),"Ab")</f>
        <v>0</v>
      </c>
      <c r="DU42" s="879">
        <f t="shared" si="47"/>
        <v>20</v>
      </c>
      <c r="DV42" s="894" t="str">
        <f t="shared" si="48"/>
        <v>D</v>
      </c>
      <c r="DW42" s="894">
        <f t="shared" si="49"/>
        <v>0</v>
      </c>
      <c r="DX42" s="894">
        <f t="shared" si="50"/>
        <v>0</v>
      </c>
      <c r="DY42" s="894">
        <f t="shared" si="51"/>
        <v>0</v>
      </c>
      <c r="DZ42" s="894">
        <f t="shared" si="52"/>
        <v>0</v>
      </c>
      <c r="EA42" s="894">
        <f t="shared" si="53"/>
        <v>0</v>
      </c>
      <c r="EB42" s="894">
        <f t="shared" si="54"/>
        <v>0</v>
      </c>
      <c r="EC42" s="894" t="str">
        <f t="shared" si="55"/>
        <v>E</v>
      </c>
    </row>
    <row r="43" spans="1:133">
      <c r="A43" s="879">
        <v>40</v>
      </c>
      <c r="B43" s="879">
        <f>STUDENT!F41</f>
        <v>0</v>
      </c>
      <c r="C43" s="879">
        <f>STUDENT!D41</f>
        <v>0</v>
      </c>
      <c r="D43" s="886">
        <f>STUDENT!E41</f>
        <v>0</v>
      </c>
      <c r="E43" s="886">
        <f>STUDENT!H41</f>
        <v>0</v>
      </c>
      <c r="F43" s="887"/>
      <c r="G43" s="887"/>
      <c r="H43" s="887"/>
      <c r="I43" s="887"/>
      <c r="J43" s="887"/>
      <c r="K43" s="887"/>
      <c r="L43" s="887"/>
      <c r="M43" s="888">
        <f t="shared" si="0"/>
        <v>0</v>
      </c>
      <c r="N43" s="887"/>
      <c r="O43" s="887"/>
      <c r="P43" s="887"/>
      <c r="Q43" s="887"/>
      <c r="R43" s="887"/>
      <c r="S43" s="887"/>
      <c r="T43" s="887"/>
      <c r="U43" s="889">
        <f t="shared" si="7"/>
        <v>0</v>
      </c>
      <c r="V43" s="887"/>
      <c r="W43" s="887"/>
      <c r="X43" s="887"/>
      <c r="Y43" s="887"/>
      <c r="Z43" s="887"/>
      <c r="AA43" s="887"/>
      <c r="AB43" s="887"/>
      <c r="AC43" s="890">
        <f t="shared" si="8"/>
        <v>0</v>
      </c>
      <c r="AD43" s="887"/>
      <c r="AE43" s="887"/>
      <c r="AF43" s="887"/>
      <c r="AG43" s="887"/>
      <c r="AH43" s="887"/>
      <c r="AI43" s="887"/>
      <c r="AJ43" s="887"/>
      <c r="AK43" s="888" t="str">
        <f t="shared" si="1"/>
        <v/>
      </c>
      <c r="AL43" s="887"/>
      <c r="AM43" s="887"/>
      <c r="AN43" s="887"/>
      <c r="AO43" s="887"/>
      <c r="AP43" s="887"/>
      <c r="AQ43" s="887"/>
      <c r="AR43" s="887"/>
      <c r="AS43" s="891">
        <f t="shared" si="9"/>
        <v>0</v>
      </c>
      <c r="AT43" s="887"/>
      <c r="AU43" s="887"/>
      <c r="AV43" s="887"/>
      <c r="AW43" s="887"/>
      <c r="AX43" s="887"/>
      <c r="AY43" s="887"/>
      <c r="AZ43" s="887"/>
      <c r="BA43" s="889">
        <f t="shared" si="10"/>
        <v>0</v>
      </c>
      <c r="BB43" s="887"/>
      <c r="BC43" s="887"/>
      <c r="BD43" s="887"/>
      <c r="BE43" s="887"/>
      <c r="BF43" s="887"/>
      <c r="BG43" s="887"/>
      <c r="BH43" s="887"/>
      <c r="BI43" s="890">
        <f t="shared" si="11"/>
        <v>0</v>
      </c>
      <c r="BJ43" s="887"/>
      <c r="BK43" s="887"/>
      <c r="BL43" s="887"/>
      <c r="BM43" s="887"/>
      <c r="BN43" s="887"/>
      <c r="BO43" s="887"/>
      <c r="BP43" s="887"/>
      <c r="BQ43" s="888" t="str">
        <f t="shared" si="12"/>
        <v/>
      </c>
      <c r="BR43" s="892" t="str">
        <f t="shared" si="13"/>
        <v/>
      </c>
      <c r="BS43" s="892" t="str">
        <f t="shared" si="14"/>
        <v/>
      </c>
      <c r="BT43" s="892" t="str">
        <f t="shared" si="15"/>
        <v/>
      </c>
      <c r="BU43" s="892" t="str">
        <f t="shared" si="16"/>
        <v/>
      </c>
      <c r="BV43" s="892" t="str">
        <f t="shared" si="17"/>
        <v/>
      </c>
      <c r="BW43" s="892" t="str">
        <f t="shared" si="18"/>
        <v/>
      </c>
      <c r="BX43" s="892" t="str">
        <f t="shared" si="19"/>
        <v/>
      </c>
      <c r="BY43" s="892" t="str">
        <f t="shared" si="20"/>
        <v/>
      </c>
      <c r="BZ43" s="892" t="str">
        <f t="shared" si="21"/>
        <v/>
      </c>
      <c r="CA43" s="892" t="str">
        <f t="shared" si="22"/>
        <v/>
      </c>
      <c r="CB43" s="892" t="str">
        <f t="shared" si="23"/>
        <v/>
      </c>
      <c r="CC43" s="892" t="str">
        <f t="shared" si="24"/>
        <v/>
      </c>
      <c r="CD43" s="892" t="str">
        <f t="shared" si="25"/>
        <v/>
      </c>
      <c r="CE43" s="892" t="str">
        <f t="shared" si="26"/>
        <v/>
      </c>
      <c r="CF43" s="892" t="str">
        <f t="shared" si="27"/>
        <v/>
      </c>
      <c r="CG43" s="892" t="str">
        <f t="shared" si="28"/>
        <v/>
      </c>
      <c r="CH43" s="891" t="str">
        <f>IFERROR(IF($B43&gt;0,PASHEET!AL43+PASHEET!AT43+MARKS!F43+MARKS!N43+MARKS!V43+MARKS!AD43+MARKS!AL43+MARKS!AT43+MARKS!BB43+MARKS!BJ43,""),"Ab")</f>
        <v/>
      </c>
      <c r="CI43" s="891" t="str">
        <f>IFERROR(IF($B43&gt;0,PASHEET!AM43+PASHEET!AU43+MARKS!G43+MARKS!O43+MARKS!W43+MARKS!AE43+MARKS!AM43+MARKS!AU43+MARKS!BC43+MARKS!BK43,""),"Ab")</f>
        <v/>
      </c>
      <c r="CJ43" s="891" t="str">
        <f>IFERROR(IF($B43&gt;0,PASHEET!AN43+PASHEET!AV43+MARKS!H43+MARKS!P43+MARKS!X43+MARKS!AF43+MARKS!AN43+MARKS!AV43+MARKS!BD43+MARKS!BL43,""),"Ab")</f>
        <v/>
      </c>
      <c r="CK43" s="891" t="str">
        <f>IFERROR(IF($B43&gt;0,PASHEET!AO43+PASHEET!AW43+MARKS!I43+MARKS!Q43+MARKS!Y43+MARKS!AG43+MARKS!AO43+MARKS!AW43+MARKS!BE43+MARKS!BM43,""),"Ab")</f>
        <v/>
      </c>
      <c r="CL43" s="891" t="str">
        <f>IFERROR(IF($B43&gt;0,PASHEET!AP43+PASHEET!AX43+MARKS!J43+MARKS!R43+MARKS!Z43+MARKS!AH43+MARKS!AP43+MARKS!AX43+MARKS!BF43+MARKS!BN43,""),"Ab")</f>
        <v/>
      </c>
      <c r="CM43" s="891" t="str">
        <f>IFERROR(IF($B43&gt;0,PASHEET!AQ43+PASHEET!AY43+MARKS!K43+MARKS!S43+MARKS!AA43+MARKS!AI43+MARKS!AQ43+MARKS!AY43+MARKS!BG43+MARKS!BO43,""),"Ab")</f>
        <v/>
      </c>
      <c r="CN43" s="891" t="str">
        <f>IFERROR(IF($B43&gt;0,PASHEET!AR43+PASHEET!AZ43+MARKS!L43+MARKS!T43+MARKS!AB43+MARKS!AJ43+MARKS!AR43+MARKS!AZ43+MARKS!BH43+MARKS!BP43,""),"Ab")</f>
        <v/>
      </c>
      <c r="CO43" s="891" t="str">
        <f t="shared" si="29"/>
        <v/>
      </c>
      <c r="CP43" s="893" t="str">
        <f t="shared" si="30"/>
        <v/>
      </c>
      <c r="CQ43" s="893" t="str">
        <f t="shared" si="31"/>
        <v/>
      </c>
      <c r="CR43" s="893" t="str">
        <f t="shared" si="32"/>
        <v/>
      </c>
      <c r="CS43" s="893" t="str">
        <f t="shared" si="33"/>
        <v/>
      </c>
      <c r="CT43" s="893" t="str">
        <f t="shared" si="34"/>
        <v/>
      </c>
      <c r="CU43" s="893" t="str">
        <f t="shared" si="35"/>
        <v/>
      </c>
      <c r="CV43" s="893" t="str">
        <f t="shared" si="36"/>
        <v/>
      </c>
      <c r="CW43" s="893" t="str">
        <f t="shared" si="37"/>
        <v/>
      </c>
      <c r="CX43" s="894" t="str">
        <f>IFERROR(IF($B43&gt;0,PASHEET!AL43+MARKS!F43+MARKS!N43+MARKS!V43+MARKS!AD43,""),"Ab")</f>
        <v/>
      </c>
      <c r="CY43" s="894" t="str">
        <f>IFERROR(IF($B43&gt;0,PASHEET!AM43+MARKS!G43+MARKS!O43+MARKS!W43+MARKS!AE43,""),"Ab")</f>
        <v/>
      </c>
      <c r="CZ43" s="894" t="str">
        <f>IFERROR(IF($B43&gt;0,PASHEET!AN43+MARKS!H43+MARKS!P43+MARKS!X43+MARKS!AF43,""),"Ab")</f>
        <v/>
      </c>
      <c r="DA43" s="894" t="str">
        <f>IFERROR(IF($B43&gt;0,PASHEET!AO43+MARKS!I43+MARKS!Q43+MARKS!Y43+MARKS!AG43,""),"Ab")</f>
        <v/>
      </c>
      <c r="DB43" s="894" t="str">
        <f>IFERROR(IF($B43&gt;0,PASHEET!AP43+MARKS!J43+MARKS!R43+MARKS!Z43+MARKS!AH43,""),"Ab")</f>
        <v/>
      </c>
      <c r="DC43" s="894" t="str">
        <f>IFERROR(IF($B43&gt;0,PASHEET!AQ43+MARKS!K43+MARKS!S43+MARKS!AA43+MARKS!AI43,""),"Ab")</f>
        <v/>
      </c>
      <c r="DD43" s="894" t="str">
        <f>IFERROR(IF($B43&gt;0,PASHEET!AR43+MARKS!L43+MARKS!T43+MARKS!AB43+MARKS!AJ43,""),"Ab")</f>
        <v/>
      </c>
      <c r="DE43" s="879" t="str">
        <f t="shared" si="38"/>
        <v/>
      </c>
      <c r="DF43" s="894" t="str">
        <f t="shared" si="39"/>
        <v/>
      </c>
      <c r="DG43" s="894" t="str">
        <f t="shared" si="40"/>
        <v/>
      </c>
      <c r="DH43" s="894" t="str">
        <f t="shared" si="41"/>
        <v/>
      </c>
      <c r="DI43" s="894" t="str">
        <f t="shared" si="42"/>
        <v/>
      </c>
      <c r="DJ43" s="894" t="str">
        <f t="shared" si="43"/>
        <v/>
      </c>
      <c r="DK43" s="894" t="str">
        <f t="shared" si="44"/>
        <v/>
      </c>
      <c r="DL43" s="894" t="str">
        <f t="shared" si="45"/>
        <v/>
      </c>
      <c r="DM43" s="894" t="str">
        <f t="shared" si="46"/>
        <v/>
      </c>
      <c r="DN43" s="894" t="str">
        <f>IFERROR(IF($B43&gt;0,PASHEET!AT43+MARKS!AL43+MARKS!AT43+MARKS!BB43+MARKS!BJ43,""),"Ab")</f>
        <v/>
      </c>
      <c r="DO43" s="894" t="str">
        <f>IFERROR(IF($B43&gt;0,PASHEET!AU43+MARKS!AM43+MARKS!AU43+MARKS!BC43+MARKS!BK43,""),"Ab")</f>
        <v/>
      </c>
      <c r="DP43" s="894" t="str">
        <f>IFERROR(IF($B43&gt;0,PASHEET!AV43+MARKS!AN43+MARKS!AV43+MARKS!BD43+MARKS!BL43,""),"Ab")</f>
        <v/>
      </c>
      <c r="DQ43" s="894" t="str">
        <f>IFERROR(IF($B43&gt;0,PASHEET!AW43+MARKS!AO43+MARKS!AW43+MARKS!BE43+MARKS!BM43,""),"Ab")</f>
        <v/>
      </c>
      <c r="DR43" s="894" t="str">
        <f>IFERROR(IF($B43&gt;0,PASHEET!AX43+MARKS!AP43+MARKS!AX43+MARKS!BF43+MARKS!BN43,""),"Ab")</f>
        <v/>
      </c>
      <c r="DS43" s="894" t="str">
        <f>IFERROR(IF($B43&gt;0,PASHEET!AY43+MARKS!AQ43+MARKS!AY43+MARKS!BG43+MARKS!BO43,""),"Ab")</f>
        <v/>
      </c>
      <c r="DT43" s="894" t="str">
        <f>IFERROR(IF($B43&gt;0,PASHEET!AZ43+MARKS!AR43+MARKS!AZ43+MARKS!BH43+MARKS!BP43,""),"Ab")</f>
        <v/>
      </c>
      <c r="DU43" s="879" t="str">
        <f t="shared" si="47"/>
        <v/>
      </c>
      <c r="DV43" s="894" t="str">
        <f t="shared" si="48"/>
        <v/>
      </c>
      <c r="DW43" s="894" t="str">
        <f t="shared" si="49"/>
        <v/>
      </c>
      <c r="DX43" s="894" t="str">
        <f t="shared" si="50"/>
        <v/>
      </c>
      <c r="DY43" s="894" t="str">
        <f t="shared" si="51"/>
        <v/>
      </c>
      <c r="DZ43" s="894" t="str">
        <f t="shared" si="52"/>
        <v/>
      </c>
      <c r="EA43" s="894" t="str">
        <f t="shared" si="53"/>
        <v/>
      </c>
      <c r="EB43" s="894" t="str">
        <f t="shared" si="54"/>
        <v/>
      </c>
      <c r="EC43" s="894" t="str">
        <f t="shared" si="55"/>
        <v/>
      </c>
    </row>
    <row r="44" spans="1:133">
      <c r="A44" s="879">
        <v>41</v>
      </c>
      <c r="B44" s="879">
        <f>STUDENT!F42</f>
        <v>0</v>
      </c>
      <c r="C44" s="879">
        <f>STUDENT!D42</f>
        <v>0</v>
      </c>
      <c r="D44" s="886">
        <f>STUDENT!E42</f>
        <v>0</v>
      </c>
      <c r="E44" s="886">
        <f>STUDENT!H42</f>
        <v>0</v>
      </c>
      <c r="F44" s="887"/>
      <c r="G44" s="887"/>
      <c r="H44" s="887"/>
      <c r="I44" s="887"/>
      <c r="J44" s="887"/>
      <c r="K44" s="887"/>
      <c r="L44" s="887"/>
      <c r="M44" s="888">
        <f t="shared" si="0"/>
        <v>0</v>
      </c>
      <c r="N44" s="887"/>
      <c r="O44" s="887"/>
      <c r="P44" s="887"/>
      <c r="Q44" s="887"/>
      <c r="R44" s="887"/>
      <c r="S44" s="887"/>
      <c r="T44" s="887"/>
      <c r="U44" s="889">
        <f t="shared" si="7"/>
        <v>0</v>
      </c>
      <c r="V44" s="887"/>
      <c r="W44" s="887"/>
      <c r="X44" s="887"/>
      <c r="Y44" s="887"/>
      <c r="Z44" s="887"/>
      <c r="AA44" s="887"/>
      <c r="AB44" s="887"/>
      <c r="AC44" s="890">
        <f t="shared" si="8"/>
        <v>0</v>
      </c>
      <c r="AD44" s="887"/>
      <c r="AE44" s="887"/>
      <c r="AF44" s="887"/>
      <c r="AG44" s="887"/>
      <c r="AH44" s="887"/>
      <c r="AI44" s="887"/>
      <c r="AJ44" s="887"/>
      <c r="AK44" s="888" t="str">
        <f t="shared" si="1"/>
        <v/>
      </c>
      <c r="AL44" s="887"/>
      <c r="AM44" s="887"/>
      <c r="AN44" s="887"/>
      <c r="AO44" s="887"/>
      <c r="AP44" s="887"/>
      <c r="AQ44" s="887"/>
      <c r="AR44" s="887"/>
      <c r="AS44" s="891">
        <f t="shared" si="9"/>
        <v>0</v>
      </c>
      <c r="AT44" s="887"/>
      <c r="AU44" s="887"/>
      <c r="AV44" s="887"/>
      <c r="AW44" s="887"/>
      <c r="AX44" s="887"/>
      <c r="AY44" s="887"/>
      <c r="AZ44" s="887"/>
      <c r="BA44" s="889">
        <f t="shared" si="10"/>
        <v>0</v>
      </c>
      <c r="BB44" s="887"/>
      <c r="BC44" s="887"/>
      <c r="BD44" s="887"/>
      <c r="BE44" s="887"/>
      <c r="BF44" s="887"/>
      <c r="BG44" s="887"/>
      <c r="BH44" s="887"/>
      <c r="BI44" s="890">
        <f t="shared" si="11"/>
        <v>0</v>
      </c>
      <c r="BJ44" s="887"/>
      <c r="BK44" s="887"/>
      <c r="BL44" s="887"/>
      <c r="BM44" s="887"/>
      <c r="BN44" s="887"/>
      <c r="BO44" s="887"/>
      <c r="BP44" s="887"/>
      <c r="BQ44" s="888" t="str">
        <f t="shared" si="12"/>
        <v/>
      </c>
      <c r="BR44" s="892" t="str">
        <f t="shared" si="13"/>
        <v/>
      </c>
      <c r="BS44" s="892" t="str">
        <f t="shared" si="14"/>
        <v/>
      </c>
      <c r="BT44" s="892" t="str">
        <f t="shared" si="15"/>
        <v/>
      </c>
      <c r="BU44" s="892" t="str">
        <f t="shared" si="16"/>
        <v/>
      </c>
      <c r="BV44" s="892" t="str">
        <f t="shared" si="17"/>
        <v/>
      </c>
      <c r="BW44" s="892" t="str">
        <f t="shared" si="18"/>
        <v/>
      </c>
      <c r="BX44" s="892" t="str">
        <f t="shared" si="19"/>
        <v/>
      </c>
      <c r="BY44" s="892" t="str">
        <f t="shared" si="20"/>
        <v/>
      </c>
      <c r="BZ44" s="892" t="str">
        <f t="shared" si="21"/>
        <v/>
      </c>
      <c r="CA44" s="892" t="str">
        <f t="shared" si="22"/>
        <v/>
      </c>
      <c r="CB44" s="892" t="str">
        <f t="shared" si="23"/>
        <v/>
      </c>
      <c r="CC44" s="892" t="str">
        <f t="shared" si="24"/>
        <v/>
      </c>
      <c r="CD44" s="892" t="str">
        <f t="shared" si="25"/>
        <v/>
      </c>
      <c r="CE44" s="892" t="str">
        <f t="shared" si="26"/>
        <v/>
      </c>
      <c r="CF44" s="892" t="str">
        <f t="shared" si="27"/>
        <v/>
      </c>
      <c r="CG44" s="892" t="str">
        <f t="shared" si="28"/>
        <v/>
      </c>
      <c r="CH44" s="891" t="str">
        <f>IFERROR(IF($B44&gt;0,PASHEET!AL44+PASHEET!AT44+MARKS!F44+MARKS!N44+MARKS!V44+MARKS!AD44+MARKS!AL44+MARKS!AT44+MARKS!BB44+MARKS!BJ44,""),"Ab")</f>
        <v/>
      </c>
      <c r="CI44" s="891" t="str">
        <f>IFERROR(IF($B44&gt;0,PASHEET!AM44+PASHEET!AU44+MARKS!G44+MARKS!O44+MARKS!W44+MARKS!AE44+MARKS!AM44+MARKS!AU44+MARKS!BC44+MARKS!BK44,""),"Ab")</f>
        <v/>
      </c>
      <c r="CJ44" s="891" t="str">
        <f>IFERROR(IF($B44&gt;0,PASHEET!AN44+PASHEET!AV44+MARKS!H44+MARKS!P44+MARKS!X44+MARKS!AF44+MARKS!AN44+MARKS!AV44+MARKS!BD44+MARKS!BL44,""),"Ab")</f>
        <v/>
      </c>
      <c r="CK44" s="891" t="str">
        <f>IFERROR(IF($B44&gt;0,PASHEET!AO44+PASHEET!AW44+MARKS!I44+MARKS!Q44+MARKS!Y44+MARKS!AG44+MARKS!AO44+MARKS!AW44+MARKS!BE44+MARKS!BM44,""),"Ab")</f>
        <v/>
      </c>
      <c r="CL44" s="891" t="str">
        <f>IFERROR(IF($B44&gt;0,PASHEET!AP44+PASHEET!AX44+MARKS!J44+MARKS!R44+MARKS!Z44+MARKS!AH44+MARKS!AP44+MARKS!AX44+MARKS!BF44+MARKS!BN44,""),"Ab")</f>
        <v/>
      </c>
      <c r="CM44" s="891" t="str">
        <f>IFERROR(IF($B44&gt;0,PASHEET!AQ44+PASHEET!AY44+MARKS!K44+MARKS!S44+MARKS!AA44+MARKS!AI44+MARKS!AQ44+MARKS!AY44+MARKS!BG44+MARKS!BO44,""),"Ab")</f>
        <v/>
      </c>
      <c r="CN44" s="891" t="str">
        <f>IFERROR(IF($B44&gt;0,PASHEET!AR44+PASHEET!AZ44+MARKS!L44+MARKS!T44+MARKS!AB44+MARKS!AJ44+MARKS!AR44+MARKS!AZ44+MARKS!BH44+MARKS!BP44,""),"Ab")</f>
        <v/>
      </c>
      <c r="CO44" s="891" t="str">
        <f t="shared" si="29"/>
        <v/>
      </c>
      <c r="CP44" s="893" t="str">
        <f t="shared" si="30"/>
        <v/>
      </c>
      <c r="CQ44" s="893" t="str">
        <f t="shared" si="31"/>
        <v/>
      </c>
      <c r="CR44" s="893" t="str">
        <f t="shared" si="32"/>
        <v/>
      </c>
      <c r="CS44" s="893" t="str">
        <f t="shared" si="33"/>
        <v/>
      </c>
      <c r="CT44" s="893" t="str">
        <f t="shared" si="34"/>
        <v/>
      </c>
      <c r="CU44" s="893" t="str">
        <f t="shared" si="35"/>
        <v/>
      </c>
      <c r="CV44" s="893" t="str">
        <f t="shared" si="36"/>
        <v/>
      </c>
      <c r="CW44" s="893" t="str">
        <f t="shared" si="37"/>
        <v/>
      </c>
      <c r="CX44" s="894" t="str">
        <f>IFERROR(IF($B44&gt;0,PASHEET!AL44+MARKS!F44+MARKS!N44+MARKS!V44+MARKS!AD44,""),"Ab")</f>
        <v/>
      </c>
      <c r="CY44" s="894" t="str">
        <f>IFERROR(IF($B44&gt;0,PASHEET!AM44+MARKS!G44+MARKS!O44+MARKS!W44+MARKS!AE44,""),"Ab")</f>
        <v/>
      </c>
      <c r="CZ44" s="894" t="str">
        <f>IFERROR(IF($B44&gt;0,PASHEET!AN44+MARKS!H44+MARKS!P44+MARKS!X44+MARKS!AF44,""),"Ab")</f>
        <v/>
      </c>
      <c r="DA44" s="894" t="str">
        <f>IFERROR(IF($B44&gt;0,PASHEET!AO44+MARKS!I44+MARKS!Q44+MARKS!Y44+MARKS!AG44,""),"Ab")</f>
        <v/>
      </c>
      <c r="DB44" s="894" t="str">
        <f>IFERROR(IF($B44&gt;0,PASHEET!AP44+MARKS!J44+MARKS!R44+MARKS!Z44+MARKS!AH44,""),"Ab")</f>
        <v/>
      </c>
      <c r="DC44" s="894" t="str">
        <f>IFERROR(IF($B44&gt;0,PASHEET!AQ44+MARKS!K44+MARKS!S44+MARKS!AA44+MARKS!AI44,""),"Ab")</f>
        <v/>
      </c>
      <c r="DD44" s="894" t="str">
        <f>IFERROR(IF($B44&gt;0,PASHEET!AR44+MARKS!L44+MARKS!T44+MARKS!AB44+MARKS!AJ44,""),"Ab")</f>
        <v/>
      </c>
      <c r="DE44" s="879" t="str">
        <f t="shared" si="38"/>
        <v/>
      </c>
      <c r="DF44" s="894" t="str">
        <f t="shared" si="39"/>
        <v/>
      </c>
      <c r="DG44" s="894" t="str">
        <f t="shared" si="40"/>
        <v/>
      </c>
      <c r="DH44" s="894" t="str">
        <f t="shared" si="41"/>
        <v/>
      </c>
      <c r="DI44" s="894" t="str">
        <f t="shared" si="42"/>
        <v/>
      </c>
      <c r="DJ44" s="894" t="str">
        <f t="shared" si="43"/>
        <v/>
      </c>
      <c r="DK44" s="894" t="str">
        <f t="shared" si="44"/>
        <v/>
      </c>
      <c r="DL44" s="894" t="str">
        <f t="shared" si="45"/>
        <v/>
      </c>
      <c r="DM44" s="894" t="str">
        <f t="shared" si="46"/>
        <v/>
      </c>
      <c r="DN44" s="894" t="str">
        <f>IFERROR(IF($B44&gt;0,PASHEET!AT44+MARKS!AL44+MARKS!AT44+MARKS!BB44+MARKS!BJ44,""),"Ab")</f>
        <v/>
      </c>
      <c r="DO44" s="894" t="str">
        <f>IFERROR(IF($B44&gt;0,PASHEET!AU44+MARKS!AM44+MARKS!AU44+MARKS!BC44+MARKS!BK44,""),"Ab")</f>
        <v/>
      </c>
      <c r="DP44" s="894" t="str">
        <f>IFERROR(IF($B44&gt;0,PASHEET!AV44+MARKS!AN44+MARKS!AV44+MARKS!BD44+MARKS!BL44,""),"Ab")</f>
        <v/>
      </c>
      <c r="DQ44" s="894" t="str">
        <f>IFERROR(IF($B44&gt;0,PASHEET!AW44+MARKS!AO44+MARKS!AW44+MARKS!BE44+MARKS!BM44,""),"Ab")</f>
        <v/>
      </c>
      <c r="DR44" s="894" t="str">
        <f>IFERROR(IF($B44&gt;0,PASHEET!AX44+MARKS!AP44+MARKS!AX44+MARKS!BF44+MARKS!BN44,""),"Ab")</f>
        <v/>
      </c>
      <c r="DS44" s="894" t="str">
        <f>IFERROR(IF($B44&gt;0,PASHEET!AY44+MARKS!AQ44+MARKS!AY44+MARKS!BG44+MARKS!BO44,""),"Ab")</f>
        <v/>
      </c>
      <c r="DT44" s="894" t="str">
        <f>IFERROR(IF($B44&gt;0,PASHEET!AZ44+MARKS!AR44+MARKS!AZ44+MARKS!BH44+MARKS!BP44,""),"Ab")</f>
        <v/>
      </c>
      <c r="DU44" s="879" t="str">
        <f t="shared" si="47"/>
        <v/>
      </c>
      <c r="DV44" s="894" t="str">
        <f t="shared" si="48"/>
        <v/>
      </c>
      <c r="DW44" s="894" t="str">
        <f t="shared" si="49"/>
        <v/>
      </c>
      <c r="DX44" s="894" t="str">
        <f t="shared" si="50"/>
        <v/>
      </c>
      <c r="DY44" s="894" t="str">
        <f t="shared" si="51"/>
        <v/>
      </c>
      <c r="DZ44" s="894" t="str">
        <f t="shared" si="52"/>
        <v/>
      </c>
      <c r="EA44" s="894" t="str">
        <f t="shared" si="53"/>
        <v/>
      </c>
      <c r="EB44" s="894" t="str">
        <f t="shared" si="54"/>
        <v/>
      </c>
      <c r="EC44" s="894" t="str">
        <f t="shared" si="55"/>
        <v/>
      </c>
    </row>
    <row r="45" spans="1:133">
      <c r="A45" s="879">
        <v>42</v>
      </c>
      <c r="B45" s="879">
        <f>STUDENT!F43</f>
        <v>0</v>
      </c>
      <c r="C45" s="879">
        <f>STUDENT!D43</f>
        <v>0</v>
      </c>
      <c r="D45" s="886">
        <f>STUDENT!E43</f>
        <v>0</v>
      </c>
      <c r="E45" s="886">
        <f>STUDENT!H43</f>
        <v>0</v>
      </c>
      <c r="F45" s="887"/>
      <c r="G45" s="887"/>
      <c r="H45" s="887"/>
      <c r="I45" s="887"/>
      <c r="J45" s="887"/>
      <c r="K45" s="887"/>
      <c r="L45" s="887"/>
      <c r="M45" s="888">
        <f t="shared" si="0"/>
        <v>0</v>
      </c>
      <c r="N45" s="887"/>
      <c r="O45" s="887"/>
      <c r="P45" s="887"/>
      <c r="Q45" s="887"/>
      <c r="R45" s="887"/>
      <c r="S45" s="887"/>
      <c r="T45" s="887"/>
      <c r="U45" s="889">
        <f t="shared" si="7"/>
        <v>0</v>
      </c>
      <c r="V45" s="887"/>
      <c r="W45" s="887"/>
      <c r="X45" s="887"/>
      <c r="Y45" s="887"/>
      <c r="Z45" s="887"/>
      <c r="AA45" s="887"/>
      <c r="AB45" s="887"/>
      <c r="AC45" s="890">
        <f t="shared" si="8"/>
        <v>0</v>
      </c>
      <c r="AD45" s="887"/>
      <c r="AE45" s="887"/>
      <c r="AF45" s="887"/>
      <c r="AG45" s="887"/>
      <c r="AH45" s="887"/>
      <c r="AI45" s="887"/>
      <c r="AJ45" s="887"/>
      <c r="AK45" s="888" t="str">
        <f t="shared" si="1"/>
        <v/>
      </c>
      <c r="AL45" s="887"/>
      <c r="AM45" s="887"/>
      <c r="AN45" s="887"/>
      <c r="AO45" s="887"/>
      <c r="AP45" s="887"/>
      <c r="AQ45" s="887"/>
      <c r="AR45" s="887"/>
      <c r="AS45" s="891">
        <f t="shared" si="9"/>
        <v>0</v>
      </c>
      <c r="AT45" s="887"/>
      <c r="AU45" s="887"/>
      <c r="AV45" s="887"/>
      <c r="AW45" s="887"/>
      <c r="AX45" s="887"/>
      <c r="AY45" s="887"/>
      <c r="AZ45" s="887"/>
      <c r="BA45" s="889">
        <f t="shared" si="10"/>
        <v>0</v>
      </c>
      <c r="BB45" s="887"/>
      <c r="BC45" s="887"/>
      <c r="BD45" s="887"/>
      <c r="BE45" s="887"/>
      <c r="BF45" s="887"/>
      <c r="BG45" s="887"/>
      <c r="BH45" s="887"/>
      <c r="BI45" s="890">
        <f t="shared" si="11"/>
        <v>0</v>
      </c>
      <c r="BJ45" s="887"/>
      <c r="BK45" s="887"/>
      <c r="BL45" s="887"/>
      <c r="BM45" s="887"/>
      <c r="BN45" s="887"/>
      <c r="BO45" s="887"/>
      <c r="BP45" s="887"/>
      <c r="BQ45" s="888" t="str">
        <f t="shared" si="12"/>
        <v/>
      </c>
      <c r="BR45" s="892" t="str">
        <f t="shared" si="13"/>
        <v/>
      </c>
      <c r="BS45" s="892" t="str">
        <f t="shared" si="14"/>
        <v/>
      </c>
      <c r="BT45" s="892" t="str">
        <f t="shared" si="15"/>
        <v/>
      </c>
      <c r="BU45" s="892" t="str">
        <f t="shared" si="16"/>
        <v/>
      </c>
      <c r="BV45" s="892" t="str">
        <f t="shared" si="17"/>
        <v/>
      </c>
      <c r="BW45" s="892" t="str">
        <f t="shared" si="18"/>
        <v/>
      </c>
      <c r="BX45" s="892" t="str">
        <f t="shared" si="19"/>
        <v/>
      </c>
      <c r="BY45" s="892" t="str">
        <f t="shared" si="20"/>
        <v/>
      </c>
      <c r="BZ45" s="892" t="str">
        <f t="shared" si="21"/>
        <v/>
      </c>
      <c r="CA45" s="892" t="str">
        <f t="shared" si="22"/>
        <v/>
      </c>
      <c r="CB45" s="892" t="str">
        <f t="shared" si="23"/>
        <v/>
      </c>
      <c r="CC45" s="892" t="str">
        <f t="shared" si="24"/>
        <v/>
      </c>
      <c r="CD45" s="892" t="str">
        <f t="shared" si="25"/>
        <v/>
      </c>
      <c r="CE45" s="892" t="str">
        <f t="shared" si="26"/>
        <v/>
      </c>
      <c r="CF45" s="892" t="str">
        <f t="shared" si="27"/>
        <v/>
      </c>
      <c r="CG45" s="892" t="str">
        <f t="shared" si="28"/>
        <v/>
      </c>
      <c r="CH45" s="891" t="str">
        <f>IFERROR(IF($B45&gt;0,PASHEET!AL45+PASHEET!AT45+MARKS!F45+MARKS!N45+MARKS!V45+MARKS!AD45+MARKS!AL45+MARKS!AT45+MARKS!BB45+MARKS!BJ45,""),"Ab")</f>
        <v/>
      </c>
      <c r="CI45" s="891" t="str">
        <f>IFERROR(IF($B45&gt;0,PASHEET!AM45+PASHEET!AU45+MARKS!G45+MARKS!O45+MARKS!W45+MARKS!AE45+MARKS!AM45+MARKS!AU45+MARKS!BC45+MARKS!BK45,""),"Ab")</f>
        <v/>
      </c>
      <c r="CJ45" s="891" t="str">
        <f>IFERROR(IF($B45&gt;0,PASHEET!AN45+PASHEET!AV45+MARKS!H45+MARKS!P45+MARKS!X45+MARKS!AF45+MARKS!AN45+MARKS!AV45+MARKS!BD45+MARKS!BL45,""),"Ab")</f>
        <v/>
      </c>
      <c r="CK45" s="891" t="str">
        <f>IFERROR(IF($B45&gt;0,PASHEET!AO45+PASHEET!AW45+MARKS!I45+MARKS!Q45+MARKS!Y45+MARKS!AG45+MARKS!AO45+MARKS!AW45+MARKS!BE45+MARKS!BM45,""),"Ab")</f>
        <v/>
      </c>
      <c r="CL45" s="891" t="str">
        <f>IFERROR(IF($B45&gt;0,PASHEET!AP45+PASHEET!AX45+MARKS!J45+MARKS!R45+MARKS!Z45+MARKS!AH45+MARKS!AP45+MARKS!AX45+MARKS!BF45+MARKS!BN45,""),"Ab")</f>
        <v/>
      </c>
      <c r="CM45" s="891" t="str">
        <f>IFERROR(IF($B45&gt;0,PASHEET!AQ45+PASHEET!AY45+MARKS!K45+MARKS!S45+MARKS!AA45+MARKS!AI45+MARKS!AQ45+MARKS!AY45+MARKS!BG45+MARKS!BO45,""),"Ab")</f>
        <v/>
      </c>
      <c r="CN45" s="891" t="str">
        <f>IFERROR(IF($B45&gt;0,PASHEET!AR45+PASHEET!AZ45+MARKS!L45+MARKS!T45+MARKS!AB45+MARKS!AJ45+MARKS!AR45+MARKS!AZ45+MARKS!BH45+MARKS!BP45,""),"Ab")</f>
        <v/>
      </c>
      <c r="CO45" s="891" t="str">
        <f t="shared" si="29"/>
        <v/>
      </c>
      <c r="CP45" s="893" t="str">
        <f t="shared" si="30"/>
        <v/>
      </c>
      <c r="CQ45" s="893" t="str">
        <f t="shared" si="31"/>
        <v/>
      </c>
      <c r="CR45" s="893" t="str">
        <f t="shared" si="32"/>
        <v/>
      </c>
      <c r="CS45" s="893" t="str">
        <f t="shared" si="33"/>
        <v/>
      </c>
      <c r="CT45" s="893" t="str">
        <f t="shared" si="34"/>
        <v/>
      </c>
      <c r="CU45" s="893" t="str">
        <f t="shared" si="35"/>
        <v/>
      </c>
      <c r="CV45" s="893" t="str">
        <f t="shared" si="36"/>
        <v/>
      </c>
      <c r="CW45" s="893" t="str">
        <f t="shared" si="37"/>
        <v/>
      </c>
      <c r="CX45" s="894" t="str">
        <f>IFERROR(IF($B45&gt;0,PASHEET!AL45+MARKS!F45+MARKS!N45+MARKS!V45+MARKS!AD45,""),"Ab")</f>
        <v/>
      </c>
      <c r="CY45" s="894" t="str">
        <f>IFERROR(IF($B45&gt;0,PASHEET!AM45+MARKS!G45+MARKS!O45+MARKS!W45+MARKS!AE45,""),"Ab")</f>
        <v/>
      </c>
      <c r="CZ45" s="894" t="str">
        <f>IFERROR(IF($B45&gt;0,PASHEET!AN45+MARKS!H45+MARKS!P45+MARKS!X45+MARKS!AF45,""),"Ab")</f>
        <v/>
      </c>
      <c r="DA45" s="894" t="str">
        <f>IFERROR(IF($B45&gt;0,PASHEET!AO45+MARKS!I45+MARKS!Q45+MARKS!Y45+MARKS!AG45,""),"Ab")</f>
        <v/>
      </c>
      <c r="DB45" s="894" t="str">
        <f>IFERROR(IF($B45&gt;0,PASHEET!AP45+MARKS!J45+MARKS!R45+MARKS!Z45+MARKS!AH45,""),"Ab")</f>
        <v/>
      </c>
      <c r="DC45" s="894" t="str">
        <f>IFERROR(IF($B45&gt;0,PASHEET!AQ45+MARKS!K45+MARKS!S45+MARKS!AA45+MARKS!AI45,""),"Ab")</f>
        <v/>
      </c>
      <c r="DD45" s="894" t="str">
        <f>IFERROR(IF($B45&gt;0,PASHEET!AR45+MARKS!L45+MARKS!T45+MARKS!AB45+MARKS!AJ45,""),"Ab")</f>
        <v/>
      </c>
      <c r="DE45" s="879" t="str">
        <f t="shared" si="38"/>
        <v/>
      </c>
      <c r="DF45" s="894" t="str">
        <f t="shared" si="39"/>
        <v/>
      </c>
      <c r="DG45" s="894" t="str">
        <f t="shared" si="40"/>
        <v/>
      </c>
      <c r="DH45" s="894" t="str">
        <f t="shared" si="41"/>
        <v/>
      </c>
      <c r="DI45" s="894" t="str">
        <f t="shared" si="42"/>
        <v/>
      </c>
      <c r="DJ45" s="894" t="str">
        <f t="shared" si="43"/>
        <v/>
      </c>
      <c r="DK45" s="894" t="str">
        <f t="shared" si="44"/>
        <v/>
      </c>
      <c r="DL45" s="894" t="str">
        <f t="shared" si="45"/>
        <v/>
      </c>
      <c r="DM45" s="894" t="str">
        <f t="shared" si="46"/>
        <v/>
      </c>
      <c r="DN45" s="894" t="str">
        <f>IFERROR(IF($B45&gt;0,PASHEET!AT45+MARKS!AL45+MARKS!AT45+MARKS!BB45+MARKS!BJ45,""),"Ab")</f>
        <v/>
      </c>
      <c r="DO45" s="894" t="str">
        <f>IFERROR(IF($B45&gt;0,PASHEET!AU45+MARKS!AM45+MARKS!AU45+MARKS!BC45+MARKS!BK45,""),"Ab")</f>
        <v/>
      </c>
      <c r="DP45" s="894" t="str">
        <f>IFERROR(IF($B45&gt;0,PASHEET!AV45+MARKS!AN45+MARKS!AV45+MARKS!BD45+MARKS!BL45,""),"Ab")</f>
        <v/>
      </c>
      <c r="DQ45" s="894" t="str">
        <f>IFERROR(IF($B45&gt;0,PASHEET!AW45+MARKS!AO45+MARKS!AW45+MARKS!BE45+MARKS!BM45,""),"Ab")</f>
        <v/>
      </c>
      <c r="DR45" s="894" t="str">
        <f>IFERROR(IF($B45&gt;0,PASHEET!AX45+MARKS!AP45+MARKS!AX45+MARKS!BF45+MARKS!BN45,""),"Ab")</f>
        <v/>
      </c>
      <c r="DS45" s="894" t="str">
        <f>IFERROR(IF($B45&gt;0,PASHEET!AY45+MARKS!AQ45+MARKS!AY45+MARKS!BG45+MARKS!BO45,""),"Ab")</f>
        <v/>
      </c>
      <c r="DT45" s="894" t="str">
        <f>IFERROR(IF($B45&gt;0,PASHEET!AZ45+MARKS!AR45+MARKS!AZ45+MARKS!BH45+MARKS!BP45,""),"Ab")</f>
        <v/>
      </c>
      <c r="DU45" s="879" t="str">
        <f t="shared" si="47"/>
        <v/>
      </c>
      <c r="DV45" s="894" t="str">
        <f t="shared" si="48"/>
        <v/>
      </c>
      <c r="DW45" s="894" t="str">
        <f t="shared" si="49"/>
        <v/>
      </c>
      <c r="DX45" s="894" t="str">
        <f t="shared" si="50"/>
        <v/>
      </c>
      <c r="DY45" s="894" t="str">
        <f t="shared" si="51"/>
        <v/>
      </c>
      <c r="DZ45" s="894" t="str">
        <f t="shared" si="52"/>
        <v/>
      </c>
      <c r="EA45" s="894" t="str">
        <f t="shared" si="53"/>
        <v/>
      </c>
      <c r="EB45" s="894" t="str">
        <f t="shared" si="54"/>
        <v/>
      </c>
      <c r="EC45" s="894" t="str">
        <f t="shared" si="55"/>
        <v/>
      </c>
    </row>
    <row r="46" spans="1:133">
      <c r="A46" s="879">
        <v>43</v>
      </c>
      <c r="B46" s="879">
        <f>STUDENT!F44</f>
        <v>0</v>
      </c>
      <c r="C46" s="879">
        <f>STUDENT!D44</f>
        <v>0</v>
      </c>
      <c r="D46" s="886">
        <f>STUDENT!E44</f>
        <v>0</v>
      </c>
      <c r="E46" s="886">
        <f>STUDENT!H44</f>
        <v>0</v>
      </c>
      <c r="F46" s="887"/>
      <c r="G46" s="887"/>
      <c r="H46" s="887"/>
      <c r="I46" s="887"/>
      <c r="J46" s="887"/>
      <c r="K46" s="887"/>
      <c r="L46" s="887"/>
      <c r="M46" s="888">
        <f t="shared" si="0"/>
        <v>0</v>
      </c>
      <c r="N46" s="887"/>
      <c r="O46" s="887"/>
      <c r="P46" s="887"/>
      <c r="Q46" s="887"/>
      <c r="R46" s="887"/>
      <c r="S46" s="887"/>
      <c r="T46" s="887"/>
      <c r="U46" s="889">
        <f t="shared" si="7"/>
        <v>0</v>
      </c>
      <c r="V46" s="887"/>
      <c r="W46" s="887"/>
      <c r="X46" s="887"/>
      <c r="Y46" s="887"/>
      <c r="Z46" s="887"/>
      <c r="AA46" s="887"/>
      <c r="AB46" s="887"/>
      <c r="AC46" s="890">
        <f t="shared" si="8"/>
        <v>0</v>
      </c>
      <c r="AD46" s="887"/>
      <c r="AE46" s="887"/>
      <c r="AF46" s="887"/>
      <c r="AG46" s="887"/>
      <c r="AH46" s="887"/>
      <c r="AI46" s="887"/>
      <c r="AJ46" s="887"/>
      <c r="AK46" s="888" t="str">
        <f t="shared" si="1"/>
        <v/>
      </c>
      <c r="AL46" s="887"/>
      <c r="AM46" s="887"/>
      <c r="AN46" s="887"/>
      <c r="AO46" s="887"/>
      <c r="AP46" s="887"/>
      <c r="AQ46" s="887"/>
      <c r="AR46" s="887"/>
      <c r="AS46" s="891">
        <f t="shared" si="9"/>
        <v>0</v>
      </c>
      <c r="AT46" s="887"/>
      <c r="AU46" s="887"/>
      <c r="AV46" s="887"/>
      <c r="AW46" s="887"/>
      <c r="AX46" s="887"/>
      <c r="AY46" s="887"/>
      <c r="AZ46" s="887"/>
      <c r="BA46" s="889">
        <f t="shared" si="10"/>
        <v>0</v>
      </c>
      <c r="BB46" s="887"/>
      <c r="BC46" s="887"/>
      <c r="BD46" s="887"/>
      <c r="BE46" s="887"/>
      <c r="BF46" s="887"/>
      <c r="BG46" s="887"/>
      <c r="BH46" s="887"/>
      <c r="BI46" s="890">
        <f t="shared" si="11"/>
        <v>0</v>
      </c>
      <c r="BJ46" s="887"/>
      <c r="BK46" s="887"/>
      <c r="BL46" s="887"/>
      <c r="BM46" s="887"/>
      <c r="BN46" s="887"/>
      <c r="BO46" s="887"/>
      <c r="BP46" s="887"/>
      <c r="BQ46" s="888" t="str">
        <f t="shared" si="12"/>
        <v/>
      </c>
      <c r="BR46" s="892" t="str">
        <f t="shared" si="13"/>
        <v/>
      </c>
      <c r="BS46" s="892" t="str">
        <f t="shared" si="14"/>
        <v/>
      </c>
      <c r="BT46" s="892" t="str">
        <f t="shared" si="15"/>
        <v/>
      </c>
      <c r="BU46" s="892" t="str">
        <f t="shared" si="16"/>
        <v/>
      </c>
      <c r="BV46" s="892" t="str">
        <f t="shared" si="17"/>
        <v/>
      </c>
      <c r="BW46" s="892" t="str">
        <f t="shared" si="18"/>
        <v/>
      </c>
      <c r="BX46" s="892" t="str">
        <f t="shared" si="19"/>
        <v/>
      </c>
      <c r="BY46" s="892" t="str">
        <f t="shared" si="20"/>
        <v/>
      </c>
      <c r="BZ46" s="892" t="str">
        <f t="shared" si="21"/>
        <v/>
      </c>
      <c r="CA46" s="892" t="str">
        <f t="shared" si="22"/>
        <v/>
      </c>
      <c r="CB46" s="892" t="str">
        <f t="shared" si="23"/>
        <v/>
      </c>
      <c r="CC46" s="892" t="str">
        <f t="shared" si="24"/>
        <v/>
      </c>
      <c r="CD46" s="892" t="str">
        <f t="shared" si="25"/>
        <v/>
      </c>
      <c r="CE46" s="892" t="str">
        <f t="shared" si="26"/>
        <v/>
      </c>
      <c r="CF46" s="892" t="str">
        <f t="shared" si="27"/>
        <v/>
      </c>
      <c r="CG46" s="892" t="str">
        <f t="shared" si="28"/>
        <v/>
      </c>
      <c r="CH46" s="891" t="str">
        <f>IFERROR(IF($B46&gt;0,PASHEET!AL46+PASHEET!AT46+MARKS!F46+MARKS!N46+MARKS!V46+MARKS!AD46+MARKS!AL46+MARKS!AT46+MARKS!BB46+MARKS!BJ46,""),"Ab")</f>
        <v/>
      </c>
      <c r="CI46" s="891" t="str">
        <f>IFERROR(IF($B46&gt;0,PASHEET!AM46+PASHEET!AU46+MARKS!G46+MARKS!O46+MARKS!W46+MARKS!AE46+MARKS!AM46+MARKS!AU46+MARKS!BC46+MARKS!BK46,""),"Ab")</f>
        <v/>
      </c>
      <c r="CJ46" s="891" t="str">
        <f>IFERROR(IF($B46&gt;0,PASHEET!AN46+PASHEET!AV46+MARKS!H46+MARKS!P46+MARKS!X46+MARKS!AF46+MARKS!AN46+MARKS!AV46+MARKS!BD46+MARKS!BL46,""),"Ab")</f>
        <v/>
      </c>
      <c r="CK46" s="891" t="str">
        <f>IFERROR(IF($B46&gt;0,PASHEET!AO46+PASHEET!AW46+MARKS!I46+MARKS!Q46+MARKS!Y46+MARKS!AG46+MARKS!AO46+MARKS!AW46+MARKS!BE46+MARKS!BM46,""),"Ab")</f>
        <v/>
      </c>
      <c r="CL46" s="891" t="str">
        <f>IFERROR(IF($B46&gt;0,PASHEET!AP46+PASHEET!AX46+MARKS!J46+MARKS!R46+MARKS!Z46+MARKS!AH46+MARKS!AP46+MARKS!AX46+MARKS!BF46+MARKS!BN46,""),"Ab")</f>
        <v/>
      </c>
      <c r="CM46" s="891" t="str">
        <f>IFERROR(IF($B46&gt;0,PASHEET!AQ46+PASHEET!AY46+MARKS!K46+MARKS!S46+MARKS!AA46+MARKS!AI46+MARKS!AQ46+MARKS!AY46+MARKS!BG46+MARKS!BO46,""),"Ab")</f>
        <v/>
      </c>
      <c r="CN46" s="891" t="str">
        <f>IFERROR(IF($B46&gt;0,PASHEET!AR46+PASHEET!AZ46+MARKS!L46+MARKS!T46+MARKS!AB46+MARKS!AJ46+MARKS!AR46+MARKS!AZ46+MARKS!BH46+MARKS!BP46,""),"Ab")</f>
        <v/>
      </c>
      <c r="CO46" s="891" t="str">
        <f t="shared" si="29"/>
        <v/>
      </c>
      <c r="CP46" s="893" t="str">
        <f t="shared" si="30"/>
        <v/>
      </c>
      <c r="CQ46" s="893" t="str">
        <f t="shared" si="31"/>
        <v/>
      </c>
      <c r="CR46" s="893" t="str">
        <f t="shared" si="32"/>
        <v/>
      </c>
      <c r="CS46" s="893" t="str">
        <f t="shared" si="33"/>
        <v/>
      </c>
      <c r="CT46" s="893" t="str">
        <f t="shared" si="34"/>
        <v/>
      </c>
      <c r="CU46" s="893" t="str">
        <f t="shared" si="35"/>
        <v/>
      </c>
      <c r="CV46" s="893" t="str">
        <f t="shared" si="36"/>
        <v/>
      </c>
      <c r="CW46" s="893" t="str">
        <f t="shared" si="37"/>
        <v/>
      </c>
      <c r="CX46" s="894" t="str">
        <f>IFERROR(IF($B46&gt;0,PASHEET!AL46+MARKS!F46+MARKS!N46+MARKS!V46+MARKS!AD46,""),"Ab")</f>
        <v/>
      </c>
      <c r="CY46" s="894" t="str">
        <f>IFERROR(IF($B46&gt;0,PASHEET!AM46+MARKS!G46+MARKS!O46+MARKS!W46+MARKS!AE46,""),"Ab")</f>
        <v/>
      </c>
      <c r="CZ46" s="894" t="str">
        <f>IFERROR(IF($B46&gt;0,PASHEET!AN46+MARKS!H46+MARKS!P46+MARKS!X46+MARKS!AF46,""),"Ab")</f>
        <v/>
      </c>
      <c r="DA46" s="894" t="str">
        <f>IFERROR(IF($B46&gt;0,PASHEET!AO46+MARKS!I46+MARKS!Q46+MARKS!Y46+MARKS!AG46,""),"Ab")</f>
        <v/>
      </c>
      <c r="DB46" s="894" t="str">
        <f>IFERROR(IF($B46&gt;0,PASHEET!AP46+MARKS!J46+MARKS!R46+MARKS!Z46+MARKS!AH46,""),"Ab")</f>
        <v/>
      </c>
      <c r="DC46" s="894" t="str">
        <f>IFERROR(IF($B46&gt;0,PASHEET!AQ46+MARKS!K46+MARKS!S46+MARKS!AA46+MARKS!AI46,""),"Ab")</f>
        <v/>
      </c>
      <c r="DD46" s="894" t="str">
        <f>IFERROR(IF($B46&gt;0,PASHEET!AR46+MARKS!L46+MARKS!T46+MARKS!AB46+MARKS!AJ46,""),"Ab")</f>
        <v/>
      </c>
      <c r="DE46" s="879" t="str">
        <f t="shared" si="38"/>
        <v/>
      </c>
      <c r="DF46" s="894" t="str">
        <f t="shared" si="39"/>
        <v/>
      </c>
      <c r="DG46" s="894" t="str">
        <f t="shared" si="40"/>
        <v/>
      </c>
      <c r="DH46" s="894" t="str">
        <f t="shared" si="41"/>
        <v/>
      </c>
      <c r="DI46" s="894" t="str">
        <f t="shared" si="42"/>
        <v/>
      </c>
      <c r="DJ46" s="894" t="str">
        <f t="shared" si="43"/>
        <v/>
      </c>
      <c r="DK46" s="894" t="str">
        <f t="shared" si="44"/>
        <v/>
      </c>
      <c r="DL46" s="894" t="str">
        <f t="shared" si="45"/>
        <v/>
      </c>
      <c r="DM46" s="894" t="str">
        <f t="shared" si="46"/>
        <v/>
      </c>
      <c r="DN46" s="894" t="str">
        <f>IFERROR(IF($B46&gt;0,PASHEET!AT46+MARKS!AL46+MARKS!AT46+MARKS!BB46+MARKS!BJ46,""),"Ab")</f>
        <v/>
      </c>
      <c r="DO46" s="894" t="str">
        <f>IFERROR(IF($B46&gt;0,PASHEET!AU46+MARKS!AM46+MARKS!AU46+MARKS!BC46+MARKS!BK46,""),"Ab")</f>
        <v/>
      </c>
      <c r="DP46" s="894" t="str">
        <f>IFERROR(IF($B46&gt;0,PASHEET!AV46+MARKS!AN46+MARKS!AV46+MARKS!BD46+MARKS!BL46,""),"Ab")</f>
        <v/>
      </c>
      <c r="DQ46" s="894" t="str">
        <f>IFERROR(IF($B46&gt;0,PASHEET!AW46+MARKS!AO46+MARKS!AW46+MARKS!BE46+MARKS!BM46,""),"Ab")</f>
        <v/>
      </c>
      <c r="DR46" s="894" t="str">
        <f>IFERROR(IF($B46&gt;0,PASHEET!AX46+MARKS!AP46+MARKS!AX46+MARKS!BF46+MARKS!BN46,""),"Ab")</f>
        <v/>
      </c>
      <c r="DS46" s="894" t="str">
        <f>IFERROR(IF($B46&gt;0,PASHEET!AY46+MARKS!AQ46+MARKS!AY46+MARKS!BG46+MARKS!BO46,""),"Ab")</f>
        <v/>
      </c>
      <c r="DT46" s="894" t="str">
        <f>IFERROR(IF($B46&gt;0,PASHEET!AZ46+MARKS!AR46+MARKS!AZ46+MARKS!BH46+MARKS!BP46,""),"Ab")</f>
        <v/>
      </c>
      <c r="DU46" s="879" t="str">
        <f t="shared" si="47"/>
        <v/>
      </c>
      <c r="DV46" s="894" t="str">
        <f t="shared" si="48"/>
        <v/>
      </c>
      <c r="DW46" s="894" t="str">
        <f t="shared" si="49"/>
        <v/>
      </c>
      <c r="DX46" s="894" t="str">
        <f t="shared" si="50"/>
        <v/>
      </c>
      <c r="DY46" s="894" t="str">
        <f t="shared" si="51"/>
        <v/>
      </c>
      <c r="DZ46" s="894" t="str">
        <f t="shared" si="52"/>
        <v/>
      </c>
      <c r="EA46" s="894" t="str">
        <f t="shared" si="53"/>
        <v/>
      </c>
      <c r="EB46" s="894" t="str">
        <f t="shared" si="54"/>
        <v/>
      </c>
      <c r="EC46" s="894" t="str">
        <f t="shared" si="55"/>
        <v/>
      </c>
    </row>
    <row r="47" spans="1:133">
      <c r="A47" s="879">
        <v>44</v>
      </c>
      <c r="B47" s="879">
        <f>STUDENT!F45</f>
        <v>0</v>
      </c>
      <c r="C47" s="879">
        <f>STUDENT!D45</f>
        <v>0</v>
      </c>
      <c r="D47" s="886">
        <f>STUDENT!E45</f>
        <v>0</v>
      </c>
      <c r="E47" s="886">
        <f>STUDENT!H45</f>
        <v>0</v>
      </c>
      <c r="F47" s="887"/>
      <c r="G47" s="887"/>
      <c r="H47" s="887"/>
      <c r="I47" s="887"/>
      <c r="J47" s="887"/>
      <c r="K47" s="887"/>
      <c r="L47" s="887"/>
      <c r="M47" s="888">
        <f t="shared" si="0"/>
        <v>0</v>
      </c>
      <c r="N47" s="887"/>
      <c r="O47" s="887"/>
      <c r="P47" s="887"/>
      <c r="Q47" s="887"/>
      <c r="R47" s="887"/>
      <c r="S47" s="887"/>
      <c r="T47" s="887"/>
      <c r="U47" s="889">
        <f t="shared" si="7"/>
        <v>0</v>
      </c>
      <c r="V47" s="887"/>
      <c r="W47" s="887"/>
      <c r="X47" s="887"/>
      <c r="Y47" s="887"/>
      <c r="Z47" s="887"/>
      <c r="AA47" s="887"/>
      <c r="AB47" s="887"/>
      <c r="AC47" s="890">
        <f t="shared" si="8"/>
        <v>0</v>
      </c>
      <c r="AD47" s="887"/>
      <c r="AE47" s="887"/>
      <c r="AF47" s="887"/>
      <c r="AG47" s="887"/>
      <c r="AH47" s="887"/>
      <c r="AI47" s="887"/>
      <c r="AJ47" s="887"/>
      <c r="AK47" s="888" t="str">
        <f t="shared" si="1"/>
        <v/>
      </c>
      <c r="AL47" s="887"/>
      <c r="AM47" s="887"/>
      <c r="AN47" s="887"/>
      <c r="AO47" s="887"/>
      <c r="AP47" s="887"/>
      <c r="AQ47" s="887"/>
      <c r="AR47" s="887"/>
      <c r="AS47" s="891">
        <f t="shared" si="9"/>
        <v>0</v>
      </c>
      <c r="AT47" s="887"/>
      <c r="AU47" s="887"/>
      <c r="AV47" s="887"/>
      <c r="AW47" s="887"/>
      <c r="AX47" s="887"/>
      <c r="AY47" s="887"/>
      <c r="AZ47" s="887"/>
      <c r="BA47" s="889">
        <f t="shared" si="10"/>
        <v>0</v>
      </c>
      <c r="BB47" s="887"/>
      <c r="BC47" s="887"/>
      <c r="BD47" s="887"/>
      <c r="BE47" s="887"/>
      <c r="BF47" s="887"/>
      <c r="BG47" s="887"/>
      <c r="BH47" s="887"/>
      <c r="BI47" s="890">
        <f t="shared" si="11"/>
        <v>0</v>
      </c>
      <c r="BJ47" s="887"/>
      <c r="BK47" s="887"/>
      <c r="BL47" s="887"/>
      <c r="BM47" s="887"/>
      <c r="BN47" s="887"/>
      <c r="BO47" s="887"/>
      <c r="BP47" s="887"/>
      <c r="BQ47" s="888" t="str">
        <f t="shared" si="12"/>
        <v/>
      </c>
      <c r="BR47" s="892" t="str">
        <f t="shared" si="13"/>
        <v/>
      </c>
      <c r="BS47" s="892" t="str">
        <f t="shared" si="14"/>
        <v/>
      </c>
      <c r="BT47" s="892" t="str">
        <f t="shared" si="15"/>
        <v/>
      </c>
      <c r="BU47" s="892" t="str">
        <f t="shared" si="16"/>
        <v/>
      </c>
      <c r="BV47" s="892" t="str">
        <f t="shared" si="17"/>
        <v/>
      </c>
      <c r="BW47" s="892" t="str">
        <f t="shared" si="18"/>
        <v/>
      </c>
      <c r="BX47" s="892" t="str">
        <f t="shared" si="19"/>
        <v/>
      </c>
      <c r="BY47" s="892" t="str">
        <f t="shared" si="20"/>
        <v/>
      </c>
      <c r="BZ47" s="892" t="str">
        <f t="shared" si="21"/>
        <v/>
      </c>
      <c r="CA47" s="892" t="str">
        <f t="shared" si="22"/>
        <v/>
      </c>
      <c r="CB47" s="892" t="str">
        <f t="shared" si="23"/>
        <v/>
      </c>
      <c r="CC47" s="892" t="str">
        <f t="shared" si="24"/>
        <v/>
      </c>
      <c r="CD47" s="892" t="str">
        <f t="shared" si="25"/>
        <v/>
      </c>
      <c r="CE47" s="892" t="str">
        <f t="shared" si="26"/>
        <v/>
      </c>
      <c r="CF47" s="892" t="str">
        <f t="shared" si="27"/>
        <v/>
      </c>
      <c r="CG47" s="892" t="str">
        <f t="shared" si="28"/>
        <v/>
      </c>
      <c r="CH47" s="891" t="str">
        <f>IFERROR(IF($B47&gt;0,PASHEET!AL47+PASHEET!AT47+MARKS!F47+MARKS!N47+MARKS!V47+MARKS!AD47+MARKS!AL47+MARKS!AT47+MARKS!BB47+MARKS!BJ47,""),"Ab")</f>
        <v/>
      </c>
      <c r="CI47" s="891" t="str">
        <f>IFERROR(IF($B47&gt;0,PASHEET!AM47+PASHEET!AU47+MARKS!G47+MARKS!O47+MARKS!W47+MARKS!AE47+MARKS!AM47+MARKS!AU47+MARKS!BC47+MARKS!BK47,""),"Ab")</f>
        <v/>
      </c>
      <c r="CJ47" s="891" t="str">
        <f>IFERROR(IF($B47&gt;0,PASHEET!AN47+PASHEET!AV47+MARKS!H47+MARKS!P47+MARKS!X47+MARKS!AF47+MARKS!AN47+MARKS!AV47+MARKS!BD47+MARKS!BL47,""),"Ab")</f>
        <v/>
      </c>
      <c r="CK47" s="891" t="str">
        <f>IFERROR(IF($B47&gt;0,PASHEET!AO47+PASHEET!AW47+MARKS!I47+MARKS!Q47+MARKS!Y47+MARKS!AG47+MARKS!AO47+MARKS!AW47+MARKS!BE47+MARKS!BM47,""),"Ab")</f>
        <v/>
      </c>
      <c r="CL47" s="891" t="str">
        <f>IFERROR(IF($B47&gt;0,PASHEET!AP47+PASHEET!AX47+MARKS!J47+MARKS!R47+MARKS!Z47+MARKS!AH47+MARKS!AP47+MARKS!AX47+MARKS!BF47+MARKS!BN47,""),"Ab")</f>
        <v/>
      </c>
      <c r="CM47" s="891" t="str">
        <f>IFERROR(IF($B47&gt;0,PASHEET!AQ47+PASHEET!AY47+MARKS!K47+MARKS!S47+MARKS!AA47+MARKS!AI47+MARKS!AQ47+MARKS!AY47+MARKS!BG47+MARKS!BO47,""),"Ab")</f>
        <v/>
      </c>
      <c r="CN47" s="891" t="str">
        <f>IFERROR(IF($B47&gt;0,PASHEET!AR47+PASHEET!AZ47+MARKS!L47+MARKS!T47+MARKS!AB47+MARKS!AJ47+MARKS!AR47+MARKS!AZ47+MARKS!BH47+MARKS!BP47,""),"Ab")</f>
        <v/>
      </c>
      <c r="CO47" s="891" t="str">
        <f t="shared" si="29"/>
        <v/>
      </c>
      <c r="CP47" s="893" t="str">
        <f t="shared" si="30"/>
        <v/>
      </c>
      <c r="CQ47" s="893" t="str">
        <f t="shared" si="31"/>
        <v/>
      </c>
      <c r="CR47" s="893" t="str">
        <f t="shared" si="32"/>
        <v/>
      </c>
      <c r="CS47" s="893" t="str">
        <f t="shared" si="33"/>
        <v/>
      </c>
      <c r="CT47" s="893" t="str">
        <f t="shared" si="34"/>
        <v/>
      </c>
      <c r="CU47" s="893" t="str">
        <f t="shared" si="35"/>
        <v/>
      </c>
      <c r="CV47" s="893" t="str">
        <f t="shared" si="36"/>
        <v/>
      </c>
      <c r="CW47" s="893" t="str">
        <f t="shared" si="37"/>
        <v/>
      </c>
      <c r="CX47" s="894" t="str">
        <f>IFERROR(IF($B47&gt;0,PASHEET!AL47+MARKS!F47+MARKS!N47+MARKS!V47+MARKS!AD47,""),"Ab")</f>
        <v/>
      </c>
      <c r="CY47" s="894" t="str">
        <f>IFERROR(IF($B47&gt;0,PASHEET!AM47+MARKS!G47+MARKS!O47+MARKS!W47+MARKS!AE47,""),"Ab")</f>
        <v/>
      </c>
      <c r="CZ47" s="894" t="str">
        <f>IFERROR(IF($B47&gt;0,PASHEET!AN47+MARKS!H47+MARKS!P47+MARKS!X47+MARKS!AF47,""),"Ab")</f>
        <v/>
      </c>
      <c r="DA47" s="894" t="str">
        <f>IFERROR(IF($B47&gt;0,PASHEET!AO47+MARKS!I47+MARKS!Q47+MARKS!Y47+MARKS!AG47,""),"Ab")</f>
        <v/>
      </c>
      <c r="DB47" s="894" t="str">
        <f>IFERROR(IF($B47&gt;0,PASHEET!AP47+MARKS!J47+MARKS!R47+MARKS!Z47+MARKS!AH47,""),"Ab")</f>
        <v/>
      </c>
      <c r="DC47" s="894" t="str">
        <f>IFERROR(IF($B47&gt;0,PASHEET!AQ47+MARKS!K47+MARKS!S47+MARKS!AA47+MARKS!AI47,""),"Ab")</f>
        <v/>
      </c>
      <c r="DD47" s="894" t="str">
        <f>IFERROR(IF($B47&gt;0,PASHEET!AR47+MARKS!L47+MARKS!T47+MARKS!AB47+MARKS!AJ47,""),"Ab")</f>
        <v/>
      </c>
      <c r="DE47" s="879" t="str">
        <f t="shared" si="38"/>
        <v/>
      </c>
      <c r="DF47" s="894" t="str">
        <f t="shared" si="39"/>
        <v/>
      </c>
      <c r="DG47" s="894" t="str">
        <f t="shared" si="40"/>
        <v/>
      </c>
      <c r="DH47" s="894" t="str">
        <f t="shared" si="41"/>
        <v/>
      </c>
      <c r="DI47" s="894" t="str">
        <f t="shared" si="42"/>
        <v/>
      </c>
      <c r="DJ47" s="894" t="str">
        <f t="shared" si="43"/>
        <v/>
      </c>
      <c r="DK47" s="894" t="str">
        <f t="shared" si="44"/>
        <v/>
      </c>
      <c r="DL47" s="894" t="str">
        <f t="shared" si="45"/>
        <v/>
      </c>
      <c r="DM47" s="894" t="str">
        <f t="shared" si="46"/>
        <v/>
      </c>
      <c r="DN47" s="894" t="str">
        <f>IFERROR(IF($B47&gt;0,PASHEET!AT47+MARKS!AL47+MARKS!AT47+MARKS!BB47+MARKS!BJ47,""),"Ab")</f>
        <v/>
      </c>
      <c r="DO47" s="894" t="str">
        <f>IFERROR(IF($B47&gt;0,PASHEET!AU47+MARKS!AM47+MARKS!AU47+MARKS!BC47+MARKS!BK47,""),"Ab")</f>
        <v/>
      </c>
      <c r="DP47" s="894" t="str">
        <f>IFERROR(IF($B47&gt;0,PASHEET!AV47+MARKS!AN47+MARKS!AV47+MARKS!BD47+MARKS!BL47,""),"Ab")</f>
        <v/>
      </c>
      <c r="DQ47" s="894" t="str">
        <f>IFERROR(IF($B47&gt;0,PASHEET!AW47+MARKS!AO47+MARKS!AW47+MARKS!BE47+MARKS!BM47,""),"Ab")</f>
        <v/>
      </c>
      <c r="DR47" s="894" t="str">
        <f>IFERROR(IF($B47&gt;0,PASHEET!AX47+MARKS!AP47+MARKS!AX47+MARKS!BF47+MARKS!BN47,""),"Ab")</f>
        <v/>
      </c>
      <c r="DS47" s="894" t="str">
        <f>IFERROR(IF($B47&gt;0,PASHEET!AY47+MARKS!AQ47+MARKS!AY47+MARKS!BG47+MARKS!BO47,""),"Ab")</f>
        <v/>
      </c>
      <c r="DT47" s="894" t="str">
        <f>IFERROR(IF($B47&gt;0,PASHEET!AZ47+MARKS!AR47+MARKS!AZ47+MARKS!BH47+MARKS!BP47,""),"Ab")</f>
        <v/>
      </c>
      <c r="DU47" s="879" t="str">
        <f t="shared" si="47"/>
        <v/>
      </c>
      <c r="DV47" s="894" t="str">
        <f t="shared" si="48"/>
        <v/>
      </c>
      <c r="DW47" s="894" t="str">
        <f t="shared" si="49"/>
        <v/>
      </c>
      <c r="DX47" s="894" t="str">
        <f t="shared" si="50"/>
        <v/>
      </c>
      <c r="DY47" s="894" t="str">
        <f t="shared" si="51"/>
        <v/>
      </c>
      <c r="DZ47" s="894" t="str">
        <f t="shared" si="52"/>
        <v/>
      </c>
      <c r="EA47" s="894" t="str">
        <f t="shared" si="53"/>
        <v/>
      </c>
      <c r="EB47" s="894" t="str">
        <f t="shared" si="54"/>
        <v/>
      </c>
      <c r="EC47" s="894" t="str">
        <f t="shared" si="55"/>
        <v/>
      </c>
    </row>
    <row r="48" spans="1:133">
      <c r="A48" s="879">
        <v>45</v>
      </c>
      <c r="B48" s="879">
        <f>STUDENT!F46</f>
        <v>0</v>
      </c>
      <c r="C48" s="879">
        <f>STUDENT!D46</f>
        <v>0</v>
      </c>
      <c r="D48" s="886">
        <f>STUDENT!E46</f>
        <v>0</v>
      </c>
      <c r="E48" s="886">
        <f>STUDENT!H46</f>
        <v>0</v>
      </c>
      <c r="F48" s="887"/>
      <c r="G48" s="887"/>
      <c r="H48" s="887"/>
      <c r="I48" s="887"/>
      <c r="J48" s="887"/>
      <c r="K48" s="887"/>
      <c r="L48" s="887"/>
      <c r="M48" s="888">
        <f t="shared" si="0"/>
        <v>0</v>
      </c>
      <c r="N48" s="887"/>
      <c r="O48" s="887"/>
      <c r="P48" s="887"/>
      <c r="Q48" s="887"/>
      <c r="R48" s="887"/>
      <c r="S48" s="887"/>
      <c r="T48" s="887"/>
      <c r="U48" s="889">
        <f t="shared" si="7"/>
        <v>0</v>
      </c>
      <c r="V48" s="887"/>
      <c r="W48" s="887"/>
      <c r="X48" s="887"/>
      <c r="Y48" s="887"/>
      <c r="Z48" s="887"/>
      <c r="AA48" s="887"/>
      <c r="AB48" s="887"/>
      <c r="AC48" s="890">
        <f t="shared" si="8"/>
        <v>0</v>
      </c>
      <c r="AD48" s="887"/>
      <c r="AE48" s="887"/>
      <c r="AF48" s="887"/>
      <c r="AG48" s="887"/>
      <c r="AH48" s="887"/>
      <c r="AI48" s="887"/>
      <c r="AJ48" s="887"/>
      <c r="AK48" s="888" t="str">
        <f t="shared" si="1"/>
        <v/>
      </c>
      <c r="AL48" s="887"/>
      <c r="AM48" s="887"/>
      <c r="AN48" s="887"/>
      <c r="AO48" s="887"/>
      <c r="AP48" s="887"/>
      <c r="AQ48" s="887"/>
      <c r="AR48" s="887"/>
      <c r="AS48" s="891">
        <f t="shared" si="9"/>
        <v>0</v>
      </c>
      <c r="AT48" s="887"/>
      <c r="AU48" s="887"/>
      <c r="AV48" s="887"/>
      <c r="AW48" s="887"/>
      <c r="AX48" s="887"/>
      <c r="AY48" s="887"/>
      <c r="AZ48" s="887"/>
      <c r="BA48" s="889">
        <f t="shared" si="10"/>
        <v>0</v>
      </c>
      <c r="BB48" s="887"/>
      <c r="BC48" s="887"/>
      <c r="BD48" s="887"/>
      <c r="BE48" s="887"/>
      <c r="BF48" s="887"/>
      <c r="BG48" s="887"/>
      <c r="BH48" s="887"/>
      <c r="BI48" s="890">
        <f t="shared" si="11"/>
        <v>0</v>
      </c>
      <c r="BJ48" s="887"/>
      <c r="BK48" s="887"/>
      <c r="BL48" s="887"/>
      <c r="BM48" s="887"/>
      <c r="BN48" s="887"/>
      <c r="BO48" s="887"/>
      <c r="BP48" s="887"/>
      <c r="BQ48" s="888" t="str">
        <f t="shared" si="12"/>
        <v/>
      </c>
      <c r="BR48" s="892" t="str">
        <f t="shared" si="13"/>
        <v/>
      </c>
      <c r="BS48" s="892" t="str">
        <f t="shared" si="14"/>
        <v/>
      </c>
      <c r="BT48" s="892" t="str">
        <f t="shared" si="15"/>
        <v/>
      </c>
      <c r="BU48" s="892" t="str">
        <f t="shared" si="16"/>
        <v/>
      </c>
      <c r="BV48" s="892" t="str">
        <f t="shared" si="17"/>
        <v/>
      </c>
      <c r="BW48" s="892" t="str">
        <f t="shared" si="18"/>
        <v/>
      </c>
      <c r="BX48" s="892" t="str">
        <f t="shared" si="19"/>
        <v/>
      </c>
      <c r="BY48" s="892" t="str">
        <f t="shared" si="20"/>
        <v/>
      </c>
      <c r="BZ48" s="892" t="str">
        <f t="shared" si="21"/>
        <v/>
      </c>
      <c r="CA48" s="892" t="str">
        <f t="shared" si="22"/>
        <v/>
      </c>
      <c r="CB48" s="892" t="str">
        <f t="shared" si="23"/>
        <v/>
      </c>
      <c r="CC48" s="892" t="str">
        <f t="shared" si="24"/>
        <v/>
      </c>
      <c r="CD48" s="892" t="str">
        <f t="shared" si="25"/>
        <v/>
      </c>
      <c r="CE48" s="892" t="str">
        <f t="shared" si="26"/>
        <v/>
      </c>
      <c r="CF48" s="892" t="str">
        <f t="shared" si="27"/>
        <v/>
      </c>
      <c r="CG48" s="892" t="str">
        <f t="shared" si="28"/>
        <v/>
      </c>
      <c r="CH48" s="891" t="str">
        <f>IFERROR(IF($B48&gt;0,PASHEET!AL48+PASHEET!AT48+MARKS!F48+MARKS!N48+MARKS!V48+MARKS!AD48+MARKS!AL48+MARKS!AT48+MARKS!BB48+MARKS!BJ48,""),"Ab")</f>
        <v/>
      </c>
      <c r="CI48" s="891" t="str">
        <f>IFERROR(IF($B48&gt;0,PASHEET!AM48+PASHEET!AU48+MARKS!G48+MARKS!O48+MARKS!W48+MARKS!AE48+MARKS!AM48+MARKS!AU48+MARKS!BC48+MARKS!BK48,""),"Ab")</f>
        <v/>
      </c>
      <c r="CJ48" s="891" t="str">
        <f>IFERROR(IF($B48&gt;0,PASHEET!AN48+PASHEET!AV48+MARKS!H48+MARKS!P48+MARKS!X48+MARKS!AF48+MARKS!AN48+MARKS!AV48+MARKS!BD48+MARKS!BL48,""),"Ab")</f>
        <v/>
      </c>
      <c r="CK48" s="891" t="str">
        <f>IFERROR(IF($B48&gt;0,PASHEET!AO48+PASHEET!AW48+MARKS!I48+MARKS!Q48+MARKS!Y48+MARKS!AG48+MARKS!AO48+MARKS!AW48+MARKS!BE48+MARKS!BM48,""),"Ab")</f>
        <v/>
      </c>
      <c r="CL48" s="891" t="str">
        <f>IFERROR(IF($B48&gt;0,PASHEET!AP48+PASHEET!AX48+MARKS!J48+MARKS!R48+MARKS!Z48+MARKS!AH48+MARKS!AP48+MARKS!AX48+MARKS!BF48+MARKS!BN48,""),"Ab")</f>
        <v/>
      </c>
      <c r="CM48" s="891" t="str">
        <f>IFERROR(IF($B48&gt;0,PASHEET!AQ48+PASHEET!AY48+MARKS!K48+MARKS!S48+MARKS!AA48+MARKS!AI48+MARKS!AQ48+MARKS!AY48+MARKS!BG48+MARKS!BO48,""),"Ab")</f>
        <v/>
      </c>
      <c r="CN48" s="891" t="str">
        <f>IFERROR(IF($B48&gt;0,PASHEET!AR48+PASHEET!AZ48+MARKS!L48+MARKS!T48+MARKS!AB48+MARKS!AJ48+MARKS!AR48+MARKS!AZ48+MARKS!BH48+MARKS!BP48,""),"Ab")</f>
        <v/>
      </c>
      <c r="CO48" s="891" t="str">
        <f t="shared" si="29"/>
        <v/>
      </c>
      <c r="CP48" s="893" t="str">
        <f t="shared" si="30"/>
        <v/>
      </c>
      <c r="CQ48" s="893" t="str">
        <f t="shared" si="31"/>
        <v/>
      </c>
      <c r="CR48" s="893" t="str">
        <f t="shared" si="32"/>
        <v/>
      </c>
      <c r="CS48" s="893" t="str">
        <f t="shared" si="33"/>
        <v/>
      </c>
      <c r="CT48" s="893" t="str">
        <f t="shared" si="34"/>
        <v/>
      </c>
      <c r="CU48" s="893" t="str">
        <f t="shared" si="35"/>
        <v/>
      </c>
      <c r="CV48" s="893" t="str">
        <f t="shared" si="36"/>
        <v/>
      </c>
      <c r="CW48" s="893" t="str">
        <f t="shared" si="37"/>
        <v/>
      </c>
      <c r="CX48" s="894" t="str">
        <f>IFERROR(IF($B48&gt;0,PASHEET!AL48+MARKS!F48+MARKS!N48+MARKS!V48+MARKS!AD48,""),"Ab")</f>
        <v/>
      </c>
      <c r="CY48" s="894" t="str">
        <f>IFERROR(IF($B48&gt;0,PASHEET!AM48+MARKS!G48+MARKS!O48+MARKS!W48+MARKS!AE48,""),"Ab")</f>
        <v/>
      </c>
      <c r="CZ48" s="894" t="str">
        <f>IFERROR(IF($B48&gt;0,PASHEET!AN48+MARKS!H48+MARKS!P48+MARKS!X48+MARKS!AF48,""),"Ab")</f>
        <v/>
      </c>
      <c r="DA48" s="894" t="str">
        <f>IFERROR(IF($B48&gt;0,PASHEET!AO48+MARKS!I48+MARKS!Q48+MARKS!Y48+MARKS!AG48,""),"Ab")</f>
        <v/>
      </c>
      <c r="DB48" s="894" t="str">
        <f>IFERROR(IF($B48&gt;0,PASHEET!AP48+MARKS!J48+MARKS!R48+MARKS!Z48+MARKS!AH48,""),"Ab")</f>
        <v/>
      </c>
      <c r="DC48" s="894" t="str">
        <f>IFERROR(IF($B48&gt;0,PASHEET!AQ48+MARKS!K48+MARKS!S48+MARKS!AA48+MARKS!AI48,""),"Ab")</f>
        <v/>
      </c>
      <c r="DD48" s="894" t="str">
        <f>IFERROR(IF($B48&gt;0,PASHEET!AR48+MARKS!L48+MARKS!T48+MARKS!AB48+MARKS!AJ48,""),"Ab")</f>
        <v/>
      </c>
      <c r="DE48" s="879" t="str">
        <f t="shared" si="38"/>
        <v/>
      </c>
      <c r="DF48" s="894" t="str">
        <f t="shared" si="39"/>
        <v/>
      </c>
      <c r="DG48" s="894" t="str">
        <f t="shared" si="40"/>
        <v/>
      </c>
      <c r="DH48" s="894" t="str">
        <f t="shared" si="41"/>
        <v/>
      </c>
      <c r="DI48" s="894" t="str">
        <f t="shared" si="42"/>
        <v/>
      </c>
      <c r="DJ48" s="894" t="str">
        <f t="shared" si="43"/>
        <v/>
      </c>
      <c r="DK48" s="894" t="str">
        <f t="shared" si="44"/>
        <v/>
      </c>
      <c r="DL48" s="894" t="str">
        <f t="shared" si="45"/>
        <v/>
      </c>
      <c r="DM48" s="894" t="str">
        <f t="shared" si="46"/>
        <v/>
      </c>
      <c r="DN48" s="894" t="str">
        <f>IFERROR(IF($B48&gt;0,PASHEET!AT48+MARKS!AL48+MARKS!AT48+MARKS!BB48+MARKS!BJ48,""),"Ab")</f>
        <v/>
      </c>
      <c r="DO48" s="894" t="str">
        <f>IFERROR(IF($B48&gt;0,PASHEET!AU48+MARKS!AM48+MARKS!AU48+MARKS!BC48+MARKS!BK48,""),"Ab")</f>
        <v/>
      </c>
      <c r="DP48" s="894" t="str">
        <f>IFERROR(IF($B48&gt;0,PASHEET!AV48+MARKS!AN48+MARKS!AV48+MARKS!BD48+MARKS!BL48,""),"Ab")</f>
        <v/>
      </c>
      <c r="DQ48" s="894" t="str">
        <f>IFERROR(IF($B48&gt;0,PASHEET!AW48+MARKS!AO48+MARKS!AW48+MARKS!BE48+MARKS!BM48,""),"Ab")</f>
        <v/>
      </c>
      <c r="DR48" s="894" t="str">
        <f>IFERROR(IF($B48&gt;0,PASHEET!AX48+MARKS!AP48+MARKS!AX48+MARKS!BF48+MARKS!BN48,""),"Ab")</f>
        <v/>
      </c>
      <c r="DS48" s="894" t="str">
        <f>IFERROR(IF($B48&gt;0,PASHEET!AY48+MARKS!AQ48+MARKS!AY48+MARKS!BG48+MARKS!BO48,""),"Ab")</f>
        <v/>
      </c>
      <c r="DT48" s="894" t="str">
        <f>IFERROR(IF($B48&gt;0,PASHEET!AZ48+MARKS!AR48+MARKS!AZ48+MARKS!BH48+MARKS!BP48,""),"Ab")</f>
        <v/>
      </c>
      <c r="DU48" s="879" t="str">
        <f t="shared" si="47"/>
        <v/>
      </c>
      <c r="DV48" s="894" t="str">
        <f t="shared" si="48"/>
        <v/>
      </c>
      <c r="DW48" s="894" t="str">
        <f t="shared" si="49"/>
        <v/>
      </c>
      <c r="DX48" s="894" t="str">
        <f t="shared" si="50"/>
        <v/>
      </c>
      <c r="DY48" s="894" t="str">
        <f t="shared" si="51"/>
        <v/>
      </c>
      <c r="DZ48" s="894" t="str">
        <f t="shared" si="52"/>
        <v/>
      </c>
      <c r="EA48" s="894" t="str">
        <f t="shared" si="53"/>
        <v/>
      </c>
      <c r="EB48" s="894" t="str">
        <f t="shared" si="54"/>
        <v/>
      </c>
      <c r="EC48" s="894" t="str">
        <f t="shared" si="55"/>
        <v/>
      </c>
    </row>
    <row r="49" spans="1:133">
      <c r="A49" s="879">
        <v>46</v>
      </c>
      <c r="B49" s="879">
        <f>STUDENT!F47</f>
        <v>0</v>
      </c>
      <c r="C49" s="879">
        <f>STUDENT!D47</f>
        <v>0</v>
      </c>
      <c r="D49" s="886">
        <f>STUDENT!E47</f>
        <v>0</v>
      </c>
      <c r="E49" s="886">
        <f>STUDENT!H47</f>
        <v>0</v>
      </c>
      <c r="F49" s="887"/>
      <c r="G49" s="887"/>
      <c r="H49" s="887"/>
      <c r="I49" s="887"/>
      <c r="J49" s="887"/>
      <c r="K49" s="887"/>
      <c r="L49" s="887"/>
      <c r="M49" s="888">
        <f t="shared" si="0"/>
        <v>0</v>
      </c>
      <c r="N49" s="887"/>
      <c r="O49" s="887"/>
      <c r="P49" s="887"/>
      <c r="Q49" s="887"/>
      <c r="R49" s="887"/>
      <c r="S49" s="887"/>
      <c r="T49" s="887"/>
      <c r="U49" s="889">
        <f t="shared" si="7"/>
        <v>0</v>
      </c>
      <c r="V49" s="887"/>
      <c r="W49" s="887"/>
      <c r="X49" s="887"/>
      <c r="Y49" s="887"/>
      <c r="Z49" s="887"/>
      <c r="AA49" s="887"/>
      <c r="AB49" s="887"/>
      <c r="AC49" s="890">
        <f t="shared" si="8"/>
        <v>0</v>
      </c>
      <c r="AD49" s="887"/>
      <c r="AE49" s="887"/>
      <c r="AF49" s="887"/>
      <c r="AG49" s="887"/>
      <c r="AH49" s="887"/>
      <c r="AI49" s="887"/>
      <c r="AJ49" s="887"/>
      <c r="AK49" s="888" t="str">
        <f t="shared" si="1"/>
        <v/>
      </c>
      <c r="AL49" s="887"/>
      <c r="AM49" s="887"/>
      <c r="AN49" s="887"/>
      <c r="AO49" s="887"/>
      <c r="AP49" s="887"/>
      <c r="AQ49" s="887"/>
      <c r="AR49" s="887"/>
      <c r="AS49" s="891">
        <f t="shared" si="9"/>
        <v>0</v>
      </c>
      <c r="AT49" s="887"/>
      <c r="AU49" s="887"/>
      <c r="AV49" s="887"/>
      <c r="AW49" s="887"/>
      <c r="AX49" s="887"/>
      <c r="AY49" s="887"/>
      <c r="AZ49" s="887"/>
      <c r="BA49" s="889">
        <f t="shared" si="10"/>
        <v>0</v>
      </c>
      <c r="BB49" s="887"/>
      <c r="BC49" s="887"/>
      <c r="BD49" s="887"/>
      <c r="BE49" s="887"/>
      <c r="BF49" s="887"/>
      <c r="BG49" s="887"/>
      <c r="BH49" s="887"/>
      <c r="BI49" s="890">
        <f t="shared" si="11"/>
        <v>0</v>
      </c>
      <c r="BJ49" s="887"/>
      <c r="BK49" s="887"/>
      <c r="BL49" s="887"/>
      <c r="BM49" s="887"/>
      <c r="BN49" s="887"/>
      <c r="BO49" s="887"/>
      <c r="BP49" s="887"/>
      <c r="BQ49" s="888" t="str">
        <f t="shared" si="12"/>
        <v/>
      </c>
      <c r="BR49" s="892" t="str">
        <f t="shared" si="13"/>
        <v/>
      </c>
      <c r="BS49" s="892" t="str">
        <f t="shared" si="14"/>
        <v/>
      </c>
      <c r="BT49" s="892" t="str">
        <f t="shared" si="15"/>
        <v/>
      </c>
      <c r="BU49" s="892" t="str">
        <f t="shared" si="16"/>
        <v/>
      </c>
      <c r="BV49" s="892" t="str">
        <f t="shared" si="17"/>
        <v/>
      </c>
      <c r="BW49" s="892" t="str">
        <f t="shared" si="18"/>
        <v/>
      </c>
      <c r="BX49" s="892" t="str">
        <f t="shared" si="19"/>
        <v/>
      </c>
      <c r="BY49" s="892" t="str">
        <f t="shared" si="20"/>
        <v/>
      </c>
      <c r="BZ49" s="892" t="str">
        <f t="shared" si="21"/>
        <v/>
      </c>
      <c r="CA49" s="892" t="str">
        <f t="shared" si="22"/>
        <v/>
      </c>
      <c r="CB49" s="892" t="str">
        <f t="shared" si="23"/>
        <v/>
      </c>
      <c r="CC49" s="892" t="str">
        <f t="shared" si="24"/>
        <v/>
      </c>
      <c r="CD49" s="892" t="str">
        <f t="shared" si="25"/>
        <v/>
      </c>
      <c r="CE49" s="892" t="str">
        <f t="shared" si="26"/>
        <v/>
      </c>
      <c r="CF49" s="892" t="str">
        <f t="shared" si="27"/>
        <v/>
      </c>
      <c r="CG49" s="892" t="str">
        <f t="shared" si="28"/>
        <v/>
      </c>
      <c r="CH49" s="891" t="str">
        <f>IFERROR(IF($B49&gt;0,PASHEET!AL49+PASHEET!AT49+MARKS!F49+MARKS!N49+MARKS!V49+MARKS!AD49+MARKS!AL49+MARKS!AT49+MARKS!BB49+MARKS!BJ49,""),"Ab")</f>
        <v/>
      </c>
      <c r="CI49" s="891" t="str">
        <f>IFERROR(IF($B49&gt;0,PASHEET!AM49+PASHEET!AU49+MARKS!G49+MARKS!O49+MARKS!W49+MARKS!AE49+MARKS!AM49+MARKS!AU49+MARKS!BC49+MARKS!BK49,""),"Ab")</f>
        <v/>
      </c>
      <c r="CJ49" s="891" t="str">
        <f>IFERROR(IF($B49&gt;0,PASHEET!AN49+PASHEET!AV49+MARKS!H49+MARKS!P49+MARKS!X49+MARKS!AF49+MARKS!AN49+MARKS!AV49+MARKS!BD49+MARKS!BL49,""),"Ab")</f>
        <v/>
      </c>
      <c r="CK49" s="891" t="str">
        <f>IFERROR(IF($B49&gt;0,PASHEET!AO49+PASHEET!AW49+MARKS!I49+MARKS!Q49+MARKS!Y49+MARKS!AG49+MARKS!AO49+MARKS!AW49+MARKS!BE49+MARKS!BM49,""),"Ab")</f>
        <v/>
      </c>
      <c r="CL49" s="891" t="str">
        <f>IFERROR(IF($B49&gt;0,PASHEET!AP49+PASHEET!AX49+MARKS!J49+MARKS!R49+MARKS!Z49+MARKS!AH49+MARKS!AP49+MARKS!AX49+MARKS!BF49+MARKS!BN49,""),"Ab")</f>
        <v/>
      </c>
      <c r="CM49" s="891" t="str">
        <f>IFERROR(IF($B49&gt;0,PASHEET!AQ49+PASHEET!AY49+MARKS!K49+MARKS!S49+MARKS!AA49+MARKS!AI49+MARKS!AQ49+MARKS!AY49+MARKS!BG49+MARKS!BO49,""),"Ab")</f>
        <v/>
      </c>
      <c r="CN49" s="891" t="str">
        <f>IFERROR(IF($B49&gt;0,PASHEET!AR49+PASHEET!AZ49+MARKS!L49+MARKS!T49+MARKS!AB49+MARKS!AJ49+MARKS!AR49+MARKS!AZ49+MARKS!BH49+MARKS!BP49,""),"Ab")</f>
        <v/>
      </c>
      <c r="CO49" s="891" t="str">
        <f t="shared" si="29"/>
        <v/>
      </c>
      <c r="CP49" s="893" t="str">
        <f t="shared" si="30"/>
        <v/>
      </c>
      <c r="CQ49" s="893" t="str">
        <f t="shared" si="31"/>
        <v/>
      </c>
      <c r="CR49" s="893" t="str">
        <f t="shared" si="32"/>
        <v/>
      </c>
      <c r="CS49" s="893" t="str">
        <f t="shared" si="33"/>
        <v/>
      </c>
      <c r="CT49" s="893" t="str">
        <f t="shared" si="34"/>
        <v/>
      </c>
      <c r="CU49" s="893" t="str">
        <f t="shared" si="35"/>
        <v/>
      </c>
      <c r="CV49" s="893" t="str">
        <f t="shared" si="36"/>
        <v/>
      </c>
      <c r="CW49" s="893" t="str">
        <f t="shared" si="37"/>
        <v/>
      </c>
      <c r="CX49" s="894" t="str">
        <f>IFERROR(IF($B49&gt;0,PASHEET!AL49+MARKS!F49+MARKS!N49+MARKS!V49+MARKS!AD49,""),"Ab")</f>
        <v/>
      </c>
      <c r="CY49" s="894" t="str">
        <f>IFERROR(IF($B49&gt;0,PASHEET!AM49+MARKS!G49+MARKS!O49+MARKS!W49+MARKS!AE49,""),"Ab")</f>
        <v/>
      </c>
      <c r="CZ49" s="894" t="str">
        <f>IFERROR(IF($B49&gt;0,PASHEET!AN49+MARKS!H49+MARKS!P49+MARKS!X49+MARKS!AF49,""),"Ab")</f>
        <v/>
      </c>
      <c r="DA49" s="894" t="str">
        <f>IFERROR(IF($B49&gt;0,PASHEET!AO49+MARKS!I49+MARKS!Q49+MARKS!Y49+MARKS!AG49,""),"Ab")</f>
        <v/>
      </c>
      <c r="DB49" s="894" t="str">
        <f>IFERROR(IF($B49&gt;0,PASHEET!AP49+MARKS!J49+MARKS!R49+MARKS!Z49+MARKS!AH49,""),"Ab")</f>
        <v/>
      </c>
      <c r="DC49" s="894" t="str">
        <f>IFERROR(IF($B49&gt;0,PASHEET!AQ49+MARKS!K49+MARKS!S49+MARKS!AA49+MARKS!AI49,""),"Ab")</f>
        <v/>
      </c>
      <c r="DD49" s="894" t="str">
        <f>IFERROR(IF($B49&gt;0,PASHEET!AR49+MARKS!L49+MARKS!T49+MARKS!AB49+MARKS!AJ49,""),"Ab")</f>
        <v/>
      </c>
      <c r="DE49" s="879" t="str">
        <f t="shared" si="38"/>
        <v/>
      </c>
      <c r="DF49" s="894" t="str">
        <f t="shared" si="39"/>
        <v/>
      </c>
      <c r="DG49" s="894" t="str">
        <f t="shared" si="40"/>
        <v/>
      </c>
      <c r="DH49" s="894" t="str">
        <f t="shared" si="41"/>
        <v/>
      </c>
      <c r="DI49" s="894" t="str">
        <f t="shared" si="42"/>
        <v/>
      </c>
      <c r="DJ49" s="894" t="str">
        <f t="shared" si="43"/>
        <v/>
      </c>
      <c r="DK49" s="894" t="str">
        <f t="shared" si="44"/>
        <v/>
      </c>
      <c r="DL49" s="894" t="str">
        <f t="shared" si="45"/>
        <v/>
      </c>
      <c r="DM49" s="894" t="str">
        <f t="shared" si="46"/>
        <v/>
      </c>
      <c r="DN49" s="894" t="str">
        <f>IFERROR(IF($B49&gt;0,PASHEET!AT49+MARKS!AL49+MARKS!AT49+MARKS!BB49+MARKS!BJ49,""),"Ab")</f>
        <v/>
      </c>
      <c r="DO49" s="894" t="str">
        <f>IFERROR(IF($B49&gt;0,PASHEET!AU49+MARKS!AM49+MARKS!AU49+MARKS!BC49+MARKS!BK49,""),"Ab")</f>
        <v/>
      </c>
      <c r="DP49" s="894" t="str">
        <f>IFERROR(IF($B49&gt;0,PASHEET!AV49+MARKS!AN49+MARKS!AV49+MARKS!BD49+MARKS!BL49,""),"Ab")</f>
        <v/>
      </c>
      <c r="DQ49" s="894" t="str">
        <f>IFERROR(IF($B49&gt;0,PASHEET!AW49+MARKS!AO49+MARKS!AW49+MARKS!BE49+MARKS!BM49,""),"Ab")</f>
        <v/>
      </c>
      <c r="DR49" s="894" t="str">
        <f>IFERROR(IF($B49&gt;0,PASHEET!AX49+MARKS!AP49+MARKS!AX49+MARKS!BF49+MARKS!BN49,""),"Ab")</f>
        <v/>
      </c>
      <c r="DS49" s="894" t="str">
        <f>IFERROR(IF($B49&gt;0,PASHEET!AY49+MARKS!AQ49+MARKS!AY49+MARKS!BG49+MARKS!BO49,""),"Ab")</f>
        <v/>
      </c>
      <c r="DT49" s="894" t="str">
        <f>IFERROR(IF($B49&gt;0,PASHEET!AZ49+MARKS!AR49+MARKS!AZ49+MARKS!BH49+MARKS!BP49,""),"Ab")</f>
        <v/>
      </c>
      <c r="DU49" s="879" t="str">
        <f t="shared" si="47"/>
        <v/>
      </c>
      <c r="DV49" s="894" t="str">
        <f t="shared" si="48"/>
        <v/>
      </c>
      <c r="DW49" s="894" t="str">
        <f t="shared" si="49"/>
        <v/>
      </c>
      <c r="DX49" s="894" t="str">
        <f t="shared" si="50"/>
        <v/>
      </c>
      <c r="DY49" s="894" t="str">
        <f t="shared" si="51"/>
        <v/>
      </c>
      <c r="DZ49" s="894" t="str">
        <f t="shared" si="52"/>
        <v/>
      </c>
      <c r="EA49" s="894" t="str">
        <f t="shared" si="53"/>
        <v/>
      </c>
      <c r="EB49" s="894" t="str">
        <f t="shared" si="54"/>
        <v/>
      </c>
      <c r="EC49" s="894" t="str">
        <f t="shared" si="55"/>
        <v/>
      </c>
    </row>
    <row r="50" spans="1:133">
      <c r="A50" s="879">
        <v>47</v>
      </c>
      <c r="B50" s="879">
        <f>STUDENT!F48</f>
        <v>0</v>
      </c>
      <c r="C50" s="879">
        <f>STUDENT!D48</f>
        <v>0</v>
      </c>
      <c r="D50" s="886">
        <f>STUDENT!E48</f>
        <v>0</v>
      </c>
      <c r="E50" s="886">
        <f>STUDENT!H48</f>
        <v>0</v>
      </c>
      <c r="F50" s="887"/>
      <c r="G50" s="887"/>
      <c r="H50" s="887"/>
      <c r="I50" s="887"/>
      <c r="J50" s="887"/>
      <c r="K50" s="887"/>
      <c r="L50" s="887"/>
      <c r="M50" s="888">
        <f t="shared" si="0"/>
        <v>0</v>
      </c>
      <c r="N50" s="887"/>
      <c r="O50" s="887"/>
      <c r="P50" s="887"/>
      <c r="Q50" s="887"/>
      <c r="R50" s="887"/>
      <c r="S50" s="887"/>
      <c r="T50" s="887"/>
      <c r="U50" s="889">
        <f t="shared" si="7"/>
        <v>0</v>
      </c>
      <c r="V50" s="887"/>
      <c r="W50" s="887"/>
      <c r="X50" s="887"/>
      <c r="Y50" s="887"/>
      <c r="Z50" s="887"/>
      <c r="AA50" s="887"/>
      <c r="AB50" s="887"/>
      <c r="AC50" s="890">
        <f t="shared" si="8"/>
        <v>0</v>
      </c>
      <c r="AD50" s="887"/>
      <c r="AE50" s="887"/>
      <c r="AF50" s="887"/>
      <c r="AG50" s="887"/>
      <c r="AH50" s="887"/>
      <c r="AI50" s="887"/>
      <c r="AJ50" s="887"/>
      <c r="AK50" s="888" t="str">
        <f t="shared" si="1"/>
        <v/>
      </c>
      <c r="AL50" s="887"/>
      <c r="AM50" s="887"/>
      <c r="AN50" s="887"/>
      <c r="AO50" s="887"/>
      <c r="AP50" s="887"/>
      <c r="AQ50" s="887"/>
      <c r="AR50" s="887"/>
      <c r="AS50" s="891">
        <f t="shared" si="9"/>
        <v>0</v>
      </c>
      <c r="AT50" s="887"/>
      <c r="AU50" s="887"/>
      <c r="AV50" s="887"/>
      <c r="AW50" s="887"/>
      <c r="AX50" s="887"/>
      <c r="AY50" s="887"/>
      <c r="AZ50" s="887"/>
      <c r="BA50" s="889">
        <f t="shared" si="10"/>
        <v>0</v>
      </c>
      <c r="BB50" s="887"/>
      <c r="BC50" s="887"/>
      <c r="BD50" s="887"/>
      <c r="BE50" s="887"/>
      <c r="BF50" s="887"/>
      <c r="BG50" s="887"/>
      <c r="BH50" s="887"/>
      <c r="BI50" s="890">
        <f t="shared" si="11"/>
        <v>0</v>
      </c>
      <c r="BJ50" s="887"/>
      <c r="BK50" s="887"/>
      <c r="BL50" s="887"/>
      <c r="BM50" s="887"/>
      <c r="BN50" s="887"/>
      <c r="BO50" s="887"/>
      <c r="BP50" s="887"/>
      <c r="BQ50" s="888" t="str">
        <f t="shared" si="12"/>
        <v/>
      </c>
      <c r="BR50" s="892" t="str">
        <f t="shared" si="13"/>
        <v/>
      </c>
      <c r="BS50" s="892" t="str">
        <f t="shared" si="14"/>
        <v/>
      </c>
      <c r="BT50" s="892" t="str">
        <f t="shared" si="15"/>
        <v/>
      </c>
      <c r="BU50" s="892" t="str">
        <f t="shared" si="16"/>
        <v/>
      </c>
      <c r="BV50" s="892" t="str">
        <f t="shared" si="17"/>
        <v/>
      </c>
      <c r="BW50" s="892" t="str">
        <f t="shared" si="18"/>
        <v/>
      </c>
      <c r="BX50" s="892" t="str">
        <f t="shared" si="19"/>
        <v/>
      </c>
      <c r="BY50" s="892" t="str">
        <f t="shared" si="20"/>
        <v/>
      </c>
      <c r="BZ50" s="892" t="str">
        <f t="shared" si="21"/>
        <v/>
      </c>
      <c r="CA50" s="892" t="str">
        <f t="shared" si="22"/>
        <v/>
      </c>
      <c r="CB50" s="892" t="str">
        <f t="shared" si="23"/>
        <v/>
      </c>
      <c r="CC50" s="892" t="str">
        <f t="shared" si="24"/>
        <v/>
      </c>
      <c r="CD50" s="892" t="str">
        <f t="shared" si="25"/>
        <v/>
      </c>
      <c r="CE50" s="892" t="str">
        <f t="shared" si="26"/>
        <v/>
      </c>
      <c r="CF50" s="892" t="str">
        <f t="shared" si="27"/>
        <v/>
      </c>
      <c r="CG50" s="892" t="str">
        <f t="shared" si="28"/>
        <v/>
      </c>
      <c r="CH50" s="891" t="str">
        <f>IFERROR(IF($B50&gt;0,PASHEET!AL50+PASHEET!AT50+MARKS!F50+MARKS!N50+MARKS!V50+MARKS!AD50+MARKS!AL50+MARKS!AT50+MARKS!BB50+MARKS!BJ50,""),"Ab")</f>
        <v/>
      </c>
      <c r="CI50" s="891" t="str">
        <f>IFERROR(IF($B50&gt;0,PASHEET!AM50+PASHEET!AU50+MARKS!G50+MARKS!O50+MARKS!W50+MARKS!AE50+MARKS!AM50+MARKS!AU50+MARKS!BC50+MARKS!BK50,""),"Ab")</f>
        <v/>
      </c>
      <c r="CJ50" s="891" t="str">
        <f>IFERROR(IF($B50&gt;0,PASHEET!AN50+PASHEET!AV50+MARKS!H50+MARKS!P50+MARKS!X50+MARKS!AF50+MARKS!AN50+MARKS!AV50+MARKS!BD50+MARKS!BL50,""),"Ab")</f>
        <v/>
      </c>
      <c r="CK50" s="891" t="str">
        <f>IFERROR(IF($B50&gt;0,PASHEET!AO50+PASHEET!AW50+MARKS!I50+MARKS!Q50+MARKS!Y50+MARKS!AG50+MARKS!AO50+MARKS!AW50+MARKS!BE50+MARKS!BM50,""),"Ab")</f>
        <v/>
      </c>
      <c r="CL50" s="891" t="str">
        <f>IFERROR(IF($B50&gt;0,PASHEET!AP50+PASHEET!AX50+MARKS!J50+MARKS!R50+MARKS!Z50+MARKS!AH50+MARKS!AP50+MARKS!AX50+MARKS!BF50+MARKS!BN50,""),"Ab")</f>
        <v/>
      </c>
      <c r="CM50" s="891" t="str">
        <f>IFERROR(IF($B50&gt;0,PASHEET!AQ50+PASHEET!AY50+MARKS!K50+MARKS!S50+MARKS!AA50+MARKS!AI50+MARKS!AQ50+MARKS!AY50+MARKS!BG50+MARKS!BO50,""),"Ab")</f>
        <v/>
      </c>
      <c r="CN50" s="891" t="str">
        <f>IFERROR(IF($B50&gt;0,PASHEET!AR50+PASHEET!AZ50+MARKS!L50+MARKS!T50+MARKS!AB50+MARKS!AJ50+MARKS!AR50+MARKS!AZ50+MARKS!BH50+MARKS!BP50,""),"Ab")</f>
        <v/>
      </c>
      <c r="CO50" s="891" t="str">
        <f t="shared" si="29"/>
        <v/>
      </c>
      <c r="CP50" s="893" t="str">
        <f t="shared" si="30"/>
        <v/>
      </c>
      <c r="CQ50" s="893" t="str">
        <f t="shared" si="31"/>
        <v/>
      </c>
      <c r="CR50" s="893" t="str">
        <f t="shared" si="32"/>
        <v/>
      </c>
      <c r="CS50" s="893" t="str">
        <f t="shared" si="33"/>
        <v/>
      </c>
      <c r="CT50" s="893" t="str">
        <f t="shared" si="34"/>
        <v/>
      </c>
      <c r="CU50" s="893" t="str">
        <f t="shared" si="35"/>
        <v/>
      </c>
      <c r="CV50" s="893" t="str">
        <f t="shared" si="36"/>
        <v/>
      </c>
      <c r="CW50" s="893" t="str">
        <f t="shared" si="37"/>
        <v/>
      </c>
      <c r="CX50" s="894" t="str">
        <f>IFERROR(IF($B50&gt;0,PASHEET!AL50+MARKS!F50+MARKS!N50+MARKS!V50+MARKS!AD50,""),"Ab")</f>
        <v/>
      </c>
      <c r="CY50" s="894" t="str">
        <f>IFERROR(IF($B50&gt;0,PASHEET!AM50+MARKS!G50+MARKS!O50+MARKS!W50+MARKS!AE50,""),"Ab")</f>
        <v/>
      </c>
      <c r="CZ50" s="894" t="str">
        <f>IFERROR(IF($B50&gt;0,PASHEET!AN50+MARKS!H50+MARKS!P50+MARKS!X50+MARKS!AF50,""),"Ab")</f>
        <v/>
      </c>
      <c r="DA50" s="894" t="str">
        <f>IFERROR(IF($B50&gt;0,PASHEET!AO50+MARKS!I50+MARKS!Q50+MARKS!Y50+MARKS!AG50,""),"Ab")</f>
        <v/>
      </c>
      <c r="DB50" s="894" t="str">
        <f>IFERROR(IF($B50&gt;0,PASHEET!AP50+MARKS!J50+MARKS!R50+MARKS!Z50+MARKS!AH50,""),"Ab")</f>
        <v/>
      </c>
      <c r="DC50" s="894" t="str">
        <f>IFERROR(IF($B50&gt;0,PASHEET!AQ50+MARKS!K50+MARKS!S50+MARKS!AA50+MARKS!AI50,""),"Ab")</f>
        <v/>
      </c>
      <c r="DD50" s="894" t="str">
        <f>IFERROR(IF($B50&gt;0,PASHEET!AR50+MARKS!L50+MARKS!T50+MARKS!AB50+MARKS!AJ50,""),"Ab")</f>
        <v/>
      </c>
      <c r="DE50" s="879" t="str">
        <f t="shared" si="38"/>
        <v/>
      </c>
      <c r="DF50" s="894" t="str">
        <f t="shared" si="39"/>
        <v/>
      </c>
      <c r="DG50" s="894" t="str">
        <f t="shared" si="40"/>
        <v/>
      </c>
      <c r="DH50" s="894" t="str">
        <f t="shared" si="41"/>
        <v/>
      </c>
      <c r="DI50" s="894" t="str">
        <f t="shared" si="42"/>
        <v/>
      </c>
      <c r="DJ50" s="894" t="str">
        <f t="shared" si="43"/>
        <v/>
      </c>
      <c r="DK50" s="894" t="str">
        <f t="shared" si="44"/>
        <v/>
      </c>
      <c r="DL50" s="894" t="str">
        <f t="shared" si="45"/>
        <v/>
      </c>
      <c r="DM50" s="894" t="str">
        <f t="shared" si="46"/>
        <v/>
      </c>
      <c r="DN50" s="894" t="str">
        <f>IFERROR(IF($B50&gt;0,PASHEET!AT50+MARKS!AL50+MARKS!AT50+MARKS!BB50+MARKS!BJ50,""),"Ab")</f>
        <v/>
      </c>
      <c r="DO50" s="894" t="str">
        <f>IFERROR(IF($B50&gt;0,PASHEET!AU50+MARKS!AM50+MARKS!AU50+MARKS!BC50+MARKS!BK50,""),"Ab")</f>
        <v/>
      </c>
      <c r="DP50" s="894" t="str">
        <f>IFERROR(IF($B50&gt;0,PASHEET!AV50+MARKS!AN50+MARKS!AV50+MARKS!BD50+MARKS!BL50,""),"Ab")</f>
        <v/>
      </c>
      <c r="DQ50" s="894" t="str">
        <f>IFERROR(IF($B50&gt;0,PASHEET!AW50+MARKS!AO50+MARKS!AW50+MARKS!BE50+MARKS!BM50,""),"Ab")</f>
        <v/>
      </c>
      <c r="DR50" s="894" t="str">
        <f>IFERROR(IF($B50&gt;0,PASHEET!AX50+MARKS!AP50+MARKS!AX50+MARKS!BF50+MARKS!BN50,""),"Ab")</f>
        <v/>
      </c>
      <c r="DS50" s="894" t="str">
        <f>IFERROR(IF($B50&gt;0,PASHEET!AY50+MARKS!AQ50+MARKS!AY50+MARKS!BG50+MARKS!BO50,""),"Ab")</f>
        <v/>
      </c>
      <c r="DT50" s="894" t="str">
        <f>IFERROR(IF($B50&gt;0,PASHEET!AZ50+MARKS!AR50+MARKS!AZ50+MARKS!BH50+MARKS!BP50,""),"Ab")</f>
        <v/>
      </c>
      <c r="DU50" s="879" t="str">
        <f t="shared" si="47"/>
        <v/>
      </c>
      <c r="DV50" s="894" t="str">
        <f t="shared" si="48"/>
        <v/>
      </c>
      <c r="DW50" s="894" t="str">
        <f t="shared" si="49"/>
        <v/>
      </c>
      <c r="DX50" s="894" t="str">
        <f t="shared" si="50"/>
        <v/>
      </c>
      <c r="DY50" s="894" t="str">
        <f t="shared" si="51"/>
        <v/>
      </c>
      <c r="DZ50" s="894" t="str">
        <f t="shared" si="52"/>
        <v/>
      </c>
      <c r="EA50" s="894" t="str">
        <f t="shared" si="53"/>
        <v/>
      </c>
      <c r="EB50" s="894" t="str">
        <f t="shared" si="54"/>
        <v/>
      </c>
      <c r="EC50" s="894" t="str">
        <f t="shared" si="55"/>
        <v/>
      </c>
    </row>
    <row r="51" spans="1:133">
      <c r="A51" s="879">
        <v>48</v>
      </c>
      <c r="B51" s="879">
        <f>STUDENT!F49</f>
        <v>0</v>
      </c>
      <c r="C51" s="879">
        <f>STUDENT!D49</f>
        <v>0</v>
      </c>
      <c r="D51" s="886">
        <f>STUDENT!E49</f>
        <v>0</v>
      </c>
      <c r="E51" s="886">
        <f>STUDENT!H49</f>
        <v>0</v>
      </c>
      <c r="F51" s="887"/>
      <c r="G51" s="887"/>
      <c r="H51" s="887"/>
      <c r="I51" s="887"/>
      <c r="J51" s="887"/>
      <c r="K51" s="887"/>
      <c r="L51" s="887"/>
      <c r="M51" s="888">
        <f t="shared" si="0"/>
        <v>0</v>
      </c>
      <c r="N51" s="887"/>
      <c r="O51" s="887"/>
      <c r="P51" s="887"/>
      <c r="Q51" s="887"/>
      <c r="R51" s="887"/>
      <c r="S51" s="887"/>
      <c r="T51" s="887"/>
      <c r="U51" s="889">
        <f t="shared" si="7"/>
        <v>0</v>
      </c>
      <c r="V51" s="887"/>
      <c r="W51" s="887"/>
      <c r="X51" s="887"/>
      <c r="Y51" s="887"/>
      <c r="Z51" s="887"/>
      <c r="AA51" s="887"/>
      <c r="AB51" s="887"/>
      <c r="AC51" s="890">
        <f t="shared" si="8"/>
        <v>0</v>
      </c>
      <c r="AD51" s="887"/>
      <c r="AE51" s="887"/>
      <c r="AF51" s="887"/>
      <c r="AG51" s="887"/>
      <c r="AH51" s="887"/>
      <c r="AI51" s="887"/>
      <c r="AJ51" s="887"/>
      <c r="AK51" s="888" t="str">
        <f t="shared" si="1"/>
        <v/>
      </c>
      <c r="AL51" s="887"/>
      <c r="AM51" s="887"/>
      <c r="AN51" s="887"/>
      <c r="AO51" s="887"/>
      <c r="AP51" s="887"/>
      <c r="AQ51" s="887"/>
      <c r="AR51" s="887"/>
      <c r="AS51" s="891">
        <f t="shared" si="9"/>
        <v>0</v>
      </c>
      <c r="AT51" s="887"/>
      <c r="AU51" s="887"/>
      <c r="AV51" s="887"/>
      <c r="AW51" s="887"/>
      <c r="AX51" s="887"/>
      <c r="AY51" s="887"/>
      <c r="AZ51" s="887"/>
      <c r="BA51" s="889">
        <f t="shared" si="10"/>
        <v>0</v>
      </c>
      <c r="BB51" s="887"/>
      <c r="BC51" s="887"/>
      <c r="BD51" s="887"/>
      <c r="BE51" s="887"/>
      <c r="BF51" s="887"/>
      <c r="BG51" s="887"/>
      <c r="BH51" s="887"/>
      <c r="BI51" s="890">
        <f t="shared" si="11"/>
        <v>0</v>
      </c>
      <c r="BJ51" s="887"/>
      <c r="BK51" s="887"/>
      <c r="BL51" s="887"/>
      <c r="BM51" s="887"/>
      <c r="BN51" s="887"/>
      <c r="BO51" s="887"/>
      <c r="BP51" s="887"/>
      <c r="BQ51" s="888" t="str">
        <f t="shared" si="12"/>
        <v/>
      </c>
      <c r="BR51" s="892" t="str">
        <f t="shared" si="13"/>
        <v/>
      </c>
      <c r="BS51" s="892" t="str">
        <f t="shared" si="14"/>
        <v/>
      </c>
      <c r="BT51" s="892" t="str">
        <f t="shared" si="15"/>
        <v/>
      </c>
      <c r="BU51" s="892" t="str">
        <f t="shared" si="16"/>
        <v/>
      </c>
      <c r="BV51" s="892" t="str">
        <f t="shared" si="17"/>
        <v/>
      </c>
      <c r="BW51" s="892" t="str">
        <f t="shared" si="18"/>
        <v/>
      </c>
      <c r="BX51" s="892" t="str">
        <f t="shared" si="19"/>
        <v/>
      </c>
      <c r="BY51" s="892" t="str">
        <f t="shared" si="20"/>
        <v/>
      </c>
      <c r="BZ51" s="892" t="str">
        <f t="shared" si="21"/>
        <v/>
      </c>
      <c r="CA51" s="892" t="str">
        <f t="shared" si="22"/>
        <v/>
      </c>
      <c r="CB51" s="892" t="str">
        <f t="shared" si="23"/>
        <v/>
      </c>
      <c r="CC51" s="892" t="str">
        <f t="shared" si="24"/>
        <v/>
      </c>
      <c r="CD51" s="892" t="str">
        <f t="shared" si="25"/>
        <v/>
      </c>
      <c r="CE51" s="892" t="str">
        <f t="shared" si="26"/>
        <v/>
      </c>
      <c r="CF51" s="892" t="str">
        <f t="shared" si="27"/>
        <v/>
      </c>
      <c r="CG51" s="892" t="str">
        <f t="shared" si="28"/>
        <v/>
      </c>
      <c r="CH51" s="891" t="str">
        <f>IFERROR(IF($B51&gt;0,PASHEET!AL51+PASHEET!AT51+MARKS!F51+MARKS!N51+MARKS!V51+MARKS!AD51+MARKS!AL51+MARKS!AT51+MARKS!BB51+MARKS!BJ51,""),"Ab")</f>
        <v/>
      </c>
      <c r="CI51" s="891" t="str">
        <f>IFERROR(IF($B51&gt;0,PASHEET!AM51+PASHEET!AU51+MARKS!G51+MARKS!O51+MARKS!W51+MARKS!AE51+MARKS!AM51+MARKS!AU51+MARKS!BC51+MARKS!BK51,""),"Ab")</f>
        <v/>
      </c>
      <c r="CJ51" s="891" t="str">
        <f>IFERROR(IF($B51&gt;0,PASHEET!AN51+PASHEET!AV51+MARKS!H51+MARKS!P51+MARKS!X51+MARKS!AF51+MARKS!AN51+MARKS!AV51+MARKS!BD51+MARKS!BL51,""),"Ab")</f>
        <v/>
      </c>
      <c r="CK51" s="891" t="str">
        <f>IFERROR(IF($B51&gt;0,PASHEET!AO51+PASHEET!AW51+MARKS!I51+MARKS!Q51+MARKS!Y51+MARKS!AG51+MARKS!AO51+MARKS!AW51+MARKS!BE51+MARKS!BM51,""),"Ab")</f>
        <v/>
      </c>
      <c r="CL51" s="891" t="str">
        <f>IFERROR(IF($B51&gt;0,PASHEET!AP51+PASHEET!AX51+MARKS!J51+MARKS!R51+MARKS!Z51+MARKS!AH51+MARKS!AP51+MARKS!AX51+MARKS!BF51+MARKS!BN51,""),"Ab")</f>
        <v/>
      </c>
      <c r="CM51" s="891" t="str">
        <f>IFERROR(IF($B51&gt;0,PASHEET!AQ51+PASHEET!AY51+MARKS!K51+MARKS!S51+MARKS!AA51+MARKS!AI51+MARKS!AQ51+MARKS!AY51+MARKS!BG51+MARKS!BO51,""),"Ab")</f>
        <v/>
      </c>
      <c r="CN51" s="891" t="str">
        <f>IFERROR(IF($B51&gt;0,PASHEET!AR51+PASHEET!AZ51+MARKS!L51+MARKS!T51+MARKS!AB51+MARKS!AJ51+MARKS!AR51+MARKS!AZ51+MARKS!BH51+MARKS!BP51,""),"Ab")</f>
        <v/>
      </c>
      <c r="CO51" s="891" t="str">
        <f t="shared" si="29"/>
        <v/>
      </c>
      <c r="CP51" s="893" t="str">
        <f t="shared" si="30"/>
        <v/>
      </c>
      <c r="CQ51" s="893" t="str">
        <f t="shared" si="31"/>
        <v/>
      </c>
      <c r="CR51" s="893" t="str">
        <f t="shared" si="32"/>
        <v/>
      </c>
      <c r="CS51" s="893" t="str">
        <f t="shared" si="33"/>
        <v/>
      </c>
      <c r="CT51" s="893" t="str">
        <f t="shared" si="34"/>
        <v/>
      </c>
      <c r="CU51" s="893" t="str">
        <f t="shared" si="35"/>
        <v/>
      </c>
      <c r="CV51" s="893" t="str">
        <f t="shared" si="36"/>
        <v/>
      </c>
      <c r="CW51" s="893" t="str">
        <f t="shared" si="37"/>
        <v/>
      </c>
      <c r="CX51" s="894" t="str">
        <f>IFERROR(IF($B51&gt;0,PASHEET!AL51+MARKS!F51+MARKS!N51+MARKS!V51+MARKS!AD51,""),"Ab")</f>
        <v/>
      </c>
      <c r="CY51" s="894" t="str">
        <f>IFERROR(IF($B51&gt;0,PASHEET!AM51+MARKS!G51+MARKS!O51+MARKS!W51+MARKS!AE51,""),"Ab")</f>
        <v/>
      </c>
      <c r="CZ51" s="894" t="str">
        <f>IFERROR(IF($B51&gt;0,PASHEET!AN51+MARKS!H51+MARKS!P51+MARKS!X51+MARKS!AF51,""),"Ab")</f>
        <v/>
      </c>
      <c r="DA51" s="894" t="str">
        <f>IFERROR(IF($B51&gt;0,PASHEET!AO51+MARKS!I51+MARKS!Q51+MARKS!Y51+MARKS!AG51,""),"Ab")</f>
        <v/>
      </c>
      <c r="DB51" s="894" t="str">
        <f>IFERROR(IF($B51&gt;0,PASHEET!AP51+MARKS!J51+MARKS!R51+MARKS!Z51+MARKS!AH51,""),"Ab")</f>
        <v/>
      </c>
      <c r="DC51" s="894" t="str">
        <f>IFERROR(IF($B51&gt;0,PASHEET!AQ51+MARKS!K51+MARKS!S51+MARKS!AA51+MARKS!AI51,""),"Ab")</f>
        <v/>
      </c>
      <c r="DD51" s="894" t="str">
        <f>IFERROR(IF($B51&gt;0,PASHEET!AR51+MARKS!L51+MARKS!T51+MARKS!AB51+MARKS!AJ51,""),"Ab")</f>
        <v/>
      </c>
      <c r="DE51" s="879" t="str">
        <f t="shared" si="38"/>
        <v/>
      </c>
      <c r="DF51" s="894" t="str">
        <f t="shared" si="39"/>
        <v/>
      </c>
      <c r="DG51" s="894" t="str">
        <f t="shared" si="40"/>
        <v/>
      </c>
      <c r="DH51" s="894" t="str">
        <f t="shared" si="41"/>
        <v/>
      </c>
      <c r="DI51" s="894" t="str">
        <f t="shared" si="42"/>
        <v/>
      </c>
      <c r="DJ51" s="894" t="str">
        <f t="shared" si="43"/>
        <v/>
      </c>
      <c r="DK51" s="894" t="str">
        <f t="shared" si="44"/>
        <v/>
      </c>
      <c r="DL51" s="894" t="str">
        <f t="shared" si="45"/>
        <v/>
      </c>
      <c r="DM51" s="894" t="str">
        <f t="shared" si="46"/>
        <v/>
      </c>
      <c r="DN51" s="894" t="str">
        <f>IFERROR(IF($B51&gt;0,PASHEET!AT51+MARKS!AL51+MARKS!AT51+MARKS!BB51+MARKS!BJ51,""),"Ab")</f>
        <v/>
      </c>
      <c r="DO51" s="894" t="str">
        <f>IFERROR(IF($B51&gt;0,PASHEET!AU51+MARKS!AM51+MARKS!AU51+MARKS!BC51+MARKS!BK51,""),"Ab")</f>
        <v/>
      </c>
      <c r="DP51" s="894" t="str">
        <f>IFERROR(IF($B51&gt;0,PASHEET!AV51+MARKS!AN51+MARKS!AV51+MARKS!BD51+MARKS!BL51,""),"Ab")</f>
        <v/>
      </c>
      <c r="DQ51" s="894" t="str">
        <f>IFERROR(IF($B51&gt;0,PASHEET!AW51+MARKS!AO51+MARKS!AW51+MARKS!BE51+MARKS!BM51,""),"Ab")</f>
        <v/>
      </c>
      <c r="DR51" s="894" t="str">
        <f>IFERROR(IF($B51&gt;0,PASHEET!AX51+MARKS!AP51+MARKS!AX51+MARKS!BF51+MARKS!BN51,""),"Ab")</f>
        <v/>
      </c>
      <c r="DS51" s="894" t="str">
        <f>IFERROR(IF($B51&gt;0,PASHEET!AY51+MARKS!AQ51+MARKS!AY51+MARKS!BG51+MARKS!BO51,""),"Ab")</f>
        <v/>
      </c>
      <c r="DT51" s="894" t="str">
        <f>IFERROR(IF($B51&gt;0,PASHEET!AZ51+MARKS!AR51+MARKS!AZ51+MARKS!BH51+MARKS!BP51,""),"Ab")</f>
        <v/>
      </c>
      <c r="DU51" s="879" t="str">
        <f t="shared" si="47"/>
        <v/>
      </c>
      <c r="DV51" s="894" t="str">
        <f t="shared" si="48"/>
        <v/>
      </c>
      <c r="DW51" s="894" t="str">
        <f t="shared" si="49"/>
        <v/>
      </c>
      <c r="DX51" s="894" t="str">
        <f t="shared" si="50"/>
        <v/>
      </c>
      <c r="DY51" s="894" t="str">
        <f t="shared" si="51"/>
        <v/>
      </c>
      <c r="DZ51" s="894" t="str">
        <f t="shared" si="52"/>
        <v/>
      </c>
      <c r="EA51" s="894" t="str">
        <f t="shared" si="53"/>
        <v/>
      </c>
      <c r="EB51" s="894" t="str">
        <f t="shared" si="54"/>
        <v/>
      </c>
      <c r="EC51" s="894" t="str">
        <f t="shared" si="55"/>
        <v/>
      </c>
    </row>
    <row r="52" spans="1:133">
      <c r="A52" s="879">
        <v>49</v>
      </c>
      <c r="B52" s="879">
        <f>STUDENT!F50</f>
        <v>0</v>
      </c>
      <c r="C52" s="879">
        <f>STUDENT!D50</f>
        <v>0</v>
      </c>
      <c r="D52" s="886">
        <f>STUDENT!E50</f>
        <v>0</v>
      </c>
      <c r="E52" s="886">
        <f>STUDENT!H50</f>
        <v>0</v>
      </c>
      <c r="F52" s="887"/>
      <c r="G52" s="887"/>
      <c r="H52" s="887"/>
      <c r="I52" s="887"/>
      <c r="J52" s="887"/>
      <c r="K52" s="887"/>
      <c r="L52" s="887"/>
      <c r="M52" s="888">
        <f t="shared" si="0"/>
        <v>0</v>
      </c>
      <c r="N52" s="887"/>
      <c r="O52" s="887"/>
      <c r="P52" s="887"/>
      <c r="Q52" s="887"/>
      <c r="R52" s="887"/>
      <c r="S52" s="887"/>
      <c r="T52" s="887"/>
      <c r="U52" s="889">
        <f t="shared" si="7"/>
        <v>0</v>
      </c>
      <c r="V52" s="887"/>
      <c r="W52" s="887"/>
      <c r="X52" s="887"/>
      <c r="Y52" s="887"/>
      <c r="Z52" s="887"/>
      <c r="AA52" s="887"/>
      <c r="AB52" s="887"/>
      <c r="AC52" s="890">
        <f t="shared" si="8"/>
        <v>0</v>
      </c>
      <c r="AD52" s="887"/>
      <c r="AE52" s="887"/>
      <c r="AF52" s="887"/>
      <c r="AG52" s="887"/>
      <c r="AH52" s="887"/>
      <c r="AI52" s="887"/>
      <c r="AJ52" s="887"/>
      <c r="AK52" s="888" t="str">
        <f t="shared" si="1"/>
        <v/>
      </c>
      <c r="AL52" s="887"/>
      <c r="AM52" s="887"/>
      <c r="AN52" s="887"/>
      <c r="AO52" s="887"/>
      <c r="AP52" s="887"/>
      <c r="AQ52" s="887"/>
      <c r="AR52" s="887"/>
      <c r="AS52" s="891">
        <f t="shared" si="9"/>
        <v>0</v>
      </c>
      <c r="AT52" s="887"/>
      <c r="AU52" s="887"/>
      <c r="AV52" s="887"/>
      <c r="AW52" s="887"/>
      <c r="AX52" s="887"/>
      <c r="AY52" s="887"/>
      <c r="AZ52" s="887"/>
      <c r="BA52" s="889">
        <f t="shared" si="10"/>
        <v>0</v>
      </c>
      <c r="BB52" s="887"/>
      <c r="BC52" s="887"/>
      <c r="BD52" s="887"/>
      <c r="BE52" s="887"/>
      <c r="BF52" s="887"/>
      <c r="BG52" s="887"/>
      <c r="BH52" s="887"/>
      <c r="BI52" s="890">
        <f t="shared" si="11"/>
        <v>0</v>
      </c>
      <c r="BJ52" s="887"/>
      <c r="BK52" s="887"/>
      <c r="BL52" s="887"/>
      <c r="BM52" s="887"/>
      <c r="BN52" s="887"/>
      <c r="BO52" s="887"/>
      <c r="BP52" s="887"/>
      <c r="BQ52" s="888" t="str">
        <f t="shared" si="12"/>
        <v/>
      </c>
      <c r="BR52" s="892" t="str">
        <f t="shared" si="13"/>
        <v/>
      </c>
      <c r="BS52" s="892" t="str">
        <f t="shared" si="14"/>
        <v/>
      </c>
      <c r="BT52" s="892" t="str">
        <f t="shared" si="15"/>
        <v/>
      </c>
      <c r="BU52" s="892" t="str">
        <f t="shared" si="16"/>
        <v/>
      </c>
      <c r="BV52" s="892" t="str">
        <f t="shared" si="17"/>
        <v/>
      </c>
      <c r="BW52" s="892" t="str">
        <f t="shared" si="18"/>
        <v/>
      </c>
      <c r="BX52" s="892" t="str">
        <f t="shared" si="19"/>
        <v/>
      </c>
      <c r="BY52" s="892" t="str">
        <f t="shared" si="20"/>
        <v/>
      </c>
      <c r="BZ52" s="892" t="str">
        <f t="shared" si="21"/>
        <v/>
      </c>
      <c r="CA52" s="892" t="str">
        <f t="shared" si="22"/>
        <v/>
      </c>
      <c r="CB52" s="892" t="str">
        <f t="shared" si="23"/>
        <v/>
      </c>
      <c r="CC52" s="892" t="str">
        <f t="shared" si="24"/>
        <v/>
      </c>
      <c r="CD52" s="892" t="str">
        <f t="shared" si="25"/>
        <v/>
      </c>
      <c r="CE52" s="892" t="str">
        <f t="shared" si="26"/>
        <v/>
      </c>
      <c r="CF52" s="892" t="str">
        <f t="shared" si="27"/>
        <v/>
      </c>
      <c r="CG52" s="892" t="str">
        <f t="shared" si="28"/>
        <v/>
      </c>
      <c r="CH52" s="891" t="str">
        <f>IFERROR(IF($B52&gt;0,PASHEET!AL52+PASHEET!AT52+MARKS!F52+MARKS!N52+MARKS!V52+MARKS!AD52+MARKS!AL52+MARKS!AT52+MARKS!BB52+MARKS!BJ52,""),"Ab")</f>
        <v/>
      </c>
      <c r="CI52" s="891" t="str">
        <f>IFERROR(IF($B52&gt;0,PASHEET!AM52+PASHEET!AU52+MARKS!G52+MARKS!O52+MARKS!W52+MARKS!AE52+MARKS!AM52+MARKS!AU52+MARKS!BC52+MARKS!BK52,""),"Ab")</f>
        <v/>
      </c>
      <c r="CJ52" s="891" t="str">
        <f>IFERROR(IF($B52&gt;0,PASHEET!AN52+PASHEET!AV52+MARKS!H52+MARKS!P52+MARKS!X52+MARKS!AF52+MARKS!AN52+MARKS!AV52+MARKS!BD52+MARKS!BL52,""),"Ab")</f>
        <v/>
      </c>
      <c r="CK52" s="891" t="str">
        <f>IFERROR(IF($B52&gt;0,PASHEET!AO52+PASHEET!AW52+MARKS!I52+MARKS!Q52+MARKS!Y52+MARKS!AG52+MARKS!AO52+MARKS!AW52+MARKS!BE52+MARKS!BM52,""),"Ab")</f>
        <v/>
      </c>
      <c r="CL52" s="891" t="str">
        <f>IFERROR(IF($B52&gt;0,PASHEET!AP52+PASHEET!AX52+MARKS!J52+MARKS!R52+MARKS!Z52+MARKS!AH52+MARKS!AP52+MARKS!AX52+MARKS!BF52+MARKS!BN52,""),"Ab")</f>
        <v/>
      </c>
      <c r="CM52" s="891" t="str">
        <f>IFERROR(IF($B52&gt;0,PASHEET!AQ52+PASHEET!AY52+MARKS!K52+MARKS!S52+MARKS!AA52+MARKS!AI52+MARKS!AQ52+MARKS!AY52+MARKS!BG52+MARKS!BO52,""),"Ab")</f>
        <v/>
      </c>
      <c r="CN52" s="891" t="str">
        <f>IFERROR(IF($B52&gt;0,PASHEET!AR52+PASHEET!AZ52+MARKS!L52+MARKS!T52+MARKS!AB52+MARKS!AJ52+MARKS!AR52+MARKS!AZ52+MARKS!BH52+MARKS!BP52,""),"Ab")</f>
        <v/>
      </c>
      <c r="CO52" s="891" t="str">
        <f t="shared" si="29"/>
        <v/>
      </c>
      <c r="CP52" s="893" t="str">
        <f t="shared" si="30"/>
        <v/>
      </c>
      <c r="CQ52" s="893" t="str">
        <f t="shared" si="31"/>
        <v/>
      </c>
      <c r="CR52" s="893" t="str">
        <f t="shared" si="32"/>
        <v/>
      </c>
      <c r="CS52" s="893" t="str">
        <f t="shared" si="33"/>
        <v/>
      </c>
      <c r="CT52" s="893" t="str">
        <f t="shared" si="34"/>
        <v/>
      </c>
      <c r="CU52" s="893" t="str">
        <f t="shared" si="35"/>
        <v/>
      </c>
      <c r="CV52" s="893" t="str">
        <f t="shared" si="36"/>
        <v/>
      </c>
      <c r="CW52" s="893" t="str">
        <f t="shared" si="37"/>
        <v/>
      </c>
      <c r="CX52" s="894" t="str">
        <f>IFERROR(IF($B52&gt;0,PASHEET!AL52+MARKS!F52+MARKS!N52+MARKS!V52+MARKS!AD52,""),"Ab")</f>
        <v/>
      </c>
      <c r="CY52" s="894" t="str">
        <f>IFERROR(IF($B52&gt;0,PASHEET!AM52+MARKS!G52+MARKS!O52+MARKS!W52+MARKS!AE52,""),"Ab")</f>
        <v/>
      </c>
      <c r="CZ52" s="894" t="str">
        <f>IFERROR(IF($B52&gt;0,PASHEET!AN52+MARKS!H52+MARKS!P52+MARKS!X52+MARKS!AF52,""),"Ab")</f>
        <v/>
      </c>
      <c r="DA52" s="894" t="str">
        <f>IFERROR(IF($B52&gt;0,PASHEET!AO52+MARKS!I52+MARKS!Q52+MARKS!Y52+MARKS!AG52,""),"Ab")</f>
        <v/>
      </c>
      <c r="DB52" s="894" t="str">
        <f>IFERROR(IF($B52&gt;0,PASHEET!AP52+MARKS!J52+MARKS!R52+MARKS!Z52+MARKS!AH52,""),"Ab")</f>
        <v/>
      </c>
      <c r="DC52" s="894" t="str">
        <f>IFERROR(IF($B52&gt;0,PASHEET!AQ52+MARKS!K52+MARKS!S52+MARKS!AA52+MARKS!AI52,""),"Ab")</f>
        <v/>
      </c>
      <c r="DD52" s="894" t="str">
        <f>IFERROR(IF($B52&gt;0,PASHEET!AR52+MARKS!L52+MARKS!T52+MARKS!AB52+MARKS!AJ52,""),"Ab")</f>
        <v/>
      </c>
      <c r="DE52" s="879" t="str">
        <f t="shared" si="38"/>
        <v/>
      </c>
      <c r="DF52" s="894" t="str">
        <f t="shared" si="39"/>
        <v/>
      </c>
      <c r="DG52" s="894" t="str">
        <f t="shared" si="40"/>
        <v/>
      </c>
      <c r="DH52" s="894" t="str">
        <f t="shared" si="41"/>
        <v/>
      </c>
      <c r="DI52" s="894" t="str">
        <f t="shared" si="42"/>
        <v/>
      </c>
      <c r="DJ52" s="894" t="str">
        <f t="shared" si="43"/>
        <v/>
      </c>
      <c r="DK52" s="894" t="str">
        <f t="shared" si="44"/>
        <v/>
      </c>
      <c r="DL52" s="894" t="str">
        <f t="shared" si="45"/>
        <v/>
      </c>
      <c r="DM52" s="894" t="str">
        <f t="shared" si="46"/>
        <v/>
      </c>
      <c r="DN52" s="894" t="str">
        <f>IFERROR(IF($B52&gt;0,PASHEET!AT52+MARKS!AL52+MARKS!AT52+MARKS!BB52+MARKS!BJ52,""),"Ab")</f>
        <v/>
      </c>
      <c r="DO52" s="894" t="str">
        <f>IFERROR(IF($B52&gt;0,PASHEET!AU52+MARKS!AM52+MARKS!AU52+MARKS!BC52+MARKS!BK52,""),"Ab")</f>
        <v/>
      </c>
      <c r="DP52" s="894" t="str">
        <f>IFERROR(IF($B52&gt;0,PASHEET!AV52+MARKS!AN52+MARKS!AV52+MARKS!BD52+MARKS!BL52,""),"Ab")</f>
        <v/>
      </c>
      <c r="DQ52" s="894" t="str">
        <f>IFERROR(IF($B52&gt;0,PASHEET!AW52+MARKS!AO52+MARKS!AW52+MARKS!BE52+MARKS!BM52,""),"Ab")</f>
        <v/>
      </c>
      <c r="DR52" s="894" t="str">
        <f>IFERROR(IF($B52&gt;0,PASHEET!AX52+MARKS!AP52+MARKS!AX52+MARKS!BF52+MARKS!BN52,""),"Ab")</f>
        <v/>
      </c>
      <c r="DS52" s="894" t="str">
        <f>IFERROR(IF($B52&gt;0,PASHEET!AY52+MARKS!AQ52+MARKS!AY52+MARKS!BG52+MARKS!BO52,""),"Ab")</f>
        <v/>
      </c>
      <c r="DT52" s="894" t="str">
        <f>IFERROR(IF($B52&gt;0,PASHEET!AZ52+MARKS!AR52+MARKS!AZ52+MARKS!BH52+MARKS!BP52,""),"Ab")</f>
        <v/>
      </c>
      <c r="DU52" s="879" t="str">
        <f t="shared" si="47"/>
        <v/>
      </c>
      <c r="DV52" s="894" t="str">
        <f t="shared" si="48"/>
        <v/>
      </c>
      <c r="DW52" s="894" t="str">
        <f t="shared" si="49"/>
        <v/>
      </c>
      <c r="DX52" s="894" t="str">
        <f t="shared" si="50"/>
        <v/>
      </c>
      <c r="DY52" s="894" t="str">
        <f t="shared" si="51"/>
        <v/>
      </c>
      <c r="DZ52" s="894" t="str">
        <f t="shared" si="52"/>
        <v/>
      </c>
      <c r="EA52" s="894" t="str">
        <f t="shared" si="53"/>
        <v/>
      </c>
      <c r="EB52" s="894" t="str">
        <f t="shared" si="54"/>
        <v/>
      </c>
      <c r="EC52" s="894" t="str">
        <f t="shared" si="55"/>
        <v/>
      </c>
    </row>
    <row r="53" spans="1:133">
      <c r="A53" s="879">
        <v>50</v>
      </c>
      <c r="B53" s="879">
        <f>STUDENT!F51</f>
        <v>0</v>
      </c>
      <c r="C53" s="879">
        <f>STUDENT!D51</f>
        <v>0</v>
      </c>
      <c r="D53" s="886">
        <f>STUDENT!E51</f>
        <v>0</v>
      </c>
      <c r="E53" s="886">
        <f>STUDENT!H51</f>
        <v>0</v>
      </c>
      <c r="F53" s="887"/>
      <c r="G53" s="887"/>
      <c r="H53" s="887"/>
      <c r="I53" s="887"/>
      <c r="J53" s="887"/>
      <c r="K53" s="887"/>
      <c r="L53" s="887"/>
      <c r="M53" s="888">
        <f t="shared" si="0"/>
        <v>0</v>
      </c>
      <c r="N53" s="887"/>
      <c r="O53" s="887"/>
      <c r="P53" s="887"/>
      <c r="Q53" s="887"/>
      <c r="R53" s="887"/>
      <c r="S53" s="887"/>
      <c r="T53" s="887"/>
      <c r="U53" s="889">
        <f t="shared" si="7"/>
        <v>0</v>
      </c>
      <c r="V53" s="887"/>
      <c r="W53" s="887"/>
      <c r="X53" s="887"/>
      <c r="Y53" s="887"/>
      <c r="Z53" s="887"/>
      <c r="AA53" s="887"/>
      <c r="AB53" s="887"/>
      <c r="AC53" s="890">
        <f t="shared" si="8"/>
        <v>0</v>
      </c>
      <c r="AD53" s="887"/>
      <c r="AE53" s="887"/>
      <c r="AF53" s="887"/>
      <c r="AG53" s="887"/>
      <c r="AH53" s="887"/>
      <c r="AI53" s="887"/>
      <c r="AJ53" s="887"/>
      <c r="AK53" s="888" t="str">
        <f t="shared" si="1"/>
        <v/>
      </c>
      <c r="AL53" s="887"/>
      <c r="AM53" s="887"/>
      <c r="AN53" s="887"/>
      <c r="AO53" s="887"/>
      <c r="AP53" s="887"/>
      <c r="AQ53" s="887"/>
      <c r="AR53" s="887"/>
      <c r="AS53" s="891">
        <f t="shared" si="9"/>
        <v>0</v>
      </c>
      <c r="AT53" s="887"/>
      <c r="AU53" s="887"/>
      <c r="AV53" s="887"/>
      <c r="AW53" s="887"/>
      <c r="AX53" s="887"/>
      <c r="AY53" s="887"/>
      <c r="AZ53" s="887"/>
      <c r="BA53" s="889">
        <f t="shared" si="10"/>
        <v>0</v>
      </c>
      <c r="BB53" s="887"/>
      <c r="BC53" s="887"/>
      <c r="BD53" s="887"/>
      <c r="BE53" s="887"/>
      <c r="BF53" s="887"/>
      <c r="BG53" s="887"/>
      <c r="BH53" s="887"/>
      <c r="BI53" s="890">
        <f t="shared" si="11"/>
        <v>0</v>
      </c>
      <c r="BJ53" s="887"/>
      <c r="BK53" s="887"/>
      <c r="BL53" s="887"/>
      <c r="BM53" s="887"/>
      <c r="BN53" s="887"/>
      <c r="BO53" s="887"/>
      <c r="BP53" s="887"/>
      <c r="BQ53" s="888" t="str">
        <f t="shared" si="12"/>
        <v/>
      </c>
      <c r="BR53" s="892" t="str">
        <f t="shared" si="13"/>
        <v/>
      </c>
      <c r="BS53" s="892" t="str">
        <f t="shared" si="14"/>
        <v/>
      </c>
      <c r="BT53" s="892" t="str">
        <f t="shared" si="15"/>
        <v/>
      </c>
      <c r="BU53" s="892" t="str">
        <f t="shared" si="16"/>
        <v/>
      </c>
      <c r="BV53" s="892" t="str">
        <f t="shared" si="17"/>
        <v/>
      </c>
      <c r="BW53" s="892" t="str">
        <f t="shared" si="18"/>
        <v/>
      </c>
      <c r="BX53" s="892" t="str">
        <f t="shared" si="19"/>
        <v/>
      </c>
      <c r="BY53" s="892" t="str">
        <f t="shared" si="20"/>
        <v/>
      </c>
      <c r="BZ53" s="892" t="str">
        <f t="shared" si="21"/>
        <v/>
      </c>
      <c r="CA53" s="892" t="str">
        <f t="shared" si="22"/>
        <v/>
      </c>
      <c r="CB53" s="892" t="str">
        <f t="shared" si="23"/>
        <v/>
      </c>
      <c r="CC53" s="892" t="str">
        <f t="shared" si="24"/>
        <v/>
      </c>
      <c r="CD53" s="892" t="str">
        <f t="shared" si="25"/>
        <v/>
      </c>
      <c r="CE53" s="892" t="str">
        <f t="shared" si="26"/>
        <v/>
      </c>
      <c r="CF53" s="892" t="str">
        <f t="shared" si="27"/>
        <v/>
      </c>
      <c r="CG53" s="892" t="str">
        <f t="shared" si="28"/>
        <v/>
      </c>
      <c r="CH53" s="891" t="str">
        <f>IFERROR(IF($B53&gt;0,PASHEET!AL53+PASHEET!AT53+MARKS!F53+MARKS!N53+MARKS!V53+MARKS!AD53+MARKS!AL53+MARKS!AT53+MARKS!BB53+MARKS!BJ53,""),"Ab")</f>
        <v/>
      </c>
      <c r="CI53" s="891" t="str">
        <f>IFERROR(IF($B53&gt;0,PASHEET!AM53+PASHEET!AU53+MARKS!G53+MARKS!O53+MARKS!W53+MARKS!AE53+MARKS!AM53+MARKS!AU53+MARKS!BC53+MARKS!BK53,""),"Ab")</f>
        <v/>
      </c>
      <c r="CJ53" s="891" t="str">
        <f>IFERROR(IF($B53&gt;0,PASHEET!AN53+PASHEET!AV53+MARKS!H53+MARKS!P53+MARKS!X53+MARKS!AF53+MARKS!AN53+MARKS!AV53+MARKS!BD53+MARKS!BL53,""),"Ab")</f>
        <v/>
      </c>
      <c r="CK53" s="891" t="str">
        <f>IFERROR(IF($B53&gt;0,PASHEET!AO53+PASHEET!AW53+MARKS!I53+MARKS!Q53+MARKS!Y53+MARKS!AG53+MARKS!AO53+MARKS!AW53+MARKS!BE53+MARKS!BM53,""),"Ab")</f>
        <v/>
      </c>
      <c r="CL53" s="891" t="str">
        <f>IFERROR(IF($B53&gt;0,PASHEET!AP53+PASHEET!AX53+MARKS!J53+MARKS!R53+MARKS!Z53+MARKS!AH53+MARKS!AP53+MARKS!AX53+MARKS!BF53+MARKS!BN53,""),"Ab")</f>
        <v/>
      </c>
      <c r="CM53" s="891" t="str">
        <f>IFERROR(IF($B53&gt;0,PASHEET!AQ53+PASHEET!AY53+MARKS!K53+MARKS!S53+MARKS!AA53+MARKS!AI53+MARKS!AQ53+MARKS!AY53+MARKS!BG53+MARKS!BO53,""),"Ab")</f>
        <v/>
      </c>
      <c r="CN53" s="891" t="str">
        <f>IFERROR(IF($B53&gt;0,PASHEET!AR53+PASHEET!AZ53+MARKS!L53+MARKS!T53+MARKS!AB53+MARKS!AJ53+MARKS!AR53+MARKS!AZ53+MARKS!BH53+MARKS!BP53,""),"Ab")</f>
        <v/>
      </c>
      <c r="CO53" s="891" t="str">
        <f t="shared" si="29"/>
        <v/>
      </c>
      <c r="CP53" s="893" t="str">
        <f t="shared" si="30"/>
        <v/>
      </c>
      <c r="CQ53" s="893" t="str">
        <f t="shared" si="31"/>
        <v/>
      </c>
      <c r="CR53" s="893" t="str">
        <f t="shared" si="32"/>
        <v/>
      </c>
      <c r="CS53" s="893" t="str">
        <f t="shared" si="33"/>
        <v/>
      </c>
      <c r="CT53" s="893" t="str">
        <f t="shared" si="34"/>
        <v/>
      </c>
      <c r="CU53" s="893" t="str">
        <f t="shared" si="35"/>
        <v/>
      </c>
      <c r="CV53" s="893" t="str">
        <f t="shared" si="36"/>
        <v/>
      </c>
      <c r="CW53" s="893" t="str">
        <f t="shared" si="37"/>
        <v/>
      </c>
      <c r="CX53" s="894" t="str">
        <f>IFERROR(IF($B53&gt;0,PASHEET!AL53+MARKS!F53+MARKS!N53+MARKS!V53+MARKS!AD53,""),"Ab")</f>
        <v/>
      </c>
      <c r="CY53" s="894" t="str">
        <f>IFERROR(IF($B53&gt;0,PASHEET!AM53+MARKS!G53+MARKS!O53+MARKS!W53+MARKS!AE53,""),"Ab")</f>
        <v/>
      </c>
      <c r="CZ53" s="894" t="str">
        <f>IFERROR(IF($B53&gt;0,PASHEET!AN53+MARKS!H53+MARKS!P53+MARKS!X53+MARKS!AF53,""),"Ab")</f>
        <v/>
      </c>
      <c r="DA53" s="894" t="str">
        <f>IFERROR(IF($B53&gt;0,PASHEET!AO53+MARKS!I53+MARKS!Q53+MARKS!Y53+MARKS!AG53,""),"Ab")</f>
        <v/>
      </c>
      <c r="DB53" s="894" t="str">
        <f>IFERROR(IF($B53&gt;0,PASHEET!AP53+MARKS!J53+MARKS!R53+MARKS!Z53+MARKS!AH53,""),"Ab")</f>
        <v/>
      </c>
      <c r="DC53" s="894" t="str">
        <f>IFERROR(IF($B53&gt;0,PASHEET!AQ53+MARKS!K53+MARKS!S53+MARKS!AA53+MARKS!AI53,""),"Ab")</f>
        <v/>
      </c>
      <c r="DD53" s="894" t="str">
        <f>IFERROR(IF($B53&gt;0,PASHEET!AR53+MARKS!L53+MARKS!T53+MARKS!AB53+MARKS!AJ53,""),"Ab")</f>
        <v/>
      </c>
      <c r="DE53" s="879" t="str">
        <f t="shared" si="38"/>
        <v/>
      </c>
      <c r="DF53" s="894" t="str">
        <f t="shared" si="39"/>
        <v/>
      </c>
      <c r="DG53" s="894" t="str">
        <f t="shared" si="40"/>
        <v/>
      </c>
      <c r="DH53" s="894" t="str">
        <f t="shared" si="41"/>
        <v/>
      </c>
      <c r="DI53" s="894" t="str">
        <f t="shared" si="42"/>
        <v/>
      </c>
      <c r="DJ53" s="894" t="str">
        <f t="shared" si="43"/>
        <v/>
      </c>
      <c r="DK53" s="894" t="str">
        <f t="shared" si="44"/>
        <v/>
      </c>
      <c r="DL53" s="894" t="str">
        <f t="shared" si="45"/>
        <v/>
      </c>
      <c r="DM53" s="894" t="str">
        <f t="shared" si="46"/>
        <v/>
      </c>
      <c r="DN53" s="894" t="str">
        <f>IFERROR(IF($B53&gt;0,PASHEET!AT53+MARKS!AL53+MARKS!AT53+MARKS!BB53+MARKS!BJ53,""),"Ab")</f>
        <v/>
      </c>
      <c r="DO53" s="894" t="str">
        <f>IFERROR(IF($B53&gt;0,PASHEET!AU53+MARKS!AM53+MARKS!AU53+MARKS!BC53+MARKS!BK53,""),"Ab")</f>
        <v/>
      </c>
      <c r="DP53" s="894" t="str">
        <f>IFERROR(IF($B53&gt;0,PASHEET!AV53+MARKS!AN53+MARKS!AV53+MARKS!BD53+MARKS!BL53,""),"Ab")</f>
        <v/>
      </c>
      <c r="DQ53" s="894" t="str">
        <f>IFERROR(IF($B53&gt;0,PASHEET!AW53+MARKS!AO53+MARKS!AW53+MARKS!BE53+MARKS!BM53,""),"Ab")</f>
        <v/>
      </c>
      <c r="DR53" s="894" t="str">
        <f>IFERROR(IF($B53&gt;0,PASHEET!AX53+MARKS!AP53+MARKS!AX53+MARKS!BF53+MARKS!BN53,""),"Ab")</f>
        <v/>
      </c>
      <c r="DS53" s="894" t="str">
        <f>IFERROR(IF($B53&gt;0,PASHEET!AY53+MARKS!AQ53+MARKS!AY53+MARKS!BG53+MARKS!BO53,""),"Ab")</f>
        <v/>
      </c>
      <c r="DT53" s="894" t="str">
        <f>IFERROR(IF($B53&gt;0,PASHEET!AZ53+MARKS!AR53+MARKS!AZ53+MARKS!BH53+MARKS!BP53,""),"Ab")</f>
        <v/>
      </c>
      <c r="DU53" s="879" t="str">
        <f t="shared" si="47"/>
        <v/>
      </c>
      <c r="DV53" s="894" t="str">
        <f t="shared" si="48"/>
        <v/>
      </c>
      <c r="DW53" s="894" t="str">
        <f t="shared" si="49"/>
        <v/>
      </c>
      <c r="DX53" s="894" t="str">
        <f t="shared" si="50"/>
        <v/>
      </c>
      <c r="DY53" s="894" t="str">
        <f t="shared" si="51"/>
        <v/>
      </c>
      <c r="DZ53" s="894" t="str">
        <f t="shared" si="52"/>
        <v/>
      </c>
      <c r="EA53" s="894" t="str">
        <f t="shared" si="53"/>
        <v/>
      </c>
      <c r="EB53" s="894" t="str">
        <f t="shared" si="54"/>
        <v/>
      </c>
      <c r="EC53" s="894" t="str">
        <f t="shared" si="55"/>
        <v/>
      </c>
    </row>
    <row r="54" spans="1:133">
      <c r="A54" s="879">
        <v>51</v>
      </c>
      <c r="B54" s="879">
        <f>STUDENT!F52</f>
        <v>0</v>
      </c>
      <c r="C54" s="879">
        <f>STUDENT!D52</f>
        <v>0</v>
      </c>
      <c r="D54" s="886">
        <f>STUDENT!E52</f>
        <v>0</v>
      </c>
      <c r="E54" s="886">
        <f>STUDENT!H52</f>
        <v>0</v>
      </c>
      <c r="F54" s="887"/>
      <c r="G54" s="887"/>
      <c r="H54" s="887"/>
      <c r="I54" s="887"/>
      <c r="J54" s="887"/>
      <c r="K54" s="887"/>
      <c r="L54" s="887"/>
      <c r="M54" s="888">
        <f t="shared" si="0"/>
        <v>0</v>
      </c>
      <c r="N54" s="887"/>
      <c r="O54" s="887"/>
      <c r="P54" s="887"/>
      <c r="Q54" s="887"/>
      <c r="R54" s="887"/>
      <c r="S54" s="887"/>
      <c r="T54" s="887"/>
      <c r="U54" s="889">
        <f t="shared" si="7"/>
        <v>0</v>
      </c>
      <c r="V54" s="887"/>
      <c r="W54" s="887"/>
      <c r="X54" s="887"/>
      <c r="Y54" s="887"/>
      <c r="Z54" s="887"/>
      <c r="AA54" s="887"/>
      <c r="AB54" s="887"/>
      <c r="AC54" s="890">
        <f t="shared" si="8"/>
        <v>0</v>
      </c>
      <c r="AD54" s="887"/>
      <c r="AE54" s="887"/>
      <c r="AF54" s="887"/>
      <c r="AG54" s="887"/>
      <c r="AH54" s="887"/>
      <c r="AI54" s="887"/>
      <c r="AJ54" s="887"/>
      <c r="AK54" s="888" t="str">
        <f t="shared" si="1"/>
        <v/>
      </c>
      <c r="AL54" s="887"/>
      <c r="AM54" s="887"/>
      <c r="AN54" s="887"/>
      <c r="AO54" s="887"/>
      <c r="AP54" s="887"/>
      <c r="AQ54" s="887"/>
      <c r="AR54" s="887"/>
      <c r="AS54" s="891">
        <f t="shared" si="9"/>
        <v>0</v>
      </c>
      <c r="AT54" s="887"/>
      <c r="AU54" s="887"/>
      <c r="AV54" s="887"/>
      <c r="AW54" s="887"/>
      <c r="AX54" s="887"/>
      <c r="AY54" s="887"/>
      <c r="AZ54" s="887"/>
      <c r="BA54" s="889">
        <f t="shared" si="10"/>
        <v>0</v>
      </c>
      <c r="BB54" s="887"/>
      <c r="BC54" s="887"/>
      <c r="BD54" s="887"/>
      <c r="BE54" s="887"/>
      <c r="BF54" s="887"/>
      <c r="BG54" s="887"/>
      <c r="BH54" s="887"/>
      <c r="BI54" s="890">
        <f t="shared" si="11"/>
        <v>0</v>
      </c>
      <c r="BJ54" s="887"/>
      <c r="BK54" s="887"/>
      <c r="BL54" s="887"/>
      <c r="BM54" s="887"/>
      <c r="BN54" s="887"/>
      <c r="BO54" s="887"/>
      <c r="BP54" s="887"/>
      <c r="BQ54" s="888" t="str">
        <f t="shared" si="12"/>
        <v/>
      </c>
      <c r="BR54" s="892" t="str">
        <f t="shared" si="13"/>
        <v/>
      </c>
      <c r="BS54" s="892" t="str">
        <f t="shared" si="14"/>
        <v/>
      </c>
      <c r="BT54" s="892" t="str">
        <f t="shared" si="15"/>
        <v/>
      </c>
      <c r="BU54" s="892" t="str">
        <f t="shared" si="16"/>
        <v/>
      </c>
      <c r="BV54" s="892" t="str">
        <f t="shared" si="17"/>
        <v/>
      </c>
      <c r="BW54" s="892" t="str">
        <f t="shared" si="18"/>
        <v/>
      </c>
      <c r="BX54" s="892" t="str">
        <f t="shared" si="19"/>
        <v/>
      </c>
      <c r="BY54" s="892" t="str">
        <f t="shared" si="20"/>
        <v/>
      </c>
      <c r="BZ54" s="892" t="str">
        <f t="shared" si="21"/>
        <v/>
      </c>
      <c r="CA54" s="892" t="str">
        <f t="shared" si="22"/>
        <v/>
      </c>
      <c r="CB54" s="892" t="str">
        <f t="shared" si="23"/>
        <v/>
      </c>
      <c r="CC54" s="892" t="str">
        <f t="shared" si="24"/>
        <v/>
      </c>
      <c r="CD54" s="892" t="str">
        <f t="shared" si="25"/>
        <v/>
      </c>
      <c r="CE54" s="892" t="str">
        <f t="shared" si="26"/>
        <v/>
      </c>
      <c r="CF54" s="892" t="str">
        <f t="shared" si="27"/>
        <v/>
      </c>
      <c r="CG54" s="892" t="str">
        <f t="shared" si="28"/>
        <v/>
      </c>
      <c r="CH54" s="891" t="str">
        <f>IFERROR(IF($B54&gt;0,PASHEET!AL54+PASHEET!AT54+MARKS!F54+MARKS!N54+MARKS!V54+MARKS!AD54+MARKS!AL54+MARKS!AT54+MARKS!BB54+MARKS!BJ54,""),"Ab")</f>
        <v/>
      </c>
      <c r="CI54" s="891" t="str">
        <f>IFERROR(IF($B54&gt;0,PASHEET!AM54+PASHEET!AU54+MARKS!G54+MARKS!O54+MARKS!W54+MARKS!AE54+MARKS!AM54+MARKS!AU54+MARKS!BC54+MARKS!BK54,""),"Ab")</f>
        <v/>
      </c>
      <c r="CJ54" s="891" t="str">
        <f>IFERROR(IF($B54&gt;0,PASHEET!AN54+PASHEET!AV54+MARKS!H54+MARKS!P54+MARKS!X54+MARKS!AF54+MARKS!AN54+MARKS!AV54+MARKS!BD54+MARKS!BL54,""),"Ab")</f>
        <v/>
      </c>
      <c r="CK54" s="891" t="str">
        <f>IFERROR(IF($B54&gt;0,PASHEET!AO54+PASHEET!AW54+MARKS!I54+MARKS!Q54+MARKS!Y54+MARKS!AG54+MARKS!AO54+MARKS!AW54+MARKS!BE54+MARKS!BM54,""),"Ab")</f>
        <v/>
      </c>
      <c r="CL54" s="891" t="str">
        <f>IFERROR(IF($B54&gt;0,PASHEET!AP54+PASHEET!AX54+MARKS!J54+MARKS!R54+MARKS!Z54+MARKS!AH54+MARKS!AP54+MARKS!AX54+MARKS!BF54+MARKS!BN54,""),"Ab")</f>
        <v/>
      </c>
      <c r="CM54" s="891" t="str">
        <f>IFERROR(IF($B54&gt;0,PASHEET!AQ54+PASHEET!AY54+MARKS!K54+MARKS!S54+MARKS!AA54+MARKS!AI54+MARKS!AQ54+MARKS!AY54+MARKS!BG54+MARKS!BO54,""),"Ab")</f>
        <v/>
      </c>
      <c r="CN54" s="891" t="str">
        <f>IFERROR(IF($B54&gt;0,PASHEET!AR54+PASHEET!AZ54+MARKS!L54+MARKS!T54+MARKS!AB54+MARKS!AJ54+MARKS!AR54+MARKS!AZ54+MARKS!BH54+MARKS!BP54,""),"Ab")</f>
        <v/>
      </c>
      <c r="CO54" s="891" t="str">
        <f t="shared" si="29"/>
        <v/>
      </c>
      <c r="CP54" s="893" t="str">
        <f t="shared" si="30"/>
        <v/>
      </c>
      <c r="CQ54" s="893" t="str">
        <f t="shared" si="31"/>
        <v/>
      </c>
      <c r="CR54" s="893" t="str">
        <f t="shared" si="32"/>
        <v/>
      </c>
      <c r="CS54" s="893" t="str">
        <f t="shared" si="33"/>
        <v/>
      </c>
      <c r="CT54" s="893" t="str">
        <f t="shared" si="34"/>
        <v/>
      </c>
      <c r="CU54" s="893" t="str">
        <f t="shared" si="35"/>
        <v/>
      </c>
      <c r="CV54" s="893" t="str">
        <f t="shared" si="36"/>
        <v/>
      </c>
      <c r="CW54" s="893" t="str">
        <f t="shared" si="37"/>
        <v/>
      </c>
      <c r="CX54" s="894" t="str">
        <f>IFERROR(IF($B54&gt;0,PASHEET!AL54+MARKS!F54+MARKS!N54+MARKS!V54+MARKS!AD54,""),"Ab")</f>
        <v/>
      </c>
      <c r="CY54" s="894" t="str">
        <f>IFERROR(IF($B54&gt;0,PASHEET!AM54+MARKS!G54+MARKS!O54+MARKS!W54+MARKS!AE54,""),"Ab")</f>
        <v/>
      </c>
      <c r="CZ54" s="894" t="str">
        <f>IFERROR(IF($B54&gt;0,PASHEET!AN54+MARKS!H54+MARKS!P54+MARKS!X54+MARKS!AF54,""),"Ab")</f>
        <v/>
      </c>
      <c r="DA54" s="894" t="str">
        <f>IFERROR(IF($B54&gt;0,PASHEET!AO54+MARKS!I54+MARKS!Q54+MARKS!Y54+MARKS!AG54,""),"Ab")</f>
        <v/>
      </c>
      <c r="DB54" s="894" t="str">
        <f>IFERROR(IF($B54&gt;0,PASHEET!AP54+MARKS!J54+MARKS!R54+MARKS!Z54+MARKS!AH54,""),"Ab")</f>
        <v/>
      </c>
      <c r="DC54" s="894" t="str">
        <f>IFERROR(IF($B54&gt;0,PASHEET!AQ54+MARKS!K54+MARKS!S54+MARKS!AA54+MARKS!AI54,""),"Ab")</f>
        <v/>
      </c>
      <c r="DD54" s="894" t="str">
        <f>IFERROR(IF($B54&gt;0,PASHEET!AR54+MARKS!L54+MARKS!T54+MARKS!AB54+MARKS!AJ54,""),"Ab")</f>
        <v/>
      </c>
      <c r="DE54" s="879" t="str">
        <f t="shared" si="38"/>
        <v/>
      </c>
      <c r="DF54" s="894" t="str">
        <f t="shared" si="39"/>
        <v/>
      </c>
      <c r="DG54" s="894" t="str">
        <f t="shared" si="40"/>
        <v/>
      </c>
      <c r="DH54" s="894" t="str">
        <f t="shared" si="41"/>
        <v/>
      </c>
      <c r="DI54" s="894" t="str">
        <f t="shared" si="42"/>
        <v/>
      </c>
      <c r="DJ54" s="894" t="str">
        <f t="shared" si="43"/>
        <v/>
      </c>
      <c r="DK54" s="894" t="str">
        <f t="shared" si="44"/>
        <v/>
      </c>
      <c r="DL54" s="894" t="str">
        <f t="shared" si="45"/>
        <v/>
      </c>
      <c r="DM54" s="894" t="str">
        <f t="shared" si="46"/>
        <v/>
      </c>
      <c r="DN54" s="894" t="str">
        <f>IFERROR(IF($B54&gt;0,PASHEET!AT54+MARKS!AL54+MARKS!AT54+MARKS!BB54+MARKS!BJ54,""),"Ab")</f>
        <v/>
      </c>
      <c r="DO54" s="894" t="str">
        <f>IFERROR(IF($B54&gt;0,PASHEET!AU54+MARKS!AM54+MARKS!AU54+MARKS!BC54+MARKS!BK54,""),"Ab")</f>
        <v/>
      </c>
      <c r="DP54" s="894" t="str">
        <f>IFERROR(IF($B54&gt;0,PASHEET!AV54+MARKS!AN54+MARKS!AV54+MARKS!BD54+MARKS!BL54,""),"Ab")</f>
        <v/>
      </c>
      <c r="DQ54" s="894" t="str">
        <f>IFERROR(IF($B54&gt;0,PASHEET!AW54+MARKS!AO54+MARKS!AW54+MARKS!BE54+MARKS!BM54,""),"Ab")</f>
        <v/>
      </c>
      <c r="DR54" s="894" t="str">
        <f>IFERROR(IF($B54&gt;0,PASHEET!AX54+MARKS!AP54+MARKS!AX54+MARKS!BF54+MARKS!BN54,""),"Ab")</f>
        <v/>
      </c>
      <c r="DS54" s="894" t="str">
        <f>IFERROR(IF($B54&gt;0,PASHEET!AY54+MARKS!AQ54+MARKS!AY54+MARKS!BG54+MARKS!BO54,""),"Ab")</f>
        <v/>
      </c>
      <c r="DT54" s="894" t="str">
        <f>IFERROR(IF($B54&gt;0,PASHEET!AZ54+MARKS!AR54+MARKS!AZ54+MARKS!BH54+MARKS!BP54,""),"Ab")</f>
        <v/>
      </c>
      <c r="DU54" s="879" t="str">
        <f t="shared" si="47"/>
        <v/>
      </c>
      <c r="DV54" s="894" t="str">
        <f t="shared" si="48"/>
        <v/>
      </c>
      <c r="DW54" s="894" t="str">
        <f t="shared" si="49"/>
        <v/>
      </c>
      <c r="DX54" s="894" t="str">
        <f t="shared" si="50"/>
        <v/>
      </c>
      <c r="DY54" s="894" t="str">
        <f t="shared" si="51"/>
        <v/>
      </c>
      <c r="DZ54" s="894" t="str">
        <f t="shared" si="52"/>
        <v/>
      </c>
      <c r="EA54" s="894" t="str">
        <f t="shared" si="53"/>
        <v/>
      </c>
      <c r="EB54" s="894" t="str">
        <f t="shared" si="54"/>
        <v/>
      </c>
      <c r="EC54" s="894" t="str">
        <f t="shared" si="55"/>
        <v/>
      </c>
    </row>
    <row r="55" spans="1:133">
      <c r="A55" s="879">
        <v>52</v>
      </c>
      <c r="B55" s="879">
        <f>STUDENT!F53</f>
        <v>0</v>
      </c>
      <c r="C55" s="879">
        <f>STUDENT!D53</f>
        <v>0</v>
      </c>
      <c r="D55" s="886">
        <f>STUDENT!E53</f>
        <v>0</v>
      </c>
      <c r="E55" s="886">
        <f>STUDENT!H53</f>
        <v>0</v>
      </c>
      <c r="F55" s="887"/>
      <c r="G55" s="887"/>
      <c r="H55" s="887"/>
      <c r="I55" s="887"/>
      <c r="J55" s="887"/>
      <c r="K55" s="887"/>
      <c r="L55" s="887"/>
      <c r="M55" s="888">
        <f t="shared" si="0"/>
        <v>0</v>
      </c>
      <c r="N55" s="887"/>
      <c r="O55" s="887"/>
      <c r="P55" s="887"/>
      <c r="Q55" s="887"/>
      <c r="R55" s="887"/>
      <c r="S55" s="887"/>
      <c r="T55" s="887"/>
      <c r="U55" s="889">
        <f t="shared" si="7"/>
        <v>0</v>
      </c>
      <c r="V55" s="887"/>
      <c r="W55" s="887"/>
      <c r="X55" s="887"/>
      <c r="Y55" s="887"/>
      <c r="Z55" s="887"/>
      <c r="AA55" s="887"/>
      <c r="AB55" s="887"/>
      <c r="AC55" s="890">
        <f t="shared" si="8"/>
        <v>0</v>
      </c>
      <c r="AD55" s="887"/>
      <c r="AE55" s="887"/>
      <c r="AF55" s="887"/>
      <c r="AG55" s="887"/>
      <c r="AH55" s="887"/>
      <c r="AI55" s="887"/>
      <c r="AJ55" s="887"/>
      <c r="AK55" s="888" t="str">
        <f t="shared" si="1"/>
        <v/>
      </c>
      <c r="AL55" s="887"/>
      <c r="AM55" s="887"/>
      <c r="AN55" s="887"/>
      <c r="AO55" s="887"/>
      <c r="AP55" s="887"/>
      <c r="AQ55" s="887"/>
      <c r="AR55" s="887"/>
      <c r="AS55" s="891">
        <f t="shared" si="9"/>
        <v>0</v>
      </c>
      <c r="AT55" s="887"/>
      <c r="AU55" s="887"/>
      <c r="AV55" s="887"/>
      <c r="AW55" s="887"/>
      <c r="AX55" s="887"/>
      <c r="AY55" s="887"/>
      <c r="AZ55" s="887"/>
      <c r="BA55" s="889">
        <f t="shared" si="10"/>
        <v>0</v>
      </c>
      <c r="BB55" s="887"/>
      <c r="BC55" s="887"/>
      <c r="BD55" s="887"/>
      <c r="BE55" s="887"/>
      <c r="BF55" s="887"/>
      <c r="BG55" s="887"/>
      <c r="BH55" s="887"/>
      <c r="BI55" s="890">
        <f t="shared" si="11"/>
        <v>0</v>
      </c>
      <c r="BJ55" s="887"/>
      <c r="BK55" s="887"/>
      <c r="BL55" s="887"/>
      <c r="BM55" s="887"/>
      <c r="BN55" s="887"/>
      <c r="BO55" s="887"/>
      <c r="BP55" s="887"/>
      <c r="BQ55" s="888" t="str">
        <f t="shared" si="12"/>
        <v/>
      </c>
      <c r="BR55" s="892" t="str">
        <f t="shared" si="13"/>
        <v/>
      </c>
      <c r="BS55" s="892" t="str">
        <f t="shared" si="14"/>
        <v/>
      </c>
      <c r="BT55" s="892" t="str">
        <f t="shared" si="15"/>
        <v/>
      </c>
      <c r="BU55" s="892" t="str">
        <f t="shared" si="16"/>
        <v/>
      </c>
      <c r="BV55" s="892" t="str">
        <f t="shared" si="17"/>
        <v/>
      </c>
      <c r="BW55" s="892" t="str">
        <f t="shared" si="18"/>
        <v/>
      </c>
      <c r="BX55" s="892" t="str">
        <f t="shared" si="19"/>
        <v/>
      </c>
      <c r="BY55" s="892" t="str">
        <f t="shared" si="20"/>
        <v/>
      </c>
      <c r="BZ55" s="892" t="str">
        <f t="shared" si="21"/>
        <v/>
      </c>
      <c r="CA55" s="892" t="str">
        <f t="shared" si="22"/>
        <v/>
      </c>
      <c r="CB55" s="892" t="str">
        <f t="shared" si="23"/>
        <v/>
      </c>
      <c r="CC55" s="892" t="str">
        <f t="shared" si="24"/>
        <v/>
      </c>
      <c r="CD55" s="892" t="str">
        <f t="shared" si="25"/>
        <v/>
      </c>
      <c r="CE55" s="892" t="str">
        <f t="shared" si="26"/>
        <v/>
      </c>
      <c r="CF55" s="892" t="str">
        <f t="shared" si="27"/>
        <v/>
      </c>
      <c r="CG55" s="892" t="str">
        <f t="shared" si="28"/>
        <v/>
      </c>
      <c r="CH55" s="891" t="str">
        <f>IFERROR(IF($B55&gt;0,PASHEET!AL55+PASHEET!AT55+MARKS!F55+MARKS!N55+MARKS!V55+MARKS!AD55+MARKS!AL55+MARKS!AT55+MARKS!BB55+MARKS!BJ55,""),"Ab")</f>
        <v/>
      </c>
      <c r="CI55" s="891" t="str">
        <f>IFERROR(IF($B55&gt;0,PASHEET!AM55+PASHEET!AU55+MARKS!G55+MARKS!O55+MARKS!W55+MARKS!AE55+MARKS!AM55+MARKS!AU55+MARKS!BC55+MARKS!BK55,""),"Ab")</f>
        <v/>
      </c>
      <c r="CJ55" s="891" t="str">
        <f>IFERROR(IF($B55&gt;0,PASHEET!AN55+PASHEET!AV55+MARKS!H55+MARKS!P55+MARKS!X55+MARKS!AF55+MARKS!AN55+MARKS!AV55+MARKS!BD55+MARKS!BL55,""),"Ab")</f>
        <v/>
      </c>
      <c r="CK55" s="891" t="str">
        <f>IFERROR(IF($B55&gt;0,PASHEET!AO55+PASHEET!AW55+MARKS!I55+MARKS!Q55+MARKS!Y55+MARKS!AG55+MARKS!AO55+MARKS!AW55+MARKS!BE55+MARKS!BM55,""),"Ab")</f>
        <v/>
      </c>
      <c r="CL55" s="891" t="str">
        <f>IFERROR(IF($B55&gt;0,PASHEET!AP55+PASHEET!AX55+MARKS!J55+MARKS!R55+MARKS!Z55+MARKS!AH55+MARKS!AP55+MARKS!AX55+MARKS!BF55+MARKS!BN55,""),"Ab")</f>
        <v/>
      </c>
      <c r="CM55" s="891" t="str">
        <f>IFERROR(IF($B55&gt;0,PASHEET!AQ55+PASHEET!AY55+MARKS!K55+MARKS!S55+MARKS!AA55+MARKS!AI55+MARKS!AQ55+MARKS!AY55+MARKS!BG55+MARKS!BO55,""),"Ab")</f>
        <v/>
      </c>
      <c r="CN55" s="891" t="str">
        <f>IFERROR(IF($B55&gt;0,PASHEET!AR55+PASHEET!AZ55+MARKS!L55+MARKS!T55+MARKS!AB55+MARKS!AJ55+MARKS!AR55+MARKS!AZ55+MARKS!BH55+MARKS!BP55,""),"Ab")</f>
        <v/>
      </c>
      <c r="CO55" s="891" t="str">
        <f t="shared" si="29"/>
        <v/>
      </c>
      <c r="CP55" s="893" t="str">
        <f t="shared" si="30"/>
        <v/>
      </c>
      <c r="CQ55" s="893" t="str">
        <f t="shared" si="31"/>
        <v/>
      </c>
      <c r="CR55" s="893" t="str">
        <f t="shared" si="32"/>
        <v/>
      </c>
      <c r="CS55" s="893" t="str">
        <f t="shared" si="33"/>
        <v/>
      </c>
      <c r="CT55" s="893" t="str">
        <f t="shared" si="34"/>
        <v/>
      </c>
      <c r="CU55" s="893" t="str">
        <f t="shared" si="35"/>
        <v/>
      </c>
      <c r="CV55" s="893" t="str">
        <f t="shared" si="36"/>
        <v/>
      </c>
      <c r="CW55" s="893" t="str">
        <f t="shared" si="37"/>
        <v/>
      </c>
      <c r="CX55" s="894" t="str">
        <f>IFERROR(IF($B55&gt;0,PASHEET!AL55+MARKS!F55+MARKS!N55+MARKS!V55+MARKS!AD55,""),"Ab")</f>
        <v/>
      </c>
      <c r="CY55" s="894" t="str">
        <f>IFERROR(IF($B55&gt;0,PASHEET!AM55+MARKS!G55+MARKS!O55+MARKS!W55+MARKS!AE55,""),"Ab")</f>
        <v/>
      </c>
      <c r="CZ55" s="894" t="str">
        <f>IFERROR(IF($B55&gt;0,PASHEET!AN55+MARKS!H55+MARKS!P55+MARKS!X55+MARKS!AF55,""),"Ab")</f>
        <v/>
      </c>
      <c r="DA55" s="894" t="str">
        <f>IFERROR(IF($B55&gt;0,PASHEET!AO55+MARKS!I55+MARKS!Q55+MARKS!Y55+MARKS!AG55,""),"Ab")</f>
        <v/>
      </c>
      <c r="DB55" s="894" t="str">
        <f>IFERROR(IF($B55&gt;0,PASHEET!AP55+MARKS!J55+MARKS!R55+MARKS!Z55+MARKS!AH55,""),"Ab")</f>
        <v/>
      </c>
      <c r="DC55" s="894" t="str">
        <f>IFERROR(IF($B55&gt;0,PASHEET!AQ55+MARKS!K55+MARKS!S55+MARKS!AA55+MARKS!AI55,""),"Ab")</f>
        <v/>
      </c>
      <c r="DD55" s="894" t="str">
        <f>IFERROR(IF($B55&gt;0,PASHEET!AR55+MARKS!L55+MARKS!T55+MARKS!AB55+MARKS!AJ55,""),"Ab")</f>
        <v/>
      </c>
      <c r="DE55" s="879" t="str">
        <f t="shared" si="38"/>
        <v/>
      </c>
      <c r="DF55" s="894" t="str">
        <f t="shared" si="39"/>
        <v/>
      </c>
      <c r="DG55" s="894" t="str">
        <f t="shared" si="40"/>
        <v/>
      </c>
      <c r="DH55" s="894" t="str">
        <f t="shared" si="41"/>
        <v/>
      </c>
      <c r="DI55" s="894" t="str">
        <f t="shared" si="42"/>
        <v/>
      </c>
      <c r="DJ55" s="894" t="str">
        <f t="shared" si="43"/>
        <v/>
      </c>
      <c r="DK55" s="894" t="str">
        <f t="shared" si="44"/>
        <v/>
      </c>
      <c r="DL55" s="894" t="str">
        <f t="shared" si="45"/>
        <v/>
      </c>
      <c r="DM55" s="894" t="str">
        <f t="shared" si="46"/>
        <v/>
      </c>
      <c r="DN55" s="894" t="str">
        <f>IFERROR(IF($B55&gt;0,PASHEET!AT55+MARKS!AL55+MARKS!AT55+MARKS!BB55+MARKS!BJ55,""),"Ab")</f>
        <v/>
      </c>
      <c r="DO55" s="894" t="str">
        <f>IFERROR(IF($B55&gt;0,PASHEET!AU55+MARKS!AM55+MARKS!AU55+MARKS!BC55+MARKS!BK55,""),"Ab")</f>
        <v/>
      </c>
      <c r="DP55" s="894" t="str">
        <f>IFERROR(IF($B55&gt;0,PASHEET!AV55+MARKS!AN55+MARKS!AV55+MARKS!BD55+MARKS!BL55,""),"Ab")</f>
        <v/>
      </c>
      <c r="DQ55" s="894" t="str">
        <f>IFERROR(IF($B55&gt;0,PASHEET!AW55+MARKS!AO55+MARKS!AW55+MARKS!BE55+MARKS!BM55,""),"Ab")</f>
        <v/>
      </c>
      <c r="DR55" s="894" t="str">
        <f>IFERROR(IF($B55&gt;0,PASHEET!AX55+MARKS!AP55+MARKS!AX55+MARKS!BF55+MARKS!BN55,""),"Ab")</f>
        <v/>
      </c>
      <c r="DS55" s="894" t="str">
        <f>IFERROR(IF($B55&gt;0,PASHEET!AY55+MARKS!AQ55+MARKS!AY55+MARKS!BG55+MARKS!BO55,""),"Ab")</f>
        <v/>
      </c>
      <c r="DT55" s="894" t="str">
        <f>IFERROR(IF($B55&gt;0,PASHEET!AZ55+MARKS!AR55+MARKS!AZ55+MARKS!BH55+MARKS!BP55,""),"Ab")</f>
        <v/>
      </c>
      <c r="DU55" s="879" t="str">
        <f t="shared" si="47"/>
        <v/>
      </c>
      <c r="DV55" s="894" t="str">
        <f t="shared" si="48"/>
        <v/>
      </c>
      <c r="DW55" s="894" t="str">
        <f t="shared" si="49"/>
        <v/>
      </c>
      <c r="DX55" s="894" t="str">
        <f t="shared" si="50"/>
        <v/>
      </c>
      <c r="DY55" s="894" t="str">
        <f t="shared" si="51"/>
        <v/>
      </c>
      <c r="DZ55" s="894" t="str">
        <f t="shared" si="52"/>
        <v/>
      </c>
      <c r="EA55" s="894" t="str">
        <f t="shared" si="53"/>
        <v/>
      </c>
      <c r="EB55" s="894" t="str">
        <f t="shared" si="54"/>
        <v/>
      </c>
      <c r="EC55" s="894" t="str">
        <f t="shared" si="55"/>
        <v/>
      </c>
    </row>
    <row r="56" spans="1:133">
      <c r="A56" s="879">
        <v>53</v>
      </c>
      <c r="B56" s="879">
        <f>STUDENT!F54</f>
        <v>0</v>
      </c>
      <c r="C56" s="879">
        <f>STUDENT!D54</f>
        <v>0</v>
      </c>
      <c r="D56" s="886">
        <f>STUDENT!E54</f>
        <v>0</v>
      </c>
      <c r="E56" s="886">
        <f>STUDENT!H54</f>
        <v>0</v>
      </c>
      <c r="F56" s="887"/>
      <c r="G56" s="887"/>
      <c r="H56" s="887"/>
      <c r="I56" s="887"/>
      <c r="J56" s="887"/>
      <c r="K56" s="887"/>
      <c r="L56" s="887"/>
      <c r="M56" s="888">
        <f t="shared" si="0"/>
        <v>0</v>
      </c>
      <c r="N56" s="887"/>
      <c r="O56" s="887"/>
      <c r="P56" s="887"/>
      <c r="Q56" s="887"/>
      <c r="R56" s="887"/>
      <c r="S56" s="887"/>
      <c r="T56" s="887"/>
      <c r="U56" s="889">
        <f t="shared" si="7"/>
        <v>0</v>
      </c>
      <c r="V56" s="887"/>
      <c r="W56" s="887"/>
      <c r="X56" s="887"/>
      <c r="Y56" s="887"/>
      <c r="Z56" s="887"/>
      <c r="AA56" s="887"/>
      <c r="AB56" s="887"/>
      <c r="AC56" s="890">
        <f t="shared" si="8"/>
        <v>0</v>
      </c>
      <c r="AD56" s="887"/>
      <c r="AE56" s="887"/>
      <c r="AF56" s="887"/>
      <c r="AG56" s="887"/>
      <c r="AH56" s="887"/>
      <c r="AI56" s="887"/>
      <c r="AJ56" s="887"/>
      <c r="AK56" s="888" t="str">
        <f t="shared" si="1"/>
        <v/>
      </c>
      <c r="AL56" s="887"/>
      <c r="AM56" s="887"/>
      <c r="AN56" s="887"/>
      <c r="AO56" s="887"/>
      <c r="AP56" s="887"/>
      <c r="AQ56" s="887"/>
      <c r="AR56" s="887"/>
      <c r="AS56" s="891">
        <f t="shared" si="9"/>
        <v>0</v>
      </c>
      <c r="AT56" s="887"/>
      <c r="AU56" s="887"/>
      <c r="AV56" s="887"/>
      <c r="AW56" s="887"/>
      <c r="AX56" s="887"/>
      <c r="AY56" s="887"/>
      <c r="AZ56" s="887"/>
      <c r="BA56" s="889">
        <f t="shared" si="10"/>
        <v>0</v>
      </c>
      <c r="BB56" s="887"/>
      <c r="BC56" s="887"/>
      <c r="BD56" s="887"/>
      <c r="BE56" s="887"/>
      <c r="BF56" s="887"/>
      <c r="BG56" s="887"/>
      <c r="BH56" s="887"/>
      <c r="BI56" s="890">
        <f t="shared" si="11"/>
        <v>0</v>
      </c>
      <c r="BJ56" s="887"/>
      <c r="BK56" s="887"/>
      <c r="BL56" s="887"/>
      <c r="BM56" s="887"/>
      <c r="BN56" s="887"/>
      <c r="BO56" s="887"/>
      <c r="BP56" s="887"/>
      <c r="BQ56" s="888" t="str">
        <f t="shared" si="12"/>
        <v/>
      </c>
      <c r="BR56" s="892" t="str">
        <f t="shared" si="13"/>
        <v/>
      </c>
      <c r="BS56" s="892" t="str">
        <f t="shared" si="14"/>
        <v/>
      </c>
      <c r="BT56" s="892" t="str">
        <f t="shared" si="15"/>
        <v/>
      </c>
      <c r="BU56" s="892" t="str">
        <f t="shared" si="16"/>
        <v/>
      </c>
      <c r="BV56" s="892" t="str">
        <f t="shared" si="17"/>
        <v/>
      </c>
      <c r="BW56" s="892" t="str">
        <f t="shared" si="18"/>
        <v/>
      </c>
      <c r="BX56" s="892" t="str">
        <f t="shared" si="19"/>
        <v/>
      </c>
      <c r="BY56" s="892" t="str">
        <f t="shared" si="20"/>
        <v/>
      </c>
      <c r="BZ56" s="892" t="str">
        <f t="shared" si="21"/>
        <v/>
      </c>
      <c r="CA56" s="892" t="str">
        <f t="shared" si="22"/>
        <v/>
      </c>
      <c r="CB56" s="892" t="str">
        <f t="shared" si="23"/>
        <v/>
      </c>
      <c r="CC56" s="892" t="str">
        <f t="shared" si="24"/>
        <v/>
      </c>
      <c r="CD56" s="892" t="str">
        <f t="shared" si="25"/>
        <v/>
      </c>
      <c r="CE56" s="892" t="str">
        <f t="shared" si="26"/>
        <v/>
      </c>
      <c r="CF56" s="892" t="str">
        <f t="shared" si="27"/>
        <v/>
      </c>
      <c r="CG56" s="892" t="str">
        <f t="shared" si="28"/>
        <v/>
      </c>
      <c r="CH56" s="891" t="str">
        <f>IFERROR(IF($B56&gt;0,PASHEET!AL56+PASHEET!AT56+MARKS!F56+MARKS!N56+MARKS!V56+MARKS!AD56+MARKS!AL56+MARKS!AT56+MARKS!BB56+MARKS!BJ56,""),"Ab")</f>
        <v/>
      </c>
      <c r="CI56" s="891" t="str">
        <f>IFERROR(IF($B56&gt;0,PASHEET!AM56+PASHEET!AU56+MARKS!G56+MARKS!O56+MARKS!W56+MARKS!AE56+MARKS!AM56+MARKS!AU56+MARKS!BC56+MARKS!BK56,""),"Ab")</f>
        <v/>
      </c>
      <c r="CJ56" s="891" t="str">
        <f>IFERROR(IF($B56&gt;0,PASHEET!AN56+PASHEET!AV56+MARKS!H56+MARKS!P56+MARKS!X56+MARKS!AF56+MARKS!AN56+MARKS!AV56+MARKS!BD56+MARKS!BL56,""),"Ab")</f>
        <v/>
      </c>
      <c r="CK56" s="891" t="str">
        <f>IFERROR(IF($B56&gt;0,PASHEET!AO56+PASHEET!AW56+MARKS!I56+MARKS!Q56+MARKS!Y56+MARKS!AG56+MARKS!AO56+MARKS!AW56+MARKS!BE56+MARKS!BM56,""),"Ab")</f>
        <v/>
      </c>
      <c r="CL56" s="891" t="str">
        <f>IFERROR(IF($B56&gt;0,PASHEET!AP56+PASHEET!AX56+MARKS!J56+MARKS!R56+MARKS!Z56+MARKS!AH56+MARKS!AP56+MARKS!AX56+MARKS!BF56+MARKS!BN56,""),"Ab")</f>
        <v/>
      </c>
      <c r="CM56" s="891" t="str">
        <f>IFERROR(IF($B56&gt;0,PASHEET!AQ56+PASHEET!AY56+MARKS!K56+MARKS!S56+MARKS!AA56+MARKS!AI56+MARKS!AQ56+MARKS!AY56+MARKS!BG56+MARKS!BO56,""),"Ab")</f>
        <v/>
      </c>
      <c r="CN56" s="891" t="str">
        <f>IFERROR(IF($B56&gt;0,PASHEET!AR56+PASHEET!AZ56+MARKS!L56+MARKS!T56+MARKS!AB56+MARKS!AJ56+MARKS!AR56+MARKS!AZ56+MARKS!BH56+MARKS!BP56,""),"Ab")</f>
        <v/>
      </c>
      <c r="CO56" s="891" t="str">
        <f t="shared" si="29"/>
        <v/>
      </c>
      <c r="CP56" s="893" t="str">
        <f t="shared" si="30"/>
        <v/>
      </c>
      <c r="CQ56" s="893" t="str">
        <f t="shared" si="31"/>
        <v/>
      </c>
      <c r="CR56" s="893" t="str">
        <f t="shared" si="32"/>
        <v/>
      </c>
      <c r="CS56" s="893" t="str">
        <f t="shared" si="33"/>
        <v/>
      </c>
      <c r="CT56" s="893" t="str">
        <f t="shared" si="34"/>
        <v/>
      </c>
      <c r="CU56" s="893" t="str">
        <f t="shared" si="35"/>
        <v/>
      </c>
      <c r="CV56" s="893" t="str">
        <f t="shared" si="36"/>
        <v/>
      </c>
      <c r="CW56" s="893" t="str">
        <f t="shared" si="37"/>
        <v/>
      </c>
      <c r="CX56" s="894" t="str">
        <f>IFERROR(IF($B56&gt;0,PASHEET!AL56+MARKS!F56+MARKS!N56+MARKS!V56+MARKS!AD56,""),"Ab")</f>
        <v/>
      </c>
      <c r="CY56" s="894" t="str">
        <f>IFERROR(IF($B56&gt;0,PASHEET!AM56+MARKS!G56+MARKS!O56+MARKS!W56+MARKS!AE56,""),"Ab")</f>
        <v/>
      </c>
      <c r="CZ56" s="894" t="str">
        <f>IFERROR(IF($B56&gt;0,PASHEET!AN56+MARKS!H56+MARKS!P56+MARKS!X56+MARKS!AF56,""),"Ab")</f>
        <v/>
      </c>
      <c r="DA56" s="894" t="str">
        <f>IFERROR(IF($B56&gt;0,PASHEET!AO56+MARKS!I56+MARKS!Q56+MARKS!Y56+MARKS!AG56,""),"Ab")</f>
        <v/>
      </c>
      <c r="DB56" s="894" t="str">
        <f>IFERROR(IF($B56&gt;0,PASHEET!AP56+MARKS!J56+MARKS!R56+MARKS!Z56+MARKS!AH56,""),"Ab")</f>
        <v/>
      </c>
      <c r="DC56" s="894" t="str">
        <f>IFERROR(IF($B56&gt;0,PASHEET!AQ56+MARKS!K56+MARKS!S56+MARKS!AA56+MARKS!AI56,""),"Ab")</f>
        <v/>
      </c>
      <c r="DD56" s="894" t="str">
        <f>IFERROR(IF($B56&gt;0,PASHEET!AR56+MARKS!L56+MARKS!T56+MARKS!AB56+MARKS!AJ56,""),"Ab")</f>
        <v/>
      </c>
      <c r="DE56" s="879" t="str">
        <f t="shared" si="38"/>
        <v/>
      </c>
      <c r="DF56" s="894" t="str">
        <f t="shared" si="39"/>
        <v/>
      </c>
      <c r="DG56" s="894" t="str">
        <f t="shared" si="40"/>
        <v/>
      </c>
      <c r="DH56" s="894" t="str">
        <f t="shared" si="41"/>
        <v/>
      </c>
      <c r="DI56" s="894" t="str">
        <f t="shared" si="42"/>
        <v/>
      </c>
      <c r="DJ56" s="894" t="str">
        <f t="shared" si="43"/>
        <v/>
      </c>
      <c r="DK56" s="894" t="str">
        <f t="shared" si="44"/>
        <v/>
      </c>
      <c r="DL56" s="894" t="str">
        <f t="shared" si="45"/>
        <v/>
      </c>
      <c r="DM56" s="894" t="str">
        <f t="shared" si="46"/>
        <v/>
      </c>
      <c r="DN56" s="894" t="str">
        <f>IFERROR(IF($B56&gt;0,PASHEET!AT56+MARKS!AL56+MARKS!AT56+MARKS!BB56+MARKS!BJ56,""),"Ab")</f>
        <v/>
      </c>
      <c r="DO56" s="894" t="str">
        <f>IFERROR(IF($B56&gt;0,PASHEET!AU56+MARKS!AM56+MARKS!AU56+MARKS!BC56+MARKS!BK56,""),"Ab")</f>
        <v/>
      </c>
      <c r="DP56" s="894" t="str">
        <f>IFERROR(IF($B56&gt;0,PASHEET!AV56+MARKS!AN56+MARKS!AV56+MARKS!BD56+MARKS!BL56,""),"Ab")</f>
        <v/>
      </c>
      <c r="DQ56" s="894" t="str">
        <f>IFERROR(IF($B56&gt;0,PASHEET!AW56+MARKS!AO56+MARKS!AW56+MARKS!BE56+MARKS!BM56,""),"Ab")</f>
        <v/>
      </c>
      <c r="DR56" s="894" t="str">
        <f>IFERROR(IF($B56&gt;0,PASHEET!AX56+MARKS!AP56+MARKS!AX56+MARKS!BF56+MARKS!BN56,""),"Ab")</f>
        <v/>
      </c>
      <c r="DS56" s="894" t="str">
        <f>IFERROR(IF($B56&gt;0,PASHEET!AY56+MARKS!AQ56+MARKS!AY56+MARKS!BG56+MARKS!BO56,""),"Ab")</f>
        <v/>
      </c>
      <c r="DT56" s="894" t="str">
        <f>IFERROR(IF($B56&gt;0,PASHEET!AZ56+MARKS!AR56+MARKS!AZ56+MARKS!BH56+MARKS!BP56,""),"Ab")</f>
        <v/>
      </c>
      <c r="DU56" s="879" t="str">
        <f t="shared" si="47"/>
        <v/>
      </c>
      <c r="DV56" s="894" t="str">
        <f t="shared" si="48"/>
        <v/>
      </c>
      <c r="DW56" s="894" t="str">
        <f t="shared" si="49"/>
        <v/>
      </c>
      <c r="DX56" s="894" t="str">
        <f t="shared" si="50"/>
        <v/>
      </c>
      <c r="DY56" s="894" t="str">
        <f t="shared" si="51"/>
        <v/>
      </c>
      <c r="DZ56" s="894" t="str">
        <f t="shared" si="52"/>
        <v/>
      </c>
      <c r="EA56" s="894" t="str">
        <f t="shared" si="53"/>
        <v/>
      </c>
      <c r="EB56" s="894" t="str">
        <f t="shared" si="54"/>
        <v/>
      </c>
      <c r="EC56" s="894" t="str">
        <f t="shared" si="55"/>
        <v/>
      </c>
    </row>
    <row r="57" spans="1:133">
      <c r="A57" s="879">
        <v>54</v>
      </c>
      <c r="B57" s="879">
        <f>STUDENT!F55</f>
        <v>0</v>
      </c>
      <c r="C57" s="879">
        <f>STUDENT!D55</f>
        <v>0</v>
      </c>
      <c r="D57" s="886">
        <f>STUDENT!E55</f>
        <v>0</v>
      </c>
      <c r="E57" s="886">
        <f>STUDENT!H55</f>
        <v>0</v>
      </c>
      <c r="F57" s="887"/>
      <c r="G57" s="887"/>
      <c r="H57" s="887"/>
      <c r="I57" s="887"/>
      <c r="J57" s="887"/>
      <c r="K57" s="887"/>
      <c r="L57" s="887"/>
      <c r="M57" s="888">
        <f t="shared" si="0"/>
        <v>0</v>
      </c>
      <c r="N57" s="887"/>
      <c r="O57" s="887"/>
      <c r="P57" s="887"/>
      <c r="Q57" s="887"/>
      <c r="R57" s="887"/>
      <c r="S57" s="887"/>
      <c r="T57" s="887"/>
      <c r="U57" s="889">
        <f t="shared" si="7"/>
        <v>0</v>
      </c>
      <c r="V57" s="887"/>
      <c r="W57" s="887"/>
      <c r="X57" s="887"/>
      <c r="Y57" s="887"/>
      <c r="Z57" s="887"/>
      <c r="AA57" s="887"/>
      <c r="AB57" s="887"/>
      <c r="AC57" s="890">
        <f t="shared" si="8"/>
        <v>0</v>
      </c>
      <c r="AD57" s="887"/>
      <c r="AE57" s="887"/>
      <c r="AF57" s="887"/>
      <c r="AG57" s="887"/>
      <c r="AH57" s="887"/>
      <c r="AI57" s="887"/>
      <c r="AJ57" s="887"/>
      <c r="AK57" s="888" t="str">
        <f t="shared" si="1"/>
        <v/>
      </c>
      <c r="AL57" s="887"/>
      <c r="AM57" s="887"/>
      <c r="AN57" s="887"/>
      <c r="AO57" s="887"/>
      <c r="AP57" s="887"/>
      <c r="AQ57" s="887"/>
      <c r="AR57" s="887"/>
      <c r="AS57" s="891">
        <f t="shared" si="9"/>
        <v>0</v>
      </c>
      <c r="AT57" s="887"/>
      <c r="AU57" s="887"/>
      <c r="AV57" s="887"/>
      <c r="AW57" s="887"/>
      <c r="AX57" s="887"/>
      <c r="AY57" s="887"/>
      <c r="AZ57" s="887"/>
      <c r="BA57" s="889">
        <f t="shared" si="10"/>
        <v>0</v>
      </c>
      <c r="BB57" s="887"/>
      <c r="BC57" s="887"/>
      <c r="BD57" s="887"/>
      <c r="BE57" s="887"/>
      <c r="BF57" s="887"/>
      <c r="BG57" s="887"/>
      <c r="BH57" s="887"/>
      <c r="BI57" s="890">
        <f t="shared" si="11"/>
        <v>0</v>
      </c>
      <c r="BJ57" s="887"/>
      <c r="BK57" s="887"/>
      <c r="BL57" s="887"/>
      <c r="BM57" s="887"/>
      <c r="BN57" s="887"/>
      <c r="BO57" s="887"/>
      <c r="BP57" s="887"/>
      <c r="BQ57" s="888" t="str">
        <f t="shared" si="12"/>
        <v/>
      </c>
      <c r="BR57" s="892" t="str">
        <f t="shared" si="13"/>
        <v/>
      </c>
      <c r="BS57" s="892" t="str">
        <f t="shared" si="14"/>
        <v/>
      </c>
      <c r="BT57" s="892" t="str">
        <f t="shared" si="15"/>
        <v/>
      </c>
      <c r="BU57" s="892" t="str">
        <f t="shared" si="16"/>
        <v/>
      </c>
      <c r="BV57" s="892" t="str">
        <f t="shared" si="17"/>
        <v/>
      </c>
      <c r="BW57" s="892" t="str">
        <f t="shared" si="18"/>
        <v/>
      </c>
      <c r="BX57" s="892" t="str">
        <f t="shared" si="19"/>
        <v/>
      </c>
      <c r="BY57" s="892" t="str">
        <f t="shared" si="20"/>
        <v/>
      </c>
      <c r="BZ57" s="892" t="str">
        <f t="shared" si="21"/>
        <v/>
      </c>
      <c r="CA57" s="892" t="str">
        <f t="shared" si="22"/>
        <v/>
      </c>
      <c r="CB57" s="892" t="str">
        <f t="shared" si="23"/>
        <v/>
      </c>
      <c r="CC57" s="892" t="str">
        <f t="shared" si="24"/>
        <v/>
      </c>
      <c r="CD57" s="892" t="str">
        <f t="shared" si="25"/>
        <v/>
      </c>
      <c r="CE57" s="892" t="str">
        <f t="shared" si="26"/>
        <v/>
      </c>
      <c r="CF57" s="892" t="str">
        <f t="shared" si="27"/>
        <v/>
      </c>
      <c r="CG57" s="892" t="str">
        <f t="shared" si="28"/>
        <v/>
      </c>
      <c r="CH57" s="891" t="str">
        <f>IFERROR(IF($B57&gt;0,PASHEET!AL57+PASHEET!AT57+MARKS!F57+MARKS!N57+MARKS!V57+MARKS!AD57+MARKS!AL57+MARKS!AT57+MARKS!BB57+MARKS!BJ57,""),"Ab")</f>
        <v/>
      </c>
      <c r="CI57" s="891" t="str">
        <f>IFERROR(IF($B57&gt;0,PASHEET!AM57+PASHEET!AU57+MARKS!G57+MARKS!O57+MARKS!W57+MARKS!AE57+MARKS!AM57+MARKS!AU57+MARKS!BC57+MARKS!BK57,""),"Ab")</f>
        <v/>
      </c>
      <c r="CJ57" s="891" t="str">
        <f>IFERROR(IF($B57&gt;0,PASHEET!AN57+PASHEET!AV57+MARKS!H57+MARKS!P57+MARKS!X57+MARKS!AF57+MARKS!AN57+MARKS!AV57+MARKS!BD57+MARKS!BL57,""),"Ab")</f>
        <v/>
      </c>
      <c r="CK57" s="891" t="str">
        <f>IFERROR(IF($B57&gt;0,PASHEET!AO57+PASHEET!AW57+MARKS!I57+MARKS!Q57+MARKS!Y57+MARKS!AG57+MARKS!AO57+MARKS!AW57+MARKS!BE57+MARKS!BM57,""),"Ab")</f>
        <v/>
      </c>
      <c r="CL57" s="891" t="str">
        <f>IFERROR(IF($B57&gt;0,PASHEET!AP57+PASHEET!AX57+MARKS!J57+MARKS!R57+MARKS!Z57+MARKS!AH57+MARKS!AP57+MARKS!AX57+MARKS!BF57+MARKS!BN57,""),"Ab")</f>
        <v/>
      </c>
      <c r="CM57" s="891" t="str">
        <f>IFERROR(IF($B57&gt;0,PASHEET!AQ57+PASHEET!AY57+MARKS!K57+MARKS!S57+MARKS!AA57+MARKS!AI57+MARKS!AQ57+MARKS!AY57+MARKS!BG57+MARKS!BO57,""),"Ab")</f>
        <v/>
      </c>
      <c r="CN57" s="891" t="str">
        <f>IFERROR(IF($B57&gt;0,PASHEET!AR57+PASHEET!AZ57+MARKS!L57+MARKS!T57+MARKS!AB57+MARKS!AJ57+MARKS!AR57+MARKS!AZ57+MARKS!BH57+MARKS!BP57,""),"Ab")</f>
        <v/>
      </c>
      <c r="CO57" s="891" t="str">
        <f t="shared" si="29"/>
        <v/>
      </c>
      <c r="CP57" s="893" t="str">
        <f t="shared" si="30"/>
        <v/>
      </c>
      <c r="CQ57" s="893" t="str">
        <f t="shared" si="31"/>
        <v/>
      </c>
      <c r="CR57" s="893" t="str">
        <f t="shared" si="32"/>
        <v/>
      </c>
      <c r="CS57" s="893" t="str">
        <f t="shared" si="33"/>
        <v/>
      </c>
      <c r="CT57" s="893" t="str">
        <f t="shared" si="34"/>
        <v/>
      </c>
      <c r="CU57" s="893" t="str">
        <f t="shared" si="35"/>
        <v/>
      </c>
      <c r="CV57" s="893" t="str">
        <f t="shared" si="36"/>
        <v/>
      </c>
      <c r="CW57" s="893" t="str">
        <f t="shared" si="37"/>
        <v/>
      </c>
      <c r="CX57" s="894" t="str">
        <f>IFERROR(IF($B57&gt;0,PASHEET!AL57+MARKS!F57+MARKS!N57+MARKS!V57+MARKS!AD57,""),"Ab")</f>
        <v/>
      </c>
      <c r="CY57" s="894" t="str">
        <f>IFERROR(IF($B57&gt;0,PASHEET!AM57+MARKS!G57+MARKS!O57+MARKS!W57+MARKS!AE57,""),"Ab")</f>
        <v/>
      </c>
      <c r="CZ57" s="894" t="str">
        <f>IFERROR(IF($B57&gt;0,PASHEET!AN57+MARKS!H57+MARKS!P57+MARKS!X57+MARKS!AF57,""),"Ab")</f>
        <v/>
      </c>
      <c r="DA57" s="894" t="str">
        <f>IFERROR(IF($B57&gt;0,PASHEET!AO57+MARKS!I57+MARKS!Q57+MARKS!Y57+MARKS!AG57,""),"Ab")</f>
        <v/>
      </c>
      <c r="DB57" s="894" t="str">
        <f>IFERROR(IF($B57&gt;0,PASHEET!AP57+MARKS!J57+MARKS!R57+MARKS!Z57+MARKS!AH57,""),"Ab")</f>
        <v/>
      </c>
      <c r="DC57" s="894" t="str">
        <f>IFERROR(IF($B57&gt;0,PASHEET!AQ57+MARKS!K57+MARKS!S57+MARKS!AA57+MARKS!AI57,""),"Ab")</f>
        <v/>
      </c>
      <c r="DD57" s="894" t="str">
        <f>IFERROR(IF($B57&gt;0,PASHEET!AR57+MARKS!L57+MARKS!T57+MARKS!AB57+MARKS!AJ57,""),"Ab")</f>
        <v/>
      </c>
      <c r="DE57" s="879" t="str">
        <f t="shared" si="38"/>
        <v/>
      </c>
      <c r="DF57" s="894" t="str">
        <f t="shared" si="39"/>
        <v/>
      </c>
      <c r="DG57" s="894" t="str">
        <f t="shared" si="40"/>
        <v/>
      </c>
      <c r="DH57" s="894" t="str">
        <f t="shared" si="41"/>
        <v/>
      </c>
      <c r="DI57" s="894" t="str">
        <f t="shared" si="42"/>
        <v/>
      </c>
      <c r="DJ57" s="894" t="str">
        <f t="shared" si="43"/>
        <v/>
      </c>
      <c r="DK57" s="894" t="str">
        <f t="shared" si="44"/>
        <v/>
      </c>
      <c r="DL57" s="894" t="str">
        <f t="shared" si="45"/>
        <v/>
      </c>
      <c r="DM57" s="894" t="str">
        <f t="shared" si="46"/>
        <v/>
      </c>
      <c r="DN57" s="894" t="str">
        <f>IFERROR(IF($B57&gt;0,PASHEET!AT57+MARKS!AL57+MARKS!AT57+MARKS!BB57+MARKS!BJ57,""),"Ab")</f>
        <v/>
      </c>
      <c r="DO57" s="894" t="str">
        <f>IFERROR(IF($B57&gt;0,PASHEET!AU57+MARKS!AM57+MARKS!AU57+MARKS!BC57+MARKS!BK57,""),"Ab")</f>
        <v/>
      </c>
      <c r="DP57" s="894" t="str">
        <f>IFERROR(IF($B57&gt;0,PASHEET!AV57+MARKS!AN57+MARKS!AV57+MARKS!BD57+MARKS!BL57,""),"Ab")</f>
        <v/>
      </c>
      <c r="DQ57" s="894" t="str">
        <f>IFERROR(IF($B57&gt;0,PASHEET!AW57+MARKS!AO57+MARKS!AW57+MARKS!BE57+MARKS!BM57,""),"Ab")</f>
        <v/>
      </c>
      <c r="DR57" s="894" t="str">
        <f>IFERROR(IF($B57&gt;0,PASHEET!AX57+MARKS!AP57+MARKS!AX57+MARKS!BF57+MARKS!BN57,""),"Ab")</f>
        <v/>
      </c>
      <c r="DS57" s="894" t="str">
        <f>IFERROR(IF($B57&gt;0,PASHEET!AY57+MARKS!AQ57+MARKS!AY57+MARKS!BG57+MARKS!BO57,""),"Ab")</f>
        <v/>
      </c>
      <c r="DT57" s="894" t="str">
        <f>IFERROR(IF($B57&gt;0,PASHEET!AZ57+MARKS!AR57+MARKS!AZ57+MARKS!BH57+MARKS!BP57,""),"Ab")</f>
        <v/>
      </c>
      <c r="DU57" s="879" t="str">
        <f t="shared" si="47"/>
        <v/>
      </c>
      <c r="DV57" s="894" t="str">
        <f t="shared" si="48"/>
        <v/>
      </c>
      <c r="DW57" s="894" t="str">
        <f t="shared" si="49"/>
        <v/>
      </c>
      <c r="DX57" s="894" t="str">
        <f t="shared" si="50"/>
        <v/>
      </c>
      <c r="DY57" s="894" t="str">
        <f t="shared" si="51"/>
        <v/>
      </c>
      <c r="DZ57" s="894" t="str">
        <f t="shared" si="52"/>
        <v/>
      </c>
      <c r="EA57" s="894" t="str">
        <f t="shared" si="53"/>
        <v/>
      </c>
      <c r="EB57" s="894" t="str">
        <f t="shared" si="54"/>
        <v/>
      </c>
      <c r="EC57" s="894" t="str">
        <f t="shared" si="55"/>
        <v/>
      </c>
    </row>
    <row r="58" spans="1:133">
      <c r="A58" s="879">
        <v>55</v>
      </c>
      <c r="B58" s="879">
        <f>STUDENT!F56</f>
        <v>0</v>
      </c>
      <c r="C58" s="879">
        <f>STUDENT!D56</f>
        <v>0</v>
      </c>
      <c r="D58" s="886">
        <f>STUDENT!E56</f>
        <v>0</v>
      </c>
      <c r="E58" s="886">
        <f>STUDENT!H56</f>
        <v>0</v>
      </c>
      <c r="F58" s="887"/>
      <c r="G58" s="887"/>
      <c r="H58" s="887"/>
      <c r="I58" s="887"/>
      <c r="J58" s="887"/>
      <c r="K58" s="887"/>
      <c r="L58" s="887"/>
      <c r="M58" s="888">
        <f t="shared" si="0"/>
        <v>0</v>
      </c>
      <c r="N58" s="887"/>
      <c r="O58" s="887"/>
      <c r="P58" s="887"/>
      <c r="Q58" s="887"/>
      <c r="R58" s="887"/>
      <c r="S58" s="887"/>
      <c r="T58" s="887"/>
      <c r="U58" s="889">
        <f t="shared" si="7"/>
        <v>0</v>
      </c>
      <c r="V58" s="887"/>
      <c r="W58" s="887"/>
      <c r="X58" s="887"/>
      <c r="Y58" s="887"/>
      <c r="Z58" s="887"/>
      <c r="AA58" s="887"/>
      <c r="AB58" s="887"/>
      <c r="AC58" s="890">
        <f t="shared" si="8"/>
        <v>0</v>
      </c>
      <c r="AD58" s="887"/>
      <c r="AE58" s="887"/>
      <c r="AF58" s="887"/>
      <c r="AG58" s="887"/>
      <c r="AH58" s="887"/>
      <c r="AI58" s="887"/>
      <c r="AJ58" s="887"/>
      <c r="AK58" s="888" t="str">
        <f t="shared" si="1"/>
        <v/>
      </c>
      <c r="AL58" s="887"/>
      <c r="AM58" s="887"/>
      <c r="AN58" s="887"/>
      <c r="AO58" s="887"/>
      <c r="AP58" s="887"/>
      <c r="AQ58" s="887"/>
      <c r="AR58" s="887"/>
      <c r="AS58" s="891">
        <f t="shared" si="9"/>
        <v>0</v>
      </c>
      <c r="AT58" s="887"/>
      <c r="AU58" s="887"/>
      <c r="AV58" s="887"/>
      <c r="AW58" s="887"/>
      <c r="AX58" s="887"/>
      <c r="AY58" s="887"/>
      <c r="AZ58" s="887"/>
      <c r="BA58" s="889">
        <f t="shared" si="10"/>
        <v>0</v>
      </c>
      <c r="BB58" s="887"/>
      <c r="BC58" s="887"/>
      <c r="BD58" s="887"/>
      <c r="BE58" s="887"/>
      <c r="BF58" s="887"/>
      <c r="BG58" s="887"/>
      <c r="BH58" s="887"/>
      <c r="BI58" s="890">
        <f t="shared" si="11"/>
        <v>0</v>
      </c>
      <c r="BJ58" s="887"/>
      <c r="BK58" s="887"/>
      <c r="BL58" s="887"/>
      <c r="BM58" s="887"/>
      <c r="BN58" s="887"/>
      <c r="BO58" s="887"/>
      <c r="BP58" s="887"/>
      <c r="BQ58" s="888" t="str">
        <f t="shared" si="12"/>
        <v/>
      </c>
      <c r="BR58" s="892" t="str">
        <f t="shared" si="13"/>
        <v/>
      </c>
      <c r="BS58" s="892" t="str">
        <f t="shared" si="14"/>
        <v/>
      </c>
      <c r="BT58" s="892" t="str">
        <f t="shared" si="15"/>
        <v/>
      </c>
      <c r="BU58" s="892" t="str">
        <f t="shared" si="16"/>
        <v/>
      </c>
      <c r="BV58" s="892" t="str">
        <f t="shared" si="17"/>
        <v/>
      </c>
      <c r="BW58" s="892" t="str">
        <f t="shared" si="18"/>
        <v/>
      </c>
      <c r="BX58" s="892" t="str">
        <f t="shared" si="19"/>
        <v/>
      </c>
      <c r="BY58" s="892" t="str">
        <f t="shared" si="20"/>
        <v/>
      </c>
      <c r="BZ58" s="892" t="str">
        <f t="shared" si="21"/>
        <v/>
      </c>
      <c r="CA58" s="892" t="str">
        <f t="shared" si="22"/>
        <v/>
      </c>
      <c r="CB58" s="892" t="str">
        <f t="shared" si="23"/>
        <v/>
      </c>
      <c r="CC58" s="892" t="str">
        <f t="shared" si="24"/>
        <v/>
      </c>
      <c r="CD58" s="892" t="str">
        <f t="shared" si="25"/>
        <v/>
      </c>
      <c r="CE58" s="892" t="str">
        <f t="shared" si="26"/>
        <v/>
      </c>
      <c r="CF58" s="892" t="str">
        <f t="shared" si="27"/>
        <v/>
      </c>
      <c r="CG58" s="892" t="str">
        <f t="shared" si="28"/>
        <v/>
      </c>
      <c r="CH58" s="891" t="str">
        <f>IFERROR(IF($B58&gt;0,PASHEET!AL58+PASHEET!AT58+MARKS!F58+MARKS!N58+MARKS!V58+MARKS!AD58+MARKS!AL58+MARKS!AT58+MARKS!BB58+MARKS!BJ58,""),"Ab")</f>
        <v/>
      </c>
      <c r="CI58" s="891" t="str">
        <f>IFERROR(IF($B58&gt;0,PASHEET!AM58+PASHEET!AU58+MARKS!G58+MARKS!O58+MARKS!W58+MARKS!AE58+MARKS!AM58+MARKS!AU58+MARKS!BC58+MARKS!BK58,""),"Ab")</f>
        <v/>
      </c>
      <c r="CJ58" s="891" t="str">
        <f>IFERROR(IF($B58&gt;0,PASHEET!AN58+PASHEET!AV58+MARKS!H58+MARKS!P58+MARKS!X58+MARKS!AF58+MARKS!AN58+MARKS!AV58+MARKS!BD58+MARKS!BL58,""),"Ab")</f>
        <v/>
      </c>
      <c r="CK58" s="891" t="str">
        <f>IFERROR(IF($B58&gt;0,PASHEET!AO58+PASHEET!AW58+MARKS!I58+MARKS!Q58+MARKS!Y58+MARKS!AG58+MARKS!AO58+MARKS!AW58+MARKS!BE58+MARKS!BM58,""),"Ab")</f>
        <v/>
      </c>
      <c r="CL58" s="891" t="str">
        <f>IFERROR(IF($B58&gt;0,PASHEET!AP58+PASHEET!AX58+MARKS!J58+MARKS!R58+MARKS!Z58+MARKS!AH58+MARKS!AP58+MARKS!AX58+MARKS!BF58+MARKS!BN58,""),"Ab")</f>
        <v/>
      </c>
      <c r="CM58" s="891" t="str">
        <f>IFERROR(IF($B58&gt;0,PASHEET!AQ58+PASHEET!AY58+MARKS!K58+MARKS!S58+MARKS!AA58+MARKS!AI58+MARKS!AQ58+MARKS!AY58+MARKS!BG58+MARKS!BO58,""),"Ab")</f>
        <v/>
      </c>
      <c r="CN58" s="891" t="str">
        <f>IFERROR(IF($B58&gt;0,PASHEET!AR58+PASHEET!AZ58+MARKS!L58+MARKS!T58+MARKS!AB58+MARKS!AJ58+MARKS!AR58+MARKS!AZ58+MARKS!BH58+MARKS!BP58,""),"Ab")</f>
        <v/>
      </c>
      <c r="CO58" s="891" t="str">
        <f t="shared" si="29"/>
        <v/>
      </c>
      <c r="CP58" s="893" t="str">
        <f t="shared" si="30"/>
        <v/>
      </c>
      <c r="CQ58" s="893" t="str">
        <f t="shared" si="31"/>
        <v/>
      </c>
      <c r="CR58" s="893" t="str">
        <f t="shared" si="32"/>
        <v/>
      </c>
      <c r="CS58" s="893" t="str">
        <f t="shared" si="33"/>
        <v/>
      </c>
      <c r="CT58" s="893" t="str">
        <f t="shared" si="34"/>
        <v/>
      </c>
      <c r="CU58" s="893" t="str">
        <f t="shared" si="35"/>
        <v/>
      </c>
      <c r="CV58" s="893" t="str">
        <f t="shared" si="36"/>
        <v/>
      </c>
      <c r="CW58" s="893" t="str">
        <f t="shared" si="37"/>
        <v/>
      </c>
      <c r="CX58" s="894" t="str">
        <f>IFERROR(IF($B58&gt;0,PASHEET!AL58+MARKS!F58+MARKS!N58+MARKS!V58+MARKS!AD58,""),"Ab")</f>
        <v/>
      </c>
      <c r="CY58" s="894" t="str">
        <f>IFERROR(IF($B58&gt;0,PASHEET!AM58+MARKS!G58+MARKS!O58+MARKS!W58+MARKS!AE58,""),"Ab")</f>
        <v/>
      </c>
      <c r="CZ58" s="894" t="str">
        <f>IFERROR(IF($B58&gt;0,PASHEET!AN58+MARKS!H58+MARKS!P58+MARKS!X58+MARKS!AF58,""),"Ab")</f>
        <v/>
      </c>
      <c r="DA58" s="894" t="str">
        <f>IFERROR(IF($B58&gt;0,PASHEET!AO58+MARKS!I58+MARKS!Q58+MARKS!Y58+MARKS!AG58,""),"Ab")</f>
        <v/>
      </c>
      <c r="DB58" s="894" t="str">
        <f>IFERROR(IF($B58&gt;0,PASHEET!AP58+MARKS!J58+MARKS!R58+MARKS!Z58+MARKS!AH58,""),"Ab")</f>
        <v/>
      </c>
      <c r="DC58" s="894" t="str">
        <f>IFERROR(IF($B58&gt;0,PASHEET!AQ58+MARKS!K58+MARKS!S58+MARKS!AA58+MARKS!AI58,""),"Ab")</f>
        <v/>
      </c>
      <c r="DD58" s="894" t="str">
        <f>IFERROR(IF($B58&gt;0,PASHEET!AR58+MARKS!L58+MARKS!T58+MARKS!AB58+MARKS!AJ58,""),"Ab")</f>
        <v/>
      </c>
      <c r="DE58" s="879" t="str">
        <f t="shared" si="38"/>
        <v/>
      </c>
      <c r="DF58" s="894" t="str">
        <f t="shared" si="39"/>
        <v/>
      </c>
      <c r="DG58" s="894" t="str">
        <f t="shared" si="40"/>
        <v/>
      </c>
      <c r="DH58" s="894" t="str">
        <f t="shared" si="41"/>
        <v/>
      </c>
      <c r="DI58" s="894" t="str">
        <f t="shared" si="42"/>
        <v/>
      </c>
      <c r="DJ58" s="894" t="str">
        <f t="shared" si="43"/>
        <v/>
      </c>
      <c r="DK58" s="894" t="str">
        <f t="shared" si="44"/>
        <v/>
      </c>
      <c r="DL58" s="894" t="str">
        <f t="shared" si="45"/>
        <v/>
      </c>
      <c r="DM58" s="894" t="str">
        <f t="shared" si="46"/>
        <v/>
      </c>
      <c r="DN58" s="894" t="str">
        <f>IFERROR(IF($B58&gt;0,PASHEET!AT58+MARKS!AL58+MARKS!AT58+MARKS!BB58+MARKS!BJ58,""),"Ab")</f>
        <v/>
      </c>
      <c r="DO58" s="894" t="str">
        <f>IFERROR(IF($B58&gt;0,PASHEET!AU58+MARKS!AM58+MARKS!AU58+MARKS!BC58+MARKS!BK58,""),"Ab")</f>
        <v/>
      </c>
      <c r="DP58" s="894" t="str">
        <f>IFERROR(IF($B58&gt;0,PASHEET!AV58+MARKS!AN58+MARKS!AV58+MARKS!BD58+MARKS!BL58,""),"Ab")</f>
        <v/>
      </c>
      <c r="DQ58" s="894" t="str">
        <f>IFERROR(IF($B58&gt;0,PASHEET!AW58+MARKS!AO58+MARKS!AW58+MARKS!BE58+MARKS!BM58,""),"Ab")</f>
        <v/>
      </c>
      <c r="DR58" s="894" t="str">
        <f>IFERROR(IF($B58&gt;0,PASHEET!AX58+MARKS!AP58+MARKS!AX58+MARKS!BF58+MARKS!BN58,""),"Ab")</f>
        <v/>
      </c>
      <c r="DS58" s="894" t="str">
        <f>IFERROR(IF($B58&gt;0,PASHEET!AY58+MARKS!AQ58+MARKS!AY58+MARKS!BG58+MARKS!BO58,""),"Ab")</f>
        <v/>
      </c>
      <c r="DT58" s="894" t="str">
        <f>IFERROR(IF($B58&gt;0,PASHEET!AZ58+MARKS!AR58+MARKS!AZ58+MARKS!BH58+MARKS!BP58,""),"Ab")</f>
        <v/>
      </c>
      <c r="DU58" s="879" t="str">
        <f t="shared" si="47"/>
        <v/>
      </c>
      <c r="DV58" s="894" t="str">
        <f t="shared" si="48"/>
        <v/>
      </c>
      <c r="DW58" s="894" t="str">
        <f t="shared" si="49"/>
        <v/>
      </c>
      <c r="DX58" s="894" t="str">
        <f t="shared" si="50"/>
        <v/>
      </c>
      <c r="DY58" s="894" t="str">
        <f t="shared" si="51"/>
        <v/>
      </c>
      <c r="DZ58" s="894" t="str">
        <f t="shared" si="52"/>
        <v/>
      </c>
      <c r="EA58" s="894" t="str">
        <f t="shared" si="53"/>
        <v/>
      </c>
      <c r="EB58" s="894" t="str">
        <f t="shared" si="54"/>
        <v/>
      </c>
      <c r="EC58" s="894" t="str">
        <f t="shared" si="55"/>
        <v/>
      </c>
    </row>
    <row r="59" spans="1:133">
      <c r="A59" s="879">
        <v>56</v>
      </c>
      <c r="B59" s="879">
        <f>STUDENT!F57</f>
        <v>0</v>
      </c>
      <c r="C59" s="879">
        <f>STUDENT!D57</f>
        <v>0</v>
      </c>
      <c r="D59" s="886">
        <f>STUDENT!E57</f>
        <v>0</v>
      </c>
      <c r="E59" s="886">
        <f>STUDENT!H57</f>
        <v>0</v>
      </c>
      <c r="F59" s="887"/>
      <c r="G59" s="887"/>
      <c r="H59" s="887"/>
      <c r="I59" s="887"/>
      <c r="J59" s="887"/>
      <c r="K59" s="887"/>
      <c r="L59" s="887"/>
      <c r="M59" s="888">
        <f t="shared" si="0"/>
        <v>0</v>
      </c>
      <c r="N59" s="887"/>
      <c r="O59" s="887"/>
      <c r="P59" s="887"/>
      <c r="Q59" s="887"/>
      <c r="R59" s="887"/>
      <c r="S59" s="887"/>
      <c r="T59" s="887"/>
      <c r="U59" s="889">
        <f t="shared" si="7"/>
        <v>0</v>
      </c>
      <c r="V59" s="887"/>
      <c r="W59" s="887"/>
      <c r="X59" s="887"/>
      <c r="Y59" s="887"/>
      <c r="Z59" s="887"/>
      <c r="AA59" s="887"/>
      <c r="AB59" s="887"/>
      <c r="AC59" s="890">
        <f t="shared" si="8"/>
        <v>0</v>
      </c>
      <c r="AD59" s="887"/>
      <c r="AE59" s="887"/>
      <c r="AF59" s="887"/>
      <c r="AG59" s="887"/>
      <c r="AH59" s="887"/>
      <c r="AI59" s="887"/>
      <c r="AJ59" s="887"/>
      <c r="AK59" s="888" t="str">
        <f t="shared" si="1"/>
        <v/>
      </c>
      <c r="AL59" s="887"/>
      <c r="AM59" s="887"/>
      <c r="AN59" s="887"/>
      <c r="AO59" s="887"/>
      <c r="AP59" s="887"/>
      <c r="AQ59" s="887"/>
      <c r="AR59" s="887"/>
      <c r="AS59" s="891">
        <f t="shared" si="9"/>
        <v>0</v>
      </c>
      <c r="AT59" s="887"/>
      <c r="AU59" s="887"/>
      <c r="AV59" s="887"/>
      <c r="AW59" s="887"/>
      <c r="AX59" s="887"/>
      <c r="AY59" s="887"/>
      <c r="AZ59" s="887"/>
      <c r="BA59" s="889">
        <f t="shared" si="10"/>
        <v>0</v>
      </c>
      <c r="BB59" s="887"/>
      <c r="BC59" s="887"/>
      <c r="BD59" s="887"/>
      <c r="BE59" s="887"/>
      <c r="BF59" s="887"/>
      <c r="BG59" s="887"/>
      <c r="BH59" s="887"/>
      <c r="BI59" s="890">
        <f t="shared" si="11"/>
        <v>0</v>
      </c>
      <c r="BJ59" s="887"/>
      <c r="BK59" s="887"/>
      <c r="BL59" s="887"/>
      <c r="BM59" s="887"/>
      <c r="BN59" s="887"/>
      <c r="BO59" s="887"/>
      <c r="BP59" s="887"/>
      <c r="BQ59" s="888" t="str">
        <f t="shared" si="12"/>
        <v/>
      </c>
      <c r="BR59" s="892" t="str">
        <f t="shared" si="13"/>
        <v/>
      </c>
      <c r="BS59" s="892" t="str">
        <f t="shared" si="14"/>
        <v/>
      </c>
      <c r="BT59" s="892" t="str">
        <f t="shared" si="15"/>
        <v/>
      </c>
      <c r="BU59" s="892" t="str">
        <f t="shared" si="16"/>
        <v/>
      </c>
      <c r="BV59" s="892" t="str">
        <f t="shared" si="17"/>
        <v/>
      </c>
      <c r="BW59" s="892" t="str">
        <f t="shared" si="18"/>
        <v/>
      </c>
      <c r="BX59" s="892" t="str">
        <f t="shared" si="19"/>
        <v/>
      </c>
      <c r="BY59" s="892" t="str">
        <f t="shared" si="20"/>
        <v/>
      </c>
      <c r="BZ59" s="892" t="str">
        <f t="shared" si="21"/>
        <v/>
      </c>
      <c r="CA59" s="892" t="str">
        <f t="shared" si="22"/>
        <v/>
      </c>
      <c r="CB59" s="892" t="str">
        <f t="shared" si="23"/>
        <v/>
      </c>
      <c r="CC59" s="892" t="str">
        <f t="shared" si="24"/>
        <v/>
      </c>
      <c r="CD59" s="892" t="str">
        <f t="shared" si="25"/>
        <v/>
      </c>
      <c r="CE59" s="892" t="str">
        <f t="shared" si="26"/>
        <v/>
      </c>
      <c r="CF59" s="892" t="str">
        <f t="shared" si="27"/>
        <v/>
      </c>
      <c r="CG59" s="892" t="str">
        <f t="shared" si="28"/>
        <v/>
      </c>
      <c r="CH59" s="891" t="str">
        <f>IFERROR(IF($B59&gt;0,PASHEET!AL59+PASHEET!AT59+MARKS!F59+MARKS!N59+MARKS!V59+MARKS!AD59+MARKS!AL59+MARKS!AT59+MARKS!BB59+MARKS!BJ59,""),"Ab")</f>
        <v/>
      </c>
      <c r="CI59" s="891" t="str">
        <f>IFERROR(IF($B59&gt;0,PASHEET!AM59+PASHEET!AU59+MARKS!G59+MARKS!O59+MARKS!W59+MARKS!AE59+MARKS!AM59+MARKS!AU59+MARKS!BC59+MARKS!BK59,""),"Ab")</f>
        <v/>
      </c>
      <c r="CJ59" s="891" t="str">
        <f>IFERROR(IF($B59&gt;0,PASHEET!AN59+PASHEET!AV59+MARKS!H59+MARKS!P59+MARKS!X59+MARKS!AF59+MARKS!AN59+MARKS!AV59+MARKS!BD59+MARKS!BL59,""),"Ab")</f>
        <v/>
      </c>
      <c r="CK59" s="891" t="str">
        <f>IFERROR(IF($B59&gt;0,PASHEET!AO59+PASHEET!AW59+MARKS!I59+MARKS!Q59+MARKS!Y59+MARKS!AG59+MARKS!AO59+MARKS!AW59+MARKS!BE59+MARKS!BM59,""),"Ab")</f>
        <v/>
      </c>
      <c r="CL59" s="891" t="str">
        <f>IFERROR(IF($B59&gt;0,PASHEET!AP59+PASHEET!AX59+MARKS!J59+MARKS!R59+MARKS!Z59+MARKS!AH59+MARKS!AP59+MARKS!AX59+MARKS!BF59+MARKS!BN59,""),"Ab")</f>
        <v/>
      </c>
      <c r="CM59" s="891" t="str">
        <f>IFERROR(IF($B59&gt;0,PASHEET!AQ59+PASHEET!AY59+MARKS!K59+MARKS!S59+MARKS!AA59+MARKS!AI59+MARKS!AQ59+MARKS!AY59+MARKS!BG59+MARKS!BO59,""),"Ab")</f>
        <v/>
      </c>
      <c r="CN59" s="891" t="str">
        <f>IFERROR(IF($B59&gt;0,PASHEET!AR59+PASHEET!AZ59+MARKS!L59+MARKS!T59+MARKS!AB59+MARKS!AJ59+MARKS!AR59+MARKS!AZ59+MARKS!BH59+MARKS!BP59,""),"Ab")</f>
        <v/>
      </c>
      <c r="CO59" s="891" t="str">
        <f t="shared" si="29"/>
        <v/>
      </c>
      <c r="CP59" s="893" t="str">
        <f t="shared" si="30"/>
        <v/>
      </c>
      <c r="CQ59" s="893" t="str">
        <f t="shared" si="31"/>
        <v/>
      </c>
      <c r="CR59" s="893" t="str">
        <f t="shared" si="32"/>
        <v/>
      </c>
      <c r="CS59" s="893" t="str">
        <f t="shared" si="33"/>
        <v/>
      </c>
      <c r="CT59" s="893" t="str">
        <f t="shared" si="34"/>
        <v/>
      </c>
      <c r="CU59" s="893" t="str">
        <f t="shared" si="35"/>
        <v/>
      </c>
      <c r="CV59" s="893" t="str">
        <f t="shared" si="36"/>
        <v/>
      </c>
      <c r="CW59" s="893" t="str">
        <f t="shared" si="37"/>
        <v/>
      </c>
      <c r="CX59" s="894" t="str">
        <f>IFERROR(IF($B59&gt;0,PASHEET!AL59+MARKS!F59+MARKS!N59+MARKS!V59+MARKS!AD59,""),"Ab")</f>
        <v/>
      </c>
      <c r="CY59" s="894" t="str">
        <f>IFERROR(IF($B59&gt;0,PASHEET!AM59+MARKS!G59+MARKS!O59+MARKS!W59+MARKS!AE59,""),"Ab")</f>
        <v/>
      </c>
      <c r="CZ59" s="894" t="str">
        <f>IFERROR(IF($B59&gt;0,PASHEET!AN59+MARKS!H59+MARKS!P59+MARKS!X59+MARKS!AF59,""),"Ab")</f>
        <v/>
      </c>
      <c r="DA59" s="894" t="str">
        <f>IFERROR(IF($B59&gt;0,PASHEET!AO59+MARKS!I59+MARKS!Q59+MARKS!Y59+MARKS!AG59,""),"Ab")</f>
        <v/>
      </c>
      <c r="DB59" s="894" t="str">
        <f>IFERROR(IF($B59&gt;0,PASHEET!AP59+MARKS!J59+MARKS!R59+MARKS!Z59+MARKS!AH59,""),"Ab")</f>
        <v/>
      </c>
      <c r="DC59" s="894" t="str">
        <f>IFERROR(IF($B59&gt;0,PASHEET!AQ59+MARKS!K59+MARKS!S59+MARKS!AA59+MARKS!AI59,""),"Ab")</f>
        <v/>
      </c>
      <c r="DD59" s="894" t="str">
        <f>IFERROR(IF($B59&gt;0,PASHEET!AR59+MARKS!L59+MARKS!T59+MARKS!AB59+MARKS!AJ59,""),"Ab")</f>
        <v/>
      </c>
      <c r="DE59" s="879" t="str">
        <f t="shared" si="38"/>
        <v/>
      </c>
      <c r="DF59" s="894" t="str">
        <f t="shared" si="39"/>
        <v/>
      </c>
      <c r="DG59" s="894" t="str">
        <f t="shared" si="40"/>
        <v/>
      </c>
      <c r="DH59" s="894" t="str">
        <f t="shared" si="41"/>
        <v/>
      </c>
      <c r="DI59" s="894" t="str">
        <f t="shared" si="42"/>
        <v/>
      </c>
      <c r="DJ59" s="894" t="str">
        <f t="shared" si="43"/>
        <v/>
      </c>
      <c r="DK59" s="894" t="str">
        <f t="shared" si="44"/>
        <v/>
      </c>
      <c r="DL59" s="894" t="str">
        <f t="shared" si="45"/>
        <v/>
      </c>
      <c r="DM59" s="894" t="str">
        <f t="shared" si="46"/>
        <v/>
      </c>
      <c r="DN59" s="894" t="str">
        <f>IFERROR(IF($B59&gt;0,PASHEET!AT59+MARKS!AL59+MARKS!AT59+MARKS!BB59+MARKS!BJ59,""),"Ab")</f>
        <v/>
      </c>
      <c r="DO59" s="894" t="str">
        <f>IFERROR(IF($B59&gt;0,PASHEET!AU59+MARKS!AM59+MARKS!AU59+MARKS!BC59+MARKS!BK59,""),"Ab")</f>
        <v/>
      </c>
      <c r="DP59" s="894" t="str">
        <f>IFERROR(IF($B59&gt;0,PASHEET!AV59+MARKS!AN59+MARKS!AV59+MARKS!BD59+MARKS!BL59,""),"Ab")</f>
        <v/>
      </c>
      <c r="DQ59" s="894" t="str">
        <f>IFERROR(IF($B59&gt;0,PASHEET!AW59+MARKS!AO59+MARKS!AW59+MARKS!BE59+MARKS!BM59,""),"Ab")</f>
        <v/>
      </c>
      <c r="DR59" s="894" t="str">
        <f>IFERROR(IF($B59&gt;0,PASHEET!AX59+MARKS!AP59+MARKS!AX59+MARKS!BF59+MARKS!BN59,""),"Ab")</f>
        <v/>
      </c>
      <c r="DS59" s="894" t="str">
        <f>IFERROR(IF($B59&gt;0,PASHEET!AY59+MARKS!AQ59+MARKS!AY59+MARKS!BG59+MARKS!BO59,""),"Ab")</f>
        <v/>
      </c>
      <c r="DT59" s="894" t="str">
        <f>IFERROR(IF($B59&gt;0,PASHEET!AZ59+MARKS!AR59+MARKS!AZ59+MARKS!BH59+MARKS!BP59,""),"Ab")</f>
        <v/>
      </c>
      <c r="DU59" s="879" t="str">
        <f t="shared" si="47"/>
        <v/>
      </c>
      <c r="DV59" s="894" t="str">
        <f t="shared" si="48"/>
        <v/>
      </c>
      <c r="DW59" s="894" t="str">
        <f t="shared" si="49"/>
        <v/>
      </c>
      <c r="DX59" s="894" t="str">
        <f t="shared" si="50"/>
        <v/>
      </c>
      <c r="DY59" s="894" t="str">
        <f t="shared" si="51"/>
        <v/>
      </c>
      <c r="DZ59" s="894" t="str">
        <f t="shared" si="52"/>
        <v/>
      </c>
      <c r="EA59" s="894" t="str">
        <f t="shared" si="53"/>
        <v/>
      </c>
      <c r="EB59" s="894" t="str">
        <f t="shared" si="54"/>
        <v/>
      </c>
      <c r="EC59" s="894" t="str">
        <f t="shared" si="55"/>
        <v/>
      </c>
    </row>
    <row r="60" spans="1:133">
      <c r="A60" s="879">
        <v>57</v>
      </c>
      <c r="B60" s="879">
        <f>STUDENT!F58</f>
        <v>0</v>
      </c>
      <c r="C60" s="879">
        <f>STUDENT!D58</f>
        <v>0</v>
      </c>
      <c r="D60" s="886">
        <f>STUDENT!E58</f>
        <v>0</v>
      </c>
      <c r="E60" s="886">
        <f>STUDENT!H58</f>
        <v>0</v>
      </c>
      <c r="F60" s="887"/>
      <c r="G60" s="887"/>
      <c r="H60" s="887"/>
      <c r="I60" s="887"/>
      <c r="J60" s="887"/>
      <c r="K60" s="887"/>
      <c r="L60" s="887"/>
      <c r="M60" s="888">
        <f t="shared" si="0"/>
        <v>0</v>
      </c>
      <c r="N60" s="887"/>
      <c r="O60" s="887"/>
      <c r="P60" s="887"/>
      <c r="Q60" s="887"/>
      <c r="R60" s="887"/>
      <c r="S60" s="887"/>
      <c r="T60" s="887"/>
      <c r="U60" s="889">
        <f t="shared" si="7"/>
        <v>0</v>
      </c>
      <c r="V60" s="887"/>
      <c r="W60" s="887"/>
      <c r="X60" s="887"/>
      <c r="Y60" s="887"/>
      <c r="Z60" s="887"/>
      <c r="AA60" s="887"/>
      <c r="AB60" s="887"/>
      <c r="AC60" s="890">
        <f t="shared" si="8"/>
        <v>0</v>
      </c>
      <c r="AD60" s="887"/>
      <c r="AE60" s="887"/>
      <c r="AF60" s="887"/>
      <c r="AG60" s="887"/>
      <c r="AH60" s="887"/>
      <c r="AI60" s="887"/>
      <c r="AJ60" s="887"/>
      <c r="AK60" s="888" t="str">
        <f t="shared" si="1"/>
        <v/>
      </c>
      <c r="AL60" s="887"/>
      <c r="AM60" s="887"/>
      <c r="AN60" s="887"/>
      <c r="AO60" s="887"/>
      <c r="AP60" s="887"/>
      <c r="AQ60" s="887"/>
      <c r="AR60" s="887"/>
      <c r="AS60" s="891">
        <f t="shared" si="9"/>
        <v>0</v>
      </c>
      <c r="AT60" s="887"/>
      <c r="AU60" s="887"/>
      <c r="AV60" s="887"/>
      <c r="AW60" s="887"/>
      <c r="AX60" s="887"/>
      <c r="AY60" s="887"/>
      <c r="AZ60" s="887"/>
      <c r="BA60" s="889">
        <f t="shared" si="10"/>
        <v>0</v>
      </c>
      <c r="BB60" s="887"/>
      <c r="BC60" s="887"/>
      <c r="BD60" s="887"/>
      <c r="BE60" s="887"/>
      <c r="BF60" s="887"/>
      <c r="BG60" s="887"/>
      <c r="BH60" s="887"/>
      <c r="BI60" s="890">
        <f t="shared" si="11"/>
        <v>0</v>
      </c>
      <c r="BJ60" s="887"/>
      <c r="BK60" s="887"/>
      <c r="BL60" s="887"/>
      <c r="BM60" s="887"/>
      <c r="BN60" s="887"/>
      <c r="BO60" s="887"/>
      <c r="BP60" s="887"/>
      <c r="BQ60" s="888" t="str">
        <f t="shared" si="12"/>
        <v/>
      </c>
      <c r="BR60" s="892" t="str">
        <f t="shared" si="13"/>
        <v/>
      </c>
      <c r="BS60" s="892" t="str">
        <f t="shared" si="14"/>
        <v/>
      </c>
      <c r="BT60" s="892" t="str">
        <f t="shared" si="15"/>
        <v/>
      </c>
      <c r="BU60" s="892" t="str">
        <f t="shared" si="16"/>
        <v/>
      </c>
      <c r="BV60" s="892" t="str">
        <f t="shared" si="17"/>
        <v/>
      </c>
      <c r="BW60" s="892" t="str">
        <f t="shared" si="18"/>
        <v/>
      </c>
      <c r="BX60" s="892" t="str">
        <f t="shared" si="19"/>
        <v/>
      </c>
      <c r="BY60" s="892" t="str">
        <f t="shared" si="20"/>
        <v/>
      </c>
      <c r="BZ60" s="892" t="str">
        <f t="shared" si="21"/>
        <v/>
      </c>
      <c r="CA60" s="892" t="str">
        <f t="shared" si="22"/>
        <v/>
      </c>
      <c r="CB60" s="892" t="str">
        <f t="shared" si="23"/>
        <v/>
      </c>
      <c r="CC60" s="892" t="str">
        <f t="shared" si="24"/>
        <v/>
      </c>
      <c r="CD60" s="892" t="str">
        <f t="shared" si="25"/>
        <v/>
      </c>
      <c r="CE60" s="892" t="str">
        <f t="shared" si="26"/>
        <v/>
      </c>
      <c r="CF60" s="892" t="str">
        <f t="shared" si="27"/>
        <v/>
      </c>
      <c r="CG60" s="892" t="str">
        <f t="shared" si="28"/>
        <v/>
      </c>
      <c r="CH60" s="891" t="str">
        <f>IFERROR(IF($B60&gt;0,PASHEET!AL60+PASHEET!AT60+MARKS!F60+MARKS!N60+MARKS!V60+MARKS!AD60+MARKS!AL60+MARKS!AT60+MARKS!BB60+MARKS!BJ60,""),"Ab")</f>
        <v/>
      </c>
      <c r="CI60" s="891" t="str">
        <f>IFERROR(IF($B60&gt;0,PASHEET!AM60+PASHEET!AU60+MARKS!G60+MARKS!O60+MARKS!W60+MARKS!AE60+MARKS!AM60+MARKS!AU60+MARKS!BC60+MARKS!BK60,""),"Ab")</f>
        <v/>
      </c>
      <c r="CJ60" s="891" t="str">
        <f>IFERROR(IF($B60&gt;0,PASHEET!AN60+PASHEET!AV60+MARKS!H60+MARKS!P60+MARKS!X60+MARKS!AF60+MARKS!AN60+MARKS!AV60+MARKS!BD60+MARKS!BL60,""),"Ab")</f>
        <v/>
      </c>
      <c r="CK60" s="891" t="str">
        <f>IFERROR(IF($B60&gt;0,PASHEET!AO60+PASHEET!AW60+MARKS!I60+MARKS!Q60+MARKS!Y60+MARKS!AG60+MARKS!AO60+MARKS!AW60+MARKS!BE60+MARKS!BM60,""),"Ab")</f>
        <v/>
      </c>
      <c r="CL60" s="891" t="str">
        <f>IFERROR(IF($B60&gt;0,PASHEET!AP60+PASHEET!AX60+MARKS!J60+MARKS!R60+MARKS!Z60+MARKS!AH60+MARKS!AP60+MARKS!AX60+MARKS!BF60+MARKS!BN60,""),"Ab")</f>
        <v/>
      </c>
      <c r="CM60" s="891" t="str">
        <f>IFERROR(IF($B60&gt;0,PASHEET!AQ60+PASHEET!AY60+MARKS!K60+MARKS!S60+MARKS!AA60+MARKS!AI60+MARKS!AQ60+MARKS!AY60+MARKS!BG60+MARKS!BO60,""),"Ab")</f>
        <v/>
      </c>
      <c r="CN60" s="891" t="str">
        <f>IFERROR(IF($B60&gt;0,PASHEET!AR60+PASHEET!AZ60+MARKS!L60+MARKS!T60+MARKS!AB60+MARKS!AJ60+MARKS!AR60+MARKS!AZ60+MARKS!BH60+MARKS!BP60,""),"Ab")</f>
        <v/>
      </c>
      <c r="CO60" s="891" t="str">
        <f t="shared" si="29"/>
        <v/>
      </c>
      <c r="CP60" s="893" t="str">
        <f t="shared" si="30"/>
        <v/>
      </c>
      <c r="CQ60" s="893" t="str">
        <f t="shared" si="31"/>
        <v/>
      </c>
      <c r="CR60" s="893" t="str">
        <f t="shared" si="32"/>
        <v/>
      </c>
      <c r="CS60" s="893" t="str">
        <f t="shared" si="33"/>
        <v/>
      </c>
      <c r="CT60" s="893" t="str">
        <f t="shared" si="34"/>
        <v/>
      </c>
      <c r="CU60" s="893" t="str">
        <f t="shared" si="35"/>
        <v/>
      </c>
      <c r="CV60" s="893" t="str">
        <f t="shared" si="36"/>
        <v/>
      </c>
      <c r="CW60" s="893" t="str">
        <f t="shared" si="37"/>
        <v/>
      </c>
      <c r="CX60" s="894" t="str">
        <f>IFERROR(IF($B60&gt;0,PASHEET!AL60+MARKS!F60+MARKS!N60+MARKS!V60+MARKS!AD60,""),"Ab")</f>
        <v/>
      </c>
      <c r="CY60" s="894" t="str">
        <f>IFERROR(IF($B60&gt;0,PASHEET!AM60+MARKS!G60+MARKS!O60+MARKS!W60+MARKS!AE60,""),"Ab")</f>
        <v/>
      </c>
      <c r="CZ60" s="894" t="str">
        <f>IFERROR(IF($B60&gt;0,PASHEET!AN60+MARKS!H60+MARKS!P60+MARKS!X60+MARKS!AF60,""),"Ab")</f>
        <v/>
      </c>
      <c r="DA60" s="894" t="str">
        <f>IFERROR(IF($B60&gt;0,PASHEET!AO60+MARKS!I60+MARKS!Q60+MARKS!Y60+MARKS!AG60,""),"Ab")</f>
        <v/>
      </c>
      <c r="DB60" s="894" t="str">
        <f>IFERROR(IF($B60&gt;0,PASHEET!AP60+MARKS!J60+MARKS!R60+MARKS!Z60+MARKS!AH60,""),"Ab")</f>
        <v/>
      </c>
      <c r="DC60" s="894" t="str">
        <f>IFERROR(IF($B60&gt;0,PASHEET!AQ60+MARKS!K60+MARKS!S60+MARKS!AA60+MARKS!AI60,""),"Ab")</f>
        <v/>
      </c>
      <c r="DD60" s="894" t="str">
        <f>IFERROR(IF($B60&gt;0,PASHEET!AR60+MARKS!L60+MARKS!T60+MARKS!AB60+MARKS!AJ60,""),"Ab")</f>
        <v/>
      </c>
      <c r="DE60" s="879" t="str">
        <f t="shared" si="38"/>
        <v/>
      </c>
      <c r="DF60" s="894" t="str">
        <f t="shared" si="39"/>
        <v/>
      </c>
      <c r="DG60" s="894" t="str">
        <f t="shared" si="40"/>
        <v/>
      </c>
      <c r="DH60" s="894" t="str">
        <f t="shared" si="41"/>
        <v/>
      </c>
      <c r="DI60" s="894" t="str">
        <f t="shared" si="42"/>
        <v/>
      </c>
      <c r="DJ60" s="894" t="str">
        <f t="shared" si="43"/>
        <v/>
      </c>
      <c r="DK60" s="894" t="str">
        <f t="shared" si="44"/>
        <v/>
      </c>
      <c r="DL60" s="894" t="str">
        <f t="shared" si="45"/>
        <v/>
      </c>
      <c r="DM60" s="894" t="str">
        <f t="shared" si="46"/>
        <v/>
      </c>
      <c r="DN60" s="894" t="str">
        <f>IFERROR(IF($B60&gt;0,PASHEET!AT60+MARKS!AL60+MARKS!AT60+MARKS!BB60+MARKS!BJ60,""),"Ab")</f>
        <v/>
      </c>
      <c r="DO60" s="894" t="str">
        <f>IFERROR(IF($B60&gt;0,PASHEET!AU60+MARKS!AM60+MARKS!AU60+MARKS!BC60+MARKS!BK60,""),"Ab")</f>
        <v/>
      </c>
      <c r="DP60" s="894" t="str">
        <f>IFERROR(IF($B60&gt;0,PASHEET!AV60+MARKS!AN60+MARKS!AV60+MARKS!BD60+MARKS!BL60,""),"Ab")</f>
        <v/>
      </c>
      <c r="DQ60" s="894" t="str">
        <f>IFERROR(IF($B60&gt;0,PASHEET!AW60+MARKS!AO60+MARKS!AW60+MARKS!BE60+MARKS!BM60,""),"Ab")</f>
        <v/>
      </c>
      <c r="DR60" s="894" t="str">
        <f>IFERROR(IF($B60&gt;0,PASHEET!AX60+MARKS!AP60+MARKS!AX60+MARKS!BF60+MARKS!BN60,""),"Ab")</f>
        <v/>
      </c>
      <c r="DS60" s="894" t="str">
        <f>IFERROR(IF($B60&gt;0,PASHEET!AY60+MARKS!AQ60+MARKS!AY60+MARKS!BG60+MARKS!BO60,""),"Ab")</f>
        <v/>
      </c>
      <c r="DT60" s="894" t="str">
        <f>IFERROR(IF($B60&gt;0,PASHEET!AZ60+MARKS!AR60+MARKS!AZ60+MARKS!BH60+MARKS!BP60,""),"Ab")</f>
        <v/>
      </c>
      <c r="DU60" s="879" t="str">
        <f t="shared" si="47"/>
        <v/>
      </c>
      <c r="DV60" s="894" t="str">
        <f t="shared" si="48"/>
        <v/>
      </c>
      <c r="DW60" s="894" t="str">
        <f t="shared" si="49"/>
        <v/>
      </c>
      <c r="DX60" s="894" t="str">
        <f t="shared" si="50"/>
        <v/>
      </c>
      <c r="DY60" s="894" t="str">
        <f t="shared" si="51"/>
        <v/>
      </c>
      <c r="DZ60" s="894" t="str">
        <f t="shared" si="52"/>
        <v/>
      </c>
      <c r="EA60" s="894" t="str">
        <f t="shared" si="53"/>
        <v/>
      </c>
      <c r="EB60" s="894" t="str">
        <f t="shared" si="54"/>
        <v/>
      </c>
      <c r="EC60" s="894" t="str">
        <f t="shared" si="55"/>
        <v/>
      </c>
    </row>
    <row r="61" spans="1:133">
      <c r="A61" s="879">
        <v>58</v>
      </c>
      <c r="B61" s="879">
        <f>STUDENT!F59</f>
        <v>0</v>
      </c>
      <c r="C61" s="879">
        <f>STUDENT!D59</f>
        <v>0</v>
      </c>
      <c r="D61" s="886">
        <f>STUDENT!E59</f>
        <v>0</v>
      </c>
      <c r="E61" s="886">
        <f>STUDENT!H59</f>
        <v>0</v>
      </c>
      <c r="F61" s="887"/>
      <c r="G61" s="887"/>
      <c r="H61" s="887"/>
      <c r="I61" s="887"/>
      <c r="J61" s="887"/>
      <c r="K61" s="887"/>
      <c r="L61" s="887"/>
      <c r="M61" s="888">
        <f t="shared" si="0"/>
        <v>0</v>
      </c>
      <c r="N61" s="887"/>
      <c r="O61" s="887"/>
      <c r="P61" s="887"/>
      <c r="Q61" s="887"/>
      <c r="R61" s="887"/>
      <c r="S61" s="887"/>
      <c r="T61" s="887"/>
      <c r="U61" s="889">
        <f t="shared" si="7"/>
        <v>0</v>
      </c>
      <c r="V61" s="887"/>
      <c r="W61" s="887"/>
      <c r="X61" s="887"/>
      <c r="Y61" s="887"/>
      <c r="Z61" s="887"/>
      <c r="AA61" s="887"/>
      <c r="AB61" s="887"/>
      <c r="AC61" s="890">
        <f t="shared" si="8"/>
        <v>0</v>
      </c>
      <c r="AD61" s="887"/>
      <c r="AE61" s="887"/>
      <c r="AF61" s="887"/>
      <c r="AG61" s="887"/>
      <c r="AH61" s="887"/>
      <c r="AI61" s="887"/>
      <c r="AJ61" s="887"/>
      <c r="AK61" s="888" t="str">
        <f t="shared" si="1"/>
        <v/>
      </c>
      <c r="AL61" s="887"/>
      <c r="AM61" s="887"/>
      <c r="AN61" s="887"/>
      <c r="AO61" s="887"/>
      <c r="AP61" s="887"/>
      <c r="AQ61" s="887"/>
      <c r="AR61" s="887"/>
      <c r="AS61" s="891">
        <f t="shared" si="9"/>
        <v>0</v>
      </c>
      <c r="AT61" s="887"/>
      <c r="AU61" s="887"/>
      <c r="AV61" s="887"/>
      <c r="AW61" s="887"/>
      <c r="AX61" s="887"/>
      <c r="AY61" s="887"/>
      <c r="AZ61" s="887"/>
      <c r="BA61" s="889">
        <f t="shared" si="10"/>
        <v>0</v>
      </c>
      <c r="BB61" s="887"/>
      <c r="BC61" s="887"/>
      <c r="BD61" s="887"/>
      <c r="BE61" s="887"/>
      <c r="BF61" s="887"/>
      <c r="BG61" s="887"/>
      <c r="BH61" s="887"/>
      <c r="BI61" s="890">
        <f t="shared" si="11"/>
        <v>0</v>
      </c>
      <c r="BJ61" s="887"/>
      <c r="BK61" s="887"/>
      <c r="BL61" s="887"/>
      <c r="BM61" s="887"/>
      <c r="BN61" s="887"/>
      <c r="BO61" s="887"/>
      <c r="BP61" s="887"/>
      <c r="BQ61" s="888" t="str">
        <f t="shared" si="12"/>
        <v/>
      </c>
      <c r="BR61" s="892" t="str">
        <f t="shared" si="13"/>
        <v/>
      </c>
      <c r="BS61" s="892" t="str">
        <f t="shared" si="14"/>
        <v/>
      </c>
      <c r="BT61" s="892" t="str">
        <f t="shared" si="15"/>
        <v/>
      </c>
      <c r="BU61" s="892" t="str">
        <f t="shared" si="16"/>
        <v/>
      </c>
      <c r="BV61" s="892" t="str">
        <f t="shared" si="17"/>
        <v/>
      </c>
      <c r="BW61" s="892" t="str">
        <f t="shared" si="18"/>
        <v/>
      </c>
      <c r="BX61" s="892" t="str">
        <f t="shared" si="19"/>
        <v/>
      </c>
      <c r="BY61" s="892" t="str">
        <f t="shared" si="20"/>
        <v/>
      </c>
      <c r="BZ61" s="892" t="str">
        <f t="shared" si="21"/>
        <v/>
      </c>
      <c r="CA61" s="892" t="str">
        <f t="shared" si="22"/>
        <v/>
      </c>
      <c r="CB61" s="892" t="str">
        <f t="shared" si="23"/>
        <v/>
      </c>
      <c r="CC61" s="892" t="str">
        <f t="shared" si="24"/>
        <v/>
      </c>
      <c r="CD61" s="892" t="str">
        <f t="shared" si="25"/>
        <v/>
      </c>
      <c r="CE61" s="892" t="str">
        <f t="shared" si="26"/>
        <v/>
      </c>
      <c r="CF61" s="892" t="str">
        <f t="shared" si="27"/>
        <v/>
      </c>
      <c r="CG61" s="892" t="str">
        <f t="shared" si="28"/>
        <v/>
      </c>
      <c r="CH61" s="891" t="str">
        <f>IFERROR(IF($B61&gt;0,PASHEET!AL61+PASHEET!AT61+MARKS!F61+MARKS!N61+MARKS!V61+MARKS!AD61+MARKS!AL61+MARKS!AT61+MARKS!BB61+MARKS!BJ61,""),"Ab")</f>
        <v/>
      </c>
      <c r="CI61" s="891" t="str">
        <f>IFERROR(IF($B61&gt;0,PASHEET!AM61+PASHEET!AU61+MARKS!G61+MARKS!O61+MARKS!W61+MARKS!AE61+MARKS!AM61+MARKS!AU61+MARKS!BC61+MARKS!BK61,""),"Ab")</f>
        <v/>
      </c>
      <c r="CJ61" s="891" t="str">
        <f>IFERROR(IF($B61&gt;0,PASHEET!AN61+PASHEET!AV61+MARKS!H61+MARKS!P61+MARKS!X61+MARKS!AF61+MARKS!AN61+MARKS!AV61+MARKS!BD61+MARKS!BL61,""),"Ab")</f>
        <v/>
      </c>
      <c r="CK61" s="891" t="str">
        <f>IFERROR(IF($B61&gt;0,PASHEET!AO61+PASHEET!AW61+MARKS!I61+MARKS!Q61+MARKS!Y61+MARKS!AG61+MARKS!AO61+MARKS!AW61+MARKS!BE61+MARKS!BM61,""),"Ab")</f>
        <v/>
      </c>
      <c r="CL61" s="891" t="str">
        <f>IFERROR(IF($B61&gt;0,PASHEET!AP61+PASHEET!AX61+MARKS!J61+MARKS!R61+MARKS!Z61+MARKS!AH61+MARKS!AP61+MARKS!AX61+MARKS!BF61+MARKS!BN61,""),"Ab")</f>
        <v/>
      </c>
      <c r="CM61" s="891" t="str">
        <f>IFERROR(IF($B61&gt;0,PASHEET!AQ61+PASHEET!AY61+MARKS!K61+MARKS!S61+MARKS!AA61+MARKS!AI61+MARKS!AQ61+MARKS!AY61+MARKS!BG61+MARKS!BO61,""),"Ab")</f>
        <v/>
      </c>
      <c r="CN61" s="891" t="str">
        <f>IFERROR(IF($B61&gt;0,PASHEET!AR61+PASHEET!AZ61+MARKS!L61+MARKS!T61+MARKS!AB61+MARKS!AJ61+MARKS!AR61+MARKS!AZ61+MARKS!BH61+MARKS!BP61,""),"Ab")</f>
        <v/>
      </c>
      <c r="CO61" s="891" t="str">
        <f t="shared" si="29"/>
        <v/>
      </c>
      <c r="CP61" s="893" t="str">
        <f t="shared" si="30"/>
        <v/>
      </c>
      <c r="CQ61" s="893" t="str">
        <f t="shared" si="31"/>
        <v/>
      </c>
      <c r="CR61" s="893" t="str">
        <f t="shared" si="32"/>
        <v/>
      </c>
      <c r="CS61" s="893" t="str">
        <f t="shared" si="33"/>
        <v/>
      </c>
      <c r="CT61" s="893" t="str">
        <f t="shared" si="34"/>
        <v/>
      </c>
      <c r="CU61" s="893" t="str">
        <f t="shared" si="35"/>
        <v/>
      </c>
      <c r="CV61" s="893" t="str">
        <f t="shared" si="36"/>
        <v/>
      </c>
      <c r="CW61" s="893" t="str">
        <f t="shared" si="37"/>
        <v/>
      </c>
      <c r="CX61" s="894" t="str">
        <f>IFERROR(IF($B61&gt;0,PASHEET!AL61+MARKS!F61+MARKS!N61+MARKS!V61+MARKS!AD61,""),"Ab")</f>
        <v/>
      </c>
      <c r="CY61" s="894" t="str">
        <f>IFERROR(IF($B61&gt;0,PASHEET!AM61+MARKS!G61+MARKS!O61+MARKS!W61+MARKS!AE61,""),"Ab")</f>
        <v/>
      </c>
      <c r="CZ61" s="894" t="str">
        <f>IFERROR(IF($B61&gt;0,PASHEET!AN61+MARKS!H61+MARKS!P61+MARKS!X61+MARKS!AF61,""),"Ab")</f>
        <v/>
      </c>
      <c r="DA61" s="894" t="str">
        <f>IFERROR(IF($B61&gt;0,PASHEET!AO61+MARKS!I61+MARKS!Q61+MARKS!Y61+MARKS!AG61,""),"Ab")</f>
        <v/>
      </c>
      <c r="DB61" s="894" t="str">
        <f>IFERROR(IF($B61&gt;0,PASHEET!AP61+MARKS!J61+MARKS!R61+MARKS!Z61+MARKS!AH61,""),"Ab")</f>
        <v/>
      </c>
      <c r="DC61" s="894" t="str">
        <f>IFERROR(IF($B61&gt;0,PASHEET!AQ61+MARKS!K61+MARKS!S61+MARKS!AA61+MARKS!AI61,""),"Ab")</f>
        <v/>
      </c>
      <c r="DD61" s="894" t="str">
        <f>IFERROR(IF($B61&gt;0,PASHEET!AR61+MARKS!L61+MARKS!T61+MARKS!AB61+MARKS!AJ61,""),"Ab")</f>
        <v/>
      </c>
      <c r="DE61" s="879" t="str">
        <f t="shared" si="38"/>
        <v/>
      </c>
      <c r="DF61" s="894" t="str">
        <f t="shared" si="39"/>
        <v/>
      </c>
      <c r="DG61" s="894" t="str">
        <f t="shared" si="40"/>
        <v/>
      </c>
      <c r="DH61" s="894" t="str">
        <f t="shared" si="41"/>
        <v/>
      </c>
      <c r="DI61" s="894" t="str">
        <f t="shared" si="42"/>
        <v/>
      </c>
      <c r="DJ61" s="894" t="str">
        <f t="shared" si="43"/>
        <v/>
      </c>
      <c r="DK61" s="894" t="str">
        <f t="shared" si="44"/>
        <v/>
      </c>
      <c r="DL61" s="894" t="str">
        <f t="shared" si="45"/>
        <v/>
      </c>
      <c r="DM61" s="894" t="str">
        <f t="shared" si="46"/>
        <v/>
      </c>
      <c r="DN61" s="894" t="str">
        <f>IFERROR(IF($B61&gt;0,PASHEET!AT61+MARKS!AL61+MARKS!AT61+MARKS!BB61+MARKS!BJ61,""),"Ab")</f>
        <v/>
      </c>
      <c r="DO61" s="894" t="str">
        <f>IFERROR(IF($B61&gt;0,PASHEET!AU61+MARKS!AM61+MARKS!AU61+MARKS!BC61+MARKS!BK61,""),"Ab")</f>
        <v/>
      </c>
      <c r="DP61" s="894" t="str">
        <f>IFERROR(IF($B61&gt;0,PASHEET!AV61+MARKS!AN61+MARKS!AV61+MARKS!BD61+MARKS!BL61,""),"Ab")</f>
        <v/>
      </c>
      <c r="DQ61" s="894" t="str">
        <f>IFERROR(IF($B61&gt;0,PASHEET!AW61+MARKS!AO61+MARKS!AW61+MARKS!BE61+MARKS!BM61,""),"Ab")</f>
        <v/>
      </c>
      <c r="DR61" s="894" t="str">
        <f>IFERROR(IF($B61&gt;0,PASHEET!AX61+MARKS!AP61+MARKS!AX61+MARKS!BF61+MARKS!BN61,""),"Ab")</f>
        <v/>
      </c>
      <c r="DS61" s="894" t="str">
        <f>IFERROR(IF($B61&gt;0,PASHEET!AY61+MARKS!AQ61+MARKS!AY61+MARKS!BG61+MARKS!BO61,""),"Ab")</f>
        <v/>
      </c>
      <c r="DT61" s="894" t="str">
        <f>IFERROR(IF($B61&gt;0,PASHEET!AZ61+MARKS!AR61+MARKS!AZ61+MARKS!BH61+MARKS!BP61,""),"Ab")</f>
        <v/>
      </c>
      <c r="DU61" s="879" t="str">
        <f t="shared" si="47"/>
        <v/>
      </c>
      <c r="DV61" s="894" t="str">
        <f t="shared" si="48"/>
        <v/>
      </c>
      <c r="DW61" s="894" t="str">
        <f t="shared" si="49"/>
        <v/>
      </c>
      <c r="DX61" s="894" t="str">
        <f t="shared" si="50"/>
        <v/>
      </c>
      <c r="DY61" s="894" t="str">
        <f t="shared" si="51"/>
        <v/>
      </c>
      <c r="DZ61" s="894" t="str">
        <f t="shared" si="52"/>
        <v/>
      </c>
      <c r="EA61" s="894" t="str">
        <f t="shared" si="53"/>
        <v/>
      </c>
      <c r="EB61" s="894" t="str">
        <f t="shared" si="54"/>
        <v/>
      </c>
      <c r="EC61" s="894" t="str">
        <f t="shared" si="55"/>
        <v/>
      </c>
    </row>
    <row r="62" spans="1:133">
      <c r="A62" s="879">
        <v>59</v>
      </c>
      <c r="B62" s="879">
        <f>STUDENT!F60</f>
        <v>0</v>
      </c>
      <c r="C62" s="879">
        <f>STUDENT!D60</f>
        <v>0</v>
      </c>
      <c r="D62" s="886">
        <f>STUDENT!E60</f>
        <v>0</v>
      </c>
      <c r="E62" s="886">
        <f>STUDENT!H60</f>
        <v>0</v>
      </c>
      <c r="F62" s="887"/>
      <c r="G62" s="887"/>
      <c r="H62" s="887"/>
      <c r="I62" s="887"/>
      <c r="J62" s="887"/>
      <c r="K62" s="887"/>
      <c r="L62" s="887"/>
      <c r="M62" s="888">
        <f t="shared" si="0"/>
        <v>0</v>
      </c>
      <c r="N62" s="887"/>
      <c r="O62" s="887"/>
      <c r="P62" s="887"/>
      <c r="Q62" s="887"/>
      <c r="R62" s="887"/>
      <c r="S62" s="887"/>
      <c r="T62" s="887"/>
      <c r="U62" s="889">
        <f t="shared" si="7"/>
        <v>0</v>
      </c>
      <c r="V62" s="887"/>
      <c r="W62" s="887"/>
      <c r="X62" s="887"/>
      <c r="Y62" s="887"/>
      <c r="Z62" s="887"/>
      <c r="AA62" s="887"/>
      <c r="AB62" s="887"/>
      <c r="AC62" s="890">
        <f t="shared" si="8"/>
        <v>0</v>
      </c>
      <c r="AD62" s="887"/>
      <c r="AE62" s="887"/>
      <c r="AF62" s="887"/>
      <c r="AG62" s="887"/>
      <c r="AH62" s="887"/>
      <c r="AI62" s="887"/>
      <c r="AJ62" s="887"/>
      <c r="AK62" s="888" t="str">
        <f t="shared" si="1"/>
        <v/>
      </c>
      <c r="AL62" s="887"/>
      <c r="AM62" s="887"/>
      <c r="AN62" s="887"/>
      <c r="AO62" s="887"/>
      <c r="AP62" s="887"/>
      <c r="AQ62" s="887"/>
      <c r="AR62" s="887"/>
      <c r="AS62" s="891">
        <f t="shared" si="9"/>
        <v>0</v>
      </c>
      <c r="AT62" s="887"/>
      <c r="AU62" s="887"/>
      <c r="AV62" s="887"/>
      <c r="AW62" s="887"/>
      <c r="AX62" s="887"/>
      <c r="AY62" s="887"/>
      <c r="AZ62" s="887"/>
      <c r="BA62" s="889">
        <f t="shared" si="10"/>
        <v>0</v>
      </c>
      <c r="BB62" s="887"/>
      <c r="BC62" s="887"/>
      <c r="BD62" s="887"/>
      <c r="BE62" s="887"/>
      <c r="BF62" s="887"/>
      <c r="BG62" s="887"/>
      <c r="BH62" s="887"/>
      <c r="BI62" s="890">
        <f t="shared" si="11"/>
        <v>0</v>
      </c>
      <c r="BJ62" s="887"/>
      <c r="BK62" s="887"/>
      <c r="BL62" s="887"/>
      <c r="BM62" s="887"/>
      <c r="BN62" s="887"/>
      <c r="BO62" s="887"/>
      <c r="BP62" s="887"/>
      <c r="BQ62" s="888" t="str">
        <f t="shared" si="12"/>
        <v/>
      </c>
      <c r="BR62" s="892" t="str">
        <f t="shared" si="13"/>
        <v/>
      </c>
      <c r="BS62" s="892" t="str">
        <f t="shared" si="14"/>
        <v/>
      </c>
      <c r="BT62" s="892" t="str">
        <f t="shared" si="15"/>
        <v/>
      </c>
      <c r="BU62" s="892" t="str">
        <f t="shared" si="16"/>
        <v/>
      </c>
      <c r="BV62" s="892" t="str">
        <f t="shared" si="17"/>
        <v/>
      </c>
      <c r="BW62" s="892" t="str">
        <f t="shared" si="18"/>
        <v/>
      </c>
      <c r="BX62" s="892" t="str">
        <f t="shared" si="19"/>
        <v/>
      </c>
      <c r="BY62" s="892" t="str">
        <f t="shared" si="20"/>
        <v/>
      </c>
      <c r="BZ62" s="892" t="str">
        <f t="shared" si="21"/>
        <v/>
      </c>
      <c r="CA62" s="892" t="str">
        <f t="shared" si="22"/>
        <v/>
      </c>
      <c r="CB62" s="892" t="str">
        <f t="shared" si="23"/>
        <v/>
      </c>
      <c r="CC62" s="892" t="str">
        <f t="shared" si="24"/>
        <v/>
      </c>
      <c r="CD62" s="892" t="str">
        <f t="shared" si="25"/>
        <v/>
      </c>
      <c r="CE62" s="892" t="str">
        <f t="shared" si="26"/>
        <v/>
      </c>
      <c r="CF62" s="892" t="str">
        <f t="shared" si="27"/>
        <v/>
      </c>
      <c r="CG62" s="892" t="str">
        <f t="shared" si="28"/>
        <v/>
      </c>
      <c r="CH62" s="891" t="str">
        <f>IFERROR(IF($B62&gt;0,PASHEET!AL62+PASHEET!AT62+MARKS!F62+MARKS!N62+MARKS!V62+MARKS!AD62+MARKS!AL62+MARKS!AT62+MARKS!BB62+MARKS!BJ62,""),"Ab")</f>
        <v/>
      </c>
      <c r="CI62" s="891" t="str">
        <f>IFERROR(IF($B62&gt;0,PASHEET!AM62+PASHEET!AU62+MARKS!G62+MARKS!O62+MARKS!W62+MARKS!AE62+MARKS!AM62+MARKS!AU62+MARKS!BC62+MARKS!BK62,""),"Ab")</f>
        <v/>
      </c>
      <c r="CJ62" s="891" t="str">
        <f>IFERROR(IF($B62&gt;0,PASHEET!AN62+PASHEET!AV62+MARKS!H62+MARKS!P62+MARKS!X62+MARKS!AF62+MARKS!AN62+MARKS!AV62+MARKS!BD62+MARKS!BL62,""),"Ab")</f>
        <v/>
      </c>
      <c r="CK62" s="891" t="str">
        <f>IFERROR(IF($B62&gt;0,PASHEET!AO62+PASHEET!AW62+MARKS!I62+MARKS!Q62+MARKS!Y62+MARKS!AG62+MARKS!AO62+MARKS!AW62+MARKS!BE62+MARKS!BM62,""),"Ab")</f>
        <v/>
      </c>
      <c r="CL62" s="891" t="str">
        <f>IFERROR(IF($B62&gt;0,PASHEET!AP62+PASHEET!AX62+MARKS!J62+MARKS!R62+MARKS!Z62+MARKS!AH62+MARKS!AP62+MARKS!AX62+MARKS!BF62+MARKS!BN62,""),"Ab")</f>
        <v/>
      </c>
      <c r="CM62" s="891" t="str">
        <f>IFERROR(IF($B62&gt;0,PASHEET!AQ62+PASHEET!AY62+MARKS!K62+MARKS!S62+MARKS!AA62+MARKS!AI62+MARKS!AQ62+MARKS!AY62+MARKS!BG62+MARKS!BO62,""),"Ab")</f>
        <v/>
      </c>
      <c r="CN62" s="891" t="str">
        <f>IFERROR(IF($B62&gt;0,PASHEET!AR62+PASHEET!AZ62+MARKS!L62+MARKS!T62+MARKS!AB62+MARKS!AJ62+MARKS!AR62+MARKS!AZ62+MARKS!BH62+MARKS!BP62,""),"Ab")</f>
        <v/>
      </c>
      <c r="CO62" s="891" t="str">
        <f t="shared" si="29"/>
        <v/>
      </c>
      <c r="CP62" s="893" t="str">
        <f t="shared" si="30"/>
        <v/>
      </c>
      <c r="CQ62" s="893" t="str">
        <f t="shared" si="31"/>
        <v/>
      </c>
      <c r="CR62" s="893" t="str">
        <f t="shared" si="32"/>
        <v/>
      </c>
      <c r="CS62" s="893" t="str">
        <f t="shared" si="33"/>
        <v/>
      </c>
      <c r="CT62" s="893" t="str">
        <f t="shared" si="34"/>
        <v/>
      </c>
      <c r="CU62" s="893" t="str">
        <f t="shared" si="35"/>
        <v/>
      </c>
      <c r="CV62" s="893" t="str">
        <f t="shared" si="36"/>
        <v/>
      </c>
      <c r="CW62" s="893" t="str">
        <f t="shared" si="37"/>
        <v/>
      </c>
      <c r="CX62" s="894" t="str">
        <f>IFERROR(IF($B62&gt;0,PASHEET!AL62+MARKS!F62+MARKS!N62+MARKS!V62+MARKS!AD62,""),"Ab")</f>
        <v/>
      </c>
      <c r="CY62" s="894" t="str">
        <f>IFERROR(IF($B62&gt;0,PASHEET!AM62+MARKS!G62+MARKS!O62+MARKS!W62+MARKS!AE62,""),"Ab")</f>
        <v/>
      </c>
      <c r="CZ62" s="894" t="str">
        <f>IFERROR(IF($B62&gt;0,PASHEET!AN62+MARKS!H62+MARKS!P62+MARKS!X62+MARKS!AF62,""),"Ab")</f>
        <v/>
      </c>
      <c r="DA62" s="894" t="str">
        <f>IFERROR(IF($B62&gt;0,PASHEET!AO62+MARKS!I62+MARKS!Q62+MARKS!Y62+MARKS!AG62,""),"Ab")</f>
        <v/>
      </c>
      <c r="DB62" s="894" t="str">
        <f>IFERROR(IF($B62&gt;0,PASHEET!AP62+MARKS!J62+MARKS!R62+MARKS!Z62+MARKS!AH62,""),"Ab")</f>
        <v/>
      </c>
      <c r="DC62" s="894" t="str">
        <f>IFERROR(IF($B62&gt;0,PASHEET!AQ62+MARKS!K62+MARKS!S62+MARKS!AA62+MARKS!AI62,""),"Ab")</f>
        <v/>
      </c>
      <c r="DD62" s="894" t="str">
        <f>IFERROR(IF($B62&gt;0,PASHEET!AR62+MARKS!L62+MARKS!T62+MARKS!AB62+MARKS!AJ62,""),"Ab")</f>
        <v/>
      </c>
      <c r="DE62" s="879" t="str">
        <f t="shared" si="38"/>
        <v/>
      </c>
      <c r="DF62" s="894" t="str">
        <f t="shared" si="39"/>
        <v/>
      </c>
      <c r="DG62" s="894" t="str">
        <f t="shared" si="40"/>
        <v/>
      </c>
      <c r="DH62" s="894" t="str">
        <f t="shared" si="41"/>
        <v/>
      </c>
      <c r="DI62" s="894" t="str">
        <f t="shared" si="42"/>
        <v/>
      </c>
      <c r="DJ62" s="894" t="str">
        <f t="shared" si="43"/>
        <v/>
      </c>
      <c r="DK62" s="894" t="str">
        <f t="shared" si="44"/>
        <v/>
      </c>
      <c r="DL62" s="894" t="str">
        <f t="shared" si="45"/>
        <v/>
      </c>
      <c r="DM62" s="894" t="str">
        <f t="shared" si="46"/>
        <v/>
      </c>
      <c r="DN62" s="894" t="str">
        <f>IFERROR(IF($B62&gt;0,PASHEET!AT62+MARKS!AL62+MARKS!AT62+MARKS!BB62+MARKS!BJ62,""),"Ab")</f>
        <v/>
      </c>
      <c r="DO62" s="894" t="str">
        <f>IFERROR(IF($B62&gt;0,PASHEET!AU62+MARKS!AM62+MARKS!AU62+MARKS!BC62+MARKS!BK62,""),"Ab")</f>
        <v/>
      </c>
      <c r="DP62" s="894" t="str">
        <f>IFERROR(IF($B62&gt;0,PASHEET!AV62+MARKS!AN62+MARKS!AV62+MARKS!BD62+MARKS!BL62,""),"Ab")</f>
        <v/>
      </c>
      <c r="DQ62" s="894" t="str">
        <f>IFERROR(IF($B62&gt;0,PASHEET!AW62+MARKS!AO62+MARKS!AW62+MARKS!BE62+MARKS!BM62,""),"Ab")</f>
        <v/>
      </c>
      <c r="DR62" s="894" t="str">
        <f>IFERROR(IF($B62&gt;0,PASHEET!AX62+MARKS!AP62+MARKS!AX62+MARKS!BF62+MARKS!BN62,""),"Ab")</f>
        <v/>
      </c>
      <c r="DS62" s="894" t="str">
        <f>IFERROR(IF($B62&gt;0,PASHEET!AY62+MARKS!AQ62+MARKS!AY62+MARKS!BG62+MARKS!BO62,""),"Ab")</f>
        <v/>
      </c>
      <c r="DT62" s="894" t="str">
        <f>IFERROR(IF($B62&gt;0,PASHEET!AZ62+MARKS!AR62+MARKS!AZ62+MARKS!BH62+MARKS!BP62,""),"Ab")</f>
        <v/>
      </c>
      <c r="DU62" s="879" t="str">
        <f t="shared" si="47"/>
        <v/>
      </c>
      <c r="DV62" s="894" t="str">
        <f t="shared" si="48"/>
        <v/>
      </c>
      <c r="DW62" s="894" t="str">
        <f t="shared" si="49"/>
        <v/>
      </c>
      <c r="DX62" s="894" t="str">
        <f t="shared" si="50"/>
        <v/>
      </c>
      <c r="DY62" s="894" t="str">
        <f t="shared" si="51"/>
        <v/>
      </c>
      <c r="DZ62" s="894" t="str">
        <f t="shared" si="52"/>
        <v/>
      </c>
      <c r="EA62" s="894" t="str">
        <f t="shared" si="53"/>
        <v/>
      </c>
      <c r="EB62" s="894" t="str">
        <f t="shared" si="54"/>
        <v/>
      </c>
      <c r="EC62" s="894" t="str">
        <f t="shared" si="55"/>
        <v/>
      </c>
    </row>
    <row r="63" spans="1:133">
      <c r="A63" s="879">
        <v>60</v>
      </c>
      <c r="B63" s="879">
        <f>STUDENT!F61</f>
        <v>0</v>
      </c>
      <c r="C63" s="879">
        <f>STUDENT!D61</f>
        <v>0</v>
      </c>
      <c r="D63" s="886">
        <f>STUDENT!E61</f>
        <v>0</v>
      </c>
      <c r="E63" s="886">
        <f>STUDENT!H61</f>
        <v>0</v>
      </c>
      <c r="F63" s="887"/>
      <c r="G63" s="887"/>
      <c r="H63" s="887"/>
      <c r="I63" s="887"/>
      <c r="J63" s="887"/>
      <c r="K63" s="887"/>
      <c r="L63" s="887"/>
      <c r="M63" s="888">
        <f t="shared" si="0"/>
        <v>0</v>
      </c>
      <c r="N63" s="887"/>
      <c r="O63" s="887"/>
      <c r="P63" s="887"/>
      <c r="Q63" s="887"/>
      <c r="R63" s="887"/>
      <c r="S63" s="887"/>
      <c r="T63" s="887"/>
      <c r="U63" s="889">
        <f t="shared" si="7"/>
        <v>0</v>
      </c>
      <c r="V63" s="887"/>
      <c r="W63" s="887"/>
      <c r="X63" s="887"/>
      <c r="Y63" s="887"/>
      <c r="Z63" s="887"/>
      <c r="AA63" s="887"/>
      <c r="AB63" s="887"/>
      <c r="AC63" s="890">
        <f t="shared" si="8"/>
        <v>0</v>
      </c>
      <c r="AD63" s="887"/>
      <c r="AE63" s="887"/>
      <c r="AF63" s="887"/>
      <c r="AG63" s="887"/>
      <c r="AH63" s="887"/>
      <c r="AI63" s="887"/>
      <c r="AJ63" s="887"/>
      <c r="AK63" s="888" t="str">
        <f t="shared" si="1"/>
        <v/>
      </c>
      <c r="AL63" s="887"/>
      <c r="AM63" s="887"/>
      <c r="AN63" s="887"/>
      <c r="AO63" s="887"/>
      <c r="AP63" s="887"/>
      <c r="AQ63" s="887"/>
      <c r="AR63" s="887"/>
      <c r="AS63" s="891">
        <f t="shared" si="9"/>
        <v>0</v>
      </c>
      <c r="AT63" s="887"/>
      <c r="AU63" s="887"/>
      <c r="AV63" s="887"/>
      <c r="AW63" s="887"/>
      <c r="AX63" s="887"/>
      <c r="AY63" s="887"/>
      <c r="AZ63" s="887"/>
      <c r="BA63" s="889">
        <f t="shared" si="10"/>
        <v>0</v>
      </c>
      <c r="BB63" s="887"/>
      <c r="BC63" s="887"/>
      <c r="BD63" s="887"/>
      <c r="BE63" s="887"/>
      <c r="BF63" s="887"/>
      <c r="BG63" s="887"/>
      <c r="BH63" s="887"/>
      <c r="BI63" s="890">
        <f t="shared" si="11"/>
        <v>0</v>
      </c>
      <c r="BJ63" s="887"/>
      <c r="BK63" s="887"/>
      <c r="BL63" s="887"/>
      <c r="BM63" s="887"/>
      <c r="BN63" s="887"/>
      <c r="BO63" s="887"/>
      <c r="BP63" s="887"/>
      <c r="BQ63" s="888" t="str">
        <f t="shared" si="12"/>
        <v/>
      </c>
      <c r="BR63" s="892" t="str">
        <f t="shared" si="13"/>
        <v/>
      </c>
      <c r="BS63" s="892" t="str">
        <f t="shared" si="14"/>
        <v/>
      </c>
      <c r="BT63" s="892" t="str">
        <f t="shared" si="15"/>
        <v/>
      </c>
      <c r="BU63" s="892" t="str">
        <f t="shared" si="16"/>
        <v/>
      </c>
      <c r="BV63" s="892" t="str">
        <f t="shared" si="17"/>
        <v/>
      </c>
      <c r="BW63" s="892" t="str">
        <f t="shared" si="18"/>
        <v/>
      </c>
      <c r="BX63" s="892" t="str">
        <f t="shared" si="19"/>
        <v/>
      </c>
      <c r="BY63" s="892" t="str">
        <f t="shared" si="20"/>
        <v/>
      </c>
      <c r="BZ63" s="892" t="str">
        <f t="shared" si="21"/>
        <v/>
      </c>
      <c r="CA63" s="892" t="str">
        <f t="shared" si="22"/>
        <v/>
      </c>
      <c r="CB63" s="892" t="str">
        <f t="shared" si="23"/>
        <v/>
      </c>
      <c r="CC63" s="892" t="str">
        <f t="shared" si="24"/>
        <v/>
      </c>
      <c r="CD63" s="892" t="str">
        <f t="shared" si="25"/>
        <v/>
      </c>
      <c r="CE63" s="892" t="str">
        <f t="shared" si="26"/>
        <v/>
      </c>
      <c r="CF63" s="892" t="str">
        <f t="shared" si="27"/>
        <v/>
      </c>
      <c r="CG63" s="892" t="str">
        <f t="shared" si="28"/>
        <v/>
      </c>
      <c r="CH63" s="891" t="str">
        <f>IFERROR(IF($B63&gt;0,PASHEET!AL63+PASHEET!AT63+MARKS!F63+MARKS!N63+MARKS!V63+MARKS!AD63+MARKS!AL63+MARKS!AT63+MARKS!BB63+MARKS!BJ63,""),"Ab")</f>
        <v/>
      </c>
      <c r="CI63" s="891" t="str">
        <f>IFERROR(IF($B63&gt;0,PASHEET!AM63+PASHEET!AU63+MARKS!G63+MARKS!O63+MARKS!W63+MARKS!AE63+MARKS!AM63+MARKS!AU63+MARKS!BC63+MARKS!BK63,""),"Ab")</f>
        <v/>
      </c>
      <c r="CJ63" s="891" t="str">
        <f>IFERROR(IF($B63&gt;0,PASHEET!AN63+PASHEET!AV63+MARKS!H63+MARKS!P63+MARKS!X63+MARKS!AF63+MARKS!AN63+MARKS!AV63+MARKS!BD63+MARKS!BL63,""),"Ab")</f>
        <v/>
      </c>
      <c r="CK63" s="891" t="str">
        <f>IFERROR(IF($B63&gt;0,PASHEET!AO63+PASHEET!AW63+MARKS!I63+MARKS!Q63+MARKS!Y63+MARKS!AG63+MARKS!AO63+MARKS!AW63+MARKS!BE63+MARKS!BM63,""),"Ab")</f>
        <v/>
      </c>
      <c r="CL63" s="891" t="str">
        <f>IFERROR(IF($B63&gt;0,PASHEET!AP63+PASHEET!AX63+MARKS!J63+MARKS!R63+MARKS!Z63+MARKS!AH63+MARKS!AP63+MARKS!AX63+MARKS!BF63+MARKS!BN63,""),"Ab")</f>
        <v/>
      </c>
      <c r="CM63" s="891" t="str">
        <f>IFERROR(IF($B63&gt;0,PASHEET!AQ63+PASHEET!AY63+MARKS!K63+MARKS!S63+MARKS!AA63+MARKS!AI63+MARKS!AQ63+MARKS!AY63+MARKS!BG63+MARKS!BO63,""),"Ab")</f>
        <v/>
      </c>
      <c r="CN63" s="891" t="str">
        <f>IFERROR(IF($B63&gt;0,PASHEET!AR63+PASHEET!AZ63+MARKS!L63+MARKS!T63+MARKS!AB63+MARKS!AJ63+MARKS!AR63+MARKS!AZ63+MARKS!BH63+MARKS!BP63,""),"Ab")</f>
        <v/>
      </c>
      <c r="CO63" s="891" t="str">
        <f t="shared" si="29"/>
        <v/>
      </c>
      <c r="CP63" s="893" t="str">
        <f t="shared" si="30"/>
        <v/>
      </c>
      <c r="CQ63" s="893" t="str">
        <f t="shared" si="31"/>
        <v/>
      </c>
      <c r="CR63" s="893" t="str">
        <f t="shared" si="32"/>
        <v/>
      </c>
      <c r="CS63" s="893" t="str">
        <f t="shared" si="33"/>
        <v/>
      </c>
      <c r="CT63" s="893" t="str">
        <f t="shared" si="34"/>
        <v/>
      </c>
      <c r="CU63" s="893" t="str">
        <f t="shared" si="35"/>
        <v/>
      </c>
      <c r="CV63" s="893" t="str">
        <f t="shared" si="36"/>
        <v/>
      </c>
      <c r="CW63" s="893" t="str">
        <f t="shared" si="37"/>
        <v/>
      </c>
      <c r="CX63" s="894" t="str">
        <f>IFERROR(IF($B63&gt;0,PASHEET!AL63+MARKS!F63+MARKS!N63+MARKS!V63+MARKS!AD63,""),"Ab")</f>
        <v/>
      </c>
      <c r="CY63" s="894" t="str">
        <f>IFERROR(IF($B63&gt;0,PASHEET!AM63+MARKS!G63+MARKS!O63+MARKS!W63+MARKS!AE63,""),"Ab")</f>
        <v/>
      </c>
      <c r="CZ63" s="894" t="str">
        <f>IFERROR(IF($B63&gt;0,PASHEET!AN63+MARKS!H63+MARKS!P63+MARKS!X63+MARKS!AF63,""),"Ab")</f>
        <v/>
      </c>
      <c r="DA63" s="894" t="str">
        <f>IFERROR(IF($B63&gt;0,PASHEET!AO63+MARKS!I63+MARKS!Q63+MARKS!Y63+MARKS!AG63,""),"Ab")</f>
        <v/>
      </c>
      <c r="DB63" s="894" t="str">
        <f>IFERROR(IF($B63&gt;0,PASHEET!AP63+MARKS!J63+MARKS!R63+MARKS!Z63+MARKS!AH63,""),"Ab")</f>
        <v/>
      </c>
      <c r="DC63" s="894" t="str">
        <f>IFERROR(IF($B63&gt;0,PASHEET!AQ63+MARKS!K63+MARKS!S63+MARKS!AA63+MARKS!AI63,""),"Ab")</f>
        <v/>
      </c>
      <c r="DD63" s="894" t="str">
        <f>IFERROR(IF($B63&gt;0,PASHEET!AR63+MARKS!L63+MARKS!T63+MARKS!AB63+MARKS!AJ63,""),"Ab")</f>
        <v/>
      </c>
      <c r="DE63" s="879" t="str">
        <f t="shared" si="38"/>
        <v/>
      </c>
      <c r="DF63" s="894" t="str">
        <f t="shared" si="39"/>
        <v/>
      </c>
      <c r="DG63" s="894" t="str">
        <f t="shared" si="40"/>
        <v/>
      </c>
      <c r="DH63" s="894" t="str">
        <f t="shared" si="41"/>
        <v/>
      </c>
      <c r="DI63" s="894" t="str">
        <f t="shared" si="42"/>
        <v/>
      </c>
      <c r="DJ63" s="894" t="str">
        <f t="shared" si="43"/>
        <v/>
      </c>
      <c r="DK63" s="894" t="str">
        <f t="shared" si="44"/>
        <v/>
      </c>
      <c r="DL63" s="894" t="str">
        <f t="shared" si="45"/>
        <v/>
      </c>
      <c r="DM63" s="894" t="str">
        <f t="shared" si="46"/>
        <v/>
      </c>
      <c r="DN63" s="894" t="str">
        <f>IFERROR(IF($B63&gt;0,PASHEET!AT63+MARKS!AL63+MARKS!AT63+MARKS!BB63+MARKS!BJ63,""),"Ab")</f>
        <v/>
      </c>
      <c r="DO63" s="894" t="str">
        <f>IFERROR(IF($B63&gt;0,PASHEET!AU63+MARKS!AM63+MARKS!AU63+MARKS!BC63+MARKS!BK63,""),"Ab")</f>
        <v/>
      </c>
      <c r="DP63" s="894" t="str">
        <f>IFERROR(IF($B63&gt;0,PASHEET!AV63+MARKS!AN63+MARKS!AV63+MARKS!BD63+MARKS!BL63,""),"Ab")</f>
        <v/>
      </c>
      <c r="DQ63" s="894" t="str">
        <f>IFERROR(IF($B63&gt;0,PASHEET!AW63+MARKS!AO63+MARKS!AW63+MARKS!BE63+MARKS!BM63,""),"Ab")</f>
        <v/>
      </c>
      <c r="DR63" s="894" t="str">
        <f>IFERROR(IF($B63&gt;0,PASHEET!AX63+MARKS!AP63+MARKS!AX63+MARKS!BF63+MARKS!BN63,""),"Ab")</f>
        <v/>
      </c>
      <c r="DS63" s="894" t="str">
        <f>IFERROR(IF($B63&gt;0,PASHEET!AY63+MARKS!AQ63+MARKS!AY63+MARKS!BG63+MARKS!BO63,""),"Ab")</f>
        <v/>
      </c>
      <c r="DT63" s="894" t="str">
        <f>IFERROR(IF($B63&gt;0,PASHEET!AZ63+MARKS!AR63+MARKS!AZ63+MARKS!BH63+MARKS!BP63,""),"Ab")</f>
        <v/>
      </c>
      <c r="DU63" s="879" t="str">
        <f t="shared" si="47"/>
        <v/>
      </c>
      <c r="DV63" s="894" t="str">
        <f t="shared" si="48"/>
        <v/>
      </c>
      <c r="DW63" s="894" t="str">
        <f t="shared" si="49"/>
        <v/>
      </c>
      <c r="DX63" s="894" t="str">
        <f t="shared" si="50"/>
        <v/>
      </c>
      <c r="DY63" s="894" t="str">
        <f t="shared" si="51"/>
        <v/>
      </c>
      <c r="DZ63" s="894" t="str">
        <f t="shared" si="52"/>
        <v/>
      </c>
      <c r="EA63" s="894" t="str">
        <f t="shared" si="53"/>
        <v/>
      </c>
      <c r="EB63" s="894" t="str">
        <f t="shared" si="54"/>
        <v/>
      </c>
      <c r="EC63" s="894" t="str">
        <f t="shared" si="55"/>
        <v/>
      </c>
    </row>
    <row r="64" spans="1:133">
      <c r="A64" s="879">
        <v>61</v>
      </c>
      <c r="B64" s="879">
        <f>STUDENT!F62</f>
        <v>0</v>
      </c>
      <c r="C64" s="879">
        <f>STUDENT!D62</f>
        <v>0</v>
      </c>
      <c r="D64" s="886">
        <f>STUDENT!E62</f>
        <v>0</v>
      </c>
      <c r="E64" s="886">
        <f>STUDENT!H62</f>
        <v>0</v>
      </c>
      <c r="F64" s="887"/>
      <c r="G64" s="887"/>
      <c r="H64" s="887"/>
      <c r="I64" s="887"/>
      <c r="J64" s="887"/>
      <c r="K64" s="887"/>
      <c r="L64" s="887"/>
      <c r="M64" s="888">
        <f t="shared" si="0"/>
        <v>0</v>
      </c>
      <c r="N64" s="887"/>
      <c r="O64" s="887"/>
      <c r="P64" s="887"/>
      <c r="Q64" s="887"/>
      <c r="R64" s="887"/>
      <c r="S64" s="887"/>
      <c r="T64" s="887"/>
      <c r="U64" s="889">
        <f t="shared" si="7"/>
        <v>0</v>
      </c>
      <c r="V64" s="887"/>
      <c r="W64" s="887"/>
      <c r="X64" s="887"/>
      <c r="Y64" s="887"/>
      <c r="Z64" s="887"/>
      <c r="AA64" s="887"/>
      <c r="AB64" s="887"/>
      <c r="AC64" s="890">
        <f t="shared" si="8"/>
        <v>0</v>
      </c>
      <c r="AD64" s="887"/>
      <c r="AE64" s="887"/>
      <c r="AF64" s="887"/>
      <c r="AG64" s="887"/>
      <c r="AH64" s="887"/>
      <c r="AI64" s="887"/>
      <c r="AJ64" s="887"/>
      <c r="AK64" s="888" t="str">
        <f t="shared" si="1"/>
        <v/>
      </c>
      <c r="AL64" s="887"/>
      <c r="AM64" s="887"/>
      <c r="AN64" s="887"/>
      <c r="AO64" s="887"/>
      <c r="AP64" s="887"/>
      <c r="AQ64" s="887"/>
      <c r="AR64" s="887"/>
      <c r="AS64" s="891">
        <f t="shared" si="9"/>
        <v>0</v>
      </c>
      <c r="AT64" s="887"/>
      <c r="AU64" s="887"/>
      <c r="AV64" s="887"/>
      <c r="AW64" s="887"/>
      <c r="AX64" s="887"/>
      <c r="AY64" s="887"/>
      <c r="AZ64" s="887"/>
      <c r="BA64" s="889">
        <f t="shared" si="10"/>
        <v>0</v>
      </c>
      <c r="BB64" s="887"/>
      <c r="BC64" s="887"/>
      <c r="BD64" s="887"/>
      <c r="BE64" s="887"/>
      <c r="BF64" s="887"/>
      <c r="BG64" s="887"/>
      <c r="BH64" s="887"/>
      <c r="BI64" s="890">
        <f t="shared" si="11"/>
        <v>0</v>
      </c>
      <c r="BJ64" s="887"/>
      <c r="BK64" s="887"/>
      <c r="BL64" s="887"/>
      <c r="BM64" s="887"/>
      <c r="BN64" s="887"/>
      <c r="BO64" s="887"/>
      <c r="BP64" s="887"/>
      <c r="BQ64" s="888" t="str">
        <f t="shared" si="12"/>
        <v/>
      </c>
      <c r="BR64" s="892" t="str">
        <f t="shared" si="13"/>
        <v/>
      </c>
      <c r="BS64" s="892" t="str">
        <f t="shared" si="14"/>
        <v/>
      </c>
      <c r="BT64" s="892" t="str">
        <f t="shared" si="15"/>
        <v/>
      </c>
      <c r="BU64" s="892" t="str">
        <f t="shared" si="16"/>
        <v/>
      </c>
      <c r="BV64" s="892" t="str">
        <f t="shared" si="17"/>
        <v/>
      </c>
      <c r="BW64" s="892" t="str">
        <f t="shared" si="18"/>
        <v/>
      </c>
      <c r="BX64" s="892" t="str">
        <f t="shared" si="19"/>
        <v/>
      </c>
      <c r="BY64" s="892" t="str">
        <f t="shared" si="20"/>
        <v/>
      </c>
      <c r="BZ64" s="892" t="str">
        <f t="shared" si="21"/>
        <v/>
      </c>
      <c r="CA64" s="892" t="str">
        <f t="shared" si="22"/>
        <v/>
      </c>
      <c r="CB64" s="892" t="str">
        <f t="shared" si="23"/>
        <v/>
      </c>
      <c r="CC64" s="892" t="str">
        <f t="shared" si="24"/>
        <v/>
      </c>
      <c r="CD64" s="892" t="str">
        <f t="shared" si="25"/>
        <v/>
      </c>
      <c r="CE64" s="892" t="str">
        <f t="shared" si="26"/>
        <v/>
      </c>
      <c r="CF64" s="892" t="str">
        <f t="shared" si="27"/>
        <v/>
      </c>
      <c r="CG64" s="892" t="str">
        <f t="shared" si="28"/>
        <v/>
      </c>
      <c r="CH64" s="891" t="str">
        <f>IFERROR(IF($B64&gt;0,PASHEET!AL64+PASHEET!AT64+MARKS!F64+MARKS!N64+MARKS!V64+MARKS!AD64+MARKS!AL64+MARKS!AT64+MARKS!BB64+MARKS!BJ64,""),"Ab")</f>
        <v/>
      </c>
      <c r="CI64" s="891" t="str">
        <f>IFERROR(IF($B64&gt;0,PASHEET!AM64+PASHEET!AU64+MARKS!G64+MARKS!O64+MARKS!W64+MARKS!AE64+MARKS!AM64+MARKS!AU64+MARKS!BC64+MARKS!BK64,""),"Ab")</f>
        <v/>
      </c>
      <c r="CJ64" s="891" t="str">
        <f>IFERROR(IF($B64&gt;0,PASHEET!AN64+PASHEET!AV64+MARKS!H64+MARKS!P64+MARKS!X64+MARKS!AF64+MARKS!AN64+MARKS!AV64+MARKS!BD64+MARKS!BL64,""),"Ab")</f>
        <v/>
      </c>
      <c r="CK64" s="891" t="str">
        <f>IFERROR(IF($B64&gt;0,PASHEET!AO64+PASHEET!AW64+MARKS!I64+MARKS!Q64+MARKS!Y64+MARKS!AG64+MARKS!AO64+MARKS!AW64+MARKS!BE64+MARKS!BM64,""),"Ab")</f>
        <v/>
      </c>
      <c r="CL64" s="891" t="str">
        <f>IFERROR(IF($B64&gt;0,PASHEET!AP64+PASHEET!AX64+MARKS!J64+MARKS!R64+MARKS!Z64+MARKS!AH64+MARKS!AP64+MARKS!AX64+MARKS!BF64+MARKS!BN64,""),"Ab")</f>
        <v/>
      </c>
      <c r="CM64" s="891" t="str">
        <f>IFERROR(IF($B64&gt;0,PASHEET!AQ64+PASHEET!AY64+MARKS!K64+MARKS!S64+MARKS!AA64+MARKS!AI64+MARKS!AQ64+MARKS!AY64+MARKS!BG64+MARKS!BO64,""),"Ab")</f>
        <v/>
      </c>
      <c r="CN64" s="891" t="str">
        <f>IFERROR(IF($B64&gt;0,PASHEET!AR64+PASHEET!AZ64+MARKS!L64+MARKS!T64+MARKS!AB64+MARKS!AJ64+MARKS!AR64+MARKS!AZ64+MARKS!BH64+MARKS!BP64,""),"Ab")</f>
        <v/>
      </c>
      <c r="CO64" s="891" t="str">
        <f t="shared" si="29"/>
        <v/>
      </c>
      <c r="CP64" s="893" t="str">
        <f t="shared" si="30"/>
        <v/>
      </c>
      <c r="CQ64" s="893" t="str">
        <f t="shared" si="31"/>
        <v/>
      </c>
      <c r="CR64" s="893" t="str">
        <f t="shared" si="32"/>
        <v/>
      </c>
      <c r="CS64" s="893" t="str">
        <f t="shared" si="33"/>
        <v/>
      </c>
      <c r="CT64" s="893" t="str">
        <f t="shared" si="34"/>
        <v/>
      </c>
      <c r="CU64" s="893" t="str">
        <f t="shared" si="35"/>
        <v/>
      </c>
      <c r="CV64" s="893" t="str">
        <f t="shared" si="36"/>
        <v/>
      </c>
      <c r="CW64" s="893" t="str">
        <f t="shared" si="37"/>
        <v/>
      </c>
      <c r="CX64" s="894" t="str">
        <f>IFERROR(IF($B64&gt;0,PASHEET!AL64+MARKS!F64+MARKS!N64+MARKS!V64+MARKS!AD64,""),"Ab")</f>
        <v/>
      </c>
      <c r="CY64" s="894" t="str">
        <f>IFERROR(IF($B64&gt;0,PASHEET!AM64+MARKS!G64+MARKS!O64+MARKS!W64+MARKS!AE64,""),"Ab")</f>
        <v/>
      </c>
      <c r="CZ64" s="894" t="str">
        <f>IFERROR(IF($B64&gt;0,PASHEET!AN64+MARKS!H64+MARKS!P64+MARKS!X64+MARKS!AF64,""),"Ab")</f>
        <v/>
      </c>
      <c r="DA64" s="894" t="str">
        <f>IFERROR(IF($B64&gt;0,PASHEET!AO64+MARKS!I64+MARKS!Q64+MARKS!Y64+MARKS!AG64,""),"Ab")</f>
        <v/>
      </c>
      <c r="DB64" s="894" t="str">
        <f>IFERROR(IF($B64&gt;0,PASHEET!AP64+MARKS!J64+MARKS!R64+MARKS!Z64+MARKS!AH64,""),"Ab")</f>
        <v/>
      </c>
      <c r="DC64" s="894" t="str">
        <f>IFERROR(IF($B64&gt;0,PASHEET!AQ64+MARKS!K64+MARKS!S64+MARKS!AA64+MARKS!AI64,""),"Ab")</f>
        <v/>
      </c>
      <c r="DD64" s="894" t="str">
        <f>IFERROR(IF($B64&gt;0,PASHEET!AR64+MARKS!L64+MARKS!T64+MARKS!AB64+MARKS!AJ64,""),"Ab")</f>
        <v/>
      </c>
      <c r="DE64" s="879" t="str">
        <f t="shared" si="38"/>
        <v/>
      </c>
      <c r="DF64" s="894" t="str">
        <f t="shared" si="39"/>
        <v/>
      </c>
      <c r="DG64" s="894" t="str">
        <f t="shared" si="40"/>
        <v/>
      </c>
      <c r="DH64" s="894" t="str">
        <f t="shared" si="41"/>
        <v/>
      </c>
      <c r="DI64" s="894" t="str">
        <f t="shared" si="42"/>
        <v/>
      </c>
      <c r="DJ64" s="894" t="str">
        <f t="shared" si="43"/>
        <v/>
      </c>
      <c r="DK64" s="894" t="str">
        <f t="shared" si="44"/>
        <v/>
      </c>
      <c r="DL64" s="894" t="str">
        <f t="shared" si="45"/>
        <v/>
      </c>
      <c r="DM64" s="894" t="str">
        <f t="shared" si="46"/>
        <v/>
      </c>
      <c r="DN64" s="894" t="str">
        <f>IFERROR(IF($B64&gt;0,PASHEET!AT64+MARKS!AL64+MARKS!AT64+MARKS!BB64+MARKS!BJ64,""),"Ab")</f>
        <v/>
      </c>
      <c r="DO64" s="894" t="str">
        <f>IFERROR(IF($B64&gt;0,PASHEET!AU64+MARKS!AM64+MARKS!AU64+MARKS!BC64+MARKS!BK64,""),"Ab")</f>
        <v/>
      </c>
      <c r="DP64" s="894" t="str">
        <f>IFERROR(IF($B64&gt;0,PASHEET!AV64+MARKS!AN64+MARKS!AV64+MARKS!BD64+MARKS!BL64,""),"Ab")</f>
        <v/>
      </c>
      <c r="DQ64" s="894" t="str">
        <f>IFERROR(IF($B64&gt;0,PASHEET!AW64+MARKS!AO64+MARKS!AW64+MARKS!BE64+MARKS!BM64,""),"Ab")</f>
        <v/>
      </c>
      <c r="DR64" s="894" t="str">
        <f>IFERROR(IF($B64&gt;0,PASHEET!AX64+MARKS!AP64+MARKS!AX64+MARKS!BF64+MARKS!BN64,""),"Ab")</f>
        <v/>
      </c>
      <c r="DS64" s="894" t="str">
        <f>IFERROR(IF($B64&gt;0,PASHEET!AY64+MARKS!AQ64+MARKS!AY64+MARKS!BG64+MARKS!BO64,""),"Ab")</f>
        <v/>
      </c>
      <c r="DT64" s="894" t="str">
        <f>IFERROR(IF($B64&gt;0,PASHEET!AZ64+MARKS!AR64+MARKS!AZ64+MARKS!BH64+MARKS!BP64,""),"Ab")</f>
        <v/>
      </c>
      <c r="DU64" s="879" t="str">
        <f t="shared" si="47"/>
        <v/>
      </c>
      <c r="DV64" s="894" t="str">
        <f t="shared" si="48"/>
        <v/>
      </c>
      <c r="DW64" s="894" t="str">
        <f t="shared" si="49"/>
        <v/>
      </c>
      <c r="DX64" s="894" t="str">
        <f t="shared" si="50"/>
        <v/>
      </c>
      <c r="DY64" s="894" t="str">
        <f t="shared" si="51"/>
        <v/>
      </c>
      <c r="DZ64" s="894" t="str">
        <f t="shared" si="52"/>
        <v/>
      </c>
      <c r="EA64" s="894" t="str">
        <f t="shared" si="53"/>
        <v/>
      </c>
      <c r="EB64" s="894" t="str">
        <f t="shared" si="54"/>
        <v/>
      </c>
      <c r="EC64" s="894" t="str">
        <f t="shared" si="55"/>
        <v/>
      </c>
    </row>
    <row r="65" spans="1:133">
      <c r="A65" s="879">
        <v>62</v>
      </c>
      <c r="B65" s="879">
        <f>STUDENT!F63</f>
        <v>0</v>
      </c>
      <c r="C65" s="879">
        <f>STUDENT!D63</f>
        <v>0</v>
      </c>
      <c r="D65" s="886">
        <f>STUDENT!E63</f>
        <v>0</v>
      </c>
      <c r="E65" s="886">
        <f>STUDENT!H63</f>
        <v>0</v>
      </c>
      <c r="F65" s="887"/>
      <c r="G65" s="887"/>
      <c r="H65" s="887"/>
      <c r="I65" s="887"/>
      <c r="J65" s="887"/>
      <c r="K65" s="887"/>
      <c r="L65" s="887"/>
      <c r="M65" s="888">
        <f t="shared" si="0"/>
        <v>0</v>
      </c>
      <c r="N65" s="887"/>
      <c r="O65" s="887"/>
      <c r="P65" s="887"/>
      <c r="Q65" s="887"/>
      <c r="R65" s="887"/>
      <c r="S65" s="887"/>
      <c r="T65" s="887"/>
      <c r="U65" s="889">
        <f t="shared" si="7"/>
        <v>0</v>
      </c>
      <c r="V65" s="887"/>
      <c r="W65" s="887"/>
      <c r="X65" s="887"/>
      <c r="Y65" s="887"/>
      <c r="Z65" s="887"/>
      <c r="AA65" s="887"/>
      <c r="AB65" s="887"/>
      <c r="AC65" s="890">
        <f t="shared" si="8"/>
        <v>0</v>
      </c>
      <c r="AD65" s="887"/>
      <c r="AE65" s="887"/>
      <c r="AF65" s="887"/>
      <c r="AG65" s="887"/>
      <c r="AH65" s="887"/>
      <c r="AI65" s="887"/>
      <c r="AJ65" s="887"/>
      <c r="AK65" s="888" t="str">
        <f t="shared" si="1"/>
        <v/>
      </c>
      <c r="AL65" s="887"/>
      <c r="AM65" s="887"/>
      <c r="AN65" s="887"/>
      <c r="AO65" s="887"/>
      <c r="AP65" s="887"/>
      <c r="AQ65" s="887"/>
      <c r="AR65" s="887"/>
      <c r="AS65" s="891">
        <f t="shared" si="9"/>
        <v>0</v>
      </c>
      <c r="AT65" s="887"/>
      <c r="AU65" s="887"/>
      <c r="AV65" s="887"/>
      <c r="AW65" s="887"/>
      <c r="AX65" s="887"/>
      <c r="AY65" s="887"/>
      <c r="AZ65" s="887"/>
      <c r="BA65" s="889">
        <f t="shared" si="10"/>
        <v>0</v>
      </c>
      <c r="BB65" s="887"/>
      <c r="BC65" s="887"/>
      <c r="BD65" s="887"/>
      <c r="BE65" s="887"/>
      <c r="BF65" s="887"/>
      <c r="BG65" s="887"/>
      <c r="BH65" s="887"/>
      <c r="BI65" s="890">
        <f t="shared" si="11"/>
        <v>0</v>
      </c>
      <c r="BJ65" s="887"/>
      <c r="BK65" s="887"/>
      <c r="BL65" s="887"/>
      <c r="BM65" s="887"/>
      <c r="BN65" s="887"/>
      <c r="BO65" s="887"/>
      <c r="BP65" s="887"/>
      <c r="BQ65" s="888" t="str">
        <f t="shared" si="12"/>
        <v/>
      </c>
      <c r="BR65" s="892" t="str">
        <f t="shared" si="13"/>
        <v/>
      </c>
      <c r="BS65" s="892" t="str">
        <f t="shared" si="14"/>
        <v/>
      </c>
      <c r="BT65" s="892" t="str">
        <f t="shared" si="15"/>
        <v/>
      </c>
      <c r="BU65" s="892" t="str">
        <f t="shared" si="16"/>
        <v/>
      </c>
      <c r="BV65" s="892" t="str">
        <f t="shared" si="17"/>
        <v/>
      </c>
      <c r="BW65" s="892" t="str">
        <f t="shared" si="18"/>
        <v/>
      </c>
      <c r="BX65" s="892" t="str">
        <f t="shared" si="19"/>
        <v/>
      </c>
      <c r="BY65" s="892" t="str">
        <f t="shared" si="20"/>
        <v/>
      </c>
      <c r="BZ65" s="892" t="str">
        <f t="shared" si="21"/>
        <v/>
      </c>
      <c r="CA65" s="892" t="str">
        <f t="shared" si="22"/>
        <v/>
      </c>
      <c r="CB65" s="892" t="str">
        <f t="shared" si="23"/>
        <v/>
      </c>
      <c r="CC65" s="892" t="str">
        <f t="shared" si="24"/>
        <v/>
      </c>
      <c r="CD65" s="892" t="str">
        <f t="shared" si="25"/>
        <v/>
      </c>
      <c r="CE65" s="892" t="str">
        <f t="shared" si="26"/>
        <v/>
      </c>
      <c r="CF65" s="892" t="str">
        <f t="shared" si="27"/>
        <v/>
      </c>
      <c r="CG65" s="892" t="str">
        <f t="shared" si="28"/>
        <v/>
      </c>
      <c r="CH65" s="891" t="str">
        <f>IFERROR(IF($B65&gt;0,PASHEET!AL65+PASHEET!AT65+MARKS!F65+MARKS!N65+MARKS!V65+MARKS!AD65+MARKS!AL65+MARKS!AT65+MARKS!BB65+MARKS!BJ65,""),"Ab")</f>
        <v/>
      </c>
      <c r="CI65" s="891" t="str">
        <f>IFERROR(IF($B65&gt;0,PASHEET!AM65+PASHEET!AU65+MARKS!G65+MARKS!O65+MARKS!W65+MARKS!AE65+MARKS!AM65+MARKS!AU65+MARKS!BC65+MARKS!BK65,""),"Ab")</f>
        <v/>
      </c>
      <c r="CJ65" s="891" t="str">
        <f>IFERROR(IF($B65&gt;0,PASHEET!AN65+PASHEET!AV65+MARKS!H65+MARKS!P65+MARKS!X65+MARKS!AF65+MARKS!AN65+MARKS!AV65+MARKS!BD65+MARKS!BL65,""),"Ab")</f>
        <v/>
      </c>
      <c r="CK65" s="891" t="str">
        <f>IFERROR(IF($B65&gt;0,PASHEET!AO65+PASHEET!AW65+MARKS!I65+MARKS!Q65+MARKS!Y65+MARKS!AG65+MARKS!AO65+MARKS!AW65+MARKS!BE65+MARKS!BM65,""),"Ab")</f>
        <v/>
      </c>
      <c r="CL65" s="891" t="str">
        <f>IFERROR(IF($B65&gt;0,PASHEET!AP65+PASHEET!AX65+MARKS!J65+MARKS!R65+MARKS!Z65+MARKS!AH65+MARKS!AP65+MARKS!AX65+MARKS!BF65+MARKS!BN65,""),"Ab")</f>
        <v/>
      </c>
      <c r="CM65" s="891" t="str">
        <f>IFERROR(IF($B65&gt;0,PASHEET!AQ65+PASHEET!AY65+MARKS!K65+MARKS!S65+MARKS!AA65+MARKS!AI65+MARKS!AQ65+MARKS!AY65+MARKS!BG65+MARKS!BO65,""),"Ab")</f>
        <v/>
      </c>
      <c r="CN65" s="891" t="str">
        <f>IFERROR(IF($B65&gt;0,PASHEET!AR65+PASHEET!AZ65+MARKS!L65+MARKS!T65+MARKS!AB65+MARKS!AJ65+MARKS!AR65+MARKS!AZ65+MARKS!BH65+MARKS!BP65,""),"Ab")</f>
        <v/>
      </c>
      <c r="CO65" s="891" t="str">
        <f t="shared" si="29"/>
        <v/>
      </c>
      <c r="CP65" s="893" t="str">
        <f t="shared" si="30"/>
        <v/>
      </c>
      <c r="CQ65" s="893" t="str">
        <f t="shared" si="31"/>
        <v/>
      </c>
      <c r="CR65" s="893" t="str">
        <f t="shared" si="32"/>
        <v/>
      </c>
      <c r="CS65" s="893" t="str">
        <f t="shared" si="33"/>
        <v/>
      </c>
      <c r="CT65" s="893" t="str">
        <f t="shared" si="34"/>
        <v/>
      </c>
      <c r="CU65" s="893" t="str">
        <f t="shared" si="35"/>
        <v/>
      </c>
      <c r="CV65" s="893" t="str">
        <f t="shared" si="36"/>
        <v/>
      </c>
      <c r="CW65" s="893" t="str">
        <f t="shared" si="37"/>
        <v/>
      </c>
      <c r="CX65" s="894" t="str">
        <f>IFERROR(IF($B65&gt;0,PASHEET!AL65+MARKS!F65+MARKS!N65+MARKS!V65+MARKS!AD65,""),"Ab")</f>
        <v/>
      </c>
      <c r="CY65" s="894" t="str">
        <f>IFERROR(IF($B65&gt;0,PASHEET!AM65+MARKS!G65+MARKS!O65+MARKS!W65+MARKS!AE65,""),"Ab")</f>
        <v/>
      </c>
      <c r="CZ65" s="894" t="str">
        <f>IFERROR(IF($B65&gt;0,PASHEET!AN65+MARKS!H65+MARKS!P65+MARKS!X65+MARKS!AF65,""),"Ab")</f>
        <v/>
      </c>
      <c r="DA65" s="894" t="str">
        <f>IFERROR(IF($B65&gt;0,PASHEET!AO65+MARKS!I65+MARKS!Q65+MARKS!Y65+MARKS!AG65,""),"Ab")</f>
        <v/>
      </c>
      <c r="DB65" s="894" t="str">
        <f>IFERROR(IF($B65&gt;0,PASHEET!AP65+MARKS!J65+MARKS!R65+MARKS!Z65+MARKS!AH65,""),"Ab")</f>
        <v/>
      </c>
      <c r="DC65" s="894" t="str">
        <f>IFERROR(IF($B65&gt;0,PASHEET!AQ65+MARKS!K65+MARKS!S65+MARKS!AA65+MARKS!AI65,""),"Ab")</f>
        <v/>
      </c>
      <c r="DD65" s="894" t="str">
        <f>IFERROR(IF($B65&gt;0,PASHEET!AR65+MARKS!L65+MARKS!T65+MARKS!AB65+MARKS!AJ65,""),"Ab")</f>
        <v/>
      </c>
      <c r="DE65" s="879" t="str">
        <f t="shared" si="38"/>
        <v/>
      </c>
      <c r="DF65" s="894" t="str">
        <f t="shared" si="39"/>
        <v/>
      </c>
      <c r="DG65" s="894" t="str">
        <f t="shared" si="40"/>
        <v/>
      </c>
      <c r="DH65" s="894" t="str">
        <f t="shared" si="41"/>
        <v/>
      </c>
      <c r="DI65" s="894" t="str">
        <f t="shared" si="42"/>
        <v/>
      </c>
      <c r="DJ65" s="894" t="str">
        <f t="shared" si="43"/>
        <v/>
      </c>
      <c r="DK65" s="894" t="str">
        <f t="shared" si="44"/>
        <v/>
      </c>
      <c r="DL65" s="894" t="str">
        <f t="shared" si="45"/>
        <v/>
      </c>
      <c r="DM65" s="894" t="str">
        <f t="shared" si="46"/>
        <v/>
      </c>
      <c r="DN65" s="894" t="str">
        <f>IFERROR(IF($B65&gt;0,PASHEET!AT65+MARKS!AL65+MARKS!AT65+MARKS!BB65+MARKS!BJ65,""),"Ab")</f>
        <v/>
      </c>
      <c r="DO65" s="894" t="str">
        <f>IFERROR(IF($B65&gt;0,PASHEET!AU65+MARKS!AM65+MARKS!AU65+MARKS!BC65+MARKS!BK65,""),"Ab")</f>
        <v/>
      </c>
      <c r="DP65" s="894" t="str">
        <f>IFERROR(IF($B65&gt;0,PASHEET!AV65+MARKS!AN65+MARKS!AV65+MARKS!BD65+MARKS!BL65,""),"Ab")</f>
        <v/>
      </c>
      <c r="DQ65" s="894" t="str">
        <f>IFERROR(IF($B65&gt;0,PASHEET!AW65+MARKS!AO65+MARKS!AW65+MARKS!BE65+MARKS!BM65,""),"Ab")</f>
        <v/>
      </c>
      <c r="DR65" s="894" t="str">
        <f>IFERROR(IF($B65&gt;0,PASHEET!AX65+MARKS!AP65+MARKS!AX65+MARKS!BF65+MARKS!BN65,""),"Ab")</f>
        <v/>
      </c>
      <c r="DS65" s="894" t="str">
        <f>IFERROR(IF($B65&gt;0,PASHEET!AY65+MARKS!AQ65+MARKS!AY65+MARKS!BG65+MARKS!BO65,""),"Ab")</f>
        <v/>
      </c>
      <c r="DT65" s="894" t="str">
        <f>IFERROR(IF($B65&gt;0,PASHEET!AZ65+MARKS!AR65+MARKS!AZ65+MARKS!BH65+MARKS!BP65,""),"Ab")</f>
        <v/>
      </c>
      <c r="DU65" s="879" t="str">
        <f t="shared" si="47"/>
        <v/>
      </c>
      <c r="DV65" s="894" t="str">
        <f t="shared" si="48"/>
        <v/>
      </c>
      <c r="DW65" s="894" t="str">
        <f t="shared" si="49"/>
        <v/>
      </c>
      <c r="DX65" s="894" t="str">
        <f t="shared" si="50"/>
        <v/>
      </c>
      <c r="DY65" s="894" t="str">
        <f t="shared" si="51"/>
        <v/>
      </c>
      <c r="DZ65" s="894" t="str">
        <f t="shared" si="52"/>
        <v/>
      </c>
      <c r="EA65" s="894" t="str">
        <f t="shared" si="53"/>
        <v/>
      </c>
      <c r="EB65" s="894" t="str">
        <f t="shared" si="54"/>
        <v/>
      </c>
      <c r="EC65" s="894" t="str">
        <f t="shared" si="55"/>
        <v/>
      </c>
    </row>
    <row r="66" spans="1:133">
      <c r="A66" s="879">
        <v>63</v>
      </c>
      <c r="B66" s="879">
        <f>STUDENT!F64</f>
        <v>0</v>
      </c>
      <c r="C66" s="879">
        <f>STUDENT!D64</f>
        <v>0</v>
      </c>
      <c r="D66" s="886">
        <f>STUDENT!E64</f>
        <v>0</v>
      </c>
      <c r="E66" s="886">
        <f>STUDENT!H64</f>
        <v>0</v>
      </c>
      <c r="F66" s="887"/>
      <c r="G66" s="887"/>
      <c r="H66" s="887"/>
      <c r="I66" s="887"/>
      <c r="J66" s="887"/>
      <c r="K66" s="887"/>
      <c r="L66" s="887"/>
      <c r="M66" s="888">
        <f t="shared" si="0"/>
        <v>0</v>
      </c>
      <c r="N66" s="887"/>
      <c r="O66" s="887"/>
      <c r="P66" s="887"/>
      <c r="Q66" s="887"/>
      <c r="R66" s="887"/>
      <c r="S66" s="887"/>
      <c r="T66" s="887"/>
      <c r="U66" s="889">
        <f t="shared" si="7"/>
        <v>0</v>
      </c>
      <c r="V66" s="887"/>
      <c r="W66" s="887"/>
      <c r="X66" s="887"/>
      <c r="Y66" s="887"/>
      <c r="Z66" s="887"/>
      <c r="AA66" s="887"/>
      <c r="AB66" s="887"/>
      <c r="AC66" s="890">
        <f t="shared" si="8"/>
        <v>0</v>
      </c>
      <c r="AD66" s="887"/>
      <c r="AE66" s="887"/>
      <c r="AF66" s="887"/>
      <c r="AG66" s="887"/>
      <c r="AH66" s="887"/>
      <c r="AI66" s="887"/>
      <c r="AJ66" s="887"/>
      <c r="AK66" s="888" t="str">
        <f t="shared" si="1"/>
        <v/>
      </c>
      <c r="AL66" s="887"/>
      <c r="AM66" s="887"/>
      <c r="AN66" s="887"/>
      <c r="AO66" s="887"/>
      <c r="AP66" s="887"/>
      <c r="AQ66" s="887"/>
      <c r="AR66" s="887"/>
      <c r="AS66" s="891">
        <f t="shared" si="9"/>
        <v>0</v>
      </c>
      <c r="AT66" s="887"/>
      <c r="AU66" s="887"/>
      <c r="AV66" s="887"/>
      <c r="AW66" s="887"/>
      <c r="AX66" s="887"/>
      <c r="AY66" s="887"/>
      <c r="AZ66" s="887"/>
      <c r="BA66" s="889">
        <f t="shared" si="10"/>
        <v>0</v>
      </c>
      <c r="BB66" s="887"/>
      <c r="BC66" s="887"/>
      <c r="BD66" s="887"/>
      <c r="BE66" s="887"/>
      <c r="BF66" s="887"/>
      <c r="BG66" s="887"/>
      <c r="BH66" s="887"/>
      <c r="BI66" s="890">
        <f t="shared" si="11"/>
        <v>0</v>
      </c>
      <c r="BJ66" s="887"/>
      <c r="BK66" s="887"/>
      <c r="BL66" s="887"/>
      <c r="BM66" s="887"/>
      <c r="BN66" s="887"/>
      <c r="BO66" s="887"/>
      <c r="BP66" s="887"/>
      <c r="BQ66" s="888" t="str">
        <f t="shared" si="12"/>
        <v/>
      </c>
      <c r="BR66" s="892" t="str">
        <f t="shared" si="13"/>
        <v/>
      </c>
      <c r="BS66" s="892" t="str">
        <f t="shared" si="14"/>
        <v/>
      </c>
      <c r="BT66" s="892" t="str">
        <f t="shared" si="15"/>
        <v/>
      </c>
      <c r="BU66" s="892" t="str">
        <f t="shared" si="16"/>
        <v/>
      </c>
      <c r="BV66" s="892" t="str">
        <f t="shared" si="17"/>
        <v/>
      </c>
      <c r="BW66" s="892" t="str">
        <f t="shared" si="18"/>
        <v/>
      </c>
      <c r="BX66" s="892" t="str">
        <f t="shared" si="19"/>
        <v/>
      </c>
      <c r="BY66" s="892" t="str">
        <f t="shared" si="20"/>
        <v/>
      </c>
      <c r="BZ66" s="892" t="str">
        <f t="shared" si="21"/>
        <v/>
      </c>
      <c r="CA66" s="892" t="str">
        <f t="shared" si="22"/>
        <v/>
      </c>
      <c r="CB66" s="892" t="str">
        <f t="shared" si="23"/>
        <v/>
      </c>
      <c r="CC66" s="892" t="str">
        <f t="shared" si="24"/>
        <v/>
      </c>
      <c r="CD66" s="892" t="str">
        <f t="shared" si="25"/>
        <v/>
      </c>
      <c r="CE66" s="892" t="str">
        <f t="shared" si="26"/>
        <v/>
      </c>
      <c r="CF66" s="892" t="str">
        <f t="shared" si="27"/>
        <v/>
      </c>
      <c r="CG66" s="892" t="str">
        <f t="shared" si="28"/>
        <v/>
      </c>
      <c r="CH66" s="891" t="str">
        <f>IFERROR(IF($B66&gt;0,PASHEET!AL66+PASHEET!AT66+MARKS!F66+MARKS!N66+MARKS!V66+MARKS!AD66+MARKS!AL66+MARKS!AT66+MARKS!BB66+MARKS!BJ66,""),"Ab")</f>
        <v/>
      </c>
      <c r="CI66" s="891" t="str">
        <f>IFERROR(IF($B66&gt;0,PASHEET!AM66+PASHEET!AU66+MARKS!G66+MARKS!O66+MARKS!W66+MARKS!AE66+MARKS!AM66+MARKS!AU66+MARKS!BC66+MARKS!BK66,""),"Ab")</f>
        <v/>
      </c>
      <c r="CJ66" s="891" t="str">
        <f>IFERROR(IF($B66&gt;0,PASHEET!AN66+PASHEET!AV66+MARKS!H66+MARKS!P66+MARKS!X66+MARKS!AF66+MARKS!AN66+MARKS!AV66+MARKS!BD66+MARKS!BL66,""),"Ab")</f>
        <v/>
      </c>
      <c r="CK66" s="891" t="str">
        <f>IFERROR(IF($B66&gt;0,PASHEET!AO66+PASHEET!AW66+MARKS!I66+MARKS!Q66+MARKS!Y66+MARKS!AG66+MARKS!AO66+MARKS!AW66+MARKS!BE66+MARKS!BM66,""),"Ab")</f>
        <v/>
      </c>
      <c r="CL66" s="891" t="str">
        <f>IFERROR(IF($B66&gt;0,PASHEET!AP66+PASHEET!AX66+MARKS!J66+MARKS!R66+MARKS!Z66+MARKS!AH66+MARKS!AP66+MARKS!AX66+MARKS!BF66+MARKS!BN66,""),"Ab")</f>
        <v/>
      </c>
      <c r="CM66" s="891" t="str">
        <f>IFERROR(IF($B66&gt;0,PASHEET!AQ66+PASHEET!AY66+MARKS!K66+MARKS!S66+MARKS!AA66+MARKS!AI66+MARKS!AQ66+MARKS!AY66+MARKS!BG66+MARKS!BO66,""),"Ab")</f>
        <v/>
      </c>
      <c r="CN66" s="891" t="str">
        <f>IFERROR(IF($B66&gt;0,PASHEET!AR66+PASHEET!AZ66+MARKS!L66+MARKS!T66+MARKS!AB66+MARKS!AJ66+MARKS!AR66+MARKS!AZ66+MARKS!BH66+MARKS!BP66,""),"Ab")</f>
        <v/>
      </c>
      <c r="CO66" s="891" t="str">
        <f t="shared" si="29"/>
        <v/>
      </c>
      <c r="CP66" s="893" t="str">
        <f t="shared" si="30"/>
        <v/>
      </c>
      <c r="CQ66" s="893" t="str">
        <f t="shared" si="31"/>
        <v/>
      </c>
      <c r="CR66" s="893" t="str">
        <f t="shared" si="32"/>
        <v/>
      </c>
      <c r="CS66" s="893" t="str">
        <f t="shared" si="33"/>
        <v/>
      </c>
      <c r="CT66" s="893" t="str">
        <f t="shared" si="34"/>
        <v/>
      </c>
      <c r="CU66" s="893" t="str">
        <f t="shared" si="35"/>
        <v/>
      </c>
      <c r="CV66" s="893" t="str">
        <f t="shared" si="36"/>
        <v/>
      </c>
      <c r="CW66" s="893" t="str">
        <f t="shared" si="37"/>
        <v/>
      </c>
      <c r="CX66" s="894" t="str">
        <f>IFERROR(IF($B66&gt;0,PASHEET!AL66+MARKS!F66+MARKS!N66+MARKS!V66+MARKS!AD66,""),"Ab")</f>
        <v/>
      </c>
      <c r="CY66" s="894" t="str">
        <f>IFERROR(IF($B66&gt;0,PASHEET!AM66+MARKS!G66+MARKS!O66+MARKS!W66+MARKS!AE66,""),"Ab")</f>
        <v/>
      </c>
      <c r="CZ66" s="894" t="str">
        <f>IFERROR(IF($B66&gt;0,PASHEET!AN66+MARKS!H66+MARKS!P66+MARKS!X66+MARKS!AF66,""),"Ab")</f>
        <v/>
      </c>
      <c r="DA66" s="894" t="str">
        <f>IFERROR(IF($B66&gt;0,PASHEET!AO66+MARKS!I66+MARKS!Q66+MARKS!Y66+MARKS!AG66,""),"Ab")</f>
        <v/>
      </c>
      <c r="DB66" s="894" t="str">
        <f>IFERROR(IF($B66&gt;0,PASHEET!AP66+MARKS!J66+MARKS!R66+MARKS!Z66+MARKS!AH66,""),"Ab")</f>
        <v/>
      </c>
      <c r="DC66" s="894" t="str">
        <f>IFERROR(IF($B66&gt;0,PASHEET!AQ66+MARKS!K66+MARKS!S66+MARKS!AA66+MARKS!AI66,""),"Ab")</f>
        <v/>
      </c>
      <c r="DD66" s="894" t="str">
        <f>IFERROR(IF($B66&gt;0,PASHEET!AR66+MARKS!L66+MARKS!T66+MARKS!AB66+MARKS!AJ66,""),"Ab")</f>
        <v/>
      </c>
      <c r="DE66" s="879" t="str">
        <f t="shared" si="38"/>
        <v/>
      </c>
      <c r="DF66" s="894" t="str">
        <f t="shared" si="39"/>
        <v/>
      </c>
      <c r="DG66" s="894" t="str">
        <f t="shared" si="40"/>
        <v/>
      </c>
      <c r="DH66" s="894" t="str">
        <f t="shared" si="41"/>
        <v/>
      </c>
      <c r="DI66" s="894" t="str">
        <f t="shared" si="42"/>
        <v/>
      </c>
      <c r="DJ66" s="894" t="str">
        <f t="shared" si="43"/>
        <v/>
      </c>
      <c r="DK66" s="894" t="str">
        <f t="shared" si="44"/>
        <v/>
      </c>
      <c r="DL66" s="894" t="str">
        <f t="shared" si="45"/>
        <v/>
      </c>
      <c r="DM66" s="894" t="str">
        <f t="shared" si="46"/>
        <v/>
      </c>
      <c r="DN66" s="894" t="str">
        <f>IFERROR(IF($B66&gt;0,PASHEET!AT66+MARKS!AL66+MARKS!AT66+MARKS!BB66+MARKS!BJ66,""),"Ab")</f>
        <v/>
      </c>
      <c r="DO66" s="894" t="str">
        <f>IFERROR(IF($B66&gt;0,PASHEET!AU66+MARKS!AM66+MARKS!AU66+MARKS!BC66+MARKS!BK66,""),"Ab")</f>
        <v/>
      </c>
      <c r="DP66" s="894" t="str">
        <f>IFERROR(IF($B66&gt;0,PASHEET!AV66+MARKS!AN66+MARKS!AV66+MARKS!BD66+MARKS!BL66,""),"Ab")</f>
        <v/>
      </c>
      <c r="DQ66" s="894" t="str">
        <f>IFERROR(IF($B66&gt;0,PASHEET!AW66+MARKS!AO66+MARKS!AW66+MARKS!BE66+MARKS!BM66,""),"Ab")</f>
        <v/>
      </c>
      <c r="DR66" s="894" t="str">
        <f>IFERROR(IF($B66&gt;0,PASHEET!AX66+MARKS!AP66+MARKS!AX66+MARKS!BF66+MARKS!BN66,""),"Ab")</f>
        <v/>
      </c>
      <c r="DS66" s="894" t="str">
        <f>IFERROR(IF($B66&gt;0,PASHEET!AY66+MARKS!AQ66+MARKS!AY66+MARKS!BG66+MARKS!BO66,""),"Ab")</f>
        <v/>
      </c>
      <c r="DT66" s="894" t="str">
        <f>IFERROR(IF($B66&gt;0,PASHEET!AZ66+MARKS!AR66+MARKS!AZ66+MARKS!BH66+MARKS!BP66,""),"Ab")</f>
        <v/>
      </c>
      <c r="DU66" s="879" t="str">
        <f t="shared" si="47"/>
        <v/>
      </c>
      <c r="DV66" s="894" t="str">
        <f t="shared" si="48"/>
        <v/>
      </c>
      <c r="DW66" s="894" t="str">
        <f t="shared" si="49"/>
        <v/>
      </c>
      <c r="DX66" s="894" t="str">
        <f t="shared" si="50"/>
        <v/>
      </c>
      <c r="DY66" s="894" t="str">
        <f t="shared" si="51"/>
        <v/>
      </c>
      <c r="DZ66" s="894" t="str">
        <f t="shared" si="52"/>
        <v/>
      </c>
      <c r="EA66" s="894" t="str">
        <f t="shared" si="53"/>
        <v/>
      </c>
      <c r="EB66" s="894" t="str">
        <f t="shared" si="54"/>
        <v/>
      </c>
      <c r="EC66" s="894" t="str">
        <f t="shared" si="55"/>
        <v/>
      </c>
    </row>
    <row r="67" spans="1:133">
      <c r="A67" s="879">
        <v>64</v>
      </c>
      <c r="B67" s="879">
        <f>STUDENT!F65</f>
        <v>0</v>
      </c>
      <c r="C67" s="879">
        <f>STUDENT!D65</f>
        <v>0</v>
      </c>
      <c r="D67" s="886">
        <f>STUDENT!E65</f>
        <v>0</v>
      </c>
      <c r="E67" s="886">
        <f>STUDENT!H65</f>
        <v>0</v>
      </c>
      <c r="F67" s="887"/>
      <c r="G67" s="887"/>
      <c r="H67" s="887"/>
      <c r="I67" s="887"/>
      <c r="J67" s="887"/>
      <c r="K67" s="887"/>
      <c r="L67" s="887"/>
      <c r="M67" s="888">
        <f t="shared" si="0"/>
        <v>0</v>
      </c>
      <c r="N67" s="887"/>
      <c r="O67" s="887"/>
      <c r="P67" s="887"/>
      <c r="Q67" s="887"/>
      <c r="R67" s="887"/>
      <c r="S67" s="887"/>
      <c r="T67" s="887"/>
      <c r="U67" s="889">
        <f t="shared" si="7"/>
        <v>0</v>
      </c>
      <c r="V67" s="887"/>
      <c r="W67" s="887"/>
      <c r="X67" s="887"/>
      <c r="Y67" s="887"/>
      <c r="Z67" s="887"/>
      <c r="AA67" s="887"/>
      <c r="AB67" s="887"/>
      <c r="AC67" s="890">
        <f t="shared" si="8"/>
        <v>0</v>
      </c>
      <c r="AD67" s="887"/>
      <c r="AE67" s="887"/>
      <c r="AF67" s="887"/>
      <c r="AG67" s="887"/>
      <c r="AH67" s="887"/>
      <c r="AI67" s="887"/>
      <c r="AJ67" s="887"/>
      <c r="AK67" s="888" t="str">
        <f t="shared" si="1"/>
        <v/>
      </c>
      <c r="AL67" s="887"/>
      <c r="AM67" s="887"/>
      <c r="AN67" s="887"/>
      <c r="AO67" s="887"/>
      <c r="AP67" s="887"/>
      <c r="AQ67" s="887"/>
      <c r="AR67" s="887"/>
      <c r="AS67" s="891">
        <f t="shared" si="9"/>
        <v>0</v>
      </c>
      <c r="AT67" s="887"/>
      <c r="AU67" s="887"/>
      <c r="AV67" s="887"/>
      <c r="AW67" s="887"/>
      <c r="AX67" s="887"/>
      <c r="AY67" s="887"/>
      <c r="AZ67" s="887"/>
      <c r="BA67" s="889">
        <f t="shared" si="10"/>
        <v>0</v>
      </c>
      <c r="BB67" s="887"/>
      <c r="BC67" s="887"/>
      <c r="BD67" s="887"/>
      <c r="BE67" s="887"/>
      <c r="BF67" s="887"/>
      <c r="BG67" s="887"/>
      <c r="BH67" s="887"/>
      <c r="BI67" s="890">
        <f t="shared" si="11"/>
        <v>0</v>
      </c>
      <c r="BJ67" s="887"/>
      <c r="BK67" s="887"/>
      <c r="BL67" s="887"/>
      <c r="BM67" s="887"/>
      <c r="BN67" s="887"/>
      <c r="BO67" s="887"/>
      <c r="BP67" s="887"/>
      <c r="BQ67" s="888" t="str">
        <f t="shared" si="12"/>
        <v/>
      </c>
      <c r="BR67" s="892" t="str">
        <f t="shared" si="13"/>
        <v/>
      </c>
      <c r="BS67" s="892" t="str">
        <f t="shared" si="14"/>
        <v/>
      </c>
      <c r="BT67" s="892" t="str">
        <f t="shared" si="15"/>
        <v/>
      </c>
      <c r="BU67" s="892" t="str">
        <f t="shared" si="16"/>
        <v/>
      </c>
      <c r="BV67" s="892" t="str">
        <f t="shared" si="17"/>
        <v/>
      </c>
      <c r="BW67" s="892" t="str">
        <f t="shared" si="18"/>
        <v/>
      </c>
      <c r="BX67" s="892" t="str">
        <f t="shared" si="19"/>
        <v/>
      </c>
      <c r="BY67" s="892" t="str">
        <f t="shared" si="20"/>
        <v/>
      </c>
      <c r="BZ67" s="892" t="str">
        <f t="shared" si="21"/>
        <v/>
      </c>
      <c r="CA67" s="892" t="str">
        <f t="shared" si="22"/>
        <v/>
      </c>
      <c r="CB67" s="892" t="str">
        <f t="shared" si="23"/>
        <v/>
      </c>
      <c r="CC67" s="892" t="str">
        <f t="shared" si="24"/>
        <v/>
      </c>
      <c r="CD67" s="892" t="str">
        <f t="shared" si="25"/>
        <v/>
      </c>
      <c r="CE67" s="892" t="str">
        <f t="shared" si="26"/>
        <v/>
      </c>
      <c r="CF67" s="892" t="str">
        <f t="shared" si="27"/>
        <v/>
      </c>
      <c r="CG67" s="892" t="str">
        <f t="shared" si="28"/>
        <v/>
      </c>
      <c r="CH67" s="891" t="str">
        <f>IFERROR(IF($B67&gt;0,PASHEET!AL67+PASHEET!AT67+MARKS!F67+MARKS!N67+MARKS!V67+MARKS!AD67+MARKS!AL67+MARKS!AT67+MARKS!BB67+MARKS!BJ67,""),"Ab")</f>
        <v/>
      </c>
      <c r="CI67" s="891" t="str">
        <f>IFERROR(IF($B67&gt;0,PASHEET!AM67+PASHEET!AU67+MARKS!G67+MARKS!O67+MARKS!W67+MARKS!AE67+MARKS!AM67+MARKS!AU67+MARKS!BC67+MARKS!BK67,""),"Ab")</f>
        <v/>
      </c>
      <c r="CJ67" s="891" t="str">
        <f>IFERROR(IF($B67&gt;0,PASHEET!AN67+PASHEET!AV67+MARKS!H67+MARKS!P67+MARKS!X67+MARKS!AF67+MARKS!AN67+MARKS!AV67+MARKS!BD67+MARKS!BL67,""),"Ab")</f>
        <v/>
      </c>
      <c r="CK67" s="891" t="str">
        <f>IFERROR(IF($B67&gt;0,PASHEET!AO67+PASHEET!AW67+MARKS!I67+MARKS!Q67+MARKS!Y67+MARKS!AG67+MARKS!AO67+MARKS!AW67+MARKS!BE67+MARKS!BM67,""),"Ab")</f>
        <v/>
      </c>
      <c r="CL67" s="891" t="str">
        <f>IFERROR(IF($B67&gt;0,PASHEET!AP67+PASHEET!AX67+MARKS!J67+MARKS!R67+MARKS!Z67+MARKS!AH67+MARKS!AP67+MARKS!AX67+MARKS!BF67+MARKS!BN67,""),"Ab")</f>
        <v/>
      </c>
      <c r="CM67" s="891" t="str">
        <f>IFERROR(IF($B67&gt;0,PASHEET!AQ67+PASHEET!AY67+MARKS!K67+MARKS!S67+MARKS!AA67+MARKS!AI67+MARKS!AQ67+MARKS!AY67+MARKS!BG67+MARKS!BO67,""),"Ab")</f>
        <v/>
      </c>
      <c r="CN67" s="891" t="str">
        <f>IFERROR(IF($B67&gt;0,PASHEET!AR67+PASHEET!AZ67+MARKS!L67+MARKS!T67+MARKS!AB67+MARKS!AJ67+MARKS!AR67+MARKS!AZ67+MARKS!BH67+MARKS!BP67,""),"Ab")</f>
        <v/>
      </c>
      <c r="CO67" s="891" t="str">
        <f t="shared" si="29"/>
        <v/>
      </c>
      <c r="CP67" s="893" t="str">
        <f t="shared" si="30"/>
        <v/>
      </c>
      <c r="CQ67" s="893" t="str">
        <f t="shared" si="31"/>
        <v/>
      </c>
      <c r="CR67" s="893" t="str">
        <f t="shared" si="32"/>
        <v/>
      </c>
      <c r="CS67" s="893" t="str">
        <f t="shared" si="33"/>
        <v/>
      </c>
      <c r="CT67" s="893" t="str">
        <f t="shared" si="34"/>
        <v/>
      </c>
      <c r="CU67" s="893" t="str">
        <f t="shared" si="35"/>
        <v/>
      </c>
      <c r="CV67" s="893" t="str">
        <f t="shared" si="36"/>
        <v/>
      </c>
      <c r="CW67" s="893" t="str">
        <f t="shared" si="37"/>
        <v/>
      </c>
      <c r="CX67" s="894" t="str">
        <f>IFERROR(IF($B67&gt;0,PASHEET!AL67+MARKS!F67+MARKS!N67+MARKS!V67+MARKS!AD67,""),"Ab")</f>
        <v/>
      </c>
      <c r="CY67" s="894" t="str">
        <f>IFERROR(IF($B67&gt;0,PASHEET!AM67+MARKS!G67+MARKS!O67+MARKS!W67+MARKS!AE67,""),"Ab")</f>
        <v/>
      </c>
      <c r="CZ67" s="894" t="str">
        <f>IFERROR(IF($B67&gt;0,PASHEET!AN67+MARKS!H67+MARKS!P67+MARKS!X67+MARKS!AF67,""),"Ab")</f>
        <v/>
      </c>
      <c r="DA67" s="894" t="str">
        <f>IFERROR(IF($B67&gt;0,PASHEET!AO67+MARKS!I67+MARKS!Q67+MARKS!Y67+MARKS!AG67,""),"Ab")</f>
        <v/>
      </c>
      <c r="DB67" s="894" t="str">
        <f>IFERROR(IF($B67&gt;0,PASHEET!AP67+MARKS!J67+MARKS!R67+MARKS!Z67+MARKS!AH67,""),"Ab")</f>
        <v/>
      </c>
      <c r="DC67" s="894" t="str">
        <f>IFERROR(IF($B67&gt;0,PASHEET!AQ67+MARKS!K67+MARKS!S67+MARKS!AA67+MARKS!AI67,""),"Ab")</f>
        <v/>
      </c>
      <c r="DD67" s="894" t="str">
        <f>IFERROR(IF($B67&gt;0,PASHEET!AR67+MARKS!L67+MARKS!T67+MARKS!AB67+MARKS!AJ67,""),"Ab")</f>
        <v/>
      </c>
      <c r="DE67" s="879" t="str">
        <f t="shared" si="38"/>
        <v/>
      </c>
      <c r="DF67" s="894" t="str">
        <f t="shared" si="39"/>
        <v/>
      </c>
      <c r="DG67" s="894" t="str">
        <f t="shared" si="40"/>
        <v/>
      </c>
      <c r="DH67" s="894" t="str">
        <f t="shared" si="41"/>
        <v/>
      </c>
      <c r="DI67" s="894" t="str">
        <f t="shared" si="42"/>
        <v/>
      </c>
      <c r="DJ67" s="894" t="str">
        <f t="shared" si="43"/>
        <v/>
      </c>
      <c r="DK67" s="894" t="str">
        <f t="shared" si="44"/>
        <v/>
      </c>
      <c r="DL67" s="894" t="str">
        <f t="shared" si="45"/>
        <v/>
      </c>
      <c r="DM67" s="894" t="str">
        <f t="shared" si="46"/>
        <v/>
      </c>
      <c r="DN67" s="894" t="str">
        <f>IFERROR(IF($B67&gt;0,PASHEET!AT67+MARKS!AL67+MARKS!AT67+MARKS!BB67+MARKS!BJ67,""),"Ab")</f>
        <v/>
      </c>
      <c r="DO67" s="894" t="str">
        <f>IFERROR(IF($B67&gt;0,PASHEET!AU67+MARKS!AM67+MARKS!AU67+MARKS!BC67+MARKS!BK67,""),"Ab")</f>
        <v/>
      </c>
      <c r="DP67" s="894" t="str">
        <f>IFERROR(IF($B67&gt;0,PASHEET!AV67+MARKS!AN67+MARKS!AV67+MARKS!BD67+MARKS!BL67,""),"Ab")</f>
        <v/>
      </c>
      <c r="DQ67" s="894" t="str">
        <f>IFERROR(IF($B67&gt;0,PASHEET!AW67+MARKS!AO67+MARKS!AW67+MARKS!BE67+MARKS!BM67,""),"Ab")</f>
        <v/>
      </c>
      <c r="DR67" s="894" t="str">
        <f>IFERROR(IF($B67&gt;0,PASHEET!AX67+MARKS!AP67+MARKS!AX67+MARKS!BF67+MARKS!BN67,""),"Ab")</f>
        <v/>
      </c>
      <c r="DS67" s="894" t="str">
        <f>IFERROR(IF($B67&gt;0,PASHEET!AY67+MARKS!AQ67+MARKS!AY67+MARKS!BG67+MARKS!BO67,""),"Ab")</f>
        <v/>
      </c>
      <c r="DT67" s="894" t="str">
        <f>IFERROR(IF($B67&gt;0,PASHEET!AZ67+MARKS!AR67+MARKS!AZ67+MARKS!BH67+MARKS!BP67,""),"Ab")</f>
        <v/>
      </c>
      <c r="DU67" s="879" t="str">
        <f t="shared" si="47"/>
        <v/>
      </c>
      <c r="DV67" s="894" t="str">
        <f t="shared" si="48"/>
        <v/>
      </c>
      <c r="DW67" s="894" t="str">
        <f t="shared" si="49"/>
        <v/>
      </c>
      <c r="DX67" s="894" t="str">
        <f t="shared" si="50"/>
        <v/>
      </c>
      <c r="DY67" s="894" t="str">
        <f t="shared" si="51"/>
        <v/>
      </c>
      <c r="DZ67" s="894" t="str">
        <f t="shared" si="52"/>
        <v/>
      </c>
      <c r="EA67" s="894" t="str">
        <f t="shared" si="53"/>
        <v/>
      </c>
      <c r="EB67" s="894" t="str">
        <f t="shared" si="54"/>
        <v/>
      </c>
      <c r="EC67" s="894" t="str">
        <f t="shared" si="55"/>
        <v/>
      </c>
    </row>
    <row r="68" spans="1:133">
      <c r="A68" s="879">
        <v>65</v>
      </c>
      <c r="B68" s="879">
        <f>STUDENT!F66</f>
        <v>0</v>
      </c>
      <c r="C68" s="879">
        <f>STUDENT!D66</f>
        <v>0</v>
      </c>
      <c r="D68" s="886">
        <f>STUDENT!E66</f>
        <v>0</v>
      </c>
      <c r="E68" s="886">
        <f>STUDENT!H66</f>
        <v>0</v>
      </c>
      <c r="F68" s="887"/>
      <c r="G68" s="887"/>
      <c r="H68" s="887"/>
      <c r="I68" s="887"/>
      <c r="J68" s="887"/>
      <c r="K68" s="887"/>
      <c r="L68" s="887"/>
      <c r="M68" s="888">
        <f t="shared" si="0"/>
        <v>0</v>
      </c>
      <c r="N68" s="887"/>
      <c r="O68" s="887"/>
      <c r="P68" s="887"/>
      <c r="Q68" s="887"/>
      <c r="R68" s="887"/>
      <c r="S68" s="887"/>
      <c r="T68" s="887"/>
      <c r="U68" s="889">
        <f t="shared" si="7"/>
        <v>0</v>
      </c>
      <c r="V68" s="887"/>
      <c r="W68" s="887"/>
      <c r="X68" s="887"/>
      <c r="Y68" s="887"/>
      <c r="Z68" s="887"/>
      <c r="AA68" s="887"/>
      <c r="AB68" s="887"/>
      <c r="AC68" s="890">
        <f t="shared" si="8"/>
        <v>0</v>
      </c>
      <c r="AD68" s="887"/>
      <c r="AE68" s="887"/>
      <c r="AF68" s="887"/>
      <c r="AG68" s="887"/>
      <c r="AH68" s="887"/>
      <c r="AI68" s="887"/>
      <c r="AJ68" s="887"/>
      <c r="AK68" s="888" t="str">
        <f t="shared" si="1"/>
        <v/>
      </c>
      <c r="AL68" s="887"/>
      <c r="AM68" s="887"/>
      <c r="AN68" s="887"/>
      <c r="AO68" s="887"/>
      <c r="AP68" s="887"/>
      <c r="AQ68" s="887"/>
      <c r="AR68" s="887"/>
      <c r="AS68" s="891">
        <f t="shared" si="9"/>
        <v>0</v>
      </c>
      <c r="AT68" s="887"/>
      <c r="AU68" s="887"/>
      <c r="AV68" s="887"/>
      <c r="AW68" s="887"/>
      <c r="AX68" s="887"/>
      <c r="AY68" s="887"/>
      <c r="AZ68" s="887"/>
      <c r="BA68" s="889">
        <f t="shared" si="10"/>
        <v>0</v>
      </c>
      <c r="BB68" s="887"/>
      <c r="BC68" s="887"/>
      <c r="BD68" s="887"/>
      <c r="BE68" s="887"/>
      <c r="BF68" s="887"/>
      <c r="BG68" s="887"/>
      <c r="BH68" s="887"/>
      <c r="BI68" s="890">
        <f t="shared" si="11"/>
        <v>0</v>
      </c>
      <c r="BJ68" s="887"/>
      <c r="BK68" s="887"/>
      <c r="BL68" s="887"/>
      <c r="BM68" s="887"/>
      <c r="BN68" s="887"/>
      <c r="BO68" s="887"/>
      <c r="BP68" s="887"/>
      <c r="BQ68" s="888" t="str">
        <f t="shared" si="12"/>
        <v/>
      </c>
      <c r="BR68" s="892" t="str">
        <f t="shared" si="13"/>
        <v/>
      </c>
      <c r="BS68" s="892" t="str">
        <f t="shared" si="14"/>
        <v/>
      </c>
      <c r="BT68" s="892" t="str">
        <f t="shared" si="15"/>
        <v/>
      </c>
      <c r="BU68" s="892" t="str">
        <f t="shared" si="16"/>
        <v/>
      </c>
      <c r="BV68" s="892" t="str">
        <f t="shared" si="17"/>
        <v/>
      </c>
      <c r="BW68" s="892" t="str">
        <f t="shared" si="18"/>
        <v/>
      </c>
      <c r="BX68" s="892" t="str">
        <f t="shared" si="19"/>
        <v/>
      </c>
      <c r="BY68" s="892" t="str">
        <f t="shared" si="20"/>
        <v/>
      </c>
      <c r="BZ68" s="892" t="str">
        <f t="shared" si="21"/>
        <v/>
      </c>
      <c r="CA68" s="892" t="str">
        <f t="shared" si="22"/>
        <v/>
      </c>
      <c r="CB68" s="892" t="str">
        <f t="shared" si="23"/>
        <v/>
      </c>
      <c r="CC68" s="892" t="str">
        <f t="shared" si="24"/>
        <v/>
      </c>
      <c r="CD68" s="892" t="str">
        <f t="shared" si="25"/>
        <v/>
      </c>
      <c r="CE68" s="892" t="str">
        <f t="shared" si="26"/>
        <v/>
      </c>
      <c r="CF68" s="892" t="str">
        <f t="shared" si="27"/>
        <v/>
      </c>
      <c r="CG68" s="892" t="str">
        <f t="shared" si="28"/>
        <v/>
      </c>
      <c r="CH68" s="891" t="str">
        <f>IFERROR(IF($B68&gt;0,PASHEET!AL68+PASHEET!AT68+MARKS!F68+MARKS!N68+MARKS!V68+MARKS!AD68+MARKS!AL68+MARKS!AT68+MARKS!BB68+MARKS!BJ68,""),"Ab")</f>
        <v/>
      </c>
      <c r="CI68" s="891" t="str">
        <f>IFERROR(IF($B68&gt;0,PASHEET!AM68+PASHEET!AU68+MARKS!G68+MARKS!O68+MARKS!W68+MARKS!AE68+MARKS!AM68+MARKS!AU68+MARKS!BC68+MARKS!BK68,""),"Ab")</f>
        <v/>
      </c>
      <c r="CJ68" s="891" t="str">
        <f>IFERROR(IF($B68&gt;0,PASHEET!AN68+PASHEET!AV68+MARKS!H68+MARKS!P68+MARKS!X68+MARKS!AF68+MARKS!AN68+MARKS!AV68+MARKS!BD68+MARKS!BL68,""),"Ab")</f>
        <v/>
      </c>
      <c r="CK68" s="891" t="str">
        <f>IFERROR(IF($B68&gt;0,PASHEET!AO68+PASHEET!AW68+MARKS!I68+MARKS!Q68+MARKS!Y68+MARKS!AG68+MARKS!AO68+MARKS!AW68+MARKS!BE68+MARKS!BM68,""),"Ab")</f>
        <v/>
      </c>
      <c r="CL68" s="891" t="str">
        <f>IFERROR(IF($B68&gt;0,PASHEET!AP68+PASHEET!AX68+MARKS!J68+MARKS!R68+MARKS!Z68+MARKS!AH68+MARKS!AP68+MARKS!AX68+MARKS!BF68+MARKS!BN68,""),"Ab")</f>
        <v/>
      </c>
      <c r="CM68" s="891" t="str">
        <f>IFERROR(IF($B68&gt;0,PASHEET!AQ68+PASHEET!AY68+MARKS!K68+MARKS!S68+MARKS!AA68+MARKS!AI68+MARKS!AQ68+MARKS!AY68+MARKS!BG68+MARKS!BO68,""),"Ab")</f>
        <v/>
      </c>
      <c r="CN68" s="891" t="str">
        <f>IFERROR(IF($B68&gt;0,PASHEET!AR68+PASHEET!AZ68+MARKS!L68+MARKS!T68+MARKS!AB68+MARKS!AJ68+MARKS!AR68+MARKS!AZ68+MARKS!BH68+MARKS!BP68,""),"Ab")</f>
        <v/>
      </c>
      <c r="CO68" s="891" t="str">
        <f t="shared" si="29"/>
        <v/>
      </c>
      <c r="CP68" s="893" t="str">
        <f t="shared" si="30"/>
        <v/>
      </c>
      <c r="CQ68" s="893" t="str">
        <f t="shared" si="31"/>
        <v/>
      </c>
      <c r="CR68" s="893" t="str">
        <f t="shared" si="32"/>
        <v/>
      </c>
      <c r="CS68" s="893" t="str">
        <f t="shared" si="33"/>
        <v/>
      </c>
      <c r="CT68" s="893" t="str">
        <f t="shared" si="34"/>
        <v/>
      </c>
      <c r="CU68" s="893" t="str">
        <f t="shared" si="35"/>
        <v/>
      </c>
      <c r="CV68" s="893" t="str">
        <f t="shared" si="36"/>
        <v/>
      </c>
      <c r="CW68" s="893" t="str">
        <f t="shared" si="37"/>
        <v/>
      </c>
      <c r="CX68" s="894" t="str">
        <f>IFERROR(IF($B68&gt;0,PASHEET!AL68+MARKS!F68+MARKS!N68+MARKS!V68+MARKS!AD68,""),"Ab")</f>
        <v/>
      </c>
      <c r="CY68" s="894" t="str">
        <f>IFERROR(IF($B68&gt;0,PASHEET!AM68+MARKS!G68+MARKS!O68+MARKS!W68+MARKS!AE68,""),"Ab")</f>
        <v/>
      </c>
      <c r="CZ68" s="894" t="str">
        <f>IFERROR(IF($B68&gt;0,PASHEET!AN68+MARKS!H68+MARKS!P68+MARKS!X68+MARKS!AF68,""),"Ab")</f>
        <v/>
      </c>
      <c r="DA68" s="894" t="str">
        <f>IFERROR(IF($B68&gt;0,PASHEET!AO68+MARKS!I68+MARKS!Q68+MARKS!Y68+MARKS!AG68,""),"Ab")</f>
        <v/>
      </c>
      <c r="DB68" s="894" t="str">
        <f>IFERROR(IF($B68&gt;0,PASHEET!AP68+MARKS!J68+MARKS!R68+MARKS!Z68+MARKS!AH68,""),"Ab")</f>
        <v/>
      </c>
      <c r="DC68" s="894" t="str">
        <f>IFERROR(IF($B68&gt;0,PASHEET!AQ68+MARKS!K68+MARKS!S68+MARKS!AA68+MARKS!AI68,""),"Ab")</f>
        <v/>
      </c>
      <c r="DD68" s="894" t="str">
        <f>IFERROR(IF($B68&gt;0,PASHEET!AR68+MARKS!L68+MARKS!T68+MARKS!AB68+MARKS!AJ68,""),"Ab")</f>
        <v/>
      </c>
      <c r="DE68" s="879" t="str">
        <f t="shared" si="38"/>
        <v/>
      </c>
      <c r="DF68" s="894" t="str">
        <f t="shared" si="39"/>
        <v/>
      </c>
      <c r="DG68" s="894" t="str">
        <f t="shared" si="40"/>
        <v/>
      </c>
      <c r="DH68" s="894" t="str">
        <f t="shared" si="41"/>
        <v/>
      </c>
      <c r="DI68" s="894" t="str">
        <f t="shared" si="42"/>
        <v/>
      </c>
      <c r="DJ68" s="894" t="str">
        <f t="shared" si="43"/>
        <v/>
      </c>
      <c r="DK68" s="894" t="str">
        <f t="shared" si="44"/>
        <v/>
      </c>
      <c r="DL68" s="894" t="str">
        <f t="shared" si="45"/>
        <v/>
      </c>
      <c r="DM68" s="894" t="str">
        <f t="shared" si="46"/>
        <v/>
      </c>
      <c r="DN68" s="894" t="str">
        <f>IFERROR(IF($B68&gt;0,PASHEET!AT68+MARKS!AL68+MARKS!AT68+MARKS!BB68+MARKS!BJ68,""),"Ab")</f>
        <v/>
      </c>
      <c r="DO68" s="894" t="str">
        <f>IFERROR(IF($B68&gt;0,PASHEET!AU68+MARKS!AM68+MARKS!AU68+MARKS!BC68+MARKS!BK68,""),"Ab")</f>
        <v/>
      </c>
      <c r="DP68" s="894" t="str">
        <f>IFERROR(IF($B68&gt;0,PASHEET!AV68+MARKS!AN68+MARKS!AV68+MARKS!BD68+MARKS!BL68,""),"Ab")</f>
        <v/>
      </c>
      <c r="DQ68" s="894" t="str">
        <f>IFERROR(IF($B68&gt;0,PASHEET!AW68+MARKS!AO68+MARKS!AW68+MARKS!BE68+MARKS!BM68,""),"Ab")</f>
        <v/>
      </c>
      <c r="DR68" s="894" t="str">
        <f>IFERROR(IF($B68&gt;0,PASHEET!AX68+MARKS!AP68+MARKS!AX68+MARKS!BF68+MARKS!BN68,""),"Ab")</f>
        <v/>
      </c>
      <c r="DS68" s="894" t="str">
        <f>IFERROR(IF($B68&gt;0,PASHEET!AY68+MARKS!AQ68+MARKS!AY68+MARKS!BG68+MARKS!BO68,""),"Ab")</f>
        <v/>
      </c>
      <c r="DT68" s="894" t="str">
        <f>IFERROR(IF($B68&gt;0,PASHEET!AZ68+MARKS!AR68+MARKS!AZ68+MARKS!BH68+MARKS!BP68,""),"Ab")</f>
        <v/>
      </c>
      <c r="DU68" s="879" t="str">
        <f t="shared" si="47"/>
        <v/>
      </c>
      <c r="DV68" s="894" t="str">
        <f t="shared" si="48"/>
        <v/>
      </c>
      <c r="DW68" s="894" t="str">
        <f t="shared" si="49"/>
        <v/>
      </c>
      <c r="DX68" s="894" t="str">
        <f t="shared" si="50"/>
        <v/>
      </c>
      <c r="DY68" s="894" t="str">
        <f t="shared" si="51"/>
        <v/>
      </c>
      <c r="DZ68" s="894" t="str">
        <f t="shared" si="52"/>
        <v/>
      </c>
      <c r="EA68" s="894" t="str">
        <f t="shared" si="53"/>
        <v/>
      </c>
      <c r="EB68" s="894" t="str">
        <f t="shared" si="54"/>
        <v/>
      </c>
      <c r="EC68" s="894" t="str">
        <f t="shared" si="55"/>
        <v/>
      </c>
    </row>
    <row r="69" spans="1:133">
      <c r="A69" s="879">
        <v>66</v>
      </c>
      <c r="B69" s="879">
        <f>STUDENT!F67</f>
        <v>0</v>
      </c>
      <c r="C69" s="879">
        <f>STUDENT!D67</f>
        <v>0</v>
      </c>
      <c r="D69" s="886">
        <f>STUDENT!E67</f>
        <v>0</v>
      </c>
      <c r="E69" s="886">
        <f>STUDENT!H67</f>
        <v>0</v>
      </c>
      <c r="F69" s="887"/>
      <c r="G69" s="887"/>
      <c r="H69" s="887"/>
      <c r="I69" s="887"/>
      <c r="J69" s="887"/>
      <c r="K69" s="887"/>
      <c r="L69" s="887"/>
      <c r="M69" s="888">
        <f t="shared" ref="M69:M103" si="56">SUM(F69:L69)</f>
        <v>0</v>
      </c>
      <c r="N69" s="887"/>
      <c r="O69" s="887"/>
      <c r="P69" s="887"/>
      <c r="Q69" s="887"/>
      <c r="R69" s="887"/>
      <c r="S69" s="887"/>
      <c r="T69" s="887"/>
      <c r="U69" s="889">
        <f t="shared" ref="U69:U103" si="57">SUM(N69:T69)</f>
        <v>0</v>
      </c>
      <c r="V69" s="887"/>
      <c r="W69" s="887"/>
      <c r="X69" s="887"/>
      <c r="Y69" s="887"/>
      <c r="Z69" s="887"/>
      <c r="AA69" s="887"/>
      <c r="AB69" s="887"/>
      <c r="AC69" s="890">
        <f t="shared" ref="AC69:AC103" si="58">SUM(V69:AB69)</f>
        <v>0</v>
      </c>
      <c r="AD69" s="887"/>
      <c r="AE69" s="887"/>
      <c r="AF69" s="887"/>
      <c r="AG69" s="887"/>
      <c r="AH69" s="887"/>
      <c r="AI69" s="887"/>
      <c r="AJ69" s="887"/>
      <c r="AK69" s="888" t="str">
        <f t="shared" ref="AK69:AK103" si="59">IF(B69&gt;0,SUM(AD69:AJ69),"")</f>
        <v/>
      </c>
      <c r="AL69" s="887"/>
      <c r="AM69" s="887"/>
      <c r="AN69" s="887"/>
      <c r="AO69" s="887"/>
      <c r="AP69" s="887"/>
      <c r="AQ69" s="887"/>
      <c r="AR69" s="887"/>
      <c r="AS69" s="891">
        <f t="shared" ref="AS69:AS103" si="60">SUM(AL69:AR69)</f>
        <v>0</v>
      </c>
      <c r="AT69" s="887"/>
      <c r="AU69" s="887"/>
      <c r="AV69" s="887"/>
      <c r="AW69" s="887"/>
      <c r="AX69" s="887"/>
      <c r="AY69" s="887"/>
      <c r="AZ69" s="887"/>
      <c r="BA69" s="889">
        <f t="shared" ref="BA69:BA103" si="61">SUM(AT69:AZ69)</f>
        <v>0</v>
      </c>
      <c r="BB69" s="887"/>
      <c r="BC69" s="887"/>
      <c r="BD69" s="887"/>
      <c r="BE69" s="887"/>
      <c r="BF69" s="887"/>
      <c r="BG69" s="887"/>
      <c r="BH69" s="887"/>
      <c r="BI69" s="890">
        <f t="shared" ref="BI69:BI103" si="62">SUM(BB69:BH69)</f>
        <v>0</v>
      </c>
      <c r="BJ69" s="887"/>
      <c r="BK69" s="887"/>
      <c r="BL69" s="887"/>
      <c r="BM69" s="887"/>
      <c r="BN69" s="887"/>
      <c r="BO69" s="887"/>
      <c r="BP69" s="887"/>
      <c r="BQ69" s="888" t="str">
        <f t="shared" ref="BQ69:BQ103" si="63">IF(B69&gt;0,SUM(BJ69:BP69),"")</f>
        <v/>
      </c>
      <c r="BR69" s="892" t="str">
        <f t="shared" ref="BR69:BR103" si="64">IF(AD69="","",IF(AD69="Ab","Ab",IF(AD69="DAB","DAB",IF(AD69&gt;24,"A",IF(AD69&gt;18,"B",IF(AD69&gt;12,"C",IF(AD69&gt;9,"D",IF(AD69&gt;0,"E",0))))))))</f>
        <v/>
      </c>
      <c r="BS69" s="892" t="str">
        <f t="shared" ref="BS69:BS103" si="65">IF(AE69="","",IF(AE69="Ab","Ab",IF(AE69="DAB","DAB",IF(AE69&gt;24,"A",IF(AE69&gt;18,"B",IF(AE69&gt;12,"C",IF(AE69&gt;9,"D",IF(AE69&gt;0,"E",0))))))))</f>
        <v/>
      </c>
      <c r="BT69" s="892" t="str">
        <f t="shared" ref="BT69:BT103" si="66">IF(AF69="","",IF(AF69="Ab","Ab",IF(AF69="DAB","DAB",IF(AF69&gt;24,"A",IF(AF69&gt;18,"B",IF(AF69&gt;12,"C",IF(AF69&gt;9,"D",IF(AF69&gt;0,"E",0))))))))</f>
        <v/>
      </c>
      <c r="BU69" s="892" t="str">
        <f t="shared" ref="BU69:BU103" si="67">IF(AG69="","",IF(AG69="Ab","Ab",IF(AG69="DAB","DAB",IF(AG69&gt;24,"A",IF(AG69&gt;18,"B",IF(AG69&gt;12,"C",IF(AG69&gt;9,"D",IF(AG69&gt;0,"E",0))))))))</f>
        <v/>
      </c>
      <c r="BV69" s="892" t="str">
        <f t="shared" ref="BV69:BV103" si="68">IF(AH69="","",IF(AH69="Ab","Ab",IF(AH69="DAB","DAB",IF(AH69&gt;24,"A",IF(AH69&gt;18,"B",IF(AH69&gt;12,"C",IF(AH69&gt;9,"D",IF(AH69&gt;0,"E",0))))))))</f>
        <v/>
      </c>
      <c r="BW69" s="892" t="str">
        <f t="shared" ref="BW69:BW103" si="69">IF(AI69="","",IF(AI69="Ab","Ab",IF(AI69="DAB","DAB",IF(AI69&gt;24,"A",IF(AI69&gt;18,"B",IF(AI69&gt;12,"C",IF(AI69&gt;9,"D",IF(AI69&gt;0,"E",0))))))))</f>
        <v/>
      </c>
      <c r="BX69" s="892" t="str">
        <f t="shared" ref="BX69:BX103" si="70">IF(AJ69="","",IF(AJ69="Ab","Ab",IF(AJ69="DAB","DAB",IF(AJ69&gt;24,"A",IF(AJ69&gt;18,"B",IF(AJ69&gt;12,"C",IF(AJ69&gt;9,"D",IF(AJ69&gt;0,"E",0))))))))</f>
        <v/>
      </c>
      <c r="BY69" s="892" t="str">
        <f t="shared" ref="BY69:BY103" si="71">IF(AK69="","",IF(AK69=0,"Ab",IF(AK69="Ab","Ab",IF(AK69="DAB","DAB",IF(AK69&gt;=144,"A",IF(AK69&gt;=108,"B",IF(AK69&gt;=79,"C",IF(AK69&gt;=59,"D",IF(AK69&gt;0,"E","")))))))))</f>
        <v/>
      </c>
      <c r="BZ69" s="892" t="str">
        <f t="shared" ref="BZ69:BZ103" si="72">IF(BJ69="","",IF(BJ69="Ab","Ab",IF(BJ69="DAB","DAB",IF(BJ69&gt;24,"A",IF(BJ69&gt;318,"B",IF(BJ69&gt;12,"C",IF(BJ69&gt;9,"D",IF(BJ69&gt;0,"E",0))))))))</f>
        <v/>
      </c>
      <c r="CA69" s="892" t="str">
        <f t="shared" ref="CA69:CA103" si="73">IF(BK69="","",IF(BK69="Ab","Ab",IF(BK69="DAB","DAB",IF(BK69&gt;24,"A",IF(BK69&gt;318,"B",IF(BK69&gt;12,"C",IF(BK69&gt;9,"D",IF(BK69&gt;0,"E",0))))))))</f>
        <v/>
      </c>
      <c r="CB69" s="892" t="str">
        <f t="shared" ref="CB69:CB103" si="74">IF(BL69="","",IF(BL69="Ab","Ab",IF(BL69="DAB","DAB",IF(BL69&gt;24,"A",IF(BL69&gt;318,"B",IF(BL69&gt;12,"C",IF(BL69&gt;9,"D",IF(BL69&gt;0,"E",0))))))))</f>
        <v/>
      </c>
      <c r="CC69" s="892" t="str">
        <f t="shared" ref="CC69:CC103" si="75">IF(BM69="","",IF(BM69="Ab","Ab",IF(BM69="DAB","DAB",IF(BM69&gt;24,"A",IF(BM69&gt;318,"B",IF(BM69&gt;12,"C",IF(BM69&gt;9,"D",IF(BM69&gt;0,"E",0))))))))</f>
        <v/>
      </c>
      <c r="CD69" s="892" t="str">
        <f t="shared" ref="CD69:CD103" si="76">IF(BN69="","",IF(BN69="Ab","Ab",IF(BN69="DAB","DAB",IF(BN69&gt;24,"A",IF(BN69&gt;318,"B",IF(BN69&gt;12,"C",IF(BN69&gt;9,"D",IF(BN69&gt;0,"E",0))))))))</f>
        <v/>
      </c>
      <c r="CE69" s="892" t="str">
        <f t="shared" ref="CE69:CE103" si="77">IF(BO69="","",IF(BO69="Ab","Ab",IF(BO69="DAB","DAB",IF(BO69&gt;24,"A",IF(BO69&gt;318,"B",IF(BO69&gt;12,"C",IF(BO69&gt;9,"D",IF(BO69&gt;0,"E",0))))))))</f>
        <v/>
      </c>
      <c r="CF69" s="892" t="str">
        <f t="shared" ref="CF69:CF103" si="78">IF(BP69="","",IF(BP69="Ab","Ab",IF(BP69="DAB","DAB",IF(BP69&gt;24,"A",IF(BP69&gt;318,"B",IF(BP69&gt;12,"C",IF(BP69&gt;9,"D",IF(BP69&gt;0,"E",0))))))))</f>
        <v/>
      </c>
      <c r="CG69" s="892" t="str">
        <f t="shared" ref="CG69:CG103" si="79">IF(BQ69="","",IF(BQ69=0,"Ab",IF(BQ69="Ab","Ab",IF(BQ69="DAB","DAB",IF(BQ69&gt;=144,"A",IF(BQ69&gt;=108,"B",IF(BQ69&gt;=79,"C",IF(BQ69&gt;=59,"D",IF(BQ69&gt;0,"E","")))))))))</f>
        <v/>
      </c>
      <c r="CH69" s="891" t="str">
        <f>IFERROR(IF($B69&gt;0,PASHEET!AL69+PASHEET!AT69+MARKS!F69+MARKS!N69+MARKS!V69+MARKS!AD69+MARKS!AL69+MARKS!AT69+MARKS!BB69+MARKS!BJ69,""),"Ab")</f>
        <v/>
      </c>
      <c r="CI69" s="891" t="str">
        <f>IFERROR(IF($B69&gt;0,PASHEET!AM69+PASHEET!AU69+MARKS!G69+MARKS!O69+MARKS!W69+MARKS!AE69+MARKS!AM69+MARKS!AU69+MARKS!BC69+MARKS!BK69,""),"Ab")</f>
        <v/>
      </c>
      <c r="CJ69" s="891" t="str">
        <f>IFERROR(IF($B69&gt;0,PASHEET!AN69+PASHEET!AV69+MARKS!H69+MARKS!P69+MARKS!X69+MARKS!AF69+MARKS!AN69+MARKS!AV69+MARKS!BD69+MARKS!BL69,""),"Ab")</f>
        <v/>
      </c>
      <c r="CK69" s="891" t="str">
        <f>IFERROR(IF($B69&gt;0,PASHEET!AO69+PASHEET!AW69+MARKS!I69+MARKS!Q69+MARKS!Y69+MARKS!AG69+MARKS!AO69+MARKS!AW69+MARKS!BE69+MARKS!BM69,""),"Ab")</f>
        <v/>
      </c>
      <c r="CL69" s="891" t="str">
        <f>IFERROR(IF($B69&gt;0,PASHEET!AP69+PASHEET!AX69+MARKS!J69+MARKS!R69+MARKS!Z69+MARKS!AH69+MARKS!AP69+MARKS!AX69+MARKS!BF69+MARKS!BN69,""),"Ab")</f>
        <v/>
      </c>
      <c r="CM69" s="891" t="str">
        <f>IFERROR(IF($B69&gt;0,PASHEET!AQ69+PASHEET!AY69+MARKS!K69+MARKS!S69+MARKS!AA69+MARKS!AI69+MARKS!AQ69+MARKS!AY69+MARKS!BG69+MARKS!BO69,""),"Ab")</f>
        <v/>
      </c>
      <c r="CN69" s="891" t="str">
        <f>IFERROR(IF($B69&gt;0,PASHEET!AR69+PASHEET!AZ69+MARKS!L69+MARKS!T69+MARKS!AB69+MARKS!AJ69+MARKS!AR69+MARKS!AZ69+MARKS!BH69+MARKS!BP69,""),"Ab")</f>
        <v/>
      </c>
      <c r="CO69" s="891" t="str">
        <f t="shared" ref="CO69:CO103" si="80">IFERROR(IF($B69&gt;0,SUM(CH69:CN69),""),"Ab")</f>
        <v/>
      </c>
      <c r="CP69" s="893" t="str">
        <f t="shared" ref="CP69:CP103" si="81">IF(CH69="","",IF(CH69="Ab","Ab",IF(CH69="DAB","DAB",IF(CH69&gt;80,"A",IF(CH69&gt;60,"B",IF(CH69&gt;44,"C",IF(CH69&gt;33,"D",IF(CH69&gt;0,"E",0))))))))</f>
        <v/>
      </c>
      <c r="CQ69" s="893" t="str">
        <f t="shared" ref="CQ69:CQ103" si="82">IF(CI69="","",IF(CI69="Ab","Ab",IF(CI69="DAB","DAB",IF(CI69&gt;80,"A",IF(CI69&gt;60,"B",IF(CI69&gt;44,"C",IF(CI69&gt;33,"D",IF(CI69&gt;0,"E",0))))))))</f>
        <v/>
      </c>
      <c r="CR69" s="893" t="str">
        <f t="shared" ref="CR69:CR103" si="83">IF(CJ69="","",IF(CJ69="Ab","Ab",IF(CJ69="DAB","DAB",IF(CJ69&gt;80,"A",IF(CJ69&gt;60,"B",IF(CJ69&gt;44,"C",IF(CJ69&gt;33,"D",IF(CJ69&gt;0,"E",0))))))))</f>
        <v/>
      </c>
      <c r="CS69" s="893" t="str">
        <f t="shared" ref="CS69:CS103" si="84">IF(CK69="","",IF(CK69="Ab","Ab",IF(CK69="DAB","DAB",IF(CK69&gt;80,"A",IF(CK69&gt;60,"B",IF(CK69&gt;44,"C",IF(CK69&gt;33,"D",IF(CK69&gt;0,"E",0))))))))</f>
        <v/>
      </c>
      <c r="CT69" s="893" t="str">
        <f t="shared" ref="CT69:CT103" si="85">IF(CL69="","",IF(CL69="Ab","Ab",IF(CL69="DAB","DAB",IF(CL69&gt;80,"A",IF(CL69&gt;60,"B",IF(CL69&gt;44,"C",IF(CL69&gt;33,"D",IF(CL69&gt;0,"E",0))))))))</f>
        <v/>
      </c>
      <c r="CU69" s="893" t="str">
        <f t="shared" ref="CU69:CU103" si="86">IF(CM69="","",IF(CM69="Ab","Ab",IF(CM69="DAB","DAB",IF(CM69&gt;80,"A",IF(CM69&gt;60,"B",IF(CM69&gt;44,"C",IF(CM69&gt;33,"D",IF(CM69&gt;0,"E",0))))))))</f>
        <v/>
      </c>
      <c r="CV69" s="893" t="str">
        <f t="shared" ref="CV69:CV103" si="87">IF(CN69="","",IF(CN69="Ab","Ab",IF(CN69="DAB","DAB",IF(CN69&gt;80,"A",IF(CN69&gt;60,"B",IF(CN69&gt;44,"C",IF(CN69&gt;33,"D",IF(CN69&gt;0,"E",0))))))))</f>
        <v/>
      </c>
      <c r="CW69" s="893" t="str">
        <f t="shared" ref="CW69:CW103" si="88">IF(CO69="","",IF(CO69=0,"Ab",IF(CO69="Ab","Ab",IF(CO69="DAB","DAB",IF(CO69&gt;=480,"A",IF(CO69&gt;=360,"B",IF(CO69&gt;=264,"C",IF(CO69&gt;=192,"D",IF(CO69&gt;0,"E","")))))))))</f>
        <v/>
      </c>
      <c r="CX69" s="894" t="str">
        <f>IFERROR(IF($B69&gt;0,PASHEET!AL69+MARKS!F69+MARKS!N69+MARKS!V69+MARKS!AD69,""),"Ab")</f>
        <v/>
      </c>
      <c r="CY69" s="894" t="str">
        <f>IFERROR(IF($B69&gt;0,PASHEET!AM69+MARKS!G69+MARKS!O69+MARKS!W69+MARKS!AE69,""),"Ab")</f>
        <v/>
      </c>
      <c r="CZ69" s="894" t="str">
        <f>IFERROR(IF($B69&gt;0,PASHEET!AN69+MARKS!H69+MARKS!P69+MARKS!X69+MARKS!AF69,""),"Ab")</f>
        <v/>
      </c>
      <c r="DA69" s="894" t="str">
        <f>IFERROR(IF($B69&gt;0,PASHEET!AO69+MARKS!I69+MARKS!Q69+MARKS!Y69+MARKS!AG69,""),"Ab")</f>
        <v/>
      </c>
      <c r="DB69" s="894" t="str">
        <f>IFERROR(IF($B69&gt;0,PASHEET!AP69+MARKS!J69+MARKS!R69+MARKS!Z69+MARKS!AH69,""),"Ab")</f>
        <v/>
      </c>
      <c r="DC69" s="894" t="str">
        <f>IFERROR(IF($B69&gt;0,PASHEET!AQ69+MARKS!K69+MARKS!S69+MARKS!AA69+MARKS!AI69,""),"Ab")</f>
        <v/>
      </c>
      <c r="DD69" s="894" t="str">
        <f>IFERROR(IF($B69&gt;0,PASHEET!AR69+MARKS!L69+MARKS!T69+MARKS!AB69+MARKS!AJ69,""),"Ab")</f>
        <v/>
      </c>
      <c r="DE69" s="879" t="str">
        <f t="shared" ref="DE69:DE103" si="89">IFERROR(IF($B69&gt;0,SUM(CX69:DD69),""),"Ab")</f>
        <v/>
      </c>
      <c r="DF69" s="894" t="str">
        <f t="shared" ref="DF69:DF103" si="90">IF(CX69="","",IF(CX69="Ab","Ab",IF(CX69="DAB","DAB",IF(CX69&gt;40,"A",IF(CX69&gt;30,"B",IF(CX69&gt;22,"C",IF(CX69&gt;15,"D",IF(CX69&gt;0,"E",0))))))))</f>
        <v/>
      </c>
      <c r="DG69" s="894" t="str">
        <f t="shared" ref="DG69:DG103" si="91">IF(CY69="","",IF(CY69="Ab","Ab",IF(CY69="DAB","DAB",IF(CY69&gt;40,"A",IF(CY69&gt;30,"B",IF(CY69&gt;22,"C",IF(CY69&gt;15,"D",IF(CY69&gt;0,"E",0))))))))</f>
        <v/>
      </c>
      <c r="DH69" s="894" t="str">
        <f t="shared" ref="DH69:DH103" si="92">IF(CZ69="","",IF(CZ69="Ab","Ab",IF(CZ69="DAB","DAB",IF(CZ69&gt;40,"A",IF(CZ69&gt;30,"B",IF(CZ69&gt;22,"C",IF(CZ69&gt;15,"D",IF(CZ69&gt;0,"E",0))))))))</f>
        <v/>
      </c>
      <c r="DI69" s="894" t="str">
        <f t="shared" ref="DI69:DI103" si="93">IF(DA69="","",IF(DA69="Ab","Ab",IF(DA69="DAB","DAB",IF(DA69&gt;40,"A",IF(DA69&gt;30,"B",IF(DA69&gt;22,"C",IF(DA69&gt;15,"D",IF(DA69&gt;0,"E",0))))))))</f>
        <v/>
      </c>
      <c r="DJ69" s="894" t="str">
        <f t="shared" ref="DJ69:DJ103" si="94">IF(DB69="","",IF(DB69="Ab","Ab",IF(DB69="DAB","DAB",IF(DB69&gt;40,"A",IF(DB69&gt;30,"B",IF(DB69&gt;22,"C",IF(DB69&gt;15,"D",IF(DB69&gt;0,"E",0))))))))</f>
        <v/>
      </c>
      <c r="DK69" s="894" t="str">
        <f t="shared" ref="DK69:DK103" si="95">IF(DC69="","",IF(DC69="Ab","Ab",IF(DC69="DAB","DAB",IF(DC69&gt;40,"A",IF(DC69&gt;30,"B",IF(DC69&gt;22,"C",IF(DC69&gt;15,"D",IF(DC69&gt;0,"E",0))))))))</f>
        <v/>
      </c>
      <c r="DL69" s="894" t="str">
        <f t="shared" ref="DL69:DL103" si="96">IF(DD69="","",IF(DD69="Ab","Ab",IF(DD69="DAB","DAB",IF(DD69&gt;40,"A",IF(DD69&gt;30,"B",IF(DD69&gt;22,"C",IF(DD69&gt;15,"D",IF(DD69&gt;0,"E",0))))))))</f>
        <v/>
      </c>
      <c r="DM69" s="894" t="str">
        <f t="shared" ref="DM69:DM103" si="97">IF(DE69="","",IF(DE69=0,"Ab",IF(DE69="Ab","Ab",IF(DE69="DAB","DAB",IF(DE69&gt;=240,"A",IF(DE69&gt;=180,"B",IF(DE69&gt;=132,"C",IF(DE69&gt;=98,"D",IF(DE69&gt;0,"E","")))))))))</f>
        <v/>
      </c>
      <c r="DN69" s="894" t="str">
        <f>IFERROR(IF($B69&gt;0,PASHEET!AT69+MARKS!AL69+MARKS!AT69+MARKS!BB69+MARKS!BJ69,""),"Ab")</f>
        <v/>
      </c>
      <c r="DO69" s="894" t="str">
        <f>IFERROR(IF($B69&gt;0,PASHEET!AU69+MARKS!AM69+MARKS!AU69+MARKS!BC69+MARKS!BK69,""),"Ab")</f>
        <v/>
      </c>
      <c r="DP69" s="894" t="str">
        <f>IFERROR(IF($B69&gt;0,PASHEET!AV69+MARKS!AN69+MARKS!AV69+MARKS!BD69+MARKS!BL69,""),"Ab")</f>
        <v/>
      </c>
      <c r="DQ69" s="894" t="str">
        <f>IFERROR(IF($B69&gt;0,PASHEET!AW69+MARKS!AO69+MARKS!AW69+MARKS!BE69+MARKS!BM69,""),"Ab")</f>
        <v/>
      </c>
      <c r="DR69" s="894" t="str">
        <f>IFERROR(IF($B69&gt;0,PASHEET!AX69+MARKS!AP69+MARKS!AX69+MARKS!BF69+MARKS!BN69,""),"Ab")</f>
        <v/>
      </c>
      <c r="DS69" s="894" t="str">
        <f>IFERROR(IF($B69&gt;0,PASHEET!AY69+MARKS!AQ69+MARKS!AY69+MARKS!BG69+MARKS!BO69,""),"Ab")</f>
        <v/>
      </c>
      <c r="DT69" s="894" t="str">
        <f>IFERROR(IF($B69&gt;0,PASHEET!AZ69+MARKS!AR69+MARKS!AZ69+MARKS!BH69+MARKS!BP69,""),"Ab")</f>
        <v/>
      </c>
      <c r="DU69" s="879" t="str">
        <f t="shared" ref="DU69:DU103" si="98">IFERROR(IF($B69&gt;0,SUM(DN69:DT69),""),"Ab")</f>
        <v/>
      </c>
      <c r="DV69" s="894" t="str">
        <f t="shared" ref="DV69:DV103" si="99">IF(DN69="","",IF(DN69="Ab","Ab",IF(DN69="DAB","DAB",IF(DN69&gt;40,"A",IF(DN69&gt;30,"B",IF(DN69&gt;22,"C",IF(DN69&gt;15,"D",IF(DN69&gt;0,"E",0))))))))</f>
        <v/>
      </c>
      <c r="DW69" s="894" t="str">
        <f t="shared" ref="DW69:DW103" si="100">IF(DO69="","",IF(DO69="Ab","Ab",IF(DO69="DAB","DAB",IF(DO69&gt;40,"A",IF(DO69&gt;30,"B",IF(DO69&gt;22,"C",IF(DO69&gt;15,"D",IF(DO69&gt;0,"E",0))))))))</f>
        <v/>
      </c>
      <c r="DX69" s="894" t="str">
        <f t="shared" ref="DX69:DX103" si="101">IF(DP69="","",IF(DP69="Ab","Ab",IF(DP69="DAB","DAB",IF(DP69&gt;40,"A",IF(DP69&gt;30,"B",IF(DP69&gt;22,"C",IF(DP69&gt;15,"D",IF(DP69&gt;0,"E",0))))))))</f>
        <v/>
      </c>
      <c r="DY69" s="894" t="str">
        <f t="shared" ref="DY69:DY103" si="102">IF(DQ69="","",IF(DQ69="Ab","Ab",IF(DQ69="DAB","DAB",IF(DQ69&gt;40,"A",IF(DQ69&gt;30,"B",IF(DQ69&gt;22,"C",IF(DQ69&gt;15,"D",IF(DQ69&gt;0,"E",0))))))))</f>
        <v/>
      </c>
      <c r="DZ69" s="894" t="str">
        <f t="shared" ref="DZ69:DZ103" si="103">IF(DR69="","",IF(DR69="Ab","Ab",IF(DR69="DAB","DAB",IF(DR69&gt;40,"A",IF(DR69&gt;30,"B",IF(DR69&gt;22,"C",IF(DR69&gt;15,"D",IF(DR69&gt;0,"E",0))))))))</f>
        <v/>
      </c>
      <c r="EA69" s="894" t="str">
        <f t="shared" ref="EA69:EA103" si="104">IF(DS69="","",IF(DS69="Ab","Ab",IF(DS69="DAB","DAB",IF(DS69&gt;40,"A",IF(DS69&gt;30,"B",IF(DS69&gt;22,"C",IF(DS69&gt;15,"D",IF(DS69&gt;0,"E",0))))))))</f>
        <v/>
      </c>
      <c r="EB69" s="894" t="str">
        <f t="shared" ref="EB69:EB103" si="105">IF(DT69="","",IF(DT69="Ab","Ab",IF(DT69="DAB","DAB",IF(DT69&gt;40,"A",IF(DT69&gt;30,"B",IF(DT69&gt;22,"C",IF(DT69&gt;15,"D",IF(DT69&gt;0,"E",0))))))))</f>
        <v/>
      </c>
      <c r="EC69" s="894" t="str">
        <f t="shared" ref="EC69:EC103" si="106">IF(DU69="","",IF(DU69=0,"Ab",IF(DU69="Ab","Ab",IF(DU69="DAB","DAB",IF(DU69&gt;=240,"A",IF(DU69&gt;=180,"B",IF(DU69&gt;=132,"C",IF(DU69&gt;=98,"D",IF(DU69&gt;0,"E","")))))))))</f>
        <v/>
      </c>
    </row>
    <row r="70" spans="1:133">
      <c r="A70" s="879">
        <v>67</v>
      </c>
      <c r="B70" s="879">
        <f>STUDENT!F68</f>
        <v>0</v>
      </c>
      <c r="C70" s="879">
        <f>STUDENT!D68</f>
        <v>0</v>
      </c>
      <c r="D70" s="886">
        <f>STUDENT!E68</f>
        <v>0</v>
      </c>
      <c r="E70" s="886">
        <f>STUDENT!H68</f>
        <v>0</v>
      </c>
      <c r="F70" s="887"/>
      <c r="G70" s="887"/>
      <c r="H70" s="887"/>
      <c r="I70" s="887"/>
      <c r="J70" s="887"/>
      <c r="K70" s="887"/>
      <c r="L70" s="887"/>
      <c r="M70" s="888">
        <f t="shared" si="56"/>
        <v>0</v>
      </c>
      <c r="N70" s="887"/>
      <c r="O70" s="887"/>
      <c r="P70" s="887"/>
      <c r="Q70" s="887"/>
      <c r="R70" s="887"/>
      <c r="S70" s="887"/>
      <c r="T70" s="887"/>
      <c r="U70" s="889">
        <f t="shared" si="57"/>
        <v>0</v>
      </c>
      <c r="V70" s="887"/>
      <c r="W70" s="887"/>
      <c r="X70" s="887"/>
      <c r="Y70" s="887"/>
      <c r="Z70" s="887"/>
      <c r="AA70" s="887"/>
      <c r="AB70" s="887"/>
      <c r="AC70" s="890">
        <f t="shared" si="58"/>
        <v>0</v>
      </c>
      <c r="AD70" s="887"/>
      <c r="AE70" s="887"/>
      <c r="AF70" s="887"/>
      <c r="AG70" s="887"/>
      <c r="AH70" s="887"/>
      <c r="AI70" s="887"/>
      <c r="AJ70" s="887"/>
      <c r="AK70" s="888" t="str">
        <f t="shared" si="59"/>
        <v/>
      </c>
      <c r="AL70" s="887"/>
      <c r="AM70" s="887"/>
      <c r="AN70" s="887"/>
      <c r="AO70" s="887"/>
      <c r="AP70" s="887"/>
      <c r="AQ70" s="887"/>
      <c r="AR70" s="887"/>
      <c r="AS70" s="891">
        <f t="shared" si="60"/>
        <v>0</v>
      </c>
      <c r="AT70" s="887"/>
      <c r="AU70" s="887"/>
      <c r="AV70" s="887"/>
      <c r="AW70" s="887"/>
      <c r="AX70" s="887"/>
      <c r="AY70" s="887"/>
      <c r="AZ70" s="887"/>
      <c r="BA70" s="889">
        <f t="shared" si="61"/>
        <v>0</v>
      </c>
      <c r="BB70" s="887"/>
      <c r="BC70" s="887"/>
      <c r="BD70" s="887"/>
      <c r="BE70" s="887"/>
      <c r="BF70" s="887"/>
      <c r="BG70" s="887"/>
      <c r="BH70" s="887"/>
      <c r="BI70" s="890">
        <f t="shared" si="62"/>
        <v>0</v>
      </c>
      <c r="BJ70" s="887"/>
      <c r="BK70" s="887"/>
      <c r="BL70" s="887"/>
      <c r="BM70" s="887"/>
      <c r="BN70" s="887"/>
      <c r="BO70" s="887"/>
      <c r="BP70" s="887"/>
      <c r="BQ70" s="888" t="str">
        <f t="shared" si="63"/>
        <v/>
      </c>
      <c r="BR70" s="892" t="str">
        <f t="shared" si="64"/>
        <v/>
      </c>
      <c r="BS70" s="892" t="str">
        <f t="shared" si="65"/>
        <v/>
      </c>
      <c r="BT70" s="892" t="str">
        <f t="shared" si="66"/>
        <v/>
      </c>
      <c r="BU70" s="892" t="str">
        <f t="shared" si="67"/>
        <v/>
      </c>
      <c r="BV70" s="892" t="str">
        <f t="shared" si="68"/>
        <v/>
      </c>
      <c r="BW70" s="892" t="str">
        <f t="shared" si="69"/>
        <v/>
      </c>
      <c r="BX70" s="892" t="str">
        <f t="shared" si="70"/>
        <v/>
      </c>
      <c r="BY70" s="892" t="str">
        <f t="shared" si="71"/>
        <v/>
      </c>
      <c r="BZ70" s="892" t="str">
        <f t="shared" si="72"/>
        <v/>
      </c>
      <c r="CA70" s="892" t="str">
        <f t="shared" si="73"/>
        <v/>
      </c>
      <c r="CB70" s="892" t="str">
        <f t="shared" si="74"/>
        <v/>
      </c>
      <c r="CC70" s="892" t="str">
        <f t="shared" si="75"/>
        <v/>
      </c>
      <c r="CD70" s="892" t="str">
        <f t="shared" si="76"/>
        <v/>
      </c>
      <c r="CE70" s="892" t="str">
        <f t="shared" si="77"/>
        <v/>
      </c>
      <c r="CF70" s="892" t="str">
        <f t="shared" si="78"/>
        <v/>
      </c>
      <c r="CG70" s="892" t="str">
        <f t="shared" si="79"/>
        <v/>
      </c>
      <c r="CH70" s="891" t="str">
        <f>IFERROR(IF($B70&gt;0,PASHEET!AL70+PASHEET!AT70+MARKS!F70+MARKS!N70+MARKS!V70+MARKS!AD70+MARKS!AL70+MARKS!AT70+MARKS!BB70+MARKS!BJ70,""),"Ab")</f>
        <v/>
      </c>
      <c r="CI70" s="891" t="str">
        <f>IFERROR(IF($B70&gt;0,PASHEET!AM70+PASHEET!AU70+MARKS!G70+MARKS!O70+MARKS!W70+MARKS!AE70+MARKS!AM70+MARKS!AU70+MARKS!BC70+MARKS!BK70,""),"Ab")</f>
        <v/>
      </c>
      <c r="CJ70" s="891" t="str">
        <f>IFERROR(IF($B70&gt;0,PASHEET!AN70+PASHEET!AV70+MARKS!H70+MARKS!P70+MARKS!X70+MARKS!AF70+MARKS!AN70+MARKS!AV70+MARKS!BD70+MARKS!BL70,""),"Ab")</f>
        <v/>
      </c>
      <c r="CK70" s="891" t="str">
        <f>IFERROR(IF($B70&gt;0,PASHEET!AO70+PASHEET!AW70+MARKS!I70+MARKS!Q70+MARKS!Y70+MARKS!AG70+MARKS!AO70+MARKS!AW70+MARKS!BE70+MARKS!BM70,""),"Ab")</f>
        <v/>
      </c>
      <c r="CL70" s="891" t="str">
        <f>IFERROR(IF($B70&gt;0,PASHEET!AP70+PASHEET!AX70+MARKS!J70+MARKS!R70+MARKS!Z70+MARKS!AH70+MARKS!AP70+MARKS!AX70+MARKS!BF70+MARKS!BN70,""),"Ab")</f>
        <v/>
      </c>
      <c r="CM70" s="891" t="str">
        <f>IFERROR(IF($B70&gt;0,PASHEET!AQ70+PASHEET!AY70+MARKS!K70+MARKS!S70+MARKS!AA70+MARKS!AI70+MARKS!AQ70+MARKS!AY70+MARKS!BG70+MARKS!BO70,""),"Ab")</f>
        <v/>
      </c>
      <c r="CN70" s="891" t="str">
        <f>IFERROR(IF($B70&gt;0,PASHEET!AR70+PASHEET!AZ70+MARKS!L70+MARKS!T70+MARKS!AB70+MARKS!AJ70+MARKS!AR70+MARKS!AZ70+MARKS!BH70+MARKS!BP70,""),"Ab")</f>
        <v/>
      </c>
      <c r="CO70" s="891" t="str">
        <f t="shared" si="80"/>
        <v/>
      </c>
      <c r="CP70" s="893" t="str">
        <f t="shared" si="81"/>
        <v/>
      </c>
      <c r="CQ70" s="893" t="str">
        <f t="shared" si="82"/>
        <v/>
      </c>
      <c r="CR70" s="893" t="str">
        <f t="shared" si="83"/>
        <v/>
      </c>
      <c r="CS70" s="893" t="str">
        <f t="shared" si="84"/>
        <v/>
      </c>
      <c r="CT70" s="893" t="str">
        <f t="shared" si="85"/>
        <v/>
      </c>
      <c r="CU70" s="893" t="str">
        <f t="shared" si="86"/>
        <v/>
      </c>
      <c r="CV70" s="893" t="str">
        <f t="shared" si="87"/>
        <v/>
      </c>
      <c r="CW70" s="893" t="str">
        <f t="shared" si="88"/>
        <v/>
      </c>
      <c r="CX70" s="894" t="str">
        <f>IFERROR(IF($B70&gt;0,PASHEET!AL70+MARKS!F70+MARKS!N70+MARKS!V70+MARKS!AD70,""),"Ab")</f>
        <v/>
      </c>
      <c r="CY70" s="894" t="str">
        <f>IFERROR(IF($B70&gt;0,PASHEET!AM70+MARKS!G70+MARKS!O70+MARKS!W70+MARKS!AE70,""),"Ab")</f>
        <v/>
      </c>
      <c r="CZ70" s="894" t="str">
        <f>IFERROR(IF($B70&gt;0,PASHEET!AN70+MARKS!H70+MARKS!P70+MARKS!X70+MARKS!AF70,""),"Ab")</f>
        <v/>
      </c>
      <c r="DA70" s="894" t="str">
        <f>IFERROR(IF($B70&gt;0,PASHEET!AO70+MARKS!I70+MARKS!Q70+MARKS!Y70+MARKS!AG70,""),"Ab")</f>
        <v/>
      </c>
      <c r="DB70" s="894" t="str">
        <f>IFERROR(IF($B70&gt;0,PASHEET!AP70+MARKS!J70+MARKS!R70+MARKS!Z70+MARKS!AH70,""),"Ab")</f>
        <v/>
      </c>
      <c r="DC70" s="894" t="str">
        <f>IFERROR(IF($B70&gt;0,PASHEET!AQ70+MARKS!K70+MARKS!S70+MARKS!AA70+MARKS!AI70,""),"Ab")</f>
        <v/>
      </c>
      <c r="DD70" s="894" t="str">
        <f>IFERROR(IF($B70&gt;0,PASHEET!AR70+MARKS!L70+MARKS!T70+MARKS!AB70+MARKS!AJ70,""),"Ab")</f>
        <v/>
      </c>
      <c r="DE70" s="879" t="str">
        <f t="shared" si="89"/>
        <v/>
      </c>
      <c r="DF70" s="894" t="str">
        <f t="shared" si="90"/>
        <v/>
      </c>
      <c r="DG70" s="894" t="str">
        <f t="shared" si="91"/>
        <v/>
      </c>
      <c r="DH70" s="894" t="str">
        <f t="shared" si="92"/>
        <v/>
      </c>
      <c r="DI70" s="894" t="str">
        <f t="shared" si="93"/>
        <v/>
      </c>
      <c r="DJ70" s="894" t="str">
        <f t="shared" si="94"/>
        <v/>
      </c>
      <c r="DK70" s="894" t="str">
        <f t="shared" si="95"/>
        <v/>
      </c>
      <c r="DL70" s="894" t="str">
        <f t="shared" si="96"/>
        <v/>
      </c>
      <c r="DM70" s="894" t="str">
        <f t="shared" si="97"/>
        <v/>
      </c>
      <c r="DN70" s="894" t="str">
        <f>IFERROR(IF($B70&gt;0,PASHEET!AT70+MARKS!AL70+MARKS!AT70+MARKS!BB70+MARKS!BJ70,""),"Ab")</f>
        <v/>
      </c>
      <c r="DO70" s="894" t="str">
        <f>IFERROR(IF($B70&gt;0,PASHEET!AU70+MARKS!AM70+MARKS!AU70+MARKS!BC70+MARKS!BK70,""),"Ab")</f>
        <v/>
      </c>
      <c r="DP70" s="894" t="str">
        <f>IFERROR(IF($B70&gt;0,PASHEET!AV70+MARKS!AN70+MARKS!AV70+MARKS!BD70+MARKS!BL70,""),"Ab")</f>
        <v/>
      </c>
      <c r="DQ70" s="894" t="str">
        <f>IFERROR(IF($B70&gt;0,PASHEET!AW70+MARKS!AO70+MARKS!AW70+MARKS!BE70+MARKS!BM70,""),"Ab")</f>
        <v/>
      </c>
      <c r="DR70" s="894" t="str">
        <f>IFERROR(IF($B70&gt;0,PASHEET!AX70+MARKS!AP70+MARKS!AX70+MARKS!BF70+MARKS!BN70,""),"Ab")</f>
        <v/>
      </c>
      <c r="DS70" s="894" t="str">
        <f>IFERROR(IF($B70&gt;0,PASHEET!AY70+MARKS!AQ70+MARKS!AY70+MARKS!BG70+MARKS!BO70,""),"Ab")</f>
        <v/>
      </c>
      <c r="DT70" s="894" t="str">
        <f>IFERROR(IF($B70&gt;0,PASHEET!AZ70+MARKS!AR70+MARKS!AZ70+MARKS!BH70+MARKS!BP70,""),"Ab")</f>
        <v/>
      </c>
      <c r="DU70" s="879" t="str">
        <f t="shared" si="98"/>
        <v/>
      </c>
      <c r="DV70" s="894" t="str">
        <f t="shared" si="99"/>
        <v/>
      </c>
      <c r="DW70" s="894" t="str">
        <f t="shared" si="100"/>
        <v/>
      </c>
      <c r="DX70" s="894" t="str">
        <f t="shared" si="101"/>
        <v/>
      </c>
      <c r="DY70" s="894" t="str">
        <f t="shared" si="102"/>
        <v/>
      </c>
      <c r="DZ70" s="894" t="str">
        <f t="shared" si="103"/>
        <v/>
      </c>
      <c r="EA70" s="894" t="str">
        <f t="shared" si="104"/>
        <v/>
      </c>
      <c r="EB70" s="894" t="str">
        <f t="shared" si="105"/>
        <v/>
      </c>
      <c r="EC70" s="894" t="str">
        <f t="shared" si="106"/>
        <v/>
      </c>
    </row>
    <row r="71" spans="1:133">
      <c r="A71" s="879">
        <v>68</v>
      </c>
      <c r="B71" s="879">
        <f>STUDENT!F69</f>
        <v>0</v>
      </c>
      <c r="C71" s="879">
        <f>STUDENT!D69</f>
        <v>0</v>
      </c>
      <c r="D71" s="886">
        <f>STUDENT!E69</f>
        <v>0</v>
      </c>
      <c r="E71" s="886">
        <f>STUDENT!H69</f>
        <v>0</v>
      </c>
      <c r="F71" s="887"/>
      <c r="G71" s="887"/>
      <c r="H71" s="887"/>
      <c r="I71" s="887"/>
      <c r="J71" s="887"/>
      <c r="K71" s="887"/>
      <c r="L71" s="887"/>
      <c r="M71" s="888">
        <f t="shared" si="56"/>
        <v>0</v>
      </c>
      <c r="N71" s="887"/>
      <c r="O71" s="887"/>
      <c r="P71" s="887"/>
      <c r="Q71" s="887"/>
      <c r="R71" s="887"/>
      <c r="S71" s="887"/>
      <c r="T71" s="887"/>
      <c r="U71" s="889">
        <f t="shared" si="57"/>
        <v>0</v>
      </c>
      <c r="V71" s="887"/>
      <c r="W71" s="887"/>
      <c r="X71" s="887"/>
      <c r="Y71" s="887"/>
      <c r="Z71" s="887"/>
      <c r="AA71" s="887"/>
      <c r="AB71" s="887"/>
      <c r="AC71" s="890">
        <f t="shared" si="58"/>
        <v>0</v>
      </c>
      <c r="AD71" s="887"/>
      <c r="AE71" s="887"/>
      <c r="AF71" s="887"/>
      <c r="AG71" s="887"/>
      <c r="AH71" s="887"/>
      <c r="AI71" s="887"/>
      <c r="AJ71" s="887"/>
      <c r="AK71" s="888" t="str">
        <f t="shared" si="59"/>
        <v/>
      </c>
      <c r="AL71" s="887"/>
      <c r="AM71" s="887"/>
      <c r="AN71" s="887"/>
      <c r="AO71" s="887"/>
      <c r="AP71" s="887"/>
      <c r="AQ71" s="887"/>
      <c r="AR71" s="887"/>
      <c r="AS71" s="891">
        <f t="shared" si="60"/>
        <v>0</v>
      </c>
      <c r="AT71" s="887"/>
      <c r="AU71" s="887"/>
      <c r="AV71" s="887"/>
      <c r="AW71" s="887"/>
      <c r="AX71" s="887"/>
      <c r="AY71" s="887"/>
      <c r="AZ71" s="887"/>
      <c r="BA71" s="889">
        <f t="shared" si="61"/>
        <v>0</v>
      </c>
      <c r="BB71" s="887"/>
      <c r="BC71" s="887"/>
      <c r="BD71" s="887"/>
      <c r="BE71" s="887"/>
      <c r="BF71" s="887"/>
      <c r="BG71" s="887"/>
      <c r="BH71" s="887"/>
      <c r="BI71" s="890">
        <f t="shared" si="62"/>
        <v>0</v>
      </c>
      <c r="BJ71" s="887"/>
      <c r="BK71" s="887"/>
      <c r="BL71" s="887"/>
      <c r="BM71" s="887"/>
      <c r="BN71" s="887"/>
      <c r="BO71" s="887"/>
      <c r="BP71" s="887"/>
      <c r="BQ71" s="888" t="str">
        <f t="shared" si="63"/>
        <v/>
      </c>
      <c r="BR71" s="892" t="str">
        <f t="shared" si="64"/>
        <v/>
      </c>
      <c r="BS71" s="892" t="str">
        <f t="shared" si="65"/>
        <v/>
      </c>
      <c r="BT71" s="892" t="str">
        <f t="shared" si="66"/>
        <v/>
      </c>
      <c r="BU71" s="892" t="str">
        <f t="shared" si="67"/>
        <v/>
      </c>
      <c r="BV71" s="892" t="str">
        <f t="shared" si="68"/>
        <v/>
      </c>
      <c r="BW71" s="892" t="str">
        <f t="shared" si="69"/>
        <v/>
      </c>
      <c r="BX71" s="892" t="str">
        <f t="shared" si="70"/>
        <v/>
      </c>
      <c r="BY71" s="892" t="str">
        <f t="shared" si="71"/>
        <v/>
      </c>
      <c r="BZ71" s="892" t="str">
        <f t="shared" si="72"/>
        <v/>
      </c>
      <c r="CA71" s="892" t="str">
        <f t="shared" si="73"/>
        <v/>
      </c>
      <c r="CB71" s="892" t="str">
        <f t="shared" si="74"/>
        <v/>
      </c>
      <c r="CC71" s="892" t="str">
        <f t="shared" si="75"/>
        <v/>
      </c>
      <c r="CD71" s="892" t="str">
        <f t="shared" si="76"/>
        <v/>
      </c>
      <c r="CE71" s="892" t="str">
        <f t="shared" si="77"/>
        <v/>
      </c>
      <c r="CF71" s="892" t="str">
        <f t="shared" si="78"/>
        <v/>
      </c>
      <c r="CG71" s="892" t="str">
        <f t="shared" si="79"/>
        <v/>
      </c>
      <c r="CH71" s="891" t="str">
        <f>IFERROR(IF($B71&gt;0,PASHEET!AL71+PASHEET!AT71+MARKS!F71+MARKS!N71+MARKS!V71+MARKS!AD71+MARKS!AL71+MARKS!AT71+MARKS!BB71+MARKS!BJ71,""),"Ab")</f>
        <v/>
      </c>
      <c r="CI71" s="891" t="str">
        <f>IFERROR(IF($B71&gt;0,PASHEET!AM71+PASHEET!AU71+MARKS!G71+MARKS!O71+MARKS!W71+MARKS!AE71+MARKS!AM71+MARKS!AU71+MARKS!BC71+MARKS!BK71,""),"Ab")</f>
        <v/>
      </c>
      <c r="CJ71" s="891" t="str">
        <f>IFERROR(IF($B71&gt;0,PASHEET!AN71+PASHEET!AV71+MARKS!H71+MARKS!P71+MARKS!X71+MARKS!AF71+MARKS!AN71+MARKS!AV71+MARKS!BD71+MARKS!BL71,""),"Ab")</f>
        <v/>
      </c>
      <c r="CK71" s="891" t="str">
        <f>IFERROR(IF($B71&gt;0,PASHEET!AO71+PASHEET!AW71+MARKS!I71+MARKS!Q71+MARKS!Y71+MARKS!AG71+MARKS!AO71+MARKS!AW71+MARKS!BE71+MARKS!BM71,""),"Ab")</f>
        <v/>
      </c>
      <c r="CL71" s="891" t="str">
        <f>IFERROR(IF($B71&gt;0,PASHEET!AP71+PASHEET!AX71+MARKS!J71+MARKS!R71+MARKS!Z71+MARKS!AH71+MARKS!AP71+MARKS!AX71+MARKS!BF71+MARKS!BN71,""),"Ab")</f>
        <v/>
      </c>
      <c r="CM71" s="891" t="str">
        <f>IFERROR(IF($B71&gt;0,PASHEET!AQ71+PASHEET!AY71+MARKS!K71+MARKS!S71+MARKS!AA71+MARKS!AI71+MARKS!AQ71+MARKS!AY71+MARKS!BG71+MARKS!BO71,""),"Ab")</f>
        <v/>
      </c>
      <c r="CN71" s="891" t="str">
        <f>IFERROR(IF($B71&gt;0,PASHEET!AR71+PASHEET!AZ71+MARKS!L71+MARKS!T71+MARKS!AB71+MARKS!AJ71+MARKS!AR71+MARKS!AZ71+MARKS!BH71+MARKS!BP71,""),"Ab")</f>
        <v/>
      </c>
      <c r="CO71" s="891" t="str">
        <f t="shared" si="80"/>
        <v/>
      </c>
      <c r="CP71" s="893" t="str">
        <f t="shared" si="81"/>
        <v/>
      </c>
      <c r="CQ71" s="893" t="str">
        <f t="shared" si="82"/>
        <v/>
      </c>
      <c r="CR71" s="893" t="str">
        <f t="shared" si="83"/>
        <v/>
      </c>
      <c r="CS71" s="893" t="str">
        <f t="shared" si="84"/>
        <v/>
      </c>
      <c r="CT71" s="893" t="str">
        <f t="shared" si="85"/>
        <v/>
      </c>
      <c r="CU71" s="893" t="str">
        <f t="shared" si="86"/>
        <v/>
      </c>
      <c r="CV71" s="893" t="str">
        <f t="shared" si="87"/>
        <v/>
      </c>
      <c r="CW71" s="893" t="str">
        <f t="shared" si="88"/>
        <v/>
      </c>
      <c r="CX71" s="894" t="str">
        <f>IFERROR(IF($B71&gt;0,PASHEET!AL71+MARKS!F71+MARKS!N71+MARKS!V71+MARKS!AD71,""),"Ab")</f>
        <v/>
      </c>
      <c r="CY71" s="894" t="str">
        <f>IFERROR(IF($B71&gt;0,PASHEET!AM71+MARKS!G71+MARKS!O71+MARKS!W71+MARKS!AE71,""),"Ab")</f>
        <v/>
      </c>
      <c r="CZ71" s="894" t="str">
        <f>IFERROR(IF($B71&gt;0,PASHEET!AN71+MARKS!H71+MARKS!P71+MARKS!X71+MARKS!AF71,""),"Ab")</f>
        <v/>
      </c>
      <c r="DA71" s="894" t="str">
        <f>IFERROR(IF($B71&gt;0,PASHEET!AO71+MARKS!I71+MARKS!Q71+MARKS!Y71+MARKS!AG71,""),"Ab")</f>
        <v/>
      </c>
      <c r="DB71" s="894" t="str">
        <f>IFERROR(IF($B71&gt;0,PASHEET!AP71+MARKS!J71+MARKS!R71+MARKS!Z71+MARKS!AH71,""),"Ab")</f>
        <v/>
      </c>
      <c r="DC71" s="894" t="str">
        <f>IFERROR(IF($B71&gt;0,PASHEET!AQ71+MARKS!K71+MARKS!S71+MARKS!AA71+MARKS!AI71,""),"Ab")</f>
        <v/>
      </c>
      <c r="DD71" s="894" t="str">
        <f>IFERROR(IF($B71&gt;0,PASHEET!AR71+MARKS!L71+MARKS!T71+MARKS!AB71+MARKS!AJ71,""),"Ab")</f>
        <v/>
      </c>
      <c r="DE71" s="879" t="str">
        <f t="shared" si="89"/>
        <v/>
      </c>
      <c r="DF71" s="894" t="str">
        <f t="shared" si="90"/>
        <v/>
      </c>
      <c r="DG71" s="894" t="str">
        <f t="shared" si="91"/>
        <v/>
      </c>
      <c r="DH71" s="894" t="str">
        <f t="shared" si="92"/>
        <v/>
      </c>
      <c r="DI71" s="894" t="str">
        <f t="shared" si="93"/>
        <v/>
      </c>
      <c r="DJ71" s="894" t="str">
        <f t="shared" si="94"/>
        <v/>
      </c>
      <c r="DK71" s="894" t="str">
        <f t="shared" si="95"/>
        <v/>
      </c>
      <c r="DL71" s="894" t="str">
        <f t="shared" si="96"/>
        <v/>
      </c>
      <c r="DM71" s="894" t="str">
        <f t="shared" si="97"/>
        <v/>
      </c>
      <c r="DN71" s="894" t="str">
        <f>IFERROR(IF($B71&gt;0,PASHEET!AT71+MARKS!AL71+MARKS!AT71+MARKS!BB71+MARKS!BJ71,""),"Ab")</f>
        <v/>
      </c>
      <c r="DO71" s="894" t="str">
        <f>IFERROR(IF($B71&gt;0,PASHEET!AU71+MARKS!AM71+MARKS!AU71+MARKS!BC71+MARKS!BK71,""),"Ab")</f>
        <v/>
      </c>
      <c r="DP71" s="894" t="str">
        <f>IFERROR(IF($B71&gt;0,PASHEET!AV71+MARKS!AN71+MARKS!AV71+MARKS!BD71+MARKS!BL71,""),"Ab")</f>
        <v/>
      </c>
      <c r="DQ71" s="894" t="str">
        <f>IFERROR(IF($B71&gt;0,PASHEET!AW71+MARKS!AO71+MARKS!AW71+MARKS!BE71+MARKS!BM71,""),"Ab")</f>
        <v/>
      </c>
      <c r="DR71" s="894" t="str">
        <f>IFERROR(IF($B71&gt;0,PASHEET!AX71+MARKS!AP71+MARKS!AX71+MARKS!BF71+MARKS!BN71,""),"Ab")</f>
        <v/>
      </c>
      <c r="DS71" s="894" t="str">
        <f>IFERROR(IF($B71&gt;0,PASHEET!AY71+MARKS!AQ71+MARKS!AY71+MARKS!BG71+MARKS!BO71,""),"Ab")</f>
        <v/>
      </c>
      <c r="DT71" s="894" t="str">
        <f>IFERROR(IF($B71&gt;0,PASHEET!AZ71+MARKS!AR71+MARKS!AZ71+MARKS!BH71+MARKS!BP71,""),"Ab")</f>
        <v/>
      </c>
      <c r="DU71" s="879" t="str">
        <f t="shared" si="98"/>
        <v/>
      </c>
      <c r="DV71" s="894" t="str">
        <f t="shared" si="99"/>
        <v/>
      </c>
      <c r="DW71" s="894" t="str">
        <f t="shared" si="100"/>
        <v/>
      </c>
      <c r="DX71" s="894" t="str">
        <f t="shared" si="101"/>
        <v/>
      </c>
      <c r="DY71" s="894" t="str">
        <f t="shared" si="102"/>
        <v/>
      </c>
      <c r="DZ71" s="894" t="str">
        <f t="shared" si="103"/>
        <v/>
      </c>
      <c r="EA71" s="894" t="str">
        <f t="shared" si="104"/>
        <v/>
      </c>
      <c r="EB71" s="894" t="str">
        <f t="shared" si="105"/>
        <v/>
      </c>
      <c r="EC71" s="894" t="str">
        <f t="shared" si="106"/>
        <v/>
      </c>
    </row>
    <row r="72" spans="1:133">
      <c r="A72" s="879">
        <v>69</v>
      </c>
      <c r="B72" s="879">
        <f>STUDENT!F70</f>
        <v>0</v>
      </c>
      <c r="C72" s="879">
        <f>STUDENT!D70</f>
        <v>0</v>
      </c>
      <c r="D72" s="886">
        <f>STUDENT!E70</f>
        <v>0</v>
      </c>
      <c r="E72" s="886">
        <f>STUDENT!H70</f>
        <v>0</v>
      </c>
      <c r="F72" s="887"/>
      <c r="G72" s="887"/>
      <c r="H72" s="887"/>
      <c r="I72" s="887"/>
      <c r="J72" s="887"/>
      <c r="K72" s="887"/>
      <c r="L72" s="887"/>
      <c r="M72" s="888">
        <f t="shared" si="56"/>
        <v>0</v>
      </c>
      <c r="N72" s="887"/>
      <c r="O72" s="887"/>
      <c r="P72" s="887"/>
      <c r="Q72" s="887"/>
      <c r="R72" s="887"/>
      <c r="S72" s="887"/>
      <c r="T72" s="887"/>
      <c r="U72" s="889">
        <f t="shared" si="57"/>
        <v>0</v>
      </c>
      <c r="V72" s="887"/>
      <c r="W72" s="887"/>
      <c r="X72" s="887"/>
      <c r="Y72" s="887"/>
      <c r="Z72" s="887"/>
      <c r="AA72" s="887"/>
      <c r="AB72" s="887"/>
      <c r="AC72" s="890">
        <f t="shared" si="58"/>
        <v>0</v>
      </c>
      <c r="AD72" s="887"/>
      <c r="AE72" s="887"/>
      <c r="AF72" s="887"/>
      <c r="AG72" s="887"/>
      <c r="AH72" s="887"/>
      <c r="AI72" s="887"/>
      <c r="AJ72" s="887"/>
      <c r="AK72" s="888" t="str">
        <f t="shared" si="59"/>
        <v/>
      </c>
      <c r="AL72" s="887"/>
      <c r="AM72" s="887"/>
      <c r="AN72" s="887"/>
      <c r="AO72" s="887"/>
      <c r="AP72" s="887"/>
      <c r="AQ72" s="887"/>
      <c r="AR72" s="887"/>
      <c r="AS72" s="891">
        <f t="shared" si="60"/>
        <v>0</v>
      </c>
      <c r="AT72" s="887"/>
      <c r="AU72" s="887"/>
      <c r="AV72" s="887"/>
      <c r="AW72" s="887"/>
      <c r="AX72" s="887"/>
      <c r="AY72" s="887"/>
      <c r="AZ72" s="887"/>
      <c r="BA72" s="889">
        <f t="shared" si="61"/>
        <v>0</v>
      </c>
      <c r="BB72" s="887"/>
      <c r="BC72" s="887"/>
      <c r="BD72" s="887"/>
      <c r="BE72" s="887"/>
      <c r="BF72" s="887"/>
      <c r="BG72" s="887"/>
      <c r="BH72" s="887"/>
      <c r="BI72" s="890">
        <f t="shared" si="62"/>
        <v>0</v>
      </c>
      <c r="BJ72" s="887"/>
      <c r="BK72" s="887"/>
      <c r="BL72" s="887"/>
      <c r="BM72" s="887"/>
      <c r="BN72" s="887"/>
      <c r="BO72" s="887"/>
      <c r="BP72" s="887"/>
      <c r="BQ72" s="888" t="str">
        <f t="shared" si="63"/>
        <v/>
      </c>
      <c r="BR72" s="892" t="str">
        <f t="shared" si="64"/>
        <v/>
      </c>
      <c r="BS72" s="892" t="str">
        <f t="shared" si="65"/>
        <v/>
      </c>
      <c r="BT72" s="892" t="str">
        <f t="shared" si="66"/>
        <v/>
      </c>
      <c r="BU72" s="892" t="str">
        <f t="shared" si="67"/>
        <v/>
      </c>
      <c r="BV72" s="892" t="str">
        <f t="shared" si="68"/>
        <v/>
      </c>
      <c r="BW72" s="892" t="str">
        <f t="shared" si="69"/>
        <v/>
      </c>
      <c r="BX72" s="892" t="str">
        <f t="shared" si="70"/>
        <v/>
      </c>
      <c r="BY72" s="892" t="str">
        <f t="shared" si="71"/>
        <v/>
      </c>
      <c r="BZ72" s="892" t="str">
        <f t="shared" si="72"/>
        <v/>
      </c>
      <c r="CA72" s="892" t="str">
        <f t="shared" si="73"/>
        <v/>
      </c>
      <c r="CB72" s="892" t="str">
        <f t="shared" si="74"/>
        <v/>
      </c>
      <c r="CC72" s="892" t="str">
        <f t="shared" si="75"/>
        <v/>
      </c>
      <c r="CD72" s="892" t="str">
        <f t="shared" si="76"/>
        <v/>
      </c>
      <c r="CE72" s="892" t="str">
        <f t="shared" si="77"/>
        <v/>
      </c>
      <c r="CF72" s="892" t="str">
        <f t="shared" si="78"/>
        <v/>
      </c>
      <c r="CG72" s="892" t="str">
        <f t="shared" si="79"/>
        <v/>
      </c>
      <c r="CH72" s="891" t="str">
        <f>IFERROR(IF($B72&gt;0,PASHEET!AL72+PASHEET!AT72+MARKS!F72+MARKS!N72+MARKS!V72+MARKS!AD72+MARKS!AL72+MARKS!AT72+MARKS!BB72+MARKS!BJ72,""),"Ab")</f>
        <v/>
      </c>
      <c r="CI72" s="891" t="str">
        <f>IFERROR(IF($B72&gt;0,PASHEET!AM72+PASHEET!AU72+MARKS!G72+MARKS!O72+MARKS!W72+MARKS!AE72+MARKS!AM72+MARKS!AU72+MARKS!BC72+MARKS!BK72,""),"Ab")</f>
        <v/>
      </c>
      <c r="CJ72" s="891" t="str">
        <f>IFERROR(IF($B72&gt;0,PASHEET!AN72+PASHEET!AV72+MARKS!H72+MARKS!P72+MARKS!X72+MARKS!AF72+MARKS!AN72+MARKS!AV72+MARKS!BD72+MARKS!BL72,""),"Ab")</f>
        <v/>
      </c>
      <c r="CK72" s="891" t="str">
        <f>IFERROR(IF($B72&gt;0,PASHEET!AO72+PASHEET!AW72+MARKS!I72+MARKS!Q72+MARKS!Y72+MARKS!AG72+MARKS!AO72+MARKS!AW72+MARKS!BE72+MARKS!BM72,""),"Ab")</f>
        <v/>
      </c>
      <c r="CL72" s="891" t="str">
        <f>IFERROR(IF($B72&gt;0,PASHEET!AP72+PASHEET!AX72+MARKS!J72+MARKS!R72+MARKS!Z72+MARKS!AH72+MARKS!AP72+MARKS!AX72+MARKS!BF72+MARKS!BN72,""),"Ab")</f>
        <v/>
      </c>
      <c r="CM72" s="891" t="str">
        <f>IFERROR(IF($B72&gt;0,PASHEET!AQ72+PASHEET!AY72+MARKS!K72+MARKS!S72+MARKS!AA72+MARKS!AI72+MARKS!AQ72+MARKS!AY72+MARKS!BG72+MARKS!BO72,""),"Ab")</f>
        <v/>
      </c>
      <c r="CN72" s="891" t="str">
        <f>IFERROR(IF($B72&gt;0,PASHEET!AR72+PASHEET!AZ72+MARKS!L72+MARKS!T72+MARKS!AB72+MARKS!AJ72+MARKS!AR72+MARKS!AZ72+MARKS!BH72+MARKS!BP72,""),"Ab")</f>
        <v/>
      </c>
      <c r="CO72" s="891" t="str">
        <f t="shared" si="80"/>
        <v/>
      </c>
      <c r="CP72" s="893" t="str">
        <f t="shared" si="81"/>
        <v/>
      </c>
      <c r="CQ72" s="893" t="str">
        <f t="shared" si="82"/>
        <v/>
      </c>
      <c r="CR72" s="893" t="str">
        <f t="shared" si="83"/>
        <v/>
      </c>
      <c r="CS72" s="893" t="str">
        <f t="shared" si="84"/>
        <v/>
      </c>
      <c r="CT72" s="893" t="str">
        <f t="shared" si="85"/>
        <v/>
      </c>
      <c r="CU72" s="893" t="str">
        <f t="shared" si="86"/>
        <v/>
      </c>
      <c r="CV72" s="893" t="str">
        <f t="shared" si="87"/>
        <v/>
      </c>
      <c r="CW72" s="893" t="str">
        <f t="shared" si="88"/>
        <v/>
      </c>
      <c r="CX72" s="894" t="str">
        <f>IFERROR(IF($B72&gt;0,PASHEET!AL72+MARKS!F72+MARKS!N72+MARKS!V72+MARKS!AD72,""),"Ab")</f>
        <v/>
      </c>
      <c r="CY72" s="894" t="str">
        <f>IFERROR(IF($B72&gt;0,PASHEET!AM72+MARKS!G72+MARKS!O72+MARKS!W72+MARKS!AE72,""),"Ab")</f>
        <v/>
      </c>
      <c r="CZ72" s="894" t="str">
        <f>IFERROR(IF($B72&gt;0,PASHEET!AN72+MARKS!H72+MARKS!P72+MARKS!X72+MARKS!AF72,""),"Ab")</f>
        <v/>
      </c>
      <c r="DA72" s="894" t="str">
        <f>IFERROR(IF($B72&gt;0,PASHEET!AO72+MARKS!I72+MARKS!Q72+MARKS!Y72+MARKS!AG72,""),"Ab")</f>
        <v/>
      </c>
      <c r="DB72" s="894" t="str">
        <f>IFERROR(IF($B72&gt;0,PASHEET!AP72+MARKS!J72+MARKS!R72+MARKS!Z72+MARKS!AH72,""),"Ab")</f>
        <v/>
      </c>
      <c r="DC72" s="894" t="str">
        <f>IFERROR(IF($B72&gt;0,PASHEET!AQ72+MARKS!K72+MARKS!S72+MARKS!AA72+MARKS!AI72,""),"Ab")</f>
        <v/>
      </c>
      <c r="DD72" s="894" t="str">
        <f>IFERROR(IF($B72&gt;0,PASHEET!AR72+MARKS!L72+MARKS!T72+MARKS!AB72+MARKS!AJ72,""),"Ab")</f>
        <v/>
      </c>
      <c r="DE72" s="879" t="str">
        <f t="shared" si="89"/>
        <v/>
      </c>
      <c r="DF72" s="894" t="str">
        <f t="shared" si="90"/>
        <v/>
      </c>
      <c r="DG72" s="894" t="str">
        <f t="shared" si="91"/>
        <v/>
      </c>
      <c r="DH72" s="894" t="str">
        <f t="shared" si="92"/>
        <v/>
      </c>
      <c r="DI72" s="894" t="str">
        <f t="shared" si="93"/>
        <v/>
      </c>
      <c r="DJ72" s="894" t="str">
        <f t="shared" si="94"/>
        <v/>
      </c>
      <c r="DK72" s="894" t="str">
        <f t="shared" si="95"/>
        <v/>
      </c>
      <c r="DL72" s="894" t="str">
        <f t="shared" si="96"/>
        <v/>
      </c>
      <c r="DM72" s="894" t="str">
        <f t="shared" si="97"/>
        <v/>
      </c>
      <c r="DN72" s="894" t="str">
        <f>IFERROR(IF($B72&gt;0,PASHEET!AT72+MARKS!AL72+MARKS!AT72+MARKS!BB72+MARKS!BJ72,""),"Ab")</f>
        <v/>
      </c>
      <c r="DO72" s="894" t="str">
        <f>IFERROR(IF($B72&gt;0,PASHEET!AU72+MARKS!AM72+MARKS!AU72+MARKS!BC72+MARKS!BK72,""),"Ab")</f>
        <v/>
      </c>
      <c r="DP72" s="894" t="str">
        <f>IFERROR(IF($B72&gt;0,PASHEET!AV72+MARKS!AN72+MARKS!AV72+MARKS!BD72+MARKS!BL72,""),"Ab")</f>
        <v/>
      </c>
      <c r="DQ72" s="894" t="str">
        <f>IFERROR(IF($B72&gt;0,PASHEET!AW72+MARKS!AO72+MARKS!AW72+MARKS!BE72+MARKS!BM72,""),"Ab")</f>
        <v/>
      </c>
      <c r="DR72" s="894" t="str">
        <f>IFERROR(IF($B72&gt;0,PASHEET!AX72+MARKS!AP72+MARKS!AX72+MARKS!BF72+MARKS!BN72,""),"Ab")</f>
        <v/>
      </c>
      <c r="DS72" s="894" t="str">
        <f>IFERROR(IF($B72&gt;0,PASHEET!AY72+MARKS!AQ72+MARKS!AY72+MARKS!BG72+MARKS!BO72,""),"Ab")</f>
        <v/>
      </c>
      <c r="DT72" s="894" t="str">
        <f>IFERROR(IF($B72&gt;0,PASHEET!AZ72+MARKS!AR72+MARKS!AZ72+MARKS!BH72+MARKS!BP72,""),"Ab")</f>
        <v/>
      </c>
      <c r="DU72" s="879" t="str">
        <f t="shared" si="98"/>
        <v/>
      </c>
      <c r="DV72" s="894" t="str">
        <f t="shared" si="99"/>
        <v/>
      </c>
      <c r="DW72" s="894" t="str">
        <f t="shared" si="100"/>
        <v/>
      </c>
      <c r="DX72" s="894" t="str">
        <f t="shared" si="101"/>
        <v/>
      </c>
      <c r="DY72" s="894" t="str">
        <f t="shared" si="102"/>
        <v/>
      </c>
      <c r="DZ72" s="894" t="str">
        <f t="shared" si="103"/>
        <v/>
      </c>
      <c r="EA72" s="894" t="str">
        <f t="shared" si="104"/>
        <v/>
      </c>
      <c r="EB72" s="894" t="str">
        <f t="shared" si="105"/>
        <v/>
      </c>
      <c r="EC72" s="894" t="str">
        <f t="shared" si="106"/>
        <v/>
      </c>
    </row>
    <row r="73" spans="1:133">
      <c r="A73" s="879">
        <v>70</v>
      </c>
      <c r="B73" s="879">
        <f>STUDENT!F71</f>
        <v>0</v>
      </c>
      <c r="C73" s="879">
        <f>STUDENT!D71</f>
        <v>0</v>
      </c>
      <c r="D73" s="886">
        <f>STUDENT!E71</f>
        <v>0</v>
      </c>
      <c r="E73" s="886">
        <f>STUDENT!H71</f>
        <v>0</v>
      </c>
      <c r="F73" s="887"/>
      <c r="G73" s="887"/>
      <c r="H73" s="887"/>
      <c r="I73" s="887"/>
      <c r="J73" s="887"/>
      <c r="K73" s="887"/>
      <c r="L73" s="887"/>
      <c r="M73" s="888">
        <f t="shared" si="56"/>
        <v>0</v>
      </c>
      <c r="N73" s="887"/>
      <c r="O73" s="887"/>
      <c r="P73" s="887"/>
      <c r="Q73" s="887"/>
      <c r="R73" s="887"/>
      <c r="S73" s="887"/>
      <c r="T73" s="887"/>
      <c r="U73" s="889">
        <f t="shared" si="57"/>
        <v>0</v>
      </c>
      <c r="V73" s="887"/>
      <c r="W73" s="887"/>
      <c r="X73" s="887"/>
      <c r="Y73" s="887"/>
      <c r="Z73" s="887"/>
      <c r="AA73" s="887"/>
      <c r="AB73" s="887"/>
      <c r="AC73" s="890">
        <f t="shared" si="58"/>
        <v>0</v>
      </c>
      <c r="AD73" s="887"/>
      <c r="AE73" s="887"/>
      <c r="AF73" s="887"/>
      <c r="AG73" s="887"/>
      <c r="AH73" s="887"/>
      <c r="AI73" s="887"/>
      <c r="AJ73" s="887"/>
      <c r="AK73" s="888" t="str">
        <f t="shared" si="59"/>
        <v/>
      </c>
      <c r="AL73" s="887"/>
      <c r="AM73" s="887"/>
      <c r="AN73" s="887"/>
      <c r="AO73" s="887"/>
      <c r="AP73" s="887"/>
      <c r="AQ73" s="887"/>
      <c r="AR73" s="887"/>
      <c r="AS73" s="891">
        <f t="shared" si="60"/>
        <v>0</v>
      </c>
      <c r="AT73" s="887"/>
      <c r="AU73" s="887"/>
      <c r="AV73" s="887"/>
      <c r="AW73" s="887"/>
      <c r="AX73" s="887"/>
      <c r="AY73" s="887"/>
      <c r="AZ73" s="887"/>
      <c r="BA73" s="889">
        <f t="shared" si="61"/>
        <v>0</v>
      </c>
      <c r="BB73" s="887"/>
      <c r="BC73" s="887"/>
      <c r="BD73" s="887"/>
      <c r="BE73" s="887"/>
      <c r="BF73" s="887"/>
      <c r="BG73" s="887"/>
      <c r="BH73" s="887"/>
      <c r="BI73" s="890">
        <f t="shared" si="62"/>
        <v>0</v>
      </c>
      <c r="BJ73" s="887"/>
      <c r="BK73" s="887"/>
      <c r="BL73" s="887"/>
      <c r="BM73" s="887"/>
      <c r="BN73" s="887"/>
      <c r="BO73" s="887"/>
      <c r="BP73" s="887"/>
      <c r="BQ73" s="888" t="str">
        <f t="shared" si="63"/>
        <v/>
      </c>
      <c r="BR73" s="892" t="str">
        <f t="shared" si="64"/>
        <v/>
      </c>
      <c r="BS73" s="892" t="str">
        <f t="shared" si="65"/>
        <v/>
      </c>
      <c r="BT73" s="892" t="str">
        <f t="shared" si="66"/>
        <v/>
      </c>
      <c r="BU73" s="892" t="str">
        <f t="shared" si="67"/>
        <v/>
      </c>
      <c r="BV73" s="892" t="str">
        <f t="shared" si="68"/>
        <v/>
      </c>
      <c r="BW73" s="892" t="str">
        <f t="shared" si="69"/>
        <v/>
      </c>
      <c r="BX73" s="892" t="str">
        <f t="shared" si="70"/>
        <v/>
      </c>
      <c r="BY73" s="892" t="str">
        <f t="shared" si="71"/>
        <v/>
      </c>
      <c r="BZ73" s="892" t="str">
        <f t="shared" si="72"/>
        <v/>
      </c>
      <c r="CA73" s="892" t="str">
        <f t="shared" si="73"/>
        <v/>
      </c>
      <c r="CB73" s="892" t="str">
        <f t="shared" si="74"/>
        <v/>
      </c>
      <c r="CC73" s="892" t="str">
        <f t="shared" si="75"/>
        <v/>
      </c>
      <c r="CD73" s="892" t="str">
        <f t="shared" si="76"/>
        <v/>
      </c>
      <c r="CE73" s="892" t="str">
        <f t="shared" si="77"/>
        <v/>
      </c>
      <c r="CF73" s="892" t="str">
        <f t="shared" si="78"/>
        <v/>
      </c>
      <c r="CG73" s="892" t="str">
        <f t="shared" si="79"/>
        <v/>
      </c>
      <c r="CH73" s="891" t="str">
        <f>IFERROR(IF($B73&gt;0,PASHEET!AL73+PASHEET!AT73+MARKS!F73+MARKS!N73+MARKS!V73+MARKS!AD73+MARKS!AL73+MARKS!AT73+MARKS!BB73+MARKS!BJ73,""),"Ab")</f>
        <v/>
      </c>
      <c r="CI73" s="891" t="str">
        <f>IFERROR(IF($B73&gt;0,PASHEET!AM73+PASHEET!AU73+MARKS!G73+MARKS!O73+MARKS!W73+MARKS!AE73+MARKS!AM73+MARKS!AU73+MARKS!BC73+MARKS!BK73,""),"Ab")</f>
        <v/>
      </c>
      <c r="CJ73" s="891" t="str">
        <f>IFERROR(IF($B73&gt;0,PASHEET!AN73+PASHEET!AV73+MARKS!H73+MARKS!P73+MARKS!X73+MARKS!AF73+MARKS!AN73+MARKS!AV73+MARKS!BD73+MARKS!BL73,""),"Ab")</f>
        <v/>
      </c>
      <c r="CK73" s="891" t="str">
        <f>IFERROR(IF($B73&gt;0,PASHEET!AO73+PASHEET!AW73+MARKS!I73+MARKS!Q73+MARKS!Y73+MARKS!AG73+MARKS!AO73+MARKS!AW73+MARKS!BE73+MARKS!BM73,""),"Ab")</f>
        <v/>
      </c>
      <c r="CL73" s="891" t="str">
        <f>IFERROR(IF($B73&gt;0,PASHEET!AP73+PASHEET!AX73+MARKS!J73+MARKS!R73+MARKS!Z73+MARKS!AH73+MARKS!AP73+MARKS!AX73+MARKS!BF73+MARKS!BN73,""),"Ab")</f>
        <v/>
      </c>
      <c r="CM73" s="891" t="str">
        <f>IFERROR(IF($B73&gt;0,PASHEET!AQ73+PASHEET!AY73+MARKS!K73+MARKS!S73+MARKS!AA73+MARKS!AI73+MARKS!AQ73+MARKS!AY73+MARKS!BG73+MARKS!BO73,""),"Ab")</f>
        <v/>
      </c>
      <c r="CN73" s="891" t="str">
        <f>IFERROR(IF($B73&gt;0,PASHEET!AR73+PASHEET!AZ73+MARKS!L73+MARKS!T73+MARKS!AB73+MARKS!AJ73+MARKS!AR73+MARKS!AZ73+MARKS!BH73+MARKS!BP73,""),"Ab")</f>
        <v/>
      </c>
      <c r="CO73" s="891" t="str">
        <f t="shared" si="80"/>
        <v/>
      </c>
      <c r="CP73" s="893" t="str">
        <f t="shared" si="81"/>
        <v/>
      </c>
      <c r="CQ73" s="893" t="str">
        <f t="shared" si="82"/>
        <v/>
      </c>
      <c r="CR73" s="893" t="str">
        <f t="shared" si="83"/>
        <v/>
      </c>
      <c r="CS73" s="893" t="str">
        <f t="shared" si="84"/>
        <v/>
      </c>
      <c r="CT73" s="893" t="str">
        <f t="shared" si="85"/>
        <v/>
      </c>
      <c r="CU73" s="893" t="str">
        <f t="shared" si="86"/>
        <v/>
      </c>
      <c r="CV73" s="893" t="str">
        <f t="shared" si="87"/>
        <v/>
      </c>
      <c r="CW73" s="893" t="str">
        <f t="shared" si="88"/>
        <v/>
      </c>
      <c r="CX73" s="894" t="str">
        <f>IFERROR(IF($B73&gt;0,PASHEET!AL73+MARKS!F73+MARKS!N73+MARKS!V73+MARKS!AD73,""),"Ab")</f>
        <v/>
      </c>
      <c r="CY73" s="894" t="str">
        <f>IFERROR(IF($B73&gt;0,PASHEET!AM73+MARKS!G73+MARKS!O73+MARKS!W73+MARKS!AE73,""),"Ab")</f>
        <v/>
      </c>
      <c r="CZ73" s="894" t="str">
        <f>IFERROR(IF($B73&gt;0,PASHEET!AN73+MARKS!H73+MARKS!P73+MARKS!X73+MARKS!AF73,""),"Ab")</f>
        <v/>
      </c>
      <c r="DA73" s="894" t="str">
        <f>IFERROR(IF($B73&gt;0,PASHEET!AO73+MARKS!I73+MARKS!Q73+MARKS!Y73+MARKS!AG73,""),"Ab")</f>
        <v/>
      </c>
      <c r="DB73" s="894" t="str">
        <f>IFERROR(IF($B73&gt;0,PASHEET!AP73+MARKS!J73+MARKS!R73+MARKS!Z73+MARKS!AH73,""),"Ab")</f>
        <v/>
      </c>
      <c r="DC73" s="894" t="str">
        <f>IFERROR(IF($B73&gt;0,PASHEET!AQ73+MARKS!K73+MARKS!S73+MARKS!AA73+MARKS!AI73,""),"Ab")</f>
        <v/>
      </c>
      <c r="DD73" s="894" t="str">
        <f>IFERROR(IF($B73&gt;0,PASHEET!AR73+MARKS!L73+MARKS!T73+MARKS!AB73+MARKS!AJ73,""),"Ab")</f>
        <v/>
      </c>
      <c r="DE73" s="879" t="str">
        <f t="shared" si="89"/>
        <v/>
      </c>
      <c r="DF73" s="894" t="str">
        <f t="shared" si="90"/>
        <v/>
      </c>
      <c r="DG73" s="894" t="str">
        <f t="shared" si="91"/>
        <v/>
      </c>
      <c r="DH73" s="894" t="str">
        <f t="shared" si="92"/>
        <v/>
      </c>
      <c r="DI73" s="894" t="str">
        <f t="shared" si="93"/>
        <v/>
      </c>
      <c r="DJ73" s="894" t="str">
        <f t="shared" si="94"/>
        <v/>
      </c>
      <c r="DK73" s="894" t="str">
        <f t="shared" si="95"/>
        <v/>
      </c>
      <c r="DL73" s="894" t="str">
        <f t="shared" si="96"/>
        <v/>
      </c>
      <c r="DM73" s="894" t="str">
        <f t="shared" si="97"/>
        <v/>
      </c>
      <c r="DN73" s="894" t="str">
        <f>IFERROR(IF($B73&gt;0,PASHEET!AT73+MARKS!AL73+MARKS!AT73+MARKS!BB73+MARKS!BJ73,""),"Ab")</f>
        <v/>
      </c>
      <c r="DO73" s="894" t="str">
        <f>IFERROR(IF($B73&gt;0,PASHEET!AU73+MARKS!AM73+MARKS!AU73+MARKS!BC73+MARKS!BK73,""),"Ab")</f>
        <v/>
      </c>
      <c r="DP73" s="894" t="str">
        <f>IFERROR(IF($B73&gt;0,PASHEET!AV73+MARKS!AN73+MARKS!AV73+MARKS!BD73+MARKS!BL73,""),"Ab")</f>
        <v/>
      </c>
      <c r="DQ73" s="894" t="str">
        <f>IFERROR(IF($B73&gt;0,PASHEET!AW73+MARKS!AO73+MARKS!AW73+MARKS!BE73+MARKS!BM73,""),"Ab")</f>
        <v/>
      </c>
      <c r="DR73" s="894" t="str">
        <f>IFERROR(IF($B73&gt;0,PASHEET!AX73+MARKS!AP73+MARKS!AX73+MARKS!BF73+MARKS!BN73,""),"Ab")</f>
        <v/>
      </c>
      <c r="DS73" s="894" t="str">
        <f>IFERROR(IF($B73&gt;0,PASHEET!AY73+MARKS!AQ73+MARKS!AY73+MARKS!BG73+MARKS!BO73,""),"Ab")</f>
        <v/>
      </c>
      <c r="DT73" s="894" t="str">
        <f>IFERROR(IF($B73&gt;0,PASHEET!AZ73+MARKS!AR73+MARKS!AZ73+MARKS!BH73+MARKS!BP73,""),"Ab")</f>
        <v/>
      </c>
      <c r="DU73" s="879" t="str">
        <f t="shared" si="98"/>
        <v/>
      </c>
      <c r="DV73" s="894" t="str">
        <f t="shared" si="99"/>
        <v/>
      </c>
      <c r="DW73" s="894" t="str">
        <f t="shared" si="100"/>
        <v/>
      </c>
      <c r="DX73" s="894" t="str">
        <f t="shared" si="101"/>
        <v/>
      </c>
      <c r="DY73" s="894" t="str">
        <f t="shared" si="102"/>
        <v/>
      </c>
      <c r="DZ73" s="894" t="str">
        <f t="shared" si="103"/>
        <v/>
      </c>
      <c r="EA73" s="894" t="str">
        <f t="shared" si="104"/>
        <v/>
      </c>
      <c r="EB73" s="894" t="str">
        <f t="shared" si="105"/>
        <v/>
      </c>
      <c r="EC73" s="894" t="str">
        <f t="shared" si="106"/>
        <v/>
      </c>
    </row>
    <row r="74" spans="1:133">
      <c r="A74" s="879">
        <v>71</v>
      </c>
      <c r="B74" s="879">
        <f>STUDENT!F72</f>
        <v>0</v>
      </c>
      <c r="C74" s="879">
        <f>STUDENT!D72</f>
        <v>0</v>
      </c>
      <c r="D74" s="886">
        <f>STUDENT!E72</f>
        <v>0</v>
      </c>
      <c r="E74" s="886">
        <f>STUDENT!H72</f>
        <v>0</v>
      </c>
      <c r="F74" s="887"/>
      <c r="G74" s="887"/>
      <c r="H74" s="887"/>
      <c r="I74" s="887"/>
      <c r="J74" s="887"/>
      <c r="K74" s="887"/>
      <c r="L74" s="887"/>
      <c r="M74" s="888">
        <f t="shared" si="56"/>
        <v>0</v>
      </c>
      <c r="N74" s="887"/>
      <c r="O74" s="887"/>
      <c r="P74" s="887"/>
      <c r="Q74" s="887"/>
      <c r="R74" s="887"/>
      <c r="S74" s="887"/>
      <c r="T74" s="887"/>
      <c r="U74" s="889">
        <f t="shared" si="57"/>
        <v>0</v>
      </c>
      <c r="V74" s="887"/>
      <c r="W74" s="887"/>
      <c r="X74" s="887"/>
      <c r="Y74" s="887"/>
      <c r="Z74" s="887"/>
      <c r="AA74" s="887"/>
      <c r="AB74" s="887"/>
      <c r="AC74" s="890">
        <f t="shared" si="58"/>
        <v>0</v>
      </c>
      <c r="AD74" s="887"/>
      <c r="AE74" s="887"/>
      <c r="AF74" s="887"/>
      <c r="AG74" s="887"/>
      <c r="AH74" s="887"/>
      <c r="AI74" s="887"/>
      <c r="AJ74" s="887"/>
      <c r="AK74" s="888" t="str">
        <f t="shared" si="59"/>
        <v/>
      </c>
      <c r="AL74" s="887"/>
      <c r="AM74" s="887"/>
      <c r="AN74" s="887"/>
      <c r="AO74" s="887"/>
      <c r="AP74" s="887"/>
      <c r="AQ74" s="887"/>
      <c r="AR74" s="887"/>
      <c r="AS74" s="891">
        <f t="shared" si="60"/>
        <v>0</v>
      </c>
      <c r="AT74" s="887"/>
      <c r="AU74" s="887"/>
      <c r="AV74" s="887"/>
      <c r="AW74" s="887"/>
      <c r="AX74" s="887"/>
      <c r="AY74" s="887"/>
      <c r="AZ74" s="887"/>
      <c r="BA74" s="889">
        <f t="shared" si="61"/>
        <v>0</v>
      </c>
      <c r="BB74" s="887"/>
      <c r="BC74" s="887"/>
      <c r="BD74" s="887"/>
      <c r="BE74" s="887"/>
      <c r="BF74" s="887"/>
      <c r="BG74" s="887"/>
      <c r="BH74" s="887"/>
      <c r="BI74" s="890">
        <f t="shared" si="62"/>
        <v>0</v>
      </c>
      <c r="BJ74" s="887"/>
      <c r="BK74" s="887"/>
      <c r="BL74" s="887"/>
      <c r="BM74" s="887"/>
      <c r="BN74" s="887"/>
      <c r="BO74" s="887"/>
      <c r="BP74" s="887"/>
      <c r="BQ74" s="888" t="str">
        <f t="shared" si="63"/>
        <v/>
      </c>
      <c r="BR74" s="892" t="str">
        <f t="shared" si="64"/>
        <v/>
      </c>
      <c r="BS74" s="892" t="str">
        <f t="shared" si="65"/>
        <v/>
      </c>
      <c r="BT74" s="892" t="str">
        <f t="shared" si="66"/>
        <v/>
      </c>
      <c r="BU74" s="892" t="str">
        <f t="shared" si="67"/>
        <v/>
      </c>
      <c r="BV74" s="892" t="str">
        <f t="shared" si="68"/>
        <v/>
      </c>
      <c r="BW74" s="892" t="str">
        <f t="shared" si="69"/>
        <v/>
      </c>
      <c r="BX74" s="892" t="str">
        <f t="shared" si="70"/>
        <v/>
      </c>
      <c r="BY74" s="892" t="str">
        <f t="shared" si="71"/>
        <v/>
      </c>
      <c r="BZ74" s="892" t="str">
        <f t="shared" si="72"/>
        <v/>
      </c>
      <c r="CA74" s="892" t="str">
        <f t="shared" si="73"/>
        <v/>
      </c>
      <c r="CB74" s="892" t="str">
        <f t="shared" si="74"/>
        <v/>
      </c>
      <c r="CC74" s="892" t="str">
        <f t="shared" si="75"/>
        <v/>
      </c>
      <c r="CD74" s="892" t="str">
        <f t="shared" si="76"/>
        <v/>
      </c>
      <c r="CE74" s="892" t="str">
        <f t="shared" si="77"/>
        <v/>
      </c>
      <c r="CF74" s="892" t="str">
        <f t="shared" si="78"/>
        <v/>
      </c>
      <c r="CG74" s="892" t="str">
        <f t="shared" si="79"/>
        <v/>
      </c>
      <c r="CH74" s="891" t="str">
        <f>IFERROR(IF($B74&gt;0,PASHEET!AL74+PASHEET!AT74+MARKS!F74+MARKS!N74+MARKS!V74+MARKS!AD74+MARKS!AL74+MARKS!AT74+MARKS!BB74+MARKS!BJ74,""),"Ab")</f>
        <v/>
      </c>
      <c r="CI74" s="891" t="str">
        <f>IFERROR(IF($B74&gt;0,PASHEET!AM74+PASHEET!AU74+MARKS!G74+MARKS!O74+MARKS!W74+MARKS!AE74+MARKS!AM74+MARKS!AU74+MARKS!BC74+MARKS!BK74,""),"Ab")</f>
        <v/>
      </c>
      <c r="CJ74" s="891" t="str">
        <f>IFERROR(IF($B74&gt;0,PASHEET!AN74+PASHEET!AV74+MARKS!H74+MARKS!P74+MARKS!X74+MARKS!AF74+MARKS!AN74+MARKS!AV74+MARKS!BD74+MARKS!BL74,""),"Ab")</f>
        <v/>
      </c>
      <c r="CK74" s="891" t="str">
        <f>IFERROR(IF($B74&gt;0,PASHEET!AO74+PASHEET!AW74+MARKS!I74+MARKS!Q74+MARKS!Y74+MARKS!AG74+MARKS!AO74+MARKS!AW74+MARKS!BE74+MARKS!BM74,""),"Ab")</f>
        <v/>
      </c>
      <c r="CL74" s="891" t="str">
        <f>IFERROR(IF($B74&gt;0,PASHEET!AP74+PASHEET!AX74+MARKS!J74+MARKS!R74+MARKS!Z74+MARKS!AH74+MARKS!AP74+MARKS!AX74+MARKS!BF74+MARKS!BN74,""),"Ab")</f>
        <v/>
      </c>
      <c r="CM74" s="891" t="str">
        <f>IFERROR(IF($B74&gt;0,PASHEET!AQ74+PASHEET!AY74+MARKS!K74+MARKS!S74+MARKS!AA74+MARKS!AI74+MARKS!AQ74+MARKS!AY74+MARKS!BG74+MARKS!BO74,""),"Ab")</f>
        <v/>
      </c>
      <c r="CN74" s="891" t="str">
        <f>IFERROR(IF($B74&gt;0,PASHEET!AR74+PASHEET!AZ74+MARKS!L74+MARKS!T74+MARKS!AB74+MARKS!AJ74+MARKS!AR74+MARKS!AZ74+MARKS!BH74+MARKS!BP74,""),"Ab")</f>
        <v/>
      </c>
      <c r="CO74" s="891" t="str">
        <f t="shared" si="80"/>
        <v/>
      </c>
      <c r="CP74" s="893" t="str">
        <f t="shared" si="81"/>
        <v/>
      </c>
      <c r="CQ74" s="893" t="str">
        <f t="shared" si="82"/>
        <v/>
      </c>
      <c r="CR74" s="893" t="str">
        <f t="shared" si="83"/>
        <v/>
      </c>
      <c r="CS74" s="893" t="str">
        <f t="shared" si="84"/>
        <v/>
      </c>
      <c r="CT74" s="893" t="str">
        <f t="shared" si="85"/>
        <v/>
      </c>
      <c r="CU74" s="893" t="str">
        <f t="shared" si="86"/>
        <v/>
      </c>
      <c r="CV74" s="893" t="str">
        <f t="shared" si="87"/>
        <v/>
      </c>
      <c r="CW74" s="893" t="str">
        <f t="shared" si="88"/>
        <v/>
      </c>
      <c r="CX74" s="894" t="str">
        <f>IFERROR(IF($B74&gt;0,PASHEET!AL74+MARKS!F74+MARKS!N74+MARKS!V74+MARKS!AD74,""),"Ab")</f>
        <v/>
      </c>
      <c r="CY74" s="894" t="str">
        <f>IFERROR(IF($B74&gt;0,PASHEET!AM74+MARKS!G74+MARKS!O74+MARKS!W74+MARKS!AE74,""),"Ab")</f>
        <v/>
      </c>
      <c r="CZ74" s="894" t="str">
        <f>IFERROR(IF($B74&gt;0,PASHEET!AN74+MARKS!H74+MARKS!P74+MARKS!X74+MARKS!AF74,""),"Ab")</f>
        <v/>
      </c>
      <c r="DA74" s="894" t="str">
        <f>IFERROR(IF($B74&gt;0,PASHEET!AO74+MARKS!I74+MARKS!Q74+MARKS!Y74+MARKS!AG74,""),"Ab")</f>
        <v/>
      </c>
      <c r="DB74" s="894" t="str">
        <f>IFERROR(IF($B74&gt;0,PASHEET!AP74+MARKS!J74+MARKS!R74+MARKS!Z74+MARKS!AH74,""),"Ab")</f>
        <v/>
      </c>
      <c r="DC74" s="894" t="str">
        <f>IFERROR(IF($B74&gt;0,PASHEET!AQ74+MARKS!K74+MARKS!S74+MARKS!AA74+MARKS!AI74,""),"Ab")</f>
        <v/>
      </c>
      <c r="DD74" s="894" t="str">
        <f>IFERROR(IF($B74&gt;0,PASHEET!AR74+MARKS!L74+MARKS!T74+MARKS!AB74+MARKS!AJ74,""),"Ab")</f>
        <v/>
      </c>
      <c r="DE74" s="879" t="str">
        <f t="shared" si="89"/>
        <v/>
      </c>
      <c r="DF74" s="894" t="str">
        <f t="shared" si="90"/>
        <v/>
      </c>
      <c r="DG74" s="894" t="str">
        <f t="shared" si="91"/>
        <v/>
      </c>
      <c r="DH74" s="894" t="str">
        <f t="shared" si="92"/>
        <v/>
      </c>
      <c r="DI74" s="894" t="str">
        <f t="shared" si="93"/>
        <v/>
      </c>
      <c r="DJ74" s="894" t="str">
        <f t="shared" si="94"/>
        <v/>
      </c>
      <c r="DK74" s="894" t="str">
        <f t="shared" si="95"/>
        <v/>
      </c>
      <c r="DL74" s="894" t="str">
        <f t="shared" si="96"/>
        <v/>
      </c>
      <c r="DM74" s="894" t="str">
        <f t="shared" si="97"/>
        <v/>
      </c>
      <c r="DN74" s="894" t="str">
        <f>IFERROR(IF($B74&gt;0,PASHEET!AT74+MARKS!AL74+MARKS!AT74+MARKS!BB74+MARKS!BJ74,""),"Ab")</f>
        <v/>
      </c>
      <c r="DO74" s="894" t="str">
        <f>IFERROR(IF($B74&gt;0,PASHEET!AU74+MARKS!AM74+MARKS!AU74+MARKS!BC74+MARKS!BK74,""),"Ab")</f>
        <v/>
      </c>
      <c r="DP74" s="894" t="str">
        <f>IFERROR(IF($B74&gt;0,PASHEET!AV74+MARKS!AN74+MARKS!AV74+MARKS!BD74+MARKS!BL74,""),"Ab")</f>
        <v/>
      </c>
      <c r="DQ74" s="894" t="str">
        <f>IFERROR(IF($B74&gt;0,PASHEET!AW74+MARKS!AO74+MARKS!AW74+MARKS!BE74+MARKS!BM74,""),"Ab")</f>
        <v/>
      </c>
      <c r="DR74" s="894" t="str">
        <f>IFERROR(IF($B74&gt;0,PASHEET!AX74+MARKS!AP74+MARKS!AX74+MARKS!BF74+MARKS!BN74,""),"Ab")</f>
        <v/>
      </c>
      <c r="DS74" s="894" t="str">
        <f>IFERROR(IF($B74&gt;0,PASHEET!AY74+MARKS!AQ74+MARKS!AY74+MARKS!BG74+MARKS!BO74,""),"Ab")</f>
        <v/>
      </c>
      <c r="DT74" s="894" t="str">
        <f>IFERROR(IF($B74&gt;0,PASHEET!AZ74+MARKS!AR74+MARKS!AZ74+MARKS!BH74+MARKS!BP74,""),"Ab")</f>
        <v/>
      </c>
      <c r="DU74" s="879" t="str">
        <f t="shared" si="98"/>
        <v/>
      </c>
      <c r="DV74" s="894" t="str">
        <f t="shared" si="99"/>
        <v/>
      </c>
      <c r="DW74" s="894" t="str">
        <f t="shared" si="100"/>
        <v/>
      </c>
      <c r="DX74" s="894" t="str">
        <f t="shared" si="101"/>
        <v/>
      </c>
      <c r="DY74" s="894" t="str">
        <f t="shared" si="102"/>
        <v/>
      </c>
      <c r="DZ74" s="894" t="str">
        <f t="shared" si="103"/>
        <v/>
      </c>
      <c r="EA74" s="894" t="str">
        <f t="shared" si="104"/>
        <v/>
      </c>
      <c r="EB74" s="894" t="str">
        <f t="shared" si="105"/>
        <v/>
      </c>
      <c r="EC74" s="894" t="str">
        <f t="shared" si="106"/>
        <v/>
      </c>
    </row>
    <row r="75" spans="1:133">
      <c r="A75" s="879">
        <v>72</v>
      </c>
      <c r="B75" s="879">
        <f>STUDENT!F73</f>
        <v>0</v>
      </c>
      <c r="C75" s="879">
        <f>STUDENT!D73</f>
        <v>0</v>
      </c>
      <c r="D75" s="886">
        <f>STUDENT!E73</f>
        <v>0</v>
      </c>
      <c r="E75" s="886">
        <f>STUDENT!H73</f>
        <v>0</v>
      </c>
      <c r="F75" s="887"/>
      <c r="G75" s="887"/>
      <c r="H75" s="887"/>
      <c r="I75" s="887"/>
      <c r="J75" s="887"/>
      <c r="K75" s="887"/>
      <c r="L75" s="887"/>
      <c r="M75" s="888">
        <f t="shared" si="56"/>
        <v>0</v>
      </c>
      <c r="N75" s="887"/>
      <c r="O75" s="887"/>
      <c r="P75" s="887"/>
      <c r="Q75" s="887"/>
      <c r="R75" s="887"/>
      <c r="S75" s="887"/>
      <c r="T75" s="887"/>
      <c r="U75" s="889">
        <f t="shared" si="57"/>
        <v>0</v>
      </c>
      <c r="V75" s="887"/>
      <c r="W75" s="887"/>
      <c r="X75" s="887"/>
      <c r="Y75" s="887"/>
      <c r="Z75" s="887"/>
      <c r="AA75" s="887"/>
      <c r="AB75" s="887"/>
      <c r="AC75" s="890">
        <f t="shared" si="58"/>
        <v>0</v>
      </c>
      <c r="AD75" s="887"/>
      <c r="AE75" s="887"/>
      <c r="AF75" s="887"/>
      <c r="AG75" s="887"/>
      <c r="AH75" s="887"/>
      <c r="AI75" s="887"/>
      <c r="AJ75" s="887"/>
      <c r="AK75" s="888" t="str">
        <f t="shared" si="59"/>
        <v/>
      </c>
      <c r="AL75" s="887"/>
      <c r="AM75" s="887"/>
      <c r="AN75" s="887"/>
      <c r="AO75" s="887"/>
      <c r="AP75" s="887"/>
      <c r="AQ75" s="887"/>
      <c r="AR75" s="887"/>
      <c r="AS75" s="891">
        <f t="shared" si="60"/>
        <v>0</v>
      </c>
      <c r="AT75" s="887"/>
      <c r="AU75" s="887"/>
      <c r="AV75" s="887"/>
      <c r="AW75" s="887"/>
      <c r="AX75" s="887"/>
      <c r="AY75" s="887"/>
      <c r="AZ75" s="887"/>
      <c r="BA75" s="889">
        <f t="shared" si="61"/>
        <v>0</v>
      </c>
      <c r="BB75" s="887"/>
      <c r="BC75" s="887"/>
      <c r="BD75" s="887"/>
      <c r="BE75" s="887"/>
      <c r="BF75" s="887"/>
      <c r="BG75" s="887"/>
      <c r="BH75" s="887"/>
      <c r="BI75" s="890">
        <f t="shared" si="62"/>
        <v>0</v>
      </c>
      <c r="BJ75" s="887"/>
      <c r="BK75" s="887"/>
      <c r="BL75" s="887"/>
      <c r="BM75" s="887"/>
      <c r="BN75" s="887"/>
      <c r="BO75" s="887"/>
      <c r="BP75" s="887"/>
      <c r="BQ75" s="888" t="str">
        <f t="shared" si="63"/>
        <v/>
      </c>
      <c r="BR75" s="892" t="str">
        <f t="shared" si="64"/>
        <v/>
      </c>
      <c r="BS75" s="892" t="str">
        <f t="shared" si="65"/>
        <v/>
      </c>
      <c r="BT75" s="892" t="str">
        <f t="shared" si="66"/>
        <v/>
      </c>
      <c r="BU75" s="892" t="str">
        <f t="shared" si="67"/>
        <v/>
      </c>
      <c r="BV75" s="892" t="str">
        <f t="shared" si="68"/>
        <v/>
      </c>
      <c r="BW75" s="892" t="str">
        <f t="shared" si="69"/>
        <v/>
      </c>
      <c r="BX75" s="892" t="str">
        <f t="shared" si="70"/>
        <v/>
      </c>
      <c r="BY75" s="892" t="str">
        <f t="shared" si="71"/>
        <v/>
      </c>
      <c r="BZ75" s="892" t="str">
        <f t="shared" si="72"/>
        <v/>
      </c>
      <c r="CA75" s="892" t="str">
        <f t="shared" si="73"/>
        <v/>
      </c>
      <c r="CB75" s="892" t="str">
        <f t="shared" si="74"/>
        <v/>
      </c>
      <c r="CC75" s="892" t="str">
        <f t="shared" si="75"/>
        <v/>
      </c>
      <c r="CD75" s="892" t="str">
        <f t="shared" si="76"/>
        <v/>
      </c>
      <c r="CE75" s="892" t="str">
        <f t="shared" si="77"/>
        <v/>
      </c>
      <c r="CF75" s="892" t="str">
        <f t="shared" si="78"/>
        <v/>
      </c>
      <c r="CG75" s="892" t="str">
        <f t="shared" si="79"/>
        <v/>
      </c>
      <c r="CH75" s="891" t="str">
        <f>IFERROR(IF($B75&gt;0,PASHEET!AL75+PASHEET!AT75+MARKS!F75+MARKS!N75+MARKS!V75+MARKS!AD75+MARKS!AL75+MARKS!AT75+MARKS!BB75+MARKS!BJ75,""),"Ab")</f>
        <v/>
      </c>
      <c r="CI75" s="891" t="str">
        <f>IFERROR(IF($B75&gt;0,PASHEET!AM75+PASHEET!AU75+MARKS!G75+MARKS!O75+MARKS!W75+MARKS!AE75+MARKS!AM75+MARKS!AU75+MARKS!BC75+MARKS!BK75,""),"Ab")</f>
        <v/>
      </c>
      <c r="CJ75" s="891" t="str">
        <f>IFERROR(IF($B75&gt;0,PASHEET!AN75+PASHEET!AV75+MARKS!H75+MARKS!P75+MARKS!X75+MARKS!AF75+MARKS!AN75+MARKS!AV75+MARKS!BD75+MARKS!BL75,""),"Ab")</f>
        <v/>
      </c>
      <c r="CK75" s="891" t="str">
        <f>IFERROR(IF($B75&gt;0,PASHEET!AO75+PASHEET!AW75+MARKS!I75+MARKS!Q75+MARKS!Y75+MARKS!AG75+MARKS!AO75+MARKS!AW75+MARKS!BE75+MARKS!BM75,""),"Ab")</f>
        <v/>
      </c>
      <c r="CL75" s="891" t="str">
        <f>IFERROR(IF($B75&gt;0,PASHEET!AP75+PASHEET!AX75+MARKS!J75+MARKS!R75+MARKS!Z75+MARKS!AH75+MARKS!AP75+MARKS!AX75+MARKS!BF75+MARKS!BN75,""),"Ab")</f>
        <v/>
      </c>
      <c r="CM75" s="891" t="str">
        <f>IFERROR(IF($B75&gt;0,PASHEET!AQ75+PASHEET!AY75+MARKS!K75+MARKS!S75+MARKS!AA75+MARKS!AI75+MARKS!AQ75+MARKS!AY75+MARKS!BG75+MARKS!BO75,""),"Ab")</f>
        <v/>
      </c>
      <c r="CN75" s="891" t="str">
        <f>IFERROR(IF($B75&gt;0,PASHEET!AR75+PASHEET!AZ75+MARKS!L75+MARKS!T75+MARKS!AB75+MARKS!AJ75+MARKS!AR75+MARKS!AZ75+MARKS!BH75+MARKS!BP75,""),"Ab")</f>
        <v/>
      </c>
      <c r="CO75" s="891" t="str">
        <f t="shared" si="80"/>
        <v/>
      </c>
      <c r="CP75" s="893" t="str">
        <f t="shared" si="81"/>
        <v/>
      </c>
      <c r="CQ75" s="893" t="str">
        <f t="shared" si="82"/>
        <v/>
      </c>
      <c r="CR75" s="893" t="str">
        <f t="shared" si="83"/>
        <v/>
      </c>
      <c r="CS75" s="893" t="str">
        <f t="shared" si="84"/>
        <v/>
      </c>
      <c r="CT75" s="893" t="str">
        <f t="shared" si="85"/>
        <v/>
      </c>
      <c r="CU75" s="893" t="str">
        <f t="shared" si="86"/>
        <v/>
      </c>
      <c r="CV75" s="893" t="str">
        <f t="shared" si="87"/>
        <v/>
      </c>
      <c r="CW75" s="893" t="str">
        <f t="shared" si="88"/>
        <v/>
      </c>
      <c r="CX75" s="894" t="str">
        <f>IFERROR(IF($B75&gt;0,PASHEET!AL75+MARKS!F75+MARKS!N75+MARKS!V75+MARKS!AD75,""),"Ab")</f>
        <v/>
      </c>
      <c r="CY75" s="894" t="str">
        <f>IFERROR(IF($B75&gt;0,PASHEET!AM75+MARKS!G75+MARKS!O75+MARKS!W75+MARKS!AE75,""),"Ab")</f>
        <v/>
      </c>
      <c r="CZ75" s="894" t="str">
        <f>IFERROR(IF($B75&gt;0,PASHEET!AN75+MARKS!H75+MARKS!P75+MARKS!X75+MARKS!AF75,""),"Ab")</f>
        <v/>
      </c>
      <c r="DA75" s="894" t="str">
        <f>IFERROR(IF($B75&gt;0,PASHEET!AO75+MARKS!I75+MARKS!Q75+MARKS!Y75+MARKS!AG75,""),"Ab")</f>
        <v/>
      </c>
      <c r="DB75" s="894" t="str">
        <f>IFERROR(IF($B75&gt;0,PASHEET!AP75+MARKS!J75+MARKS!R75+MARKS!Z75+MARKS!AH75,""),"Ab")</f>
        <v/>
      </c>
      <c r="DC75" s="894" t="str">
        <f>IFERROR(IF($B75&gt;0,PASHEET!AQ75+MARKS!K75+MARKS!S75+MARKS!AA75+MARKS!AI75,""),"Ab")</f>
        <v/>
      </c>
      <c r="DD75" s="894" t="str">
        <f>IFERROR(IF($B75&gt;0,PASHEET!AR75+MARKS!L75+MARKS!T75+MARKS!AB75+MARKS!AJ75,""),"Ab")</f>
        <v/>
      </c>
      <c r="DE75" s="879" t="str">
        <f t="shared" si="89"/>
        <v/>
      </c>
      <c r="DF75" s="894" t="str">
        <f t="shared" si="90"/>
        <v/>
      </c>
      <c r="DG75" s="894" t="str">
        <f t="shared" si="91"/>
        <v/>
      </c>
      <c r="DH75" s="894" t="str">
        <f t="shared" si="92"/>
        <v/>
      </c>
      <c r="DI75" s="894" t="str">
        <f t="shared" si="93"/>
        <v/>
      </c>
      <c r="DJ75" s="894" t="str">
        <f t="shared" si="94"/>
        <v/>
      </c>
      <c r="DK75" s="894" t="str">
        <f t="shared" si="95"/>
        <v/>
      </c>
      <c r="DL75" s="894" t="str">
        <f t="shared" si="96"/>
        <v/>
      </c>
      <c r="DM75" s="894" t="str">
        <f t="shared" si="97"/>
        <v/>
      </c>
      <c r="DN75" s="894" t="str">
        <f>IFERROR(IF($B75&gt;0,PASHEET!AT75+MARKS!AL75+MARKS!AT75+MARKS!BB75+MARKS!BJ75,""),"Ab")</f>
        <v/>
      </c>
      <c r="DO75" s="894" t="str">
        <f>IFERROR(IF($B75&gt;0,PASHEET!AU75+MARKS!AM75+MARKS!AU75+MARKS!BC75+MARKS!BK75,""),"Ab")</f>
        <v/>
      </c>
      <c r="DP75" s="894" t="str">
        <f>IFERROR(IF($B75&gt;0,PASHEET!AV75+MARKS!AN75+MARKS!AV75+MARKS!BD75+MARKS!BL75,""),"Ab")</f>
        <v/>
      </c>
      <c r="DQ75" s="894" t="str">
        <f>IFERROR(IF($B75&gt;0,PASHEET!AW75+MARKS!AO75+MARKS!AW75+MARKS!BE75+MARKS!BM75,""),"Ab")</f>
        <v/>
      </c>
      <c r="DR75" s="894" t="str">
        <f>IFERROR(IF($B75&gt;0,PASHEET!AX75+MARKS!AP75+MARKS!AX75+MARKS!BF75+MARKS!BN75,""),"Ab")</f>
        <v/>
      </c>
      <c r="DS75" s="894" t="str">
        <f>IFERROR(IF($B75&gt;0,PASHEET!AY75+MARKS!AQ75+MARKS!AY75+MARKS!BG75+MARKS!BO75,""),"Ab")</f>
        <v/>
      </c>
      <c r="DT75" s="894" t="str">
        <f>IFERROR(IF($B75&gt;0,PASHEET!AZ75+MARKS!AR75+MARKS!AZ75+MARKS!BH75+MARKS!BP75,""),"Ab")</f>
        <v/>
      </c>
      <c r="DU75" s="879" t="str">
        <f t="shared" si="98"/>
        <v/>
      </c>
      <c r="DV75" s="894" t="str">
        <f t="shared" si="99"/>
        <v/>
      </c>
      <c r="DW75" s="894" t="str">
        <f t="shared" si="100"/>
        <v/>
      </c>
      <c r="DX75" s="894" t="str">
        <f t="shared" si="101"/>
        <v/>
      </c>
      <c r="DY75" s="894" t="str">
        <f t="shared" si="102"/>
        <v/>
      </c>
      <c r="DZ75" s="894" t="str">
        <f t="shared" si="103"/>
        <v/>
      </c>
      <c r="EA75" s="894" t="str">
        <f t="shared" si="104"/>
        <v/>
      </c>
      <c r="EB75" s="894" t="str">
        <f t="shared" si="105"/>
        <v/>
      </c>
      <c r="EC75" s="894" t="str">
        <f t="shared" si="106"/>
        <v/>
      </c>
    </row>
    <row r="76" spans="1:133">
      <c r="A76" s="879">
        <v>73</v>
      </c>
      <c r="B76" s="879">
        <f>STUDENT!F74</f>
        <v>0</v>
      </c>
      <c r="C76" s="879">
        <f>STUDENT!D74</f>
        <v>0</v>
      </c>
      <c r="D76" s="886">
        <f>STUDENT!E74</f>
        <v>0</v>
      </c>
      <c r="E76" s="886">
        <f>STUDENT!H74</f>
        <v>0</v>
      </c>
      <c r="F76" s="887"/>
      <c r="G76" s="887"/>
      <c r="H76" s="887"/>
      <c r="I76" s="887"/>
      <c r="J76" s="887"/>
      <c r="K76" s="887"/>
      <c r="L76" s="887"/>
      <c r="M76" s="888">
        <f t="shared" si="56"/>
        <v>0</v>
      </c>
      <c r="N76" s="887"/>
      <c r="O76" s="887"/>
      <c r="P76" s="887"/>
      <c r="Q76" s="887"/>
      <c r="R76" s="887"/>
      <c r="S76" s="887"/>
      <c r="T76" s="887"/>
      <c r="U76" s="889">
        <f t="shared" si="57"/>
        <v>0</v>
      </c>
      <c r="V76" s="887"/>
      <c r="W76" s="887"/>
      <c r="X76" s="887"/>
      <c r="Y76" s="887"/>
      <c r="Z76" s="887"/>
      <c r="AA76" s="887"/>
      <c r="AB76" s="887"/>
      <c r="AC76" s="890">
        <f t="shared" si="58"/>
        <v>0</v>
      </c>
      <c r="AD76" s="887"/>
      <c r="AE76" s="887"/>
      <c r="AF76" s="887"/>
      <c r="AG76" s="887"/>
      <c r="AH76" s="887"/>
      <c r="AI76" s="887"/>
      <c r="AJ76" s="887"/>
      <c r="AK76" s="888" t="str">
        <f t="shared" si="59"/>
        <v/>
      </c>
      <c r="AL76" s="887"/>
      <c r="AM76" s="887"/>
      <c r="AN76" s="887"/>
      <c r="AO76" s="887"/>
      <c r="AP76" s="887"/>
      <c r="AQ76" s="887"/>
      <c r="AR76" s="887"/>
      <c r="AS76" s="891">
        <f t="shared" si="60"/>
        <v>0</v>
      </c>
      <c r="AT76" s="887"/>
      <c r="AU76" s="887"/>
      <c r="AV76" s="887"/>
      <c r="AW76" s="887"/>
      <c r="AX76" s="887"/>
      <c r="AY76" s="887"/>
      <c r="AZ76" s="887"/>
      <c r="BA76" s="889">
        <f t="shared" si="61"/>
        <v>0</v>
      </c>
      <c r="BB76" s="887"/>
      <c r="BC76" s="887"/>
      <c r="BD76" s="887"/>
      <c r="BE76" s="887"/>
      <c r="BF76" s="887"/>
      <c r="BG76" s="887"/>
      <c r="BH76" s="887"/>
      <c r="BI76" s="890">
        <f t="shared" si="62"/>
        <v>0</v>
      </c>
      <c r="BJ76" s="887"/>
      <c r="BK76" s="887"/>
      <c r="BL76" s="887"/>
      <c r="BM76" s="887"/>
      <c r="BN76" s="887"/>
      <c r="BO76" s="887"/>
      <c r="BP76" s="887"/>
      <c r="BQ76" s="888" t="str">
        <f t="shared" si="63"/>
        <v/>
      </c>
      <c r="BR76" s="892" t="str">
        <f t="shared" si="64"/>
        <v/>
      </c>
      <c r="BS76" s="892" t="str">
        <f t="shared" si="65"/>
        <v/>
      </c>
      <c r="BT76" s="892" t="str">
        <f t="shared" si="66"/>
        <v/>
      </c>
      <c r="BU76" s="892" t="str">
        <f t="shared" si="67"/>
        <v/>
      </c>
      <c r="BV76" s="892" t="str">
        <f t="shared" si="68"/>
        <v/>
      </c>
      <c r="BW76" s="892" t="str">
        <f t="shared" si="69"/>
        <v/>
      </c>
      <c r="BX76" s="892" t="str">
        <f t="shared" si="70"/>
        <v/>
      </c>
      <c r="BY76" s="892" t="str">
        <f t="shared" si="71"/>
        <v/>
      </c>
      <c r="BZ76" s="892" t="str">
        <f t="shared" si="72"/>
        <v/>
      </c>
      <c r="CA76" s="892" t="str">
        <f t="shared" si="73"/>
        <v/>
      </c>
      <c r="CB76" s="892" t="str">
        <f t="shared" si="74"/>
        <v/>
      </c>
      <c r="CC76" s="892" t="str">
        <f t="shared" si="75"/>
        <v/>
      </c>
      <c r="CD76" s="892" t="str">
        <f t="shared" si="76"/>
        <v/>
      </c>
      <c r="CE76" s="892" t="str">
        <f t="shared" si="77"/>
        <v/>
      </c>
      <c r="CF76" s="892" t="str">
        <f t="shared" si="78"/>
        <v/>
      </c>
      <c r="CG76" s="892" t="str">
        <f t="shared" si="79"/>
        <v/>
      </c>
      <c r="CH76" s="891" t="str">
        <f>IFERROR(IF($B76&gt;0,PASHEET!AL76+PASHEET!AT76+MARKS!F76+MARKS!N76+MARKS!V76+MARKS!AD76+MARKS!AL76+MARKS!AT76+MARKS!BB76+MARKS!BJ76,""),"Ab")</f>
        <v/>
      </c>
      <c r="CI76" s="891" t="str">
        <f>IFERROR(IF($B76&gt;0,PASHEET!AM76+PASHEET!AU76+MARKS!G76+MARKS!O76+MARKS!W76+MARKS!AE76+MARKS!AM76+MARKS!AU76+MARKS!BC76+MARKS!BK76,""),"Ab")</f>
        <v/>
      </c>
      <c r="CJ76" s="891" t="str">
        <f>IFERROR(IF($B76&gt;0,PASHEET!AN76+PASHEET!AV76+MARKS!H76+MARKS!P76+MARKS!X76+MARKS!AF76+MARKS!AN76+MARKS!AV76+MARKS!BD76+MARKS!BL76,""),"Ab")</f>
        <v/>
      </c>
      <c r="CK76" s="891" t="str">
        <f>IFERROR(IF($B76&gt;0,PASHEET!AO76+PASHEET!AW76+MARKS!I76+MARKS!Q76+MARKS!Y76+MARKS!AG76+MARKS!AO76+MARKS!AW76+MARKS!BE76+MARKS!BM76,""),"Ab")</f>
        <v/>
      </c>
      <c r="CL76" s="891" t="str">
        <f>IFERROR(IF($B76&gt;0,PASHEET!AP76+PASHEET!AX76+MARKS!J76+MARKS!R76+MARKS!Z76+MARKS!AH76+MARKS!AP76+MARKS!AX76+MARKS!BF76+MARKS!BN76,""),"Ab")</f>
        <v/>
      </c>
      <c r="CM76" s="891" t="str">
        <f>IFERROR(IF($B76&gt;0,PASHEET!AQ76+PASHEET!AY76+MARKS!K76+MARKS!S76+MARKS!AA76+MARKS!AI76+MARKS!AQ76+MARKS!AY76+MARKS!BG76+MARKS!BO76,""),"Ab")</f>
        <v/>
      </c>
      <c r="CN76" s="891" t="str">
        <f>IFERROR(IF($B76&gt;0,PASHEET!AR76+PASHEET!AZ76+MARKS!L76+MARKS!T76+MARKS!AB76+MARKS!AJ76+MARKS!AR76+MARKS!AZ76+MARKS!BH76+MARKS!BP76,""),"Ab")</f>
        <v/>
      </c>
      <c r="CO76" s="891" t="str">
        <f t="shared" si="80"/>
        <v/>
      </c>
      <c r="CP76" s="893" t="str">
        <f t="shared" si="81"/>
        <v/>
      </c>
      <c r="CQ76" s="893" t="str">
        <f t="shared" si="82"/>
        <v/>
      </c>
      <c r="CR76" s="893" t="str">
        <f t="shared" si="83"/>
        <v/>
      </c>
      <c r="CS76" s="893" t="str">
        <f t="shared" si="84"/>
        <v/>
      </c>
      <c r="CT76" s="893" t="str">
        <f t="shared" si="85"/>
        <v/>
      </c>
      <c r="CU76" s="893" t="str">
        <f t="shared" si="86"/>
        <v/>
      </c>
      <c r="CV76" s="893" t="str">
        <f t="shared" si="87"/>
        <v/>
      </c>
      <c r="CW76" s="893" t="str">
        <f t="shared" si="88"/>
        <v/>
      </c>
      <c r="CX76" s="894" t="str">
        <f>IFERROR(IF($B76&gt;0,PASHEET!AL76+MARKS!F76+MARKS!N76+MARKS!V76+MARKS!AD76,""),"Ab")</f>
        <v/>
      </c>
      <c r="CY76" s="894" t="str">
        <f>IFERROR(IF($B76&gt;0,PASHEET!AM76+MARKS!G76+MARKS!O76+MARKS!W76+MARKS!AE76,""),"Ab")</f>
        <v/>
      </c>
      <c r="CZ76" s="894" t="str">
        <f>IFERROR(IF($B76&gt;0,PASHEET!AN76+MARKS!H76+MARKS!P76+MARKS!X76+MARKS!AF76,""),"Ab")</f>
        <v/>
      </c>
      <c r="DA76" s="894" t="str">
        <f>IFERROR(IF($B76&gt;0,PASHEET!AO76+MARKS!I76+MARKS!Q76+MARKS!Y76+MARKS!AG76,""),"Ab")</f>
        <v/>
      </c>
      <c r="DB76" s="894" t="str">
        <f>IFERROR(IF($B76&gt;0,PASHEET!AP76+MARKS!J76+MARKS!R76+MARKS!Z76+MARKS!AH76,""),"Ab")</f>
        <v/>
      </c>
      <c r="DC76" s="894" t="str">
        <f>IFERROR(IF($B76&gt;0,PASHEET!AQ76+MARKS!K76+MARKS!S76+MARKS!AA76+MARKS!AI76,""),"Ab")</f>
        <v/>
      </c>
      <c r="DD76" s="894" t="str">
        <f>IFERROR(IF($B76&gt;0,PASHEET!AR76+MARKS!L76+MARKS!T76+MARKS!AB76+MARKS!AJ76,""),"Ab")</f>
        <v/>
      </c>
      <c r="DE76" s="879" t="str">
        <f t="shared" si="89"/>
        <v/>
      </c>
      <c r="DF76" s="894" t="str">
        <f t="shared" si="90"/>
        <v/>
      </c>
      <c r="DG76" s="894" t="str">
        <f t="shared" si="91"/>
        <v/>
      </c>
      <c r="DH76" s="894" t="str">
        <f t="shared" si="92"/>
        <v/>
      </c>
      <c r="DI76" s="894" t="str">
        <f t="shared" si="93"/>
        <v/>
      </c>
      <c r="DJ76" s="894" t="str">
        <f t="shared" si="94"/>
        <v/>
      </c>
      <c r="DK76" s="894" t="str">
        <f t="shared" si="95"/>
        <v/>
      </c>
      <c r="DL76" s="894" t="str">
        <f t="shared" si="96"/>
        <v/>
      </c>
      <c r="DM76" s="894" t="str">
        <f t="shared" si="97"/>
        <v/>
      </c>
      <c r="DN76" s="894" t="str">
        <f>IFERROR(IF($B76&gt;0,PASHEET!AT76+MARKS!AL76+MARKS!AT76+MARKS!BB76+MARKS!BJ76,""),"Ab")</f>
        <v/>
      </c>
      <c r="DO76" s="894" t="str">
        <f>IFERROR(IF($B76&gt;0,PASHEET!AU76+MARKS!AM76+MARKS!AU76+MARKS!BC76+MARKS!BK76,""),"Ab")</f>
        <v/>
      </c>
      <c r="DP76" s="894" t="str">
        <f>IFERROR(IF($B76&gt;0,PASHEET!AV76+MARKS!AN76+MARKS!AV76+MARKS!BD76+MARKS!BL76,""),"Ab")</f>
        <v/>
      </c>
      <c r="DQ76" s="894" t="str">
        <f>IFERROR(IF($B76&gt;0,PASHEET!AW76+MARKS!AO76+MARKS!AW76+MARKS!BE76+MARKS!BM76,""),"Ab")</f>
        <v/>
      </c>
      <c r="DR76" s="894" t="str">
        <f>IFERROR(IF($B76&gt;0,PASHEET!AX76+MARKS!AP76+MARKS!AX76+MARKS!BF76+MARKS!BN76,""),"Ab")</f>
        <v/>
      </c>
      <c r="DS76" s="894" t="str">
        <f>IFERROR(IF($B76&gt;0,PASHEET!AY76+MARKS!AQ76+MARKS!AY76+MARKS!BG76+MARKS!BO76,""),"Ab")</f>
        <v/>
      </c>
      <c r="DT76" s="894" t="str">
        <f>IFERROR(IF($B76&gt;0,PASHEET!AZ76+MARKS!AR76+MARKS!AZ76+MARKS!BH76+MARKS!BP76,""),"Ab")</f>
        <v/>
      </c>
      <c r="DU76" s="879" t="str">
        <f t="shared" si="98"/>
        <v/>
      </c>
      <c r="DV76" s="894" t="str">
        <f t="shared" si="99"/>
        <v/>
      </c>
      <c r="DW76" s="894" t="str">
        <f t="shared" si="100"/>
        <v/>
      </c>
      <c r="DX76" s="894" t="str">
        <f t="shared" si="101"/>
        <v/>
      </c>
      <c r="DY76" s="894" t="str">
        <f t="shared" si="102"/>
        <v/>
      </c>
      <c r="DZ76" s="894" t="str">
        <f t="shared" si="103"/>
        <v/>
      </c>
      <c r="EA76" s="894" t="str">
        <f t="shared" si="104"/>
        <v/>
      </c>
      <c r="EB76" s="894" t="str">
        <f t="shared" si="105"/>
        <v/>
      </c>
      <c r="EC76" s="894" t="str">
        <f t="shared" si="106"/>
        <v/>
      </c>
    </row>
    <row r="77" spans="1:133">
      <c r="A77" s="879">
        <v>74</v>
      </c>
      <c r="B77" s="879">
        <f>STUDENT!F75</f>
        <v>0</v>
      </c>
      <c r="C77" s="879">
        <f>STUDENT!D75</f>
        <v>0</v>
      </c>
      <c r="D77" s="886">
        <f>STUDENT!E75</f>
        <v>0</v>
      </c>
      <c r="E77" s="886">
        <f>STUDENT!H75</f>
        <v>0</v>
      </c>
      <c r="F77" s="887"/>
      <c r="G77" s="887"/>
      <c r="H77" s="887"/>
      <c r="I77" s="887"/>
      <c r="J77" s="887"/>
      <c r="K77" s="887"/>
      <c r="L77" s="887"/>
      <c r="M77" s="888">
        <f t="shared" si="56"/>
        <v>0</v>
      </c>
      <c r="N77" s="887"/>
      <c r="O77" s="887"/>
      <c r="P77" s="887"/>
      <c r="Q77" s="887"/>
      <c r="R77" s="887"/>
      <c r="S77" s="887"/>
      <c r="T77" s="887"/>
      <c r="U77" s="889">
        <f t="shared" si="57"/>
        <v>0</v>
      </c>
      <c r="V77" s="887"/>
      <c r="W77" s="887"/>
      <c r="X77" s="887"/>
      <c r="Y77" s="887"/>
      <c r="Z77" s="887"/>
      <c r="AA77" s="887"/>
      <c r="AB77" s="887"/>
      <c r="AC77" s="890">
        <f t="shared" si="58"/>
        <v>0</v>
      </c>
      <c r="AD77" s="887"/>
      <c r="AE77" s="887"/>
      <c r="AF77" s="887"/>
      <c r="AG77" s="887"/>
      <c r="AH77" s="887"/>
      <c r="AI77" s="887"/>
      <c r="AJ77" s="887"/>
      <c r="AK77" s="888" t="str">
        <f t="shared" si="59"/>
        <v/>
      </c>
      <c r="AL77" s="887"/>
      <c r="AM77" s="887"/>
      <c r="AN77" s="887"/>
      <c r="AO77" s="887"/>
      <c r="AP77" s="887"/>
      <c r="AQ77" s="887"/>
      <c r="AR77" s="887"/>
      <c r="AS77" s="891">
        <f t="shared" si="60"/>
        <v>0</v>
      </c>
      <c r="AT77" s="887"/>
      <c r="AU77" s="887"/>
      <c r="AV77" s="887"/>
      <c r="AW77" s="887"/>
      <c r="AX77" s="887"/>
      <c r="AY77" s="887"/>
      <c r="AZ77" s="887"/>
      <c r="BA77" s="889">
        <f t="shared" si="61"/>
        <v>0</v>
      </c>
      <c r="BB77" s="887"/>
      <c r="BC77" s="887"/>
      <c r="BD77" s="887"/>
      <c r="BE77" s="887"/>
      <c r="BF77" s="887"/>
      <c r="BG77" s="887"/>
      <c r="BH77" s="887"/>
      <c r="BI77" s="890">
        <f t="shared" si="62"/>
        <v>0</v>
      </c>
      <c r="BJ77" s="887"/>
      <c r="BK77" s="887"/>
      <c r="BL77" s="887"/>
      <c r="BM77" s="887"/>
      <c r="BN77" s="887"/>
      <c r="BO77" s="887"/>
      <c r="BP77" s="887"/>
      <c r="BQ77" s="888" t="str">
        <f t="shared" si="63"/>
        <v/>
      </c>
      <c r="BR77" s="892" t="str">
        <f t="shared" si="64"/>
        <v/>
      </c>
      <c r="BS77" s="892" t="str">
        <f t="shared" si="65"/>
        <v/>
      </c>
      <c r="BT77" s="892" t="str">
        <f t="shared" si="66"/>
        <v/>
      </c>
      <c r="BU77" s="892" t="str">
        <f t="shared" si="67"/>
        <v/>
      </c>
      <c r="BV77" s="892" t="str">
        <f t="shared" si="68"/>
        <v/>
      </c>
      <c r="BW77" s="892" t="str">
        <f t="shared" si="69"/>
        <v/>
      </c>
      <c r="BX77" s="892" t="str">
        <f t="shared" si="70"/>
        <v/>
      </c>
      <c r="BY77" s="892" t="str">
        <f t="shared" si="71"/>
        <v/>
      </c>
      <c r="BZ77" s="892" t="str">
        <f t="shared" si="72"/>
        <v/>
      </c>
      <c r="CA77" s="892" t="str">
        <f t="shared" si="73"/>
        <v/>
      </c>
      <c r="CB77" s="892" t="str">
        <f t="shared" si="74"/>
        <v/>
      </c>
      <c r="CC77" s="892" t="str">
        <f t="shared" si="75"/>
        <v/>
      </c>
      <c r="CD77" s="892" t="str">
        <f t="shared" si="76"/>
        <v/>
      </c>
      <c r="CE77" s="892" t="str">
        <f t="shared" si="77"/>
        <v/>
      </c>
      <c r="CF77" s="892" t="str">
        <f t="shared" si="78"/>
        <v/>
      </c>
      <c r="CG77" s="892" t="str">
        <f t="shared" si="79"/>
        <v/>
      </c>
      <c r="CH77" s="891" t="str">
        <f>IFERROR(IF($B77&gt;0,PASHEET!AL77+PASHEET!AT77+MARKS!F77+MARKS!N77+MARKS!V77+MARKS!AD77+MARKS!AL77+MARKS!AT77+MARKS!BB77+MARKS!BJ77,""),"Ab")</f>
        <v/>
      </c>
      <c r="CI77" s="891" t="str">
        <f>IFERROR(IF($B77&gt;0,PASHEET!AM77+PASHEET!AU77+MARKS!G77+MARKS!O77+MARKS!W77+MARKS!AE77+MARKS!AM77+MARKS!AU77+MARKS!BC77+MARKS!BK77,""),"Ab")</f>
        <v/>
      </c>
      <c r="CJ77" s="891" t="str">
        <f>IFERROR(IF($B77&gt;0,PASHEET!AN77+PASHEET!AV77+MARKS!H77+MARKS!P77+MARKS!X77+MARKS!AF77+MARKS!AN77+MARKS!AV77+MARKS!BD77+MARKS!BL77,""),"Ab")</f>
        <v/>
      </c>
      <c r="CK77" s="891" t="str">
        <f>IFERROR(IF($B77&gt;0,PASHEET!AO77+PASHEET!AW77+MARKS!I77+MARKS!Q77+MARKS!Y77+MARKS!AG77+MARKS!AO77+MARKS!AW77+MARKS!BE77+MARKS!BM77,""),"Ab")</f>
        <v/>
      </c>
      <c r="CL77" s="891" t="str">
        <f>IFERROR(IF($B77&gt;0,PASHEET!AP77+PASHEET!AX77+MARKS!J77+MARKS!R77+MARKS!Z77+MARKS!AH77+MARKS!AP77+MARKS!AX77+MARKS!BF77+MARKS!BN77,""),"Ab")</f>
        <v/>
      </c>
      <c r="CM77" s="891" t="str">
        <f>IFERROR(IF($B77&gt;0,PASHEET!AQ77+PASHEET!AY77+MARKS!K77+MARKS!S77+MARKS!AA77+MARKS!AI77+MARKS!AQ77+MARKS!AY77+MARKS!BG77+MARKS!BO77,""),"Ab")</f>
        <v/>
      </c>
      <c r="CN77" s="891" t="str">
        <f>IFERROR(IF($B77&gt;0,PASHEET!AR77+PASHEET!AZ77+MARKS!L77+MARKS!T77+MARKS!AB77+MARKS!AJ77+MARKS!AR77+MARKS!AZ77+MARKS!BH77+MARKS!BP77,""),"Ab")</f>
        <v/>
      </c>
      <c r="CO77" s="891" t="str">
        <f t="shared" si="80"/>
        <v/>
      </c>
      <c r="CP77" s="893" t="str">
        <f t="shared" si="81"/>
        <v/>
      </c>
      <c r="CQ77" s="893" t="str">
        <f t="shared" si="82"/>
        <v/>
      </c>
      <c r="CR77" s="893" t="str">
        <f t="shared" si="83"/>
        <v/>
      </c>
      <c r="CS77" s="893" t="str">
        <f t="shared" si="84"/>
        <v/>
      </c>
      <c r="CT77" s="893" t="str">
        <f t="shared" si="85"/>
        <v/>
      </c>
      <c r="CU77" s="893" t="str">
        <f t="shared" si="86"/>
        <v/>
      </c>
      <c r="CV77" s="893" t="str">
        <f t="shared" si="87"/>
        <v/>
      </c>
      <c r="CW77" s="893" t="str">
        <f t="shared" si="88"/>
        <v/>
      </c>
      <c r="CX77" s="894" t="str">
        <f>IFERROR(IF($B77&gt;0,PASHEET!AL77+MARKS!F77+MARKS!N77+MARKS!V77+MARKS!AD77,""),"Ab")</f>
        <v/>
      </c>
      <c r="CY77" s="894" t="str">
        <f>IFERROR(IF($B77&gt;0,PASHEET!AM77+MARKS!G77+MARKS!O77+MARKS!W77+MARKS!AE77,""),"Ab")</f>
        <v/>
      </c>
      <c r="CZ77" s="894" t="str">
        <f>IFERROR(IF($B77&gt;0,PASHEET!AN77+MARKS!H77+MARKS!P77+MARKS!X77+MARKS!AF77,""),"Ab")</f>
        <v/>
      </c>
      <c r="DA77" s="894" t="str">
        <f>IFERROR(IF($B77&gt;0,PASHEET!AO77+MARKS!I77+MARKS!Q77+MARKS!Y77+MARKS!AG77,""),"Ab")</f>
        <v/>
      </c>
      <c r="DB77" s="894" t="str">
        <f>IFERROR(IF($B77&gt;0,PASHEET!AP77+MARKS!J77+MARKS!R77+MARKS!Z77+MARKS!AH77,""),"Ab")</f>
        <v/>
      </c>
      <c r="DC77" s="894" t="str">
        <f>IFERROR(IF($B77&gt;0,PASHEET!AQ77+MARKS!K77+MARKS!S77+MARKS!AA77+MARKS!AI77,""),"Ab")</f>
        <v/>
      </c>
      <c r="DD77" s="894" t="str">
        <f>IFERROR(IF($B77&gt;0,PASHEET!AR77+MARKS!L77+MARKS!T77+MARKS!AB77+MARKS!AJ77,""),"Ab")</f>
        <v/>
      </c>
      <c r="DE77" s="879" t="str">
        <f t="shared" si="89"/>
        <v/>
      </c>
      <c r="DF77" s="894" t="str">
        <f t="shared" si="90"/>
        <v/>
      </c>
      <c r="DG77" s="894" t="str">
        <f t="shared" si="91"/>
        <v/>
      </c>
      <c r="DH77" s="894" t="str">
        <f t="shared" si="92"/>
        <v/>
      </c>
      <c r="DI77" s="894" t="str">
        <f t="shared" si="93"/>
        <v/>
      </c>
      <c r="DJ77" s="894" t="str">
        <f t="shared" si="94"/>
        <v/>
      </c>
      <c r="DK77" s="894" t="str">
        <f t="shared" si="95"/>
        <v/>
      </c>
      <c r="DL77" s="894" t="str">
        <f t="shared" si="96"/>
        <v/>
      </c>
      <c r="DM77" s="894" t="str">
        <f t="shared" si="97"/>
        <v/>
      </c>
      <c r="DN77" s="894" t="str">
        <f>IFERROR(IF($B77&gt;0,PASHEET!AT77+MARKS!AL77+MARKS!AT77+MARKS!BB77+MARKS!BJ77,""),"Ab")</f>
        <v/>
      </c>
      <c r="DO77" s="894" t="str">
        <f>IFERROR(IF($B77&gt;0,PASHEET!AU77+MARKS!AM77+MARKS!AU77+MARKS!BC77+MARKS!BK77,""),"Ab")</f>
        <v/>
      </c>
      <c r="DP77" s="894" t="str">
        <f>IFERROR(IF($B77&gt;0,PASHEET!AV77+MARKS!AN77+MARKS!AV77+MARKS!BD77+MARKS!BL77,""),"Ab")</f>
        <v/>
      </c>
      <c r="DQ77" s="894" t="str">
        <f>IFERROR(IF($B77&gt;0,PASHEET!AW77+MARKS!AO77+MARKS!AW77+MARKS!BE77+MARKS!BM77,""),"Ab")</f>
        <v/>
      </c>
      <c r="DR77" s="894" t="str">
        <f>IFERROR(IF($B77&gt;0,PASHEET!AX77+MARKS!AP77+MARKS!AX77+MARKS!BF77+MARKS!BN77,""),"Ab")</f>
        <v/>
      </c>
      <c r="DS77" s="894" t="str">
        <f>IFERROR(IF($B77&gt;0,PASHEET!AY77+MARKS!AQ77+MARKS!AY77+MARKS!BG77+MARKS!BO77,""),"Ab")</f>
        <v/>
      </c>
      <c r="DT77" s="894" t="str">
        <f>IFERROR(IF($B77&gt;0,PASHEET!AZ77+MARKS!AR77+MARKS!AZ77+MARKS!BH77+MARKS!BP77,""),"Ab")</f>
        <v/>
      </c>
      <c r="DU77" s="879" t="str">
        <f t="shared" si="98"/>
        <v/>
      </c>
      <c r="DV77" s="894" t="str">
        <f t="shared" si="99"/>
        <v/>
      </c>
      <c r="DW77" s="894" t="str">
        <f t="shared" si="100"/>
        <v/>
      </c>
      <c r="DX77" s="894" t="str">
        <f t="shared" si="101"/>
        <v/>
      </c>
      <c r="DY77" s="894" t="str">
        <f t="shared" si="102"/>
        <v/>
      </c>
      <c r="DZ77" s="894" t="str">
        <f t="shared" si="103"/>
        <v/>
      </c>
      <c r="EA77" s="894" t="str">
        <f t="shared" si="104"/>
        <v/>
      </c>
      <c r="EB77" s="894" t="str">
        <f t="shared" si="105"/>
        <v/>
      </c>
      <c r="EC77" s="894" t="str">
        <f t="shared" si="106"/>
        <v/>
      </c>
    </row>
    <row r="78" spans="1:133">
      <c r="A78" s="879">
        <v>75</v>
      </c>
      <c r="B78" s="879">
        <f>STUDENT!F76</f>
        <v>0</v>
      </c>
      <c r="C78" s="879">
        <f>STUDENT!D76</f>
        <v>0</v>
      </c>
      <c r="D78" s="886">
        <f>STUDENT!E76</f>
        <v>0</v>
      </c>
      <c r="E78" s="886">
        <f>STUDENT!H76</f>
        <v>0</v>
      </c>
      <c r="F78" s="887"/>
      <c r="G78" s="887"/>
      <c r="H78" s="887"/>
      <c r="I78" s="887"/>
      <c r="J78" s="887"/>
      <c r="K78" s="887"/>
      <c r="L78" s="887"/>
      <c r="M78" s="888">
        <f t="shared" si="56"/>
        <v>0</v>
      </c>
      <c r="N78" s="887"/>
      <c r="O78" s="887"/>
      <c r="P78" s="887"/>
      <c r="Q78" s="887"/>
      <c r="R78" s="887"/>
      <c r="S78" s="887"/>
      <c r="T78" s="887"/>
      <c r="U78" s="889">
        <f t="shared" si="57"/>
        <v>0</v>
      </c>
      <c r="V78" s="887"/>
      <c r="W78" s="887"/>
      <c r="X78" s="887"/>
      <c r="Y78" s="887"/>
      <c r="Z78" s="887"/>
      <c r="AA78" s="887"/>
      <c r="AB78" s="887"/>
      <c r="AC78" s="890">
        <f t="shared" si="58"/>
        <v>0</v>
      </c>
      <c r="AD78" s="887"/>
      <c r="AE78" s="887"/>
      <c r="AF78" s="887"/>
      <c r="AG78" s="887"/>
      <c r="AH78" s="887"/>
      <c r="AI78" s="887"/>
      <c r="AJ78" s="887"/>
      <c r="AK78" s="888" t="str">
        <f t="shared" si="59"/>
        <v/>
      </c>
      <c r="AL78" s="887"/>
      <c r="AM78" s="887"/>
      <c r="AN78" s="887"/>
      <c r="AO78" s="887"/>
      <c r="AP78" s="887"/>
      <c r="AQ78" s="887"/>
      <c r="AR78" s="887"/>
      <c r="AS78" s="891">
        <f t="shared" si="60"/>
        <v>0</v>
      </c>
      <c r="AT78" s="887"/>
      <c r="AU78" s="887"/>
      <c r="AV78" s="887"/>
      <c r="AW78" s="887"/>
      <c r="AX78" s="887"/>
      <c r="AY78" s="887"/>
      <c r="AZ78" s="887"/>
      <c r="BA78" s="889">
        <f t="shared" si="61"/>
        <v>0</v>
      </c>
      <c r="BB78" s="887"/>
      <c r="BC78" s="887"/>
      <c r="BD78" s="887"/>
      <c r="BE78" s="887"/>
      <c r="BF78" s="887"/>
      <c r="BG78" s="887"/>
      <c r="BH78" s="887"/>
      <c r="BI78" s="890">
        <f t="shared" si="62"/>
        <v>0</v>
      </c>
      <c r="BJ78" s="887"/>
      <c r="BK78" s="887"/>
      <c r="BL78" s="887"/>
      <c r="BM78" s="887"/>
      <c r="BN78" s="887"/>
      <c r="BO78" s="887"/>
      <c r="BP78" s="887"/>
      <c r="BQ78" s="888" t="str">
        <f t="shared" si="63"/>
        <v/>
      </c>
      <c r="BR78" s="892" t="str">
        <f t="shared" si="64"/>
        <v/>
      </c>
      <c r="BS78" s="892" t="str">
        <f t="shared" si="65"/>
        <v/>
      </c>
      <c r="BT78" s="892" t="str">
        <f t="shared" si="66"/>
        <v/>
      </c>
      <c r="BU78" s="892" t="str">
        <f t="shared" si="67"/>
        <v/>
      </c>
      <c r="BV78" s="892" t="str">
        <f t="shared" si="68"/>
        <v/>
      </c>
      <c r="BW78" s="892" t="str">
        <f t="shared" si="69"/>
        <v/>
      </c>
      <c r="BX78" s="892" t="str">
        <f t="shared" si="70"/>
        <v/>
      </c>
      <c r="BY78" s="892" t="str">
        <f t="shared" si="71"/>
        <v/>
      </c>
      <c r="BZ78" s="892" t="str">
        <f t="shared" si="72"/>
        <v/>
      </c>
      <c r="CA78" s="892" t="str">
        <f t="shared" si="73"/>
        <v/>
      </c>
      <c r="CB78" s="892" t="str">
        <f t="shared" si="74"/>
        <v/>
      </c>
      <c r="CC78" s="892" t="str">
        <f t="shared" si="75"/>
        <v/>
      </c>
      <c r="CD78" s="892" t="str">
        <f t="shared" si="76"/>
        <v/>
      </c>
      <c r="CE78" s="892" t="str">
        <f t="shared" si="77"/>
        <v/>
      </c>
      <c r="CF78" s="892" t="str">
        <f t="shared" si="78"/>
        <v/>
      </c>
      <c r="CG78" s="892" t="str">
        <f t="shared" si="79"/>
        <v/>
      </c>
      <c r="CH78" s="891" t="str">
        <f>IFERROR(IF($B78&gt;0,PASHEET!AL78+PASHEET!AT78+MARKS!F78+MARKS!N78+MARKS!V78+MARKS!AD78+MARKS!AL78+MARKS!AT78+MARKS!BB78+MARKS!BJ78,""),"Ab")</f>
        <v/>
      </c>
      <c r="CI78" s="891" t="str">
        <f>IFERROR(IF($B78&gt;0,PASHEET!AM78+PASHEET!AU78+MARKS!G78+MARKS!O78+MARKS!W78+MARKS!AE78+MARKS!AM78+MARKS!AU78+MARKS!BC78+MARKS!BK78,""),"Ab")</f>
        <v/>
      </c>
      <c r="CJ78" s="891" t="str">
        <f>IFERROR(IF($B78&gt;0,PASHEET!AN78+PASHEET!AV78+MARKS!H78+MARKS!P78+MARKS!X78+MARKS!AF78+MARKS!AN78+MARKS!AV78+MARKS!BD78+MARKS!BL78,""),"Ab")</f>
        <v/>
      </c>
      <c r="CK78" s="891" t="str">
        <f>IFERROR(IF($B78&gt;0,PASHEET!AO78+PASHEET!AW78+MARKS!I78+MARKS!Q78+MARKS!Y78+MARKS!AG78+MARKS!AO78+MARKS!AW78+MARKS!BE78+MARKS!BM78,""),"Ab")</f>
        <v/>
      </c>
      <c r="CL78" s="891" t="str">
        <f>IFERROR(IF($B78&gt;0,PASHEET!AP78+PASHEET!AX78+MARKS!J78+MARKS!R78+MARKS!Z78+MARKS!AH78+MARKS!AP78+MARKS!AX78+MARKS!BF78+MARKS!BN78,""),"Ab")</f>
        <v/>
      </c>
      <c r="CM78" s="891" t="str">
        <f>IFERROR(IF($B78&gt;0,PASHEET!AQ78+PASHEET!AY78+MARKS!K78+MARKS!S78+MARKS!AA78+MARKS!AI78+MARKS!AQ78+MARKS!AY78+MARKS!BG78+MARKS!BO78,""),"Ab")</f>
        <v/>
      </c>
      <c r="CN78" s="891" t="str">
        <f>IFERROR(IF($B78&gt;0,PASHEET!AR78+PASHEET!AZ78+MARKS!L78+MARKS!T78+MARKS!AB78+MARKS!AJ78+MARKS!AR78+MARKS!AZ78+MARKS!BH78+MARKS!BP78,""),"Ab")</f>
        <v/>
      </c>
      <c r="CO78" s="891" t="str">
        <f t="shared" si="80"/>
        <v/>
      </c>
      <c r="CP78" s="893" t="str">
        <f t="shared" si="81"/>
        <v/>
      </c>
      <c r="CQ78" s="893" t="str">
        <f t="shared" si="82"/>
        <v/>
      </c>
      <c r="CR78" s="893" t="str">
        <f t="shared" si="83"/>
        <v/>
      </c>
      <c r="CS78" s="893" t="str">
        <f t="shared" si="84"/>
        <v/>
      </c>
      <c r="CT78" s="893" t="str">
        <f t="shared" si="85"/>
        <v/>
      </c>
      <c r="CU78" s="893" t="str">
        <f t="shared" si="86"/>
        <v/>
      </c>
      <c r="CV78" s="893" t="str">
        <f t="shared" si="87"/>
        <v/>
      </c>
      <c r="CW78" s="893" t="str">
        <f t="shared" si="88"/>
        <v/>
      </c>
      <c r="CX78" s="894" t="str">
        <f>IFERROR(IF($B78&gt;0,PASHEET!AL78+MARKS!F78+MARKS!N78+MARKS!V78+MARKS!AD78,""),"Ab")</f>
        <v/>
      </c>
      <c r="CY78" s="894" t="str">
        <f>IFERROR(IF($B78&gt;0,PASHEET!AM78+MARKS!G78+MARKS!O78+MARKS!W78+MARKS!AE78,""),"Ab")</f>
        <v/>
      </c>
      <c r="CZ78" s="894" t="str">
        <f>IFERROR(IF($B78&gt;0,PASHEET!AN78+MARKS!H78+MARKS!P78+MARKS!X78+MARKS!AF78,""),"Ab")</f>
        <v/>
      </c>
      <c r="DA78" s="894" t="str">
        <f>IFERROR(IF($B78&gt;0,PASHEET!AO78+MARKS!I78+MARKS!Q78+MARKS!Y78+MARKS!AG78,""),"Ab")</f>
        <v/>
      </c>
      <c r="DB78" s="894" t="str">
        <f>IFERROR(IF($B78&gt;0,PASHEET!AP78+MARKS!J78+MARKS!R78+MARKS!Z78+MARKS!AH78,""),"Ab")</f>
        <v/>
      </c>
      <c r="DC78" s="894" t="str">
        <f>IFERROR(IF($B78&gt;0,PASHEET!AQ78+MARKS!K78+MARKS!S78+MARKS!AA78+MARKS!AI78,""),"Ab")</f>
        <v/>
      </c>
      <c r="DD78" s="894" t="str">
        <f>IFERROR(IF($B78&gt;0,PASHEET!AR78+MARKS!L78+MARKS!T78+MARKS!AB78+MARKS!AJ78,""),"Ab")</f>
        <v/>
      </c>
      <c r="DE78" s="879" t="str">
        <f t="shared" si="89"/>
        <v/>
      </c>
      <c r="DF78" s="894" t="str">
        <f t="shared" si="90"/>
        <v/>
      </c>
      <c r="DG78" s="894" t="str">
        <f t="shared" si="91"/>
        <v/>
      </c>
      <c r="DH78" s="894" t="str">
        <f t="shared" si="92"/>
        <v/>
      </c>
      <c r="DI78" s="894" t="str">
        <f t="shared" si="93"/>
        <v/>
      </c>
      <c r="DJ78" s="894" t="str">
        <f t="shared" si="94"/>
        <v/>
      </c>
      <c r="DK78" s="894" t="str">
        <f t="shared" si="95"/>
        <v/>
      </c>
      <c r="DL78" s="894" t="str">
        <f t="shared" si="96"/>
        <v/>
      </c>
      <c r="DM78" s="894" t="str">
        <f t="shared" si="97"/>
        <v/>
      </c>
      <c r="DN78" s="894" t="str">
        <f>IFERROR(IF($B78&gt;0,PASHEET!AT78+MARKS!AL78+MARKS!AT78+MARKS!BB78+MARKS!BJ78,""),"Ab")</f>
        <v/>
      </c>
      <c r="DO78" s="894" t="str">
        <f>IFERROR(IF($B78&gt;0,PASHEET!AU78+MARKS!AM78+MARKS!AU78+MARKS!BC78+MARKS!BK78,""),"Ab")</f>
        <v/>
      </c>
      <c r="DP78" s="894" t="str">
        <f>IFERROR(IF($B78&gt;0,PASHEET!AV78+MARKS!AN78+MARKS!AV78+MARKS!BD78+MARKS!BL78,""),"Ab")</f>
        <v/>
      </c>
      <c r="DQ78" s="894" t="str">
        <f>IFERROR(IF($B78&gt;0,PASHEET!AW78+MARKS!AO78+MARKS!AW78+MARKS!BE78+MARKS!BM78,""),"Ab")</f>
        <v/>
      </c>
      <c r="DR78" s="894" t="str">
        <f>IFERROR(IF($B78&gt;0,PASHEET!AX78+MARKS!AP78+MARKS!AX78+MARKS!BF78+MARKS!BN78,""),"Ab")</f>
        <v/>
      </c>
      <c r="DS78" s="894" t="str">
        <f>IFERROR(IF($B78&gt;0,PASHEET!AY78+MARKS!AQ78+MARKS!AY78+MARKS!BG78+MARKS!BO78,""),"Ab")</f>
        <v/>
      </c>
      <c r="DT78" s="894" t="str">
        <f>IFERROR(IF($B78&gt;0,PASHEET!AZ78+MARKS!AR78+MARKS!AZ78+MARKS!BH78+MARKS!BP78,""),"Ab")</f>
        <v/>
      </c>
      <c r="DU78" s="879" t="str">
        <f t="shared" si="98"/>
        <v/>
      </c>
      <c r="DV78" s="894" t="str">
        <f t="shared" si="99"/>
        <v/>
      </c>
      <c r="DW78" s="894" t="str">
        <f t="shared" si="100"/>
        <v/>
      </c>
      <c r="DX78" s="894" t="str">
        <f t="shared" si="101"/>
        <v/>
      </c>
      <c r="DY78" s="894" t="str">
        <f t="shared" si="102"/>
        <v/>
      </c>
      <c r="DZ78" s="894" t="str">
        <f t="shared" si="103"/>
        <v/>
      </c>
      <c r="EA78" s="894" t="str">
        <f t="shared" si="104"/>
        <v/>
      </c>
      <c r="EB78" s="894" t="str">
        <f t="shared" si="105"/>
        <v/>
      </c>
      <c r="EC78" s="894" t="str">
        <f t="shared" si="106"/>
        <v/>
      </c>
    </row>
    <row r="79" spans="1:133">
      <c r="A79" s="879">
        <v>76</v>
      </c>
      <c r="B79" s="879">
        <f>STUDENT!F77</f>
        <v>0</v>
      </c>
      <c r="C79" s="879">
        <f>STUDENT!D77</f>
        <v>0</v>
      </c>
      <c r="D79" s="886">
        <f>STUDENT!E77</f>
        <v>0</v>
      </c>
      <c r="E79" s="886">
        <f>STUDENT!H77</f>
        <v>0</v>
      </c>
      <c r="F79" s="887"/>
      <c r="G79" s="887"/>
      <c r="H79" s="887"/>
      <c r="I79" s="887"/>
      <c r="J79" s="887"/>
      <c r="K79" s="887"/>
      <c r="L79" s="887"/>
      <c r="M79" s="888">
        <f t="shared" si="56"/>
        <v>0</v>
      </c>
      <c r="N79" s="887"/>
      <c r="O79" s="887"/>
      <c r="P79" s="887"/>
      <c r="Q79" s="887"/>
      <c r="R79" s="887"/>
      <c r="S79" s="887"/>
      <c r="T79" s="887"/>
      <c r="U79" s="889">
        <f t="shared" si="57"/>
        <v>0</v>
      </c>
      <c r="V79" s="887"/>
      <c r="W79" s="887"/>
      <c r="X79" s="887"/>
      <c r="Y79" s="887"/>
      <c r="Z79" s="887"/>
      <c r="AA79" s="887"/>
      <c r="AB79" s="887"/>
      <c r="AC79" s="890">
        <f t="shared" si="58"/>
        <v>0</v>
      </c>
      <c r="AD79" s="887"/>
      <c r="AE79" s="887"/>
      <c r="AF79" s="887"/>
      <c r="AG79" s="887"/>
      <c r="AH79" s="887"/>
      <c r="AI79" s="887"/>
      <c r="AJ79" s="887"/>
      <c r="AK79" s="888" t="str">
        <f t="shared" si="59"/>
        <v/>
      </c>
      <c r="AL79" s="887"/>
      <c r="AM79" s="887"/>
      <c r="AN79" s="887"/>
      <c r="AO79" s="887"/>
      <c r="AP79" s="887"/>
      <c r="AQ79" s="887"/>
      <c r="AR79" s="887"/>
      <c r="AS79" s="891">
        <f t="shared" si="60"/>
        <v>0</v>
      </c>
      <c r="AT79" s="887"/>
      <c r="AU79" s="887"/>
      <c r="AV79" s="887"/>
      <c r="AW79" s="887"/>
      <c r="AX79" s="887"/>
      <c r="AY79" s="887"/>
      <c r="AZ79" s="887"/>
      <c r="BA79" s="889">
        <f t="shared" si="61"/>
        <v>0</v>
      </c>
      <c r="BB79" s="887"/>
      <c r="BC79" s="887"/>
      <c r="BD79" s="887"/>
      <c r="BE79" s="887"/>
      <c r="BF79" s="887"/>
      <c r="BG79" s="887"/>
      <c r="BH79" s="887"/>
      <c r="BI79" s="890">
        <f t="shared" si="62"/>
        <v>0</v>
      </c>
      <c r="BJ79" s="887"/>
      <c r="BK79" s="887"/>
      <c r="BL79" s="887"/>
      <c r="BM79" s="887"/>
      <c r="BN79" s="887"/>
      <c r="BO79" s="887"/>
      <c r="BP79" s="887"/>
      <c r="BQ79" s="888" t="str">
        <f t="shared" si="63"/>
        <v/>
      </c>
      <c r="BR79" s="892" t="str">
        <f t="shared" si="64"/>
        <v/>
      </c>
      <c r="BS79" s="892" t="str">
        <f t="shared" si="65"/>
        <v/>
      </c>
      <c r="BT79" s="892" t="str">
        <f t="shared" si="66"/>
        <v/>
      </c>
      <c r="BU79" s="892" t="str">
        <f t="shared" si="67"/>
        <v/>
      </c>
      <c r="BV79" s="892" t="str">
        <f t="shared" si="68"/>
        <v/>
      </c>
      <c r="BW79" s="892" t="str">
        <f t="shared" si="69"/>
        <v/>
      </c>
      <c r="BX79" s="892" t="str">
        <f t="shared" si="70"/>
        <v/>
      </c>
      <c r="BY79" s="892" t="str">
        <f t="shared" si="71"/>
        <v/>
      </c>
      <c r="BZ79" s="892" t="str">
        <f t="shared" si="72"/>
        <v/>
      </c>
      <c r="CA79" s="892" t="str">
        <f t="shared" si="73"/>
        <v/>
      </c>
      <c r="CB79" s="892" t="str">
        <f t="shared" si="74"/>
        <v/>
      </c>
      <c r="CC79" s="892" t="str">
        <f t="shared" si="75"/>
        <v/>
      </c>
      <c r="CD79" s="892" t="str">
        <f t="shared" si="76"/>
        <v/>
      </c>
      <c r="CE79" s="892" t="str">
        <f t="shared" si="77"/>
        <v/>
      </c>
      <c r="CF79" s="892" t="str">
        <f t="shared" si="78"/>
        <v/>
      </c>
      <c r="CG79" s="892" t="str">
        <f t="shared" si="79"/>
        <v/>
      </c>
      <c r="CH79" s="891" t="str">
        <f>IFERROR(IF($B79&gt;0,PASHEET!AL79+PASHEET!AT79+MARKS!F79+MARKS!N79+MARKS!V79+MARKS!AD79+MARKS!AL79+MARKS!AT79+MARKS!BB79+MARKS!BJ79,""),"Ab")</f>
        <v/>
      </c>
      <c r="CI79" s="891" t="str">
        <f>IFERROR(IF($B79&gt;0,PASHEET!AM79+PASHEET!AU79+MARKS!G79+MARKS!O79+MARKS!W79+MARKS!AE79+MARKS!AM79+MARKS!AU79+MARKS!BC79+MARKS!BK79,""),"Ab")</f>
        <v/>
      </c>
      <c r="CJ79" s="891" t="str">
        <f>IFERROR(IF($B79&gt;0,PASHEET!AN79+PASHEET!AV79+MARKS!H79+MARKS!P79+MARKS!X79+MARKS!AF79+MARKS!AN79+MARKS!AV79+MARKS!BD79+MARKS!BL79,""),"Ab")</f>
        <v/>
      </c>
      <c r="CK79" s="891" t="str">
        <f>IFERROR(IF($B79&gt;0,PASHEET!AO79+PASHEET!AW79+MARKS!I79+MARKS!Q79+MARKS!Y79+MARKS!AG79+MARKS!AO79+MARKS!AW79+MARKS!BE79+MARKS!BM79,""),"Ab")</f>
        <v/>
      </c>
      <c r="CL79" s="891" t="str">
        <f>IFERROR(IF($B79&gt;0,PASHEET!AP79+PASHEET!AX79+MARKS!J79+MARKS!R79+MARKS!Z79+MARKS!AH79+MARKS!AP79+MARKS!AX79+MARKS!BF79+MARKS!BN79,""),"Ab")</f>
        <v/>
      </c>
      <c r="CM79" s="891" t="str">
        <f>IFERROR(IF($B79&gt;0,PASHEET!AQ79+PASHEET!AY79+MARKS!K79+MARKS!S79+MARKS!AA79+MARKS!AI79+MARKS!AQ79+MARKS!AY79+MARKS!BG79+MARKS!BO79,""),"Ab")</f>
        <v/>
      </c>
      <c r="CN79" s="891" t="str">
        <f>IFERROR(IF($B79&gt;0,PASHEET!AR79+PASHEET!AZ79+MARKS!L79+MARKS!T79+MARKS!AB79+MARKS!AJ79+MARKS!AR79+MARKS!AZ79+MARKS!BH79+MARKS!BP79,""),"Ab")</f>
        <v/>
      </c>
      <c r="CO79" s="891" t="str">
        <f t="shared" si="80"/>
        <v/>
      </c>
      <c r="CP79" s="893" t="str">
        <f t="shared" si="81"/>
        <v/>
      </c>
      <c r="CQ79" s="893" t="str">
        <f t="shared" si="82"/>
        <v/>
      </c>
      <c r="CR79" s="893" t="str">
        <f t="shared" si="83"/>
        <v/>
      </c>
      <c r="CS79" s="893" t="str">
        <f t="shared" si="84"/>
        <v/>
      </c>
      <c r="CT79" s="893" t="str">
        <f t="shared" si="85"/>
        <v/>
      </c>
      <c r="CU79" s="893" t="str">
        <f t="shared" si="86"/>
        <v/>
      </c>
      <c r="CV79" s="893" t="str">
        <f t="shared" si="87"/>
        <v/>
      </c>
      <c r="CW79" s="893" t="str">
        <f t="shared" si="88"/>
        <v/>
      </c>
      <c r="CX79" s="894" t="str">
        <f>IFERROR(IF($B79&gt;0,PASHEET!AL79+MARKS!F79+MARKS!N79+MARKS!V79+MARKS!AD79,""),"Ab")</f>
        <v/>
      </c>
      <c r="CY79" s="894" t="str">
        <f>IFERROR(IF($B79&gt;0,PASHEET!AM79+MARKS!G79+MARKS!O79+MARKS!W79+MARKS!AE79,""),"Ab")</f>
        <v/>
      </c>
      <c r="CZ79" s="894" t="str">
        <f>IFERROR(IF($B79&gt;0,PASHEET!AN79+MARKS!H79+MARKS!P79+MARKS!X79+MARKS!AF79,""),"Ab")</f>
        <v/>
      </c>
      <c r="DA79" s="894" t="str">
        <f>IFERROR(IF($B79&gt;0,PASHEET!AO79+MARKS!I79+MARKS!Q79+MARKS!Y79+MARKS!AG79,""),"Ab")</f>
        <v/>
      </c>
      <c r="DB79" s="894" t="str">
        <f>IFERROR(IF($B79&gt;0,PASHEET!AP79+MARKS!J79+MARKS!R79+MARKS!Z79+MARKS!AH79,""),"Ab")</f>
        <v/>
      </c>
      <c r="DC79" s="894" t="str">
        <f>IFERROR(IF($B79&gt;0,PASHEET!AQ79+MARKS!K79+MARKS!S79+MARKS!AA79+MARKS!AI79,""),"Ab")</f>
        <v/>
      </c>
      <c r="DD79" s="894" t="str">
        <f>IFERROR(IF($B79&gt;0,PASHEET!AR79+MARKS!L79+MARKS!T79+MARKS!AB79+MARKS!AJ79,""),"Ab")</f>
        <v/>
      </c>
      <c r="DE79" s="879" t="str">
        <f t="shared" si="89"/>
        <v/>
      </c>
      <c r="DF79" s="894" t="str">
        <f t="shared" si="90"/>
        <v/>
      </c>
      <c r="DG79" s="894" t="str">
        <f t="shared" si="91"/>
        <v/>
      </c>
      <c r="DH79" s="894" t="str">
        <f t="shared" si="92"/>
        <v/>
      </c>
      <c r="DI79" s="894" t="str">
        <f t="shared" si="93"/>
        <v/>
      </c>
      <c r="DJ79" s="894" t="str">
        <f t="shared" si="94"/>
        <v/>
      </c>
      <c r="DK79" s="894" t="str">
        <f t="shared" si="95"/>
        <v/>
      </c>
      <c r="DL79" s="894" t="str">
        <f t="shared" si="96"/>
        <v/>
      </c>
      <c r="DM79" s="894" t="str">
        <f t="shared" si="97"/>
        <v/>
      </c>
      <c r="DN79" s="894" t="str">
        <f>IFERROR(IF($B79&gt;0,PASHEET!AT79+MARKS!AL79+MARKS!AT79+MARKS!BB79+MARKS!BJ79,""),"Ab")</f>
        <v/>
      </c>
      <c r="DO79" s="894" t="str">
        <f>IFERROR(IF($B79&gt;0,PASHEET!AU79+MARKS!AM79+MARKS!AU79+MARKS!BC79+MARKS!BK79,""),"Ab")</f>
        <v/>
      </c>
      <c r="DP79" s="894" t="str">
        <f>IFERROR(IF($B79&gt;0,PASHEET!AV79+MARKS!AN79+MARKS!AV79+MARKS!BD79+MARKS!BL79,""),"Ab")</f>
        <v/>
      </c>
      <c r="DQ79" s="894" t="str">
        <f>IFERROR(IF($B79&gt;0,PASHEET!AW79+MARKS!AO79+MARKS!AW79+MARKS!BE79+MARKS!BM79,""),"Ab")</f>
        <v/>
      </c>
      <c r="DR79" s="894" t="str">
        <f>IFERROR(IF($B79&gt;0,PASHEET!AX79+MARKS!AP79+MARKS!AX79+MARKS!BF79+MARKS!BN79,""),"Ab")</f>
        <v/>
      </c>
      <c r="DS79" s="894" t="str">
        <f>IFERROR(IF($B79&gt;0,PASHEET!AY79+MARKS!AQ79+MARKS!AY79+MARKS!BG79+MARKS!BO79,""),"Ab")</f>
        <v/>
      </c>
      <c r="DT79" s="894" t="str">
        <f>IFERROR(IF($B79&gt;0,PASHEET!AZ79+MARKS!AR79+MARKS!AZ79+MARKS!BH79+MARKS!BP79,""),"Ab")</f>
        <v/>
      </c>
      <c r="DU79" s="879" t="str">
        <f t="shared" si="98"/>
        <v/>
      </c>
      <c r="DV79" s="894" t="str">
        <f t="shared" si="99"/>
        <v/>
      </c>
      <c r="DW79" s="894" t="str">
        <f t="shared" si="100"/>
        <v/>
      </c>
      <c r="DX79" s="894" t="str">
        <f t="shared" si="101"/>
        <v/>
      </c>
      <c r="DY79" s="894" t="str">
        <f t="shared" si="102"/>
        <v/>
      </c>
      <c r="DZ79" s="894" t="str">
        <f t="shared" si="103"/>
        <v/>
      </c>
      <c r="EA79" s="894" t="str">
        <f t="shared" si="104"/>
        <v/>
      </c>
      <c r="EB79" s="894" t="str">
        <f t="shared" si="105"/>
        <v/>
      </c>
      <c r="EC79" s="894" t="str">
        <f t="shared" si="106"/>
        <v/>
      </c>
    </row>
    <row r="80" spans="1:133">
      <c r="A80" s="879">
        <v>77</v>
      </c>
      <c r="B80" s="879">
        <f>STUDENT!F78</f>
        <v>0</v>
      </c>
      <c r="C80" s="879">
        <f>STUDENT!D78</f>
        <v>0</v>
      </c>
      <c r="D80" s="886">
        <f>STUDENT!E78</f>
        <v>0</v>
      </c>
      <c r="E80" s="886">
        <f>STUDENT!H78</f>
        <v>0</v>
      </c>
      <c r="F80" s="887"/>
      <c r="G80" s="887"/>
      <c r="H80" s="887"/>
      <c r="I80" s="887"/>
      <c r="J80" s="887"/>
      <c r="K80" s="887"/>
      <c r="L80" s="887"/>
      <c r="M80" s="888">
        <f t="shared" si="56"/>
        <v>0</v>
      </c>
      <c r="N80" s="887"/>
      <c r="O80" s="887"/>
      <c r="P80" s="887"/>
      <c r="Q80" s="887"/>
      <c r="R80" s="887"/>
      <c r="S80" s="887"/>
      <c r="T80" s="887"/>
      <c r="U80" s="889">
        <f t="shared" si="57"/>
        <v>0</v>
      </c>
      <c r="V80" s="887"/>
      <c r="W80" s="887"/>
      <c r="X80" s="887"/>
      <c r="Y80" s="887"/>
      <c r="Z80" s="887"/>
      <c r="AA80" s="887"/>
      <c r="AB80" s="887"/>
      <c r="AC80" s="890">
        <f t="shared" si="58"/>
        <v>0</v>
      </c>
      <c r="AD80" s="887"/>
      <c r="AE80" s="887"/>
      <c r="AF80" s="887"/>
      <c r="AG80" s="887"/>
      <c r="AH80" s="887"/>
      <c r="AI80" s="887"/>
      <c r="AJ80" s="887"/>
      <c r="AK80" s="888" t="str">
        <f t="shared" si="59"/>
        <v/>
      </c>
      <c r="AL80" s="887"/>
      <c r="AM80" s="887"/>
      <c r="AN80" s="887"/>
      <c r="AO80" s="887"/>
      <c r="AP80" s="887"/>
      <c r="AQ80" s="887"/>
      <c r="AR80" s="887"/>
      <c r="AS80" s="891">
        <f t="shared" si="60"/>
        <v>0</v>
      </c>
      <c r="AT80" s="887"/>
      <c r="AU80" s="887"/>
      <c r="AV80" s="887"/>
      <c r="AW80" s="887"/>
      <c r="AX80" s="887"/>
      <c r="AY80" s="887"/>
      <c r="AZ80" s="887"/>
      <c r="BA80" s="889">
        <f t="shared" si="61"/>
        <v>0</v>
      </c>
      <c r="BB80" s="887"/>
      <c r="BC80" s="887"/>
      <c r="BD80" s="887"/>
      <c r="BE80" s="887"/>
      <c r="BF80" s="887"/>
      <c r="BG80" s="887"/>
      <c r="BH80" s="887"/>
      <c r="BI80" s="890">
        <f t="shared" si="62"/>
        <v>0</v>
      </c>
      <c r="BJ80" s="887"/>
      <c r="BK80" s="887"/>
      <c r="BL80" s="887"/>
      <c r="BM80" s="887"/>
      <c r="BN80" s="887"/>
      <c r="BO80" s="887"/>
      <c r="BP80" s="887"/>
      <c r="BQ80" s="888" t="str">
        <f t="shared" si="63"/>
        <v/>
      </c>
      <c r="BR80" s="892" t="str">
        <f t="shared" si="64"/>
        <v/>
      </c>
      <c r="BS80" s="892" t="str">
        <f t="shared" si="65"/>
        <v/>
      </c>
      <c r="BT80" s="892" t="str">
        <f t="shared" si="66"/>
        <v/>
      </c>
      <c r="BU80" s="892" t="str">
        <f t="shared" si="67"/>
        <v/>
      </c>
      <c r="BV80" s="892" t="str">
        <f t="shared" si="68"/>
        <v/>
      </c>
      <c r="BW80" s="892" t="str">
        <f t="shared" si="69"/>
        <v/>
      </c>
      <c r="BX80" s="892" t="str">
        <f t="shared" si="70"/>
        <v/>
      </c>
      <c r="BY80" s="892" t="str">
        <f t="shared" si="71"/>
        <v/>
      </c>
      <c r="BZ80" s="892" t="str">
        <f t="shared" si="72"/>
        <v/>
      </c>
      <c r="CA80" s="892" t="str">
        <f t="shared" si="73"/>
        <v/>
      </c>
      <c r="CB80" s="892" t="str">
        <f t="shared" si="74"/>
        <v/>
      </c>
      <c r="CC80" s="892" t="str">
        <f t="shared" si="75"/>
        <v/>
      </c>
      <c r="CD80" s="892" t="str">
        <f t="shared" si="76"/>
        <v/>
      </c>
      <c r="CE80" s="892" t="str">
        <f t="shared" si="77"/>
        <v/>
      </c>
      <c r="CF80" s="892" t="str">
        <f t="shared" si="78"/>
        <v/>
      </c>
      <c r="CG80" s="892" t="str">
        <f t="shared" si="79"/>
        <v/>
      </c>
      <c r="CH80" s="891" t="str">
        <f>IFERROR(IF($B80&gt;0,PASHEET!AL80+PASHEET!AT80+MARKS!F80+MARKS!N80+MARKS!V80+MARKS!AD80+MARKS!AL80+MARKS!AT80+MARKS!BB80+MARKS!BJ80,""),"Ab")</f>
        <v/>
      </c>
      <c r="CI80" s="891" t="str">
        <f>IFERROR(IF($B80&gt;0,PASHEET!AM80+PASHEET!AU80+MARKS!G80+MARKS!O80+MARKS!W80+MARKS!AE80+MARKS!AM80+MARKS!AU80+MARKS!BC80+MARKS!BK80,""),"Ab")</f>
        <v/>
      </c>
      <c r="CJ80" s="891" t="str">
        <f>IFERROR(IF($B80&gt;0,PASHEET!AN80+PASHEET!AV80+MARKS!H80+MARKS!P80+MARKS!X80+MARKS!AF80+MARKS!AN80+MARKS!AV80+MARKS!BD80+MARKS!BL80,""),"Ab")</f>
        <v/>
      </c>
      <c r="CK80" s="891" t="str">
        <f>IFERROR(IF($B80&gt;0,PASHEET!AO80+PASHEET!AW80+MARKS!I80+MARKS!Q80+MARKS!Y80+MARKS!AG80+MARKS!AO80+MARKS!AW80+MARKS!BE80+MARKS!BM80,""),"Ab")</f>
        <v/>
      </c>
      <c r="CL80" s="891" t="str">
        <f>IFERROR(IF($B80&gt;0,PASHEET!AP80+PASHEET!AX80+MARKS!J80+MARKS!R80+MARKS!Z80+MARKS!AH80+MARKS!AP80+MARKS!AX80+MARKS!BF80+MARKS!BN80,""),"Ab")</f>
        <v/>
      </c>
      <c r="CM80" s="891" t="str">
        <f>IFERROR(IF($B80&gt;0,PASHEET!AQ80+PASHEET!AY80+MARKS!K80+MARKS!S80+MARKS!AA80+MARKS!AI80+MARKS!AQ80+MARKS!AY80+MARKS!BG80+MARKS!BO80,""),"Ab")</f>
        <v/>
      </c>
      <c r="CN80" s="891" t="str">
        <f>IFERROR(IF($B80&gt;0,PASHEET!AR80+PASHEET!AZ80+MARKS!L80+MARKS!T80+MARKS!AB80+MARKS!AJ80+MARKS!AR80+MARKS!AZ80+MARKS!BH80+MARKS!BP80,""),"Ab")</f>
        <v/>
      </c>
      <c r="CO80" s="891" t="str">
        <f t="shared" si="80"/>
        <v/>
      </c>
      <c r="CP80" s="893" t="str">
        <f t="shared" si="81"/>
        <v/>
      </c>
      <c r="CQ80" s="893" t="str">
        <f t="shared" si="82"/>
        <v/>
      </c>
      <c r="CR80" s="893" t="str">
        <f t="shared" si="83"/>
        <v/>
      </c>
      <c r="CS80" s="893" t="str">
        <f t="shared" si="84"/>
        <v/>
      </c>
      <c r="CT80" s="893" t="str">
        <f t="shared" si="85"/>
        <v/>
      </c>
      <c r="CU80" s="893" t="str">
        <f t="shared" si="86"/>
        <v/>
      </c>
      <c r="CV80" s="893" t="str">
        <f t="shared" si="87"/>
        <v/>
      </c>
      <c r="CW80" s="893" t="str">
        <f t="shared" si="88"/>
        <v/>
      </c>
      <c r="CX80" s="894" t="str">
        <f>IFERROR(IF($B80&gt;0,PASHEET!AL80+MARKS!F80+MARKS!N80+MARKS!V80+MARKS!AD80,""),"Ab")</f>
        <v/>
      </c>
      <c r="CY80" s="894" t="str">
        <f>IFERROR(IF($B80&gt;0,PASHEET!AM80+MARKS!G80+MARKS!O80+MARKS!W80+MARKS!AE80,""),"Ab")</f>
        <v/>
      </c>
      <c r="CZ80" s="894" t="str">
        <f>IFERROR(IF($B80&gt;0,PASHEET!AN80+MARKS!H80+MARKS!P80+MARKS!X80+MARKS!AF80,""),"Ab")</f>
        <v/>
      </c>
      <c r="DA80" s="894" t="str">
        <f>IFERROR(IF($B80&gt;0,PASHEET!AO80+MARKS!I80+MARKS!Q80+MARKS!Y80+MARKS!AG80,""),"Ab")</f>
        <v/>
      </c>
      <c r="DB80" s="894" t="str">
        <f>IFERROR(IF($B80&gt;0,PASHEET!AP80+MARKS!J80+MARKS!R80+MARKS!Z80+MARKS!AH80,""),"Ab")</f>
        <v/>
      </c>
      <c r="DC80" s="894" t="str">
        <f>IFERROR(IF($B80&gt;0,PASHEET!AQ80+MARKS!K80+MARKS!S80+MARKS!AA80+MARKS!AI80,""),"Ab")</f>
        <v/>
      </c>
      <c r="DD80" s="894" t="str">
        <f>IFERROR(IF($B80&gt;0,PASHEET!AR80+MARKS!L80+MARKS!T80+MARKS!AB80+MARKS!AJ80,""),"Ab")</f>
        <v/>
      </c>
      <c r="DE80" s="879" t="str">
        <f t="shared" si="89"/>
        <v/>
      </c>
      <c r="DF80" s="894" t="str">
        <f t="shared" si="90"/>
        <v/>
      </c>
      <c r="DG80" s="894" t="str">
        <f t="shared" si="91"/>
        <v/>
      </c>
      <c r="DH80" s="894" t="str">
        <f t="shared" si="92"/>
        <v/>
      </c>
      <c r="DI80" s="894" t="str">
        <f t="shared" si="93"/>
        <v/>
      </c>
      <c r="DJ80" s="894" t="str">
        <f t="shared" si="94"/>
        <v/>
      </c>
      <c r="DK80" s="894" t="str">
        <f t="shared" si="95"/>
        <v/>
      </c>
      <c r="DL80" s="894" t="str">
        <f t="shared" si="96"/>
        <v/>
      </c>
      <c r="DM80" s="894" t="str">
        <f t="shared" si="97"/>
        <v/>
      </c>
      <c r="DN80" s="894" t="str">
        <f>IFERROR(IF($B80&gt;0,PASHEET!AT80+MARKS!AL80+MARKS!AT80+MARKS!BB80+MARKS!BJ80,""),"Ab")</f>
        <v/>
      </c>
      <c r="DO80" s="894" t="str">
        <f>IFERROR(IF($B80&gt;0,PASHEET!AU80+MARKS!AM80+MARKS!AU80+MARKS!BC80+MARKS!BK80,""),"Ab")</f>
        <v/>
      </c>
      <c r="DP80" s="894" t="str">
        <f>IFERROR(IF($B80&gt;0,PASHEET!AV80+MARKS!AN80+MARKS!AV80+MARKS!BD80+MARKS!BL80,""),"Ab")</f>
        <v/>
      </c>
      <c r="DQ80" s="894" t="str">
        <f>IFERROR(IF($B80&gt;0,PASHEET!AW80+MARKS!AO80+MARKS!AW80+MARKS!BE80+MARKS!BM80,""),"Ab")</f>
        <v/>
      </c>
      <c r="DR80" s="894" t="str">
        <f>IFERROR(IF($B80&gt;0,PASHEET!AX80+MARKS!AP80+MARKS!AX80+MARKS!BF80+MARKS!BN80,""),"Ab")</f>
        <v/>
      </c>
      <c r="DS80" s="894" t="str">
        <f>IFERROR(IF($B80&gt;0,PASHEET!AY80+MARKS!AQ80+MARKS!AY80+MARKS!BG80+MARKS!BO80,""),"Ab")</f>
        <v/>
      </c>
      <c r="DT80" s="894" t="str">
        <f>IFERROR(IF($B80&gt;0,PASHEET!AZ80+MARKS!AR80+MARKS!AZ80+MARKS!BH80+MARKS!BP80,""),"Ab")</f>
        <v/>
      </c>
      <c r="DU80" s="879" t="str">
        <f t="shared" si="98"/>
        <v/>
      </c>
      <c r="DV80" s="894" t="str">
        <f t="shared" si="99"/>
        <v/>
      </c>
      <c r="DW80" s="894" t="str">
        <f t="shared" si="100"/>
        <v/>
      </c>
      <c r="DX80" s="894" t="str">
        <f t="shared" si="101"/>
        <v/>
      </c>
      <c r="DY80" s="894" t="str">
        <f t="shared" si="102"/>
        <v/>
      </c>
      <c r="DZ80" s="894" t="str">
        <f t="shared" si="103"/>
        <v/>
      </c>
      <c r="EA80" s="894" t="str">
        <f t="shared" si="104"/>
        <v/>
      </c>
      <c r="EB80" s="894" t="str">
        <f t="shared" si="105"/>
        <v/>
      </c>
      <c r="EC80" s="894" t="str">
        <f t="shared" si="106"/>
        <v/>
      </c>
    </row>
    <row r="81" spans="1:133">
      <c r="A81" s="879">
        <v>78</v>
      </c>
      <c r="B81" s="879">
        <f>STUDENT!F79</f>
        <v>0</v>
      </c>
      <c r="C81" s="879">
        <f>STUDENT!D79</f>
        <v>0</v>
      </c>
      <c r="D81" s="886">
        <f>STUDENT!E79</f>
        <v>0</v>
      </c>
      <c r="E81" s="886">
        <f>STUDENT!H79</f>
        <v>0</v>
      </c>
      <c r="F81" s="887"/>
      <c r="G81" s="887"/>
      <c r="H81" s="887"/>
      <c r="I81" s="887"/>
      <c r="J81" s="887"/>
      <c r="K81" s="887"/>
      <c r="L81" s="887"/>
      <c r="M81" s="888">
        <f t="shared" si="56"/>
        <v>0</v>
      </c>
      <c r="N81" s="887"/>
      <c r="O81" s="887"/>
      <c r="P81" s="887"/>
      <c r="Q81" s="887"/>
      <c r="R81" s="887"/>
      <c r="S81" s="887"/>
      <c r="T81" s="887"/>
      <c r="U81" s="889">
        <f t="shared" si="57"/>
        <v>0</v>
      </c>
      <c r="V81" s="887"/>
      <c r="W81" s="887"/>
      <c r="X81" s="887"/>
      <c r="Y81" s="887"/>
      <c r="Z81" s="887"/>
      <c r="AA81" s="887"/>
      <c r="AB81" s="887"/>
      <c r="AC81" s="890">
        <f t="shared" si="58"/>
        <v>0</v>
      </c>
      <c r="AD81" s="887"/>
      <c r="AE81" s="887"/>
      <c r="AF81" s="887"/>
      <c r="AG81" s="887"/>
      <c r="AH81" s="887"/>
      <c r="AI81" s="887"/>
      <c r="AJ81" s="887"/>
      <c r="AK81" s="888" t="str">
        <f t="shared" si="59"/>
        <v/>
      </c>
      <c r="AL81" s="887"/>
      <c r="AM81" s="887"/>
      <c r="AN81" s="887"/>
      <c r="AO81" s="887"/>
      <c r="AP81" s="887"/>
      <c r="AQ81" s="887"/>
      <c r="AR81" s="887"/>
      <c r="AS81" s="891">
        <f t="shared" si="60"/>
        <v>0</v>
      </c>
      <c r="AT81" s="887"/>
      <c r="AU81" s="887"/>
      <c r="AV81" s="887"/>
      <c r="AW81" s="887"/>
      <c r="AX81" s="887"/>
      <c r="AY81" s="887"/>
      <c r="AZ81" s="887"/>
      <c r="BA81" s="889">
        <f t="shared" si="61"/>
        <v>0</v>
      </c>
      <c r="BB81" s="887"/>
      <c r="BC81" s="887"/>
      <c r="BD81" s="887"/>
      <c r="BE81" s="887"/>
      <c r="BF81" s="887"/>
      <c r="BG81" s="887"/>
      <c r="BH81" s="887"/>
      <c r="BI81" s="890">
        <f t="shared" si="62"/>
        <v>0</v>
      </c>
      <c r="BJ81" s="887"/>
      <c r="BK81" s="887"/>
      <c r="BL81" s="887"/>
      <c r="BM81" s="887"/>
      <c r="BN81" s="887"/>
      <c r="BO81" s="887"/>
      <c r="BP81" s="887"/>
      <c r="BQ81" s="888" t="str">
        <f t="shared" si="63"/>
        <v/>
      </c>
      <c r="BR81" s="892" t="str">
        <f t="shared" si="64"/>
        <v/>
      </c>
      <c r="BS81" s="892" t="str">
        <f t="shared" si="65"/>
        <v/>
      </c>
      <c r="BT81" s="892" t="str">
        <f t="shared" si="66"/>
        <v/>
      </c>
      <c r="BU81" s="892" t="str">
        <f t="shared" si="67"/>
        <v/>
      </c>
      <c r="BV81" s="892" t="str">
        <f t="shared" si="68"/>
        <v/>
      </c>
      <c r="BW81" s="892" t="str">
        <f t="shared" si="69"/>
        <v/>
      </c>
      <c r="BX81" s="892" t="str">
        <f t="shared" si="70"/>
        <v/>
      </c>
      <c r="BY81" s="892" t="str">
        <f t="shared" si="71"/>
        <v/>
      </c>
      <c r="BZ81" s="892" t="str">
        <f t="shared" si="72"/>
        <v/>
      </c>
      <c r="CA81" s="892" t="str">
        <f t="shared" si="73"/>
        <v/>
      </c>
      <c r="CB81" s="892" t="str">
        <f t="shared" si="74"/>
        <v/>
      </c>
      <c r="CC81" s="892" t="str">
        <f t="shared" si="75"/>
        <v/>
      </c>
      <c r="CD81" s="892" t="str">
        <f t="shared" si="76"/>
        <v/>
      </c>
      <c r="CE81" s="892" t="str">
        <f t="shared" si="77"/>
        <v/>
      </c>
      <c r="CF81" s="892" t="str">
        <f t="shared" si="78"/>
        <v/>
      </c>
      <c r="CG81" s="892" t="str">
        <f t="shared" si="79"/>
        <v/>
      </c>
      <c r="CH81" s="891" t="str">
        <f>IFERROR(IF($B81&gt;0,PASHEET!AL81+PASHEET!AT81+MARKS!F81+MARKS!N81+MARKS!V81+MARKS!AD81+MARKS!AL81+MARKS!AT81+MARKS!BB81+MARKS!BJ81,""),"Ab")</f>
        <v/>
      </c>
      <c r="CI81" s="891" t="str">
        <f>IFERROR(IF($B81&gt;0,PASHEET!AM81+PASHEET!AU81+MARKS!G81+MARKS!O81+MARKS!W81+MARKS!AE81+MARKS!AM81+MARKS!AU81+MARKS!BC81+MARKS!BK81,""),"Ab")</f>
        <v/>
      </c>
      <c r="CJ81" s="891" t="str">
        <f>IFERROR(IF($B81&gt;0,PASHEET!AN81+PASHEET!AV81+MARKS!H81+MARKS!P81+MARKS!X81+MARKS!AF81+MARKS!AN81+MARKS!AV81+MARKS!BD81+MARKS!BL81,""),"Ab")</f>
        <v/>
      </c>
      <c r="CK81" s="891" t="str">
        <f>IFERROR(IF($B81&gt;0,PASHEET!AO81+PASHEET!AW81+MARKS!I81+MARKS!Q81+MARKS!Y81+MARKS!AG81+MARKS!AO81+MARKS!AW81+MARKS!BE81+MARKS!BM81,""),"Ab")</f>
        <v/>
      </c>
      <c r="CL81" s="891" t="str">
        <f>IFERROR(IF($B81&gt;0,PASHEET!AP81+PASHEET!AX81+MARKS!J81+MARKS!R81+MARKS!Z81+MARKS!AH81+MARKS!AP81+MARKS!AX81+MARKS!BF81+MARKS!BN81,""),"Ab")</f>
        <v/>
      </c>
      <c r="CM81" s="891" t="str">
        <f>IFERROR(IF($B81&gt;0,PASHEET!AQ81+PASHEET!AY81+MARKS!K81+MARKS!S81+MARKS!AA81+MARKS!AI81+MARKS!AQ81+MARKS!AY81+MARKS!BG81+MARKS!BO81,""),"Ab")</f>
        <v/>
      </c>
      <c r="CN81" s="891" t="str">
        <f>IFERROR(IF($B81&gt;0,PASHEET!AR81+PASHEET!AZ81+MARKS!L81+MARKS!T81+MARKS!AB81+MARKS!AJ81+MARKS!AR81+MARKS!AZ81+MARKS!BH81+MARKS!BP81,""),"Ab")</f>
        <v/>
      </c>
      <c r="CO81" s="891" t="str">
        <f t="shared" si="80"/>
        <v/>
      </c>
      <c r="CP81" s="893" t="str">
        <f t="shared" si="81"/>
        <v/>
      </c>
      <c r="CQ81" s="893" t="str">
        <f t="shared" si="82"/>
        <v/>
      </c>
      <c r="CR81" s="893" t="str">
        <f t="shared" si="83"/>
        <v/>
      </c>
      <c r="CS81" s="893" t="str">
        <f t="shared" si="84"/>
        <v/>
      </c>
      <c r="CT81" s="893" t="str">
        <f t="shared" si="85"/>
        <v/>
      </c>
      <c r="CU81" s="893" t="str">
        <f t="shared" si="86"/>
        <v/>
      </c>
      <c r="CV81" s="893" t="str">
        <f t="shared" si="87"/>
        <v/>
      </c>
      <c r="CW81" s="893" t="str">
        <f t="shared" si="88"/>
        <v/>
      </c>
      <c r="CX81" s="894" t="str">
        <f>IFERROR(IF($B81&gt;0,PASHEET!AL81+MARKS!F81+MARKS!N81+MARKS!V81+MARKS!AD81,""),"Ab")</f>
        <v/>
      </c>
      <c r="CY81" s="894" t="str">
        <f>IFERROR(IF($B81&gt;0,PASHEET!AM81+MARKS!G81+MARKS!O81+MARKS!W81+MARKS!AE81,""),"Ab")</f>
        <v/>
      </c>
      <c r="CZ81" s="894" t="str">
        <f>IFERROR(IF($B81&gt;0,PASHEET!AN81+MARKS!H81+MARKS!P81+MARKS!X81+MARKS!AF81,""),"Ab")</f>
        <v/>
      </c>
      <c r="DA81" s="894" t="str">
        <f>IFERROR(IF($B81&gt;0,PASHEET!AO81+MARKS!I81+MARKS!Q81+MARKS!Y81+MARKS!AG81,""),"Ab")</f>
        <v/>
      </c>
      <c r="DB81" s="894" t="str">
        <f>IFERROR(IF($B81&gt;0,PASHEET!AP81+MARKS!J81+MARKS!R81+MARKS!Z81+MARKS!AH81,""),"Ab")</f>
        <v/>
      </c>
      <c r="DC81" s="894" t="str">
        <f>IFERROR(IF($B81&gt;0,PASHEET!AQ81+MARKS!K81+MARKS!S81+MARKS!AA81+MARKS!AI81,""),"Ab")</f>
        <v/>
      </c>
      <c r="DD81" s="894" t="str">
        <f>IFERROR(IF($B81&gt;0,PASHEET!AR81+MARKS!L81+MARKS!T81+MARKS!AB81+MARKS!AJ81,""),"Ab")</f>
        <v/>
      </c>
      <c r="DE81" s="879" t="str">
        <f t="shared" si="89"/>
        <v/>
      </c>
      <c r="DF81" s="894" t="str">
        <f t="shared" si="90"/>
        <v/>
      </c>
      <c r="DG81" s="894" t="str">
        <f t="shared" si="91"/>
        <v/>
      </c>
      <c r="DH81" s="894" t="str">
        <f t="shared" si="92"/>
        <v/>
      </c>
      <c r="DI81" s="894" t="str">
        <f t="shared" si="93"/>
        <v/>
      </c>
      <c r="DJ81" s="894" t="str">
        <f t="shared" si="94"/>
        <v/>
      </c>
      <c r="DK81" s="894" t="str">
        <f t="shared" si="95"/>
        <v/>
      </c>
      <c r="DL81" s="894" t="str">
        <f t="shared" si="96"/>
        <v/>
      </c>
      <c r="DM81" s="894" t="str">
        <f t="shared" si="97"/>
        <v/>
      </c>
      <c r="DN81" s="894" t="str">
        <f>IFERROR(IF($B81&gt;0,PASHEET!AT81+MARKS!AL81+MARKS!AT81+MARKS!BB81+MARKS!BJ81,""),"Ab")</f>
        <v/>
      </c>
      <c r="DO81" s="894" t="str">
        <f>IFERROR(IF($B81&gt;0,PASHEET!AU81+MARKS!AM81+MARKS!AU81+MARKS!BC81+MARKS!BK81,""),"Ab")</f>
        <v/>
      </c>
      <c r="DP81" s="894" t="str">
        <f>IFERROR(IF($B81&gt;0,PASHEET!AV81+MARKS!AN81+MARKS!AV81+MARKS!BD81+MARKS!BL81,""),"Ab")</f>
        <v/>
      </c>
      <c r="DQ81" s="894" t="str">
        <f>IFERROR(IF($B81&gt;0,PASHEET!AW81+MARKS!AO81+MARKS!AW81+MARKS!BE81+MARKS!BM81,""),"Ab")</f>
        <v/>
      </c>
      <c r="DR81" s="894" t="str">
        <f>IFERROR(IF($B81&gt;0,PASHEET!AX81+MARKS!AP81+MARKS!AX81+MARKS!BF81+MARKS!BN81,""),"Ab")</f>
        <v/>
      </c>
      <c r="DS81" s="894" t="str">
        <f>IFERROR(IF($B81&gt;0,PASHEET!AY81+MARKS!AQ81+MARKS!AY81+MARKS!BG81+MARKS!BO81,""),"Ab")</f>
        <v/>
      </c>
      <c r="DT81" s="894" t="str">
        <f>IFERROR(IF($B81&gt;0,PASHEET!AZ81+MARKS!AR81+MARKS!AZ81+MARKS!BH81+MARKS!BP81,""),"Ab")</f>
        <v/>
      </c>
      <c r="DU81" s="879" t="str">
        <f t="shared" si="98"/>
        <v/>
      </c>
      <c r="DV81" s="894" t="str">
        <f t="shared" si="99"/>
        <v/>
      </c>
      <c r="DW81" s="894" t="str">
        <f t="shared" si="100"/>
        <v/>
      </c>
      <c r="DX81" s="894" t="str">
        <f t="shared" si="101"/>
        <v/>
      </c>
      <c r="DY81" s="894" t="str">
        <f t="shared" si="102"/>
        <v/>
      </c>
      <c r="DZ81" s="894" t="str">
        <f t="shared" si="103"/>
        <v/>
      </c>
      <c r="EA81" s="894" t="str">
        <f t="shared" si="104"/>
        <v/>
      </c>
      <c r="EB81" s="894" t="str">
        <f t="shared" si="105"/>
        <v/>
      </c>
      <c r="EC81" s="894" t="str">
        <f t="shared" si="106"/>
        <v/>
      </c>
    </row>
    <row r="82" spans="1:133">
      <c r="A82" s="879">
        <v>79</v>
      </c>
      <c r="B82" s="879">
        <f>STUDENT!F80</f>
        <v>0</v>
      </c>
      <c r="C82" s="879">
        <f>STUDENT!D80</f>
        <v>0</v>
      </c>
      <c r="D82" s="886">
        <f>STUDENT!E80</f>
        <v>0</v>
      </c>
      <c r="E82" s="886">
        <f>STUDENT!H80</f>
        <v>0</v>
      </c>
      <c r="F82" s="887"/>
      <c r="G82" s="887"/>
      <c r="H82" s="887"/>
      <c r="I82" s="887"/>
      <c r="J82" s="887"/>
      <c r="K82" s="887"/>
      <c r="L82" s="887"/>
      <c r="M82" s="888">
        <f t="shared" si="56"/>
        <v>0</v>
      </c>
      <c r="N82" s="887"/>
      <c r="O82" s="887"/>
      <c r="P82" s="887"/>
      <c r="Q82" s="887"/>
      <c r="R82" s="887"/>
      <c r="S82" s="887"/>
      <c r="T82" s="887"/>
      <c r="U82" s="889">
        <f t="shared" si="57"/>
        <v>0</v>
      </c>
      <c r="V82" s="887"/>
      <c r="W82" s="887"/>
      <c r="X82" s="887"/>
      <c r="Y82" s="887"/>
      <c r="Z82" s="887"/>
      <c r="AA82" s="887"/>
      <c r="AB82" s="887"/>
      <c r="AC82" s="890">
        <f t="shared" si="58"/>
        <v>0</v>
      </c>
      <c r="AD82" s="887"/>
      <c r="AE82" s="887"/>
      <c r="AF82" s="887"/>
      <c r="AG82" s="887"/>
      <c r="AH82" s="887"/>
      <c r="AI82" s="887"/>
      <c r="AJ82" s="887"/>
      <c r="AK82" s="888" t="str">
        <f t="shared" si="59"/>
        <v/>
      </c>
      <c r="AL82" s="887"/>
      <c r="AM82" s="887"/>
      <c r="AN82" s="887"/>
      <c r="AO82" s="887"/>
      <c r="AP82" s="887"/>
      <c r="AQ82" s="887"/>
      <c r="AR82" s="887"/>
      <c r="AS82" s="891">
        <f t="shared" si="60"/>
        <v>0</v>
      </c>
      <c r="AT82" s="887"/>
      <c r="AU82" s="887"/>
      <c r="AV82" s="887"/>
      <c r="AW82" s="887"/>
      <c r="AX82" s="887"/>
      <c r="AY82" s="887"/>
      <c r="AZ82" s="887"/>
      <c r="BA82" s="889">
        <f t="shared" si="61"/>
        <v>0</v>
      </c>
      <c r="BB82" s="887"/>
      <c r="BC82" s="887"/>
      <c r="BD82" s="887"/>
      <c r="BE82" s="887"/>
      <c r="BF82" s="887"/>
      <c r="BG82" s="887"/>
      <c r="BH82" s="887"/>
      <c r="BI82" s="890">
        <f t="shared" si="62"/>
        <v>0</v>
      </c>
      <c r="BJ82" s="887"/>
      <c r="BK82" s="887"/>
      <c r="BL82" s="887"/>
      <c r="BM82" s="887"/>
      <c r="BN82" s="887"/>
      <c r="BO82" s="887"/>
      <c r="BP82" s="887"/>
      <c r="BQ82" s="888" t="str">
        <f t="shared" si="63"/>
        <v/>
      </c>
      <c r="BR82" s="892" t="str">
        <f t="shared" si="64"/>
        <v/>
      </c>
      <c r="BS82" s="892" t="str">
        <f t="shared" si="65"/>
        <v/>
      </c>
      <c r="BT82" s="892" t="str">
        <f t="shared" si="66"/>
        <v/>
      </c>
      <c r="BU82" s="892" t="str">
        <f t="shared" si="67"/>
        <v/>
      </c>
      <c r="BV82" s="892" t="str">
        <f t="shared" si="68"/>
        <v/>
      </c>
      <c r="BW82" s="892" t="str">
        <f t="shared" si="69"/>
        <v/>
      </c>
      <c r="BX82" s="892" t="str">
        <f t="shared" si="70"/>
        <v/>
      </c>
      <c r="BY82" s="892" t="str">
        <f t="shared" si="71"/>
        <v/>
      </c>
      <c r="BZ82" s="892" t="str">
        <f t="shared" si="72"/>
        <v/>
      </c>
      <c r="CA82" s="892" t="str">
        <f t="shared" si="73"/>
        <v/>
      </c>
      <c r="CB82" s="892" t="str">
        <f t="shared" si="74"/>
        <v/>
      </c>
      <c r="CC82" s="892" t="str">
        <f t="shared" si="75"/>
        <v/>
      </c>
      <c r="CD82" s="892" t="str">
        <f t="shared" si="76"/>
        <v/>
      </c>
      <c r="CE82" s="892" t="str">
        <f t="shared" si="77"/>
        <v/>
      </c>
      <c r="CF82" s="892" t="str">
        <f t="shared" si="78"/>
        <v/>
      </c>
      <c r="CG82" s="892" t="str">
        <f t="shared" si="79"/>
        <v/>
      </c>
      <c r="CH82" s="891" t="str">
        <f>IFERROR(IF($B82&gt;0,PASHEET!AL82+PASHEET!AT82+MARKS!F82+MARKS!N82+MARKS!V82+MARKS!AD82+MARKS!AL82+MARKS!AT82+MARKS!BB82+MARKS!BJ82,""),"Ab")</f>
        <v/>
      </c>
      <c r="CI82" s="891" t="str">
        <f>IFERROR(IF($B82&gt;0,PASHEET!AM82+PASHEET!AU82+MARKS!G82+MARKS!O82+MARKS!W82+MARKS!AE82+MARKS!AM82+MARKS!AU82+MARKS!BC82+MARKS!BK82,""),"Ab")</f>
        <v/>
      </c>
      <c r="CJ82" s="891" t="str">
        <f>IFERROR(IF($B82&gt;0,PASHEET!AN82+PASHEET!AV82+MARKS!H82+MARKS!P82+MARKS!X82+MARKS!AF82+MARKS!AN82+MARKS!AV82+MARKS!BD82+MARKS!BL82,""),"Ab")</f>
        <v/>
      </c>
      <c r="CK82" s="891" t="str">
        <f>IFERROR(IF($B82&gt;0,PASHEET!AO82+PASHEET!AW82+MARKS!I82+MARKS!Q82+MARKS!Y82+MARKS!AG82+MARKS!AO82+MARKS!AW82+MARKS!BE82+MARKS!BM82,""),"Ab")</f>
        <v/>
      </c>
      <c r="CL82" s="891" t="str">
        <f>IFERROR(IF($B82&gt;0,PASHEET!AP82+PASHEET!AX82+MARKS!J82+MARKS!R82+MARKS!Z82+MARKS!AH82+MARKS!AP82+MARKS!AX82+MARKS!BF82+MARKS!BN82,""),"Ab")</f>
        <v/>
      </c>
      <c r="CM82" s="891" t="str">
        <f>IFERROR(IF($B82&gt;0,PASHEET!AQ82+PASHEET!AY82+MARKS!K82+MARKS!S82+MARKS!AA82+MARKS!AI82+MARKS!AQ82+MARKS!AY82+MARKS!BG82+MARKS!BO82,""),"Ab")</f>
        <v/>
      </c>
      <c r="CN82" s="891" t="str">
        <f>IFERROR(IF($B82&gt;0,PASHEET!AR82+PASHEET!AZ82+MARKS!L82+MARKS!T82+MARKS!AB82+MARKS!AJ82+MARKS!AR82+MARKS!AZ82+MARKS!BH82+MARKS!BP82,""),"Ab")</f>
        <v/>
      </c>
      <c r="CO82" s="891" t="str">
        <f t="shared" si="80"/>
        <v/>
      </c>
      <c r="CP82" s="893" t="str">
        <f t="shared" si="81"/>
        <v/>
      </c>
      <c r="CQ82" s="893" t="str">
        <f t="shared" si="82"/>
        <v/>
      </c>
      <c r="CR82" s="893" t="str">
        <f t="shared" si="83"/>
        <v/>
      </c>
      <c r="CS82" s="893" t="str">
        <f t="shared" si="84"/>
        <v/>
      </c>
      <c r="CT82" s="893" t="str">
        <f t="shared" si="85"/>
        <v/>
      </c>
      <c r="CU82" s="893" t="str">
        <f t="shared" si="86"/>
        <v/>
      </c>
      <c r="CV82" s="893" t="str">
        <f t="shared" si="87"/>
        <v/>
      </c>
      <c r="CW82" s="893" t="str">
        <f t="shared" si="88"/>
        <v/>
      </c>
      <c r="CX82" s="894" t="str">
        <f>IFERROR(IF($B82&gt;0,PASHEET!AL82+MARKS!F82+MARKS!N82+MARKS!V82+MARKS!AD82,""),"Ab")</f>
        <v/>
      </c>
      <c r="CY82" s="894" t="str">
        <f>IFERROR(IF($B82&gt;0,PASHEET!AM82+MARKS!G82+MARKS!O82+MARKS!W82+MARKS!AE82,""),"Ab")</f>
        <v/>
      </c>
      <c r="CZ82" s="894" t="str">
        <f>IFERROR(IF($B82&gt;0,PASHEET!AN82+MARKS!H82+MARKS!P82+MARKS!X82+MARKS!AF82,""),"Ab")</f>
        <v/>
      </c>
      <c r="DA82" s="894" t="str">
        <f>IFERROR(IF($B82&gt;0,PASHEET!AO82+MARKS!I82+MARKS!Q82+MARKS!Y82+MARKS!AG82,""),"Ab")</f>
        <v/>
      </c>
      <c r="DB82" s="894" t="str">
        <f>IFERROR(IF($B82&gt;0,PASHEET!AP82+MARKS!J82+MARKS!R82+MARKS!Z82+MARKS!AH82,""),"Ab")</f>
        <v/>
      </c>
      <c r="DC82" s="894" t="str">
        <f>IFERROR(IF($B82&gt;0,PASHEET!AQ82+MARKS!K82+MARKS!S82+MARKS!AA82+MARKS!AI82,""),"Ab")</f>
        <v/>
      </c>
      <c r="DD82" s="894" t="str">
        <f>IFERROR(IF($B82&gt;0,PASHEET!AR82+MARKS!L82+MARKS!T82+MARKS!AB82+MARKS!AJ82,""),"Ab")</f>
        <v/>
      </c>
      <c r="DE82" s="879" t="str">
        <f t="shared" si="89"/>
        <v/>
      </c>
      <c r="DF82" s="894" t="str">
        <f t="shared" si="90"/>
        <v/>
      </c>
      <c r="DG82" s="894" t="str">
        <f t="shared" si="91"/>
        <v/>
      </c>
      <c r="DH82" s="894" t="str">
        <f t="shared" si="92"/>
        <v/>
      </c>
      <c r="DI82" s="894" t="str">
        <f t="shared" si="93"/>
        <v/>
      </c>
      <c r="DJ82" s="894" t="str">
        <f t="shared" si="94"/>
        <v/>
      </c>
      <c r="DK82" s="894" t="str">
        <f t="shared" si="95"/>
        <v/>
      </c>
      <c r="DL82" s="894" t="str">
        <f t="shared" si="96"/>
        <v/>
      </c>
      <c r="DM82" s="894" t="str">
        <f t="shared" si="97"/>
        <v/>
      </c>
      <c r="DN82" s="894" t="str">
        <f>IFERROR(IF($B82&gt;0,PASHEET!AT82+MARKS!AL82+MARKS!AT82+MARKS!BB82+MARKS!BJ82,""),"Ab")</f>
        <v/>
      </c>
      <c r="DO82" s="894" t="str">
        <f>IFERROR(IF($B82&gt;0,PASHEET!AU82+MARKS!AM82+MARKS!AU82+MARKS!BC82+MARKS!BK82,""),"Ab")</f>
        <v/>
      </c>
      <c r="DP82" s="894" t="str">
        <f>IFERROR(IF($B82&gt;0,PASHEET!AV82+MARKS!AN82+MARKS!AV82+MARKS!BD82+MARKS!BL82,""),"Ab")</f>
        <v/>
      </c>
      <c r="DQ82" s="894" t="str">
        <f>IFERROR(IF($B82&gt;0,PASHEET!AW82+MARKS!AO82+MARKS!AW82+MARKS!BE82+MARKS!BM82,""),"Ab")</f>
        <v/>
      </c>
      <c r="DR82" s="894" t="str">
        <f>IFERROR(IF($B82&gt;0,PASHEET!AX82+MARKS!AP82+MARKS!AX82+MARKS!BF82+MARKS!BN82,""),"Ab")</f>
        <v/>
      </c>
      <c r="DS82" s="894" t="str">
        <f>IFERROR(IF($B82&gt;0,PASHEET!AY82+MARKS!AQ82+MARKS!AY82+MARKS!BG82+MARKS!BO82,""),"Ab")</f>
        <v/>
      </c>
      <c r="DT82" s="894" t="str">
        <f>IFERROR(IF($B82&gt;0,PASHEET!AZ82+MARKS!AR82+MARKS!AZ82+MARKS!BH82+MARKS!BP82,""),"Ab")</f>
        <v/>
      </c>
      <c r="DU82" s="879" t="str">
        <f t="shared" si="98"/>
        <v/>
      </c>
      <c r="DV82" s="894" t="str">
        <f t="shared" si="99"/>
        <v/>
      </c>
      <c r="DW82" s="894" t="str">
        <f t="shared" si="100"/>
        <v/>
      </c>
      <c r="DX82" s="894" t="str">
        <f t="shared" si="101"/>
        <v/>
      </c>
      <c r="DY82" s="894" t="str">
        <f t="shared" si="102"/>
        <v/>
      </c>
      <c r="DZ82" s="894" t="str">
        <f t="shared" si="103"/>
        <v/>
      </c>
      <c r="EA82" s="894" t="str">
        <f t="shared" si="104"/>
        <v/>
      </c>
      <c r="EB82" s="894" t="str">
        <f t="shared" si="105"/>
        <v/>
      </c>
      <c r="EC82" s="894" t="str">
        <f t="shared" si="106"/>
        <v/>
      </c>
    </row>
    <row r="83" spans="1:133">
      <c r="A83" s="879">
        <v>80</v>
      </c>
      <c r="B83" s="879">
        <f>STUDENT!F81</f>
        <v>0</v>
      </c>
      <c r="C83" s="879">
        <f>STUDENT!D81</f>
        <v>0</v>
      </c>
      <c r="D83" s="886">
        <f>STUDENT!E81</f>
        <v>0</v>
      </c>
      <c r="E83" s="886">
        <f>STUDENT!H81</f>
        <v>0</v>
      </c>
      <c r="F83" s="887"/>
      <c r="G83" s="887"/>
      <c r="H83" s="887"/>
      <c r="I83" s="887"/>
      <c r="J83" s="887"/>
      <c r="K83" s="887"/>
      <c r="L83" s="887"/>
      <c r="M83" s="888">
        <f t="shared" si="56"/>
        <v>0</v>
      </c>
      <c r="N83" s="887"/>
      <c r="O83" s="887"/>
      <c r="P83" s="887"/>
      <c r="Q83" s="887"/>
      <c r="R83" s="887"/>
      <c r="S83" s="887"/>
      <c r="T83" s="887"/>
      <c r="U83" s="889">
        <f t="shared" si="57"/>
        <v>0</v>
      </c>
      <c r="V83" s="887"/>
      <c r="W83" s="887"/>
      <c r="X83" s="887"/>
      <c r="Y83" s="887"/>
      <c r="Z83" s="887"/>
      <c r="AA83" s="887"/>
      <c r="AB83" s="887"/>
      <c r="AC83" s="890">
        <f t="shared" si="58"/>
        <v>0</v>
      </c>
      <c r="AD83" s="887"/>
      <c r="AE83" s="887"/>
      <c r="AF83" s="887"/>
      <c r="AG83" s="887"/>
      <c r="AH83" s="887"/>
      <c r="AI83" s="887"/>
      <c r="AJ83" s="887"/>
      <c r="AK83" s="888" t="str">
        <f t="shared" si="59"/>
        <v/>
      </c>
      <c r="AL83" s="887"/>
      <c r="AM83" s="887"/>
      <c r="AN83" s="887"/>
      <c r="AO83" s="887"/>
      <c r="AP83" s="887"/>
      <c r="AQ83" s="887"/>
      <c r="AR83" s="887"/>
      <c r="AS83" s="891">
        <f t="shared" si="60"/>
        <v>0</v>
      </c>
      <c r="AT83" s="887"/>
      <c r="AU83" s="887"/>
      <c r="AV83" s="887"/>
      <c r="AW83" s="887"/>
      <c r="AX83" s="887"/>
      <c r="AY83" s="887"/>
      <c r="AZ83" s="887"/>
      <c r="BA83" s="889">
        <f t="shared" si="61"/>
        <v>0</v>
      </c>
      <c r="BB83" s="887"/>
      <c r="BC83" s="887"/>
      <c r="BD83" s="887"/>
      <c r="BE83" s="887"/>
      <c r="BF83" s="887"/>
      <c r="BG83" s="887"/>
      <c r="BH83" s="887"/>
      <c r="BI83" s="890">
        <f t="shared" si="62"/>
        <v>0</v>
      </c>
      <c r="BJ83" s="887"/>
      <c r="BK83" s="887"/>
      <c r="BL83" s="887"/>
      <c r="BM83" s="887"/>
      <c r="BN83" s="887"/>
      <c r="BO83" s="887"/>
      <c r="BP83" s="887"/>
      <c r="BQ83" s="888" t="str">
        <f t="shared" si="63"/>
        <v/>
      </c>
      <c r="BR83" s="892" t="str">
        <f t="shared" si="64"/>
        <v/>
      </c>
      <c r="BS83" s="892" t="str">
        <f t="shared" si="65"/>
        <v/>
      </c>
      <c r="BT83" s="892" t="str">
        <f t="shared" si="66"/>
        <v/>
      </c>
      <c r="BU83" s="892" t="str">
        <f t="shared" si="67"/>
        <v/>
      </c>
      <c r="BV83" s="892" t="str">
        <f t="shared" si="68"/>
        <v/>
      </c>
      <c r="BW83" s="892" t="str">
        <f t="shared" si="69"/>
        <v/>
      </c>
      <c r="BX83" s="892" t="str">
        <f t="shared" si="70"/>
        <v/>
      </c>
      <c r="BY83" s="892" t="str">
        <f t="shared" si="71"/>
        <v/>
      </c>
      <c r="BZ83" s="892" t="str">
        <f t="shared" si="72"/>
        <v/>
      </c>
      <c r="CA83" s="892" t="str">
        <f t="shared" si="73"/>
        <v/>
      </c>
      <c r="CB83" s="892" t="str">
        <f t="shared" si="74"/>
        <v/>
      </c>
      <c r="CC83" s="892" t="str">
        <f t="shared" si="75"/>
        <v/>
      </c>
      <c r="CD83" s="892" t="str">
        <f t="shared" si="76"/>
        <v/>
      </c>
      <c r="CE83" s="892" t="str">
        <f t="shared" si="77"/>
        <v/>
      </c>
      <c r="CF83" s="892" t="str">
        <f t="shared" si="78"/>
        <v/>
      </c>
      <c r="CG83" s="892" t="str">
        <f t="shared" si="79"/>
        <v/>
      </c>
      <c r="CH83" s="891" t="str">
        <f>IFERROR(IF($B83&gt;0,PASHEET!AL83+PASHEET!AT83+MARKS!F83+MARKS!N83+MARKS!V83+MARKS!AD83+MARKS!AL83+MARKS!AT83+MARKS!BB83+MARKS!BJ83,""),"Ab")</f>
        <v/>
      </c>
      <c r="CI83" s="891" t="str">
        <f>IFERROR(IF($B83&gt;0,PASHEET!AM83+PASHEET!AU83+MARKS!G83+MARKS!O83+MARKS!W83+MARKS!AE83+MARKS!AM83+MARKS!AU83+MARKS!BC83+MARKS!BK83,""),"Ab")</f>
        <v/>
      </c>
      <c r="CJ83" s="891" t="str">
        <f>IFERROR(IF($B83&gt;0,PASHEET!AN83+PASHEET!AV83+MARKS!H83+MARKS!P83+MARKS!X83+MARKS!AF83+MARKS!AN83+MARKS!AV83+MARKS!BD83+MARKS!BL83,""),"Ab")</f>
        <v/>
      </c>
      <c r="CK83" s="891" t="str">
        <f>IFERROR(IF($B83&gt;0,PASHEET!AO83+PASHEET!AW83+MARKS!I83+MARKS!Q83+MARKS!Y83+MARKS!AG83+MARKS!AO83+MARKS!AW83+MARKS!BE83+MARKS!BM83,""),"Ab")</f>
        <v/>
      </c>
      <c r="CL83" s="891" t="str">
        <f>IFERROR(IF($B83&gt;0,PASHEET!AP83+PASHEET!AX83+MARKS!J83+MARKS!R83+MARKS!Z83+MARKS!AH83+MARKS!AP83+MARKS!AX83+MARKS!BF83+MARKS!BN83,""),"Ab")</f>
        <v/>
      </c>
      <c r="CM83" s="891" t="str">
        <f>IFERROR(IF($B83&gt;0,PASHEET!AQ83+PASHEET!AY83+MARKS!K83+MARKS!S83+MARKS!AA83+MARKS!AI83+MARKS!AQ83+MARKS!AY83+MARKS!BG83+MARKS!BO83,""),"Ab")</f>
        <v/>
      </c>
      <c r="CN83" s="891" t="str">
        <f>IFERROR(IF($B83&gt;0,PASHEET!AR83+PASHEET!AZ83+MARKS!L83+MARKS!T83+MARKS!AB83+MARKS!AJ83+MARKS!AR83+MARKS!AZ83+MARKS!BH83+MARKS!BP83,""),"Ab")</f>
        <v/>
      </c>
      <c r="CO83" s="891" t="str">
        <f t="shared" si="80"/>
        <v/>
      </c>
      <c r="CP83" s="893" t="str">
        <f t="shared" si="81"/>
        <v/>
      </c>
      <c r="CQ83" s="893" t="str">
        <f t="shared" si="82"/>
        <v/>
      </c>
      <c r="CR83" s="893" t="str">
        <f t="shared" si="83"/>
        <v/>
      </c>
      <c r="CS83" s="893" t="str">
        <f t="shared" si="84"/>
        <v/>
      </c>
      <c r="CT83" s="893" t="str">
        <f t="shared" si="85"/>
        <v/>
      </c>
      <c r="CU83" s="893" t="str">
        <f t="shared" si="86"/>
        <v/>
      </c>
      <c r="CV83" s="893" t="str">
        <f t="shared" si="87"/>
        <v/>
      </c>
      <c r="CW83" s="893" t="str">
        <f t="shared" si="88"/>
        <v/>
      </c>
      <c r="CX83" s="894" t="str">
        <f>IFERROR(IF($B83&gt;0,PASHEET!AL83+MARKS!F83+MARKS!N83+MARKS!V83+MARKS!AD83,""),"Ab")</f>
        <v/>
      </c>
      <c r="CY83" s="894" t="str">
        <f>IFERROR(IF($B83&gt;0,PASHEET!AM83+MARKS!G83+MARKS!O83+MARKS!W83+MARKS!AE83,""),"Ab")</f>
        <v/>
      </c>
      <c r="CZ83" s="894" t="str">
        <f>IFERROR(IF($B83&gt;0,PASHEET!AN83+MARKS!H83+MARKS!P83+MARKS!X83+MARKS!AF83,""),"Ab")</f>
        <v/>
      </c>
      <c r="DA83" s="894" t="str">
        <f>IFERROR(IF($B83&gt;0,PASHEET!AO83+MARKS!I83+MARKS!Q83+MARKS!Y83+MARKS!AG83,""),"Ab")</f>
        <v/>
      </c>
      <c r="DB83" s="894" t="str">
        <f>IFERROR(IF($B83&gt;0,PASHEET!AP83+MARKS!J83+MARKS!R83+MARKS!Z83+MARKS!AH83,""),"Ab")</f>
        <v/>
      </c>
      <c r="DC83" s="894" t="str">
        <f>IFERROR(IF($B83&gt;0,PASHEET!AQ83+MARKS!K83+MARKS!S83+MARKS!AA83+MARKS!AI83,""),"Ab")</f>
        <v/>
      </c>
      <c r="DD83" s="894" t="str">
        <f>IFERROR(IF($B83&gt;0,PASHEET!AR83+MARKS!L83+MARKS!T83+MARKS!AB83+MARKS!AJ83,""),"Ab")</f>
        <v/>
      </c>
      <c r="DE83" s="879" t="str">
        <f t="shared" si="89"/>
        <v/>
      </c>
      <c r="DF83" s="894" t="str">
        <f t="shared" si="90"/>
        <v/>
      </c>
      <c r="DG83" s="894" t="str">
        <f t="shared" si="91"/>
        <v/>
      </c>
      <c r="DH83" s="894" t="str">
        <f t="shared" si="92"/>
        <v/>
      </c>
      <c r="DI83" s="894" t="str">
        <f t="shared" si="93"/>
        <v/>
      </c>
      <c r="DJ83" s="894" t="str">
        <f t="shared" si="94"/>
        <v/>
      </c>
      <c r="DK83" s="894" t="str">
        <f t="shared" si="95"/>
        <v/>
      </c>
      <c r="DL83" s="894" t="str">
        <f t="shared" si="96"/>
        <v/>
      </c>
      <c r="DM83" s="894" t="str">
        <f t="shared" si="97"/>
        <v/>
      </c>
      <c r="DN83" s="894" t="str">
        <f>IFERROR(IF($B83&gt;0,PASHEET!AT83+MARKS!AL83+MARKS!AT83+MARKS!BB83+MARKS!BJ83,""),"Ab")</f>
        <v/>
      </c>
      <c r="DO83" s="894" t="str">
        <f>IFERROR(IF($B83&gt;0,PASHEET!AU83+MARKS!AM83+MARKS!AU83+MARKS!BC83+MARKS!BK83,""),"Ab")</f>
        <v/>
      </c>
      <c r="DP83" s="894" t="str">
        <f>IFERROR(IF($B83&gt;0,PASHEET!AV83+MARKS!AN83+MARKS!AV83+MARKS!BD83+MARKS!BL83,""),"Ab")</f>
        <v/>
      </c>
      <c r="DQ83" s="894" t="str">
        <f>IFERROR(IF($B83&gt;0,PASHEET!AW83+MARKS!AO83+MARKS!AW83+MARKS!BE83+MARKS!BM83,""),"Ab")</f>
        <v/>
      </c>
      <c r="DR83" s="894" t="str">
        <f>IFERROR(IF($B83&gt;0,PASHEET!AX83+MARKS!AP83+MARKS!AX83+MARKS!BF83+MARKS!BN83,""),"Ab")</f>
        <v/>
      </c>
      <c r="DS83" s="894" t="str">
        <f>IFERROR(IF($B83&gt;0,PASHEET!AY83+MARKS!AQ83+MARKS!AY83+MARKS!BG83+MARKS!BO83,""),"Ab")</f>
        <v/>
      </c>
      <c r="DT83" s="894" t="str">
        <f>IFERROR(IF($B83&gt;0,PASHEET!AZ83+MARKS!AR83+MARKS!AZ83+MARKS!BH83+MARKS!BP83,""),"Ab")</f>
        <v/>
      </c>
      <c r="DU83" s="879" t="str">
        <f t="shared" si="98"/>
        <v/>
      </c>
      <c r="DV83" s="894" t="str">
        <f t="shared" si="99"/>
        <v/>
      </c>
      <c r="DW83" s="894" t="str">
        <f t="shared" si="100"/>
        <v/>
      </c>
      <c r="DX83" s="894" t="str">
        <f t="shared" si="101"/>
        <v/>
      </c>
      <c r="DY83" s="894" t="str">
        <f t="shared" si="102"/>
        <v/>
      </c>
      <c r="DZ83" s="894" t="str">
        <f t="shared" si="103"/>
        <v/>
      </c>
      <c r="EA83" s="894" t="str">
        <f t="shared" si="104"/>
        <v/>
      </c>
      <c r="EB83" s="894" t="str">
        <f t="shared" si="105"/>
        <v/>
      </c>
      <c r="EC83" s="894" t="str">
        <f t="shared" si="106"/>
        <v/>
      </c>
    </row>
    <row r="84" spans="1:133">
      <c r="A84" s="879">
        <v>81</v>
      </c>
      <c r="B84" s="879">
        <f>STUDENT!F82</f>
        <v>0</v>
      </c>
      <c r="C84" s="879">
        <f>STUDENT!D82</f>
        <v>0</v>
      </c>
      <c r="D84" s="886">
        <f>STUDENT!E82</f>
        <v>0</v>
      </c>
      <c r="E84" s="886">
        <f>STUDENT!H82</f>
        <v>0</v>
      </c>
      <c r="F84" s="887"/>
      <c r="G84" s="887"/>
      <c r="H84" s="887"/>
      <c r="I84" s="887"/>
      <c r="J84" s="887"/>
      <c r="K84" s="887"/>
      <c r="L84" s="887"/>
      <c r="M84" s="888">
        <f t="shared" si="56"/>
        <v>0</v>
      </c>
      <c r="N84" s="887"/>
      <c r="O84" s="887"/>
      <c r="P84" s="887"/>
      <c r="Q84" s="887"/>
      <c r="R84" s="887"/>
      <c r="S84" s="887"/>
      <c r="T84" s="887"/>
      <c r="U84" s="889">
        <f t="shared" si="57"/>
        <v>0</v>
      </c>
      <c r="V84" s="887"/>
      <c r="W84" s="887"/>
      <c r="X84" s="887"/>
      <c r="Y84" s="887"/>
      <c r="Z84" s="887"/>
      <c r="AA84" s="887"/>
      <c r="AB84" s="887"/>
      <c r="AC84" s="890">
        <f t="shared" si="58"/>
        <v>0</v>
      </c>
      <c r="AD84" s="887"/>
      <c r="AE84" s="887"/>
      <c r="AF84" s="887"/>
      <c r="AG84" s="887"/>
      <c r="AH84" s="887"/>
      <c r="AI84" s="887"/>
      <c r="AJ84" s="887"/>
      <c r="AK84" s="888" t="str">
        <f t="shared" si="59"/>
        <v/>
      </c>
      <c r="AL84" s="887"/>
      <c r="AM84" s="887"/>
      <c r="AN84" s="887"/>
      <c r="AO84" s="887"/>
      <c r="AP84" s="887"/>
      <c r="AQ84" s="887"/>
      <c r="AR84" s="887"/>
      <c r="AS84" s="891">
        <f t="shared" si="60"/>
        <v>0</v>
      </c>
      <c r="AT84" s="887"/>
      <c r="AU84" s="887"/>
      <c r="AV84" s="887"/>
      <c r="AW84" s="887"/>
      <c r="AX84" s="887"/>
      <c r="AY84" s="887"/>
      <c r="AZ84" s="887"/>
      <c r="BA84" s="889">
        <f t="shared" si="61"/>
        <v>0</v>
      </c>
      <c r="BB84" s="887"/>
      <c r="BC84" s="887"/>
      <c r="BD84" s="887"/>
      <c r="BE84" s="887"/>
      <c r="BF84" s="887"/>
      <c r="BG84" s="887"/>
      <c r="BH84" s="887"/>
      <c r="BI84" s="890">
        <f t="shared" si="62"/>
        <v>0</v>
      </c>
      <c r="BJ84" s="887"/>
      <c r="BK84" s="887"/>
      <c r="BL84" s="887"/>
      <c r="BM84" s="887"/>
      <c r="BN84" s="887"/>
      <c r="BO84" s="887"/>
      <c r="BP84" s="887"/>
      <c r="BQ84" s="888" t="str">
        <f t="shared" si="63"/>
        <v/>
      </c>
      <c r="BR84" s="892" t="str">
        <f t="shared" si="64"/>
        <v/>
      </c>
      <c r="BS84" s="892" t="str">
        <f t="shared" si="65"/>
        <v/>
      </c>
      <c r="BT84" s="892" t="str">
        <f t="shared" si="66"/>
        <v/>
      </c>
      <c r="BU84" s="892" t="str">
        <f t="shared" si="67"/>
        <v/>
      </c>
      <c r="BV84" s="892" t="str">
        <f t="shared" si="68"/>
        <v/>
      </c>
      <c r="BW84" s="892" t="str">
        <f t="shared" si="69"/>
        <v/>
      </c>
      <c r="BX84" s="892" t="str">
        <f t="shared" si="70"/>
        <v/>
      </c>
      <c r="BY84" s="892" t="str">
        <f t="shared" si="71"/>
        <v/>
      </c>
      <c r="BZ84" s="892" t="str">
        <f t="shared" si="72"/>
        <v/>
      </c>
      <c r="CA84" s="892" t="str">
        <f t="shared" si="73"/>
        <v/>
      </c>
      <c r="CB84" s="892" t="str">
        <f t="shared" si="74"/>
        <v/>
      </c>
      <c r="CC84" s="892" t="str">
        <f t="shared" si="75"/>
        <v/>
      </c>
      <c r="CD84" s="892" t="str">
        <f t="shared" si="76"/>
        <v/>
      </c>
      <c r="CE84" s="892" t="str">
        <f t="shared" si="77"/>
        <v/>
      </c>
      <c r="CF84" s="892" t="str">
        <f t="shared" si="78"/>
        <v/>
      </c>
      <c r="CG84" s="892" t="str">
        <f t="shared" si="79"/>
        <v/>
      </c>
      <c r="CH84" s="891" t="str">
        <f>IFERROR(IF($B84&gt;0,PASHEET!AL84+PASHEET!AT84+MARKS!F84+MARKS!N84+MARKS!V84+MARKS!AD84+MARKS!AL84+MARKS!AT84+MARKS!BB84+MARKS!BJ84,""),"Ab")</f>
        <v/>
      </c>
      <c r="CI84" s="891" t="str">
        <f>IFERROR(IF($B84&gt;0,PASHEET!AM84+PASHEET!AU84+MARKS!G84+MARKS!O84+MARKS!W84+MARKS!AE84+MARKS!AM84+MARKS!AU84+MARKS!BC84+MARKS!BK84,""),"Ab")</f>
        <v/>
      </c>
      <c r="CJ84" s="891" t="str">
        <f>IFERROR(IF($B84&gt;0,PASHEET!AN84+PASHEET!AV84+MARKS!H84+MARKS!P84+MARKS!X84+MARKS!AF84+MARKS!AN84+MARKS!AV84+MARKS!BD84+MARKS!BL84,""),"Ab")</f>
        <v/>
      </c>
      <c r="CK84" s="891" t="str">
        <f>IFERROR(IF($B84&gt;0,PASHEET!AO84+PASHEET!AW84+MARKS!I84+MARKS!Q84+MARKS!Y84+MARKS!AG84+MARKS!AO84+MARKS!AW84+MARKS!BE84+MARKS!BM84,""),"Ab")</f>
        <v/>
      </c>
      <c r="CL84" s="891" t="str">
        <f>IFERROR(IF($B84&gt;0,PASHEET!AP84+PASHEET!AX84+MARKS!J84+MARKS!R84+MARKS!Z84+MARKS!AH84+MARKS!AP84+MARKS!AX84+MARKS!BF84+MARKS!BN84,""),"Ab")</f>
        <v/>
      </c>
      <c r="CM84" s="891" t="str">
        <f>IFERROR(IF($B84&gt;0,PASHEET!AQ84+PASHEET!AY84+MARKS!K84+MARKS!S84+MARKS!AA84+MARKS!AI84+MARKS!AQ84+MARKS!AY84+MARKS!BG84+MARKS!BO84,""),"Ab")</f>
        <v/>
      </c>
      <c r="CN84" s="891" t="str">
        <f>IFERROR(IF($B84&gt;0,PASHEET!AR84+PASHEET!AZ84+MARKS!L84+MARKS!T84+MARKS!AB84+MARKS!AJ84+MARKS!AR84+MARKS!AZ84+MARKS!BH84+MARKS!BP84,""),"Ab")</f>
        <v/>
      </c>
      <c r="CO84" s="891" t="str">
        <f t="shared" si="80"/>
        <v/>
      </c>
      <c r="CP84" s="893" t="str">
        <f t="shared" si="81"/>
        <v/>
      </c>
      <c r="CQ84" s="893" t="str">
        <f t="shared" si="82"/>
        <v/>
      </c>
      <c r="CR84" s="893" t="str">
        <f t="shared" si="83"/>
        <v/>
      </c>
      <c r="CS84" s="893" t="str">
        <f t="shared" si="84"/>
        <v/>
      </c>
      <c r="CT84" s="893" t="str">
        <f t="shared" si="85"/>
        <v/>
      </c>
      <c r="CU84" s="893" t="str">
        <f t="shared" si="86"/>
        <v/>
      </c>
      <c r="CV84" s="893" t="str">
        <f t="shared" si="87"/>
        <v/>
      </c>
      <c r="CW84" s="893" t="str">
        <f t="shared" si="88"/>
        <v/>
      </c>
      <c r="CX84" s="894" t="str">
        <f>IFERROR(IF($B84&gt;0,PASHEET!AL84+MARKS!F84+MARKS!N84+MARKS!V84+MARKS!AD84,""),"Ab")</f>
        <v/>
      </c>
      <c r="CY84" s="894" t="str">
        <f>IFERROR(IF($B84&gt;0,PASHEET!AM84+MARKS!G84+MARKS!O84+MARKS!W84+MARKS!AE84,""),"Ab")</f>
        <v/>
      </c>
      <c r="CZ84" s="894" t="str">
        <f>IFERROR(IF($B84&gt;0,PASHEET!AN84+MARKS!H84+MARKS!P84+MARKS!X84+MARKS!AF84,""),"Ab")</f>
        <v/>
      </c>
      <c r="DA84" s="894" t="str">
        <f>IFERROR(IF($B84&gt;0,PASHEET!AO84+MARKS!I84+MARKS!Q84+MARKS!Y84+MARKS!AG84,""),"Ab")</f>
        <v/>
      </c>
      <c r="DB84" s="894" t="str">
        <f>IFERROR(IF($B84&gt;0,PASHEET!AP84+MARKS!J84+MARKS!R84+MARKS!Z84+MARKS!AH84,""),"Ab")</f>
        <v/>
      </c>
      <c r="DC84" s="894" t="str">
        <f>IFERROR(IF($B84&gt;0,PASHEET!AQ84+MARKS!K84+MARKS!S84+MARKS!AA84+MARKS!AI84,""),"Ab")</f>
        <v/>
      </c>
      <c r="DD84" s="894" t="str">
        <f>IFERROR(IF($B84&gt;0,PASHEET!AR84+MARKS!L84+MARKS!T84+MARKS!AB84+MARKS!AJ84,""),"Ab")</f>
        <v/>
      </c>
      <c r="DE84" s="879" t="str">
        <f t="shared" si="89"/>
        <v/>
      </c>
      <c r="DF84" s="894" t="str">
        <f t="shared" si="90"/>
        <v/>
      </c>
      <c r="DG84" s="894" t="str">
        <f t="shared" si="91"/>
        <v/>
      </c>
      <c r="DH84" s="894" t="str">
        <f t="shared" si="92"/>
        <v/>
      </c>
      <c r="DI84" s="894" t="str">
        <f t="shared" si="93"/>
        <v/>
      </c>
      <c r="DJ84" s="894" t="str">
        <f t="shared" si="94"/>
        <v/>
      </c>
      <c r="DK84" s="894" t="str">
        <f t="shared" si="95"/>
        <v/>
      </c>
      <c r="DL84" s="894" t="str">
        <f t="shared" si="96"/>
        <v/>
      </c>
      <c r="DM84" s="894" t="str">
        <f t="shared" si="97"/>
        <v/>
      </c>
      <c r="DN84" s="894" t="str">
        <f>IFERROR(IF($B84&gt;0,PASHEET!AT84+MARKS!AL84+MARKS!AT84+MARKS!BB84+MARKS!BJ84,""),"Ab")</f>
        <v/>
      </c>
      <c r="DO84" s="894" t="str">
        <f>IFERROR(IF($B84&gt;0,PASHEET!AU84+MARKS!AM84+MARKS!AU84+MARKS!BC84+MARKS!BK84,""),"Ab")</f>
        <v/>
      </c>
      <c r="DP84" s="894" t="str">
        <f>IFERROR(IF($B84&gt;0,PASHEET!AV84+MARKS!AN84+MARKS!AV84+MARKS!BD84+MARKS!BL84,""),"Ab")</f>
        <v/>
      </c>
      <c r="DQ84" s="894" t="str">
        <f>IFERROR(IF($B84&gt;0,PASHEET!AW84+MARKS!AO84+MARKS!AW84+MARKS!BE84+MARKS!BM84,""),"Ab")</f>
        <v/>
      </c>
      <c r="DR84" s="894" t="str">
        <f>IFERROR(IF($B84&gt;0,PASHEET!AX84+MARKS!AP84+MARKS!AX84+MARKS!BF84+MARKS!BN84,""),"Ab")</f>
        <v/>
      </c>
      <c r="DS84" s="894" t="str">
        <f>IFERROR(IF($B84&gt;0,PASHEET!AY84+MARKS!AQ84+MARKS!AY84+MARKS!BG84+MARKS!BO84,""),"Ab")</f>
        <v/>
      </c>
      <c r="DT84" s="894" t="str">
        <f>IFERROR(IF($B84&gt;0,PASHEET!AZ84+MARKS!AR84+MARKS!AZ84+MARKS!BH84+MARKS!BP84,""),"Ab")</f>
        <v/>
      </c>
      <c r="DU84" s="879" t="str">
        <f t="shared" si="98"/>
        <v/>
      </c>
      <c r="DV84" s="894" t="str">
        <f t="shared" si="99"/>
        <v/>
      </c>
      <c r="DW84" s="894" t="str">
        <f t="shared" si="100"/>
        <v/>
      </c>
      <c r="DX84" s="894" t="str">
        <f t="shared" si="101"/>
        <v/>
      </c>
      <c r="DY84" s="894" t="str">
        <f t="shared" si="102"/>
        <v/>
      </c>
      <c r="DZ84" s="894" t="str">
        <f t="shared" si="103"/>
        <v/>
      </c>
      <c r="EA84" s="894" t="str">
        <f t="shared" si="104"/>
        <v/>
      </c>
      <c r="EB84" s="894" t="str">
        <f t="shared" si="105"/>
        <v/>
      </c>
      <c r="EC84" s="894" t="str">
        <f t="shared" si="106"/>
        <v/>
      </c>
    </row>
    <row r="85" spans="1:133">
      <c r="A85" s="879">
        <v>82</v>
      </c>
      <c r="B85" s="879">
        <f>STUDENT!F83</f>
        <v>0</v>
      </c>
      <c r="C85" s="879">
        <f>STUDENT!D83</f>
        <v>0</v>
      </c>
      <c r="D85" s="886">
        <f>STUDENT!E83</f>
        <v>0</v>
      </c>
      <c r="E85" s="886">
        <f>STUDENT!H83</f>
        <v>0</v>
      </c>
      <c r="F85" s="887"/>
      <c r="G85" s="887"/>
      <c r="H85" s="887"/>
      <c r="I85" s="887"/>
      <c r="J85" s="887"/>
      <c r="K85" s="887"/>
      <c r="L85" s="887"/>
      <c r="M85" s="888">
        <f t="shared" si="56"/>
        <v>0</v>
      </c>
      <c r="N85" s="887"/>
      <c r="O85" s="887"/>
      <c r="P85" s="887"/>
      <c r="Q85" s="887"/>
      <c r="R85" s="887"/>
      <c r="S85" s="887"/>
      <c r="T85" s="887"/>
      <c r="U85" s="889">
        <f t="shared" si="57"/>
        <v>0</v>
      </c>
      <c r="V85" s="887"/>
      <c r="W85" s="887"/>
      <c r="X85" s="887"/>
      <c r="Y85" s="887"/>
      <c r="Z85" s="887"/>
      <c r="AA85" s="887"/>
      <c r="AB85" s="887"/>
      <c r="AC85" s="890">
        <f t="shared" si="58"/>
        <v>0</v>
      </c>
      <c r="AD85" s="887"/>
      <c r="AE85" s="887"/>
      <c r="AF85" s="887"/>
      <c r="AG85" s="887"/>
      <c r="AH85" s="887"/>
      <c r="AI85" s="887"/>
      <c r="AJ85" s="887"/>
      <c r="AK85" s="888" t="str">
        <f t="shared" si="59"/>
        <v/>
      </c>
      <c r="AL85" s="887"/>
      <c r="AM85" s="887"/>
      <c r="AN85" s="887"/>
      <c r="AO85" s="887"/>
      <c r="AP85" s="887"/>
      <c r="AQ85" s="887"/>
      <c r="AR85" s="887"/>
      <c r="AS85" s="891">
        <f t="shared" si="60"/>
        <v>0</v>
      </c>
      <c r="AT85" s="887"/>
      <c r="AU85" s="887"/>
      <c r="AV85" s="887"/>
      <c r="AW85" s="887"/>
      <c r="AX85" s="887"/>
      <c r="AY85" s="887"/>
      <c r="AZ85" s="887"/>
      <c r="BA85" s="889">
        <f t="shared" si="61"/>
        <v>0</v>
      </c>
      <c r="BB85" s="887"/>
      <c r="BC85" s="887"/>
      <c r="BD85" s="887"/>
      <c r="BE85" s="887"/>
      <c r="BF85" s="887"/>
      <c r="BG85" s="887"/>
      <c r="BH85" s="887"/>
      <c r="BI85" s="890">
        <f t="shared" si="62"/>
        <v>0</v>
      </c>
      <c r="BJ85" s="887"/>
      <c r="BK85" s="887"/>
      <c r="BL85" s="887"/>
      <c r="BM85" s="887"/>
      <c r="BN85" s="887"/>
      <c r="BO85" s="887"/>
      <c r="BP85" s="887"/>
      <c r="BQ85" s="888" t="str">
        <f t="shared" si="63"/>
        <v/>
      </c>
      <c r="BR85" s="892" t="str">
        <f t="shared" si="64"/>
        <v/>
      </c>
      <c r="BS85" s="892" t="str">
        <f t="shared" si="65"/>
        <v/>
      </c>
      <c r="BT85" s="892" t="str">
        <f t="shared" si="66"/>
        <v/>
      </c>
      <c r="BU85" s="892" t="str">
        <f t="shared" si="67"/>
        <v/>
      </c>
      <c r="BV85" s="892" t="str">
        <f t="shared" si="68"/>
        <v/>
      </c>
      <c r="BW85" s="892" t="str">
        <f t="shared" si="69"/>
        <v/>
      </c>
      <c r="BX85" s="892" t="str">
        <f t="shared" si="70"/>
        <v/>
      </c>
      <c r="BY85" s="892" t="str">
        <f t="shared" si="71"/>
        <v/>
      </c>
      <c r="BZ85" s="892" t="str">
        <f t="shared" si="72"/>
        <v/>
      </c>
      <c r="CA85" s="892" t="str">
        <f t="shared" si="73"/>
        <v/>
      </c>
      <c r="CB85" s="892" t="str">
        <f t="shared" si="74"/>
        <v/>
      </c>
      <c r="CC85" s="892" t="str">
        <f t="shared" si="75"/>
        <v/>
      </c>
      <c r="CD85" s="892" t="str">
        <f t="shared" si="76"/>
        <v/>
      </c>
      <c r="CE85" s="892" t="str">
        <f t="shared" si="77"/>
        <v/>
      </c>
      <c r="CF85" s="892" t="str">
        <f t="shared" si="78"/>
        <v/>
      </c>
      <c r="CG85" s="892" t="str">
        <f t="shared" si="79"/>
        <v/>
      </c>
      <c r="CH85" s="891" t="str">
        <f>IFERROR(IF($B85&gt;0,PASHEET!AL85+PASHEET!AT85+MARKS!F85+MARKS!N85+MARKS!V85+MARKS!AD85+MARKS!AL85+MARKS!AT85+MARKS!BB85+MARKS!BJ85,""),"Ab")</f>
        <v/>
      </c>
      <c r="CI85" s="891" t="str">
        <f>IFERROR(IF($B85&gt;0,PASHEET!AM85+PASHEET!AU85+MARKS!G85+MARKS!O85+MARKS!W85+MARKS!AE85+MARKS!AM85+MARKS!AU85+MARKS!BC85+MARKS!BK85,""),"Ab")</f>
        <v/>
      </c>
      <c r="CJ85" s="891" t="str">
        <f>IFERROR(IF($B85&gt;0,PASHEET!AN85+PASHEET!AV85+MARKS!H85+MARKS!P85+MARKS!X85+MARKS!AF85+MARKS!AN85+MARKS!AV85+MARKS!BD85+MARKS!BL85,""),"Ab")</f>
        <v/>
      </c>
      <c r="CK85" s="891" t="str">
        <f>IFERROR(IF($B85&gt;0,PASHEET!AO85+PASHEET!AW85+MARKS!I85+MARKS!Q85+MARKS!Y85+MARKS!AG85+MARKS!AO85+MARKS!AW85+MARKS!BE85+MARKS!BM85,""),"Ab")</f>
        <v/>
      </c>
      <c r="CL85" s="891" t="str">
        <f>IFERROR(IF($B85&gt;0,PASHEET!AP85+PASHEET!AX85+MARKS!J85+MARKS!R85+MARKS!Z85+MARKS!AH85+MARKS!AP85+MARKS!AX85+MARKS!BF85+MARKS!BN85,""),"Ab")</f>
        <v/>
      </c>
      <c r="CM85" s="891" t="str">
        <f>IFERROR(IF($B85&gt;0,PASHEET!AQ85+PASHEET!AY85+MARKS!K85+MARKS!S85+MARKS!AA85+MARKS!AI85+MARKS!AQ85+MARKS!AY85+MARKS!BG85+MARKS!BO85,""),"Ab")</f>
        <v/>
      </c>
      <c r="CN85" s="891" t="str">
        <f>IFERROR(IF($B85&gt;0,PASHEET!AR85+PASHEET!AZ85+MARKS!L85+MARKS!T85+MARKS!AB85+MARKS!AJ85+MARKS!AR85+MARKS!AZ85+MARKS!BH85+MARKS!BP85,""),"Ab")</f>
        <v/>
      </c>
      <c r="CO85" s="891" t="str">
        <f t="shared" si="80"/>
        <v/>
      </c>
      <c r="CP85" s="893" t="str">
        <f t="shared" si="81"/>
        <v/>
      </c>
      <c r="CQ85" s="893" t="str">
        <f t="shared" si="82"/>
        <v/>
      </c>
      <c r="CR85" s="893" t="str">
        <f t="shared" si="83"/>
        <v/>
      </c>
      <c r="CS85" s="893" t="str">
        <f t="shared" si="84"/>
        <v/>
      </c>
      <c r="CT85" s="893" t="str">
        <f t="shared" si="85"/>
        <v/>
      </c>
      <c r="CU85" s="893" t="str">
        <f t="shared" si="86"/>
        <v/>
      </c>
      <c r="CV85" s="893" t="str">
        <f t="shared" si="87"/>
        <v/>
      </c>
      <c r="CW85" s="893" t="str">
        <f t="shared" si="88"/>
        <v/>
      </c>
      <c r="CX85" s="894" t="str">
        <f>IFERROR(IF($B85&gt;0,PASHEET!AL85+MARKS!F85+MARKS!N85+MARKS!V85+MARKS!AD85,""),"Ab")</f>
        <v/>
      </c>
      <c r="CY85" s="894" t="str">
        <f>IFERROR(IF($B85&gt;0,PASHEET!AM85+MARKS!G85+MARKS!O85+MARKS!W85+MARKS!AE85,""),"Ab")</f>
        <v/>
      </c>
      <c r="CZ85" s="894" t="str">
        <f>IFERROR(IF($B85&gt;0,PASHEET!AN85+MARKS!H85+MARKS!P85+MARKS!X85+MARKS!AF85,""),"Ab")</f>
        <v/>
      </c>
      <c r="DA85" s="894" t="str">
        <f>IFERROR(IF($B85&gt;0,PASHEET!AO85+MARKS!I85+MARKS!Q85+MARKS!Y85+MARKS!AG85,""),"Ab")</f>
        <v/>
      </c>
      <c r="DB85" s="894" t="str">
        <f>IFERROR(IF($B85&gt;0,PASHEET!AP85+MARKS!J85+MARKS!R85+MARKS!Z85+MARKS!AH85,""),"Ab")</f>
        <v/>
      </c>
      <c r="DC85" s="894" t="str">
        <f>IFERROR(IF($B85&gt;0,PASHEET!AQ85+MARKS!K85+MARKS!S85+MARKS!AA85+MARKS!AI85,""),"Ab")</f>
        <v/>
      </c>
      <c r="DD85" s="894" t="str">
        <f>IFERROR(IF($B85&gt;0,PASHEET!AR85+MARKS!L85+MARKS!T85+MARKS!AB85+MARKS!AJ85,""),"Ab")</f>
        <v/>
      </c>
      <c r="DE85" s="879" t="str">
        <f t="shared" si="89"/>
        <v/>
      </c>
      <c r="DF85" s="894" t="str">
        <f t="shared" si="90"/>
        <v/>
      </c>
      <c r="DG85" s="894" t="str">
        <f t="shared" si="91"/>
        <v/>
      </c>
      <c r="DH85" s="894" t="str">
        <f t="shared" si="92"/>
        <v/>
      </c>
      <c r="DI85" s="894" t="str">
        <f t="shared" si="93"/>
        <v/>
      </c>
      <c r="DJ85" s="894" t="str">
        <f t="shared" si="94"/>
        <v/>
      </c>
      <c r="DK85" s="894" t="str">
        <f t="shared" si="95"/>
        <v/>
      </c>
      <c r="DL85" s="894" t="str">
        <f t="shared" si="96"/>
        <v/>
      </c>
      <c r="DM85" s="894" t="str">
        <f t="shared" si="97"/>
        <v/>
      </c>
      <c r="DN85" s="894" t="str">
        <f>IFERROR(IF($B85&gt;0,PASHEET!AT85+MARKS!AL85+MARKS!AT85+MARKS!BB85+MARKS!BJ85,""),"Ab")</f>
        <v/>
      </c>
      <c r="DO85" s="894" t="str">
        <f>IFERROR(IF($B85&gt;0,PASHEET!AU85+MARKS!AM85+MARKS!AU85+MARKS!BC85+MARKS!BK85,""),"Ab")</f>
        <v/>
      </c>
      <c r="DP85" s="894" t="str">
        <f>IFERROR(IF($B85&gt;0,PASHEET!AV85+MARKS!AN85+MARKS!AV85+MARKS!BD85+MARKS!BL85,""),"Ab")</f>
        <v/>
      </c>
      <c r="DQ85" s="894" t="str">
        <f>IFERROR(IF($B85&gt;0,PASHEET!AW85+MARKS!AO85+MARKS!AW85+MARKS!BE85+MARKS!BM85,""),"Ab")</f>
        <v/>
      </c>
      <c r="DR85" s="894" t="str">
        <f>IFERROR(IF($B85&gt;0,PASHEET!AX85+MARKS!AP85+MARKS!AX85+MARKS!BF85+MARKS!BN85,""),"Ab")</f>
        <v/>
      </c>
      <c r="DS85" s="894" t="str">
        <f>IFERROR(IF($B85&gt;0,PASHEET!AY85+MARKS!AQ85+MARKS!AY85+MARKS!BG85+MARKS!BO85,""),"Ab")</f>
        <v/>
      </c>
      <c r="DT85" s="894" t="str">
        <f>IFERROR(IF($B85&gt;0,PASHEET!AZ85+MARKS!AR85+MARKS!AZ85+MARKS!BH85+MARKS!BP85,""),"Ab")</f>
        <v/>
      </c>
      <c r="DU85" s="879" t="str">
        <f t="shared" si="98"/>
        <v/>
      </c>
      <c r="DV85" s="894" t="str">
        <f t="shared" si="99"/>
        <v/>
      </c>
      <c r="DW85" s="894" t="str">
        <f t="shared" si="100"/>
        <v/>
      </c>
      <c r="DX85" s="894" t="str">
        <f t="shared" si="101"/>
        <v/>
      </c>
      <c r="DY85" s="894" t="str">
        <f t="shared" si="102"/>
        <v/>
      </c>
      <c r="DZ85" s="894" t="str">
        <f t="shared" si="103"/>
        <v/>
      </c>
      <c r="EA85" s="894" t="str">
        <f t="shared" si="104"/>
        <v/>
      </c>
      <c r="EB85" s="894" t="str">
        <f t="shared" si="105"/>
        <v/>
      </c>
      <c r="EC85" s="894" t="str">
        <f t="shared" si="106"/>
        <v/>
      </c>
    </row>
    <row r="86" spans="1:133">
      <c r="A86" s="879">
        <v>83</v>
      </c>
      <c r="B86" s="879">
        <f>STUDENT!F84</f>
        <v>0</v>
      </c>
      <c r="C86" s="879">
        <f>STUDENT!D84</f>
        <v>0</v>
      </c>
      <c r="D86" s="886">
        <f>STUDENT!E84</f>
        <v>0</v>
      </c>
      <c r="E86" s="886">
        <f>STUDENT!H84</f>
        <v>0</v>
      </c>
      <c r="F86" s="887"/>
      <c r="G86" s="887"/>
      <c r="H86" s="887"/>
      <c r="I86" s="887"/>
      <c r="J86" s="887"/>
      <c r="K86" s="887"/>
      <c r="L86" s="887"/>
      <c r="M86" s="888">
        <f t="shared" si="56"/>
        <v>0</v>
      </c>
      <c r="N86" s="887"/>
      <c r="O86" s="887"/>
      <c r="P86" s="887"/>
      <c r="Q86" s="887"/>
      <c r="R86" s="887"/>
      <c r="S86" s="887"/>
      <c r="T86" s="887"/>
      <c r="U86" s="889">
        <f t="shared" si="57"/>
        <v>0</v>
      </c>
      <c r="V86" s="887"/>
      <c r="W86" s="887"/>
      <c r="X86" s="887"/>
      <c r="Y86" s="887"/>
      <c r="Z86" s="887"/>
      <c r="AA86" s="887"/>
      <c r="AB86" s="887"/>
      <c r="AC86" s="890">
        <f t="shared" si="58"/>
        <v>0</v>
      </c>
      <c r="AD86" s="887"/>
      <c r="AE86" s="887"/>
      <c r="AF86" s="887"/>
      <c r="AG86" s="887"/>
      <c r="AH86" s="887"/>
      <c r="AI86" s="887"/>
      <c r="AJ86" s="887"/>
      <c r="AK86" s="888" t="str">
        <f t="shared" si="59"/>
        <v/>
      </c>
      <c r="AL86" s="887"/>
      <c r="AM86" s="887"/>
      <c r="AN86" s="887"/>
      <c r="AO86" s="887"/>
      <c r="AP86" s="887"/>
      <c r="AQ86" s="887"/>
      <c r="AR86" s="887"/>
      <c r="AS86" s="891">
        <f t="shared" si="60"/>
        <v>0</v>
      </c>
      <c r="AT86" s="887"/>
      <c r="AU86" s="887"/>
      <c r="AV86" s="887"/>
      <c r="AW86" s="887"/>
      <c r="AX86" s="887"/>
      <c r="AY86" s="887"/>
      <c r="AZ86" s="887"/>
      <c r="BA86" s="889">
        <f t="shared" si="61"/>
        <v>0</v>
      </c>
      <c r="BB86" s="887"/>
      <c r="BC86" s="887"/>
      <c r="BD86" s="887"/>
      <c r="BE86" s="887"/>
      <c r="BF86" s="887"/>
      <c r="BG86" s="887"/>
      <c r="BH86" s="887"/>
      <c r="BI86" s="890">
        <f t="shared" si="62"/>
        <v>0</v>
      </c>
      <c r="BJ86" s="887"/>
      <c r="BK86" s="887"/>
      <c r="BL86" s="887"/>
      <c r="BM86" s="887"/>
      <c r="BN86" s="887"/>
      <c r="BO86" s="887"/>
      <c r="BP86" s="887"/>
      <c r="BQ86" s="888" t="str">
        <f t="shared" si="63"/>
        <v/>
      </c>
      <c r="BR86" s="892" t="str">
        <f t="shared" si="64"/>
        <v/>
      </c>
      <c r="BS86" s="892" t="str">
        <f t="shared" si="65"/>
        <v/>
      </c>
      <c r="BT86" s="892" t="str">
        <f t="shared" si="66"/>
        <v/>
      </c>
      <c r="BU86" s="892" t="str">
        <f t="shared" si="67"/>
        <v/>
      </c>
      <c r="BV86" s="892" t="str">
        <f t="shared" si="68"/>
        <v/>
      </c>
      <c r="BW86" s="892" t="str">
        <f t="shared" si="69"/>
        <v/>
      </c>
      <c r="BX86" s="892" t="str">
        <f t="shared" si="70"/>
        <v/>
      </c>
      <c r="BY86" s="892" t="str">
        <f t="shared" si="71"/>
        <v/>
      </c>
      <c r="BZ86" s="892" t="str">
        <f t="shared" si="72"/>
        <v/>
      </c>
      <c r="CA86" s="892" t="str">
        <f t="shared" si="73"/>
        <v/>
      </c>
      <c r="CB86" s="892" t="str">
        <f t="shared" si="74"/>
        <v/>
      </c>
      <c r="CC86" s="892" t="str">
        <f t="shared" si="75"/>
        <v/>
      </c>
      <c r="CD86" s="892" t="str">
        <f t="shared" si="76"/>
        <v/>
      </c>
      <c r="CE86" s="892" t="str">
        <f t="shared" si="77"/>
        <v/>
      </c>
      <c r="CF86" s="892" t="str">
        <f t="shared" si="78"/>
        <v/>
      </c>
      <c r="CG86" s="892" t="str">
        <f t="shared" si="79"/>
        <v/>
      </c>
      <c r="CH86" s="891" t="str">
        <f>IFERROR(IF($B86&gt;0,PASHEET!AL86+PASHEET!AT86+MARKS!F86+MARKS!N86+MARKS!V86+MARKS!AD86+MARKS!AL86+MARKS!AT86+MARKS!BB86+MARKS!BJ86,""),"Ab")</f>
        <v/>
      </c>
      <c r="CI86" s="891" t="str">
        <f>IFERROR(IF($B86&gt;0,PASHEET!AM86+PASHEET!AU86+MARKS!G86+MARKS!O86+MARKS!W86+MARKS!AE86+MARKS!AM86+MARKS!AU86+MARKS!BC86+MARKS!BK86,""),"Ab")</f>
        <v/>
      </c>
      <c r="CJ86" s="891" t="str">
        <f>IFERROR(IF($B86&gt;0,PASHEET!AN86+PASHEET!AV86+MARKS!H86+MARKS!P86+MARKS!X86+MARKS!AF86+MARKS!AN86+MARKS!AV86+MARKS!BD86+MARKS!BL86,""),"Ab")</f>
        <v/>
      </c>
      <c r="CK86" s="891" t="str">
        <f>IFERROR(IF($B86&gt;0,PASHEET!AO86+PASHEET!AW86+MARKS!I86+MARKS!Q86+MARKS!Y86+MARKS!AG86+MARKS!AO86+MARKS!AW86+MARKS!BE86+MARKS!BM86,""),"Ab")</f>
        <v/>
      </c>
      <c r="CL86" s="891" t="str">
        <f>IFERROR(IF($B86&gt;0,PASHEET!AP86+PASHEET!AX86+MARKS!J86+MARKS!R86+MARKS!Z86+MARKS!AH86+MARKS!AP86+MARKS!AX86+MARKS!BF86+MARKS!BN86,""),"Ab")</f>
        <v/>
      </c>
      <c r="CM86" s="891" t="str">
        <f>IFERROR(IF($B86&gt;0,PASHEET!AQ86+PASHEET!AY86+MARKS!K86+MARKS!S86+MARKS!AA86+MARKS!AI86+MARKS!AQ86+MARKS!AY86+MARKS!BG86+MARKS!BO86,""),"Ab")</f>
        <v/>
      </c>
      <c r="CN86" s="891" t="str">
        <f>IFERROR(IF($B86&gt;0,PASHEET!AR86+PASHEET!AZ86+MARKS!L86+MARKS!T86+MARKS!AB86+MARKS!AJ86+MARKS!AR86+MARKS!AZ86+MARKS!BH86+MARKS!BP86,""),"Ab")</f>
        <v/>
      </c>
      <c r="CO86" s="891" t="str">
        <f t="shared" si="80"/>
        <v/>
      </c>
      <c r="CP86" s="893" t="str">
        <f t="shared" si="81"/>
        <v/>
      </c>
      <c r="CQ86" s="893" t="str">
        <f t="shared" si="82"/>
        <v/>
      </c>
      <c r="CR86" s="893" t="str">
        <f t="shared" si="83"/>
        <v/>
      </c>
      <c r="CS86" s="893" t="str">
        <f t="shared" si="84"/>
        <v/>
      </c>
      <c r="CT86" s="893" t="str">
        <f t="shared" si="85"/>
        <v/>
      </c>
      <c r="CU86" s="893" t="str">
        <f t="shared" si="86"/>
        <v/>
      </c>
      <c r="CV86" s="893" t="str">
        <f t="shared" si="87"/>
        <v/>
      </c>
      <c r="CW86" s="893" t="str">
        <f t="shared" si="88"/>
        <v/>
      </c>
      <c r="CX86" s="894" t="str">
        <f>IFERROR(IF($B86&gt;0,PASHEET!AL86+MARKS!F86+MARKS!N86+MARKS!V86+MARKS!AD86,""),"Ab")</f>
        <v/>
      </c>
      <c r="CY86" s="894" t="str">
        <f>IFERROR(IF($B86&gt;0,PASHEET!AM86+MARKS!G86+MARKS!O86+MARKS!W86+MARKS!AE86,""),"Ab")</f>
        <v/>
      </c>
      <c r="CZ86" s="894" t="str">
        <f>IFERROR(IF($B86&gt;0,PASHEET!AN86+MARKS!H86+MARKS!P86+MARKS!X86+MARKS!AF86,""),"Ab")</f>
        <v/>
      </c>
      <c r="DA86" s="894" t="str">
        <f>IFERROR(IF($B86&gt;0,PASHEET!AO86+MARKS!I86+MARKS!Q86+MARKS!Y86+MARKS!AG86,""),"Ab")</f>
        <v/>
      </c>
      <c r="DB86" s="894" t="str">
        <f>IFERROR(IF($B86&gt;0,PASHEET!AP86+MARKS!J86+MARKS!R86+MARKS!Z86+MARKS!AH86,""),"Ab")</f>
        <v/>
      </c>
      <c r="DC86" s="894" t="str">
        <f>IFERROR(IF($B86&gt;0,PASHEET!AQ86+MARKS!K86+MARKS!S86+MARKS!AA86+MARKS!AI86,""),"Ab")</f>
        <v/>
      </c>
      <c r="DD86" s="894" t="str">
        <f>IFERROR(IF($B86&gt;0,PASHEET!AR86+MARKS!L86+MARKS!T86+MARKS!AB86+MARKS!AJ86,""),"Ab")</f>
        <v/>
      </c>
      <c r="DE86" s="879" t="str">
        <f t="shared" si="89"/>
        <v/>
      </c>
      <c r="DF86" s="894" t="str">
        <f t="shared" si="90"/>
        <v/>
      </c>
      <c r="DG86" s="894" t="str">
        <f t="shared" si="91"/>
        <v/>
      </c>
      <c r="DH86" s="894" t="str">
        <f t="shared" si="92"/>
        <v/>
      </c>
      <c r="DI86" s="894" t="str">
        <f t="shared" si="93"/>
        <v/>
      </c>
      <c r="DJ86" s="894" t="str">
        <f t="shared" si="94"/>
        <v/>
      </c>
      <c r="DK86" s="894" t="str">
        <f t="shared" si="95"/>
        <v/>
      </c>
      <c r="DL86" s="894" t="str">
        <f t="shared" si="96"/>
        <v/>
      </c>
      <c r="DM86" s="894" t="str">
        <f t="shared" si="97"/>
        <v/>
      </c>
      <c r="DN86" s="894" t="str">
        <f>IFERROR(IF($B86&gt;0,PASHEET!AT86+MARKS!AL86+MARKS!AT86+MARKS!BB86+MARKS!BJ86,""),"Ab")</f>
        <v/>
      </c>
      <c r="DO86" s="894" t="str">
        <f>IFERROR(IF($B86&gt;0,PASHEET!AU86+MARKS!AM86+MARKS!AU86+MARKS!BC86+MARKS!BK86,""),"Ab")</f>
        <v/>
      </c>
      <c r="DP86" s="894" t="str">
        <f>IFERROR(IF($B86&gt;0,PASHEET!AV86+MARKS!AN86+MARKS!AV86+MARKS!BD86+MARKS!BL86,""),"Ab")</f>
        <v/>
      </c>
      <c r="DQ86" s="894" t="str">
        <f>IFERROR(IF($B86&gt;0,PASHEET!AW86+MARKS!AO86+MARKS!AW86+MARKS!BE86+MARKS!BM86,""),"Ab")</f>
        <v/>
      </c>
      <c r="DR86" s="894" t="str">
        <f>IFERROR(IF($B86&gt;0,PASHEET!AX86+MARKS!AP86+MARKS!AX86+MARKS!BF86+MARKS!BN86,""),"Ab")</f>
        <v/>
      </c>
      <c r="DS86" s="894" t="str">
        <f>IFERROR(IF($B86&gt;0,PASHEET!AY86+MARKS!AQ86+MARKS!AY86+MARKS!BG86+MARKS!BO86,""),"Ab")</f>
        <v/>
      </c>
      <c r="DT86" s="894" t="str">
        <f>IFERROR(IF($B86&gt;0,PASHEET!AZ86+MARKS!AR86+MARKS!AZ86+MARKS!BH86+MARKS!BP86,""),"Ab")</f>
        <v/>
      </c>
      <c r="DU86" s="879" t="str">
        <f t="shared" si="98"/>
        <v/>
      </c>
      <c r="DV86" s="894" t="str">
        <f t="shared" si="99"/>
        <v/>
      </c>
      <c r="DW86" s="894" t="str">
        <f t="shared" si="100"/>
        <v/>
      </c>
      <c r="DX86" s="894" t="str">
        <f t="shared" si="101"/>
        <v/>
      </c>
      <c r="DY86" s="894" t="str">
        <f t="shared" si="102"/>
        <v/>
      </c>
      <c r="DZ86" s="894" t="str">
        <f t="shared" si="103"/>
        <v/>
      </c>
      <c r="EA86" s="894" t="str">
        <f t="shared" si="104"/>
        <v/>
      </c>
      <c r="EB86" s="894" t="str">
        <f t="shared" si="105"/>
        <v/>
      </c>
      <c r="EC86" s="894" t="str">
        <f t="shared" si="106"/>
        <v/>
      </c>
    </row>
    <row r="87" spans="1:133">
      <c r="A87" s="879">
        <v>84</v>
      </c>
      <c r="B87" s="879">
        <f>STUDENT!F85</f>
        <v>0</v>
      </c>
      <c r="C87" s="879">
        <f>STUDENT!D85</f>
        <v>0</v>
      </c>
      <c r="D87" s="886">
        <f>STUDENT!E85</f>
        <v>0</v>
      </c>
      <c r="E87" s="886">
        <f>STUDENT!H85</f>
        <v>0</v>
      </c>
      <c r="F87" s="887"/>
      <c r="G87" s="887"/>
      <c r="H87" s="887"/>
      <c r="I87" s="887"/>
      <c r="J87" s="887"/>
      <c r="K87" s="887"/>
      <c r="L87" s="887"/>
      <c r="M87" s="888">
        <f t="shared" si="56"/>
        <v>0</v>
      </c>
      <c r="N87" s="887"/>
      <c r="O87" s="887"/>
      <c r="P87" s="887"/>
      <c r="Q87" s="887"/>
      <c r="R87" s="887"/>
      <c r="S87" s="887"/>
      <c r="T87" s="887"/>
      <c r="U87" s="889">
        <f t="shared" si="57"/>
        <v>0</v>
      </c>
      <c r="V87" s="887"/>
      <c r="W87" s="887"/>
      <c r="X87" s="887"/>
      <c r="Y87" s="887"/>
      <c r="Z87" s="887"/>
      <c r="AA87" s="887"/>
      <c r="AB87" s="887"/>
      <c r="AC87" s="890">
        <f t="shared" si="58"/>
        <v>0</v>
      </c>
      <c r="AD87" s="887"/>
      <c r="AE87" s="887"/>
      <c r="AF87" s="887"/>
      <c r="AG87" s="887"/>
      <c r="AH87" s="887"/>
      <c r="AI87" s="887"/>
      <c r="AJ87" s="887"/>
      <c r="AK87" s="888" t="str">
        <f t="shared" si="59"/>
        <v/>
      </c>
      <c r="AL87" s="887"/>
      <c r="AM87" s="887"/>
      <c r="AN87" s="887"/>
      <c r="AO87" s="887"/>
      <c r="AP87" s="887"/>
      <c r="AQ87" s="887"/>
      <c r="AR87" s="887"/>
      <c r="AS87" s="891">
        <f t="shared" si="60"/>
        <v>0</v>
      </c>
      <c r="AT87" s="887"/>
      <c r="AU87" s="887"/>
      <c r="AV87" s="887"/>
      <c r="AW87" s="887"/>
      <c r="AX87" s="887"/>
      <c r="AY87" s="887"/>
      <c r="AZ87" s="887"/>
      <c r="BA87" s="889">
        <f t="shared" si="61"/>
        <v>0</v>
      </c>
      <c r="BB87" s="887"/>
      <c r="BC87" s="887"/>
      <c r="BD87" s="887"/>
      <c r="BE87" s="887"/>
      <c r="BF87" s="887"/>
      <c r="BG87" s="887"/>
      <c r="BH87" s="887"/>
      <c r="BI87" s="890">
        <f t="shared" si="62"/>
        <v>0</v>
      </c>
      <c r="BJ87" s="887"/>
      <c r="BK87" s="887"/>
      <c r="BL87" s="887"/>
      <c r="BM87" s="887"/>
      <c r="BN87" s="887"/>
      <c r="BO87" s="887"/>
      <c r="BP87" s="887"/>
      <c r="BQ87" s="888" t="str">
        <f t="shared" si="63"/>
        <v/>
      </c>
      <c r="BR87" s="892" t="str">
        <f t="shared" si="64"/>
        <v/>
      </c>
      <c r="BS87" s="892" t="str">
        <f t="shared" si="65"/>
        <v/>
      </c>
      <c r="BT87" s="892" t="str">
        <f t="shared" si="66"/>
        <v/>
      </c>
      <c r="BU87" s="892" t="str">
        <f t="shared" si="67"/>
        <v/>
      </c>
      <c r="BV87" s="892" t="str">
        <f t="shared" si="68"/>
        <v/>
      </c>
      <c r="BW87" s="892" t="str">
        <f t="shared" si="69"/>
        <v/>
      </c>
      <c r="BX87" s="892" t="str">
        <f t="shared" si="70"/>
        <v/>
      </c>
      <c r="BY87" s="892" t="str">
        <f t="shared" si="71"/>
        <v/>
      </c>
      <c r="BZ87" s="892" t="str">
        <f t="shared" si="72"/>
        <v/>
      </c>
      <c r="CA87" s="892" t="str">
        <f t="shared" si="73"/>
        <v/>
      </c>
      <c r="CB87" s="892" t="str">
        <f t="shared" si="74"/>
        <v/>
      </c>
      <c r="CC87" s="892" t="str">
        <f t="shared" si="75"/>
        <v/>
      </c>
      <c r="CD87" s="892" t="str">
        <f t="shared" si="76"/>
        <v/>
      </c>
      <c r="CE87" s="892" t="str">
        <f t="shared" si="77"/>
        <v/>
      </c>
      <c r="CF87" s="892" t="str">
        <f t="shared" si="78"/>
        <v/>
      </c>
      <c r="CG87" s="892" t="str">
        <f t="shared" si="79"/>
        <v/>
      </c>
      <c r="CH87" s="891" t="str">
        <f>IFERROR(IF($B87&gt;0,PASHEET!AL87+PASHEET!AT87+MARKS!F87+MARKS!N87+MARKS!V87+MARKS!AD87+MARKS!AL87+MARKS!AT87+MARKS!BB87+MARKS!BJ87,""),"Ab")</f>
        <v/>
      </c>
      <c r="CI87" s="891" t="str">
        <f>IFERROR(IF($B87&gt;0,PASHEET!AM87+PASHEET!AU87+MARKS!G87+MARKS!O87+MARKS!W87+MARKS!AE87+MARKS!AM87+MARKS!AU87+MARKS!BC87+MARKS!BK87,""),"Ab")</f>
        <v/>
      </c>
      <c r="CJ87" s="891" t="str">
        <f>IFERROR(IF($B87&gt;0,PASHEET!AN87+PASHEET!AV87+MARKS!H87+MARKS!P87+MARKS!X87+MARKS!AF87+MARKS!AN87+MARKS!AV87+MARKS!BD87+MARKS!BL87,""),"Ab")</f>
        <v/>
      </c>
      <c r="CK87" s="891" t="str">
        <f>IFERROR(IF($B87&gt;0,PASHEET!AO87+PASHEET!AW87+MARKS!I87+MARKS!Q87+MARKS!Y87+MARKS!AG87+MARKS!AO87+MARKS!AW87+MARKS!BE87+MARKS!BM87,""),"Ab")</f>
        <v/>
      </c>
      <c r="CL87" s="891" t="str">
        <f>IFERROR(IF($B87&gt;0,PASHEET!AP87+PASHEET!AX87+MARKS!J87+MARKS!R87+MARKS!Z87+MARKS!AH87+MARKS!AP87+MARKS!AX87+MARKS!BF87+MARKS!BN87,""),"Ab")</f>
        <v/>
      </c>
      <c r="CM87" s="891" t="str">
        <f>IFERROR(IF($B87&gt;0,PASHEET!AQ87+PASHEET!AY87+MARKS!K87+MARKS!S87+MARKS!AA87+MARKS!AI87+MARKS!AQ87+MARKS!AY87+MARKS!BG87+MARKS!BO87,""),"Ab")</f>
        <v/>
      </c>
      <c r="CN87" s="891" t="str">
        <f>IFERROR(IF($B87&gt;0,PASHEET!AR87+PASHEET!AZ87+MARKS!L87+MARKS!T87+MARKS!AB87+MARKS!AJ87+MARKS!AR87+MARKS!AZ87+MARKS!BH87+MARKS!BP87,""),"Ab")</f>
        <v/>
      </c>
      <c r="CO87" s="891" t="str">
        <f t="shared" si="80"/>
        <v/>
      </c>
      <c r="CP87" s="893" t="str">
        <f t="shared" si="81"/>
        <v/>
      </c>
      <c r="CQ87" s="893" t="str">
        <f t="shared" si="82"/>
        <v/>
      </c>
      <c r="CR87" s="893" t="str">
        <f t="shared" si="83"/>
        <v/>
      </c>
      <c r="CS87" s="893" t="str">
        <f t="shared" si="84"/>
        <v/>
      </c>
      <c r="CT87" s="893" t="str">
        <f t="shared" si="85"/>
        <v/>
      </c>
      <c r="CU87" s="893" t="str">
        <f t="shared" si="86"/>
        <v/>
      </c>
      <c r="CV87" s="893" t="str">
        <f t="shared" si="87"/>
        <v/>
      </c>
      <c r="CW87" s="893" t="str">
        <f t="shared" si="88"/>
        <v/>
      </c>
      <c r="CX87" s="894" t="str">
        <f>IFERROR(IF($B87&gt;0,PASHEET!AL87+MARKS!F87+MARKS!N87+MARKS!V87+MARKS!AD87,""),"Ab")</f>
        <v/>
      </c>
      <c r="CY87" s="894" t="str">
        <f>IFERROR(IF($B87&gt;0,PASHEET!AM87+MARKS!G87+MARKS!O87+MARKS!W87+MARKS!AE87,""),"Ab")</f>
        <v/>
      </c>
      <c r="CZ87" s="894" t="str">
        <f>IFERROR(IF($B87&gt;0,PASHEET!AN87+MARKS!H87+MARKS!P87+MARKS!X87+MARKS!AF87,""),"Ab")</f>
        <v/>
      </c>
      <c r="DA87" s="894" t="str">
        <f>IFERROR(IF($B87&gt;0,PASHEET!AO87+MARKS!I87+MARKS!Q87+MARKS!Y87+MARKS!AG87,""),"Ab")</f>
        <v/>
      </c>
      <c r="DB87" s="894" t="str">
        <f>IFERROR(IF($B87&gt;0,PASHEET!AP87+MARKS!J87+MARKS!R87+MARKS!Z87+MARKS!AH87,""),"Ab")</f>
        <v/>
      </c>
      <c r="DC87" s="894" t="str">
        <f>IFERROR(IF($B87&gt;0,PASHEET!AQ87+MARKS!K87+MARKS!S87+MARKS!AA87+MARKS!AI87,""),"Ab")</f>
        <v/>
      </c>
      <c r="DD87" s="894" t="str">
        <f>IFERROR(IF($B87&gt;0,PASHEET!AR87+MARKS!L87+MARKS!T87+MARKS!AB87+MARKS!AJ87,""),"Ab")</f>
        <v/>
      </c>
      <c r="DE87" s="879" t="str">
        <f t="shared" si="89"/>
        <v/>
      </c>
      <c r="DF87" s="894" t="str">
        <f t="shared" si="90"/>
        <v/>
      </c>
      <c r="DG87" s="894" t="str">
        <f t="shared" si="91"/>
        <v/>
      </c>
      <c r="DH87" s="894" t="str">
        <f t="shared" si="92"/>
        <v/>
      </c>
      <c r="DI87" s="894" t="str">
        <f t="shared" si="93"/>
        <v/>
      </c>
      <c r="DJ87" s="894" t="str">
        <f t="shared" si="94"/>
        <v/>
      </c>
      <c r="DK87" s="894" t="str">
        <f t="shared" si="95"/>
        <v/>
      </c>
      <c r="DL87" s="894" t="str">
        <f t="shared" si="96"/>
        <v/>
      </c>
      <c r="DM87" s="894" t="str">
        <f t="shared" si="97"/>
        <v/>
      </c>
      <c r="DN87" s="894" t="str">
        <f>IFERROR(IF($B87&gt;0,PASHEET!AT87+MARKS!AL87+MARKS!AT87+MARKS!BB87+MARKS!BJ87,""),"Ab")</f>
        <v/>
      </c>
      <c r="DO87" s="894" t="str">
        <f>IFERROR(IF($B87&gt;0,PASHEET!AU87+MARKS!AM87+MARKS!AU87+MARKS!BC87+MARKS!BK87,""),"Ab")</f>
        <v/>
      </c>
      <c r="DP87" s="894" t="str">
        <f>IFERROR(IF($B87&gt;0,PASHEET!AV87+MARKS!AN87+MARKS!AV87+MARKS!BD87+MARKS!BL87,""),"Ab")</f>
        <v/>
      </c>
      <c r="DQ87" s="894" t="str">
        <f>IFERROR(IF($B87&gt;0,PASHEET!AW87+MARKS!AO87+MARKS!AW87+MARKS!BE87+MARKS!BM87,""),"Ab")</f>
        <v/>
      </c>
      <c r="DR87" s="894" t="str">
        <f>IFERROR(IF($B87&gt;0,PASHEET!AX87+MARKS!AP87+MARKS!AX87+MARKS!BF87+MARKS!BN87,""),"Ab")</f>
        <v/>
      </c>
      <c r="DS87" s="894" t="str">
        <f>IFERROR(IF($B87&gt;0,PASHEET!AY87+MARKS!AQ87+MARKS!AY87+MARKS!BG87+MARKS!BO87,""),"Ab")</f>
        <v/>
      </c>
      <c r="DT87" s="894" t="str">
        <f>IFERROR(IF($B87&gt;0,PASHEET!AZ87+MARKS!AR87+MARKS!AZ87+MARKS!BH87+MARKS!BP87,""),"Ab")</f>
        <v/>
      </c>
      <c r="DU87" s="879" t="str">
        <f t="shared" si="98"/>
        <v/>
      </c>
      <c r="DV87" s="894" t="str">
        <f t="shared" si="99"/>
        <v/>
      </c>
      <c r="DW87" s="894" t="str">
        <f t="shared" si="100"/>
        <v/>
      </c>
      <c r="DX87" s="894" t="str">
        <f t="shared" si="101"/>
        <v/>
      </c>
      <c r="DY87" s="894" t="str">
        <f t="shared" si="102"/>
        <v/>
      </c>
      <c r="DZ87" s="894" t="str">
        <f t="shared" si="103"/>
        <v/>
      </c>
      <c r="EA87" s="894" t="str">
        <f t="shared" si="104"/>
        <v/>
      </c>
      <c r="EB87" s="894" t="str">
        <f t="shared" si="105"/>
        <v/>
      </c>
      <c r="EC87" s="894" t="str">
        <f t="shared" si="106"/>
        <v/>
      </c>
    </row>
    <row r="88" spans="1:133">
      <c r="A88" s="879">
        <v>85</v>
      </c>
      <c r="B88" s="879">
        <f>STUDENT!F86</f>
        <v>0</v>
      </c>
      <c r="C88" s="879">
        <f>STUDENT!D86</f>
        <v>0</v>
      </c>
      <c r="D88" s="886">
        <f>STUDENT!E86</f>
        <v>0</v>
      </c>
      <c r="E88" s="886">
        <f>STUDENT!H86</f>
        <v>0</v>
      </c>
      <c r="F88" s="887"/>
      <c r="G88" s="887"/>
      <c r="H88" s="887"/>
      <c r="I88" s="887"/>
      <c r="J88" s="887"/>
      <c r="K88" s="887"/>
      <c r="L88" s="887"/>
      <c r="M88" s="888">
        <f t="shared" si="56"/>
        <v>0</v>
      </c>
      <c r="N88" s="887"/>
      <c r="O88" s="887"/>
      <c r="P88" s="887"/>
      <c r="Q88" s="887"/>
      <c r="R88" s="887"/>
      <c r="S88" s="887"/>
      <c r="T88" s="887"/>
      <c r="U88" s="889">
        <f t="shared" si="57"/>
        <v>0</v>
      </c>
      <c r="V88" s="887"/>
      <c r="W88" s="887"/>
      <c r="X88" s="887"/>
      <c r="Y88" s="887"/>
      <c r="Z88" s="887"/>
      <c r="AA88" s="887"/>
      <c r="AB88" s="887"/>
      <c r="AC88" s="890">
        <f t="shared" si="58"/>
        <v>0</v>
      </c>
      <c r="AD88" s="887"/>
      <c r="AE88" s="887"/>
      <c r="AF88" s="887"/>
      <c r="AG88" s="887"/>
      <c r="AH88" s="887"/>
      <c r="AI88" s="887"/>
      <c r="AJ88" s="887"/>
      <c r="AK88" s="888" t="str">
        <f t="shared" si="59"/>
        <v/>
      </c>
      <c r="AL88" s="887"/>
      <c r="AM88" s="887"/>
      <c r="AN88" s="887"/>
      <c r="AO88" s="887"/>
      <c r="AP88" s="887"/>
      <c r="AQ88" s="887"/>
      <c r="AR88" s="887"/>
      <c r="AS88" s="891">
        <f t="shared" si="60"/>
        <v>0</v>
      </c>
      <c r="AT88" s="887"/>
      <c r="AU88" s="887"/>
      <c r="AV88" s="887"/>
      <c r="AW88" s="887"/>
      <c r="AX88" s="887"/>
      <c r="AY88" s="887"/>
      <c r="AZ88" s="887"/>
      <c r="BA88" s="889">
        <f t="shared" si="61"/>
        <v>0</v>
      </c>
      <c r="BB88" s="887"/>
      <c r="BC88" s="887"/>
      <c r="BD88" s="887"/>
      <c r="BE88" s="887"/>
      <c r="BF88" s="887"/>
      <c r="BG88" s="887"/>
      <c r="BH88" s="887"/>
      <c r="BI88" s="890">
        <f t="shared" si="62"/>
        <v>0</v>
      </c>
      <c r="BJ88" s="887"/>
      <c r="BK88" s="887"/>
      <c r="BL88" s="887"/>
      <c r="BM88" s="887"/>
      <c r="BN88" s="887"/>
      <c r="BO88" s="887"/>
      <c r="BP88" s="887"/>
      <c r="BQ88" s="888" t="str">
        <f t="shared" si="63"/>
        <v/>
      </c>
      <c r="BR88" s="892" t="str">
        <f t="shared" si="64"/>
        <v/>
      </c>
      <c r="BS88" s="892" t="str">
        <f t="shared" si="65"/>
        <v/>
      </c>
      <c r="BT88" s="892" t="str">
        <f t="shared" si="66"/>
        <v/>
      </c>
      <c r="BU88" s="892" t="str">
        <f t="shared" si="67"/>
        <v/>
      </c>
      <c r="BV88" s="892" t="str">
        <f t="shared" si="68"/>
        <v/>
      </c>
      <c r="BW88" s="892" t="str">
        <f t="shared" si="69"/>
        <v/>
      </c>
      <c r="BX88" s="892" t="str">
        <f t="shared" si="70"/>
        <v/>
      </c>
      <c r="BY88" s="892" t="str">
        <f t="shared" si="71"/>
        <v/>
      </c>
      <c r="BZ88" s="892" t="str">
        <f t="shared" si="72"/>
        <v/>
      </c>
      <c r="CA88" s="892" t="str">
        <f t="shared" si="73"/>
        <v/>
      </c>
      <c r="CB88" s="892" t="str">
        <f t="shared" si="74"/>
        <v/>
      </c>
      <c r="CC88" s="892" t="str">
        <f t="shared" si="75"/>
        <v/>
      </c>
      <c r="CD88" s="892" t="str">
        <f t="shared" si="76"/>
        <v/>
      </c>
      <c r="CE88" s="892" t="str">
        <f t="shared" si="77"/>
        <v/>
      </c>
      <c r="CF88" s="892" t="str">
        <f t="shared" si="78"/>
        <v/>
      </c>
      <c r="CG88" s="892" t="str">
        <f t="shared" si="79"/>
        <v/>
      </c>
      <c r="CH88" s="891" t="str">
        <f>IFERROR(IF($B88&gt;0,PASHEET!AL88+PASHEET!AT88+MARKS!F88+MARKS!N88+MARKS!V88+MARKS!AD88+MARKS!AL88+MARKS!AT88+MARKS!BB88+MARKS!BJ88,""),"Ab")</f>
        <v/>
      </c>
      <c r="CI88" s="891" t="str">
        <f>IFERROR(IF($B88&gt;0,PASHEET!AM88+PASHEET!AU88+MARKS!G88+MARKS!O88+MARKS!W88+MARKS!AE88+MARKS!AM88+MARKS!AU88+MARKS!BC88+MARKS!BK88,""),"Ab")</f>
        <v/>
      </c>
      <c r="CJ88" s="891" t="str">
        <f>IFERROR(IF($B88&gt;0,PASHEET!AN88+PASHEET!AV88+MARKS!H88+MARKS!P88+MARKS!X88+MARKS!AF88+MARKS!AN88+MARKS!AV88+MARKS!BD88+MARKS!BL88,""),"Ab")</f>
        <v/>
      </c>
      <c r="CK88" s="891" t="str">
        <f>IFERROR(IF($B88&gt;0,PASHEET!AO88+PASHEET!AW88+MARKS!I88+MARKS!Q88+MARKS!Y88+MARKS!AG88+MARKS!AO88+MARKS!AW88+MARKS!BE88+MARKS!BM88,""),"Ab")</f>
        <v/>
      </c>
      <c r="CL88" s="891" t="str">
        <f>IFERROR(IF($B88&gt;0,PASHEET!AP88+PASHEET!AX88+MARKS!J88+MARKS!R88+MARKS!Z88+MARKS!AH88+MARKS!AP88+MARKS!AX88+MARKS!BF88+MARKS!BN88,""),"Ab")</f>
        <v/>
      </c>
      <c r="CM88" s="891" t="str">
        <f>IFERROR(IF($B88&gt;0,PASHEET!AQ88+PASHEET!AY88+MARKS!K88+MARKS!S88+MARKS!AA88+MARKS!AI88+MARKS!AQ88+MARKS!AY88+MARKS!BG88+MARKS!BO88,""),"Ab")</f>
        <v/>
      </c>
      <c r="CN88" s="891" t="str">
        <f>IFERROR(IF($B88&gt;0,PASHEET!AR88+PASHEET!AZ88+MARKS!L88+MARKS!T88+MARKS!AB88+MARKS!AJ88+MARKS!AR88+MARKS!AZ88+MARKS!BH88+MARKS!BP88,""),"Ab")</f>
        <v/>
      </c>
      <c r="CO88" s="891" t="str">
        <f t="shared" si="80"/>
        <v/>
      </c>
      <c r="CP88" s="893" t="str">
        <f t="shared" si="81"/>
        <v/>
      </c>
      <c r="CQ88" s="893" t="str">
        <f t="shared" si="82"/>
        <v/>
      </c>
      <c r="CR88" s="893" t="str">
        <f t="shared" si="83"/>
        <v/>
      </c>
      <c r="CS88" s="893" t="str">
        <f t="shared" si="84"/>
        <v/>
      </c>
      <c r="CT88" s="893" t="str">
        <f t="shared" si="85"/>
        <v/>
      </c>
      <c r="CU88" s="893" t="str">
        <f t="shared" si="86"/>
        <v/>
      </c>
      <c r="CV88" s="893" t="str">
        <f t="shared" si="87"/>
        <v/>
      </c>
      <c r="CW88" s="893" t="str">
        <f t="shared" si="88"/>
        <v/>
      </c>
      <c r="CX88" s="894" t="str">
        <f>IFERROR(IF($B88&gt;0,PASHEET!AL88+MARKS!F88+MARKS!N88+MARKS!V88+MARKS!AD88,""),"Ab")</f>
        <v/>
      </c>
      <c r="CY88" s="894" t="str">
        <f>IFERROR(IF($B88&gt;0,PASHEET!AM88+MARKS!G88+MARKS!O88+MARKS!W88+MARKS!AE88,""),"Ab")</f>
        <v/>
      </c>
      <c r="CZ88" s="894" t="str">
        <f>IFERROR(IF($B88&gt;0,PASHEET!AN88+MARKS!H88+MARKS!P88+MARKS!X88+MARKS!AF88,""),"Ab")</f>
        <v/>
      </c>
      <c r="DA88" s="894" t="str">
        <f>IFERROR(IF($B88&gt;0,PASHEET!AO88+MARKS!I88+MARKS!Q88+MARKS!Y88+MARKS!AG88,""),"Ab")</f>
        <v/>
      </c>
      <c r="DB88" s="894" t="str">
        <f>IFERROR(IF($B88&gt;0,PASHEET!AP88+MARKS!J88+MARKS!R88+MARKS!Z88+MARKS!AH88,""),"Ab")</f>
        <v/>
      </c>
      <c r="DC88" s="894" t="str">
        <f>IFERROR(IF($B88&gt;0,PASHEET!AQ88+MARKS!K88+MARKS!S88+MARKS!AA88+MARKS!AI88,""),"Ab")</f>
        <v/>
      </c>
      <c r="DD88" s="894" t="str">
        <f>IFERROR(IF($B88&gt;0,PASHEET!AR88+MARKS!L88+MARKS!T88+MARKS!AB88+MARKS!AJ88,""),"Ab")</f>
        <v/>
      </c>
      <c r="DE88" s="879" t="str">
        <f t="shared" si="89"/>
        <v/>
      </c>
      <c r="DF88" s="894" t="str">
        <f t="shared" si="90"/>
        <v/>
      </c>
      <c r="DG88" s="894" t="str">
        <f t="shared" si="91"/>
        <v/>
      </c>
      <c r="DH88" s="894" t="str">
        <f t="shared" si="92"/>
        <v/>
      </c>
      <c r="DI88" s="894" t="str">
        <f t="shared" si="93"/>
        <v/>
      </c>
      <c r="DJ88" s="894" t="str">
        <f t="shared" si="94"/>
        <v/>
      </c>
      <c r="DK88" s="894" t="str">
        <f t="shared" si="95"/>
        <v/>
      </c>
      <c r="DL88" s="894" t="str">
        <f t="shared" si="96"/>
        <v/>
      </c>
      <c r="DM88" s="894" t="str">
        <f t="shared" si="97"/>
        <v/>
      </c>
      <c r="DN88" s="894" t="str">
        <f>IFERROR(IF($B88&gt;0,PASHEET!AT88+MARKS!AL88+MARKS!AT88+MARKS!BB88+MARKS!BJ88,""),"Ab")</f>
        <v/>
      </c>
      <c r="DO88" s="894" t="str">
        <f>IFERROR(IF($B88&gt;0,PASHEET!AU88+MARKS!AM88+MARKS!AU88+MARKS!BC88+MARKS!BK88,""),"Ab")</f>
        <v/>
      </c>
      <c r="DP88" s="894" t="str">
        <f>IFERROR(IF($B88&gt;0,PASHEET!AV88+MARKS!AN88+MARKS!AV88+MARKS!BD88+MARKS!BL88,""),"Ab")</f>
        <v/>
      </c>
      <c r="DQ88" s="894" t="str">
        <f>IFERROR(IF($B88&gt;0,PASHEET!AW88+MARKS!AO88+MARKS!AW88+MARKS!BE88+MARKS!BM88,""),"Ab")</f>
        <v/>
      </c>
      <c r="DR88" s="894" t="str">
        <f>IFERROR(IF($B88&gt;0,PASHEET!AX88+MARKS!AP88+MARKS!AX88+MARKS!BF88+MARKS!BN88,""),"Ab")</f>
        <v/>
      </c>
      <c r="DS88" s="894" t="str">
        <f>IFERROR(IF($B88&gt;0,PASHEET!AY88+MARKS!AQ88+MARKS!AY88+MARKS!BG88+MARKS!BO88,""),"Ab")</f>
        <v/>
      </c>
      <c r="DT88" s="894" t="str">
        <f>IFERROR(IF($B88&gt;0,PASHEET!AZ88+MARKS!AR88+MARKS!AZ88+MARKS!BH88+MARKS!BP88,""),"Ab")</f>
        <v/>
      </c>
      <c r="DU88" s="879" t="str">
        <f t="shared" si="98"/>
        <v/>
      </c>
      <c r="DV88" s="894" t="str">
        <f t="shared" si="99"/>
        <v/>
      </c>
      <c r="DW88" s="894" t="str">
        <f t="shared" si="100"/>
        <v/>
      </c>
      <c r="DX88" s="894" t="str">
        <f t="shared" si="101"/>
        <v/>
      </c>
      <c r="DY88" s="894" t="str">
        <f t="shared" si="102"/>
        <v/>
      </c>
      <c r="DZ88" s="894" t="str">
        <f t="shared" si="103"/>
        <v/>
      </c>
      <c r="EA88" s="894" t="str">
        <f t="shared" si="104"/>
        <v/>
      </c>
      <c r="EB88" s="894" t="str">
        <f t="shared" si="105"/>
        <v/>
      </c>
      <c r="EC88" s="894" t="str">
        <f t="shared" si="106"/>
        <v/>
      </c>
    </row>
    <row r="89" spans="1:133">
      <c r="A89" s="879">
        <v>86</v>
      </c>
      <c r="B89" s="879">
        <f>STUDENT!F87</f>
        <v>0</v>
      </c>
      <c r="C89" s="879">
        <f>STUDENT!D87</f>
        <v>0</v>
      </c>
      <c r="D89" s="886">
        <f>STUDENT!E87</f>
        <v>0</v>
      </c>
      <c r="E89" s="886">
        <f>STUDENT!H87</f>
        <v>0</v>
      </c>
      <c r="F89" s="887"/>
      <c r="G89" s="887"/>
      <c r="H89" s="887"/>
      <c r="I89" s="887"/>
      <c r="J89" s="887"/>
      <c r="K89" s="887"/>
      <c r="L89" s="887"/>
      <c r="M89" s="888">
        <f t="shared" si="56"/>
        <v>0</v>
      </c>
      <c r="N89" s="887"/>
      <c r="O89" s="887"/>
      <c r="P89" s="887"/>
      <c r="Q89" s="887"/>
      <c r="R89" s="887"/>
      <c r="S89" s="887"/>
      <c r="T89" s="887"/>
      <c r="U89" s="889">
        <f t="shared" si="57"/>
        <v>0</v>
      </c>
      <c r="V89" s="887"/>
      <c r="W89" s="887"/>
      <c r="X89" s="887"/>
      <c r="Y89" s="887"/>
      <c r="Z89" s="887"/>
      <c r="AA89" s="887"/>
      <c r="AB89" s="887"/>
      <c r="AC89" s="890">
        <f t="shared" si="58"/>
        <v>0</v>
      </c>
      <c r="AD89" s="887"/>
      <c r="AE89" s="887"/>
      <c r="AF89" s="887"/>
      <c r="AG89" s="887"/>
      <c r="AH89" s="887"/>
      <c r="AI89" s="887"/>
      <c r="AJ89" s="887"/>
      <c r="AK89" s="888" t="str">
        <f t="shared" si="59"/>
        <v/>
      </c>
      <c r="AL89" s="887"/>
      <c r="AM89" s="887"/>
      <c r="AN89" s="887"/>
      <c r="AO89" s="887"/>
      <c r="AP89" s="887"/>
      <c r="AQ89" s="887"/>
      <c r="AR89" s="887"/>
      <c r="AS89" s="891">
        <f t="shared" si="60"/>
        <v>0</v>
      </c>
      <c r="AT89" s="887"/>
      <c r="AU89" s="887"/>
      <c r="AV89" s="887"/>
      <c r="AW89" s="887"/>
      <c r="AX89" s="887"/>
      <c r="AY89" s="887"/>
      <c r="AZ89" s="887"/>
      <c r="BA89" s="889">
        <f t="shared" si="61"/>
        <v>0</v>
      </c>
      <c r="BB89" s="887"/>
      <c r="BC89" s="887"/>
      <c r="BD89" s="887"/>
      <c r="BE89" s="887"/>
      <c r="BF89" s="887"/>
      <c r="BG89" s="887"/>
      <c r="BH89" s="887"/>
      <c r="BI89" s="890">
        <f t="shared" si="62"/>
        <v>0</v>
      </c>
      <c r="BJ89" s="887"/>
      <c r="BK89" s="887"/>
      <c r="BL89" s="887"/>
      <c r="BM89" s="887"/>
      <c r="BN89" s="887"/>
      <c r="BO89" s="887"/>
      <c r="BP89" s="887"/>
      <c r="BQ89" s="888" t="str">
        <f t="shared" si="63"/>
        <v/>
      </c>
      <c r="BR89" s="892" t="str">
        <f t="shared" si="64"/>
        <v/>
      </c>
      <c r="BS89" s="892" t="str">
        <f t="shared" si="65"/>
        <v/>
      </c>
      <c r="BT89" s="892" t="str">
        <f t="shared" si="66"/>
        <v/>
      </c>
      <c r="BU89" s="892" t="str">
        <f t="shared" si="67"/>
        <v/>
      </c>
      <c r="BV89" s="892" t="str">
        <f t="shared" si="68"/>
        <v/>
      </c>
      <c r="BW89" s="892" t="str">
        <f t="shared" si="69"/>
        <v/>
      </c>
      <c r="BX89" s="892" t="str">
        <f t="shared" si="70"/>
        <v/>
      </c>
      <c r="BY89" s="892" t="str">
        <f t="shared" si="71"/>
        <v/>
      </c>
      <c r="BZ89" s="892" t="str">
        <f t="shared" si="72"/>
        <v/>
      </c>
      <c r="CA89" s="892" t="str">
        <f t="shared" si="73"/>
        <v/>
      </c>
      <c r="CB89" s="892" t="str">
        <f t="shared" si="74"/>
        <v/>
      </c>
      <c r="CC89" s="892" t="str">
        <f t="shared" si="75"/>
        <v/>
      </c>
      <c r="CD89" s="892" t="str">
        <f t="shared" si="76"/>
        <v/>
      </c>
      <c r="CE89" s="892" t="str">
        <f t="shared" si="77"/>
        <v/>
      </c>
      <c r="CF89" s="892" t="str">
        <f t="shared" si="78"/>
        <v/>
      </c>
      <c r="CG89" s="892" t="str">
        <f t="shared" si="79"/>
        <v/>
      </c>
      <c r="CH89" s="891" t="str">
        <f>IFERROR(IF($B89&gt;0,PASHEET!AL89+PASHEET!AT89+MARKS!F89+MARKS!N89+MARKS!V89+MARKS!AD89+MARKS!AL89+MARKS!AT89+MARKS!BB89+MARKS!BJ89,""),"Ab")</f>
        <v/>
      </c>
      <c r="CI89" s="891" t="str">
        <f>IFERROR(IF($B89&gt;0,PASHEET!AM89+PASHEET!AU89+MARKS!G89+MARKS!O89+MARKS!W89+MARKS!AE89+MARKS!AM89+MARKS!AU89+MARKS!BC89+MARKS!BK89,""),"Ab")</f>
        <v/>
      </c>
      <c r="CJ89" s="891" t="str">
        <f>IFERROR(IF($B89&gt;0,PASHEET!AN89+PASHEET!AV89+MARKS!H89+MARKS!P89+MARKS!X89+MARKS!AF89+MARKS!AN89+MARKS!AV89+MARKS!BD89+MARKS!BL89,""),"Ab")</f>
        <v/>
      </c>
      <c r="CK89" s="891" t="str">
        <f>IFERROR(IF($B89&gt;0,PASHEET!AO89+PASHEET!AW89+MARKS!I89+MARKS!Q89+MARKS!Y89+MARKS!AG89+MARKS!AO89+MARKS!AW89+MARKS!BE89+MARKS!BM89,""),"Ab")</f>
        <v/>
      </c>
      <c r="CL89" s="891" t="str">
        <f>IFERROR(IF($B89&gt;0,PASHEET!AP89+PASHEET!AX89+MARKS!J89+MARKS!R89+MARKS!Z89+MARKS!AH89+MARKS!AP89+MARKS!AX89+MARKS!BF89+MARKS!BN89,""),"Ab")</f>
        <v/>
      </c>
      <c r="CM89" s="891" t="str">
        <f>IFERROR(IF($B89&gt;0,PASHEET!AQ89+PASHEET!AY89+MARKS!K89+MARKS!S89+MARKS!AA89+MARKS!AI89+MARKS!AQ89+MARKS!AY89+MARKS!BG89+MARKS!BO89,""),"Ab")</f>
        <v/>
      </c>
      <c r="CN89" s="891" t="str">
        <f>IFERROR(IF($B89&gt;0,PASHEET!AR89+PASHEET!AZ89+MARKS!L89+MARKS!T89+MARKS!AB89+MARKS!AJ89+MARKS!AR89+MARKS!AZ89+MARKS!BH89+MARKS!BP89,""),"Ab")</f>
        <v/>
      </c>
      <c r="CO89" s="891" t="str">
        <f t="shared" si="80"/>
        <v/>
      </c>
      <c r="CP89" s="893" t="str">
        <f t="shared" si="81"/>
        <v/>
      </c>
      <c r="CQ89" s="893" t="str">
        <f t="shared" si="82"/>
        <v/>
      </c>
      <c r="CR89" s="893" t="str">
        <f t="shared" si="83"/>
        <v/>
      </c>
      <c r="CS89" s="893" t="str">
        <f t="shared" si="84"/>
        <v/>
      </c>
      <c r="CT89" s="893" t="str">
        <f t="shared" si="85"/>
        <v/>
      </c>
      <c r="CU89" s="893" t="str">
        <f t="shared" si="86"/>
        <v/>
      </c>
      <c r="CV89" s="893" t="str">
        <f t="shared" si="87"/>
        <v/>
      </c>
      <c r="CW89" s="893" t="str">
        <f t="shared" si="88"/>
        <v/>
      </c>
      <c r="CX89" s="894" t="str">
        <f>IFERROR(IF($B89&gt;0,PASHEET!AL89+MARKS!F89+MARKS!N89+MARKS!V89+MARKS!AD89,""),"Ab")</f>
        <v/>
      </c>
      <c r="CY89" s="894" t="str">
        <f>IFERROR(IF($B89&gt;0,PASHEET!AM89+MARKS!G89+MARKS!O89+MARKS!W89+MARKS!AE89,""),"Ab")</f>
        <v/>
      </c>
      <c r="CZ89" s="894" t="str">
        <f>IFERROR(IF($B89&gt;0,PASHEET!AN89+MARKS!H89+MARKS!P89+MARKS!X89+MARKS!AF89,""),"Ab")</f>
        <v/>
      </c>
      <c r="DA89" s="894" t="str">
        <f>IFERROR(IF($B89&gt;0,PASHEET!AO89+MARKS!I89+MARKS!Q89+MARKS!Y89+MARKS!AG89,""),"Ab")</f>
        <v/>
      </c>
      <c r="DB89" s="894" t="str">
        <f>IFERROR(IF($B89&gt;0,PASHEET!AP89+MARKS!J89+MARKS!R89+MARKS!Z89+MARKS!AH89,""),"Ab")</f>
        <v/>
      </c>
      <c r="DC89" s="894" t="str">
        <f>IFERROR(IF($B89&gt;0,PASHEET!AQ89+MARKS!K89+MARKS!S89+MARKS!AA89+MARKS!AI89,""),"Ab")</f>
        <v/>
      </c>
      <c r="DD89" s="894" t="str">
        <f>IFERROR(IF($B89&gt;0,PASHEET!AR89+MARKS!L89+MARKS!T89+MARKS!AB89+MARKS!AJ89,""),"Ab")</f>
        <v/>
      </c>
      <c r="DE89" s="879" t="str">
        <f t="shared" si="89"/>
        <v/>
      </c>
      <c r="DF89" s="894" t="str">
        <f t="shared" si="90"/>
        <v/>
      </c>
      <c r="DG89" s="894" t="str">
        <f t="shared" si="91"/>
        <v/>
      </c>
      <c r="DH89" s="894" t="str">
        <f t="shared" si="92"/>
        <v/>
      </c>
      <c r="DI89" s="894" t="str">
        <f t="shared" si="93"/>
        <v/>
      </c>
      <c r="DJ89" s="894" t="str">
        <f t="shared" si="94"/>
        <v/>
      </c>
      <c r="DK89" s="894" t="str">
        <f t="shared" si="95"/>
        <v/>
      </c>
      <c r="DL89" s="894" t="str">
        <f t="shared" si="96"/>
        <v/>
      </c>
      <c r="DM89" s="894" t="str">
        <f t="shared" si="97"/>
        <v/>
      </c>
      <c r="DN89" s="894" t="str">
        <f>IFERROR(IF($B89&gt;0,PASHEET!AT89+MARKS!AL89+MARKS!AT89+MARKS!BB89+MARKS!BJ89,""),"Ab")</f>
        <v/>
      </c>
      <c r="DO89" s="894" t="str">
        <f>IFERROR(IF($B89&gt;0,PASHEET!AU89+MARKS!AM89+MARKS!AU89+MARKS!BC89+MARKS!BK89,""),"Ab")</f>
        <v/>
      </c>
      <c r="DP89" s="894" t="str">
        <f>IFERROR(IF($B89&gt;0,PASHEET!AV89+MARKS!AN89+MARKS!AV89+MARKS!BD89+MARKS!BL89,""),"Ab")</f>
        <v/>
      </c>
      <c r="DQ89" s="894" t="str">
        <f>IFERROR(IF($B89&gt;0,PASHEET!AW89+MARKS!AO89+MARKS!AW89+MARKS!BE89+MARKS!BM89,""),"Ab")</f>
        <v/>
      </c>
      <c r="DR89" s="894" t="str">
        <f>IFERROR(IF($B89&gt;0,PASHEET!AX89+MARKS!AP89+MARKS!AX89+MARKS!BF89+MARKS!BN89,""),"Ab")</f>
        <v/>
      </c>
      <c r="DS89" s="894" t="str">
        <f>IFERROR(IF($B89&gt;0,PASHEET!AY89+MARKS!AQ89+MARKS!AY89+MARKS!BG89+MARKS!BO89,""),"Ab")</f>
        <v/>
      </c>
      <c r="DT89" s="894" t="str">
        <f>IFERROR(IF($B89&gt;0,PASHEET!AZ89+MARKS!AR89+MARKS!AZ89+MARKS!BH89+MARKS!BP89,""),"Ab")</f>
        <v/>
      </c>
      <c r="DU89" s="879" t="str">
        <f t="shared" si="98"/>
        <v/>
      </c>
      <c r="DV89" s="894" t="str">
        <f t="shared" si="99"/>
        <v/>
      </c>
      <c r="DW89" s="894" t="str">
        <f t="shared" si="100"/>
        <v/>
      </c>
      <c r="DX89" s="894" t="str">
        <f t="shared" si="101"/>
        <v/>
      </c>
      <c r="DY89" s="894" t="str">
        <f t="shared" si="102"/>
        <v/>
      </c>
      <c r="DZ89" s="894" t="str">
        <f t="shared" si="103"/>
        <v/>
      </c>
      <c r="EA89" s="894" t="str">
        <f t="shared" si="104"/>
        <v/>
      </c>
      <c r="EB89" s="894" t="str">
        <f t="shared" si="105"/>
        <v/>
      </c>
      <c r="EC89" s="894" t="str">
        <f t="shared" si="106"/>
        <v/>
      </c>
    </row>
    <row r="90" spans="1:133">
      <c r="A90" s="879">
        <v>87</v>
      </c>
      <c r="B90" s="879">
        <f>STUDENT!F88</f>
        <v>0</v>
      </c>
      <c r="C90" s="879">
        <f>STUDENT!D88</f>
        <v>0</v>
      </c>
      <c r="D90" s="886">
        <f>STUDENT!E88</f>
        <v>0</v>
      </c>
      <c r="E90" s="886">
        <f>STUDENT!H88</f>
        <v>0</v>
      </c>
      <c r="F90" s="887"/>
      <c r="G90" s="887"/>
      <c r="H90" s="887"/>
      <c r="I90" s="887"/>
      <c r="J90" s="887"/>
      <c r="K90" s="887"/>
      <c r="L90" s="887"/>
      <c r="M90" s="888">
        <f t="shared" si="56"/>
        <v>0</v>
      </c>
      <c r="N90" s="887"/>
      <c r="O90" s="887"/>
      <c r="P90" s="887"/>
      <c r="Q90" s="887"/>
      <c r="R90" s="887"/>
      <c r="S90" s="887"/>
      <c r="T90" s="887"/>
      <c r="U90" s="889">
        <f t="shared" si="57"/>
        <v>0</v>
      </c>
      <c r="V90" s="887"/>
      <c r="W90" s="887"/>
      <c r="X90" s="887"/>
      <c r="Y90" s="887"/>
      <c r="Z90" s="887"/>
      <c r="AA90" s="887"/>
      <c r="AB90" s="887"/>
      <c r="AC90" s="890">
        <f t="shared" si="58"/>
        <v>0</v>
      </c>
      <c r="AD90" s="887"/>
      <c r="AE90" s="887"/>
      <c r="AF90" s="887"/>
      <c r="AG90" s="887"/>
      <c r="AH90" s="887"/>
      <c r="AI90" s="887"/>
      <c r="AJ90" s="887"/>
      <c r="AK90" s="888" t="str">
        <f t="shared" si="59"/>
        <v/>
      </c>
      <c r="AL90" s="887"/>
      <c r="AM90" s="887"/>
      <c r="AN90" s="887"/>
      <c r="AO90" s="887"/>
      <c r="AP90" s="887"/>
      <c r="AQ90" s="887"/>
      <c r="AR90" s="887"/>
      <c r="AS90" s="891">
        <f t="shared" si="60"/>
        <v>0</v>
      </c>
      <c r="AT90" s="887"/>
      <c r="AU90" s="887"/>
      <c r="AV90" s="887"/>
      <c r="AW90" s="887"/>
      <c r="AX90" s="887"/>
      <c r="AY90" s="887"/>
      <c r="AZ90" s="887"/>
      <c r="BA90" s="889">
        <f t="shared" si="61"/>
        <v>0</v>
      </c>
      <c r="BB90" s="887"/>
      <c r="BC90" s="887"/>
      <c r="BD90" s="887"/>
      <c r="BE90" s="887"/>
      <c r="BF90" s="887"/>
      <c r="BG90" s="887"/>
      <c r="BH90" s="887"/>
      <c r="BI90" s="890">
        <f t="shared" si="62"/>
        <v>0</v>
      </c>
      <c r="BJ90" s="887"/>
      <c r="BK90" s="887"/>
      <c r="BL90" s="887"/>
      <c r="BM90" s="887"/>
      <c r="BN90" s="887"/>
      <c r="BO90" s="887"/>
      <c r="BP90" s="887"/>
      <c r="BQ90" s="888" t="str">
        <f t="shared" si="63"/>
        <v/>
      </c>
      <c r="BR90" s="892" t="str">
        <f t="shared" si="64"/>
        <v/>
      </c>
      <c r="BS90" s="892" t="str">
        <f t="shared" si="65"/>
        <v/>
      </c>
      <c r="BT90" s="892" t="str">
        <f t="shared" si="66"/>
        <v/>
      </c>
      <c r="BU90" s="892" t="str">
        <f t="shared" si="67"/>
        <v/>
      </c>
      <c r="BV90" s="892" t="str">
        <f t="shared" si="68"/>
        <v/>
      </c>
      <c r="BW90" s="892" t="str">
        <f t="shared" si="69"/>
        <v/>
      </c>
      <c r="BX90" s="892" t="str">
        <f t="shared" si="70"/>
        <v/>
      </c>
      <c r="BY90" s="892" t="str">
        <f t="shared" si="71"/>
        <v/>
      </c>
      <c r="BZ90" s="892" t="str">
        <f t="shared" si="72"/>
        <v/>
      </c>
      <c r="CA90" s="892" t="str">
        <f t="shared" si="73"/>
        <v/>
      </c>
      <c r="CB90" s="892" t="str">
        <f t="shared" si="74"/>
        <v/>
      </c>
      <c r="CC90" s="892" t="str">
        <f t="shared" si="75"/>
        <v/>
      </c>
      <c r="CD90" s="892" t="str">
        <f t="shared" si="76"/>
        <v/>
      </c>
      <c r="CE90" s="892" t="str">
        <f t="shared" si="77"/>
        <v/>
      </c>
      <c r="CF90" s="892" t="str">
        <f t="shared" si="78"/>
        <v/>
      </c>
      <c r="CG90" s="892" t="str">
        <f t="shared" si="79"/>
        <v/>
      </c>
      <c r="CH90" s="891" t="str">
        <f>IFERROR(IF($B90&gt;0,PASHEET!AL90+PASHEET!AT90+MARKS!F90+MARKS!N90+MARKS!V90+MARKS!AD90+MARKS!AL90+MARKS!AT90+MARKS!BB90+MARKS!BJ90,""),"Ab")</f>
        <v/>
      </c>
      <c r="CI90" s="891" t="str">
        <f>IFERROR(IF($B90&gt;0,PASHEET!AM90+PASHEET!AU90+MARKS!G90+MARKS!O90+MARKS!W90+MARKS!AE90+MARKS!AM90+MARKS!AU90+MARKS!BC90+MARKS!BK90,""),"Ab")</f>
        <v/>
      </c>
      <c r="CJ90" s="891" t="str">
        <f>IFERROR(IF($B90&gt;0,PASHEET!AN90+PASHEET!AV90+MARKS!H90+MARKS!P90+MARKS!X90+MARKS!AF90+MARKS!AN90+MARKS!AV90+MARKS!BD90+MARKS!BL90,""),"Ab")</f>
        <v/>
      </c>
      <c r="CK90" s="891" t="str">
        <f>IFERROR(IF($B90&gt;0,PASHEET!AO90+PASHEET!AW90+MARKS!I90+MARKS!Q90+MARKS!Y90+MARKS!AG90+MARKS!AO90+MARKS!AW90+MARKS!BE90+MARKS!BM90,""),"Ab")</f>
        <v/>
      </c>
      <c r="CL90" s="891" t="str">
        <f>IFERROR(IF($B90&gt;0,PASHEET!AP90+PASHEET!AX90+MARKS!J90+MARKS!R90+MARKS!Z90+MARKS!AH90+MARKS!AP90+MARKS!AX90+MARKS!BF90+MARKS!BN90,""),"Ab")</f>
        <v/>
      </c>
      <c r="CM90" s="891" t="str">
        <f>IFERROR(IF($B90&gt;0,PASHEET!AQ90+PASHEET!AY90+MARKS!K90+MARKS!S90+MARKS!AA90+MARKS!AI90+MARKS!AQ90+MARKS!AY90+MARKS!BG90+MARKS!BO90,""),"Ab")</f>
        <v/>
      </c>
      <c r="CN90" s="891" t="str">
        <f>IFERROR(IF($B90&gt;0,PASHEET!AR90+PASHEET!AZ90+MARKS!L90+MARKS!T90+MARKS!AB90+MARKS!AJ90+MARKS!AR90+MARKS!AZ90+MARKS!BH90+MARKS!BP90,""),"Ab")</f>
        <v/>
      </c>
      <c r="CO90" s="891" t="str">
        <f t="shared" si="80"/>
        <v/>
      </c>
      <c r="CP90" s="893" t="str">
        <f t="shared" si="81"/>
        <v/>
      </c>
      <c r="CQ90" s="893" t="str">
        <f t="shared" si="82"/>
        <v/>
      </c>
      <c r="CR90" s="893" t="str">
        <f t="shared" si="83"/>
        <v/>
      </c>
      <c r="CS90" s="893" t="str">
        <f t="shared" si="84"/>
        <v/>
      </c>
      <c r="CT90" s="893" t="str">
        <f t="shared" si="85"/>
        <v/>
      </c>
      <c r="CU90" s="893" t="str">
        <f t="shared" si="86"/>
        <v/>
      </c>
      <c r="CV90" s="893" t="str">
        <f t="shared" si="87"/>
        <v/>
      </c>
      <c r="CW90" s="893" t="str">
        <f t="shared" si="88"/>
        <v/>
      </c>
      <c r="CX90" s="894" t="str">
        <f>IFERROR(IF($B90&gt;0,PASHEET!AL90+MARKS!F90+MARKS!N90+MARKS!V90+MARKS!AD90,""),"Ab")</f>
        <v/>
      </c>
      <c r="CY90" s="894" t="str">
        <f>IFERROR(IF($B90&gt;0,PASHEET!AM90+MARKS!G90+MARKS!O90+MARKS!W90+MARKS!AE90,""),"Ab")</f>
        <v/>
      </c>
      <c r="CZ90" s="894" t="str">
        <f>IFERROR(IF($B90&gt;0,PASHEET!AN90+MARKS!H90+MARKS!P90+MARKS!X90+MARKS!AF90,""),"Ab")</f>
        <v/>
      </c>
      <c r="DA90" s="894" t="str">
        <f>IFERROR(IF($B90&gt;0,PASHEET!AO90+MARKS!I90+MARKS!Q90+MARKS!Y90+MARKS!AG90,""),"Ab")</f>
        <v/>
      </c>
      <c r="DB90" s="894" t="str">
        <f>IFERROR(IF($B90&gt;0,PASHEET!AP90+MARKS!J90+MARKS!R90+MARKS!Z90+MARKS!AH90,""),"Ab")</f>
        <v/>
      </c>
      <c r="DC90" s="894" t="str">
        <f>IFERROR(IF($B90&gt;0,PASHEET!AQ90+MARKS!K90+MARKS!S90+MARKS!AA90+MARKS!AI90,""),"Ab")</f>
        <v/>
      </c>
      <c r="DD90" s="894" t="str">
        <f>IFERROR(IF($B90&gt;0,PASHEET!AR90+MARKS!L90+MARKS!T90+MARKS!AB90+MARKS!AJ90,""),"Ab")</f>
        <v/>
      </c>
      <c r="DE90" s="879" t="str">
        <f t="shared" si="89"/>
        <v/>
      </c>
      <c r="DF90" s="894" t="str">
        <f t="shared" si="90"/>
        <v/>
      </c>
      <c r="DG90" s="894" t="str">
        <f t="shared" si="91"/>
        <v/>
      </c>
      <c r="DH90" s="894" t="str">
        <f t="shared" si="92"/>
        <v/>
      </c>
      <c r="DI90" s="894" t="str">
        <f t="shared" si="93"/>
        <v/>
      </c>
      <c r="DJ90" s="894" t="str">
        <f t="shared" si="94"/>
        <v/>
      </c>
      <c r="DK90" s="894" t="str">
        <f t="shared" si="95"/>
        <v/>
      </c>
      <c r="DL90" s="894" t="str">
        <f t="shared" si="96"/>
        <v/>
      </c>
      <c r="DM90" s="894" t="str">
        <f t="shared" si="97"/>
        <v/>
      </c>
      <c r="DN90" s="894" t="str">
        <f>IFERROR(IF($B90&gt;0,PASHEET!AT90+MARKS!AL90+MARKS!AT90+MARKS!BB90+MARKS!BJ90,""),"Ab")</f>
        <v/>
      </c>
      <c r="DO90" s="894" t="str">
        <f>IFERROR(IF($B90&gt;0,PASHEET!AU90+MARKS!AM90+MARKS!AU90+MARKS!BC90+MARKS!BK90,""),"Ab")</f>
        <v/>
      </c>
      <c r="DP90" s="894" t="str">
        <f>IFERROR(IF($B90&gt;0,PASHEET!AV90+MARKS!AN90+MARKS!AV90+MARKS!BD90+MARKS!BL90,""),"Ab")</f>
        <v/>
      </c>
      <c r="DQ90" s="894" t="str">
        <f>IFERROR(IF($B90&gt;0,PASHEET!AW90+MARKS!AO90+MARKS!AW90+MARKS!BE90+MARKS!BM90,""),"Ab")</f>
        <v/>
      </c>
      <c r="DR90" s="894" t="str">
        <f>IFERROR(IF($B90&gt;0,PASHEET!AX90+MARKS!AP90+MARKS!AX90+MARKS!BF90+MARKS!BN90,""),"Ab")</f>
        <v/>
      </c>
      <c r="DS90" s="894" t="str">
        <f>IFERROR(IF($B90&gt;0,PASHEET!AY90+MARKS!AQ90+MARKS!AY90+MARKS!BG90+MARKS!BO90,""),"Ab")</f>
        <v/>
      </c>
      <c r="DT90" s="894" t="str">
        <f>IFERROR(IF($B90&gt;0,PASHEET!AZ90+MARKS!AR90+MARKS!AZ90+MARKS!BH90+MARKS!BP90,""),"Ab")</f>
        <v/>
      </c>
      <c r="DU90" s="879" t="str">
        <f t="shared" si="98"/>
        <v/>
      </c>
      <c r="DV90" s="894" t="str">
        <f t="shared" si="99"/>
        <v/>
      </c>
      <c r="DW90" s="894" t="str">
        <f t="shared" si="100"/>
        <v/>
      </c>
      <c r="DX90" s="894" t="str">
        <f t="shared" si="101"/>
        <v/>
      </c>
      <c r="DY90" s="894" t="str">
        <f t="shared" si="102"/>
        <v/>
      </c>
      <c r="DZ90" s="894" t="str">
        <f t="shared" si="103"/>
        <v/>
      </c>
      <c r="EA90" s="894" t="str">
        <f t="shared" si="104"/>
        <v/>
      </c>
      <c r="EB90" s="894" t="str">
        <f t="shared" si="105"/>
        <v/>
      </c>
      <c r="EC90" s="894" t="str">
        <f t="shared" si="106"/>
        <v/>
      </c>
    </row>
    <row r="91" spans="1:133">
      <c r="A91" s="879">
        <v>88</v>
      </c>
      <c r="B91" s="879">
        <f>STUDENT!F89</f>
        <v>0</v>
      </c>
      <c r="C91" s="879">
        <f>STUDENT!D89</f>
        <v>0</v>
      </c>
      <c r="D91" s="886">
        <f>STUDENT!E89</f>
        <v>0</v>
      </c>
      <c r="E91" s="886">
        <f>STUDENT!H89</f>
        <v>0</v>
      </c>
      <c r="F91" s="887"/>
      <c r="G91" s="887"/>
      <c r="H91" s="887"/>
      <c r="I91" s="887"/>
      <c r="J91" s="887"/>
      <c r="K91" s="887"/>
      <c r="L91" s="887"/>
      <c r="M91" s="888">
        <f t="shared" si="56"/>
        <v>0</v>
      </c>
      <c r="N91" s="887"/>
      <c r="O91" s="887"/>
      <c r="P91" s="887"/>
      <c r="Q91" s="887"/>
      <c r="R91" s="887"/>
      <c r="S91" s="887"/>
      <c r="T91" s="887"/>
      <c r="U91" s="889">
        <f t="shared" si="57"/>
        <v>0</v>
      </c>
      <c r="V91" s="887"/>
      <c r="W91" s="887"/>
      <c r="X91" s="887"/>
      <c r="Y91" s="887"/>
      <c r="Z91" s="887"/>
      <c r="AA91" s="887"/>
      <c r="AB91" s="887"/>
      <c r="AC91" s="890">
        <f t="shared" si="58"/>
        <v>0</v>
      </c>
      <c r="AD91" s="887"/>
      <c r="AE91" s="887"/>
      <c r="AF91" s="887"/>
      <c r="AG91" s="887"/>
      <c r="AH91" s="887"/>
      <c r="AI91" s="887"/>
      <c r="AJ91" s="887"/>
      <c r="AK91" s="888" t="str">
        <f t="shared" si="59"/>
        <v/>
      </c>
      <c r="AL91" s="887"/>
      <c r="AM91" s="887"/>
      <c r="AN91" s="887"/>
      <c r="AO91" s="887"/>
      <c r="AP91" s="887"/>
      <c r="AQ91" s="887"/>
      <c r="AR91" s="887"/>
      <c r="AS91" s="891">
        <f t="shared" si="60"/>
        <v>0</v>
      </c>
      <c r="AT91" s="887"/>
      <c r="AU91" s="887"/>
      <c r="AV91" s="887"/>
      <c r="AW91" s="887"/>
      <c r="AX91" s="887"/>
      <c r="AY91" s="887"/>
      <c r="AZ91" s="887"/>
      <c r="BA91" s="889">
        <f t="shared" si="61"/>
        <v>0</v>
      </c>
      <c r="BB91" s="887"/>
      <c r="BC91" s="887"/>
      <c r="BD91" s="887"/>
      <c r="BE91" s="887"/>
      <c r="BF91" s="887"/>
      <c r="BG91" s="887"/>
      <c r="BH91" s="887"/>
      <c r="BI91" s="890">
        <f t="shared" si="62"/>
        <v>0</v>
      </c>
      <c r="BJ91" s="887"/>
      <c r="BK91" s="887"/>
      <c r="BL91" s="887"/>
      <c r="BM91" s="887"/>
      <c r="BN91" s="887"/>
      <c r="BO91" s="887"/>
      <c r="BP91" s="887"/>
      <c r="BQ91" s="888" t="str">
        <f t="shared" si="63"/>
        <v/>
      </c>
      <c r="BR91" s="892" t="str">
        <f t="shared" si="64"/>
        <v/>
      </c>
      <c r="BS91" s="892" t="str">
        <f t="shared" si="65"/>
        <v/>
      </c>
      <c r="BT91" s="892" t="str">
        <f t="shared" si="66"/>
        <v/>
      </c>
      <c r="BU91" s="892" t="str">
        <f t="shared" si="67"/>
        <v/>
      </c>
      <c r="BV91" s="892" t="str">
        <f t="shared" si="68"/>
        <v/>
      </c>
      <c r="BW91" s="892" t="str">
        <f t="shared" si="69"/>
        <v/>
      </c>
      <c r="BX91" s="892" t="str">
        <f t="shared" si="70"/>
        <v/>
      </c>
      <c r="BY91" s="892" t="str">
        <f t="shared" si="71"/>
        <v/>
      </c>
      <c r="BZ91" s="892" t="str">
        <f t="shared" si="72"/>
        <v/>
      </c>
      <c r="CA91" s="892" t="str">
        <f t="shared" si="73"/>
        <v/>
      </c>
      <c r="CB91" s="892" t="str">
        <f t="shared" si="74"/>
        <v/>
      </c>
      <c r="CC91" s="892" t="str">
        <f t="shared" si="75"/>
        <v/>
      </c>
      <c r="CD91" s="892" t="str">
        <f t="shared" si="76"/>
        <v/>
      </c>
      <c r="CE91" s="892" t="str">
        <f t="shared" si="77"/>
        <v/>
      </c>
      <c r="CF91" s="892" t="str">
        <f t="shared" si="78"/>
        <v/>
      </c>
      <c r="CG91" s="892" t="str">
        <f t="shared" si="79"/>
        <v/>
      </c>
      <c r="CH91" s="891" t="str">
        <f>IFERROR(IF($B91&gt;0,PASHEET!AL91+PASHEET!AT91+MARKS!F91+MARKS!N91+MARKS!V91+MARKS!AD91+MARKS!AL91+MARKS!AT91+MARKS!BB91+MARKS!BJ91,""),"Ab")</f>
        <v/>
      </c>
      <c r="CI91" s="891" t="str">
        <f>IFERROR(IF($B91&gt;0,PASHEET!AM91+PASHEET!AU91+MARKS!G91+MARKS!O91+MARKS!W91+MARKS!AE91+MARKS!AM91+MARKS!AU91+MARKS!BC91+MARKS!BK91,""),"Ab")</f>
        <v/>
      </c>
      <c r="CJ91" s="891" t="str">
        <f>IFERROR(IF($B91&gt;0,PASHEET!AN91+PASHEET!AV91+MARKS!H91+MARKS!P91+MARKS!X91+MARKS!AF91+MARKS!AN91+MARKS!AV91+MARKS!BD91+MARKS!BL91,""),"Ab")</f>
        <v/>
      </c>
      <c r="CK91" s="891" t="str">
        <f>IFERROR(IF($B91&gt;0,PASHEET!AO91+PASHEET!AW91+MARKS!I91+MARKS!Q91+MARKS!Y91+MARKS!AG91+MARKS!AO91+MARKS!AW91+MARKS!BE91+MARKS!BM91,""),"Ab")</f>
        <v/>
      </c>
      <c r="CL91" s="891" t="str">
        <f>IFERROR(IF($B91&gt;0,PASHEET!AP91+PASHEET!AX91+MARKS!J91+MARKS!R91+MARKS!Z91+MARKS!AH91+MARKS!AP91+MARKS!AX91+MARKS!BF91+MARKS!BN91,""),"Ab")</f>
        <v/>
      </c>
      <c r="CM91" s="891" t="str">
        <f>IFERROR(IF($B91&gt;0,PASHEET!AQ91+PASHEET!AY91+MARKS!K91+MARKS!S91+MARKS!AA91+MARKS!AI91+MARKS!AQ91+MARKS!AY91+MARKS!BG91+MARKS!BO91,""),"Ab")</f>
        <v/>
      </c>
      <c r="CN91" s="891" t="str">
        <f>IFERROR(IF($B91&gt;0,PASHEET!AR91+PASHEET!AZ91+MARKS!L91+MARKS!T91+MARKS!AB91+MARKS!AJ91+MARKS!AR91+MARKS!AZ91+MARKS!BH91+MARKS!BP91,""),"Ab")</f>
        <v/>
      </c>
      <c r="CO91" s="891" t="str">
        <f t="shared" si="80"/>
        <v/>
      </c>
      <c r="CP91" s="893" t="str">
        <f t="shared" si="81"/>
        <v/>
      </c>
      <c r="CQ91" s="893" t="str">
        <f t="shared" si="82"/>
        <v/>
      </c>
      <c r="CR91" s="893" t="str">
        <f t="shared" si="83"/>
        <v/>
      </c>
      <c r="CS91" s="893" t="str">
        <f t="shared" si="84"/>
        <v/>
      </c>
      <c r="CT91" s="893" t="str">
        <f t="shared" si="85"/>
        <v/>
      </c>
      <c r="CU91" s="893" t="str">
        <f t="shared" si="86"/>
        <v/>
      </c>
      <c r="CV91" s="893" t="str">
        <f t="shared" si="87"/>
        <v/>
      </c>
      <c r="CW91" s="893" t="str">
        <f t="shared" si="88"/>
        <v/>
      </c>
      <c r="CX91" s="894" t="str">
        <f>IFERROR(IF($B91&gt;0,PASHEET!AL91+MARKS!F91+MARKS!N91+MARKS!V91+MARKS!AD91,""),"Ab")</f>
        <v/>
      </c>
      <c r="CY91" s="894" t="str">
        <f>IFERROR(IF($B91&gt;0,PASHEET!AM91+MARKS!G91+MARKS!O91+MARKS!W91+MARKS!AE91,""),"Ab")</f>
        <v/>
      </c>
      <c r="CZ91" s="894" t="str">
        <f>IFERROR(IF($B91&gt;0,PASHEET!AN91+MARKS!H91+MARKS!P91+MARKS!X91+MARKS!AF91,""),"Ab")</f>
        <v/>
      </c>
      <c r="DA91" s="894" t="str">
        <f>IFERROR(IF($B91&gt;0,PASHEET!AO91+MARKS!I91+MARKS!Q91+MARKS!Y91+MARKS!AG91,""),"Ab")</f>
        <v/>
      </c>
      <c r="DB91" s="894" t="str">
        <f>IFERROR(IF($B91&gt;0,PASHEET!AP91+MARKS!J91+MARKS!R91+MARKS!Z91+MARKS!AH91,""),"Ab")</f>
        <v/>
      </c>
      <c r="DC91" s="894" t="str">
        <f>IFERROR(IF($B91&gt;0,PASHEET!AQ91+MARKS!K91+MARKS!S91+MARKS!AA91+MARKS!AI91,""),"Ab")</f>
        <v/>
      </c>
      <c r="DD91" s="894" t="str">
        <f>IFERROR(IF($B91&gt;0,PASHEET!AR91+MARKS!L91+MARKS!T91+MARKS!AB91+MARKS!AJ91,""),"Ab")</f>
        <v/>
      </c>
      <c r="DE91" s="879" t="str">
        <f t="shared" si="89"/>
        <v/>
      </c>
      <c r="DF91" s="894" t="str">
        <f t="shared" si="90"/>
        <v/>
      </c>
      <c r="DG91" s="894" t="str">
        <f t="shared" si="91"/>
        <v/>
      </c>
      <c r="DH91" s="894" t="str">
        <f t="shared" si="92"/>
        <v/>
      </c>
      <c r="DI91" s="894" t="str">
        <f t="shared" si="93"/>
        <v/>
      </c>
      <c r="DJ91" s="894" t="str">
        <f t="shared" si="94"/>
        <v/>
      </c>
      <c r="DK91" s="894" t="str">
        <f t="shared" si="95"/>
        <v/>
      </c>
      <c r="DL91" s="894" t="str">
        <f t="shared" si="96"/>
        <v/>
      </c>
      <c r="DM91" s="894" t="str">
        <f t="shared" si="97"/>
        <v/>
      </c>
      <c r="DN91" s="894" t="str">
        <f>IFERROR(IF($B91&gt;0,PASHEET!AT91+MARKS!AL91+MARKS!AT91+MARKS!BB91+MARKS!BJ91,""),"Ab")</f>
        <v/>
      </c>
      <c r="DO91" s="894" t="str">
        <f>IFERROR(IF($B91&gt;0,PASHEET!AU91+MARKS!AM91+MARKS!AU91+MARKS!BC91+MARKS!BK91,""),"Ab")</f>
        <v/>
      </c>
      <c r="DP91" s="894" t="str">
        <f>IFERROR(IF($B91&gt;0,PASHEET!AV91+MARKS!AN91+MARKS!AV91+MARKS!BD91+MARKS!BL91,""),"Ab")</f>
        <v/>
      </c>
      <c r="DQ91" s="894" t="str">
        <f>IFERROR(IF($B91&gt;0,PASHEET!AW91+MARKS!AO91+MARKS!AW91+MARKS!BE91+MARKS!BM91,""),"Ab")</f>
        <v/>
      </c>
      <c r="DR91" s="894" t="str">
        <f>IFERROR(IF($B91&gt;0,PASHEET!AX91+MARKS!AP91+MARKS!AX91+MARKS!BF91+MARKS!BN91,""),"Ab")</f>
        <v/>
      </c>
      <c r="DS91" s="894" t="str">
        <f>IFERROR(IF($B91&gt;0,PASHEET!AY91+MARKS!AQ91+MARKS!AY91+MARKS!BG91+MARKS!BO91,""),"Ab")</f>
        <v/>
      </c>
      <c r="DT91" s="894" t="str">
        <f>IFERROR(IF($B91&gt;0,PASHEET!AZ91+MARKS!AR91+MARKS!AZ91+MARKS!BH91+MARKS!BP91,""),"Ab")</f>
        <v/>
      </c>
      <c r="DU91" s="879" t="str">
        <f t="shared" si="98"/>
        <v/>
      </c>
      <c r="DV91" s="894" t="str">
        <f t="shared" si="99"/>
        <v/>
      </c>
      <c r="DW91" s="894" t="str">
        <f t="shared" si="100"/>
        <v/>
      </c>
      <c r="DX91" s="894" t="str">
        <f t="shared" si="101"/>
        <v/>
      </c>
      <c r="DY91" s="894" t="str">
        <f t="shared" si="102"/>
        <v/>
      </c>
      <c r="DZ91" s="894" t="str">
        <f t="shared" si="103"/>
        <v/>
      </c>
      <c r="EA91" s="894" t="str">
        <f t="shared" si="104"/>
        <v/>
      </c>
      <c r="EB91" s="894" t="str">
        <f t="shared" si="105"/>
        <v/>
      </c>
      <c r="EC91" s="894" t="str">
        <f t="shared" si="106"/>
        <v/>
      </c>
    </row>
    <row r="92" spans="1:133">
      <c r="A92" s="879">
        <v>89</v>
      </c>
      <c r="B92" s="879">
        <f>STUDENT!F90</f>
        <v>0</v>
      </c>
      <c r="C92" s="879">
        <f>STUDENT!D90</f>
        <v>0</v>
      </c>
      <c r="D92" s="886">
        <f>STUDENT!E90</f>
        <v>0</v>
      </c>
      <c r="E92" s="886">
        <f>STUDENT!H90</f>
        <v>0</v>
      </c>
      <c r="F92" s="887"/>
      <c r="G92" s="887"/>
      <c r="H92" s="887"/>
      <c r="I92" s="887"/>
      <c r="J92" s="887"/>
      <c r="K92" s="887"/>
      <c r="L92" s="887"/>
      <c r="M92" s="888">
        <f t="shared" si="56"/>
        <v>0</v>
      </c>
      <c r="N92" s="887"/>
      <c r="O92" s="887"/>
      <c r="P92" s="887"/>
      <c r="Q92" s="887"/>
      <c r="R92" s="887"/>
      <c r="S92" s="887"/>
      <c r="T92" s="887"/>
      <c r="U92" s="889">
        <f t="shared" si="57"/>
        <v>0</v>
      </c>
      <c r="V92" s="887"/>
      <c r="W92" s="887"/>
      <c r="X92" s="887"/>
      <c r="Y92" s="887"/>
      <c r="Z92" s="887"/>
      <c r="AA92" s="887"/>
      <c r="AB92" s="887"/>
      <c r="AC92" s="890">
        <f t="shared" si="58"/>
        <v>0</v>
      </c>
      <c r="AD92" s="887"/>
      <c r="AE92" s="887"/>
      <c r="AF92" s="887"/>
      <c r="AG92" s="887"/>
      <c r="AH92" s="887"/>
      <c r="AI92" s="887"/>
      <c r="AJ92" s="887"/>
      <c r="AK92" s="888" t="str">
        <f t="shared" si="59"/>
        <v/>
      </c>
      <c r="AL92" s="887"/>
      <c r="AM92" s="887"/>
      <c r="AN92" s="887"/>
      <c r="AO92" s="887"/>
      <c r="AP92" s="887"/>
      <c r="AQ92" s="887"/>
      <c r="AR92" s="887"/>
      <c r="AS92" s="891">
        <f t="shared" si="60"/>
        <v>0</v>
      </c>
      <c r="AT92" s="887"/>
      <c r="AU92" s="887"/>
      <c r="AV92" s="887"/>
      <c r="AW92" s="887"/>
      <c r="AX92" s="887"/>
      <c r="AY92" s="887"/>
      <c r="AZ92" s="887"/>
      <c r="BA92" s="889">
        <f t="shared" si="61"/>
        <v>0</v>
      </c>
      <c r="BB92" s="887"/>
      <c r="BC92" s="887"/>
      <c r="BD92" s="887"/>
      <c r="BE92" s="887"/>
      <c r="BF92" s="887"/>
      <c r="BG92" s="887"/>
      <c r="BH92" s="887"/>
      <c r="BI92" s="890">
        <f t="shared" si="62"/>
        <v>0</v>
      </c>
      <c r="BJ92" s="887"/>
      <c r="BK92" s="887"/>
      <c r="BL92" s="887"/>
      <c r="BM92" s="887"/>
      <c r="BN92" s="887"/>
      <c r="BO92" s="887"/>
      <c r="BP92" s="887"/>
      <c r="BQ92" s="888" t="str">
        <f t="shared" si="63"/>
        <v/>
      </c>
      <c r="BR92" s="892" t="str">
        <f t="shared" si="64"/>
        <v/>
      </c>
      <c r="BS92" s="892" t="str">
        <f t="shared" si="65"/>
        <v/>
      </c>
      <c r="BT92" s="892" t="str">
        <f t="shared" si="66"/>
        <v/>
      </c>
      <c r="BU92" s="892" t="str">
        <f t="shared" si="67"/>
        <v/>
      </c>
      <c r="BV92" s="892" t="str">
        <f t="shared" si="68"/>
        <v/>
      </c>
      <c r="BW92" s="892" t="str">
        <f t="shared" si="69"/>
        <v/>
      </c>
      <c r="BX92" s="892" t="str">
        <f t="shared" si="70"/>
        <v/>
      </c>
      <c r="BY92" s="892" t="str">
        <f t="shared" si="71"/>
        <v/>
      </c>
      <c r="BZ92" s="892" t="str">
        <f t="shared" si="72"/>
        <v/>
      </c>
      <c r="CA92" s="892" t="str">
        <f t="shared" si="73"/>
        <v/>
      </c>
      <c r="CB92" s="892" t="str">
        <f t="shared" si="74"/>
        <v/>
      </c>
      <c r="CC92" s="892" t="str">
        <f t="shared" si="75"/>
        <v/>
      </c>
      <c r="CD92" s="892" t="str">
        <f t="shared" si="76"/>
        <v/>
      </c>
      <c r="CE92" s="892" t="str">
        <f t="shared" si="77"/>
        <v/>
      </c>
      <c r="CF92" s="892" t="str">
        <f t="shared" si="78"/>
        <v/>
      </c>
      <c r="CG92" s="892" t="str">
        <f t="shared" si="79"/>
        <v/>
      </c>
      <c r="CH92" s="891" t="str">
        <f>IFERROR(IF($B92&gt;0,PASHEET!AL92+PASHEET!AT92+MARKS!F92+MARKS!N92+MARKS!V92+MARKS!AD92+MARKS!AL92+MARKS!AT92+MARKS!BB92+MARKS!BJ92,""),"Ab")</f>
        <v/>
      </c>
      <c r="CI92" s="891" t="str">
        <f>IFERROR(IF($B92&gt;0,PASHEET!AM92+PASHEET!AU92+MARKS!G92+MARKS!O92+MARKS!W92+MARKS!AE92+MARKS!AM92+MARKS!AU92+MARKS!BC92+MARKS!BK92,""),"Ab")</f>
        <v/>
      </c>
      <c r="CJ92" s="891" t="str">
        <f>IFERROR(IF($B92&gt;0,PASHEET!AN92+PASHEET!AV92+MARKS!H92+MARKS!P92+MARKS!X92+MARKS!AF92+MARKS!AN92+MARKS!AV92+MARKS!BD92+MARKS!BL92,""),"Ab")</f>
        <v/>
      </c>
      <c r="CK92" s="891" t="str">
        <f>IFERROR(IF($B92&gt;0,PASHEET!AO92+PASHEET!AW92+MARKS!I92+MARKS!Q92+MARKS!Y92+MARKS!AG92+MARKS!AO92+MARKS!AW92+MARKS!BE92+MARKS!BM92,""),"Ab")</f>
        <v/>
      </c>
      <c r="CL92" s="891" t="str">
        <f>IFERROR(IF($B92&gt;0,PASHEET!AP92+PASHEET!AX92+MARKS!J92+MARKS!R92+MARKS!Z92+MARKS!AH92+MARKS!AP92+MARKS!AX92+MARKS!BF92+MARKS!BN92,""),"Ab")</f>
        <v/>
      </c>
      <c r="CM92" s="891" t="str">
        <f>IFERROR(IF($B92&gt;0,PASHEET!AQ92+PASHEET!AY92+MARKS!K92+MARKS!S92+MARKS!AA92+MARKS!AI92+MARKS!AQ92+MARKS!AY92+MARKS!BG92+MARKS!BO92,""),"Ab")</f>
        <v/>
      </c>
      <c r="CN92" s="891" t="str">
        <f>IFERROR(IF($B92&gt;0,PASHEET!AR92+PASHEET!AZ92+MARKS!L92+MARKS!T92+MARKS!AB92+MARKS!AJ92+MARKS!AR92+MARKS!AZ92+MARKS!BH92+MARKS!BP92,""),"Ab")</f>
        <v/>
      </c>
      <c r="CO92" s="891" t="str">
        <f t="shared" si="80"/>
        <v/>
      </c>
      <c r="CP92" s="893" t="str">
        <f t="shared" si="81"/>
        <v/>
      </c>
      <c r="CQ92" s="893" t="str">
        <f t="shared" si="82"/>
        <v/>
      </c>
      <c r="CR92" s="893" t="str">
        <f t="shared" si="83"/>
        <v/>
      </c>
      <c r="CS92" s="893" t="str">
        <f t="shared" si="84"/>
        <v/>
      </c>
      <c r="CT92" s="893" t="str">
        <f t="shared" si="85"/>
        <v/>
      </c>
      <c r="CU92" s="893" t="str">
        <f t="shared" si="86"/>
        <v/>
      </c>
      <c r="CV92" s="893" t="str">
        <f t="shared" si="87"/>
        <v/>
      </c>
      <c r="CW92" s="893" t="str">
        <f t="shared" si="88"/>
        <v/>
      </c>
      <c r="CX92" s="894" t="str">
        <f>IFERROR(IF($B92&gt;0,PASHEET!AL92+MARKS!F92+MARKS!N92+MARKS!V92+MARKS!AD92,""),"Ab")</f>
        <v/>
      </c>
      <c r="CY92" s="894" t="str">
        <f>IFERROR(IF($B92&gt;0,PASHEET!AM92+MARKS!G92+MARKS!O92+MARKS!W92+MARKS!AE92,""),"Ab")</f>
        <v/>
      </c>
      <c r="CZ92" s="894" t="str">
        <f>IFERROR(IF($B92&gt;0,PASHEET!AN92+MARKS!H92+MARKS!P92+MARKS!X92+MARKS!AF92,""),"Ab")</f>
        <v/>
      </c>
      <c r="DA92" s="894" t="str">
        <f>IFERROR(IF($B92&gt;0,PASHEET!AO92+MARKS!I92+MARKS!Q92+MARKS!Y92+MARKS!AG92,""),"Ab")</f>
        <v/>
      </c>
      <c r="DB92" s="894" t="str">
        <f>IFERROR(IF($B92&gt;0,PASHEET!AP92+MARKS!J92+MARKS!R92+MARKS!Z92+MARKS!AH92,""),"Ab")</f>
        <v/>
      </c>
      <c r="DC92" s="894" t="str">
        <f>IFERROR(IF($B92&gt;0,PASHEET!AQ92+MARKS!K92+MARKS!S92+MARKS!AA92+MARKS!AI92,""),"Ab")</f>
        <v/>
      </c>
      <c r="DD92" s="894" t="str">
        <f>IFERROR(IF($B92&gt;0,PASHEET!AR92+MARKS!L92+MARKS!T92+MARKS!AB92+MARKS!AJ92,""),"Ab")</f>
        <v/>
      </c>
      <c r="DE92" s="879" t="str">
        <f t="shared" si="89"/>
        <v/>
      </c>
      <c r="DF92" s="894" t="str">
        <f t="shared" si="90"/>
        <v/>
      </c>
      <c r="DG92" s="894" t="str">
        <f t="shared" si="91"/>
        <v/>
      </c>
      <c r="DH92" s="894" t="str">
        <f t="shared" si="92"/>
        <v/>
      </c>
      <c r="DI92" s="894" t="str">
        <f t="shared" si="93"/>
        <v/>
      </c>
      <c r="DJ92" s="894" t="str">
        <f t="shared" si="94"/>
        <v/>
      </c>
      <c r="DK92" s="894" t="str">
        <f t="shared" si="95"/>
        <v/>
      </c>
      <c r="DL92" s="894" t="str">
        <f t="shared" si="96"/>
        <v/>
      </c>
      <c r="DM92" s="894" t="str">
        <f t="shared" si="97"/>
        <v/>
      </c>
      <c r="DN92" s="894" t="str">
        <f>IFERROR(IF($B92&gt;0,PASHEET!AT92+MARKS!AL92+MARKS!AT92+MARKS!BB92+MARKS!BJ92,""),"Ab")</f>
        <v/>
      </c>
      <c r="DO92" s="894" t="str">
        <f>IFERROR(IF($B92&gt;0,PASHEET!AU92+MARKS!AM92+MARKS!AU92+MARKS!BC92+MARKS!BK92,""),"Ab")</f>
        <v/>
      </c>
      <c r="DP92" s="894" t="str">
        <f>IFERROR(IF($B92&gt;0,PASHEET!AV92+MARKS!AN92+MARKS!AV92+MARKS!BD92+MARKS!BL92,""),"Ab")</f>
        <v/>
      </c>
      <c r="DQ92" s="894" t="str">
        <f>IFERROR(IF($B92&gt;0,PASHEET!AW92+MARKS!AO92+MARKS!AW92+MARKS!BE92+MARKS!BM92,""),"Ab")</f>
        <v/>
      </c>
      <c r="DR92" s="894" t="str">
        <f>IFERROR(IF($B92&gt;0,PASHEET!AX92+MARKS!AP92+MARKS!AX92+MARKS!BF92+MARKS!BN92,""),"Ab")</f>
        <v/>
      </c>
      <c r="DS92" s="894" t="str">
        <f>IFERROR(IF($B92&gt;0,PASHEET!AY92+MARKS!AQ92+MARKS!AY92+MARKS!BG92+MARKS!BO92,""),"Ab")</f>
        <v/>
      </c>
      <c r="DT92" s="894" t="str">
        <f>IFERROR(IF($B92&gt;0,PASHEET!AZ92+MARKS!AR92+MARKS!AZ92+MARKS!BH92+MARKS!BP92,""),"Ab")</f>
        <v/>
      </c>
      <c r="DU92" s="879" t="str">
        <f t="shared" si="98"/>
        <v/>
      </c>
      <c r="DV92" s="894" t="str">
        <f t="shared" si="99"/>
        <v/>
      </c>
      <c r="DW92" s="894" t="str">
        <f t="shared" si="100"/>
        <v/>
      </c>
      <c r="DX92" s="894" t="str">
        <f t="shared" si="101"/>
        <v/>
      </c>
      <c r="DY92" s="894" t="str">
        <f t="shared" si="102"/>
        <v/>
      </c>
      <c r="DZ92" s="894" t="str">
        <f t="shared" si="103"/>
        <v/>
      </c>
      <c r="EA92" s="894" t="str">
        <f t="shared" si="104"/>
        <v/>
      </c>
      <c r="EB92" s="894" t="str">
        <f t="shared" si="105"/>
        <v/>
      </c>
      <c r="EC92" s="894" t="str">
        <f t="shared" si="106"/>
        <v/>
      </c>
    </row>
    <row r="93" spans="1:133">
      <c r="A93" s="879">
        <v>90</v>
      </c>
      <c r="B93" s="879">
        <f>STUDENT!F91</f>
        <v>0</v>
      </c>
      <c r="C93" s="879">
        <f>STUDENT!D91</f>
        <v>0</v>
      </c>
      <c r="D93" s="886">
        <f>STUDENT!E91</f>
        <v>0</v>
      </c>
      <c r="E93" s="886">
        <f>STUDENT!H91</f>
        <v>0</v>
      </c>
      <c r="F93" s="887"/>
      <c r="G93" s="887"/>
      <c r="H93" s="887"/>
      <c r="I93" s="887"/>
      <c r="J93" s="887"/>
      <c r="K93" s="887"/>
      <c r="L93" s="887"/>
      <c r="M93" s="888">
        <f t="shared" si="56"/>
        <v>0</v>
      </c>
      <c r="N93" s="887"/>
      <c r="O93" s="887"/>
      <c r="P93" s="887"/>
      <c r="Q93" s="887"/>
      <c r="R93" s="887"/>
      <c r="S93" s="887"/>
      <c r="T93" s="887"/>
      <c r="U93" s="889">
        <f t="shared" si="57"/>
        <v>0</v>
      </c>
      <c r="V93" s="887"/>
      <c r="W93" s="887"/>
      <c r="X93" s="887"/>
      <c r="Y93" s="887"/>
      <c r="Z93" s="887"/>
      <c r="AA93" s="887"/>
      <c r="AB93" s="887"/>
      <c r="AC93" s="890">
        <f t="shared" si="58"/>
        <v>0</v>
      </c>
      <c r="AD93" s="887"/>
      <c r="AE93" s="887"/>
      <c r="AF93" s="887"/>
      <c r="AG93" s="887"/>
      <c r="AH93" s="887"/>
      <c r="AI93" s="887"/>
      <c r="AJ93" s="887"/>
      <c r="AK93" s="888" t="str">
        <f t="shared" si="59"/>
        <v/>
      </c>
      <c r="AL93" s="887"/>
      <c r="AM93" s="887"/>
      <c r="AN93" s="887"/>
      <c r="AO93" s="887"/>
      <c r="AP93" s="887"/>
      <c r="AQ93" s="887"/>
      <c r="AR93" s="887"/>
      <c r="AS93" s="891">
        <f t="shared" si="60"/>
        <v>0</v>
      </c>
      <c r="AT93" s="887"/>
      <c r="AU93" s="887"/>
      <c r="AV93" s="887"/>
      <c r="AW93" s="887"/>
      <c r="AX93" s="887"/>
      <c r="AY93" s="887"/>
      <c r="AZ93" s="887"/>
      <c r="BA93" s="889">
        <f t="shared" si="61"/>
        <v>0</v>
      </c>
      <c r="BB93" s="887"/>
      <c r="BC93" s="887"/>
      <c r="BD93" s="887"/>
      <c r="BE93" s="887"/>
      <c r="BF93" s="887"/>
      <c r="BG93" s="887"/>
      <c r="BH93" s="887"/>
      <c r="BI93" s="890">
        <f t="shared" si="62"/>
        <v>0</v>
      </c>
      <c r="BJ93" s="887"/>
      <c r="BK93" s="887"/>
      <c r="BL93" s="887"/>
      <c r="BM93" s="887"/>
      <c r="BN93" s="887"/>
      <c r="BO93" s="887"/>
      <c r="BP93" s="887"/>
      <c r="BQ93" s="888" t="str">
        <f t="shared" si="63"/>
        <v/>
      </c>
      <c r="BR93" s="892" t="str">
        <f t="shared" si="64"/>
        <v/>
      </c>
      <c r="BS93" s="892" t="str">
        <f t="shared" si="65"/>
        <v/>
      </c>
      <c r="BT93" s="892" t="str">
        <f t="shared" si="66"/>
        <v/>
      </c>
      <c r="BU93" s="892" t="str">
        <f t="shared" si="67"/>
        <v/>
      </c>
      <c r="BV93" s="892" t="str">
        <f t="shared" si="68"/>
        <v/>
      </c>
      <c r="BW93" s="892" t="str">
        <f t="shared" si="69"/>
        <v/>
      </c>
      <c r="BX93" s="892" t="str">
        <f t="shared" si="70"/>
        <v/>
      </c>
      <c r="BY93" s="892" t="str">
        <f t="shared" si="71"/>
        <v/>
      </c>
      <c r="BZ93" s="892" t="str">
        <f t="shared" si="72"/>
        <v/>
      </c>
      <c r="CA93" s="892" t="str">
        <f t="shared" si="73"/>
        <v/>
      </c>
      <c r="CB93" s="892" t="str">
        <f t="shared" si="74"/>
        <v/>
      </c>
      <c r="CC93" s="892" t="str">
        <f t="shared" si="75"/>
        <v/>
      </c>
      <c r="CD93" s="892" t="str">
        <f t="shared" si="76"/>
        <v/>
      </c>
      <c r="CE93" s="892" t="str">
        <f t="shared" si="77"/>
        <v/>
      </c>
      <c r="CF93" s="892" t="str">
        <f t="shared" si="78"/>
        <v/>
      </c>
      <c r="CG93" s="892" t="str">
        <f t="shared" si="79"/>
        <v/>
      </c>
      <c r="CH93" s="891" t="str">
        <f>IFERROR(IF($B93&gt;0,PASHEET!AL93+PASHEET!AT93+MARKS!F93+MARKS!N93+MARKS!V93+MARKS!AD93+MARKS!AL93+MARKS!AT93+MARKS!BB93+MARKS!BJ93,""),"Ab")</f>
        <v/>
      </c>
      <c r="CI93" s="891" t="str">
        <f>IFERROR(IF($B93&gt;0,PASHEET!AM93+PASHEET!AU93+MARKS!G93+MARKS!O93+MARKS!W93+MARKS!AE93+MARKS!AM93+MARKS!AU93+MARKS!BC93+MARKS!BK93,""),"Ab")</f>
        <v/>
      </c>
      <c r="CJ93" s="891" t="str">
        <f>IFERROR(IF($B93&gt;0,PASHEET!AN93+PASHEET!AV93+MARKS!H93+MARKS!P93+MARKS!X93+MARKS!AF93+MARKS!AN93+MARKS!AV93+MARKS!BD93+MARKS!BL93,""),"Ab")</f>
        <v/>
      </c>
      <c r="CK93" s="891" t="str">
        <f>IFERROR(IF($B93&gt;0,PASHEET!AO93+PASHEET!AW93+MARKS!I93+MARKS!Q93+MARKS!Y93+MARKS!AG93+MARKS!AO93+MARKS!AW93+MARKS!BE93+MARKS!BM93,""),"Ab")</f>
        <v/>
      </c>
      <c r="CL93" s="891" t="str">
        <f>IFERROR(IF($B93&gt;0,PASHEET!AP93+PASHEET!AX93+MARKS!J93+MARKS!R93+MARKS!Z93+MARKS!AH93+MARKS!AP93+MARKS!AX93+MARKS!BF93+MARKS!BN93,""),"Ab")</f>
        <v/>
      </c>
      <c r="CM93" s="891" t="str">
        <f>IFERROR(IF($B93&gt;0,PASHEET!AQ93+PASHEET!AY93+MARKS!K93+MARKS!S93+MARKS!AA93+MARKS!AI93+MARKS!AQ93+MARKS!AY93+MARKS!BG93+MARKS!BO93,""),"Ab")</f>
        <v/>
      </c>
      <c r="CN93" s="891" t="str">
        <f>IFERROR(IF($B93&gt;0,PASHEET!AR93+PASHEET!AZ93+MARKS!L93+MARKS!T93+MARKS!AB93+MARKS!AJ93+MARKS!AR93+MARKS!AZ93+MARKS!BH93+MARKS!BP93,""),"Ab")</f>
        <v/>
      </c>
      <c r="CO93" s="891" t="str">
        <f t="shared" si="80"/>
        <v/>
      </c>
      <c r="CP93" s="893" t="str">
        <f t="shared" si="81"/>
        <v/>
      </c>
      <c r="CQ93" s="893" t="str">
        <f t="shared" si="82"/>
        <v/>
      </c>
      <c r="CR93" s="893" t="str">
        <f t="shared" si="83"/>
        <v/>
      </c>
      <c r="CS93" s="893" t="str">
        <f t="shared" si="84"/>
        <v/>
      </c>
      <c r="CT93" s="893" t="str">
        <f t="shared" si="85"/>
        <v/>
      </c>
      <c r="CU93" s="893" t="str">
        <f t="shared" si="86"/>
        <v/>
      </c>
      <c r="CV93" s="893" t="str">
        <f t="shared" si="87"/>
        <v/>
      </c>
      <c r="CW93" s="893" t="str">
        <f t="shared" si="88"/>
        <v/>
      </c>
      <c r="CX93" s="894" t="str">
        <f>IFERROR(IF($B93&gt;0,PASHEET!AL93+MARKS!F93+MARKS!N93+MARKS!V93+MARKS!AD93,""),"Ab")</f>
        <v/>
      </c>
      <c r="CY93" s="894" t="str">
        <f>IFERROR(IF($B93&gt;0,PASHEET!AM93+MARKS!G93+MARKS!O93+MARKS!W93+MARKS!AE93,""),"Ab")</f>
        <v/>
      </c>
      <c r="CZ93" s="894" t="str">
        <f>IFERROR(IF($B93&gt;0,PASHEET!AN93+MARKS!H93+MARKS!P93+MARKS!X93+MARKS!AF93,""),"Ab")</f>
        <v/>
      </c>
      <c r="DA93" s="894" t="str">
        <f>IFERROR(IF($B93&gt;0,PASHEET!AO93+MARKS!I93+MARKS!Q93+MARKS!Y93+MARKS!AG93,""),"Ab")</f>
        <v/>
      </c>
      <c r="DB93" s="894" t="str">
        <f>IFERROR(IF($B93&gt;0,PASHEET!AP93+MARKS!J93+MARKS!R93+MARKS!Z93+MARKS!AH93,""),"Ab")</f>
        <v/>
      </c>
      <c r="DC93" s="894" t="str">
        <f>IFERROR(IF($B93&gt;0,PASHEET!AQ93+MARKS!K93+MARKS!S93+MARKS!AA93+MARKS!AI93,""),"Ab")</f>
        <v/>
      </c>
      <c r="DD93" s="894" t="str">
        <f>IFERROR(IF($B93&gt;0,PASHEET!AR93+MARKS!L93+MARKS!T93+MARKS!AB93+MARKS!AJ93,""),"Ab")</f>
        <v/>
      </c>
      <c r="DE93" s="879" t="str">
        <f t="shared" si="89"/>
        <v/>
      </c>
      <c r="DF93" s="894" t="str">
        <f t="shared" si="90"/>
        <v/>
      </c>
      <c r="DG93" s="894" t="str">
        <f t="shared" si="91"/>
        <v/>
      </c>
      <c r="DH93" s="894" t="str">
        <f t="shared" si="92"/>
        <v/>
      </c>
      <c r="DI93" s="894" t="str">
        <f t="shared" si="93"/>
        <v/>
      </c>
      <c r="DJ93" s="894" t="str">
        <f t="shared" si="94"/>
        <v/>
      </c>
      <c r="DK93" s="894" t="str">
        <f t="shared" si="95"/>
        <v/>
      </c>
      <c r="DL93" s="894" t="str">
        <f t="shared" si="96"/>
        <v/>
      </c>
      <c r="DM93" s="894" t="str">
        <f t="shared" si="97"/>
        <v/>
      </c>
      <c r="DN93" s="894" t="str">
        <f>IFERROR(IF($B93&gt;0,PASHEET!AT93+MARKS!AL93+MARKS!AT93+MARKS!BB93+MARKS!BJ93,""),"Ab")</f>
        <v/>
      </c>
      <c r="DO93" s="894" t="str">
        <f>IFERROR(IF($B93&gt;0,PASHEET!AU93+MARKS!AM93+MARKS!AU93+MARKS!BC93+MARKS!BK93,""),"Ab")</f>
        <v/>
      </c>
      <c r="DP93" s="894" t="str">
        <f>IFERROR(IF($B93&gt;0,PASHEET!AV93+MARKS!AN93+MARKS!AV93+MARKS!BD93+MARKS!BL93,""),"Ab")</f>
        <v/>
      </c>
      <c r="DQ93" s="894" t="str">
        <f>IFERROR(IF($B93&gt;0,PASHEET!AW93+MARKS!AO93+MARKS!AW93+MARKS!BE93+MARKS!BM93,""),"Ab")</f>
        <v/>
      </c>
      <c r="DR93" s="894" t="str">
        <f>IFERROR(IF($B93&gt;0,PASHEET!AX93+MARKS!AP93+MARKS!AX93+MARKS!BF93+MARKS!BN93,""),"Ab")</f>
        <v/>
      </c>
      <c r="DS93" s="894" t="str">
        <f>IFERROR(IF($B93&gt;0,PASHEET!AY93+MARKS!AQ93+MARKS!AY93+MARKS!BG93+MARKS!BO93,""),"Ab")</f>
        <v/>
      </c>
      <c r="DT93" s="894" t="str">
        <f>IFERROR(IF($B93&gt;0,PASHEET!AZ93+MARKS!AR93+MARKS!AZ93+MARKS!BH93+MARKS!BP93,""),"Ab")</f>
        <v/>
      </c>
      <c r="DU93" s="879" t="str">
        <f t="shared" si="98"/>
        <v/>
      </c>
      <c r="DV93" s="894" t="str">
        <f t="shared" si="99"/>
        <v/>
      </c>
      <c r="DW93" s="894" t="str">
        <f t="shared" si="100"/>
        <v/>
      </c>
      <c r="DX93" s="894" t="str">
        <f t="shared" si="101"/>
        <v/>
      </c>
      <c r="DY93" s="894" t="str">
        <f t="shared" si="102"/>
        <v/>
      </c>
      <c r="DZ93" s="894" t="str">
        <f t="shared" si="103"/>
        <v/>
      </c>
      <c r="EA93" s="894" t="str">
        <f t="shared" si="104"/>
        <v/>
      </c>
      <c r="EB93" s="894" t="str">
        <f t="shared" si="105"/>
        <v/>
      </c>
      <c r="EC93" s="894" t="str">
        <f t="shared" si="106"/>
        <v/>
      </c>
    </row>
    <row r="94" spans="1:133">
      <c r="A94" s="879">
        <v>91</v>
      </c>
      <c r="B94" s="879">
        <f>STUDENT!F92</f>
        <v>0</v>
      </c>
      <c r="C94" s="879">
        <f>STUDENT!D92</f>
        <v>0</v>
      </c>
      <c r="D94" s="886">
        <f>STUDENT!E92</f>
        <v>0</v>
      </c>
      <c r="E94" s="886">
        <f>STUDENT!H92</f>
        <v>0</v>
      </c>
      <c r="F94" s="887"/>
      <c r="G94" s="887"/>
      <c r="H94" s="887"/>
      <c r="I94" s="887"/>
      <c r="J94" s="887"/>
      <c r="K94" s="887"/>
      <c r="L94" s="887"/>
      <c r="M94" s="888">
        <f t="shared" si="56"/>
        <v>0</v>
      </c>
      <c r="N94" s="887"/>
      <c r="O94" s="887"/>
      <c r="P94" s="887"/>
      <c r="Q94" s="887"/>
      <c r="R94" s="887"/>
      <c r="S94" s="887"/>
      <c r="T94" s="887"/>
      <c r="U94" s="889">
        <f t="shared" si="57"/>
        <v>0</v>
      </c>
      <c r="V94" s="887"/>
      <c r="W94" s="887"/>
      <c r="X94" s="887"/>
      <c r="Y94" s="887"/>
      <c r="Z94" s="887"/>
      <c r="AA94" s="887"/>
      <c r="AB94" s="887"/>
      <c r="AC94" s="890">
        <f t="shared" si="58"/>
        <v>0</v>
      </c>
      <c r="AD94" s="887"/>
      <c r="AE94" s="887"/>
      <c r="AF94" s="887"/>
      <c r="AG94" s="887"/>
      <c r="AH94" s="887"/>
      <c r="AI94" s="887"/>
      <c r="AJ94" s="887"/>
      <c r="AK94" s="888" t="str">
        <f t="shared" si="59"/>
        <v/>
      </c>
      <c r="AL94" s="887"/>
      <c r="AM94" s="887"/>
      <c r="AN94" s="887"/>
      <c r="AO94" s="887"/>
      <c r="AP94" s="887"/>
      <c r="AQ94" s="887"/>
      <c r="AR94" s="887"/>
      <c r="AS94" s="891">
        <f t="shared" si="60"/>
        <v>0</v>
      </c>
      <c r="AT94" s="887"/>
      <c r="AU94" s="887"/>
      <c r="AV94" s="887"/>
      <c r="AW94" s="887"/>
      <c r="AX94" s="887"/>
      <c r="AY94" s="887"/>
      <c r="AZ94" s="887"/>
      <c r="BA94" s="889">
        <f t="shared" si="61"/>
        <v>0</v>
      </c>
      <c r="BB94" s="887"/>
      <c r="BC94" s="887"/>
      <c r="BD94" s="887"/>
      <c r="BE94" s="887"/>
      <c r="BF94" s="887"/>
      <c r="BG94" s="887"/>
      <c r="BH94" s="887"/>
      <c r="BI94" s="890">
        <f t="shared" si="62"/>
        <v>0</v>
      </c>
      <c r="BJ94" s="887"/>
      <c r="BK94" s="887"/>
      <c r="BL94" s="887"/>
      <c r="BM94" s="887"/>
      <c r="BN94" s="887"/>
      <c r="BO94" s="887"/>
      <c r="BP94" s="887"/>
      <c r="BQ94" s="888" t="str">
        <f t="shared" si="63"/>
        <v/>
      </c>
      <c r="BR94" s="892" t="str">
        <f t="shared" si="64"/>
        <v/>
      </c>
      <c r="BS94" s="892" t="str">
        <f t="shared" si="65"/>
        <v/>
      </c>
      <c r="BT94" s="892" t="str">
        <f t="shared" si="66"/>
        <v/>
      </c>
      <c r="BU94" s="892" t="str">
        <f t="shared" si="67"/>
        <v/>
      </c>
      <c r="BV94" s="892" t="str">
        <f t="shared" si="68"/>
        <v/>
      </c>
      <c r="BW94" s="892" t="str">
        <f t="shared" si="69"/>
        <v/>
      </c>
      <c r="BX94" s="892" t="str">
        <f t="shared" si="70"/>
        <v/>
      </c>
      <c r="BY94" s="892" t="str">
        <f t="shared" si="71"/>
        <v/>
      </c>
      <c r="BZ94" s="892" t="str">
        <f t="shared" si="72"/>
        <v/>
      </c>
      <c r="CA94" s="892" t="str">
        <f t="shared" si="73"/>
        <v/>
      </c>
      <c r="CB94" s="892" t="str">
        <f t="shared" si="74"/>
        <v/>
      </c>
      <c r="CC94" s="892" t="str">
        <f t="shared" si="75"/>
        <v/>
      </c>
      <c r="CD94" s="892" t="str">
        <f t="shared" si="76"/>
        <v/>
      </c>
      <c r="CE94" s="892" t="str">
        <f t="shared" si="77"/>
        <v/>
      </c>
      <c r="CF94" s="892" t="str">
        <f t="shared" si="78"/>
        <v/>
      </c>
      <c r="CG94" s="892" t="str">
        <f t="shared" si="79"/>
        <v/>
      </c>
      <c r="CH94" s="891" t="str">
        <f>IFERROR(IF($B94&gt;0,PASHEET!AL94+PASHEET!AT94+MARKS!F94+MARKS!N94+MARKS!V94+MARKS!AD94+MARKS!AL94+MARKS!AT94+MARKS!BB94+MARKS!BJ94,""),"Ab")</f>
        <v/>
      </c>
      <c r="CI94" s="891" t="str">
        <f>IFERROR(IF($B94&gt;0,PASHEET!AM94+PASHEET!AU94+MARKS!G94+MARKS!O94+MARKS!W94+MARKS!AE94+MARKS!AM94+MARKS!AU94+MARKS!BC94+MARKS!BK94,""),"Ab")</f>
        <v/>
      </c>
      <c r="CJ94" s="891" t="str">
        <f>IFERROR(IF($B94&gt;0,PASHEET!AN94+PASHEET!AV94+MARKS!H94+MARKS!P94+MARKS!X94+MARKS!AF94+MARKS!AN94+MARKS!AV94+MARKS!BD94+MARKS!BL94,""),"Ab")</f>
        <v/>
      </c>
      <c r="CK94" s="891" t="str">
        <f>IFERROR(IF($B94&gt;0,PASHEET!AO94+PASHEET!AW94+MARKS!I94+MARKS!Q94+MARKS!Y94+MARKS!AG94+MARKS!AO94+MARKS!AW94+MARKS!BE94+MARKS!BM94,""),"Ab")</f>
        <v/>
      </c>
      <c r="CL94" s="891" t="str">
        <f>IFERROR(IF($B94&gt;0,PASHEET!AP94+PASHEET!AX94+MARKS!J94+MARKS!R94+MARKS!Z94+MARKS!AH94+MARKS!AP94+MARKS!AX94+MARKS!BF94+MARKS!BN94,""),"Ab")</f>
        <v/>
      </c>
      <c r="CM94" s="891" t="str">
        <f>IFERROR(IF($B94&gt;0,PASHEET!AQ94+PASHEET!AY94+MARKS!K94+MARKS!S94+MARKS!AA94+MARKS!AI94+MARKS!AQ94+MARKS!AY94+MARKS!BG94+MARKS!BO94,""),"Ab")</f>
        <v/>
      </c>
      <c r="CN94" s="891" t="str">
        <f>IFERROR(IF($B94&gt;0,PASHEET!AR94+PASHEET!AZ94+MARKS!L94+MARKS!T94+MARKS!AB94+MARKS!AJ94+MARKS!AR94+MARKS!AZ94+MARKS!BH94+MARKS!BP94,""),"Ab")</f>
        <v/>
      </c>
      <c r="CO94" s="891" t="str">
        <f t="shared" si="80"/>
        <v/>
      </c>
      <c r="CP94" s="893" t="str">
        <f t="shared" si="81"/>
        <v/>
      </c>
      <c r="CQ94" s="893" t="str">
        <f t="shared" si="82"/>
        <v/>
      </c>
      <c r="CR94" s="893" t="str">
        <f t="shared" si="83"/>
        <v/>
      </c>
      <c r="CS94" s="893" t="str">
        <f t="shared" si="84"/>
        <v/>
      </c>
      <c r="CT94" s="893" t="str">
        <f t="shared" si="85"/>
        <v/>
      </c>
      <c r="CU94" s="893" t="str">
        <f t="shared" si="86"/>
        <v/>
      </c>
      <c r="CV94" s="893" t="str">
        <f t="shared" si="87"/>
        <v/>
      </c>
      <c r="CW94" s="893" t="str">
        <f t="shared" si="88"/>
        <v/>
      </c>
      <c r="CX94" s="894" t="str">
        <f>IFERROR(IF($B94&gt;0,PASHEET!AL94+MARKS!F94+MARKS!N94+MARKS!V94+MARKS!AD94,""),"Ab")</f>
        <v/>
      </c>
      <c r="CY94" s="894" t="str">
        <f>IFERROR(IF($B94&gt;0,PASHEET!AM94+MARKS!G94+MARKS!O94+MARKS!W94+MARKS!AE94,""),"Ab")</f>
        <v/>
      </c>
      <c r="CZ94" s="894" t="str">
        <f>IFERROR(IF($B94&gt;0,PASHEET!AN94+MARKS!H94+MARKS!P94+MARKS!X94+MARKS!AF94,""),"Ab")</f>
        <v/>
      </c>
      <c r="DA94" s="894" t="str">
        <f>IFERROR(IF($B94&gt;0,PASHEET!AO94+MARKS!I94+MARKS!Q94+MARKS!Y94+MARKS!AG94,""),"Ab")</f>
        <v/>
      </c>
      <c r="DB94" s="894" t="str">
        <f>IFERROR(IF($B94&gt;0,PASHEET!AP94+MARKS!J94+MARKS!R94+MARKS!Z94+MARKS!AH94,""),"Ab")</f>
        <v/>
      </c>
      <c r="DC94" s="894" t="str">
        <f>IFERROR(IF($B94&gt;0,PASHEET!AQ94+MARKS!K94+MARKS!S94+MARKS!AA94+MARKS!AI94,""),"Ab")</f>
        <v/>
      </c>
      <c r="DD94" s="894" t="str">
        <f>IFERROR(IF($B94&gt;0,PASHEET!AR94+MARKS!L94+MARKS!T94+MARKS!AB94+MARKS!AJ94,""),"Ab")</f>
        <v/>
      </c>
      <c r="DE94" s="879" t="str">
        <f t="shared" si="89"/>
        <v/>
      </c>
      <c r="DF94" s="894" t="str">
        <f t="shared" si="90"/>
        <v/>
      </c>
      <c r="DG94" s="894" t="str">
        <f t="shared" si="91"/>
        <v/>
      </c>
      <c r="DH94" s="894" t="str">
        <f t="shared" si="92"/>
        <v/>
      </c>
      <c r="DI94" s="894" t="str">
        <f t="shared" si="93"/>
        <v/>
      </c>
      <c r="DJ94" s="894" t="str">
        <f t="shared" si="94"/>
        <v/>
      </c>
      <c r="DK94" s="894" t="str">
        <f t="shared" si="95"/>
        <v/>
      </c>
      <c r="DL94" s="894" t="str">
        <f t="shared" si="96"/>
        <v/>
      </c>
      <c r="DM94" s="894" t="str">
        <f t="shared" si="97"/>
        <v/>
      </c>
      <c r="DN94" s="894" t="str">
        <f>IFERROR(IF($B94&gt;0,PASHEET!AT94+MARKS!AL94+MARKS!AT94+MARKS!BB94+MARKS!BJ94,""),"Ab")</f>
        <v/>
      </c>
      <c r="DO94" s="894" t="str">
        <f>IFERROR(IF($B94&gt;0,PASHEET!AU94+MARKS!AM94+MARKS!AU94+MARKS!BC94+MARKS!BK94,""),"Ab")</f>
        <v/>
      </c>
      <c r="DP94" s="894" t="str">
        <f>IFERROR(IF($B94&gt;0,PASHEET!AV94+MARKS!AN94+MARKS!AV94+MARKS!BD94+MARKS!BL94,""),"Ab")</f>
        <v/>
      </c>
      <c r="DQ94" s="894" t="str">
        <f>IFERROR(IF($B94&gt;0,PASHEET!AW94+MARKS!AO94+MARKS!AW94+MARKS!BE94+MARKS!BM94,""),"Ab")</f>
        <v/>
      </c>
      <c r="DR94" s="894" t="str">
        <f>IFERROR(IF($B94&gt;0,PASHEET!AX94+MARKS!AP94+MARKS!AX94+MARKS!BF94+MARKS!BN94,""),"Ab")</f>
        <v/>
      </c>
      <c r="DS94" s="894" t="str">
        <f>IFERROR(IF($B94&gt;0,PASHEET!AY94+MARKS!AQ94+MARKS!AY94+MARKS!BG94+MARKS!BO94,""),"Ab")</f>
        <v/>
      </c>
      <c r="DT94" s="894" t="str">
        <f>IFERROR(IF($B94&gt;0,PASHEET!AZ94+MARKS!AR94+MARKS!AZ94+MARKS!BH94+MARKS!BP94,""),"Ab")</f>
        <v/>
      </c>
      <c r="DU94" s="879" t="str">
        <f t="shared" si="98"/>
        <v/>
      </c>
      <c r="DV94" s="894" t="str">
        <f t="shared" si="99"/>
        <v/>
      </c>
      <c r="DW94" s="894" t="str">
        <f t="shared" si="100"/>
        <v/>
      </c>
      <c r="DX94" s="894" t="str">
        <f t="shared" si="101"/>
        <v/>
      </c>
      <c r="DY94" s="894" t="str">
        <f t="shared" si="102"/>
        <v/>
      </c>
      <c r="DZ94" s="894" t="str">
        <f t="shared" si="103"/>
        <v/>
      </c>
      <c r="EA94" s="894" t="str">
        <f t="shared" si="104"/>
        <v/>
      </c>
      <c r="EB94" s="894" t="str">
        <f t="shared" si="105"/>
        <v/>
      </c>
      <c r="EC94" s="894" t="str">
        <f t="shared" si="106"/>
        <v/>
      </c>
    </row>
    <row r="95" spans="1:133">
      <c r="A95" s="879">
        <v>92</v>
      </c>
      <c r="B95" s="879">
        <f>STUDENT!F93</f>
        <v>0</v>
      </c>
      <c r="C95" s="879">
        <f>STUDENT!D93</f>
        <v>0</v>
      </c>
      <c r="D95" s="886">
        <f>STUDENT!E93</f>
        <v>0</v>
      </c>
      <c r="E95" s="886">
        <f>STUDENT!H93</f>
        <v>0</v>
      </c>
      <c r="F95" s="887"/>
      <c r="G95" s="887"/>
      <c r="H95" s="887"/>
      <c r="I95" s="887"/>
      <c r="J95" s="887"/>
      <c r="K95" s="887"/>
      <c r="L95" s="887"/>
      <c r="M95" s="888">
        <f t="shared" si="56"/>
        <v>0</v>
      </c>
      <c r="N95" s="887"/>
      <c r="O95" s="887"/>
      <c r="P95" s="887"/>
      <c r="Q95" s="887"/>
      <c r="R95" s="887"/>
      <c r="S95" s="887"/>
      <c r="T95" s="887"/>
      <c r="U95" s="889">
        <f t="shared" si="57"/>
        <v>0</v>
      </c>
      <c r="V95" s="887"/>
      <c r="W95" s="887"/>
      <c r="X95" s="887"/>
      <c r="Y95" s="887"/>
      <c r="Z95" s="887"/>
      <c r="AA95" s="887"/>
      <c r="AB95" s="887"/>
      <c r="AC95" s="890">
        <f t="shared" si="58"/>
        <v>0</v>
      </c>
      <c r="AD95" s="887"/>
      <c r="AE95" s="887"/>
      <c r="AF95" s="887"/>
      <c r="AG95" s="887"/>
      <c r="AH95" s="887"/>
      <c r="AI95" s="887"/>
      <c r="AJ95" s="887"/>
      <c r="AK95" s="888" t="str">
        <f t="shared" si="59"/>
        <v/>
      </c>
      <c r="AL95" s="887"/>
      <c r="AM95" s="887"/>
      <c r="AN95" s="887"/>
      <c r="AO95" s="887"/>
      <c r="AP95" s="887"/>
      <c r="AQ95" s="887"/>
      <c r="AR95" s="887"/>
      <c r="AS95" s="891">
        <f t="shared" si="60"/>
        <v>0</v>
      </c>
      <c r="AT95" s="887"/>
      <c r="AU95" s="887"/>
      <c r="AV95" s="887"/>
      <c r="AW95" s="887"/>
      <c r="AX95" s="887"/>
      <c r="AY95" s="887"/>
      <c r="AZ95" s="887"/>
      <c r="BA95" s="889">
        <f t="shared" si="61"/>
        <v>0</v>
      </c>
      <c r="BB95" s="887"/>
      <c r="BC95" s="887"/>
      <c r="BD95" s="887"/>
      <c r="BE95" s="887"/>
      <c r="BF95" s="887"/>
      <c r="BG95" s="887"/>
      <c r="BH95" s="887"/>
      <c r="BI95" s="890">
        <f t="shared" si="62"/>
        <v>0</v>
      </c>
      <c r="BJ95" s="887"/>
      <c r="BK95" s="887"/>
      <c r="BL95" s="887"/>
      <c r="BM95" s="887"/>
      <c r="BN95" s="887"/>
      <c r="BO95" s="887"/>
      <c r="BP95" s="887"/>
      <c r="BQ95" s="888" t="str">
        <f t="shared" si="63"/>
        <v/>
      </c>
      <c r="BR95" s="892" t="str">
        <f t="shared" si="64"/>
        <v/>
      </c>
      <c r="BS95" s="892" t="str">
        <f t="shared" si="65"/>
        <v/>
      </c>
      <c r="BT95" s="892" t="str">
        <f t="shared" si="66"/>
        <v/>
      </c>
      <c r="BU95" s="892" t="str">
        <f t="shared" si="67"/>
        <v/>
      </c>
      <c r="BV95" s="892" t="str">
        <f t="shared" si="68"/>
        <v/>
      </c>
      <c r="BW95" s="892" t="str">
        <f t="shared" si="69"/>
        <v/>
      </c>
      <c r="BX95" s="892" t="str">
        <f t="shared" si="70"/>
        <v/>
      </c>
      <c r="BY95" s="892" t="str">
        <f t="shared" si="71"/>
        <v/>
      </c>
      <c r="BZ95" s="892" t="str">
        <f t="shared" si="72"/>
        <v/>
      </c>
      <c r="CA95" s="892" t="str">
        <f t="shared" si="73"/>
        <v/>
      </c>
      <c r="CB95" s="892" t="str">
        <f t="shared" si="74"/>
        <v/>
      </c>
      <c r="CC95" s="892" t="str">
        <f t="shared" si="75"/>
        <v/>
      </c>
      <c r="CD95" s="892" t="str">
        <f t="shared" si="76"/>
        <v/>
      </c>
      <c r="CE95" s="892" t="str">
        <f t="shared" si="77"/>
        <v/>
      </c>
      <c r="CF95" s="892" t="str">
        <f t="shared" si="78"/>
        <v/>
      </c>
      <c r="CG95" s="892" t="str">
        <f t="shared" si="79"/>
        <v/>
      </c>
      <c r="CH95" s="891" t="str">
        <f>IFERROR(IF($B95&gt;0,PASHEET!AL95+PASHEET!AT95+MARKS!F95+MARKS!N95+MARKS!V95+MARKS!AD95+MARKS!AL95+MARKS!AT95+MARKS!BB95+MARKS!BJ95,""),"Ab")</f>
        <v/>
      </c>
      <c r="CI95" s="891" t="str">
        <f>IFERROR(IF($B95&gt;0,PASHEET!AM95+PASHEET!AU95+MARKS!G95+MARKS!O95+MARKS!W95+MARKS!AE95+MARKS!AM95+MARKS!AU95+MARKS!BC95+MARKS!BK95,""),"Ab")</f>
        <v/>
      </c>
      <c r="CJ95" s="891" t="str">
        <f>IFERROR(IF($B95&gt;0,PASHEET!AN95+PASHEET!AV95+MARKS!H95+MARKS!P95+MARKS!X95+MARKS!AF95+MARKS!AN95+MARKS!AV95+MARKS!BD95+MARKS!BL95,""),"Ab")</f>
        <v/>
      </c>
      <c r="CK95" s="891" t="str">
        <f>IFERROR(IF($B95&gt;0,PASHEET!AO95+PASHEET!AW95+MARKS!I95+MARKS!Q95+MARKS!Y95+MARKS!AG95+MARKS!AO95+MARKS!AW95+MARKS!BE95+MARKS!BM95,""),"Ab")</f>
        <v/>
      </c>
      <c r="CL95" s="891" t="str">
        <f>IFERROR(IF($B95&gt;0,PASHEET!AP95+PASHEET!AX95+MARKS!J95+MARKS!R95+MARKS!Z95+MARKS!AH95+MARKS!AP95+MARKS!AX95+MARKS!BF95+MARKS!BN95,""),"Ab")</f>
        <v/>
      </c>
      <c r="CM95" s="891" t="str">
        <f>IFERROR(IF($B95&gt;0,PASHEET!AQ95+PASHEET!AY95+MARKS!K95+MARKS!S95+MARKS!AA95+MARKS!AI95+MARKS!AQ95+MARKS!AY95+MARKS!BG95+MARKS!BO95,""),"Ab")</f>
        <v/>
      </c>
      <c r="CN95" s="891" t="str">
        <f>IFERROR(IF($B95&gt;0,PASHEET!AR95+PASHEET!AZ95+MARKS!L95+MARKS!T95+MARKS!AB95+MARKS!AJ95+MARKS!AR95+MARKS!AZ95+MARKS!BH95+MARKS!BP95,""),"Ab")</f>
        <v/>
      </c>
      <c r="CO95" s="891" t="str">
        <f t="shared" si="80"/>
        <v/>
      </c>
      <c r="CP95" s="893" t="str">
        <f t="shared" si="81"/>
        <v/>
      </c>
      <c r="CQ95" s="893" t="str">
        <f t="shared" si="82"/>
        <v/>
      </c>
      <c r="CR95" s="893" t="str">
        <f t="shared" si="83"/>
        <v/>
      </c>
      <c r="CS95" s="893" t="str">
        <f t="shared" si="84"/>
        <v/>
      </c>
      <c r="CT95" s="893" t="str">
        <f t="shared" si="85"/>
        <v/>
      </c>
      <c r="CU95" s="893" t="str">
        <f t="shared" si="86"/>
        <v/>
      </c>
      <c r="CV95" s="893" t="str">
        <f t="shared" si="87"/>
        <v/>
      </c>
      <c r="CW95" s="893" t="str">
        <f t="shared" si="88"/>
        <v/>
      </c>
      <c r="CX95" s="894" t="str">
        <f>IFERROR(IF($B95&gt;0,PASHEET!AL95+MARKS!F95+MARKS!N95+MARKS!V95+MARKS!AD95,""),"Ab")</f>
        <v/>
      </c>
      <c r="CY95" s="894" t="str">
        <f>IFERROR(IF($B95&gt;0,PASHEET!AM95+MARKS!G95+MARKS!O95+MARKS!W95+MARKS!AE95,""),"Ab")</f>
        <v/>
      </c>
      <c r="CZ95" s="894" t="str">
        <f>IFERROR(IF($B95&gt;0,PASHEET!AN95+MARKS!H95+MARKS!P95+MARKS!X95+MARKS!AF95,""),"Ab")</f>
        <v/>
      </c>
      <c r="DA95" s="894" t="str">
        <f>IFERROR(IF($B95&gt;0,PASHEET!AO95+MARKS!I95+MARKS!Q95+MARKS!Y95+MARKS!AG95,""),"Ab")</f>
        <v/>
      </c>
      <c r="DB95" s="894" t="str">
        <f>IFERROR(IF($B95&gt;0,PASHEET!AP95+MARKS!J95+MARKS!R95+MARKS!Z95+MARKS!AH95,""),"Ab")</f>
        <v/>
      </c>
      <c r="DC95" s="894" t="str">
        <f>IFERROR(IF($B95&gt;0,PASHEET!AQ95+MARKS!K95+MARKS!S95+MARKS!AA95+MARKS!AI95,""),"Ab")</f>
        <v/>
      </c>
      <c r="DD95" s="894" t="str">
        <f>IFERROR(IF($B95&gt;0,PASHEET!AR95+MARKS!L95+MARKS!T95+MARKS!AB95+MARKS!AJ95,""),"Ab")</f>
        <v/>
      </c>
      <c r="DE95" s="879" t="str">
        <f t="shared" si="89"/>
        <v/>
      </c>
      <c r="DF95" s="894" t="str">
        <f t="shared" si="90"/>
        <v/>
      </c>
      <c r="DG95" s="894" t="str">
        <f t="shared" si="91"/>
        <v/>
      </c>
      <c r="DH95" s="894" t="str">
        <f t="shared" si="92"/>
        <v/>
      </c>
      <c r="DI95" s="894" t="str">
        <f t="shared" si="93"/>
        <v/>
      </c>
      <c r="DJ95" s="894" t="str">
        <f t="shared" si="94"/>
        <v/>
      </c>
      <c r="DK95" s="894" t="str">
        <f t="shared" si="95"/>
        <v/>
      </c>
      <c r="DL95" s="894" t="str">
        <f t="shared" si="96"/>
        <v/>
      </c>
      <c r="DM95" s="894" t="str">
        <f t="shared" si="97"/>
        <v/>
      </c>
      <c r="DN95" s="894" t="str">
        <f>IFERROR(IF($B95&gt;0,PASHEET!AT95+MARKS!AL95+MARKS!AT95+MARKS!BB95+MARKS!BJ95,""),"Ab")</f>
        <v/>
      </c>
      <c r="DO95" s="894" t="str">
        <f>IFERROR(IF($B95&gt;0,PASHEET!AU95+MARKS!AM95+MARKS!AU95+MARKS!BC95+MARKS!BK95,""),"Ab")</f>
        <v/>
      </c>
      <c r="DP95" s="894" t="str">
        <f>IFERROR(IF($B95&gt;0,PASHEET!AV95+MARKS!AN95+MARKS!AV95+MARKS!BD95+MARKS!BL95,""),"Ab")</f>
        <v/>
      </c>
      <c r="DQ95" s="894" t="str">
        <f>IFERROR(IF($B95&gt;0,PASHEET!AW95+MARKS!AO95+MARKS!AW95+MARKS!BE95+MARKS!BM95,""),"Ab")</f>
        <v/>
      </c>
      <c r="DR95" s="894" t="str">
        <f>IFERROR(IF($B95&gt;0,PASHEET!AX95+MARKS!AP95+MARKS!AX95+MARKS!BF95+MARKS!BN95,""),"Ab")</f>
        <v/>
      </c>
      <c r="DS95" s="894" t="str">
        <f>IFERROR(IF($B95&gt;0,PASHEET!AY95+MARKS!AQ95+MARKS!AY95+MARKS!BG95+MARKS!BO95,""),"Ab")</f>
        <v/>
      </c>
      <c r="DT95" s="894" t="str">
        <f>IFERROR(IF($B95&gt;0,PASHEET!AZ95+MARKS!AR95+MARKS!AZ95+MARKS!BH95+MARKS!BP95,""),"Ab")</f>
        <v/>
      </c>
      <c r="DU95" s="879" t="str">
        <f t="shared" si="98"/>
        <v/>
      </c>
      <c r="DV95" s="894" t="str">
        <f t="shared" si="99"/>
        <v/>
      </c>
      <c r="DW95" s="894" t="str">
        <f t="shared" si="100"/>
        <v/>
      </c>
      <c r="DX95" s="894" t="str">
        <f t="shared" si="101"/>
        <v/>
      </c>
      <c r="DY95" s="894" t="str">
        <f t="shared" si="102"/>
        <v/>
      </c>
      <c r="DZ95" s="894" t="str">
        <f t="shared" si="103"/>
        <v/>
      </c>
      <c r="EA95" s="894" t="str">
        <f t="shared" si="104"/>
        <v/>
      </c>
      <c r="EB95" s="894" t="str">
        <f t="shared" si="105"/>
        <v/>
      </c>
      <c r="EC95" s="894" t="str">
        <f t="shared" si="106"/>
        <v/>
      </c>
    </row>
    <row r="96" spans="1:133">
      <c r="A96" s="879">
        <v>93</v>
      </c>
      <c r="B96" s="879">
        <f>STUDENT!F94</f>
        <v>0</v>
      </c>
      <c r="C96" s="879">
        <f>STUDENT!D94</f>
        <v>0</v>
      </c>
      <c r="D96" s="886">
        <f>STUDENT!E94</f>
        <v>0</v>
      </c>
      <c r="E96" s="886">
        <f>STUDENT!H94</f>
        <v>0</v>
      </c>
      <c r="F96" s="887"/>
      <c r="G96" s="887"/>
      <c r="H96" s="887"/>
      <c r="I96" s="887"/>
      <c r="J96" s="887"/>
      <c r="K96" s="887"/>
      <c r="L96" s="887"/>
      <c r="M96" s="888">
        <f t="shared" si="56"/>
        <v>0</v>
      </c>
      <c r="N96" s="887"/>
      <c r="O96" s="887"/>
      <c r="P96" s="887"/>
      <c r="Q96" s="887"/>
      <c r="R96" s="887"/>
      <c r="S96" s="887"/>
      <c r="T96" s="887"/>
      <c r="U96" s="889">
        <f t="shared" si="57"/>
        <v>0</v>
      </c>
      <c r="V96" s="887"/>
      <c r="W96" s="887"/>
      <c r="X96" s="887"/>
      <c r="Y96" s="887"/>
      <c r="Z96" s="887"/>
      <c r="AA96" s="887"/>
      <c r="AB96" s="887"/>
      <c r="AC96" s="890">
        <f t="shared" si="58"/>
        <v>0</v>
      </c>
      <c r="AD96" s="887"/>
      <c r="AE96" s="887"/>
      <c r="AF96" s="887"/>
      <c r="AG96" s="887"/>
      <c r="AH96" s="887"/>
      <c r="AI96" s="887"/>
      <c r="AJ96" s="887"/>
      <c r="AK96" s="888" t="str">
        <f t="shared" si="59"/>
        <v/>
      </c>
      <c r="AL96" s="887"/>
      <c r="AM96" s="887"/>
      <c r="AN96" s="887"/>
      <c r="AO96" s="887"/>
      <c r="AP96" s="887"/>
      <c r="AQ96" s="887"/>
      <c r="AR96" s="887"/>
      <c r="AS96" s="891">
        <f t="shared" si="60"/>
        <v>0</v>
      </c>
      <c r="AT96" s="887"/>
      <c r="AU96" s="887"/>
      <c r="AV96" s="887"/>
      <c r="AW96" s="887"/>
      <c r="AX96" s="887"/>
      <c r="AY96" s="887"/>
      <c r="AZ96" s="887"/>
      <c r="BA96" s="889">
        <f t="shared" si="61"/>
        <v>0</v>
      </c>
      <c r="BB96" s="887"/>
      <c r="BC96" s="887"/>
      <c r="BD96" s="887"/>
      <c r="BE96" s="887"/>
      <c r="BF96" s="887"/>
      <c r="BG96" s="887"/>
      <c r="BH96" s="887"/>
      <c r="BI96" s="890">
        <f t="shared" si="62"/>
        <v>0</v>
      </c>
      <c r="BJ96" s="887"/>
      <c r="BK96" s="887"/>
      <c r="BL96" s="887"/>
      <c r="BM96" s="887"/>
      <c r="BN96" s="887"/>
      <c r="BO96" s="887"/>
      <c r="BP96" s="887"/>
      <c r="BQ96" s="888" t="str">
        <f t="shared" si="63"/>
        <v/>
      </c>
      <c r="BR96" s="892" t="str">
        <f t="shared" si="64"/>
        <v/>
      </c>
      <c r="BS96" s="892" t="str">
        <f t="shared" si="65"/>
        <v/>
      </c>
      <c r="BT96" s="892" t="str">
        <f t="shared" si="66"/>
        <v/>
      </c>
      <c r="BU96" s="892" t="str">
        <f t="shared" si="67"/>
        <v/>
      </c>
      <c r="BV96" s="892" t="str">
        <f t="shared" si="68"/>
        <v/>
      </c>
      <c r="BW96" s="892" t="str">
        <f t="shared" si="69"/>
        <v/>
      </c>
      <c r="BX96" s="892" t="str">
        <f t="shared" si="70"/>
        <v/>
      </c>
      <c r="BY96" s="892" t="str">
        <f t="shared" si="71"/>
        <v/>
      </c>
      <c r="BZ96" s="892" t="str">
        <f t="shared" si="72"/>
        <v/>
      </c>
      <c r="CA96" s="892" t="str">
        <f t="shared" si="73"/>
        <v/>
      </c>
      <c r="CB96" s="892" t="str">
        <f t="shared" si="74"/>
        <v/>
      </c>
      <c r="CC96" s="892" t="str">
        <f t="shared" si="75"/>
        <v/>
      </c>
      <c r="CD96" s="892" t="str">
        <f t="shared" si="76"/>
        <v/>
      </c>
      <c r="CE96" s="892" t="str">
        <f t="shared" si="77"/>
        <v/>
      </c>
      <c r="CF96" s="892" t="str">
        <f t="shared" si="78"/>
        <v/>
      </c>
      <c r="CG96" s="892" t="str">
        <f t="shared" si="79"/>
        <v/>
      </c>
      <c r="CH96" s="891" t="str">
        <f>IFERROR(IF($B96&gt;0,PASHEET!AL96+PASHEET!AT96+MARKS!F96+MARKS!N96+MARKS!V96+MARKS!AD96+MARKS!AL96+MARKS!AT96+MARKS!BB96+MARKS!BJ96,""),"Ab")</f>
        <v/>
      </c>
      <c r="CI96" s="891" t="str">
        <f>IFERROR(IF($B96&gt;0,PASHEET!AM96+PASHEET!AU96+MARKS!G96+MARKS!O96+MARKS!W96+MARKS!AE96+MARKS!AM96+MARKS!AU96+MARKS!BC96+MARKS!BK96,""),"Ab")</f>
        <v/>
      </c>
      <c r="CJ96" s="891" t="str">
        <f>IFERROR(IF($B96&gt;0,PASHEET!AN96+PASHEET!AV96+MARKS!H96+MARKS!P96+MARKS!X96+MARKS!AF96+MARKS!AN96+MARKS!AV96+MARKS!BD96+MARKS!BL96,""),"Ab")</f>
        <v/>
      </c>
      <c r="CK96" s="891" t="str">
        <f>IFERROR(IF($B96&gt;0,PASHEET!AO96+PASHEET!AW96+MARKS!I96+MARKS!Q96+MARKS!Y96+MARKS!AG96+MARKS!AO96+MARKS!AW96+MARKS!BE96+MARKS!BM96,""),"Ab")</f>
        <v/>
      </c>
      <c r="CL96" s="891" t="str">
        <f>IFERROR(IF($B96&gt;0,PASHEET!AP96+PASHEET!AX96+MARKS!J96+MARKS!R96+MARKS!Z96+MARKS!AH96+MARKS!AP96+MARKS!AX96+MARKS!BF96+MARKS!BN96,""),"Ab")</f>
        <v/>
      </c>
      <c r="CM96" s="891" t="str">
        <f>IFERROR(IF($B96&gt;0,PASHEET!AQ96+PASHEET!AY96+MARKS!K96+MARKS!S96+MARKS!AA96+MARKS!AI96+MARKS!AQ96+MARKS!AY96+MARKS!BG96+MARKS!BO96,""),"Ab")</f>
        <v/>
      </c>
      <c r="CN96" s="891" t="str">
        <f>IFERROR(IF($B96&gt;0,PASHEET!AR96+PASHEET!AZ96+MARKS!L96+MARKS!T96+MARKS!AB96+MARKS!AJ96+MARKS!AR96+MARKS!AZ96+MARKS!BH96+MARKS!BP96,""),"Ab")</f>
        <v/>
      </c>
      <c r="CO96" s="891" t="str">
        <f t="shared" si="80"/>
        <v/>
      </c>
      <c r="CP96" s="893" t="str">
        <f t="shared" si="81"/>
        <v/>
      </c>
      <c r="CQ96" s="893" t="str">
        <f t="shared" si="82"/>
        <v/>
      </c>
      <c r="CR96" s="893" t="str">
        <f t="shared" si="83"/>
        <v/>
      </c>
      <c r="CS96" s="893" t="str">
        <f t="shared" si="84"/>
        <v/>
      </c>
      <c r="CT96" s="893" t="str">
        <f t="shared" si="85"/>
        <v/>
      </c>
      <c r="CU96" s="893" t="str">
        <f t="shared" si="86"/>
        <v/>
      </c>
      <c r="CV96" s="893" t="str">
        <f t="shared" si="87"/>
        <v/>
      </c>
      <c r="CW96" s="893" t="str">
        <f t="shared" si="88"/>
        <v/>
      </c>
      <c r="CX96" s="894" t="str">
        <f>IFERROR(IF($B96&gt;0,PASHEET!AL96+MARKS!F96+MARKS!N96+MARKS!V96+MARKS!AD96,""),"Ab")</f>
        <v/>
      </c>
      <c r="CY96" s="894" t="str">
        <f>IFERROR(IF($B96&gt;0,PASHEET!AM96+MARKS!G96+MARKS!O96+MARKS!W96+MARKS!AE96,""),"Ab")</f>
        <v/>
      </c>
      <c r="CZ96" s="894" t="str">
        <f>IFERROR(IF($B96&gt;0,PASHEET!AN96+MARKS!H96+MARKS!P96+MARKS!X96+MARKS!AF96,""),"Ab")</f>
        <v/>
      </c>
      <c r="DA96" s="894" t="str">
        <f>IFERROR(IF($B96&gt;0,PASHEET!AO96+MARKS!I96+MARKS!Q96+MARKS!Y96+MARKS!AG96,""),"Ab")</f>
        <v/>
      </c>
      <c r="DB96" s="894" t="str">
        <f>IFERROR(IF($B96&gt;0,PASHEET!AP96+MARKS!J96+MARKS!R96+MARKS!Z96+MARKS!AH96,""),"Ab")</f>
        <v/>
      </c>
      <c r="DC96" s="894" t="str">
        <f>IFERROR(IF($B96&gt;0,PASHEET!AQ96+MARKS!K96+MARKS!S96+MARKS!AA96+MARKS!AI96,""),"Ab")</f>
        <v/>
      </c>
      <c r="DD96" s="894" t="str">
        <f>IFERROR(IF($B96&gt;0,PASHEET!AR96+MARKS!L96+MARKS!T96+MARKS!AB96+MARKS!AJ96,""),"Ab")</f>
        <v/>
      </c>
      <c r="DE96" s="879" t="str">
        <f t="shared" si="89"/>
        <v/>
      </c>
      <c r="DF96" s="894" t="str">
        <f t="shared" si="90"/>
        <v/>
      </c>
      <c r="DG96" s="894" t="str">
        <f t="shared" si="91"/>
        <v/>
      </c>
      <c r="DH96" s="894" t="str">
        <f t="shared" si="92"/>
        <v/>
      </c>
      <c r="DI96" s="894" t="str">
        <f t="shared" si="93"/>
        <v/>
      </c>
      <c r="DJ96" s="894" t="str">
        <f t="shared" si="94"/>
        <v/>
      </c>
      <c r="DK96" s="894" t="str">
        <f t="shared" si="95"/>
        <v/>
      </c>
      <c r="DL96" s="894" t="str">
        <f t="shared" si="96"/>
        <v/>
      </c>
      <c r="DM96" s="894" t="str">
        <f t="shared" si="97"/>
        <v/>
      </c>
      <c r="DN96" s="894" t="str">
        <f>IFERROR(IF($B96&gt;0,PASHEET!AT96+MARKS!AL96+MARKS!AT96+MARKS!BB96+MARKS!BJ96,""),"Ab")</f>
        <v/>
      </c>
      <c r="DO96" s="894" t="str">
        <f>IFERROR(IF($B96&gt;0,PASHEET!AU96+MARKS!AM96+MARKS!AU96+MARKS!BC96+MARKS!BK96,""),"Ab")</f>
        <v/>
      </c>
      <c r="DP96" s="894" t="str">
        <f>IFERROR(IF($B96&gt;0,PASHEET!AV96+MARKS!AN96+MARKS!AV96+MARKS!BD96+MARKS!BL96,""),"Ab")</f>
        <v/>
      </c>
      <c r="DQ96" s="894" t="str">
        <f>IFERROR(IF($B96&gt;0,PASHEET!AW96+MARKS!AO96+MARKS!AW96+MARKS!BE96+MARKS!BM96,""),"Ab")</f>
        <v/>
      </c>
      <c r="DR96" s="894" t="str">
        <f>IFERROR(IF($B96&gt;0,PASHEET!AX96+MARKS!AP96+MARKS!AX96+MARKS!BF96+MARKS!BN96,""),"Ab")</f>
        <v/>
      </c>
      <c r="DS96" s="894" t="str">
        <f>IFERROR(IF($B96&gt;0,PASHEET!AY96+MARKS!AQ96+MARKS!AY96+MARKS!BG96+MARKS!BO96,""),"Ab")</f>
        <v/>
      </c>
      <c r="DT96" s="894" t="str">
        <f>IFERROR(IF($B96&gt;0,PASHEET!AZ96+MARKS!AR96+MARKS!AZ96+MARKS!BH96+MARKS!BP96,""),"Ab")</f>
        <v/>
      </c>
      <c r="DU96" s="879" t="str">
        <f t="shared" si="98"/>
        <v/>
      </c>
      <c r="DV96" s="894" t="str">
        <f t="shared" si="99"/>
        <v/>
      </c>
      <c r="DW96" s="894" t="str">
        <f t="shared" si="100"/>
        <v/>
      </c>
      <c r="DX96" s="894" t="str">
        <f t="shared" si="101"/>
        <v/>
      </c>
      <c r="DY96" s="894" t="str">
        <f t="shared" si="102"/>
        <v/>
      </c>
      <c r="DZ96" s="894" t="str">
        <f t="shared" si="103"/>
        <v/>
      </c>
      <c r="EA96" s="894" t="str">
        <f t="shared" si="104"/>
        <v/>
      </c>
      <c r="EB96" s="894" t="str">
        <f t="shared" si="105"/>
        <v/>
      </c>
      <c r="EC96" s="894" t="str">
        <f t="shared" si="106"/>
        <v/>
      </c>
    </row>
    <row r="97" spans="1:133">
      <c r="A97" s="879">
        <v>94</v>
      </c>
      <c r="B97" s="879">
        <f>STUDENT!F95</f>
        <v>0</v>
      </c>
      <c r="C97" s="879">
        <f>STUDENT!D95</f>
        <v>0</v>
      </c>
      <c r="D97" s="886">
        <f>STUDENT!E95</f>
        <v>0</v>
      </c>
      <c r="E97" s="886">
        <f>STUDENT!H95</f>
        <v>0</v>
      </c>
      <c r="F97" s="887"/>
      <c r="G97" s="887"/>
      <c r="H97" s="887"/>
      <c r="I97" s="887"/>
      <c r="J97" s="887"/>
      <c r="K97" s="887"/>
      <c r="L97" s="887"/>
      <c r="M97" s="888">
        <f t="shared" si="56"/>
        <v>0</v>
      </c>
      <c r="N97" s="887"/>
      <c r="O97" s="887"/>
      <c r="P97" s="887"/>
      <c r="Q97" s="887"/>
      <c r="R97" s="887"/>
      <c r="S97" s="887"/>
      <c r="T97" s="887"/>
      <c r="U97" s="889">
        <f t="shared" si="57"/>
        <v>0</v>
      </c>
      <c r="V97" s="887"/>
      <c r="W97" s="887"/>
      <c r="X97" s="887"/>
      <c r="Y97" s="887"/>
      <c r="Z97" s="887"/>
      <c r="AA97" s="887"/>
      <c r="AB97" s="887"/>
      <c r="AC97" s="890">
        <f t="shared" si="58"/>
        <v>0</v>
      </c>
      <c r="AD97" s="887"/>
      <c r="AE97" s="887"/>
      <c r="AF97" s="887"/>
      <c r="AG97" s="887"/>
      <c r="AH97" s="887"/>
      <c r="AI97" s="887"/>
      <c r="AJ97" s="887"/>
      <c r="AK97" s="888" t="str">
        <f t="shared" si="59"/>
        <v/>
      </c>
      <c r="AL97" s="887"/>
      <c r="AM97" s="887"/>
      <c r="AN97" s="887"/>
      <c r="AO97" s="887"/>
      <c r="AP97" s="887"/>
      <c r="AQ97" s="887"/>
      <c r="AR97" s="887"/>
      <c r="AS97" s="891">
        <f t="shared" si="60"/>
        <v>0</v>
      </c>
      <c r="AT97" s="887"/>
      <c r="AU97" s="887"/>
      <c r="AV97" s="887"/>
      <c r="AW97" s="887"/>
      <c r="AX97" s="887"/>
      <c r="AY97" s="887"/>
      <c r="AZ97" s="887"/>
      <c r="BA97" s="889">
        <f t="shared" si="61"/>
        <v>0</v>
      </c>
      <c r="BB97" s="887"/>
      <c r="BC97" s="887"/>
      <c r="BD97" s="887"/>
      <c r="BE97" s="887"/>
      <c r="BF97" s="887"/>
      <c r="BG97" s="887"/>
      <c r="BH97" s="887"/>
      <c r="BI97" s="890">
        <f t="shared" si="62"/>
        <v>0</v>
      </c>
      <c r="BJ97" s="887"/>
      <c r="BK97" s="887"/>
      <c r="BL97" s="887"/>
      <c r="BM97" s="887"/>
      <c r="BN97" s="887"/>
      <c r="BO97" s="887"/>
      <c r="BP97" s="887"/>
      <c r="BQ97" s="888" t="str">
        <f t="shared" si="63"/>
        <v/>
      </c>
      <c r="BR97" s="892" t="str">
        <f t="shared" si="64"/>
        <v/>
      </c>
      <c r="BS97" s="892" t="str">
        <f t="shared" si="65"/>
        <v/>
      </c>
      <c r="BT97" s="892" t="str">
        <f t="shared" si="66"/>
        <v/>
      </c>
      <c r="BU97" s="892" t="str">
        <f t="shared" si="67"/>
        <v/>
      </c>
      <c r="BV97" s="892" t="str">
        <f t="shared" si="68"/>
        <v/>
      </c>
      <c r="BW97" s="892" t="str">
        <f t="shared" si="69"/>
        <v/>
      </c>
      <c r="BX97" s="892" t="str">
        <f t="shared" si="70"/>
        <v/>
      </c>
      <c r="BY97" s="892" t="str">
        <f t="shared" si="71"/>
        <v/>
      </c>
      <c r="BZ97" s="892" t="str">
        <f t="shared" si="72"/>
        <v/>
      </c>
      <c r="CA97" s="892" t="str">
        <f t="shared" si="73"/>
        <v/>
      </c>
      <c r="CB97" s="892" t="str">
        <f t="shared" si="74"/>
        <v/>
      </c>
      <c r="CC97" s="892" t="str">
        <f t="shared" si="75"/>
        <v/>
      </c>
      <c r="CD97" s="892" t="str">
        <f t="shared" si="76"/>
        <v/>
      </c>
      <c r="CE97" s="892" t="str">
        <f t="shared" si="77"/>
        <v/>
      </c>
      <c r="CF97" s="892" t="str">
        <f t="shared" si="78"/>
        <v/>
      </c>
      <c r="CG97" s="892" t="str">
        <f t="shared" si="79"/>
        <v/>
      </c>
      <c r="CH97" s="891" t="str">
        <f>IFERROR(IF($B97&gt;0,PASHEET!AL97+PASHEET!AT97+MARKS!F97+MARKS!N97+MARKS!V97+MARKS!AD97+MARKS!AL97+MARKS!AT97+MARKS!BB97+MARKS!BJ97,""),"Ab")</f>
        <v/>
      </c>
      <c r="CI97" s="891" t="str">
        <f>IFERROR(IF($B97&gt;0,PASHEET!AM97+PASHEET!AU97+MARKS!G97+MARKS!O97+MARKS!W97+MARKS!AE97+MARKS!AM97+MARKS!AU97+MARKS!BC97+MARKS!BK97,""),"Ab")</f>
        <v/>
      </c>
      <c r="CJ97" s="891" t="str">
        <f>IFERROR(IF($B97&gt;0,PASHEET!AN97+PASHEET!AV97+MARKS!H97+MARKS!P97+MARKS!X97+MARKS!AF97+MARKS!AN97+MARKS!AV97+MARKS!BD97+MARKS!BL97,""),"Ab")</f>
        <v/>
      </c>
      <c r="CK97" s="891" t="str">
        <f>IFERROR(IF($B97&gt;0,PASHEET!AO97+PASHEET!AW97+MARKS!I97+MARKS!Q97+MARKS!Y97+MARKS!AG97+MARKS!AO97+MARKS!AW97+MARKS!BE97+MARKS!BM97,""),"Ab")</f>
        <v/>
      </c>
      <c r="CL97" s="891" t="str">
        <f>IFERROR(IF($B97&gt;0,PASHEET!AP97+PASHEET!AX97+MARKS!J97+MARKS!R97+MARKS!Z97+MARKS!AH97+MARKS!AP97+MARKS!AX97+MARKS!BF97+MARKS!BN97,""),"Ab")</f>
        <v/>
      </c>
      <c r="CM97" s="891" t="str">
        <f>IFERROR(IF($B97&gt;0,PASHEET!AQ97+PASHEET!AY97+MARKS!K97+MARKS!S97+MARKS!AA97+MARKS!AI97+MARKS!AQ97+MARKS!AY97+MARKS!BG97+MARKS!BO97,""),"Ab")</f>
        <v/>
      </c>
      <c r="CN97" s="891" t="str">
        <f>IFERROR(IF($B97&gt;0,PASHEET!AR97+PASHEET!AZ97+MARKS!L97+MARKS!T97+MARKS!AB97+MARKS!AJ97+MARKS!AR97+MARKS!AZ97+MARKS!BH97+MARKS!BP97,""),"Ab")</f>
        <v/>
      </c>
      <c r="CO97" s="891" t="str">
        <f t="shared" si="80"/>
        <v/>
      </c>
      <c r="CP97" s="893" t="str">
        <f t="shared" si="81"/>
        <v/>
      </c>
      <c r="CQ97" s="893" t="str">
        <f t="shared" si="82"/>
        <v/>
      </c>
      <c r="CR97" s="893" t="str">
        <f t="shared" si="83"/>
        <v/>
      </c>
      <c r="CS97" s="893" t="str">
        <f t="shared" si="84"/>
        <v/>
      </c>
      <c r="CT97" s="893" t="str">
        <f t="shared" si="85"/>
        <v/>
      </c>
      <c r="CU97" s="893" t="str">
        <f t="shared" si="86"/>
        <v/>
      </c>
      <c r="CV97" s="893" t="str">
        <f t="shared" si="87"/>
        <v/>
      </c>
      <c r="CW97" s="893" t="str">
        <f t="shared" si="88"/>
        <v/>
      </c>
      <c r="CX97" s="894" t="str">
        <f>IFERROR(IF($B97&gt;0,PASHEET!AL97+MARKS!F97+MARKS!N97+MARKS!V97+MARKS!AD97,""),"Ab")</f>
        <v/>
      </c>
      <c r="CY97" s="894" t="str">
        <f>IFERROR(IF($B97&gt;0,PASHEET!AM97+MARKS!G97+MARKS!O97+MARKS!W97+MARKS!AE97,""),"Ab")</f>
        <v/>
      </c>
      <c r="CZ97" s="894" t="str">
        <f>IFERROR(IF($B97&gt;0,PASHEET!AN97+MARKS!H97+MARKS!P97+MARKS!X97+MARKS!AF97,""),"Ab")</f>
        <v/>
      </c>
      <c r="DA97" s="894" t="str">
        <f>IFERROR(IF($B97&gt;0,PASHEET!AO97+MARKS!I97+MARKS!Q97+MARKS!Y97+MARKS!AG97,""),"Ab")</f>
        <v/>
      </c>
      <c r="DB97" s="894" t="str">
        <f>IFERROR(IF($B97&gt;0,PASHEET!AP97+MARKS!J97+MARKS!R97+MARKS!Z97+MARKS!AH97,""),"Ab")</f>
        <v/>
      </c>
      <c r="DC97" s="894" t="str">
        <f>IFERROR(IF($B97&gt;0,PASHEET!AQ97+MARKS!K97+MARKS!S97+MARKS!AA97+MARKS!AI97,""),"Ab")</f>
        <v/>
      </c>
      <c r="DD97" s="894" t="str">
        <f>IFERROR(IF($B97&gt;0,PASHEET!AR97+MARKS!L97+MARKS!T97+MARKS!AB97+MARKS!AJ97,""),"Ab")</f>
        <v/>
      </c>
      <c r="DE97" s="879" t="str">
        <f t="shared" si="89"/>
        <v/>
      </c>
      <c r="DF97" s="894" t="str">
        <f t="shared" si="90"/>
        <v/>
      </c>
      <c r="DG97" s="894" t="str">
        <f t="shared" si="91"/>
        <v/>
      </c>
      <c r="DH97" s="894" t="str">
        <f t="shared" si="92"/>
        <v/>
      </c>
      <c r="DI97" s="894" t="str">
        <f t="shared" si="93"/>
        <v/>
      </c>
      <c r="DJ97" s="894" t="str">
        <f t="shared" si="94"/>
        <v/>
      </c>
      <c r="DK97" s="894" t="str">
        <f t="shared" si="95"/>
        <v/>
      </c>
      <c r="DL97" s="894" t="str">
        <f t="shared" si="96"/>
        <v/>
      </c>
      <c r="DM97" s="894" t="str">
        <f t="shared" si="97"/>
        <v/>
      </c>
      <c r="DN97" s="894" t="str">
        <f>IFERROR(IF($B97&gt;0,PASHEET!AT97+MARKS!AL97+MARKS!AT97+MARKS!BB97+MARKS!BJ97,""),"Ab")</f>
        <v/>
      </c>
      <c r="DO97" s="894" t="str">
        <f>IFERROR(IF($B97&gt;0,PASHEET!AU97+MARKS!AM97+MARKS!AU97+MARKS!BC97+MARKS!BK97,""),"Ab")</f>
        <v/>
      </c>
      <c r="DP97" s="894" t="str">
        <f>IFERROR(IF($B97&gt;0,PASHEET!AV97+MARKS!AN97+MARKS!AV97+MARKS!BD97+MARKS!BL97,""),"Ab")</f>
        <v/>
      </c>
      <c r="DQ97" s="894" t="str">
        <f>IFERROR(IF($B97&gt;0,PASHEET!AW97+MARKS!AO97+MARKS!AW97+MARKS!BE97+MARKS!BM97,""),"Ab")</f>
        <v/>
      </c>
      <c r="DR97" s="894" t="str">
        <f>IFERROR(IF($B97&gt;0,PASHEET!AX97+MARKS!AP97+MARKS!AX97+MARKS!BF97+MARKS!BN97,""),"Ab")</f>
        <v/>
      </c>
      <c r="DS97" s="894" t="str">
        <f>IFERROR(IF($B97&gt;0,PASHEET!AY97+MARKS!AQ97+MARKS!AY97+MARKS!BG97+MARKS!BO97,""),"Ab")</f>
        <v/>
      </c>
      <c r="DT97" s="894" t="str">
        <f>IFERROR(IF($B97&gt;0,PASHEET!AZ97+MARKS!AR97+MARKS!AZ97+MARKS!BH97+MARKS!BP97,""),"Ab")</f>
        <v/>
      </c>
      <c r="DU97" s="879" t="str">
        <f t="shared" si="98"/>
        <v/>
      </c>
      <c r="DV97" s="894" t="str">
        <f t="shared" si="99"/>
        <v/>
      </c>
      <c r="DW97" s="894" t="str">
        <f t="shared" si="100"/>
        <v/>
      </c>
      <c r="DX97" s="894" t="str">
        <f t="shared" si="101"/>
        <v/>
      </c>
      <c r="DY97" s="894" t="str">
        <f t="shared" si="102"/>
        <v/>
      </c>
      <c r="DZ97" s="894" t="str">
        <f t="shared" si="103"/>
        <v/>
      </c>
      <c r="EA97" s="894" t="str">
        <f t="shared" si="104"/>
        <v/>
      </c>
      <c r="EB97" s="894" t="str">
        <f t="shared" si="105"/>
        <v/>
      </c>
      <c r="EC97" s="894" t="str">
        <f t="shared" si="106"/>
        <v/>
      </c>
    </row>
    <row r="98" spans="1:133">
      <c r="A98" s="879">
        <v>95</v>
      </c>
      <c r="B98" s="879">
        <f>STUDENT!F96</f>
        <v>0</v>
      </c>
      <c r="C98" s="879">
        <f>STUDENT!D96</f>
        <v>0</v>
      </c>
      <c r="D98" s="886">
        <f>STUDENT!E96</f>
        <v>0</v>
      </c>
      <c r="E98" s="886">
        <f>STUDENT!H96</f>
        <v>0</v>
      </c>
      <c r="F98" s="887"/>
      <c r="G98" s="887"/>
      <c r="H98" s="887"/>
      <c r="I98" s="887"/>
      <c r="J98" s="887"/>
      <c r="K98" s="887"/>
      <c r="L98" s="887"/>
      <c r="M98" s="888">
        <f t="shared" si="56"/>
        <v>0</v>
      </c>
      <c r="N98" s="887"/>
      <c r="O98" s="887"/>
      <c r="P98" s="887"/>
      <c r="Q98" s="887"/>
      <c r="R98" s="887"/>
      <c r="S98" s="887"/>
      <c r="T98" s="887"/>
      <c r="U98" s="889">
        <f t="shared" si="57"/>
        <v>0</v>
      </c>
      <c r="V98" s="887"/>
      <c r="W98" s="887"/>
      <c r="X98" s="887"/>
      <c r="Y98" s="887"/>
      <c r="Z98" s="887"/>
      <c r="AA98" s="887"/>
      <c r="AB98" s="887"/>
      <c r="AC98" s="890">
        <f t="shared" si="58"/>
        <v>0</v>
      </c>
      <c r="AD98" s="887"/>
      <c r="AE98" s="887"/>
      <c r="AF98" s="887"/>
      <c r="AG98" s="887"/>
      <c r="AH98" s="887"/>
      <c r="AI98" s="887"/>
      <c r="AJ98" s="887"/>
      <c r="AK98" s="888" t="str">
        <f t="shared" si="59"/>
        <v/>
      </c>
      <c r="AL98" s="887"/>
      <c r="AM98" s="887"/>
      <c r="AN98" s="887"/>
      <c r="AO98" s="887"/>
      <c r="AP98" s="887"/>
      <c r="AQ98" s="887"/>
      <c r="AR98" s="887"/>
      <c r="AS98" s="891">
        <f t="shared" si="60"/>
        <v>0</v>
      </c>
      <c r="AT98" s="887"/>
      <c r="AU98" s="887"/>
      <c r="AV98" s="887"/>
      <c r="AW98" s="887"/>
      <c r="AX98" s="887"/>
      <c r="AY98" s="887"/>
      <c r="AZ98" s="887"/>
      <c r="BA98" s="889">
        <f t="shared" si="61"/>
        <v>0</v>
      </c>
      <c r="BB98" s="887"/>
      <c r="BC98" s="887"/>
      <c r="BD98" s="887"/>
      <c r="BE98" s="887"/>
      <c r="BF98" s="887"/>
      <c r="BG98" s="887"/>
      <c r="BH98" s="887"/>
      <c r="BI98" s="890">
        <f t="shared" si="62"/>
        <v>0</v>
      </c>
      <c r="BJ98" s="887"/>
      <c r="BK98" s="887"/>
      <c r="BL98" s="887"/>
      <c r="BM98" s="887"/>
      <c r="BN98" s="887"/>
      <c r="BO98" s="887"/>
      <c r="BP98" s="887"/>
      <c r="BQ98" s="888" t="str">
        <f t="shared" si="63"/>
        <v/>
      </c>
      <c r="BR98" s="892" t="str">
        <f t="shared" si="64"/>
        <v/>
      </c>
      <c r="BS98" s="892" t="str">
        <f t="shared" si="65"/>
        <v/>
      </c>
      <c r="BT98" s="892" t="str">
        <f t="shared" si="66"/>
        <v/>
      </c>
      <c r="BU98" s="892" t="str">
        <f t="shared" si="67"/>
        <v/>
      </c>
      <c r="BV98" s="892" t="str">
        <f t="shared" si="68"/>
        <v/>
      </c>
      <c r="BW98" s="892" t="str">
        <f t="shared" si="69"/>
        <v/>
      </c>
      <c r="BX98" s="892" t="str">
        <f t="shared" si="70"/>
        <v/>
      </c>
      <c r="BY98" s="892" t="str">
        <f t="shared" si="71"/>
        <v/>
      </c>
      <c r="BZ98" s="892" t="str">
        <f t="shared" si="72"/>
        <v/>
      </c>
      <c r="CA98" s="892" t="str">
        <f t="shared" si="73"/>
        <v/>
      </c>
      <c r="CB98" s="892" t="str">
        <f t="shared" si="74"/>
        <v/>
      </c>
      <c r="CC98" s="892" t="str">
        <f t="shared" si="75"/>
        <v/>
      </c>
      <c r="CD98" s="892" t="str">
        <f t="shared" si="76"/>
        <v/>
      </c>
      <c r="CE98" s="892" t="str">
        <f t="shared" si="77"/>
        <v/>
      </c>
      <c r="CF98" s="892" t="str">
        <f t="shared" si="78"/>
        <v/>
      </c>
      <c r="CG98" s="892" t="str">
        <f t="shared" si="79"/>
        <v/>
      </c>
      <c r="CH98" s="891" t="str">
        <f>IFERROR(IF($B98&gt;0,PASHEET!AL98+PASHEET!AT98+MARKS!F98+MARKS!N98+MARKS!V98+MARKS!AD98+MARKS!AL98+MARKS!AT98+MARKS!BB98+MARKS!BJ98,""),"Ab")</f>
        <v/>
      </c>
      <c r="CI98" s="891" t="str">
        <f>IFERROR(IF($B98&gt;0,PASHEET!AM98+PASHEET!AU98+MARKS!G98+MARKS!O98+MARKS!W98+MARKS!AE98+MARKS!AM98+MARKS!AU98+MARKS!BC98+MARKS!BK98,""),"Ab")</f>
        <v/>
      </c>
      <c r="CJ98" s="891" t="str">
        <f>IFERROR(IF($B98&gt;0,PASHEET!AN98+PASHEET!AV98+MARKS!H98+MARKS!P98+MARKS!X98+MARKS!AF98+MARKS!AN98+MARKS!AV98+MARKS!BD98+MARKS!BL98,""),"Ab")</f>
        <v/>
      </c>
      <c r="CK98" s="891" t="str">
        <f>IFERROR(IF($B98&gt;0,PASHEET!AO98+PASHEET!AW98+MARKS!I98+MARKS!Q98+MARKS!Y98+MARKS!AG98+MARKS!AO98+MARKS!AW98+MARKS!BE98+MARKS!BM98,""),"Ab")</f>
        <v/>
      </c>
      <c r="CL98" s="891" t="str">
        <f>IFERROR(IF($B98&gt;0,PASHEET!AP98+PASHEET!AX98+MARKS!J98+MARKS!R98+MARKS!Z98+MARKS!AH98+MARKS!AP98+MARKS!AX98+MARKS!BF98+MARKS!BN98,""),"Ab")</f>
        <v/>
      </c>
      <c r="CM98" s="891" t="str">
        <f>IFERROR(IF($B98&gt;0,PASHEET!AQ98+PASHEET!AY98+MARKS!K98+MARKS!S98+MARKS!AA98+MARKS!AI98+MARKS!AQ98+MARKS!AY98+MARKS!BG98+MARKS!BO98,""),"Ab")</f>
        <v/>
      </c>
      <c r="CN98" s="891" t="str">
        <f>IFERROR(IF($B98&gt;0,PASHEET!AR98+PASHEET!AZ98+MARKS!L98+MARKS!T98+MARKS!AB98+MARKS!AJ98+MARKS!AR98+MARKS!AZ98+MARKS!BH98+MARKS!BP98,""),"Ab")</f>
        <v/>
      </c>
      <c r="CO98" s="891" t="str">
        <f t="shared" si="80"/>
        <v/>
      </c>
      <c r="CP98" s="893" t="str">
        <f t="shared" si="81"/>
        <v/>
      </c>
      <c r="CQ98" s="893" t="str">
        <f t="shared" si="82"/>
        <v/>
      </c>
      <c r="CR98" s="893" t="str">
        <f t="shared" si="83"/>
        <v/>
      </c>
      <c r="CS98" s="893" t="str">
        <f t="shared" si="84"/>
        <v/>
      </c>
      <c r="CT98" s="893" t="str">
        <f t="shared" si="85"/>
        <v/>
      </c>
      <c r="CU98" s="893" t="str">
        <f t="shared" si="86"/>
        <v/>
      </c>
      <c r="CV98" s="893" t="str">
        <f t="shared" si="87"/>
        <v/>
      </c>
      <c r="CW98" s="893" t="str">
        <f t="shared" si="88"/>
        <v/>
      </c>
      <c r="CX98" s="894" t="str">
        <f>IFERROR(IF($B98&gt;0,PASHEET!AL98+MARKS!F98+MARKS!N98+MARKS!V98+MARKS!AD98,""),"Ab")</f>
        <v/>
      </c>
      <c r="CY98" s="894" t="str">
        <f>IFERROR(IF($B98&gt;0,PASHEET!AM98+MARKS!G98+MARKS!O98+MARKS!W98+MARKS!AE98,""),"Ab")</f>
        <v/>
      </c>
      <c r="CZ98" s="894" t="str">
        <f>IFERROR(IF($B98&gt;0,PASHEET!AN98+MARKS!H98+MARKS!P98+MARKS!X98+MARKS!AF98,""),"Ab")</f>
        <v/>
      </c>
      <c r="DA98" s="894" t="str">
        <f>IFERROR(IF($B98&gt;0,PASHEET!AO98+MARKS!I98+MARKS!Q98+MARKS!Y98+MARKS!AG98,""),"Ab")</f>
        <v/>
      </c>
      <c r="DB98" s="894" t="str">
        <f>IFERROR(IF($B98&gt;0,PASHEET!AP98+MARKS!J98+MARKS!R98+MARKS!Z98+MARKS!AH98,""),"Ab")</f>
        <v/>
      </c>
      <c r="DC98" s="894" t="str">
        <f>IFERROR(IF($B98&gt;0,PASHEET!AQ98+MARKS!K98+MARKS!S98+MARKS!AA98+MARKS!AI98,""),"Ab")</f>
        <v/>
      </c>
      <c r="DD98" s="894" t="str">
        <f>IFERROR(IF($B98&gt;0,PASHEET!AR98+MARKS!L98+MARKS!T98+MARKS!AB98+MARKS!AJ98,""),"Ab")</f>
        <v/>
      </c>
      <c r="DE98" s="879" t="str">
        <f t="shared" si="89"/>
        <v/>
      </c>
      <c r="DF98" s="894" t="str">
        <f t="shared" si="90"/>
        <v/>
      </c>
      <c r="DG98" s="894" t="str">
        <f t="shared" si="91"/>
        <v/>
      </c>
      <c r="DH98" s="894" t="str">
        <f t="shared" si="92"/>
        <v/>
      </c>
      <c r="DI98" s="894" t="str">
        <f t="shared" si="93"/>
        <v/>
      </c>
      <c r="DJ98" s="894" t="str">
        <f t="shared" si="94"/>
        <v/>
      </c>
      <c r="DK98" s="894" t="str">
        <f t="shared" si="95"/>
        <v/>
      </c>
      <c r="DL98" s="894" t="str">
        <f t="shared" si="96"/>
        <v/>
      </c>
      <c r="DM98" s="894" t="str">
        <f t="shared" si="97"/>
        <v/>
      </c>
      <c r="DN98" s="894" t="str">
        <f>IFERROR(IF($B98&gt;0,PASHEET!AT98+MARKS!AL98+MARKS!AT98+MARKS!BB98+MARKS!BJ98,""),"Ab")</f>
        <v/>
      </c>
      <c r="DO98" s="894" t="str">
        <f>IFERROR(IF($B98&gt;0,PASHEET!AU98+MARKS!AM98+MARKS!AU98+MARKS!BC98+MARKS!BK98,""),"Ab")</f>
        <v/>
      </c>
      <c r="DP98" s="894" t="str">
        <f>IFERROR(IF($B98&gt;0,PASHEET!AV98+MARKS!AN98+MARKS!AV98+MARKS!BD98+MARKS!BL98,""),"Ab")</f>
        <v/>
      </c>
      <c r="DQ98" s="894" t="str">
        <f>IFERROR(IF($B98&gt;0,PASHEET!AW98+MARKS!AO98+MARKS!AW98+MARKS!BE98+MARKS!BM98,""),"Ab")</f>
        <v/>
      </c>
      <c r="DR98" s="894" t="str">
        <f>IFERROR(IF($B98&gt;0,PASHEET!AX98+MARKS!AP98+MARKS!AX98+MARKS!BF98+MARKS!BN98,""),"Ab")</f>
        <v/>
      </c>
      <c r="DS98" s="894" t="str">
        <f>IFERROR(IF($B98&gt;0,PASHEET!AY98+MARKS!AQ98+MARKS!AY98+MARKS!BG98+MARKS!BO98,""),"Ab")</f>
        <v/>
      </c>
      <c r="DT98" s="894" t="str">
        <f>IFERROR(IF($B98&gt;0,PASHEET!AZ98+MARKS!AR98+MARKS!AZ98+MARKS!BH98+MARKS!BP98,""),"Ab")</f>
        <v/>
      </c>
      <c r="DU98" s="879" t="str">
        <f t="shared" si="98"/>
        <v/>
      </c>
      <c r="DV98" s="894" t="str">
        <f t="shared" si="99"/>
        <v/>
      </c>
      <c r="DW98" s="894" t="str">
        <f t="shared" si="100"/>
        <v/>
      </c>
      <c r="DX98" s="894" t="str">
        <f t="shared" si="101"/>
        <v/>
      </c>
      <c r="DY98" s="894" t="str">
        <f t="shared" si="102"/>
        <v/>
      </c>
      <c r="DZ98" s="894" t="str">
        <f t="shared" si="103"/>
        <v/>
      </c>
      <c r="EA98" s="894" t="str">
        <f t="shared" si="104"/>
        <v/>
      </c>
      <c r="EB98" s="894" t="str">
        <f t="shared" si="105"/>
        <v/>
      </c>
      <c r="EC98" s="894" t="str">
        <f t="shared" si="106"/>
        <v/>
      </c>
    </row>
    <row r="99" spans="1:133">
      <c r="A99" s="879">
        <v>96</v>
      </c>
      <c r="B99" s="879">
        <f>STUDENT!F97</f>
        <v>0</v>
      </c>
      <c r="C99" s="879">
        <f>STUDENT!D97</f>
        <v>0</v>
      </c>
      <c r="D99" s="886">
        <f>STUDENT!E97</f>
        <v>0</v>
      </c>
      <c r="E99" s="886">
        <f>STUDENT!H97</f>
        <v>0</v>
      </c>
      <c r="F99" s="887"/>
      <c r="G99" s="887"/>
      <c r="H99" s="887"/>
      <c r="I99" s="887"/>
      <c r="J99" s="887"/>
      <c r="K99" s="887"/>
      <c r="L99" s="887"/>
      <c r="M99" s="888">
        <f t="shared" si="56"/>
        <v>0</v>
      </c>
      <c r="N99" s="887"/>
      <c r="O99" s="887"/>
      <c r="P99" s="887"/>
      <c r="Q99" s="887"/>
      <c r="R99" s="887"/>
      <c r="S99" s="887"/>
      <c r="T99" s="887"/>
      <c r="U99" s="889">
        <f t="shared" si="57"/>
        <v>0</v>
      </c>
      <c r="V99" s="887"/>
      <c r="W99" s="887"/>
      <c r="X99" s="887"/>
      <c r="Y99" s="887"/>
      <c r="Z99" s="887"/>
      <c r="AA99" s="887"/>
      <c r="AB99" s="887"/>
      <c r="AC99" s="890">
        <f t="shared" si="58"/>
        <v>0</v>
      </c>
      <c r="AD99" s="887"/>
      <c r="AE99" s="887"/>
      <c r="AF99" s="887"/>
      <c r="AG99" s="887"/>
      <c r="AH99" s="887"/>
      <c r="AI99" s="887"/>
      <c r="AJ99" s="887"/>
      <c r="AK99" s="888" t="str">
        <f t="shared" si="59"/>
        <v/>
      </c>
      <c r="AL99" s="887"/>
      <c r="AM99" s="887"/>
      <c r="AN99" s="887"/>
      <c r="AO99" s="887"/>
      <c r="AP99" s="887"/>
      <c r="AQ99" s="887"/>
      <c r="AR99" s="887"/>
      <c r="AS99" s="891">
        <f t="shared" si="60"/>
        <v>0</v>
      </c>
      <c r="AT99" s="887"/>
      <c r="AU99" s="887"/>
      <c r="AV99" s="887"/>
      <c r="AW99" s="887"/>
      <c r="AX99" s="887"/>
      <c r="AY99" s="887"/>
      <c r="AZ99" s="887"/>
      <c r="BA99" s="889">
        <f t="shared" si="61"/>
        <v>0</v>
      </c>
      <c r="BB99" s="887"/>
      <c r="BC99" s="887"/>
      <c r="BD99" s="887"/>
      <c r="BE99" s="887"/>
      <c r="BF99" s="887"/>
      <c r="BG99" s="887"/>
      <c r="BH99" s="887"/>
      <c r="BI99" s="890">
        <f t="shared" si="62"/>
        <v>0</v>
      </c>
      <c r="BJ99" s="887"/>
      <c r="BK99" s="887"/>
      <c r="BL99" s="887"/>
      <c r="BM99" s="887"/>
      <c r="BN99" s="887"/>
      <c r="BO99" s="887"/>
      <c r="BP99" s="887"/>
      <c r="BQ99" s="888" t="str">
        <f t="shared" si="63"/>
        <v/>
      </c>
      <c r="BR99" s="892" t="str">
        <f t="shared" si="64"/>
        <v/>
      </c>
      <c r="BS99" s="892" t="str">
        <f t="shared" si="65"/>
        <v/>
      </c>
      <c r="BT99" s="892" t="str">
        <f t="shared" si="66"/>
        <v/>
      </c>
      <c r="BU99" s="892" t="str">
        <f t="shared" si="67"/>
        <v/>
      </c>
      <c r="BV99" s="892" t="str">
        <f t="shared" si="68"/>
        <v/>
      </c>
      <c r="BW99" s="892" t="str">
        <f t="shared" si="69"/>
        <v/>
      </c>
      <c r="BX99" s="892" t="str">
        <f t="shared" si="70"/>
        <v/>
      </c>
      <c r="BY99" s="892" t="str">
        <f t="shared" si="71"/>
        <v/>
      </c>
      <c r="BZ99" s="892" t="str">
        <f t="shared" si="72"/>
        <v/>
      </c>
      <c r="CA99" s="892" t="str">
        <f t="shared" si="73"/>
        <v/>
      </c>
      <c r="CB99" s="892" t="str">
        <f t="shared" si="74"/>
        <v/>
      </c>
      <c r="CC99" s="892" t="str">
        <f t="shared" si="75"/>
        <v/>
      </c>
      <c r="CD99" s="892" t="str">
        <f t="shared" si="76"/>
        <v/>
      </c>
      <c r="CE99" s="892" t="str">
        <f t="shared" si="77"/>
        <v/>
      </c>
      <c r="CF99" s="892" t="str">
        <f t="shared" si="78"/>
        <v/>
      </c>
      <c r="CG99" s="892" t="str">
        <f t="shared" si="79"/>
        <v/>
      </c>
      <c r="CH99" s="891" t="str">
        <f>IFERROR(IF($B99&gt;0,PASHEET!AL99+PASHEET!AT99+MARKS!F99+MARKS!N99+MARKS!V99+MARKS!AD99+MARKS!AL99+MARKS!AT99+MARKS!BB99+MARKS!BJ99,""),"Ab")</f>
        <v/>
      </c>
      <c r="CI99" s="891" t="str">
        <f>IFERROR(IF($B99&gt;0,PASHEET!AM99+PASHEET!AU99+MARKS!G99+MARKS!O99+MARKS!W99+MARKS!AE99+MARKS!AM99+MARKS!AU99+MARKS!BC99+MARKS!BK99,""),"Ab")</f>
        <v/>
      </c>
      <c r="CJ99" s="891" t="str">
        <f>IFERROR(IF($B99&gt;0,PASHEET!AN99+PASHEET!AV99+MARKS!H99+MARKS!P99+MARKS!X99+MARKS!AF99+MARKS!AN99+MARKS!AV99+MARKS!BD99+MARKS!BL99,""),"Ab")</f>
        <v/>
      </c>
      <c r="CK99" s="891" t="str">
        <f>IFERROR(IF($B99&gt;0,PASHEET!AO99+PASHEET!AW99+MARKS!I99+MARKS!Q99+MARKS!Y99+MARKS!AG99+MARKS!AO99+MARKS!AW99+MARKS!BE99+MARKS!BM99,""),"Ab")</f>
        <v/>
      </c>
      <c r="CL99" s="891" t="str">
        <f>IFERROR(IF($B99&gt;0,PASHEET!AP99+PASHEET!AX99+MARKS!J99+MARKS!R99+MARKS!Z99+MARKS!AH99+MARKS!AP99+MARKS!AX99+MARKS!BF99+MARKS!BN99,""),"Ab")</f>
        <v/>
      </c>
      <c r="CM99" s="891" t="str">
        <f>IFERROR(IF($B99&gt;0,PASHEET!AQ99+PASHEET!AY99+MARKS!K99+MARKS!S99+MARKS!AA99+MARKS!AI99+MARKS!AQ99+MARKS!AY99+MARKS!BG99+MARKS!BO99,""),"Ab")</f>
        <v/>
      </c>
      <c r="CN99" s="891" t="str">
        <f>IFERROR(IF($B99&gt;0,PASHEET!AR99+PASHEET!AZ99+MARKS!L99+MARKS!T99+MARKS!AB99+MARKS!AJ99+MARKS!AR99+MARKS!AZ99+MARKS!BH99+MARKS!BP99,""),"Ab")</f>
        <v/>
      </c>
      <c r="CO99" s="891" t="str">
        <f t="shared" si="80"/>
        <v/>
      </c>
      <c r="CP99" s="893" t="str">
        <f t="shared" si="81"/>
        <v/>
      </c>
      <c r="CQ99" s="893" t="str">
        <f t="shared" si="82"/>
        <v/>
      </c>
      <c r="CR99" s="893" t="str">
        <f t="shared" si="83"/>
        <v/>
      </c>
      <c r="CS99" s="893" t="str">
        <f t="shared" si="84"/>
        <v/>
      </c>
      <c r="CT99" s="893" t="str">
        <f t="shared" si="85"/>
        <v/>
      </c>
      <c r="CU99" s="893" t="str">
        <f t="shared" si="86"/>
        <v/>
      </c>
      <c r="CV99" s="893" t="str">
        <f t="shared" si="87"/>
        <v/>
      </c>
      <c r="CW99" s="893" t="str">
        <f t="shared" si="88"/>
        <v/>
      </c>
      <c r="CX99" s="894" t="str">
        <f>IFERROR(IF($B99&gt;0,PASHEET!AL99+MARKS!F99+MARKS!N99+MARKS!V99+MARKS!AD99,""),"Ab")</f>
        <v/>
      </c>
      <c r="CY99" s="894" t="str">
        <f>IFERROR(IF($B99&gt;0,PASHEET!AM99+MARKS!G99+MARKS!O99+MARKS!W99+MARKS!AE99,""),"Ab")</f>
        <v/>
      </c>
      <c r="CZ99" s="894" t="str">
        <f>IFERROR(IF($B99&gt;0,PASHEET!AN99+MARKS!H99+MARKS!P99+MARKS!X99+MARKS!AF99,""),"Ab")</f>
        <v/>
      </c>
      <c r="DA99" s="894" t="str">
        <f>IFERROR(IF($B99&gt;0,PASHEET!AO99+MARKS!I99+MARKS!Q99+MARKS!Y99+MARKS!AG99,""),"Ab")</f>
        <v/>
      </c>
      <c r="DB99" s="894" t="str">
        <f>IFERROR(IF($B99&gt;0,PASHEET!AP99+MARKS!J99+MARKS!R99+MARKS!Z99+MARKS!AH99,""),"Ab")</f>
        <v/>
      </c>
      <c r="DC99" s="894" t="str">
        <f>IFERROR(IF($B99&gt;0,PASHEET!AQ99+MARKS!K99+MARKS!S99+MARKS!AA99+MARKS!AI99,""),"Ab")</f>
        <v/>
      </c>
      <c r="DD99" s="894" t="str">
        <f>IFERROR(IF($B99&gt;0,PASHEET!AR99+MARKS!L99+MARKS!T99+MARKS!AB99+MARKS!AJ99,""),"Ab")</f>
        <v/>
      </c>
      <c r="DE99" s="879" t="str">
        <f t="shared" si="89"/>
        <v/>
      </c>
      <c r="DF99" s="894" t="str">
        <f t="shared" si="90"/>
        <v/>
      </c>
      <c r="DG99" s="894" t="str">
        <f t="shared" si="91"/>
        <v/>
      </c>
      <c r="DH99" s="894" t="str">
        <f t="shared" si="92"/>
        <v/>
      </c>
      <c r="DI99" s="894" t="str">
        <f t="shared" si="93"/>
        <v/>
      </c>
      <c r="DJ99" s="894" t="str">
        <f t="shared" si="94"/>
        <v/>
      </c>
      <c r="DK99" s="894" t="str">
        <f t="shared" si="95"/>
        <v/>
      </c>
      <c r="DL99" s="894" t="str">
        <f t="shared" si="96"/>
        <v/>
      </c>
      <c r="DM99" s="894" t="str">
        <f t="shared" si="97"/>
        <v/>
      </c>
      <c r="DN99" s="894" t="str">
        <f>IFERROR(IF($B99&gt;0,PASHEET!AT99+MARKS!AL99+MARKS!AT99+MARKS!BB99+MARKS!BJ99,""),"Ab")</f>
        <v/>
      </c>
      <c r="DO99" s="894" t="str">
        <f>IFERROR(IF($B99&gt;0,PASHEET!AU99+MARKS!AM99+MARKS!AU99+MARKS!BC99+MARKS!BK99,""),"Ab")</f>
        <v/>
      </c>
      <c r="DP99" s="894" t="str">
        <f>IFERROR(IF($B99&gt;0,PASHEET!AV99+MARKS!AN99+MARKS!AV99+MARKS!BD99+MARKS!BL99,""),"Ab")</f>
        <v/>
      </c>
      <c r="DQ99" s="894" t="str">
        <f>IFERROR(IF($B99&gt;0,PASHEET!AW99+MARKS!AO99+MARKS!AW99+MARKS!BE99+MARKS!BM99,""),"Ab")</f>
        <v/>
      </c>
      <c r="DR99" s="894" t="str">
        <f>IFERROR(IF($B99&gt;0,PASHEET!AX99+MARKS!AP99+MARKS!AX99+MARKS!BF99+MARKS!BN99,""),"Ab")</f>
        <v/>
      </c>
      <c r="DS99" s="894" t="str">
        <f>IFERROR(IF($B99&gt;0,PASHEET!AY99+MARKS!AQ99+MARKS!AY99+MARKS!BG99+MARKS!BO99,""),"Ab")</f>
        <v/>
      </c>
      <c r="DT99" s="894" t="str">
        <f>IFERROR(IF($B99&gt;0,PASHEET!AZ99+MARKS!AR99+MARKS!AZ99+MARKS!BH99+MARKS!BP99,""),"Ab")</f>
        <v/>
      </c>
      <c r="DU99" s="879" t="str">
        <f t="shared" si="98"/>
        <v/>
      </c>
      <c r="DV99" s="894" t="str">
        <f t="shared" si="99"/>
        <v/>
      </c>
      <c r="DW99" s="894" t="str">
        <f t="shared" si="100"/>
        <v/>
      </c>
      <c r="DX99" s="894" t="str">
        <f t="shared" si="101"/>
        <v/>
      </c>
      <c r="DY99" s="894" t="str">
        <f t="shared" si="102"/>
        <v/>
      </c>
      <c r="DZ99" s="894" t="str">
        <f t="shared" si="103"/>
        <v/>
      </c>
      <c r="EA99" s="894" t="str">
        <f t="shared" si="104"/>
        <v/>
      </c>
      <c r="EB99" s="894" t="str">
        <f t="shared" si="105"/>
        <v/>
      </c>
      <c r="EC99" s="894" t="str">
        <f t="shared" si="106"/>
        <v/>
      </c>
    </row>
    <row r="100" spans="1:133">
      <c r="A100" s="879">
        <v>97</v>
      </c>
      <c r="B100" s="879">
        <f>STUDENT!F98</f>
        <v>0</v>
      </c>
      <c r="C100" s="879">
        <f>STUDENT!D98</f>
        <v>0</v>
      </c>
      <c r="D100" s="886">
        <f>STUDENT!E98</f>
        <v>0</v>
      </c>
      <c r="E100" s="886">
        <f>STUDENT!H98</f>
        <v>0</v>
      </c>
      <c r="F100" s="887"/>
      <c r="G100" s="887"/>
      <c r="H100" s="887"/>
      <c r="I100" s="887"/>
      <c r="J100" s="887"/>
      <c r="K100" s="887"/>
      <c r="L100" s="887"/>
      <c r="M100" s="888">
        <f t="shared" si="56"/>
        <v>0</v>
      </c>
      <c r="N100" s="887"/>
      <c r="O100" s="887"/>
      <c r="P100" s="887"/>
      <c r="Q100" s="887"/>
      <c r="R100" s="887"/>
      <c r="S100" s="887"/>
      <c r="T100" s="887"/>
      <c r="U100" s="889">
        <f t="shared" si="57"/>
        <v>0</v>
      </c>
      <c r="V100" s="887"/>
      <c r="W100" s="887"/>
      <c r="X100" s="887"/>
      <c r="Y100" s="887"/>
      <c r="Z100" s="887"/>
      <c r="AA100" s="887"/>
      <c r="AB100" s="887"/>
      <c r="AC100" s="890">
        <f t="shared" si="58"/>
        <v>0</v>
      </c>
      <c r="AD100" s="887"/>
      <c r="AE100" s="887"/>
      <c r="AF100" s="887"/>
      <c r="AG100" s="887"/>
      <c r="AH100" s="887"/>
      <c r="AI100" s="887"/>
      <c r="AJ100" s="887"/>
      <c r="AK100" s="888" t="str">
        <f t="shared" si="59"/>
        <v/>
      </c>
      <c r="AL100" s="887"/>
      <c r="AM100" s="887"/>
      <c r="AN100" s="887"/>
      <c r="AO100" s="887"/>
      <c r="AP100" s="887"/>
      <c r="AQ100" s="887"/>
      <c r="AR100" s="887"/>
      <c r="AS100" s="891">
        <f t="shared" si="60"/>
        <v>0</v>
      </c>
      <c r="AT100" s="887"/>
      <c r="AU100" s="887"/>
      <c r="AV100" s="887"/>
      <c r="AW100" s="887"/>
      <c r="AX100" s="887"/>
      <c r="AY100" s="887"/>
      <c r="AZ100" s="887"/>
      <c r="BA100" s="889">
        <f t="shared" si="61"/>
        <v>0</v>
      </c>
      <c r="BB100" s="887"/>
      <c r="BC100" s="887"/>
      <c r="BD100" s="887"/>
      <c r="BE100" s="887"/>
      <c r="BF100" s="887"/>
      <c r="BG100" s="887"/>
      <c r="BH100" s="887"/>
      <c r="BI100" s="890">
        <f t="shared" si="62"/>
        <v>0</v>
      </c>
      <c r="BJ100" s="887"/>
      <c r="BK100" s="887"/>
      <c r="BL100" s="887"/>
      <c r="BM100" s="887"/>
      <c r="BN100" s="887"/>
      <c r="BO100" s="887"/>
      <c r="BP100" s="887"/>
      <c r="BQ100" s="888" t="str">
        <f t="shared" si="63"/>
        <v/>
      </c>
      <c r="BR100" s="892" t="str">
        <f t="shared" si="64"/>
        <v/>
      </c>
      <c r="BS100" s="892" t="str">
        <f t="shared" si="65"/>
        <v/>
      </c>
      <c r="BT100" s="892" t="str">
        <f t="shared" si="66"/>
        <v/>
      </c>
      <c r="BU100" s="892" t="str">
        <f t="shared" si="67"/>
        <v/>
      </c>
      <c r="BV100" s="892" t="str">
        <f t="shared" si="68"/>
        <v/>
      </c>
      <c r="BW100" s="892" t="str">
        <f t="shared" si="69"/>
        <v/>
      </c>
      <c r="BX100" s="892" t="str">
        <f t="shared" si="70"/>
        <v/>
      </c>
      <c r="BY100" s="892" t="str">
        <f t="shared" si="71"/>
        <v/>
      </c>
      <c r="BZ100" s="892" t="str">
        <f t="shared" si="72"/>
        <v/>
      </c>
      <c r="CA100" s="892" t="str">
        <f t="shared" si="73"/>
        <v/>
      </c>
      <c r="CB100" s="892" t="str">
        <f t="shared" si="74"/>
        <v/>
      </c>
      <c r="CC100" s="892" t="str">
        <f t="shared" si="75"/>
        <v/>
      </c>
      <c r="CD100" s="892" t="str">
        <f t="shared" si="76"/>
        <v/>
      </c>
      <c r="CE100" s="892" t="str">
        <f t="shared" si="77"/>
        <v/>
      </c>
      <c r="CF100" s="892" t="str">
        <f t="shared" si="78"/>
        <v/>
      </c>
      <c r="CG100" s="892" t="str">
        <f t="shared" si="79"/>
        <v/>
      </c>
      <c r="CH100" s="891" t="str">
        <f>IFERROR(IF($B100&gt;0,PASHEET!AL100+PASHEET!AT100+MARKS!F100+MARKS!N100+MARKS!V100+MARKS!AD100+MARKS!AL100+MARKS!AT100+MARKS!BB100+MARKS!BJ100,""),"Ab")</f>
        <v/>
      </c>
      <c r="CI100" s="891" t="str">
        <f>IFERROR(IF($B100&gt;0,PASHEET!AM100+PASHEET!AU100+MARKS!G100+MARKS!O100+MARKS!W100+MARKS!AE100+MARKS!AM100+MARKS!AU100+MARKS!BC100+MARKS!BK100,""),"Ab")</f>
        <v/>
      </c>
      <c r="CJ100" s="891" t="str">
        <f>IFERROR(IF($B100&gt;0,PASHEET!AN100+PASHEET!AV100+MARKS!H100+MARKS!P100+MARKS!X100+MARKS!AF100+MARKS!AN100+MARKS!AV100+MARKS!BD100+MARKS!BL100,""),"Ab")</f>
        <v/>
      </c>
      <c r="CK100" s="891" t="str">
        <f>IFERROR(IF($B100&gt;0,PASHEET!AO100+PASHEET!AW100+MARKS!I100+MARKS!Q100+MARKS!Y100+MARKS!AG100+MARKS!AO100+MARKS!AW100+MARKS!BE100+MARKS!BM100,""),"Ab")</f>
        <v/>
      </c>
      <c r="CL100" s="891" t="str">
        <f>IFERROR(IF($B100&gt;0,PASHEET!AP100+PASHEET!AX100+MARKS!J100+MARKS!R100+MARKS!Z100+MARKS!AH100+MARKS!AP100+MARKS!AX100+MARKS!BF100+MARKS!BN100,""),"Ab")</f>
        <v/>
      </c>
      <c r="CM100" s="891" t="str">
        <f>IFERROR(IF($B100&gt;0,PASHEET!AQ100+PASHEET!AY100+MARKS!K100+MARKS!S100+MARKS!AA100+MARKS!AI100+MARKS!AQ100+MARKS!AY100+MARKS!BG100+MARKS!BO100,""),"Ab")</f>
        <v/>
      </c>
      <c r="CN100" s="891" t="str">
        <f>IFERROR(IF($B100&gt;0,PASHEET!AR100+PASHEET!AZ100+MARKS!L100+MARKS!T100+MARKS!AB100+MARKS!AJ100+MARKS!AR100+MARKS!AZ100+MARKS!BH100+MARKS!BP100,""),"Ab")</f>
        <v/>
      </c>
      <c r="CO100" s="891" t="str">
        <f t="shared" si="80"/>
        <v/>
      </c>
      <c r="CP100" s="893" t="str">
        <f t="shared" si="81"/>
        <v/>
      </c>
      <c r="CQ100" s="893" t="str">
        <f t="shared" si="82"/>
        <v/>
      </c>
      <c r="CR100" s="893" t="str">
        <f t="shared" si="83"/>
        <v/>
      </c>
      <c r="CS100" s="893" t="str">
        <f t="shared" si="84"/>
        <v/>
      </c>
      <c r="CT100" s="893" t="str">
        <f t="shared" si="85"/>
        <v/>
      </c>
      <c r="CU100" s="893" t="str">
        <f t="shared" si="86"/>
        <v/>
      </c>
      <c r="CV100" s="893" t="str">
        <f t="shared" si="87"/>
        <v/>
      </c>
      <c r="CW100" s="893" t="str">
        <f t="shared" si="88"/>
        <v/>
      </c>
      <c r="CX100" s="894" t="str">
        <f>IFERROR(IF($B100&gt;0,PASHEET!AL100+MARKS!F100+MARKS!N100+MARKS!V100+MARKS!AD100,""),"Ab")</f>
        <v/>
      </c>
      <c r="CY100" s="894" t="str">
        <f>IFERROR(IF($B100&gt;0,PASHEET!AM100+MARKS!G100+MARKS!O100+MARKS!W100+MARKS!AE100,""),"Ab")</f>
        <v/>
      </c>
      <c r="CZ100" s="894" t="str">
        <f>IFERROR(IF($B100&gt;0,PASHEET!AN100+MARKS!H100+MARKS!P100+MARKS!X100+MARKS!AF100,""),"Ab")</f>
        <v/>
      </c>
      <c r="DA100" s="894" t="str">
        <f>IFERROR(IF($B100&gt;0,PASHEET!AO100+MARKS!I100+MARKS!Q100+MARKS!Y100+MARKS!AG100,""),"Ab")</f>
        <v/>
      </c>
      <c r="DB100" s="894" t="str">
        <f>IFERROR(IF($B100&gt;0,PASHEET!AP100+MARKS!J100+MARKS!R100+MARKS!Z100+MARKS!AH100,""),"Ab")</f>
        <v/>
      </c>
      <c r="DC100" s="894" t="str">
        <f>IFERROR(IF($B100&gt;0,PASHEET!AQ100+MARKS!K100+MARKS!S100+MARKS!AA100+MARKS!AI100,""),"Ab")</f>
        <v/>
      </c>
      <c r="DD100" s="894" t="str">
        <f>IFERROR(IF($B100&gt;0,PASHEET!AR100+MARKS!L100+MARKS!T100+MARKS!AB100+MARKS!AJ100,""),"Ab")</f>
        <v/>
      </c>
      <c r="DE100" s="879" t="str">
        <f t="shared" si="89"/>
        <v/>
      </c>
      <c r="DF100" s="894" t="str">
        <f t="shared" si="90"/>
        <v/>
      </c>
      <c r="DG100" s="894" t="str">
        <f t="shared" si="91"/>
        <v/>
      </c>
      <c r="DH100" s="894" t="str">
        <f t="shared" si="92"/>
        <v/>
      </c>
      <c r="DI100" s="894" t="str">
        <f t="shared" si="93"/>
        <v/>
      </c>
      <c r="DJ100" s="894" t="str">
        <f t="shared" si="94"/>
        <v/>
      </c>
      <c r="DK100" s="894" t="str">
        <f t="shared" si="95"/>
        <v/>
      </c>
      <c r="DL100" s="894" t="str">
        <f t="shared" si="96"/>
        <v/>
      </c>
      <c r="DM100" s="894" t="str">
        <f t="shared" si="97"/>
        <v/>
      </c>
      <c r="DN100" s="894" t="str">
        <f>IFERROR(IF($B100&gt;0,PASHEET!AT100+MARKS!AL100+MARKS!AT100+MARKS!BB100+MARKS!BJ100,""),"Ab")</f>
        <v/>
      </c>
      <c r="DO100" s="894" t="str">
        <f>IFERROR(IF($B100&gt;0,PASHEET!AU100+MARKS!AM100+MARKS!AU100+MARKS!BC100+MARKS!BK100,""),"Ab")</f>
        <v/>
      </c>
      <c r="DP100" s="894" t="str">
        <f>IFERROR(IF($B100&gt;0,PASHEET!AV100+MARKS!AN100+MARKS!AV100+MARKS!BD100+MARKS!BL100,""),"Ab")</f>
        <v/>
      </c>
      <c r="DQ100" s="894" t="str">
        <f>IFERROR(IF($B100&gt;0,PASHEET!AW100+MARKS!AO100+MARKS!AW100+MARKS!BE100+MARKS!BM100,""),"Ab")</f>
        <v/>
      </c>
      <c r="DR100" s="894" t="str">
        <f>IFERROR(IF($B100&gt;0,PASHEET!AX100+MARKS!AP100+MARKS!AX100+MARKS!BF100+MARKS!BN100,""),"Ab")</f>
        <v/>
      </c>
      <c r="DS100" s="894" t="str">
        <f>IFERROR(IF($B100&gt;0,PASHEET!AY100+MARKS!AQ100+MARKS!AY100+MARKS!BG100+MARKS!BO100,""),"Ab")</f>
        <v/>
      </c>
      <c r="DT100" s="894" t="str">
        <f>IFERROR(IF($B100&gt;0,PASHEET!AZ100+MARKS!AR100+MARKS!AZ100+MARKS!BH100+MARKS!BP100,""),"Ab")</f>
        <v/>
      </c>
      <c r="DU100" s="879" t="str">
        <f t="shared" si="98"/>
        <v/>
      </c>
      <c r="DV100" s="894" t="str">
        <f t="shared" si="99"/>
        <v/>
      </c>
      <c r="DW100" s="894" t="str">
        <f t="shared" si="100"/>
        <v/>
      </c>
      <c r="DX100" s="894" t="str">
        <f t="shared" si="101"/>
        <v/>
      </c>
      <c r="DY100" s="894" t="str">
        <f t="shared" si="102"/>
        <v/>
      </c>
      <c r="DZ100" s="894" t="str">
        <f t="shared" si="103"/>
        <v/>
      </c>
      <c r="EA100" s="894" t="str">
        <f t="shared" si="104"/>
        <v/>
      </c>
      <c r="EB100" s="894" t="str">
        <f t="shared" si="105"/>
        <v/>
      </c>
      <c r="EC100" s="894" t="str">
        <f t="shared" si="106"/>
        <v/>
      </c>
    </row>
    <row r="101" spans="1:133">
      <c r="A101" s="879">
        <v>98</v>
      </c>
      <c r="B101" s="879">
        <f>STUDENT!F99</f>
        <v>0</v>
      </c>
      <c r="C101" s="879">
        <f>STUDENT!D99</f>
        <v>0</v>
      </c>
      <c r="D101" s="886">
        <f>STUDENT!E99</f>
        <v>0</v>
      </c>
      <c r="E101" s="886">
        <f>STUDENT!H99</f>
        <v>0</v>
      </c>
      <c r="F101" s="887"/>
      <c r="G101" s="887"/>
      <c r="H101" s="887"/>
      <c r="I101" s="887"/>
      <c r="J101" s="887"/>
      <c r="K101" s="887"/>
      <c r="L101" s="887"/>
      <c r="M101" s="888">
        <f t="shared" si="56"/>
        <v>0</v>
      </c>
      <c r="N101" s="887"/>
      <c r="O101" s="887"/>
      <c r="P101" s="887"/>
      <c r="Q101" s="887"/>
      <c r="R101" s="887"/>
      <c r="S101" s="887"/>
      <c r="T101" s="887"/>
      <c r="U101" s="889">
        <f t="shared" si="57"/>
        <v>0</v>
      </c>
      <c r="V101" s="887"/>
      <c r="W101" s="887"/>
      <c r="X101" s="887"/>
      <c r="Y101" s="887"/>
      <c r="Z101" s="887"/>
      <c r="AA101" s="887"/>
      <c r="AB101" s="887"/>
      <c r="AC101" s="890">
        <f t="shared" si="58"/>
        <v>0</v>
      </c>
      <c r="AD101" s="887"/>
      <c r="AE101" s="887"/>
      <c r="AF101" s="887"/>
      <c r="AG101" s="887"/>
      <c r="AH101" s="887"/>
      <c r="AI101" s="887"/>
      <c r="AJ101" s="887"/>
      <c r="AK101" s="888" t="str">
        <f t="shared" si="59"/>
        <v/>
      </c>
      <c r="AL101" s="887"/>
      <c r="AM101" s="887"/>
      <c r="AN101" s="887"/>
      <c r="AO101" s="887"/>
      <c r="AP101" s="887"/>
      <c r="AQ101" s="887"/>
      <c r="AR101" s="887"/>
      <c r="AS101" s="891">
        <f t="shared" si="60"/>
        <v>0</v>
      </c>
      <c r="AT101" s="887"/>
      <c r="AU101" s="887"/>
      <c r="AV101" s="887"/>
      <c r="AW101" s="887"/>
      <c r="AX101" s="887"/>
      <c r="AY101" s="887"/>
      <c r="AZ101" s="887"/>
      <c r="BA101" s="889">
        <f t="shared" si="61"/>
        <v>0</v>
      </c>
      <c r="BB101" s="887"/>
      <c r="BC101" s="887"/>
      <c r="BD101" s="887"/>
      <c r="BE101" s="887"/>
      <c r="BF101" s="887"/>
      <c r="BG101" s="887"/>
      <c r="BH101" s="887"/>
      <c r="BI101" s="890">
        <f t="shared" si="62"/>
        <v>0</v>
      </c>
      <c r="BJ101" s="887"/>
      <c r="BK101" s="887"/>
      <c r="BL101" s="887"/>
      <c r="BM101" s="887"/>
      <c r="BN101" s="887"/>
      <c r="BO101" s="887"/>
      <c r="BP101" s="887"/>
      <c r="BQ101" s="888" t="str">
        <f t="shared" si="63"/>
        <v/>
      </c>
      <c r="BR101" s="892" t="str">
        <f t="shared" si="64"/>
        <v/>
      </c>
      <c r="BS101" s="892" t="str">
        <f t="shared" si="65"/>
        <v/>
      </c>
      <c r="BT101" s="892" t="str">
        <f t="shared" si="66"/>
        <v/>
      </c>
      <c r="BU101" s="892" t="str">
        <f t="shared" si="67"/>
        <v/>
      </c>
      <c r="BV101" s="892" t="str">
        <f t="shared" si="68"/>
        <v/>
      </c>
      <c r="BW101" s="892" t="str">
        <f t="shared" si="69"/>
        <v/>
      </c>
      <c r="BX101" s="892" t="str">
        <f t="shared" si="70"/>
        <v/>
      </c>
      <c r="BY101" s="892" t="str">
        <f t="shared" si="71"/>
        <v/>
      </c>
      <c r="BZ101" s="892" t="str">
        <f t="shared" si="72"/>
        <v/>
      </c>
      <c r="CA101" s="892" t="str">
        <f t="shared" si="73"/>
        <v/>
      </c>
      <c r="CB101" s="892" t="str">
        <f t="shared" si="74"/>
        <v/>
      </c>
      <c r="CC101" s="892" t="str">
        <f t="shared" si="75"/>
        <v/>
      </c>
      <c r="CD101" s="892" t="str">
        <f t="shared" si="76"/>
        <v/>
      </c>
      <c r="CE101" s="892" t="str">
        <f t="shared" si="77"/>
        <v/>
      </c>
      <c r="CF101" s="892" t="str">
        <f t="shared" si="78"/>
        <v/>
      </c>
      <c r="CG101" s="892" t="str">
        <f t="shared" si="79"/>
        <v/>
      </c>
      <c r="CH101" s="891" t="str">
        <f>IFERROR(IF($B101&gt;0,PASHEET!AL101+PASHEET!AT101+MARKS!F101+MARKS!N101+MARKS!V101+MARKS!AD101+MARKS!AL101+MARKS!AT101+MARKS!BB101+MARKS!BJ101,""),"Ab")</f>
        <v/>
      </c>
      <c r="CI101" s="891" t="str">
        <f>IFERROR(IF($B101&gt;0,PASHEET!AM101+PASHEET!AU101+MARKS!G101+MARKS!O101+MARKS!W101+MARKS!AE101+MARKS!AM101+MARKS!AU101+MARKS!BC101+MARKS!BK101,""),"Ab")</f>
        <v/>
      </c>
      <c r="CJ101" s="891" t="str">
        <f>IFERROR(IF($B101&gt;0,PASHEET!AN101+PASHEET!AV101+MARKS!H101+MARKS!P101+MARKS!X101+MARKS!AF101+MARKS!AN101+MARKS!AV101+MARKS!BD101+MARKS!BL101,""),"Ab")</f>
        <v/>
      </c>
      <c r="CK101" s="891" t="str">
        <f>IFERROR(IF($B101&gt;0,PASHEET!AO101+PASHEET!AW101+MARKS!I101+MARKS!Q101+MARKS!Y101+MARKS!AG101+MARKS!AO101+MARKS!AW101+MARKS!BE101+MARKS!BM101,""),"Ab")</f>
        <v/>
      </c>
      <c r="CL101" s="891" t="str">
        <f>IFERROR(IF($B101&gt;0,PASHEET!AP101+PASHEET!AX101+MARKS!J101+MARKS!R101+MARKS!Z101+MARKS!AH101+MARKS!AP101+MARKS!AX101+MARKS!BF101+MARKS!BN101,""),"Ab")</f>
        <v/>
      </c>
      <c r="CM101" s="891" t="str">
        <f>IFERROR(IF($B101&gt;0,PASHEET!AQ101+PASHEET!AY101+MARKS!K101+MARKS!S101+MARKS!AA101+MARKS!AI101+MARKS!AQ101+MARKS!AY101+MARKS!BG101+MARKS!BO101,""),"Ab")</f>
        <v/>
      </c>
      <c r="CN101" s="891" t="str">
        <f>IFERROR(IF($B101&gt;0,PASHEET!AR101+PASHEET!AZ101+MARKS!L101+MARKS!T101+MARKS!AB101+MARKS!AJ101+MARKS!AR101+MARKS!AZ101+MARKS!BH101+MARKS!BP101,""),"Ab")</f>
        <v/>
      </c>
      <c r="CO101" s="891" t="str">
        <f t="shared" si="80"/>
        <v/>
      </c>
      <c r="CP101" s="893" t="str">
        <f t="shared" si="81"/>
        <v/>
      </c>
      <c r="CQ101" s="893" t="str">
        <f t="shared" si="82"/>
        <v/>
      </c>
      <c r="CR101" s="893" t="str">
        <f t="shared" si="83"/>
        <v/>
      </c>
      <c r="CS101" s="893" t="str">
        <f t="shared" si="84"/>
        <v/>
      </c>
      <c r="CT101" s="893" t="str">
        <f t="shared" si="85"/>
        <v/>
      </c>
      <c r="CU101" s="893" t="str">
        <f t="shared" si="86"/>
        <v/>
      </c>
      <c r="CV101" s="893" t="str">
        <f t="shared" si="87"/>
        <v/>
      </c>
      <c r="CW101" s="893" t="str">
        <f t="shared" si="88"/>
        <v/>
      </c>
      <c r="CX101" s="894" t="str">
        <f>IFERROR(IF($B101&gt;0,PASHEET!AL101+MARKS!F101+MARKS!N101+MARKS!V101+MARKS!AD101,""),"Ab")</f>
        <v/>
      </c>
      <c r="CY101" s="894" t="str">
        <f>IFERROR(IF($B101&gt;0,PASHEET!AM101+MARKS!G101+MARKS!O101+MARKS!W101+MARKS!AE101,""),"Ab")</f>
        <v/>
      </c>
      <c r="CZ101" s="894" t="str">
        <f>IFERROR(IF($B101&gt;0,PASHEET!AN101+MARKS!H101+MARKS!P101+MARKS!X101+MARKS!AF101,""),"Ab")</f>
        <v/>
      </c>
      <c r="DA101" s="894" t="str">
        <f>IFERROR(IF($B101&gt;0,PASHEET!AO101+MARKS!I101+MARKS!Q101+MARKS!Y101+MARKS!AG101,""),"Ab")</f>
        <v/>
      </c>
      <c r="DB101" s="894" t="str">
        <f>IFERROR(IF($B101&gt;0,PASHEET!AP101+MARKS!J101+MARKS!R101+MARKS!Z101+MARKS!AH101,""),"Ab")</f>
        <v/>
      </c>
      <c r="DC101" s="894" t="str">
        <f>IFERROR(IF($B101&gt;0,PASHEET!AQ101+MARKS!K101+MARKS!S101+MARKS!AA101+MARKS!AI101,""),"Ab")</f>
        <v/>
      </c>
      <c r="DD101" s="894" t="str">
        <f>IFERROR(IF($B101&gt;0,PASHEET!AR101+MARKS!L101+MARKS!T101+MARKS!AB101+MARKS!AJ101,""),"Ab")</f>
        <v/>
      </c>
      <c r="DE101" s="879" t="str">
        <f t="shared" si="89"/>
        <v/>
      </c>
      <c r="DF101" s="894" t="str">
        <f t="shared" si="90"/>
        <v/>
      </c>
      <c r="DG101" s="894" t="str">
        <f t="shared" si="91"/>
        <v/>
      </c>
      <c r="DH101" s="894" t="str">
        <f t="shared" si="92"/>
        <v/>
      </c>
      <c r="DI101" s="894" t="str">
        <f t="shared" si="93"/>
        <v/>
      </c>
      <c r="DJ101" s="894" t="str">
        <f t="shared" si="94"/>
        <v/>
      </c>
      <c r="DK101" s="894" t="str">
        <f t="shared" si="95"/>
        <v/>
      </c>
      <c r="DL101" s="894" t="str">
        <f t="shared" si="96"/>
        <v/>
      </c>
      <c r="DM101" s="894" t="str">
        <f t="shared" si="97"/>
        <v/>
      </c>
      <c r="DN101" s="894" t="str">
        <f>IFERROR(IF($B101&gt;0,PASHEET!AT101+MARKS!AL101+MARKS!AT101+MARKS!BB101+MARKS!BJ101,""),"Ab")</f>
        <v/>
      </c>
      <c r="DO101" s="894" t="str">
        <f>IFERROR(IF($B101&gt;0,PASHEET!AU101+MARKS!AM101+MARKS!AU101+MARKS!BC101+MARKS!BK101,""),"Ab")</f>
        <v/>
      </c>
      <c r="DP101" s="894" t="str">
        <f>IFERROR(IF($B101&gt;0,PASHEET!AV101+MARKS!AN101+MARKS!AV101+MARKS!BD101+MARKS!BL101,""),"Ab")</f>
        <v/>
      </c>
      <c r="DQ101" s="894" t="str">
        <f>IFERROR(IF($B101&gt;0,PASHEET!AW101+MARKS!AO101+MARKS!AW101+MARKS!BE101+MARKS!BM101,""),"Ab")</f>
        <v/>
      </c>
      <c r="DR101" s="894" t="str">
        <f>IFERROR(IF($B101&gt;0,PASHEET!AX101+MARKS!AP101+MARKS!AX101+MARKS!BF101+MARKS!BN101,""),"Ab")</f>
        <v/>
      </c>
      <c r="DS101" s="894" t="str">
        <f>IFERROR(IF($B101&gt;0,PASHEET!AY101+MARKS!AQ101+MARKS!AY101+MARKS!BG101+MARKS!BO101,""),"Ab")</f>
        <v/>
      </c>
      <c r="DT101" s="894" t="str">
        <f>IFERROR(IF($B101&gt;0,PASHEET!AZ101+MARKS!AR101+MARKS!AZ101+MARKS!BH101+MARKS!BP101,""),"Ab")</f>
        <v/>
      </c>
      <c r="DU101" s="879" t="str">
        <f t="shared" si="98"/>
        <v/>
      </c>
      <c r="DV101" s="894" t="str">
        <f t="shared" si="99"/>
        <v/>
      </c>
      <c r="DW101" s="894" t="str">
        <f t="shared" si="100"/>
        <v/>
      </c>
      <c r="DX101" s="894" t="str">
        <f t="shared" si="101"/>
        <v/>
      </c>
      <c r="DY101" s="894" t="str">
        <f t="shared" si="102"/>
        <v/>
      </c>
      <c r="DZ101" s="894" t="str">
        <f t="shared" si="103"/>
        <v/>
      </c>
      <c r="EA101" s="894" t="str">
        <f t="shared" si="104"/>
        <v/>
      </c>
      <c r="EB101" s="894" t="str">
        <f t="shared" si="105"/>
        <v/>
      </c>
      <c r="EC101" s="894" t="str">
        <f t="shared" si="106"/>
        <v/>
      </c>
    </row>
    <row r="102" spans="1:133">
      <c r="A102" s="879">
        <v>99</v>
      </c>
      <c r="B102" s="879">
        <f>STUDENT!F100</f>
        <v>0</v>
      </c>
      <c r="C102" s="879">
        <f>STUDENT!D100</f>
        <v>0</v>
      </c>
      <c r="D102" s="886">
        <f>STUDENT!E100</f>
        <v>0</v>
      </c>
      <c r="E102" s="886">
        <f>STUDENT!H100</f>
        <v>0</v>
      </c>
      <c r="F102" s="887"/>
      <c r="G102" s="887"/>
      <c r="H102" s="887"/>
      <c r="I102" s="887"/>
      <c r="J102" s="887"/>
      <c r="K102" s="887"/>
      <c r="L102" s="887"/>
      <c r="M102" s="888">
        <f t="shared" si="56"/>
        <v>0</v>
      </c>
      <c r="N102" s="887"/>
      <c r="O102" s="887"/>
      <c r="P102" s="887"/>
      <c r="Q102" s="887"/>
      <c r="R102" s="887"/>
      <c r="S102" s="887"/>
      <c r="T102" s="887"/>
      <c r="U102" s="889">
        <f t="shared" si="57"/>
        <v>0</v>
      </c>
      <c r="V102" s="887"/>
      <c r="W102" s="887"/>
      <c r="X102" s="887"/>
      <c r="Y102" s="887"/>
      <c r="Z102" s="887"/>
      <c r="AA102" s="887"/>
      <c r="AB102" s="887"/>
      <c r="AC102" s="890">
        <f t="shared" si="58"/>
        <v>0</v>
      </c>
      <c r="AD102" s="887"/>
      <c r="AE102" s="887"/>
      <c r="AF102" s="887"/>
      <c r="AG102" s="887"/>
      <c r="AH102" s="887"/>
      <c r="AI102" s="887"/>
      <c r="AJ102" s="887"/>
      <c r="AK102" s="888" t="str">
        <f t="shared" si="59"/>
        <v/>
      </c>
      <c r="AL102" s="887"/>
      <c r="AM102" s="887"/>
      <c r="AN102" s="887"/>
      <c r="AO102" s="887"/>
      <c r="AP102" s="887"/>
      <c r="AQ102" s="887"/>
      <c r="AR102" s="887"/>
      <c r="AS102" s="891">
        <f t="shared" si="60"/>
        <v>0</v>
      </c>
      <c r="AT102" s="887"/>
      <c r="AU102" s="887"/>
      <c r="AV102" s="887"/>
      <c r="AW102" s="887"/>
      <c r="AX102" s="887"/>
      <c r="AY102" s="887"/>
      <c r="AZ102" s="887"/>
      <c r="BA102" s="889">
        <f t="shared" si="61"/>
        <v>0</v>
      </c>
      <c r="BB102" s="887"/>
      <c r="BC102" s="887"/>
      <c r="BD102" s="887"/>
      <c r="BE102" s="887"/>
      <c r="BF102" s="887"/>
      <c r="BG102" s="887"/>
      <c r="BH102" s="887"/>
      <c r="BI102" s="890">
        <f t="shared" si="62"/>
        <v>0</v>
      </c>
      <c r="BJ102" s="887"/>
      <c r="BK102" s="887"/>
      <c r="BL102" s="887"/>
      <c r="BM102" s="887"/>
      <c r="BN102" s="887"/>
      <c r="BO102" s="887"/>
      <c r="BP102" s="887"/>
      <c r="BQ102" s="888" t="str">
        <f t="shared" si="63"/>
        <v/>
      </c>
      <c r="BR102" s="892" t="str">
        <f t="shared" si="64"/>
        <v/>
      </c>
      <c r="BS102" s="892" t="str">
        <f t="shared" si="65"/>
        <v/>
      </c>
      <c r="BT102" s="892" t="str">
        <f t="shared" si="66"/>
        <v/>
      </c>
      <c r="BU102" s="892" t="str">
        <f t="shared" si="67"/>
        <v/>
      </c>
      <c r="BV102" s="892" t="str">
        <f t="shared" si="68"/>
        <v/>
      </c>
      <c r="BW102" s="892" t="str">
        <f t="shared" si="69"/>
        <v/>
      </c>
      <c r="BX102" s="892" t="str">
        <f t="shared" si="70"/>
        <v/>
      </c>
      <c r="BY102" s="892" t="str">
        <f t="shared" si="71"/>
        <v/>
      </c>
      <c r="BZ102" s="892" t="str">
        <f t="shared" si="72"/>
        <v/>
      </c>
      <c r="CA102" s="892" t="str">
        <f t="shared" si="73"/>
        <v/>
      </c>
      <c r="CB102" s="892" t="str">
        <f t="shared" si="74"/>
        <v/>
      </c>
      <c r="CC102" s="892" t="str">
        <f t="shared" si="75"/>
        <v/>
      </c>
      <c r="CD102" s="892" t="str">
        <f t="shared" si="76"/>
        <v/>
      </c>
      <c r="CE102" s="892" t="str">
        <f t="shared" si="77"/>
        <v/>
      </c>
      <c r="CF102" s="892" t="str">
        <f t="shared" si="78"/>
        <v/>
      </c>
      <c r="CG102" s="892" t="str">
        <f t="shared" si="79"/>
        <v/>
      </c>
      <c r="CH102" s="891" t="str">
        <f>IFERROR(IF($B102&gt;0,PASHEET!AL102+PASHEET!AT102+MARKS!F102+MARKS!N102+MARKS!V102+MARKS!AD102+MARKS!AL102+MARKS!AT102+MARKS!BB102+MARKS!BJ102,""),"Ab")</f>
        <v/>
      </c>
      <c r="CI102" s="891" t="str">
        <f>IFERROR(IF($B102&gt;0,PASHEET!AM102+PASHEET!AU102+MARKS!G102+MARKS!O102+MARKS!W102+MARKS!AE102+MARKS!AM102+MARKS!AU102+MARKS!BC102+MARKS!BK102,""),"Ab")</f>
        <v/>
      </c>
      <c r="CJ102" s="891" t="str">
        <f>IFERROR(IF($B102&gt;0,PASHEET!AN102+PASHEET!AV102+MARKS!H102+MARKS!P102+MARKS!X102+MARKS!AF102+MARKS!AN102+MARKS!AV102+MARKS!BD102+MARKS!BL102,""),"Ab")</f>
        <v/>
      </c>
      <c r="CK102" s="891" t="str">
        <f>IFERROR(IF($B102&gt;0,PASHEET!AO102+PASHEET!AW102+MARKS!I102+MARKS!Q102+MARKS!Y102+MARKS!AG102+MARKS!AO102+MARKS!AW102+MARKS!BE102+MARKS!BM102,""),"Ab")</f>
        <v/>
      </c>
      <c r="CL102" s="891" t="str">
        <f>IFERROR(IF($B102&gt;0,PASHEET!AP102+PASHEET!AX102+MARKS!J102+MARKS!R102+MARKS!Z102+MARKS!AH102+MARKS!AP102+MARKS!AX102+MARKS!BF102+MARKS!BN102,""),"Ab")</f>
        <v/>
      </c>
      <c r="CM102" s="891" t="str">
        <f>IFERROR(IF($B102&gt;0,PASHEET!AQ102+PASHEET!AY102+MARKS!K102+MARKS!S102+MARKS!AA102+MARKS!AI102+MARKS!AQ102+MARKS!AY102+MARKS!BG102+MARKS!BO102,""),"Ab")</f>
        <v/>
      </c>
      <c r="CN102" s="891" t="str">
        <f>IFERROR(IF($B102&gt;0,PASHEET!AR102+PASHEET!AZ102+MARKS!L102+MARKS!T102+MARKS!AB102+MARKS!AJ102+MARKS!AR102+MARKS!AZ102+MARKS!BH102+MARKS!BP102,""),"Ab")</f>
        <v/>
      </c>
      <c r="CO102" s="891" t="str">
        <f t="shared" si="80"/>
        <v/>
      </c>
      <c r="CP102" s="893" t="str">
        <f t="shared" si="81"/>
        <v/>
      </c>
      <c r="CQ102" s="893" t="str">
        <f t="shared" si="82"/>
        <v/>
      </c>
      <c r="CR102" s="893" t="str">
        <f t="shared" si="83"/>
        <v/>
      </c>
      <c r="CS102" s="893" t="str">
        <f t="shared" si="84"/>
        <v/>
      </c>
      <c r="CT102" s="893" t="str">
        <f t="shared" si="85"/>
        <v/>
      </c>
      <c r="CU102" s="893" t="str">
        <f t="shared" si="86"/>
        <v/>
      </c>
      <c r="CV102" s="893" t="str">
        <f t="shared" si="87"/>
        <v/>
      </c>
      <c r="CW102" s="893" t="str">
        <f t="shared" si="88"/>
        <v/>
      </c>
      <c r="CX102" s="894" t="str">
        <f>IFERROR(IF($B102&gt;0,PASHEET!AL102+MARKS!F102+MARKS!N102+MARKS!V102+MARKS!AD102,""),"Ab")</f>
        <v/>
      </c>
      <c r="CY102" s="894" t="str">
        <f>IFERROR(IF($B102&gt;0,PASHEET!AM102+MARKS!G102+MARKS!O102+MARKS!W102+MARKS!AE102,""),"Ab")</f>
        <v/>
      </c>
      <c r="CZ102" s="894" t="str">
        <f>IFERROR(IF($B102&gt;0,PASHEET!AN102+MARKS!H102+MARKS!P102+MARKS!X102+MARKS!AF102,""),"Ab")</f>
        <v/>
      </c>
      <c r="DA102" s="894" t="str">
        <f>IFERROR(IF($B102&gt;0,PASHEET!AO102+MARKS!I102+MARKS!Q102+MARKS!Y102+MARKS!AG102,""),"Ab")</f>
        <v/>
      </c>
      <c r="DB102" s="894" t="str">
        <f>IFERROR(IF($B102&gt;0,PASHEET!AP102+MARKS!J102+MARKS!R102+MARKS!Z102+MARKS!AH102,""),"Ab")</f>
        <v/>
      </c>
      <c r="DC102" s="894" t="str">
        <f>IFERROR(IF($B102&gt;0,PASHEET!AQ102+MARKS!K102+MARKS!S102+MARKS!AA102+MARKS!AI102,""),"Ab")</f>
        <v/>
      </c>
      <c r="DD102" s="894" t="str">
        <f>IFERROR(IF($B102&gt;0,PASHEET!AR102+MARKS!L102+MARKS!T102+MARKS!AB102+MARKS!AJ102,""),"Ab")</f>
        <v/>
      </c>
      <c r="DE102" s="879" t="str">
        <f t="shared" si="89"/>
        <v/>
      </c>
      <c r="DF102" s="894" t="str">
        <f t="shared" si="90"/>
        <v/>
      </c>
      <c r="DG102" s="894" t="str">
        <f t="shared" si="91"/>
        <v/>
      </c>
      <c r="DH102" s="894" t="str">
        <f t="shared" si="92"/>
        <v/>
      </c>
      <c r="DI102" s="894" t="str">
        <f t="shared" si="93"/>
        <v/>
      </c>
      <c r="DJ102" s="894" t="str">
        <f t="shared" si="94"/>
        <v/>
      </c>
      <c r="DK102" s="894" t="str">
        <f t="shared" si="95"/>
        <v/>
      </c>
      <c r="DL102" s="894" t="str">
        <f t="shared" si="96"/>
        <v/>
      </c>
      <c r="DM102" s="894" t="str">
        <f t="shared" si="97"/>
        <v/>
      </c>
      <c r="DN102" s="894" t="str">
        <f>IFERROR(IF($B102&gt;0,PASHEET!AT102+MARKS!AL102+MARKS!AT102+MARKS!BB102+MARKS!BJ102,""),"Ab")</f>
        <v/>
      </c>
      <c r="DO102" s="894" t="str">
        <f>IFERROR(IF($B102&gt;0,PASHEET!AU102+MARKS!AM102+MARKS!AU102+MARKS!BC102+MARKS!BK102,""),"Ab")</f>
        <v/>
      </c>
      <c r="DP102" s="894" t="str">
        <f>IFERROR(IF($B102&gt;0,PASHEET!AV102+MARKS!AN102+MARKS!AV102+MARKS!BD102+MARKS!BL102,""),"Ab")</f>
        <v/>
      </c>
      <c r="DQ102" s="894" t="str">
        <f>IFERROR(IF($B102&gt;0,PASHEET!AW102+MARKS!AO102+MARKS!AW102+MARKS!BE102+MARKS!BM102,""),"Ab")</f>
        <v/>
      </c>
      <c r="DR102" s="894" t="str">
        <f>IFERROR(IF($B102&gt;0,PASHEET!AX102+MARKS!AP102+MARKS!AX102+MARKS!BF102+MARKS!BN102,""),"Ab")</f>
        <v/>
      </c>
      <c r="DS102" s="894" t="str">
        <f>IFERROR(IF($B102&gt;0,PASHEET!AY102+MARKS!AQ102+MARKS!AY102+MARKS!BG102+MARKS!BO102,""),"Ab")</f>
        <v/>
      </c>
      <c r="DT102" s="894" t="str">
        <f>IFERROR(IF($B102&gt;0,PASHEET!AZ102+MARKS!AR102+MARKS!AZ102+MARKS!BH102+MARKS!BP102,""),"Ab")</f>
        <v/>
      </c>
      <c r="DU102" s="879" t="str">
        <f t="shared" si="98"/>
        <v/>
      </c>
      <c r="DV102" s="894" t="str">
        <f t="shared" si="99"/>
        <v/>
      </c>
      <c r="DW102" s="894" t="str">
        <f t="shared" si="100"/>
        <v/>
      </c>
      <c r="DX102" s="894" t="str">
        <f t="shared" si="101"/>
        <v/>
      </c>
      <c r="DY102" s="894" t="str">
        <f t="shared" si="102"/>
        <v/>
      </c>
      <c r="DZ102" s="894" t="str">
        <f t="shared" si="103"/>
        <v/>
      </c>
      <c r="EA102" s="894" t="str">
        <f t="shared" si="104"/>
        <v/>
      </c>
      <c r="EB102" s="894" t="str">
        <f t="shared" si="105"/>
        <v/>
      </c>
      <c r="EC102" s="894" t="str">
        <f t="shared" si="106"/>
        <v/>
      </c>
    </row>
    <row r="103" spans="1:133">
      <c r="A103" s="879">
        <v>100</v>
      </c>
      <c r="B103" s="879">
        <f>STUDENT!F101</f>
        <v>0</v>
      </c>
      <c r="C103" s="879">
        <f>STUDENT!D101</f>
        <v>0</v>
      </c>
      <c r="D103" s="886">
        <f>STUDENT!E101</f>
        <v>0</v>
      </c>
      <c r="E103" s="886">
        <f>STUDENT!H101</f>
        <v>0</v>
      </c>
      <c r="F103" s="887"/>
      <c r="G103" s="887"/>
      <c r="H103" s="887"/>
      <c r="I103" s="887"/>
      <c r="J103" s="887"/>
      <c r="K103" s="887"/>
      <c r="L103" s="887"/>
      <c r="M103" s="888">
        <f t="shared" si="56"/>
        <v>0</v>
      </c>
      <c r="N103" s="887"/>
      <c r="O103" s="887"/>
      <c r="P103" s="887"/>
      <c r="Q103" s="887"/>
      <c r="R103" s="887"/>
      <c r="S103" s="887"/>
      <c r="T103" s="887"/>
      <c r="U103" s="889">
        <f t="shared" si="57"/>
        <v>0</v>
      </c>
      <c r="V103" s="887"/>
      <c r="W103" s="887"/>
      <c r="X103" s="887"/>
      <c r="Y103" s="887"/>
      <c r="Z103" s="887"/>
      <c r="AA103" s="887"/>
      <c r="AB103" s="887"/>
      <c r="AC103" s="890">
        <f t="shared" si="58"/>
        <v>0</v>
      </c>
      <c r="AD103" s="887"/>
      <c r="AE103" s="887"/>
      <c r="AF103" s="887"/>
      <c r="AG103" s="887"/>
      <c r="AH103" s="887"/>
      <c r="AI103" s="887"/>
      <c r="AJ103" s="887"/>
      <c r="AK103" s="888" t="str">
        <f t="shared" si="59"/>
        <v/>
      </c>
      <c r="AL103" s="887"/>
      <c r="AM103" s="887"/>
      <c r="AN103" s="887"/>
      <c r="AO103" s="887"/>
      <c r="AP103" s="887"/>
      <c r="AQ103" s="887"/>
      <c r="AR103" s="887"/>
      <c r="AS103" s="891">
        <f t="shared" si="60"/>
        <v>0</v>
      </c>
      <c r="AT103" s="887"/>
      <c r="AU103" s="887"/>
      <c r="AV103" s="887"/>
      <c r="AW103" s="887"/>
      <c r="AX103" s="887"/>
      <c r="AY103" s="887"/>
      <c r="AZ103" s="887"/>
      <c r="BA103" s="889">
        <f t="shared" si="61"/>
        <v>0</v>
      </c>
      <c r="BB103" s="887"/>
      <c r="BC103" s="887"/>
      <c r="BD103" s="887"/>
      <c r="BE103" s="887"/>
      <c r="BF103" s="887"/>
      <c r="BG103" s="887"/>
      <c r="BH103" s="887"/>
      <c r="BI103" s="890">
        <f t="shared" si="62"/>
        <v>0</v>
      </c>
      <c r="BJ103" s="887"/>
      <c r="BK103" s="887"/>
      <c r="BL103" s="887"/>
      <c r="BM103" s="887"/>
      <c r="BN103" s="887"/>
      <c r="BO103" s="887"/>
      <c r="BP103" s="887"/>
      <c r="BQ103" s="888" t="str">
        <f t="shared" si="63"/>
        <v/>
      </c>
      <c r="BR103" s="892" t="str">
        <f t="shared" si="64"/>
        <v/>
      </c>
      <c r="BS103" s="892" t="str">
        <f t="shared" si="65"/>
        <v/>
      </c>
      <c r="BT103" s="892" t="str">
        <f t="shared" si="66"/>
        <v/>
      </c>
      <c r="BU103" s="892" t="str">
        <f t="shared" si="67"/>
        <v/>
      </c>
      <c r="BV103" s="892" t="str">
        <f t="shared" si="68"/>
        <v/>
      </c>
      <c r="BW103" s="892" t="str">
        <f t="shared" si="69"/>
        <v/>
      </c>
      <c r="BX103" s="892" t="str">
        <f t="shared" si="70"/>
        <v/>
      </c>
      <c r="BY103" s="892" t="str">
        <f t="shared" si="71"/>
        <v/>
      </c>
      <c r="BZ103" s="892" t="str">
        <f t="shared" si="72"/>
        <v/>
      </c>
      <c r="CA103" s="892" t="str">
        <f t="shared" si="73"/>
        <v/>
      </c>
      <c r="CB103" s="892" t="str">
        <f t="shared" si="74"/>
        <v/>
      </c>
      <c r="CC103" s="892" t="str">
        <f t="shared" si="75"/>
        <v/>
      </c>
      <c r="CD103" s="892" t="str">
        <f t="shared" si="76"/>
        <v/>
      </c>
      <c r="CE103" s="892" t="str">
        <f t="shared" si="77"/>
        <v/>
      </c>
      <c r="CF103" s="892" t="str">
        <f t="shared" si="78"/>
        <v/>
      </c>
      <c r="CG103" s="892" t="str">
        <f t="shared" si="79"/>
        <v/>
      </c>
      <c r="CH103" s="891" t="str">
        <f>IFERROR(IF($B103&gt;0,PASHEET!AL103+PASHEET!AT103+MARKS!F103+MARKS!N103+MARKS!V103+MARKS!AD103+MARKS!AL103+MARKS!AT103+MARKS!BB103+MARKS!BJ103,""),"Ab")</f>
        <v/>
      </c>
      <c r="CI103" s="891" t="str">
        <f>IFERROR(IF($B103&gt;0,PASHEET!AM103+PASHEET!AU103+MARKS!G103+MARKS!O103+MARKS!W103+MARKS!AE103+MARKS!AM103+MARKS!AU103+MARKS!BC103+MARKS!BK103,""),"Ab")</f>
        <v/>
      </c>
      <c r="CJ103" s="891" t="str">
        <f>IFERROR(IF($B103&gt;0,PASHEET!AN103+PASHEET!AV103+MARKS!H103+MARKS!P103+MARKS!X103+MARKS!AF103+MARKS!AN103+MARKS!AV103+MARKS!BD103+MARKS!BL103,""),"Ab")</f>
        <v/>
      </c>
      <c r="CK103" s="891" t="str">
        <f>IFERROR(IF($B103&gt;0,PASHEET!AO103+PASHEET!AW103+MARKS!I103+MARKS!Q103+MARKS!Y103+MARKS!AG103+MARKS!AO103+MARKS!AW103+MARKS!BE103+MARKS!BM103,""),"Ab")</f>
        <v/>
      </c>
      <c r="CL103" s="891" t="str">
        <f>IFERROR(IF($B103&gt;0,PASHEET!AP103+PASHEET!AX103+MARKS!J103+MARKS!R103+MARKS!Z103+MARKS!AH103+MARKS!AP103+MARKS!AX103+MARKS!BF103+MARKS!BN103,""),"Ab")</f>
        <v/>
      </c>
      <c r="CM103" s="891" t="str">
        <f>IFERROR(IF($B103&gt;0,PASHEET!AQ103+PASHEET!AY103+MARKS!K103+MARKS!S103+MARKS!AA103+MARKS!AI103+MARKS!AQ103+MARKS!AY103+MARKS!BG103+MARKS!BO103,""),"Ab")</f>
        <v/>
      </c>
      <c r="CN103" s="891" t="str">
        <f>IFERROR(IF($B103&gt;0,PASHEET!AR103+PASHEET!AZ103+MARKS!L103+MARKS!T103+MARKS!AB103+MARKS!AJ103+MARKS!AR103+MARKS!AZ103+MARKS!BH103+MARKS!BP103,""),"Ab")</f>
        <v/>
      </c>
      <c r="CO103" s="891" t="str">
        <f t="shared" si="80"/>
        <v/>
      </c>
      <c r="CP103" s="893" t="str">
        <f t="shared" si="81"/>
        <v/>
      </c>
      <c r="CQ103" s="893" t="str">
        <f t="shared" si="82"/>
        <v/>
      </c>
      <c r="CR103" s="893" t="str">
        <f t="shared" si="83"/>
        <v/>
      </c>
      <c r="CS103" s="893" t="str">
        <f t="shared" si="84"/>
        <v/>
      </c>
      <c r="CT103" s="893" t="str">
        <f t="shared" si="85"/>
        <v/>
      </c>
      <c r="CU103" s="893" t="str">
        <f t="shared" si="86"/>
        <v/>
      </c>
      <c r="CV103" s="893" t="str">
        <f t="shared" si="87"/>
        <v/>
      </c>
      <c r="CW103" s="893" t="str">
        <f t="shared" si="88"/>
        <v/>
      </c>
      <c r="CX103" s="894" t="str">
        <f>IFERROR(IF($B103&gt;0,PASHEET!AL103+MARKS!F103+MARKS!N103+MARKS!V103+MARKS!AD103,""),"Ab")</f>
        <v/>
      </c>
      <c r="CY103" s="894" t="str">
        <f>IFERROR(IF($B103&gt;0,PASHEET!AM103+MARKS!G103+MARKS!O103+MARKS!W103+MARKS!AE103,""),"Ab")</f>
        <v/>
      </c>
      <c r="CZ103" s="894" t="str">
        <f>IFERROR(IF($B103&gt;0,PASHEET!AN103+MARKS!H103+MARKS!P103+MARKS!X103+MARKS!AF103,""),"Ab")</f>
        <v/>
      </c>
      <c r="DA103" s="894" t="str">
        <f>IFERROR(IF($B103&gt;0,PASHEET!AO103+MARKS!I103+MARKS!Q103+MARKS!Y103+MARKS!AG103,""),"Ab")</f>
        <v/>
      </c>
      <c r="DB103" s="894" t="str">
        <f>IFERROR(IF($B103&gt;0,PASHEET!AP103+MARKS!J103+MARKS!R103+MARKS!Z103+MARKS!AH103,""),"Ab")</f>
        <v/>
      </c>
      <c r="DC103" s="894" t="str">
        <f>IFERROR(IF($B103&gt;0,PASHEET!AQ103+MARKS!K103+MARKS!S103+MARKS!AA103+MARKS!AI103,""),"Ab")</f>
        <v/>
      </c>
      <c r="DD103" s="894" t="str">
        <f>IFERROR(IF($B103&gt;0,PASHEET!AR103+MARKS!L103+MARKS!T103+MARKS!AB103+MARKS!AJ103,""),"Ab")</f>
        <v/>
      </c>
      <c r="DE103" s="879" t="str">
        <f t="shared" si="89"/>
        <v/>
      </c>
      <c r="DF103" s="894" t="str">
        <f t="shared" si="90"/>
        <v/>
      </c>
      <c r="DG103" s="894" t="str">
        <f t="shared" si="91"/>
        <v/>
      </c>
      <c r="DH103" s="894" t="str">
        <f t="shared" si="92"/>
        <v/>
      </c>
      <c r="DI103" s="894" t="str">
        <f t="shared" si="93"/>
        <v/>
      </c>
      <c r="DJ103" s="894" t="str">
        <f t="shared" si="94"/>
        <v/>
      </c>
      <c r="DK103" s="894" t="str">
        <f t="shared" si="95"/>
        <v/>
      </c>
      <c r="DL103" s="894" t="str">
        <f t="shared" si="96"/>
        <v/>
      </c>
      <c r="DM103" s="894" t="str">
        <f t="shared" si="97"/>
        <v/>
      </c>
      <c r="DN103" s="894" t="str">
        <f>IFERROR(IF($B103&gt;0,PASHEET!AT103+MARKS!AL103+MARKS!AT103+MARKS!BB103+MARKS!BJ103,""),"Ab")</f>
        <v/>
      </c>
      <c r="DO103" s="894" t="str">
        <f>IFERROR(IF($B103&gt;0,PASHEET!AU103+MARKS!AM103+MARKS!AU103+MARKS!BC103+MARKS!BK103,""),"Ab")</f>
        <v/>
      </c>
      <c r="DP103" s="894" t="str">
        <f>IFERROR(IF($B103&gt;0,PASHEET!AV103+MARKS!AN103+MARKS!AV103+MARKS!BD103+MARKS!BL103,""),"Ab")</f>
        <v/>
      </c>
      <c r="DQ103" s="894" t="str">
        <f>IFERROR(IF($B103&gt;0,PASHEET!AW103+MARKS!AO103+MARKS!AW103+MARKS!BE103+MARKS!BM103,""),"Ab")</f>
        <v/>
      </c>
      <c r="DR103" s="894" t="str">
        <f>IFERROR(IF($B103&gt;0,PASHEET!AX103+MARKS!AP103+MARKS!AX103+MARKS!BF103+MARKS!BN103,""),"Ab")</f>
        <v/>
      </c>
      <c r="DS103" s="894" t="str">
        <f>IFERROR(IF($B103&gt;0,PASHEET!AY103+MARKS!AQ103+MARKS!AY103+MARKS!BG103+MARKS!BO103,""),"Ab")</f>
        <v/>
      </c>
      <c r="DT103" s="894" t="str">
        <f>IFERROR(IF($B103&gt;0,PASHEET!AZ103+MARKS!AR103+MARKS!AZ103+MARKS!BH103+MARKS!BP103,""),"Ab")</f>
        <v/>
      </c>
      <c r="DU103" s="879" t="str">
        <f t="shared" si="98"/>
        <v/>
      </c>
      <c r="DV103" s="894" t="str">
        <f t="shared" si="99"/>
        <v/>
      </c>
      <c r="DW103" s="894" t="str">
        <f t="shared" si="100"/>
        <v/>
      </c>
      <c r="DX103" s="894" t="str">
        <f t="shared" si="101"/>
        <v/>
      </c>
      <c r="DY103" s="894" t="str">
        <f t="shared" si="102"/>
        <v/>
      </c>
      <c r="DZ103" s="894" t="str">
        <f t="shared" si="103"/>
        <v/>
      </c>
      <c r="EA103" s="894" t="str">
        <f t="shared" si="104"/>
        <v/>
      </c>
      <c r="EB103" s="894" t="str">
        <f t="shared" si="105"/>
        <v/>
      </c>
      <c r="EC103" s="894" t="str">
        <f t="shared" si="106"/>
        <v/>
      </c>
    </row>
  </sheetData>
  <sheetProtection password="BF6F" sheet="1" formatCells="0" formatColumns="0" formatRows="0" objects="1" scenarios="1"/>
  <mergeCells count="24">
    <mergeCell ref="F1:AK1"/>
    <mergeCell ref="AL1:BQ1"/>
    <mergeCell ref="BR1:BY1"/>
    <mergeCell ref="BZ1:CG1"/>
    <mergeCell ref="CX1:DE1"/>
    <mergeCell ref="DF1:DM1"/>
    <mergeCell ref="DN1:DU1"/>
    <mergeCell ref="DV1:EC1"/>
    <mergeCell ref="F2:M2"/>
    <mergeCell ref="N2:U2"/>
    <mergeCell ref="V2:AC2"/>
    <mergeCell ref="AD2:AK2"/>
    <mergeCell ref="AL2:AS2"/>
    <mergeCell ref="AT2:BA2"/>
    <mergeCell ref="BB2:BI2"/>
    <mergeCell ref="BJ2:BQ2"/>
    <mergeCell ref="BR2:BY2"/>
    <mergeCell ref="BZ2:CG2"/>
    <mergeCell ref="CH2:CO2"/>
    <mergeCell ref="CP2:CW2"/>
    <mergeCell ref="CX2:DE2"/>
    <mergeCell ref="DF2:DM2"/>
    <mergeCell ref="DN2:DU2"/>
    <mergeCell ref="DV2:EC2"/>
  </mergeCells>
  <conditionalFormatting sqref="N40:S40">
    <cfRule type="cellIs" dxfId="1" priority="18" operator="greaterThan">
      <formula>5</formula>
    </cfRule>
  </conditionalFormatting>
  <conditionalFormatting sqref="V40:AA40">
    <cfRule type="cellIs" dxfId="1" priority="12" operator="greaterThan">
      <formula>5</formula>
    </cfRule>
  </conditionalFormatting>
  <conditionalFormatting sqref="F4:L103">
    <cfRule type="cellIs" dxfId="1" priority="32" operator="greaterThan">
      <formula>5</formula>
    </cfRule>
  </conditionalFormatting>
  <conditionalFormatting sqref="N38:T39 T4:T37 N41:T103 T40">
    <cfRule type="cellIs" dxfId="1" priority="31" operator="greaterThan">
      <formula>5</formula>
    </cfRule>
  </conditionalFormatting>
  <conditionalFormatting sqref="N4:S37">
    <cfRule type="cellIs" dxfId="1" priority="5" operator="greaterThan">
      <formula>5</formula>
    </cfRule>
  </conditionalFormatting>
  <conditionalFormatting sqref="V38:AB39 V41:AB103 AB40 AB4:AB37">
    <cfRule type="cellIs" dxfId="1" priority="30" operator="greaterThan">
      <formula>5</formula>
    </cfRule>
  </conditionalFormatting>
  <conditionalFormatting sqref="V4:AA37">
    <cfRule type="cellIs" dxfId="1" priority="4" operator="greaterThan">
      <formula>5</formula>
    </cfRule>
  </conditionalFormatting>
  <conditionalFormatting sqref="AD4:AJ103">
    <cfRule type="cellIs" dxfId="1" priority="29" operator="greaterThan">
      <formula>30</formula>
    </cfRule>
  </conditionalFormatting>
  <conditionalFormatting sqref="AL38:AR103 AR4:AR37">
    <cfRule type="cellIs" dxfId="1" priority="28" operator="greaterThan">
      <formula>5</formula>
    </cfRule>
  </conditionalFormatting>
  <conditionalFormatting sqref="AL4:AQ37">
    <cfRule type="cellIs" dxfId="1" priority="3" operator="greaterThan">
      <formula>5</formula>
    </cfRule>
  </conditionalFormatting>
  <conditionalFormatting sqref="AT38:AZ103 AZ4:AZ37">
    <cfRule type="cellIs" dxfId="1" priority="27" operator="greaterThan">
      <formula>5</formula>
    </cfRule>
  </conditionalFormatting>
  <conditionalFormatting sqref="AT4:AY37">
    <cfRule type="cellIs" dxfId="1" priority="2" operator="greaterThan">
      <formula>5</formula>
    </cfRule>
  </conditionalFormatting>
  <conditionalFormatting sqref="BB38:BH103 BH4:BH37">
    <cfRule type="cellIs" dxfId="1" priority="26" operator="greaterThan">
      <formula>5</formula>
    </cfRule>
  </conditionalFormatting>
  <conditionalFormatting sqref="BB4:BG37">
    <cfRule type="cellIs" dxfId="1" priority="1" operator="greaterThan">
      <formula>5</formula>
    </cfRule>
  </conditionalFormatting>
  <conditionalFormatting sqref="BJ4:BP103">
    <cfRule type="cellIs" dxfId="1" priority="25" operator="greaterThan">
      <formula>30</formula>
    </cfRule>
  </conditionalFormatting>
  <pageMargins left="0.7" right="0.7" top="0.75" bottom="0.75" header="0.3" footer="0.3"/>
  <pageSetup paperSize="1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"/>
  <sheetViews>
    <sheetView workbookViewId="0">
      <selection activeCell="AY2" sqref="AY2"/>
    </sheetView>
  </sheetViews>
  <sheetFormatPr defaultColWidth="9.13888888888889" defaultRowHeight="21"/>
  <cols>
    <col min="1" max="1" width="9.13888888888889" style="829"/>
    <col min="2" max="2" width="51" style="830" customWidth="1"/>
    <col min="3" max="3" width="5.86111111111111" style="829" customWidth="1"/>
    <col min="4" max="4" width="44" style="829" customWidth="1"/>
    <col min="5" max="5" width="9.13888888888889" style="829"/>
    <col min="6" max="40" width="14.712962962963" style="829" customWidth="1"/>
    <col min="41" max="42" width="9.13888888888889" style="829"/>
    <col min="43" max="44" width="18.712962962963" style="829" customWidth="1"/>
    <col min="45" max="45" width="19.287037037037" style="829" customWidth="1"/>
    <col min="46" max="46" width="16.712962962963" style="829" customWidth="1"/>
    <col min="47" max="47" width="22.712962962963" style="829" customWidth="1"/>
    <col min="48" max="48" width="35.1388888888889" style="772" customWidth="1"/>
    <col min="49" max="49" width="22.1388888888889" style="829" customWidth="1"/>
    <col min="50" max="50" width="21.4259259259259" style="772" customWidth="1"/>
    <col min="51" max="51" width="22.8611111111111" style="829" customWidth="1"/>
    <col min="52" max="56" width="9.13888888888889" style="829"/>
    <col min="57" max="57" width="26.4259259259259" style="829" customWidth="1"/>
    <col min="58" max="62" width="9.13888888888889" style="829"/>
    <col min="63" max="63" width="26.4259259259259" style="829" customWidth="1"/>
    <col min="64" max="16384" width="9.13888888888889" style="829"/>
  </cols>
  <sheetData>
    <row r="1" ht="42.75" spans="1:68">
      <c r="A1" s="831" t="str">
        <f>"MISSION BUNIYAD : "&amp;ENTRY!D11</f>
        <v>MISSION BUNIYAD : 2026-27</v>
      </c>
      <c r="B1" s="831"/>
      <c r="C1" s="831"/>
      <c r="D1" s="831"/>
      <c r="F1" s="832" t="s">
        <v>87</v>
      </c>
      <c r="G1" s="833" t="str">
        <f>AR2</f>
        <v>30.09.2023</v>
      </c>
      <c r="H1" s="834" t="str">
        <f>AR3</f>
        <v>16.10.2023</v>
      </c>
      <c r="I1" s="834" t="str">
        <f>AR4</f>
        <v>31.10.2023</v>
      </c>
      <c r="J1" s="834" t="str">
        <f>AR5</f>
        <v>30.11.2023</v>
      </c>
      <c r="K1" s="835" t="str">
        <f>AR6</f>
        <v>15.12.2023</v>
      </c>
      <c r="L1" s="834" t="str">
        <f>AR7</f>
        <v>30.12.2023</v>
      </c>
      <c r="M1" s="834" t="str">
        <f>AR8</f>
        <v>31.01.2024</v>
      </c>
      <c r="N1" s="834" t="str">
        <f>AR9</f>
        <v>15.02.2024</v>
      </c>
      <c r="O1" s="834" t="str">
        <f>AR10</f>
        <v>29.02.2024</v>
      </c>
      <c r="P1" s="836">
        <f>AR11</f>
        <v>0</v>
      </c>
      <c r="Q1" s="719"/>
      <c r="R1" s="832" t="s">
        <v>89</v>
      </c>
      <c r="S1" s="833" t="str">
        <f>G1</f>
        <v>30.09.2023</v>
      </c>
      <c r="T1" s="833" t="str">
        <f>H1</f>
        <v>16.10.2023</v>
      </c>
      <c r="U1" s="833" t="str">
        <f>I1</f>
        <v>31.10.2023</v>
      </c>
      <c r="V1" s="833" t="str">
        <f t="shared" ref="V1:AB1" si="0">J1</f>
        <v>30.11.2023</v>
      </c>
      <c r="W1" s="833" t="str">
        <f t="shared" si="0"/>
        <v>15.12.2023</v>
      </c>
      <c r="X1" s="833" t="str">
        <f t="shared" si="0"/>
        <v>30.12.2023</v>
      </c>
      <c r="Y1" s="833" t="str">
        <f t="shared" si="0"/>
        <v>31.01.2024</v>
      </c>
      <c r="Z1" s="833" t="str">
        <f t="shared" si="0"/>
        <v>15.02.2024</v>
      </c>
      <c r="AA1" s="833" t="str">
        <f t="shared" si="0"/>
        <v>29.02.2024</v>
      </c>
      <c r="AB1" s="833">
        <f t="shared" si="0"/>
        <v>0</v>
      </c>
      <c r="AC1" s="812"/>
      <c r="AD1" s="832" t="s">
        <v>88</v>
      </c>
      <c r="AE1" s="833" t="str">
        <f>G1</f>
        <v>30.09.2023</v>
      </c>
      <c r="AF1" s="833" t="str">
        <f>H1</f>
        <v>16.10.2023</v>
      </c>
      <c r="AG1" s="833" t="str">
        <f>I1</f>
        <v>31.10.2023</v>
      </c>
      <c r="AH1" s="833" t="str">
        <f t="shared" ref="AH1:AN1" si="1">J1</f>
        <v>30.11.2023</v>
      </c>
      <c r="AI1" s="833" t="str">
        <f t="shared" si="1"/>
        <v>15.12.2023</v>
      </c>
      <c r="AJ1" s="833" t="str">
        <f t="shared" si="1"/>
        <v>30.12.2023</v>
      </c>
      <c r="AK1" s="833" t="str">
        <f t="shared" si="1"/>
        <v>31.01.2024</v>
      </c>
      <c r="AL1" s="833" t="str">
        <f t="shared" si="1"/>
        <v>15.02.2024</v>
      </c>
      <c r="AM1" s="833" t="str">
        <f t="shared" si="1"/>
        <v>29.02.2024</v>
      </c>
      <c r="AN1" s="833">
        <f t="shared" si="1"/>
        <v>0</v>
      </c>
      <c r="AQ1" s="837" t="s">
        <v>79</v>
      </c>
      <c r="AR1" s="837"/>
      <c r="AS1" s="814" t="s">
        <v>80</v>
      </c>
      <c r="AT1" s="814" t="s">
        <v>81</v>
      </c>
      <c r="AU1" s="814" t="s">
        <v>82</v>
      </c>
      <c r="AV1" s="838" t="s">
        <v>371</v>
      </c>
      <c r="AW1" s="838" t="s">
        <v>81</v>
      </c>
      <c r="AX1" s="838" t="s">
        <v>82</v>
      </c>
      <c r="AY1" s="839" t="s">
        <v>86</v>
      </c>
      <c r="AZ1" s="839" t="s">
        <v>96</v>
      </c>
      <c r="BA1" s="839" t="s">
        <v>97</v>
      </c>
      <c r="BB1" s="839" t="s">
        <v>98</v>
      </c>
      <c r="BC1" s="839" t="s">
        <v>99</v>
      </c>
      <c r="BD1" s="839" t="s">
        <v>100</v>
      </c>
      <c r="BE1" s="839" t="s">
        <v>86</v>
      </c>
      <c r="BF1" s="839" t="s">
        <v>96</v>
      </c>
      <c r="BG1" s="839" t="s">
        <v>97</v>
      </c>
      <c r="BH1" s="839" t="s">
        <v>98</v>
      </c>
      <c r="BI1" s="839" t="s">
        <v>99</v>
      </c>
      <c r="BJ1" s="839" t="s">
        <v>100</v>
      </c>
      <c r="BK1" s="839" t="s">
        <v>86</v>
      </c>
      <c r="BL1" s="839" t="s">
        <v>96</v>
      </c>
      <c r="BM1" s="839" t="s">
        <v>97</v>
      </c>
      <c r="BN1" s="839" t="s">
        <v>98</v>
      </c>
      <c r="BO1" s="839" t="s">
        <v>99</v>
      </c>
      <c r="BP1" s="839" t="s">
        <v>100</v>
      </c>
    </row>
    <row r="2" spans="1:68">
      <c r="A2" s="840">
        <v>1</v>
      </c>
      <c r="B2" s="841" t="s">
        <v>37</v>
      </c>
      <c r="C2" s="840" t="s">
        <v>4</v>
      </c>
      <c r="D2" s="842">
        <v>1156</v>
      </c>
      <c r="F2" s="843" t="s">
        <v>372</v>
      </c>
      <c r="G2" s="844"/>
      <c r="H2" s="844"/>
      <c r="I2" s="844"/>
      <c r="J2" s="845"/>
      <c r="K2" s="845"/>
      <c r="L2" s="845"/>
      <c r="M2" s="845"/>
      <c r="N2" s="845"/>
      <c r="O2" s="845"/>
      <c r="P2" s="846"/>
      <c r="Q2" s="847"/>
      <c r="R2" s="848" t="s">
        <v>372</v>
      </c>
      <c r="S2" s="844"/>
      <c r="T2" s="844"/>
      <c r="U2" s="844"/>
      <c r="V2" s="845"/>
      <c r="W2" s="845"/>
      <c r="X2" s="845"/>
      <c r="Y2" s="845"/>
      <c r="Z2" s="845"/>
      <c r="AA2" s="845"/>
      <c r="AB2" s="846"/>
      <c r="AC2" s="812"/>
      <c r="AD2" s="843" t="s">
        <v>372</v>
      </c>
      <c r="AE2" s="844"/>
      <c r="AF2" s="844"/>
      <c r="AG2" s="844"/>
      <c r="AH2" s="845"/>
      <c r="AI2" s="845"/>
      <c r="AJ2" s="845"/>
      <c r="AK2" s="845"/>
      <c r="AL2" s="845"/>
      <c r="AM2" s="845"/>
      <c r="AN2" s="846"/>
      <c r="AQ2" s="849">
        <v>1</v>
      </c>
      <c r="AR2" s="850" t="s">
        <v>373</v>
      </c>
      <c r="AS2" s="850">
        <v>41</v>
      </c>
      <c r="AT2" s="851">
        <v>0</v>
      </c>
      <c r="AU2" s="837">
        <f>IF(AS2&gt;0,MIN(AS2-AT2),"")</f>
        <v>41</v>
      </c>
      <c r="AV2" s="850">
        <v>935</v>
      </c>
      <c r="AW2" s="851">
        <v>167</v>
      </c>
      <c r="AX2" s="839">
        <f>IF(AV2&gt;0,MIN(AV2-AW2),"")</f>
        <v>768</v>
      </c>
      <c r="AY2" s="852" t="str">
        <f>AR2&amp;"HINDI"</f>
        <v>30.09.2023HINDI</v>
      </c>
      <c r="AZ2" s="852">
        <f t="array" ref="AZ2:BD11">TRANSPOSE(G2:P6)</f>
        <v>0</v>
      </c>
      <c r="BA2" s="852">
        <v>0</v>
      </c>
      <c r="BB2" s="852">
        <v>0</v>
      </c>
      <c r="BC2" s="852">
        <v>0</v>
      </c>
      <c r="BD2" s="852">
        <v>0</v>
      </c>
      <c r="BE2" s="852" t="str">
        <f>AR2&amp;"ENGLISH"</f>
        <v>30.09.2023ENGLISH</v>
      </c>
      <c r="BF2" s="852">
        <f t="array" ref="BF2:BJ11">TRANSPOSE(S2:AB6)</f>
        <v>0</v>
      </c>
      <c r="BG2" s="852">
        <v>0</v>
      </c>
      <c r="BH2" s="852">
        <v>0</v>
      </c>
      <c r="BI2" s="852">
        <v>0</v>
      </c>
      <c r="BJ2" s="852">
        <v>0</v>
      </c>
      <c r="BK2" s="852" t="str">
        <f>AR2&amp;"MATHS"</f>
        <v>30.09.2023MATHS</v>
      </c>
      <c r="BL2" s="852">
        <f t="array" ref="BL2:BP11">TRANSPOSE(AE2:AN6)</f>
        <v>0</v>
      </c>
      <c r="BM2" s="852">
        <v>0</v>
      </c>
      <c r="BN2" s="852">
        <v>0</v>
      </c>
      <c r="BO2" s="852">
        <v>0</v>
      </c>
      <c r="BP2" s="852">
        <v>0</v>
      </c>
    </row>
    <row r="3" spans="1:68">
      <c r="A3" s="840">
        <v>2</v>
      </c>
      <c r="B3" s="841" t="s">
        <v>40</v>
      </c>
      <c r="C3" s="840" t="s">
        <v>4</v>
      </c>
      <c r="D3" s="842">
        <v>894</v>
      </c>
      <c r="F3" s="853" t="s">
        <v>374</v>
      </c>
      <c r="G3" s="854"/>
      <c r="H3" s="854"/>
      <c r="I3" s="854"/>
      <c r="J3" s="855"/>
      <c r="K3" s="855"/>
      <c r="L3" s="855"/>
      <c r="M3" s="855"/>
      <c r="N3" s="855"/>
      <c r="O3" s="855"/>
      <c r="P3" s="856"/>
      <c r="Q3" s="847"/>
      <c r="R3" s="853" t="s">
        <v>374</v>
      </c>
      <c r="S3" s="854"/>
      <c r="T3" s="854"/>
      <c r="U3" s="854"/>
      <c r="V3" s="855"/>
      <c r="W3" s="855"/>
      <c r="X3" s="855"/>
      <c r="Y3" s="855"/>
      <c r="Z3" s="855"/>
      <c r="AA3" s="855"/>
      <c r="AB3" s="856"/>
      <c r="AC3" s="812"/>
      <c r="AD3" s="853" t="s">
        <v>374</v>
      </c>
      <c r="AE3" s="854"/>
      <c r="AF3" s="854"/>
      <c r="AG3" s="854"/>
      <c r="AH3" s="855"/>
      <c r="AI3" s="855"/>
      <c r="AJ3" s="855"/>
      <c r="AK3" s="855"/>
      <c r="AL3" s="855"/>
      <c r="AM3" s="855"/>
      <c r="AN3" s="856"/>
      <c r="AQ3" s="849">
        <v>2</v>
      </c>
      <c r="AR3" s="850" t="s">
        <v>375</v>
      </c>
      <c r="AS3" s="850">
        <v>41</v>
      </c>
      <c r="AT3" s="851">
        <v>0</v>
      </c>
      <c r="AU3" s="837">
        <f t="shared" ref="AU3:AU26" si="2">IF(AS3&gt;0,MIN(AS3-AT3),"")</f>
        <v>41</v>
      </c>
      <c r="AV3" s="850">
        <v>962</v>
      </c>
      <c r="AW3" s="851">
        <v>24</v>
      </c>
      <c r="AX3" s="839">
        <f t="shared" ref="AX3:AX26" si="3">IF(AV3&gt;0,MIN(AV3-AW3),"")</f>
        <v>938</v>
      </c>
      <c r="AY3" s="852" t="str">
        <f t="shared" ref="AY3:AY10" si="4">AR3&amp;"HINDI"</f>
        <v>16.10.2023HINDI</v>
      </c>
      <c r="AZ3" s="852">
        <v>0</v>
      </c>
      <c r="BA3" s="852">
        <v>0</v>
      </c>
      <c r="BB3" s="852">
        <v>0</v>
      </c>
      <c r="BC3" s="852">
        <v>0</v>
      </c>
      <c r="BD3" s="852">
        <v>0</v>
      </c>
      <c r="BE3" s="852" t="str">
        <f t="shared" ref="BE3:BE11" si="5">AR3&amp;"ENGLISH"</f>
        <v>16.10.2023ENGLISH</v>
      </c>
      <c r="BF3" s="852">
        <v>0</v>
      </c>
      <c r="BG3" s="852">
        <v>0</v>
      </c>
      <c r="BH3" s="852">
        <v>0</v>
      </c>
      <c r="BI3" s="852">
        <v>0</v>
      </c>
      <c r="BJ3" s="852">
        <v>0</v>
      </c>
      <c r="BK3" s="852" t="str">
        <f t="shared" ref="BK3:BK11" si="6">AR3&amp;"MATHS"</f>
        <v>16.10.2023MATHS</v>
      </c>
      <c r="BL3" s="852">
        <v>0</v>
      </c>
      <c r="BM3" s="852">
        <v>0</v>
      </c>
      <c r="BN3" s="852">
        <v>0</v>
      </c>
      <c r="BO3" s="852">
        <v>0</v>
      </c>
      <c r="BP3" s="852">
        <v>0</v>
      </c>
    </row>
    <row r="4" spans="1:68">
      <c r="A4" s="840">
        <v>3</v>
      </c>
      <c r="B4" s="841" t="s">
        <v>41</v>
      </c>
      <c r="C4" s="840" t="s">
        <v>4</v>
      </c>
      <c r="D4" s="842">
        <v>4</v>
      </c>
      <c r="F4" s="853" t="s">
        <v>376</v>
      </c>
      <c r="G4" s="854"/>
      <c r="H4" s="854"/>
      <c r="I4" s="854"/>
      <c r="J4" s="855"/>
      <c r="K4" s="855"/>
      <c r="L4" s="855"/>
      <c r="M4" s="855"/>
      <c r="N4" s="855"/>
      <c r="O4" s="855"/>
      <c r="P4" s="856"/>
      <c r="Q4" s="847"/>
      <c r="R4" s="853" t="s">
        <v>376</v>
      </c>
      <c r="S4" s="854"/>
      <c r="T4" s="854"/>
      <c r="U4" s="854"/>
      <c r="V4" s="855"/>
      <c r="W4" s="855"/>
      <c r="X4" s="855"/>
      <c r="Y4" s="855"/>
      <c r="Z4" s="855"/>
      <c r="AA4" s="855"/>
      <c r="AB4" s="856"/>
      <c r="AC4" s="812"/>
      <c r="AD4" s="853" t="s">
        <v>376</v>
      </c>
      <c r="AE4" s="854"/>
      <c r="AF4" s="854"/>
      <c r="AG4" s="854"/>
      <c r="AH4" s="855"/>
      <c r="AI4" s="855"/>
      <c r="AJ4" s="855"/>
      <c r="AK4" s="855"/>
      <c r="AL4" s="855"/>
      <c r="AM4" s="855"/>
      <c r="AN4" s="856"/>
      <c r="AQ4" s="849">
        <v>3</v>
      </c>
      <c r="AR4" s="850" t="s">
        <v>377</v>
      </c>
      <c r="AS4" s="850">
        <v>40</v>
      </c>
      <c r="AT4" s="851">
        <v>0</v>
      </c>
      <c r="AU4" s="837">
        <f t="shared" si="2"/>
        <v>40</v>
      </c>
      <c r="AV4" s="850">
        <v>944</v>
      </c>
      <c r="AW4" s="851">
        <v>11</v>
      </c>
      <c r="AX4" s="839">
        <f t="shared" si="3"/>
        <v>933</v>
      </c>
      <c r="AY4" s="852" t="str">
        <f t="shared" si="4"/>
        <v>31.10.2023HINDI</v>
      </c>
      <c r="AZ4" s="852">
        <v>0</v>
      </c>
      <c r="BA4" s="852">
        <v>0</v>
      </c>
      <c r="BB4" s="852">
        <v>0</v>
      </c>
      <c r="BC4" s="852">
        <v>0</v>
      </c>
      <c r="BD4" s="852">
        <v>0</v>
      </c>
      <c r="BE4" s="852" t="str">
        <f t="shared" si="5"/>
        <v>31.10.2023ENGLISH</v>
      </c>
      <c r="BF4" s="852">
        <v>0</v>
      </c>
      <c r="BG4" s="852">
        <v>0</v>
      </c>
      <c r="BH4" s="852">
        <v>0</v>
      </c>
      <c r="BI4" s="852">
        <v>0</v>
      </c>
      <c r="BJ4" s="852">
        <v>0</v>
      </c>
      <c r="BK4" s="852" t="str">
        <f t="shared" si="6"/>
        <v>31.10.2023MATHS</v>
      </c>
      <c r="BL4" s="852">
        <v>0</v>
      </c>
      <c r="BM4" s="852">
        <v>0</v>
      </c>
      <c r="BN4" s="852">
        <v>0</v>
      </c>
      <c r="BO4" s="852">
        <v>0</v>
      </c>
      <c r="BP4" s="852">
        <v>0</v>
      </c>
    </row>
    <row r="5" spans="1:68">
      <c r="A5" s="840">
        <v>4</v>
      </c>
      <c r="B5" s="841" t="s">
        <v>43</v>
      </c>
      <c r="C5" s="840" t="s">
        <v>4</v>
      </c>
      <c r="D5" s="842">
        <v>890</v>
      </c>
      <c r="F5" s="853" t="s">
        <v>378</v>
      </c>
      <c r="G5" s="854"/>
      <c r="H5" s="854"/>
      <c r="I5" s="854"/>
      <c r="J5" s="855"/>
      <c r="K5" s="855"/>
      <c r="L5" s="855"/>
      <c r="M5" s="855"/>
      <c r="N5" s="855"/>
      <c r="O5" s="855"/>
      <c r="P5" s="856"/>
      <c r="Q5" s="847"/>
      <c r="R5" s="853" t="s">
        <v>378</v>
      </c>
      <c r="S5" s="854"/>
      <c r="T5" s="854"/>
      <c r="U5" s="854"/>
      <c r="V5" s="855"/>
      <c r="W5" s="855"/>
      <c r="X5" s="855"/>
      <c r="Y5" s="855"/>
      <c r="Z5" s="855"/>
      <c r="AA5" s="855"/>
      <c r="AB5" s="856"/>
      <c r="AC5" s="812"/>
      <c r="AD5" s="853" t="s">
        <v>378</v>
      </c>
      <c r="AE5" s="854"/>
      <c r="AF5" s="854"/>
      <c r="AG5" s="854"/>
      <c r="AH5" s="855"/>
      <c r="AI5" s="855"/>
      <c r="AJ5" s="855"/>
      <c r="AK5" s="855"/>
      <c r="AL5" s="855"/>
      <c r="AM5" s="855"/>
      <c r="AN5" s="856"/>
      <c r="AQ5" s="849">
        <v>4</v>
      </c>
      <c r="AR5" s="850" t="s">
        <v>379</v>
      </c>
      <c r="AS5" s="850">
        <v>40</v>
      </c>
      <c r="AT5" s="851">
        <v>0</v>
      </c>
      <c r="AU5" s="837">
        <f t="shared" si="2"/>
        <v>40</v>
      </c>
      <c r="AV5" s="850">
        <v>939</v>
      </c>
      <c r="AW5" s="851">
        <v>10</v>
      </c>
      <c r="AX5" s="839">
        <f t="shared" si="3"/>
        <v>929</v>
      </c>
      <c r="AY5" s="852" t="str">
        <f t="shared" si="4"/>
        <v>30.11.2023HINDI</v>
      </c>
      <c r="AZ5" s="852">
        <v>0</v>
      </c>
      <c r="BA5" s="852">
        <v>0</v>
      </c>
      <c r="BB5" s="852">
        <v>0</v>
      </c>
      <c r="BC5" s="852">
        <v>0</v>
      </c>
      <c r="BD5" s="852">
        <v>0</v>
      </c>
      <c r="BE5" s="852" t="str">
        <f t="shared" si="5"/>
        <v>30.11.2023ENGLISH</v>
      </c>
      <c r="BF5" s="852">
        <v>0</v>
      </c>
      <c r="BG5" s="852">
        <v>0</v>
      </c>
      <c r="BH5" s="852">
        <v>0</v>
      </c>
      <c r="BI5" s="852">
        <v>0</v>
      </c>
      <c r="BJ5" s="852">
        <v>0</v>
      </c>
      <c r="BK5" s="852" t="str">
        <f t="shared" si="6"/>
        <v>30.11.2023MATHS</v>
      </c>
      <c r="BL5" s="852">
        <v>0</v>
      </c>
      <c r="BM5" s="852">
        <v>0</v>
      </c>
      <c r="BN5" s="852">
        <v>0</v>
      </c>
      <c r="BO5" s="852">
        <v>0</v>
      </c>
      <c r="BP5" s="852">
        <v>0</v>
      </c>
    </row>
    <row r="6" ht="21.75" spans="1:68">
      <c r="A6" s="840">
        <v>5</v>
      </c>
      <c r="B6" s="841"/>
      <c r="C6" s="840"/>
      <c r="D6" s="842"/>
      <c r="F6" s="857" t="s">
        <v>380</v>
      </c>
      <c r="G6" s="858"/>
      <c r="H6" s="858"/>
      <c r="I6" s="858"/>
      <c r="J6" s="859"/>
      <c r="K6" s="859"/>
      <c r="L6" s="859"/>
      <c r="M6" s="859"/>
      <c r="N6" s="859"/>
      <c r="O6" s="859"/>
      <c r="P6" s="860"/>
      <c r="Q6" s="847"/>
      <c r="R6" s="857" t="s">
        <v>380</v>
      </c>
      <c r="S6" s="858"/>
      <c r="T6" s="858"/>
      <c r="U6" s="858"/>
      <c r="V6" s="859"/>
      <c r="W6" s="859"/>
      <c r="X6" s="859"/>
      <c r="Y6" s="859"/>
      <c r="Z6" s="859"/>
      <c r="AA6" s="859"/>
      <c r="AB6" s="860"/>
      <c r="AC6" s="812"/>
      <c r="AD6" s="857" t="s">
        <v>380</v>
      </c>
      <c r="AE6" s="858"/>
      <c r="AF6" s="858"/>
      <c r="AG6" s="858"/>
      <c r="AH6" s="859"/>
      <c r="AI6" s="859"/>
      <c r="AJ6" s="859"/>
      <c r="AK6" s="859"/>
      <c r="AL6" s="859"/>
      <c r="AM6" s="859"/>
      <c r="AN6" s="860"/>
      <c r="AQ6" s="849">
        <v>5</v>
      </c>
      <c r="AR6" s="861" t="s">
        <v>381</v>
      </c>
      <c r="AS6" s="850">
        <v>40</v>
      </c>
      <c r="AT6" s="851">
        <v>0</v>
      </c>
      <c r="AU6" s="837">
        <f t="shared" si="2"/>
        <v>40</v>
      </c>
      <c r="AV6" s="850">
        <v>928</v>
      </c>
      <c r="AW6" s="851">
        <v>9</v>
      </c>
      <c r="AX6" s="839">
        <f t="shared" si="3"/>
        <v>919</v>
      </c>
      <c r="AY6" s="852" t="str">
        <f t="shared" si="4"/>
        <v>15.12.2023HINDI</v>
      </c>
      <c r="AZ6" s="852">
        <v>0</v>
      </c>
      <c r="BA6" s="852">
        <v>0</v>
      </c>
      <c r="BB6" s="852">
        <v>0</v>
      </c>
      <c r="BC6" s="852">
        <v>0</v>
      </c>
      <c r="BD6" s="852">
        <v>0</v>
      </c>
      <c r="BE6" s="852" t="str">
        <f t="shared" si="5"/>
        <v>15.12.2023ENGLISH</v>
      </c>
      <c r="BF6" s="852">
        <v>0</v>
      </c>
      <c r="BG6" s="852">
        <v>0</v>
      </c>
      <c r="BH6" s="852">
        <v>0</v>
      </c>
      <c r="BI6" s="852">
        <v>0</v>
      </c>
      <c r="BJ6" s="852">
        <v>0</v>
      </c>
      <c r="BK6" s="852" t="str">
        <f t="shared" si="6"/>
        <v>15.12.2023MATHS</v>
      </c>
      <c r="BL6" s="852">
        <v>0</v>
      </c>
      <c r="BM6" s="852">
        <v>0</v>
      </c>
      <c r="BN6" s="852">
        <v>0</v>
      </c>
      <c r="BO6" s="852">
        <v>0</v>
      </c>
      <c r="BP6" s="852">
        <v>0</v>
      </c>
    </row>
    <row r="7" ht="21.75" spans="1:68">
      <c r="A7" s="840">
        <v>6</v>
      </c>
      <c r="B7" s="841"/>
      <c r="C7" s="840"/>
      <c r="D7" s="842"/>
      <c r="F7" s="862" t="s">
        <v>382</v>
      </c>
      <c r="G7" s="863">
        <f>SUM(G2:G6)</f>
        <v>0</v>
      </c>
      <c r="H7" s="864">
        <f t="shared" ref="H7:P7" si="7">SUM(H2:H6)</f>
        <v>0</v>
      </c>
      <c r="I7" s="864">
        <f t="shared" si="7"/>
        <v>0</v>
      </c>
      <c r="J7" s="864">
        <f t="shared" si="7"/>
        <v>0</v>
      </c>
      <c r="K7" s="864">
        <f t="shared" si="7"/>
        <v>0</v>
      </c>
      <c r="L7" s="864">
        <f t="shared" si="7"/>
        <v>0</v>
      </c>
      <c r="M7" s="864">
        <f t="shared" si="7"/>
        <v>0</v>
      </c>
      <c r="N7" s="864">
        <f t="shared" si="7"/>
        <v>0</v>
      </c>
      <c r="O7" s="864">
        <f t="shared" si="7"/>
        <v>0</v>
      </c>
      <c r="P7" s="865">
        <f t="shared" si="7"/>
        <v>0</v>
      </c>
      <c r="Q7" s="866"/>
      <c r="R7" s="862" t="s">
        <v>382</v>
      </c>
      <c r="S7" s="863">
        <f>SUM(S2:S6)</f>
        <v>0</v>
      </c>
      <c r="T7" s="864">
        <f t="shared" ref="T7:AB7" si="8">SUM(T2:T6)</f>
        <v>0</v>
      </c>
      <c r="U7" s="864">
        <f t="shared" si="8"/>
        <v>0</v>
      </c>
      <c r="V7" s="864">
        <f t="shared" si="8"/>
        <v>0</v>
      </c>
      <c r="W7" s="864">
        <f t="shared" si="8"/>
        <v>0</v>
      </c>
      <c r="X7" s="864">
        <f t="shared" si="8"/>
        <v>0</v>
      </c>
      <c r="Y7" s="864">
        <f t="shared" si="8"/>
        <v>0</v>
      </c>
      <c r="Z7" s="864">
        <f t="shared" si="8"/>
        <v>0</v>
      </c>
      <c r="AA7" s="864">
        <f t="shared" si="8"/>
        <v>0</v>
      </c>
      <c r="AB7" s="865">
        <f t="shared" si="8"/>
        <v>0</v>
      </c>
      <c r="AC7" s="866"/>
      <c r="AD7" s="862" t="s">
        <v>382</v>
      </c>
      <c r="AE7" s="863">
        <f>SUM(AE2:AE6)</f>
        <v>0</v>
      </c>
      <c r="AF7" s="864">
        <f t="shared" ref="AF7:AN7" si="9">SUM(AF2:AF6)</f>
        <v>0</v>
      </c>
      <c r="AG7" s="864">
        <f t="shared" si="9"/>
        <v>0</v>
      </c>
      <c r="AH7" s="864">
        <f t="shared" si="9"/>
        <v>0</v>
      </c>
      <c r="AI7" s="864">
        <f t="shared" si="9"/>
        <v>0</v>
      </c>
      <c r="AJ7" s="864">
        <f t="shared" si="9"/>
        <v>0</v>
      </c>
      <c r="AK7" s="864">
        <f t="shared" si="9"/>
        <v>0</v>
      </c>
      <c r="AL7" s="864">
        <f t="shared" si="9"/>
        <v>0</v>
      </c>
      <c r="AM7" s="864">
        <f t="shared" si="9"/>
        <v>0</v>
      </c>
      <c r="AN7" s="865">
        <f t="shared" si="9"/>
        <v>0</v>
      </c>
      <c r="AQ7" s="849">
        <v>6</v>
      </c>
      <c r="AR7" s="850" t="s">
        <v>383</v>
      </c>
      <c r="AS7" s="850">
        <v>40</v>
      </c>
      <c r="AT7" s="851">
        <v>0</v>
      </c>
      <c r="AU7" s="837">
        <f t="shared" si="2"/>
        <v>40</v>
      </c>
      <c r="AV7" s="850">
        <v>928</v>
      </c>
      <c r="AW7" s="851">
        <v>7</v>
      </c>
      <c r="AX7" s="839">
        <f t="shared" si="3"/>
        <v>921</v>
      </c>
      <c r="AY7" s="852" t="str">
        <f t="shared" si="4"/>
        <v>30.12.2023HINDI</v>
      </c>
      <c r="AZ7" s="852">
        <v>0</v>
      </c>
      <c r="BA7" s="852">
        <v>0</v>
      </c>
      <c r="BB7" s="852">
        <v>0</v>
      </c>
      <c r="BC7" s="852">
        <v>0</v>
      </c>
      <c r="BD7" s="852">
        <v>0</v>
      </c>
      <c r="BE7" s="852" t="str">
        <f t="shared" si="5"/>
        <v>30.12.2023ENGLISH</v>
      </c>
      <c r="BF7" s="852">
        <v>0</v>
      </c>
      <c r="BG7" s="852">
        <v>0</v>
      </c>
      <c r="BH7" s="852">
        <v>0</v>
      </c>
      <c r="BI7" s="852">
        <v>0</v>
      </c>
      <c r="BJ7" s="852">
        <v>0</v>
      </c>
      <c r="BK7" s="852" t="str">
        <f t="shared" si="6"/>
        <v>30.12.2023MATHS</v>
      </c>
      <c r="BL7" s="852">
        <v>0</v>
      </c>
      <c r="BM7" s="852">
        <v>0</v>
      </c>
      <c r="BN7" s="852">
        <v>0</v>
      </c>
      <c r="BO7" s="852">
        <v>0</v>
      </c>
      <c r="BP7" s="852">
        <v>0</v>
      </c>
    </row>
    <row r="8" spans="1:68">
      <c r="AQ8" s="849">
        <v>7</v>
      </c>
      <c r="AR8" s="850" t="s">
        <v>384</v>
      </c>
      <c r="AS8" s="850">
        <v>40</v>
      </c>
      <c r="AT8" s="851">
        <v>0</v>
      </c>
      <c r="AU8" s="837">
        <f t="shared" si="2"/>
        <v>40</v>
      </c>
      <c r="AV8" s="850">
        <v>914</v>
      </c>
      <c r="AW8" s="851">
        <v>6</v>
      </c>
      <c r="AX8" s="839">
        <f t="shared" si="3"/>
        <v>908</v>
      </c>
      <c r="AY8" s="852" t="str">
        <f t="shared" si="4"/>
        <v>31.01.2024HINDI</v>
      </c>
      <c r="AZ8" s="852">
        <v>0</v>
      </c>
      <c r="BA8" s="852">
        <v>0</v>
      </c>
      <c r="BB8" s="852">
        <v>0</v>
      </c>
      <c r="BC8" s="852">
        <v>0</v>
      </c>
      <c r="BD8" s="852">
        <v>0</v>
      </c>
      <c r="BE8" s="852" t="str">
        <f t="shared" si="5"/>
        <v>31.01.2024ENGLISH</v>
      </c>
      <c r="BF8" s="852">
        <v>0</v>
      </c>
      <c r="BG8" s="852">
        <v>0</v>
      </c>
      <c r="BH8" s="852">
        <v>0</v>
      </c>
      <c r="BI8" s="852">
        <v>0</v>
      </c>
      <c r="BJ8" s="852">
        <v>0</v>
      </c>
      <c r="BK8" s="852" t="str">
        <f t="shared" si="6"/>
        <v>31.01.2024MATHS</v>
      </c>
      <c r="BL8" s="852">
        <v>0</v>
      </c>
      <c r="BM8" s="852">
        <v>0</v>
      </c>
      <c r="BN8" s="852">
        <v>0</v>
      </c>
      <c r="BO8" s="852">
        <v>0</v>
      </c>
      <c r="BP8" s="852">
        <v>0</v>
      </c>
    </row>
    <row r="9" spans="1:68">
      <c r="AQ9" s="849">
        <v>8</v>
      </c>
      <c r="AR9" s="850" t="s">
        <v>385</v>
      </c>
      <c r="AS9" s="850">
        <v>40</v>
      </c>
      <c r="AT9" s="851">
        <v>0</v>
      </c>
      <c r="AU9" s="837">
        <f t="shared" si="2"/>
        <v>40</v>
      </c>
      <c r="AV9" s="850">
        <v>900</v>
      </c>
      <c r="AW9" s="851">
        <v>4</v>
      </c>
      <c r="AX9" s="839">
        <f t="shared" si="3"/>
        <v>896</v>
      </c>
      <c r="AY9" s="852" t="str">
        <f t="shared" si="4"/>
        <v>15.02.2024HINDI</v>
      </c>
      <c r="AZ9" s="852">
        <v>0</v>
      </c>
      <c r="BA9" s="852">
        <v>0</v>
      </c>
      <c r="BB9" s="852">
        <v>0</v>
      </c>
      <c r="BC9" s="852">
        <v>0</v>
      </c>
      <c r="BD9" s="852">
        <v>0</v>
      </c>
      <c r="BE9" s="852" t="str">
        <f t="shared" si="5"/>
        <v>15.02.2024ENGLISH</v>
      </c>
      <c r="BF9" s="852">
        <v>0</v>
      </c>
      <c r="BG9" s="852">
        <v>0</v>
      </c>
      <c r="BH9" s="852">
        <v>0</v>
      </c>
      <c r="BI9" s="852">
        <v>0</v>
      </c>
      <c r="BJ9" s="852">
        <v>0</v>
      </c>
      <c r="BK9" s="852" t="str">
        <f t="shared" si="6"/>
        <v>15.02.2024MATHS</v>
      </c>
      <c r="BL9" s="852">
        <v>0</v>
      </c>
      <c r="BM9" s="852">
        <v>0</v>
      </c>
      <c r="BN9" s="852">
        <v>0</v>
      </c>
      <c r="BO9" s="852">
        <v>0</v>
      </c>
      <c r="BP9" s="852">
        <v>0</v>
      </c>
    </row>
    <row r="10" spans="1:68">
      <c r="AQ10" s="849">
        <v>9</v>
      </c>
      <c r="AR10" s="850" t="s">
        <v>386</v>
      </c>
      <c r="AS10" s="850">
        <v>40</v>
      </c>
      <c r="AT10" s="851">
        <v>0</v>
      </c>
      <c r="AU10" s="837">
        <f t="shared" si="2"/>
        <v>40</v>
      </c>
      <c r="AV10" s="850">
        <v>894</v>
      </c>
      <c r="AW10" s="851">
        <v>4</v>
      </c>
      <c r="AX10" s="839">
        <f t="shared" si="3"/>
        <v>890</v>
      </c>
      <c r="AY10" s="852" t="str">
        <f t="shared" si="4"/>
        <v>29.02.2024HINDI</v>
      </c>
      <c r="AZ10" s="852">
        <v>0</v>
      </c>
      <c r="BA10" s="852">
        <v>0</v>
      </c>
      <c r="BB10" s="852">
        <v>0</v>
      </c>
      <c r="BC10" s="852">
        <v>0</v>
      </c>
      <c r="BD10" s="852">
        <v>0</v>
      </c>
      <c r="BE10" s="852" t="str">
        <f t="shared" si="5"/>
        <v>29.02.2024ENGLISH</v>
      </c>
      <c r="BF10" s="852">
        <v>0</v>
      </c>
      <c r="BG10" s="852">
        <v>0</v>
      </c>
      <c r="BH10" s="852">
        <v>0</v>
      </c>
      <c r="BI10" s="852">
        <v>0</v>
      </c>
      <c r="BJ10" s="852">
        <v>0</v>
      </c>
      <c r="BK10" s="852" t="str">
        <f t="shared" si="6"/>
        <v>29.02.2024MATHS</v>
      </c>
      <c r="BL10" s="852">
        <v>0</v>
      </c>
      <c r="BM10" s="852">
        <v>0</v>
      </c>
      <c r="BN10" s="852">
        <v>0</v>
      </c>
      <c r="BO10" s="852">
        <v>0</v>
      </c>
      <c r="BP10" s="852">
        <v>0</v>
      </c>
    </row>
    <row r="11" spans="1:68">
      <c r="AQ11" s="849">
        <v>10</v>
      </c>
      <c r="AR11" s="850"/>
      <c r="AS11" s="850"/>
      <c r="AT11" s="851"/>
      <c r="AU11" s="837" t="str">
        <f t="shared" si="2"/>
        <v/>
      </c>
      <c r="AV11" s="850"/>
      <c r="AW11" s="851"/>
      <c r="AX11" s="839" t="str">
        <f t="shared" si="3"/>
        <v/>
      </c>
      <c r="AY11" s="852" t="str">
        <f t="shared" ref="AY11" si="10">AR11&amp;"HINDI"</f>
        <v>HINDI</v>
      </c>
      <c r="AZ11" s="852">
        <v>0</v>
      </c>
      <c r="BA11" s="852">
        <v>0</v>
      </c>
      <c r="BB11" s="852">
        <v>0</v>
      </c>
      <c r="BC11" s="852">
        <v>0</v>
      </c>
      <c r="BD11" s="852">
        <v>0</v>
      </c>
      <c r="BE11" s="852" t="str">
        <f t="shared" si="5"/>
        <v>ENGLISH</v>
      </c>
      <c r="BF11" s="852">
        <v>0</v>
      </c>
      <c r="BG11" s="852">
        <v>0</v>
      </c>
      <c r="BH11" s="852">
        <v>0</v>
      </c>
      <c r="BI11" s="852">
        <v>0</v>
      </c>
      <c r="BJ11" s="852">
        <v>0</v>
      </c>
      <c r="BK11" s="852" t="str">
        <f t="shared" si="6"/>
        <v>MATHS</v>
      </c>
      <c r="BL11" s="852">
        <v>0</v>
      </c>
      <c r="BM11" s="852">
        <v>0</v>
      </c>
      <c r="BN11" s="852">
        <v>0</v>
      </c>
      <c r="BO11" s="852">
        <v>0</v>
      </c>
      <c r="BP11" s="852">
        <v>0</v>
      </c>
    </row>
    <row r="12" spans="1:68">
      <c r="AQ12" s="849">
        <v>11</v>
      </c>
      <c r="AR12" s="850"/>
      <c r="AS12" s="850"/>
      <c r="AT12" s="851"/>
      <c r="AU12" s="837" t="str">
        <f t="shared" si="2"/>
        <v/>
      </c>
      <c r="AV12" s="850"/>
      <c r="AW12" s="851"/>
      <c r="AX12" s="839" t="str">
        <f t="shared" si="3"/>
        <v/>
      </c>
      <c r="AY12" s="852"/>
      <c r="AZ12" s="852"/>
      <c r="BA12" s="852"/>
      <c r="BB12" s="852"/>
      <c r="BC12" s="852"/>
      <c r="BD12" s="852"/>
      <c r="BE12" s="852"/>
      <c r="BF12" s="852"/>
      <c r="BG12" s="852"/>
      <c r="BH12" s="852"/>
      <c r="BI12" s="852"/>
      <c r="BJ12" s="852"/>
      <c r="BK12" s="852"/>
      <c r="BL12" s="852"/>
      <c r="BM12" s="852"/>
      <c r="BN12" s="852"/>
      <c r="BO12" s="852"/>
      <c r="BP12" s="852"/>
    </row>
    <row r="13" spans="1:68">
      <c r="AQ13" s="849">
        <v>12</v>
      </c>
      <c r="AR13" s="850"/>
      <c r="AS13" s="850"/>
      <c r="AT13" s="851"/>
      <c r="AU13" s="837" t="str">
        <f t="shared" si="2"/>
        <v/>
      </c>
      <c r="AV13" s="850"/>
      <c r="AW13" s="851"/>
      <c r="AX13" s="839" t="str">
        <f t="shared" si="3"/>
        <v/>
      </c>
      <c r="AY13" s="852"/>
      <c r="AZ13" s="852"/>
      <c r="BA13" s="852"/>
      <c r="BB13" s="852"/>
      <c r="BC13" s="852"/>
      <c r="BD13" s="852"/>
      <c r="BE13" s="852"/>
      <c r="BF13" s="852"/>
      <c r="BG13" s="852"/>
      <c r="BH13" s="852"/>
      <c r="BI13" s="852"/>
      <c r="BJ13" s="852"/>
      <c r="BK13" s="852"/>
      <c r="BL13" s="852"/>
      <c r="BM13" s="852"/>
      <c r="BN13" s="852"/>
      <c r="BO13" s="852"/>
      <c r="BP13" s="852"/>
    </row>
    <row r="14" spans="1:68">
      <c r="AQ14" s="849">
        <v>13</v>
      </c>
      <c r="AR14" s="850"/>
      <c r="AS14" s="850"/>
      <c r="AT14" s="851"/>
      <c r="AU14" s="837" t="str">
        <f t="shared" si="2"/>
        <v/>
      </c>
      <c r="AV14" s="850"/>
      <c r="AW14" s="851"/>
      <c r="AX14" s="839" t="str">
        <f t="shared" si="3"/>
        <v/>
      </c>
      <c r="AY14" s="852"/>
      <c r="AZ14" s="852"/>
      <c r="BA14" s="852"/>
      <c r="BB14" s="852"/>
      <c r="BC14" s="852"/>
      <c r="BD14" s="852"/>
      <c r="BE14" s="852"/>
      <c r="BF14" s="852"/>
      <c r="BG14" s="852"/>
      <c r="BH14" s="852"/>
      <c r="BI14" s="852"/>
      <c r="BJ14" s="852"/>
      <c r="BK14" s="852"/>
      <c r="BL14" s="852"/>
      <c r="BM14" s="852"/>
      <c r="BN14" s="852"/>
      <c r="BO14" s="852"/>
      <c r="BP14" s="852"/>
    </row>
    <row r="15" spans="1:68">
      <c r="AQ15" s="849">
        <v>14</v>
      </c>
      <c r="AR15" s="850"/>
      <c r="AS15" s="850"/>
      <c r="AT15" s="851"/>
      <c r="AU15" s="837" t="str">
        <f t="shared" si="2"/>
        <v/>
      </c>
      <c r="AV15" s="850"/>
      <c r="AW15" s="851"/>
      <c r="AX15" s="839" t="str">
        <f t="shared" si="3"/>
        <v/>
      </c>
      <c r="AY15" s="852"/>
      <c r="AZ15" s="852"/>
      <c r="BA15" s="852"/>
      <c r="BB15" s="852"/>
      <c r="BC15" s="852"/>
      <c r="BD15" s="852"/>
      <c r="BE15" s="852"/>
      <c r="BF15" s="852"/>
      <c r="BG15" s="852"/>
      <c r="BH15" s="852"/>
      <c r="BI15" s="852"/>
      <c r="BJ15" s="852"/>
      <c r="BK15" s="852"/>
      <c r="BL15" s="852"/>
      <c r="BM15" s="852"/>
      <c r="BN15" s="852"/>
      <c r="BO15" s="852"/>
      <c r="BP15" s="852"/>
    </row>
    <row r="16" spans="1:68">
      <c r="AQ16" s="849">
        <v>15</v>
      </c>
      <c r="AR16" s="850"/>
      <c r="AS16" s="850"/>
      <c r="AT16" s="851"/>
      <c r="AU16" s="837" t="str">
        <f t="shared" si="2"/>
        <v/>
      </c>
      <c r="AV16" s="850"/>
      <c r="AW16" s="851"/>
      <c r="AX16" s="839" t="str">
        <f t="shared" si="3"/>
        <v/>
      </c>
      <c r="AY16" s="852"/>
      <c r="AZ16" s="852"/>
      <c r="BA16" s="852"/>
      <c r="BB16" s="852"/>
      <c r="BC16" s="852"/>
      <c r="BD16" s="852"/>
      <c r="BE16" s="852"/>
      <c r="BF16" s="852"/>
      <c r="BG16" s="852"/>
      <c r="BH16" s="852"/>
      <c r="BI16" s="852"/>
      <c r="BJ16" s="852"/>
      <c r="BK16" s="852"/>
      <c r="BL16" s="852"/>
      <c r="BM16" s="852"/>
      <c r="BN16" s="852"/>
      <c r="BO16" s="852"/>
      <c r="BP16" s="852"/>
    </row>
    <row r="17" spans="43:68">
      <c r="AQ17" s="849">
        <v>16</v>
      </c>
      <c r="AR17" s="850"/>
      <c r="AS17" s="850"/>
      <c r="AT17" s="851"/>
      <c r="AU17" s="837" t="str">
        <f t="shared" si="2"/>
        <v/>
      </c>
      <c r="AV17" s="850"/>
      <c r="AW17" s="851"/>
      <c r="AX17" s="839" t="str">
        <f t="shared" si="3"/>
        <v/>
      </c>
      <c r="AY17" s="852"/>
      <c r="AZ17" s="852"/>
      <c r="BA17" s="852"/>
      <c r="BB17" s="852"/>
      <c r="BC17" s="852"/>
      <c r="BD17" s="852"/>
      <c r="BE17" s="852"/>
      <c r="BF17" s="852"/>
      <c r="BG17" s="852"/>
      <c r="BH17" s="852"/>
      <c r="BI17" s="852"/>
      <c r="BJ17" s="852"/>
      <c r="BK17" s="852"/>
      <c r="BL17" s="852"/>
      <c r="BM17" s="852"/>
      <c r="BN17" s="852"/>
      <c r="BO17" s="852"/>
      <c r="BP17" s="852"/>
    </row>
    <row r="18" spans="43:68">
      <c r="AQ18" s="849">
        <v>17</v>
      </c>
      <c r="AR18" s="850"/>
      <c r="AS18" s="850"/>
      <c r="AT18" s="851"/>
      <c r="AU18" s="837" t="str">
        <f t="shared" si="2"/>
        <v/>
      </c>
      <c r="AV18" s="850"/>
      <c r="AW18" s="851"/>
      <c r="AX18" s="839" t="str">
        <f t="shared" si="3"/>
        <v/>
      </c>
      <c r="AY18" s="852"/>
      <c r="AZ18" s="852"/>
      <c r="BA18" s="852"/>
      <c r="BB18" s="852"/>
      <c r="BC18" s="852"/>
      <c r="BD18" s="852"/>
      <c r="BE18" s="852"/>
      <c r="BF18" s="852"/>
      <c r="BG18" s="852"/>
      <c r="BH18" s="852"/>
      <c r="BI18" s="852"/>
      <c r="BJ18" s="852"/>
      <c r="BK18" s="852"/>
      <c r="BL18" s="852"/>
      <c r="BM18" s="852"/>
      <c r="BN18" s="852"/>
      <c r="BO18" s="852"/>
      <c r="BP18" s="852"/>
    </row>
    <row r="19" spans="43:68">
      <c r="AQ19" s="849">
        <v>18</v>
      </c>
      <c r="AR19" s="850"/>
      <c r="AS19" s="850"/>
      <c r="AT19" s="851"/>
      <c r="AU19" s="837" t="str">
        <f t="shared" si="2"/>
        <v/>
      </c>
      <c r="AV19" s="850"/>
      <c r="AW19" s="851"/>
      <c r="AX19" s="839" t="str">
        <f t="shared" si="3"/>
        <v/>
      </c>
      <c r="AY19" s="852"/>
      <c r="AZ19" s="852"/>
      <c r="BA19" s="852"/>
      <c r="BB19" s="852"/>
      <c r="BC19" s="852"/>
      <c r="BD19" s="852"/>
      <c r="BE19" s="852"/>
      <c r="BF19" s="852"/>
      <c r="BG19" s="852"/>
      <c r="BH19" s="852"/>
      <c r="BI19" s="852"/>
      <c r="BJ19" s="852"/>
      <c r="BK19" s="852"/>
      <c r="BL19" s="852"/>
      <c r="BM19" s="852"/>
      <c r="BN19" s="852"/>
      <c r="BO19" s="852"/>
      <c r="BP19" s="852"/>
    </row>
    <row r="20" spans="43:68">
      <c r="AQ20" s="849">
        <v>19</v>
      </c>
      <c r="AR20" s="850"/>
      <c r="AS20" s="850"/>
      <c r="AT20" s="851"/>
      <c r="AU20" s="837" t="str">
        <f t="shared" si="2"/>
        <v/>
      </c>
      <c r="AV20" s="850"/>
      <c r="AW20" s="851"/>
      <c r="AX20" s="839" t="str">
        <f t="shared" si="3"/>
        <v/>
      </c>
      <c r="AY20" s="852"/>
      <c r="AZ20" s="852"/>
      <c r="BA20" s="852"/>
      <c r="BB20" s="852"/>
      <c r="BC20" s="852"/>
      <c r="BD20" s="852"/>
      <c r="BE20" s="852"/>
      <c r="BF20" s="852"/>
      <c r="BG20" s="852"/>
      <c r="BH20" s="852"/>
      <c r="BI20" s="852"/>
      <c r="BJ20" s="852"/>
      <c r="BK20" s="852"/>
      <c r="BL20" s="852"/>
      <c r="BM20" s="852"/>
      <c r="BN20" s="852"/>
      <c r="BO20" s="852"/>
      <c r="BP20" s="852"/>
    </row>
    <row r="21" spans="43:68">
      <c r="AQ21" s="849">
        <v>20</v>
      </c>
      <c r="AR21" s="850"/>
      <c r="AS21" s="850"/>
      <c r="AT21" s="851"/>
      <c r="AU21" s="837" t="str">
        <f t="shared" si="2"/>
        <v/>
      </c>
      <c r="AV21" s="850"/>
      <c r="AW21" s="851"/>
      <c r="AX21" s="839" t="str">
        <f t="shared" si="3"/>
        <v/>
      </c>
      <c r="AY21" s="852"/>
      <c r="AZ21" s="852"/>
      <c r="BA21" s="852"/>
      <c r="BB21" s="852"/>
      <c r="BC21" s="852"/>
      <c r="BD21" s="852"/>
      <c r="BE21" s="852"/>
      <c r="BF21" s="852"/>
      <c r="BG21" s="852"/>
      <c r="BH21" s="852"/>
      <c r="BI21" s="852"/>
      <c r="BJ21" s="852"/>
      <c r="BK21" s="852"/>
      <c r="BL21" s="852"/>
      <c r="BM21" s="852"/>
      <c r="BN21" s="852"/>
      <c r="BO21" s="852"/>
      <c r="BP21" s="852"/>
    </row>
    <row r="22" spans="43:68">
      <c r="AQ22" s="849">
        <v>21</v>
      </c>
      <c r="AR22" s="850"/>
      <c r="AS22" s="850"/>
      <c r="AT22" s="851"/>
      <c r="AU22" s="837" t="str">
        <f t="shared" si="2"/>
        <v/>
      </c>
      <c r="AV22" s="850"/>
      <c r="AW22" s="851"/>
      <c r="AX22" s="839" t="str">
        <f t="shared" si="3"/>
        <v/>
      </c>
      <c r="AY22" s="852"/>
      <c r="AZ22" s="852"/>
      <c r="BA22" s="852"/>
      <c r="BB22" s="852"/>
      <c r="BC22" s="852"/>
      <c r="BD22" s="852"/>
      <c r="BE22" s="852"/>
      <c r="BF22" s="852"/>
      <c r="BG22" s="852"/>
      <c r="BH22" s="852"/>
      <c r="BI22" s="852"/>
      <c r="BJ22" s="852"/>
      <c r="BK22" s="852"/>
      <c r="BL22" s="852"/>
      <c r="BM22" s="852"/>
      <c r="BN22" s="852"/>
      <c r="BO22" s="852"/>
      <c r="BP22" s="852"/>
    </row>
    <row r="23" spans="43:68">
      <c r="AQ23" s="849">
        <v>22</v>
      </c>
      <c r="AR23" s="850"/>
      <c r="AS23" s="850"/>
      <c r="AT23" s="851"/>
      <c r="AU23" s="837" t="str">
        <f t="shared" si="2"/>
        <v/>
      </c>
      <c r="AV23" s="850"/>
      <c r="AW23" s="851"/>
      <c r="AX23" s="839" t="str">
        <f t="shared" si="3"/>
        <v/>
      </c>
      <c r="AY23" s="852"/>
      <c r="AZ23" s="852"/>
      <c r="BA23" s="852"/>
      <c r="BB23" s="852"/>
      <c r="BC23" s="852"/>
      <c r="BD23" s="852"/>
      <c r="BE23" s="852"/>
      <c r="BF23" s="852"/>
      <c r="BG23" s="852"/>
      <c r="BH23" s="852"/>
      <c r="BI23" s="852"/>
      <c r="BJ23" s="852"/>
      <c r="BK23" s="852"/>
      <c r="BL23" s="852"/>
      <c r="BM23" s="852"/>
      <c r="BN23" s="852"/>
      <c r="BO23" s="852"/>
      <c r="BP23" s="852"/>
    </row>
    <row r="24" spans="43:68">
      <c r="AQ24" s="849">
        <v>23</v>
      </c>
      <c r="AR24" s="850"/>
      <c r="AS24" s="850"/>
      <c r="AT24" s="851"/>
      <c r="AU24" s="837" t="str">
        <f t="shared" si="2"/>
        <v/>
      </c>
      <c r="AV24" s="850"/>
      <c r="AW24" s="851"/>
      <c r="AX24" s="839" t="str">
        <f t="shared" si="3"/>
        <v/>
      </c>
      <c r="AY24" s="852"/>
      <c r="AZ24" s="852"/>
      <c r="BA24" s="852"/>
      <c r="BB24" s="852"/>
      <c r="BC24" s="852"/>
      <c r="BD24" s="852"/>
      <c r="BE24" s="852"/>
      <c r="BF24" s="852"/>
      <c r="BG24" s="852"/>
      <c r="BH24" s="852"/>
      <c r="BI24" s="852"/>
      <c r="BJ24" s="852"/>
      <c r="BK24" s="852"/>
      <c r="BL24" s="852"/>
      <c r="BM24" s="852"/>
      <c r="BN24" s="852"/>
      <c r="BO24" s="852"/>
      <c r="BP24" s="852"/>
    </row>
    <row r="25" spans="43:68">
      <c r="AQ25" s="849">
        <v>24</v>
      </c>
      <c r="AR25" s="850"/>
      <c r="AS25" s="850"/>
      <c r="AT25" s="851"/>
      <c r="AU25" s="837" t="str">
        <f t="shared" si="2"/>
        <v/>
      </c>
      <c r="AV25" s="850"/>
      <c r="AW25" s="851"/>
      <c r="AX25" s="839" t="str">
        <f t="shared" si="3"/>
        <v/>
      </c>
      <c r="AY25" s="852"/>
      <c r="AZ25" s="852"/>
      <c r="BA25" s="852"/>
      <c r="BB25" s="852"/>
      <c r="BC25" s="852"/>
      <c r="BD25" s="852"/>
      <c r="BE25" s="852"/>
      <c r="BF25" s="852"/>
      <c r="BG25" s="852"/>
      <c r="BH25" s="852"/>
      <c r="BI25" s="852"/>
      <c r="BJ25" s="852"/>
      <c r="BK25" s="852"/>
      <c r="BL25" s="852"/>
      <c r="BM25" s="852"/>
      <c r="BN25" s="852"/>
      <c r="BO25" s="852"/>
      <c r="BP25" s="852"/>
    </row>
    <row r="26" spans="43:68">
      <c r="AQ26" s="849">
        <v>25</v>
      </c>
      <c r="AR26" s="850"/>
      <c r="AS26" s="850"/>
      <c r="AT26" s="851"/>
      <c r="AU26" s="837" t="str">
        <f t="shared" si="2"/>
        <v/>
      </c>
      <c r="AV26" s="850"/>
      <c r="AW26" s="851"/>
      <c r="AX26" s="839" t="str">
        <f t="shared" si="3"/>
        <v/>
      </c>
      <c r="AY26" s="852"/>
      <c r="AZ26" s="852"/>
      <c r="BA26" s="852"/>
      <c r="BB26" s="852"/>
      <c r="BC26" s="852"/>
      <c r="BD26" s="852"/>
      <c r="BE26" s="852"/>
      <c r="BF26" s="852"/>
      <c r="BG26" s="852"/>
      <c r="BH26" s="852"/>
      <c r="BI26" s="852"/>
      <c r="BJ26" s="852"/>
      <c r="BK26" s="852"/>
      <c r="BL26" s="852"/>
      <c r="BM26" s="852"/>
      <c r="BN26" s="852"/>
      <c r="BO26" s="852"/>
      <c r="BP26" s="852"/>
    </row>
  </sheetData>
  <sheetProtection password="BF6F" sheet="1" formatCells="0" formatColumns="0" formatRows="0" objects="1" scenarios="1"/>
  <mergeCells count="2">
    <mergeCell ref="A1:D1"/>
    <mergeCell ref="AQ1:AR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103"/>
  <sheetViews>
    <sheetView zoomScale="55" zoomScaleNormal="55" workbookViewId="0">
      <pane xSplit="5" ySplit="3" topLeftCell="F80" activePane="bottomRight" state="frozen"/>
      <selection/>
      <selection pane="topRight"/>
      <selection pane="bottomLeft"/>
      <selection pane="bottomRight" activeCell="F37" sqref="F37"/>
    </sheetView>
  </sheetViews>
  <sheetFormatPr defaultColWidth="9.13888888888889" defaultRowHeight="18"/>
  <cols>
    <col min="1" max="1" width="7.86111111111111" style="812" customWidth="1"/>
    <col min="2" max="2" width="13.8611111111111" style="812" customWidth="1"/>
    <col min="3" max="3" width="18.8611111111111" style="812" customWidth="1"/>
    <col min="4" max="5" width="35.712962962963" style="817" customWidth="1"/>
    <col min="6" max="6" width="12.712962962963" style="812" customWidth="1"/>
    <col min="7" max="7" width="33.712962962963" style="812" customWidth="1"/>
    <col min="8" max="8" width="12.712962962963" style="812" customWidth="1"/>
    <col min="9" max="12" width="9.71296296296296" style="818" customWidth="1"/>
    <col min="13" max="15" width="9.13888888888889" style="812"/>
    <col min="16" max="16" width="20.712962962963" style="817" customWidth="1"/>
    <col min="17" max="17" width="9.71296296296296" style="812" customWidth="1"/>
    <col min="18" max="20" width="9.13888888888889" style="812"/>
    <col min="21" max="21" width="20.712962962963" style="817" customWidth="1"/>
    <col min="22" max="22" width="9.71296296296296" style="812" customWidth="1"/>
    <col min="23" max="25" width="9.13888888888889" style="812"/>
    <col min="26" max="26" width="20.712962962963" style="817" customWidth="1"/>
    <col min="27" max="27" width="9.71296296296296" style="812" customWidth="1"/>
    <col min="28" max="30" width="9.13888888888889" style="812"/>
    <col min="31" max="31" width="20.712962962963" style="817" customWidth="1"/>
    <col min="32" max="32" width="9.71296296296296" style="812" customWidth="1"/>
    <col min="33" max="35" width="9.13888888888889" style="812"/>
    <col min="36" max="36" width="20.712962962963" style="817" customWidth="1"/>
    <col min="37" max="37" width="9.71296296296296" style="812" customWidth="1"/>
    <col min="38" max="40" width="9.13888888888889" style="812"/>
    <col min="41" max="41" width="20.712962962963" style="817" customWidth="1"/>
    <col min="42" max="42" width="9.71296296296296" style="812" customWidth="1"/>
    <col min="43" max="45" width="9.13888888888889" style="812"/>
    <col min="46" max="46" width="20.712962962963" style="817" customWidth="1"/>
    <col min="47" max="47" width="9.71296296296296" style="812" customWidth="1"/>
    <col min="48" max="50" width="9.13888888888889" style="812"/>
    <col min="51" max="51" width="20.712962962963" style="817" customWidth="1"/>
    <col min="52" max="52" width="9.71296296296296" style="812" customWidth="1"/>
    <col min="53" max="55" width="9.13888888888889" style="812"/>
    <col min="56" max="56" width="20.712962962963" style="817" customWidth="1"/>
    <col min="57" max="57" width="9.71296296296296" style="812" customWidth="1"/>
    <col min="58" max="60" width="9.13888888888889" style="812"/>
    <col min="61" max="61" width="20.712962962963" style="817" customWidth="1"/>
    <col min="62" max="62" width="9.71296296296296" style="812" customWidth="1"/>
    <col min="63" max="65" width="9.13888888888889" style="812"/>
    <col min="66" max="66" width="20.712962962963" style="817" customWidth="1"/>
    <col min="67" max="67" width="9.71296296296296" style="812" customWidth="1"/>
    <col min="68" max="70" width="9.13888888888889" style="812"/>
    <col min="71" max="71" width="20.712962962963" style="817" customWidth="1"/>
    <col min="72" max="72" width="9.71296296296296" style="812" customWidth="1"/>
    <col min="73" max="75" width="9.13888888888889" style="812"/>
    <col min="76" max="76" width="20.712962962963" style="817" customWidth="1"/>
    <col min="77" max="77" width="9.71296296296296" style="812" customWidth="1"/>
    <col min="78" max="80" width="9.13888888888889" style="812"/>
    <col min="81" max="81" width="20.712962962963" style="817" customWidth="1"/>
    <col min="82" max="82" width="9.71296296296296" style="812" customWidth="1"/>
    <col min="83" max="85" width="9.13888888888889" style="812"/>
    <col min="86" max="86" width="20.712962962963" style="817" customWidth="1"/>
    <col min="87" max="87" width="9.71296296296296" style="812" customWidth="1"/>
    <col min="88" max="90" width="9.13888888888889" style="812"/>
    <col min="91" max="91" width="20.712962962963" style="817" customWidth="1"/>
    <col min="92" max="92" width="9.71296296296296" style="812" customWidth="1"/>
    <col min="93" max="95" width="9.13888888888889" style="812"/>
    <col min="96" max="96" width="20.712962962963" style="817" customWidth="1"/>
    <col min="97" max="97" width="9.71296296296296" style="812" customWidth="1"/>
    <col min="98" max="100" width="9.13888888888889" style="812"/>
    <col min="101" max="101" width="20.712962962963" style="817" customWidth="1"/>
    <col min="102" max="102" width="9.71296296296296" style="812" customWidth="1"/>
    <col min="103" max="105" width="9.13888888888889" style="812"/>
    <col min="106" max="106" width="20.712962962963" style="817" customWidth="1"/>
    <col min="107" max="107" width="9.71296296296296" style="812" customWidth="1"/>
    <col min="108" max="110" width="9.13888888888889" style="812"/>
    <col min="111" max="111" width="20.712962962963" style="817" customWidth="1"/>
    <col min="112" max="112" width="9.71296296296296" style="812" customWidth="1"/>
    <col min="113" max="115" width="9.13888888888889" style="812"/>
    <col min="116" max="116" width="20.712962962963" style="817" customWidth="1"/>
    <col min="117" max="117" width="9.71296296296296" style="812" customWidth="1"/>
    <col min="118" max="120" width="9.13888888888889" style="812"/>
    <col min="121" max="121" width="20.712962962963" style="817" customWidth="1"/>
    <col min="122" max="122" width="9.71296296296296" style="812" customWidth="1"/>
    <col min="123" max="125" width="9.13888888888889" style="812"/>
    <col min="126" max="126" width="20.712962962963" style="817" customWidth="1"/>
    <col min="127" max="127" width="9.71296296296296" style="812" customWidth="1"/>
    <col min="128" max="130" width="9.13888888888889" style="812"/>
    <col min="131" max="131" width="20.712962962963" style="817" customWidth="1"/>
    <col min="132" max="132" width="9.71296296296296" style="812" customWidth="1"/>
    <col min="133" max="135" width="9.13888888888889" style="812"/>
    <col min="136" max="136" width="20.712962962963" style="817" customWidth="1"/>
    <col min="137" max="16384" width="9.13888888888889" style="812"/>
  </cols>
  <sheetData>
    <row r="1" ht="21.95" customHeight="1" spans="1:145">
      <c r="A1" s="813"/>
      <c r="B1" s="819"/>
      <c r="C1" s="813"/>
      <c r="D1" s="820"/>
      <c r="E1" s="820"/>
      <c r="F1" s="819" t="s">
        <v>329</v>
      </c>
      <c r="G1" s="819"/>
      <c r="H1" s="819"/>
      <c r="I1" s="821" t="s">
        <v>330</v>
      </c>
      <c r="J1" s="821"/>
      <c r="K1" s="821"/>
      <c r="L1" s="819"/>
      <c r="M1" s="822"/>
      <c r="N1" s="822">
        <v>1</v>
      </c>
      <c r="O1" s="822"/>
      <c r="P1" s="822"/>
      <c r="Q1" s="819"/>
      <c r="R1" s="822"/>
      <c r="S1" s="822">
        <f>N1+1</f>
        <v>2</v>
      </c>
      <c r="T1" s="822"/>
      <c r="U1" s="822"/>
      <c r="V1" s="819"/>
      <c r="W1" s="822"/>
      <c r="X1" s="822">
        <f>S1+1</f>
        <v>3</v>
      </c>
      <c r="Y1" s="822"/>
      <c r="Z1" s="822"/>
      <c r="AA1" s="819"/>
      <c r="AB1" s="822"/>
      <c r="AC1" s="822">
        <f>X1+1</f>
        <v>4</v>
      </c>
      <c r="AD1" s="822"/>
      <c r="AE1" s="822"/>
      <c r="AF1" s="819"/>
      <c r="AG1" s="822"/>
      <c r="AH1" s="822">
        <f>AC1+1</f>
        <v>5</v>
      </c>
      <c r="AI1" s="822"/>
      <c r="AJ1" s="822"/>
      <c r="AK1" s="819"/>
      <c r="AL1" s="822"/>
      <c r="AM1" s="822">
        <f>AH1+1</f>
        <v>6</v>
      </c>
      <c r="AN1" s="822"/>
      <c r="AO1" s="822"/>
      <c r="AP1" s="819"/>
      <c r="AQ1" s="822"/>
      <c r="AR1" s="822">
        <f>AM1+1</f>
        <v>7</v>
      </c>
      <c r="AS1" s="822"/>
      <c r="AT1" s="822"/>
      <c r="AU1" s="819"/>
      <c r="AV1" s="822"/>
      <c r="AW1" s="822">
        <f>AR1+1</f>
        <v>8</v>
      </c>
      <c r="AX1" s="822"/>
      <c r="AY1" s="822"/>
      <c r="AZ1" s="819"/>
      <c r="BA1" s="822"/>
      <c r="BB1" s="822">
        <f>AW1+1</f>
        <v>9</v>
      </c>
      <c r="BC1" s="822"/>
      <c r="BD1" s="822"/>
      <c r="BE1" s="819"/>
      <c r="BF1" s="822"/>
      <c r="BG1" s="822">
        <f>BB1+1</f>
        <v>10</v>
      </c>
      <c r="BH1" s="822"/>
      <c r="BI1" s="822"/>
      <c r="BJ1" s="819"/>
      <c r="BK1" s="822"/>
      <c r="BL1" s="822">
        <f>BG1+1</f>
        <v>11</v>
      </c>
      <c r="BM1" s="822"/>
      <c r="BN1" s="822"/>
      <c r="BO1" s="819"/>
      <c r="BP1" s="822"/>
      <c r="BQ1" s="822">
        <f>BL1+1</f>
        <v>12</v>
      </c>
      <c r="BR1" s="822"/>
      <c r="BS1" s="822"/>
      <c r="BT1" s="819"/>
      <c r="BU1" s="822"/>
      <c r="BV1" s="822">
        <f>BQ1+1</f>
        <v>13</v>
      </c>
      <c r="BW1" s="822"/>
      <c r="BX1" s="822"/>
      <c r="BY1" s="819"/>
      <c r="BZ1" s="822"/>
      <c r="CA1" s="822">
        <f>BV1+1</f>
        <v>14</v>
      </c>
      <c r="CB1" s="822"/>
      <c r="CC1" s="822"/>
      <c r="CD1" s="819"/>
      <c r="CE1" s="822"/>
      <c r="CF1" s="822">
        <f>CA1+1</f>
        <v>15</v>
      </c>
      <c r="CG1" s="822"/>
      <c r="CH1" s="822"/>
      <c r="CI1" s="819"/>
      <c r="CJ1" s="822"/>
      <c r="CK1" s="822">
        <f>CF1+1</f>
        <v>16</v>
      </c>
      <c r="CL1" s="822"/>
      <c r="CM1" s="822"/>
      <c r="CN1" s="819"/>
      <c r="CO1" s="822"/>
      <c r="CP1" s="822">
        <f>CK1+1</f>
        <v>17</v>
      </c>
      <c r="CQ1" s="822"/>
      <c r="CR1" s="822"/>
      <c r="CS1" s="819"/>
      <c r="CT1" s="822"/>
      <c r="CU1" s="822">
        <f>CP1+1</f>
        <v>18</v>
      </c>
      <c r="CV1" s="822"/>
      <c r="CW1" s="822"/>
      <c r="CX1" s="819"/>
      <c r="CY1" s="822"/>
      <c r="CZ1" s="822">
        <f>CU1+1</f>
        <v>19</v>
      </c>
      <c r="DA1" s="822"/>
      <c r="DB1" s="822"/>
      <c r="DC1" s="819"/>
      <c r="DD1" s="822"/>
      <c r="DE1" s="822">
        <f>CZ1+1</f>
        <v>20</v>
      </c>
      <c r="DF1" s="822"/>
      <c r="DG1" s="822"/>
      <c r="DH1" s="819"/>
      <c r="DI1" s="822"/>
      <c r="DJ1" s="822">
        <f>DE1+1</f>
        <v>21</v>
      </c>
      <c r="DK1" s="822"/>
      <c r="DL1" s="822"/>
      <c r="DM1" s="819"/>
      <c r="DN1" s="822"/>
      <c r="DO1" s="822">
        <f>DJ1+1</f>
        <v>22</v>
      </c>
      <c r="DP1" s="822"/>
      <c r="DQ1" s="822"/>
      <c r="DR1" s="819"/>
      <c r="DS1" s="822"/>
      <c r="DT1" s="822">
        <f>DO1+1</f>
        <v>23</v>
      </c>
      <c r="DU1" s="822"/>
      <c r="DV1" s="822"/>
      <c r="DW1" s="819"/>
      <c r="DX1" s="822"/>
      <c r="DY1" s="822">
        <f>DT1+1</f>
        <v>24</v>
      </c>
      <c r="DZ1" s="822"/>
      <c r="EA1" s="822"/>
      <c r="EB1" s="819"/>
      <c r="EC1" s="822"/>
      <c r="ED1" s="822">
        <f>DY1+1</f>
        <v>25</v>
      </c>
      <c r="EE1" s="822"/>
      <c r="EF1" s="822"/>
    </row>
    <row r="2" ht="36" spans="1:145">
      <c r="A2" s="813" t="s">
        <v>109</v>
      </c>
      <c r="B2" s="819" t="s">
        <v>114</v>
      </c>
      <c r="C2" s="813" t="s">
        <v>112</v>
      </c>
      <c r="D2" s="813" t="s">
        <v>113</v>
      </c>
      <c r="E2" s="813" t="s">
        <v>327</v>
      </c>
      <c r="F2" s="819" t="s">
        <v>331</v>
      </c>
      <c r="G2" s="819" t="s">
        <v>332</v>
      </c>
      <c r="H2" s="819" t="s">
        <v>333</v>
      </c>
      <c r="I2" s="821" t="s">
        <v>331</v>
      </c>
      <c r="J2" s="821" t="s">
        <v>333</v>
      </c>
      <c r="K2" s="821" t="s">
        <v>332</v>
      </c>
      <c r="L2" s="819"/>
      <c r="M2" s="822" t="s">
        <v>331</v>
      </c>
      <c r="N2" s="822" t="s">
        <v>333</v>
      </c>
      <c r="O2" s="822" t="s">
        <v>332</v>
      </c>
      <c r="P2" s="822" t="s">
        <v>334</v>
      </c>
      <c r="Q2" s="819"/>
      <c r="R2" s="822" t="s">
        <v>331</v>
      </c>
      <c r="S2" s="822" t="s">
        <v>333</v>
      </c>
      <c r="T2" s="822" t="s">
        <v>332</v>
      </c>
      <c r="U2" s="822" t="s">
        <v>334</v>
      </c>
      <c r="V2" s="819"/>
      <c r="W2" s="822" t="s">
        <v>331</v>
      </c>
      <c r="X2" s="822" t="s">
        <v>333</v>
      </c>
      <c r="Y2" s="822" t="s">
        <v>332</v>
      </c>
      <c r="Z2" s="822" t="s">
        <v>334</v>
      </c>
      <c r="AA2" s="819"/>
      <c r="AB2" s="822" t="s">
        <v>331</v>
      </c>
      <c r="AC2" s="822" t="s">
        <v>333</v>
      </c>
      <c r="AD2" s="822" t="s">
        <v>332</v>
      </c>
      <c r="AE2" s="822" t="s">
        <v>334</v>
      </c>
      <c r="AF2" s="819"/>
      <c r="AG2" s="822" t="s">
        <v>331</v>
      </c>
      <c r="AH2" s="822" t="s">
        <v>333</v>
      </c>
      <c r="AI2" s="822" t="s">
        <v>332</v>
      </c>
      <c r="AJ2" s="822" t="s">
        <v>334</v>
      </c>
      <c r="AK2" s="819"/>
      <c r="AL2" s="822" t="s">
        <v>331</v>
      </c>
      <c r="AM2" s="822" t="s">
        <v>333</v>
      </c>
      <c r="AN2" s="822" t="s">
        <v>332</v>
      </c>
      <c r="AO2" s="822" t="s">
        <v>334</v>
      </c>
      <c r="AP2" s="819"/>
      <c r="AQ2" s="822" t="s">
        <v>331</v>
      </c>
      <c r="AR2" s="822" t="s">
        <v>333</v>
      </c>
      <c r="AS2" s="822" t="s">
        <v>332</v>
      </c>
      <c r="AT2" s="822" t="s">
        <v>334</v>
      </c>
      <c r="AU2" s="819"/>
      <c r="AV2" s="822" t="s">
        <v>331</v>
      </c>
      <c r="AW2" s="822" t="s">
        <v>333</v>
      </c>
      <c r="AX2" s="822" t="s">
        <v>332</v>
      </c>
      <c r="AY2" s="822" t="s">
        <v>334</v>
      </c>
      <c r="AZ2" s="819"/>
      <c r="BA2" s="822" t="s">
        <v>331</v>
      </c>
      <c r="BB2" s="822" t="s">
        <v>333</v>
      </c>
      <c r="BC2" s="822" t="s">
        <v>332</v>
      </c>
      <c r="BD2" s="822" t="s">
        <v>334</v>
      </c>
      <c r="BE2" s="819"/>
      <c r="BF2" s="822" t="s">
        <v>331</v>
      </c>
      <c r="BG2" s="822" t="s">
        <v>333</v>
      </c>
      <c r="BH2" s="822" t="s">
        <v>332</v>
      </c>
      <c r="BI2" s="822" t="s">
        <v>334</v>
      </c>
      <c r="BJ2" s="819"/>
      <c r="BK2" s="822" t="s">
        <v>331</v>
      </c>
      <c r="BL2" s="822" t="s">
        <v>333</v>
      </c>
      <c r="BM2" s="822" t="s">
        <v>332</v>
      </c>
      <c r="BN2" s="822" t="s">
        <v>334</v>
      </c>
      <c r="BO2" s="819"/>
      <c r="BP2" s="822" t="s">
        <v>331</v>
      </c>
      <c r="BQ2" s="822" t="s">
        <v>333</v>
      </c>
      <c r="BR2" s="822" t="s">
        <v>332</v>
      </c>
      <c r="BS2" s="822" t="s">
        <v>334</v>
      </c>
      <c r="BT2" s="819"/>
      <c r="BU2" s="822" t="s">
        <v>331</v>
      </c>
      <c r="BV2" s="822" t="s">
        <v>333</v>
      </c>
      <c r="BW2" s="822" t="s">
        <v>332</v>
      </c>
      <c r="BX2" s="822" t="s">
        <v>334</v>
      </c>
      <c r="BY2" s="819"/>
      <c r="BZ2" s="822" t="s">
        <v>331</v>
      </c>
      <c r="CA2" s="822" t="s">
        <v>333</v>
      </c>
      <c r="CB2" s="822" t="s">
        <v>332</v>
      </c>
      <c r="CC2" s="822" t="s">
        <v>334</v>
      </c>
      <c r="CD2" s="819"/>
      <c r="CE2" s="822" t="s">
        <v>331</v>
      </c>
      <c r="CF2" s="822" t="s">
        <v>333</v>
      </c>
      <c r="CG2" s="822" t="s">
        <v>332</v>
      </c>
      <c r="CH2" s="822" t="s">
        <v>334</v>
      </c>
      <c r="CI2" s="819"/>
      <c r="CJ2" s="822" t="s">
        <v>331</v>
      </c>
      <c r="CK2" s="822" t="s">
        <v>333</v>
      </c>
      <c r="CL2" s="822" t="s">
        <v>332</v>
      </c>
      <c r="CM2" s="822" t="s">
        <v>334</v>
      </c>
      <c r="CN2" s="819"/>
      <c r="CO2" s="822" t="s">
        <v>331</v>
      </c>
      <c r="CP2" s="822" t="s">
        <v>333</v>
      </c>
      <c r="CQ2" s="822" t="s">
        <v>332</v>
      </c>
      <c r="CR2" s="822" t="s">
        <v>334</v>
      </c>
      <c r="CS2" s="819"/>
      <c r="CT2" s="822" t="s">
        <v>331</v>
      </c>
      <c r="CU2" s="822" t="s">
        <v>333</v>
      </c>
      <c r="CV2" s="822" t="s">
        <v>332</v>
      </c>
      <c r="CW2" s="822" t="s">
        <v>334</v>
      </c>
      <c r="CX2" s="819"/>
      <c r="CY2" s="822" t="s">
        <v>331</v>
      </c>
      <c r="CZ2" s="822" t="s">
        <v>333</v>
      </c>
      <c r="DA2" s="822" t="s">
        <v>332</v>
      </c>
      <c r="DB2" s="822" t="s">
        <v>334</v>
      </c>
      <c r="DC2" s="819"/>
      <c r="DD2" s="822" t="s">
        <v>331</v>
      </c>
      <c r="DE2" s="822" t="s">
        <v>333</v>
      </c>
      <c r="DF2" s="822" t="s">
        <v>332</v>
      </c>
      <c r="DG2" s="822" t="s">
        <v>334</v>
      </c>
      <c r="DH2" s="819"/>
      <c r="DI2" s="822" t="s">
        <v>331</v>
      </c>
      <c r="DJ2" s="822" t="s">
        <v>333</v>
      </c>
      <c r="DK2" s="822" t="s">
        <v>332</v>
      </c>
      <c r="DL2" s="822" t="s">
        <v>334</v>
      </c>
      <c r="DM2" s="819"/>
      <c r="DN2" s="822" t="s">
        <v>331</v>
      </c>
      <c r="DO2" s="822" t="s">
        <v>333</v>
      </c>
      <c r="DP2" s="822" t="s">
        <v>332</v>
      </c>
      <c r="DQ2" s="822" t="s">
        <v>334</v>
      </c>
      <c r="DR2" s="819"/>
      <c r="DS2" s="822" t="s">
        <v>331</v>
      </c>
      <c r="DT2" s="822" t="s">
        <v>333</v>
      </c>
      <c r="DU2" s="822" t="s">
        <v>332</v>
      </c>
      <c r="DV2" s="822" t="s">
        <v>334</v>
      </c>
      <c r="DW2" s="819"/>
      <c r="DX2" s="822" t="s">
        <v>331</v>
      </c>
      <c r="DY2" s="822" t="s">
        <v>333</v>
      </c>
      <c r="DZ2" s="822" t="s">
        <v>332</v>
      </c>
      <c r="EA2" s="822" t="s">
        <v>334</v>
      </c>
      <c r="EB2" s="819"/>
      <c r="EC2" s="822" t="s">
        <v>331</v>
      </c>
      <c r="ED2" s="822" t="s">
        <v>333</v>
      </c>
      <c r="EE2" s="822" t="s">
        <v>332</v>
      </c>
      <c r="EF2" s="822" t="s">
        <v>334</v>
      </c>
    </row>
    <row r="3" spans="1:145">
      <c r="A3" s="813"/>
      <c r="B3" s="819"/>
      <c r="C3" s="813"/>
      <c r="D3" s="820"/>
      <c r="E3" s="820"/>
      <c r="F3" s="823"/>
      <c r="G3" s="823"/>
      <c r="H3" s="823"/>
      <c r="I3" s="824"/>
      <c r="J3" s="824"/>
      <c r="K3" s="824"/>
      <c r="L3" s="823"/>
      <c r="M3" s="825" t="str">
        <f>VLOOKUP(N1,SCHOOL!$AQ$2:$AR$26,2,0)</f>
        <v>30.09.2023</v>
      </c>
      <c r="N3" s="825"/>
      <c r="O3" s="825"/>
      <c r="P3" s="825"/>
      <c r="Q3" s="813"/>
      <c r="R3" s="825" t="str">
        <f>VLOOKUP(S1,SCHOOL!$AQ$2:$AR$26,2,0)</f>
        <v>16.10.2023</v>
      </c>
      <c r="S3" s="825"/>
      <c r="T3" s="825"/>
      <c r="U3" s="825"/>
      <c r="V3" s="813"/>
      <c r="W3" s="825" t="str">
        <f>VLOOKUP(X1,SCHOOL!$AQ$2:$AR$26,2,0)</f>
        <v>31.10.2023</v>
      </c>
      <c r="X3" s="825"/>
      <c r="Y3" s="825"/>
      <c r="Z3" s="825"/>
      <c r="AA3" s="813"/>
      <c r="AB3" s="825" t="str">
        <f>VLOOKUP(AC1,SCHOOL!$AQ$2:$AR$26,2,0)</f>
        <v>30.11.2023</v>
      </c>
      <c r="AC3" s="825"/>
      <c r="AD3" s="825"/>
      <c r="AE3" s="825"/>
      <c r="AF3" s="813"/>
      <c r="AG3" s="825" t="str">
        <f>VLOOKUP(AH1,SCHOOL!$AQ$2:$AR$26,2,0)</f>
        <v>15.12.2023</v>
      </c>
      <c r="AH3" s="825"/>
      <c r="AI3" s="825"/>
      <c r="AJ3" s="825"/>
      <c r="AK3" s="813"/>
      <c r="AL3" s="825" t="str">
        <f>VLOOKUP(AM1,SCHOOL!$AQ$2:$AR$26,2,0)</f>
        <v>30.12.2023</v>
      </c>
      <c r="AM3" s="825"/>
      <c r="AN3" s="825"/>
      <c r="AO3" s="825"/>
      <c r="AP3" s="813"/>
      <c r="AQ3" s="825" t="str">
        <f>VLOOKUP(AR1,SCHOOL!$AQ$2:$AR$26,2,0)</f>
        <v>31.01.2024</v>
      </c>
      <c r="AR3" s="825"/>
      <c r="AS3" s="825"/>
      <c r="AT3" s="825"/>
      <c r="AU3" s="813"/>
      <c r="AV3" s="825" t="str">
        <f>VLOOKUP(AW1,SCHOOL!$AQ$2:$AR$26,2,0)</f>
        <v>15.02.2024</v>
      </c>
      <c r="AW3" s="825"/>
      <c r="AX3" s="825"/>
      <c r="AY3" s="825"/>
      <c r="AZ3" s="813"/>
      <c r="BA3" s="825" t="str">
        <f>VLOOKUP(BB1,SCHOOL!$AQ$2:$AR$26,2,0)</f>
        <v>29.02.2024</v>
      </c>
      <c r="BB3" s="825"/>
      <c r="BC3" s="825"/>
      <c r="BD3" s="825"/>
      <c r="BE3" s="813"/>
      <c r="BF3" s="825">
        <f>VLOOKUP(BG1,SCHOOL!$AQ$2:$AR$26,2,0)</f>
        <v>0</v>
      </c>
      <c r="BG3" s="825"/>
      <c r="BH3" s="825"/>
      <c r="BI3" s="825"/>
      <c r="BJ3" s="813"/>
      <c r="BK3" s="825">
        <f>VLOOKUP(BL1,SCHOOL!$AQ$2:$AR$26,2,0)</f>
        <v>0</v>
      </c>
      <c r="BL3" s="825"/>
      <c r="BM3" s="825"/>
      <c r="BN3" s="825"/>
      <c r="BO3" s="813"/>
      <c r="BP3" s="825">
        <f>VLOOKUP(BQ1,SCHOOL!$AQ$2:$AR$26,2,0)</f>
        <v>0</v>
      </c>
      <c r="BQ3" s="825"/>
      <c r="BR3" s="825"/>
      <c r="BS3" s="825"/>
      <c r="BT3" s="813"/>
      <c r="BU3" s="825">
        <f>VLOOKUP(BV1,SCHOOL!$AQ$2:$AR$26,2,0)</f>
        <v>0</v>
      </c>
      <c r="BV3" s="825"/>
      <c r="BW3" s="825"/>
      <c r="BX3" s="825"/>
      <c r="BY3" s="813"/>
      <c r="BZ3" s="825">
        <f>VLOOKUP(CA1,SCHOOL!$AQ$2:$AR$26,2,0)</f>
        <v>0</v>
      </c>
      <c r="CA3" s="825"/>
      <c r="CB3" s="825"/>
      <c r="CC3" s="825"/>
      <c r="CD3" s="813"/>
      <c r="CE3" s="825">
        <f>VLOOKUP(CF1,SCHOOL!$AQ$2:$AR$26,2,0)</f>
        <v>0</v>
      </c>
      <c r="CF3" s="825"/>
      <c r="CG3" s="825"/>
      <c r="CH3" s="825"/>
      <c r="CI3" s="813"/>
      <c r="CJ3" s="825">
        <f>VLOOKUP(CK1,SCHOOL!$AQ$2:$AR$26,2,0)</f>
        <v>0</v>
      </c>
      <c r="CK3" s="825"/>
      <c r="CL3" s="825"/>
      <c r="CM3" s="825"/>
      <c r="CN3" s="813"/>
      <c r="CO3" s="825">
        <f>VLOOKUP(CP1,SCHOOL!$AQ$2:$AR$26,2,0)</f>
        <v>0</v>
      </c>
      <c r="CP3" s="825"/>
      <c r="CQ3" s="825"/>
      <c r="CR3" s="825"/>
      <c r="CS3" s="813"/>
      <c r="CT3" s="825">
        <f>VLOOKUP(CU1,SCHOOL!$AQ$2:$AR$26,2,0)</f>
        <v>0</v>
      </c>
      <c r="CU3" s="825"/>
      <c r="CV3" s="825"/>
      <c r="CW3" s="825"/>
      <c r="CX3" s="813"/>
      <c r="CY3" s="825">
        <f>VLOOKUP(CZ1,SCHOOL!$AQ$2:$AR$26,2,0)</f>
        <v>0</v>
      </c>
      <c r="CZ3" s="825"/>
      <c r="DA3" s="825"/>
      <c r="DB3" s="825"/>
      <c r="DC3" s="813"/>
      <c r="DD3" s="825">
        <f>VLOOKUP(DE1,SCHOOL!$AQ$2:$AR$26,2,0)</f>
        <v>0</v>
      </c>
      <c r="DE3" s="825"/>
      <c r="DF3" s="825"/>
      <c r="DG3" s="825"/>
      <c r="DH3" s="813"/>
      <c r="DI3" s="825">
        <f>VLOOKUP(DJ1,SCHOOL!$AQ$2:$AR$26,2,0)</f>
        <v>0</v>
      </c>
      <c r="DJ3" s="825"/>
      <c r="DK3" s="825"/>
      <c r="DL3" s="825"/>
      <c r="DM3" s="813"/>
      <c r="DN3" s="825">
        <f>VLOOKUP(DO1,SCHOOL!$AQ$2:$AR$26,2,0)</f>
        <v>0</v>
      </c>
      <c r="DO3" s="825"/>
      <c r="DP3" s="825"/>
      <c r="DQ3" s="825"/>
      <c r="DR3" s="813"/>
      <c r="DS3" s="825">
        <f>VLOOKUP(DT1,SCHOOL!$AQ$2:$AR$26,2,0)</f>
        <v>0</v>
      </c>
      <c r="DT3" s="825"/>
      <c r="DU3" s="825"/>
      <c r="DV3" s="825"/>
      <c r="DW3" s="813"/>
      <c r="DX3" s="825">
        <f>VLOOKUP(DY1,SCHOOL!$AQ$2:$AR$26,2,0)</f>
        <v>0</v>
      </c>
      <c r="DY3" s="825"/>
      <c r="DZ3" s="825"/>
      <c r="EA3" s="825"/>
      <c r="EB3" s="813"/>
      <c r="EC3" s="825">
        <f>VLOOKUP(ED1,SCHOOL!$AQ$2:$AR$26,2,0)</f>
        <v>0</v>
      </c>
      <c r="ED3" s="825"/>
      <c r="EE3" s="825"/>
      <c r="EF3" s="825"/>
      <c r="EG3" s="826"/>
      <c r="EH3" s="826"/>
      <c r="EI3" s="826"/>
      <c r="EJ3" s="826"/>
      <c r="EK3" s="826"/>
      <c r="EL3" s="826"/>
      <c r="EM3" s="826"/>
      <c r="EN3" s="826"/>
      <c r="EO3" s="826"/>
    </row>
    <row r="4" spans="1:145">
      <c r="A4" s="824">
        <v>1</v>
      </c>
      <c r="B4" s="824">
        <f>STUDENT!F2</f>
        <v>14779</v>
      </c>
      <c r="C4" s="824">
        <f>STUDENT!D2</f>
        <v>20220171896</v>
      </c>
      <c r="D4" s="827" t="str">
        <f>STUDENT!E2</f>
        <v>NAKSH</v>
      </c>
      <c r="E4" s="827" t="str">
        <f>STUDENT!H2</f>
        <v>NARESH</v>
      </c>
      <c r="F4" s="828" t="str">
        <f>FLN!F4</f>
        <v>Alphabets</v>
      </c>
      <c r="G4" s="828" t="str">
        <f>FLN!G4</f>
        <v>Number Recognition (10-99)</v>
      </c>
      <c r="H4" s="828" t="str">
        <f>FLN!H4</f>
        <v>Character</v>
      </c>
      <c r="I4" s="824">
        <f>FLN!I4</f>
        <v>2</v>
      </c>
      <c r="J4" s="824">
        <f>FLN!J4</f>
        <v>2</v>
      </c>
      <c r="K4" s="824">
        <f>FLN!K4</f>
        <v>3</v>
      </c>
      <c r="L4" s="823" t="str">
        <f>A4&amp;$N$1</f>
        <v>11</v>
      </c>
      <c r="M4" s="816">
        <f>FLN!L4</f>
        <v>2</v>
      </c>
      <c r="N4" s="816">
        <f>FLN!M4</f>
        <v>2</v>
      </c>
      <c r="O4" s="816">
        <f>FLN!N4</f>
        <v>3</v>
      </c>
      <c r="P4" s="816">
        <f>FLN!O4</f>
        <v>0</v>
      </c>
      <c r="Q4" s="823" t="str">
        <f>A4&amp;$S$1</f>
        <v>12</v>
      </c>
      <c r="R4" s="816">
        <f>FLN!P4</f>
        <v>2</v>
      </c>
      <c r="S4" s="816">
        <f>FLN!Q4</f>
        <v>2</v>
      </c>
      <c r="T4" s="816">
        <f>FLN!R4</f>
        <v>3</v>
      </c>
      <c r="U4" s="816">
        <f>FLN!S4</f>
        <v>0</v>
      </c>
      <c r="V4" s="823" t="str">
        <f>A4&amp;$X$1</f>
        <v>13</v>
      </c>
      <c r="W4" s="816">
        <f>FLN!T4</f>
        <v>2</v>
      </c>
      <c r="X4" s="816">
        <f>FLN!U4</f>
        <v>2</v>
      </c>
      <c r="Y4" s="816">
        <f>FLN!V4</f>
        <v>3</v>
      </c>
      <c r="Z4" s="816">
        <f>FLN!W4</f>
        <v>0</v>
      </c>
      <c r="AA4" s="823" t="str">
        <f>A4&amp;$AC$1</f>
        <v>14</v>
      </c>
      <c r="AB4" s="816">
        <f>FLN!X4</f>
        <v>2</v>
      </c>
      <c r="AC4" s="816">
        <f>FLN!Y4</f>
        <v>2</v>
      </c>
      <c r="AD4" s="816">
        <f>FLN!Z4</f>
        <v>3</v>
      </c>
      <c r="AE4" s="816">
        <f>FLN!AA4</f>
        <v>0</v>
      </c>
      <c r="AF4" s="823" t="str">
        <f>A4&amp;$AH$1</f>
        <v>15</v>
      </c>
      <c r="AG4" s="816">
        <f>FLN!AB4</f>
        <v>2</v>
      </c>
      <c r="AH4" s="816">
        <f>FLN!AC4</f>
        <v>2</v>
      </c>
      <c r="AI4" s="816">
        <f>FLN!AD4</f>
        <v>3</v>
      </c>
      <c r="AJ4" s="816">
        <f>FLN!AE4</f>
        <v>0</v>
      </c>
      <c r="AK4" s="823" t="str">
        <f>A4&amp;$AM$1</f>
        <v>16</v>
      </c>
      <c r="AL4" s="816">
        <f>FLN!AF4</f>
        <v>2</v>
      </c>
      <c r="AM4" s="816">
        <f>FLN!AG4</f>
        <v>2</v>
      </c>
      <c r="AN4" s="816">
        <f>FLN!AH4</f>
        <v>3</v>
      </c>
      <c r="AO4" s="816">
        <f>FLN!AI4</f>
        <v>0</v>
      </c>
      <c r="AP4" s="823" t="str">
        <f>A4&amp;$AR$1</f>
        <v>17</v>
      </c>
      <c r="AQ4" s="816">
        <f>FLN!AJ4</f>
        <v>0</v>
      </c>
      <c r="AR4" s="816">
        <f>FLN!AK4</f>
        <v>0</v>
      </c>
      <c r="AS4" s="816">
        <f>FLN!AL4</f>
        <v>0</v>
      </c>
      <c r="AT4" s="816">
        <f>FLN!AM4</f>
        <v>0</v>
      </c>
      <c r="AU4" s="823" t="str">
        <f>A4&amp;$AW$1</f>
        <v>18</v>
      </c>
      <c r="AV4" s="816">
        <f>FLN!AN4</f>
        <v>0</v>
      </c>
      <c r="AW4" s="816">
        <f>FLN!AO4</f>
        <v>0</v>
      </c>
      <c r="AX4" s="816">
        <f>FLN!AP4</f>
        <v>0</v>
      </c>
      <c r="AY4" s="816">
        <f>FLN!AQ4</f>
        <v>0</v>
      </c>
      <c r="AZ4" s="823" t="str">
        <f>A4&amp;$BB$1</f>
        <v>19</v>
      </c>
      <c r="BA4" s="816">
        <f>FLN!AR4</f>
        <v>0</v>
      </c>
      <c r="BB4" s="816">
        <f>FLN!AS4</f>
        <v>0</v>
      </c>
      <c r="BC4" s="816">
        <f>FLN!AT4</f>
        <v>0</v>
      </c>
      <c r="BD4" s="816">
        <f>FLN!AU4</f>
        <v>0</v>
      </c>
      <c r="BE4" s="823" t="str">
        <f>A4&amp;$BG$1</f>
        <v>110</v>
      </c>
      <c r="BF4" s="816">
        <f>FLN!AV4</f>
        <v>0</v>
      </c>
      <c r="BG4" s="816">
        <f>FLN!AW4</f>
        <v>0</v>
      </c>
      <c r="BH4" s="816">
        <f>FLN!AX4</f>
        <v>0</v>
      </c>
      <c r="BI4" s="816">
        <f>FLN!AY4</f>
        <v>0</v>
      </c>
      <c r="BJ4" s="823" t="str">
        <f>A4&amp;$BL$1</f>
        <v>111</v>
      </c>
      <c r="BK4" s="816">
        <f>FLN!AZ4</f>
        <v>0</v>
      </c>
      <c r="BL4" s="816">
        <f>FLN!BA4</f>
        <v>0</v>
      </c>
      <c r="BM4" s="816">
        <f>FLN!BB4</f>
        <v>0</v>
      </c>
      <c r="BN4" s="816">
        <f>FLN!BC4</f>
        <v>0</v>
      </c>
      <c r="BO4" s="823" t="str">
        <f>A4&amp;$BQ$1</f>
        <v>112</v>
      </c>
      <c r="BP4" s="816">
        <f>FLN!BD4</f>
        <v>0</v>
      </c>
      <c r="BQ4" s="816">
        <f>FLN!BE4</f>
        <v>0</v>
      </c>
      <c r="BR4" s="816">
        <f>FLN!BF4</f>
        <v>0</v>
      </c>
      <c r="BS4" s="816">
        <f>FLN!BG4</f>
        <v>0</v>
      </c>
      <c r="BT4" s="823" t="str">
        <f>A4&amp;$BV$1</f>
        <v>113</v>
      </c>
      <c r="BU4" s="816">
        <f>FLN!BH4</f>
        <v>0</v>
      </c>
      <c r="BV4" s="816">
        <f>FLN!BI4</f>
        <v>0</v>
      </c>
      <c r="BW4" s="816">
        <f>FLN!BJ4</f>
        <v>0</v>
      </c>
      <c r="BX4" s="816">
        <f>FLN!BK4</f>
        <v>0</v>
      </c>
      <c r="BY4" s="823" t="str">
        <f>A4&amp;$CA$1</f>
        <v>114</v>
      </c>
      <c r="BZ4" s="816">
        <f>FLN!BL4</f>
        <v>0</v>
      </c>
      <c r="CA4" s="816">
        <f>FLN!BM4</f>
        <v>0</v>
      </c>
      <c r="CB4" s="816">
        <f>FLN!BN4</f>
        <v>0</v>
      </c>
      <c r="CC4" s="816">
        <f>FLN!BO4</f>
        <v>0</v>
      </c>
      <c r="CD4" s="823" t="str">
        <f>A4&amp;$CF$1</f>
        <v>115</v>
      </c>
      <c r="CE4" s="816">
        <f>FLN!BP4</f>
        <v>0</v>
      </c>
      <c r="CF4" s="816">
        <f>FLN!BQ4</f>
        <v>0</v>
      </c>
      <c r="CG4" s="816">
        <f>FLN!BR4</f>
        <v>0</v>
      </c>
      <c r="CH4" s="816">
        <f>FLN!BS4</f>
        <v>0</v>
      </c>
      <c r="CI4" s="823" t="str">
        <f>A4&amp;$CK$1</f>
        <v>116</v>
      </c>
      <c r="CJ4" s="816">
        <f>FLN!BT4</f>
        <v>0</v>
      </c>
      <c r="CK4" s="816">
        <f>FLN!BU4</f>
        <v>0</v>
      </c>
      <c r="CL4" s="816">
        <f>FLN!BV4</f>
        <v>0</v>
      </c>
      <c r="CM4" s="816">
        <f>FLN!BW4</f>
        <v>0</v>
      </c>
      <c r="CN4" s="823" t="str">
        <f>A4&amp;$CP$1</f>
        <v>117</v>
      </c>
      <c r="CO4" s="816">
        <f>FLN!BX4</f>
        <v>0</v>
      </c>
      <c r="CP4" s="816">
        <f>FLN!BY4</f>
        <v>0</v>
      </c>
      <c r="CQ4" s="816">
        <f>FLN!BZ4</f>
        <v>0</v>
      </c>
      <c r="CR4" s="816">
        <f>FLN!CA4</f>
        <v>0</v>
      </c>
      <c r="CS4" s="823" t="str">
        <f>A4&amp;$CU$1</f>
        <v>118</v>
      </c>
      <c r="CT4" s="816">
        <f>FLN!CB4</f>
        <v>0</v>
      </c>
      <c r="CU4" s="816">
        <f>FLN!CC4</f>
        <v>0</v>
      </c>
      <c r="CV4" s="816">
        <f>FLN!CD4</f>
        <v>0</v>
      </c>
      <c r="CW4" s="816">
        <f>FLN!CE4</f>
        <v>0</v>
      </c>
      <c r="CX4" s="823" t="str">
        <f>A4&amp;$CZ$1</f>
        <v>119</v>
      </c>
      <c r="CY4" s="816">
        <f>FLN!CF4</f>
        <v>0</v>
      </c>
      <c r="CZ4" s="816">
        <f>FLN!CG4</f>
        <v>0</v>
      </c>
      <c r="DA4" s="816">
        <f>FLN!CH4</f>
        <v>0</v>
      </c>
      <c r="DB4" s="816">
        <f>FLN!CI4</f>
        <v>0</v>
      </c>
      <c r="DC4" s="823" t="str">
        <f>A4&amp;$DE$1</f>
        <v>120</v>
      </c>
      <c r="DD4" s="816">
        <f>FLN!CJ4</f>
        <v>0</v>
      </c>
      <c r="DE4" s="816">
        <f>FLN!CK4</f>
        <v>0</v>
      </c>
      <c r="DF4" s="816">
        <f>FLN!CL4</f>
        <v>0</v>
      </c>
      <c r="DG4" s="816">
        <f>FLN!CM4</f>
        <v>0</v>
      </c>
      <c r="DH4" s="823" t="str">
        <f>A4&amp;$DJ$1</f>
        <v>121</v>
      </c>
      <c r="DI4" s="816">
        <f>FLN!CN4</f>
        <v>0</v>
      </c>
      <c r="DJ4" s="816">
        <f>FLN!CO4</f>
        <v>0</v>
      </c>
      <c r="DK4" s="816">
        <f>FLN!CP4</f>
        <v>0</v>
      </c>
      <c r="DL4" s="816">
        <f>FLN!CQ4</f>
        <v>0</v>
      </c>
      <c r="DM4" s="823" t="str">
        <f>A4&amp;$DO$1</f>
        <v>122</v>
      </c>
      <c r="DN4" s="816">
        <f>FLN!CR4</f>
        <v>0</v>
      </c>
      <c r="DO4" s="816">
        <f>FLN!CS4</f>
        <v>0</v>
      </c>
      <c r="DP4" s="816">
        <f>FLN!CT4</f>
        <v>0</v>
      </c>
      <c r="DQ4" s="816">
        <f>FLN!CU4</f>
        <v>0</v>
      </c>
      <c r="DR4" s="823" t="str">
        <f>A4&amp;$DT$1</f>
        <v>123</v>
      </c>
      <c r="DS4" s="816">
        <f>FLN!CV4</f>
        <v>0</v>
      </c>
      <c r="DT4" s="816">
        <f>FLN!CW4</f>
        <v>0</v>
      </c>
      <c r="DU4" s="816">
        <f>FLN!CX4</f>
        <v>0</v>
      </c>
      <c r="DV4" s="816">
        <f>FLN!CY4</f>
        <v>0</v>
      </c>
      <c r="DW4" s="823" t="str">
        <f>A4&amp;$DY$1</f>
        <v>124</v>
      </c>
      <c r="DX4" s="816">
        <f>FLN!CZ4</f>
        <v>0</v>
      </c>
      <c r="DY4" s="816">
        <f>FLN!DA4</f>
        <v>0</v>
      </c>
      <c r="DZ4" s="816">
        <f>FLN!DB4</f>
        <v>0</v>
      </c>
      <c r="EA4" s="816">
        <f>FLN!DC4</f>
        <v>0</v>
      </c>
      <c r="EB4" s="823" t="str">
        <f>A4&amp;$ED$1</f>
        <v>125</v>
      </c>
      <c r="EC4" s="816">
        <f>FLN!DD4</f>
        <v>0</v>
      </c>
      <c r="ED4" s="816">
        <f>FLN!DE4</f>
        <v>0</v>
      </c>
      <c r="EE4" s="816">
        <f>FLN!DF4</f>
        <v>0</v>
      </c>
      <c r="EF4" s="816">
        <f>FLN!DG4</f>
        <v>0</v>
      </c>
    </row>
    <row r="5" spans="1:145">
      <c r="A5" s="824">
        <v>2</v>
      </c>
      <c r="B5" s="824">
        <f>STUDENT!F3</f>
        <v>14733</v>
      </c>
      <c r="C5" s="824">
        <f>STUDENT!D3</f>
        <v>20220354217</v>
      </c>
      <c r="D5" s="827" t="str">
        <f>STUDENT!E3</f>
        <v>NAVEEN</v>
      </c>
      <c r="E5" s="827" t="str">
        <f>STUDENT!H3</f>
        <v>SANJAY</v>
      </c>
      <c r="F5" s="828" t="str">
        <f>FLN!F5</f>
        <v>Words</v>
      </c>
      <c r="G5" s="828" t="str">
        <f>FLN!G5</f>
        <v>Number Recognition (10-99)</v>
      </c>
      <c r="H5" s="828" t="str">
        <f>FLN!H5</f>
        <v>Character</v>
      </c>
      <c r="I5" s="824">
        <f>FLN!I5</f>
        <v>3</v>
      </c>
      <c r="J5" s="824">
        <f>FLN!J5</f>
        <v>2</v>
      </c>
      <c r="K5" s="824">
        <f>FLN!K5</f>
        <v>3</v>
      </c>
      <c r="L5" s="823" t="str">
        <f>A5&amp;$N$1</f>
        <v>21</v>
      </c>
      <c r="M5" s="816">
        <f>FLN!L5</f>
        <v>3</v>
      </c>
      <c r="N5" s="816">
        <f>FLN!M5</f>
        <v>2</v>
      </c>
      <c r="O5" s="816">
        <f>FLN!N5</f>
        <v>3</v>
      </c>
      <c r="P5" s="816">
        <f>FLN!O5</f>
        <v>0</v>
      </c>
      <c r="Q5" s="823" t="str">
        <f t="shared" ref="Q5:Q68" si="0">A5&amp;$S$1</f>
        <v>22</v>
      </c>
      <c r="R5" s="816">
        <f>FLN!P5</f>
        <v>3</v>
      </c>
      <c r="S5" s="816">
        <f>FLN!Q5</f>
        <v>2</v>
      </c>
      <c r="T5" s="816">
        <f>FLN!R5</f>
        <v>3</v>
      </c>
      <c r="U5" s="816">
        <f>FLN!S5</f>
        <v>0</v>
      </c>
      <c r="V5" s="823" t="str">
        <f t="shared" ref="V5:V68" si="1">A5&amp;$X$1</f>
        <v>23</v>
      </c>
      <c r="W5" s="816">
        <f>FLN!T5</f>
        <v>3</v>
      </c>
      <c r="X5" s="816">
        <f>FLN!U5</f>
        <v>2</v>
      </c>
      <c r="Y5" s="816">
        <f>FLN!V5</f>
        <v>3</v>
      </c>
      <c r="Z5" s="816">
        <f>FLN!W5</f>
        <v>0</v>
      </c>
      <c r="AA5" s="823" t="str">
        <f t="shared" ref="AA5:AA68" si="2">A5&amp;$AC$1</f>
        <v>24</v>
      </c>
      <c r="AB5" s="816">
        <f>FLN!X5</f>
        <v>3</v>
      </c>
      <c r="AC5" s="816">
        <f>FLN!Y5</f>
        <v>2</v>
      </c>
      <c r="AD5" s="816">
        <f>FLN!Z5</f>
        <v>3</v>
      </c>
      <c r="AE5" s="816">
        <f>FLN!AA5</f>
        <v>0</v>
      </c>
      <c r="AF5" s="823" t="str">
        <f t="shared" ref="AF5:AF68" si="3">A5&amp;$AH$1</f>
        <v>25</v>
      </c>
      <c r="AG5" s="816">
        <f>FLN!AB5</f>
        <v>3</v>
      </c>
      <c r="AH5" s="816">
        <f>FLN!AC5</f>
        <v>2</v>
      </c>
      <c r="AI5" s="816">
        <f>FLN!AD5</f>
        <v>3</v>
      </c>
      <c r="AJ5" s="816">
        <f>FLN!AE5</f>
        <v>0</v>
      </c>
      <c r="AK5" s="823" t="str">
        <f t="shared" ref="AK5:AK68" si="4">A5&amp;$AM$1</f>
        <v>26</v>
      </c>
      <c r="AL5" s="816">
        <f>FLN!AF5</f>
        <v>3</v>
      </c>
      <c r="AM5" s="816">
        <f>FLN!AG5</f>
        <v>2</v>
      </c>
      <c r="AN5" s="816">
        <f>FLN!AH5</f>
        <v>3</v>
      </c>
      <c r="AO5" s="816">
        <f>FLN!AI5</f>
        <v>0</v>
      </c>
      <c r="AP5" s="823" t="str">
        <f t="shared" ref="AP5:AP68" si="5">A5&amp;$AR$1</f>
        <v>27</v>
      </c>
      <c r="AQ5" s="816">
        <f>FLN!AJ5</f>
        <v>0</v>
      </c>
      <c r="AR5" s="816">
        <f>FLN!AK5</f>
        <v>0</v>
      </c>
      <c r="AS5" s="816">
        <f>FLN!AL5</f>
        <v>0</v>
      </c>
      <c r="AT5" s="816">
        <f>FLN!AM5</f>
        <v>0</v>
      </c>
      <c r="AU5" s="823" t="str">
        <f t="shared" ref="AU5:AU68" si="6">A5&amp;$AW$1</f>
        <v>28</v>
      </c>
      <c r="AV5" s="816">
        <f>FLN!AN5</f>
        <v>0</v>
      </c>
      <c r="AW5" s="816">
        <f>FLN!AO5</f>
        <v>0</v>
      </c>
      <c r="AX5" s="816">
        <f>FLN!AP5</f>
        <v>0</v>
      </c>
      <c r="AY5" s="816">
        <f>FLN!AQ5</f>
        <v>0</v>
      </c>
      <c r="AZ5" s="823" t="str">
        <f t="shared" ref="AZ5:AZ68" si="7">A5&amp;$BB$1</f>
        <v>29</v>
      </c>
      <c r="BA5" s="816">
        <f>FLN!AR5</f>
        <v>0</v>
      </c>
      <c r="BB5" s="816">
        <f>FLN!AS5</f>
        <v>0</v>
      </c>
      <c r="BC5" s="816">
        <f>FLN!AT5</f>
        <v>0</v>
      </c>
      <c r="BD5" s="816">
        <f>FLN!AU5</f>
        <v>0</v>
      </c>
      <c r="BE5" s="823" t="str">
        <f t="shared" ref="BE5:BE68" si="8">A5&amp;$BG$1</f>
        <v>210</v>
      </c>
      <c r="BF5" s="816">
        <f>FLN!AV5</f>
        <v>0</v>
      </c>
      <c r="BG5" s="816">
        <f>FLN!AW5</f>
        <v>0</v>
      </c>
      <c r="BH5" s="816">
        <f>FLN!AX5</f>
        <v>0</v>
      </c>
      <c r="BI5" s="816">
        <f>FLN!AY5</f>
        <v>0</v>
      </c>
      <c r="BJ5" s="823" t="str">
        <f t="shared" ref="BJ5:BJ68" si="9">A5&amp;$BL$1</f>
        <v>211</v>
      </c>
      <c r="BK5" s="816">
        <f>FLN!AZ5</f>
        <v>0</v>
      </c>
      <c r="BL5" s="816">
        <f>FLN!BA5</f>
        <v>0</v>
      </c>
      <c r="BM5" s="816">
        <f>FLN!BB5</f>
        <v>0</v>
      </c>
      <c r="BN5" s="816">
        <f>FLN!BC5</f>
        <v>0</v>
      </c>
      <c r="BO5" s="823" t="str">
        <f t="shared" ref="BO5:BO68" si="10">A5&amp;$BQ$1</f>
        <v>212</v>
      </c>
      <c r="BP5" s="816">
        <f>FLN!BD5</f>
        <v>0</v>
      </c>
      <c r="BQ5" s="816">
        <f>FLN!BE5</f>
        <v>0</v>
      </c>
      <c r="BR5" s="816">
        <f>FLN!BF5</f>
        <v>0</v>
      </c>
      <c r="BS5" s="816">
        <f>FLN!BG5</f>
        <v>0</v>
      </c>
      <c r="BT5" s="823" t="str">
        <f t="shared" ref="BT5:BT68" si="11">A5&amp;$BV$1</f>
        <v>213</v>
      </c>
      <c r="BU5" s="816">
        <f>FLN!BH5</f>
        <v>0</v>
      </c>
      <c r="BV5" s="816">
        <f>FLN!BI5</f>
        <v>0</v>
      </c>
      <c r="BW5" s="816">
        <f>FLN!BJ5</f>
        <v>0</v>
      </c>
      <c r="BX5" s="816">
        <f>FLN!BK5</f>
        <v>0</v>
      </c>
      <c r="BY5" s="823" t="str">
        <f t="shared" ref="BY5:BY68" si="12">A5&amp;$CA$1</f>
        <v>214</v>
      </c>
      <c r="BZ5" s="816">
        <f>FLN!BL5</f>
        <v>0</v>
      </c>
      <c r="CA5" s="816">
        <f>FLN!BM5</f>
        <v>0</v>
      </c>
      <c r="CB5" s="816">
        <f>FLN!BN5</f>
        <v>0</v>
      </c>
      <c r="CC5" s="816">
        <f>FLN!BO5</f>
        <v>0</v>
      </c>
      <c r="CD5" s="823" t="str">
        <f t="shared" ref="CD5:CD68" si="13">A5&amp;$CF$1</f>
        <v>215</v>
      </c>
      <c r="CE5" s="816">
        <f>FLN!BP5</f>
        <v>0</v>
      </c>
      <c r="CF5" s="816">
        <f>FLN!BQ5</f>
        <v>0</v>
      </c>
      <c r="CG5" s="816">
        <f>FLN!BR5</f>
        <v>0</v>
      </c>
      <c r="CH5" s="816">
        <f>FLN!BS5</f>
        <v>0</v>
      </c>
      <c r="CI5" s="823" t="str">
        <f t="shared" ref="CI5:CI68" si="14">A5&amp;$CK$1</f>
        <v>216</v>
      </c>
      <c r="CJ5" s="816">
        <f>FLN!BT5</f>
        <v>0</v>
      </c>
      <c r="CK5" s="816">
        <f>FLN!BU5</f>
        <v>0</v>
      </c>
      <c r="CL5" s="816">
        <f>FLN!BV5</f>
        <v>0</v>
      </c>
      <c r="CM5" s="816">
        <f>FLN!BW5</f>
        <v>0</v>
      </c>
      <c r="CN5" s="823" t="str">
        <f t="shared" ref="CN5:CN68" si="15">A5&amp;$CP$1</f>
        <v>217</v>
      </c>
      <c r="CO5" s="816">
        <f>FLN!BX5</f>
        <v>0</v>
      </c>
      <c r="CP5" s="816">
        <f>FLN!BY5</f>
        <v>0</v>
      </c>
      <c r="CQ5" s="816">
        <f>FLN!BZ5</f>
        <v>0</v>
      </c>
      <c r="CR5" s="816">
        <f>FLN!CA5</f>
        <v>0</v>
      </c>
      <c r="CS5" s="823" t="str">
        <f t="shared" ref="CS5:CS68" si="16">A5&amp;$CU$1</f>
        <v>218</v>
      </c>
      <c r="CT5" s="816">
        <f>FLN!CB5</f>
        <v>0</v>
      </c>
      <c r="CU5" s="816">
        <f>FLN!CC5</f>
        <v>0</v>
      </c>
      <c r="CV5" s="816">
        <f>FLN!CD5</f>
        <v>0</v>
      </c>
      <c r="CW5" s="816">
        <f>FLN!CE5</f>
        <v>0</v>
      </c>
      <c r="CX5" s="823" t="str">
        <f t="shared" ref="CX5:CX68" si="17">A5&amp;$CZ$1</f>
        <v>219</v>
      </c>
      <c r="CY5" s="816">
        <f>FLN!CF5</f>
        <v>0</v>
      </c>
      <c r="CZ5" s="816">
        <f>FLN!CG5</f>
        <v>0</v>
      </c>
      <c r="DA5" s="816">
        <f>FLN!CH5</f>
        <v>0</v>
      </c>
      <c r="DB5" s="816">
        <f>FLN!CI5</f>
        <v>0</v>
      </c>
      <c r="DC5" s="823" t="str">
        <f t="shared" ref="DC5:DC68" si="18">A5&amp;$DE$1</f>
        <v>220</v>
      </c>
      <c r="DD5" s="816">
        <f>FLN!CJ5</f>
        <v>0</v>
      </c>
      <c r="DE5" s="816">
        <f>FLN!CK5</f>
        <v>0</v>
      </c>
      <c r="DF5" s="816">
        <f>FLN!CL5</f>
        <v>0</v>
      </c>
      <c r="DG5" s="816">
        <f>FLN!CM5</f>
        <v>0</v>
      </c>
      <c r="DH5" s="823" t="str">
        <f t="shared" ref="DH5:DH68" si="19">A5&amp;$DJ$1</f>
        <v>221</v>
      </c>
      <c r="DI5" s="816">
        <f>FLN!CN5</f>
        <v>0</v>
      </c>
      <c r="DJ5" s="816">
        <f>FLN!CO5</f>
        <v>0</v>
      </c>
      <c r="DK5" s="816">
        <f>FLN!CP5</f>
        <v>0</v>
      </c>
      <c r="DL5" s="816">
        <f>FLN!CQ5</f>
        <v>0</v>
      </c>
      <c r="DM5" s="823" t="str">
        <f t="shared" ref="DM5:DM68" si="20">A5&amp;$DO$1</f>
        <v>222</v>
      </c>
      <c r="DN5" s="816">
        <f>FLN!CR5</f>
        <v>0</v>
      </c>
      <c r="DO5" s="816">
        <f>FLN!CS5</f>
        <v>0</v>
      </c>
      <c r="DP5" s="816">
        <f>FLN!CT5</f>
        <v>0</v>
      </c>
      <c r="DQ5" s="816">
        <f>FLN!CU5</f>
        <v>0</v>
      </c>
      <c r="DR5" s="823" t="str">
        <f t="shared" ref="DR5:DR68" si="21">A5&amp;$DT$1</f>
        <v>223</v>
      </c>
      <c r="DS5" s="816">
        <f>FLN!CV5</f>
        <v>0</v>
      </c>
      <c r="DT5" s="816">
        <f>FLN!CW5</f>
        <v>0</v>
      </c>
      <c r="DU5" s="816">
        <f>FLN!CX5</f>
        <v>0</v>
      </c>
      <c r="DV5" s="816">
        <f>FLN!CY5</f>
        <v>0</v>
      </c>
      <c r="DW5" s="823" t="str">
        <f t="shared" ref="DW5:DW68" si="22">A5&amp;$DY$1</f>
        <v>224</v>
      </c>
      <c r="DX5" s="816">
        <f>FLN!CZ5</f>
        <v>0</v>
      </c>
      <c r="DY5" s="816">
        <f>FLN!DA5</f>
        <v>0</v>
      </c>
      <c r="DZ5" s="816">
        <f>FLN!DB5</f>
        <v>0</v>
      </c>
      <c r="EA5" s="816">
        <f>FLN!DC5</f>
        <v>0</v>
      </c>
      <c r="EB5" s="823" t="str">
        <f t="shared" ref="EB5:EB68" si="23">A5&amp;$ED$1</f>
        <v>225</v>
      </c>
      <c r="EC5" s="816">
        <f>FLN!DD5</f>
        <v>0</v>
      </c>
      <c r="ED5" s="816">
        <f>FLN!DE5</f>
        <v>0</v>
      </c>
      <c r="EE5" s="816">
        <f>FLN!DF5</f>
        <v>0</v>
      </c>
      <c r="EF5" s="816">
        <f>FLN!DG5</f>
        <v>0</v>
      </c>
    </row>
    <row r="6" spans="1:145">
      <c r="A6" s="824">
        <v>3</v>
      </c>
      <c r="B6" s="824">
        <f>STUDENT!F4</f>
        <v>14757</v>
      </c>
      <c r="C6" s="824">
        <f>STUDENT!D4</f>
        <v>20220402586</v>
      </c>
      <c r="D6" s="827" t="str">
        <f>STUDENT!E4</f>
        <v>AADITYA KUMAR</v>
      </c>
      <c r="E6" s="827" t="str">
        <f>STUDENT!H4</f>
        <v>DHARMENDRA KUMAR</v>
      </c>
      <c r="F6" s="828" t="str">
        <f>FLN!F6</f>
        <v>Words</v>
      </c>
      <c r="G6" s="828" t="str">
        <f>FLN!G6</f>
        <v>Subtraction</v>
      </c>
      <c r="H6" s="828" t="str">
        <f>FLN!H6</f>
        <v>Words</v>
      </c>
      <c r="I6" s="824">
        <f>FLN!I6</f>
        <v>3</v>
      </c>
      <c r="J6" s="824">
        <f>FLN!J6</f>
        <v>3</v>
      </c>
      <c r="K6" s="824">
        <f>FLN!K6</f>
        <v>4</v>
      </c>
      <c r="L6" s="823" t="str">
        <f t="shared" ref="L6:L69" si="24">A6&amp;$N$1</f>
        <v>31</v>
      </c>
      <c r="M6" s="816">
        <f>FLN!L6</f>
        <v>3</v>
      </c>
      <c r="N6" s="816">
        <f>FLN!M6</f>
        <v>3</v>
      </c>
      <c r="O6" s="816">
        <f>FLN!N6</f>
        <v>4</v>
      </c>
      <c r="P6" s="816">
        <f>FLN!O6</f>
        <v>0</v>
      </c>
      <c r="Q6" s="823" t="str">
        <f t="shared" si="0"/>
        <v>32</v>
      </c>
      <c r="R6" s="816">
        <f>FLN!P6</f>
        <v>3</v>
      </c>
      <c r="S6" s="816">
        <f>FLN!Q6</f>
        <v>3</v>
      </c>
      <c r="T6" s="816">
        <f>FLN!R6</f>
        <v>4</v>
      </c>
      <c r="U6" s="816">
        <f>FLN!S6</f>
        <v>0</v>
      </c>
      <c r="V6" s="823" t="str">
        <f t="shared" si="1"/>
        <v>33</v>
      </c>
      <c r="W6" s="816">
        <f>FLN!T6</f>
        <v>3</v>
      </c>
      <c r="X6" s="816">
        <f>FLN!U6</f>
        <v>3</v>
      </c>
      <c r="Y6" s="816">
        <f>FLN!V6</f>
        <v>4</v>
      </c>
      <c r="Z6" s="816">
        <f>FLN!W6</f>
        <v>0</v>
      </c>
      <c r="AA6" s="823" t="str">
        <f t="shared" si="2"/>
        <v>34</v>
      </c>
      <c r="AB6" s="816">
        <f>FLN!X6</f>
        <v>3</v>
      </c>
      <c r="AC6" s="816">
        <f>FLN!Y6</f>
        <v>3</v>
      </c>
      <c r="AD6" s="816">
        <f>FLN!Z6</f>
        <v>4</v>
      </c>
      <c r="AE6" s="816">
        <f>FLN!AA6</f>
        <v>0</v>
      </c>
      <c r="AF6" s="823" t="str">
        <f t="shared" si="3"/>
        <v>35</v>
      </c>
      <c r="AG6" s="816">
        <f>FLN!AB6</f>
        <v>3</v>
      </c>
      <c r="AH6" s="816">
        <f>FLN!AC6</f>
        <v>3</v>
      </c>
      <c r="AI6" s="816">
        <f>FLN!AD6</f>
        <v>4</v>
      </c>
      <c r="AJ6" s="816">
        <f>FLN!AE6</f>
        <v>0</v>
      </c>
      <c r="AK6" s="823" t="str">
        <f t="shared" si="4"/>
        <v>36</v>
      </c>
      <c r="AL6" s="816">
        <f>FLN!AF6</f>
        <v>3</v>
      </c>
      <c r="AM6" s="816">
        <f>FLN!AG6</f>
        <v>3</v>
      </c>
      <c r="AN6" s="816">
        <f>FLN!AH6</f>
        <v>4</v>
      </c>
      <c r="AO6" s="816">
        <f>FLN!AI6</f>
        <v>0</v>
      </c>
      <c r="AP6" s="823" t="str">
        <f t="shared" si="5"/>
        <v>37</v>
      </c>
      <c r="AQ6" s="816">
        <f>FLN!AJ6</f>
        <v>0</v>
      </c>
      <c r="AR6" s="816">
        <f>FLN!AK6</f>
        <v>0</v>
      </c>
      <c r="AS6" s="816">
        <f>FLN!AL6</f>
        <v>0</v>
      </c>
      <c r="AT6" s="816">
        <f>FLN!AM6</f>
        <v>0</v>
      </c>
      <c r="AU6" s="823" t="str">
        <f t="shared" si="6"/>
        <v>38</v>
      </c>
      <c r="AV6" s="816">
        <f>FLN!AN6</f>
        <v>0</v>
      </c>
      <c r="AW6" s="816">
        <f>FLN!AO6</f>
        <v>0</v>
      </c>
      <c r="AX6" s="816">
        <f>FLN!AP6</f>
        <v>0</v>
      </c>
      <c r="AY6" s="816">
        <f>FLN!AQ6</f>
        <v>0</v>
      </c>
      <c r="AZ6" s="823" t="str">
        <f t="shared" si="7"/>
        <v>39</v>
      </c>
      <c r="BA6" s="816">
        <f>FLN!AR6</f>
        <v>0</v>
      </c>
      <c r="BB6" s="816">
        <f>FLN!AS6</f>
        <v>0</v>
      </c>
      <c r="BC6" s="816">
        <f>FLN!AT6</f>
        <v>0</v>
      </c>
      <c r="BD6" s="816">
        <f>FLN!AU6</f>
        <v>0</v>
      </c>
      <c r="BE6" s="823" t="str">
        <f t="shared" si="8"/>
        <v>310</v>
      </c>
      <c r="BF6" s="816">
        <f>FLN!AV6</f>
        <v>0</v>
      </c>
      <c r="BG6" s="816">
        <f>FLN!AW6</f>
        <v>0</v>
      </c>
      <c r="BH6" s="816">
        <f>FLN!AX6</f>
        <v>0</v>
      </c>
      <c r="BI6" s="816">
        <f>FLN!AY6</f>
        <v>0</v>
      </c>
      <c r="BJ6" s="823" t="str">
        <f t="shared" si="9"/>
        <v>311</v>
      </c>
      <c r="BK6" s="816">
        <f>FLN!AZ6</f>
        <v>0</v>
      </c>
      <c r="BL6" s="816">
        <f>FLN!BA6</f>
        <v>0</v>
      </c>
      <c r="BM6" s="816">
        <f>FLN!BB6</f>
        <v>0</v>
      </c>
      <c r="BN6" s="816">
        <f>FLN!BC6</f>
        <v>0</v>
      </c>
      <c r="BO6" s="823" t="str">
        <f t="shared" si="10"/>
        <v>312</v>
      </c>
      <c r="BP6" s="816">
        <f>FLN!BD6</f>
        <v>0</v>
      </c>
      <c r="BQ6" s="816">
        <f>FLN!BE6</f>
        <v>0</v>
      </c>
      <c r="BR6" s="816">
        <f>FLN!BF6</f>
        <v>0</v>
      </c>
      <c r="BS6" s="816">
        <f>FLN!BG6</f>
        <v>0</v>
      </c>
      <c r="BT6" s="823" t="str">
        <f t="shared" si="11"/>
        <v>313</v>
      </c>
      <c r="BU6" s="816">
        <f>FLN!BH6</f>
        <v>0</v>
      </c>
      <c r="BV6" s="816">
        <f>FLN!BI6</f>
        <v>0</v>
      </c>
      <c r="BW6" s="816">
        <f>FLN!BJ6</f>
        <v>0</v>
      </c>
      <c r="BX6" s="816">
        <f>FLN!BK6</f>
        <v>0</v>
      </c>
      <c r="BY6" s="823" t="str">
        <f t="shared" si="12"/>
        <v>314</v>
      </c>
      <c r="BZ6" s="816">
        <f>FLN!BL6</f>
        <v>0</v>
      </c>
      <c r="CA6" s="816">
        <f>FLN!BM6</f>
        <v>0</v>
      </c>
      <c r="CB6" s="816">
        <f>FLN!BN6</f>
        <v>0</v>
      </c>
      <c r="CC6" s="816">
        <f>FLN!BO6</f>
        <v>0</v>
      </c>
      <c r="CD6" s="823" t="str">
        <f t="shared" si="13"/>
        <v>315</v>
      </c>
      <c r="CE6" s="816">
        <f>FLN!BP6</f>
        <v>0</v>
      </c>
      <c r="CF6" s="816">
        <f>FLN!BQ6</f>
        <v>0</v>
      </c>
      <c r="CG6" s="816">
        <f>FLN!BR6</f>
        <v>0</v>
      </c>
      <c r="CH6" s="816">
        <f>FLN!BS6</f>
        <v>0</v>
      </c>
      <c r="CI6" s="823" t="str">
        <f t="shared" si="14"/>
        <v>316</v>
      </c>
      <c r="CJ6" s="816">
        <f>FLN!BT6</f>
        <v>0</v>
      </c>
      <c r="CK6" s="816">
        <f>FLN!BU6</f>
        <v>0</v>
      </c>
      <c r="CL6" s="816">
        <f>FLN!BV6</f>
        <v>0</v>
      </c>
      <c r="CM6" s="816">
        <f>FLN!BW6</f>
        <v>0</v>
      </c>
      <c r="CN6" s="823" t="str">
        <f t="shared" si="15"/>
        <v>317</v>
      </c>
      <c r="CO6" s="816">
        <f>FLN!BX6</f>
        <v>0</v>
      </c>
      <c r="CP6" s="816">
        <f>FLN!BY6</f>
        <v>0</v>
      </c>
      <c r="CQ6" s="816">
        <f>FLN!BZ6</f>
        <v>0</v>
      </c>
      <c r="CR6" s="816">
        <f>FLN!CA6</f>
        <v>0</v>
      </c>
      <c r="CS6" s="823" t="str">
        <f t="shared" si="16"/>
        <v>318</v>
      </c>
      <c r="CT6" s="816">
        <f>FLN!CB6</f>
        <v>0</v>
      </c>
      <c r="CU6" s="816">
        <f>FLN!CC6</f>
        <v>0</v>
      </c>
      <c r="CV6" s="816">
        <f>FLN!CD6</f>
        <v>0</v>
      </c>
      <c r="CW6" s="816">
        <f>FLN!CE6</f>
        <v>0</v>
      </c>
      <c r="CX6" s="823" t="str">
        <f t="shared" si="17"/>
        <v>319</v>
      </c>
      <c r="CY6" s="816">
        <f>FLN!CF6</f>
        <v>0</v>
      </c>
      <c r="CZ6" s="816">
        <f>FLN!CG6</f>
        <v>0</v>
      </c>
      <c r="DA6" s="816">
        <f>FLN!CH6</f>
        <v>0</v>
      </c>
      <c r="DB6" s="816">
        <f>FLN!CI6</f>
        <v>0</v>
      </c>
      <c r="DC6" s="823" t="str">
        <f t="shared" si="18"/>
        <v>320</v>
      </c>
      <c r="DD6" s="816">
        <f>FLN!CJ6</f>
        <v>0</v>
      </c>
      <c r="DE6" s="816">
        <f>FLN!CK6</f>
        <v>0</v>
      </c>
      <c r="DF6" s="816">
        <f>FLN!CL6</f>
        <v>0</v>
      </c>
      <c r="DG6" s="816">
        <f>FLN!CM6</f>
        <v>0</v>
      </c>
      <c r="DH6" s="823" t="str">
        <f t="shared" si="19"/>
        <v>321</v>
      </c>
      <c r="DI6" s="816">
        <f>FLN!CN6</f>
        <v>0</v>
      </c>
      <c r="DJ6" s="816">
        <f>FLN!CO6</f>
        <v>0</v>
      </c>
      <c r="DK6" s="816">
        <f>FLN!CP6</f>
        <v>0</v>
      </c>
      <c r="DL6" s="816">
        <f>FLN!CQ6</f>
        <v>0</v>
      </c>
      <c r="DM6" s="823" t="str">
        <f t="shared" si="20"/>
        <v>322</v>
      </c>
      <c r="DN6" s="816">
        <f>FLN!CR6</f>
        <v>0</v>
      </c>
      <c r="DO6" s="816">
        <f>FLN!CS6</f>
        <v>0</v>
      </c>
      <c r="DP6" s="816">
        <f>FLN!CT6</f>
        <v>0</v>
      </c>
      <c r="DQ6" s="816">
        <f>FLN!CU6</f>
        <v>0</v>
      </c>
      <c r="DR6" s="823" t="str">
        <f t="shared" si="21"/>
        <v>323</v>
      </c>
      <c r="DS6" s="816">
        <f>FLN!CV6</f>
        <v>0</v>
      </c>
      <c r="DT6" s="816">
        <f>FLN!CW6</f>
        <v>0</v>
      </c>
      <c r="DU6" s="816">
        <f>FLN!CX6</f>
        <v>0</v>
      </c>
      <c r="DV6" s="816">
        <f>FLN!CY6</f>
        <v>0</v>
      </c>
      <c r="DW6" s="823" t="str">
        <f t="shared" si="22"/>
        <v>324</v>
      </c>
      <c r="DX6" s="816">
        <f>FLN!CZ6</f>
        <v>0</v>
      </c>
      <c r="DY6" s="816">
        <f>FLN!DA6</f>
        <v>0</v>
      </c>
      <c r="DZ6" s="816">
        <f>FLN!DB6</f>
        <v>0</v>
      </c>
      <c r="EA6" s="816">
        <f>FLN!DC6</f>
        <v>0</v>
      </c>
      <c r="EB6" s="823" t="str">
        <f t="shared" si="23"/>
        <v>325</v>
      </c>
      <c r="EC6" s="816">
        <f>FLN!DD6</f>
        <v>0</v>
      </c>
      <c r="ED6" s="816">
        <f>FLN!DE6</f>
        <v>0</v>
      </c>
      <c r="EE6" s="816">
        <f>FLN!DF6</f>
        <v>0</v>
      </c>
      <c r="EF6" s="816">
        <f>FLN!DG6</f>
        <v>0</v>
      </c>
    </row>
    <row r="7" spans="1:145">
      <c r="A7" s="824">
        <v>4</v>
      </c>
      <c r="B7" s="824">
        <f>STUDENT!F5</f>
        <v>14778</v>
      </c>
      <c r="C7" s="824">
        <f>STUDENT!D5</f>
        <v>20220448164</v>
      </c>
      <c r="D7" s="827" t="str">
        <f>STUDENT!E5</f>
        <v>PRINCE KUMAR RAY</v>
      </c>
      <c r="E7" s="827" t="str">
        <f>STUDENT!H5</f>
        <v>RAMSHARAN RAY</v>
      </c>
      <c r="F7" s="828" t="str">
        <f>FLN!F7</f>
        <v>Words</v>
      </c>
      <c r="G7" s="828" t="str">
        <f>FLN!G7</f>
        <v>Number Recognition (10-99)</v>
      </c>
      <c r="H7" s="828" t="str">
        <f>FLN!H7</f>
        <v>Character</v>
      </c>
      <c r="I7" s="824">
        <f>FLN!I7</f>
        <v>3</v>
      </c>
      <c r="J7" s="824">
        <f>FLN!J7</f>
        <v>2</v>
      </c>
      <c r="K7" s="824">
        <f>FLN!K7</f>
        <v>3</v>
      </c>
      <c r="L7" s="823" t="str">
        <f t="shared" si="24"/>
        <v>41</v>
      </c>
      <c r="M7" s="816">
        <f>FLN!L7</f>
        <v>3</v>
      </c>
      <c r="N7" s="816">
        <f>FLN!M7</f>
        <v>2</v>
      </c>
      <c r="O7" s="816">
        <f>FLN!N7</f>
        <v>3</v>
      </c>
      <c r="P7" s="816">
        <f>FLN!O7</f>
        <v>0</v>
      </c>
      <c r="Q7" s="823" t="str">
        <f t="shared" si="0"/>
        <v>42</v>
      </c>
      <c r="R7" s="816">
        <f>FLN!P7</f>
        <v>3</v>
      </c>
      <c r="S7" s="816">
        <f>FLN!Q7</f>
        <v>2</v>
      </c>
      <c r="T7" s="816">
        <f>FLN!R7</f>
        <v>3</v>
      </c>
      <c r="U7" s="816">
        <f>FLN!S7</f>
        <v>0</v>
      </c>
      <c r="V7" s="823" t="str">
        <f t="shared" si="1"/>
        <v>43</v>
      </c>
      <c r="W7" s="816">
        <f>FLN!T7</f>
        <v>3</v>
      </c>
      <c r="X7" s="816">
        <f>FLN!U7</f>
        <v>2</v>
      </c>
      <c r="Y7" s="816">
        <f>FLN!V7</f>
        <v>3</v>
      </c>
      <c r="Z7" s="816">
        <f>FLN!W7</f>
        <v>0</v>
      </c>
      <c r="AA7" s="823" t="str">
        <f t="shared" si="2"/>
        <v>44</v>
      </c>
      <c r="AB7" s="816">
        <f>FLN!X7</f>
        <v>3</v>
      </c>
      <c r="AC7" s="816">
        <f>FLN!Y7</f>
        <v>2</v>
      </c>
      <c r="AD7" s="816">
        <f>FLN!Z7</f>
        <v>3</v>
      </c>
      <c r="AE7" s="816">
        <f>FLN!AA7</f>
        <v>0</v>
      </c>
      <c r="AF7" s="823" t="str">
        <f t="shared" si="3"/>
        <v>45</v>
      </c>
      <c r="AG7" s="816">
        <f>FLN!AB7</f>
        <v>3</v>
      </c>
      <c r="AH7" s="816">
        <f>FLN!AC7</f>
        <v>2</v>
      </c>
      <c r="AI7" s="816">
        <f>FLN!AD7</f>
        <v>3</v>
      </c>
      <c r="AJ7" s="816">
        <f>FLN!AE7</f>
        <v>0</v>
      </c>
      <c r="AK7" s="823" t="str">
        <f t="shared" si="4"/>
        <v>46</v>
      </c>
      <c r="AL7" s="816">
        <f>FLN!AF7</f>
        <v>3</v>
      </c>
      <c r="AM7" s="816">
        <f>FLN!AG7</f>
        <v>2</v>
      </c>
      <c r="AN7" s="816">
        <f>FLN!AH7</f>
        <v>3</v>
      </c>
      <c r="AO7" s="816">
        <f>FLN!AI7</f>
        <v>0</v>
      </c>
      <c r="AP7" s="823" t="str">
        <f t="shared" si="5"/>
        <v>47</v>
      </c>
      <c r="AQ7" s="816">
        <f>FLN!AJ7</f>
        <v>0</v>
      </c>
      <c r="AR7" s="816">
        <f>FLN!AK7</f>
        <v>0</v>
      </c>
      <c r="AS7" s="816">
        <f>FLN!AL7</f>
        <v>0</v>
      </c>
      <c r="AT7" s="816">
        <f>FLN!AM7</f>
        <v>0</v>
      </c>
      <c r="AU7" s="823" t="str">
        <f t="shared" si="6"/>
        <v>48</v>
      </c>
      <c r="AV7" s="816">
        <f>FLN!AN7</f>
        <v>0</v>
      </c>
      <c r="AW7" s="816">
        <f>FLN!AO7</f>
        <v>0</v>
      </c>
      <c r="AX7" s="816">
        <f>FLN!AP7</f>
        <v>0</v>
      </c>
      <c r="AY7" s="816">
        <f>FLN!AQ7</f>
        <v>0</v>
      </c>
      <c r="AZ7" s="823" t="str">
        <f t="shared" si="7"/>
        <v>49</v>
      </c>
      <c r="BA7" s="816">
        <f>FLN!AR7</f>
        <v>0</v>
      </c>
      <c r="BB7" s="816">
        <f>FLN!AS7</f>
        <v>0</v>
      </c>
      <c r="BC7" s="816">
        <f>FLN!AT7</f>
        <v>0</v>
      </c>
      <c r="BD7" s="816">
        <f>FLN!AU7</f>
        <v>0</v>
      </c>
      <c r="BE7" s="823" t="str">
        <f t="shared" si="8"/>
        <v>410</v>
      </c>
      <c r="BF7" s="816">
        <f>FLN!AV7</f>
        <v>0</v>
      </c>
      <c r="BG7" s="816">
        <f>FLN!AW7</f>
        <v>0</v>
      </c>
      <c r="BH7" s="816">
        <f>FLN!AX7</f>
        <v>0</v>
      </c>
      <c r="BI7" s="816">
        <f>FLN!AY7</f>
        <v>0</v>
      </c>
      <c r="BJ7" s="823" t="str">
        <f t="shared" si="9"/>
        <v>411</v>
      </c>
      <c r="BK7" s="816">
        <f>FLN!AZ7</f>
        <v>0</v>
      </c>
      <c r="BL7" s="816">
        <f>FLN!BA7</f>
        <v>0</v>
      </c>
      <c r="BM7" s="816">
        <f>FLN!BB7</f>
        <v>0</v>
      </c>
      <c r="BN7" s="816">
        <f>FLN!BC7</f>
        <v>0</v>
      </c>
      <c r="BO7" s="823" t="str">
        <f t="shared" si="10"/>
        <v>412</v>
      </c>
      <c r="BP7" s="816">
        <f>FLN!BD7</f>
        <v>0</v>
      </c>
      <c r="BQ7" s="816">
        <f>FLN!BE7</f>
        <v>0</v>
      </c>
      <c r="BR7" s="816">
        <f>FLN!BF7</f>
        <v>0</v>
      </c>
      <c r="BS7" s="816">
        <f>FLN!BG7</f>
        <v>0</v>
      </c>
      <c r="BT7" s="823" t="str">
        <f t="shared" si="11"/>
        <v>413</v>
      </c>
      <c r="BU7" s="816">
        <f>FLN!BH7</f>
        <v>0</v>
      </c>
      <c r="BV7" s="816">
        <f>FLN!BI7</f>
        <v>0</v>
      </c>
      <c r="BW7" s="816">
        <f>FLN!BJ7</f>
        <v>0</v>
      </c>
      <c r="BX7" s="816">
        <f>FLN!BK7</f>
        <v>0</v>
      </c>
      <c r="BY7" s="823" t="str">
        <f t="shared" si="12"/>
        <v>414</v>
      </c>
      <c r="BZ7" s="816">
        <f>FLN!BL7</f>
        <v>0</v>
      </c>
      <c r="CA7" s="816">
        <f>FLN!BM7</f>
        <v>0</v>
      </c>
      <c r="CB7" s="816">
        <f>FLN!BN7</f>
        <v>0</v>
      </c>
      <c r="CC7" s="816">
        <f>FLN!BO7</f>
        <v>0</v>
      </c>
      <c r="CD7" s="823" t="str">
        <f t="shared" si="13"/>
        <v>415</v>
      </c>
      <c r="CE7" s="816">
        <f>FLN!BP7</f>
        <v>0</v>
      </c>
      <c r="CF7" s="816">
        <f>FLN!BQ7</f>
        <v>0</v>
      </c>
      <c r="CG7" s="816">
        <f>FLN!BR7</f>
        <v>0</v>
      </c>
      <c r="CH7" s="816">
        <f>FLN!BS7</f>
        <v>0</v>
      </c>
      <c r="CI7" s="823" t="str">
        <f t="shared" si="14"/>
        <v>416</v>
      </c>
      <c r="CJ7" s="816">
        <f>FLN!BT7</f>
        <v>0</v>
      </c>
      <c r="CK7" s="816">
        <f>FLN!BU7</f>
        <v>0</v>
      </c>
      <c r="CL7" s="816">
        <f>FLN!BV7</f>
        <v>0</v>
      </c>
      <c r="CM7" s="816">
        <f>FLN!BW7</f>
        <v>0</v>
      </c>
      <c r="CN7" s="823" t="str">
        <f t="shared" si="15"/>
        <v>417</v>
      </c>
      <c r="CO7" s="816">
        <f>FLN!BX7</f>
        <v>0</v>
      </c>
      <c r="CP7" s="816">
        <f>FLN!BY7</f>
        <v>0</v>
      </c>
      <c r="CQ7" s="816">
        <f>FLN!BZ7</f>
        <v>0</v>
      </c>
      <c r="CR7" s="816">
        <f>FLN!CA7</f>
        <v>0</v>
      </c>
      <c r="CS7" s="823" t="str">
        <f t="shared" si="16"/>
        <v>418</v>
      </c>
      <c r="CT7" s="816">
        <f>FLN!CB7</f>
        <v>0</v>
      </c>
      <c r="CU7" s="816">
        <f>FLN!CC7</f>
        <v>0</v>
      </c>
      <c r="CV7" s="816">
        <f>FLN!CD7</f>
        <v>0</v>
      </c>
      <c r="CW7" s="816">
        <f>FLN!CE7</f>
        <v>0</v>
      </c>
      <c r="CX7" s="823" t="str">
        <f t="shared" si="17"/>
        <v>419</v>
      </c>
      <c r="CY7" s="816">
        <f>FLN!CF7</f>
        <v>0</v>
      </c>
      <c r="CZ7" s="816">
        <f>FLN!CG7</f>
        <v>0</v>
      </c>
      <c r="DA7" s="816">
        <f>FLN!CH7</f>
        <v>0</v>
      </c>
      <c r="DB7" s="816">
        <f>FLN!CI7</f>
        <v>0</v>
      </c>
      <c r="DC7" s="823" t="str">
        <f t="shared" si="18"/>
        <v>420</v>
      </c>
      <c r="DD7" s="816">
        <f>FLN!CJ7</f>
        <v>0</v>
      </c>
      <c r="DE7" s="816">
        <f>FLN!CK7</f>
        <v>0</v>
      </c>
      <c r="DF7" s="816">
        <f>FLN!CL7</f>
        <v>0</v>
      </c>
      <c r="DG7" s="816">
        <f>FLN!CM7</f>
        <v>0</v>
      </c>
      <c r="DH7" s="823" t="str">
        <f t="shared" si="19"/>
        <v>421</v>
      </c>
      <c r="DI7" s="816">
        <f>FLN!CN7</f>
        <v>0</v>
      </c>
      <c r="DJ7" s="816">
        <f>FLN!CO7</f>
        <v>0</v>
      </c>
      <c r="DK7" s="816">
        <f>FLN!CP7</f>
        <v>0</v>
      </c>
      <c r="DL7" s="816">
        <f>FLN!CQ7</f>
        <v>0</v>
      </c>
      <c r="DM7" s="823" t="str">
        <f t="shared" si="20"/>
        <v>422</v>
      </c>
      <c r="DN7" s="816">
        <f>FLN!CR7</f>
        <v>0</v>
      </c>
      <c r="DO7" s="816">
        <f>FLN!CS7</f>
        <v>0</v>
      </c>
      <c r="DP7" s="816">
        <f>FLN!CT7</f>
        <v>0</v>
      </c>
      <c r="DQ7" s="816">
        <f>FLN!CU7</f>
        <v>0</v>
      </c>
      <c r="DR7" s="823" t="str">
        <f t="shared" si="21"/>
        <v>423</v>
      </c>
      <c r="DS7" s="816">
        <f>FLN!CV7</f>
        <v>0</v>
      </c>
      <c r="DT7" s="816">
        <f>FLN!CW7</f>
        <v>0</v>
      </c>
      <c r="DU7" s="816">
        <f>FLN!CX7</f>
        <v>0</v>
      </c>
      <c r="DV7" s="816">
        <f>FLN!CY7</f>
        <v>0</v>
      </c>
      <c r="DW7" s="823" t="str">
        <f t="shared" si="22"/>
        <v>424</v>
      </c>
      <c r="DX7" s="816">
        <f>FLN!CZ7</f>
        <v>0</v>
      </c>
      <c r="DY7" s="816">
        <f>FLN!DA7</f>
        <v>0</v>
      </c>
      <c r="DZ7" s="816">
        <f>FLN!DB7</f>
        <v>0</v>
      </c>
      <c r="EA7" s="816">
        <f>FLN!DC7</f>
        <v>0</v>
      </c>
      <c r="EB7" s="823" t="str">
        <f t="shared" si="23"/>
        <v>425</v>
      </c>
      <c r="EC7" s="816">
        <f>FLN!DD7</f>
        <v>0</v>
      </c>
      <c r="ED7" s="816">
        <f>FLN!DE7</f>
        <v>0</v>
      </c>
      <c r="EE7" s="816">
        <f>FLN!DF7</f>
        <v>0</v>
      </c>
      <c r="EF7" s="816">
        <f>FLN!DG7</f>
        <v>0</v>
      </c>
    </row>
    <row r="8" spans="1:145">
      <c r="A8" s="824">
        <v>5</v>
      </c>
      <c r="B8" s="824">
        <f>STUDENT!F6</f>
        <v>14785</v>
      </c>
      <c r="C8" s="824">
        <f>STUDENT!D6</f>
        <v>20220482313</v>
      </c>
      <c r="D8" s="827" t="str">
        <f>STUDENT!E6</f>
        <v>KIRSHNA</v>
      </c>
      <c r="E8" s="827" t="str">
        <f>STUDENT!H6</f>
        <v>VISHNU KASHYAP</v>
      </c>
      <c r="F8" s="828" t="str">
        <f>FLN!F8</f>
        <v>Alphabets</v>
      </c>
      <c r="G8" s="828" t="str">
        <f>FLN!G8</f>
        <v>Number Recognition (10-99)</v>
      </c>
      <c r="H8" s="828" t="str">
        <f>FLN!H8</f>
        <v>Character</v>
      </c>
      <c r="I8" s="824">
        <f>FLN!I8</f>
        <v>2</v>
      </c>
      <c r="J8" s="824">
        <f>FLN!J8</f>
        <v>2</v>
      </c>
      <c r="K8" s="824">
        <f>FLN!K8</f>
        <v>3</v>
      </c>
      <c r="L8" s="823" t="str">
        <f t="shared" si="24"/>
        <v>51</v>
      </c>
      <c r="M8" s="816">
        <f>FLN!L8</f>
        <v>2</v>
      </c>
      <c r="N8" s="816">
        <f>FLN!M8</f>
        <v>2</v>
      </c>
      <c r="O8" s="816">
        <f>FLN!N8</f>
        <v>3</v>
      </c>
      <c r="P8" s="816">
        <f>FLN!O8</f>
        <v>0</v>
      </c>
      <c r="Q8" s="823" t="str">
        <f t="shared" si="0"/>
        <v>52</v>
      </c>
      <c r="R8" s="816">
        <f>FLN!P8</f>
        <v>2</v>
      </c>
      <c r="S8" s="816">
        <f>FLN!Q8</f>
        <v>2</v>
      </c>
      <c r="T8" s="816">
        <f>FLN!R8</f>
        <v>3</v>
      </c>
      <c r="U8" s="816">
        <f>FLN!S8</f>
        <v>0</v>
      </c>
      <c r="V8" s="823" t="str">
        <f t="shared" si="1"/>
        <v>53</v>
      </c>
      <c r="W8" s="816">
        <f>FLN!T8</f>
        <v>2</v>
      </c>
      <c r="X8" s="816">
        <f>FLN!U8</f>
        <v>2</v>
      </c>
      <c r="Y8" s="816">
        <f>FLN!V8</f>
        <v>3</v>
      </c>
      <c r="Z8" s="816">
        <f>FLN!W8</f>
        <v>0</v>
      </c>
      <c r="AA8" s="823" t="str">
        <f t="shared" si="2"/>
        <v>54</v>
      </c>
      <c r="AB8" s="816">
        <f>FLN!X8</f>
        <v>2</v>
      </c>
      <c r="AC8" s="816">
        <f>FLN!Y8</f>
        <v>2</v>
      </c>
      <c r="AD8" s="816">
        <f>FLN!Z8</f>
        <v>3</v>
      </c>
      <c r="AE8" s="816">
        <f>FLN!AA8</f>
        <v>0</v>
      </c>
      <c r="AF8" s="823" t="str">
        <f t="shared" si="3"/>
        <v>55</v>
      </c>
      <c r="AG8" s="816">
        <f>FLN!AB8</f>
        <v>2</v>
      </c>
      <c r="AH8" s="816">
        <f>FLN!AC8</f>
        <v>2</v>
      </c>
      <c r="AI8" s="816">
        <f>FLN!AD8</f>
        <v>3</v>
      </c>
      <c r="AJ8" s="816">
        <f>FLN!AE8</f>
        <v>0</v>
      </c>
      <c r="AK8" s="823" t="str">
        <f t="shared" si="4"/>
        <v>56</v>
      </c>
      <c r="AL8" s="816">
        <f>FLN!AF8</f>
        <v>3</v>
      </c>
      <c r="AM8" s="816">
        <f>FLN!AG8</f>
        <v>2</v>
      </c>
      <c r="AN8" s="816">
        <f>FLN!AH8</f>
        <v>4</v>
      </c>
      <c r="AO8" s="816">
        <f>FLN!AI8</f>
        <v>0</v>
      </c>
      <c r="AP8" s="823" t="str">
        <f t="shared" si="5"/>
        <v>57</v>
      </c>
      <c r="AQ8" s="816">
        <f>FLN!AJ8</f>
        <v>0</v>
      </c>
      <c r="AR8" s="816">
        <f>FLN!AK8</f>
        <v>0</v>
      </c>
      <c r="AS8" s="816">
        <f>FLN!AL8</f>
        <v>0</v>
      </c>
      <c r="AT8" s="816">
        <f>FLN!AM8</f>
        <v>0</v>
      </c>
      <c r="AU8" s="823" t="str">
        <f t="shared" si="6"/>
        <v>58</v>
      </c>
      <c r="AV8" s="816">
        <f>FLN!AN8</f>
        <v>0</v>
      </c>
      <c r="AW8" s="816">
        <f>FLN!AO8</f>
        <v>0</v>
      </c>
      <c r="AX8" s="816">
        <f>FLN!AP8</f>
        <v>0</v>
      </c>
      <c r="AY8" s="816">
        <f>FLN!AQ8</f>
        <v>0</v>
      </c>
      <c r="AZ8" s="823" t="str">
        <f t="shared" si="7"/>
        <v>59</v>
      </c>
      <c r="BA8" s="816">
        <f>FLN!AR8</f>
        <v>0</v>
      </c>
      <c r="BB8" s="816">
        <f>FLN!AS8</f>
        <v>0</v>
      </c>
      <c r="BC8" s="816">
        <f>FLN!AT8</f>
        <v>0</v>
      </c>
      <c r="BD8" s="816">
        <f>FLN!AU8</f>
        <v>0</v>
      </c>
      <c r="BE8" s="823" t="str">
        <f t="shared" si="8"/>
        <v>510</v>
      </c>
      <c r="BF8" s="816">
        <f>FLN!AV8</f>
        <v>0</v>
      </c>
      <c r="BG8" s="816">
        <f>FLN!AW8</f>
        <v>0</v>
      </c>
      <c r="BH8" s="816">
        <f>FLN!AX8</f>
        <v>0</v>
      </c>
      <c r="BI8" s="816">
        <f>FLN!AY8</f>
        <v>0</v>
      </c>
      <c r="BJ8" s="823" t="str">
        <f t="shared" si="9"/>
        <v>511</v>
      </c>
      <c r="BK8" s="816">
        <f>FLN!AZ8</f>
        <v>0</v>
      </c>
      <c r="BL8" s="816">
        <f>FLN!BA8</f>
        <v>0</v>
      </c>
      <c r="BM8" s="816">
        <f>FLN!BB8</f>
        <v>0</v>
      </c>
      <c r="BN8" s="816">
        <f>FLN!BC8</f>
        <v>0</v>
      </c>
      <c r="BO8" s="823" t="str">
        <f t="shared" si="10"/>
        <v>512</v>
      </c>
      <c r="BP8" s="816">
        <f>FLN!BD8</f>
        <v>0</v>
      </c>
      <c r="BQ8" s="816">
        <f>FLN!BE8</f>
        <v>0</v>
      </c>
      <c r="BR8" s="816">
        <f>FLN!BF8</f>
        <v>0</v>
      </c>
      <c r="BS8" s="816">
        <f>FLN!BG8</f>
        <v>0</v>
      </c>
      <c r="BT8" s="823" t="str">
        <f t="shared" si="11"/>
        <v>513</v>
      </c>
      <c r="BU8" s="816">
        <f>FLN!BH8</f>
        <v>0</v>
      </c>
      <c r="BV8" s="816">
        <f>FLN!BI8</f>
        <v>0</v>
      </c>
      <c r="BW8" s="816">
        <f>FLN!BJ8</f>
        <v>0</v>
      </c>
      <c r="BX8" s="816">
        <f>FLN!BK8</f>
        <v>0</v>
      </c>
      <c r="BY8" s="823" t="str">
        <f t="shared" si="12"/>
        <v>514</v>
      </c>
      <c r="BZ8" s="816">
        <f>FLN!BL8</f>
        <v>0</v>
      </c>
      <c r="CA8" s="816">
        <f>FLN!BM8</f>
        <v>0</v>
      </c>
      <c r="CB8" s="816">
        <f>FLN!BN8</f>
        <v>0</v>
      </c>
      <c r="CC8" s="816">
        <f>FLN!BO8</f>
        <v>0</v>
      </c>
      <c r="CD8" s="823" t="str">
        <f t="shared" si="13"/>
        <v>515</v>
      </c>
      <c r="CE8" s="816">
        <f>FLN!BP8</f>
        <v>0</v>
      </c>
      <c r="CF8" s="816">
        <f>FLN!BQ8</f>
        <v>0</v>
      </c>
      <c r="CG8" s="816">
        <f>FLN!BR8</f>
        <v>0</v>
      </c>
      <c r="CH8" s="816">
        <f>FLN!BS8</f>
        <v>0</v>
      </c>
      <c r="CI8" s="823" t="str">
        <f t="shared" si="14"/>
        <v>516</v>
      </c>
      <c r="CJ8" s="816">
        <f>FLN!BT8</f>
        <v>0</v>
      </c>
      <c r="CK8" s="816">
        <f>FLN!BU8</f>
        <v>0</v>
      </c>
      <c r="CL8" s="816">
        <f>FLN!BV8</f>
        <v>0</v>
      </c>
      <c r="CM8" s="816">
        <f>FLN!BW8</f>
        <v>0</v>
      </c>
      <c r="CN8" s="823" t="str">
        <f t="shared" si="15"/>
        <v>517</v>
      </c>
      <c r="CO8" s="816">
        <f>FLN!BX8</f>
        <v>0</v>
      </c>
      <c r="CP8" s="816">
        <f>FLN!BY8</f>
        <v>0</v>
      </c>
      <c r="CQ8" s="816">
        <f>FLN!BZ8</f>
        <v>0</v>
      </c>
      <c r="CR8" s="816">
        <f>FLN!CA8</f>
        <v>0</v>
      </c>
      <c r="CS8" s="823" t="str">
        <f t="shared" si="16"/>
        <v>518</v>
      </c>
      <c r="CT8" s="816">
        <f>FLN!CB8</f>
        <v>0</v>
      </c>
      <c r="CU8" s="816">
        <f>FLN!CC8</f>
        <v>0</v>
      </c>
      <c r="CV8" s="816">
        <f>FLN!CD8</f>
        <v>0</v>
      </c>
      <c r="CW8" s="816">
        <f>FLN!CE8</f>
        <v>0</v>
      </c>
      <c r="CX8" s="823" t="str">
        <f t="shared" si="17"/>
        <v>519</v>
      </c>
      <c r="CY8" s="816">
        <f>FLN!CF8</f>
        <v>0</v>
      </c>
      <c r="CZ8" s="816">
        <f>FLN!CG8</f>
        <v>0</v>
      </c>
      <c r="DA8" s="816">
        <f>FLN!CH8</f>
        <v>0</v>
      </c>
      <c r="DB8" s="816">
        <f>FLN!CI8</f>
        <v>0</v>
      </c>
      <c r="DC8" s="823" t="str">
        <f t="shared" si="18"/>
        <v>520</v>
      </c>
      <c r="DD8" s="816">
        <f>FLN!CJ8</f>
        <v>0</v>
      </c>
      <c r="DE8" s="816">
        <f>FLN!CK8</f>
        <v>0</v>
      </c>
      <c r="DF8" s="816">
        <f>FLN!CL8</f>
        <v>0</v>
      </c>
      <c r="DG8" s="816">
        <f>FLN!CM8</f>
        <v>0</v>
      </c>
      <c r="DH8" s="823" t="str">
        <f t="shared" si="19"/>
        <v>521</v>
      </c>
      <c r="DI8" s="816">
        <f>FLN!CN8</f>
        <v>0</v>
      </c>
      <c r="DJ8" s="816">
        <f>FLN!CO8</f>
        <v>0</v>
      </c>
      <c r="DK8" s="816">
        <f>FLN!CP8</f>
        <v>0</v>
      </c>
      <c r="DL8" s="816">
        <f>FLN!CQ8</f>
        <v>0</v>
      </c>
      <c r="DM8" s="823" t="str">
        <f t="shared" si="20"/>
        <v>522</v>
      </c>
      <c r="DN8" s="816">
        <f>FLN!CR8</f>
        <v>0</v>
      </c>
      <c r="DO8" s="816">
        <f>FLN!CS8</f>
        <v>0</v>
      </c>
      <c r="DP8" s="816">
        <f>FLN!CT8</f>
        <v>0</v>
      </c>
      <c r="DQ8" s="816">
        <f>FLN!CU8</f>
        <v>0</v>
      </c>
      <c r="DR8" s="823" t="str">
        <f t="shared" si="21"/>
        <v>523</v>
      </c>
      <c r="DS8" s="816">
        <f>FLN!CV8</f>
        <v>0</v>
      </c>
      <c r="DT8" s="816">
        <f>FLN!CW8</f>
        <v>0</v>
      </c>
      <c r="DU8" s="816">
        <f>FLN!CX8</f>
        <v>0</v>
      </c>
      <c r="DV8" s="816">
        <f>FLN!CY8</f>
        <v>0</v>
      </c>
      <c r="DW8" s="823" t="str">
        <f t="shared" si="22"/>
        <v>524</v>
      </c>
      <c r="DX8" s="816">
        <f>FLN!CZ8</f>
        <v>0</v>
      </c>
      <c r="DY8" s="816">
        <f>FLN!DA8</f>
        <v>0</v>
      </c>
      <c r="DZ8" s="816">
        <f>FLN!DB8</f>
        <v>0</v>
      </c>
      <c r="EA8" s="816">
        <f>FLN!DC8</f>
        <v>0</v>
      </c>
      <c r="EB8" s="823" t="str">
        <f t="shared" si="23"/>
        <v>525</v>
      </c>
      <c r="EC8" s="816">
        <f>FLN!DD8</f>
        <v>0</v>
      </c>
      <c r="ED8" s="816">
        <f>FLN!DE8</f>
        <v>0</v>
      </c>
      <c r="EE8" s="816">
        <f>FLN!DF8</f>
        <v>0</v>
      </c>
      <c r="EF8" s="816">
        <f>FLN!DG8</f>
        <v>0</v>
      </c>
    </row>
    <row r="9" spans="1:145">
      <c r="A9" s="824">
        <v>6</v>
      </c>
      <c r="B9" s="824">
        <f>STUDENT!F7</f>
        <v>14780</v>
      </c>
      <c r="C9" s="824">
        <f>STUDENT!D7</f>
        <v>20230048303</v>
      </c>
      <c r="D9" s="827" t="str">
        <f>STUDENT!E7</f>
        <v>MD SOPHIYAN ALAM</v>
      </c>
      <c r="E9" s="827" t="str">
        <f>STUDENT!H7</f>
        <v>MD TABREJ ALAM</v>
      </c>
      <c r="F9" s="828" t="str">
        <f>FLN!F9</f>
        <v>Paragraph</v>
      </c>
      <c r="G9" s="828" t="str">
        <f>FLN!G9</f>
        <v>Subtraction</v>
      </c>
      <c r="H9" s="828" t="str">
        <f>FLN!H9</f>
        <v>Words</v>
      </c>
      <c r="I9" s="824">
        <f>FLN!I9</f>
        <v>4</v>
      </c>
      <c r="J9" s="824">
        <f>FLN!J9</f>
        <v>3</v>
      </c>
      <c r="K9" s="824">
        <f>FLN!K9</f>
        <v>4</v>
      </c>
      <c r="L9" s="823" t="str">
        <f t="shared" si="24"/>
        <v>61</v>
      </c>
      <c r="M9" s="816">
        <f>FLN!L9</f>
        <v>4</v>
      </c>
      <c r="N9" s="816">
        <f>FLN!M9</f>
        <v>3</v>
      </c>
      <c r="O9" s="816">
        <f>FLN!N9</f>
        <v>4</v>
      </c>
      <c r="P9" s="816">
        <f>FLN!O9</f>
        <v>0</v>
      </c>
      <c r="Q9" s="823" t="str">
        <f t="shared" si="0"/>
        <v>62</v>
      </c>
      <c r="R9" s="816">
        <f>FLN!P9</f>
        <v>4</v>
      </c>
      <c r="S9" s="816">
        <f>FLN!Q9</f>
        <v>3</v>
      </c>
      <c r="T9" s="816">
        <f>FLN!R9</f>
        <v>4</v>
      </c>
      <c r="U9" s="816">
        <f>FLN!S9</f>
        <v>0</v>
      </c>
      <c r="V9" s="823" t="str">
        <f t="shared" si="1"/>
        <v>63</v>
      </c>
      <c r="W9" s="816">
        <f>FLN!T9</f>
        <v>4</v>
      </c>
      <c r="X9" s="816">
        <f>FLN!U9</f>
        <v>3</v>
      </c>
      <c r="Y9" s="816">
        <f>FLN!V9</f>
        <v>4</v>
      </c>
      <c r="Z9" s="816">
        <f>FLN!W9</f>
        <v>0</v>
      </c>
      <c r="AA9" s="823" t="str">
        <f t="shared" si="2"/>
        <v>64</v>
      </c>
      <c r="AB9" s="816">
        <f>FLN!X9</f>
        <v>4</v>
      </c>
      <c r="AC9" s="816">
        <f>FLN!Y9</f>
        <v>3</v>
      </c>
      <c r="AD9" s="816">
        <f>FLN!Z9</f>
        <v>4</v>
      </c>
      <c r="AE9" s="816">
        <f>FLN!AA9</f>
        <v>0</v>
      </c>
      <c r="AF9" s="823" t="str">
        <f t="shared" si="3"/>
        <v>65</v>
      </c>
      <c r="AG9" s="816">
        <f>FLN!AB9</f>
        <v>4</v>
      </c>
      <c r="AH9" s="816">
        <f>FLN!AC9</f>
        <v>3</v>
      </c>
      <c r="AI9" s="816">
        <f>FLN!AD9</f>
        <v>4</v>
      </c>
      <c r="AJ9" s="816">
        <f>FLN!AE9</f>
        <v>0</v>
      </c>
      <c r="AK9" s="823" t="str">
        <f t="shared" si="4"/>
        <v>66</v>
      </c>
      <c r="AL9" s="816">
        <f>FLN!AF9</f>
        <v>4</v>
      </c>
      <c r="AM9" s="816">
        <f>FLN!AG9</f>
        <v>4</v>
      </c>
      <c r="AN9" s="816">
        <f>FLN!AH9</f>
        <v>4</v>
      </c>
      <c r="AO9" s="816">
        <f>FLN!AI9</f>
        <v>0</v>
      </c>
      <c r="AP9" s="823" t="str">
        <f t="shared" si="5"/>
        <v>67</v>
      </c>
      <c r="AQ9" s="816">
        <f>FLN!AJ9</f>
        <v>0</v>
      </c>
      <c r="AR9" s="816">
        <f>FLN!AK9</f>
        <v>0</v>
      </c>
      <c r="AS9" s="816">
        <f>FLN!AL9</f>
        <v>0</v>
      </c>
      <c r="AT9" s="816">
        <f>FLN!AM9</f>
        <v>0</v>
      </c>
      <c r="AU9" s="823" t="str">
        <f t="shared" si="6"/>
        <v>68</v>
      </c>
      <c r="AV9" s="816">
        <f>FLN!AN9</f>
        <v>0</v>
      </c>
      <c r="AW9" s="816">
        <f>FLN!AO9</f>
        <v>0</v>
      </c>
      <c r="AX9" s="816">
        <f>FLN!AP9</f>
        <v>0</v>
      </c>
      <c r="AY9" s="816">
        <f>FLN!AQ9</f>
        <v>0</v>
      </c>
      <c r="AZ9" s="823" t="str">
        <f t="shared" si="7"/>
        <v>69</v>
      </c>
      <c r="BA9" s="816">
        <f>FLN!AR9</f>
        <v>0</v>
      </c>
      <c r="BB9" s="816">
        <f>FLN!AS9</f>
        <v>0</v>
      </c>
      <c r="BC9" s="816">
        <f>FLN!AT9</f>
        <v>0</v>
      </c>
      <c r="BD9" s="816">
        <f>FLN!AU9</f>
        <v>0</v>
      </c>
      <c r="BE9" s="823" t="str">
        <f t="shared" si="8"/>
        <v>610</v>
      </c>
      <c r="BF9" s="816">
        <f>FLN!AV9</f>
        <v>0</v>
      </c>
      <c r="BG9" s="816">
        <f>FLN!AW9</f>
        <v>0</v>
      </c>
      <c r="BH9" s="816">
        <f>FLN!AX9</f>
        <v>0</v>
      </c>
      <c r="BI9" s="816">
        <f>FLN!AY9</f>
        <v>0</v>
      </c>
      <c r="BJ9" s="823" t="str">
        <f t="shared" si="9"/>
        <v>611</v>
      </c>
      <c r="BK9" s="816">
        <f>FLN!AZ9</f>
        <v>0</v>
      </c>
      <c r="BL9" s="816">
        <f>FLN!BA9</f>
        <v>0</v>
      </c>
      <c r="BM9" s="816">
        <f>FLN!BB9</f>
        <v>0</v>
      </c>
      <c r="BN9" s="816">
        <f>FLN!BC9</f>
        <v>0</v>
      </c>
      <c r="BO9" s="823" t="str">
        <f t="shared" si="10"/>
        <v>612</v>
      </c>
      <c r="BP9" s="816">
        <f>FLN!BD9</f>
        <v>0</v>
      </c>
      <c r="BQ9" s="816">
        <f>FLN!BE9</f>
        <v>0</v>
      </c>
      <c r="BR9" s="816">
        <f>FLN!BF9</f>
        <v>0</v>
      </c>
      <c r="BS9" s="816">
        <f>FLN!BG9</f>
        <v>0</v>
      </c>
      <c r="BT9" s="823" t="str">
        <f t="shared" si="11"/>
        <v>613</v>
      </c>
      <c r="BU9" s="816">
        <f>FLN!BH9</f>
        <v>0</v>
      </c>
      <c r="BV9" s="816">
        <f>FLN!BI9</f>
        <v>0</v>
      </c>
      <c r="BW9" s="816">
        <f>FLN!BJ9</f>
        <v>0</v>
      </c>
      <c r="BX9" s="816">
        <f>FLN!BK9</f>
        <v>0</v>
      </c>
      <c r="BY9" s="823" t="str">
        <f t="shared" si="12"/>
        <v>614</v>
      </c>
      <c r="BZ9" s="816">
        <f>FLN!BL9</f>
        <v>0</v>
      </c>
      <c r="CA9" s="816">
        <f>FLN!BM9</f>
        <v>0</v>
      </c>
      <c r="CB9" s="816">
        <f>FLN!BN9</f>
        <v>0</v>
      </c>
      <c r="CC9" s="816">
        <f>FLN!BO9</f>
        <v>0</v>
      </c>
      <c r="CD9" s="823" t="str">
        <f t="shared" si="13"/>
        <v>615</v>
      </c>
      <c r="CE9" s="816">
        <f>FLN!BP9</f>
        <v>0</v>
      </c>
      <c r="CF9" s="816">
        <f>FLN!BQ9</f>
        <v>0</v>
      </c>
      <c r="CG9" s="816">
        <f>FLN!BR9</f>
        <v>0</v>
      </c>
      <c r="CH9" s="816">
        <f>FLN!BS9</f>
        <v>0</v>
      </c>
      <c r="CI9" s="823" t="str">
        <f t="shared" si="14"/>
        <v>616</v>
      </c>
      <c r="CJ9" s="816">
        <f>FLN!BT9</f>
        <v>0</v>
      </c>
      <c r="CK9" s="816">
        <f>FLN!BU9</f>
        <v>0</v>
      </c>
      <c r="CL9" s="816">
        <f>FLN!BV9</f>
        <v>0</v>
      </c>
      <c r="CM9" s="816">
        <f>FLN!BW9</f>
        <v>0</v>
      </c>
      <c r="CN9" s="823" t="str">
        <f t="shared" si="15"/>
        <v>617</v>
      </c>
      <c r="CO9" s="816">
        <f>FLN!BX9</f>
        <v>0</v>
      </c>
      <c r="CP9" s="816">
        <f>FLN!BY9</f>
        <v>0</v>
      </c>
      <c r="CQ9" s="816">
        <f>FLN!BZ9</f>
        <v>0</v>
      </c>
      <c r="CR9" s="816">
        <f>FLN!CA9</f>
        <v>0</v>
      </c>
      <c r="CS9" s="823" t="str">
        <f t="shared" si="16"/>
        <v>618</v>
      </c>
      <c r="CT9" s="816">
        <f>FLN!CB9</f>
        <v>0</v>
      </c>
      <c r="CU9" s="816">
        <f>FLN!CC9</f>
        <v>0</v>
      </c>
      <c r="CV9" s="816">
        <f>FLN!CD9</f>
        <v>0</v>
      </c>
      <c r="CW9" s="816">
        <f>FLN!CE9</f>
        <v>0</v>
      </c>
      <c r="CX9" s="823" t="str">
        <f t="shared" si="17"/>
        <v>619</v>
      </c>
      <c r="CY9" s="816">
        <f>FLN!CF9</f>
        <v>0</v>
      </c>
      <c r="CZ9" s="816">
        <f>FLN!CG9</f>
        <v>0</v>
      </c>
      <c r="DA9" s="816">
        <f>FLN!CH9</f>
        <v>0</v>
      </c>
      <c r="DB9" s="816">
        <f>FLN!CI9</f>
        <v>0</v>
      </c>
      <c r="DC9" s="823" t="str">
        <f t="shared" si="18"/>
        <v>620</v>
      </c>
      <c r="DD9" s="816">
        <f>FLN!CJ9</f>
        <v>0</v>
      </c>
      <c r="DE9" s="816">
        <f>FLN!CK9</f>
        <v>0</v>
      </c>
      <c r="DF9" s="816">
        <f>FLN!CL9</f>
        <v>0</v>
      </c>
      <c r="DG9" s="816">
        <f>FLN!CM9</f>
        <v>0</v>
      </c>
      <c r="DH9" s="823" t="str">
        <f t="shared" si="19"/>
        <v>621</v>
      </c>
      <c r="DI9" s="816">
        <f>FLN!CN9</f>
        <v>0</v>
      </c>
      <c r="DJ9" s="816">
        <f>FLN!CO9</f>
        <v>0</v>
      </c>
      <c r="DK9" s="816">
        <f>FLN!CP9</f>
        <v>0</v>
      </c>
      <c r="DL9" s="816">
        <f>FLN!CQ9</f>
        <v>0</v>
      </c>
      <c r="DM9" s="823" t="str">
        <f t="shared" si="20"/>
        <v>622</v>
      </c>
      <c r="DN9" s="816">
        <f>FLN!CR9</f>
        <v>0</v>
      </c>
      <c r="DO9" s="816">
        <f>FLN!CS9</f>
        <v>0</v>
      </c>
      <c r="DP9" s="816">
        <f>FLN!CT9</f>
        <v>0</v>
      </c>
      <c r="DQ9" s="816">
        <f>FLN!CU9</f>
        <v>0</v>
      </c>
      <c r="DR9" s="823" t="str">
        <f t="shared" si="21"/>
        <v>623</v>
      </c>
      <c r="DS9" s="816">
        <f>FLN!CV9</f>
        <v>0</v>
      </c>
      <c r="DT9" s="816">
        <f>FLN!CW9</f>
        <v>0</v>
      </c>
      <c r="DU9" s="816">
        <f>FLN!CX9</f>
        <v>0</v>
      </c>
      <c r="DV9" s="816">
        <f>FLN!CY9</f>
        <v>0</v>
      </c>
      <c r="DW9" s="823" t="str">
        <f t="shared" si="22"/>
        <v>624</v>
      </c>
      <c r="DX9" s="816">
        <f>FLN!CZ9</f>
        <v>0</v>
      </c>
      <c r="DY9" s="816">
        <f>FLN!DA9</f>
        <v>0</v>
      </c>
      <c r="DZ9" s="816">
        <f>FLN!DB9</f>
        <v>0</v>
      </c>
      <c r="EA9" s="816">
        <f>FLN!DC9</f>
        <v>0</v>
      </c>
      <c r="EB9" s="823" t="str">
        <f t="shared" si="23"/>
        <v>625</v>
      </c>
      <c r="EC9" s="816">
        <f>FLN!DD9</f>
        <v>0</v>
      </c>
      <c r="ED9" s="816">
        <f>FLN!DE9</f>
        <v>0</v>
      </c>
      <c r="EE9" s="816">
        <f>FLN!DF9</f>
        <v>0</v>
      </c>
      <c r="EF9" s="816">
        <f>FLN!DG9</f>
        <v>0</v>
      </c>
    </row>
    <row r="10" spans="1:145">
      <c r="A10" s="824">
        <v>7</v>
      </c>
      <c r="B10" s="824">
        <f>STUDENT!F8</f>
        <v>14773</v>
      </c>
      <c r="C10" s="824">
        <f>STUDENT!D8</f>
        <v>20230083520</v>
      </c>
      <c r="D10" s="827" t="str">
        <f>STUDENT!E8</f>
        <v>MD SAUBAN</v>
      </c>
      <c r="E10" s="827" t="str">
        <f>STUDENT!H8</f>
        <v>MD IRSHAD</v>
      </c>
      <c r="F10" s="828" t="str">
        <f>FLN!F10</f>
        <v>Paragraph</v>
      </c>
      <c r="G10" s="828" t="str">
        <f>FLN!G10</f>
        <v>Subtraction</v>
      </c>
      <c r="H10" s="828" t="str">
        <f>FLN!H10</f>
        <v>Words</v>
      </c>
      <c r="I10" s="824">
        <f>FLN!I10</f>
        <v>4</v>
      </c>
      <c r="J10" s="824">
        <f>FLN!J10</f>
        <v>3</v>
      </c>
      <c r="K10" s="824">
        <f>FLN!K10</f>
        <v>4</v>
      </c>
      <c r="L10" s="823" t="str">
        <f t="shared" si="24"/>
        <v>71</v>
      </c>
      <c r="M10" s="816">
        <f>FLN!L10</f>
        <v>4</v>
      </c>
      <c r="N10" s="816">
        <f>FLN!M10</f>
        <v>3</v>
      </c>
      <c r="O10" s="816">
        <f>FLN!N10</f>
        <v>4</v>
      </c>
      <c r="P10" s="816">
        <f>FLN!O10</f>
        <v>0</v>
      </c>
      <c r="Q10" s="823" t="str">
        <f t="shared" si="0"/>
        <v>72</v>
      </c>
      <c r="R10" s="816">
        <f>FLN!P10</f>
        <v>4</v>
      </c>
      <c r="S10" s="816">
        <f>FLN!Q10</f>
        <v>3</v>
      </c>
      <c r="T10" s="816">
        <f>FLN!R10</f>
        <v>4</v>
      </c>
      <c r="U10" s="816">
        <f>FLN!S10</f>
        <v>0</v>
      </c>
      <c r="V10" s="823" t="str">
        <f t="shared" si="1"/>
        <v>73</v>
      </c>
      <c r="W10" s="816">
        <f>FLN!T10</f>
        <v>4</v>
      </c>
      <c r="X10" s="816">
        <f>FLN!U10</f>
        <v>3</v>
      </c>
      <c r="Y10" s="816">
        <f>FLN!V10</f>
        <v>4</v>
      </c>
      <c r="Z10" s="816">
        <f>FLN!W10</f>
        <v>0</v>
      </c>
      <c r="AA10" s="823" t="str">
        <f t="shared" si="2"/>
        <v>74</v>
      </c>
      <c r="AB10" s="816">
        <f>FLN!X10</f>
        <v>4</v>
      </c>
      <c r="AC10" s="816">
        <f>FLN!Y10</f>
        <v>3</v>
      </c>
      <c r="AD10" s="816">
        <f>FLN!Z10</f>
        <v>4</v>
      </c>
      <c r="AE10" s="816">
        <f>FLN!AA10</f>
        <v>0</v>
      </c>
      <c r="AF10" s="823" t="str">
        <f t="shared" si="3"/>
        <v>75</v>
      </c>
      <c r="AG10" s="816">
        <f>FLN!AB10</f>
        <v>4</v>
      </c>
      <c r="AH10" s="816">
        <f>FLN!AC10</f>
        <v>3</v>
      </c>
      <c r="AI10" s="816">
        <f>FLN!AD10</f>
        <v>4</v>
      </c>
      <c r="AJ10" s="816">
        <f>FLN!AE10</f>
        <v>0</v>
      </c>
      <c r="AK10" s="823" t="str">
        <f t="shared" si="4"/>
        <v>76</v>
      </c>
      <c r="AL10" s="816">
        <f>FLN!AF10</f>
        <v>4</v>
      </c>
      <c r="AM10" s="816">
        <f>FLN!AG10</f>
        <v>3</v>
      </c>
      <c r="AN10" s="816">
        <f>FLN!AH10</f>
        <v>4</v>
      </c>
      <c r="AO10" s="816">
        <f>FLN!AI10</f>
        <v>0</v>
      </c>
      <c r="AP10" s="823" t="str">
        <f t="shared" si="5"/>
        <v>77</v>
      </c>
      <c r="AQ10" s="816">
        <f>FLN!AJ10</f>
        <v>0</v>
      </c>
      <c r="AR10" s="816">
        <f>FLN!AK10</f>
        <v>0</v>
      </c>
      <c r="AS10" s="816">
        <f>FLN!AL10</f>
        <v>0</v>
      </c>
      <c r="AT10" s="816">
        <f>FLN!AM10</f>
        <v>0</v>
      </c>
      <c r="AU10" s="823" t="str">
        <f t="shared" si="6"/>
        <v>78</v>
      </c>
      <c r="AV10" s="816">
        <f>FLN!AN10</f>
        <v>0</v>
      </c>
      <c r="AW10" s="816">
        <f>FLN!AO10</f>
        <v>0</v>
      </c>
      <c r="AX10" s="816">
        <f>FLN!AP10</f>
        <v>0</v>
      </c>
      <c r="AY10" s="816">
        <f>FLN!AQ10</f>
        <v>0</v>
      </c>
      <c r="AZ10" s="823" t="str">
        <f t="shared" si="7"/>
        <v>79</v>
      </c>
      <c r="BA10" s="816">
        <f>FLN!AR10</f>
        <v>0</v>
      </c>
      <c r="BB10" s="816">
        <f>FLN!AS10</f>
        <v>0</v>
      </c>
      <c r="BC10" s="816">
        <f>FLN!AT10</f>
        <v>0</v>
      </c>
      <c r="BD10" s="816">
        <f>FLN!AU10</f>
        <v>0</v>
      </c>
      <c r="BE10" s="823" t="str">
        <f t="shared" si="8"/>
        <v>710</v>
      </c>
      <c r="BF10" s="816">
        <f>FLN!AV10</f>
        <v>0</v>
      </c>
      <c r="BG10" s="816">
        <f>FLN!AW10</f>
        <v>0</v>
      </c>
      <c r="BH10" s="816">
        <f>FLN!AX10</f>
        <v>0</v>
      </c>
      <c r="BI10" s="816">
        <f>FLN!AY10</f>
        <v>0</v>
      </c>
      <c r="BJ10" s="823" t="str">
        <f t="shared" si="9"/>
        <v>711</v>
      </c>
      <c r="BK10" s="816">
        <f>FLN!AZ10</f>
        <v>0</v>
      </c>
      <c r="BL10" s="816">
        <f>FLN!BA10</f>
        <v>0</v>
      </c>
      <c r="BM10" s="816">
        <f>FLN!BB10</f>
        <v>0</v>
      </c>
      <c r="BN10" s="816">
        <f>FLN!BC10</f>
        <v>0</v>
      </c>
      <c r="BO10" s="823" t="str">
        <f t="shared" si="10"/>
        <v>712</v>
      </c>
      <c r="BP10" s="816">
        <f>FLN!BD10</f>
        <v>0</v>
      </c>
      <c r="BQ10" s="816">
        <f>FLN!BE10</f>
        <v>0</v>
      </c>
      <c r="BR10" s="816">
        <f>FLN!BF10</f>
        <v>0</v>
      </c>
      <c r="BS10" s="816">
        <f>FLN!BG10</f>
        <v>0</v>
      </c>
      <c r="BT10" s="823" t="str">
        <f t="shared" si="11"/>
        <v>713</v>
      </c>
      <c r="BU10" s="816">
        <f>FLN!BH10</f>
        <v>0</v>
      </c>
      <c r="BV10" s="816">
        <f>FLN!BI10</f>
        <v>0</v>
      </c>
      <c r="BW10" s="816">
        <f>FLN!BJ10</f>
        <v>0</v>
      </c>
      <c r="BX10" s="816">
        <f>FLN!BK10</f>
        <v>0</v>
      </c>
      <c r="BY10" s="823" t="str">
        <f t="shared" si="12"/>
        <v>714</v>
      </c>
      <c r="BZ10" s="816">
        <f>FLN!BL10</f>
        <v>0</v>
      </c>
      <c r="CA10" s="816">
        <f>FLN!BM10</f>
        <v>0</v>
      </c>
      <c r="CB10" s="816">
        <f>FLN!BN10</f>
        <v>0</v>
      </c>
      <c r="CC10" s="816">
        <f>FLN!BO10</f>
        <v>0</v>
      </c>
      <c r="CD10" s="823" t="str">
        <f t="shared" si="13"/>
        <v>715</v>
      </c>
      <c r="CE10" s="816">
        <f>FLN!BP10</f>
        <v>0</v>
      </c>
      <c r="CF10" s="816">
        <f>FLN!BQ10</f>
        <v>0</v>
      </c>
      <c r="CG10" s="816">
        <f>FLN!BR10</f>
        <v>0</v>
      </c>
      <c r="CH10" s="816">
        <f>FLN!BS10</f>
        <v>0</v>
      </c>
      <c r="CI10" s="823" t="str">
        <f t="shared" si="14"/>
        <v>716</v>
      </c>
      <c r="CJ10" s="816">
        <f>FLN!BT10</f>
        <v>0</v>
      </c>
      <c r="CK10" s="816">
        <f>FLN!BU10</f>
        <v>0</v>
      </c>
      <c r="CL10" s="816">
        <f>FLN!BV10</f>
        <v>0</v>
      </c>
      <c r="CM10" s="816">
        <f>FLN!BW10</f>
        <v>0</v>
      </c>
      <c r="CN10" s="823" t="str">
        <f t="shared" si="15"/>
        <v>717</v>
      </c>
      <c r="CO10" s="816">
        <f>FLN!BX10</f>
        <v>0</v>
      </c>
      <c r="CP10" s="816">
        <f>FLN!BY10</f>
        <v>0</v>
      </c>
      <c r="CQ10" s="816">
        <f>FLN!BZ10</f>
        <v>0</v>
      </c>
      <c r="CR10" s="816">
        <f>FLN!CA10</f>
        <v>0</v>
      </c>
      <c r="CS10" s="823" t="str">
        <f t="shared" si="16"/>
        <v>718</v>
      </c>
      <c r="CT10" s="816">
        <f>FLN!CB10</f>
        <v>0</v>
      </c>
      <c r="CU10" s="816">
        <f>FLN!CC10</f>
        <v>0</v>
      </c>
      <c r="CV10" s="816">
        <f>FLN!CD10</f>
        <v>0</v>
      </c>
      <c r="CW10" s="816">
        <f>FLN!CE10</f>
        <v>0</v>
      </c>
      <c r="CX10" s="823" t="str">
        <f t="shared" si="17"/>
        <v>719</v>
      </c>
      <c r="CY10" s="816">
        <f>FLN!CF10</f>
        <v>0</v>
      </c>
      <c r="CZ10" s="816">
        <f>FLN!CG10</f>
        <v>0</v>
      </c>
      <c r="DA10" s="816">
        <f>FLN!CH10</f>
        <v>0</v>
      </c>
      <c r="DB10" s="816">
        <f>FLN!CI10</f>
        <v>0</v>
      </c>
      <c r="DC10" s="823" t="str">
        <f t="shared" si="18"/>
        <v>720</v>
      </c>
      <c r="DD10" s="816">
        <f>FLN!CJ10</f>
        <v>0</v>
      </c>
      <c r="DE10" s="816">
        <f>FLN!CK10</f>
        <v>0</v>
      </c>
      <c r="DF10" s="816">
        <f>FLN!CL10</f>
        <v>0</v>
      </c>
      <c r="DG10" s="816">
        <f>FLN!CM10</f>
        <v>0</v>
      </c>
      <c r="DH10" s="823" t="str">
        <f t="shared" si="19"/>
        <v>721</v>
      </c>
      <c r="DI10" s="816">
        <f>FLN!CN10</f>
        <v>0</v>
      </c>
      <c r="DJ10" s="816">
        <f>FLN!CO10</f>
        <v>0</v>
      </c>
      <c r="DK10" s="816">
        <f>FLN!CP10</f>
        <v>0</v>
      </c>
      <c r="DL10" s="816">
        <f>FLN!CQ10</f>
        <v>0</v>
      </c>
      <c r="DM10" s="823" t="str">
        <f t="shared" si="20"/>
        <v>722</v>
      </c>
      <c r="DN10" s="816">
        <f>FLN!CR10</f>
        <v>0</v>
      </c>
      <c r="DO10" s="816">
        <f>FLN!CS10</f>
        <v>0</v>
      </c>
      <c r="DP10" s="816">
        <f>FLN!CT10</f>
        <v>0</v>
      </c>
      <c r="DQ10" s="816">
        <f>FLN!CU10</f>
        <v>0</v>
      </c>
      <c r="DR10" s="823" t="str">
        <f t="shared" si="21"/>
        <v>723</v>
      </c>
      <c r="DS10" s="816">
        <f>FLN!CV10</f>
        <v>0</v>
      </c>
      <c r="DT10" s="816">
        <f>FLN!CW10</f>
        <v>0</v>
      </c>
      <c r="DU10" s="816">
        <f>FLN!CX10</f>
        <v>0</v>
      </c>
      <c r="DV10" s="816">
        <f>FLN!CY10</f>
        <v>0</v>
      </c>
      <c r="DW10" s="823" t="str">
        <f t="shared" si="22"/>
        <v>724</v>
      </c>
      <c r="DX10" s="816">
        <f>FLN!CZ10</f>
        <v>0</v>
      </c>
      <c r="DY10" s="816">
        <f>FLN!DA10</f>
        <v>0</v>
      </c>
      <c r="DZ10" s="816">
        <f>FLN!DB10</f>
        <v>0</v>
      </c>
      <c r="EA10" s="816">
        <f>FLN!DC10</f>
        <v>0</v>
      </c>
      <c r="EB10" s="823" t="str">
        <f t="shared" si="23"/>
        <v>725</v>
      </c>
      <c r="EC10" s="816">
        <f>FLN!DD10</f>
        <v>0</v>
      </c>
      <c r="ED10" s="816">
        <f>FLN!DE10</f>
        <v>0</v>
      </c>
      <c r="EE10" s="816">
        <f>FLN!DF10</f>
        <v>0</v>
      </c>
      <c r="EF10" s="816">
        <f>FLN!DG10</f>
        <v>0</v>
      </c>
    </row>
    <row r="11" spans="1:145">
      <c r="A11" s="824">
        <v>8</v>
      </c>
      <c r="B11" s="824">
        <f>STUDENT!F9</f>
        <v>14769</v>
      </c>
      <c r="C11" s="824">
        <f>STUDENT!D9</f>
        <v>20230095636</v>
      </c>
      <c r="D11" s="827" t="str">
        <f>STUDENT!E9</f>
        <v>DEEPANSHU</v>
      </c>
      <c r="E11" s="827" t="str">
        <f>STUDENT!H9</f>
        <v>AKHILESH KUMAR</v>
      </c>
      <c r="F11" s="828" t="str">
        <f>FLN!F11</f>
        <v>Alphabets</v>
      </c>
      <c r="G11" s="828" t="str">
        <f>FLN!G11</f>
        <v>Number Recognition (10-99)</v>
      </c>
      <c r="H11" s="828" t="str">
        <f>FLN!H11</f>
        <v>Character</v>
      </c>
      <c r="I11" s="824">
        <f>FLN!I11</f>
        <v>2</v>
      </c>
      <c r="J11" s="824">
        <f>FLN!J11</f>
        <v>2</v>
      </c>
      <c r="K11" s="824">
        <f>FLN!K11</f>
        <v>3</v>
      </c>
      <c r="L11" s="823" t="str">
        <f t="shared" si="24"/>
        <v>81</v>
      </c>
      <c r="M11" s="816">
        <f>FLN!L11</f>
        <v>2</v>
      </c>
      <c r="N11" s="816">
        <f>FLN!M11</f>
        <v>2</v>
      </c>
      <c r="O11" s="816">
        <f>FLN!N11</f>
        <v>3</v>
      </c>
      <c r="P11" s="816">
        <f>FLN!O11</f>
        <v>0</v>
      </c>
      <c r="Q11" s="823" t="str">
        <f t="shared" si="0"/>
        <v>82</v>
      </c>
      <c r="R11" s="816">
        <f>FLN!P11</f>
        <v>2</v>
      </c>
      <c r="S11" s="816">
        <f>FLN!Q11</f>
        <v>2</v>
      </c>
      <c r="T11" s="816">
        <f>FLN!R11</f>
        <v>3</v>
      </c>
      <c r="U11" s="816">
        <f>FLN!S11</f>
        <v>0</v>
      </c>
      <c r="V11" s="823" t="str">
        <f t="shared" si="1"/>
        <v>83</v>
      </c>
      <c r="W11" s="816">
        <f>FLN!T11</f>
        <v>2</v>
      </c>
      <c r="X11" s="816">
        <f>FLN!U11</f>
        <v>2</v>
      </c>
      <c r="Y11" s="816">
        <f>FLN!V11</f>
        <v>3</v>
      </c>
      <c r="Z11" s="816">
        <f>FLN!W11</f>
        <v>0</v>
      </c>
      <c r="AA11" s="823" t="str">
        <f t="shared" si="2"/>
        <v>84</v>
      </c>
      <c r="AB11" s="816">
        <f>FLN!X11</f>
        <v>2</v>
      </c>
      <c r="AC11" s="816">
        <f>FLN!Y11</f>
        <v>2</v>
      </c>
      <c r="AD11" s="816">
        <f>FLN!Z11</f>
        <v>3</v>
      </c>
      <c r="AE11" s="816">
        <f>FLN!AA11</f>
        <v>0</v>
      </c>
      <c r="AF11" s="823" t="str">
        <f t="shared" si="3"/>
        <v>85</v>
      </c>
      <c r="AG11" s="816">
        <f>FLN!AB11</f>
        <v>2</v>
      </c>
      <c r="AH11" s="816">
        <f>FLN!AC11</f>
        <v>2</v>
      </c>
      <c r="AI11" s="816">
        <f>FLN!AD11</f>
        <v>3</v>
      </c>
      <c r="AJ11" s="816">
        <f>FLN!AE11</f>
        <v>0</v>
      </c>
      <c r="AK11" s="823" t="str">
        <f t="shared" si="4"/>
        <v>86</v>
      </c>
      <c r="AL11" s="816">
        <f>FLN!AF11</f>
        <v>4</v>
      </c>
      <c r="AM11" s="816">
        <f>FLN!AG11</f>
        <v>2</v>
      </c>
      <c r="AN11" s="816">
        <f>FLN!AH11</f>
        <v>3</v>
      </c>
      <c r="AO11" s="816">
        <f>FLN!AI11</f>
        <v>0</v>
      </c>
      <c r="AP11" s="823" t="str">
        <f t="shared" si="5"/>
        <v>87</v>
      </c>
      <c r="AQ11" s="816">
        <f>FLN!AJ11</f>
        <v>0</v>
      </c>
      <c r="AR11" s="816">
        <f>FLN!AK11</f>
        <v>0</v>
      </c>
      <c r="AS11" s="816">
        <f>FLN!AL11</f>
        <v>0</v>
      </c>
      <c r="AT11" s="816">
        <f>FLN!AM11</f>
        <v>0</v>
      </c>
      <c r="AU11" s="823" t="str">
        <f t="shared" si="6"/>
        <v>88</v>
      </c>
      <c r="AV11" s="816">
        <f>FLN!AN11</f>
        <v>0</v>
      </c>
      <c r="AW11" s="816">
        <f>FLN!AO11</f>
        <v>0</v>
      </c>
      <c r="AX11" s="816">
        <f>FLN!AP11</f>
        <v>0</v>
      </c>
      <c r="AY11" s="816">
        <f>FLN!AQ11</f>
        <v>0</v>
      </c>
      <c r="AZ11" s="823" t="str">
        <f t="shared" si="7"/>
        <v>89</v>
      </c>
      <c r="BA11" s="816">
        <f>FLN!AR11</f>
        <v>0</v>
      </c>
      <c r="BB11" s="816">
        <f>FLN!AS11</f>
        <v>0</v>
      </c>
      <c r="BC11" s="816">
        <f>FLN!AT11</f>
        <v>0</v>
      </c>
      <c r="BD11" s="816">
        <f>FLN!AU11</f>
        <v>0</v>
      </c>
      <c r="BE11" s="823" t="str">
        <f t="shared" si="8"/>
        <v>810</v>
      </c>
      <c r="BF11" s="816">
        <f>FLN!AV11</f>
        <v>0</v>
      </c>
      <c r="BG11" s="816">
        <f>FLN!AW11</f>
        <v>0</v>
      </c>
      <c r="BH11" s="816">
        <f>FLN!AX11</f>
        <v>0</v>
      </c>
      <c r="BI11" s="816">
        <f>FLN!AY11</f>
        <v>0</v>
      </c>
      <c r="BJ11" s="823" t="str">
        <f t="shared" si="9"/>
        <v>811</v>
      </c>
      <c r="BK11" s="816">
        <f>FLN!AZ11</f>
        <v>0</v>
      </c>
      <c r="BL11" s="816">
        <f>FLN!BA11</f>
        <v>0</v>
      </c>
      <c r="BM11" s="816">
        <f>FLN!BB11</f>
        <v>0</v>
      </c>
      <c r="BN11" s="816">
        <f>FLN!BC11</f>
        <v>0</v>
      </c>
      <c r="BO11" s="823" t="str">
        <f t="shared" si="10"/>
        <v>812</v>
      </c>
      <c r="BP11" s="816">
        <f>FLN!BD11</f>
        <v>0</v>
      </c>
      <c r="BQ11" s="816">
        <f>FLN!BE11</f>
        <v>0</v>
      </c>
      <c r="BR11" s="816">
        <f>FLN!BF11</f>
        <v>0</v>
      </c>
      <c r="BS11" s="816">
        <f>FLN!BG11</f>
        <v>0</v>
      </c>
      <c r="BT11" s="823" t="str">
        <f t="shared" si="11"/>
        <v>813</v>
      </c>
      <c r="BU11" s="816">
        <f>FLN!BH11</f>
        <v>0</v>
      </c>
      <c r="BV11" s="816">
        <f>FLN!BI11</f>
        <v>0</v>
      </c>
      <c r="BW11" s="816">
        <f>FLN!BJ11</f>
        <v>0</v>
      </c>
      <c r="BX11" s="816">
        <f>FLN!BK11</f>
        <v>0</v>
      </c>
      <c r="BY11" s="823" t="str">
        <f t="shared" si="12"/>
        <v>814</v>
      </c>
      <c r="BZ11" s="816">
        <f>FLN!BL11</f>
        <v>0</v>
      </c>
      <c r="CA11" s="816">
        <f>FLN!BM11</f>
        <v>0</v>
      </c>
      <c r="CB11" s="816">
        <f>FLN!BN11</f>
        <v>0</v>
      </c>
      <c r="CC11" s="816">
        <f>FLN!BO11</f>
        <v>0</v>
      </c>
      <c r="CD11" s="823" t="str">
        <f t="shared" si="13"/>
        <v>815</v>
      </c>
      <c r="CE11" s="816">
        <f>FLN!BP11</f>
        <v>0</v>
      </c>
      <c r="CF11" s="816">
        <f>FLN!BQ11</f>
        <v>0</v>
      </c>
      <c r="CG11" s="816">
        <f>FLN!BR11</f>
        <v>0</v>
      </c>
      <c r="CH11" s="816">
        <f>FLN!BS11</f>
        <v>0</v>
      </c>
      <c r="CI11" s="823" t="str">
        <f t="shared" si="14"/>
        <v>816</v>
      </c>
      <c r="CJ11" s="816">
        <f>FLN!BT11</f>
        <v>0</v>
      </c>
      <c r="CK11" s="816">
        <f>FLN!BU11</f>
        <v>0</v>
      </c>
      <c r="CL11" s="816">
        <f>FLN!BV11</f>
        <v>0</v>
      </c>
      <c r="CM11" s="816">
        <f>FLN!BW11</f>
        <v>0</v>
      </c>
      <c r="CN11" s="823" t="str">
        <f t="shared" si="15"/>
        <v>817</v>
      </c>
      <c r="CO11" s="816">
        <f>FLN!BX11</f>
        <v>0</v>
      </c>
      <c r="CP11" s="816">
        <f>FLN!BY11</f>
        <v>0</v>
      </c>
      <c r="CQ11" s="816">
        <f>FLN!BZ11</f>
        <v>0</v>
      </c>
      <c r="CR11" s="816">
        <f>FLN!CA11</f>
        <v>0</v>
      </c>
      <c r="CS11" s="823" t="str">
        <f t="shared" si="16"/>
        <v>818</v>
      </c>
      <c r="CT11" s="816">
        <f>FLN!CB11</f>
        <v>0</v>
      </c>
      <c r="CU11" s="816">
        <f>FLN!CC11</f>
        <v>0</v>
      </c>
      <c r="CV11" s="816">
        <f>FLN!CD11</f>
        <v>0</v>
      </c>
      <c r="CW11" s="816">
        <f>FLN!CE11</f>
        <v>0</v>
      </c>
      <c r="CX11" s="823" t="str">
        <f t="shared" si="17"/>
        <v>819</v>
      </c>
      <c r="CY11" s="816">
        <f>FLN!CF11</f>
        <v>0</v>
      </c>
      <c r="CZ11" s="816">
        <f>FLN!CG11</f>
        <v>0</v>
      </c>
      <c r="DA11" s="816">
        <f>FLN!CH11</f>
        <v>0</v>
      </c>
      <c r="DB11" s="816">
        <f>FLN!CI11</f>
        <v>0</v>
      </c>
      <c r="DC11" s="823" t="str">
        <f t="shared" si="18"/>
        <v>820</v>
      </c>
      <c r="DD11" s="816">
        <f>FLN!CJ11</f>
        <v>0</v>
      </c>
      <c r="DE11" s="816">
        <f>FLN!CK11</f>
        <v>0</v>
      </c>
      <c r="DF11" s="816">
        <f>FLN!CL11</f>
        <v>0</v>
      </c>
      <c r="DG11" s="816">
        <f>FLN!CM11</f>
        <v>0</v>
      </c>
      <c r="DH11" s="823" t="str">
        <f t="shared" si="19"/>
        <v>821</v>
      </c>
      <c r="DI11" s="816">
        <f>FLN!CN11</f>
        <v>0</v>
      </c>
      <c r="DJ11" s="816">
        <f>FLN!CO11</f>
        <v>0</v>
      </c>
      <c r="DK11" s="816">
        <f>FLN!CP11</f>
        <v>0</v>
      </c>
      <c r="DL11" s="816">
        <f>FLN!CQ11</f>
        <v>0</v>
      </c>
      <c r="DM11" s="823" t="str">
        <f t="shared" si="20"/>
        <v>822</v>
      </c>
      <c r="DN11" s="816">
        <f>FLN!CR11</f>
        <v>0</v>
      </c>
      <c r="DO11" s="816">
        <f>FLN!CS11</f>
        <v>0</v>
      </c>
      <c r="DP11" s="816">
        <f>FLN!CT11</f>
        <v>0</v>
      </c>
      <c r="DQ11" s="816">
        <f>FLN!CU11</f>
        <v>0</v>
      </c>
      <c r="DR11" s="823" t="str">
        <f t="shared" si="21"/>
        <v>823</v>
      </c>
      <c r="DS11" s="816">
        <f>FLN!CV11</f>
        <v>0</v>
      </c>
      <c r="DT11" s="816">
        <f>FLN!CW11</f>
        <v>0</v>
      </c>
      <c r="DU11" s="816">
        <f>FLN!CX11</f>
        <v>0</v>
      </c>
      <c r="DV11" s="816">
        <f>FLN!CY11</f>
        <v>0</v>
      </c>
      <c r="DW11" s="823" t="str">
        <f t="shared" si="22"/>
        <v>824</v>
      </c>
      <c r="DX11" s="816">
        <f>FLN!CZ11</f>
        <v>0</v>
      </c>
      <c r="DY11" s="816">
        <f>FLN!DA11</f>
        <v>0</v>
      </c>
      <c r="DZ11" s="816">
        <f>FLN!DB11</f>
        <v>0</v>
      </c>
      <c r="EA11" s="816">
        <f>FLN!DC11</f>
        <v>0</v>
      </c>
      <c r="EB11" s="823" t="str">
        <f t="shared" si="23"/>
        <v>825</v>
      </c>
      <c r="EC11" s="816">
        <f>FLN!DD11</f>
        <v>0</v>
      </c>
      <c r="ED11" s="816">
        <f>FLN!DE11</f>
        <v>0</v>
      </c>
      <c r="EE11" s="816">
        <f>FLN!DF11</f>
        <v>0</v>
      </c>
      <c r="EF11" s="816">
        <f>FLN!DG11</f>
        <v>0</v>
      </c>
    </row>
    <row r="12" spans="1:145">
      <c r="A12" s="824">
        <v>9</v>
      </c>
      <c r="B12" s="824">
        <f>STUDENT!F10</f>
        <v>14754</v>
      </c>
      <c r="C12" s="824">
        <f>STUDENT!D10</f>
        <v>20230130143</v>
      </c>
      <c r="D12" s="827" t="str">
        <f>STUDENT!E10</f>
        <v>ANUJ</v>
      </c>
      <c r="E12" s="827" t="str">
        <f>STUDENT!H10</f>
        <v>RANJEET DAS</v>
      </c>
      <c r="F12" s="828" t="str">
        <f>FLN!F12</f>
        <v>Alphabets</v>
      </c>
      <c r="G12" s="828" t="str">
        <f>FLN!G12</f>
        <v>Number Recognition (10-99)</v>
      </c>
      <c r="H12" s="828" t="str">
        <f>FLN!H12</f>
        <v>Character</v>
      </c>
      <c r="I12" s="824">
        <f>FLN!I12</f>
        <v>2</v>
      </c>
      <c r="J12" s="824">
        <f>FLN!J12</f>
        <v>2</v>
      </c>
      <c r="K12" s="824">
        <f>FLN!K12</f>
        <v>3</v>
      </c>
      <c r="L12" s="823" t="str">
        <f t="shared" si="24"/>
        <v>91</v>
      </c>
      <c r="M12" s="816">
        <f>FLN!L12</f>
        <v>2</v>
      </c>
      <c r="N12" s="816">
        <f>FLN!M12</f>
        <v>2</v>
      </c>
      <c r="O12" s="816">
        <f>FLN!N12</f>
        <v>3</v>
      </c>
      <c r="P12" s="816">
        <f>FLN!O12</f>
        <v>0</v>
      </c>
      <c r="Q12" s="823" t="str">
        <f t="shared" si="0"/>
        <v>92</v>
      </c>
      <c r="R12" s="816">
        <f>FLN!P12</f>
        <v>2</v>
      </c>
      <c r="S12" s="816">
        <f>FLN!Q12</f>
        <v>2</v>
      </c>
      <c r="T12" s="816">
        <f>FLN!R12</f>
        <v>3</v>
      </c>
      <c r="U12" s="816">
        <f>FLN!S12</f>
        <v>0</v>
      </c>
      <c r="V12" s="823" t="str">
        <f t="shared" si="1"/>
        <v>93</v>
      </c>
      <c r="W12" s="816">
        <f>FLN!T12</f>
        <v>2</v>
      </c>
      <c r="X12" s="816">
        <f>FLN!U12</f>
        <v>2</v>
      </c>
      <c r="Y12" s="816">
        <f>FLN!V12</f>
        <v>3</v>
      </c>
      <c r="Z12" s="816">
        <f>FLN!W12</f>
        <v>0</v>
      </c>
      <c r="AA12" s="823" t="str">
        <f t="shared" si="2"/>
        <v>94</v>
      </c>
      <c r="AB12" s="816">
        <f>FLN!X12</f>
        <v>2</v>
      </c>
      <c r="AC12" s="816">
        <f>FLN!Y12</f>
        <v>2</v>
      </c>
      <c r="AD12" s="816">
        <f>FLN!Z12</f>
        <v>3</v>
      </c>
      <c r="AE12" s="816">
        <f>FLN!AA12</f>
        <v>0</v>
      </c>
      <c r="AF12" s="823" t="str">
        <f t="shared" si="3"/>
        <v>95</v>
      </c>
      <c r="AG12" s="816">
        <f>FLN!AB12</f>
        <v>2</v>
      </c>
      <c r="AH12" s="816">
        <f>FLN!AC12</f>
        <v>2</v>
      </c>
      <c r="AI12" s="816">
        <f>FLN!AD12</f>
        <v>3</v>
      </c>
      <c r="AJ12" s="816">
        <f>FLN!AE12</f>
        <v>0</v>
      </c>
      <c r="AK12" s="823" t="str">
        <f t="shared" si="4"/>
        <v>96</v>
      </c>
      <c r="AL12" s="816">
        <f>FLN!AF12</f>
        <v>3</v>
      </c>
      <c r="AM12" s="816">
        <f>FLN!AG12</f>
        <v>2</v>
      </c>
      <c r="AN12" s="816">
        <f>FLN!AH12</f>
        <v>3</v>
      </c>
      <c r="AO12" s="816">
        <f>FLN!AI12</f>
        <v>0</v>
      </c>
      <c r="AP12" s="823" t="str">
        <f t="shared" si="5"/>
        <v>97</v>
      </c>
      <c r="AQ12" s="816">
        <f>FLN!AJ12</f>
        <v>0</v>
      </c>
      <c r="AR12" s="816">
        <f>FLN!AK12</f>
        <v>0</v>
      </c>
      <c r="AS12" s="816">
        <f>FLN!AL12</f>
        <v>0</v>
      </c>
      <c r="AT12" s="816">
        <f>FLN!AM12</f>
        <v>0</v>
      </c>
      <c r="AU12" s="823" t="str">
        <f t="shared" si="6"/>
        <v>98</v>
      </c>
      <c r="AV12" s="816">
        <f>FLN!AN12</f>
        <v>0</v>
      </c>
      <c r="AW12" s="816">
        <f>FLN!AO12</f>
        <v>0</v>
      </c>
      <c r="AX12" s="816">
        <f>FLN!AP12</f>
        <v>0</v>
      </c>
      <c r="AY12" s="816">
        <f>FLN!AQ12</f>
        <v>0</v>
      </c>
      <c r="AZ12" s="823" t="str">
        <f t="shared" si="7"/>
        <v>99</v>
      </c>
      <c r="BA12" s="816">
        <f>FLN!AR12</f>
        <v>0</v>
      </c>
      <c r="BB12" s="816">
        <f>FLN!AS12</f>
        <v>0</v>
      </c>
      <c r="BC12" s="816">
        <f>FLN!AT12</f>
        <v>0</v>
      </c>
      <c r="BD12" s="816">
        <f>FLN!AU12</f>
        <v>0</v>
      </c>
      <c r="BE12" s="823" t="str">
        <f t="shared" si="8"/>
        <v>910</v>
      </c>
      <c r="BF12" s="816">
        <f>FLN!AV12</f>
        <v>0</v>
      </c>
      <c r="BG12" s="816">
        <f>FLN!AW12</f>
        <v>0</v>
      </c>
      <c r="BH12" s="816">
        <f>FLN!AX12</f>
        <v>0</v>
      </c>
      <c r="BI12" s="816">
        <f>FLN!AY12</f>
        <v>0</v>
      </c>
      <c r="BJ12" s="823" t="str">
        <f t="shared" si="9"/>
        <v>911</v>
      </c>
      <c r="BK12" s="816">
        <f>FLN!AZ12</f>
        <v>0</v>
      </c>
      <c r="BL12" s="816">
        <f>FLN!BA12</f>
        <v>0</v>
      </c>
      <c r="BM12" s="816">
        <f>FLN!BB12</f>
        <v>0</v>
      </c>
      <c r="BN12" s="816">
        <f>FLN!BC12</f>
        <v>0</v>
      </c>
      <c r="BO12" s="823" t="str">
        <f t="shared" si="10"/>
        <v>912</v>
      </c>
      <c r="BP12" s="816">
        <f>FLN!BD12</f>
        <v>0</v>
      </c>
      <c r="BQ12" s="816">
        <f>FLN!BE12</f>
        <v>0</v>
      </c>
      <c r="BR12" s="816">
        <f>FLN!BF12</f>
        <v>0</v>
      </c>
      <c r="BS12" s="816">
        <f>FLN!BG12</f>
        <v>0</v>
      </c>
      <c r="BT12" s="823" t="str">
        <f t="shared" si="11"/>
        <v>913</v>
      </c>
      <c r="BU12" s="816">
        <f>FLN!BH12</f>
        <v>0</v>
      </c>
      <c r="BV12" s="816">
        <f>FLN!BI12</f>
        <v>0</v>
      </c>
      <c r="BW12" s="816">
        <f>FLN!BJ12</f>
        <v>0</v>
      </c>
      <c r="BX12" s="816">
        <f>FLN!BK12</f>
        <v>0</v>
      </c>
      <c r="BY12" s="823" t="str">
        <f t="shared" si="12"/>
        <v>914</v>
      </c>
      <c r="BZ12" s="816">
        <f>FLN!BL12</f>
        <v>0</v>
      </c>
      <c r="CA12" s="816">
        <f>FLN!BM12</f>
        <v>0</v>
      </c>
      <c r="CB12" s="816">
        <f>FLN!BN12</f>
        <v>0</v>
      </c>
      <c r="CC12" s="816">
        <f>FLN!BO12</f>
        <v>0</v>
      </c>
      <c r="CD12" s="823" t="str">
        <f t="shared" si="13"/>
        <v>915</v>
      </c>
      <c r="CE12" s="816">
        <f>FLN!BP12</f>
        <v>0</v>
      </c>
      <c r="CF12" s="816">
        <f>FLN!BQ12</f>
        <v>0</v>
      </c>
      <c r="CG12" s="816">
        <f>FLN!BR12</f>
        <v>0</v>
      </c>
      <c r="CH12" s="816">
        <f>FLN!BS12</f>
        <v>0</v>
      </c>
      <c r="CI12" s="823" t="str">
        <f t="shared" si="14"/>
        <v>916</v>
      </c>
      <c r="CJ12" s="816">
        <f>FLN!BT12</f>
        <v>0</v>
      </c>
      <c r="CK12" s="816">
        <f>FLN!BU12</f>
        <v>0</v>
      </c>
      <c r="CL12" s="816">
        <f>FLN!BV12</f>
        <v>0</v>
      </c>
      <c r="CM12" s="816">
        <f>FLN!BW12</f>
        <v>0</v>
      </c>
      <c r="CN12" s="823" t="str">
        <f t="shared" si="15"/>
        <v>917</v>
      </c>
      <c r="CO12" s="816">
        <f>FLN!BX12</f>
        <v>0</v>
      </c>
      <c r="CP12" s="816">
        <f>FLN!BY12</f>
        <v>0</v>
      </c>
      <c r="CQ12" s="816">
        <f>FLN!BZ12</f>
        <v>0</v>
      </c>
      <c r="CR12" s="816">
        <f>FLN!CA12</f>
        <v>0</v>
      </c>
      <c r="CS12" s="823" t="str">
        <f t="shared" si="16"/>
        <v>918</v>
      </c>
      <c r="CT12" s="816">
        <f>FLN!CB12</f>
        <v>0</v>
      </c>
      <c r="CU12" s="816">
        <f>FLN!CC12</f>
        <v>0</v>
      </c>
      <c r="CV12" s="816">
        <f>FLN!CD12</f>
        <v>0</v>
      </c>
      <c r="CW12" s="816">
        <f>FLN!CE12</f>
        <v>0</v>
      </c>
      <c r="CX12" s="823" t="str">
        <f t="shared" si="17"/>
        <v>919</v>
      </c>
      <c r="CY12" s="816">
        <f>FLN!CF12</f>
        <v>0</v>
      </c>
      <c r="CZ12" s="816">
        <f>FLN!CG12</f>
        <v>0</v>
      </c>
      <c r="DA12" s="816">
        <f>FLN!CH12</f>
        <v>0</v>
      </c>
      <c r="DB12" s="816">
        <f>FLN!CI12</f>
        <v>0</v>
      </c>
      <c r="DC12" s="823" t="str">
        <f t="shared" si="18"/>
        <v>920</v>
      </c>
      <c r="DD12" s="816">
        <f>FLN!CJ12</f>
        <v>0</v>
      </c>
      <c r="DE12" s="816">
        <f>FLN!CK12</f>
        <v>0</v>
      </c>
      <c r="DF12" s="816">
        <f>FLN!CL12</f>
        <v>0</v>
      </c>
      <c r="DG12" s="816">
        <f>FLN!CM12</f>
        <v>0</v>
      </c>
      <c r="DH12" s="823" t="str">
        <f t="shared" si="19"/>
        <v>921</v>
      </c>
      <c r="DI12" s="816">
        <f>FLN!CN12</f>
        <v>0</v>
      </c>
      <c r="DJ12" s="816">
        <f>FLN!CO12</f>
        <v>0</v>
      </c>
      <c r="DK12" s="816">
        <f>FLN!CP12</f>
        <v>0</v>
      </c>
      <c r="DL12" s="816">
        <f>FLN!CQ12</f>
        <v>0</v>
      </c>
      <c r="DM12" s="823" t="str">
        <f t="shared" si="20"/>
        <v>922</v>
      </c>
      <c r="DN12" s="816">
        <f>FLN!CR12</f>
        <v>0</v>
      </c>
      <c r="DO12" s="816">
        <f>FLN!CS12</f>
        <v>0</v>
      </c>
      <c r="DP12" s="816">
        <f>FLN!CT12</f>
        <v>0</v>
      </c>
      <c r="DQ12" s="816">
        <f>FLN!CU12</f>
        <v>0</v>
      </c>
      <c r="DR12" s="823" t="str">
        <f t="shared" si="21"/>
        <v>923</v>
      </c>
      <c r="DS12" s="816">
        <f>FLN!CV12</f>
        <v>0</v>
      </c>
      <c r="DT12" s="816">
        <f>FLN!CW12</f>
        <v>0</v>
      </c>
      <c r="DU12" s="816">
        <f>FLN!CX12</f>
        <v>0</v>
      </c>
      <c r="DV12" s="816">
        <f>FLN!CY12</f>
        <v>0</v>
      </c>
      <c r="DW12" s="823" t="str">
        <f t="shared" si="22"/>
        <v>924</v>
      </c>
      <c r="DX12" s="816">
        <f>FLN!CZ12</f>
        <v>0</v>
      </c>
      <c r="DY12" s="816">
        <f>FLN!DA12</f>
        <v>0</v>
      </c>
      <c r="DZ12" s="816">
        <f>FLN!DB12</f>
        <v>0</v>
      </c>
      <c r="EA12" s="816">
        <f>FLN!DC12</f>
        <v>0</v>
      </c>
      <c r="EB12" s="823" t="str">
        <f t="shared" si="23"/>
        <v>925</v>
      </c>
      <c r="EC12" s="816">
        <f>FLN!DD12</f>
        <v>0</v>
      </c>
      <c r="ED12" s="816">
        <f>FLN!DE12</f>
        <v>0</v>
      </c>
      <c r="EE12" s="816">
        <f>FLN!DF12</f>
        <v>0</v>
      </c>
      <c r="EF12" s="816">
        <f>FLN!DG12</f>
        <v>0</v>
      </c>
    </row>
    <row r="13" spans="1:145">
      <c r="A13" s="824">
        <v>10</v>
      </c>
      <c r="B13" s="824">
        <f>STUDENT!F11</f>
        <v>14774</v>
      </c>
      <c r="C13" s="824">
        <f>STUDENT!D11</f>
        <v>20230268614</v>
      </c>
      <c r="D13" s="827" t="str">
        <f>STUDENT!E11</f>
        <v>PIYUSH KUMAR</v>
      </c>
      <c r="E13" s="827" t="str">
        <f>STUDENT!H11</f>
        <v>MUNNA LAL</v>
      </c>
      <c r="F13" s="828" t="str">
        <f>FLN!F13</f>
        <v>Alphabets</v>
      </c>
      <c r="G13" s="828" t="str">
        <f>FLN!G13</f>
        <v>Number Recognition (10-99)</v>
      </c>
      <c r="H13" s="828" t="str">
        <f>FLN!H13</f>
        <v>Character</v>
      </c>
      <c r="I13" s="824">
        <f>FLN!I13</f>
        <v>2</v>
      </c>
      <c r="J13" s="824">
        <f>FLN!J13</f>
        <v>2</v>
      </c>
      <c r="K13" s="824">
        <f>FLN!K13</f>
        <v>3</v>
      </c>
      <c r="L13" s="823" t="str">
        <f t="shared" si="24"/>
        <v>101</v>
      </c>
      <c r="M13" s="816">
        <f>FLN!L13</f>
        <v>2</v>
      </c>
      <c r="N13" s="816">
        <f>FLN!M13</f>
        <v>2</v>
      </c>
      <c r="O13" s="816">
        <f>FLN!N13</f>
        <v>3</v>
      </c>
      <c r="P13" s="816">
        <f>FLN!O13</f>
        <v>0</v>
      </c>
      <c r="Q13" s="823" t="str">
        <f t="shared" si="0"/>
        <v>102</v>
      </c>
      <c r="R13" s="816">
        <f>FLN!P13</f>
        <v>2</v>
      </c>
      <c r="S13" s="816">
        <f>FLN!Q13</f>
        <v>2</v>
      </c>
      <c r="T13" s="816">
        <f>FLN!R13</f>
        <v>3</v>
      </c>
      <c r="U13" s="816">
        <f>FLN!S13</f>
        <v>0</v>
      </c>
      <c r="V13" s="823" t="str">
        <f t="shared" si="1"/>
        <v>103</v>
      </c>
      <c r="W13" s="816">
        <f>FLN!T13</f>
        <v>2</v>
      </c>
      <c r="X13" s="816">
        <f>FLN!U13</f>
        <v>2</v>
      </c>
      <c r="Y13" s="816">
        <f>FLN!V13</f>
        <v>3</v>
      </c>
      <c r="Z13" s="816">
        <f>FLN!W13</f>
        <v>0</v>
      </c>
      <c r="AA13" s="823" t="str">
        <f t="shared" si="2"/>
        <v>104</v>
      </c>
      <c r="AB13" s="816">
        <f>FLN!X13</f>
        <v>2</v>
      </c>
      <c r="AC13" s="816">
        <f>FLN!Y13</f>
        <v>2</v>
      </c>
      <c r="AD13" s="816">
        <f>FLN!Z13</f>
        <v>3</v>
      </c>
      <c r="AE13" s="816">
        <f>FLN!AA13</f>
        <v>0</v>
      </c>
      <c r="AF13" s="823" t="str">
        <f t="shared" si="3"/>
        <v>105</v>
      </c>
      <c r="AG13" s="816">
        <f>FLN!AB13</f>
        <v>2</v>
      </c>
      <c r="AH13" s="816">
        <f>FLN!AC13</f>
        <v>2</v>
      </c>
      <c r="AI13" s="816">
        <f>FLN!AD13</f>
        <v>3</v>
      </c>
      <c r="AJ13" s="816">
        <f>FLN!AE13</f>
        <v>0</v>
      </c>
      <c r="AK13" s="823" t="str">
        <f t="shared" si="4"/>
        <v>106</v>
      </c>
      <c r="AL13" s="816">
        <f>FLN!AF13</f>
        <v>3</v>
      </c>
      <c r="AM13" s="816">
        <f>FLN!AG13</f>
        <v>2</v>
      </c>
      <c r="AN13" s="816">
        <f>FLN!AH13</f>
        <v>3</v>
      </c>
      <c r="AO13" s="816">
        <f>FLN!AI13</f>
        <v>0</v>
      </c>
      <c r="AP13" s="823" t="str">
        <f t="shared" si="5"/>
        <v>107</v>
      </c>
      <c r="AQ13" s="816">
        <f>FLN!AJ13</f>
        <v>0</v>
      </c>
      <c r="AR13" s="816">
        <f>FLN!AK13</f>
        <v>0</v>
      </c>
      <c r="AS13" s="816">
        <f>FLN!AL13</f>
        <v>0</v>
      </c>
      <c r="AT13" s="816">
        <f>FLN!AM13</f>
        <v>0</v>
      </c>
      <c r="AU13" s="823" t="str">
        <f t="shared" si="6"/>
        <v>108</v>
      </c>
      <c r="AV13" s="816">
        <f>FLN!AN13</f>
        <v>0</v>
      </c>
      <c r="AW13" s="816">
        <f>FLN!AO13</f>
        <v>0</v>
      </c>
      <c r="AX13" s="816">
        <f>FLN!AP13</f>
        <v>0</v>
      </c>
      <c r="AY13" s="816">
        <f>FLN!AQ13</f>
        <v>0</v>
      </c>
      <c r="AZ13" s="823" t="str">
        <f t="shared" si="7"/>
        <v>109</v>
      </c>
      <c r="BA13" s="816">
        <f>FLN!AR13</f>
        <v>0</v>
      </c>
      <c r="BB13" s="816">
        <f>FLN!AS13</f>
        <v>0</v>
      </c>
      <c r="BC13" s="816">
        <f>FLN!AT13</f>
        <v>0</v>
      </c>
      <c r="BD13" s="816">
        <f>FLN!AU13</f>
        <v>0</v>
      </c>
      <c r="BE13" s="823" t="str">
        <f t="shared" si="8"/>
        <v>1010</v>
      </c>
      <c r="BF13" s="816">
        <f>FLN!AV13</f>
        <v>0</v>
      </c>
      <c r="BG13" s="816">
        <f>FLN!AW13</f>
        <v>0</v>
      </c>
      <c r="BH13" s="816">
        <f>FLN!AX13</f>
        <v>0</v>
      </c>
      <c r="BI13" s="816">
        <f>FLN!AY13</f>
        <v>0</v>
      </c>
      <c r="BJ13" s="823" t="str">
        <f t="shared" si="9"/>
        <v>1011</v>
      </c>
      <c r="BK13" s="816">
        <f>FLN!AZ13</f>
        <v>0</v>
      </c>
      <c r="BL13" s="816">
        <f>FLN!BA13</f>
        <v>0</v>
      </c>
      <c r="BM13" s="816">
        <f>FLN!BB13</f>
        <v>0</v>
      </c>
      <c r="BN13" s="816">
        <f>FLN!BC13</f>
        <v>0</v>
      </c>
      <c r="BO13" s="823" t="str">
        <f t="shared" si="10"/>
        <v>1012</v>
      </c>
      <c r="BP13" s="816">
        <f>FLN!BD13</f>
        <v>0</v>
      </c>
      <c r="BQ13" s="816">
        <f>FLN!BE13</f>
        <v>0</v>
      </c>
      <c r="BR13" s="816">
        <f>FLN!BF13</f>
        <v>0</v>
      </c>
      <c r="BS13" s="816">
        <f>FLN!BG13</f>
        <v>0</v>
      </c>
      <c r="BT13" s="823" t="str">
        <f t="shared" si="11"/>
        <v>1013</v>
      </c>
      <c r="BU13" s="816">
        <f>FLN!BH13</f>
        <v>0</v>
      </c>
      <c r="BV13" s="816">
        <f>FLN!BI13</f>
        <v>0</v>
      </c>
      <c r="BW13" s="816">
        <f>FLN!BJ13</f>
        <v>0</v>
      </c>
      <c r="BX13" s="816">
        <f>FLN!BK13</f>
        <v>0</v>
      </c>
      <c r="BY13" s="823" t="str">
        <f t="shared" si="12"/>
        <v>1014</v>
      </c>
      <c r="BZ13" s="816">
        <f>FLN!BL13</f>
        <v>0</v>
      </c>
      <c r="CA13" s="816">
        <f>FLN!BM13</f>
        <v>0</v>
      </c>
      <c r="CB13" s="816">
        <f>FLN!BN13</f>
        <v>0</v>
      </c>
      <c r="CC13" s="816">
        <f>FLN!BO13</f>
        <v>0</v>
      </c>
      <c r="CD13" s="823" t="str">
        <f t="shared" si="13"/>
        <v>1015</v>
      </c>
      <c r="CE13" s="816">
        <f>FLN!BP13</f>
        <v>0</v>
      </c>
      <c r="CF13" s="816">
        <f>FLN!BQ13</f>
        <v>0</v>
      </c>
      <c r="CG13" s="816">
        <f>FLN!BR13</f>
        <v>0</v>
      </c>
      <c r="CH13" s="816">
        <f>FLN!BS13</f>
        <v>0</v>
      </c>
      <c r="CI13" s="823" t="str">
        <f t="shared" si="14"/>
        <v>1016</v>
      </c>
      <c r="CJ13" s="816">
        <f>FLN!BT13</f>
        <v>0</v>
      </c>
      <c r="CK13" s="816">
        <f>FLN!BU13</f>
        <v>0</v>
      </c>
      <c r="CL13" s="816">
        <f>FLN!BV13</f>
        <v>0</v>
      </c>
      <c r="CM13" s="816">
        <f>FLN!BW13</f>
        <v>0</v>
      </c>
      <c r="CN13" s="823" t="str">
        <f t="shared" si="15"/>
        <v>1017</v>
      </c>
      <c r="CO13" s="816">
        <f>FLN!BX13</f>
        <v>0</v>
      </c>
      <c r="CP13" s="816">
        <f>FLN!BY13</f>
        <v>0</v>
      </c>
      <c r="CQ13" s="816">
        <f>FLN!BZ13</f>
        <v>0</v>
      </c>
      <c r="CR13" s="816">
        <f>FLN!CA13</f>
        <v>0</v>
      </c>
      <c r="CS13" s="823" t="str">
        <f t="shared" si="16"/>
        <v>1018</v>
      </c>
      <c r="CT13" s="816">
        <f>FLN!CB13</f>
        <v>0</v>
      </c>
      <c r="CU13" s="816">
        <f>FLN!CC13</f>
        <v>0</v>
      </c>
      <c r="CV13" s="816">
        <f>FLN!CD13</f>
        <v>0</v>
      </c>
      <c r="CW13" s="816">
        <f>FLN!CE13</f>
        <v>0</v>
      </c>
      <c r="CX13" s="823" t="str">
        <f t="shared" si="17"/>
        <v>1019</v>
      </c>
      <c r="CY13" s="816">
        <f>FLN!CF13</f>
        <v>0</v>
      </c>
      <c r="CZ13" s="816">
        <f>FLN!CG13</f>
        <v>0</v>
      </c>
      <c r="DA13" s="816">
        <f>FLN!CH13</f>
        <v>0</v>
      </c>
      <c r="DB13" s="816">
        <f>FLN!CI13</f>
        <v>0</v>
      </c>
      <c r="DC13" s="823" t="str">
        <f t="shared" si="18"/>
        <v>1020</v>
      </c>
      <c r="DD13" s="816">
        <f>FLN!CJ13</f>
        <v>0</v>
      </c>
      <c r="DE13" s="816">
        <f>FLN!CK13</f>
        <v>0</v>
      </c>
      <c r="DF13" s="816">
        <f>FLN!CL13</f>
        <v>0</v>
      </c>
      <c r="DG13" s="816">
        <f>FLN!CM13</f>
        <v>0</v>
      </c>
      <c r="DH13" s="823" t="str">
        <f t="shared" si="19"/>
        <v>1021</v>
      </c>
      <c r="DI13" s="816">
        <f>FLN!CN13</f>
        <v>0</v>
      </c>
      <c r="DJ13" s="816">
        <f>FLN!CO13</f>
        <v>0</v>
      </c>
      <c r="DK13" s="816">
        <f>FLN!CP13</f>
        <v>0</v>
      </c>
      <c r="DL13" s="816">
        <f>FLN!CQ13</f>
        <v>0</v>
      </c>
      <c r="DM13" s="823" t="str">
        <f t="shared" si="20"/>
        <v>1022</v>
      </c>
      <c r="DN13" s="816">
        <f>FLN!CR13</f>
        <v>0</v>
      </c>
      <c r="DO13" s="816">
        <f>FLN!CS13</f>
        <v>0</v>
      </c>
      <c r="DP13" s="816">
        <f>FLN!CT13</f>
        <v>0</v>
      </c>
      <c r="DQ13" s="816">
        <f>FLN!CU13</f>
        <v>0</v>
      </c>
      <c r="DR13" s="823" t="str">
        <f t="shared" si="21"/>
        <v>1023</v>
      </c>
      <c r="DS13" s="816">
        <f>FLN!CV13</f>
        <v>0</v>
      </c>
      <c r="DT13" s="816">
        <f>FLN!CW13</f>
        <v>0</v>
      </c>
      <c r="DU13" s="816">
        <f>FLN!CX13</f>
        <v>0</v>
      </c>
      <c r="DV13" s="816">
        <f>FLN!CY13</f>
        <v>0</v>
      </c>
      <c r="DW13" s="823" t="str">
        <f t="shared" si="22"/>
        <v>1024</v>
      </c>
      <c r="DX13" s="816">
        <f>FLN!CZ13</f>
        <v>0</v>
      </c>
      <c r="DY13" s="816">
        <f>FLN!DA13</f>
        <v>0</v>
      </c>
      <c r="DZ13" s="816">
        <f>FLN!DB13</f>
        <v>0</v>
      </c>
      <c r="EA13" s="816">
        <f>FLN!DC13</f>
        <v>0</v>
      </c>
      <c r="EB13" s="823" t="str">
        <f t="shared" si="23"/>
        <v>1025</v>
      </c>
      <c r="EC13" s="816">
        <f>FLN!DD13</f>
        <v>0</v>
      </c>
      <c r="ED13" s="816">
        <f>FLN!DE13</f>
        <v>0</v>
      </c>
      <c r="EE13" s="816">
        <f>FLN!DF13</f>
        <v>0</v>
      </c>
      <c r="EF13" s="816">
        <f>FLN!DG13</f>
        <v>0</v>
      </c>
    </row>
    <row r="14" spans="1:145">
      <c r="A14" s="824">
        <v>11</v>
      </c>
      <c r="B14" s="824">
        <f>STUDENT!F12</f>
        <v>14775</v>
      </c>
      <c r="C14" s="824">
        <f>STUDENT!D12</f>
        <v>20230349168</v>
      </c>
      <c r="D14" s="827" t="str">
        <f>STUDENT!E12</f>
        <v>MD MAHTAB</v>
      </c>
      <c r="E14" s="827" t="str">
        <f>STUDENT!H12</f>
        <v>MD ASRAF</v>
      </c>
      <c r="F14" s="828" t="str">
        <f>FLN!F14</f>
        <v>Ab</v>
      </c>
      <c r="G14" s="828" t="str">
        <f>FLN!G14</f>
        <v>Ab</v>
      </c>
      <c r="H14" s="828" t="str">
        <f>FLN!H14</f>
        <v>Ab</v>
      </c>
      <c r="I14" s="824" t="str">
        <f>FLN!I14</f>
        <v/>
      </c>
      <c r="J14" s="824" t="str">
        <f>FLN!J14</f>
        <v/>
      </c>
      <c r="K14" s="824" t="str">
        <f>FLN!K14</f>
        <v/>
      </c>
      <c r="L14" s="823" t="str">
        <f t="shared" si="24"/>
        <v>111</v>
      </c>
      <c r="M14" s="816" t="str">
        <f>FLN!L14</f>
        <v>Ab</v>
      </c>
      <c r="N14" s="816" t="str">
        <f>FLN!M14</f>
        <v>Ab</v>
      </c>
      <c r="O14" s="816" t="str">
        <f>FLN!N14</f>
        <v>Ab</v>
      </c>
      <c r="P14" s="816">
        <f>FLN!O14</f>
        <v>0</v>
      </c>
      <c r="Q14" s="823" t="str">
        <f t="shared" si="0"/>
        <v>112</v>
      </c>
      <c r="R14" s="816" t="str">
        <f>FLN!P14</f>
        <v>Ab</v>
      </c>
      <c r="S14" s="816" t="str">
        <f>FLN!Q14</f>
        <v>Ab</v>
      </c>
      <c r="T14" s="816" t="str">
        <f>FLN!R14</f>
        <v>Ab</v>
      </c>
      <c r="U14" s="816">
        <f>FLN!S14</f>
        <v>0</v>
      </c>
      <c r="V14" s="823" t="str">
        <f t="shared" si="1"/>
        <v>113</v>
      </c>
      <c r="W14" s="816" t="str">
        <f>FLN!T14</f>
        <v>Ab</v>
      </c>
      <c r="X14" s="816" t="str">
        <f>FLN!U14</f>
        <v>Ab</v>
      </c>
      <c r="Y14" s="816" t="str">
        <f>FLN!V14</f>
        <v>Ab</v>
      </c>
      <c r="Z14" s="816">
        <f>FLN!W14</f>
        <v>0</v>
      </c>
      <c r="AA14" s="823" t="str">
        <f t="shared" si="2"/>
        <v>114</v>
      </c>
      <c r="AB14" s="816" t="str">
        <f>FLN!X14</f>
        <v>Ab</v>
      </c>
      <c r="AC14" s="816" t="str">
        <f>FLN!Y14</f>
        <v>Ab</v>
      </c>
      <c r="AD14" s="816" t="str">
        <f>FLN!Z14</f>
        <v>Ab</v>
      </c>
      <c r="AE14" s="816">
        <f>FLN!AA14</f>
        <v>0</v>
      </c>
      <c r="AF14" s="823" t="str">
        <f t="shared" si="3"/>
        <v>115</v>
      </c>
      <c r="AG14" s="816" t="str">
        <f>FLN!AB14</f>
        <v>Ab</v>
      </c>
      <c r="AH14" s="816" t="str">
        <f>FLN!AC14</f>
        <v>Ab</v>
      </c>
      <c r="AI14" s="816" t="str">
        <f>FLN!AD14</f>
        <v>Ab</v>
      </c>
      <c r="AJ14" s="816">
        <f>FLN!AE14</f>
        <v>0</v>
      </c>
      <c r="AK14" s="823" t="str">
        <f t="shared" si="4"/>
        <v>116</v>
      </c>
      <c r="AL14" s="816" t="str">
        <f>FLN!AF14</f>
        <v>Ab</v>
      </c>
      <c r="AM14" s="816" t="str">
        <f>FLN!AG14</f>
        <v>Ab</v>
      </c>
      <c r="AN14" s="816" t="str">
        <f>FLN!AH14</f>
        <v>Ab</v>
      </c>
      <c r="AO14" s="816">
        <f>FLN!AI14</f>
        <v>0</v>
      </c>
      <c r="AP14" s="823" t="str">
        <f t="shared" si="5"/>
        <v>117</v>
      </c>
      <c r="AQ14" s="816">
        <f>FLN!AJ14</f>
        <v>0</v>
      </c>
      <c r="AR14" s="816">
        <f>FLN!AK14</f>
        <v>0</v>
      </c>
      <c r="AS14" s="816">
        <f>FLN!AL14</f>
        <v>0</v>
      </c>
      <c r="AT14" s="816">
        <f>FLN!AM14</f>
        <v>0</v>
      </c>
      <c r="AU14" s="823" t="str">
        <f t="shared" si="6"/>
        <v>118</v>
      </c>
      <c r="AV14" s="816">
        <f>FLN!AN14</f>
        <v>0</v>
      </c>
      <c r="AW14" s="816">
        <f>FLN!AO14</f>
        <v>0</v>
      </c>
      <c r="AX14" s="816">
        <f>FLN!AP14</f>
        <v>0</v>
      </c>
      <c r="AY14" s="816">
        <f>FLN!AQ14</f>
        <v>0</v>
      </c>
      <c r="AZ14" s="823" t="str">
        <f t="shared" si="7"/>
        <v>119</v>
      </c>
      <c r="BA14" s="816">
        <f>FLN!AR14</f>
        <v>0</v>
      </c>
      <c r="BB14" s="816">
        <f>FLN!AS14</f>
        <v>0</v>
      </c>
      <c r="BC14" s="816">
        <f>FLN!AT14</f>
        <v>0</v>
      </c>
      <c r="BD14" s="816">
        <f>FLN!AU14</f>
        <v>0</v>
      </c>
      <c r="BE14" s="823" t="str">
        <f t="shared" si="8"/>
        <v>1110</v>
      </c>
      <c r="BF14" s="816">
        <f>FLN!AV14</f>
        <v>0</v>
      </c>
      <c r="BG14" s="816">
        <f>FLN!AW14</f>
        <v>0</v>
      </c>
      <c r="BH14" s="816">
        <f>FLN!AX14</f>
        <v>0</v>
      </c>
      <c r="BI14" s="816">
        <f>FLN!AY14</f>
        <v>0</v>
      </c>
      <c r="BJ14" s="823" t="str">
        <f t="shared" si="9"/>
        <v>1111</v>
      </c>
      <c r="BK14" s="816">
        <f>FLN!AZ14</f>
        <v>0</v>
      </c>
      <c r="BL14" s="816">
        <f>FLN!BA14</f>
        <v>0</v>
      </c>
      <c r="BM14" s="816">
        <f>FLN!BB14</f>
        <v>0</v>
      </c>
      <c r="BN14" s="816">
        <f>FLN!BC14</f>
        <v>0</v>
      </c>
      <c r="BO14" s="823" t="str">
        <f t="shared" si="10"/>
        <v>1112</v>
      </c>
      <c r="BP14" s="816">
        <f>FLN!BD14</f>
        <v>0</v>
      </c>
      <c r="BQ14" s="816">
        <f>FLN!BE14</f>
        <v>0</v>
      </c>
      <c r="BR14" s="816">
        <f>FLN!BF14</f>
        <v>0</v>
      </c>
      <c r="BS14" s="816">
        <f>FLN!BG14</f>
        <v>0</v>
      </c>
      <c r="BT14" s="823" t="str">
        <f t="shared" si="11"/>
        <v>1113</v>
      </c>
      <c r="BU14" s="816">
        <f>FLN!BH14</f>
        <v>0</v>
      </c>
      <c r="BV14" s="816">
        <f>FLN!BI14</f>
        <v>0</v>
      </c>
      <c r="BW14" s="816">
        <f>FLN!BJ14</f>
        <v>0</v>
      </c>
      <c r="BX14" s="816">
        <f>FLN!BK14</f>
        <v>0</v>
      </c>
      <c r="BY14" s="823" t="str">
        <f t="shared" si="12"/>
        <v>1114</v>
      </c>
      <c r="BZ14" s="816">
        <f>FLN!BL14</f>
        <v>0</v>
      </c>
      <c r="CA14" s="816">
        <f>FLN!BM14</f>
        <v>0</v>
      </c>
      <c r="CB14" s="816">
        <f>FLN!BN14</f>
        <v>0</v>
      </c>
      <c r="CC14" s="816">
        <f>FLN!BO14</f>
        <v>0</v>
      </c>
      <c r="CD14" s="823" t="str">
        <f t="shared" si="13"/>
        <v>1115</v>
      </c>
      <c r="CE14" s="816">
        <f>FLN!BP14</f>
        <v>0</v>
      </c>
      <c r="CF14" s="816">
        <f>FLN!BQ14</f>
        <v>0</v>
      </c>
      <c r="CG14" s="816">
        <f>FLN!BR14</f>
        <v>0</v>
      </c>
      <c r="CH14" s="816">
        <f>FLN!BS14</f>
        <v>0</v>
      </c>
      <c r="CI14" s="823" t="str">
        <f t="shared" si="14"/>
        <v>1116</v>
      </c>
      <c r="CJ14" s="816">
        <f>FLN!BT14</f>
        <v>0</v>
      </c>
      <c r="CK14" s="816">
        <f>FLN!BU14</f>
        <v>0</v>
      </c>
      <c r="CL14" s="816">
        <f>FLN!BV14</f>
        <v>0</v>
      </c>
      <c r="CM14" s="816">
        <f>FLN!BW14</f>
        <v>0</v>
      </c>
      <c r="CN14" s="823" t="str">
        <f t="shared" si="15"/>
        <v>1117</v>
      </c>
      <c r="CO14" s="816">
        <f>FLN!BX14</f>
        <v>0</v>
      </c>
      <c r="CP14" s="816">
        <f>FLN!BY14</f>
        <v>0</v>
      </c>
      <c r="CQ14" s="816">
        <f>FLN!BZ14</f>
        <v>0</v>
      </c>
      <c r="CR14" s="816">
        <f>FLN!CA14</f>
        <v>0</v>
      </c>
      <c r="CS14" s="823" t="str">
        <f t="shared" si="16"/>
        <v>1118</v>
      </c>
      <c r="CT14" s="816">
        <f>FLN!CB14</f>
        <v>0</v>
      </c>
      <c r="CU14" s="816">
        <f>FLN!CC14</f>
        <v>0</v>
      </c>
      <c r="CV14" s="816">
        <f>FLN!CD14</f>
        <v>0</v>
      </c>
      <c r="CW14" s="816">
        <f>FLN!CE14</f>
        <v>0</v>
      </c>
      <c r="CX14" s="823" t="str">
        <f t="shared" si="17"/>
        <v>1119</v>
      </c>
      <c r="CY14" s="816">
        <f>FLN!CF14</f>
        <v>0</v>
      </c>
      <c r="CZ14" s="816">
        <f>FLN!CG14</f>
        <v>0</v>
      </c>
      <c r="DA14" s="816">
        <f>FLN!CH14</f>
        <v>0</v>
      </c>
      <c r="DB14" s="816">
        <f>FLN!CI14</f>
        <v>0</v>
      </c>
      <c r="DC14" s="823" t="str">
        <f t="shared" si="18"/>
        <v>1120</v>
      </c>
      <c r="DD14" s="816">
        <f>FLN!CJ14</f>
        <v>0</v>
      </c>
      <c r="DE14" s="816">
        <f>FLN!CK14</f>
        <v>0</v>
      </c>
      <c r="DF14" s="816">
        <f>FLN!CL14</f>
        <v>0</v>
      </c>
      <c r="DG14" s="816">
        <f>FLN!CM14</f>
        <v>0</v>
      </c>
      <c r="DH14" s="823" t="str">
        <f t="shared" si="19"/>
        <v>1121</v>
      </c>
      <c r="DI14" s="816">
        <f>FLN!CN14</f>
        <v>0</v>
      </c>
      <c r="DJ14" s="816">
        <f>FLN!CO14</f>
        <v>0</v>
      </c>
      <c r="DK14" s="816">
        <f>FLN!CP14</f>
        <v>0</v>
      </c>
      <c r="DL14" s="816">
        <f>FLN!CQ14</f>
        <v>0</v>
      </c>
      <c r="DM14" s="823" t="str">
        <f t="shared" si="20"/>
        <v>1122</v>
      </c>
      <c r="DN14" s="816">
        <f>FLN!CR14</f>
        <v>0</v>
      </c>
      <c r="DO14" s="816">
        <f>FLN!CS14</f>
        <v>0</v>
      </c>
      <c r="DP14" s="816">
        <f>FLN!CT14</f>
        <v>0</v>
      </c>
      <c r="DQ14" s="816">
        <f>FLN!CU14</f>
        <v>0</v>
      </c>
      <c r="DR14" s="823" t="str">
        <f t="shared" si="21"/>
        <v>1123</v>
      </c>
      <c r="DS14" s="816">
        <f>FLN!CV14</f>
        <v>0</v>
      </c>
      <c r="DT14" s="816">
        <f>FLN!CW14</f>
        <v>0</v>
      </c>
      <c r="DU14" s="816">
        <f>FLN!CX14</f>
        <v>0</v>
      </c>
      <c r="DV14" s="816">
        <f>FLN!CY14</f>
        <v>0</v>
      </c>
      <c r="DW14" s="823" t="str">
        <f t="shared" si="22"/>
        <v>1124</v>
      </c>
      <c r="DX14" s="816">
        <f>FLN!CZ14</f>
        <v>0</v>
      </c>
      <c r="DY14" s="816">
        <f>FLN!DA14</f>
        <v>0</v>
      </c>
      <c r="DZ14" s="816">
        <f>FLN!DB14</f>
        <v>0</v>
      </c>
      <c r="EA14" s="816">
        <f>FLN!DC14</f>
        <v>0</v>
      </c>
      <c r="EB14" s="823" t="str">
        <f t="shared" si="23"/>
        <v>1125</v>
      </c>
      <c r="EC14" s="816">
        <f>FLN!DD14</f>
        <v>0</v>
      </c>
      <c r="ED14" s="816">
        <f>FLN!DE14</f>
        <v>0</v>
      </c>
      <c r="EE14" s="816">
        <f>FLN!DF14</f>
        <v>0</v>
      </c>
      <c r="EF14" s="816">
        <f>FLN!DG14</f>
        <v>0</v>
      </c>
    </row>
    <row r="15" spans="1:145">
      <c r="A15" s="824">
        <v>12</v>
      </c>
      <c r="B15" s="824">
        <f>STUDENT!F13</f>
        <v>14734</v>
      </c>
      <c r="C15" s="824">
        <f>STUDENT!D13</f>
        <v>20240008153</v>
      </c>
      <c r="D15" s="827" t="str">
        <f>STUDENT!E13</f>
        <v>PRADEEP</v>
      </c>
      <c r="E15" s="827" t="str">
        <f>STUDENT!H13</f>
        <v>RAM BHAWAN</v>
      </c>
      <c r="F15" s="828" t="str">
        <f>FLN!F15</f>
        <v>Alphabets</v>
      </c>
      <c r="G15" s="828" t="str">
        <f>FLN!G15</f>
        <v>Subtraction</v>
      </c>
      <c r="H15" s="828" t="str">
        <f>FLN!H15</f>
        <v>Character</v>
      </c>
      <c r="I15" s="824">
        <f>FLN!I15</f>
        <v>2</v>
      </c>
      <c r="J15" s="824">
        <f>FLN!J15</f>
        <v>2</v>
      </c>
      <c r="K15" s="824">
        <f>FLN!K15</f>
        <v>4</v>
      </c>
      <c r="L15" s="823" t="str">
        <f t="shared" si="24"/>
        <v>121</v>
      </c>
      <c r="M15" s="816">
        <f>FLN!L15</f>
        <v>2</v>
      </c>
      <c r="N15" s="816">
        <f>FLN!M15</f>
        <v>2</v>
      </c>
      <c r="O15" s="816">
        <f>FLN!N15</f>
        <v>4</v>
      </c>
      <c r="P15" s="816">
        <f>FLN!O15</f>
        <v>0</v>
      </c>
      <c r="Q15" s="823" t="str">
        <f t="shared" si="0"/>
        <v>122</v>
      </c>
      <c r="R15" s="816">
        <f>FLN!P15</f>
        <v>2</v>
      </c>
      <c r="S15" s="816">
        <f>FLN!Q15</f>
        <v>2</v>
      </c>
      <c r="T15" s="816">
        <f>FLN!R15</f>
        <v>4</v>
      </c>
      <c r="U15" s="816">
        <f>FLN!S15</f>
        <v>0</v>
      </c>
      <c r="V15" s="823" t="str">
        <f t="shared" si="1"/>
        <v>123</v>
      </c>
      <c r="W15" s="816">
        <f>FLN!T15</f>
        <v>2</v>
      </c>
      <c r="X15" s="816">
        <f>FLN!U15</f>
        <v>2</v>
      </c>
      <c r="Y15" s="816">
        <f>FLN!V15</f>
        <v>4</v>
      </c>
      <c r="Z15" s="816">
        <f>FLN!W15</f>
        <v>0</v>
      </c>
      <c r="AA15" s="823" t="str">
        <f t="shared" si="2"/>
        <v>124</v>
      </c>
      <c r="AB15" s="816">
        <f>FLN!X15</f>
        <v>2</v>
      </c>
      <c r="AC15" s="816">
        <f>FLN!Y15</f>
        <v>2</v>
      </c>
      <c r="AD15" s="816">
        <f>FLN!Z15</f>
        <v>4</v>
      </c>
      <c r="AE15" s="816">
        <f>FLN!AA15</f>
        <v>0</v>
      </c>
      <c r="AF15" s="823" t="str">
        <f t="shared" si="3"/>
        <v>125</v>
      </c>
      <c r="AG15" s="816">
        <f>FLN!AB15</f>
        <v>2</v>
      </c>
      <c r="AH15" s="816">
        <f>FLN!AC15</f>
        <v>2</v>
      </c>
      <c r="AI15" s="816">
        <f>FLN!AD15</f>
        <v>4</v>
      </c>
      <c r="AJ15" s="816">
        <f>FLN!AE15</f>
        <v>0</v>
      </c>
      <c r="AK15" s="823" t="str">
        <f t="shared" si="4"/>
        <v>126</v>
      </c>
      <c r="AL15" s="816">
        <f>FLN!AF15</f>
        <v>2</v>
      </c>
      <c r="AM15" s="816">
        <f>FLN!AG15</f>
        <v>2</v>
      </c>
      <c r="AN15" s="816">
        <f>FLN!AH15</f>
        <v>4</v>
      </c>
      <c r="AO15" s="816">
        <f>FLN!AI15</f>
        <v>0</v>
      </c>
      <c r="AP15" s="823" t="str">
        <f t="shared" si="5"/>
        <v>127</v>
      </c>
      <c r="AQ15" s="816">
        <f>FLN!AJ15</f>
        <v>0</v>
      </c>
      <c r="AR15" s="816">
        <f>FLN!AK15</f>
        <v>0</v>
      </c>
      <c r="AS15" s="816">
        <f>FLN!AL15</f>
        <v>0</v>
      </c>
      <c r="AT15" s="816">
        <f>FLN!AM15</f>
        <v>0</v>
      </c>
      <c r="AU15" s="823" t="str">
        <f t="shared" si="6"/>
        <v>128</v>
      </c>
      <c r="AV15" s="816">
        <f>FLN!AN15</f>
        <v>0</v>
      </c>
      <c r="AW15" s="816">
        <f>FLN!AO15</f>
        <v>0</v>
      </c>
      <c r="AX15" s="816">
        <f>FLN!AP15</f>
        <v>0</v>
      </c>
      <c r="AY15" s="816">
        <f>FLN!AQ15</f>
        <v>0</v>
      </c>
      <c r="AZ15" s="823" t="str">
        <f t="shared" si="7"/>
        <v>129</v>
      </c>
      <c r="BA15" s="816">
        <f>FLN!AR15</f>
        <v>0</v>
      </c>
      <c r="BB15" s="816">
        <f>FLN!AS15</f>
        <v>0</v>
      </c>
      <c r="BC15" s="816">
        <f>FLN!AT15</f>
        <v>0</v>
      </c>
      <c r="BD15" s="816">
        <f>FLN!AU15</f>
        <v>0</v>
      </c>
      <c r="BE15" s="823" t="str">
        <f t="shared" si="8"/>
        <v>1210</v>
      </c>
      <c r="BF15" s="816">
        <f>FLN!AV15</f>
        <v>0</v>
      </c>
      <c r="BG15" s="816">
        <f>FLN!AW15</f>
        <v>0</v>
      </c>
      <c r="BH15" s="816">
        <f>FLN!AX15</f>
        <v>0</v>
      </c>
      <c r="BI15" s="816">
        <f>FLN!AY15</f>
        <v>0</v>
      </c>
      <c r="BJ15" s="823" t="str">
        <f t="shared" si="9"/>
        <v>1211</v>
      </c>
      <c r="BK15" s="816">
        <f>FLN!AZ15</f>
        <v>0</v>
      </c>
      <c r="BL15" s="816">
        <f>FLN!BA15</f>
        <v>0</v>
      </c>
      <c r="BM15" s="816">
        <f>FLN!BB15</f>
        <v>0</v>
      </c>
      <c r="BN15" s="816">
        <f>FLN!BC15</f>
        <v>0</v>
      </c>
      <c r="BO15" s="823" t="str">
        <f t="shared" si="10"/>
        <v>1212</v>
      </c>
      <c r="BP15" s="816">
        <f>FLN!BD15</f>
        <v>0</v>
      </c>
      <c r="BQ15" s="816">
        <f>FLN!BE15</f>
        <v>0</v>
      </c>
      <c r="BR15" s="816">
        <f>FLN!BF15</f>
        <v>0</v>
      </c>
      <c r="BS15" s="816">
        <f>FLN!BG15</f>
        <v>0</v>
      </c>
      <c r="BT15" s="823" t="str">
        <f t="shared" si="11"/>
        <v>1213</v>
      </c>
      <c r="BU15" s="816">
        <f>FLN!BH15</f>
        <v>0</v>
      </c>
      <c r="BV15" s="816">
        <f>FLN!BI15</f>
        <v>0</v>
      </c>
      <c r="BW15" s="816">
        <f>FLN!BJ15</f>
        <v>0</v>
      </c>
      <c r="BX15" s="816">
        <f>FLN!BK15</f>
        <v>0</v>
      </c>
      <c r="BY15" s="823" t="str">
        <f t="shared" si="12"/>
        <v>1214</v>
      </c>
      <c r="BZ15" s="816">
        <f>FLN!BL15</f>
        <v>0</v>
      </c>
      <c r="CA15" s="816">
        <f>FLN!BM15</f>
        <v>0</v>
      </c>
      <c r="CB15" s="816">
        <f>FLN!BN15</f>
        <v>0</v>
      </c>
      <c r="CC15" s="816">
        <f>FLN!BO15</f>
        <v>0</v>
      </c>
      <c r="CD15" s="823" t="str">
        <f t="shared" si="13"/>
        <v>1215</v>
      </c>
      <c r="CE15" s="816">
        <f>FLN!BP15</f>
        <v>0</v>
      </c>
      <c r="CF15" s="816">
        <f>FLN!BQ15</f>
        <v>0</v>
      </c>
      <c r="CG15" s="816">
        <f>FLN!BR15</f>
        <v>0</v>
      </c>
      <c r="CH15" s="816">
        <f>FLN!BS15</f>
        <v>0</v>
      </c>
      <c r="CI15" s="823" t="str">
        <f t="shared" si="14"/>
        <v>1216</v>
      </c>
      <c r="CJ15" s="816">
        <f>FLN!BT15</f>
        <v>0</v>
      </c>
      <c r="CK15" s="816">
        <f>FLN!BU15</f>
        <v>0</v>
      </c>
      <c r="CL15" s="816">
        <f>FLN!BV15</f>
        <v>0</v>
      </c>
      <c r="CM15" s="816">
        <f>FLN!BW15</f>
        <v>0</v>
      </c>
      <c r="CN15" s="823" t="str">
        <f t="shared" si="15"/>
        <v>1217</v>
      </c>
      <c r="CO15" s="816">
        <f>FLN!BX15</f>
        <v>0</v>
      </c>
      <c r="CP15" s="816">
        <f>FLN!BY15</f>
        <v>0</v>
      </c>
      <c r="CQ15" s="816">
        <f>FLN!BZ15</f>
        <v>0</v>
      </c>
      <c r="CR15" s="816">
        <f>FLN!CA15</f>
        <v>0</v>
      </c>
      <c r="CS15" s="823" t="str">
        <f t="shared" si="16"/>
        <v>1218</v>
      </c>
      <c r="CT15" s="816">
        <f>FLN!CB15</f>
        <v>0</v>
      </c>
      <c r="CU15" s="816">
        <f>FLN!CC15</f>
        <v>0</v>
      </c>
      <c r="CV15" s="816">
        <f>FLN!CD15</f>
        <v>0</v>
      </c>
      <c r="CW15" s="816">
        <f>FLN!CE15</f>
        <v>0</v>
      </c>
      <c r="CX15" s="823" t="str">
        <f t="shared" si="17"/>
        <v>1219</v>
      </c>
      <c r="CY15" s="816">
        <f>FLN!CF15</f>
        <v>0</v>
      </c>
      <c r="CZ15" s="816">
        <f>FLN!CG15</f>
        <v>0</v>
      </c>
      <c r="DA15" s="816">
        <f>FLN!CH15</f>
        <v>0</v>
      </c>
      <c r="DB15" s="816">
        <f>FLN!CI15</f>
        <v>0</v>
      </c>
      <c r="DC15" s="823" t="str">
        <f t="shared" si="18"/>
        <v>1220</v>
      </c>
      <c r="DD15" s="816">
        <f>FLN!CJ15</f>
        <v>0</v>
      </c>
      <c r="DE15" s="816">
        <f>FLN!CK15</f>
        <v>0</v>
      </c>
      <c r="DF15" s="816">
        <f>FLN!CL15</f>
        <v>0</v>
      </c>
      <c r="DG15" s="816">
        <f>FLN!CM15</f>
        <v>0</v>
      </c>
      <c r="DH15" s="823" t="str">
        <f t="shared" si="19"/>
        <v>1221</v>
      </c>
      <c r="DI15" s="816">
        <f>FLN!CN15</f>
        <v>0</v>
      </c>
      <c r="DJ15" s="816">
        <f>FLN!CO15</f>
        <v>0</v>
      </c>
      <c r="DK15" s="816">
        <f>FLN!CP15</f>
        <v>0</v>
      </c>
      <c r="DL15" s="816">
        <f>FLN!CQ15</f>
        <v>0</v>
      </c>
      <c r="DM15" s="823" t="str">
        <f t="shared" si="20"/>
        <v>1222</v>
      </c>
      <c r="DN15" s="816">
        <f>FLN!CR15</f>
        <v>0</v>
      </c>
      <c r="DO15" s="816">
        <f>FLN!CS15</f>
        <v>0</v>
      </c>
      <c r="DP15" s="816">
        <f>FLN!CT15</f>
        <v>0</v>
      </c>
      <c r="DQ15" s="816">
        <f>FLN!CU15</f>
        <v>0</v>
      </c>
      <c r="DR15" s="823" t="str">
        <f t="shared" si="21"/>
        <v>1223</v>
      </c>
      <c r="DS15" s="816">
        <f>FLN!CV15</f>
        <v>0</v>
      </c>
      <c r="DT15" s="816">
        <f>FLN!CW15</f>
        <v>0</v>
      </c>
      <c r="DU15" s="816">
        <f>FLN!CX15</f>
        <v>0</v>
      </c>
      <c r="DV15" s="816">
        <f>FLN!CY15</f>
        <v>0</v>
      </c>
      <c r="DW15" s="823" t="str">
        <f t="shared" si="22"/>
        <v>1224</v>
      </c>
      <c r="DX15" s="816">
        <f>FLN!CZ15</f>
        <v>0</v>
      </c>
      <c r="DY15" s="816">
        <f>FLN!DA15</f>
        <v>0</v>
      </c>
      <c r="DZ15" s="816">
        <f>FLN!DB15</f>
        <v>0</v>
      </c>
      <c r="EA15" s="816">
        <f>FLN!DC15</f>
        <v>0</v>
      </c>
      <c r="EB15" s="823" t="str">
        <f t="shared" si="23"/>
        <v>1225</v>
      </c>
      <c r="EC15" s="816">
        <f>FLN!DD15</f>
        <v>0</v>
      </c>
      <c r="ED15" s="816">
        <f>FLN!DE15</f>
        <v>0</v>
      </c>
      <c r="EE15" s="816">
        <f>FLN!DF15</f>
        <v>0</v>
      </c>
      <c r="EF15" s="816">
        <f>FLN!DG15</f>
        <v>0</v>
      </c>
    </row>
    <row r="16" spans="1:145">
      <c r="A16" s="824">
        <v>13</v>
      </c>
      <c r="B16" s="824">
        <f>STUDENT!F14</f>
        <v>14735</v>
      </c>
      <c r="C16" s="824">
        <f>STUDENT!D14</f>
        <v>20240008167</v>
      </c>
      <c r="D16" s="827" t="str">
        <f>STUDENT!E14</f>
        <v>MOHD JISAN</v>
      </c>
      <c r="E16" s="827" t="str">
        <f>STUDENT!H14</f>
        <v>MD ZAMEEL</v>
      </c>
      <c r="F16" s="828" t="str">
        <f>FLN!F16</f>
        <v>Alphabets</v>
      </c>
      <c r="G16" s="828" t="str">
        <f>FLN!G16</f>
        <v>Number Recognition (10-99)</v>
      </c>
      <c r="H16" s="828" t="str">
        <f>FLN!H16</f>
        <v>Character</v>
      </c>
      <c r="I16" s="824">
        <f>FLN!I16</f>
        <v>2</v>
      </c>
      <c r="J16" s="824">
        <f>FLN!J16</f>
        <v>2</v>
      </c>
      <c r="K16" s="824">
        <f>FLN!K16</f>
        <v>3</v>
      </c>
      <c r="L16" s="823" t="str">
        <f t="shared" si="24"/>
        <v>131</v>
      </c>
      <c r="M16" s="816">
        <f>FLN!L16</f>
        <v>2</v>
      </c>
      <c r="N16" s="816">
        <f>FLN!M16</f>
        <v>2</v>
      </c>
      <c r="O16" s="816">
        <f>FLN!N16</f>
        <v>3</v>
      </c>
      <c r="P16" s="816">
        <f>FLN!O16</f>
        <v>0</v>
      </c>
      <c r="Q16" s="823" t="str">
        <f t="shared" si="0"/>
        <v>132</v>
      </c>
      <c r="R16" s="816">
        <f>FLN!P16</f>
        <v>2</v>
      </c>
      <c r="S16" s="816">
        <f>FLN!Q16</f>
        <v>2</v>
      </c>
      <c r="T16" s="816">
        <f>FLN!R16</f>
        <v>3</v>
      </c>
      <c r="U16" s="816">
        <f>FLN!S16</f>
        <v>0</v>
      </c>
      <c r="V16" s="823" t="str">
        <f t="shared" si="1"/>
        <v>133</v>
      </c>
      <c r="W16" s="816">
        <f>FLN!T16</f>
        <v>2</v>
      </c>
      <c r="X16" s="816">
        <f>FLN!U16</f>
        <v>2</v>
      </c>
      <c r="Y16" s="816">
        <f>FLN!V16</f>
        <v>3</v>
      </c>
      <c r="Z16" s="816">
        <f>FLN!W16</f>
        <v>0</v>
      </c>
      <c r="AA16" s="823" t="str">
        <f t="shared" si="2"/>
        <v>134</v>
      </c>
      <c r="AB16" s="816">
        <f>FLN!X16</f>
        <v>2</v>
      </c>
      <c r="AC16" s="816">
        <f>FLN!Y16</f>
        <v>2</v>
      </c>
      <c r="AD16" s="816">
        <f>FLN!Z16</f>
        <v>3</v>
      </c>
      <c r="AE16" s="816">
        <f>FLN!AA16</f>
        <v>0</v>
      </c>
      <c r="AF16" s="823" t="str">
        <f t="shared" si="3"/>
        <v>135</v>
      </c>
      <c r="AG16" s="816">
        <f>FLN!AB16</f>
        <v>2</v>
      </c>
      <c r="AH16" s="816">
        <f>FLN!AC16</f>
        <v>2</v>
      </c>
      <c r="AI16" s="816">
        <f>FLN!AD16</f>
        <v>3</v>
      </c>
      <c r="AJ16" s="816">
        <f>FLN!AE16</f>
        <v>0</v>
      </c>
      <c r="AK16" s="823" t="str">
        <f t="shared" si="4"/>
        <v>136</v>
      </c>
      <c r="AL16" s="816">
        <f>FLN!AF16</f>
        <v>2</v>
      </c>
      <c r="AM16" s="816">
        <f>FLN!AG16</f>
        <v>2</v>
      </c>
      <c r="AN16" s="816">
        <f>FLN!AH16</f>
        <v>3</v>
      </c>
      <c r="AO16" s="816">
        <f>FLN!AI16</f>
        <v>0</v>
      </c>
      <c r="AP16" s="823" t="str">
        <f t="shared" si="5"/>
        <v>137</v>
      </c>
      <c r="AQ16" s="816">
        <f>FLN!AJ16</f>
        <v>0</v>
      </c>
      <c r="AR16" s="816">
        <f>FLN!AK16</f>
        <v>0</v>
      </c>
      <c r="AS16" s="816">
        <f>FLN!AL16</f>
        <v>0</v>
      </c>
      <c r="AT16" s="816">
        <f>FLN!AM16</f>
        <v>0</v>
      </c>
      <c r="AU16" s="823" t="str">
        <f t="shared" si="6"/>
        <v>138</v>
      </c>
      <c r="AV16" s="816">
        <f>FLN!AN16</f>
        <v>0</v>
      </c>
      <c r="AW16" s="816">
        <f>FLN!AO16</f>
        <v>0</v>
      </c>
      <c r="AX16" s="816">
        <f>FLN!AP16</f>
        <v>0</v>
      </c>
      <c r="AY16" s="816">
        <f>FLN!AQ16</f>
        <v>0</v>
      </c>
      <c r="AZ16" s="823" t="str">
        <f t="shared" si="7"/>
        <v>139</v>
      </c>
      <c r="BA16" s="816">
        <f>FLN!AR16</f>
        <v>0</v>
      </c>
      <c r="BB16" s="816">
        <f>FLN!AS16</f>
        <v>0</v>
      </c>
      <c r="BC16" s="816">
        <f>FLN!AT16</f>
        <v>0</v>
      </c>
      <c r="BD16" s="816">
        <f>FLN!AU16</f>
        <v>0</v>
      </c>
      <c r="BE16" s="823" t="str">
        <f t="shared" si="8"/>
        <v>1310</v>
      </c>
      <c r="BF16" s="816">
        <f>FLN!AV16</f>
        <v>0</v>
      </c>
      <c r="BG16" s="816">
        <f>FLN!AW16</f>
        <v>0</v>
      </c>
      <c r="BH16" s="816">
        <f>FLN!AX16</f>
        <v>0</v>
      </c>
      <c r="BI16" s="816">
        <f>FLN!AY16</f>
        <v>0</v>
      </c>
      <c r="BJ16" s="823" t="str">
        <f t="shared" si="9"/>
        <v>1311</v>
      </c>
      <c r="BK16" s="816">
        <f>FLN!AZ16</f>
        <v>0</v>
      </c>
      <c r="BL16" s="816">
        <f>FLN!BA16</f>
        <v>0</v>
      </c>
      <c r="BM16" s="816">
        <f>FLN!BB16</f>
        <v>0</v>
      </c>
      <c r="BN16" s="816">
        <f>FLN!BC16</f>
        <v>0</v>
      </c>
      <c r="BO16" s="823" t="str">
        <f t="shared" si="10"/>
        <v>1312</v>
      </c>
      <c r="BP16" s="816">
        <f>FLN!BD16</f>
        <v>0</v>
      </c>
      <c r="BQ16" s="816">
        <f>FLN!BE16</f>
        <v>0</v>
      </c>
      <c r="BR16" s="816">
        <f>FLN!BF16</f>
        <v>0</v>
      </c>
      <c r="BS16" s="816">
        <f>FLN!BG16</f>
        <v>0</v>
      </c>
      <c r="BT16" s="823" t="str">
        <f t="shared" si="11"/>
        <v>1313</v>
      </c>
      <c r="BU16" s="816">
        <f>FLN!BH16</f>
        <v>0</v>
      </c>
      <c r="BV16" s="816">
        <f>FLN!BI16</f>
        <v>0</v>
      </c>
      <c r="BW16" s="816">
        <f>FLN!BJ16</f>
        <v>0</v>
      </c>
      <c r="BX16" s="816">
        <f>FLN!BK16</f>
        <v>0</v>
      </c>
      <c r="BY16" s="823" t="str">
        <f t="shared" si="12"/>
        <v>1314</v>
      </c>
      <c r="BZ16" s="816">
        <f>FLN!BL16</f>
        <v>0</v>
      </c>
      <c r="CA16" s="816">
        <f>FLN!BM16</f>
        <v>0</v>
      </c>
      <c r="CB16" s="816">
        <f>FLN!BN16</f>
        <v>0</v>
      </c>
      <c r="CC16" s="816">
        <f>FLN!BO16</f>
        <v>0</v>
      </c>
      <c r="CD16" s="823" t="str">
        <f t="shared" si="13"/>
        <v>1315</v>
      </c>
      <c r="CE16" s="816">
        <f>FLN!BP16</f>
        <v>0</v>
      </c>
      <c r="CF16" s="816">
        <f>FLN!BQ16</f>
        <v>0</v>
      </c>
      <c r="CG16" s="816">
        <f>FLN!BR16</f>
        <v>0</v>
      </c>
      <c r="CH16" s="816">
        <f>FLN!BS16</f>
        <v>0</v>
      </c>
      <c r="CI16" s="823" t="str">
        <f t="shared" si="14"/>
        <v>1316</v>
      </c>
      <c r="CJ16" s="816">
        <f>FLN!BT16</f>
        <v>0</v>
      </c>
      <c r="CK16" s="816">
        <f>FLN!BU16</f>
        <v>0</v>
      </c>
      <c r="CL16" s="816">
        <f>FLN!BV16</f>
        <v>0</v>
      </c>
      <c r="CM16" s="816">
        <f>FLN!BW16</f>
        <v>0</v>
      </c>
      <c r="CN16" s="823" t="str">
        <f t="shared" si="15"/>
        <v>1317</v>
      </c>
      <c r="CO16" s="816">
        <f>FLN!BX16</f>
        <v>0</v>
      </c>
      <c r="CP16" s="816">
        <f>FLN!BY16</f>
        <v>0</v>
      </c>
      <c r="CQ16" s="816">
        <f>FLN!BZ16</f>
        <v>0</v>
      </c>
      <c r="CR16" s="816">
        <f>FLN!CA16</f>
        <v>0</v>
      </c>
      <c r="CS16" s="823" t="str">
        <f t="shared" si="16"/>
        <v>1318</v>
      </c>
      <c r="CT16" s="816">
        <f>FLN!CB16</f>
        <v>0</v>
      </c>
      <c r="CU16" s="816">
        <f>FLN!CC16</f>
        <v>0</v>
      </c>
      <c r="CV16" s="816">
        <f>FLN!CD16</f>
        <v>0</v>
      </c>
      <c r="CW16" s="816">
        <f>FLN!CE16</f>
        <v>0</v>
      </c>
      <c r="CX16" s="823" t="str">
        <f t="shared" si="17"/>
        <v>1319</v>
      </c>
      <c r="CY16" s="816">
        <f>FLN!CF16</f>
        <v>0</v>
      </c>
      <c r="CZ16" s="816">
        <f>FLN!CG16</f>
        <v>0</v>
      </c>
      <c r="DA16" s="816">
        <f>FLN!CH16</f>
        <v>0</v>
      </c>
      <c r="DB16" s="816">
        <f>FLN!CI16</f>
        <v>0</v>
      </c>
      <c r="DC16" s="823" t="str">
        <f t="shared" si="18"/>
        <v>1320</v>
      </c>
      <c r="DD16" s="816">
        <f>FLN!CJ16</f>
        <v>0</v>
      </c>
      <c r="DE16" s="816">
        <f>FLN!CK16</f>
        <v>0</v>
      </c>
      <c r="DF16" s="816">
        <f>FLN!CL16</f>
        <v>0</v>
      </c>
      <c r="DG16" s="816">
        <f>FLN!CM16</f>
        <v>0</v>
      </c>
      <c r="DH16" s="823" t="str">
        <f t="shared" si="19"/>
        <v>1321</v>
      </c>
      <c r="DI16" s="816">
        <f>FLN!CN16</f>
        <v>0</v>
      </c>
      <c r="DJ16" s="816">
        <f>FLN!CO16</f>
        <v>0</v>
      </c>
      <c r="DK16" s="816">
        <f>FLN!CP16</f>
        <v>0</v>
      </c>
      <c r="DL16" s="816">
        <f>FLN!CQ16</f>
        <v>0</v>
      </c>
      <c r="DM16" s="823" t="str">
        <f t="shared" si="20"/>
        <v>1322</v>
      </c>
      <c r="DN16" s="816">
        <f>FLN!CR16</f>
        <v>0</v>
      </c>
      <c r="DO16" s="816">
        <f>FLN!CS16</f>
        <v>0</v>
      </c>
      <c r="DP16" s="816">
        <f>FLN!CT16</f>
        <v>0</v>
      </c>
      <c r="DQ16" s="816">
        <f>FLN!CU16</f>
        <v>0</v>
      </c>
      <c r="DR16" s="823" t="str">
        <f t="shared" si="21"/>
        <v>1323</v>
      </c>
      <c r="DS16" s="816">
        <f>FLN!CV16</f>
        <v>0</v>
      </c>
      <c r="DT16" s="816">
        <f>FLN!CW16</f>
        <v>0</v>
      </c>
      <c r="DU16" s="816">
        <f>FLN!CX16</f>
        <v>0</v>
      </c>
      <c r="DV16" s="816">
        <f>FLN!CY16</f>
        <v>0</v>
      </c>
      <c r="DW16" s="823" t="str">
        <f t="shared" si="22"/>
        <v>1324</v>
      </c>
      <c r="DX16" s="816">
        <f>FLN!CZ16</f>
        <v>0</v>
      </c>
      <c r="DY16" s="816">
        <f>FLN!DA16</f>
        <v>0</v>
      </c>
      <c r="DZ16" s="816">
        <f>FLN!DB16</f>
        <v>0</v>
      </c>
      <c r="EA16" s="816">
        <f>FLN!DC16</f>
        <v>0</v>
      </c>
      <c r="EB16" s="823" t="str">
        <f t="shared" si="23"/>
        <v>1325</v>
      </c>
      <c r="EC16" s="816">
        <f>FLN!DD16</f>
        <v>0</v>
      </c>
      <c r="ED16" s="816">
        <f>FLN!DE16</f>
        <v>0</v>
      </c>
      <c r="EE16" s="816">
        <f>FLN!DF16</f>
        <v>0</v>
      </c>
      <c r="EF16" s="816">
        <f>FLN!DG16</f>
        <v>0</v>
      </c>
    </row>
    <row r="17" spans="1:136">
      <c r="A17" s="824">
        <v>14</v>
      </c>
      <c r="B17" s="824">
        <f>STUDENT!F15</f>
        <v>14745</v>
      </c>
      <c r="C17" s="824">
        <f>STUDENT!D15</f>
        <v>20240015035</v>
      </c>
      <c r="D17" s="827" t="str">
        <f>STUDENT!E15</f>
        <v>KARN KUMAR</v>
      </c>
      <c r="E17" s="827" t="str">
        <f>STUDENT!H15</f>
        <v>MUKESH RAY</v>
      </c>
      <c r="F17" s="828" t="str">
        <f>FLN!F17</f>
        <v>Alphabets</v>
      </c>
      <c r="G17" s="828" t="str">
        <f>FLN!G17</f>
        <v>Number Recognition (10-99)</v>
      </c>
      <c r="H17" s="828" t="str">
        <f>FLN!H17</f>
        <v>Character</v>
      </c>
      <c r="I17" s="824">
        <f>FLN!I17</f>
        <v>2</v>
      </c>
      <c r="J17" s="824">
        <f>FLN!J17</f>
        <v>2</v>
      </c>
      <c r="K17" s="824">
        <f>FLN!K17</f>
        <v>3</v>
      </c>
      <c r="L17" s="823" t="str">
        <f t="shared" si="24"/>
        <v>141</v>
      </c>
      <c r="M17" s="816">
        <f>FLN!L17</f>
        <v>2</v>
      </c>
      <c r="N17" s="816">
        <f>FLN!M17</f>
        <v>2</v>
      </c>
      <c r="O17" s="816">
        <f>FLN!N17</f>
        <v>3</v>
      </c>
      <c r="P17" s="816">
        <f>FLN!O17</f>
        <v>0</v>
      </c>
      <c r="Q17" s="823" t="str">
        <f t="shared" si="0"/>
        <v>142</v>
      </c>
      <c r="R17" s="816">
        <f>FLN!P17</f>
        <v>2</v>
      </c>
      <c r="S17" s="816">
        <f>FLN!Q17</f>
        <v>2</v>
      </c>
      <c r="T17" s="816">
        <f>FLN!R17</f>
        <v>3</v>
      </c>
      <c r="U17" s="816">
        <f>FLN!S17</f>
        <v>0</v>
      </c>
      <c r="V17" s="823" t="str">
        <f t="shared" si="1"/>
        <v>143</v>
      </c>
      <c r="W17" s="816">
        <f>FLN!T17</f>
        <v>2</v>
      </c>
      <c r="X17" s="816">
        <f>FLN!U17</f>
        <v>2</v>
      </c>
      <c r="Y17" s="816">
        <f>FLN!V17</f>
        <v>3</v>
      </c>
      <c r="Z17" s="816">
        <f>FLN!W17</f>
        <v>0</v>
      </c>
      <c r="AA17" s="823" t="str">
        <f t="shared" si="2"/>
        <v>144</v>
      </c>
      <c r="AB17" s="816">
        <f>FLN!X17</f>
        <v>2</v>
      </c>
      <c r="AC17" s="816">
        <f>FLN!Y17</f>
        <v>2</v>
      </c>
      <c r="AD17" s="816">
        <f>FLN!Z17</f>
        <v>3</v>
      </c>
      <c r="AE17" s="816">
        <f>FLN!AA17</f>
        <v>0</v>
      </c>
      <c r="AF17" s="823" t="str">
        <f t="shared" si="3"/>
        <v>145</v>
      </c>
      <c r="AG17" s="816">
        <f>FLN!AB17</f>
        <v>2</v>
      </c>
      <c r="AH17" s="816">
        <f>FLN!AC17</f>
        <v>2</v>
      </c>
      <c r="AI17" s="816">
        <f>FLN!AD17</f>
        <v>3</v>
      </c>
      <c r="AJ17" s="816">
        <f>FLN!AE17</f>
        <v>0</v>
      </c>
      <c r="AK17" s="823" t="str">
        <f t="shared" si="4"/>
        <v>146</v>
      </c>
      <c r="AL17" s="816">
        <f>FLN!AF17</f>
        <v>3</v>
      </c>
      <c r="AM17" s="816">
        <f>FLN!AG17</f>
        <v>2</v>
      </c>
      <c r="AN17" s="816">
        <f>FLN!AH17</f>
        <v>3</v>
      </c>
      <c r="AO17" s="816">
        <f>FLN!AI17</f>
        <v>0</v>
      </c>
      <c r="AP17" s="823" t="str">
        <f t="shared" si="5"/>
        <v>147</v>
      </c>
      <c r="AQ17" s="816">
        <f>FLN!AJ17</f>
        <v>0</v>
      </c>
      <c r="AR17" s="816">
        <f>FLN!AK17</f>
        <v>0</v>
      </c>
      <c r="AS17" s="816">
        <f>FLN!AL17</f>
        <v>0</v>
      </c>
      <c r="AT17" s="816">
        <f>FLN!AM17</f>
        <v>0</v>
      </c>
      <c r="AU17" s="823" t="str">
        <f t="shared" si="6"/>
        <v>148</v>
      </c>
      <c r="AV17" s="816">
        <f>FLN!AN17</f>
        <v>0</v>
      </c>
      <c r="AW17" s="816">
        <f>FLN!AO17</f>
        <v>0</v>
      </c>
      <c r="AX17" s="816">
        <f>FLN!AP17</f>
        <v>0</v>
      </c>
      <c r="AY17" s="816">
        <f>FLN!AQ17</f>
        <v>0</v>
      </c>
      <c r="AZ17" s="823" t="str">
        <f t="shared" si="7"/>
        <v>149</v>
      </c>
      <c r="BA17" s="816">
        <f>FLN!AR17</f>
        <v>0</v>
      </c>
      <c r="BB17" s="816">
        <f>FLN!AS17</f>
        <v>0</v>
      </c>
      <c r="BC17" s="816">
        <f>FLN!AT17</f>
        <v>0</v>
      </c>
      <c r="BD17" s="816">
        <f>FLN!AU17</f>
        <v>0</v>
      </c>
      <c r="BE17" s="823" t="str">
        <f t="shared" si="8"/>
        <v>1410</v>
      </c>
      <c r="BF17" s="816">
        <f>FLN!AV17</f>
        <v>0</v>
      </c>
      <c r="BG17" s="816">
        <f>FLN!AW17</f>
        <v>0</v>
      </c>
      <c r="BH17" s="816">
        <f>FLN!AX17</f>
        <v>0</v>
      </c>
      <c r="BI17" s="816">
        <f>FLN!AY17</f>
        <v>0</v>
      </c>
      <c r="BJ17" s="823" t="str">
        <f t="shared" si="9"/>
        <v>1411</v>
      </c>
      <c r="BK17" s="816">
        <f>FLN!AZ17</f>
        <v>0</v>
      </c>
      <c r="BL17" s="816">
        <f>FLN!BA17</f>
        <v>0</v>
      </c>
      <c r="BM17" s="816">
        <f>FLN!BB17</f>
        <v>0</v>
      </c>
      <c r="BN17" s="816">
        <f>FLN!BC17</f>
        <v>0</v>
      </c>
      <c r="BO17" s="823" t="str">
        <f t="shared" si="10"/>
        <v>1412</v>
      </c>
      <c r="BP17" s="816">
        <f>FLN!BD17</f>
        <v>0</v>
      </c>
      <c r="BQ17" s="816">
        <f>FLN!BE17</f>
        <v>0</v>
      </c>
      <c r="BR17" s="816">
        <f>FLN!BF17</f>
        <v>0</v>
      </c>
      <c r="BS17" s="816">
        <f>FLN!BG17</f>
        <v>0</v>
      </c>
      <c r="BT17" s="823" t="str">
        <f t="shared" si="11"/>
        <v>1413</v>
      </c>
      <c r="BU17" s="816">
        <f>FLN!BH17</f>
        <v>0</v>
      </c>
      <c r="BV17" s="816">
        <f>FLN!BI17</f>
        <v>0</v>
      </c>
      <c r="BW17" s="816">
        <f>FLN!BJ17</f>
        <v>0</v>
      </c>
      <c r="BX17" s="816">
        <f>FLN!BK17</f>
        <v>0</v>
      </c>
      <c r="BY17" s="823" t="str">
        <f t="shared" si="12"/>
        <v>1414</v>
      </c>
      <c r="BZ17" s="816">
        <f>FLN!BL17</f>
        <v>0</v>
      </c>
      <c r="CA17" s="816">
        <f>FLN!BM17</f>
        <v>0</v>
      </c>
      <c r="CB17" s="816">
        <f>FLN!BN17</f>
        <v>0</v>
      </c>
      <c r="CC17" s="816">
        <f>FLN!BO17</f>
        <v>0</v>
      </c>
      <c r="CD17" s="823" t="str">
        <f t="shared" si="13"/>
        <v>1415</v>
      </c>
      <c r="CE17" s="816">
        <f>FLN!BP17</f>
        <v>0</v>
      </c>
      <c r="CF17" s="816">
        <f>FLN!BQ17</f>
        <v>0</v>
      </c>
      <c r="CG17" s="816">
        <f>FLN!BR17</f>
        <v>0</v>
      </c>
      <c r="CH17" s="816">
        <f>FLN!BS17</f>
        <v>0</v>
      </c>
      <c r="CI17" s="823" t="str">
        <f t="shared" si="14"/>
        <v>1416</v>
      </c>
      <c r="CJ17" s="816">
        <f>FLN!BT17</f>
        <v>0</v>
      </c>
      <c r="CK17" s="816">
        <f>FLN!BU17</f>
        <v>0</v>
      </c>
      <c r="CL17" s="816">
        <f>FLN!BV17</f>
        <v>0</v>
      </c>
      <c r="CM17" s="816">
        <f>FLN!BW17</f>
        <v>0</v>
      </c>
      <c r="CN17" s="823" t="str">
        <f t="shared" si="15"/>
        <v>1417</v>
      </c>
      <c r="CO17" s="816">
        <f>FLN!BX17</f>
        <v>0</v>
      </c>
      <c r="CP17" s="816">
        <f>FLN!BY17</f>
        <v>0</v>
      </c>
      <c r="CQ17" s="816">
        <f>FLN!BZ17</f>
        <v>0</v>
      </c>
      <c r="CR17" s="816">
        <f>FLN!CA17</f>
        <v>0</v>
      </c>
      <c r="CS17" s="823" t="str">
        <f t="shared" si="16"/>
        <v>1418</v>
      </c>
      <c r="CT17" s="816">
        <f>FLN!CB17</f>
        <v>0</v>
      </c>
      <c r="CU17" s="816">
        <f>FLN!CC17</f>
        <v>0</v>
      </c>
      <c r="CV17" s="816">
        <f>FLN!CD17</f>
        <v>0</v>
      </c>
      <c r="CW17" s="816">
        <f>FLN!CE17</f>
        <v>0</v>
      </c>
      <c r="CX17" s="823" t="str">
        <f t="shared" si="17"/>
        <v>1419</v>
      </c>
      <c r="CY17" s="816">
        <f>FLN!CF17</f>
        <v>0</v>
      </c>
      <c r="CZ17" s="816">
        <f>FLN!CG17</f>
        <v>0</v>
      </c>
      <c r="DA17" s="816">
        <f>FLN!CH17</f>
        <v>0</v>
      </c>
      <c r="DB17" s="816">
        <f>FLN!CI17</f>
        <v>0</v>
      </c>
      <c r="DC17" s="823" t="str">
        <f t="shared" si="18"/>
        <v>1420</v>
      </c>
      <c r="DD17" s="816">
        <f>FLN!CJ17</f>
        <v>0</v>
      </c>
      <c r="DE17" s="816">
        <f>FLN!CK17</f>
        <v>0</v>
      </c>
      <c r="DF17" s="816">
        <f>FLN!CL17</f>
        <v>0</v>
      </c>
      <c r="DG17" s="816">
        <f>FLN!CM17</f>
        <v>0</v>
      </c>
      <c r="DH17" s="823" t="str">
        <f t="shared" si="19"/>
        <v>1421</v>
      </c>
      <c r="DI17" s="816">
        <f>FLN!CN17</f>
        <v>0</v>
      </c>
      <c r="DJ17" s="816">
        <f>FLN!CO17</f>
        <v>0</v>
      </c>
      <c r="DK17" s="816">
        <f>FLN!CP17</f>
        <v>0</v>
      </c>
      <c r="DL17" s="816">
        <f>FLN!CQ17</f>
        <v>0</v>
      </c>
      <c r="DM17" s="823" t="str">
        <f t="shared" si="20"/>
        <v>1422</v>
      </c>
      <c r="DN17" s="816">
        <f>FLN!CR17</f>
        <v>0</v>
      </c>
      <c r="DO17" s="816">
        <f>FLN!CS17</f>
        <v>0</v>
      </c>
      <c r="DP17" s="816">
        <f>FLN!CT17</f>
        <v>0</v>
      </c>
      <c r="DQ17" s="816">
        <f>FLN!CU17</f>
        <v>0</v>
      </c>
      <c r="DR17" s="823" t="str">
        <f t="shared" si="21"/>
        <v>1423</v>
      </c>
      <c r="DS17" s="816">
        <f>FLN!CV17</f>
        <v>0</v>
      </c>
      <c r="DT17" s="816">
        <f>FLN!CW17</f>
        <v>0</v>
      </c>
      <c r="DU17" s="816">
        <f>FLN!CX17</f>
        <v>0</v>
      </c>
      <c r="DV17" s="816">
        <f>FLN!CY17</f>
        <v>0</v>
      </c>
      <c r="DW17" s="823" t="str">
        <f t="shared" si="22"/>
        <v>1424</v>
      </c>
      <c r="DX17" s="816">
        <f>FLN!CZ17</f>
        <v>0</v>
      </c>
      <c r="DY17" s="816">
        <f>FLN!DA17</f>
        <v>0</v>
      </c>
      <c r="DZ17" s="816">
        <f>FLN!DB17</f>
        <v>0</v>
      </c>
      <c r="EA17" s="816">
        <f>FLN!DC17</f>
        <v>0</v>
      </c>
      <c r="EB17" s="823" t="str">
        <f t="shared" si="23"/>
        <v>1425</v>
      </c>
      <c r="EC17" s="816">
        <f>FLN!DD17</f>
        <v>0</v>
      </c>
      <c r="ED17" s="816">
        <f>FLN!DE17</f>
        <v>0</v>
      </c>
      <c r="EE17" s="816">
        <f>FLN!DF17</f>
        <v>0</v>
      </c>
      <c r="EF17" s="816">
        <f>FLN!DG17</f>
        <v>0</v>
      </c>
    </row>
    <row r="18" spans="1:136">
      <c r="A18" s="824">
        <v>15</v>
      </c>
      <c r="B18" s="824">
        <f>STUDENT!F16</f>
        <v>14746</v>
      </c>
      <c r="C18" s="824">
        <f>STUDENT!D16</f>
        <v>20240015112</v>
      </c>
      <c r="D18" s="827" t="str">
        <f>STUDENT!E16</f>
        <v>ROKI</v>
      </c>
      <c r="E18" s="827" t="str">
        <f>STUDENT!H16</f>
        <v>KUAR SINGH</v>
      </c>
      <c r="F18" s="828" t="str">
        <f>FLN!F18</f>
        <v>Words</v>
      </c>
      <c r="G18" s="828" t="str">
        <f>FLN!G18</f>
        <v>Subtraction</v>
      </c>
      <c r="H18" s="828" t="str">
        <f>FLN!H18</f>
        <v>Words</v>
      </c>
      <c r="I18" s="824">
        <f>FLN!I18</f>
        <v>3</v>
      </c>
      <c r="J18" s="824">
        <f>FLN!J18</f>
        <v>3</v>
      </c>
      <c r="K18" s="824">
        <f>FLN!K18</f>
        <v>4</v>
      </c>
      <c r="L18" s="823" t="str">
        <f t="shared" si="24"/>
        <v>151</v>
      </c>
      <c r="M18" s="816">
        <f>FLN!L18</f>
        <v>3</v>
      </c>
      <c r="N18" s="816">
        <f>FLN!M18</f>
        <v>3</v>
      </c>
      <c r="O18" s="816">
        <f>FLN!N18</f>
        <v>4</v>
      </c>
      <c r="P18" s="816">
        <f>FLN!O18</f>
        <v>0</v>
      </c>
      <c r="Q18" s="823" t="str">
        <f t="shared" si="0"/>
        <v>152</v>
      </c>
      <c r="R18" s="816">
        <f>FLN!P18</f>
        <v>3</v>
      </c>
      <c r="S18" s="816">
        <f>FLN!Q18</f>
        <v>3</v>
      </c>
      <c r="T18" s="816">
        <f>FLN!R18</f>
        <v>4</v>
      </c>
      <c r="U18" s="816">
        <f>FLN!S18</f>
        <v>0</v>
      </c>
      <c r="V18" s="823" t="str">
        <f t="shared" si="1"/>
        <v>153</v>
      </c>
      <c r="W18" s="816">
        <f>FLN!T18</f>
        <v>3</v>
      </c>
      <c r="X18" s="816">
        <f>FLN!U18</f>
        <v>3</v>
      </c>
      <c r="Y18" s="816">
        <f>FLN!V18</f>
        <v>4</v>
      </c>
      <c r="Z18" s="816">
        <f>FLN!W18</f>
        <v>0</v>
      </c>
      <c r="AA18" s="823" t="str">
        <f t="shared" si="2"/>
        <v>154</v>
      </c>
      <c r="AB18" s="816">
        <f>FLN!X18</f>
        <v>3</v>
      </c>
      <c r="AC18" s="816">
        <f>FLN!Y18</f>
        <v>3</v>
      </c>
      <c r="AD18" s="816">
        <f>FLN!Z18</f>
        <v>4</v>
      </c>
      <c r="AE18" s="816">
        <f>FLN!AA18</f>
        <v>0</v>
      </c>
      <c r="AF18" s="823" t="str">
        <f t="shared" si="3"/>
        <v>155</v>
      </c>
      <c r="AG18" s="816">
        <f>FLN!AB18</f>
        <v>3</v>
      </c>
      <c r="AH18" s="816">
        <f>FLN!AC18</f>
        <v>3</v>
      </c>
      <c r="AI18" s="816">
        <f>FLN!AD18</f>
        <v>4</v>
      </c>
      <c r="AJ18" s="816">
        <f>FLN!AE18</f>
        <v>0</v>
      </c>
      <c r="AK18" s="823" t="str">
        <f t="shared" si="4"/>
        <v>156</v>
      </c>
      <c r="AL18" s="816">
        <f>FLN!AF18</f>
        <v>4</v>
      </c>
      <c r="AM18" s="816">
        <f>FLN!AG18</f>
        <v>4</v>
      </c>
      <c r="AN18" s="816">
        <f>FLN!AH18</f>
        <v>4</v>
      </c>
      <c r="AO18" s="816">
        <f>FLN!AI18</f>
        <v>0</v>
      </c>
      <c r="AP18" s="823" t="str">
        <f t="shared" si="5"/>
        <v>157</v>
      </c>
      <c r="AQ18" s="816">
        <f>FLN!AJ18</f>
        <v>0</v>
      </c>
      <c r="AR18" s="816">
        <f>FLN!AK18</f>
        <v>0</v>
      </c>
      <c r="AS18" s="816">
        <f>FLN!AL18</f>
        <v>0</v>
      </c>
      <c r="AT18" s="816">
        <f>FLN!AM18</f>
        <v>0</v>
      </c>
      <c r="AU18" s="823" t="str">
        <f t="shared" si="6"/>
        <v>158</v>
      </c>
      <c r="AV18" s="816">
        <f>FLN!AN18</f>
        <v>0</v>
      </c>
      <c r="AW18" s="816">
        <f>FLN!AO18</f>
        <v>0</v>
      </c>
      <c r="AX18" s="816">
        <f>FLN!AP18</f>
        <v>0</v>
      </c>
      <c r="AY18" s="816">
        <f>FLN!AQ18</f>
        <v>0</v>
      </c>
      <c r="AZ18" s="823" t="str">
        <f t="shared" si="7"/>
        <v>159</v>
      </c>
      <c r="BA18" s="816">
        <f>FLN!AR18</f>
        <v>0</v>
      </c>
      <c r="BB18" s="816">
        <f>FLN!AS18</f>
        <v>0</v>
      </c>
      <c r="BC18" s="816">
        <f>FLN!AT18</f>
        <v>0</v>
      </c>
      <c r="BD18" s="816">
        <f>FLN!AU18</f>
        <v>0</v>
      </c>
      <c r="BE18" s="823" t="str">
        <f t="shared" si="8"/>
        <v>1510</v>
      </c>
      <c r="BF18" s="816">
        <f>FLN!AV18</f>
        <v>0</v>
      </c>
      <c r="BG18" s="816">
        <f>FLN!AW18</f>
        <v>0</v>
      </c>
      <c r="BH18" s="816">
        <f>FLN!AX18</f>
        <v>0</v>
      </c>
      <c r="BI18" s="816">
        <f>FLN!AY18</f>
        <v>0</v>
      </c>
      <c r="BJ18" s="823" t="str">
        <f t="shared" si="9"/>
        <v>1511</v>
      </c>
      <c r="BK18" s="816">
        <f>FLN!AZ18</f>
        <v>0</v>
      </c>
      <c r="BL18" s="816">
        <f>FLN!BA18</f>
        <v>0</v>
      </c>
      <c r="BM18" s="816">
        <f>FLN!BB18</f>
        <v>0</v>
      </c>
      <c r="BN18" s="816">
        <f>FLN!BC18</f>
        <v>0</v>
      </c>
      <c r="BO18" s="823" t="str">
        <f t="shared" si="10"/>
        <v>1512</v>
      </c>
      <c r="BP18" s="816">
        <f>FLN!BD18</f>
        <v>0</v>
      </c>
      <c r="BQ18" s="816">
        <f>FLN!BE18</f>
        <v>0</v>
      </c>
      <c r="BR18" s="816">
        <f>FLN!BF18</f>
        <v>0</v>
      </c>
      <c r="BS18" s="816">
        <f>FLN!BG18</f>
        <v>0</v>
      </c>
      <c r="BT18" s="823" t="str">
        <f t="shared" si="11"/>
        <v>1513</v>
      </c>
      <c r="BU18" s="816">
        <f>FLN!BH18</f>
        <v>0</v>
      </c>
      <c r="BV18" s="816">
        <f>FLN!BI18</f>
        <v>0</v>
      </c>
      <c r="BW18" s="816">
        <f>FLN!BJ18</f>
        <v>0</v>
      </c>
      <c r="BX18" s="816">
        <f>FLN!BK18</f>
        <v>0</v>
      </c>
      <c r="BY18" s="823" t="str">
        <f t="shared" si="12"/>
        <v>1514</v>
      </c>
      <c r="BZ18" s="816">
        <f>FLN!BL18</f>
        <v>0</v>
      </c>
      <c r="CA18" s="816">
        <f>FLN!BM18</f>
        <v>0</v>
      </c>
      <c r="CB18" s="816">
        <f>FLN!BN18</f>
        <v>0</v>
      </c>
      <c r="CC18" s="816">
        <f>FLN!BO18</f>
        <v>0</v>
      </c>
      <c r="CD18" s="823" t="str">
        <f t="shared" si="13"/>
        <v>1515</v>
      </c>
      <c r="CE18" s="816">
        <f>FLN!BP18</f>
        <v>0</v>
      </c>
      <c r="CF18" s="816">
        <f>FLN!BQ18</f>
        <v>0</v>
      </c>
      <c r="CG18" s="816">
        <f>FLN!BR18</f>
        <v>0</v>
      </c>
      <c r="CH18" s="816">
        <f>FLN!BS18</f>
        <v>0</v>
      </c>
      <c r="CI18" s="823" t="str">
        <f t="shared" si="14"/>
        <v>1516</v>
      </c>
      <c r="CJ18" s="816">
        <f>FLN!BT18</f>
        <v>0</v>
      </c>
      <c r="CK18" s="816">
        <f>FLN!BU18</f>
        <v>0</v>
      </c>
      <c r="CL18" s="816">
        <f>FLN!BV18</f>
        <v>0</v>
      </c>
      <c r="CM18" s="816">
        <f>FLN!BW18</f>
        <v>0</v>
      </c>
      <c r="CN18" s="823" t="str">
        <f t="shared" si="15"/>
        <v>1517</v>
      </c>
      <c r="CO18" s="816">
        <f>FLN!BX18</f>
        <v>0</v>
      </c>
      <c r="CP18" s="816">
        <f>FLN!BY18</f>
        <v>0</v>
      </c>
      <c r="CQ18" s="816">
        <f>FLN!BZ18</f>
        <v>0</v>
      </c>
      <c r="CR18" s="816">
        <f>FLN!CA18</f>
        <v>0</v>
      </c>
      <c r="CS18" s="823" t="str">
        <f t="shared" si="16"/>
        <v>1518</v>
      </c>
      <c r="CT18" s="816">
        <f>FLN!CB18</f>
        <v>0</v>
      </c>
      <c r="CU18" s="816">
        <f>FLN!CC18</f>
        <v>0</v>
      </c>
      <c r="CV18" s="816">
        <f>FLN!CD18</f>
        <v>0</v>
      </c>
      <c r="CW18" s="816">
        <f>FLN!CE18</f>
        <v>0</v>
      </c>
      <c r="CX18" s="823" t="str">
        <f t="shared" si="17"/>
        <v>1519</v>
      </c>
      <c r="CY18" s="816">
        <f>FLN!CF18</f>
        <v>0</v>
      </c>
      <c r="CZ18" s="816">
        <f>FLN!CG18</f>
        <v>0</v>
      </c>
      <c r="DA18" s="816">
        <f>FLN!CH18</f>
        <v>0</v>
      </c>
      <c r="DB18" s="816">
        <f>FLN!CI18</f>
        <v>0</v>
      </c>
      <c r="DC18" s="823" t="str">
        <f t="shared" si="18"/>
        <v>1520</v>
      </c>
      <c r="DD18" s="816">
        <f>FLN!CJ18</f>
        <v>0</v>
      </c>
      <c r="DE18" s="816">
        <f>FLN!CK18</f>
        <v>0</v>
      </c>
      <c r="DF18" s="816">
        <f>FLN!CL18</f>
        <v>0</v>
      </c>
      <c r="DG18" s="816">
        <f>FLN!CM18</f>
        <v>0</v>
      </c>
      <c r="DH18" s="823" t="str">
        <f t="shared" si="19"/>
        <v>1521</v>
      </c>
      <c r="DI18" s="816">
        <f>FLN!CN18</f>
        <v>0</v>
      </c>
      <c r="DJ18" s="816">
        <f>FLN!CO18</f>
        <v>0</v>
      </c>
      <c r="DK18" s="816">
        <f>FLN!CP18</f>
        <v>0</v>
      </c>
      <c r="DL18" s="816">
        <f>FLN!CQ18</f>
        <v>0</v>
      </c>
      <c r="DM18" s="823" t="str">
        <f t="shared" si="20"/>
        <v>1522</v>
      </c>
      <c r="DN18" s="816">
        <f>FLN!CR18</f>
        <v>0</v>
      </c>
      <c r="DO18" s="816">
        <f>FLN!CS18</f>
        <v>0</v>
      </c>
      <c r="DP18" s="816">
        <f>FLN!CT18</f>
        <v>0</v>
      </c>
      <c r="DQ18" s="816">
        <f>FLN!CU18</f>
        <v>0</v>
      </c>
      <c r="DR18" s="823" t="str">
        <f t="shared" si="21"/>
        <v>1523</v>
      </c>
      <c r="DS18" s="816">
        <f>FLN!CV18</f>
        <v>0</v>
      </c>
      <c r="DT18" s="816">
        <f>FLN!CW18</f>
        <v>0</v>
      </c>
      <c r="DU18" s="816">
        <f>FLN!CX18</f>
        <v>0</v>
      </c>
      <c r="DV18" s="816">
        <f>FLN!CY18</f>
        <v>0</v>
      </c>
      <c r="DW18" s="823" t="str">
        <f t="shared" si="22"/>
        <v>1524</v>
      </c>
      <c r="DX18" s="816">
        <f>FLN!CZ18</f>
        <v>0</v>
      </c>
      <c r="DY18" s="816">
        <f>FLN!DA18</f>
        <v>0</v>
      </c>
      <c r="DZ18" s="816">
        <f>FLN!DB18</f>
        <v>0</v>
      </c>
      <c r="EA18" s="816">
        <f>FLN!DC18</f>
        <v>0</v>
      </c>
      <c r="EB18" s="823" t="str">
        <f t="shared" si="23"/>
        <v>1525</v>
      </c>
      <c r="EC18" s="816">
        <f>FLN!DD18</f>
        <v>0</v>
      </c>
      <c r="ED18" s="816">
        <f>FLN!DE18</f>
        <v>0</v>
      </c>
      <c r="EE18" s="816">
        <f>FLN!DF18</f>
        <v>0</v>
      </c>
      <c r="EF18" s="816">
        <f>FLN!DG18</f>
        <v>0</v>
      </c>
    </row>
    <row r="19" spans="1:136">
      <c r="A19" s="824">
        <v>16</v>
      </c>
      <c r="B19" s="824">
        <f>STUDENT!F17</f>
        <v>14748</v>
      </c>
      <c r="C19" s="824">
        <f>STUDENT!D17</f>
        <v>20240015199</v>
      </c>
      <c r="D19" s="827" t="str">
        <f>STUDENT!E17</f>
        <v>MD BILAL</v>
      </c>
      <c r="E19" s="827" t="str">
        <f>STUDENT!H17</f>
        <v>MD AFROJ</v>
      </c>
      <c r="F19" s="828" t="str">
        <f>FLN!F19</f>
        <v>Alphabets</v>
      </c>
      <c r="G19" s="828" t="str">
        <f>FLN!G19</f>
        <v>Number Recognition (10-99)</v>
      </c>
      <c r="H19" s="828" t="str">
        <f>FLN!H19</f>
        <v>Character</v>
      </c>
      <c r="I19" s="824">
        <f>FLN!I19</f>
        <v>2</v>
      </c>
      <c r="J19" s="824">
        <f>FLN!J19</f>
        <v>2</v>
      </c>
      <c r="K19" s="824">
        <f>FLN!K19</f>
        <v>3</v>
      </c>
      <c r="L19" s="823" t="str">
        <f t="shared" si="24"/>
        <v>161</v>
      </c>
      <c r="M19" s="816">
        <f>FLN!L19</f>
        <v>2</v>
      </c>
      <c r="N19" s="816">
        <f>FLN!M19</f>
        <v>2</v>
      </c>
      <c r="O19" s="816">
        <f>FLN!N19</f>
        <v>3</v>
      </c>
      <c r="P19" s="816">
        <f>FLN!O19</f>
        <v>0</v>
      </c>
      <c r="Q19" s="823" t="str">
        <f t="shared" si="0"/>
        <v>162</v>
      </c>
      <c r="R19" s="816">
        <f>FLN!P19</f>
        <v>2</v>
      </c>
      <c r="S19" s="816">
        <f>FLN!Q19</f>
        <v>2</v>
      </c>
      <c r="T19" s="816">
        <f>FLN!R19</f>
        <v>3</v>
      </c>
      <c r="U19" s="816">
        <f>FLN!S19</f>
        <v>0</v>
      </c>
      <c r="V19" s="823" t="str">
        <f t="shared" si="1"/>
        <v>163</v>
      </c>
      <c r="W19" s="816">
        <f>FLN!T19</f>
        <v>2</v>
      </c>
      <c r="X19" s="816">
        <f>FLN!U19</f>
        <v>2</v>
      </c>
      <c r="Y19" s="816">
        <f>FLN!V19</f>
        <v>3</v>
      </c>
      <c r="Z19" s="816">
        <f>FLN!W19</f>
        <v>0</v>
      </c>
      <c r="AA19" s="823" t="str">
        <f t="shared" si="2"/>
        <v>164</v>
      </c>
      <c r="AB19" s="816">
        <f>FLN!X19</f>
        <v>2</v>
      </c>
      <c r="AC19" s="816">
        <f>FLN!Y19</f>
        <v>2</v>
      </c>
      <c r="AD19" s="816">
        <f>FLN!Z19</f>
        <v>3</v>
      </c>
      <c r="AE19" s="816">
        <f>FLN!AA19</f>
        <v>0</v>
      </c>
      <c r="AF19" s="823" t="str">
        <f t="shared" si="3"/>
        <v>165</v>
      </c>
      <c r="AG19" s="816">
        <f>FLN!AB19</f>
        <v>2</v>
      </c>
      <c r="AH19" s="816">
        <f>FLN!AC19</f>
        <v>2</v>
      </c>
      <c r="AI19" s="816">
        <f>FLN!AD19</f>
        <v>3</v>
      </c>
      <c r="AJ19" s="816">
        <f>FLN!AE19</f>
        <v>0</v>
      </c>
      <c r="AK19" s="823" t="str">
        <f t="shared" si="4"/>
        <v>166</v>
      </c>
      <c r="AL19" s="816">
        <f>FLN!AF19</f>
        <v>3</v>
      </c>
      <c r="AM19" s="816">
        <f>FLN!AG19</f>
        <v>3</v>
      </c>
      <c r="AN19" s="816">
        <f>FLN!AH19</f>
        <v>4</v>
      </c>
      <c r="AO19" s="816">
        <f>FLN!AI19</f>
        <v>0</v>
      </c>
      <c r="AP19" s="823" t="str">
        <f t="shared" si="5"/>
        <v>167</v>
      </c>
      <c r="AQ19" s="816">
        <f>FLN!AJ19</f>
        <v>0</v>
      </c>
      <c r="AR19" s="816">
        <f>FLN!AK19</f>
        <v>0</v>
      </c>
      <c r="AS19" s="816">
        <f>FLN!AL19</f>
        <v>0</v>
      </c>
      <c r="AT19" s="816">
        <f>FLN!AM19</f>
        <v>0</v>
      </c>
      <c r="AU19" s="823" t="str">
        <f t="shared" si="6"/>
        <v>168</v>
      </c>
      <c r="AV19" s="816">
        <f>FLN!AN19</f>
        <v>0</v>
      </c>
      <c r="AW19" s="816">
        <f>FLN!AO19</f>
        <v>0</v>
      </c>
      <c r="AX19" s="816">
        <f>FLN!AP19</f>
        <v>0</v>
      </c>
      <c r="AY19" s="816">
        <f>FLN!AQ19</f>
        <v>0</v>
      </c>
      <c r="AZ19" s="823" t="str">
        <f t="shared" si="7"/>
        <v>169</v>
      </c>
      <c r="BA19" s="816">
        <f>FLN!AR19</f>
        <v>0</v>
      </c>
      <c r="BB19" s="816">
        <f>FLN!AS19</f>
        <v>0</v>
      </c>
      <c r="BC19" s="816">
        <f>FLN!AT19</f>
        <v>0</v>
      </c>
      <c r="BD19" s="816">
        <f>FLN!AU19</f>
        <v>0</v>
      </c>
      <c r="BE19" s="823" t="str">
        <f t="shared" si="8"/>
        <v>1610</v>
      </c>
      <c r="BF19" s="816">
        <f>FLN!AV19</f>
        <v>0</v>
      </c>
      <c r="BG19" s="816">
        <f>FLN!AW19</f>
        <v>0</v>
      </c>
      <c r="BH19" s="816">
        <f>FLN!AX19</f>
        <v>0</v>
      </c>
      <c r="BI19" s="816">
        <f>FLN!AY19</f>
        <v>0</v>
      </c>
      <c r="BJ19" s="823" t="str">
        <f t="shared" si="9"/>
        <v>1611</v>
      </c>
      <c r="BK19" s="816">
        <f>FLN!AZ19</f>
        <v>0</v>
      </c>
      <c r="BL19" s="816">
        <f>FLN!BA19</f>
        <v>0</v>
      </c>
      <c r="BM19" s="816">
        <f>FLN!BB19</f>
        <v>0</v>
      </c>
      <c r="BN19" s="816">
        <f>FLN!BC19</f>
        <v>0</v>
      </c>
      <c r="BO19" s="823" t="str">
        <f t="shared" si="10"/>
        <v>1612</v>
      </c>
      <c r="BP19" s="816">
        <f>FLN!BD19</f>
        <v>0</v>
      </c>
      <c r="BQ19" s="816">
        <f>FLN!BE19</f>
        <v>0</v>
      </c>
      <c r="BR19" s="816">
        <f>FLN!BF19</f>
        <v>0</v>
      </c>
      <c r="BS19" s="816">
        <f>FLN!BG19</f>
        <v>0</v>
      </c>
      <c r="BT19" s="823" t="str">
        <f t="shared" si="11"/>
        <v>1613</v>
      </c>
      <c r="BU19" s="816">
        <f>FLN!BH19</f>
        <v>0</v>
      </c>
      <c r="BV19" s="816">
        <f>FLN!BI19</f>
        <v>0</v>
      </c>
      <c r="BW19" s="816">
        <f>FLN!BJ19</f>
        <v>0</v>
      </c>
      <c r="BX19" s="816">
        <f>FLN!BK19</f>
        <v>0</v>
      </c>
      <c r="BY19" s="823" t="str">
        <f t="shared" si="12"/>
        <v>1614</v>
      </c>
      <c r="BZ19" s="816">
        <f>FLN!BL19</f>
        <v>0</v>
      </c>
      <c r="CA19" s="816">
        <f>FLN!BM19</f>
        <v>0</v>
      </c>
      <c r="CB19" s="816">
        <f>FLN!BN19</f>
        <v>0</v>
      </c>
      <c r="CC19" s="816">
        <f>FLN!BO19</f>
        <v>0</v>
      </c>
      <c r="CD19" s="823" t="str">
        <f t="shared" si="13"/>
        <v>1615</v>
      </c>
      <c r="CE19" s="816">
        <f>FLN!BP19</f>
        <v>0</v>
      </c>
      <c r="CF19" s="816">
        <f>FLN!BQ19</f>
        <v>0</v>
      </c>
      <c r="CG19" s="816">
        <f>FLN!BR19</f>
        <v>0</v>
      </c>
      <c r="CH19" s="816">
        <f>FLN!BS19</f>
        <v>0</v>
      </c>
      <c r="CI19" s="823" t="str">
        <f t="shared" si="14"/>
        <v>1616</v>
      </c>
      <c r="CJ19" s="816">
        <f>FLN!BT19</f>
        <v>0</v>
      </c>
      <c r="CK19" s="816">
        <f>FLN!BU19</f>
        <v>0</v>
      </c>
      <c r="CL19" s="816">
        <f>FLN!BV19</f>
        <v>0</v>
      </c>
      <c r="CM19" s="816">
        <f>FLN!BW19</f>
        <v>0</v>
      </c>
      <c r="CN19" s="823" t="str">
        <f t="shared" si="15"/>
        <v>1617</v>
      </c>
      <c r="CO19" s="816">
        <f>FLN!BX19</f>
        <v>0</v>
      </c>
      <c r="CP19" s="816">
        <f>FLN!BY19</f>
        <v>0</v>
      </c>
      <c r="CQ19" s="816">
        <f>FLN!BZ19</f>
        <v>0</v>
      </c>
      <c r="CR19" s="816">
        <f>FLN!CA19</f>
        <v>0</v>
      </c>
      <c r="CS19" s="823" t="str">
        <f t="shared" si="16"/>
        <v>1618</v>
      </c>
      <c r="CT19" s="816">
        <f>FLN!CB19</f>
        <v>0</v>
      </c>
      <c r="CU19" s="816">
        <f>FLN!CC19</f>
        <v>0</v>
      </c>
      <c r="CV19" s="816">
        <f>FLN!CD19</f>
        <v>0</v>
      </c>
      <c r="CW19" s="816">
        <f>FLN!CE19</f>
        <v>0</v>
      </c>
      <c r="CX19" s="823" t="str">
        <f t="shared" si="17"/>
        <v>1619</v>
      </c>
      <c r="CY19" s="816">
        <f>FLN!CF19</f>
        <v>0</v>
      </c>
      <c r="CZ19" s="816">
        <f>FLN!CG19</f>
        <v>0</v>
      </c>
      <c r="DA19" s="816">
        <f>FLN!CH19</f>
        <v>0</v>
      </c>
      <c r="DB19" s="816">
        <f>FLN!CI19</f>
        <v>0</v>
      </c>
      <c r="DC19" s="823" t="str">
        <f t="shared" si="18"/>
        <v>1620</v>
      </c>
      <c r="DD19" s="816">
        <f>FLN!CJ19</f>
        <v>0</v>
      </c>
      <c r="DE19" s="816">
        <f>FLN!CK19</f>
        <v>0</v>
      </c>
      <c r="DF19" s="816">
        <f>FLN!CL19</f>
        <v>0</v>
      </c>
      <c r="DG19" s="816">
        <f>FLN!CM19</f>
        <v>0</v>
      </c>
      <c r="DH19" s="823" t="str">
        <f t="shared" si="19"/>
        <v>1621</v>
      </c>
      <c r="DI19" s="816">
        <f>FLN!CN19</f>
        <v>0</v>
      </c>
      <c r="DJ19" s="816">
        <f>FLN!CO19</f>
        <v>0</v>
      </c>
      <c r="DK19" s="816">
        <f>FLN!CP19</f>
        <v>0</v>
      </c>
      <c r="DL19" s="816">
        <f>FLN!CQ19</f>
        <v>0</v>
      </c>
      <c r="DM19" s="823" t="str">
        <f t="shared" si="20"/>
        <v>1622</v>
      </c>
      <c r="DN19" s="816">
        <f>FLN!CR19</f>
        <v>0</v>
      </c>
      <c r="DO19" s="816">
        <f>FLN!CS19</f>
        <v>0</v>
      </c>
      <c r="DP19" s="816">
        <f>FLN!CT19</f>
        <v>0</v>
      </c>
      <c r="DQ19" s="816">
        <f>FLN!CU19</f>
        <v>0</v>
      </c>
      <c r="DR19" s="823" t="str">
        <f t="shared" si="21"/>
        <v>1623</v>
      </c>
      <c r="DS19" s="816">
        <f>FLN!CV19</f>
        <v>0</v>
      </c>
      <c r="DT19" s="816">
        <f>FLN!CW19</f>
        <v>0</v>
      </c>
      <c r="DU19" s="816">
        <f>FLN!CX19</f>
        <v>0</v>
      </c>
      <c r="DV19" s="816">
        <f>FLN!CY19</f>
        <v>0</v>
      </c>
      <c r="DW19" s="823" t="str">
        <f t="shared" si="22"/>
        <v>1624</v>
      </c>
      <c r="DX19" s="816">
        <f>FLN!CZ19</f>
        <v>0</v>
      </c>
      <c r="DY19" s="816">
        <f>FLN!DA19</f>
        <v>0</v>
      </c>
      <c r="DZ19" s="816">
        <f>FLN!DB19</f>
        <v>0</v>
      </c>
      <c r="EA19" s="816">
        <f>FLN!DC19</f>
        <v>0</v>
      </c>
      <c r="EB19" s="823" t="str">
        <f t="shared" si="23"/>
        <v>1625</v>
      </c>
      <c r="EC19" s="816">
        <f>FLN!DD19</f>
        <v>0</v>
      </c>
      <c r="ED19" s="816">
        <f>FLN!DE19</f>
        <v>0</v>
      </c>
      <c r="EE19" s="816">
        <f>FLN!DF19</f>
        <v>0</v>
      </c>
      <c r="EF19" s="816">
        <f>FLN!DG19</f>
        <v>0</v>
      </c>
    </row>
    <row r="20" spans="1:136">
      <c r="A20" s="824">
        <v>17</v>
      </c>
      <c r="B20" s="824">
        <f>STUDENT!F18</f>
        <v>14755</v>
      </c>
      <c r="C20" s="824">
        <f>STUDENT!D18</f>
        <v>20240023044</v>
      </c>
      <c r="D20" s="827" t="str">
        <f>STUDENT!E18</f>
        <v>GAURAV KUMAR</v>
      </c>
      <c r="E20" s="827" t="str">
        <f>STUDENT!H18</f>
        <v>HARINDER YADAV</v>
      </c>
      <c r="F20" s="828" t="str">
        <f>FLN!F20</f>
        <v>Alphabets</v>
      </c>
      <c r="G20" s="828" t="str">
        <f>FLN!G20</f>
        <v>Subtraction</v>
      </c>
      <c r="H20" s="828" t="str">
        <f>FLN!H20</f>
        <v>Character</v>
      </c>
      <c r="I20" s="824">
        <f>FLN!I20</f>
        <v>2</v>
      </c>
      <c r="J20" s="824">
        <f>FLN!J20</f>
        <v>2</v>
      </c>
      <c r="K20" s="824">
        <f>FLN!K20</f>
        <v>4</v>
      </c>
      <c r="L20" s="823" t="str">
        <f t="shared" si="24"/>
        <v>171</v>
      </c>
      <c r="M20" s="816">
        <f>FLN!L20</f>
        <v>2</v>
      </c>
      <c r="N20" s="816">
        <f>FLN!M20</f>
        <v>2</v>
      </c>
      <c r="O20" s="816">
        <f>FLN!N20</f>
        <v>4</v>
      </c>
      <c r="P20" s="816">
        <f>FLN!O20</f>
        <v>0</v>
      </c>
      <c r="Q20" s="823" t="str">
        <f t="shared" si="0"/>
        <v>172</v>
      </c>
      <c r="R20" s="816">
        <f>FLN!P20</f>
        <v>2</v>
      </c>
      <c r="S20" s="816">
        <f>FLN!Q20</f>
        <v>2</v>
      </c>
      <c r="T20" s="816">
        <f>FLN!R20</f>
        <v>4</v>
      </c>
      <c r="U20" s="816">
        <f>FLN!S20</f>
        <v>0</v>
      </c>
      <c r="V20" s="823" t="str">
        <f t="shared" si="1"/>
        <v>173</v>
      </c>
      <c r="W20" s="816">
        <f>FLN!T20</f>
        <v>2</v>
      </c>
      <c r="X20" s="816">
        <f>FLN!U20</f>
        <v>2</v>
      </c>
      <c r="Y20" s="816">
        <f>FLN!V20</f>
        <v>4</v>
      </c>
      <c r="Z20" s="816">
        <f>FLN!W20</f>
        <v>0</v>
      </c>
      <c r="AA20" s="823" t="str">
        <f t="shared" si="2"/>
        <v>174</v>
      </c>
      <c r="AB20" s="816">
        <f>FLN!X20</f>
        <v>2</v>
      </c>
      <c r="AC20" s="816">
        <f>FLN!Y20</f>
        <v>2</v>
      </c>
      <c r="AD20" s="816">
        <f>FLN!Z20</f>
        <v>4</v>
      </c>
      <c r="AE20" s="816">
        <f>FLN!AA20</f>
        <v>0</v>
      </c>
      <c r="AF20" s="823" t="str">
        <f t="shared" si="3"/>
        <v>175</v>
      </c>
      <c r="AG20" s="816">
        <f>FLN!AB20</f>
        <v>2</v>
      </c>
      <c r="AH20" s="816">
        <f>FLN!AC20</f>
        <v>2</v>
      </c>
      <c r="AI20" s="816">
        <f>FLN!AD20</f>
        <v>4</v>
      </c>
      <c r="AJ20" s="816">
        <f>FLN!AE20</f>
        <v>0</v>
      </c>
      <c r="AK20" s="823" t="str">
        <f t="shared" si="4"/>
        <v>176</v>
      </c>
      <c r="AL20" s="816">
        <f>FLN!AF20</f>
        <v>3</v>
      </c>
      <c r="AM20" s="816">
        <f>FLN!AG20</f>
        <v>2</v>
      </c>
      <c r="AN20" s="816">
        <f>FLN!AH20</f>
        <v>4</v>
      </c>
      <c r="AO20" s="816">
        <f>FLN!AI20</f>
        <v>0</v>
      </c>
      <c r="AP20" s="823" t="str">
        <f t="shared" si="5"/>
        <v>177</v>
      </c>
      <c r="AQ20" s="816">
        <f>FLN!AJ20</f>
        <v>0</v>
      </c>
      <c r="AR20" s="816">
        <f>FLN!AK20</f>
        <v>0</v>
      </c>
      <c r="AS20" s="816">
        <f>FLN!AL20</f>
        <v>0</v>
      </c>
      <c r="AT20" s="816">
        <f>FLN!AM20</f>
        <v>0</v>
      </c>
      <c r="AU20" s="823" t="str">
        <f t="shared" si="6"/>
        <v>178</v>
      </c>
      <c r="AV20" s="816">
        <f>FLN!AN20</f>
        <v>0</v>
      </c>
      <c r="AW20" s="816">
        <f>FLN!AO20</f>
        <v>0</v>
      </c>
      <c r="AX20" s="816">
        <f>FLN!AP20</f>
        <v>0</v>
      </c>
      <c r="AY20" s="816">
        <f>FLN!AQ20</f>
        <v>0</v>
      </c>
      <c r="AZ20" s="823" t="str">
        <f t="shared" si="7"/>
        <v>179</v>
      </c>
      <c r="BA20" s="816">
        <f>FLN!AR20</f>
        <v>0</v>
      </c>
      <c r="BB20" s="816">
        <f>FLN!AS20</f>
        <v>0</v>
      </c>
      <c r="BC20" s="816">
        <f>FLN!AT20</f>
        <v>0</v>
      </c>
      <c r="BD20" s="816">
        <f>FLN!AU20</f>
        <v>0</v>
      </c>
      <c r="BE20" s="823" t="str">
        <f t="shared" si="8"/>
        <v>1710</v>
      </c>
      <c r="BF20" s="816">
        <f>FLN!AV20</f>
        <v>0</v>
      </c>
      <c r="BG20" s="816">
        <f>FLN!AW20</f>
        <v>0</v>
      </c>
      <c r="BH20" s="816">
        <f>FLN!AX20</f>
        <v>0</v>
      </c>
      <c r="BI20" s="816">
        <f>FLN!AY20</f>
        <v>0</v>
      </c>
      <c r="BJ20" s="823" t="str">
        <f t="shared" si="9"/>
        <v>1711</v>
      </c>
      <c r="BK20" s="816">
        <f>FLN!AZ20</f>
        <v>0</v>
      </c>
      <c r="BL20" s="816">
        <f>FLN!BA20</f>
        <v>0</v>
      </c>
      <c r="BM20" s="816">
        <f>FLN!BB20</f>
        <v>0</v>
      </c>
      <c r="BN20" s="816">
        <f>FLN!BC20</f>
        <v>0</v>
      </c>
      <c r="BO20" s="823" t="str">
        <f t="shared" si="10"/>
        <v>1712</v>
      </c>
      <c r="BP20" s="816">
        <f>FLN!BD20</f>
        <v>0</v>
      </c>
      <c r="BQ20" s="816">
        <f>FLN!BE20</f>
        <v>0</v>
      </c>
      <c r="BR20" s="816">
        <f>FLN!BF20</f>
        <v>0</v>
      </c>
      <c r="BS20" s="816">
        <f>FLN!BG20</f>
        <v>0</v>
      </c>
      <c r="BT20" s="823" t="str">
        <f t="shared" si="11"/>
        <v>1713</v>
      </c>
      <c r="BU20" s="816">
        <f>FLN!BH20</f>
        <v>0</v>
      </c>
      <c r="BV20" s="816">
        <f>FLN!BI20</f>
        <v>0</v>
      </c>
      <c r="BW20" s="816">
        <f>FLN!BJ20</f>
        <v>0</v>
      </c>
      <c r="BX20" s="816">
        <f>FLN!BK20</f>
        <v>0</v>
      </c>
      <c r="BY20" s="823" t="str">
        <f t="shared" si="12"/>
        <v>1714</v>
      </c>
      <c r="BZ20" s="816">
        <f>FLN!BL20</f>
        <v>0</v>
      </c>
      <c r="CA20" s="816">
        <f>FLN!BM20</f>
        <v>0</v>
      </c>
      <c r="CB20" s="816">
        <f>FLN!BN20</f>
        <v>0</v>
      </c>
      <c r="CC20" s="816">
        <f>FLN!BO20</f>
        <v>0</v>
      </c>
      <c r="CD20" s="823" t="str">
        <f t="shared" si="13"/>
        <v>1715</v>
      </c>
      <c r="CE20" s="816">
        <f>FLN!BP20</f>
        <v>0</v>
      </c>
      <c r="CF20" s="816">
        <f>FLN!BQ20</f>
        <v>0</v>
      </c>
      <c r="CG20" s="816">
        <f>FLN!BR20</f>
        <v>0</v>
      </c>
      <c r="CH20" s="816">
        <f>FLN!BS20</f>
        <v>0</v>
      </c>
      <c r="CI20" s="823" t="str">
        <f t="shared" si="14"/>
        <v>1716</v>
      </c>
      <c r="CJ20" s="816">
        <f>FLN!BT20</f>
        <v>0</v>
      </c>
      <c r="CK20" s="816">
        <f>FLN!BU20</f>
        <v>0</v>
      </c>
      <c r="CL20" s="816">
        <f>FLN!BV20</f>
        <v>0</v>
      </c>
      <c r="CM20" s="816">
        <f>FLN!BW20</f>
        <v>0</v>
      </c>
      <c r="CN20" s="823" t="str">
        <f t="shared" si="15"/>
        <v>1717</v>
      </c>
      <c r="CO20" s="816">
        <f>FLN!BX20</f>
        <v>0</v>
      </c>
      <c r="CP20" s="816">
        <f>FLN!BY20</f>
        <v>0</v>
      </c>
      <c r="CQ20" s="816">
        <f>FLN!BZ20</f>
        <v>0</v>
      </c>
      <c r="CR20" s="816">
        <f>FLN!CA20</f>
        <v>0</v>
      </c>
      <c r="CS20" s="823" t="str">
        <f t="shared" si="16"/>
        <v>1718</v>
      </c>
      <c r="CT20" s="816">
        <f>FLN!CB20</f>
        <v>0</v>
      </c>
      <c r="CU20" s="816">
        <f>FLN!CC20</f>
        <v>0</v>
      </c>
      <c r="CV20" s="816">
        <f>FLN!CD20</f>
        <v>0</v>
      </c>
      <c r="CW20" s="816">
        <f>FLN!CE20</f>
        <v>0</v>
      </c>
      <c r="CX20" s="823" t="str">
        <f t="shared" si="17"/>
        <v>1719</v>
      </c>
      <c r="CY20" s="816">
        <f>FLN!CF20</f>
        <v>0</v>
      </c>
      <c r="CZ20" s="816">
        <f>FLN!CG20</f>
        <v>0</v>
      </c>
      <c r="DA20" s="816">
        <f>FLN!CH20</f>
        <v>0</v>
      </c>
      <c r="DB20" s="816">
        <f>FLN!CI20</f>
        <v>0</v>
      </c>
      <c r="DC20" s="823" t="str">
        <f t="shared" si="18"/>
        <v>1720</v>
      </c>
      <c r="DD20" s="816">
        <f>FLN!CJ20</f>
        <v>0</v>
      </c>
      <c r="DE20" s="816">
        <f>FLN!CK20</f>
        <v>0</v>
      </c>
      <c r="DF20" s="816">
        <f>FLN!CL20</f>
        <v>0</v>
      </c>
      <c r="DG20" s="816">
        <f>FLN!CM20</f>
        <v>0</v>
      </c>
      <c r="DH20" s="823" t="str">
        <f t="shared" si="19"/>
        <v>1721</v>
      </c>
      <c r="DI20" s="816">
        <f>FLN!CN20</f>
        <v>0</v>
      </c>
      <c r="DJ20" s="816">
        <f>FLN!CO20</f>
        <v>0</v>
      </c>
      <c r="DK20" s="816">
        <f>FLN!CP20</f>
        <v>0</v>
      </c>
      <c r="DL20" s="816">
        <f>FLN!CQ20</f>
        <v>0</v>
      </c>
      <c r="DM20" s="823" t="str">
        <f t="shared" si="20"/>
        <v>1722</v>
      </c>
      <c r="DN20" s="816">
        <f>FLN!CR20</f>
        <v>0</v>
      </c>
      <c r="DO20" s="816">
        <f>FLN!CS20</f>
        <v>0</v>
      </c>
      <c r="DP20" s="816">
        <f>FLN!CT20</f>
        <v>0</v>
      </c>
      <c r="DQ20" s="816">
        <f>FLN!CU20</f>
        <v>0</v>
      </c>
      <c r="DR20" s="823" t="str">
        <f t="shared" si="21"/>
        <v>1723</v>
      </c>
      <c r="DS20" s="816">
        <f>FLN!CV20</f>
        <v>0</v>
      </c>
      <c r="DT20" s="816">
        <f>FLN!CW20</f>
        <v>0</v>
      </c>
      <c r="DU20" s="816">
        <f>FLN!CX20</f>
        <v>0</v>
      </c>
      <c r="DV20" s="816">
        <f>FLN!CY20</f>
        <v>0</v>
      </c>
      <c r="DW20" s="823" t="str">
        <f t="shared" si="22"/>
        <v>1724</v>
      </c>
      <c r="DX20" s="816">
        <f>FLN!CZ20</f>
        <v>0</v>
      </c>
      <c r="DY20" s="816">
        <f>FLN!DA20</f>
        <v>0</v>
      </c>
      <c r="DZ20" s="816">
        <f>FLN!DB20</f>
        <v>0</v>
      </c>
      <c r="EA20" s="816">
        <f>FLN!DC20</f>
        <v>0</v>
      </c>
      <c r="EB20" s="823" t="str">
        <f t="shared" si="23"/>
        <v>1725</v>
      </c>
      <c r="EC20" s="816">
        <f>FLN!DD20</f>
        <v>0</v>
      </c>
      <c r="ED20" s="816">
        <f>FLN!DE20</f>
        <v>0</v>
      </c>
      <c r="EE20" s="816">
        <f>FLN!DF20</f>
        <v>0</v>
      </c>
      <c r="EF20" s="816">
        <f>FLN!DG20</f>
        <v>0</v>
      </c>
    </row>
    <row r="21" spans="1:136">
      <c r="A21" s="824">
        <v>18</v>
      </c>
      <c r="B21" s="824">
        <f>STUDENT!F19</f>
        <v>14756</v>
      </c>
      <c r="C21" s="824">
        <f>STUDENT!D19</f>
        <v>20240023055</v>
      </c>
      <c r="D21" s="827" t="str">
        <f>STUDENT!E19</f>
        <v>SAURAV KUMAR</v>
      </c>
      <c r="E21" s="827" t="str">
        <f>STUDENT!H19</f>
        <v>HARINDER YADAV</v>
      </c>
      <c r="F21" s="828" t="str">
        <f>FLN!F21</f>
        <v>Alphabets</v>
      </c>
      <c r="G21" s="828" t="str">
        <f>FLN!G21</f>
        <v>Subtraction</v>
      </c>
      <c r="H21" s="828" t="str">
        <f>FLN!H21</f>
        <v>Character</v>
      </c>
      <c r="I21" s="824">
        <f>FLN!I21</f>
        <v>2</v>
      </c>
      <c r="J21" s="824">
        <f>FLN!J21</f>
        <v>2</v>
      </c>
      <c r="K21" s="824">
        <f>FLN!K21</f>
        <v>4</v>
      </c>
      <c r="L21" s="823" t="str">
        <f t="shared" si="24"/>
        <v>181</v>
      </c>
      <c r="M21" s="816">
        <f>FLN!L21</f>
        <v>2</v>
      </c>
      <c r="N21" s="816">
        <f>FLN!M21</f>
        <v>2</v>
      </c>
      <c r="O21" s="816">
        <f>FLN!N21</f>
        <v>4</v>
      </c>
      <c r="P21" s="816">
        <f>FLN!O21</f>
        <v>0</v>
      </c>
      <c r="Q21" s="823" t="str">
        <f t="shared" si="0"/>
        <v>182</v>
      </c>
      <c r="R21" s="816">
        <f>FLN!P21</f>
        <v>2</v>
      </c>
      <c r="S21" s="816">
        <f>FLN!Q21</f>
        <v>2</v>
      </c>
      <c r="T21" s="816">
        <f>FLN!R21</f>
        <v>4</v>
      </c>
      <c r="U21" s="816">
        <f>FLN!S21</f>
        <v>0</v>
      </c>
      <c r="V21" s="823" t="str">
        <f t="shared" si="1"/>
        <v>183</v>
      </c>
      <c r="W21" s="816">
        <f>FLN!T21</f>
        <v>2</v>
      </c>
      <c r="X21" s="816">
        <f>FLN!U21</f>
        <v>2</v>
      </c>
      <c r="Y21" s="816">
        <f>FLN!V21</f>
        <v>4</v>
      </c>
      <c r="Z21" s="816">
        <f>FLN!W21</f>
        <v>0</v>
      </c>
      <c r="AA21" s="823" t="str">
        <f t="shared" si="2"/>
        <v>184</v>
      </c>
      <c r="AB21" s="816">
        <f>FLN!X21</f>
        <v>2</v>
      </c>
      <c r="AC21" s="816">
        <f>FLN!Y21</f>
        <v>2</v>
      </c>
      <c r="AD21" s="816">
        <f>FLN!Z21</f>
        <v>4</v>
      </c>
      <c r="AE21" s="816">
        <f>FLN!AA21</f>
        <v>0</v>
      </c>
      <c r="AF21" s="823" t="str">
        <f t="shared" si="3"/>
        <v>185</v>
      </c>
      <c r="AG21" s="816">
        <f>FLN!AB21</f>
        <v>2</v>
      </c>
      <c r="AH21" s="816">
        <f>FLN!AC21</f>
        <v>2</v>
      </c>
      <c r="AI21" s="816">
        <f>FLN!AD21</f>
        <v>4</v>
      </c>
      <c r="AJ21" s="816">
        <f>FLN!AE21</f>
        <v>0</v>
      </c>
      <c r="AK21" s="823" t="str">
        <f t="shared" si="4"/>
        <v>186</v>
      </c>
      <c r="AL21" s="816">
        <f>FLN!AF21</f>
        <v>3</v>
      </c>
      <c r="AM21" s="816">
        <f>FLN!AG21</f>
        <v>2</v>
      </c>
      <c r="AN21" s="816">
        <f>FLN!AH21</f>
        <v>4</v>
      </c>
      <c r="AO21" s="816">
        <f>FLN!AI21</f>
        <v>0</v>
      </c>
      <c r="AP21" s="823" t="str">
        <f t="shared" si="5"/>
        <v>187</v>
      </c>
      <c r="AQ21" s="816">
        <f>FLN!AJ21</f>
        <v>0</v>
      </c>
      <c r="AR21" s="816">
        <f>FLN!AK21</f>
        <v>0</v>
      </c>
      <c r="AS21" s="816">
        <f>FLN!AL21</f>
        <v>0</v>
      </c>
      <c r="AT21" s="816">
        <f>FLN!AM21</f>
        <v>0</v>
      </c>
      <c r="AU21" s="823" t="str">
        <f t="shared" si="6"/>
        <v>188</v>
      </c>
      <c r="AV21" s="816">
        <f>FLN!AN21</f>
        <v>0</v>
      </c>
      <c r="AW21" s="816">
        <f>FLN!AO21</f>
        <v>0</v>
      </c>
      <c r="AX21" s="816">
        <f>FLN!AP21</f>
        <v>0</v>
      </c>
      <c r="AY21" s="816">
        <f>FLN!AQ21</f>
        <v>0</v>
      </c>
      <c r="AZ21" s="823" t="str">
        <f t="shared" si="7"/>
        <v>189</v>
      </c>
      <c r="BA21" s="816">
        <f>FLN!AR21</f>
        <v>0</v>
      </c>
      <c r="BB21" s="816">
        <f>FLN!AS21</f>
        <v>0</v>
      </c>
      <c r="BC21" s="816">
        <f>FLN!AT21</f>
        <v>0</v>
      </c>
      <c r="BD21" s="816">
        <f>FLN!AU21</f>
        <v>0</v>
      </c>
      <c r="BE21" s="823" t="str">
        <f t="shared" si="8"/>
        <v>1810</v>
      </c>
      <c r="BF21" s="816">
        <f>FLN!AV21</f>
        <v>0</v>
      </c>
      <c r="BG21" s="816">
        <f>FLN!AW21</f>
        <v>0</v>
      </c>
      <c r="BH21" s="816">
        <f>FLN!AX21</f>
        <v>0</v>
      </c>
      <c r="BI21" s="816">
        <f>FLN!AY21</f>
        <v>0</v>
      </c>
      <c r="BJ21" s="823" t="str">
        <f t="shared" si="9"/>
        <v>1811</v>
      </c>
      <c r="BK21" s="816">
        <f>FLN!AZ21</f>
        <v>0</v>
      </c>
      <c r="BL21" s="816">
        <f>FLN!BA21</f>
        <v>0</v>
      </c>
      <c r="BM21" s="816">
        <f>FLN!BB21</f>
        <v>0</v>
      </c>
      <c r="BN21" s="816">
        <f>FLN!BC21</f>
        <v>0</v>
      </c>
      <c r="BO21" s="823" t="str">
        <f t="shared" si="10"/>
        <v>1812</v>
      </c>
      <c r="BP21" s="816">
        <f>FLN!BD21</f>
        <v>0</v>
      </c>
      <c r="BQ21" s="816">
        <f>FLN!BE21</f>
        <v>0</v>
      </c>
      <c r="BR21" s="816">
        <f>FLN!BF21</f>
        <v>0</v>
      </c>
      <c r="BS21" s="816">
        <f>FLN!BG21</f>
        <v>0</v>
      </c>
      <c r="BT21" s="823" t="str">
        <f t="shared" si="11"/>
        <v>1813</v>
      </c>
      <c r="BU21" s="816">
        <f>FLN!BH21</f>
        <v>0</v>
      </c>
      <c r="BV21" s="816">
        <f>FLN!BI21</f>
        <v>0</v>
      </c>
      <c r="BW21" s="816">
        <f>FLN!BJ21</f>
        <v>0</v>
      </c>
      <c r="BX21" s="816">
        <f>FLN!BK21</f>
        <v>0</v>
      </c>
      <c r="BY21" s="823" t="str">
        <f t="shared" si="12"/>
        <v>1814</v>
      </c>
      <c r="BZ21" s="816">
        <f>FLN!BL21</f>
        <v>0</v>
      </c>
      <c r="CA21" s="816">
        <f>FLN!BM21</f>
        <v>0</v>
      </c>
      <c r="CB21" s="816">
        <f>FLN!BN21</f>
        <v>0</v>
      </c>
      <c r="CC21" s="816">
        <f>FLN!BO21</f>
        <v>0</v>
      </c>
      <c r="CD21" s="823" t="str">
        <f t="shared" si="13"/>
        <v>1815</v>
      </c>
      <c r="CE21" s="816">
        <f>FLN!BP21</f>
        <v>0</v>
      </c>
      <c r="CF21" s="816">
        <f>FLN!BQ21</f>
        <v>0</v>
      </c>
      <c r="CG21" s="816">
        <f>FLN!BR21</f>
        <v>0</v>
      </c>
      <c r="CH21" s="816">
        <f>FLN!BS21</f>
        <v>0</v>
      </c>
      <c r="CI21" s="823" t="str">
        <f t="shared" si="14"/>
        <v>1816</v>
      </c>
      <c r="CJ21" s="816">
        <f>FLN!BT21</f>
        <v>0</v>
      </c>
      <c r="CK21" s="816">
        <f>FLN!BU21</f>
        <v>0</v>
      </c>
      <c r="CL21" s="816">
        <f>FLN!BV21</f>
        <v>0</v>
      </c>
      <c r="CM21" s="816">
        <f>FLN!BW21</f>
        <v>0</v>
      </c>
      <c r="CN21" s="823" t="str">
        <f t="shared" si="15"/>
        <v>1817</v>
      </c>
      <c r="CO21" s="816">
        <f>FLN!BX21</f>
        <v>0</v>
      </c>
      <c r="CP21" s="816">
        <f>FLN!BY21</f>
        <v>0</v>
      </c>
      <c r="CQ21" s="816">
        <f>FLN!BZ21</f>
        <v>0</v>
      </c>
      <c r="CR21" s="816">
        <f>FLN!CA21</f>
        <v>0</v>
      </c>
      <c r="CS21" s="823" t="str">
        <f t="shared" si="16"/>
        <v>1818</v>
      </c>
      <c r="CT21" s="816">
        <f>FLN!CB21</f>
        <v>0</v>
      </c>
      <c r="CU21" s="816">
        <f>FLN!CC21</f>
        <v>0</v>
      </c>
      <c r="CV21" s="816">
        <f>FLN!CD21</f>
        <v>0</v>
      </c>
      <c r="CW21" s="816">
        <f>FLN!CE21</f>
        <v>0</v>
      </c>
      <c r="CX21" s="823" t="str">
        <f t="shared" si="17"/>
        <v>1819</v>
      </c>
      <c r="CY21" s="816">
        <f>FLN!CF21</f>
        <v>0</v>
      </c>
      <c r="CZ21" s="816">
        <f>FLN!CG21</f>
        <v>0</v>
      </c>
      <c r="DA21" s="816">
        <f>FLN!CH21</f>
        <v>0</v>
      </c>
      <c r="DB21" s="816">
        <f>FLN!CI21</f>
        <v>0</v>
      </c>
      <c r="DC21" s="823" t="str">
        <f t="shared" si="18"/>
        <v>1820</v>
      </c>
      <c r="DD21" s="816">
        <f>FLN!CJ21</f>
        <v>0</v>
      </c>
      <c r="DE21" s="816">
        <f>FLN!CK21</f>
        <v>0</v>
      </c>
      <c r="DF21" s="816">
        <f>FLN!CL21</f>
        <v>0</v>
      </c>
      <c r="DG21" s="816">
        <f>FLN!CM21</f>
        <v>0</v>
      </c>
      <c r="DH21" s="823" t="str">
        <f t="shared" si="19"/>
        <v>1821</v>
      </c>
      <c r="DI21" s="816">
        <f>FLN!CN21</f>
        <v>0</v>
      </c>
      <c r="DJ21" s="816">
        <f>FLN!CO21</f>
        <v>0</v>
      </c>
      <c r="DK21" s="816">
        <f>FLN!CP21</f>
        <v>0</v>
      </c>
      <c r="DL21" s="816">
        <f>FLN!CQ21</f>
        <v>0</v>
      </c>
      <c r="DM21" s="823" t="str">
        <f t="shared" si="20"/>
        <v>1822</v>
      </c>
      <c r="DN21" s="816">
        <f>FLN!CR21</f>
        <v>0</v>
      </c>
      <c r="DO21" s="816">
        <f>FLN!CS21</f>
        <v>0</v>
      </c>
      <c r="DP21" s="816">
        <f>FLN!CT21</f>
        <v>0</v>
      </c>
      <c r="DQ21" s="816">
        <f>FLN!CU21</f>
        <v>0</v>
      </c>
      <c r="DR21" s="823" t="str">
        <f t="shared" si="21"/>
        <v>1823</v>
      </c>
      <c r="DS21" s="816">
        <f>FLN!CV21</f>
        <v>0</v>
      </c>
      <c r="DT21" s="816">
        <f>FLN!CW21</f>
        <v>0</v>
      </c>
      <c r="DU21" s="816">
        <f>FLN!CX21</f>
        <v>0</v>
      </c>
      <c r="DV21" s="816">
        <f>FLN!CY21</f>
        <v>0</v>
      </c>
      <c r="DW21" s="823" t="str">
        <f t="shared" si="22"/>
        <v>1824</v>
      </c>
      <c r="DX21" s="816">
        <f>FLN!CZ21</f>
        <v>0</v>
      </c>
      <c r="DY21" s="816">
        <f>FLN!DA21</f>
        <v>0</v>
      </c>
      <c r="DZ21" s="816">
        <f>FLN!DB21</f>
        <v>0</v>
      </c>
      <c r="EA21" s="816">
        <f>FLN!DC21</f>
        <v>0</v>
      </c>
      <c r="EB21" s="823" t="str">
        <f t="shared" si="23"/>
        <v>1825</v>
      </c>
      <c r="EC21" s="816">
        <f>FLN!DD21</f>
        <v>0</v>
      </c>
      <c r="ED21" s="816">
        <f>FLN!DE21</f>
        <v>0</v>
      </c>
      <c r="EE21" s="816">
        <f>FLN!DF21</f>
        <v>0</v>
      </c>
      <c r="EF21" s="816">
        <f>FLN!DG21</f>
        <v>0</v>
      </c>
    </row>
    <row r="22" spans="1:136">
      <c r="A22" s="824">
        <v>19</v>
      </c>
      <c r="B22" s="824">
        <f>STUDENT!F20</f>
        <v>14758</v>
      </c>
      <c r="C22" s="824">
        <f>STUDENT!D20</f>
        <v>20240023083</v>
      </c>
      <c r="D22" s="827" t="str">
        <f>STUDENT!E20</f>
        <v>HANAM AYUBI</v>
      </c>
      <c r="E22" s="827" t="str">
        <f>STUDENT!H20</f>
        <v>MD PARWEZ</v>
      </c>
      <c r="F22" s="828" t="str">
        <f>FLN!F22</f>
        <v>Alphabets</v>
      </c>
      <c r="G22" s="828" t="str">
        <f>FLN!G22</f>
        <v>Number Recognition (10-99)</v>
      </c>
      <c r="H22" s="828" t="str">
        <f>FLN!H22</f>
        <v>Character</v>
      </c>
      <c r="I22" s="824">
        <f>FLN!I22</f>
        <v>2</v>
      </c>
      <c r="J22" s="824">
        <f>FLN!J22</f>
        <v>2</v>
      </c>
      <c r="K22" s="824">
        <f>FLN!K22</f>
        <v>3</v>
      </c>
      <c r="L22" s="823" t="str">
        <f t="shared" si="24"/>
        <v>191</v>
      </c>
      <c r="M22" s="816">
        <f>FLN!L22</f>
        <v>2</v>
      </c>
      <c r="N22" s="816">
        <f>FLN!M22</f>
        <v>2</v>
      </c>
      <c r="O22" s="816">
        <f>FLN!N22</f>
        <v>3</v>
      </c>
      <c r="P22" s="816">
        <f>FLN!O22</f>
        <v>0</v>
      </c>
      <c r="Q22" s="823" t="str">
        <f t="shared" si="0"/>
        <v>192</v>
      </c>
      <c r="R22" s="816">
        <f>FLN!P22</f>
        <v>2</v>
      </c>
      <c r="S22" s="816">
        <f>FLN!Q22</f>
        <v>2</v>
      </c>
      <c r="T22" s="816">
        <f>FLN!R22</f>
        <v>3</v>
      </c>
      <c r="U22" s="816">
        <f>FLN!S22</f>
        <v>0</v>
      </c>
      <c r="V22" s="823" t="str">
        <f t="shared" si="1"/>
        <v>193</v>
      </c>
      <c r="W22" s="816">
        <f>FLN!T22</f>
        <v>2</v>
      </c>
      <c r="X22" s="816">
        <f>FLN!U22</f>
        <v>2</v>
      </c>
      <c r="Y22" s="816">
        <f>FLN!V22</f>
        <v>3</v>
      </c>
      <c r="Z22" s="816">
        <f>FLN!W22</f>
        <v>0</v>
      </c>
      <c r="AA22" s="823" t="str">
        <f t="shared" si="2"/>
        <v>194</v>
      </c>
      <c r="AB22" s="816">
        <f>FLN!X22</f>
        <v>2</v>
      </c>
      <c r="AC22" s="816">
        <f>FLN!Y22</f>
        <v>2</v>
      </c>
      <c r="AD22" s="816">
        <f>FLN!Z22</f>
        <v>3</v>
      </c>
      <c r="AE22" s="816">
        <f>FLN!AA22</f>
        <v>0</v>
      </c>
      <c r="AF22" s="823" t="str">
        <f t="shared" si="3"/>
        <v>195</v>
      </c>
      <c r="AG22" s="816">
        <f>FLN!AB22</f>
        <v>2</v>
      </c>
      <c r="AH22" s="816">
        <f>FLN!AC22</f>
        <v>2</v>
      </c>
      <c r="AI22" s="816">
        <f>FLN!AD22</f>
        <v>3</v>
      </c>
      <c r="AJ22" s="816">
        <f>FLN!AE22</f>
        <v>0</v>
      </c>
      <c r="AK22" s="823" t="str">
        <f t="shared" si="4"/>
        <v>196</v>
      </c>
      <c r="AL22" s="816">
        <f>FLN!AF22</f>
        <v>2</v>
      </c>
      <c r="AM22" s="816">
        <f>FLN!AG22</f>
        <v>2</v>
      </c>
      <c r="AN22" s="816">
        <f>FLN!AH22</f>
        <v>3</v>
      </c>
      <c r="AO22" s="816">
        <f>FLN!AI22</f>
        <v>0</v>
      </c>
      <c r="AP22" s="823" t="str">
        <f t="shared" si="5"/>
        <v>197</v>
      </c>
      <c r="AQ22" s="816">
        <f>FLN!AJ22</f>
        <v>0</v>
      </c>
      <c r="AR22" s="816">
        <f>FLN!AK22</f>
        <v>0</v>
      </c>
      <c r="AS22" s="816">
        <f>FLN!AL22</f>
        <v>0</v>
      </c>
      <c r="AT22" s="816">
        <f>FLN!AM22</f>
        <v>0</v>
      </c>
      <c r="AU22" s="823" t="str">
        <f t="shared" si="6"/>
        <v>198</v>
      </c>
      <c r="AV22" s="816">
        <f>FLN!AN22</f>
        <v>0</v>
      </c>
      <c r="AW22" s="816">
        <f>FLN!AO22</f>
        <v>0</v>
      </c>
      <c r="AX22" s="816">
        <f>FLN!AP22</f>
        <v>0</v>
      </c>
      <c r="AY22" s="816">
        <f>FLN!AQ22</f>
        <v>0</v>
      </c>
      <c r="AZ22" s="823" t="str">
        <f t="shared" si="7"/>
        <v>199</v>
      </c>
      <c r="BA22" s="816">
        <f>FLN!AR22</f>
        <v>0</v>
      </c>
      <c r="BB22" s="816">
        <f>FLN!AS22</f>
        <v>0</v>
      </c>
      <c r="BC22" s="816">
        <f>FLN!AT22</f>
        <v>0</v>
      </c>
      <c r="BD22" s="816">
        <f>FLN!AU22</f>
        <v>0</v>
      </c>
      <c r="BE22" s="823" t="str">
        <f t="shared" si="8"/>
        <v>1910</v>
      </c>
      <c r="BF22" s="816">
        <f>FLN!AV22</f>
        <v>0</v>
      </c>
      <c r="BG22" s="816">
        <f>FLN!AW22</f>
        <v>0</v>
      </c>
      <c r="BH22" s="816">
        <f>FLN!AX22</f>
        <v>0</v>
      </c>
      <c r="BI22" s="816">
        <f>FLN!AY22</f>
        <v>0</v>
      </c>
      <c r="BJ22" s="823" t="str">
        <f t="shared" si="9"/>
        <v>1911</v>
      </c>
      <c r="BK22" s="816">
        <f>FLN!AZ22</f>
        <v>0</v>
      </c>
      <c r="BL22" s="816">
        <f>FLN!BA22</f>
        <v>0</v>
      </c>
      <c r="BM22" s="816">
        <f>FLN!BB22</f>
        <v>0</v>
      </c>
      <c r="BN22" s="816">
        <f>FLN!BC22</f>
        <v>0</v>
      </c>
      <c r="BO22" s="823" t="str">
        <f t="shared" si="10"/>
        <v>1912</v>
      </c>
      <c r="BP22" s="816">
        <f>FLN!BD22</f>
        <v>0</v>
      </c>
      <c r="BQ22" s="816">
        <f>FLN!BE22</f>
        <v>0</v>
      </c>
      <c r="BR22" s="816">
        <f>FLN!BF22</f>
        <v>0</v>
      </c>
      <c r="BS22" s="816">
        <f>FLN!BG22</f>
        <v>0</v>
      </c>
      <c r="BT22" s="823" t="str">
        <f t="shared" si="11"/>
        <v>1913</v>
      </c>
      <c r="BU22" s="816">
        <f>FLN!BH22</f>
        <v>0</v>
      </c>
      <c r="BV22" s="816">
        <f>FLN!BI22</f>
        <v>0</v>
      </c>
      <c r="BW22" s="816">
        <f>FLN!BJ22</f>
        <v>0</v>
      </c>
      <c r="BX22" s="816">
        <f>FLN!BK22</f>
        <v>0</v>
      </c>
      <c r="BY22" s="823" t="str">
        <f t="shared" si="12"/>
        <v>1914</v>
      </c>
      <c r="BZ22" s="816">
        <f>FLN!BL22</f>
        <v>0</v>
      </c>
      <c r="CA22" s="816">
        <f>FLN!BM22</f>
        <v>0</v>
      </c>
      <c r="CB22" s="816">
        <f>FLN!BN22</f>
        <v>0</v>
      </c>
      <c r="CC22" s="816">
        <f>FLN!BO22</f>
        <v>0</v>
      </c>
      <c r="CD22" s="823" t="str">
        <f t="shared" si="13"/>
        <v>1915</v>
      </c>
      <c r="CE22" s="816">
        <f>FLN!BP22</f>
        <v>0</v>
      </c>
      <c r="CF22" s="816">
        <f>FLN!BQ22</f>
        <v>0</v>
      </c>
      <c r="CG22" s="816">
        <f>FLN!BR22</f>
        <v>0</v>
      </c>
      <c r="CH22" s="816">
        <f>FLN!BS22</f>
        <v>0</v>
      </c>
      <c r="CI22" s="823" t="str">
        <f t="shared" si="14"/>
        <v>1916</v>
      </c>
      <c r="CJ22" s="816">
        <f>FLN!BT22</f>
        <v>0</v>
      </c>
      <c r="CK22" s="816">
        <f>FLN!BU22</f>
        <v>0</v>
      </c>
      <c r="CL22" s="816">
        <f>FLN!BV22</f>
        <v>0</v>
      </c>
      <c r="CM22" s="816">
        <f>FLN!BW22</f>
        <v>0</v>
      </c>
      <c r="CN22" s="823" t="str">
        <f t="shared" si="15"/>
        <v>1917</v>
      </c>
      <c r="CO22" s="816">
        <f>FLN!BX22</f>
        <v>0</v>
      </c>
      <c r="CP22" s="816">
        <f>FLN!BY22</f>
        <v>0</v>
      </c>
      <c r="CQ22" s="816">
        <f>FLN!BZ22</f>
        <v>0</v>
      </c>
      <c r="CR22" s="816">
        <f>FLN!CA22</f>
        <v>0</v>
      </c>
      <c r="CS22" s="823" t="str">
        <f t="shared" si="16"/>
        <v>1918</v>
      </c>
      <c r="CT22" s="816">
        <f>FLN!CB22</f>
        <v>0</v>
      </c>
      <c r="CU22" s="816">
        <f>FLN!CC22</f>
        <v>0</v>
      </c>
      <c r="CV22" s="816">
        <f>FLN!CD22</f>
        <v>0</v>
      </c>
      <c r="CW22" s="816">
        <f>FLN!CE22</f>
        <v>0</v>
      </c>
      <c r="CX22" s="823" t="str">
        <f t="shared" si="17"/>
        <v>1919</v>
      </c>
      <c r="CY22" s="816">
        <f>FLN!CF22</f>
        <v>0</v>
      </c>
      <c r="CZ22" s="816">
        <f>FLN!CG22</f>
        <v>0</v>
      </c>
      <c r="DA22" s="816">
        <f>FLN!CH22</f>
        <v>0</v>
      </c>
      <c r="DB22" s="816">
        <f>FLN!CI22</f>
        <v>0</v>
      </c>
      <c r="DC22" s="823" t="str">
        <f t="shared" si="18"/>
        <v>1920</v>
      </c>
      <c r="DD22" s="816">
        <f>FLN!CJ22</f>
        <v>0</v>
      </c>
      <c r="DE22" s="816">
        <f>FLN!CK22</f>
        <v>0</v>
      </c>
      <c r="DF22" s="816">
        <f>FLN!CL22</f>
        <v>0</v>
      </c>
      <c r="DG22" s="816">
        <f>FLN!CM22</f>
        <v>0</v>
      </c>
      <c r="DH22" s="823" t="str">
        <f t="shared" si="19"/>
        <v>1921</v>
      </c>
      <c r="DI22" s="816">
        <f>FLN!CN22</f>
        <v>0</v>
      </c>
      <c r="DJ22" s="816">
        <f>FLN!CO22</f>
        <v>0</v>
      </c>
      <c r="DK22" s="816">
        <f>FLN!CP22</f>
        <v>0</v>
      </c>
      <c r="DL22" s="816">
        <f>FLN!CQ22</f>
        <v>0</v>
      </c>
      <c r="DM22" s="823" t="str">
        <f t="shared" si="20"/>
        <v>1922</v>
      </c>
      <c r="DN22" s="816">
        <f>FLN!CR22</f>
        <v>0</v>
      </c>
      <c r="DO22" s="816">
        <f>FLN!CS22</f>
        <v>0</v>
      </c>
      <c r="DP22" s="816">
        <f>FLN!CT22</f>
        <v>0</v>
      </c>
      <c r="DQ22" s="816">
        <f>FLN!CU22</f>
        <v>0</v>
      </c>
      <c r="DR22" s="823" t="str">
        <f t="shared" si="21"/>
        <v>1923</v>
      </c>
      <c r="DS22" s="816">
        <f>FLN!CV22</f>
        <v>0</v>
      </c>
      <c r="DT22" s="816">
        <f>FLN!CW22</f>
        <v>0</v>
      </c>
      <c r="DU22" s="816">
        <f>FLN!CX22</f>
        <v>0</v>
      </c>
      <c r="DV22" s="816">
        <f>FLN!CY22</f>
        <v>0</v>
      </c>
      <c r="DW22" s="823" t="str">
        <f t="shared" si="22"/>
        <v>1924</v>
      </c>
      <c r="DX22" s="816">
        <f>FLN!CZ22</f>
        <v>0</v>
      </c>
      <c r="DY22" s="816">
        <f>FLN!DA22</f>
        <v>0</v>
      </c>
      <c r="DZ22" s="816">
        <f>FLN!DB22</f>
        <v>0</v>
      </c>
      <c r="EA22" s="816">
        <f>FLN!DC22</f>
        <v>0</v>
      </c>
      <c r="EB22" s="823" t="str">
        <f t="shared" si="23"/>
        <v>1925</v>
      </c>
      <c r="EC22" s="816">
        <f>FLN!DD22</f>
        <v>0</v>
      </c>
      <c r="ED22" s="816">
        <f>FLN!DE22</f>
        <v>0</v>
      </c>
      <c r="EE22" s="816">
        <f>FLN!DF22</f>
        <v>0</v>
      </c>
      <c r="EF22" s="816">
        <f>FLN!DG22</f>
        <v>0</v>
      </c>
    </row>
    <row r="23" spans="1:136">
      <c r="A23" s="824">
        <v>20</v>
      </c>
      <c r="B23" s="824">
        <f>STUDENT!F21</f>
        <v>14768</v>
      </c>
      <c r="C23" s="824">
        <f>STUDENT!D21</f>
        <v>20240028340</v>
      </c>
      <c r="D23" s="827" t="str">
        <f>STUDENT!E21</f>
        <v>ANKUR</v>
      </c>
      <c r="E23" s="827" t="str">
        <f>STUDENT!H21</f>
        <v>ASHOK KUMAR GUPTA</v>
      </c>
      <c r="F23" s="828" t="str">
        <f>FLN!F23</f>
        <v>Alphabets</v>
      </c>
      <c r="G23" s="828" t="str">
        <f>FLN!G23</f>
        <v>Number Recognition (10-99)</v>
      </c>
      <c r="H23" s="828" t="str">
        <f>FLN!H23</f>
        <v>Character</v>
      </c>
      <c r="I23" s="824">
        <f>FLN!I23</f>
        <v>2</v>
      </c>
      <c r="J23" s="824">
        <f>FLN!J23</f>
        <v>2</v>
      </c>
      <c r="K23" s="824">
        <f>FLN!K23</f>
        <v>3</v>
      </c>
      <c r="L23" s="823" t="str">
        <f t="shared" si="24"/>
        <v>201</v>
      </c>
      <c r="M23" s="816">
        <f>FLN!L23</f>
        <v>2</v>
      </c>
      <c r="N23" s="816">
        <f>FLN!M23</f>
        <v>2</v>
      </c>
      <c r="O23" s="816">
        <f>FLN!N23</f>
        <v>3</v>
      </c>
      <c r="P23" s="816">
        <f>FLN!O23</f>
        <v>0</v>
      </c>
      <c r="Q23" s="823" t="str">
        <f t="shared" si="0"/>
        <v>202</v>
      </c>
      <c r="R23" s="816">
        <f>FLN!P23</f>
        <v>2</v>
      </c>
      <c r="S23" s="816">
        <f>FLN!Q23</f>
        <v>2</v>
      </c>
      <c r="T23" s="816">
        <f>FLN!R23</f>
        <v>3</v>
      </c>
      <c r="U23" s="816">
        <f>FLN!S23</f>
        <v>0</v>
      </c>
      <c r="V23" s="823" t="str">
        <f t="shared" si="1"/>
        <v>203</v>
      </c>
      <c r="W23" s="816">
        <f>FLN!T23</f>
        <v>2</v>
      </c>
      <c r="X23" s="816">
        <f>FLN!U23</f>
        <v>2</v>
      </c>
      <c r="Y23" s="816">
        <f>FLN!V23</f>
        <v>3</v>
      </c>
      <c r="Z23" s="816">
        <f>FLN!W23</f>
        <v>0</v>
      </c>
      <c r="AA23" s="823" t="str">
        <f t="shared" si="2"/>
        <v>204</v>
      </c>
      <c r="AB23" s="816">
        <f>FLN!X23</f>
        <v>2</v>
      </c>
      <c r="AC23" s="816">
        <f>FLN!Y23</f>
        <v>2</v>
      </c>
      <c r="AD23" s="816">
        <f>FLN!Z23</f>
        <v>3</v>
      </c>
      <c r="AE23" s="816">
        <f>FLN!AA23</f>
        <v>0</v>
      </c>
      <c r="AF23" s="823" t="str">
        <f t="shared" si="3"/>
        <v>205</v>
      </c>
      <c r="AG23" s="816">
        <f>FLN!AB23</f>
        <v>2</v>
      </c>
      <c r="AH23" s="816">
        <f>FLN!AC23</f>
        <v>2</v>
      </c>
      <c r="AI23" s="816">
        <f>FLN!AD23</f>
        <v>3</v>
      </c>
      <c r="AJ23" s="816">
        <f>FLN!AE23</f>
        <v>0</v>
      </c>
      <c r="AK23" s="823" t="str">
        <f t="shared" si="4"/>
        <v>206</v>
      </c>
      <c r="AL23" s="816">
        <f>FLN!AF23</f>
        <v>2</v>
      </c>
      <c r="AM23" s="816">
        <f>FLN!AG23</f>
        <v>2</v>
      </c>
      <c r="AN23" s="816">
        <f>FLN!AH23</f>
        <v>3</v>
      </c>
      <c r="AO23" s="816">
        <f>FLN!AI23</f>
        <v>0</v>
      </c>
      <c r="AP23" s="823" t="str">
        <f t="shared" si="5"/>
        <v>207</v>
      </c>
      <c r="AQ23" s="816">
        <f>FLN!AJ23</f>
        <v>0</v>
      </c>
      <c r="AR23" s="816">
        <f>FLN!AK23</f>
        <v>0</v>
      </c>
      <c r="AS23" s="816">
        <f>FLN!AL23</f>
        <v>0</v>
      </c>
      <c r="AT23" s="816">
        <f>FLN!AM23</f>
        <v>0</v>
      </c>
      <c r="AU23" s="823" t="str">
        <f t="shared" si="6"/>
        <v>208</v>
      </c>
      <c r="AV23" s="816">
        <f>FLN!AN23</f>
        <v>0</v>
      </c>
      <c r="AW23" s="816">
        <f>FLN!AO23</f>
        <v>0</v>
      </c>
      <c r="AX23" s="816">
        <f>FLN!AP23</f>
        <v>0</v>
      </c>
      <c r="AY23" s="816">
        <f>FLN!AQ23</f>
        <v>0</v>
      </c>
      <c r="AZ23" s="823" t="str">
        <f t="shared" si="7"/>
        <v>209</v>
      </c>
      <c r="BA23" s="816">
        <f>FLN!AR23</f>
        <v>0</v>
      </c>
      <c r="BB23" s="816">
        <f>FLN!AS23</f>
        <v>0</v>
      </c>
      <c r="BC23" s="816">
        <f>FLN!AT23</f>
        <v>0</v>
      </c>
      <c r="BD23" s="816">
        <f>FLN!AU23</f>
        <v>0</v>
      </c>
      <c r="BE23" s="823" t="str">
        <f t="shared" si="8"/>
        <v>2010</v>
      </c>
      <c r="BF23" s="816">
        <f>FLN!AV23</f>
        <v>0</v>
      </c>
      <c r="BG23" s="816">
        <f>FLN!AW23</f>
        <v>0</v>
      </c>
      <c r="BH23" s="816">
        <f>FLN!AX23</f>
        <v>0</v>
      </c>
      <c r="BI23" s="816">
        <f>FLN!AY23</f>
        <v>0</v>
      </c>
      <c r="BJ23" s="823" t="str">
        <f t="shared" si="9"/>
        <v>2011</v>
      </c>
      <c r="BK23" s="816">
        <f>FLN!AZ23</f>
        <v>0</v>
      </c>
      <c r="BL23" s="816">
        <f>FLN!BA23</f>
        <v>0</v>
      </c>
      <c r="BM23" s="816">
        <f>FLN!BB23</f>
        <v>0</v>
      </c>
      <c r="BN23" s="816">
        <f>FLN!BC23</f>
        <v>0</v>
      </c>
      <c r="BO23" s="823" t="str">
        <f t="shared" si="10"/>
        <v>2012</v>
      </c>
      <c r="BP23" s="816">
        <f>FLN!BD23</f>
        <v>0</v>
      </c>
      <c r="BQ23" s="816">
        <f>FLN!BE23</f>
        <v>0</v>
      </c>
      <c r="BR23" s="816">
        <f>FLN!BF23</f>
        <v>0</v>
      </c>
      <c r="BS23" s="816">
        <f>FLN!BG23</f>
        <v>0</v>
      </c>
      <c r="BT23" s="823" t="str">
        <f t="shared" si="11"/>
        <v>2013</v>
      </c>
      <c r="BU23" s="816">
        <f>FLN!BH23</f>
        <v>0</v>
      </c>
      <c r="BV23" s="816">
        <f>FLN!BI23</f>
        <v>0</v>
      </c>
      <c r="BW23" s="816">
        <f>FLN!BJ23</f>
        <v>0</v>
      </c>
      <c r="BX23" s="816">
        <f>FLN!BK23</f>
        <v>0</v>
      </c>
      <c r="BY23" s="823" t="str">
        <f t="shared" si="12"/>
        <v>2014</v>
      </c>
      <c r="BZ23" s="816">
        <f>FLN!BL23</f>
        <v>0</v>
      </c>
      <c r="CA23" s="816">
        <f>FLN!BM23</f>
        <v>0</v>
      </c>
      <c r="CB23" s="816">
        <f>FLN!BN23</f>
        <v>0</v>
      </c>
      <c r="CC23" s="816">
        <f>FLN!BO23</f>
        <v>0</v>
      </c>
      <c r="CD23" s="823" t="str">
        <f t="shared" si="13"/>
        <v>2015</v>
      </c>
      <c r="CE23" s="816">
        <f>FLN!BP23</f>
        <v>0</v>
      </c>
      <c r="CF23" s="816">
        <f>FLN!BQ23</f>
        <v>0</v>
      </c>
      <c r="CG23" s="816">
        <f>FLN!BR23</f>
        <v>0</v>
      </c>
      <c r="CH23" s="816">
        <f>FLN!BS23</f>
        <v>0</v>
      </c>
      <c r="CI23" s="823" t="str">
        <f t="shared" si="14"/>
        <v>2016</v>
      </c>
      <c r="CJ23" s="816">
        <f>FLN!BT23</f>
        <v>0</v>
      </c>
      <c r="CK23" s="816">
        <f>FLN!BU23</f>
        <v>0</v>
      </c>
      <c r="CL23" s="816">
        <f>FLN!BV23</f>
        <v>0</v>
      </c>
      <c r="CM23" s="816">
        <f>FLN!BW23</f>
        <v>0</v>
      </c>
      <c r="CN23" s="823" t="str">
        <f t="shared" si="15"/>
        <v>2017</v>
      </c>
      <c r="CO23" s="816">
        <f>FLN!BX23</f>
        <v>0</v>
      </c>
      <c r="CP23" s="816">
        <f>FLN!BY23</f>
        <v>0</v>
      </c>
      <c r="CQ23" s="816">
        <f>FLN!BZ23</f>
        <v>0</v>
      </c>
      <c r="CR23" s="816">
        <f>FLN!CA23</f>
        <v>0</v>
      </c>
      <c r="CS23" s="823" t="str">
        <f t="shared" si="16"/>
        <v>2018</v>
      </c>
      <c r="CT23" s="816">
        <f>FLN!CB23</f>
        <v>0</v>
      </c>
      <c r="CU23" s="816">
        <f>FLN!CC23</f>
        <v>0</v>
      </c>
      <c r="CV23" s="816">
        <f>FLN!CD23</f>
        <v>0</v>
      </c>
      <c r="CW23" s="816">
        <f>FLN!CE23</f>
        <v>0</v>
      </c>
      <c r="CX23" s="823" t="str">
        <f t="shared" si="17"/>
        <v>2019</v>
      </c>
      <c r="CY23" s="816">
        <f>FLN!CF23</f>
        <v>0</v>
      </c>
      <c r="CZ23" s="816">
        <f>FLN!CG23</f>
        <v>0</v>
      </c>
      <c r="DA23" s="816">
        <f>FLN!CH23</f>
        <v>0</v>
      </c>
      <c r="DB23" s="816">
        <f>FLN!CI23</f>
        <v>0</v>
      </c>
      <c r="DC23" s="823" t="str">
        <f t="shared" si="18"/>
        <v>2020</v>
      </c>
      <c r="DD23" s="816">
        <f>FLN!CJ23</f>
        <v>0</v>
      </c>
      <c r="DE23" s="816">
        <f>FLN!CK23</f>
        <v>0</v>
      </c>
      <c r="DF23" s="816">
        <f>FLN!CL23</f>
        <v>0</v>
      </c>
      <c r="DG23" s="816">
        <f>FLN!CM23</f>
        <v>0</v>
      </c>
      <c r="DH23" s="823" t="str">
        <f t="shared" si="19"/>
        <v>2021</v>
      </c>
      <c r="DI23" s="816">
        <f>FLN!CN23</f>
        <v>0</v>
      </c>
      <c r="DJ23" s="816">
        <f>FLN!CO23</f>
        <v>0</v>
      </c>
      <c r="DK23" s="816">
        <f>FLN!CP23</f>
        <v>0</v>
      </c>
      <c r="DL23" s="816">
        <f>FLN!CQ23</f>
        <v>0</v>
      </c>
      <c r="DM23" s="823" t="str">
        <f t="shared" si="20"/>
        <v>2022</v>
      </c>
      <c r="DN23" s="816">
        <f>FLN!CR23</f>
        <v>0</v>
      </c>
      <c r="DO23" s="816">
        <f>FLN!CS23</f>
        <v>0</v>
      </c>
      <c r="DP23" s="816">
        <f>FLN!CT23</f>
        <v>0</v>
      </c>
      <c r="DQ23" s="816">
        <f>FLN!CU23</f>
        <v>0</v>
      </c>
      <c r="DR23" s="823" t="str">
        <f t="shared" si="21"/>
        <v>2023</v>
      </c>
      <c r="DS23" s="816">
        <f>FLN!CV23</f>
        <v>0</v>
      </c>
      <c r="DT23" s="816">
        <f>FLN!CW23</f>
        <v>0</v>
      </c>
      <c r="DU23" s="816">
        <f>FLN!CX23</f>
        <v>0</v>
      </c>
      <c r="DV23" s="816">
        <f>FLN!CY23</f>
        <v>0</v>
      </c>
      <c r="DW23" s="823" t="str">
        <f t="shared" si="22"/>
        <v>2024</v>
      </c>
      <c r="DX23" s="816">
        <f>FLN!CZ23</f>
        <v>0</v>
      </c>
      <c r="DY23" s="816">
        <f>FLN!DA23</f>
        <v>0</v>
      </c>
      <c r="DZ23" s="816">
        <f>FLN!DB23</f>
        <v>0</v>
      </c>
      <c r="EA23" s="816">
        <f>FLN!DC23</f>
        <v>0</v>
      </c>
      <c r="EB23" s="823" t="str">
        <f t="shared" si="23"/>
        <v>2025</v>
      </c>
      <c r="EC23" s="816">
        <f>FLN!DD23</f>
        <v>0</v>
      </c>
      <c r="ED23" s="816">
        <f>FLN!DE23</f>
        <v>0</v>
      </c>
      <c r="EE23" s="816">
        <f>FLN!DF23</f>
        <v>0</v>
      </c>
      <c r="EF23" s="816">
        <f>FLN!DG23</f>
        <v>0</v>
      </c>
    </row>
    <row r="24" spans="1:136">
      <c r="A24" s="824">
        <v>21</v>
      </c>
      <c r="B24" s="824">
        <f>STUDENT!F22</f>
        <v>14792</v>
      </c>
      <c r="C24" s="824">
        <f>STUDENT!D22</f>
        <v>20240074441</v>
      </c>
      <c r="D24" s="827" t="str">
        <f>STUDENT!E22</f>
        <v>SOBHIT PASWAN</v>
      </c>
      <c r="E24" s="827" t="str">
        <f>STUDENT!H22</f>
        <v>SHANKAR PASWAN</v>
      </c>
      <c r="F24" s="828" t="str">
        <f>FLN!F24</f>
        <v>Alphabets</v>
      </c>
      <c r="G24" s="828" t="str">
        <f>FLN!G24</f>
        <v>Number Recognition (10-99)</v>
      </c>
      <c r="H24" s="828" t="str">
        <f>FLN!H24</f>
        <v>Character</v>
      </c>
      <c r="I24" s="824">
        <f>FLN!I24</f>
        <v>2</v>
      </c>
      <c r="J24" s="824">
        <f>FLN!J24</f>
        <v>2</v>
      </c>
      <c r="K24" s="824">
        <f>FLN!K24</f>
        <v>3</v>
      </c>
      <c r="L24" s="823" t="str">
        <f t="shared" si="24"/>
        <v>211</v>
      </c>
      <c r="M24" s="816">
        <f>FLN!L24</f>
        <v>2</v>
      </c>
      <c r="N24" s="816">
        <f>FLN!M24</f>
        <v>2</v>
      </c>
      <c r="O24" s="816">
        <f>FLN!N24</f>
        <v>3</v>
      </c>
      <c r="P24" s="816">
        <f>FLN!O24</f>
        <v>0</v>
      </c>
      <c r="Q24" s="823" t="str">
        <f t="shared" si="0"/>
        <v>212</v>
      </c>
      <c r="R24" s="816">
        <f>FLN!P24</f>
        <v>2</v>
      </c>
      <c r="S24" s="816">
        <f>FLN!Q24</f>
        <v>2</v>
      </c>
      <c r="T24" s="816">
        <f>FLN!R24</f>
        <v>3</v>
      </c>
      <c r="U24" s="816">
        <f>FLN!S24</f>
        <v>0</v>
      </c>
      <c r="V24" s="823" t="str">
        <f t="shared" si="1"/>
        <v>213</v>
      </c>
      <c r="W24" s="816">
        <f>FLN!T24</f>
        <v>2</v>
      </c>
      <c r="X24" s="816">
        <f>FLN!U24</f>
        <v>2</v>
      </c>
      <c r="Y24" s="816">
        <f>FLN!V24</f>
        <v>3</v>
      </c>
      <c r="Z24" s="816">
        <f>FLN!W24</f>
        <v>0</v>
      </c>
      <c r="AA24" s="823" t="str">
        <f t="shared" si="2"/>
        <v>214</v>
      </c>
      <c r="AB24" s="816">
        <f>FLN!X24</f>
        <v>2</v>
      </c>
      <c r="AC24" s="816">
        <f>FLN!Y24</f>
        <v>2</v>
      </c>
      <c r="AD24" s="816">
        <f>FLN!Z24</f>
        <v>3</v>
      </c>
      <c r="AE24" s="816">
        <f>FLN!AA24</f>
        <v>0</v>
      </c>
      <c r="AF24" s="823" t="str">
        <f t="shared" si="3"/>
        <v>215</v>
      </c>
      <c r="AG24" s="816">
        <f>FLN!AB24</f>
        <v>2</v>
      </c>
      <c r="AH24" s="816">
        <f>FLN!AC24</f>
        <v>2</v>
      </c>
      <c r="AI24" s="816">
        <f>FLN!AD24</f>
        <v>3</v>
      </c>
      <c r="AJ24" s="816">
        <f>FLN!AE24</f>
        <v>0</v>
      </c>
      <c r="AK24" s="823" t="str">
        <f t="shared" si="4"/>
        <v>216</v>
      </c>
      <c r="AL24" s="816">
        <f>FLN!AF24</f>
        <v>2</v>
      </c>
      <c r="AM24" s="816">
        <f>FLN!AG24</f>
        <v>2</v>
      </c>
      <c r="AN24" s="816">
        <f>FLN!AH24</f>
        <v>3</v>
      </c>
      <c r="AO24" s="816">
        <f>FLN!AI24</f>
        <v>0</v>
      </c>
      <c r="AP24" s="823" t="str">
        <f t="shared" si="5"/>
        <v>217</v>
      </c>
      <c r="AQ24" s="816">
        <f>FLN!AJ24</f>
        <v>0</v>
      </c>
      <c r="AR24" s="816">
        <f>FLN!AK24</f>
        <v>0</v>
      </c>
      <c r="AS24" s="816">
        <f>FLN!AL24</f>
        <v>0</v>
      </c>
      <c r="AT24" s="816">
        <f>FLN!AM24</f>
        <v>0</v>
      </c>
      <c r="AU24" s="823" t="str">
        <f t="shared" si="6"/>
        <v>218</v>
      </c>
      <c r="AV24" s="816">
        <f>FLN!AN24</f>
        <v>0</v>
      </c>
      <c r="AW24" s="816">
        <f>FLN!AO24</f>
        <v>0</v>
      </c>
      <c r="AX24" s="816">
        <f>FLN!AP24</f>
        <v>0</v>
      </c>
      <c r="AY24" s="816">
        <f>FLN!AQ24</f>
        <v>0</v>
      </c>
      <c r="AZ24" s="823" t="str">
        <f t="shared" si="7"/>
        <v>219</v>
      </c>
      <c r="BA24" s="816">
        <f>FLN!AR24</f>
        <v>0</v>
      </c>
      <c r="BB24" s="816">
        <f>FLN!AS24</f>
        <v>0</v>
      </c>
      <c r="BC24" s="816">
        <f>FLN!AT24</f>
        <v>0</v>
      </c>
      <c r="BD24" s="816">
        <f>FLN!AU24</f>
        <v>0</v>
      </c>
      <c r="BE24" s="823" t="str">
        <f t="shared" si="8"/>
        <v>2110</v>
      </c>
      <c r="BF24" s="816">
        <f>FLN!AV24</f>
        <v>0</v>
      </c>
      <c r="BG24" s="816">
        <f>FLN!AW24</f>
        <v>0</v>
      </c>
      <c r="BH24" s="816">
        <f>FLN!AX24</f>
        <v>0</v>
      </c>
      <c r="BI24" s="816">
        <f>FLN!AY24</f>
        <v>0</v>
      </c>
      <c r="BJ24" s="823" t="str">
        <f t="shared" si="9"/>
        <v>2111</v>
      </c>
      <c r="BK24" s="816">
        <f>FLN!AZ24</f>
        <v>0</v>
      </c>
      <c r="BL24" s="816">
        <f>FLN!BA24</f>
        <v>0</v>
      </c>
      <c r="BM24" s="816">
        <f>FLN!BB24</f>
        <v>0</v>
      </c>
      <c r="BN24" s="816">
        <f>FLN!BC24</f>
        <v>0</v>
      </c>
      <c r="BO24" s="823" t="str">
        <f t="shared" si="10"/>
        <v>2112</v>
      </c>
      <c r="BP24" s="816">
        <f>FLN!BD24</f>
        <v>0</v>
      </c>
      <c r="BQ24" s="816">
        <f>FLN!BE24</f>
        <v>0</v>
      </c>
      <c r="BR24" s="816">
        <f>FLN!BF24</f>
        <v>0</v>
      </c>
      <c r="BS24" s="816">
        <f>FLN!BG24</f>
        <v>0</v>
      </c>
      <c r="BT24" s="823" t="str">
        <f t="shared" si="11"/>
        <v>2113</v>
      </c>
      <c r="BU24" s="816">
        <f>FLN!BH24</f>
        <v>0</v>
      </c>
      <c r="BV24" s="816">
        <f>FLN!BI24</f>
        <v>0</v>
      </c>
      <c r="BW24" s="816">
        <f>FLN!BJ24</f>
        <v>0</v>
      </c>
      <c r="BX24" s="816">
        <f>FLN!BK24</f>
        <v>0</v>
      </c>
      <c r="BY24" s="823" t="str">
        <f t="shared" si="12"/>
        <v>2114</v>
      </c>
      <c r="BZ24" s="816">
        <f>FLN!BL24</f>
        <v>0</v>
      </c>
      <c r="CA24" s="816">
        <f>FLN!BM24</f>
        <v>0</v>
      </c>
      <c r="CB24" s="816">
        <f>FLN!BN24</f>
        <v>0</v>
      </c>
      <c r="CC24" s="816">
        <f>FLN!BO24</f>
        <v>0</v>
      </c>
      <c r="CD24" s="823" t="str">
        <f t="shared" si="13"/>
        <v>2115</v>
      </c>
      <c r="CE24" s="816">
        <f>FLN!BP24</f>
        <v>0</v>
      </c>
      <c r="CF24" s="816">
        <f>FLN!BQ24</f>
        <v>0</v>
      </c>
      <c r="CG24" s="816">
        <f>FLN!BR24</f>
        <v>0</v>
      </c>
      <c r="CH24" s="816">
        <f>FLN!BS24</f>
        <v>0</v>
      </c>
      <c r="CI24" s="823" t="str">
        <f t="shared" si="14"/>
        <v>2116</v>
      </c>
      <c r="CJ24" s="816">
        <f>FLN!BT24</f>
        <v>0</v>
      </c>
      <c r="CK24" s="816">
        <f>FLN!BU24</f>
        <v>0</v>
      </c>
      <c r="CL24" s="816">
        <f>FLN!BV24</f>
        <v>0</v>
      </c>
      <c r="CM24" s="816">
        <f>FLN!BW24</f>
        <v>0</v>
      </c>
      <c r="CN24" s="823" t="str">
        <f t="shared" si="15"/>
        <v>2117</v>
      </c>
      <c r="CO24" s="816">
        <f>FLN!BX24</f>
        <v>0</v>
      </c>
      <c r="CP24" s="816">
        <f>FLN!BY24</f>
        <v>0</v>
      </c>
      <c r="CQ24" s="816">
        <f>FLN!BZ24</f>
        <v>0</v>
      </c>
      <c r="CR24" s="816">
        <f>FLN!CA24</f>
        <v>0</v>
      </c>
      <c r="CS24" s="823" t="str">
        <f t="shared" si="16"/>
        <v>2118</v>
      </c>
      <c r="CT24" s="816">
        <f>FLN!CB24</f>
        <v>0</v>
      </c>
      <c r="CU24" s="816">
        <f>FLN!CC24</f>
        <v>0</v>
      </c>
      <c r="CV24" s="816">
        <f>FLN!CD24</f>
        <v>0</v>
      </c>
      <c r="CW24" s="816">
        <f>FLN!CE24</f>
        <v>0</v>
      </c>
      <c r="CX24" s="823" t="str">
        <f t="shared" si="17"/>
        <v>2119</v>
      </c>
      <c r="CY24" s="816">
        <f>FLN!CF24</f>
        <v>0</v>
      </c>
      <c r="CZ24" s="816">
        <f>FLN!CG24</f>
        <v>0</v>
      </c>
      <c r="DA24" s="816">
        <f>FLN!CH24</f>
        <v>0</v>
      </c>
      <c r="DB24" s="816">
        <f>FLN!CI24</f>
        <v>0</v>
      </c>
      <c r="DC24" s="823" t="str">
        <f t="shared" si="18"/>
        <v>2120</v>
      </c>
      <c r="DD24" s="816">
        <f>FLN!CJ24</f>
        <v>0</v>
      </c>
      <c r="DE24" s="816">
        <f>FLN!CK24</f>
        <v>0</v>
      </c>
      <c r="DF24" s="816">
        <f>FLN!CL24</f>
        <v>0</v>
      </c>
      <c r="DG24" s="816">
        <f>FLN!CM24</f>
        <v>0</v>
      </c>
      <c r="DH24" s="823" t="str">
        <f t="shared" si="19"/>
        <v>2121</v>
      </c>
      <c r="DI24" s="816">
        <f>FLN!CN24</f>
        <v>0</v>
      </c>
      <c r="DJ24" s="816">
        <f>FLN!CO24</f>
        <v>0</v>
      </c>
      <c r="DK24" s="816">
        <f>FLN!CP24</f>
        <v>0</v>
      </c>
      <c r="DL24" s="816">
        <f>FLN!CQ24</f>
        <v>0</v>
      </c>
      <c r="DM24" s="823" t="str">
        <f t="shared" si="20"/>
        <v>2122</v>
      </c>
      <c r="DN24" s="816">
        <f>FLN!CR24</f>
        <v>0</v>
      </c>
      <c r="DO24" s="816">
        <f>FLN!CS24</f>
        <v>0</v>
      </c>
      <c r="DP24" s="816">
        <f>FLN!CT24</f>
        <v>0</v>
      </c>
      <c r="DQ24" s="816">
        <f>FLN!CU24</f>
        <v>0</v>
      </c>
      <c r="DR24" s="823" t="str">
        <f t="shared" si="21"/>
        <v>2123</v>
      </c>
      <c r="DS24" s="816">
        <f>FLN!CV24</f>
        <v>0</v>
      </c>
      <c r="DT24" s="816">
        <f>FLN!CW24</f>
        <v>0</v>
      </c>
      <c r="DU24" s="816">
        <f>FLN!CX24</f>
        <v>0</v>
      </c>
      <c r="DV24" s="816">
        <f>FLN!CY24</f>
        <v>0</v>
      </c>
      <c r="DW24" s="823" t="str">
        <f t="shared" si="22"/>
        <v>2124</v>
      </c>
      <c r="DX24" s="816">
        <f>FLN!CZ24</f>
        <v>0</v>
      </c>
      <c r="DY24" s="816">
        <f>FLN!DA24</f>
        <v>0</v>
      </c>
      <c r="DZ24" s="816">
        <f>FLN!DB24</f>
        <v>0</v>
      </c>
      <c r="EA24" s="816">
        <f>FLN!DC24</f>
        <v>0</v>
      </c>
      <c r="EB24" s="823" t="str">
        <f t="shared" si="23"/>
        <v>2125</v>
      </c>
      <c r="EC24" s="816">
        <f>FLN!DD24</f>
        <v>0</v>
      </c>
      <c r="ED24" s="816">
        <f>FLN!DE24</f>
        <v>0</v>
      </c>
      <c r="EE24" s="816">
        <f>FLN!DF24</f>
        <v>0</v>
      </c>
      <c r="EF24" s="816">
        <f>FLN!DG24</f>
        <v>0</v>
      </c>
    </row>
    <row r="25" spans="1:136">
      <c r="A25" s="824">
        <v>22</v>
      </c>
      <c r="B25" s="824">
        <f>STUDENT!F23</f>
        <v>14804</v>
      </c>
      <c r="C25" s="824">
        <f>STUDENT!D23</f>
        <v>20240100859</v>
      </c>
      <c r="D25" s="827" t="str">
        <f>STUDENT!E23</f>
        <v>ABHISHEK MUKHIYA</v>
      </c>
      <c r="E25" s="827" t="str">
        <f>STUDENT!H23</f>
        <v>ARJUN MUKHIYA</v>
      </c>
      <c r="F25" s="828" t="str">
        <f>FLN!F25</f>
        <v>Alphabets</v>
      </c>
      <c r="G25" s="828" t="str">
        <f>FLN!G25</f>
        <v>Number Recognition (10-99)</v>
      </c>
      <c r="H25" s="828" t="str">
        <f>FLN!H25</f>
        <v>Character</v>
      </c>
      <c r="I25" s="824">
        <f>FLN!I25</f>
        <v>2</v>
      </c>
      <c r="J25" s="824">
        <f>FLN!J25</f>
        <v>2</v>
      </c>
      <c r="K25" s="824">
        <f>FLN!K25</f>
        <v>3</v>
      </c>
      <c r="L25" s="823" t="str">
        <f t="shared" si="24"/>
        <v>221</v>
      </c>
      <c r="M25" s="816">
        <f>FLN!L25</f>
        <v>2</v>
      </c>
      <c r="N25" s="816">
        <f>FLN!M25</f>
        <v>2</v>
      </c>
      <c r="O25" s="816">
        <f>FLN!N25</f>
        <v>3</v>
      </c>
      <c r="P25" s="816">
        <f>FLN!O25</f>
        <v>0</v>
      </c>
      <c r="Q25" s="823" t="str">
        <f t="shared" si="0"/>
        <v>222</v>
      </c>
      <c r="R25" s="816">
        <f>FLN!P25</f>
        <v>2</v>
      </c>
      <c r="S25" s="816">
        <f>FLN!Q25</f>
        <v>2</v>
      </c>
      <c r="T25" s="816">
        <f>FLN!R25</f>
        <v>3</v>
      </c>
      <c r="U25" s="816">
        <f>FLN!S25</f>
        <v>0</v>
      </c>
      <c r="V25" s="823" t="str">
        <f t="shared" si="1"/>
        <v>223</v>
      </c>
      <c r="W25" s="816">
        <f>FLN!T25</f>
        <v>2</v>
      </c>
      <c r="X25" s="816">
        <f>FLN!U25</f>
        <v>2</v>
      </c>
      <c r="Y25" s="816">
        <f>FLN!V25</f>
        <v>3</v>
      </c>
      <c r="Z25" s="816">
        <f>FLN!W25</f>
        <v>0</v>
      </c>
      <c r="AA25" s="823" t="str">
        <f t="shared" si="2"/>
        <v>224</v>
      </c>
      <c r="AB25" s="816">
        <f>FLN!X25</f>
        <v>2</v>
      </c>
      <c r="AC25" s="816">
        <f>FLN!Y25</f>
        <v>2</v>
      </c>
      <c r="AD25" s="816">
        <f>FLN!Z25</f>
        <v>3</v>
      </c>
      <c r="AE25" s="816">
        <f>FLN!AA25</f>
        <v>0</v>
      </c>
      <c r="AF25" s="823" t="str">
        <f t="shared" si="3"/>
        <v>225</v>
      </c>
      <c r="AG25" s="816">
        <f>FLN!AB25</f>
        <v>2</v>
      </c>
      <c r="AH25" s="816">
        <f>FLN!AC25</f>
        <v>2</v>
      </c>
      <c r="AI25" s="816">
        <f>FLN!AD25</f>
        <v>3</v>
      </c>
      <c r="AJ25" s="816">
        <f>FLN!AE25</f>
        <v>0</v>
      </c>
      <c r="AK25" s="823" t="str">
        <f t="shared" si="4"/>
        <v>226</v>
      </c>
      <c r="AL25" s="816">
        <f>FLN!AF25</f>
        <v>4</v>
      </c>
      <c r="AM25" s="816">
        <f>FLN!AG25</f>
        <v>4</v>
      </c>
      <c r="AN25" s="816">
        <f>FLN!AH25</f>
        <v>4</v>
      </c>
      <c r="AO25" s="816">
        <f>FLN!AI25</f>
        <v>0</v>
      </c>
      <c r="AP25" s="823" t="str">
        <f t="shared" si="5"/>
        <v>227</v>
      </c>
      <c r="AQ25" s="816">
        <f>FLN!AJ25</f>
        <v>0</v>
      </c>
      <c r="AR25" s="816">
        <f>FLN!AK25</f>
        <v>0</v>
      </c>
      <c r="AS25" s="816">
        <f>FLN!AL25</f>
        <v>0</v>
      </c>
      <c r="AT25" s="816">
        <f>FLN!AM25</f>
        <v>0</v>
      </c>
      <c r="AU25" s="823" t="str">
        <f t="shared" si="6"/>
        <v>228</v>
      </c>
      <c r="AV25" s="816">
        <f>FLN!AN25</f>
        <v>0</v>
      </c>
      <c r="AW25" s="816">
        <f>FLN!AO25</f>
        <v>0</v>
      </c>
      <c r="AX25" s="816">
        <f>FLN!AP25</f>
        <v>0</v>
      </c>
      <c r="AY25" s="816">
        <f>FLN!AQ25</f>
        <v>0</v>
      </c>
      <c r="AZ25" s="823" t="str">
        <f t="shared" si="7"/>
        <v>229</v>
      </c>
      <c r="BA25" s="816">
        <f>FLN!AR25</f>
        <v>0</v>
      </c>
      <c r="BB25" s="816">
        <f>FLN!AS25</f>
        <v>0</v>
      </c>
      <c r="BC25" s="816">
        <f>FLN!AT25</f>
        <v>0</v>
      </c>
      <c r="BD25" s="816">
        <f>FLN!AU25</f>
        <v>0</v>
      </c>
      <c r="BE25" s="823" t="str">
        <f t="shared" si="8"/>
        <v>2210</v>
      </c>
      <c r="BF25" s="816">
        <f>FLN!AV25</f>
        <v>0</v>
      </c>
      <c r="BG25" s="816">
        <f>FLN!AW25</f>
        <v>0</v>
      </c>
      <c r="BH25" s="816">
        <f>FLN!AX25</f>
        <v>0</v>
      </c>
      <c r="BI25" s="816">
        <f>FLN!AY25</f>
        <v>0</v>
      </c>
      <c r="BJ25" s="823" t="str">
        <f t="shared" si="9"/>
        <v>2211</v>
      </c>
      <c r="BK25" s="816">
        <f>FLN!AZ25</f>
        <v>0</v>
      </c>
      <c r="BL25" s="816">
        <f>FLN!BA25</f>
        <v>0</v>
      </c>
      <c r="BM25" s="816">
        <f>FLN!BB25</f>
        <v>0</v>
      </c>
      <c r="BN25" s="816">
        <f>FLN!BC25</f>
        <v>0</v>
      </c>
      <c r="BO25" s="823" t="str">
        <f t="shared" si="10"/>
        <v>2212</v>
      </c>
      <c r="BP25" s="816">
        <f>FLN!BD25</f>
        <v>0</v>
      </c>
      <c r="BQ25" s="816">
        <f>FLN!BE25</f>
        <v>0</v>
      </c>
      <c r="BR25" s="816">
        <f>FLN!BF25</f>
        <v>0</v>
      </c>
      <c r="BS25" s="816">
        <f>FLN!BG25</f>
        <v>0</v>
      </c>
      <c r="BT25" s="823" t="str">
        <f t="shared" si="11"/>
        <v>2213</v>
      </c>
      <c r="BU25" s="816">
        <f>FLN!BH25</f>
        <v>0</v>
      </c>
      <c r="BV25" s="816">
        <f>FLN!BI25</f>
        <v>0</v>
      </c>
      <c r="BW25" s="816">
        <f>FLN!BJ25</f>
        <v>0</v>
      </c>
      <c r="BX25" s="816">
        <f>FLN!BK25</f>
        <v>0</v>
      </c>
      <c r="BY25" s="823" t="str">
        <f t="shared" si="12"/>
        <v>2214</v>
      </c>
      <c r="BZ25" s="816">
        <f>FLN!BL25</f>
        <v>0</v>
      </c>
      <c r="CA25" s="816">
        <f>FLN!BM25</f>
        <v>0</v>
      </c>
      <c r="CB25" s="816">
        <f>FLN!BN25</f>
        <v>0</v>
      </c>
      <c r="CC25" s="816">
        <f>FLN!BO25</f>
        <v>0</v>
      </c>
      <c r="CD25" s="823" t="str">
        <f t="shared" si="13"/>
        <v>2215</v>
      </c>
      <c r="CE25" s="816">
        <f>FLN!BP25</f>
        <v>0</v>
      </c>
      <c r="CF25" s="816">
        <f>FLN!BQ25</f>
        <v>0</v>
      </c>
      <c r="CG25" s="816">
        <f>FLN!BR25</f>
        <v>0</v>
      </c>
      <c r="CH25" s="816">
        <f>FLN!BS25</f>
        <v>0</v>
      </c>
      <c r="CI25" s="823" t="str">
        <f t="shared" si="14"/>
        <v>2216</v>
      </c>
      <c r="CJ25" s="816">
        <f>FLN!BT25</f>
        <v>0</v>
      </c>
      <c r="CK25" s="816">
        <f>FLN!BU25</f>
        <v>0</v>
      </c>
      <c r="CL25" s="816">
        <f>FLN!BV25</f>
        <v>0</v>
      </c>
      <c r="CM25" s="816">
        <f>FLN!BW25</f>
        <v>0</v>
      </c>
      <c r="CN25" s="823" t="str">
        <f t="shared" si="15"/>
        <v>2217</v>
      </c>
      <c r="CO25" s="816">
        <f>FLN!BX25</f>
        <v>0</v>
      </c>
      <c r="CP25" s="816">
        <f>FLN!BY25</f>
        <v>0</v>
      </c>
      <c r="CQ25" s="816">
        <f>FLN!BZ25</f>
        <v>0</v>
      </c>
      <c r="CR25" s="816">
        <f>FLN!CA25</f>
        <v>0</v>
      </c>
      <c r="CS25" s="823" t="str">
        <f t="shared" si="16"/>
        <v>2218</v>
      </c>
      <c r="CT25" s="816">
        <f>FLN!CB25</f>
        <v>0</v>
      </c>
      <c r="CU25" s="816">
        <f>FLN!CC25</f>
        <v>0</v>
      </c>
      <c r="CV25" s="816">
        <f>FLN!CD25</f>
        <v>0</v>
      </c>
      <c r="CW25" s="816">
        <f>FLN!CE25</f>
        <v>0</v>
      </c>
      <c r="CX25" s="823" t="str">
        <f t="shared" si="17"/>
        <v>2219</v>
      </c>
      <c r="CY25" s="816">
        <f>FLN!CF25</f>
        <v>0</v>
      </c>
      <c r="CZ25" s="816">
        <f>FLN!CG25</f>
        <v>0</v>
      </c>
      <c r="DA25" s="816">
        <f>FLN!CH25</f>
        <v>0</v>
      </c>
      <c r="DB25" s="816">
        <f>FLN!CI25</f>
        <v>0</v>
      </c>
      <c r="DC25" s="823" t="str">
        <f t="shared" si="18"/>
        <v>2220</v>
      </c>
      <c r="DD25" s="816">
        <f>FLN!CJ25</f>
        <v>0</v>
      </c>
      <c r="DE25" s="816">
        <f>FLN!CK25</f>
        <v>0</v>
      </c>
      <c r="DF25" s="816">
        <f>FLN!CL25</f>
        <v>0</v>
      </c>
      <c r="DG25" s="816">
        <f>FLN!CM25</f>
        <v>0</v>
      </c>
      <c r="DH25" s="823" t="str">
        <f t="shared" si="19"/>
        <v>2221</v>
      </c>
      <c r="DI25" s="816">
        <f>FLN!CN25</f>
        <v>0</v>
      </c>
      <c r="DJ25" s="816">
        <f>FLN!CO25</f>
        <v>0</v>
      </c>
      <c r="DK25" s="816">
        <f>FLN!CP25</f>
        <v>0</v>
      </c>
      <c r="DL25" s="816">
        <f>FLN!CQ25</f>
        <v>0</v>
      </c>
      <c r="DM25" s="823" t="str">
        <f t="shared" si="20"/>
        <v>2222</v>
      </c>
      <c r="DN25" s="816">
        <f>FLN!CR25</f>
        <v>0</v>
      </c>
      <c r="DO25" s="816">
        <f>FLN!CS25</f>
        <v>0</v>
      </c>
      <c r="DP25" s="816">
        <f>FLN!CT25</f>
        <v>0</v>
      </c>
      <c r="DQ25" s="816">
        <f>FLN!CU25</f>
        <v>0</v>
      </c>
      <c r="DR25" s="823" t="str">
        <f t="shared" si="21"/>
        <v>2223</v>
      </c>
      <c r="DS25" s="816">
        <f>FLN!CV25</f>
        <v>0</v>
      </c>
      <c r="DT25" s="816">
        <f>FLN!CW25</f>
        <v>0</v>
      </c>
      <c r="DU25" s="816">
        <f>FLN!CX25</f>
        <v>0</v>
      </c>
      <c r="DV25" s="816">
        <f>FLN!CY25</f>
        <v>0</v>
      </c>
      <c r="DW25" s="823" t="str">
        <f t="shared" si="22"/>
        <v>2224</v>
      </c>
      <c r="DX25" s="816">
        <f>FLN!CZ25</f>
        <v>0</v>
      </c>
      <c r="DY25" s="816">
        <f>FLN!DA25</f>
        <v>0</v>
      </c>
      <c r="DZ25" s="816">
        <f>FLN!DB25</f>
        <v>0</v>
      </c>
      <c r="EA25" s="816">
        <f>FLN!DC25</f>
        <v>0</v>
      </c>
      <c r="EB25" s="823" t="str">
        <f t="shared" si="23"/>
        <v>2225</v>
      </c>
      <c r="EC25" s="816">
        <f>FLN!DD25</f>
        <v>0</v>
      </c>
      <c r="ED25" s="816">
        <f>FLN!DE25</f>
        <v>0</v>
      </c>
      <c r="EE25" s="816">
        <f>FLN!DF25</f>
        <v>0</v>
      </c>
      <c r="EF25" s="816">
        <f>FLN!DG25</f>
        <v>0</v>
      </c>
    </row>
    <row r="26" spans="1:136">
      <c r="A26" s="824">
        <v>23</v>
      </c>
      <c r="B26" s="824">
        <f>STUDENT!F24</f>
        <v>14805</v>
      </c>
      <c r="C26" s="824">
        <f>STUDENT!D24</f>
        <v>20240100885</v>
      </c>
      <c r="D26" s="827" t="str">
        <f>STUDENT!E24</f>
        <v>NITIN</v>
      </c>
      <c r="E26" s="827" t="str">
        <f>STUDENT!H24</f>
        <v>AJAY</v>
      </c>
      <c r="F26" s="828" t="str">
        <f>FLN!F26</f>
        <v>Paragraph</v>
      </c>
      <c r="G26" s="828" t="str">
        <f>FLN!G26</f>
        <v>Subtraction</v>
      </c>
      <c r="H26" s="828" t="str">
        <f>FLN!H26</f>
        <v>Words</v>
      </c>
      <c r="I26" s="824">
        <f>FLN!I26</f>
        <v>4</v>
      </c>
      <c r="J26" s="824">
        <f>FLN!J26</f>
        <v>3</v>
      </c>
      <c r="K26" s="824">
        <f>FLN!K26</f>
        <v>4</v>
      </c>
      <c r="L26" s="823" t="str">
        <f t="shared" si="24"/>
        <v>231</v>
      </c>
      <c r="M26" s="816">
        <f>FLN!L26</f>
        <v>4</v>
      </c>
      <c r="N26" s="816">
        <f>FLN!M26</f>
        <v>3</v>
      </c>
      <c r="O26" s="816">
        <f>FLN!N26</f>
        <v>4</v>
      </c>
      <c r="P26" s="816">
        <f>FLN!O26</f>
        <v>0</v>
      </c>
      <c r="Q26" s="823" t="str">
        <f t="shared" si="0"/>
        <v>232</v>
      </c>
      <c r="R26" s="816">
        <f>FLN!P26</f>
        <v>4</v>
      </c>
      <c r="S26" s="816">
        <f>FLN!Q26</f>
        <v>3</v>
      </c>
      <c r="T26" s="816">
        <f>FLN!R26</f>
        <v>4</v>
      </c>
      <c r="U26" s="816">
        <f>FLN!S26</f>
        <v>0</v>
      </c>
      <c r="V26" s="823" t="str">
        <f t="shared" si="1"/>
        <v>233</v>
      </c>
      <c r="W26" s="816">
        <f>FLN!T26</f>
        <v>4</v>
      </c>
      <c r="X26" s="816">
        <f>FLN!U26</f>
        <v>3</v>
      </c>
      <c r="Y26" s="816">
        <f>FLN!V26</f>
        <v>4</v>
      </c>
      <c r="Z26" s="816">
        <f>FLN!W26</f>
        <v>0</v>
      </c>
      <c r="AA26" s="823" t="str">
        <f t="shared" si="2"/>
        <v>234</v>
      </c>
      <c r="AB26" s="816">
        <f>FLN!X26</f>
        <v>4</v>
      </c>
      <c r="AC26" s="816">
        <f>FLN!Y26</f>
        <v>3</v>
      </c>
      <c r="AD26" s="816">
        <f>FLN!Z26</f>
        <v>4</v>
      </c>
      <c r="AE26" s="816">
        <f>FLN!AA26</f>
        <v>0</v>
      </c>
      <c r="AF26" s="823" t="str">
        <f t="shared" si="3"/>
        <v>235</v>
      </c>
      <c r="AG26" s="816">
        <f>FLN!AB26</f>
        <v>4</v>
      </c>
      <c r="AH26" s="816">
        <f>FLN!AC26</f>
        <v>3</v>
      </c>
      <c r="AI26" s="816">
        <f>FLN!AD26</f>
        <v>4</v>
      </c>
      <c r="AJ26" s="816">
        <f>FLN!AE26</f>
        <v>0</v>
      </c>
      <c r="AK26" s="823" t="str">
        <f t="shared" si="4"/>
        <v>236</v>
      </c>
      <c r="AL26" s="816">
        <f>FLN!AF26</f>
        <v>4</v>
      </c>
      <c r="AM26" s="816">
        <f>FLN!AG26</f>
        <v>3</v>
      </c>
      <c r="AN26" s="816">
        <f>FLN!AH26</f>
        <v>4</v>
      </c>
      <c r="AO26" s="816">
        <f>FLN!AI26</f>
        <v>0</v>
      </c>
      <c r="AP26" s="823" t="str">
        <f t="shared" si="5"/>
        <v>237</v>
      </c>
      <c r="AQ26" s="816">
        <f>FLN!AJ26</f>
        <v>0</v>
      </c>
      <c r="AR26" s="816">
        <f>FLN!AK26</f>
        <v>0</v>
      </c>
      <c r="AS26" s="816">
        <f>FLN!AL26</f>
        <v>0</v>
      </c>
      <c r="AT26" s="816">
        <f>FLN!AM26</f>
        <v>0</v>
      </c>
      <c r="AU26" s="823" t="str">
        <f t="shared" si="6"/>
        <v>238</v>
      </c>
      <c r="AV26" s="816">
        <f>FLN!AN26</f>
        <v>0</v>
      </c>
      <c r="AW26" s="816">
        <f>FLN!AO26</f>
        <v>0</v>
      </c>
      <c r="AX26" s="816">
        <f>FLN!AP26</f>
        <v>0</v>
      </c>
      <c r="AY26" s="816">
        <f>FLN!AQ26</f>
        <v>0</v>
      </c>
      <c r="AZ26" s="823" t="str">
        <f t="shared" si="7"/>
        <v>239</v>
      </c>
      <c r="BA26" s="816">
        <f>FLN!AR26</f>
        <v>0</v>
      </c>
      <c r="BB26" s="816">
        <f>FLN!AS26</f>
        <v>0</v>
      </c>
      <c r="BC26" s="816">
        <f>FLN!AT26</f>
        <v>0</v>
      </c>
      <c r="BD26" s="816">
        <f>FLN!AU26</f>
        <v>0</v>
      </c>
      <c r="BE26" s="823" t="str">
        <f t="shared" si="8"/>
        <v>2310</v>
      </c>
      <c r="BF26" s="816">
        <f>FLN!AV26</f>
        <v>0</v>
      </c>
      <c r="BG26" s="816">
        <f>FLN!AW26</f>
        <v>0</v>
      </c>
      <c r="BH26" s="816">
        <f>FLN!AX26</f>
        <v>0</v>
      </c>
      <c r="BI26" s="816">
        <f>FLN!AY26</f>
        <v>0</v>
      </c>
      <c r="BJ26" s="823" t="str">
        <f t="shared" si="9"/>
        <v>2311</v>
      </c>
      <c r="BK26" s="816">
        <f>FLN!AZ26</f>
        <v>0</v>
      </c>
      <c r="BL26" s="816">
        <f>FLN!BA26</f>
        <v>0</v>
      </c>
      <c r="BM26" s="816">
        <f>FLN!BB26</f>
        <v>0</v>
      </c>
      <c r="BN26" s="816">
        <f>FLN!BC26</f>
        <v>0</v>
      </c>
      <c r="BO26" s="823" t="str">
        <f t="shared" si="10"/>
        <v>2312</v>
      </c>
      <c r="BP26" s="816">
        <f>FLN!BD26</f>
        <v>0</v>
      </c>
      <c r="BQ26" s="816">
        <f>FLN!BE26</f>
        <v>0</v>
      </c>
      <c r="BR26" s="816">
        <f>FLN!BF26</f>
        <v>0</v>
      </c>
      <c r="BS26" s="816">
        <f>FLN!BG26</f>
        <v>0</v>
      </c>
      <c r="BT26" s="823" t="str">
        <f t="shared" si="11"/>
        <v>2313</v>
      </c>
      <c r="BU26" s="816">
        <f>FLN!BH26</f>
        <v>0</v>
      </c>
      <c r="BV26" s="816">
        <f>FLN!BI26</f>
        <v>0</v>
      </c>
      <c r="BW26" s="816">
        <f>FLN!BJ26</f>
        <v>0</v>
      </c>
      <c r="BX26" s="816">
        <f>FLN!BK26</f>
        <v>0</v>
      </c>
      <c r="BY26" s="823" t="str">
        <f t="shared" si="12"/>
        <v>2314</v>
      </c>
      <c r="BZ26" s="816">
        <f>FLN!BL26</f>
        <v>0</v>
      </c>
      <c r="CA26" s="816">
        <f>FLN!BM26</f>
        <v>0</v>
      </c>
      <c r="CB26" s="816">
        <f>FLN!BN26</f>
        <v>0</v>
      </c>
      <c r="CC26" s="816">
        <f>FLN!BO26</f>
        <v>0</v>
      </c>
      <c r="CD26" s="823" t="str">
        <f t="shared" si="13"/>
        <v>2315</v>
      </c>
      <c r="CE26" s="816">
        <f>FLN!BP26</f>
        <v>0</v>
      </c>
      <c r="CF26" s="816">
        <f>FLN!BQ26</f>
        <v>0</v>
      </c>
      <c r="CG26" s="816">
        <f>FLN!BR26</f>
        <v>0</v>
      </c>
      <c r="CH26" s="816">
        <f>FLN!BS26</f>
        <v>0</v>
      </c>
      <c r="CI26" s="823" t="str">
        <f t="shared" si="14"/>
        <v>2316</v>
      </c>
      <c r="CJ26" s="816">
        <f>FLN!BT26</f>
        <v>0</v>
      </c>
      <c r="CK26" s="816">
        <f>FLN!BU26</f>
        <v>0</v>
      </c>
      <c r="CL26" s="816">
        <f>FLN!BV26</f>
        <v>0</v>
      </c>
      <c r="CM26" s="816">
        <f>FLN!BW26</f>
        <v>0</v>
      </c>
      <c r="CN26" s="823" t="str">
        <f t="shared" si="15"/>
        <v>2317</v>
      </c>
      <c r="CO26" s="816">
        <f>FLN!BX26</f>
        <v>0</v>
      </c>
      <c r="CP26" s="816">
        <f>FLN!BY26</f>
        <v>0</v>
      </c>
      <c r="CQ26" s="816">
        <f>FLN!BZ26</f>
        <v>0</v>
      </c>
      <c r="CR26" s="816">
        <f>FLN!CA26</f>
        <v>0</v>
      </c>
      <c r="CS26" s="823" t="str">
        <f t="shared" si="16"/>
        <v>2318</v>
      </c>
      <c r="CT26" s="816">
        <f>FLN!CB26</f>
        <v>0</v>
      </c>
      <c r="CU26" s="816">
        <f>FLN!CC26</f>
        <v>0</v>
      </c>
      <c r="CV26" s="816">
        <f>FLN!CD26</f>
        <v>0</v>
      </c>
      <c r="CW26" s="816">
        <f>FLN!CE26</f>
        <v>0</v>
      </c>
      <c r="CX26" s="823" t="str">
        <f t="shared" si="17"/>
        <v>2319</v>
      </c>
      <c r="CY26" s="816">
        <f>FLN!CF26</f>
        <v>0</v>
      </c>
      <c r="CZ26" s="816">
        <f>FLN!CG26</f>
        <v>0</v>
      </c>
      <c r="DA26" s="816">
        <f>FLN!CH26</f>
        <v>0</v>
      </c>
      <c r="DB26" s="816">
        <f>FLN!CI26</f>
        <v>0</v>
      </c>
      <c r="DC26" s="823" t="str">
        <f t="shared" si="18"/>
        <v>2320</v>
      </c>
      <c r="DD26" s="816">
        <f>FLN!CJ26</f>
        <v>0</v>
      </c>
      <c r="DE26" s="816">
        <f>FLN!CK26</f>
        <v>0</v>
      </c>
      <c r="DF26" s="816">
        <f>FLN!CL26</f>
        <v>0</v>
      </c>
      <c r="DG26" s="816">
        <f>FLN!CM26</f>
        <v>0</v>
      </c>
      <c r="DH26" s="823" t="str">
        <f t="shared" si="19"/>
        <v>2321</v>
      </c>
      <c r="DI26" s="816">
        <f>FLN!CN26</f>
        <v>0</v>
      </c>
      <c r="DJ26" s="816">
        <f>FLN!CO26</f>
        <v>0</v>
      </c>
      <c r="DK26" s="816">
        <f>FLN!CP26</f>
        <v>0</v>
      </c>
      <c r="DL26" s="816">
        <f>FLN!CQ26</f>
        <v>0</v>
      </c>
      <c r="DM26" s="823" t="str">
        <f t="shared" si="20"/>
        <v>2322</v>
      </c>
      <c r="DN26" s="816">
        <f>FLN!CR26</f>
        <v>0</v>
      </c>
      <c r="DO26" s="816">
        <f>FLN!CS26</f>
        <v>0</v>
      </c>
      <c r="DP26" s="816">
        <f>FLN!CT26</f>
        <v>0</v>
      </c>
      <c r="DQ26" s="816">
        <f>FLN!CU26</f>
        <v>0</v>
      </c>
      <c r="DR26" s="823" t="str">
        <f t="shared" si="21"/>
        <v>2323</v>
      </c>
      <c r="DS26" s="816">
        <f>FLN!CV26</f>
        <v>0</v>
      </c>
      <c r="DT26" s="816">
        <f>FLN!CW26</f>
        <v>0</v>
      </c>
      <c r="DU26" s="816">
        <f>FLN!CX26</f>
        <v>0</v>
      </c>
      <c r="DV26" s="816">
        <f>FLN!CY26</f>
        <v>0</v>
      </c>
      <c r="DW26" s="823" t="str">
        <f t="shared" si="22"/>
        <v>2324</v>
      </c>
      <c r="DX26" s="816">
        <f>FLN!CZ26</f>
        <v>0</v>
      </c>
      <c r="DY26" s="816">
        <f>FLN!DA26</f>
        <v>0</v>
      </c>
      <c r="DZ26" s="816">
        <f>FLN!DB26</f>
        <v>0</v>
      </c>
      <c r="EA26" s="816">
        <f>FLN!DC26</f>
        <v>0</v>
      </c>
      <c r="EB26" s="823" t="str">
        <f t="shared" si="23"/>
        <v>2325</v>
      </c>
      <c r="EC26" s="816">
        <f>FLN!DD26</f>
        <v>0</v>
      </c>
      <c r="ED26" s="816">
        <f>FLN!DE26</f>
        <v>0</v>
      </c>
      <c r="EE26" s="816">
        <f>FLN!DF26</f>
        <v>0</v>
      </c>
      <c r="EF26" s="816">
        <f>FLN!DG26</f>
        <v>0</v>
      </c>
    </row>
    <row r="27" spans="1:136">
      <c r="A27" s="824">
        <v>24</v>
      </c>
      <c r="B27" s="824">
        <f>STUDENT!F25</f>
        <v>14806</v>
      </c>
      <c r="C27" s="824">
        <f>STUDENT!D25</f>
        <v>20240100904</v>
      </c>
      <c r="D27" s="827" t="str">
        <f>STUDENT!E25</f>
        <v>SOORYA VANSHAL</v>
      </c>
      <c r="E27" s="827" t="str">
        <f>STUDENT!H25</f>
        <v>KAMLESH KUMAR</v>
      </c>
      <c r="F27" s="828" t="str">
        <f>FLN!F27</f>
        <v>Alphabets</v>
      </c>
      <c r="G27" s="828" t="str">
        <f>FLN!G27</f>
        <v>Number Recognition (10-99)</v>
      </c>
      <c r="H27" s="828" t="str">
        <f>FLN!H27</f>
        <v>Character</v>
      </c>
      <c r="I27" s="824">
        <f>FLN!I27</f>
        <v>2</v>
      </c>
      <c r="J27" s="824">
        <f>FLN!J27</f>
        <v>2</v>
      </c>
      <c r="K27" s="824">
        <f>FLN!K27</f>
        <v>3</v>
      </c>
      <c r="L27" s="823" t="str">
        <f t="shared" si="24"/>
        <v>241</v>
      </c>
      <c r="M27" s="816">
        <f>FLN!L27</f>
        <v>2</v>
      </c>
      <c r="N27" s="816">
        <f>FLN!M27</f>
        <v>2</v>
      </c>
      <c r="O27" s="816">
        <f>FLN!N27</f>
        <v>3</v>
      </c>
      <c r="P27" s="816">
        <f>FLN!O27</f>
        <v>0</v>
      </c>
      <c r="Q27" s="823" t="str">
        <f t="shared" si="0"/>
        <v>242</v>
      </c>
      <c r="R27" s="816">
        <f>FLN!P27</f>
        <v>2</v>
      </c>
      <c r="S27" s="816">
        <f>FLN!Q27</f>
        <v>2</v>
      </c>
      <c r="T27" s="816">
        <f>FLN!R27</f>
        <v>3</v>
      </c>
      <c r="U27" s="816">
        <f>FLN!S27</f>
        <v>0</v>
      </c>
      <c r="V27" s="823" t="str">
        <f t="shared" si="1"/>
        <v>243</v>
      </c>
      <c r="W27" s="816">
        <f>FLN!T27</f>
        <v>2</v>
      </c>
      <c r="X27" s="816">
        <f>FLN!U27</f>
        <v>2</v>
      </c>
      <c r="Y27" s="816">
        <f>FLN!V27</f>
        <v>3</v>
      </c>
      <c r="Z27" s="816">
        <f>FLN!W27</f>
        <v>0</v>
      </c>
      <c r="AA27" s="823" t="str">
        <f t="shared" si="2"/>
        <v>244</v>
      </c>
      <c r="AB27" s="816">
        <f>FLN!X27</f>
        <v>2</v>
      </c>
      <c r="AC27" s="816">
        <f>FLN!Y27</f>
        <v>2</v>
      </c>
      <c r="AD27" s="816">
        <f>FLN!Z27</f>
        <v>3</v>
      </c>
      <c r="AE27" s="816">
        <f>FLN!AA27</f>
        <v>0</v>
      </c>
      <c r="AF27" s="823" t="str">
        <f t="shared" si="3"/>
        <v>245</v>
      </c>
      <c r="AG27" s="816">
        <f>FLN!AB27</f>
        <v>2</v>
      </c>
      <c r="AH27" s="816">
        <f>FLN!AC27</f>
        <v>2</v>
      </c>
      <c r="AI27" s="816">
        <f>FLN!AD27</f>
        <v>3</v>
      </c>
      <c r="AJ27" s="816">
        <f>FLN!AE27</f>
        <v>0</v>
      </c>
      <c r="AK27" s="823" t="str">
        <f t="shared" si="4"/>
        <v>246</v>
      </c>
      <c r="AL27" s="816">
        <f>FLN!AF27</f>
        <v>2</v>
      </c>
      <c r="AM27" s="816">
        <f>FLN!AG27</f>
        <v>2</v>
      </c>
      <c r="AN27" s="816">
        <f>FLN!AH27</f>
        <v>3</v>
      </c>
      <c r="AO27" s="816">
        <f>FLN!AI27</f>
        <v>0</v>
      </c>
      <c r="AP27" s="823" t="str">
        <f t="shared" si="5"/>
        <v>247</v>
      </c>
      <c r="AQ27" s="816">
        <f>FLN!AJ27</f>
        <v>0</v>
      </c>
      <c r="AR27" s="816">
        <f>FLN!AK27</f>
        <v>0</v>
      </c>
      <c r="AS27" s="816">
        <f>FLN!AL27</f>
        <v>0</v>
      </c>
      <c r="AT27" s="816">
        <f>FLN!AM27</f>
        <v>0</v>
      </c>
      <c r="AU27" s="823" t="str">
        <f t="shared" si="6"/>
        <v>248</v>
      </c>
      <c r="AV27" s="816">
        <f>FLN!AN27</f>
        <v>0</v>
      </c>
      <c r="AW27" s="816">
        <f>FLN!AO27</f>
        <v>0</v>
      </c>
      <c r="AX27" s="816">
        <f>FLN!AP27</f>
        <v>0</v>
      </c>
      <c r="AY27" s="816">
        <f>FLN!AQ27</f>
        <v>0</v>
      </c>
      <c r="AZ27" s="823" t="str">
        <f t="shared" si="7"/>
        <v>249</v>
      </c>
      <c r="BA27" s="816">
        <f>FLN!AR27</f>
        <v>0</v>
      </c>
      <c r="BB27" s="816">
        <f>FLN!AS27</f>
        <v>0</v>
      </c>
      <c r="BC27" s="816">
        <f>FLN!AT27</f>
        <v>0</v>
      </c>
      <c r="BD27" s="816">
        <f>FLN!AU27</f>
        <v>0</v>
      </c>
      <c r="BE27" s="823" t="str">
        <f t="shared" si="8"/>
        <v>2410</v>
      </c>
      <c r="BF27" s="816">
        <f>FLN!AV27</f>
        <v>0</v>
      </c>
      <c r="BG27" s="816">
        <f>FLN!AW27</f>
        <v>0</v>
      </c>
      <c r="BH27" s="816">
        <f>FLN!AX27</f>
        <v>0</v>
      </c>
      <c r="BI27" s="816">
        <f>FLN!AY27</f>
        <v>0</v>
      </c>
      <c r="BJ27" s="823" t="str">
        <f t="shared" si="9"/>
        <v>2411</v>
      </c>
      <c r="BK27" s="816">
        <f>FLN!AZ27</f>
        <v>0</v>
      </c>
      <c r="BL27" s="816">
        <f>FLN!BA27</f>
        <v>0</v>
      </c>
      <c r="BM27" s="816">
        <f>FLN!BB27</f>
        <v>0</v>
      </c>
      <c r="BN27" s="816">
        <f>FLN!BC27</f>
        <v>0</v>
      </c>
      <c r="BO27" s="823" t="str">
        <f t="shared" si="10"/>
        <v>2412</v>
      </c>
      <c r="BP27" s="816">
        <f>FLN!BD27</f>
        <v>0</v>
      </c>
      <c r="BQ27" s="816">
        <f>FLN!BE27</f>
        <v>0</v>
      </c>
      <c r="BR27" s="816">
        <f>FLN!BF27</f>
        <v>0</v>
      </c>
      <c r="BS27" s="816">
        <f>FLN!BG27</f>
        <v>0</v>
      </c>
      <c r="BT27" s="823" t="str">
        <f t="shared" si="11"/>
        <v>2413</v>
      </c>
      <c r="BU27" s="816">
        <f>FLN!BH27</f>
        <v>0</v>
      </c>
      <c r="BV27" s="816">
        <f>FLN!BI27</f>
        <v>0</v>
      </c>
      <c r="BW27" s="816">
        <f>FLN!BJ27</f>
        <v>0</v>
      </c>
      <c r="BX27" s="816">
        <f>FLN!BK27</f>
        <v>0</v>
      </c>
      <c r="BY27" s="823" t="str">
        <f t="shared" si="12"/>
        <v>2414</v>
      </c>
      <c r="BZ27" s="816">
        <f>FLN!BL27</f>
        <v>0</v>
      </c>
      <c r="CA27" s="816">
        <f>FLN!BM27</f>
        <v>0</v>
      </c>
      <c r="CB27" s="816">
        <f>FLN!BN27</f>
        <v>0</v>
      </c>
      <c r="CC27" s="816">
        <f>FLN!BO27</f>
        <v>0</v>
      </c>
      <c r="CD27" s="823" t="str">
        <f t="shared" si="13"/>
        <v>2415</v>
      </c>
      <c r="CE27" s="816">
        <f>FLN!BP27</f>
        <v>0</v>
      </c>
      <c r="CF27" s="816">
        <f>FLN!BQ27</f>
        <v>0</v>
      </c>
      <c r="CG27" s="816">
        <f>FLN!BR27</f>
        <v>0</v>
      </c>
      <c r="CH27" s="816">
        <f>FLN!BS27</f>
        <v>0</v>
      </c>
      <c r="CI27" s="823" t="str">
        <f t="shared" si="14"/>
        <v>2416</v>
      </c>
      <c r="CJ27" s="816">
        <f>FLN!BT27</f>
        <v>0</v>
      </c>
      <c r="CK27" s="816">
        <f>FLN!BU27</f>
        <v>0</v>
      </c>
      <c r="CL27" s="816">
        <f>FLN!BV27</f>
        <v>0</v>
      </c>
      <c r="CM27" s="816">
        <f>FLN!BW27</f>
        <v>0</v>
      </c>
      <c r="CN27" s="823" t="str">
        <f t="shared" si="15"/>
        <v>2417</v>
      </c>
      <c r="CO27" s="816">
        <f>FLN!BX27</f>
        <v>0</v>
      </c>
      <c r="CP27" s="816">
        <f>FLN!BY27</f>
        <v>0</v>
      </c>
      <c r="CQ27" s="816">
        <f>FLN!BZ27</f>
        <v>0</v>
      </c>
      <c r="CR27" s="816">
        <f>FLN!CA27</f>
        <v>0</v>
      </c>
      <c r="CS27" s="823" t="str">
        <f t="shared" si="16"/>
        <v>2418</v>
      </c>
      <c r="CT27" s="816">
        <f>FLN!CB27</f>
        <v>0</v>
      </c>
      <c r="CU27" s="816">
        <f>FLN!CC27</f>
        <v>0</v>
      </c>
      <c r="CV27" s="816">
        <f>FLN!CD27</f>
        <v>0</v>
      </c>
      <c r="CW27" s="816">
        <f>FLN!CE27</f>
        <v>0</v>
      </c>
      <c r="CX27" s="823" t="str">
        <f t="shared" si="17"/>
        <v>2419</v>
      </c>
      <c r="CY27" s="816">
        <f>FLN!CF27</f>
        <v>0</v>
      </c>
      <c r="CZ27" s="816">
        <f>FLN!CG27</f>
        <v>0</v>
      </c>
      <c r="DA27" s="816">
        <f>FLN!CH27</f>
        <v>0</v>
      </c>
      <c r="DB27" s="816">
        <f>FLN!CI27</f>
        <v>0</v>
      </c>
      <c r="DC27" s="823" t="str">
        <f t="shared" si="18"/>
        <v>2420</v>
      </c>
      <c r="DD27" s="816">
        <f>FLN!CJ27</f>
        <v>0</v>
      </c>
      <c r="DE27" s="816">
        <f>FLN!CK27</f>
        <v>0</v>
      </c>
      <c r="DF27" s="816">
        <f>FLN!CL27</f>
        <v>0</v>
      </c>
      <c r="DG27" s="816">
        <f>FLN!CM27</f>
        <v>0</v>
      </c>
      <c r="DH27" s="823" t="str">
        <f t="shared" si="19"/>
        <v>2421</v>
      </c>
      <c r="DI27" s="816">
        <f>FLN!CN27</f>
        <v>0</v>
      </c>
      <c r="DJ27" s="816">
        <f>FLN!CO27</f>
        <v>0</v>
      </c>
      <c r="DK27" s="816">
        <f>FLN!CP27</f>
        <v>0</v>
      </c>
      <c r="DL27" s="816">
        <f>FLN!CQ27</f>
        <v>0</v>
      </c>
      <c r="DM27" s="823" t="str">
        <f t="shared" si="20"/>
        <v>2422</v>
      </c>
      <c r="DN27" s="816">
        <f>FLN!CR27</f>
        <v>0</v>
      </c>
      <c r="DO27" s="816">
        <f>FLN!CS27</f>
        <v>0</v>
      </c>
      <c r="DP27" s="816">
        <f>FLN!CT27</f>
        <v>0</v>
      </c>
      <c r="DQ27" s="816">
        <f>FLN!CU27</f>
        <v>0</v>
      </c>
      <c r="DR27" s="823" t="str">
        <f t="shared" si="21"/>
        <v>2423</v>
      </c>
      <c r="DS27" s="816">
        <f>FLN!CV27</f>
        <v>0</v>
      </c>
      <c r="DT27" s="816">
        <f>FLN!CW27</f>
        <v>0</v>
      </c>
      <c r="DU27" s="816">
        <f>FLN!CX27</f>
        <v>0</v>
      </c>
      <c r="DV27" s="816">
        <f>FLN!CY27</f>
        <v>0</v>
      </c>
      <c r="DW27" s="823" t="str">
        <f t="shared" si="22"/>
        <v>2424</v>
      </c>
      <c r="DX27" s="816">
        <f>FLN!CZ27</f>
        <v>0</v>
      </c>
      <c r="DY27" s="816">
        <f>FLN!DA27</f>
        <v>0</v>
      </c>
      <c r="DZ27" s="816">
        <f>FLN!DB27</f>
        <v>0</v>
      </c>
      <c r="EA27" s="816">
        <f>FLN!DC27</f>
        <v>0</v>
      </c>
      <c r="EB27" s="823" t="str">
        <f t="shared" si="23"/>
        <v>2425</v>
      </c>
      <c r="EC27" s="816">
        <f>FLN!DD27</f>
        <v>0</v>
      </c>
      <c r="ED27" s="816">
        <f>FLN!DE27</f>
        <v>0</v>
      </c>
      <c r="EE27" s="816">
        <f>FLN!DF27</f>
        <v>0</v>
      </c>
      <c r="EF27" s="816">
        <f>FLN!DG27</f>
        <v>0</v>
      </c>
    </row>
    <row r="28" spans="1:136">
      <c r="A28" s="824">
        <v>25</v>
      </c>
      <c r="B28" s="824">
        <f>STUDENT!F26</f>
        <v>14943</v>
      </c>
      <c r="C28" s="824">
        <f>STUDENT!D26</f>
        <v>20250012364</v>
      </c>
      <c r="D28" s="827" t="str">
        <f>STUDENT!E26</f>
        <v>ANSHU KUMAR PANDIT</v>
      </c>
      <c r="E28" s="827" t="str">
        <f>STUDENT!H26</f>
        <v>RAMESH KUMAR PANDIT</v>
      </c>
      <c r="F28" s="828" t="str">
        <f>FLN!F28</f>
        <v>Words</v>
      </c>
      <c r="G28" s="828" t="str">
        <f>FLN!G28</f>
        <v>Subtraction</v>
      </c>
      <c r="H28" s="828" t="str">
        <f>FLN!H28</f>
        <v>Character</v>
      </c>
      <c r="I28" s="824">
        <f>FLN!I28</f>
        <v>3</v>
      </c>
      <c r="J28" s="824">
        <f>FLN!J28</f>
        <v>2</v>
      </c>
      <c r="K28" s="824">
        <f>FLN!K28</f>
        <v>4</v>
      </c>
      <c r="L28" s="823" t="str">
        <f t="shared" si="24"/>
        <v>251</v>
      </c>
      <c r="M28" s="816">
        <f>FLN!L28</f>
        <v>3</v>
      </c>
      <c r="N28" s="816">
        <f>FLN!M28</f>
        <v>2</v>
      </c>
      <c r="O28" s="816">
        <f>FLN!N28</f>
        <v>4</v>
      </c>
      <c r="P28" s="816">
        <f>FLN!O28</f>
        <v>0</v>
      </c>
      <c r="Q28" s="823" t="str">
        <f t="shared" si="0"/>
        <v>252</v>
      </c>
      <c r="R28" s="816">
        <f>FLN!P28</f>
        <v>3</v>
      </c>
      <c r="S28" s="816">
        <f>FLN!Q28</f>
        <v>2</v>
      </c>
      <c r="T28" s="816">
        <f>FLN!R28</f>
        <v>4</v>
      </c>
      <c r="U28" s="816">
        <f>FLN!S28</f>
        <v>0</v>
      </c>
      <c r="V28" s="823" t="str">
        <f t="shared" si="1"/>
        <v>253</v>
      </c>
      <c r="W28" s="816">
        <f>FLN!T28</f>
        <v>3</v>
      </c>
      <c r="X28" s="816">
        <f>FLN!U28</f>
        <v>2</v>
      </c>
      <c r="Y28" s="816">
        <f>FLN!V28</f>
        <v>4</v>
      </c>
      <c r="Z28" s="816">
        <f>FLN!W28</f>
        <v>0</v>
      </c>
      <c r="AA28" s="823" t="str">
        <f t="shared" si="2"/>
        <v>254</v>
      </c>
      <c r="AB28" s="816">
        <f>FLN!X28</f>
        <v>3</v>
      </c>
      <c r="AC28" s="816">
        <f>FLN!Y28</f>
        <v>2</v>
      </c>
      <c r="AD28" s="816">
        <f>FLN!Z28</f>
        <v>4</v>
      </c>
      <c r="AE28" s="816">
        <f>FLN!AA28</f>
        <v>0</v>
      </c>
      <c r="AF28" s="823" t="str">
        <f t="shared" si="3"/>
        <v>255</v>
      </c>
      <c r="AG28" s="816">
        <f>FLN!AB28</f>
        <v>3</v>
      </c>
      <c r="AH28" s="816">
        <f>FLN!AC28</f>
        <v>2</v>
      </c>
      <c r="AI28" s="816">
        <f>FLN!AD28</f>
        <v>4</v>
      </c>
      <c r="AJ28" s="816">
        <f>FLN!AE28</f>
        <v>0</v>
      </c>
      <c r="AK28" s="823" t="str">
        <f t="shared" si="4"/>
        <v>256</v>
      </c>
      <c r="AL28" s="816">
        <f>FLN!AF28</f>
        <v>4</v>
      </c>
      <c r="AM28" s="816">
        <f>FLN!AG28</f>
        <v>3</v>
      </c>
      <c r="AN28" s="816">
        <f>FLN!AH28</f>
        <v>4</v>
      </c>
      <c r="AO28" s="816">
        <f>FLN!AI28</f>
        <v>0</v>
      </c>
      <c r="AP28" s="823" t="str">
        <f t="shared" si="5"/>
        <v>257</v>
      </c>
      <c r="AQ28" s="816">
        <f>FLN!AJ28</f>
        <v>0</v>
      </c>
      <c r="AR28" s="816">
        <f>FLN!AK28</f>
        <v>0</v>
      </c>
      <c r="AS28" s="816">
        <f>FLN!AL28</f>
        <v>0</v>
      </c>
      <c r="AT28" s="816">
        <f>FLN!AM28</f>
        <v>0</v>
      </c>
      <c r="AU28" s="823" t="str">
        <f t="shared" si="6"/>
        <v>258</v>
      </c>
      <c r="AV28" s="816">
        <f>FLN!AN28</f>
        <v>0</v>
      </c>
      <c r="AW28" s="816">
        <f>FLN!AO28</f>
        <v>0</v>
      </c>
      <c r="AX28" s="816">
        <f>FLN!AP28</f>
        <v>0</v>
      </c>
      <c r="AY28" s="816">
        <f>FLN!AQ28</f>
        <v>0</v>
      </c>
      <c r="AZ28" s="823" t="str">
        <f t="shared" si="7"/>
        <v>259</v>
      </c>
      <c r="BA28" s="816">
        <f>FLN!AR28</f>
        <v>0</v>
      </c>
      <c r="BB28" s="816">
        <f>FLN!AS28</f>
        <v>0</v>
      </c>
      <c r="BC28" s="816">
        <f>FLN!AT28</f>
        <v>0</v>
      </c>
      <c r="BD28" s="816">
        <f>FLN!AU28</f>
        <v>0</v>
      </c>
      <c r="BE28" s="823" t="str">
        <f t="shared" si="8"/>
        <v>2510</v>
      </c>
      <c r="BF28" s="816">
        <f>FLN!AV28</f>
        <v>0</v>
      </c>
      <c r="BG28" s="816">
        <f>FLN!AW28</f>
        <v>0</v>
      </c>
      <c r="BH28" s="816">
        <f>FLN!AX28</f>
        <v>0</v>
      </c>
      <c r="BI28" s="816">
        <f>FLN!AY28</f>
        <v>0</v>
      </c>
      <c r="BJ28" s="823" t="str">
        <f t="shared" si="9"/>
        <v>2511</v>
      </c>
      <c r="BK28" s="816">
        <f>FLN!AZ28</f>
        <v>0</v>
      </c>
      <c r="BL28" s="816">
        <f>FLN!BA28</f>
        <v>0</v>
      </c>
      <c r="BM28" s="816">
        <f>FLN!BB28</f>
        <v>0</v>
      </c>
      <c r="BN28" s="816">
        <f>FLN!BC28</f>
        <v>0</v>
      </c>
      <c r="BO28" s="823" t="str">
        <f t="shared" si="10"/>
        <v>2512</v>
      </c>
      <c r="BP28" s="816">
        <f>FLN!BD28</f>
        <v>0</v>
      </c>
      <c r="BQ28" s="816">
        <f>FLN!BE28</f>
        <v>0</v>
      </c>
      <c r="BR28" s="816">
        <f>FLN!BF28</f>
        <v>0</v>
      </c>
      <c r="BS28" s="816">
        <f>FLN!BG28</f>
        <v>0</v>
      </c>
      <c r="BT28" s="823" t="str">
        <f t="shared" si="11"/>
        <v>2513</v>
      </c>
      <c r="BU28" s="816">
        <f>FLN!BH28</f>
        <v>0</v>
      </c>
      <c r="BV28" s="816">
        <f>FLN!BI28</f>
        <v>0</v>
      </c>
      <c r="BW28" s="816">
        <f>FLN!BJ28</f>
        <v>0</v>
      </c>
      <c r="BX28" s="816">
        <f>FLN!BK28</f>
        <v>0</v>
      </c>
      <c r="BY28" s="823" t="str">
        <f t="shared" si="12"/>
        <v>2514</v>
      </c>
      <c r="BZ28" s="816">
        <f>FLN!BL28</f>
        <v>0</v>
      </c>
      <c r="CA28" s="816">
        <f>FLN!BM28</f>
        <v>0</v>
      </c>
      <c r="CB28" s="816">
        <f>FLN!BN28</f>
        <v>0</v>
      </c>
      <c r="CC28" s="816">
        <f>FLN!BO28</f>
        <v>0</v>
      </c>
      <c r="CD28" s="823" t="str">
        <f t="shared" si="13"/>
        <v>2515</v>
      </c>
      <c r="CE28" s="816">
        <f>FLN!BP28</f>
        <v>0</v>
      </c>
      <c r="CF28" s="816">
        <f>FLN!BQ28</f>
        <v>0</v>
      </c>
      <c r="CG28" s="816">
        <f>FLN!BR28</f>
        <v>0</v>
      </c>
      <c r="CH28" s="816">
        <f>FLN!BS28</f>
        <v>0</v>
      </c>
      <c r="CI28" s="823" t="str">
        <f t="shared" si="14"/>
        <v>2516</v>
      </c>
      <c r="CJ28" s="816">
        <f>FLN!BT28</f>
        <v>0</v>
      </c>
      <c r="CK28" s="816">
        <f>FLN!BU28</f>
        <v>0</v>
      </c>
      <c r="CL28" s="816">
        <f>FLN!BV28</f>
        <v>0</v>
      </c>
      <c r="CM28" s="816">
        <f>FLN!BW28</f>
        <v>0</v>
      </c>
      <c r="CN28" s="823" t="str">
        <f t="shared" si="15"/>
        <v>2517</v>
      </c>
      <c r="CO28" s="816">
        <f>FLN!BX28</f>
        <v>0</v>
      </c>
      <c r="CP28" s="816">
        <f>FLN!BY28</f>
        <v>0</v>
      </c>
      <c r="CQ28" s="816">
        <f>FLN!BZ28</f>
        <v>0</v>
      </c>
      <c r="CR28" s="816">
        <f>FLN!CA28</f>
        <v>0</v>
      </c>
      <c r="CS28" s="823" t="str">
        <f t="shared" si="16"/>
        <v>2518</v>
      </c>
      <c r="CT28" s="816">
        <f>FLN!CB28</f>
        <v>0</v>
      </c>
      <c r="CU28" s="816">
        <f>FLN!CC28</f>
        <v>0</v>
      </c>
      <c r="CV28" s="816">
        <f>FLN!CD28</f>
        <v>0</v>
      </c>
      <c r="CW28" s="816">
        <f>FLN!CE28</f>
        <v>0</v>
      </c>
      <c r="CX28" s="823" t="str">
        <f t="shared" si="17"/>
        <v>2519</v>
      </c>
      <c r="CY28" s="816">
        <f>FLN!CF28</f>
        <v>0</v>
      </c>
      <c r="CZ28" s="816">
        <f>FLN!CG28</f>
        <v>0</v>
      </c>
      <c r="DA28" s="816">
        <f>FLN!CH28</f>
        <v>0</v>
      </c>
      <c r="DB28" s="816">
        <f>FLN!CI28</f>
        <v>0</v>
      </c>
      <c r="DC28" s="823" t="str">
        <f t="shared" si="18"/>
        <v>2520</v>
      </c>
      <c r="DD28" s="816">
        <f>FLN!CJ28</f>
        <v>0</v>
      </c>
      <c r="DE28" s="816">
        <f>FLN!CK28</f>
        <v>0</v>
      </c>
      <c r="DF28" s="816">
        <f>FLN!CL28</f>
        <v>0</v>
      </c>
      <c r="DG28" s="816">
        <f>FLN!CM28</f>
        <v>0</v>
      </c>
      <c r="DH28" s="823" t="str">
        <f t="shared" si="19"/>
        <v>2521</v>
      </c>
      <c r="DI28" s="816">
        <f>FLN!CN28</f>
        <v>0</v>
      </c>
      <c r="DJ28" s="816">
        <f>FLN!CO28</f>
        <v>0</v>
      </c>
      <c r="DK28" s="816">
        <f>FLN!CP28</f>
        <v>0</v>
      </c>
      <c r="DL28" s="816">
        <f>FLN!CQ28</f>
        <v>0</v>
      </c>
      <c r="DM28" s="823" t="str">
        <f t="shared" si="20"/>
        <v>2522</v>
      </c>
      <c r="DN28" s="816">
        <f>FLN!CR28</f>
        <v>0</v>
      </c>
      <c r="DO28" s="816">
        <f>FLN!CS28</f>
        <v>0</v>
      </c>
      <c r="DP28" s="816">
        <f>FLN!CT28</f>
        <v>0</v>
      </c>
      <c r="DQ28" s="816">
        <f>FLN!CU28</f>
        <v>0</v>
      </c>
      <c r="DR28" s="823" t="str">
        <f t="shared" si="21"/>
        <v>2523</v>
      </c>
      <c r="DS28" s="816">
        <f>FLN!CV28</f>
        <v>0</v>
      </c>
      <c r="DT28" s="816">
        <f>FLN!CW28</f>
        <v>0</v>
      </c>
      <c r="DU28" s="816">
        <f>FLN!CX28</f>
        <v>0</v>
      </c>
      <c r="DV28" s="816">
        <f>FLN!CY28</f>
        <v>0</v>
      </c>
      <c r="DW28" s="823" t="str">
        <f t="shared" si="22"/>
        <v>2524</v>
      </c>
      <c r="DX28" s="816">
        <f>FLN!CZ28</f>
        <v>0</v>
      </c>
      <c r="DY28" s="816">
        <f>FLN!DA28</f>
        <v>0</v>
      </c>
      <c r="DZ28" s="816">
        <f>FLN!DB28</f>
        <v>0</v>
      </c>
      <c r="EA28" s="816">
        <f>FLN!DC28</f>
        <v>0</v>
      </c>
      <c r="EB28" s="823" t="str">
        <f t="shared" si="23"/>
        <v>2525</v>
      </c>
      <c r="EC28" s="816">
        <f>FLN!DD28</f>
        <v>0</v>
      </c>
      <c r="ED28" s="816">
        <f>FLN!DE28</f>
        <v>0</v>
      </c>
      <c r="EE28" s="816">
        <f>FLN!DF28</f>
        <v>0</v>
      </c>
      <c r="EF28" s="816">
        <f>FLN!DG28</f>
        <v>0</v>
      </c>
    </row>
    <row r="29" spans="1:136">
      <c r="A29" s="824">
        <v>26</v>
      </c>
      <c r="B29" s="824">
        <f>STUDENT!F27</f>
        <v>14960</v>
      </c>
      <c r="C29" s="824">
        <f>STUDENT!D27</f>
        <v>20250045334</v>
      </c>
      <c r="D29" s="827" t="str">
        <f>STUDENT!E27</f>
        <v>MD ADAN SHEKH</v>
      </c>
      <c r="E29" s="827" t="str">
        <f>STUDENT!H27</f>
        <v>MD ISHTIKHAR</v>
      </c>
      <c r="F29" s="828" t="str">
        <f>FLN!F29</f>
        <v>Alphabets</v>
      </c>
      <c r="G29" s="828" t="str">
        <f>FLN!G29</f>
        <v>Number Recognition (10-99)</v>
      </c>
      <c r="H29" s="828" t="str">
        <f>FLN!H29</f>
        <v>Character</v>
      </c>
      <c r="I29" s="824">
        <f>FLN!I29</f>
        <v>2</v>
      </c>
      <c r="J29" s="824">
        <f>FLN!J29</f>
        <v>2</v>
      </c>
      <c r="K29" s="824">
        <f>FLN!K29</f>
        <v>3</v>
      </c>
      <c r="L29" s="823" t="str">
        <f t="shared" si="24"/>
        <v>261</v>
      </c>
      <c r="M29" s="816">
        <f>FLN!L29</f>
        <v>2</v>
      </c>
      <c r="N29" s="816">
        <f>FLN!M29</f>
        <v>2</v>
      </c>
      <c r="O29" s="816">
        <f>FLN!N29</f>
        <v>3</v>
      </c>
      <c r="P29" s="816">
        <f>FLN!O29</f>
        <v>0</v>
      </c>
      <c r="Q29" s="823" t="str">
        <f t="shared" si="0"/>
        <v>262</v>
      </c>
      <c r="R29" s="816">
        <f>FLN!P29</f>
        <v>2</v>
      </c>
      <c r="S29" s="816">
        <f>FLN!Q29</f>
        <v>2</v>
      </c>
      <c r="T29" s="816">
        <f>FLN!R29</f>
        <v>3</v>
      </c>
      <c r="U29" s="816">
        <f>FLN!S29</f>
        <v>0</v>
      </c>
      <c r="V29" s="823" t="str">
        <f t="shared" si="1"/>
        <v>263</v>
      </c>
      <c r="W29" s="816">
        <f>FLN!T29</f>
        <v>2</v>
      </c>
      <c r="X29" s="816">
        <f>FLN!U29</f>
        <v>2</v>
      </c>
      <c r="Y29" s="816">
        <f>FLN!V29</f>
        <v>3</v>
      </c>
      <c r="Z29" s="816">
        <f>FLN!W29</f>
        <v>0</v>
      </c>
      <c r="AA29" s="823" t="str">
        <f t="shared" si="2"/>
        <v>264</v>
      </c>
      <c r="AB29" s="816">
        <f>FLN!X29</f>
        <v>2</v>
      </c>
      <c r="AC29" s="816">
        <f>FLN!Y29</f>
        <v>2</v>
      </c>
      <c r="AD29" s="816">
        <f>FLN!Z29</f>
        <v>3</v>
      </c>
      <c r="AE29" s="816">
        <f>FLN!AA29</f>
        <v>0</v>
      </c>
      <c r="AF29" s="823" t="str">
        <f t="shared" si="3"/>
        <v>265</v>
      </c>
      <c r="AG29" s="816">
        <f>FLN!AB29</f>
        <v>2</v>
      </c>
      <c r="AH29" s="816">
        <f>FLN!AC29</f>
        <v>2</v>
      </c>
      <c r="AI29" s="816">
        <f>FLN!AD29</f>
        <v>3</v>
      </c>
      <c r="AJ29" s="816">
        <f>FLN!AE29</f>
        <v>0</v>
      </c>
      <c r="AK29" s="823" t="str">
        <f t="shared" si="4"/>
        <v>266</v>
      </c>
      <c r="AL29" s="816">
        <f>FLN!AF29</f>
        <v>2</v>
      </c>
      <c r="AM29" s="816">
        <f>FLN!AG29</f>
        <v>2</v>
      </c>
      <c r="AN29" s="816">
        <f>FLN!AH29</f>
        <v>3</v>
      </c>
      <c r="AO29" s="816">
        <f>FLN!AI29</f>
        <v>0</v>
      </c>
      <c r="AP29" s="823" t="str">
        <f t="shared" si="5"/>
        <v>267</v>
      </c>
      <c r="AQ29" s="816">
        <f>FLN!AJ29</f>
        <v>0</v>
      </c>
      <c r="AR29" s="816">
        <f>FLN!AK29</f>
        <v>0</v>
      </c>
      <c r="AS29" s="816">
        <f>FLN!AL29</f>
        <v>0</v>
      </c>
      <c r="AT29" s="816">
        <f>FLN!AM29</f>
        <v>0</v>
      </c>
      <c r="AU29" s="823" t="str">
        <f t="shared" si="6"/>
        <v>268</v>
      </c>
      <c r="AV29" s="816">
        <f>FLN!AN29</f>
        <v>0</v>
      </c>
      <c r="AW29" s="816">
        <f>FLN!AO29</f>
        <v>0</v>
      </c>
      <c r="AX29" s="816">
        <f>FLN!AP29</f>
        <v>0</v>
      </c>
      <c r="AY29" s="816">
        <f>FLN!AQ29</f>
        <v>0</v>
      </c>
      <c r="AZ29" s="823" t="str">
        <f t="shared" si="7"/>
        <v>269</v>
      </c>
      <c r="BA29" s="816">
        <f>FLN!AR29</f>
        <v>0</v>
      </c>
      <c r="BB29" s="816">
        <f>FLN!AS29</f>
        <v>0</v>
      </c>
      <c r="BC29" s="816">
        <f>FLN!AT29</f>
        <v>0</v>
      </c>
      <c r="BD29" s="816">
        <f>FLN!AU29</f>
        <v>0</v>
      </c>
      <c r="BE29" s="823" t="str">
        <f t="shared" si="8"/>
        <v>2610</v>
      </c>
      <c r="BF29" s="816">
        <f>FLN!AV29</f>
        <v>0</v>
      </c>
      <c r="BG29" s="816">
        <f>FLN!AW29</f>
        <v>0</v>
      </c>
      <c r="BH29" s="816">
        <f>FLN!AX29</f>
        <v>0</v>
      </c>
      <c r="BI29" s="816">
        <f>FLN!AY29</f>
        <v>0</v>
      </c>
      <c r="BJ29" s="823" t="str">
        <f t="shared" si="9"/>
        <v>2611</v>
      </c>
      <c r="BK29" s="816">
        <f>FLN!AZ29</f>
        <v>0</v>
      </c>
      <c r="BL29" s="816">
        <f>FLN!BA29</f>
        <v>0</v>
      </c>
      <c r="BM29" s="816">
        <f>FLN!BB29</f>
        <v>0</v>
      </c>
      <c r="BN29" s="816">
        <f>FLN!BC29</f>
        <v>0</v>
      </c>
      <c r="BO29" s="823" t="str">
        <f t="shared" si="10"/>
        <v>2612</v>
      </c>
      <c r="BP29" s="816">
        <f>FLN!BD29</f>
        <v>0</v>
      </c>
      <c r="BQ29" s="816">
        <f>FLN!BE29</f>
        <v>0</v>
      </c>
      <c r="BR29" s="816">
        <f>FLN!BF29</f>
        <v>0</v>
      </c>
      <c r="BS29" s="816">
        <f>FLN!BG29</f>
        <v>0</v>
      </c>
      <c r="BT29" s="823" t="str">
        <f t="shared" si="11"/>
        <v>2613</v>
      </c>
      <c r="BU29" s="816">
        <f>FLN!BH29</f>
        <v>0</v>
      </c>
      <c r="BV29" s="816">
        <f>FLN!BI29</f>
        <v>0</v>
      </c>
      <c r="BW29" s="816">
        <f>FLN!BJ29</f>
        <v>0</v>
      </c>
      <c r="BX29" s="816">
        <f>FLN!BK29</f>
        <v>0</v>
      </c>
      <c r="BY29" s="823" t="str">
        <f t="shared" si="12"/>
        <v>2614</v>
      </c>
      <c r="BZ29" s="816">
        <f>FLN!BL29</f>
        <v>0</v>
      </c>
      <c r="CA29" s="816">
        <f>FLN!BM29</f>
        <v>0</v>
      </c>
      <c r="CB29" s="816">
        <f>FLN!BN29</f>
        <v>0</v>
      </c>
      <c r="CC29" s="816">
        <f>FLN!BO29</f>
        <v>0</v>
      </c>
      <c r="CD29" s="823" t="str">
        <f t="shared" si="13"/>
        <v>2615</v>
      </c>
      <c r="CE29" s="816">
        <f>FLN!BP29</f>
        <v>0</v>
      </c>
      <c r="CF29" s="816">
        <f>FLN!BQ29</f>
        <v>0</v>
      </c>
      <c r="CG29" s="816">
        <f>FLN!BR29</f>
        <v>0</v>
      </c>
      <c r="CH29" s="816">
        <f>FLN!BS29</f>
        <v>0</v>
      </c>
      <c r="CI29" s="823" t="str">
        <f t="shared" si="14"/>
        <v>2616</v>
      </c>
      <c r="CJ29" s="816">
        <f>FLN!BT29</f>
        <v>0</v>
      </c>
      <c r="CK29" s="816">
        <f>FLN!BU29</f>
        <v>0</v>
      </c>
      <c r="CL29" s="816">
        <f>FLN!BV29</f>
        <v>0</v>
      </c>
      <c r="CM29" s="816">
        <f>FLN!BW29</f>
        <v>0</v>
      </c>
      <c r="CN29" s="823" t="str">
        <f t="shared" si="15"/>
        <v>2617</v>
      </c>
      <c r="CO29" s="816">
        <f>FLN!BX29</f>
        <v>0</v>
      </c>
      <c r="CP29" s="816">
        <f>FLN!BY29</f>
        <v>0</v>
      </c>
      <c r="CQ29" s="816">
        <f>FLN!BZ29</f>
        <v>0</v>
      </c>
      <c r="CR29" s="816">
        <f>FLN!CA29</f>
        <v>0</v>
      </c>
      <c r="CS29" s="823" t="str">
        <f t="shared" si="16"/>
        <v>2618</v>
      </c>
      <c r="CT29" s="816">
        <f>FLN!CB29</f>
        <v>0</v>
      </c>
      <c r="CU29" s="816">
        <f>FLN!CC29</f>
        <v>0</v>
      </c>
      <c r="CV29" s="816">
        <f>FLN!CD29</f>
        <v>0</v>
      </c>
      <c r="CW29" s="816">
        <f>FLN!CE29</f>
        <v>0</v>
      </c>
      <c r="CX29" s="823" t="str">
        <f t="shared" si="17"/>
        <v>2619</v>
      </c>
      <c r="CY29" s="816">
        <f>FLN!CF29</f>
        <v>0</v>
      </c>
      <c r="CZ29" s="816">
        <f>FLN!CG29</f>
        <v>0</v>
      </c>
      <c r="DA29" s="816">
        <f>FLN!CH29</f>
        <v>0</v>
      </c>
      <c r="DB29" s="816">
        <f>FLN!CI29</f>
        <v>0</v>
      </c>
      <c r="DC29" s="823" t="str">
        <f t="shared" si="18"/>
        <v>2620</v>
      </c>
      <c r="DD29" s="816">
        <f>FLN!CJ29</f>
        <v>0</v>
      </c>
      <c r="DE29" s="816">
        <f>FLN!CK29</f>
        <v>0</v>
      </c>
      <c r="DF29" s="816">
        <f>FLN!CL29</f>
        <v>0</v>
      </c>
      <c r="DG29" s="816">
        <f>FLN!CM29</f>
        <v>0</v>
      </c>
      <c r="DH29" s="823" t="str">
        <f t="shared" si="19"/>
        <v>2621</v>
      </c>
      <c r="DI29" s="816">
        <f>FLN!CN29</f>
        <v>0</v>
      </c>
      <c r="DJ29" s="816">
        <f>FLN!CO29</f>
        <v>0</v>
      </c>
      <c r="DK29" s="816">
        <f>FLN!CP29</f>
        <v>0</v>
      </c>
      <c r="DL29" s="816">
        <f>FLN!CQ29</f>
        <v>0</v>
      </c>
      <c r="DM29" s="823" t="str">
        <f t="shared" si="20"/>
        <v>2622</v>
      </c>
      <c r="DN29" s="816">
        <f>FLN!CR29</f>
        <v>0</v>
      </c>
      <c r="DO29" s="816">
        <f>FLN!CS29</f>
        <v>0</v>
      </c>
      <c r="DP29" s="816">
        <f>FLN!CT29</f>
        <v>0</v>
      </c>
      <c r="DQ29" s="816">
        <f>FLN!CU29</f>
        <v>0</v>
      </c>
      <c r="DR29" s="823" t="str">
        <f t="shared" si="21"/>
        <v>2623</v>
      </c>
      <c r="DS29" s="816">
        <f>FLN!CV29</f>
        <v>0</v>
      </c>
      <c r="DT29" s="816">
        <f>FLN!CW29</f>
        <v>0</v>
      </c>
      <c r="DU29" s="816">
        <f>FLN!CX29</f>
        <v>0</v>
      </c>
      <c r="DV29" s="816">
        <f>FLN!CY29</f>
        <v>0</v>
      </c>
      <c r="DW29" s="823" t="str">
        <f t="shared" si="22"/>
        <v>2624</v>
      </c>
      <c r="DX29" s="816">
        <f>FLN!CZ29</f>
        <v>0</v>
      </c>
      <c r="DY29" s="816">
        <f>FLN!DA29</f>
        <v>0</v>
      </c>
      <c r="DZ29" s="816">
        <f>FLN!DB29</f>
        <v>0</v>
      </c>
      <c r="EA29" s="816">
        <f>FLN!DC29</f>
        <v>0</v>
      </c>
      <c r="EB29" s="823" t="str">
        <f t="shared" si="23"/>
        <v>2625</v>
      </c>
      <c r="EC29" s="816">
        <f>FLN!DD29</f>
        <v>0</v>
      </c>
      <c r="ED29" s="816">
        <f>FLN!DE29</f>
        <v>0</v>
      </c>
      <c r="EE29" s="816">
        <f>FLN!DF29</f>
        <v>0</v>
      </c>
      <c r="EF29" s="816">
        <f>FLN!DG29</f>
        <v>0</v>
      </c>
    </row>
    <row r="30" spans="1:136">
      <c r="A30" s="824">
        <v>27</v>
      </c>
      <c r="B30" s="824">
        <f>STUDENT!F28</f>
        <v>14976</v>
      </c>
      <c r="C30" s="824">
        <f>STUDENT!D28</f>
        <v>20250064030</v>
      </c>
      <c r="D30" s="827" t="str">
        <f>STUDENT!E28</f>
        <v>KARTIK</v>
      </c>
      <c r="E30" s="827" t="str">
        <f>STUDENT!H28</f>
        <v>SUNIL</v>
      </c>
      <c r="F30" s="828" t="str">
        <f>FLN!F30</f>
        <v>Alphabets</v>
      </c>
      <c r="G30" s="828" t="str">
        <f>FLN!G30</f>
        <v>Number Recognition (10-99)</v>
      </c>
      <c r="H30" s="828" t="str">
        <f>FLN!H30</f>
        <v>Character</v>
      </c>
      <c r="I30" s="824">
        <f>FLN!I30</f>
        <v>2</v>
      </c>
      <c r="J30" s="824">
        <f>FLN!J30</f>
        <v>2</v>
      </c>
      <c r="K30" s="824">
        <f>FLN!K30</f>
        <v>3</v>
      </c>
      <c r="L30" s="823" t="str">
        <f t="shared" si="24"/>
        <v>271</v>
      </c>
      <c r="M30" s="816">
        <f>FLN!L30</f>
        <v>2</v>
      </c>
      <c r="N30" s="816">
        <f>FLN!M30</f>
        <v>2</v>
      </c>
      <c r="O30" s="816">
        <f>FLN!N30</f>
        <v>3</v>
      </c>
      <c r="P30" s="816">
        <f>FLN!O30</f>
        <v>0</v>
      </c>
      <c r="Q30" s="823" t="str">
        <f t="shared" si="0"/>
        <v>272</v>
      </c>
      <c r="R30" s="816">
        <f>FLN!P30</f>
        <v>2</v>
      </c>
      <c r="S30" s="816">
        <f>FLN!Q30</f>
        <v>2</v>
      </c>
      <c r="T30" s="816">
        <f>FLN!R30</f>
        <v>3</v>
      </c>
      <c r="U30" s="816">
        <f>FLN!S30</f>
        <v>0</v>
      </c>
      <c r="V30" s="823" t="str">
        <f t="shared" si="1"/>
        <v>273</v>
      </c>
      <c r="W30" s="816">
        <f>FLN!T30</f>
        <v>2</v>
      </c>
      <c r="X30" s="816">
        <f>FLN!U30</f>
        <v>2</v>
      </c>
      <c r="Y30" s="816">
        <f>FLN!V30</f>
        <v>3</v>
      </c>
      <c r="Z30" s="816">
        <f>FLN!W30</f>
        <v>0</v>
      </c>
      <c r="AA30" s="823" t="str">
        <f t="shared" si="2"/>
        <v>274</v>
      </c>
      <c r="AB30" s="816">
        <f>FLN!X30</f>
        <v>2</v>
      </c>
      <c r="AC30" s="816">
        <f>FLN!Y30</f>
        <v>2</v>
      </c>
      <c r="AD30" s="816">
        <f>FLN!Z30</f>
        <v>3</v>
      </c>
      <c r="AE30" s="816">
        <f>FLN!AA30</f>
        <v>0</v>
      </c>
      <c r="AF30" s="823" t="str">
        <f t="shared" si="3"/>
        <v>275</v>
      </c>
      <c r="AG30" s="816">
        <f>FLN!AB30</f>
        <v>2</v>
      </c>
      <c r="AH30" s="816">
        <f>FLN!AC30</f>
        <v>2</v>
      </c>
      <c r="AI30" s="816">
        <f>FLN!AD30</f>
        <v>3</v>
      </c>
      <c r="AJ30" s="816">
        <f>FLN!AE30</f>
        <v>0</v>
      </c>
      <c r="AK30" s="823" t="str">
        <f t="shared" si="4"/>
        <v>276</v>
      </c>
      <c r="AL30" s="816">
        <f>FLN!AF30</f>
        <v>3</v>
      </c>
      <c r="AM30" s="816">
        <f>FLN!AG30</f>
        <v>2</v>
      </c>
      <c r="AN30" s="816">
        <f>FLN!AH30</f>
        <v>3</v>
      </c>
      <c r="AO30" s="816">
        <f>FLN!AI30</f>
        <v>0</v>
      </c>
      <c r="AP30" s="823" t="str">
        <f t="shared" si="5"/>
        <v>277</v>
      </c>
      <c r="AQ30" s="816">
        <f>FLN!AJ30</f>
        <v>0</v>
      </c>
      <c r="AR30" s="816">
        <f>FLN!AK30</f>
        <v>0</v>
      </c>
      <c r="AS30" s="816">
        <f>FLN!AL30</f>
        <v>0</v>
      </c>
      <c r="AT30" s="816">
        <f>FLN!AM30</f>
        <v>0</v>
      </c>
      <c r="AU30" s="823" t="str">
        <f t="shared" si="6"/>
        <v>278</v>
      </c>
      <c r="AV30" s="816">
        <f>FLN!AN30</f>
        <v>0</v>
      </c>
      <c r="AW30" s="816">
        <f>FLN!AO30</f>
        <v>0</v>
      </c>
      <c r="AX30" s="816">
        <f>FLN!AP30</f>
        <v>0</v>
      </c>
      <c r="AY30" s="816">
        <f>FLN!AQ30</f>
        <v>0</v>
      </c>
      <c r="AZ30" s="823" t="str">
        <f t="shared" si="7"/>
        <v>279</v>
      </c>
      <c r="BA30" s="816">
        <f>FLN!AR30</f>
        <v>0</v>
      </c>
      <c r="BB30" s="816">
        <f>FLN!AS30</f>
        <v>0</v>
      </c>
      <c r="BC30" s="816">
        <f>FLN!AT30</f>
        <v>0</v>
      </c>
      <c r="BD30" s="816">
        <f>FLN!AU30</f>
        <v>0</v>
      </c>
      <c r="BE30" s="823" t="str">
        <f t="shared" si="8"/>
        <v>2710</v>
      </c>
      <c r="BF30" s="816">
        <f>FLN!AV30</f>
        <v>0</v>
      </c>
      <c r="BG30" s="816">
        <f>FLN!AW30</f>
        <v>0</v>
      </c>
      <c r="BH30" s="816">
        <f>FLN!AX30</f>
        <v>0</v>
      </c>
      <c r="BI30" s="816">
        <f>FLN!AY30</f>
        <v>0</v>
      </c>
      <c r="BJ30" s="823" t="str">
        <f t="shared" si="9"/>
        <v>2711</v>
      </c>
      <c r="BK30" s="816">
        <f>FLN!AZ30</f>
        <v>0</v>
      </c>
      <c r="BL30" s="816">
        <f>FLN!BA30</f>
        <v>0</v>
      </c>
      <c r="BM30" s="816">
        <f>FLN!BB30</f>
        <v>0</v>
      </c>
      <c r="BN30" s="816">
        <f>FLN!BC30</f>
        <v>0</v>
      </c>
      <c r="BO30" s="823" t="str">
        <f t="shared" si="10"/>
        <v>2712</v>
      </c>
      <c r="BP30" s="816">
        <f>FLN!BD30</f>
        <v>0</v>
      </c>
      <c r="BQ30" s="816">
        <f>FLN!BE30</f>
        <v>0</v>
      </c>
      <c r="BR30" s="816">
        <f>FLN!BF30</f>
        <v>0</v>
      </c>
      <c r="BS30" s="816">
        <f>FLN!BG30</f>
        <v>0</v>
      </c>
      <c r="BT30" s="823" t="str">
        <f t="shared" si="11"/>
        <v>2713</v>
      </c>
      <c r="BU30" s="816">
        <f>FLN!BH30</f>
        <v>0</v>
      </c>
      <c r="BV30" s="816">
        <f>FLN!BI30</f>
        <v>0</v>
      </c>
      <c r="BW30" s="816">
        <f>FLN!BJ30</f>
        <v>0</v>
      </c>
      <c r="BX30" s="816">
        <f>FLN!BK30</f>
        <v>0</v>
      </c>
      <c r="BY30" s="823" t="str">
        <f t="shared" si="12"/>
        <v>2714</v>
      </c>
      <c r="BZ30" s="816">
        <f>FLN!BL30</f>
        <v>0</v>
      </c>
      <c r="CA30" s="816">
        <f>FLN!BM30</f>
        <v>0</v>
      </c>
      <c r="CB30" s="816">
        <f>FLN!BN30</f>
        <v>0</v>
      </c>
      <c r="CC30" s="816">
        <f>FLN!BO30</f>
        <v>0</v>
      </c>
      <c r="CD30" s="823" t="str">
        <f t="shared" si="13"/>
        <v>2715</v>
      </c>
      <c r="CE30" s="816">
        <f>FLN!BP30</f>
        <v>0</v>
      </c>
      <c r="CF30" s="816">
        <f>FLN!BQ30</f>
        <v>0</v>
      </c>
      <c r="CG30" s="816">
        <f>FLN!BR30</f>
        <v>0</v>
      </c>
      <c r="CH30" s="816">
        <f>FLN!BS30</f>
        <v>0</v>
      </c>
      <c r="CI30" s="823" t="str">
        <f t="shared" si="14"/>
        <v>2716</v>
      </c>
      <c r="CJ30" s="816">
        <f>FLN!BT30</f>
        <v>0</v>
      </c>
      <c r="CK30" s="816">
        <f>FLN!BU30</f>
        <v>0</v>
      </c>
      <c r="CL30" s="816">
        <f>FLN!BV30</f>
        <v>0</v>
      </c>
      <c r="CM30" s="816">
        <f>FLN!BW30</f>
        <v>0</v>
      </c>
      <c r="CN30" s="823" t="str">
        <f t="shared" si="15"/>
        <v>2717</v>
      </c>
      <c r="CO30" s="816">
        <f>FLN!BX30</f>
        <v>0</v>
      </c>
      <c r="CP30" s="816">
        <f>FLN!BY30</f>
        <v>0</v>
      </c>
      <c r="CQ30" s="816">
        <f>FLN!BZ30</f>
        <v>0</v>
      </c>
      <c r="CR30" s="816">
        <f>FLN!CA30</f>
        <v>0</v>
      </c>
      <c r="CS30" s="823" t="str">
        <f t="shared" si="16"/>
        <v>2718</v>
      </c>
      <c r="CT30" s="816">
        <f>FLN!CB30</f>
        <v>0</v>
      </c>
      <c r="CU30" s="816">
        <f>FLN!CC30</f>
        <v>0</v>
      </c>
      <c r="CV30" s="816">
        <f>FLN!CD30</f>
        <v>0</v>
      </c>
      <c r="CW30" s="816">
        <f>FLN!CE30</f>
        <v>0</v>
      </c>
      <c r="CX30" s="823" t="str">
        <f t="shared" si="17"/>
        <v>2719</v>
      </c>
      <c r="CY30" s="816">
        <f>FLN!CF30</f>
        <v>0</v>
      </c>
      <c r="CZ30" s="816">
        <f>FLN!CG30</f>
        <v>0</v>
      </c>
      <c r="DA30" s="816">
        <f>FLN!CH30</f>
        <v>0</v>
      </c>
      <c r="DB30" s="816">
        <f>FLN!CI30</f>
        <v>0</v>
      </c>
      <c r="DC30" s="823" t="str">
        <f t="shared" si="18"/>
        <v>2720</v>
      </c>
      <c r="DD30" s="816">
        <f>FLN!CJ30</f>
        <v>0</v>
      </c>
      <c r="DE30" s="816">
        <f>FLN!CK30</f>
        <v>0</v>
      </c>
      <c r="DF30" s="816">
        <f>FLN!CL30</f>
        <v>0</v>
      </c>
      <c r="DG30" s="816">
        <f>FLN!CM30</f>
        <v>0</v>
      </c>
      <c r="DH30" s="823" t="str">
        <f t="shared" si="19"/>
        <v>2721</v>
      </c>
      <c r="DI30" s="816">
        <f>FLN!CN30</f>
        <v>0</v>
      </c>
      <c r="DJ30" s="816">
        <f>FLN!CO30</f>
        <v>0</v>
      </c>
      <c r="DK30" s="816">
        <f>FLN!CP30</f>
        <v>0</v>
      </c>
      <c r="DL30" s="816">
        <f>FLN!CQ30</f>
        <v>0</v>
      </c>
      <c r="DM30" s="823" t="str">
        <f t="shared" si="20"/>
        <v>2722</v>
      </c>
      <c r="DN30" s="816">
        <f>FLN!CR30</f>
        <v>0</v>
      </c>
      <c r="DO30" s="816">
        <f>FLN!CS30</f>
        <v>0</v>
      </c>
      <c r="DP30" s="816">
        <f>FLN!CT30</f>
        <v>0</v>
      </c>
      <c r="DQ30" s="816">
        <f>FLN!CU30</f>
        <v>0</v>
      </c>
      <c r="DR30" s="823" t="str">
        <f t="shared" si="21"/>
        <v>2723</v>
      </c>
      <c r="DS30" s="816">
        <f>FLN!CV30</f>
        <v>0</v>
      </c>
      <c r="DT30" s="816">
        <f>FLN!CW30</f>
        <v>0</v>
      </c>
      <c r="DU30" s="816">
        <f>FLN!CX30</f>
        <v>0</v>
      </c>
      <c r="DV30" s="816">
        <f>FLN!CY30</f>
        <v>0</v>
      </c>
      <c r="DW30" s="823" t="str">
        <f t="shared" si="22"/>
        <v>2724</v>
      </c>
      <c r="DX30" s="816">
        <f>FLN!CZ30</f>
        <v>0</v>
      </c>
      <c r="DY30" s="816">
        <f>FLN!DA30</f>
        <v>0</v>
      </c>
      <c r="DZ30" s="816">
        <f>FLN!DB30</f>
        <v>0</v>
      </c>
      <c r="EA30" s="816">
        <f>FLN!DC30</f>
        <v>0</v>
      </c>
      <c r="EB30" s="823" t="str">
        <f t="shared" si="23"/>
        <v>2725</v>
      </c>
      <c r="EC30" s="816">
        <f>FLN!DD30</f>
        <v>0</v>
      </c>
      <c r="ED30" s="816">
        <f>FLN!DE30</f>
        <v>0</v>
      </c>
      <c r="EE30" s="816">
        <f>FLN!DF30</f>
        <v>0</v>
      </c>
      <c r="EF30" s="816">
        <f>FLN!DG30</f>
        <v>0</v>
      </c>
    </row>
    <row r="31" spans="1:136">
      <c r="A31" s="824">
        <v>28</v>
      </c>
      <c r="B31" s="824">
        <f>STUDENT!F29</f>
        <v>14999</v>
      </c>
      <c r="C31" s="824">
        <f>STUDENT!D29</f>
        <v>20250104050</v>
      </c>
      <c r="D31" s="827" t="str">
        <f>STUDENT!E29</f>
        <v>ABDUL REHMAN</v>
      </c>
      <c r="E31" s="827" t="str">
        <f>STUDENT!H29</f>
        <v>MD LAL BABU</v>
      </c>
      <c r="F31" s="828" t="str">
        <f>FLN!F31</f>
        <v>Alphabets</v>
      </c>
      <c r="G31" s="828" t="str">
        <f>FLN!G31</f>
        <v>Number Recognition (10-99)</v>
      </c>
      <c r="H31" s="828" t="str">
        <f>FLN!H31</f>
        <v>Character</v>
      </c>
      <c r="I31" s="824">
        <f>FLN!I31</f>
        <v>2</v>
      </c>
      <c r="J31" s="824">
        <f>FLN!J31</f>
        <v>2</v>
      </c>
      <c r="K31" s="824">
        <f>FLN!K31</f>
        <v>3</v>
      </c>
      <c r="L31" s="823" t="str">
        <f t="shared" si="24"/>
        <v>281</v>
      </c>
      <c r="M31" s="816">
        <f>FLN!L31</f>
        <v>2</v>
      </c>
      <c r="N31" s="816">
        <f>FLN!M31</f>
        <v>2</v>
      </c>
      <c r="O31" s="816">
        <f>FLN!N31</f>
        <v>3</v>
      </c>
      <c r="P31" s="816">
        <f>FLN!O31</f>
        <v>0</v>
      </c>
      <c r="Q31" s="823" t="str">
        <f t="shared" si="0"/>
        <v>282</v>
      </c>
      <c r="R31" s="816">
        <f>FLN!P31</f>
        <v>2</v>
      </c>
      <c r="S31" s="816">
        <f>FLN!Q31</f>
        <v>2</v>
      </c>
      <c r="T31" s="816">
        <f>FLN!R31</f>
        <v>3</v>
      </c>
      <c r="U31" s="816">
        <f>FLN!S31</f>
        <v>0</v>
      </c>
      <c r="V31" s="823" t="str">
        <f t="shared" si="1"/>
        <v>283</v>
      </c>
      <c r="W31" s="816">
        <f>FLN!T31</f>
        <v>2</v>
      </c>
      <c r="X31" s="816">
        <f>FLN!U31</f>
        <v>2</v>
      </c>
      <c r="Y31" s="816">
        <f>FLN!V31</f>
        <v>3</v>
      </c>
      <c r="Z31" s="816">
        <f>FLN!W31</f>
        <v>0</v>
      </c>
      <c r="AA31" s="823" t="str">
        <f t="shared" si="2"/>
        <v>284</v>
      </c>
      <c r="AB31" s="816">
        <f>FLN!X31</f>
        <v>2</v>
      </c>
      <c r="AC31" s="816">
        <f>FLN!Y31</f>
        <v>2</v>
      </c>
      <c r="AD31" s="816">
        <f>FLN!Z31</f>
        <v>3</v>
      </c>
      <c r="AE31" s="816">
        <f>FLN!AA31</f>
        <v>0</v>
      </c>
      <c r="AF31" s="823" t="str">
        <f t="shared" si="3"/>
        <v>285</v>
      </c>
      <c r="AG31" s="816">
        <f>FLN!AB31</f>
        <v>2</v>
      </c>
      <c r="AH31" s="816">
        <f>FLN!AC31</f>
        <v>2</v>
      </c>
      <c r="AI31" s="816">
        <f>FLN!AD31</f>
        <v>3</v>
      </c>
      <c r="AJ31" s="816">
        <f>FLN!AE31</f>
        <v>0</v>
      </c>
      <c r="AK31" s="823" t="str">
        <f t="shared" si="4"/>
        <v>286</v>
      </c>
      <c r="AL31" s="816">
        <f>FLN!AF31</f>
        <v>2</v>
      </c>
      <c r="AM31" s="816">
        <f>FLN!AG31</f>
        <v>2</v>
      </c>
      <c r="AN31" s="816">
        <f>FLN!AH31</f>
        <v>3</v>
      </c>
      <c r="AO31" s="816">
        <f>FLN!AI31</f>
        <v>0</v>
      </c>
      <c r="AP31" s="823" t="str">
        <f t="shared" si="5"/>
        <v>287</v>
      </c>
      <c r="AQ31" s="816">
        <f>FLN!AJ31</f>
        <v>0</v>
      </c>
      <c r="AR31" s="816">
        <f>FLN!AK31</f>
        <v>0</v>
      </c>
      <c r="AS31" s="816">
        <f>FLN!AL31</f>
        <v>0</v>
      </c>
      <c r="AT31" s="816">
        <f>FLN!AM31</f>
        <v>0</v>
      </c>
      <c r="AU31" s="823" t="str">
        <f t="shared" si="6"/>
        <v>288</v>
      </c>
      <c r="AV31" s="816">
        <f>FLN!AN31</f>
        <v>0</v>
      </c>
      <c r="AW31" s="816">
        <f>FLN!AO31</f>
        <v>0</v>
      </c>
      <c r="AX31" s="816">
        <f>FLN!AP31</f>
        <v>0</v>
      </c>
      <c r="AY31" s="816">
        <f>FLN!AQ31</f>
        <v>0</v>
      </c>
      <c r="AZ31" s="823" t="str">
        <f t="shared" si="7"/>
        <v>289</v>
      </c>
      <c r="BA31" s="816">
        <f>FLN!AR31</f>
        <v>0</v>
      </c>
      <c r="BB31" s="816">
        <f>FLN!AS31</f>
        <v>0</v>
      </c>
      <c r="BC31" s="816">
        <f>FLN!AT31</f>
        <v>0</v>
      </c>
      <c r="BD31" s="816">
        <f>FLN!AU31</f>
        <v>0</v>
      </c>
      <c r="BE31" s="823" t="str">
        <f t="shared" si="8"/>
        <v>2810</v>
      </c>
      <c r="BF31" s="816">
        <f>FLN!AV31</f>
        <v>0</v>
      </c>
      <c r="BG31" s="816">
        <f>FLN!AW31</f>
        <v>0</v>
      </c>
      <c r="BH31" s="816">
        <f>FLN!AX31</f>
        <v>0</v>
      </c>
      <c r="BI31" s="816">
        <f>FLN!AY31</f>
        <v>0</v>
      </c>
      <c r="BJ31" s="823" t="str">
        <f t="shared" si="9"/>
        <v>2811</v>
      </c>
      <c r="BK31" s="816">
        <f>FLN!AZ31</f>
        <v>0</v>
      </c>
      <c r="BL31" s="816">
        <f>FLN!BA31</f>
        <v>0</v>
      </c>
      <c r="BM31" s="816">
        <f>FLN!BB31</f>
        <v>0</v>
      </c>
      <c r="BN31" s="816">
        <f>FLN!BC31</f>
        <v>0</v>
      </c>
      <c r="BO31" s="823" t="str">
        <f t="shared" si="10"/>
        <v>2812</v>
      </c>
      <c r="BP31" s="816">
        <f>FLN!BD31</f>
        <v>0</v>
      </c>
      <c r="BQ31" s="816">
        <f>FLN!BE31</f>
        <v>0</v>
      </c>
      <c r="BR31" s="816">
        <f>FLN!BF31</f>
        <v>0</v>
      </c>
      <c r="BS31" s="816">
        <f>FLN!BG31</f>
        <v>0</v>
      </c>
      <c r="BT31" s="823" t="str">
        <f t="shared" si="11"/>
        <v>2813</v>
      </c>
      <c r="BU31" s="816">
        <f>FLN!BH31</f>
        <v>0</v>
      </c>
      <c r="BV31" s="816">
        <f>FLN!BI31</f>
        <v>0</v>
      </c>
      <c r="BW31" s="816">
        <f>FLN!BJ31</f>
        <v>0</v>
      </c>
      <c r="BX31" s="816">
        <f>FLN!BK31</f>
        <v>0</v>
      </c>
      <c r="BY31" s="823" t="str">
        <f t="shared" si="12"/>
        <v>2814</v>
      </c>
      <c r="BZ31" s="816">
        <f>FLN!BL31</f>
        <v>0</v>
      </c>
      <c r="CA31" s="816">
        <f>FLN!BM31</f>
        <v>0</v>
      </c>
      <c r="CB31" s="816">
        <f>FLN!BN31</f>
        <v>0</v>
      </c>
      <c r="CC31" s="816">
        <f>FLN!BO31</f>
        <v>0</v>
      </c>
      <c r="CD31" s="823" t="str">
        <f t="shared" si="13"/>
        <v>2815</v>
      </c>
      <c r="CE31" s="816">
        <f>FLN!BP31</f>
        <v>0</v>
      </c>
      <c r="CF31" s="816">
        <f>FLN!BQ31</f>
        <v>0</v>
      </c>
      <c r="CG31" s="816">
        <f>FLN!BR31</f>
        <v>0</v>
      </c>
      <c r="CH31" s="816">
        <f>FLN!BS31</f>
        <v>0</v>
      </c>
      <c r="CI31" s="823" t="str">
        <f t="shared" si="14"/>
        <v>2816</v>
      </c>
      <c r="CJ31" s="816">
        <f>FLN!BT31</f>
        <v>0</v>
      </c>
      <c r="CK31" s="816">
        <f>FLN!BU31</f>
        <v>0</v>
      </c>
      <c r="CL31" s="816">
        <f>FLN!BV31</f>
        <v>0</v>
      </c>
      <c r="CM31" s="816">
        <f>FLN!BW31</f>
        <v>0</v>
      </c>
      <c r="CN31" s="823" t="str">
        <f t="shared" si="15"/>
        <v>2817</v>
      </c>
      <c r="CO31" s="816">
        <f>FLN!BX31</f>
        <v>0</v>
      </c>
      <c r="CP31" s="816">
        <f>FLN!BY31</f>
        <v>0</v>
      </c>
      <c r="CQ31" s="816">
        <f>FLN!BZ31</f>
        <v>0</v>
      </c>
      <c r="CR31" s="816">
        <f>FLN!CA31</f>
        <v>0</v>
      </c>
      <c r="CS31" s="823" t="str">
        <f t="shared" si="16"/>
        <v>2818</v>
      </c>
      <c r="CT31" s="816">
        <f>FLN!CB31</f>
        <v>0</v>
      </c>
      <c r="CU31" s="816">
        <f>FLN!CC31</f>
        <v>0</v>
      </c>
      <c r="CV31" s="816">
        <f>FLN!CD31</f>
        <v>0</v>
      </c>
      <c r="CW31" s="816">
        <f>FLN!CE31</f>
        <v>0</v>
      </c>
      <c r="CX31" s="823" t="str">
        <f t="shared" si="17"/>
        <v>2819</v>
      </c>
      <c r="CY31" s="816">
        <f>FLN!CF31</f>
        <v>0</v>
      </c>
      <c r="CZ31" s="816">
        <f>FLN!CG31</f>
        <v>0</v>
      </c>
      <c r="DA31" s="816">
        <f>FLN!CH31</f>
        <v>0</v>
      </c>
      <c r="DB31" s="816">
        <f>FLN!CI31</f>
        <v>0</v>
      </c>
      <c r="DC31" s="823" t="str">
        <f t="shared" si="18"/>
        <v>2820</v>
      </c>
      <c r="DD31" s="816">
        <f>FLN!CJ31</f>
        <v>0</v>
      </c>
      <c r="DE31" s="816">
        <f>FLN!CK31</f>
        <v>0</v>
      </c>
      <c r="DF31" s="816">
        <f>FLN!CL31</f>
        <v>0</v>
      </c>
      <c r="DG31" s="816">
        <f>FLN!CM31</f>
        <v>0</v>
      </c>
      <c r="DH31" s="823" t="str">
        <f t="shared" si="19"/>
        <v>2821</v>
      </c>
      <c r="DI31" s="816">
        <f>FLN!CN31</f>
        <v>0</v>
      </c>
      <c r="DJ31" s="816">
        <f>FLN!CO31</f>
        <v>0</v>
      </c>
      <c r="DK31" s="816">
        <f>FLN!CP31</f>
        <v>0</v>
      </c>
      <c r="DL31" s="816">
        <f>FLN!CQ31</f>
        <v>0</v>
      </c>
      <c r="DM31" s="823" t="str">
        <f t="shared" si="20"/>
        <v>2822</v>
      </c>
      <c r="DN31" s="816">
        <f>FLN!CR31</f>
        <v>0</v>
      </c>
      <c r="DO31" s="816">
        <f>FLN!CS31</f>
        <v>0</v>
      </c>
      <c r="DP31" s="816">
        <f>FLN!CT31</f>
        <v>0</v>
      </c>
      <c r="DQ31" s="816">
        <f>FLN!CU31</f>
        <v>0</v>
      </c>
      <c r="DR31" s="823" t="str">
        <f t="shared" si="21"/>
        <v>2823</v>
      </c>
      <c r="DS31" s="816">
        <f>FLN!CV31</f>
        <v>0</v>
      </c>
      <c r="DT31" s="816">
        <f>FLN!CW31</f>
        <v>0</v>
      </c>
      <c r="DU31" s="816">
        <f>FLN!CX31</f>
        <v>0</v>
      </c>
      <c r="DV31" s="816">
        <f>FLN!CY31</f>
        <v>0</v>
      </c>
      <c r="DW31" s="823" t="str">
        <f t="shared" si="22"/>
        <v>2824</v>
      </c>
      <c r="DX31" s="816">
        <f>FLN!CZ31</f>
        <v>0</v>
      </c>
      <c r="DY31" s="816">
        <f>FLN!DA31</f>
        <v>0</v>
      </c>
      <c r="DZ31" s="816">
        <f>FLN!DB31</f>
        <v>0</v>
      </c>
      <c r="EA31" s="816">
        <f>FLN!DC31</f>
        <v>0</v>
      </c>
      <c r="EB31" s="823" t="str">
        <f t="shared" si="23"/>
        <v>2825</v>
      </c>
      <c r="EC31" s="816">
        <f>FLN!DD31</f>
        <v>0</v>
      </c>
      <c r="ED31" s="816">
        <f>FLN!DE31</f>
        <v>0</v>
      </c>
      <c r="EE31" s="816">
        <f>FLN!DF31</f>
        <v>0</v>
      </c>
      <c r="EF31" s="816">
        <f>FLN!DG31</f>
        <v>0</v>
      </c>
    </row>
    <row r="32" spans="1:136">
      <c r="A32" s="824">
        <v>29</v>
      </c>
      <c r="B32" s="824">
        <f>STUDENT!F30</f>
        <v>15000</v>
      </c>
      <c r="C32" s="824">
        <f>STUDENT!D30</f>
        <v>20250104062</v>
      </c>
      <c r="D32" s="827" t="str">
        <f>STUDENT!E30</f>
        <v>KARTIK</v>
      </c>
      <c r="E32" s="827" t="str">
        <f>STUDENT!H30</f>
        <v>AMAN YADAV</v>
      </c>
      <c r="F32" s="828" t="str">
        <f>FLN!F32</f>
        <v>Alphabets</v>
      </c>
      <c r="G32" s="828" t="str">
        <f>FLN!G32</f>
        <v>Number Recognition (10-99)</v>
      </c>
      <c r="H32" s="828" t="str">
        <f>FLN!H32</f>
        <v>Character</v>
      </c>
      <c r="I32" s="824">
        <f>FLN!I32</f>
        <v>2</v>
      </c>
      <c r="J32" s="824">
        <f>FLN!J32</f>
        <v>2</v>
      </c>
      <c r="K32" s="824">
        <f>FLN!K32</f>
        <v>3</v>
      </c>
      <c r="L32" s="823" t="str">
        <f t="shared" si="24"/>
        <v>291</v>
      </c>
      <c r="M32" s="816">
        <f>FLN!L32</f>
        <v>2</v>
      </c>
      <c r="N32" s="816">
        <f>FLN!M32</f>
        <v>2</v>
      </c>
      <c r="O32" s="816">
        <f>FLN!N32</f>
        <v>3</v>
      </c>
      <c r="P32" s="816">
        <f>FLN!O32</f>
        <v>0</v>
      </c>
      <c r="Q32" s="823" t="str">
        <f t="shared" si="0"/>
        <v>292</v>
      </c>
      <c r="R32" s="816">
        <f>FLN!P32</f>
        <v>2</v>
      </c>
      <c r="S32" s="816">
        <f>FLN!Q32</f>
        <v>2</v>
      </c>
      <c r="T32" s="816">
        <f>FLN!R32</f>
        <v>3</v>
      </c>
      <c r="U32" s="816">
        <f>FLN!S32</f>
        <v>0</v>
      </c>
      <c r="V32" s="823" t="str">
        <f t="shared" si="1"/>
        <v>293</v>
      </c>
      <c r="W32" s="816">
        <f>FLN!T32</f>
        <v>2</v>
      </c>
      <c r="X32" s="816">
        <f>FLN!U32</f>
        <v>2</v>
      </c>
      <c r="Y32" s="816">
        <f>FLN!V32</f>
        <v>3</v>
      </c>
      <c r="Z32" s="816">
        <f>FLN!W32</f>
        <v>0</v>
      </c>
      <c r="AA32" s="823" t="str">
        <f t="shared" si="2"/>
        <v>294</v>
      </c>
      <c r="AB32" s="816">
        <f>FLN!X32</f>
        <v>2</v>
      </c>
      <c r="AC32" s="816">
        <f>FLN!Y32</f>
        <v>2</v>
      </c>
      <c r="AD32" s="816">
        <f>FLN!Z32</f>
        <v>3</v>
      </c>
      <c r="AE32" s="816">
        <f>FLN!AA32</f>
        <v>0</v>
      </c>
      <c r="AF32" s="823" t="str">
        <f t="shared" si="3"/>
        <v>295</v>
      </c>
      <c r="AG32" s="816">
        <f>FLN!AB32</f>
        <v>2</v>
      </c>
      <c r="AH32" s="816">
        <f>FLN!AC32</f>
        <v>2</v>
      </c>
      <c r="AI32" s="816">
        <f>FLN!AD32</f>
        <v>3</v>
      </c>
      <c r="AJ32" s="816">
        <f>FLN!AE32</f>
        <v>0</v>
      </c>
      <c r="AK32" s="823" t="str">
        <f t="shared" si="4"/>
        <v>296</v>
      </c>
      <c r="AL32" s="816">
        <f>FLN!AF32</f>
        <v>2</v>
      </c>
      <c r="AM32" s="816">
        <f>FLN!AG32</f>
        <v>2</v>
      </c>
      <c r="AN32" s="816">
        <f>FLN!AH32</f>
        <v>3</v>
      </c>
      <c r="AO32" s="816">
        <f>FLN!AI32</f>
        <v>0</v>
      </c>
      <c r="AP32" s="823" t="str">
        <f t="shared" si="5"/>
        <v>297</v>
      </c>
      <c r="AQ32" s="816">
        <f>FLN!AJ32</f>
        <v>0</v>
      </c>
      <c r="AR32" s="816">
        <f>FLN!AK32</f>
        <v>0</v>
      </c>
      <c r="AS32" s="816">
        <f>FLN!AL32</f>
        <v>0</v>
      </c>
      <c r="AT32" s="816">
        <f>FLN!AM32</f>
        <v>0</v>
      </c>
      <c r="AU32" s="823" t="str">
        <f t="shared" si="6"/>
        <v>298</v>
      </c>
      <c r="AV32" s="816">
        <f>FLN!AN32</f>
        <v>0</v>
      </c>
      <c r="AW32" s="816">
        <f>FLN!AO32</f>
        <v>0</v>
      </c>
      <c r="AX32" s="816">
        <f>FLN!AP32</f>
        <v>0</v>
      </c>
      <c r="AY32" s="816">
        <f>FLN!AQ32</f>
        <v>0</v>
      </c>
      <c r="AZ32" s="823" t="str">
        <f t="shared" si="7"/>
        <v>299</v>
      </c>
      <c r="BA32" s="816">
        <f>FLN!AR32</f>
        <v>0</v>
      </c>
      <c r="BB32" s="816">
        <f>FLN!AS32</f>
        <v>0</v>
      </c>
      <c r="BC32" s="816">
        <f>FLN!AT32</f>
        <v>0</v>
      </c>
      <c r="BD32" s="816">
        <f>FLN!AU32</f>
        <v>0</v>
      </c>
      <c r="BE32" s="823" t="str">
        <f t="shared" si="8"/>
        <v>2910</v>
      </c>
      <c r="BF32" s="816">
        <f>FLN!AV32</f>
        <v>0</v>
      </c>
      <c r="BG32" s="816">
        <f>FLN!AW32</f>
        <v>0</v>
      </c>
      <c r="BH32" s="816">
        <f>FLN!AX32</f>
        <v>0</v>
      </c>
      <c r="BI32" s="816">
        <f>FLN!AY32</f>
        <v>0</v>
      </c>
      <c r="BJ32" s="823" t="str">
        <f t="shared" si="9"/>
        <v>2911</v>
      </c>
      <c r="BK32" s="816">
        <f>FLN!AZ32</f>
        <v>0</v>
      </c>
      <c r="BL32" s="816">
        <f>FLN!BA32</f>
        <v>0</v>
      </c>
      <c r="BM32" s="816">
        <f>FLN!BB32</f>
        <v>0</v>
      </c>
      <c r="BN32" s="816">
        <f>FLN!BC32</f>
        <v>0</v>
      </c>
      <c r="BO32" s="823" t="str">
        <f t="shared" si="10"/>
        <v>2912</v>
      </c>
      <c r="BP32" s="816">
        <f>FLN!BD32</f>
        <v>0</v>
      </c>
      <c r="BQ32" s="816">
        <f>FLN!BE32</f>
        <v>0</v>
      </c>
      <c r="BR32" s="816">
        <f>FLN!BF32</f>
        <v>0</v>
      </c>
      <c r="BS32" s="816">
        <f>FLN!BG32</f>
        <v>0</v>
      </c>
      <c r="BT32" s="823" t="str">
        <f t="shared" si="11"/>
        <v>2913</v>
      </c>
      <c r="BU32" s="816">
        <f>FLN!BH32</f>
        <v>0</v>
      </c>
      <c r="BV32" s="816">
        <f>FLN!BI32</f>
        <v>0</v>
      </c>
      <c r="BW32" s="816">
        <f>FLN!BJ32</f>
        <v>0</v>
      </c>
      <c r="BX32" s="816">
        <f>FLN!BK32</f>
        <v>0</v>
      </c>
      <c r="BY32" s="823" t="str">
        <f t="shared" si="12"/>
        <v>2914</v>
      </c>
      <c r="BZ32" s="816">
        <f>FLN!BL32</f>
        <v>0</v>
      </c>
      <c r="CA32" s="816">
        <f>FLN!BM32</f>
        <v>0</v>
      </c>
      <c r="CB32" s="816">
        <f>FLN!BN32</f>
        <v>0</v>
      </c>
      <c r="CC32" s="816">
        <f>FLN!BO32</f>
        <v>0</v>
      </c>
      <c r="CD32" s="823" t="str">
        <f t="shared" si="13"/>
        <v>2915</v>
      </c>
      <c r="CE32" s="816">
        <f>FLN!BP32</f>
        <v>0</v>
      </c>
      <c r="CF32" s="816">
        <f>FLN!BQ32</f>
        <v>0</v>
      </c>
      <c r="CG32" s="816">
        <f>FLN!BR32</f>
        <v>0</v>
      </c>
      <c r="CH32" s="816">
        <f>FLN!BS32</f>
        <v>0</v>
      </c>
      <c r="CI32" s="823" t="str">
        <f t="shared" si="14"/>
        <v>2916</v>
      </c>
      <c r="CJ32" s="816">
        <f>FLN!BT32</f>
        <v>0</v>
      </c>
      <c r="CK32" s="816">
        <f>FLN!BU32</f>
        <v>0</v>
      </c>
      <c r="CL32" s="816">
        <f>FLN!BV32</f>
        <v>0</v>
      </c>
      <c r="CM32" s="816">
        <f>FLN!BW32</f>
        <v>0</v>
      </c>
      <c r="CN32" s="823" t="str">
        <f t="shared" si="15"/>
        <v>2917</v>
      </c>
      <c r="CO32" s="816">
        <f>FLN!BX32</f>
        <v>0</v>
      </c>
      <c r="CP32" s="816">
        <f>FLN!BY32</f>
        <v>0</v>
      </c>
      <c r="CQ32" s="816">
        <f>FLN!BZ32</f>
        <v>0</v>
      </c>
      <c r="CR32" s="816">
        <f>FLN!CA32</f>
        <v>0</v>
      </c>
      <c r="CS32" s="823" t="str">
        <f t="shared" si="16"/>
        <v>2918</v>
      </c>
      <c r="CT32" s="816">
        <f>FLN!CB32</f>
        <v>0</v>
      </c>
      <c r="CU32" s="816">
        <f>FLN!CC32</f>
        <v>0</v>
      </c>
      <c r="CV32" s="816">
        <f>FLN!CD32</f>
        <v>0</v>
      </c>
      <c r="CW32" s="816">
        <f>FLN!CE32</f>
        <v>0</v>
      </c>
      <c r="CX32" s="823" t="str">
        <f t="shared" si="17"/>
        <v>2919</v>
      </c>
      <c r="CY32" s="816">
        <f>FLN!CF32</f>
        <v>0</v>
      </c>
      <c r="CZ32" s="816">
        <f>FLN!CG32</f>
        <v>0</v>
      </c>
      <c r="DA32" s="816">
        <f>FLN!CH32</f>
        <v>0</v>
      </c>
      <c r="DB32" s="816">
        <f>FLN!CI32</f>
        <v>0</v>
      </c>
      <c r="DC32" s="823" t="str">
        <f t="shared" si="18"/>
        <v>2920</v>
      </c>
      <c r="DD32" s="816">
        <f>FLN!CJ32</f>
        <v>0</v>
      </c>
      <c r="DE32" s="816">
        <f>FLN!CK32</f>
        <v>0</v>
      </c>
      <c r="DF32" s="816">
        <f>FLN!CL32</f>
        <v>0</v>
      </c>
      <c r="DG32" s="816">
        <f>FLN!CM32</f>
        <v>0</v>
      </c>
      <c r="DH32" s="823" t="str">
        <f t="shared" si="19"/>
        <v>2921</v>
      </c>
      <c r="DI32" s="816">
        <f>FLN!CN32</f>
        <v>0</v>
      </c>
      <c r="DJ32" s="816">
        <f>FLN!CO32</f>
        <v>0</v>
      </c>
      <c r="DK32" s="816">
        <f>FLN!CP32</f>
        <v>0</v>
      </c>
      <c r="DL32" s="816">
        <f>FLN!CQ32</f>
        <v>0</v>
      </c>
      <c r="DM32" s="823" t="str">
        <f t="shared" si="20"/>
        <v>2922</v>
      </c>
      <c r="DN32" s="816">
        <f>FLN!CR32</f>
        <v>0</v>
      </c>
      <c r="DO32" s="816">
        <f>FLN!CS32</f>
        <v>0</v>
      </c>
      <c r="DP32" s="816">
        <f>FLN!CT32</f>
        <v>0</v>
      </c>
      <c r="DQ32" s="816">
        <f>FLN!CU32</f>
        <v>0</v>
      </c>
      <c r="DR32" s="823" t="str">
        <f t="shared" si="21"/>
        <v>2923</v>
      </c>
      <c r="DS32" s="816">
        <f>FLN!CV32</f>
        <v>0</v>
      </c>
      <c r="DT32" s="816">
        <f>FLN!CW32</f>
        <v>0</v>
      </c>
      <c r="DU32" s="816">
        <f>FLN!CX32</f>
        <v>0</v>
      </c>
      <c r="DV32" s="816">
        <f>FLN!CY32</f>
        <v>0</v>
      </c>
      <c r="DW32" s="823" t="str">
        <f t="shared" si="22"/>
        <v>2924</v>
      </c>
      <c r="DX32" s="816">
        <f>FLN!CZ32</f>
        <v>0</v>
      </c>
      <c r="DY32" s="816">
        <f>FLN!DA32</f>
        <v>0</v>
      </c>
      <c r="DZ32" s="816">
        <f>FLN!DB32</f>
        <v>0</v>
      </c>
      <c r="EA32" s="816">
        <f>FLN!DC32</f>
        <v>0</v>
      </c>
      <c r="EB32" s="823" t="str">
        <f t="shared" si="23"/>
        <v>2925</v>
      </c>
      <c r="EC32" s="816">
        <f>FLN!DD32</f>
        <v>0</v>
      </c>
      <c r="ED32" s="816">
        <f>FLN!DE32</f>
        <v>0</v>
      </c>
      <c r="EE32" s="816">
        <f>FLN!DF32</f>
        <v>0</v>
      </c>
      <c r="EF32" s="816">
        <f>FLN!DG32</f>
        <v>0</v>
      </c>
    </row>
    <row r="33" spans="1:136">
      <c r="A33" s="824">
        <v>30</v>
      </c>
      <c r="B33" s="824">
        <f>STUDENT!F31</f>
        <v>15022</v>
      </c>
      <c r="C33" s="824">
        <f>STUDENT!D31</f>
        <v>20250141853</v>
      </c>
      <c r="D33" s="827" t="str">
        <f>STUDENT!E31</f>
        <v>AYAN</v>
      </c>
      <c r="E33" s="827" t="str">
        <f>STUDENT!H31</f>
        <v>BABU HASAN</v>
      </c>
      <c r="F33" s="828" t="str">
        <f>FLN!F33</f>
        <v>Alphabets</v>
      </c>
      <c r="G33" s="828" t="str">
        <f>FLN!G33</f>
        <v>Number Recognition (10-99)</v>
      </c>
      <c r="H33" s="828" t="str">
        <f>FLN!H33</f>
        <v>Character</v>
      </c>
      <c r="I33" s="824">
        <f>FLN!I33</f>
        <v>2</v>
      </c>
      <c r="J33" s="824">
        <f>FLN!J33</f>
        <v>2</v>
      </c>
      <c r="K33" s="824">
        <f>FLN!K33</f>
        <v>3</v>
      </c>
      <c r="L33" s="823" t="str">
        <f t="shared" si="24"/>
        <v>301</v>
      </c>
      <c r="M33" s="816">
        <f>FLN!L33</f>
        <v>2</v>
      </c>
      <c r="N33" s="816">
        <f>FLN!M33</f>
        <v>2</v>
      </c>
      <c r="O33" s="816">
        <f>FLN!N33</f>
        <v>3</v>
      </c>
      <c r="P33" s="816">
        <f>FLN!O33</f>
        <v>0</v>
      </c>
      <c r="Q33" s="823" t="str">
        <f t="shared" si="0"/>
        <v>302</v>
      </c>
      <c r="R33" s="816">
        <f>FLN!P33</f>
        <v>2</v>
      </c>
      <c r="S33" s="816">
        <f>FLN!Q33</f>
        <v>2</v>
      </c>
      <c r="T33" s="816">
        <f>FLN!R33</f>
        <v>3</v>
      </c>
      <c r="U33" s="816">
        <f>FLN!S33</f>
        <v>0</v>
      </c>
      <c r="V33" s="823" t="str">
        <f t="shared" si="1"/>
        <v>303</v>
      </c>
      <c r="W33" s="816">
        <f>FLN!T33</f>
        <v>2</v>
      </c>
      <c r="X33" s="816">
        <f>FLN!U33</f>
        <v>2</v>
      </c>
      <c r="Y33" s="816">
        <f>FLN!V33</f>
        <v>3</v>
      </c>
      <c r="Z33" s="816">
        <f>FLN!W33</f>
        <v>0</v>
      </c>
      <c r="AA33" s="823" t="str">
        <f t="shared" si="2"/>
        <v>304</v>
      </c>
      <c r="AB33" s="816">
        <f>FLN!X33</f>
        <v>2</v>
      </c>
      <c r="AC33" s="816">
        <f>FLN!Y33</f>
        <v>2</v>
      </c>
      <c r="AD33" s="816">
        <f>FLN!Z33</f>
        <v>3</v>
      </c>
      <c r="AE33" s="816">
        <f>FLN!AA33</f>
        <v>0</v>
      </c>
      <c r="AF33" s="823" t="str">
        <f t="shared" si="3"/>
        <v>305</v>
      </c>
      <c r="AG33" s="816">
        <f>FLN!AB33</f>
        <v>2</v>
      </c>
      <c r="AH33" s="816">
        <f>FLN!AC33</f>
        <v>2</v>
      </c>
      <c r="AI33" s="816">
        <f>FLN!AD33</f>
        <v>3</v>
      </c>
      <c r="AJ33" s="816">
        <f>FLN!AE33</f>
        <v>0</v>
      </c>
      <c r="AK33" s="823" t="str">
        <f t="shared" si="4"/>
        <v>306</v>
      </c>
      <c r="AL33" s="816">
        <f>FLN!AF33</f>
        <v>2</v>
      </c>
      <c r="AM33" s="816">
        <f>FLN!AG33</f>
        <v>2</v>
      </c>
      <c r="AN33" s="816">
        <f>FLN!AH33</f>
        <v>3</v>
      </c>
      <c r="AO33" s="816">
        <f>FLN!AI33</f>
        <v>0</v>
      </c>
      <c r="AP33" s="823" t="str">
        <f t="shared" si="5"/>
        <v>307</v>
      </c>
      <c r="AQ33" s="816">
        <f>FLN!AJ33</f>
        <v>0</v>
      </c>
      <c r="AR33" s="816">
        <f>FLN!AK33</f>
        <v>0</v>
      </c>
      <c r="AS33" s="816">
        <f>FLN!AL33</f>
        <v>0</v>
      </c>
      <c r="AT33" s="816">
        <f>FLN!AM33</f>
        <v>0</v>
      </c>
      <c r="AU33" s="823" t="str">
        <f t="shared" si="6"/>
        <v>308</v>
      </c>
      <c r="AV33" s="816">
        <f>FLN!AN33</f>
        <v>0</v>
      </c>
      <c r="AW33" s="816">
        <f>FLN!AO33</f>
        <v>0</v>
      </c>
      <c r="AX33" s="816">
        <f>FLN!AP33</f>
        <v>0</v>
      </c>
      <c r="AY33" s="816">
        <f>FLN!AQ33</f>
        <v>0</v>
      </c>
      <c r="AZ33" s="823" t="str">
        <f t="shared" si="7"/>
        <v>309</v>
      </c>
      <c r="BA33" s="816">
        <f>FLN!AR33</f>
        <v>0</v>
      </c>
      <c r="BB33" s="816">
        <f>FLN!AS33</f>
        <v>0</v>
      </c>
      <c r="BC33" s="816">
        <f>FLN!AT33</f>
        <v>0</v>
      </c>
      <c r="BD33" s="816">
        <f>FLN!AU33</f>
        <v>0</v>
      </c>
      <c r="BE33" s="823" t="str">
        <f t="shared" si="8"/>
        <v>3010</v>
      </c>
      <c r="BF33" s="816">
        <f>FLN!AV33</f>
        <v>0</v>
      </c>
      <c r="BG33" s="816">
        <f>FLN!AW33</f>
        <v>0</v>
      </c>
      <c r="BH33" s="816">
        <f>FLN!AX33</f>
        <v>0</v>
      </c>
      <c r="BI33" s="816">
        <f>FLN!AY33</f>
        <v>0</v>
      </c>
      <c r="BJ33" s="823" t="str">
        <f t="shared" si="9"/>
        <v>3011</v>
      </c>
      <c r="BK33" s="816">
        <f>FLN!AZ33</f>
        <v>0</v>
      </c>
      <c r="BL33" s="816">
        <f>FLN!BA33</f>
        <v>0</v>
      </c>
      <c r="BM33" s="816">
        <f>FLN!BB33</f>
        <v>0</v>
      </c>
      <c r="BN33" s="816">
        <f>FLN!BC33</f>
        <v>0</v>
      </c>
      <c r="BO33" s="823" t="str">
        <f t="shared" si="10"/>
        <v>3012</v>
      </c>
      <c r="BP33" s="816">
        <f>FLN!BD33</f>
        <v>0</v>
      </c>
      <c r="BQ33" s="816">
        <f>FLN!BE33</f>
        <v>0</v>
      </c>
      <c r="BR33" s="816">
        <f>FLN!BF33</f>
        <v>0</v>
      </c>
      <c r="BS33" s="816">
        <f>FLN!BG33</f>
        <v>0</v>
      </c>
      <c r="BT33" s="823" t="str">
        <f t="shared" si="11"/>
        <v>3013</v>
      </c>
      <c r="BU33" s="816">
        <f>FLN!BH33</f>
        <v>0</v>
      </c>
      <c r="BV33" s="816">
        <f>FLN!BI33</f>
        <v>0</v>
      </c>
      <c r="BW33" s="816">
        <f>FLN!BJ33</f>
        <v>0</v>
      </c>
      <c r="BX33" s="816">
        <f>FLN!BK33</f>
        <v>0</v>
      </c>
      <c r="BY33" s="823" t="str">
        <f t="shared" si="12"/>
        <v>3014</v>
      </c>
      <c r="BZ33" s="816">
        <f>FLN!BL33</f>
        <v>0</v>
      </c>
      <c r="CA33" s="816">
        <f>FLN!BM33</f>
        <v>0</v>
      </c>
      <c r="CB33" s="816">
        <f>FLN!BN33</f>
        <v>0</v>
      </c>
      <c r="CC33" s="816">
        <f>FLN!BO33</f>
        <v>0</v>
      </c>
      <c r="CD33" s="823" t="str">
        <f t="shared" si="13"/>
        <v>3015</v>
      </c>
      <c r="CE33" s="816">
        <f>FLN!BP33</f>
        <v>0</v>
      </c>
      <c r="CF33" s="816">
        <f>FLN!BQ33</f>
        <v>0</v>
      </c>
      <c r="CG33" s="816">
        <f>FLN!BR33</f>
        <v>0</v>
      </c>
      <c r="CH33" s="816">
        <f>FLN!BS33</f>
        <v>0</v>
      </c>
      <c r="CI33" s="823" t="str">
        <f t="shared" si="14"/>
        <v>3016</v>
      </c>
      <c r="CJ33" s="816">
        <f>FLN!BT33</f>
        <v>0</v>
      </c>
      <c r="CK33" s="816">
        <f>FLN!BU33</f>
        <v>0</v>
      </c>
      <c r="CL33" s="816">
        <f>FLN!BV33</f>
        <v>0</v>
      </c>
      <c r="CM33" s="816">
        <f>FLN!BW33</f>
        <v>0</v>
      </c>
      <c r="CN33" s="823" t="str">
        <f t="shared" si="15"/>
        <v>3017</v>
      </c>
      <c r="CO33" s="816">
        <f>FLN!BX33</f>
        <v>0</v>
      </c>
      <c r="CP33" s="816">
        <f>FLN!BY33</f>
        <v>0</v>
      </c>
      <c r="CQ33" s="816">
        <f>FLN!BZ33</f>
        <v>0</v>
      </c>
      <c r="CR33" s="816">
        <f>FLN!CA33</f>
        <v>0</v>
      </c>
      <c r="CS33" s="823" t="str">
        <f t="shared" si="16"/>
        <v>3018</v>
      </c>
      <c r="CT33" s="816">
        <f>FLN!CB33</f>
        <v>0</v>
      </c>
      <c r="CU33" s="816">
        <f>FLN!CC33</f>
        <v>0</v>
      </c>
      <c r="CV33" s="816">
        <f>FLN!CD33</f>
        <v>0</v>
      </c>
      <c r="CW33" s="816">
        <f>FLN!CE33</f>
        <v>0</v>
      </c>
      <c r="CX33" s="823" t="str">
        <f t="shared" si="17"/>
        <v>3019</v>
      </c>
      <c r="CY33" s="816">
        <f>FLN!CF33</f>
        <v>0</v>
      </c>
      <c r="CZ33" s="816">
        <f>FLN!CG33</f>
        <v>0</v>
      </c>
      <c r="DA33" s="816">
        <f>FLN!CH33</f>
        <v>0</v>
      </c>
      <c r="DB33" s="816">
        <f>FLN!CI33</f>
        <v>0</v>
      </c>
      <c r="DC33" s="823" t="str">
        <f t="shared" si="18"/>
        <v>3020</v>
      </c>
      <c r="DD33" s="816">
        <f>FLN!CJ33</f>
        <v>0</v>
      </c>
      <c r="DE33" s="816">
        <f>FLN!CK33</f>
        <v>0</v>
      </c>
      <c r="DF33" s="816">
        <f>FLN!CL33</f>
        <v>0</v>
      </c>
      <c r="DG33" s="816">
        <f>FLN!CM33</f>
        <v>0</v>
      </c>
      <c r="DH33" s="823" t="str">
        <f t="shared" si="19"/>
        <v>3021</v>
      </c>
      <c r="DI33" s="816">
        <f>FLN!CN33</f>
        <v>0</v>
      </c>
      <c r="DJ33" s="816">
        <f>FLN!CO33</f>
        <v>0</v>
      </c>
      <c r="DK33" s="816">
        <f>FLN!CP33</f>
        <v>0</v>
      </c>
      <c r="DL33" s="816">
        <f>FLN!CQ33</f>
        <v>0</v>
      </c>
      <c r="DM33" s="823" t="str">
        <f t="shared" si="20"/>
        <v>3022</v>
      </c>
      <c r="DN33" s="816">
        <f>FLN!CR33</f>
        <v>0</v>
      </c>
      <c r="DO33" s="816">
        <f>FLN!CS33</f>
        <v>0</v>
      </c>
      <c r="DP33" s="816">
        <f>FLN!CT33</f>
        <v>0</v>
      </c>
      <c r="DQ33" s="816">
        <f>FLN!CU33</f>
        <v>0</v>
      </c>
      <c r="DR33" s="823" t="str">
        <f t="shared" si="21"/>
        <v>3023</v>
      </c>
      <c r="DS33" s="816">
        <f>FLN!CV33</f>
        <v>0</v>
      </c>
      <c r="DT33" s="816">
        <f>FLN!CW33</f>
        <v>0</v>
      </c>
      <c r="DU33" s="816">
        <f>FLN!CX33</f>
        <v>0</v>
      </c>
      <c r="DV33" s="816">
        <f>FLN!CY33</f>
        <v>0</v>
      </c>
      <c r="DW33" s="823" t="str">
        <f t="shared" si="22"/>
        <v>3024</v>
      </c>
      <c r="DX33" s="816">
        <f>FLN!CZ33</f>
        <v>0</v>
      </c>
      <c r="DY33" s="816">
        <f>FLN!DA33</f>
        <v>0</v>
      </c>
      <c r="DZ33" s="816">
        <f>FLN!DB33</f>
        <v>0</v>
      </c>
      <c r="EA33" s="816">
        <f>FLN!DC33</f>
        <v>0</v>
      </c>
      <c r="EB33" s="823" t="str">
        <f t="shared" si="23"/>
        <v>3025</v>
      </c>
      <c r="EC33" s="816">
        <f>FLN!DD33</f>
        <v>0</v>
      </c>
      <c r="ED33" s="816">
        <f>FLN!DE33</f>
        <v>0</v>
      </c>
      <c r="EE33" s="816">
        <f>FLN!DF33</f>
        <v>0</v>
      </c>
      <c r="EF33" s="816">
        <f>FLN!DG33</f>
        <v>0</v>
      </c>
    </row>
    <row r="34" spans="1:136">
      <c r="A34" s="824">
        <v>31</v>
      </c>
      <c r="B34" s="824">
        <f>STUDENT!F32</f>
        <v>15034</v>
      </c>
      <c r="C34" s="824">
        <f>STUDENT!D32</f>
        <v>20250188568</v>
      </c>
      <c r="D34" s="827" t="str">
        <f>STUDENT!E32</f>
        <v>RAM CHANDER KUMAR</v>
      </c>
      <c r="E34" s="827" t="str">
        <f>STUDENT!H32</f>
        <v>AKASH SHARMA</v>
      </c>
      <c r="F34" s="828" t="str">
        <f>FLN!F34</f>
        <v>Alphabets</v>
      </c>
      <c r="G34" s="828" t="str">
        <f>FLN!G34</f>
        <v>Number Recognition (10-99)</v>
      </c>
      <c r="H34" s="828" t="str">
        <f>FLN!H34</f>
        <v>Character</v>
      </c>
      <c r="I34" s="824">
        <f>FLN!I34</f>
        <v>2</v>
      </c>
      <c r="J34" s="824">
        <f>FLN!J34</f>
        <v>2</v>
      </c>
      <c r="K34" s="824">
        <f>FLN!K34</f>
        <v>3</v>
      </c>
      <c r="L34" s="823" t="str">
        <f t="shared" si="24"/>
        <v>311</v>
      </c>
      <c r="M34" s="816">
        <f>FLN!L34</f>
        <v>2</v>
      </c>
      <c r="N34" s="816">
        <f>FLN!M34</f>
        <v>2</v>
      </c>
      <c r="O34" s="816">
        <f>FLN!N34</f>
        <v>3</v>
      </c>
      <c r="P34" s="816">
        <f>FLN!O34</f>
        <v>0</v>
      </c>
      <c r="Q34" s="823" t="str">
        <f t="shared" si="0"/>
        <v>312</v>
      </c>
      <c r="R34" s="816">
        <f>FLN!P34</f>
        <v>2</v>
      </c>
      <c r="S34" s="816">
        <f>FLN!Q34</f>
        <v>2</v>
      </c>
      <c r="T34" s="816">
        <f>FLN!R34</f>
        <v>3</v>
      </c>
      <c r="U34" s="816">
        <f>FLN!S34</f>
        <v>0</v>
      </c>
      <c r="V34" s="823" t="str">
        <f t="shared" si="1"/>
        <v>313</v>
      </c>
      <c r="W34" s="816">
        <f>FLN!T34</f>
        <v>2</v>
      </c>
      <c r="X34" s="816">
        <f>FLN!U34</f>
        <v>2</v>
      </c>
      <c r="Y34" s="816">
        <f>FLN!V34</f>
        <v>3</v>
      </c>
      <c r="Z34" s="816">
        <f>FLN!W34</f>
        <v>0</v>
      </c>
      <c r="AA34" s="823" t="str">
        <f t="shared" si="2"/>
        <v>314</v>
      </c>
      <c r="AB34" s="816">
        <f>FLN!X34</f>
        <v>2</v>
      </c>
      <c r="AC34" s="816">
        <f>FLN!Y34</f>
        <v>2</v>
      </c>
      <c r="AD34" s="816">
        <f>FLN!Z34</f>
        <v>3</v>
      </c>
      <c r="AE34" s="816">
        <f>FLN!AA34</f>
        <v>0</v>
      </c>
      <c r="AF34" s="823" t="str">
        <f t="shared" si="3"/>
        <v>315</v>
      </c>
      <c r="AG34" s="816">
        <f>FLN!AB34</f>
        <v>2</v>
      </c>
      <c r="AH34" s="816">
        <f>FLN!AC34</f>
        <v>2</v>
      </c>
      <c r="AI34" s="816">
        <f>FLN!AD34</f>
        <v>3</v>
      </c>
      <c r="AJ34" s="816">
        <f>FLN!AE34</f>
        <v>0</v>
      </c>
      <c r="AK34" s="823" t="str">
        <f t="shared" si="4"/>
        <v>316</v>
      </c>
      <c r="AL34" s="816">
        <f>FLN!AF34</f>
        <v>2</v>
      </c>
      <c r="AM34" s="816">
        <f>FLN!AG34</f>
        <v>2</v>
      </c>
      <c r="AN34" s="816">
        <f>FLN!AH34</f>
        <v>3</v>
      </c>
      <c r="AO34" s="816">
        <f>FLN!AI34</f>
        <v>0</v>
      </c>
      <c r="AP34" s="823" t="str">
        <f t="shared" si="5"/>
        <v>317</v>
      </c>
      <c r="AQ34" s="816">
        <f>FLN!AJ34</f>
        <v>0</v>
      </c>
      <c r="AR34" s="816">
        <f>FLN!AK34</f>
        <v>0</v>
      </c>
      <c r="AS34" s="816">
        <f>FLN!AL34</f>
        <v>0</v>
      </c>
      <c r="AT34" s="816">
        <f>FLN!AM34</f>
        <v>0</v>
      </c>
      <c r="AU34" s="823" t="str">
        <f t="shared" si="6"/>
        <v>318</v>
      </c>
      <c r="AV34" s="816">
        <f>FLN!AN34</f>
        <v>0</v>
      </c>
      <c r="AW34" s="816">
        <f>FLN!AO34</f>
        <v>0</v>
      </c>
      <c r="AX34" s="816">
        <f>FLN!AP34</f>
        <v>0</v>
      </c>
      <c r="AY34" s="816">
        <f>FLN!AQ34</f>
        <v>0</v>
      </c>
      <c r="AZ34" s="823" t="str">
        <f t="shared" si="7"/>
        <v>319</v>
      </c>
      <c r="BA34" s="816">
        <f>FLN!AR34</f>
        <v>0</v>
      </c>
      <c r="BB34" s="816">
        <f>FLN!AS34</f>
        <v>0</v>
      </c>
      <c r="BC34" s="816">
        <f>FLN!AT34</f>
        <v>0</v>
      </c>
      <c r="BD34" s="816">
        <f>FLN!AU34</f>
        <v>0</v>
      </c>
      <c r="BE34" s="823" t="str">
        <f t="shared" si="8"/>
        <v>3110</v>
      </c>
      <c r="BF34" s="816">
        <f>FLN!AV34</f>
        <v>0</v>
      </c>
      <c r="BG34" s="816">
        <f>FLN!AW34</f>
        <v>0</v>
      </c>
      <c r="BH34" s="816">
        <f>FLN!AX34</f>
        <v>0</v>
      </c>
      <c r="BI34" s="816">
        <f>FLN!AY34</f>
        <v>0</v>
      </c>
      <c r="BJ34" s="823" t="str">
        <f t="shared" si="9"/>
        <v>3111</v>
      </c>
      <c r="BK34" s="816">
        <f>FLN!AZ34</f>
        <v>0</v>
      </c>
      <c r="BL34" s="816">
        <f>FLN!BA34</f>
        <v>0</v>
      </c>
      <c r="BM34" s="816">
        <f>FLN!BB34</f>
        <v>0</v>
      </c>
      <c r="BN34" s="816">
        <f>FLN!BC34</f>
        <v>0</v>
      </c>
      <c r="BO34" s="823" t="str">
        <f t="shared" si="10"/>
        <v>3112</v>
      </c>
      <c r="BP34" s="816">
        <f>FLN!BD34</f>
        <v>0</v>
      </c>
      <c r="BQ34" s="816">
        <f>FLN!BE34</f>
        <v>0</v>
      </c>
      <c r="BR34" s="816">
        <f>FLN!BF34</f>
        <v>0</v>
      </c>
      <c r="BS34" s="816">
        <f>FLN!BG34</f>
        <v>0</v>
      </c>
      <c r="BT34" s="823" t="str">
        <f t="shared" si="11"/>
        <v>3113</v>
      </c>
      <c r="BU34" s="816">
        <f>FLN!BH34</f>
        <v>0</v>
      </c>
      <c r="BV34" s="816">
        <f>FLN!BI34</f>
        <v>0</v>
      </c>
      <c r="BW34" s="816">
        <f>FLN!BJ34</f>
        <v>0</v>
      </c>
      <c r="BX34" s="816">
        <f>FLN!BK34</f>
        <v>0</v>
      </c>
      <c r="BY34" s="823" t="str">
        <f t="shared" si="12"/>
        <v>3114</v>
      </c>
      <c r="BZ34" s="816">
        <f>FLN!BL34</f>
        <v>0</v>
      </c>
      <c r="CA34" s="816">
        <f>FLN!BM34</f>
        <v>0</v>
      </c>
      <c r="CB34" s="816">
        <f>FLN!BN34</f>
        <v>0</v>
      </c>
      <c r="CC34" s="816">
        <f>FLN!BO34</f>
        <v>0</v>
      </c>
      <c r="CD34" s="823" t="str">
        <f t="shared" si="13"/>
        <v>3115</v>
      </c>
      <c r="CE34" s="816">
        <f>FLN!BP34</f>
        <v>0</v>
      </c>
      <c r="CF34" s="816">
        <f>FLN!BQ34</f>
        <v>0</v>
      </c>
      <c r="CG34" s="816">
        <f>FLN!BR34</f>
        <v>0</v>
      </c>
      <c r="CH34" s="816">
        <f>FLN!BS34</f>
        <v>0</v>
      </c>
      <c r="CI34" s="823" t="str">
        <f t="shared" si="14"/>
        <v>3116</v>
      </c>
      <c r="CJ34" s="816">
        <f>FLN!BT34</f>
        <v>0</v>
      </c>
      <c r="CK34" s="816">
        <f>FLN!BU34</f>
        <v>0</v>
      </c>
      <c r="CL34" s="816">
        <f>FLN!BV34</f>
        <v>0</v>
      </c>
      <c r="CM34" s="816">
        <f>FLN!BW34</f>
        <v>0</v>
      </c>
      <c r="CN34" s="823" t="str">
        <f t="shared" si="15"/>
        <v>3117</v>
      </c>
      <c r="CO34" s="816">
        <f>FLN!BX34</f>
        <v>0</v>
      </c>
      <c r="CP34" s="816">
        <f>FLN!BY34</f>
        <v>0</v>
      </c>
      <c r="CQ34" s="816">
        <f>FLN!BZ34</f>
        <v>0</v>
      </c>
      <c r="CR34" s="816">
        <f>FLN!CA34</f>
        <v>0</v>
      </c>
      <c r="CS34" s="823" t="str">
        <f t="shared" si="16"/>
        <v>3118</v>
      </c>
      <c r="CT34" s="816">
        <f>FLN!CB34</f>
        <v>0</v>
      </c>
      <c r="CU34" s="816">
        <f>FLN!CC34</f>
        <v>0</v>
      </c>
      <c r="CV34" s="816">
        <f>FLN!CD34</f>
        <v>0</v>
      </c>
      <c r="CW34" s="816">
        <f>FLN!CE34</f>
        <v>0</v>
      </c>
      <c r="CX34" s="823" t="str">
        <f t="shared" si="17"/>
        <v>3119</v>
      </c>
      <c r="CY34" s="816">
        <f>FLN!CF34</f>
        <v>0</v>
      </c>
      <c r="CZ34" s="816">
        <f>FLN!CG34</f>
        <v>0</v>
      </c>
      <c r="DA34" s="816">
        <f>FLN!CH34</f>
        <v>0</v>
      </c>
      <c r="DB34" s="816">
        <f>FLN!CI34</f>
        <v>0</v>
      </c>
      <c r="DC34" s="823" t="str">
        <f t="shared" si="18"/>
        <v>3120</v>
      </c>
      <c r="DD34" s="816">
        <f>FLN!CJ34</f>
        <v>0</v>
      </c>
      <c r="DE34" s="816">
        <f>FLN!CK34</f>
        <v>0</v>
      </c>
      <c r="DF34" s="816">
        <f>FLN!CL34</f>
        <v>0</v>
      </c>
      <c r="DG34" s="816">
        <f>FLN!CM34</f>
        <v>0</v>
      </c>
      <c r="DH34" s="823" t="str">
        <f t="shared" si="19"/>
        <v>3121</v>
      </c>
      <c r="DI34" s="816">
        <f>FLN!CN34</f>
        <v>0</v>
      </c>
      <c r="DJ34" s="816">
        <f>FLN!CO34</f>
        <v>0</v>
      </c>
      <c r="DK34" s="816">
        <f>FLN!CP34</f>
        <v>0</v>
      </c>
      <c r="DL34" s="816">
        <f>FLN!CQ34</f>
        <v>0</v>
      </c>
      <c r="DM34" s="823" t="str">
        <f t="shared" si="20"/>
        <v>3122</v>
      </c>
      <c r="DN34" s="816">
        <f>FLN!CR34</f>
        <v>0</v>
      </c>
      <c r="DO34" s="816">
        <f>FLN!CS34</f>
        <v>0</v>
      </c>
      <c r="DP34" s="816">
        <f>FLN!CT34</f>
        <v>0</v>
      </c>
      <c r="DQ34" s="816">
        <f>FLN!CU34</f>
        <v>0</v>
      </c>
      <c r="DR34" s="823" t="str">
        <f t="shared" si="21"/>
        <v>3123</v>
      </c>
      <c r="DS34" s="816">
        <f>FLN!CV34</f>
        <v>0</v>
      </c>
      <c r="DT34" s="816">
        <f>FLN!CW34</f>
        <v>0</v>
      </c>
      <c r="DU34" s="816">
        <f>FLN!CX34</f>
        <v>0</v>
      </c>
      <c r="DV34" s="816">
        <f>FLN!CY34</f>
        <v>0</v>
      </c>
      <c r="DW34" s="823" t="str">
        <f t="shared" si="22"/>
        <v>3124</v>
      </c>
      <c r="DX34" s="816">
        <f>FLN!CZ34</f>
        <v>0</v>
      </c>
      <c r="DY34" s="816">
        <f>FLN!DA34</f>
        <v>0</v>
      </c>
      <c r="DZ34" s="816">
        <f>FLN!DB34</f>
        <v>0</v>
      </c>
      <c r="EA34" s="816">
        <f>FLN!DC34</f>
        <v>0</v>
      </c>
      <c r="EB34" s="823" t="str">
        <f t="shared" si="23"/>
        <v>3125</v>
      </c>
      <c r="EC34" s="816">
        <f>FLN!DD34</f>
        <v>0</v>
      </c>
      <c r="ED34" s="816">
        <f>FLN!DE34</f>
        <v>0</v>
      </c>
      <c r="EE34" s="816">
        <f>FLN!DF34</f>
        <v>0</v>
      </c>
      <c r="EF34" s="816">
        <f>FLN!DG34</f>
        <v>0</v>
      </c>
    </row>
    <row r="35" spans="1:136">
      <c r="A35" s="824">
        <v>32</v>
      </c>
      <c r="B35" s="824">
        <f>STUDENT!F33</f>
        <v>15035</v>
      </c>
      <c r="C35" s="824">
        <f>STUDENT!D33</f>
        <v>20250188626</v>
      </c>
      <c r="D35" s="827" t="str">
        <f>STUDENT!E33</f>
        <v>HARSHIT</v>
      </c>
      <c r="E35" s="827" t="str">
        <f>STUDENT!H33</f>
        <v>ANKIT SINGH</v>
      </c>
      <c r="F35" s="828" t="str">
        <f>FLN!F35</f>
        <v>Alphabets</v>
      </c>
      <c r="G35" s="828" t="str">
        <f>FLN!G35</f>
        <v>Number Recognition (10-99)</v>
      </c>
      <c r="H35" s="828" t="str">
        <f>FLN!H35</f>
        <v>Character</v>
      </c>
      <c r="I35" s="824">
        <f>FLN!I35</f>
        <v>2</v>
      </c>
      <c r="J35" s="824">
        <f>FLN!J35</f>
        <v>2</v>
      </c>
      <c r="K35" s="824">
        <f>FLN!K35</f>
        <v>3</v>
      </c>
      <c r="L35" s="823" t="str">
        <f t="shared" si="24"/>
        <v>321</v>
      </c>
      <c r="M35" s="816">
        <f>FLN!L35</f>
        <v>2</v>
      </c>
      <c r="N35" s="816">
        <f>FLN!M35</f>
        <v>2</v>
      </c>
      <c r="O35" s="816">
        <f>FLN!N35</f>
        <v>3</v>
      </c>
      <c r="P35" s="816">
        <f>FLN!O35</f>
        <v>0</v>
      </c>
      <c r="Q35" s="823" t="str">
        <f t="shared" si="0"/>
        <v>322</v>
      </c>
      <c r="R35" s="816">
        <f>FLN!P35</f>
        <v>2</v>
      </c>
      <c r="S35" s="816">
        <f>FLN!Q35</f>
        <v>2</v>
      </c>
      <c r="T35" s="816">
        <f>FLN!R35</f>
        <v>3</v>
      </c>
      <c r="U35" s="816">
        <f>FLN!S35</f>
        <v>0</v>
      </c>
      <c r="V35" s="823" t="str">
        <f t="shared" si="1"/>
        <v>323</v>
      </c>
      <c r="W35" s="816">
        <f>FLN!T35</f>
        <v>2</v>
      </c>
      <c r="X35" s="816">
        <f>FLN!U35</f>
        <v>2</v>
      </c>
      <c r="Y35" s="816">
        <f>FLN!V35</f>
        <v>3</v>
      </c>
      <c r="Z35" s="816">
        <f>FLN!W35</f>
        <v>0</v>
      </c>
      <c r="AA35" s="823" t="str">
        <f t="shared" si="2"/>
        <v>324</v>
      </c>
      <c r="AB35" s="816">
        <f>FLN!X35</f>
        <v>2</v>
      </c>
      <c r="AC35" s="816">
        <f>FLN!Y35</f>
        <v>2</v>
      </c>
      <c r="AD35" s="816">
        <f>FLN!Z35</f>
        <v>3</v>
      </c>
      <c r="AE35" s="816">
        <f>FLN!AA35</f>
        <v>0</v>
      </c>
      <c r="AF35" s="823" t="str">
        <f t="shared" si="3"/>
        <v>325</v>
      </c>
      <c r="AG35" s="816">
        <f>FLN!AB35</f>
        <v>2</v>
      </c>
      <c r="AH35" s="816">
        <f>FLN!AC35</f>
        <v>2</v>
      </c>
      <c r="AI35" s="816">
        <f>FLN!AD35</f>
        <v>3</v>
      </c>
      <c r="AJ35" s="816">
        <f>FLN!AE35</f>
        <v>0</v>
      </c>
      <c r="AK35" s="823" t="str">
        <f t="shared" si="4"/>
        <v>326</v>
      </c>
      <c r="AL35" s="816">
        <f>FLN!AF35</f>
        <v>4</v>
      </c>
      <c r="AM35" s="816">
        <f>FLN!AG35</f>
        <v>3</v>
      </c>
      <c r="AN35" s="816">
        <f>FLN!AH35</f>
        <v>4</v>
      </c>
      <c r="AO35" s="816">
        <f>FLN!AI35</f>
        <v>0</v>
      </c>
      <c r="AP35" s="823" t="str">
        <f t="shared" si="5"/>
        <v>327</v>
      </c>
      <c r="AQ35" s="816">
        <f>FLN!AJ35</f>
        <v>0</v>
      </c>
      <c r="AR35" s="816">
        <f>FLN!AK35</f>
        <v>0</v>
      </c>
      <c r="AS35" s="816">
        <f>FLN!AL35</f>
        <v>0</v>
      </c>
      <c r="AT35" s="816">
        <f>FLN!AM35</f>
        <v>0</v>
      </c>
      <c r="AU35" s="823" t="str">
        <f t="shared" si="6"/>
        <v>328</v>
      </c>
      <c r="AV35" s="816">
        <f>FLN!AN35</f>
        <v>0</v>
      </c>
      <c r="AW35" s="816">
        <f>FLN!AO35</f>
        <v>0</v>
      </c>
      <c r="AX35" s="816">
        <f>FLN!AP35</f>
        <v>0</v>
      </c>
      <c r="AY35" s="816">
        <f>FLN!AQ35</f>
        <v>0</v>
      </c>
      <c r="AZ35" s="823" t="str">
        <f t="shared" si="7"/>
        <v>329</v>
      </c>
      <c r="BA35" s="816">
        <f>FLN!AR35</f>
        <v>0</v>
      </c>
      <c r="BB35" s="816">
        <f>FLN!AS35</f>
        <v>0</v>
      </c>
      <c r="BC35" s="816">
        <f>FLN!AT35</f>
        <v>0</v>
      </c>
      <c r="BD35" s="816">
        <f>FLN!AU35</f>
        <v>0</v>
      </c>
      <c r="BE35" s="823" t="str">
        <f t="shared" si="8"/>
        <v>3210</v>
      </c>
      <c r="BF35" s="816">
        <f>FLN!AV35</f>
        <v>0</v>
      </c>
      <c r="BG35" s="816">
        <f>FLN!AW35</f>
        <v>0</v>
      </c>
      <c r="BH35" s="816">
        <f>FLN!AX35</f>
        <v>0</v>
      </c>
      <c r="BI35" s="816">
        <f>FLN!AY35</f>
        <v>0</v>
      </c>
      <c r="BJ35" s="823" t="str">
        <f t="shared" si="9"/>
        <v>3211</v>
      </c>
      <c r="BK35" s="816">
        <f>FLN!AZ35</f>
        <v>0</v>
      </c>
      <c r="BL35" s="816">
        <f>FLN!BA35</f>
        <v>0</v>
      </c>
      <c r="BM35" s="816">
        <f>FLN!BB35</f>
        <v>0</v>
      </c>
      <c r="BN35" s="816">
        <f>FLN!BC35</f>
        <v>0</v>
      </c>
      <c r="BO35" s="823" t="str">
        <f t="shared" si="10"/>
        <v>3212</v>
      </c>
      <c r="BP35" s="816">
        <f>FLN!BD35</f>
        <v>0</v>
      </c>
      <c r="BQ35" s="816">
        <f>FLN!BE35</f>
        <v>0</v>
      </c>
      <c r="BR35" s="816">
        <f>FLN!BF35</f>
        <v>0</v>
      </c>
      <c r="BS35" s="816">
        <f>FLN!BG35</f>
        <v>0</v>
      </c>
      <c r="BT35" s="823" t="str">
        <f t="shared" si="11"/>
        <v>3213</v>
      </c>
      <c r="BU35" s="816">
        <f>FLN!BH35</f>
        <v>0</v>
      </c>
      <c r="BV35" s="816">
        <f>FLN!BI35</f>
        <v>0</v>
      </c>
      <c r="BW35" s="816">
        <f>FLN!BJ35</f>
        <v>0</v>
      </c>
      <c r="BX35" s="816">
        <f>FLN!BK35</f>
        <v>0</v>
      </c>
      <c r="BY35" s="823" t="str">
        <f t="shared" si="12"/>
        <v>3214</v>
      </c>
      <c r="BZ35" s="816">
        <f>FLN!BL35</f>
        <v>0</v>
      </c>
      <c r="CA35" s="816">
        <f>FLN!BM35</f>
        <v>0</v>
      </c>
      <c r="CB35" s="816">
        <f>FLN!BN35</f>
        <v>0</v>
      </c>
      <c r="CC35" s="816">
        <f>FLN!BO35</f>
        <v>0</v>
      </c>
      <c r="CD35" s="823" t="str">
        <f t="shared" si="13"/>
        <v>3215</v>
      </c>
      <c r="CE35" s="816">
        <f>FLN!BP35</f>
        <v>0</v>
      </c>
      <c r="CF35" s="816">
        <f>FLN!BQ35</f>
        <v>0</v>
      </c>
      <c r="CG35" s="816">
        <f>FLN!BR35</f>
        <v>0</v>
      </c>
      <c r="CH35" s="816">
        <f>FLN!BS35</f>
        <v>0</v>
      </c>
      <c r="CI35" s="823" t="str">
        <f t="shared" si="14"/>
        <v>3216</v>
      </c>
      <c r="CJ35" s="816">
        <f>FLN!BT35</f>
        <v>0</v>
      </c>
      <c r="CK35" s="816">
        <f>FLN!BU35</f>
        <v>0</v>
      </c>
      <c r="CL35" s="816">
        <f>FLN!BV35</f>
        <v>0</v>
      </c>
      <c r="CM35" s="816">
        <f>FLN!BW35</f>
        <v>0</v>
      </c>
      <c r="CN35" s="823" t="str">
        <f t="shared" si="15"/>
        <v>3217</v>
      </c>
      <c r="CO35" s="816">
        <f>FLN!BX35</f>
        <v>0</v>
      </c>
      <c r="CP35" s="816">
        <f>FLN!BY35</f>
        <v>0</v>
      </c>
      <c r="CQ35" s="816">
        <f>FLN!BZ35</f>
        <v>0</v>
      </c>
      <c r="CR35" s="816">
        <f>FLN!CA35</f>
        <v>0</v>
      </c>
      <c r="CS35" s="823" t="str">
        <f t="shared" si="16"/>
        <v>3218</v>
      </c>
      <c r="CT35" s="816">
        <f>FLN!CB35</f>
        <v>0</v>
      </c>
      <c r="CU35" s="816">
        <f>FLN!CC35</f>
        <v>0</v>
      </c>
      <c r="CV35" s="816">
        <f>FLN!CD35</f>
        <v>0</v>
      </c>
      <c r="CW35" s="816">
        <f>FLN!CE35</f>
        <v>0</v>
      </c>
      <c r="CX35" s="823" t="str">
        <f t="shared" si="17"/>
        <v>3219</v>
      </c>
      <c r="CY35" s="816">
        <f>FLN!CF35</f>
        <v>0</v>
      </c>
      <c r="CZ35" s="816">
        <f>FLN!CG35</f>
        <v>0</v>
      </c>
      <c r="DA35" s="816">
        <f>FLN!CH35</f>
        <v>0</v>
      </c>
      <c r="DB35" s="816">
        <f>FLN!CI35</f>
        <v>0</v>
      </c>
      <c r="DC35" s="823" t="str">
        <f t="shared" si="18"/>
        <v>3220</v>
      </c>
      <c r="DD35" s="816">
        <f>FLN!CJ35</f>
        <v>0</v>
      </c>
      <c r="DE35" s="816">
        <f>FLN!CK35</f>
        <v>0</v>
      </c>
      <c r="DF35" s="816">
        <f>FLN!CL35</f>
        <v>0</v>
      </c>
      <c r="DG35" s="816">
        <f>FLN!CM35</f>
        <v>0</v>
      </c>
      <c r="DH35" s="823" t="str">
        <f t="shared" si="19"/>
        <v>3221</v>
      </c>
      <c r="DI35" s="816">
        <f>FLN!CN35</f>
        <v>0</v>
      </c>
      <c r="DJ35" s="816">
        <f>FLN!CO35</f>
        <v>0</v>
      </c>
      <c r="DK35" s="816">
        <f>FLN!CP35</f>
        <v>0</v>
      </c>
      <c r="DL35" s="816">
        <f>FLN!CQ35</f>
        <v>0</v>
      </c>
      <c r="DM35" s="823" t="str">
        <f t="shared" si="20"/>
        <v>3222</v>
      </c>
      <c r="DN35" s="816">
        <f>FLN!CR35</f>
        <v>0</v>
      </c>
      <c r="DO35" s="816">
        <f>FLN!CS35</f>
        <v>0</v>
      </c>
      <c r="DP35" s="816">
        <f>FLN!CT35</f>
        <v>0</v>
      </c>
      <c r="DQ35" s="816">
        <f>FLN!CU35</f>
        <v>0</v>
      </c>
      <c r="DR35" s="823" t="str">
        <f t="shared" si="21"/>
        <v>3223</v>
      </c>
      <c r="DS35" s="816">
        <f>FLN!CV35</f>
        <v>0</v>
      </c>
      <c r="DT35" s="816">
        <f>FLN!CW35</f>
        <v>0</v>
      </c>
      <c r="DU35" s="816">
        <f>FLN!CX35</f>
        <v>0</v>
      </c>
      <c r="DV35" s="816">
        <f>FLN!CY35</f>
        <v>0</v>
      </c>
      <c r="DW35" s="823" t="str">
        <f t="shared" si="22"/>
        <v>3224</v>
      </c>
      <c r="DX35" s="816">
        <f>FLN!CZ35</f>
        <v>0</v>
      </c>
      <c r="DY35" s="816">
        <f>FLN!DA35</f>
        <v>0</v>
      </c>
      <c r="DZ35" s="816">
        <f>FLN!DB35</f>
        <v>0</v>
      </c>
      <c r="EA35" s="816">
        <f>FLN!DC35</f>
        <v>0</v>
      </c>
      <c r="EB35" s="823" t="str">
        <f t="shared" si="23"/>
        <v>3225</v>
      </c>
      <c r="EC35" s="816">
        <f>FLN!DD35</f>
        <v>0</v>
      </c>
      <c r="ED35" s="816">
        <f>FLN!DE35</f>
        <v>0</v>
      </c>
      <c r="EE35" s="816">
        <f>FLN!DF35</f>
        <v>0</v>
      </c>
      <c r="EF35" s="816">
        <f>FLN!DG35</f>
        <v>0</v>
      </c>
    </row>
    <row r="36" spans="1:136">
      <c r="A36" s="824">
        <v>33</v>
      </c>
      <c r="B36" s="824">
        <f>STUDENT!F34</f>
        <v>15077</v>
      </c>
      <c r="C36" s="824">
        <f>STUDENT!D34</f>
        <v>20250246710</v>
      </c>
      <c r="D36" s="827" t="str">
        <f>STUDENT!E34</f>
        <v>HEMANT KUMAR</v>
      </c>
      <c r="E36" s="827" t="str">
        <f>STUDENT!H34</f>
        <v>PRADEEP KUMAR</v>
      </c>
      <c r="F36" s="828" t="str">
        <f>FLN!F36</f>
        <v>Alphabets</v>
      </c>
      <c r="G36" s="828" t="str">
        <f>FLN!G36</f>
        <v>Number Recognition (10-99)</v>
      </c>
      <c r="H36" s="828" t="str">
        <f>FLN!H36</f>
        <v>Character</v>
      </c>
      <c r="I36" s="824">
        <f>FLN!I36</f>
        <v>2</v>
      </c>
      <c r="J36" s="824">
        <f>FLN!J36</f>
        <v>2</v>
      </c>
      <c r="K36" s="824">
        <f>FLN!K36</f>
        <v>3</v>
      </c>
      <c r="L36" s="823" t="str">
        <f t="shared" si="24"/>
        <v>331</v>
      </c>
      <c r="M36" s="816">
        <f>FLN!L36</f>
        <v>2</v>
      </c>
      <c r="N36" s="816">
        <f>FLN!M36</f>
        <v>2</v>
      </c>
      <c r="O36" s="816">
        <f>FLN!N36</f>
        <v>3</v>
      </c>
      <c r="P36" s="816">
        <f>FLN!O36</f>
        <v>0</v>
      </c>
      <c r="Q36" s="823" t="str">
        <f t="shared" si="0"/>
        <v>332</v>
      </c>
      <c r="R36" s="816">
        <f>FLN!P36</f>
        <v>2</v>
      </c>
      <c r="S36" s="816">
        <f>FLN!Q36</f>
        <v>2</v>
      </c>
      <c r="T36" s="816">
        <f>FLN!R36</f>
        <v>3</v>
      </c>
      <c r="U36" s="816" t="str">
        <f>FLN!S36</f>
        <v>-</v>
      </c>
      <c r="V36" s="823" t="str">
        <f t="shared" si="1"/>
        <v>333</v>
      </c>
      <c r="W36" s="816">
        <f>FLN!T36</f>
        <v>2</v>
      </c>
      <c r="X36" s="816">
        <f>FLN!U36</f>
        <v>2</v>
      </c>
      <c r="Y36" s="816">
        <f>FLN!V36</f>
        <v>3</v>
      </c>
      <c r="Z36" s="816" t="str">
        <f>FLN!W36</f>
        <v>-</v>
      </c>
      <c r="AA36" s="823" t="str">
        <f t="shared" si="2"/>
        <v>334</v>
      </c>
      <c r="AB36" s="816">
        <f>FLN!X36</f>
        <v>2</v>
      </c>
      <c r="AC36" s="816">
        <f>FLN!Y36</f>
        <v>2</v>
      </c>
      <c r="AD36" s="816">
        <f>FLN!Z36</f>
        <v>3</v>
      </c>
      <c r="AE36" s="816" t="str">
        <f>FLN!AA36</f>
        <v>-</v>
      </c>
      <c r="AF36" s="823" t="str">
        <f t="shared" si="3"/>
        <v>335</v>
      </c>
      <c r="AG36" s="816">
        <f>FLN!AB36</f>
        <v>2</v>
      </c>
      <c r="AH36" s="816">
        <f>FLN!AC36</f>
        <v>2</v>
      </c>
      <c r="AI36" s="816">
        <f>FLN!AD36</f>
        <v>3</v>
      </c>
      <c r="AJ36" s="816">
        <f>FLN!AE36</f>
        <v>0</v>
      </c>
      <c r="AK36" s="823" t="str">
        <f t="shared" si="4"/>
        <v>336</v>
      </c>
      <c r="AL36" s="816">
        <f>FLN!AF36</f>
        <v>2</v>
      </c>
      <c r="AM36" s="816">
        <f>FLN!AG36</f>
        <v>2</v>
      </c>
      <c r="AN36" s="816">
        <f>FLN!AH36</f>
        <v>3</v>
      </c>
      <c r="AO36" s="816">
        <f>FLN!AI36</f>
        <v>0</v>
      </c>
      <c r="AP36" s="823" t="str">
        <f t="shared" si="5"/>
        <v>337</v>
      </c>
      <c r="AQ36" s="816">
        <f>FLN!AJ36</f>
        <v>0</v>
      </c>
      <c r="AR36" s="816">
        <f>FLN!AK36</f>
        <v>0</v>
      </c>
      <c r="AS36" s="816">
        <f>FLN!AL36</f>
        <v>0</v>
      </c>
      <c r="AT36" s="816">
        <f>FLN!AM36</f>
        <v>0</v>
      </c>
      <c r="AU36" s="823" t="str">
        <f t="shared" si="6"/>
        <v>338</v>
      </c>
      <c r="AV36" s="816">
        <f>FLN!AN36</f>
        <v>0</v>
      </c>
      <c r="AW36" s="816">
        <f>FLN!AO36</f>
        <v>0</v>
      </c>
      <c r="AX36" s="816">
        <f>FLN!AP36</f>
        <v>0</v>
      </c>
      <c r="AY36" s="816">
        <f>FLN!AQ36</f>
        <v>0</v>
      </c>
      <c r="AZ36" s="823" t="str">
        <f t="shared" si="7"/>
        <v>339</v>
      </c>
      <c r="BA36" s="816">
        <f>FLN!AR36</f>
        <v>0</v>
      </c>
      <c r="BB36" s="816">
        <f>FLN!AS36</f>
        <v>0</v>
      </c>
      <c r="BC36" s="816">
        <f>FLN!AT36</f>
        <v>0</v>
      </c>
      <c r="BD36" s="816">
        <f>FLN!AU36</f>
        <v>0</v>
      </c>
      <c r="BE36" s="823" t="str">
        <f t="shared" si="8"/>
        <v>3310</v>
      </c>
      <c r="BF36" s="816">
        <f>FLN!AV36</f>
        <v>0</v>
      </c>
      <c r="BG36" s="816">
        <f>FLN!AW36</f>
        <v>0</v>
      </c>
      <c r="BH36" s="816">
        <f>FLN!AX36</f>
        <v>0</v>
      </c>
      <c r="BI36" s="816">
        <f>FLN!AY36</f>
        <v>0</v>
      </c>
      <c r="BJ36" s="823" t="str">
        <f t="shared" si="9"/>
        <v>3311</v>
      </c>
      <c r="BK36" s="816">
        <f>FLN!AZ36</f>
        <v>0</v>
      </c>
      <c r="BL36" s="816">
        <f>FLN!BA36</f>
        <v>0</v>
      </c>
      <c r="BM36" s="816">
        <f>FLN!BB36</f>
        <v>0</v>
      </c>
      <c r="BN36" s="816">
        <f>FLN!BC36</f>
        <v>0</v>
      </c>
      <c r="BO36" s="823" t="str">
        <f t="shared" si="10"/>
        <v>3312</v>
      </c>
      <c r="BP36" s="816">
        <f>FLN!BD36</f>
        <v>0</v>
      </c>
      <c r="BQ36" s="816">
        <f>FLN!BE36</f>
        <v>0</v>
      </c>
      <c r="BR36" s="816">
        <f>FLN!BF36</f>
        <v>0</v>
      </c>
      <c r="BS36" s="816">
        <f>FLN!BG36</f>
        <v>0</v>
      </c>
      <c r="BT36" s="823" t="str">
        <f t="shared" si="11"/>
        <v>3313</v>
      </c>
      <c r="BU36" s="816">
        <f>FLN!BH36</f>
        <v>0</v>
      </c>
      <c r="BV36" s="816">
        <f>FLN!BI36</f>
        <v>0</v>
      </c>
      <c r="BW36" s="816">
        <f>FLN!BJ36</f>
        <v>0</v>
      </c>
      <c r="BX36" s="816">
        <f>FLN!BK36</f>
        <v>0</v>
      </c>
      <c r="BY36" s="823" t="str">
        <f t="shared" si="12"/>
        <v>3314</v>
      </c>
      <c r="BZ36" s="816">
        <f>FLN!BL36</f>
        <v>0</v>
      </c>
      <c r="CA36" s="816">
        <f>FLN!BM36</f>
        <v>0</v>
      </c>
      <c r="CB36" s="816">
        <f>FLN!BN36</f>
        <v>0</v>
      </c>
      <c r="CC36" s="816">
        <f>FLN!BO36</f>
        <v>0</v>
      </c>
      <c r="CD36" s="823" t="str">
        <f t="shared" si="13"/>
        <v>3315</v>
      </c>
      <c r="CE36" s="816">
        <f>FLN!BP36</f>
        <v>0</v>
      </c>
      <c r="CF36" s="816">
        <f>FLN!BQ36</f>
        <v>0</v>
      </c>
      <c r="CG36" s="816">
        <f>FLN!BR36</f>
        <v>0</v>
      </c>
      <c r="CH36" s="816">
        <f>FLN!BS36</f>
        <v>0</v>
      </c>
      <c r="CI36" s="823" t="str">
        <f t="shared" si="14"/>
        <v>3316</v>
      </c>
      <c r="CJ36" s="816">
        <f>FLN!BT36</f>
        <v>0</v>
      </c>
      <c r="CK36" s="816">
        <f>FLN!BU36</f>
        <v>0</v>
      </c>
      <c r="CL36" s="816">
        <f>FLN!BV36</f>
        <v>0</v>
      </c>
      <c r="CM36" s="816">
        <f>FLN!BW36</f>
        <v>0</v>
      </c>
      <c r="CN36" s="823" t="str">
        <f t="shared" si="15"/>
        <v>3317</v>
      </c>
      <c r="CO36" s="816">
        <f>FLN!BX36</f>
        <v>0</v>
      </c>
      <c r="CP36" s="816">
        <f>FLN!BY36</f>
        <v>0</v>
      </c>
      <c r="CQ36" s="816">
        <f>FLN!BZ36</f>
        <v>0</v>
      </c>
      <c r="CR36" s="816">
        <f>FLN!CA36</f>
        <v>0</v>
      </c>
      <c r="CS36" s="823" t="str">
        <f t="shared" si="16"/>
        <v>3318</v>
      </c>
      <c r="CT36" s="816">
        <f>FLN!CB36</f>
        <v>0</v>
      </c>
      <c r="CU36" s="816">
        <f>FLN!CC36</f>
        <v>0</v>
      </c>
      <c r="CV36" s="816">
        <f>FLN!CD36</f>
        <v>0</v>
      </c>
      <c r="CW36" s="816">
        <f>FLN!CE36</f>
        <v>0</v>
      </c>
      <c r="CX36" s="823" t="str">
        <f t="shared" si="17"/>
        <v>3319</v>
      </c>
      <c r="CY36" s="816">
        <f>FLN!CF36</f>
        <v>0</v>
      </c>
      <c r="CZ36" s="816">
        <f>FLN!CG36</f>
        <v>0</v>
      </c>
      <c r="DA36" s="816">
        <f>FLN!CH36</f>
        <v>0</v>
      </c>
      <c r="DB36" s="816">
        <f>FLN!CI36</f>
        <v>0</v>
      </c>
      <c r="DC36" s="823" t="str">
        <f t="shared" si="18"/>
        <v>3320</v>
      </c>
      <c r="DD36" s="816">
        <f>FLN!CJ36</f>
        <v>0</v>
      </c>
      <c r="DE36" s="816">
        <f>FLN!CK36</f>
        <v>0</v>
      </c>
      <c r="DF36" s="816">
        <f>FLN!CL36</f>
        <v>0</v>
      </c>
      <c r="DG36" s="816">
        <f>FLN!CM36</f>
        <v>0</v>
      </c>
      <c r="DH36" s="823" t="str">
        <f t="shared" si="19"/>
        <v>3321</v>
      </c>
      <c r="DI36" s="816">
        <f>FLN!CN36</f>
        <v>0</v>
      </c>
      <c r="DJ36" s="816">
        <f>FLN!CO36</f>
        <v>0</v>
      </c>
      <c r="DK36" s="816">
        <f>FLN!CP36</f>
        <v>0</v>
      </c>
      <c r="DL36" s="816">
        <f>FLN!CQ36</f>
        <v>0</v>
      </c>
      <c r="DM36" s="823" t="str">
        <f t="shared" si="20"/>
        <v>3322</v>
      </c>
      <c r="DN36" s="816">
        <f>FLN!CR36</f>
        <v>0</v>
      </c>
      <c r="DO36" s="816">
        <f>FLN!CS36</f>
        <v>0</v>
      </c>
      <c r="DP36" s="816">
        <f>FLN!CT36</f>
        <v>0</v>
      </c>
      <c r="DQ36" s="816">
        <f>FLN!CU36</f>
        <v>0</v>
      </c>
      <c r="DR36" s="823" t="str">
        <f t="shared" si="21"/>
        <v>3323</v>
      </c>
      <c r="DS36" s="816">
        <f>FLN!CV36</f>
        <v>0</v>
      </c>
      <c r="DT36" s="816">
        <f>FLN!CW36</f>
        <v>0</v>
      </c>
      <c r="DU36" s="816">
        <f>FLN!CX36</f>
        <v>0</v>
      </c>
      <c r="DV36" s="816">
        <f>FLN!CY36</f>
        <v>0</v>
      </c>
      <c r="DW36" s="823" t="str">
        <f t="shared" si="22"/>
        <v>3324</v>
      </c>
      <c r="DX36" s="816">
        <f>FLN!CZ36</f>
        <v>0</v>
      </c>
      <c r="DY36" s="816">
        <f>FLN!DA36</f>
        <v>0</v>
      </c>
      <c r="DZ36" s="816">
        <f>FLN!DB36</f>
        <v>0</v>
      </c>
      <c r="EA36" s="816">
        <f>FLN!DC36</f>
        <v>0</v>
      </c>
      <c r="EB36" s="823" t="str">
        <f t="shared" si="23"/>
        <v>3325</v>
      </c>
      <c r="EC36" s="816">
        <f>FLN!DD36</f>
        <v>0</v>
      </c>
      <c r="ED36" s="816">
        <f>FLN!DE36</f>
        <v>0</v>
      </c>
      <c r="EE36" s="816">
        <f>FLN!DF36</f>
        <v>0</v>
      </c>
      <c r="EF36" s="816">
        <f>FLN!DG36</f>
        <v>0</v>
      </c>
    </row>
    <row r="37" spans="1:136">
      <c r="A37" s="824">
        <v>34</v>
      </c>
      <c r="B37" s="824">
        <f>STUDENT!F35</f>
        <v>15088</v>
      </c>
      <c r="C37" s="824">
        <f>STUDENT!D35</f>
        <v>20250257787</v>
      </c>
      <c r="D37" s="827" t="str">
        <f>STUDENT!E35</f>
        <v>VEERPARTAP SINGH</v>
      </c>
      <c r="E37" s="827" t="str">
        <f>STUDENT!H35</f>
        <v>VIJAY SINGH</v>
      </c>
      <c r="F37" s="828" t="str">
        <f>FLN!F37</f>
        <v>Ab</v>
      </c>
      <c r="G37" s="828" t="str">
        <f>FLN!G37</f>
        <v>Ab</v>
      </c>
      <c r="H37" s="828" t="str">
        <f>FLN!H37</f>
        <v>Ab</v>
      </c>
      <c r="I37" s="824" t="str">
        <f>FLN!I37</f>
        <v/>
      </c>
      <c r="J37" s="824" t="str">
        <f>FLN!J37</f>
        <v/>
      </c>
      <c r="K37" s="824" t="str">
        <f>FLN!K37</f>
        <v/>
      </c>
      <c r="L37" s="823" t="str">
        <f t="shared" si="24"/>
        <v>341</v>
      </c>
      <c r="M37" s="816" t="str">
        <f>FLN!L37</f>
        <v>Ab</v>
      </c>
      <c r="N37" s="816" t="str">
        <f>FLN!M37</f>
        <v>Ab</v>
      </c>
      <c r="O37" s="816" t="str">
        <f>FLN!N37</f>
        <v>Ab</v>
      </c>
      <c r="P37" s="816">
        <f>FLN!O37</f>
        <v>0</v>
      </c>
      <c r="Q37" s="823" t="str">
        <f t="shared" si="0"/>
        <v>342</v>
      </c>
      <c r="R37" s="816" t="str">
        <f>FLN!P37</f>
        <v>Ab</v>
      </c>
      <c r="S37" s="816" t="str">
        <f>FLN!Q37</f>
        <v>Ab</v>
      </c>
      <c r="T37" s="816" t="str">
        <f>FLN!R37</f>
        <v>Ab</v>
      </c>
      <c r="U37" s="816" t="str">
        <f>FLN!S37</f>
        <v>-</v>
      </c>
      <c r="V37" s="823" t="str">
        <f t="shared" si="1"/>
        <v>343</v>
      </c>
      <c r="W37" s="816" t="str">
        <f>FLN!T37</f>
        <v>Ab</v>
      </c>
      <c r="X37" s="816" t="str">
        <f>FLN!U37</f>
        <v>Ab</v>
      </c>
      <c r="Y37" s="816" t="str">
        <f>FLN!V37</f>
        <v>Ab</v>
      </c>
      <c r="Z37" s="816" t="str">
        <f>FLN!W37</f>
        <v>-</v>
      </c>
      <c r="AA37" s="823" t="str">
        <f t="shared" si="2"/>
        <v>344</v>
      </c>
      <c r="AB37" s="816" t="str">
        <f>FLN!X37</f>
        <v>Ab</v>
      </c>
      <c r="AC37" s="816" t="str">
        <f>FLN!Y37</f>
        <v>Ab</v>
      </c>
      <c r="AD37" s="816" t="str">
        <f>FLN!Z37</f>
        <v>Ab</v>
      </c>
      <c r="AE37" s="816" t="str">
        <f>FLN!AA37</f>
        <v>-</v>
      </c>
      <c r="AF37" s="823" t="str">
        <f t="shared" si="3"/>
        <v>345</v>
      </c>
      <c r="AG37" s="816" t="str">
        <f>FLN!AB37</f>
        <v>Ab</v>
      </c>
      <c r="AH37" s="816" t="str">
        <f>FLN!AC37</f>
        <v>Ab</v>
      </c>
      <c r="AI37" s="816" t="str">
        <f>FLN!AD37</f>
        <v>Ab</v>
      </c>
      <c r="AJ37" s="816">
        <f>FLN!AE37</f>
        <v>0</v>
      </c>
      <c r="AK37" s="823" t="str">
        <f t="shared" si="4"/>
        <v>346</v>
      </c>
      <c r="AL37" s="816" t="str">
        <f>FLN!AF37</f>
        <v>Ab</v>
      </c>
      <c r="AM37" s="816" t="str">
        <f>FLN!AG37</f>
        <v>Ab</v>
      </c>
      <c r="AN37" s="816" t="str">
        <f>FLN!AH37</f>
        <v>Ab</v>
      </c>
      <c r="AO37" s="816">
        <f>FLN!AI37</f>
        <v>0</v>
      </c>
      <c r="AP37" s="823" t="str">
        <f t="shared" si="5"/>
        <v>347</v>
      </c>
      <c r="AQ37" s="816">
        <f>FLN!AJ37</f>
        <v>0</v>
      </c>
      <c r="AR37" s="816">
        <f>FLN!AK37</f>
        <v>0</v>
      </c>
      <c r="AS37" s="816">
        <f>FLN!AL37</f>
        <v>0</v>
      </c>
      <c r="AT37" s="816">
        <f>FLN!AM37</f>
        <v>0</v>
      </c>
      <c r="AU37" s="823" t="str">
        <f t="shared" si="6"/>
        <v>348</v>
      </c>
      <c r="AV37" s="816">
        <f>FLN!AN37</f>
        <v>0</v>
      </c>
      <c r="AW37" s="816">
        <f>FLN!AO37</f>
        <v>0</v>
      </c>
      <c r="AX37" s="816">
        <f>FLN!AP37</f>
        <v>0</v>
      </c>
      <c r="AY37" s="816">
        <f>FLN!AQ37</f>
        <v>0</v>
      </c>
      <c r="AZ37" s="823" t="str">
        <f t="shared" si="7"/>
        <v>349</v>
      </c>
      <c r="BA37" s="816">
        <f>FLN!AR37</f>
        <v>0</v>
      </c>
      <c r="BB37" s="816">
        <f>FLN!AS37</f>
        <v>0</v>
      </c>
      <c r="BC37" s="816">
        <f>FLN!AT37</f>
        <v>0</v>
      </c>
      <c r="BD37" s="816">
        <f>FLN!AU37</f>
        <v>0</v>
      </c>
      <c r="BE37" s="823" t="str">
        <f t="shared" si="8"/>
        <v>3410</v>
      </c>
      <c r="BF37" s="816">
        <f>FLN!AV37</f>
        <v>0</v>
      </c>
      <c r="BG37" s="816">
        <f>FLN!AW37</f>
        <v>0</v>
      </c>
      <c r="BH37" s="816">
        <f>FLN!AX37</f>
        <v>0</v>
      </c>
      <c r="BI37" s="816">
        <f>FLN!AY37</f>
        <v>0</v>
      </c>
      <c r="BJ37" s="823" t="str">
        <f t="shared" si="9"/>
        <v>3411</v>
      </c>
      <c r="BK37" s="816">
        <f>FLN!AZ37</f>
        <v>0</v>
      </c>
      <c r="BL37" s="816">
        <f>FLN!BA37</f>
        <v>0</v>
      </c>
      <c r="BM37" s="816">
        <f>FLN!BB37</f>
        <v>0</v>
      </c>
      <c r="BN37" s="816">
        <f>FLN!BC37</f>
        <v>0</v>
      </c>
      <c r="BO37" s="823" t="str">
        <f t="shared" si="10"/>
        <v>3412</v>
      </c>
      <c r="BP37" s="816">
        <f>FLN!BD37</f>
        <v>0</v>
      </c>
      <c r="BQ37" s="816">
        <f>FLN!BE37</f>
        <v>0</v>
      </c>
      <c r="BR37" s="816">
        <f>FLN!BF37</f>
        <v>0</v>
      </c>
      <c r="BS37" s="816">
        <f>FLN!BG37</f>
        <v>0</v>
      </c>
      <c r="BT37" s="823" t="str">
        <f t="shared" si="11"/>
        <v>3413</v>
      </c>
      <c r="BU37" s="816">
        <f>FLN!BH37</f>
        <v>0</v>
      </c>
      <c r="BV37" s="816">
        <f>FLN!BI37</f>
        <v>0</v>
      </c>
      <c r="BW37" s="816">
        <f>FLN!BJ37</f>
        <v>0</v>
      </c>
      <c r="BX37" s="816">
        <f>FLN!BK37</f>
        <v>0</v>
      </c>
      <c r="BY37" s="823" t="str">
        <f t="shared" si="12"/>
        <v>3414</v>
      </c>
      <c r="BZ37" s="816">
        <f>FLN!BL37</f>
        <v>0</v>
      </c>
      <c r="CA37" s="816">
        <f>FLN!BM37</f>
        <v>0</v>
      </c>
      <c r="CB37" s="816">
        <f>FLN!BN37</f>
        <v>0</v>
      </c>
      <c r="CC37" s="816">
        <f>FLN!BO37</f>
        <v>0</v>
      </c>
      <c r="CD37" s="823" t="str">
        <f t="shared" si="13"/>
        <v>3415</v>
      </c>
      <c r="CE37" s="816">
        <f>FLN!BP37</f>
        <v>0</v>
      </c>
      <c r="CF37" s="816">
        <f>FLN!BQ37</f>
        <v>0</v>
      </c>
      <c r="CG37" s="816">
        <f>FLN!BR37</f>
        <v>0</v>
      </c>
      <c r="CH37" s="816">
        <f>FLN!BS37</f>
        <v>0</v>
      </c>
      <c r="CI37" s="823" t="str">
        <f t="shared" si="14"/>
        <v>3416</v>
      </c>
      <c r="CJ37" s="816">
        <f>FLN!BT37</f>
        <v>0</v>
      </c>
      <c r="CK37" s="816">
        <f>FLN!BU37</f>
        <v>0</v>
      </c>
      <c r="CL37" s="816">
        <f>FLN!BV37</f>
        <v>0</v>
      </c>
      <c r="CM37" s="816">
        <f>FLN!BW37</f>
        <v>0</v>
      </c>
      <c r="CN37" s="823" t="str">
        <f t="shared" si="15"/>
        <v>3417</v>
      </c>
      <c r="CO37" s="816">
        <f>FLN!BX37</f>
        <v>0</v>
      </c>
      <c r="CP37" s="816">
        <f>FLN!BY37</f>
        <v>0</v>
      </c>
      <c r="CQ37" s="816">
        <f>FLN!BZ37</f>
        <v>0</v>
      </c>
      <c r="CR37" s="816">
        <f>FLN!CA37</f>
        <v>0</v>
      </c>
      <c r="CS37" s="823" t="str">
        <f t="shared" si="16"/>
        <v>3418</v>
      </c>
      <c r="CT37" s="816">
        <f>FLN!CB37</f>
        <v>0</v>
      </c>
      <c r="CU37" s="816">
        <f>FLN!CC37</f>
        <v>0</v>
      </c>
      <c r="CV37" s="816">
        <f>FLN!CD37</f>
        <v>0</v>
      </c>
      <c r="CW37" s="816">
        <f>FLN!CE37</f>
        <v>0</v>
      </c>
      <c r="CX37" s="823" t="str">
        <f t="shared" si="17"/>
        <v>3419</v>
      </c>
      <c r="CY37" s="816">
        <f>FLN!CF37</f>
        <v>0</v>
      </c>
      <c r="CZ37" s="816">
        <f>FLN!CG37</f>
        <v>0</v>
      </c>
      <c r="DA37" s="816">
        <f>FLN!CH37</f>
        <v>0</v>
      </c>
      <c r="DB37" s="816">
        <f>FLN!CI37</f>
        <v>0</v>
      </c>
      <c r="DC37" s="823" t="str">
        <f t="shared" si="18"/>
        <v>3420</v>
      </c>
      <c r="DD37" s="816">
        <f>FLN!CJ37</f>
        <v>0</v>
      </c>
      <c r="DE37" s="816">
        <f>FLN!CK37</f>
        <v>0</v>
      </c>
      <c r="DF37" s="816">
        <f>FLN!CL37</f>
        <v>0</v>
      </c>
      <c r="DG37" s="816">
        <f>FLN!CM37</f>
        <v>0</v>
      </c>
      <c r="DH37" s="823" t="str">
        <f t="shared" si="19"/>
        <v>3421</v>
      </c>
      <c r="DI37" s="816">
        <f>FLN!CN37</f>
        <v>0</v>
      </c>
      <c r="DJ37" s="816">
        <f>FLN!CO37</f>
        <v>0</v>
      </c>
      <c r="DK37" s="816">
        <f>FLN!CP37</f>
        <v>0</v>
      </c>
      <c r="DL37" s="816">
        <f>FLN!CQ37</f>
        <v>0</v>
      </c>
      <c r="DM37" s="823" t="str">
        <f t="shared" si="20"/>
        <v>3422</v>
      </c>
      <c r="DN37" s="816">
        <f>FLN!CR37</f>
        <v>0</v>
      </c>
      <c r="DO37" s="816">
        <f>FLN!CS37</f>
        <v>0</v>
      </c>
      <c r="DP37" s="816">
        <f>FLN!CT37</f>
        <v>0</v>
      </c>
      <c r="DQ37" s="816">
        <f>FLN!CU37</f>
        <v>0</v>
      </c>
      <c r="DR37" s="823" t="str">
        <f t="shared" si="21"/>
        <v>3423</v>
      </c>
      <c r="DS37" s="816">
        <f>FLN!CV37</f>
        <v>0</v>
      </c>
      <c r="DT37" s="816">
        <f>FLN!CW37</f>
        <v>0</v>
      </c>
      <c r="DU37" s="816">
        <f>FLN!CX37</f>
        <v>0</v>
      </c>
      <c r="DV37" s="816">
        <f>FLN!CY37</f>
        <v>0</v>
      </c>
      <c r="DW37" s="823" t="str">
        <f t="shared" si="22"/>
        <v>3424</v>
      </c>
      <c r="DX37" s="816">
        <f>FLN!CZ37</f>
        <v>0</v>
      </c>
      <c r="DY37" s="816">
        <f>FLN!DA37</f>
        <v>0</v>
      </c>
      <c r="DZ37" s="816">
        <f>FLN!DB37</f>
        <v>0</v>
      </c>
      <c r="EA37" s="816">
        <f>FLN!DC37</f>
        <v>0</v>
      </c>
      <c r="EB37" s="823" t="str">
        <f t="shared" si="23"/>
        <v>3425</v>
      </c>
      <c r="EC37" s="816">
        <f>FLN!DD37</f>
        <v>0</v>
      </c>
      <c r="ED37" s="816">
        <f>FLN!DE37</f>
        <v>0</v>
      </c>
      <c r="EE37" s="816">
        <f>FLN!DF37</f>
        <v>0</v>
      </c>
      <c r="EF37" s="816">
        <f>FLN!DG37</f>
        <v>0</v>
      </c>
    </row>
    <row r="38" spans="1:136">
      <c r="A38" s="824">
        <v>35</v>
      </c>
      <c r="B38" s="824">
        <f>STUDENT!F36</f>
        <v>15104</v>
      </c>
      <c r="C38" s="824">
        <f>STUDENT!D36</f>
        <v>20250272033</v>
      </c>
      <c r="D38" s="827" t="str">
        <f>STUDENT!E36</f>
        <v>NIKHIL KUMAR</v>
      </c>
      <c r="E38" s="827" t="str">
        <f>STUDENT!H36</f>
        <v>SUNIL KUMAR</v>
      </c>
      <c r="F38" s="828" t="str">
        <f>FLN!F38</f>
        <v>Alphabets</v>
      </c>
      <c r="G38" s="828" t="str">
        <f>FLN!G38</f>
        <v>Number Recognition (10-99)</v>
      </c>
      <c r="H38" s="828" t="str">
        <f>FLN!H38</f>
        <v>Character</v>
      </c>
      <c r="I38" s="824">
        <f>FLN!I38</f>
        <v>2</v>
      </c>
      <c r="J38" s="824">
        <f>FLN!J38</f>
        <v>2</v>
      </c>
      <c r="K38" s="824">
        <f>FLN!K38</f>
        <v>3</v>
      </c>
      <c r="L38" s="823" t="str">
        <f t="shared" si="24"/>
        <v>351</v>
      </c>
      <c r="M38" s="816">
        <f>FLN!L38</f>
        <v>2</v>
      </c>
      <c r="N38" s="816">
        <f>FLN!M38</f>
        <v>2</v>
      </c>
      <c r="O38" s="816">
        <f>FLN!N38</f>
        <v>3</v>
      </c>
      <c r="P38" s="816">
        <f>FLN!O38</f>
        <v>0</v>
      </c>
      <c r="Q38" s="823" t="str">
        <f t="shared" si="0"/>
        <v>352</v>
      </c>
      <c r="R38" s="816">
        <f>FLN!P38</f>
        <v>2</v>
      </c>
      <c r="S38" s="816">
        <f>FLN!Q38</f>
        <v>2</v>
      </c>
      <c r="T38" s="816">
        <f>FLN!R38</f>
        <v>3</v>
      </c>
      <c r="U38" s="816" t="str">
        <f>FLN!S38</f>
        <v>-</v>
      </c>
      <c r="V38" s="823" t="str">
        <f t="shared" si="1"/>
        <v>353</v>
      </c>
      <c r="W38" s="816">
        <f>FLN!T38</f>
        <v>2</v>
      </c>
      <c r="X38" s="816">
        <f>FLN!U38</f>
        <v>2</v>
      </c>
      <c r="Y38" s="816">
        <f>FLN!V38</f>
        <v>3</v>
      </c>
      <c r="Z38" s="816" t="str">
        <f>FLN!W38</f>
        <v>-</v>
      </c>
      <c r="AA38" s="823" t="str">
        <f t="shared" si="2"/>
        <v>354</v>
      </c>
      <c r="AB38" s="816">
        <f>FLN!X38</f>
        <v>2</v>
      </c>
      <c r="AC38" s="816">
        <f>FLN!Y38</f>
        <v>2</v>
      </c>
      <c r="AD38" s="816">
        <f>FLN!Z38</f>
        <v>3</v>
      </c>
      <c r="AE38" s="816" t="str">
        <f>FLN!AA38</f>
        <v>-</v>
      </c>
      <c r="AF38" s="823" t="str">
        <f t="shared" si="3"/>
        <v>355</v>
      </c>
      <c r="AG38" s="816">
        <f>FLN!AB38</f>
        <v>2</v>
      </c>
      <c r="AH38" s="816">
        <f>FLN!AC38</f>
        <v>2</v>
      </c>
      <c r="AI38" s="816">
        <f>FLN!AD38</f>
        <v>3</v>
      </c>
      <c r="AJ38" s="816">
        <f>FLN!AE38</f>
        <v>0</v>
      </c>
      <c r="AK38" s="823" t="str">
        <f t="shared" si="4"/>
        <v>356</v>
      </c>
      <c r="AL38" s="816">
        <f>FLN!AF38</f>
        <v>2</v>
      </c>
      <c r="AM38" s="816">
        <f>FLN!AG38</f>
        <v>2</v>
      </c>
      <c r="AN38" s="816">
        <f>FLN!AH38</f>
        <v>3</v>
      </c>
      <c r="AO38" s="816">
        <f>FLN!AI38</f>
        <v>0</v>
      </c>
      <c r="AP38" s="823" t="str">
        <f t="shared" si="5"/>
        <v>357</v>
      </c>
      <c r="AQ38" s="816">
        <f>FLN!AJ38</f>
        <v>0</v>
      </c>
      <c r="AR38" s="816">
        <f>FLN!AK38</f>
        <v>0</v>
      </c>
      <c r="AS38" s="816">
        <f>FLN!AL38</f>
        <v>0</v>
      </c>
      <c r="AT38" s="816">
        <f>FLN!AM38</f>
        <v>0</v>
      </c>
      <c r="AU38" s="823" t="str">
        <f t="shared" si="6"/>
        <v>358</v>
      </c>
      <c r="AV38" s="816">
        <f>FLN!AN38</f>
        <v>0</v>
      </c>
      <c r="AW38" s="816">
        <f>FLN!AO38</f>
        <v>0</v>
      </c>
      <c r="AX38" s="816">
        <f>FLN!AP38</f>
        <v>0</v>
      </c>
      <c r="AY38" s="816">
        <f>FLN!AQ38</f>
        <v>0</v>
      </c>
      <c r="AZ38" s="823" t="str">
        <f t="shared" si="7"/>
        <v>359</v>
      </c>
      <c r="BA38" s="816">
        <f>FLN!AR38</f>
        <v>0</v>
      </c>
      <c r="BB38" s="816">
        <f>FLN!AS38</f>
        <v>0</v>
      </c>
      <c r="BC38" s="816">
        <f>FLN!AT38</f>
        <v>0</v>
      </c>
      <c r="BD38" s="816">
        <f>FLN!AU38</f>
        <v>0</v>
      </c>
      <c r="BE38" s="823" t="str">
        <f t="shared" si="8"/>
        <v>3510</v>
      </c>
      <c r="BF38" s="816">
        <f>FLN!AV38</f>
        <v>0</v>
      </c>
      <c r="BG38" s="816">
        <f>FLN!AW38</f>
        <v>0</v>
      </c>
      <c r="BH38" s="816">
        <f>FLN!AX38</f>
        <v>0</v>
      </c>
      <c r="BI38" s="816">
        <f>FLN!AY38</f>
        <v>0</v>
      </c>
      <c r="BJ38" s="823" t="str">
        <f t="shared" si="9"/>
        <v>3511</v>
      </c>
      <c r="BK38" s="816">
        <f>FLN!AZ38</f>
        <v>0</v>
      </c>
      <c r="BL38" s="816">
        <f>FLN!BA38</f>
        <v>0</v>
      </c>
      <c r="BM38" s="816">
        <f>FLN!BB38</f>
        <v>0</v>
      </c>
      <c r="BN38" s="816">
        <f>FLN!BC38</f>
        <v>0</v>
      </c>
      <c r="BO38" s="823" t="str">
        <f t="shared" si="10"/>
        <v>3512</v>
      </c>
      <c r="BP38" s="816">
        <f>FLN!BD38</f>
        <v>0</v>
      </c>
      <c r="BQ38" s="816">
        <f>FLN!BE38</f>
        <v>0</v>
      </c>
      <c r="BR38" s="816">
        <f>FLN!BF38</f>
        <v>0</v>
      </c>
      <c r="BS38" s="816">
        <f>FLN!BG38</f>
        <v>0</v>
      </c>
      <c r="BT38" s="823" t="str">
        <f t="shared" si="11"/>
        <v>3513</v>
      </c>
      <c r="BU38" s="816">
        <f>FLN!BH38</f>
        <v>0</v>
      </c>
      <c r="BV38" s="816">
        <f>FLN!BI38</f>
        <v>0</v>
      </c>
      <c r="BW38" s="816">
        <f>FLN!BJ38</f>
        <v>0</v>
      </c>
      <c r="BX38" s="816">
        <f>FLN!BK38</f>
        <v>0</v>
      </c>
      <c r="BY38" s="823" t="str">
        <f t="shared" si="12"/>
        <v>3514</v>
      </c>
      <c r="BZ38" s="816">
        <f>FLN!BL38</f>
        <v>0</v>
      </c>
      <c r="CA38" s="816">
        <f>FLN!BM38</f>
        <v>0</v>
      </c>
      <c r="CB38" s="816">
        <f>FLN!BN38</f>
        <v>0</v>
      </c>
      <c r="CC38" s="816">
        <f>FLN!BO38</f>
        <v>0</v>
      </c>
      <c r="CD38" s="823" t="str">
        <f t="shared" si="13"/>
        <v>3515</v>
      </c>
      <c r="CE38" s="816">
        <f>FLN!BP38</f>
        <v>0</v>
      </c>
      <c r="CF38" s="816">
        <f>FLN!BQ38</f>
        <v>0</v>
      </c>
      <c r="CG38" s="816">
        <f>FLN!BR38</f>
        <v>0</v>
      </c>
      <c r="CH38" s="816">
        <f>FLN!BS38</f>
        <v>0</v>
      </c>
      <c r="CI38" s="823" t="str">
        <f t="shared" si="14"/>
        <v>3516</v>
      </c>
      <c r="CJ38" s="816">
        <f>FLN!BT38</f>
        <v>0</v>
      </c>
      <c r="CK38" s="816">
        <f>FLN!BU38</f>
        <v>0</v>
      </c>
      <c r="CL38" s="816">
        <f>FLN!BV38</f>
        <v>0</v>
      </c>
      <c r="CM38" s="816">
        <f>FLN!BW38</f>
        <v>0</v>
      </c>
      <c r="CN38" s="823" t="str">
        <f t="shared" si="15"/>
        <v>3517</v>
      </c>
      <c r="CO38" s="816">
        <f>FLN!BX38</f>
        <v>0</v>
      </c>
      <c r="CP38" s="816">
        <f>FLN!BY38</f>
        <v>0</v>
      </c>
      <c r="CQ38" s="816">
        <f>FLN!BZ38</f>
        <v>0</v>
      </c>
      <c r="CR38" s="816">
        <f>FLN!CA38</f>
        <v>0</v>
      </c>
      <c r="CS38" s="823" t="str">
        <f t="shared" si="16"/>
        <v>3518</v>
      </c>
      <c r="CT38" s="816">
        <f>FLN!CB38</f>
        <v>0</v>
      </c>
      <c r="CU38" s="816">
        <f>FLN!CC38</f>
        <v>0</v>
      </c>
      <c r="CV38" s="816">
        <f>FLN!CD38</f>
        <v>0</v>
      </c>
      <c r="CW38" s="816">
        <f>FLN!CE38</f>
        <v>0</v>
      </c>
      <c r="CX38" s="823" t="str">
        <f t="shared" si="17"/>
        <v>3519</v>
      </c>
      <c r="CY38" s="816">
        <f>FLN!CF38</f>
        <v>0</v>
      </c>
      <c r="CZ38" s="816">
        <f>FLN!CG38</f>
        <v>0</v>
      </c>
      <c r="DA38" s="816">
        <f>FLN!CH38</f>
        <v>0</v>
      </c>
      <c r="DB38" s="816">
        <f>FLN!CI38</f>
        <v>0</v>
      </c>
      <c r="DC38" s="823" t="str">
        <f t="shared" si="18"/>
        <v>3520</v>
      </c>
      <c r="DD38" s="816">
        <f>FLN!CJ38</f>
        <v>0</v>
      </c>
      <c r="DE38" s="816">
        <f>FLN!CK38</f>
        <v>0</v>
      </c>
      <c r="DF38" s="816">
        <f>FLN!CL38</f>
        <v>0</v>
      </c>
      <c r="DG38" s="816">
        <f>FLN!CM38</f>
        <v>0</v>
      </c>
      <c r="DH38" s="823" t="str">
        <f t="shared" si="19"/>
        <v>3521</v>
      </c>
      <c r="DI38" s="816">
        <f>FLN!CN38</f>
        <v>0</v>
      </c>
      <c r="DJ38" s="816">
        <f>FLN!CO38</f>
        <v>0</v>
      </c>
      <c r="DK38" s="816">
        <f>FLN!CP38</f>
        <v>0</v>
      </c>
      <c r="DL38" s="816">
        <f>FLN!CQ38</f>
        <v>0</v>
      </c>
      <c r="DM38" s="823" t="str">
        <f t="shared" si="20"/>
        <v>3522</v>
      </c>
      <c r="DN38" s="816">
        <f>FLN!CR38</f>
        <v>0</v>
      </c>
      <c r="DO38" s="816">
        <f>FLN!CS38</f>
        <v>0</v>
      </c>
      <c r="DP38" s="816">
        <f>FLN!CT38</f>
        <v>0</v>
      </c>
      <c r="DQ38" s="816">
        <f>FLN!CU38</f>
        <v>0</v>
      </c>
      <c r="DR38" s="823" t="str">
        <f t="shared" si="21"/>
        <v>3523</v>
      </c>
      <c r="DS38" s="816">
        <f>FLN!CV38</f>
        <v>0</v>
      </c>
      <c r="DT38" s="816">
        <f>FLN!CW38</f>
        <v>0</v>
      </c>
      <c r="DU38" s="816">
        <f>FLN!CX38</f>
        <v>0</v>
      </c>
      <c r="DV38" s="816">
        <f>FLN!CY38</f>
        <v>0</v>
      </c>
      <c r="DW38" s="823" t="str">
        <f t="shared" si="22"/>
        <v>3524</v>
      </c>
      <c r="DX38" s="816">
        <f>FLN!CZ38</f>
        <v>0</v>
      </c>
      <c r="DY38" s="816">
        <f>FLN!DA38</f>
        <v>0</v>
      </c>
      <c r="DZ38" s="816">
        <f>FLN!DB38</f>
        <v>0</v>
      </c>
      <c r="EA38" s="816">
        <f>FLN!DC38</f>
        <v>0</v>
      </c>
      <c r="EB38" s="823" t="str">
        <f t="shared" si="23"/>
        <v>3525</v>
      </c>
      <c r="EC38" s="816">
        <f>FLN!DD38</f>
        <v>0</v>
      </c>
      <c r="ED38" s="816">
        <f>FLN!DE38</f>
        <v>0</v>
      </c>
      <c r="EE38" s="816">
        <f>FLN!DF38</f>
        <v>0</v>
      </c>
      <c r="EF38" s="816">
        <f>FLN!DG38</f>
        <v>0</v>
      </c>
    </row>
    <row r="39" spans="1:136">
      <c r="A39" s="824">
        <v>36</v>
      </c>
      <c r="B39" s="824">
        <f>STUDENT!F37</f>
        <v>15143</v>
      </c>
      <c r="C39" s="824">
        <f>STUDENT!D37</f>
        <v>20250310265</v>
      </c>
      <c r="D39" s="827" t="str">
        <f>STUDENT!E37</f>
        <v>JITENDRA</v>
      </c>
      <c r="E39" s="827" t="str">
        <f>STUDENT!H37</f>
        <v>RAM SUMAR</v>
      </c>
      <c r="F39" s="828" t="str">
        <f>FLN!F39</f>
        <v>Alphabets</v>
      </c>
      <c r="G39" s="828" t="str">
        <f>FLN!G39</f>
        <v>Number Recognition (10-99)</v>
      </c>
      <c r="H39" s="828" t="str">
        <f>FLN!H39</f>
        <v>Character</v>
      </c>
      <c r="I39" s="824">
        <f>FLN!I39</f>
        <v>2</v>
      </c>
      <c r="J39" s="824">
        <f>FLN!J39</f>
        <v>2</v>
      </c>
      <c r="K39" s="824">
        <f>FLN!K39</f>
        <v>3</v>
      </c>
      <c r="L39" s="823" t="str">
        <f t="shared" si="24"/>
        <v>361</v>
      </c>
      <c r="M39" s="816">
        <f>FLN!L39</f>
        <v>2</v>
      </c>
      <c r="N39" s="816">
        <f>FLN!M39</f>
        <v>2</v>
      </c>
      <c r="O39" s="816">
        <f>FLN!N39</f>
        <v>3</v>
      </c>
      <c r="P39" s="816">
        <f>FLN!O39</f>
        <v>0</v>
      </c>
      <c r="Q39" s="823" t="str">
        <f t="shared" si="0"/>
        <v>362</v>
      </c>
      <c r="R39" s="816">
        <f>FLN!P39</f>
        <v>2</v>
      </c>
      <c r="S39" s="816">
        <f>FLN!Q39</f>
        <v>2</v>
      </c>
      <c r="T39" s="816">
        <f>FLN!R39</f>
        <v>3</v>
      </c>
      <c r="U39" s="816" t="str">
        <f>FLN!S39</f>
        <v>-</v>
      </c>
      <c r="V39" s="823" t="str">
        <f t="shared" si="1"/>
        <v>363</v>
      </c>
      <c r="W39" s="816">
        <f>FLN!T39</f>
        <v>2</v>
      </c>
      <c r="X39" s="816">
        <f>FLN!U39</f>
        <v>2</v>
      </c>
      <c r="Y39" s="816">
        <f>FLN!V39</f>
        <v>3</v>
      </c>
      <c r="Z39" s="816" t="str">
        <f>FLN!W39</f>
        <v>-</v>
      </c>
      <c r="AA39" s="823" t="str">
        <f t="shared" si="2"/>
        <v>364</v>
      </c>
      <c r="AB39" s="816">
        <f>FLN!X39</f>
        <v>2</v>
      </c>
      <c r="AC39" s="816">
        <f>FLN!Y39</f>
        <v>2</v>
      </c>
      <c r="AD39" s="816">
        <f>FLN!Z39</f>
        <v>3</v>
      </c>
      <c r="AE39" s="816" t="str">
        <f>FLN!AA39</f>
        <v>-</v>
      </c>
      <c r="AF39" s="823" t="str">
        <f t="shared" si="3"/>
        <v>365</v>
      </c>
      <c r="AG39" s="816">
        <f>FLN!AB39</f>
        <v>2</v>
      </c>
      <c r="AH39" s="816">
        <f>FLN!AC39</f>
        <v>2</v>
      </c>
      <c r="AI39" s="816">
        <f>FLN!AD39</f>
        <v>3</v>
      </c>
      <c r="AJ39" s="816" t="str">
        <f>FLN!AE39</f>
        <v>-</v>
      </c>
      <c r="AK39" s="823" t="str">
        <f t="shared" si="4"/>
        <v>366</v>
      </c>
      <c r="AL39" s="816">
        <f>FLN!AF39</f>
        <v>3</v>
      </c>
      <c r="AM39" s="816">
        <f>FLN!AG39</f>
        <v>2</v>
      </c>
      <c r="AN39" s="816">
        <f>FLN!AH39</f>
        <v>3</v>
      </c>
      <c r="AO39" s="816">
        <f>FLN!AI39</f>
        <v>0</v>
      </c>
      <c r="AP39" s="823" t="str">
        <f t="shared" si="5"/>
        <v>367</v>
      </c>
      <c r="AQ39" s="816">
        <f>FLN!AJ39</f>
        <v>0</v>
      </c>
      <c r="AR39" s="816">
        <f>FLN!AK39</f>
        <v>0</v>
      </c>
      <c r="AS39" s="816">
        <f>FLN!AL39</f>
        <v>0</v>
      </c>
      <c r="AT39" s="816">
        <f>FLN!AM39</f>
        <v>0</v>
      </c>
      <c r="AU39" s="823" t="str">
        <f t="shared" si="6"/>
        <v>368</v>
      </c>
      <c r="AV39" s="816">
        <f>FLN!AN39</f>
        <v>0</v>
      </c>
      <c r="AW39" s="816">
        <f>FLN!AO39</f>
        <v>0</v>
      </c>
      <c r="AX39" s="816">
        <f>FLN!AP39</f>
        <v>0</v>
      </c>
      <c r="AY39" s="816">
        <f>FLN!AQ39</f>
        <v>0</v>
      </c>
      <c r="AZ39" s="823" t="str">
        <f t="shared" si="7"/>
        <v>369</v>
      </c>
      <c r="BA39" s="816">
        <f>FLN!AR39</f>
        <v>0</v>
      </c>
      <c r="BB39" s="816">
        <f>FLN!AS39</f>
        <v>0</v>
      </c>
      <c r="BC39" s="816">
        <f>FLN!AT39</f>
        <v>0</v>
      </c>
      <c r="BD39" s="816">
        <f>FLN!AU39</f>
        <v>0</v>
      </c>
      <c r="BE39" s="823" t="str">
        <f t="shared" si="8"/>
        <v>3610</v>
      </c>
      <c r="BF39" s="816">
        <f>FLN!AV39</f>
        <v>0</v>
      </c>
      <c r="BG39" s="816">
        <f>FLN!AW39</f>
        <v>0</v>
      </c>
      <c r="BH39" s="816">
        <f>FLN!AX39</f>
        <v>0</v>
      </c>
      <c r="BI39" s="816">
        <f>FLN!AY39</f>
        <v>0</v>
      </c>
      <c r="BJ39" s="823" t="str">
        <f t="shared" si="9"/>
        <v>3611</v>
      </c>
      <c r="BK39" s="816">
        <f>FLN!AZ39</f>
        <v>0</v>
      </c>
      <c r="BL39" s="816">
        <f>FLN!BA39</f>
        <v>0</v>
      </c>
      <c r="BM39" s="816">
        <f>FLN!BB39</f>
        <v>0</v>
      </c>
      <c r="BN39" s="816">
        <f>FLN!BC39</f>
        <v>0</v>
      </c>
      <c r="BO39" s="823" t="str">
        <f t="shared" si="10"/>
        <v>3612</v>
      </c>
      <c r="BP39" s="816">
        <f>FLN!BD39</f>
        <v>0</v>
      </c>
      <c r="BQ39" s="816">
        <f>FLN!BE39</f>
        <v>0</v>
      </c>
      <c r="BR39" s="816">
        <f>FLN!BF39</f>
        <v>0</v>
      </c>
      <c r="BS39" s="816">
        <f>FLN!BG39</f>
        <v>0</v>
      </c>
      <c r="BT39" s="823" t="str">
        <f t="shared" si="11"/>
        <v>3613</v>
      </c>
      <c r="BU39" s="816">
        <f>FLN!BH39</f>
        <v>0</v>
      </c>
      <c r="BV39" s="816">
        <f>FLN!BI39</f>
        <v>0</v>
      </c>
      <c r="BW39" s="816">
        <f>FLN!BJ39</f>
        <v>0</v>
      </c>
      <c r="BX39" s="816">
        <f>FLN!BK39</f>
        <v>0</v>
      </c>
      <c r="BY39" s="823" t="str">
        <f t="shared" si="12"/>
        <v>3614</v>
      </c>
      <c r="BZ39" s="816">
        <f>FLN!BL39</f>
        <v>0</v>
      </c>
      <c r="CA39" s="816">
        <f>FLN!BM39</f>
        <v>0</v>
      </c>
      <c r="CB39" s="816">
        <f>FLN!BN39</f>
        <v>0</v>
      </c>
      <c r="CC39" s="816">
        <f>FLN!BO39</f>
        <v>0</v>
      </c>
      <c r="CD39" s="823" t="str">
        <f t="shared" si="13"/>
        <v>3615</v>
      </c>
      <c r="CE39" s="816">
        <f>FLN!BP39</f>
        <v>0</v>
      </c>
      <c r="CF39" s="816">
        <f>FLN!BQ39</f>
        <v>0</v>
      </c>
      <c r="CG39" s="816">
        <f>FLN!BR39</f>
        <v>0</v>
      </c>
      <c r="CH39" s="816">
        <f>FLN!BS39</f>
        <v>0</v>
      </c>
      <c r="CI39" s="823" t="str">
        <f t="shared" si="14"/>
        <v>3616</v>
      </c>
      <c r="CJ39" s="816">
        <f>FLN!BT39</f>
        <v>0</v>
      </c>
      <c r="CK39" s="816">
        <f>FLN!BU39</f>
        <v>0</v>
      </c>
      <c r="CL39" s="816">
        <f>FLN!BV39</f>
        <v>0</v>
      </c>
      <c r="CM39" s="816">
        <f>FLN!BW39</f>
        <v>0</v>
      </c>
      <c r="CN39" s="823" t="str">
        <f t="shared" si="15"/>
        <v>3617</v>
      </c>
      <c r="CO39" s="816">
        <f>FLN!BX39</f>
        <v>0</v>
      </c>
      <c r="CP39" s="816">
        <f>FLN!BY39</f>
        <v>0</v>
      </c>
      <c r="CQ39" s="816">
        <f>FLN!BZ39</f>
        <v>0</v>
      </c>
      <c r="CR39" s="816">
        <f>FLN!CA39</f>
        <v>0</v>
      </c>
      <c r="CS39" s="823" t="str">
        <f t="shared" si="16"/>
        <v>3618</v>
      </c>
      <c r="CT39" s="816">
        <f>FLN!CB39</f>
        <v>0</v>
      </c>
      <c r="CU39" s="816">
        <f>FLN!CC39</f>
        <v>0</v>
      </c>
      <c r="CV39" s="816">
        <f>FLN!CD39</f>
        <v>0</v>
      </c>
      <c r="CW39" s="816">
        <f>FLN!CE39</f>
        <v>0</v>
      </c>
      <c r="CX39" s="823" t="str">
        <f t="shared" si="17"/>
        <v>3619</v>
      </c>
      <c r="CY39" s="816">
        <f>FLN!CF39</f>
        <v>0</v>
      </c>
      <c r="CZ39" s="816">
        <f>FLN!CG39</f>
        <v>0</v>
      </c>
      <c r="DA39" s="816">
        <f>FLN!CH39</f>
        <v>0</v>
      </c>
      <c r="DB39" s="816">
        <f>FLN!CI39</f>
        <v>0</v>
      </c>
      <c r="DC39" s="823" t="str">
        <f t="shared" si="18"/>
        <v>3620</v>
      </c>
      <c r="DD39" s="816">
        <f>FLN!CJ39</f>
        <v>0</v>
      </c>
      <c r="DE39" s="816">
        <f>FLN!CK39</f>
        <v>0</v>
      </c>
      <c r="DF39" s="816">
        <f>FLN!CL39</f>
        <v>0</v>
      </c>
      <c r="DG39" s="816">
        <f>FLN!CM39</f>
        <v>0</v>
      </c>
      <c r="DH39" s="823" t="str">
        <f t="shared" si="19"/>
        <v>3621</v>
      </c>
      <c r="DI39" s="816">
        <f>FLN!CN39</f>
        <v>0</v>
      </c>
      <c r="DJ39" s="816">
        <f>FLN!CO39</f>
        <v>0</v>
      </c>
      <c r="DK39" s="816">
        <f>FLN!CP39</f>
        <v>0</v>
      </c>
      <c r="DL39" s="816">
        <f>FLN!CQ39</f>
        <v>0</v>
      </c>
      <c r="DM39" s="823" t="str">
        <f t="shared" si="20"/>
        <v>3622</v>
      </c>
      <c r="DN39" s="816">
        <f>FLN!CR39</f>
        <v>0</v>
      </c>
      <c r="DO39" s="816">
        <f>FLN!CS39</f>
        <v>0</v>
      </c>
      <c r="DP39" s="816">
        <f>FLN!CT39</f>
        <v>0</v>
      </c>
      <c r="DQ39" s="816">
        <f>FLN!CU39</f>
        <v>0</v>
      </c>
      <c r="DR39" s="823" t="str">
        <f t="shared" si="21"/>
        <v>3623</v>
      </c>
      <c r="DS39" s="816">
        <f>FLN!CV39</f>
        <v>0</v>
      </c>
      <c r="DT39" s="816">
        <f>FLN!CW39</f>
        <v>0</v>
      </c>
      <c r="DU39" s="816">
        <f>FLN!CX39</f>
        <v>0</v>
      </c>
      <c r="DV39" s="816">
        <f>FLN!CY39</f>
        <v>0</v>
      </c>
      <c r="DW39" s="823" t="str">
        <f t="shared" si="22"/>
        <v>3624</v>
      </c>
      <c r="DX39" s="816">
        <f>FLN!CZ39</f>
        <v>0</v>
      </c>
      <c r="DY39" s="816">
        <f>FLN!DA39</f>
        <v>0</v>
      </c>
      <c r="DZ39" s="816">
        <f>FLN!DB39</f>
        <v>0</v>
      </c>
      <c r="EA39" s="816">
        <f>FLN!DC39</f>
        <v>0</v>
      </c>
      <c r="EB39" s="823" t="str">
        <f t="shared" si="23"/>
        <v>3625</v>
      </c>
      <c r="EC39" s="816">
        <f>FLN!DD39</f>
        <v>0</v>
      </c>
      <c r="ED39" s="816">
        <f>FLN!DE39</f>
        <v>0</v>
      </c>
      <c r="EE39" s="816">
        <f>FLN!DF39</f>
        <v>0</v>
      </c>
      <c r="EF39" s="816">
        <f>FLN!DG39</f>
        <v>0</v>
      </c>
    </row>
    <row r="40" spans="1:136">
      <c r="A40" s="824">
        <v>37</v>
      </c>
      <c r="B40" s="824">
        <f>STUDENT!F38</f>
        <v>15144</v>
      </c>
      <c r="C40" s="824">
        <f>STUDENT!D38</f>
        <v>20250310269</v>
      </c>
      <c r="D40" s="827" t="str">
        <f>STUDENT!E38</f>
        <v>MOHD AYAN</v>
      </c>
      <c r="E40" s="827" t="str">
        <f>STUDENT!H38</f>
        <v>BUDHAN MIYAN</v>
      </c>
      <c r="F40" s="828" t="str">
        <f>FLN!F40</f>
        <v>Alphabets</v>
      </c>
      <c r="G40" s="828" t="str">
        <f>FLN!G40</f>
        <v>Number Recognition (10-99)</v>
      </c>
      <c r="H40" s="828" t="str">
        <f>FLN!H40</f>
        <v>Character</v>
      </c>
      <c r="I40" s="824">
        <f>FLN!I40</f>
        <v>2</v>
      </c>
      <c r="J40" s="824">
        <f>FLN!J40</f>
        <v>2</v>
      </c>
      <c r="K40" s="824">
        <f>FLN!K40</f>
        <v>3</v>
      </c>
      <c r="L40" s="823" t="str">
        <f t="shared" si="24"/>
        <v>371</v>
      </c>
      <c r="M40" s="816">
        <f>FLN!L40</f>
        <v>2</v>
      </c>
      <c r="N40" s="816">
        <f>FLN!M40</f>
        <v>2</v>
      </c>
      <c r="O40" s="816">
        <f>FLN!N40</f>
        <v>3</v>
      </c>
      <c r="P40" s="816">
        <f>FLN!O40</f>
        <v>0</v>
      </c>
      <c r="Q40" s="823" t="str">
        <f t="shared" si="0"/>
        <v>372</v>
      </c>
      <c r="R40" s="816">
        <f>FLN!P40</f>
        <v>2</v>
      </c>
      <c r="S40" s="816">
        <f>FLN!Q40</f>
        <v>2</v>
      </c>
      <c r="T40" s="816">
        <f>FLN!R40</f>
        <v>3</v>
      </c>
      <c r="U40" s="816" t="str">
        <f>FLN!S40</f>
        <v>-</v>
      </c>
      <c r="V40" s="823" t="str">
        <f t="shared" si="1"/>
        <v>373</v>
      </c>
      <c r="W40" s="816">
        <f>FLN!T40</f>
        <v>2</v>
      </c>
      <c r="X40" s="816">
        <f>FLN!U40</f>
        <v>2</v>
      </c>
      <c r="Y40" s="816">
        <f>FLN!V40</f>
        <v>3</v>
      </c>
      <c r="Z40" s="816" t="str">
        <f>FLN!W40</f>
        <v>-</v>
      </c>
      <c r="AA40" s="823" t="str">
        <f t="shared" si="2"/>
        <v>374</v>
      </c>
      <c r="AB40" s="816">
        <f>FLN!X40</f>
        <v>2</v>
      </c>
      <c r="AC40" s="816">
        <f>FLN!Y40</f>
        <v>2</v>
      </c>
      <c r="AD40" s="816">
        <f>FLN!Z40</f>
        <v>3</v>
      </c>
      <c r="AE40" s="816" t="str">
        <f>FLN!AA40</f>
        <v>-</v>
      </c>
      <c r="AF40" s="823" t="str">
        <f t="shared" si="3"/>
        <v>375</v>
      </c>
      <c r="AG40" s="816">
        <f>FLN!AB40</f>
        <v>2</v>
      </c>
      <c r="AH40" s="816">
        <f>FLN!AC40</f>
        <v>2</v>
      </c>
      <c r="AI40" s="816">
        <f>FLN!AD40</f>
        <v>3</v>
      </c>
      <c r="AJ40" s="816" t="str">
        <f>FLN!AE40</f>
        <v>-</v>
      </c>
      <c r="AK40" s="823" t="str">
        <f t="shared" si="4"/>
        <v>376</v>
      </c>
      <c r="AL40" s="816">
        <f>FLN!AF40</f>
        <v>2</v>
      </c>
      <c r="AM40" s="816">
        <f>FLN!AG40</f>
        <v>2</v>
      </c>
      <c r="AN40" s="816">
        <f>FLN!AH40</f>
        <v>3</v>
      </c>
      <c r="AO40" s="816">
        <f>FLN!AI40</f>
        <v>0</v>
      </c>
      <c r="AP40" s="823" t="str">
        <f t="shared" si="5"/>
        <v>377</v>
      </c>
      <c r="AQ40" s="816">
        <f>FLN!AJ40</f>
        <v>0</v>
      </c>
      <c r="AR40" s="816">
        <f>FLN!AK40</f>
        <v>0</v>
      </c>
      <c r="AS40" s="816">
        <f>FLN!AL40</f>
        <v>0</v>
      </c>
      <c r="AT40" s="816">
        <f>FLN!AM40</f>
        <v>0</v>
      </c>
      <c r="AU40" s="823" t="str">
        <f t="shared" si="6"/>
        <v>378</v>
      </c>
      <c r="AV40" s="816">
        <f>FLN!AN40</f>
        <v>0</v>
      </c>
      <c r="AW40" s="816">
        <f>FLN!AO40</f>
        <v>0</v>
      </c>
      <c r="AX40" s="816">
        <f>FLN!AP40</f>
        <v>0</v>
      </c>
      <c r="AY40" s="816">
        <f>FLN!AQ40</f>
        <v>0</v>
      </c>
      <c r="AZ40" s="823" t="str">
        <f t="shared" si="7"/>
        <v>379</v>
      </c>
      <c r="BA40" s="816">
        <f>FLN!AR40</f>
        <v>0</v>
      </c>
      <c r="BB40" s="816">
        <f>FLN!AS40</f>
        <v>0</v>
      </c>
      <c r="BC40" s="816">
        <f>FLN!AT40</f>
        <v>0</v>
      </c>
      <c r="BD40" s="816">
        <f>FLN!AU40</f>
        <v>0</v>
      </c>
      <c r="BE40" s="823" t="str">
        <f t="shared" si="8"/>
        <v>3710</v>
      </c>
      <c r="BF40" s="816">
        <f>FLN!AV40</f>
        <v>0</v>
      </c>
      <c r="BG40" s="816">
        <f>FLN!AW40</f>
        <v>0</v>
      </c>
      <c r="BH40" s="816">
        <f>FLN!AX40</f>
        <v>0</v>
      </c>
      <c r="BI40" s="816">
        <f>FLN!AY40</f>
        <v>0</v>
      </c>
      <c r="BJ40" s="823" t="str">
        <f t="shared" si="9"/>
        <v>3711</v>
      </c>
      <c r="BK40" s="816">
        <f>FLN!AZ40</f>
        <v>0</v>
      </c>
      <c r="BL40" s="816">
        <f>FLN!BA40</f>
        <v>0</v>
      </c>
      <c r="BM40" s="816">
        <f>FLN!BB40</f>
        <v>0</v>
      </c>
      <c r="BN40" s="816">
        <f>FLN!BC40</f>
        <v>0</v>
      </c>
      <c r="BO40" s="823" t="str">
        <f t="shared" si="10"/>
        <v>3712</v>
      </c>
      <c r="BP40" s="816">
        <f>FLN!BD40</f>
        <v>0</v>
      </c>
      <c r="BQ40" s="816">
        <f>FLN!BE40</f>
        <v>0</v>
      </c>
      <c r="BR40" s="816">
        <f>FLN!BF40</f>
        <v>0</v>
      </c>
      <c r="BS40" s="816">
        <f>FLN!BG40</f>
        <v>0</v>
      </c>
      <c r="BT40" s="823" t="str">
        <f t="shared" si="11"/>
        <v>3713</v>
      </c>
      <c r="BU40" s="816">
        <f>FLN!BH40</f>
        <v>0</v>
      </c>
      <c r="BV40" s="816">
        <f>FLN!BI40</f>
        <v>0</v>
      </c>
      <c r="BW40" s="816">
        <f>FLN!BJ40</f>
        <v>0</v>
      </c>
      <c r="BX40" s="816">
        <f>FLN!BK40</f>
        <v>0</v>
      </c>
      <c r="BY40" s="823" t="str">
        <f t="shared" si="12"/>
        <v>3714</v>
      </c>
      <c r="BZ40" s="816">
        <f>FLN!BL40</f>
        <v>0</v>
      </c>
      <c r="CA40" s="816">
        <f>FLN!BM40</f>
        <v>0</v>
      </c>
      <c r="CB40" s="816">
        <f>FLN!BN40</f>
        <v>0</v>
      </c>
      <c r="CC40" s="816">
        <f>FLN!BO40</f>
        <v>0</v>
      </c>
      <c r="CD40" s="823" t="str">
        <f t="shared" si="13"/>
        <v>3715</v>
      </c>
      <c r="CE40" s="816">
        <f>FLN!BP40</f>
        <v>0</v>
      </c>
      <c r="CF40" s="816">
        <f>FLN!BQ40</f>
        <v>0</v>
      </c>
      <c r="CG40" s="816">
        <f>FLN!BR40</f>
        <v>0</v>
      </c>
      <c r="CH40" s="816">
        <f>FLN!BS40</f>
        <v>0</v>
      </c>
      <c r="CI40" s="823" t="str">
        <f t="shared" si="14"/>
        <v>3716</v>
      </c>
      <c r="CJ40" s="816">
        <f>FLN!BT40</f>
        <v>0</v>
      </c>
      <c r="CK40" s="816">
        <f>FLN!BU40</f>
        <v>0</v>
      </c>
      <c r="CL40" s="816">
        <f>FLN!BV40</f>
        <v>0</v>
      </c>
      <c r="CM40" s="816">
        <f>FLN!BW40</f>
        <v>0</v>
      </c>
      <c r="CN40" s="823" t="str">
        <f t="shared" si="15"/>
        <v>3717</v>
      </c>
      <c r="CO40" s="816">
        <f>FLN!BX40</f>
        <v>0</v>
      </c>
      <c r="CP40" s="816">
        <f>FLN!BY40</f>
        <v>0</v>
      </c>
      <c r="CQ40" s="816">
        <f>FLN!BZ40</f>
        <v>0</v>
      </c>
      <c r="CR40" s="816">
        <f>FLN!CA40</f>
        <v>0</v>
      </c>
      <c r="CS40" s="823" t="str">
        <f t="shared" si="16"/>
        <v>3718</v>
      </c>
      <c r="CT40" s="816">
        <f>FLN!CB40</f>
        <v>0</v>
      </c>
      <c r="CU40" s="816">
        <f>FLN!CC40</f>
        <v>0</v>
      </c>
      <c r="CV40" s="816">
        <f>FLN!CD40</f>
        <v>0</v>
      </c>
      <c r="CW40" s="816">
        <f>FLN!CE40</f>
        <v>0</v>
      </c>
      <c r="CX40" s="823" t="str">
        <f t="shared" si="17"/>
        <v>3719</v>
      </c>
      <c r="CY40" s="816">
        <f>FLN!CF40</f>
        <v>0</v>
      </c>
      <c r="CZ40" s="816">
        <f>FLN!CG40</f>
        <v>0</v>
      </c>
      <c r="DA40" s="816">
        <f>FLN!CH40</f>
        <v>0</v>
      </c>
      <c r="DB40" s="816">
        <f>FLN!CI40</f>
        <v>0</v>
      </c>
      <c r="DC40" s="823" t="str">
        <f t="shared" si="18"/>
        <v>3720</v>
      </c>
      <c r="DD40" s="816">
        <f>FLN!CJ40</f>
        <v>0</v>
      </c>
      <c r="DE40" s="816">
        <f>FLN!CK40</f>
        <v>0</v>
      </c>
      <c r="DF40" s="816">
        <f>FLN!CL40</f>
        <v>0</v>
      </c>
      <c r="DG40" s="816">
        <f>FLN!CM40</f>
        <v>0</v>
      </c>
      <c r="DH40" s="823" t="str">
        <f t="shared" si="19"/>
        <v>3721</v>
      </c>
      <c r="DI40" s="816">
        <f>FLN!CN40</f>
        <v>0</v>
      </c>
      <c r="DJ40" s="816">
        <f>FLN!CO40</f>
        <v>0</v>
      </c>
      <c r="DK40" s="816">
        <f>FLN!CP40</f>
        <v>0</v>
      </c>
      <c r="DL40" s="816">
        <f>FLN!CQ40</f>
        <v>0</v>
      </c>
      <c r="DM40" s="823" t="str">
        <f t="shared" si="20"/>
        <v>3722</v>
      </c>
      <c r="DN40" s="816">
        <f>FLN!CR40</f>
        <v>0</v>
      </c>
      <c r="DO40" s="816">
        <f>FLN!CS40</f>
        <v>0</v>
      </c>
      <c r="DP40" s="816">
        <f>FLN!CT40</f>
        <v>0</v>
      </c>
      <c r="DQ40" s="816">
        <f>FLN!CU40</f>
        <v>0</v>
      </c>
      <c r="DR40" s="823" t="str">
        <f t="shared" si="21"/>
        <v>3723</v>
      </c>
      <c r="DS40" s="816">
        <f>FLN!CV40</f>
        <v>0</v>
      </c>
      <c r="DT40" s="816">
        <f>FLN!CW40</f>
        <v>0</v>
      </c>
      <c r="DU40" s="816">
        <f>FLN!CX40</f>
        <v>0</v>
      </c>
      <c r="DV40" s="816">
        <f>FLN!CY40</f>
        <v>0</v>
      </c>
      <c r="DW40" s="823" t="str">
        <f t="shared" si="22"/>
        <v>3724</v>
      </c>
      <c r="DX40" s="816">
        <f>FLN!CZ40</f>
        <v>0</v>
      </c>
      <c r="DY40" s="816">
        <f>FLN!DA40</f>
        <v>0</v>
      </c>
      <c r="DZ40" s="816">
        <f>FLN!DB40</f>
        <v>0</v>
      </c>
      <c r="EA40" s="816">
        <f>FLN!DC40</f>
        <v>0</v>
      </c>
      <c r="EB40" s="823" t="str">
        <f t="shared" si="23"/>
        <v>3725</v>
      </c>
      <c r="EC40" s="816">
        <f>FLN!DD40</f>
        <v>0</v>
      </c>
      <c r="ED40" s="816">
        <f>FLN!DE40</f>
        <v>0</v>
      </c>
      <c r="EE40" s="816">
        <f>FLN!DF40</f>
        <v>0</v>
      </c>
      <c r="EF40" s="816">
        <f>FLN!DG40</f>
        <v>0</v>
      </c>
    </row>
    <row r="41" spans="1:136">
      <c r="A41" s="824">
        <v>38</v>
      </c>
      <c r="B41" s="824">
        <f>STUDENT!F39</f>
        <v>15145</v>
      </c>
      <c r="C41" s="824">
        <f>STUDENT!D39</f>
        <v>20250310277</v>
      </c>
      <c r="D41" s="827" t="str">
        <f>STUDENT!E39</f>
        <v>RAJA KUMAR</v>
      </c>
      <c r="E41" s="827" t="str">
        <f>STUDENT!H39</f>
        <v>AMAR PODDAR</v>
      </c>
      <c r="F41" s="828" t="str">
        <f>FLN!F41</f>
        <v>Alphabets</v>
      </c>
      <c r="G41" s="828" t="str">
        <f>FLN!G41</f>
        <v>Number Recognition (10-99)</v>
      </c>
      <c r="H41" s="828" t="str">
        <f>FLN!H41</f>
        <v>Character</v>
      </c>
      <c r="I41" s="824">
        <f>FLN!I41</f>
        <v>2</v>
      </c>
      <c r="J41" s="824">
        <f>FLN!J41</f>
        <v>2</v>
      </c>
      <c r="K41" s="824">
        <f>FLN!K41</f>
        <v>3</v>
      </c>
      <c r="L41" s="823" t="str">
        <f t="shared" si="24"/>
        <v>381</v>
      </c>
      <c r="M41" s="816">
        <f>FLN!L41</f>
        <v>2</v>
      </c>
      <c r="N41" s="816">
        <f>FLN!M41</f>
        <v>2</v>
      </c>
      <c r="O41" s="816">
        <f>FLN!N41</f>
        <v>3</v>
      </c>
      <c r="P41" s="816">
        <f>FLN!O41</f>
        <v>0</v>
      </c>
      <c r="Q41" s="823" t="str">
        <f t="shared" si="0"/>
        <v>382</v>
      </c>
      <c r="R41" s="816">
        <f>FLN!P41</f>
        <v>2</v>
      </c>
      <c r="S41" s="816">
        <f>FLN!Q41</f>
        <v>2</v>
      </c>
      <c r="T41" s="816">
        <f>FLN!R41</f>
        <v>3</v>
      </c>
      <c r="U41" s="816" t="str">
        <f>FLN!S41</f>
        <v>-</v>
      </c>
      <c r="V41" s="823" t="str">
        <f t="shared" si="1"/>
        <v>383</v>
      </c>
      <c r="W41" s="816">
        <f>FLN!T41</f>
        <v>2</v>
      </c>
      <c r="X41" s="816">
        <f>FLN!U41</f>
        <v>2</v>
      </c>
      <c r="Y41" s="816">
        <f>FLN!V41</f>
        <v>3</v>
      </c>
      <c r="Z41" s="816" t="str">
        <f>FLN!W41</f>
        <v>-</v>
      </c>
      <c r="AA41" s="823" t="str">
        <f t="shared" si="2"/>
        <v>384</v>
      </c>
      <c r="AB41" s="816">
        <f>FLN!X41</f>
        <v>2</v>
      </c>
      <c r="AC41" s="816">
        <f>FLN!Y41</f>
        <v>2</v>
      </c>
      <c r="AD41" s="816">
        <f>FLN!Z41</f>
        <v>3</v>
      </c>
      <c r="AE41" s="816" t="str">
        <f>FLN!AA41</f>
        <v>-</v>
      </c>
      <c r="AF41" s="823" t="str">
        <f t="shared" si="3"/>
        <v>385</v>
      </c>
      <c r="AG41" s="816">
        <f>FLN!AB41</f>
        <v>2</v>
      </c>
      <c r="AH41" s="816">
        <f>FLN!AC41</f>
        <v>2</v>
      </c>
      <c r="AI41" s="816">
        <f>FLN!AD41</f>
        <v>3</v>
      </c>
      <c r="AJ41" s="816" t="str">
        <f>FLN!AE41</f>
        <v>-</v>
      </c>
      <c r="AK41" s="823" t="str">
        <f t="shared" si="4"/>
        <v>386</v>
      </c>
      <c r="AL41" s="816">
        <f>FLN!AF41</f>
        <v>2</v>
      </c>
      <c r="AM41" s="816">
        <f>FLN!AG41</f>
        <v>2</v>
      </c>
      <c r="AN41" s="816">
        <f>FLN!AH41</f>
        <v>3</v>
      </c>
      <c r="AO41" s="816">
        <f>FLN!AI41</f>
        <v>0</v>
      </c>
      <c r="AP41" s="823" t="str">
        <f t="shared" si="5"/>
        <v>387</v>
      </c>
      <c r="AQ41" s="816">
        <f>FLN!AJ41</f>
        <v>0</v>
      </c>
      <c r="AR41" s="816">
        <f>FLN!AK41</f>
        <v>0</v>
      </c>
      <c r="AS41" s="816">
        <f>FLN!AL41</f>
        <v>0</v>
      </c>
      <c r="AT41" s="816">
        <f>FLN!AM41</f>
        <v>0</v>
      </c>
      <c r="AU41" s="823" t="str">
        <f t="shared" si="6"/>
        <v>388</v>
      </c>
      <c r="AV41" s="816">
        <f>FLN!AN41</f>
        <v>0</v>
      </c>
      <c r="AW41" s="816">
        <f>FLN!AO41</f>
        <v>0</v>
      </c>
      <c r="AX41" s="816">
        <f>FLN!AP41</f>
        <v>0</v>
      </c>
      <c r="AY41" s="816">
        <f>FLN!AQ41</f>
        <v>0</v>
      </c>
      <c r="AZ41" s="823" t="str">
        <f t="shared" si="7"/>
        <v>389</v>
      </c>
      <c r="BA41" s="816">
        <f>FLN!AR41</f>
        <v>0</v>
      </c>
      <c r="BB41" s="816">
        <f>FLN!AS41</f>
        <v>0</v>
      </c>
      <c r="BC41" s="816">
        <f>FLN!AT41</f>
        <v>0</v>
      </c>
      <c r="BD41" s="816">
        <f>FLN!AU41</f>
        <v>0</v>
      </c>
      <c r="BE41" s="823" t="str">
        <f t="shared" si="8"/>
        <v>3810</v>
      </c>
      <c r="BF41" s="816">
        <f>FLN!AV41</f>
        <v>0</v>
      </c>
      <c r="BG41" s="816">
        <f>FLN!AW41</f>
        <v>0</v>
      </c>
      <c r="BH41" s="816">
        <f>FLN!AX41</f>
        <v>0</v>
      </c>
      <c r="BI41" s="816">
        <f>FLN!AY41</f>
        <v>0</v>
      </c>
      <c r="BJ41" s="823" t="str">
        <f t="shared" si="9"/>
        <v>3811</v>
      </c>
      <c r="BK41" s="816">
        <f>FLN!AZ41</f>
        <v>0</v>
      </c>
      <c r="BL41" s="816">
        <f>FLN!BA41</f>
        <v>0</v>
      </c>
      <c r="BM41" s="816">
        <f>FLN!BB41</f>
        <v>0</v>
      </c>
      <c r="BN41" s="816">
        <f>FLN!BC41</f>
        <v>0</v>
      </c>
      <c r="BO41" s="823" t="str">
        <f t="shared" si="10"/>
        <v>3812</v>
      </c>
      <c r="BP41" s="816">
        <f>FLN!BD41</f>
        <v>0</v>
      </c>
      <c r="BQ41" s="816">
        <f>FLN!BE41</f>
        <v>0</v>
      </c>
      <c r="BR41" s="816">
        <f>FLN!BF41</f>
        <v>0</v>
      </c>
      <c r="BS41" s="816">
        <f>FLN!BG41</f>
        <v>0</v>
      </c>
      <c r="BT41" s="823" t="str">
        <f t="shared" si="11"/>
        <v>3813</v>
      </c>
      <c r="BU41" s="816">
        <f>FLN!BH41</f>
        <v>0</v>
      </c>
      <c r="BV41" s="816">
        <f>FLN!BI41</f>
        <v>0</v>
      </c>
      <c r="BW41" s="816">
        <f>FLN!BJ41</f>
        <v>0</v>
      </c>
      <c r="BX41" s="816">
        <f>FLN!BK41</f>
        <v>0</v>
      </c>
      <c r="BY41" s="823" t="str">
        <f t="shared" si="12"/>
        <v>3814</v>
      </c>
      <c r="BZ41" s="816">
        <f>FLN!BL41</f>
        <v>0</v>
      </c>
      <c r="CA41" s="816">
        <f>FLN!BM41</f>
        <v>0</v>
      </c>
      <c r="CB41" s="816">
        <f>FLN!BN41</f>
        <v>0</v>
      </c>
      <c r="CC41" s="816">
        <f>FLN!BO41</f>
        <v>0</v>
      </c>
      <c r="CD41" s="823" t="str">
        <f t="shared" si="13"/>
        <v>3815</v>
      </c>
      <c r="CE41" s="816">
        <f>FLN!BP41</f>
        <v>0</v>
      </c>
      <c r="CF41" s="816">
        <f>FLN!BQ41</f>
        <v>0</v>
      </c>
      <c r="CG41" s="816">
        <f>FLN!BR41</f>
        <v>0</v>
      </c>
      <c r="CH41" s="816">
        <f>FLN!BS41</f>
        <v>0</v>
      </c>
      <c r="CI41" s="823" t="str">
        <f t="shared" si="14"/>
        <v>3816</v>
      </c>
      <c r="CJ41" s="816">
        <f>FLN!BT41</f>
        <v>0</v>
      </c>
      <c r="CK41" s="816">
        <f>FLN!BU41</f>
        <v>0</v>
      </c>
      <c r="CL41" s="816">
        <f>FLN!BV41</f>
        <v>0</v>
      </c>
      <c r="CM41" s="816">
        <f>FLN!BW41</f>
        <v>0</v>
      </c>
      <c r="CN41" s="823" t="str">
        <f t="shared" si="15"/>
        <v>3817</v>
      </c>
      <c r="CO41" s="816">
        <f>FLN!BX41</f>
        <v>0</v>
      </c>
      <c r="CP41" s="816">
        <f>FLN!BY41</f>
        <v>0</v>
      </c>
      <c r="CQ41" s="816">
        <f>FLN!BZ41</f>
        <v>0</v>
      </c>
      <c r="CR41" s="816">
        <f>FLN!CA41</f>
        <v>0</v>
      </c>
      <c r="CS41" s="823" t="str">
        <f t="shared" si="16"/>
        <v>3818</v>
      </c>
      <c r="CT41" s="816">
        <f>FLN!CB41</f>
        <v>0</v>
      </c>
      <c r="CU41" s="816">
        <f>FLN!CC41</f>
        <v>0</v>
      </c>
      <c r="CV41" s="816">
        <f>FLN!CD41</f>
        <v>0</v>
      </c>
      <c r="CW41" s="816">
        <f>FLN!CE41</f>
        <v>0</v>
      </c>
      <c r="CX41" s="823" t="str">
        <f t="shared" si="17"/>
        <v>3819</v>
      </c>
      <c r="CY41" s="816">
        <f>FLN!CF41</f>
        <v>0</v>
      </c>
      <c r="CZ41" s="816">
        <f>FLN!CG41</f>
        <v>0</v>
      </c>
      <c r="DA41" s="816">
        <f>FLN!CH41</f>
        <v>0</v>
      </c>
      <c r="DB41" s="816">
        <f>FLN!CI41</f>
        <v>0</v>
      </c>
      <c r="DC41" s="823" t="str">
        <f t="shared" si="18"/>
        <v>3820</v>
      </c>
      <c r="DD41" s="816">
        <f>FLN!CJ41</f>
        <v>0</v>
      </c>
      <c r="DE41" s="816">
        <f>FLN!CK41</f>
        <v>0</v>
      </c>
      <c r="DF41" s="816">
        <f>FLN!CL41</f>
        <v>0</v>
      </c>
      <c r="DG41" s="816">
        <f>FLN!CM41</f>
        <v>0</v>
      </c>
      <c r="DH41" s="823" t="str">
        <f t="shared" si="19"/>
        <v>3821</v>
      </c>
      <c r="DI41" s="816">
        <f>FLN!CN41</f>
        <v>0</v>
      </c>
      <c r="DJ41" s="816">
        <f>FLN!CO41</f>
        <v>0</v>
      </c>
      <c r="DK41" s="816">
        <f>FLN!CP41</f>
        <v>0</v>
      </c>
      <c r="DL41" s="816">
        <f>FLN!CQ41</f>
        <v>0</v>
      </c>
      <c r="DM41" s="823" t="str">
        <f t="shared" si="20"/>
        <v>3822</v>
      </c>
      <c r="DN41" s="816">
        <f>FLN!CR41</f>
        <v>0</v>
      </c>
      <c r="DO41" s="816">
        <f>FLN!CS41</f>
        <v>0</v>
      </c>
      <c r="DP41" s="816">
        <f>FLN!CT41</f>
        <v>0</v>
      </c>
      <c r="DQ41" s="816">
        <f>FLN!CU41</f>
        <v>0</v>
      </c>
      <c r="DR41" s="823" t="str">
        <f t="shared" si="21"/>
        <v>3823</v>
      </c>
      <c r="DS41" s="816">
        <f>FLN!CV41</f>
        <v>0</v>
      </c>
      <c r="DT41" s="816">
        <f>FLN!CW41</f>
        <v>0</v>
      </c>
      <c r="DU41" s="816">
        <f>FLN!CX41</f>
        <v>0</v>
      </c>
      <c r="DV41" s="816">
        <f>FLN!CY41</f>
        <v>0</v>
      </c>
      <c r="DW41" s="823" t="str">
        <f t="shared" si="22"/>
        <v>3824</v>
      </c>
      <c r="DX41" s="816">
        <f>FLN!CZ41</f>
        <v>0</v>
      </c>
      <c r="DY41" s="816">
        <f>FLN!DA41</f>
        <v>0</v>
      </c>
      <c r="DZ41" s="816">
        <f>FLN!DB41</f>
        <v>0</v>
      </c>
      <c r="EA41" s="816">
        <f>FLN!DC41</f>
        <v>0</v>
      </c>
      <c r="EB41" s="823" t="str">
        <f t="shared" si="23"/>
        <v>3825</v>
      </c>
      <c r="EC41" s="816">
        <f>FLN!DD41</f>
        <v>0</v>
      </c>
      <c r="ED41" s="816">
        <f>FLN!DE41</f>
        <v>0</v>
      </c>
      <c r="EE41" s="816">
        <f>FLN!DF41</f>
        <v>0</v>
      </c>
      <c r="EF41" s="816">
        <f>FLN!DG41</f>
        <v>0</v>
      </c>
    </row>
    <row r="42" spans="1:136">
      <c r="A42" s="824">
        <v>39</v>
      </c>
      <c r="B42" s="824">
        <f>STUDENT!F40</f>
        <v>15149</v>
      </c>
      <c r="C42" s="824">
        <f>STUDENT!D40</f>
        <v>20250325088</v>
      </c>
      <c r="D42" s="827" t="str">
        <f>STUDENT!E40</f>
        <v>LOVECESH KUMAR</v>
      </c>
      <c r="E42" s="827" t="str">
        <f>STUDENT!H40</f>
        <v>SANDEEP KUMAR</v>
      </c>
      <c r="F42" s="828" t="str">
        <f>FLN!F42</f>
        <v>Ab</v>
      </c>
      <c r="G42" s="828" t="str">
        <f>FLN!G42</f>
        <v>Ab</v>
      </c>
      <c r="H42" s="828" t="str">
        <f>FLN!H42</f>
        <v>Ab</v>
      </c>
      <c r="I42" s="824" t="str">
        <f>FLN!I42</f>
        <v/>
      </c>
      <c r="J42" s="824" t="str">
        <f>FLN!J42</f>
        <v/>
      </c>
      <c r="K42" s="824" t="str">
        <f>FLN!K42</f>
        <v/>
      </c>
      <c r="L42" s="823" t="str">
        <f t="shared" si="24"/>
        <v>391</v>
      </c>
      <c r="M42" s="816" t="str">
        <f>FLN!L42</f>
        <v>Ab</v>
      </c>
      <c r="N42" s="816" t="str">
        <f>FLN!M42</f>
        <v>Ab</v>
      </c>
      <c r="O42" s="816" t="str">
        <f>FLN!N42</f>
        <v>Ab</v>
      </c>
      <c r="P42" s="816">
        <f>FLN!O42</f>
        <v>0</v>
      </c>
      <c r="Q42" s="823" t="str">
        <f t="shared" si="0"/>
        <v>392</v>
      </c>
      <c r="R42" s="816" t="str">
        <f>FLN!P42</f>
        <v>Ab</v>
      </c>
      <c r="S42" s="816" t="str">
        <f>FLN!Q42</f>
        <v>Ab</v>
      </c>
      <c r="T42" s="816" t="str">
        <f>FLN!R42</f>
        <v>Ab</v>
      </c>
      <c r="U42" s="816" t="str">
        <f>FLN!S42</f>
        <v>-</v>
      </c>
      <c r="V42" s="823" t="str">
        <f t="shared" si="1"/>
        <v>393</v>
      </c>
      <c r="W42" s="816" t="str">
        <f>FLN!T42</f>
        <v>Ab</v>
      </c>
      <c r="X42" s="816" t="str">
        <f>FLN!U42</f>
        <v>Ab</v>
      </c>
      <c r="Y42" s="816" t="str">
        <f>FLN!V42</f>
        <v>Ab</v>
      </c>
      <c r="Z42" s="816" t="str">
        <f>FLN!W42</f>
        <v>-</v>
      </c>
      <c r="AA42" s="823" t="str">
        <f t="shared" si="2"/>
        <v>394</v>
      </c>
      <c r="AB42" s="816" t="str">
        <f>FLN!X42</f>
        <v>Ab</v>
      </c>
      <c r="AC42" s="816" t="str">
        <f>FLN!Y42</f>
        <v>Ab</v>
      </c>
      <c r="AD42" s="816" t="str">
        <f>FLN!Z42</f>
        <v>Ab</v>
      </c>
      <c r="AE42" s="816" t="str">
        <f>FLN!AA42</f>
        <v>-</v>
      </c>
      <c r="AF42" s="823" t="str">
        <f t="shared" si="3"/>
        <v>395</v>
      </c>
      <c r="AG42" s="816" t="str">
        <f>FLN!AB42</f>
        <v>Ab</v>
      </c>
      <c r="AH42" s="816" t="str">
        <f>FLN!AC42</f>
        <v>Ab</v>
      </c>
      <c r="AI42" s="816" t="str">
        <f>FLN!AD42</f>
        <v>Ab</v>
      </c>
      <c r="AJ42" s="816" t="str">
        <f>FLN!AE42</f>
        <v>-</v>
      </c>
      <c r="AK42" s="823" t="str">
        <f t="shared" si="4"/>
        <v>396</v>
      </c>
      <c r="AL42" s="816" t="str">
        <f>FLN!AF42</f>
        <v>Ab</v>
      </c>
      <c r="AM42" s="816" t="str">
        <f>FLN!AG42</f>
        <v>Ab</v>
      </c>
      <c r="AN42" s="816" t="str">
        <f>FLN!AH42</f>
        <v>Ab</v>
      </c>
      <c r="AO42" s="816">
        <f>FLN!AI42</f>
        <v>0</v>
      </c>
      <c r="AP42" s="823" t="str">
        <f t="shared" si="5"/>
        <v>397</v>
      </c>
      <c r="AQ42" s="816">
        <f>FLN!AJ42</f>
        <v>0</v>
      </c>
      <c r="AR42" s="816">
        <f>FLN!AK42</f>
        <v>0</v>
      </c>
      <c r="AS42" s="816">
        <f>FLN!AL42</f>
        <v>0</v>
      </c>
      <c r="AT42" s="816">
        <f>FLN!AM42</f>
        <v>0</v>
      </c>
      <c r="AU42" s="823" t="str">
        <f t="shared" si="6"/>
        <v>398</v>
      </c>
      <c r="AV42" s="816">
        <f>FLN!AN42</f>
        <v>0</v>
      </c>
      <c r="AW42" s="816">
        <f>FLN!AO42</f>
        <v>0</v>
      </c>
      <c r="AX42" s="816">
        <f>FLN!AP42</f>
        <v>0</v>
      </c>
      <c r="AY42" s="816">
        <f>FLN!AQ42</f>
        <v>0</v>
      </c>
      <c r="AZ42" s="823" t="str">
        <f t="shared" si="7"/>
        <v>399</v>
      </c>
      <c r="BA42" s="816">
        <f>FLN!AR42</f>
        <v>0</v>
      </c>
      <c r="BB42" s="816">
        <f>FLN!AS42</f>
        <v>0</v>
      </c>
      <c r="BC42" s="816">
        <f>FLN!AT42</f>
        <v>0</v>
      </c>
      <c r="BD42" s="816">
        <f>FLN!AU42</f>
        <v>0</v>
      </c>
      <c r="BE42" s="823" t="str">
        <f t="shared" si="8"/>
        <v>3910</v>
      </c>
      <c r="BF42" s="816">
        <f>FLN!AV42</f>
        <v>0</v>
      </c>
      <c r="BG42" s="816">
        <f>FLN!AW42</f>
        <v>0</v>
      </c>
      <c r="BH42" s="816">
        <f>FLN!AX42</f>
        <v>0</v>
      </c>
      <c r="BI42" s="816">
        <f>FLN!AY42</f>
        <v>0</v>
      </c>
      <c r="BJ42" s="823" t="str">
        <f t="shared" si="9"/>
        <v>3911</v>
      </c>
      <c r="BK42" s="816">
        <f>FLN!AZ42</f>
        <v>0</v>
      </c>
      <c r="BL42" s="816">
        <f>FLN!BA42</f>
        <v>0</v>
      </c>
      <c r="BM42" s="816">
        <f>FLN!BB42</f>
        <v>0</v>
      </c>
      <c r="BN42" s="816">
        <f>FLN!BC42</f>
        <v>0</v>
      </c>
      <c r="BO42" s="823" t="str">
        <f t="shared" si="10"/>
        <v>3912</v>
      </c>
      <c r="BP42" s="816">
        <f>FLN!BD42</f>
        <v>0</v>
      </c>
      <c r="BQ42" s="816">
        <f>FLN!BE42</f>
        <v>0</v>
      </c>
      <c r="BR42" s="816">
        <f>FLN!BF42</f>
        <v>0</v>
      </c>
      <c r="BS42" s="816">
        <f>FLN!BG42</f>
        <v>0</v>
      </c>
      <c r="BT42" s="823" t="str">
        <f t="shared" si="11"/>
        <v>3913</v>
      </c>
      <c r="BU42" s="816">
        <f>FLN!BH42</f>
        <v>0</v>
      </c>
      <c r="BV42" s="816">
        <f>FLN!BI42</f>
        <v>0</v>
      </c>
      <c r="BW42" s="816">
        <f>FLN!BJ42</f>
        <v>0</v>
      </c>
      <c r="BX42" s="816">
        <f>FLN!BK42</f>
        <v>0</v>
      </c>
      <c r="BY42" s="823" t="str">
        <f t="shared" si="12"/>
        <v>3914</v>
      </c>
      <c r="BZ42" s="816">
        <f>FLN!BL42</f>
        <v>0</v>
      </c>
      <c r="CA42" s="816">
        <f>FLN!BM42</f>
        <v>0</v>
      </c>
      <c r="CB42" s="816">
        <f>FLN!BN42</f>
        <v>0</v>
      </c>
      <c r="CC42" s="816">
        <f>FLN!BO42</f>
        <v>0</v>
      </c>
      <c r="CD42" s="823" t="str">
        <f t="shared" si="13"/>
        <v>3915</v>
      </c>
      <c r="CE42" s="816">
        <f>FLN!BP42</f>
        <v>0</v>
      </c>
      <c r="CF42" s="816">
        <f>FLN!BQ42</f>
        <v>0</v>
      </c>
      <c r="CG42" s="816">
        <f>FLN!BR42</f>
        <v>0</v>
      </c>
      <c r="CH42" s="816">
        <f>FLN!BS42</f>
        <v>0</v>
      </c>
      <c r="CI42" s="823" t="str">
        <f t="shared" si="14"/>
        <v>3916</v>
      </c>
      <c r="CJ42" s="816">
        <f>FLN!BT42</f>
        <v>0</v>
      </c>
      <c r="CK42" s="816">
        <f>FLN!BU42</f>
        <v>0</v>
      </c>
      <c r="CL42" s="816">
        <f>FLN!BV42</f>
        <v>0</v>
      </c>
      <c r="CM42" s="816">
        <f>FLN!BW42</f>
        <v>0</v>
      </c>
      <c r="CN42" s="823" t="str">
        <f t="shared" si="15"/>
        <v>3917</v>
      </c>
      <c r="CO42" s="816">
        <f>FLN!BX42</f>
        <v>0</v>
      </c>
      <c r="CP42" s="816">
        <f>FLN!BY42</f>
        <v>0</v>
      </c>
      <c r="CQ42" s="816">
        <f>FLN!BZ42</f>
        <v>0</v>
      </c>
      <c r="CR42" s="816">
        <f>FLN!CA42</f>
        <v>0</v>
      </c>
      <c r="CS42" s="823" t="str">
        <f t="shared" si="16"/>
        <v>3918</v>
      </c>
      <c r="CT42" s="816">
        <f>FLN!CB42</f>
        <v>0</v>
      </c>
      <c r="CU42" s="816">
        <f>FLN!CC42</f>
        <v>0</v>
      </c>
      <c r="CV42" s="816">
        <f>FLN!CD42</f>
        <v>0</v>
      </c>
      <c r="CW42" s="816">
        <f>FLN!CE42</f>
        <v>0</v>
      </c>
      <c r="CX42" s="823" t="str">
        <f t="shared" si="17"/>
        <v>3919</v>
      </c>
      <c r="CY42" s="816">
        <f>FLN!CF42</f>
        <v>0</v>
      </c>
      <c r="CZ42" s="816">
        <f>FLN!CG42</f>
        <v>0</v>
      </c>
      <c r="DA42" s="816">
        <f>FLN!CH42</f>
        <v>0</v>
      </c>
      <c r="DB42" s="816">
        <f>FLN!CI42</f>
        <v>0</v>
      </c>
      <c r="DC42" s="823" t="str">
        <f t="shared" si="18"/>
        <v>3920</v>
      </c>
      <c r="DD42" s="816">
        <f>FLN!CJ42</f>
        <v>0</v>
      </c>
      <c r="DE42" s="816">
        <f>FLN!CK42</f>
        <v>0</v>
      </c>
      <c r="DF42" s="816">
        <f>FLN!CL42</f>
        <v>0</v>
      </c>
      <c r="DG42" s="816">
        <f>FLN!CM42</f>
        <v>0</v>
      </c>
      <c r="DH42" s="823" t="str">
        <f t="shared" si="19"/>
        <v>3921</v>
      </c>
      <c r="DI42" s="816">
        <f>FLN!CN42</f>
        <v>0</v>
      </c>
      <c r="DJ42" s="816">
        <f>FLN!CO42</f>
        <v>0</v>
      </c>
      <c r="DK42" s="816">
        <f>FLN!CP42</f>
        <v>0</v>
      </c>
      <c r="DL42" s="816">
        <f>FLN!CQ42</f>
        <v>0</v>
      </c>
      <c r="DM42" s="823" t="str">
        <f t="shared" si="20"/>
        <v>3922</v>
      </c>
      <c r="DN42" s="816">
        <f>FLN!CR42</f>
        <v>0</v>
      </c>
      <c r="DO42" s="816">
        <f>FLN!CS42</f>
        <v>0</v>
      </c>
      <c r="DP42" s="816">
        <f>FLN!CT42</f>
        <v>0</v>
      </c>
      <c r="DQ42" s="816">
        <f>FLN!CU42</f>
        <v>0</v>
      </c>
      <c r="DR42" s="823" t="str">
        <f t="shared" si="21"/>
        <v>3923</v>
      </c>
      <c r="DS42" s="816">
        <f>FLN!CV42</f>
        <v>0</v>
      </c>
      <c r="DT42" s="816">
        <f>FLN!CW42</f>
        <v>0</v>
      </c>
      <c r="DU42" s="816">
        <f>FLN!CX42</f>
        <v>0</v>
      </c>
      <c r="DV42" s="816">
        <f>FLN!CY42</f>
        <v>0</v>
      </c>
      <c r="DW42" s="823" t="str">
        <f t="shared" si="22"/>
        <v>3924</v>
      </c>
      <c r="DX42" s="816">
        <f>FLN!CZ42</f>
        <v>0</v>
      </c>
      <c r="DY42" s="816">
        <f>FLN!DA42</f>
        <v>0</v>
      </c>
      <c r="DZ42" s="816">
        <f>FLN!DB42</f>
        <v>0</v>
      </c>
      <c r="EA42" s="816">
        <f>FLN!DC42</f>
        <v>0</v>
      </c>
      <c r="EB42" s="823" t="str">
        <f t="shared" si="23"/>
        <v>3925</v>
      </c>
      <c r="EC42" s="816">
        <f>FLN!DD42</f>
        <v>0</v>
      </c>
      <c r="ED42" s="816">
        <f>FLN!DE42</f>
        <v>0</v>
      </c>
      <c r="EE42" s="816">
        <f>FLN!DF42</f>
        <v>0</v>
      </c>
      <c r="EF42" s="816">
        <f>FLN!DG42</f>
        <v>0</v>
      </c>
    </row>
    <row r="43" spans="1:136">
      <c r="A43" s="824">
        <v>40</v>
      </c>
      <c r="B43" s="824">
        <f>STUDENT!F41</f>
        <v>0</v>
      </c>
      <c r="C43" s="824">
        <f>STUDENT!D41</f>
        <v>0</v>
      </c>
      <c r="D43" s="827">
        <f>STUDENT!E41</f>
        <v>0</v>
      </c>
      <c r="E43" s="827">
        <f>STUDENT!H41</f>
        <v>0</v>
      </c>
      <c r="F43" s="828">
        <f>FLN!F43</f>
        <v>0</v>
      </c>
      <c r="G43" s="828">
        <f>FLN!G43</f>
        <v>0</v>
      </c>
      <c r="H43" s="828">
        <f>FLN!H43</f>
        <v>0</v>
      </c>
      <c r="I43" s="824" t="str">
        <f>FLN!I43</f>
        <v/>
      </c>
      <c r="J43" s="824" t="str">
        <f>FLN!J43</f>
        <v/>
      </c>
      <c r="K43" s="824" t="str">
        <f>FLN!K43</f>
        <v/>
      </c>
      <c r="L43" s="823" t="str">
        <f t="shared" si="24"/>
        <v>401</v>
      </c>
      <c r="M43" s="816" t="str">
        <f>FLN!L43</f>
        <v>-</v>
      </c>
      <c r="N43" s="816" t="str">
        <f>FLN!M43</f>
        <v>-</v>
      </c>
      <c r="O43" s="816" t="str">
        <f>FLN!N43</f>
        <v>-</v>
      </c>
      <c r="P43" s="816">
        <f>FLN!O43</f>
        <v>0</v>
      </c>
      <c r="Q43" s="823" t="str">
        <f t="shared" si="0"/>
        <v>402</v>
      </c>
      <c r="R43" s="816" t="str">
        <f>FLN!P43</f>
        <v>-</v>
      </c>
      <c r="S43" s="816" t="str">
        <f>FLN!Q43</f>
        <v>-</v>
      </c>
      <c r="T43" s="816" t="str">
        <f>FLN!R43</f>
        <v>-</v>
      </c>
      <c r="U43" s="816" t="str">
        <f>FLN!S43</f>
        <v>-</v>
      </c>
      <c r="V43" s="823" t="str">
        <f t="shared" si="1"/>
        <v>403</v>
      </c>
      <c r="W43" s="816" t="str">
        <f>FLN!T43</f>
        <v>-</v>
      </c>
      <c r="X43" s="816" t="str">
        <f>FLN!U43</f>
        <v>-</v>
      </c>
      <c r="Y43" s="816" t="str">
        <f>FLN!V43</f>
        <v>-</v>
      </c>
      <c r="Z43" s="816" t="str">
        <f>FLN!W43</f>
        <v>-</v>
      </c>
      <c r="AA43" s="823" t="str">
        <f t="shared" si="2"/>
        <v>404</v>
      </c>
      <c r="AB43" s="816" t="str">
        <f>FLN!X43</f>
        <v>-</v>
      </c>
      <c r="AC43" s="816" t="str">
        <f>FLN!Y43</f>
        <v>-</v>
      </c>
      <c r="AD43" s="816" t="str">
        <f>FLN!Z43</f>
        <v>-</v>
      </c>
      <c r="AE43" s="816" t="str">
        <f>FLN!AA43</f>
        <v>-</v>
      </c>
      <c r="AF43" s="823" t="str">
        <f t="shared" si="3"/>
        <v>405</v>
      </c>
      <c r="AG43" s="816" t="str">
        <f>FLN!AB43</f>
        <v>-</v>
      </c>
      <c r="AH43" s="816" t="str">
        <f>FLN!AC43</f>
        <v>-</v>
      </c>
      <c r="AI43" s="816" t="str">
        <f>FLN!AD43</f>
        <v>-</v>
      </c>
      <c r="AJ43" s="816" t="str">
        <f>FLN!AE43</f>
        <v>-</v>
      </c>
      <c r="AK43" s="823" t="str">
        <f t="shared" si="4"/>
        <v>406</v>
      </c>
      <c r="AL43" s="816" t="str">
        <f>FLN!AF43</f>
        <v>-</v>
      </c>
      <c r="AM43" s="816" t="str">
        <f>FLN!AG43</f>
        <v>-</v>
      </c>
      <c r="AN43" s="816" t="str">
        <f>FLN!AH43</f>
        <v>-</v>
      </c>
      <c r="AO43" s="816">
        <f>FLN!AI43</f>
        <v>0</v>
      </c>
      <c r="AP43" s="823" t="str">
        <f t="shared" si="5"/>
        <v>407</v>
      </c>
      <c r="AQ43" s="816">
        <f>FLN!AJ43</f>
        <v>0</v>
      </c>
      <c r="AR43" s="816">
        <f>FLN!AK43</f>
        <v>0</v>
      </c>
      <c r="AS43" s="816">
        <f>FLN!AL43</f>
        <v>0</v>
      </c>
      <c r="AT43" s="816">
        <f>FLN!AM43</f>
        <v>0</v>
      </c>
      <c r="AU43" s="823" t="str">
        <f t="shared" si="6"/>
        <v>408</v>
      </c>
      <c r="AV43" s="816">
        <f>FLN!AN43</f>
        <v>0</v>
      </c>
      <c r="AW43" s="816">
        <f>FLN!AO43</f>
        <v>0</v>
      </c>
      <c r="AX43" s="816">
        <f>FLN!AP43</f>
        <v>0</v>
      </c>
      <c r="AY43" s="816">
        <f>FLN!AQ43</f>
        <v>0</v>
      </c>
      <c r="AZ43" s="823" t="str">
        <f t="shared" si="7"/>
        <v>409</v>
      </c>
      <c r="BA43" s="816">
        <f>FLN!AR43</f>
        <v>0</v>
      </c>
      <c r="BB43" s="816">
        <f>FLN!AS43</f>
        <v>0</v>
      </c>
      <c r="BC43" s="816">
        <f>FLN!AT43</f>
        <v>0</v>
      </c>
      <c r="BD43" s="816">
        <f>FLN!AU43</f>
        <v>0</v>
      </c>
      <c r="BE43" s="823" t="str">
        <f t="shared" si="8"/>
        <v>4010</v>
      </c>
      <c r="BF43" s="816">
        <f>FLN!AV43</f>
        <v>0</v>
      </c>
      <c r="BG43" s="816">
        <f>FLN!AW43</f>
        <v>0</v>
      </c>
      <c r="BH43" s="816">
        <f>FLN!AX43</f>
        <v>0</v>
      </c>
      <c r="BI43" s="816">
        <f>FLN!AY43</f>
        <v>0</v>
      </c>
      <c r="BJ43" s="823" t="str">
        <f t="shared" si="9"/>
        <v>4011</v>
      </c>
      <c r="BK43" s="816">
        <f>FLN!AZ43</f>
        <v>0</v>
      </c>
      <c r="BL43" s="816">
        <f>FLN!BA43</f>
        <v>0</v>
      </c>
      <c r="BM43" s="816">
        <f>FLN!BB43</f>
        <v>0</v>
      </c>
      <c r="BN43" s="816">
        <f>FLN!BC43</f>
        <v>0</v>
      </c>
      <c r="BO43" s="823" t="str">
        <f t="shared" si="10"/>
        <v>4012</v>
      </c>
      <c r="BP43" s="816">
        <f>FLN!BD43</f>
        <v>0</v>
      </c>
      <c r="BQ43" s="816">
        <f>FLN!BE43</f>
        <v>0</v>
      </c>
      <c r="BR43" s="816">
        <f>FLN!BF43</f>
        <v>0</v>
      </c>
      <c r="BS43" s="816">
        <f>FLN!BG43</f>
        <v>0</v>
      </c>
      <c r="BT43" s="823" t="str">
        <f t="shared" si="11"/>
        <v>4013</v>
      </c>
      <c r="BU43" s="816">
        <f>FLN!BH43</f>
        <v>0</v>
      </c>
      <c r="BV43" s="816">
        <f>FLN!BI43</f>
        <v>0</v>
      </c>
      <c r="BW43" s="816">
        <f>FLN!BJ43</f>
        <v>0</v>
      </c>
      <c r="BX43" s="816">
        <f>FLN!BK43</f>
        <v>0</v>
      </c>
      <c r="BY43" s="823" t="str">
        <f t="shared" si="12"/>
        <v>4014</v>
      </c>
      <c r="BZ43" s="816">
        <f>FLN!BL43</f>
        <v>0</v>
      </c>
      <c r="CA43" s="816">
        <f>FLN!BM43</f>
        <v>0</v>
      </c>
      <c r="CB43" s="816">
        <f>FLN!BN43</f>
        <v>0</v>
      </c>
      <c r="CC43" s="816">
        <f>FLN!BO43</f>
        <v>0</v>
      </c>
      <c r="CD43" s="823" t="str">
        <f t="shared" si="13"/>
        <v>4015</v>
      </c>
      <c r="CE43" s="816">
        <f>FLN!BP43</f>
        <v>0</v>
      </c>
      <c r="CF43" s="816">
        <f>FLN!BQ43</f>
        <v>0</v>
      </c>
      <c r="CG43" s="816">
        <f>FLN!BR43</f>
        <v>0</v>
      </c>
      <c r="CH43" s="816">
        <f>FLN!BS43</f>
        <v>0</v>
      </c>
      <c r="CI43" s="823" t="str">
        <f t="shared" si="14"/>
        <v>4016</v>
      </c>
      <c r="CJ43" s="816">
        <f>FLN!BT43</f>
        <v>0</v>
      </c>
      <c r="CK43" s="816">
        <f>FLN!BU43</f>
        <v>0</v>
      </c>
      <c r="CL43" s="816">
        <f>FLN!BV43</f>
        <v>0</v>
      </c>
      <c r="CM43" s="816">
        <f>FLN!BW43</f>
        <v>0</v>
      </c>
      <c r="CN43" s="823" t="str">
        <f t="shared" si="15"/>
        <v>4017</v>
      </c>
      <c r="CO43" s="816">
        <f>FLN!BX43</f>
        <v>0</v>
      </c>
      <c r="CP43" s="816">
        <f>FLN!BY43</f>
        <v>0</v>
      </c>
      <c r="CQ43" s="816">
        <f>FLN!BZ43</f>
        <v>0</v>
      </c>
      <c r="CR43" s="816">
        <f>FLN!CA43</f>
        <v>0</v>
      </c>
      <c r="CS43" s="823" t="str">
        <f t="shared" si="16"/>
        <v>4018</v>
      </c>
      <c r="CT43" s="816">
        <f>FLN!CB43</f>
        <v>0</v>
      </c>
      <c r="CU43" s="816">
        <f>FLN!CC43</f>
        <v>0</v>
      </c>
      <c r="CV43" s="816">
        <f>FLN!CD43</f>
        <v>0</v>
      </c>
      <c r="CW43" s="816">
        <f>FLN!CE43</f>
        <v>0</v>
      </c>
      <c r="CX43" s="823" t="str">
        <f t="shared" si="17"/>
        <v>4019</v>
      </c>
      <c r="CY43" s="816">
        <f>FLN!CF43</f>
        <v>0</v>
      </c>
      <c r="CZ43" s="816">
        <f>FLN!CG43</f>
        <v>0</v>
      </c>
      <c r="DA43" s="816">
        <f>FLN!CH43</f>
        <v>0</v>
      </c>
      <c r="DB43" s="816">
        <f>FLN!CI43</f>
        <v>0</v>
      </c>
      <c r="DC43" s="823" t="str">
        <f t="shared" si="18"/>
        <v>4020</v>
      </c>
      <c r="DD43" s="816">
        <f>FLN!CJ43</f>
        <v>0</v>
      </c>
      <c r="DE43" s="816">
        <f>FLN!CK43</f>
        <v>0</v>
      </c>
      <c r="DF43" s="816">
        <f>FLN!CL43</f>
        <v>0</v>
      </c>
      <c r="DG43" s="816">
        <f>FLN!CM43</f>
        <v>0</v>
      </c>
      <c r="DH43" s="823" t="str">
        <f t="shared" si="19"/>
        <v>4021</v>
      </c>
      <c r="DI43" s="816">
        <f>FLN!CN43</f>
        <v>0</v>
      </c>
      <c r="DJ43" s="816">
        <f>FLN!CO43</f>
        <v>0</v>
      </c>
      <c r="DK43" s="816">
        <f>FLN!CP43</f>
        <v>0</v>
      </c>
      <c r="DL43" s="816">
        <f>FLN!CQ43</f>
        <v>0</v>
      </c>
      <c r="DM43" s="823" t="str">
        <f t="shared" si="20"/>
        <v>4022</v>
      </c>
      <c r="DN43" s="816">
        <f>FLN!CR43</f>
        <v>0</v>
      </c>
      <c r="DO43" s="816">
        <f>FLN!CS43</f>
        <v>0</v>
      </c>
      <c r="DP43" s="816">
        <f>FLN!CT43</f>
        <v>0</v>
      </c>
      <c r="DQ43" s="816">
        <f>FLN!CU43</f>
        <v>0</v>
      </c>
      <c r="DR43" s="823" t="str">
        <f t="shared" si="21"/>
        <v>4023</v>
      </c>
      <c r="DS43" s="816">
        <f>FLN!CV43</f>
        <v>0</v>
      </c>
      <c r="DT43" s="816">
        <f>FLN!CW43</f>
        <v>0</v>
      </c>
      <c r="DU43" s="816">
        <f>FLN!CX43</f>
        <v>0</v>
      </c>
      <c r="DV43" s="816">
        <f>FLN!CY43</f>
        <v>0</v>
      </c>
      <c r="DW43" s="823" t="str">
        <f t="shared" si="22"/>
        <v>4024</v>
      </c>
      <c r="DX43" s="816">
        <f>FLN!CZ43</f>
        <v>0</v>
      </c>
      <c r="DY43" s="816">
        <f>FLN!DA43</f>
        <v>0</v>
      </c>
      <c r="DZ43" s="816">
        <f>FLN!DB43</f>
        <v>0</v>
      </c>
      <c r="EA43" s="816">
        <f>FLN!DC43</f>
        <v>0</v>
      </c>
      <c r="EB43" s="823" t="str">
        <f t="shared" si="23"/>
        <v>4025</v>
      </c>
      <c r="EC43" s="816">
        <f>FLN!DD43</f>
        <v>0</v>
      </c>
      <c r="ED43" s="816">
        <f>FLN!DE43</f>
        <v>0</v>
      </c>
      <c r="EE43" s="816">
        <f>FLN!DF43</f>
        <v>0</v>
      </c>
      <c r="EF43" s="816">
        <f>FLN!DG43</f>
        <v>0</v>
      </c>
    </row>
    <row r="44" spans="1:136">
      <c r="A44" s="824">
        <v>41</v>
      </c>
      <c r="B44" s="824">
        <f>STUDENT!F42</f>
        <v>0</v>
      </c>
      <c r="C44" s="824">
        <f>STUDENT!D42</f>
        <v>0</v>
      </c>
      <c r="D44" s="827">
        <f>STUDENT!E42</f>
        <v>0</v>
      </c>
      <c r="E44" s="827">
        <f>STUDENT!H42</f>
        <v>0</v>
      </c>
      <c r="F44" s="828">
        <f>FLN!F44</f>
        <v>0</v>
      </c>
      <c r="G44" s="828">
        <f>FLN!G44</f>
        <v>0</v>
      </c>
      <c r="H44" s="828">
        <f>FLN!H44</f>
        <v>0</v>
      </c>
      <c r="I44" s="824" t="str">
        <f>FLN!I44</f>
        <v/>
      </c>
      <c r="J44" s="824" t="str">
        <f>FLN!J44</f>
        <v/>
      </c>
      <c r="K44" s="824" t="str">
        <f>FLN!K44</f>
        <v/>
      </c>
      <c r="L44" s="823" t="str">
        <f t="shared" si="24"/>
        <v>411</v>
      </c>
      <c r="M44" s="816" t="str">
        <f>FLN!L44</f>
        <v>-</v>
      </c>
      <c r="N44" s="816" t="str">
        <f>FLN!M44</f>
        <v>-</v>
      </c>
      <c r="O44" s="816" t="str">
        <f>FLN!N44</f>
        <v>-</v>
      </c>
      <c r="P44" s="816">
        <f>FLN!O44</f>
        <v>0</v>
      </c>
      <c r="Q44" s="823" t="str">
        <f t="shared" si="0"/>
        <v>412</v>
      </c>
      <c r="R44" s="816" t="str">
        <f>FLN!P44</f>
        <v>-</v>
      </c>
      <c r="S44" s="816" t="str">
        <f>FLN!Q44</f>
        <v>-</v>
      </c>
      <c r="T44" s="816" t="str">
        <f>FLN!R44</f>
        <v>-</v>
      </c>
      <c r="U44" s="816" t="str">
        <f>FLN!S44</f>
        <v>-</v>
      </c>
      <c r="V44" s="823" t="str">
        <f t="shared" si="1"/>
        <v>413</v>
      </c>
      <c r="W44" s="816" t="str">
        <f>FLN!T44</f>
        <v>-</v>
      </c>
      <c r="X44" s="816" t="str">
        <f>FLN!U44</f>
        <v>-</v>
      </c>
      <c r="Y44" s="816" t="str">
        <f>FLN!V44</f>
        <v>-</v>
      </c>
      <c r="Z44" s="816" t="str">
        <f>FLN!W44</f>
        <v>-</v>
      </c>
      <c r="AA44" s="823" t="str">
        <f t="shared" si="2"/>
        <v>414</v>
      </c>
      <c r="AB44" s="816" t="str">
        <f>FLN!X44</f>
        <v>-</v>
      </c>
      <c r="AC44" s="816" t="str">
        <f>FLN!Y44</f>
        <v>-</v>
      </c>
      <c r="AD44" s="816" t="str">
        <f>FLN!Z44</f>
        <v>-</v>
      </c>
      <c r="AE44" s="816" t="str">
        <f>FLN!AA44</f>
        <v>-</v>
      </c>
      <c r="AF44" s="823" t="str">
        <f t="shared" si="3"/>
        <v>415</v>
      </c>
      <c r="AG44" s="816" t="str">
        <f>FLN!AB44</f>
        <v>-</v>
      </c>
      <c r="AH44" s="816" t="str">
        <f>FLN!AC44</f>
        <v>-</v>
      </c>
      <c r="AI44" s="816" t="str">
        <f>FLN!AD44</f>
        <v>-</v>
      </c>
      <c r="AJ44" s="816" t="str">
        <f>FLN!AE44</f>
        <v>-</v>
      </c>
      <c r="AK44" s="823" t="str">
        <f t="shared" si="4"/>
        <v>416</v>
      </c>
      <c r="AL44" s="816" t="str">
        <f>FLN!AF44</f>
        <v>-</v>
      </c>
      <c r="AM44" s="816" t="str">
        <f>FLN!AG44</f>
        <v>-</v>
      </c>
      <c r="AN44" s="816" t="str">
        <f>FLN!AH44</f>
        <v>-</v>
      </c>
      <c r="AO44" s="816">
        <f>FLN!AI44</f>
        <v>0</v>
      </c>
      <c r="AP44" s="823" t="str">
        <f t="shared" si="5"/>
        <v>417</v>
      </c>
      <c r="AQ44" s="816">
        <f>FLN!AJ44</f>
        <v>0</v>
      </c>
      <c r="AR44" s="816">
        <f>FLN!AK44</f>
        <v>0</v>
      </c>
      <c r="AS44" s="816">
        <f>FLN!AL44</f>
        <v>0</v>
      </c>
      <c r="AT44" s="816">
        <f>FLN!AM44</f>
        <v>0</v>
      </c>
      <c r="AU44" s="823" t="str">
        <f t="shared" si="6"/>
        <v>418</v>
      </c>
      <c r="AV44" s="816">
        <f>FLN!AN44</f>
        <v>0</v>
      </c>
      <c r="AW44" s="816">
        <f>FLN!AO44</f>
        <v>0</v>
      </c>
      <c r="AX44" s="816">
        <f>FLN!AP44</f>
        <v>0</v>
      </c>
      <c r="AY44" s="816">
        <f>FLN!AQ44</f>
        <v>0</v>
      </c>
      <c r="AZ44" s="823" t="str">
        <f t="shared" si="7"/>
        <v>419</v>
      </c>
      <c r="BA44" s="816">
        <f>FLN!AR44</f>
        <v>0</v>
      </c>
      <c r="BB44" s="816">
        <f>FLN!AS44</f>
        <v>0</v>
      </c>
      <c r="BC44" s="816">
        <f>FLN!AT44</f>
        <v>0</v>
      </c>
      <c r="BD44" s="816">
        <f>FLN!AU44</f>
        <v>0</v>
      </c>
      <c r="BE44" s="823" t="str">
        <f t="shared" si="8"/>
        <v>4110</v>
      </c>
      <c r="BF44" s="816">
        <f>FLN!AV44</f>
        <v>0</v>
      </c>
      <c r="BG44" s="816">
        <f>FLN!AW44</f>
        <v>0</v>
      </c>
      <c r="BH44" s="816">
        <f>FLN!AX44</f>
        <v>0</v>
      </c>
      <c r="BI44" s="816">
        <f>FLN!AY44</f>
        <v>0</v>
      </c>
      <c r="BJ44" s="823" t="str">
        <f t="shared" si="9"/>
        <v>4111</v>
      </c>
      <c r="BK44" s="816">
        <f>FLN!AZ44</f>
        <v>0</v>
      </c>
      <c r="BL44" s="816">
        <f>FLN!BA44</f>
        <v>0</v>
      </c>
      <c r="BM44" s="816">
        <f>FLN!BB44</f>
        <v>0</v>
      </c>
      <c r="BN44" s="816">
        <f>FLN!BC44</f>
        <v>0</v>
      </c>
      <c r="BO44" s="823" t="str">
        <f t="shared" si="10"/>
        <v>4112</v>
      </c>
      <c r="BP44" s="816">
        <f>FLN!BD44</f>
        <v>0</v>
      </c>
      <c r="BQ44" s="816">
        <f>FLN!BE44</f>
        <v>0</v>
      </c>
      <c r="BR44" s="816">
        <f>FLN!BF44</f>
        <v>0</v>
      </c>
      <c r="BS44" s="816">
        <f>FLN!BG44</f>
        <v>0</v>
      </c>
      <c r="BT44" s="823" t="str">
        <f t="shared" si="11"/>
        <v>4113</v>
      </c>
      <c r="BU44" s="816">
        <f>FLN!BH44</f>
        <v>0</v>
      </c>
      <c r="BV44" s="816">
        <f>FLN!BI44</f>
        <v>0</v>
      </c>
      <c r="BW44" s="816">
        <f>FLN!BJ44</f>
        <v>0</v>
      </c>
      <c r="BX44" s="816">
        <f>FLN!BK44</f>
        <v>0</v>
      </c>
      <c r="BY44" s="823" t="str">
        <f t="shared" si="12"/>
        <v>4114</v>
      </c>
      <c r="BZ44" s="816">
        <f>FLN!BL44</f>
        <v>0</v>
      </c>
      <c r="CA44" s="816">
        <f>FLN!BM44</f>
        <v>0</v>
      </c>
      <c r="CB44" s="816">
        <f>FLN!BN44</f>
        <v>0</v>
      </c>
      <c r="CC44" s="816">
        <f>FLN!BO44</f>
        <v>0</v>
      </c>
      <c r="CD44" s="823" t="str">
        <f t="shared" si="13"/>
        <v>4115</v>
      </c>
      <c r="CE44" s="816">
        <f>FLN!BP44</f>
        <v>0</v>
      </c>
      <c r="CF44" s="816">
        <f>FLN!BQ44</f>
        <v>0</v>
      </c>
      <c r="CG44" s="816">
        <f>FLN!BR44</f>
        <v>0</v>
      </c>
      <c r="CH44" s="816">
        <f>FLN!BS44</f>
        <v>0</v>
      </c>
      <c r="CI44" s="823" t="str">
        <f t="shared" si="14"/>
        <v>4116</v>
      </c>
      <c r="CJ44" s="816">
        <f>FLN!BT44</f>
        <v>0</v>
      </c>
      <c r="CK44" s="816">
        <f>FLN!BU44</f>
        <v>0</v>
      </c>
      <c r="CL44" s="816">
        <f>FLN!BV44</f>
        <v>0</v>
      </c>
      <c r="CM44" s="816">
        <f>FLN!BW44</f>
        <v>0</v>
      </c>
      <c r="CN44" s="823" t="str">
        <f t="shared" si="15"/>
        <v>4117</v>
      </c>
      <c r="CO44" s="816">
        <f>FLN!BX44</f>
        <v>0</v>
      </c>
      <c r="CP44" s="816">
        <f>FLN!BY44</f>
        <v>0</v>
      </c>
      <c r="CQ44" s="816">
        <f>FLN!BZ44</f>
        <v>0</v>
      </c>
      <c r="CR44" s="816">
        <f>FLN!CA44</f>
        <v>0</v>
      </c>
      <c r="CS44" s="823" t="str">
        <f t="shared" si="16"/>
        <v>4118</v>
      </c>
      <c r="CT44" s="816">
        <f>FLN!CB44</f>
        <v>0</v>
      </c>
      <c r="CU44" s="816">
        <f>FLN!CC44</f>
        <v>0</v>
      </c>
      <c r="CV44" s="816">
        <f>FLN!CD44</f>
        <v>0</v>
      </c>
      <c r="CW44" s="816">
        <f>FLN!CE44</f>
        <v>0</v>
      </c>
      <c r="CX44" s="823" t="str">
        <f t="shared" si="17"/>
        <v>4119</v>
      </c>
      <c r="CY44" s="816">
        <f>FLN!CF44</f>
        <v>0</v>
      </c>
      <c r="CZ44" s="816">
        <f>FLN!CG44</f>
        <v>0</v>
      </c>
      <c r="DA44" s="816">
        <f>FLN!CH44</f>
        <v>0</v>
      </c>
      <c r="DB44" s="816">
        <f>FLN!CI44</f>
        <v>0</v>
      </c>
      <c r="DC44" s="823" t="str">
        <f t="shared" si="18"/>
        <v>4120</v>
      </c>
      <c r="DD44" s="816">
        <f>FLN!CJ44</f>
        <v>0</v>
      </c>
      <c r="DE44" s="816">
        <f>FLN!CK44</f>
        <v>0</v>
      </c>
      <c r="DF44" s="816">
        <f>FLN!CL44</f>
        <v>0</v>
      </c>
      <c r="DG44" s="816">
        <f>FLN!CM44</f>
        <v>0</v>
      </c>
      <c r="DH44" s="823" t="str">
        <f t="shared" si="19"/>
        <v>4121</v>
      </c>
      <c r="DI44" s="816">
        <f>FLN!CN44</f>
        <v>0</v>
      </c>
      <c r="DJ44" s="816">
        <f>FLN!CO44</f>
        <v>0</v>
      </c>
      <c r="DK44" s="816">
        <f>FLN!CP44</f>
        <v>0</v>
      </c>
      <c r="DL44" s="816">
        <f>FLN!CQ44</f>
        <v>0</v>
      </c>
      <c r="DM44" s="823" t="str">
        <f t="shared" si="20"/>
        <v>4122</v>
      </c>
      <c r="DN44" s="816">
        <f>FLN!CR44</f>
        <v>0</v>
      </c>
      <c r="DO44" s="816">
        <f>FLN!CS44</f>
        <v>0</v>
      </c>
      <c r="DP44" s="816">
        <f>FLN!CT44</f>
        <v>0</v>
      </c>
      <c r="DQ44" s="816">
        <f>FLN!CU44</f>
        <v>0</v>
      </c>
      <c r="DR44" s="823" t="str">
        <f t="shared" si="21"/>
        <v>4123</v>
      </c>
      <c r="DS44" s="816">
        <f>FLN!CV44</f>
        <v>0</v>
      </c>
      <c r="DT44" s="816">
        <f>FLN!CW44</f>
        <v>0</v>
      </c>
      <c r="DU44" s="816">
        <f>FLN!CX44</f>
        <v>0</v>
      </c>
      <c r="DV44" s="816">
        <f>FLN!CY44</f>
        <v>0</v>
      </c>
      <c r="DW44" s="823" t="str">
        <f t="shared" si="22"/>
        <v>4124</v>
      </c>
      <c r="DX44" s="816">
        <f>FLN!CZ44</f>
        <v>0</v>
      </c>
      <c r="DY44" s="816">
        <f>FLN!DA44</f>
        <v>0</v>
      </c>
      <c r="DZ44" s="816">
        <f>FLN!DB44</f>
        <v>0</v>
      </c>
      <c r="EA44" s="816">
        <f>FLN!DC44</f>
        <v>0</v>
      </c>
      <c r="EB44" s="823" t="str">
        <f t="shared" si="23"/>
        <v>4125</v>
      </c>
      <c r="EC44" s="816">
        <f>FLN!DD44</f>
        <v>0</v>
      </c>
      <c r="ED44" s="816">
        <f>FLN!DE44</f>
        <v>0</v>
      </c>
      <c r="EE44" s="816">
        <f>FLN!DF44</f>
        <v>0</v>
      </c>
      <c r="EF44" s="816">
        <f>FLN!DG44</f>
        <v>0</v>
      </c>
    </row>
    <row r="45" spans="1:136">
      <c r="A45" s="824">
        <v>42</v>
      </c>
      <c r="B45" s="824">
        <f>STUDENT!F43</f>
        <v>0</v>
      </c>
      <c r="C45" s="824">
        <f>STUDENT!D43</f>
        <v>0</v>
      </c>
      <c r="D45" s="827">
        <f>STUDENT!E43</f>
        <v>0</v>
      </c>
      <c r="E45" s="827">
        <f>STUDENT!H43</f>
        <v>0</v>
      </c>
      <c r="F45" s="828">
        <f>FLN!F45</f>
        <v>0</v>
      </c>
      <c r="G45" s="828">
        <f>FLN!G45</f>
        <v>0</v>
      </c>
      <c r="H45" s="828">
        <f>FLN!H45</f>
        <v>0</v>
      </c>
      <c r="I45" s="824" t="str">
        <f>FLN!I45</f>
        <v/>
      </c>
      <c r="J45" s="824" t="str">
        <f>FLN!J45</f>
        <v/>
      </c>
      <c r="K45" s="824" t="str">
        <f>FLN!K45</f>
        <v/>
      </c>
      <c r="L45" s="823" t="str">
        <f t="shared" si="24"/>
        <v>421</v>
      </c>
      <c r="M45" s="816" t="str">
        <f>FLN!L45</f>
        <v>-</v>
      </c>
      <c r="N45" s="816" t="str">
        <f>FLN!M45</f>
        <v>-</v>
      </c>
      <c r="O45" s="816" t="str">
        <f>FLN!N45</f>
        <v>-</v>
      </c>
      <c r="P45" s="816">
        <f>FLN!O45</f>
        <v>0</v>
      </c>
      <c r="Q45" s="823" t="str">
        <f t="shared" si="0"/>
        <v>422</v>
      </c>
      <c r="R45" s="816" t="str">
        <f>FLN!P45</f>
        <v>-</v>
      </c>
      <c r="S45" s="816" t="str">
        <f>FLN!Q45</f>
        <v>-</v>
      </c>
      <c r="T45" s="816" t="str">
        <f>FLN!R45</f>
        <v>-</v>
      </c>
      <c r="U45" s="816" t="str">
        <f>FLN!S45</f>
        <v>-</v>
      </c>
      <c r="V45" s="823" t="str">
        <f t="shared" si="1"/>
        <v>423</v>
      </c>
      <c r="W45" s="816" t="str">
        <f>FLN!T45</f>
        <v>-</v>
      </c>
      <c r="X45" s="816" t="str">
        <f>FLN!U45</f>
        <v>-</v>
      </c>
      <c r="Y45" s="816" t="str">
        <f>FLN!V45</f>
        <v>-</v>
      </c>
      <c r="Z45" s="816" t="str">
        <f>FLN!W45</f>
        <v>-</v>
      </c>
      <c r="AA45" s="823" t="str">
        <f t="shared" si="2"/>
        <v>424</v>
      </c>
      <c r="AB45" s="816" t="str">
        <f>FLN!X45</f>
        <v>-</v>
      </c>
      <c r="AC45" s="816" t="str">
        <f>FLN!Y45</f>
        <v>-</v>
      </c>
      <c r="AD45" s="816" t="str">
        <f>FLN!Z45</f>
        <v>-</v>
      </c>
      <c r="AE45" s="816" t="str">
        <f>FLN!AA45</f>
        <v>-</v>
      </c>
      <c r="AF45" s="823" t="str">
        <f t="shared" si="3"/>
        <v>425</v>
      </c>
      <c r="AG45" s="816" t="str">
        <f>FLN!AB45</f>
        <v>-</v>
      </c>
      <c r="AH45" s="816" t="str">
        <f>FLN!AC45</f>
        <v>-</v>
      </c>
      <c r="AI45" s="816" t="str">
        <f>FLN!AD45</f>
        <v>-</v>
      </c>
      <c r="AJ45" s="816" t="str">
        <f>FLN!AE45</f>
        <v>-</v>
      </c>
      <c r="AK45" s="823" t="str">
        <f t="shared" si="4"/>
        <v>426</v>
      </c>
      <c r="AL45" s="816" t="str">
        <f>FLN!AF45</f>
        <v>-</v>
      </c>
      <c r="AM45" s="816" t="str">
        <f>FLN!AG45</f>
        <v>-</v>
      </c>
      <c r="AN45" s="816" t="str">
        <f>FLN!AH45</f>
        <v>-</v>
      </c>
      <c r="AO45" s="816">
        <f>FLN!AI45</f>
        <v>0</v>
      </c>
      <c r="AP45" s="823" t="str">
        <f t="shared" si="5"/>
        <v>427</v>
      </c>
      <c r="AQ45" s="816">
        <f>FLN!AJ45</f>
        <v>0</v>
      </c>
      <c r="AR45" s="816">
        <f>FLN!AK45</f>
        <v>0</v>
      </c>
      <c r="AS45" s="816">
        <f>FLN!AL45</f>
        <v>0</v>
      </c>
      <c r="AT45" s="816">
        <f>FLN!AM45</f>
        <v>0</v>
      </c>
      <c r="AU45" s="823" t="str">
        <f t="shared" si="6"/>
        <v>428</v>
      </c>
      <c r="AV45" s="816">
        <f>FLN!AN45</f>
        <v>0</v>
      </c>
      <c r="AW45" s="816">
        <f>FLN!AO45</f>
        <v>0</v>
      </c>
      <c r="AX45" s="816">
        <f>FLN!AP45</f>
        <v>0</v>
      </c>
      <c r="AY45" s="816">
        <f>FLN!AQ45</f>
        <v>0</v>
      </c>
      <c r="AZ45" s="823" t="str">
        <f t="shared" si="7"/>
        <v>429</v>
      </c>
      <c r="BA45" s="816">
        <f>FLN!AR45</f>
        <v>0</v>
      </c>
      <c r="BB45" s="816">
        <f>FLN!AS45</f>
        <v>0</v>
      </c>
      <c r="BC45" s="816">
        <f>FLN!AT45</f>
        <v>0</v>
      </c>
      <c r="BD45" s="816">
        <f>FLN!AU45</f>
        <v>0</v>
      </c>
      <c r="BE45" s="823" t="str">
        <f t="shared" si="8"/>
        <v>4210</v>
      </c>
      <c r="BF45" s="816">
        <f>FLN!AV45</f>
        <v>0</v>
      </c>
      <c r="BG45" s="816">
        <f>FLN!AW45</f>
        <v>0</v>
      </c>
      <c r="BH45" s="816">
        <f>FLN!AX45</f>
        <v>0</v>
      </c>
      <c r="BI45" s="816">
        <f>FLN!AY45</f>
        <v>0</v>
      </c>
      <c r="BJ45" s="823" t="str">
        <f t="shared" si="9"/>
        <v>4211</v>
      </c>
      <c r="BK45" s="816">
        <f>FLN!AZ45</f>
        <v>0</v>
      </c>
      <c r="BL45" s="816">
        <f>FLN!BA45</f>
        <v>0</v>
      </c>
      <c r="BM45" s="816">
        <f>FLN!BB45</f>
        <v>0</v>
      </c>
      <c r="BN45" s="816">
        <f>FLN!BC45</f>
        <v>0</v>
      </c>
      <c r="BO45" s="823" t="str">
        <f t="shared" si="10"/>
        <v>4212</v>
      </c>
      <c r="BP45" s="816">
        <f>FLN!BD45</f>
        <v>0</v>
      </c>
      <c r="BQ45" s="816">
        <f>FLN!BE45</f>
        <v>0</v>
      </c>
      <c r="BR45" s="816">
        <f>FLN!BF45</f>
        <v>0</v>
      </c>
      <c r="BS45" s="816">
        <f>FLN!BG45</f>
        <v>0</v>
      </c>
      <c r="BT45" s="823" t="str">
        <f t="shared" si="11"/>
        <v>4213</v>
      </c>
      <c r="BU45" s="816">
        <f>FLN!BH45</f>
        <v>0</v>
      </c>
      <c r="BV45" s="816">
        <f>FLN!BI45</f>
        <v>0</v>
      </c>
      <c r="BW45" s="816">
        <f>FLN!BJ45</f>
        <v>0</v>
      </c>
      <c r="BX45" s="816">
        <f>FLN!BK45</f>
        <v>0</v>
      </c>
      <c r="BY45" s="823" t="str">
        <f t="shared" si="12"/>
        <v>4214</v>
      </c>
      <c r="BZ45" s="816">
        <f>FLN!BL45</f>
        <v>0</v>
      </c>
      <c r="CA45" s="816">
        <f>FLN!BM45</f>
        <v>0</v>
      </c>
      <c r="CB45" s="816">
        <f>FLN!BN45</f>
        <v>0</v>
      </c>
      <c r="CC45" s="816">
        <f>FLN!BO45</f>
        <v>0</v>
      </c>
      <c r="CD45" s="823" t="str">
        <f t="shared" si="13"/>
        <v>4215</v>
      </c>
      <c r="CE45" s="816">
        <f>FLN!BP45</f>
        <v>0</v>
      </c>
      <c r="CF45" s="816">
        <f>FLN!BQ45</f>
        <v>0</v>
      </c>
      <c r="CG45" s="816">
        <f>FLN!BR45</f>
        <v>0</v>
      </c>
      <c r="CH45" s="816">
        <f>FLN!BS45</f>
        <v>0</v>
      </c>
      <c r="CI45" s="823" t="str">
        <f t="shared" si="14"/>
        <v>4216</v>
      </c>
      <c r="CJ45" s="816">
        <f>FLN!BT45</f>
        <v>0</v>
      </c>
      <c r="CK45" s="816">
        <f>FLN!BU45</f>
        <v>0</v>
      </c>
      <c r="CL45" s="816">
        <f>FLN!BV45</f>
        <v>0</v>
      </c>
      <c r="CM45" s="816">
        <f>FLN!BW45</f>
        <v>0</v>
      </c>
      <c r="CN45" s="823" t="str">
        <f t="shared" si="15"/>
        <v>4217</v>
      </c>
      <c r="CO45" s="816">
        <f>FLN!BX45</f>
        <v>0</v>
      </c>
      <c r="CP45" s="816">
        <f>FLN!BY45</f>
        <v>0</v>
      </c>
      <c r="CQ45" s="816">
        <f>FLN!BZ45</f>
        <v>0</v>
      </c>
      <c r="CR45" s="816">
        <f>FLN!CA45</f>
        <v>0</v>
      </c>
      <c r="CS45" s="823" t="str">
        <f t="shared" si="16"/>
        <v>4218</v>
      </c>
      <c r="CT45" s="816">
        <f>FLN!CB45</f>
        <v>0</v>
      </c>
      <c r="CU45" s="816">
        <f>FLN!CC45</f>
        <v>0</v>
      </c>
      <c r="CV45" s="816">
        <f>FLN!CD45</f>
        <v>0</v>
      </c>
      <c r="CW45" s="816">
        <f>FLN!CE45</f>
        <v>0</v>
      </c>
      <c r="CX45" s="823" t="str">
        <f t="shared" si="17"/>
        <v>4219</v>
      </c>
      <c r="CY45" s="816">
        <f>FLN!CF45</f>
        <v>0</v>
      </c>
      <c r="CZ45" s="816">
        <f>FLN!CG45</f>
        <v>0</v>
      </c>
      <c r="DA45" s="816">
        <f>FLN!CH45</f>
        <v>0</v>
      </c>
      <c r="DB45" s="816">
        <f>FLN!CI45</f>
        <v>0</v>
      </c>
      <c r="DC45" s="823" t="str">
        <f t="shared" si="18"/>
        <v>4220</v>
      </c>
      <c r="DD45" s="816">
        <f>FLN!CJ45</f>
        <v>0</v>
      </c>
      <c r="DE45" s="816">
        <f>FLN!CK45</f>
        <v>0</v>
      </c>
      <c r="DF45" s="816">
        <f>FLN!CL45</f>
        <v>0</v>
      </c>
      <c r="DG45" s="816">
        <f>FLN!CM45</f>
        <v>0</v>
      </c>
      <c r="DH45" s="823" t="str">
        <f t="shared" si="19"/>
        <v>4221</v>
      </c>
      <c r="DI45" s="816">
        <f>FLN!CN45</f>
        <v>0</v>
      </c>
      <c r="DJ45" s="816">
        <f>FLN!CO45</f>
        <v>0</v>
      </c>
      <c r="DK45" s="816">
        <f>FLN!CP45</f>
        <v>0</v>
      </c>
      <c r="DL45" s="816">
        <f>FLN!CQ45</f>
        <v>0</v>
      </c>
      <c r="DM45" s="823" t="str">
        <f t="shared" si="20"/>
        <v>4222</v>
      </c>
      <c r="DN45" s="816">
        <f>FLN!CR45</f>
        <v>0</v>
      </c>
      <c r="DO45" s="816">
        <f>FLN!CS45</f>
        <v>0</v>
      </c>
      <c r="DP45" s="816">
        <f>FLN!CT45</f>
        <v>0</v>
      </c>
      <c r="DQ45" s="816">
        <f>FLN!CU45</f>
        <v>0</v>
      </c>
      <c r="DR45" s="823" t="str">
        <f t="shared" si="21"/>
        <v>4223</v>
      </c>
      <c r="DS45" s="816">
        <f>FLN!CV45</f>
        <v>0</v>
      </c>
      <c r="DT45" s="816">
        <f>FLN!CW45</f>
        <v>0</v>
      </c>
      <c r="DU45" s="816">
        <f>FLN!CX45</f>
        <v>0</v>
      </c>
      <c r="DV45" s="816">
        <f>FLN!CY45</f>
        <v>0</v>
      </c>
      <c r="DW45" s="823" t="str">
        <f t="shared" si="22"/>
        <v>4224</v>
      </c>
      <c r="DX45" s="816">
        <f>FLN!CZ45</f>
        <v>0</v>
      </c>
      <c r="DY45" s="816">
        <f>FLN!DA45</f>
        <v>0</v>
      </c>
      <c r="DZ45" s="816">
        <f>FLN!DB45</f>
        <v>0</v>
      </c>
      <c r="EA45" s="816">
        <f>FLN!DC45</f>
        <v>0</v>
      </c>
      <c r="EB45" s="823" t="str">
        <f t="shared" si="23"/>
        <v>4225</v>
      </c>
      <c r="EC45" s="816">
        <f>FLN!DD45</f>
        <v>0</v>
      </c>
      <c r="ED45" s="816">
        <f>FLN!DE45</f>
        <v>0</v>
      </c>
      <c r="EE45" s="816">
        <f>FLN!DF45</f>
        <v>0</v>
      </c>
      <c r="EF45" s="816">
        <f>FLN!DG45</f>
        <v>0</v>
      </c>
    </row>
    <row r="46" spans="1:136">
      <c r="A46" s="824">
        <v>43</v>
      </c>
      <c r="B46" s="824">
        <f>STUDENT!F44</f>
        <v>0</v>
      </c>
      <c r="C46" s="824">
        <f>STUDENT!D44</f>
        <v>0</v>
      </c>
      <c r="D46" s="827">
        <f>STUDENT!E44</f>
        <v>0</v>
      </c>
      <c r="E46" s="827">
        <f>STUDENT!H44</f>
        <v>0</v>
      </c>
      <c r="F46" s="828">
        <f>FLN!F46</f>
        <v>0</v>
      </c>
      <c r="G46" s="828">
        <f>FLN!G46</f>
        <v>0</v>
      </c>
      <c r="H46" s="828">
        <f>FLN!H46</f>
        <v>0</v>
      </c>
      <c r="I46" s="824" t="str">
        <f>FLN!I46</f>
        <v/>
      </c>
      <c r="J46" s="824" t="str">
        <f>FLN!J46</f>
        <v/>
      </c>
      <c r="K46" s="824" t="str">
        <f>FLN!K46</f>
        <v/>
      </c>
      <c r="L46" s="823" t="str">
        <f t="shared" si="24"/>
        <v>431</v>
      </c>
      <c r="M46" s="816" t="str">
        <f>FLN!L46</f>
        <v>-</v>
      </c>
      <c r="N46" s="816" t="str">
        <f>FLN!M46</f>
        <v>-</v>
      </c>
      <c r="O46" s="816" t="str">
        <f>FLN!N46</f>
        <v>-</v>
      </c>
      <c r="P46" s="816">
        <f>FLN!O46</f>
        <v>0</v>
      </c>
      <c r="Q46" s="823" t="str">
        <f t="shared" si="0"/>
        <v>432</v>
      </c>
      <c r="R46" s="816">
        <f>FLN!P46</f>
        <v>0</v>
      </c>
      <c r="S46" s="816">
        <f>FLN!Q46</f>
        <v>0</v>
      </c>
      <c r="T46" s="816">
        <f>FLN!R46</f>
        <v>0</v>
      </c>
      <c r="U46" s="816">
        <f>FLN!S46</f>
        <v>0</v>
      </c>
      <c r="V46" s="823" t="str">
        <f t="shared" si="1"/>
        <v>433</v>
      </c>
      <c r="W46" s="816">
        <f>FLN!T46</f>
        <v>0</v>
      </c>
      <c r="X46" s="816">
        <f>FLN!U46</f>
        <v>0</v>
      </c>
      <c r="Y46" s="816">
        <f>FLN!V46</f>
        <v>0</v>
      </c>
      <c r="Z46" s="816">
        <f>FLN!W46</f>
        <v>0</v>
      </c>
      <c r="AA46" s="823" t="str">
        <f t="shared" si="2"/>
        <v>434</v>
      </c>
      <c r="AB46" s="816">
        <f>FLN!X46</f>
        <v>0</v>
      </c>
      <c r="AC46" s="816">
        <f>FLN!Y46</f>
        <v>0</v>
      </c>
      <c r="AD46" s="816">
        <f>FLN!Z46</f>
        <v>0</v>
      </c>
      <c r="AE46" s="816">
        <f>FLN!AA46</f>
        <v>0</v>
      </c>
      <c r="AF46" s="823" t="str">
        <f t="shared" si="3"/>
        <v>435</v>
      </c>
      <c r="AG46" s="816">
        <f>FLN!AB46</f>
        <v>0</v>
      </c>
      <c r="AH46" s="816">
        <f>FLN!AC46</f>
        <v>0</v>
      </c>
      <c r="AI46" s="816">
        <f>FLN!AD46</f>
        <v>0</v>
      </c>
      <c r="AJ46" s="816">
        <f>FLN!AE46</f>
        <v>0</v>
      </c>
      <c r="AK46" s="823" t="str">
        <f t="shared" si="4"/>
        <v>436</v>
      </c>
      <c r="AL46" s="816">
        <f>FLN!AF46</f>
        <v>0</v>
      </c>
      <c r="AM46" s="816">
        <f>FLN!AG46</f>
        <v>0</v>
      </c>
      <c r="AN46" s="816">
        <f>FLN!AH46</f>
        <v>0</v>
      </c>
      <c r="AO46" s="816">
        <f>FLN!AI46</f>
        <v>0</v>
      </c>
      <c r="AP46" s="823" t="str">
        <f t="shared" si="5"/>
        <v>437</v>
      </c>
      <c r="AQ46" s="816">
        <f>FLN!AJ46</f>
        <v>0</v>
      </c>
      <c r="AR46" s="816">
        <f>FLN!AK46</f>
        <v>0</v>
      </c>
      <c r="AS46" s="816">
        <f>FLN!AL46</f>
        <v>0</v>
      </c>
      <c r="AT46" s="816">
        <f>FLN!AM46</f>
        <v>0</v>
      </c>
      <c r="AU46" s="823" t="str">
        <f t="shared" si="6"/>
        <v>438</v>
      </c>
      <c r="AV46" s="816">
        <f>FLN!AN46</f>
        <v>0</v>
      </c>
      <c r="AW46" s="816">
        <f>FLN!AO46</f>
        <v>0</v>
      </c>
      <c r="AX46" s="816">
        <f>FLN!AP46</f>
        <v>0</v>
      </c>
      <c r="AY46" s="816">
        <f>FLN!AQ46</f>
        <v>0</v>
      </c>
      <c r="AZ46" s="823" t="str">
        <f t="shared" si="7"/>
        <v>439</v>
      </c>
      <c r="BA46" s="816">
        <f>FLN!AR46</f>
        <v>0</v>
      </c>
      <c r="BB46" s="816">
        <f>FLN!AS46</f>
        <v>0</v>
      </c>
      <c r="BC46" s="816">
        <f>FLN!AT46</f>
        <v>0</v>
      </c>
      <c r="BD46" s="816">
        <f>FLN!AU46</f>
        <v>0</v>
      </c>
      <c r="BE46" s="823" t="str">
        <f t="shared" si="8"/>
        <v>4310</v>
      </c>
      <c r="BF46" s="816">
        <f>FLN!AV46</f>
        <v>0</v>
      </c>
      <c r="BG46" s="816">
        <f>FLN!AW46</f>
        <v>0</v>
      </c>
      <c r="BH46" s="816">
        <f>FLN!AX46</f>
        <v>0</v>
      </c>
      <c r="BI46" s="816">
        <f>FLN!AY46</f>
        <v>0</v>
      </c>
      <c r="BJ46" s="823" t="str">
        <f t="shared" si="9"/>
        <v>4311</v>
      </c>
      <c r="BK46" s="816">
        <f>FLN!AZ46</f>
        <v>0</v>
      </c>
      <c r="BL46" s="816">
        <f>FLN!BA46</f>
        <v>0</v>
      </c>
      <c r="BM46" s="816">
        <f>FLN!BB46</f>
        <v>0</v>
      </c>
      <c r="BN46" s="816">
        <f>FLN!BC46</f>
        <v>0</v>
      </c>
      <c r="BO46" s="823" t="str">
        <f t="shared" si="10"/>
        <v>4312</v>
      </c>
      <c r="BP46" s="816">
        <f>FLN!BD46</f>
        <v>0</v>
      </c>
      <c r="BQ46" s="816">
        <f>FLN!BE46</f>
        <v>0</v>
      </c>
      <c r="BR46" s="816">
        <f>FLN!BF46</f>
        <v>0</v>
      </c>
      <c r="BS46" s="816">
        <f>FLN!BG46</f>
        <v>0</v>
      </c>
      <c r="BT46" s="823" t="str">
        <f t="shared" si="11"/>
        <v>4313</v>
      </c>
      <c r="BU46" s="816">
        <f>FLN!BH46</f>
        <v>0</v>
      </c>
      <c r="BV46" s="816">
        <f>FLN!BI46</f>
        <v>0</v>
      </c>
      <c r="BW46" s="816">
        <f>FLN!BJ46</f>
        <v>0</v>
      </c>
      <c r="BX46" s="816">
        <f>FLN!BK46</f>
        <v>0</v>
      </c>
      <c r="BY46" s="823" t="str">
        <f t="shared" si="12"/>
        <v>4314</v>
      </c>
      <c r="BZ46" s="816">
        <f>FLN!BL46</f>
        <v>0</v>
      </c>
      <c r="CA46" s="816">
        <f>FLN!BM46</f>
        <v>0</v>
      </c>
      <c r="CB46" s="816">
        <f>FLN!BN46</f>
        <v>0</v>
      </c>
      <c r="CC46" s="816">
        <f>FLN!BO46</f>
        <v>0</v>
      </c>
      <c r="CD46" s="823" t="str">
        <f t="shared" si="13"/>
        <v>4315</v>
      </c>
      <c r="CE46" s="816">
        <f>FLN!BP46</f>
        <v>0</v>
      </c>
      <c r="CF46" s="816">
        <f>FLN!BQ46</f>
        <v>0</v>
      </c>
      <c r="CG46" s="816">
        <f>FLN!BR46</f>
        <v>0</v>
      </c>
      <c r="CH46" s="816">
        <f>FLN!BS46</f>
        <v>0</v>
      </c>
      <c r="CI46" s="823" t="str">
        <f t="shared" si="14"/>
        <v>4316</v>
      </c>
      <c r="CJ46" s="816">
        <f>FLN!BT46</f>
        <v>0</v>
      </c>
      <c r="CK46" s="816">
        <f>FLN!BU46</f>
        <v>0</v>
      </c>
      <c r="CL46" s="816">
        <f>FLN!BV46</f>
        <v>0</v>
      </c>
      <c r="CM46" s="816">
        <f>FLN!BW46</f>
        <v>0</v>
      </c>
      <c r="CN46" s="823" t="str">
        <f t="shared" si="15"/>
        <v>4317</v>
      </c>
      <c r="CO46" s="816">
        <f>FLN!BX46</f>
        <v>0</v>
      </c>
      <c r="CP46" s="816">
        <f>FLN!BY46</f>
        <v>0</v>
      </c>
      <c r="CQ46" s="816">
        <f>FLN!BZ46</f>
        <v>0</v>
      </c>
      <c r="CR46" s="816">
        <f>FLN!CA46</f>
        <v>0</v>
      </c>
      <c r="CS46" s="823" t="str">
        <f t="shared" si="16"/>
        <v>4318</v>
      </c>
      <c r="CT46" s="816">
        <f>FLN!CB46</f>
        <v>0</v>
      </c>
      <c r="CU46" s="816">
        <f>FLN!CC46</f>
        <v>0</v>
      </c>
      <c r="CV46" s="816">
        <f>FLN!CD46</f>
        <v>0</v>
      </c>
      <c r="CW46" s="816">
        <f>FLN!CE46</f>
        <v>0</v>
      </c>
      <c r="CX46" s="823" t="str">
        <f t="shared" si="17"/>
        <v>4319</v>
      </c>
      <c r="CY46" s="816">
        <f>FLN!CF46</f>
        <v>0</v>
      </c>
      <c r="CZ46" s="816">
        <f>FLN!CG46</f>
        <v>0</v>
      </c>
      <c r="DA46" s="816">
        <f>FLN!CH46</f>
        <v>0</v>
      </c>
      <c r="DB46" s="816">
        <f>FLN!CI46</f>
        <v>0</v>
      </c>
      <c r="DC46" s="823" t="str">
        <f t="shared" si="18"/>
        <v>4320</v>
      </c>
      <c r="DD46" s="816">
        <f>FLN!CJ46</f>
        <v>0</v>
      </c>
      <c r="DE46" s="816">
        <f>FLN!CK46</f>
        <v>0</v>
      </c>
      <c r="DF46" s="816">
        <f>FLN!CL46</f>
        <v>0</v>
      </c>
      <c r="DG46" s="816">
        <f>FLN!CM46</f>
        <v>0</v>
      </c>
      <c r="DH46" s="823" t="str">
        <f t="shared" si="19"/>
        <v>4321</v>
      </c>
      <c r="DI46" s="816">
        <f>FLN!CN46</f>
        <v>0</v>
      </c>
      <c r="DJ46" s="816">
        <f>FLN!CO46</f>
        <v>0</v>
      </c>
      <c r="DK46" s="816">
        <f>FLN!CP46</f>
        <v>0</v>
      </c>
      <c r="DL46" s="816">
        <f>FLN!CQ46</f>
        <v>0</v>
      </c>
      <c r="DM46" s="823" t="str">
        <f t="shared" si="20"/>
        <v>4322</v>
      </c>
      <c r="DN46" s="816">
        <f>FLN!CR46</f>
        <v>0</v>
      </c>
      <c r="DO46" s="816">
        <f>FLN!CS46</f>
        <v>0</v>
      </c>
      <c r="DP46" s="816">
        <f>FLN!CT46</f>
        <v>0</v>
      </c>
      <c r="DQ46" s="816">
        <f>FLN!CU46</f>
        <v>0</v>
      </c>
      <c r="DR46" s="823" t="str">
        <f t="shared" si="21"/>
        <v>4323</v>
      </c>
      <c r="DS46" s="816">
        <f>FLN!CV46</f>
        <v>0</v>
      </c>
      <c r="DT46" s="816">
        <f>FLN!CW46</f>
        <v>0</v>
      </c>
      <c r="DU46" s="816">
        <f>FLN!CX46</f>
        <v>0</v>
      </c>
      <c r="DV46" s="816">
        <f>FLN!CY46</f>
        <v>0</v>
      </c>
      <c r="DW46" s="823" t="str">
        <f t="shared" si="22"/>
        <v>4324</v>
      </c>
      <c r="DX46" s="816">
        <f>FLN!CZ46</f>
        <v>0</v>
      </c>
      <c r="DY46" s="816">
        <f>FLN!DA46</f>
        <v>0</v>
      </c>
      <c r="DZ46" s="816">
        <f>FLN!DB46</f>
        <v>0</v>
      </c>
      <c r="EA46" s="816">
        <f>FLN!DC46</f>
        <v>0</v>
      </c>
      <c r="EB46" s="823" t="str">
        <f t="shared" si="23"/>
        <v>4325</v>
      </c>
      <c r="EC46" s="816">
        <f>FLN!DD46</f>
        <v>0</v>
      </c>
      <c r="ED46" s="816">
        <f>FLN!DE46</f>
        <v>0</v>
      </c>
      <c r="EE46" s="816">
        <f>FLN!DF46</f>
        <v>0</v>
      </c>
      <c r="EF46" s="816">
        <f>FLN!DG46</f>
        <v>0</v>
      </c>
    </row>
    <row r="47" spans="1:136">
      <c r="A47" s="824">
        <v>44</v>
      </c>
      <c r="B47" s="824">
        <f>STUDENT!F45</f>
        <v>0</v>
      </c>
      <c r="C47" s="824">
        <f>STUDENT!D45</f>
        <v>0</v>
      </c>
      <c r="D47" s="827">
        <f>STUDENT!E45</f>
        <v>0</v>
      </c>
      <c r="E47" s="827">
        <f>STUDENT!H45</f>
        <v>0</v>
      </c>
      <c r="F47" s="828">
        <f>FLN!F47</f>
        <v>0</v>
      </c>
      <c r="G47" s="828">
        <f>FLN!G47</f>
        <v>0</v>
      </c>
      <c r="H47" s="828">
        <f>FLN!H47</f>
        <v>0</v>
      </c>
      <c r="I47" s="824" t="str">
        <f>FLN!I47</f>
        <v/>
      </c>
      <c r="J47" s="824" t="str">
        <f>FLN!J47</f>
        <v/>
      </c>
      <c r="K47" s="824" t="str">
        <f>FLN!K47</f>
        <v/>
      </c>
      <c r="L47" s="823" t="str">
        <f t="shared" si="24"/>
        <v>441</v>
      </c>
      <c r="M47" s="816" t="str">
        <f>FLN!L47</f>
        <v>-</v>
      </c>
      <c r="N47" s="816" t="str">
        <f>FLN!M47</f>
        <v>-</v>
      </c>
      <c r="O47" s="816" t="str">
        <f>FLN!N47</f>
        <v>-</v>
      </c>
      <c r="P47" s="816">
        <f>FLN!O47</f>
        <v>0</v>
      </c>
      <c r="Q47" s="823" t="str">
        <f t="shared" si="0"/>
        <v>442</v>
      </c>
      <c r="R47" s="816">
        <f>FLN!P47</f>
        <v>0</v>
      </c>
      <c r="S47" s="816">
        <f>FLN!Q47</f>
        <v>0</v>
      </c>
      <c r="T47" s="816">
        <f>FLN!R47</f>
        <v>0</v>
      </c>
      <c r="U47" s="816">
        <f>FLN!S47</f>
        <v>0</v>
      </c>
      <c r="V47" s="823" t="str">
        <f t="shared" si="1"/>
        <v>443</v>
      </c>
      <c r="W47" s="816">
        <f>FLN!T47</f>
        <v>0</v>
      </c>
      <c r="X47" s="816">
        <f>FLN!U47</f>
        <v>0</v>
      </c>
      <c r="Y47" s="816">
        <f>FLN!V47</f>
        <v>0</v>
      </c>
      <c r="Z47" s="816">
        <f>FLN!W47</f>
        <v>0</v>
      </c>
      <c r="AA47" s="823" t="str">
        <f t="shared" si="2"/>
        <v>444</v>
      </c>
      <c r="AB47" s="816">
        <f>FLN!X47</f>
        <v>0</v>
      </c>
      <c r="AC47" s="816">
        <f>FLN!Y47</f>
        <v>0</v>
      </c>
      <c r="AD47" s="816">
        <f>FLN!Z47</f>
        <v>0</v>
      </c>
      <c r="AE47" s="816">
        <f>FLN!AA47</f>
        <v>0</v>
      </c>
      <c r="AF47" s="823" t="str">
        <f t="shared" si="3"/>
        <v>445</v>
      </c>
      <c r="AG47" s="816">
        <f>FLN!AB47</f>
        <v>0</v>
      </c>
      <c r="AH47" s="816">
        <f>FLN!AC47</f>
        <v>0</v>
      </c>
      <c r="AI47" s="816">
        <f>FLN!AD47</f>
        <v>0</v>
      </c>
      <c r="AJ47" s="816">
        <f>FLN!AE47</f>
        <v>0</v>
      </c>
      <c r="AK47" s="823" t="str">
        <f t="shared" si="4"/>
        <v>446</v>
      </c>
      <c r="AL47" s="816">
        <f>FLN!AF47</f>
        <v>0</v>
      </c>
      <c r="AM47" s="816">
        <f>FLN!AG47</f>
        <v>0</v>
      </c>
      <c r="AN47" s="816">
        <f>FLN!AH47</f>
        <v>0</v>
      </c>
      <c r="AO47" s="816">
        <f>FLN!AI47</f>
        <v>0</v>
      </c>
      <c r="AP47" s="823" t="str">
        <f t="shared" si="5"/>
        <v>447</v>
      </c>
      <c r="AQ47" s="816">
        <f>FLN!AJ47</f>
        <v>0</v>
      </c>
      <c r="AR47" s="816">
        <f>FLN!AK47</f>
        <v>0</v>
      </c>
      <c r="AS47" s="816">
        <f>FLN!AL47</f>
        <v>0</v>
      </c>
      <c r="AT47" s="816">
        <f>FLN!AM47</f>
        <v>0</v>
      </c>
      <c r="AU47" s="823" t="str">
        <f t="shared" si="6"/>
        <v>448</v>
      </c>
      <c r="AV47" s="816">
        <f>FLN!AN47</f>
        <v>0</v>
      </c>
      <c r="AW47" s="816">
        <f>FLN!AO47</f>
        <v>0</v>
      </c>
      <c r="AX47" s="816">
        <f>FLN!AP47</f>
        <v>0</v>
      </c>
      <c r="AY47" s="816">
        <f>FLN!AQ47</f>
        <v>0</v>
      </c>
      <c r="AZ47" s="823" t="str">
        <f t="shared" si="7"/>
        <v>449</v>
      </c>
      <c r="BA47" s="816">
        <f>FLN!AR47</f>
        <v>0</v>
      </c>
      <c r="BB47" s="816">
        <f>FLN!AS47</f>
        <v>0</v>
      </c>
      <c r="BC47" s="816">
        <f>FLN!AT47</f>
        <v>0</v>
      </c>
      <c r="BD47" s="816">
        <f>FLN!AU47</f>
        <v>0</v>
      </c>
      <c r="BE47" s="823" t="str">
        <f t="shared" si="8"/>
        <v>4410</v>
      </c>
      <c r="BF47" s="816">
        <f>FLN!AV47</f>
        <v>0</v>
      </c>
      <c r="BG47" s="816">
        <f>FLN!AW47</f>
        <v>0</v>
      </c>
      <c r="BH47" s="816">
        <f>FLN!AX47</f>
        <v>0</v>
      </c>
      <c r="BI47" s="816">
        <f>FLN!AY47</f>
        <v>0</v>
      </c>
      <c r="BJ47" s="823" t="str">
        <f t="shared" si="9"/>
        <v>4411</v>
      </c>
      <c r="BK47" s="816">
        <f>FLN!AZ47</f>
        <v>0</v>
      </c>
      <c r="BL47" s="816">
        <f>FLN!BA47</f>
        <v>0</v>
      </c>
      <c r="BM47" s="816">
        <f>FLN!BB47</f>
        <v>0</v>
      </c>
      <c r="BN47" s="816">
        <f>FLN!BC47</f>
        <v>0</v>
      </c>
      <c r="BO47" s="823" t="str">
        <f t="shared" si="10"/>
        <v>4412</v>
      </c>
      <c r="BP47" s="816">
        <f>FLN!BD47</f>
        <v>0</v>
      </c>
      <c r="BQ47" s="816">
        <f>FLN!BE47</f>
        <v>0</v>
      </c>
      <c r="BR47" s="816">
        <f>FLN!BF47</f>
        <v>0</v>
      </c>
      <c r="BS47" s="816">
        <f>FLN!BG47</f>
        <v>0</v>
      </c>
      <c r="BT47" s="823" t="str">
        <f t="shared" si="11"/>
        <v>4413</v>
      </c>
      <c r="BU47" s="816">
        <f>FLN!BH47</f>
        <v>0</v>
      </c>
      <c r="BV47" s="816">
        <f>FLN!BI47</f>
        <v>0</v>
      </c>
      <c r="BW47" s="816">
        <f>FLN!BJ47</f>
        <v>0</v>
      </c>
      <c r="BX47" s="816">
        <f>FLN!BK47</f>
        <v>0</v>
      </c>
      <c r="BY47" s="823" t="str">
        <f t="shared" si="12"/>
        <v>4414</v>
      </c>
      <c r="BZ47" s="816">
        <f>FLN!BL47</f>
        <v>0</v>
      </c>
      <c r="CA47" s="816">
        <f>FLN!BM47</f>
        <v>0</v>
      </c>
      <c r="CB47" s="816">
        <f>FLN!BN47</f>
        <v>0</v>
      </c>
      <c r="CC47" s="816">
        <f>FLN!BO47</f>
        <v>0</v>
      </c>
      <c r="CD47" s="823" t="str">
        <f t="shared" si="13"/>
        <v>4415</v>
      </c>
      <c r="CE47" s="816">
        <f>FLN!BP47</f>
        <v>0</v>
      </c>
      <c r="CF47" s="816">
        <f>FLN!BQ47</f>
        <v>0</v>
      </c>
      <c r="CG47" s="816">
        <f>FLN!BR47</f>
        <v>0</v>
      </c>
      <c r="CH47" s="816">
        <f>FLN!BS47</f>
        <v>0</v>
      </c>
      <c r="CI47" s="823" t="str">
        <f t="shared" si="14"/>
        <v>4416</v>
      </c>
      <c r="CJ47" s="816">
        <f>FLN!BT47</f>
        <v>0</v>
      </c>
      <c r="CK47" s="816">
        <f>FLN!BU47</f>
        <v>0</v>
      </c>
      <c r="CL47" s="816">
        <f>FLN!BV47</f>
        <v>0</v>
      </c>
      <c r="CM47" s="816">
        <f>FLN!BW47</f>
        <v>0</v>
      </c>
      <c r="CN47" s="823" t="str">
        <f t="shared" si="15"/>
        <v>4417</v>
      </c>
      <c r="CO47" s="816">
        <f>FLN!BX47</f>
        <v>0</v>
      </c>
      <c r="CP47" s="816">
        <f>FLN!BY47</f>
        <v>0</v>
      </c>
      <c r="CQ47" s="816">
        <f>FLN!BZ47</f>
        <v>0</v>
      </c>
      <c r="CR47" s="816">
        <f>FLN!CA47</f>
        <v>0</v>
      </c>
      <c r="CS47" s="823" t="str">
        <f t="shared" si="16"/>
        <v>4418</v>
      </c>
      <c r="CT47" s="816">
        <f>FLN!CB47</f>
        <v>0</v>
      </c>
      <c r="CU47" s="816">
        <f>FLN!CC47</f>
        <v>0</v>
      </c>
      <c r="CV47" s="816">
        <f>FLN!CD47</f>
        <v>0</v>
      </c>
      <c r="CW47" s="816">
        <f>FLN!CE47</f>
        <v>0</v>
      </c>
      <c r="CX47" s="823" t="str">
        <f t="shared" si="17"/>
        <v>4419</v>
      </c>
      <c r="CY47" s="816">
        <f>FLN!CF47</f>
        <v>0</v>
      </c>
      <c r="CZ47" s="816">
        <f>FLN!CG47</f>
        <v>0</v>
      </c>
      <c r="DA47" s="816">
        <f>FLN!CH47</f>
        <v>0</v>
      </c>
      <c r="DB47" s="816">
        <f>FLN!CI47</f>
        <v>0</v>
      </c>
      <c r="DC47" s="823" t="str">
        <f t="shared" si="18"/>
        <v>4420</v>
      </c>
      <c r="DD47" s="816">
        <f>FLN!CJ47</f>
        <v>0</v>
      </c>
      <c r="DE47" s="816">
        <f>FLN!CK47</f>
        <v>0</v>
      </c>
      <c r="DF47" s="816">
        <f>FLN!CL47</f>
        <v>0</v>
      </c>
      <c r="DG47" s="816">
        <f>FLN!CM47</f>
        <v>0</v>
      </c>
      <c r="DH47" s="823" t="str">
        <f t="shared" si="19"/>
        <v>4421</v>
      </c>
      <c r="DI47" s="816">
        <f>FLN!CN47</f>
        <v>0</v>
      </c>
      <c r="DJ47" s="816">
        <f>FLN!CO47</f>
        <v>0</v>
      </c>
      <c r="DK47" s="816">
        <f>FLN!CP47</f>
        <v>0</v>
      </c>
      <c r="DL47" s="816">
        <f>FLN!CQ47</f>
        <v>0</v>
      </c>
      <c r="DM47" s="823" t="str">
        <f t="shared" si="20"/>
        <v>4422</v>
      </c>
      <c r="DN47" s="816">
        <f>FLN!CR47</f>
        <v>0</v>
      </c>
      <c r="DO47" s="816">
        <f>FLN!CS47</f>
        <v>0</v>
      </c>
      <c r="DP47" s="816">
        <f>FLN!CT47</f>
        <v>0</v>
      </c>
      <c r="DQ47" s="816">
        <f>FLN!CU47</f>
        <v>0</v>
      </c>
      <c r="DR47" s="823" t="str">
        <f t="shared" si="21"/>
        <v>4423</v>
      </c>
      <c r="DS47" s="816">
        <f>FLN!CV47</f>
        <v>0</v>
      </c>
      <c r="DT47" s="816">
        <f>FLN!CW47</f>
        <v>0</v>
      </c>
      <c r="DU47" s="816">
        <f>FLN!CX47</f>
        <v>0</v>
      </c>
      <c r="DV47" s="816">
        <f>FLN!CY47</f>
        <v>0</v>
      </c>
      <c r="DW47" s="823" t="str">
        <f t="shared" si="22"/>
        <v>4424</v>
      </c>
      <c r="DX47" s="816">
        <f>FLN!CZ47</f>
        <v>0</v>
      </c>
      <c r="DY47" s="816">
        <f>FLN!DA47</f>
        <v>0</v>
      </c>
      <c r="DZ47" s="816">
        <f>FLN!DB47</f>
        <v>0</v>
      </c>
      <c r="EA47" s="816">
        <f>FLN!DC47</f>
        <v>0</v>
      </c>
      <c r="EB47" s="823" t="str">
        <f t="shared" si="23"/>
        <v>4425</v>
      </c>
      <c r="EC47" s="816">
        <f>FLN!DD47</f>
        <v>0</v>
      </c>
      <c r="ED47" s="816">
        <f>FLN!DE47</f>
        <v>0</v>
      </c>
      <c r="EE47" s="816">
        <f>FLN!DF47</f>
        <v>0</v>
      </c>
      <c r="EF47" s="816">
        <f>FLN!DG47</f>
        <v>0</v>
      </c>
    </row>
    <row r="48" spans="1:136">
      <c r="A48" s="824">
        <v>45</v>
      </c>
      <c r="B48" s="824">
        <f>STUDENT!F46</f>
        <v>0</v>
      </c>
      <c r="C48" s="824">
        <f>STUDENT!D46</f>
        <v>0</v>
      </c>
      <c r="D48" s="827">
        <f>STUDENT!E46</f>
        <v>0</v>
      </c>
      <c r="E48" s="827">
        <f>STUDENT!H46</f>
        <v>0</v>
      </c>
      <c r="F48" s="828">
        <f>FLN!F48</f>
        <v>0</v>
      </c>
      <c r="G48" s="828">
        <f>FLN!G48</f>
        <v>0</v>
      </c>
      <c r="H48" s="828">
        <f>FLN!H48</f>
        <v>0</v>
      </c>
      <c r="I48" s="824" t="str">
        <f>FLN!I48</f>
        <v/>
      </c>
      <c r="J48" s="824" t="str">
        <f>FLN!J48</f>
        <v/>
      </c>
      <c r="K48" s="824" t="str">
        <f>FLN!K48</f>
        <v/>
      </c>
      <c r="L48" s="823" t="str">
        <f t="shared" si="24"/>
        <v>451</v>
      </c>
      <c r="M48" s="816" t="str">
        <f>FLN!L48</f>
        <v>-</v>
      </c>
      <c r="N48" s="816" t="str">
        <f>FLN!M48</f>
        <v>-</v>
      </c>
      <c r="O48" s="816" t="str">
        <f>FLN!N48</f>
        <v>-</v>
      </c>
      <c r="P48" s="816">
        <f>FLN!O48</f>
        <v>0</v>
      </c>
      <c r="Q48" s="823" t="str">
        <f t="shared" si="0"/>
        <v>452</v>
      </c>
      <c r="R48" s="816">
        <f>FLN!P48</f>
        <v>0</v>
      </c>
      <c r="S48" s="816">
        <f>FLN!Q48</f>
        <v>0</v>
      </c>
      <c r="T48" s="816">
        <f>FLN!R48</f>
        <v>0</v>
      </c>
      <c r="U48" s="816">
        <f>FLN!S48</f>
        <v>0</v>
      </c>
      <c r="V48" s="823" t="str">
        <f t="shared" si="1"/>
        <v>453</v>
      </c>
      <c r="W48" s="816">
        <f>FLN!T48</f>
        <v>0</v>
      </c>
      <c r="X48" s="816">
        <f>FLN!U48</f>
        <v>0</v>
      </c>
      <c r="Y48" s="816">
        <f>FLN!V48</f>
        <v>0</v>
      </c>
      <c r="Z48" s="816">
        <f>FLN!W48</f>
        <v>0</v>
      </c>
      <c r="AA48" s="823" t="str">
        <f t="shared" si="2"/>
        <v>454</v>
      </c>
      <c r="AB48" s="816">
        <f>FLN!X48</f>
        <v>0</v>
      </c>
      <c r="AC48" s="816">
        <f>FLN!Y48</f>
        <v>0</v>
      </c>
      <c r="AD48" s="816">
        <f>FLN!Z48</f>
        <v>0</v>
      </c>
      <c r="AE48" s="816">
        <f>FLN!AA48</f>
        <v>0</v>
      </c>
      <c r="AF48" s="823" t="str">
        <f t="shared" si="3"/>
        <v>455</v>
      </c>
      <c r="AG48" s="816">
        <f>FLN!AB48</f>
        <v>0</v>
      </c>
      <c r="AH48" s="816">
        <f>FLN!AC48</f>
        <v>0</v>
      </c>
      <c r="AI48" s="816">
        <f>FLN!AD48</f>
        <v>0</v>
      </c>
      <c r="AJ48" s="816">
        <f>FLN!AE48</f>
        <v>0</v>
      </c>
      <c r="AK48" s="823" t="str">
        <f t="shared" si="4"/>
        <v>456</v>
      </c>
      <c r="AL48" s="816">
        <f>FLN!AF48</f>
        <v>0</v>
      </c>
      <c r="AM48" s="816">
        <f>FLN!AG48</f>
        <v>0</v>
      </c>
      <c r="AN48" s="816">
        <f>FLN!AH48</f>
        <v>0</v>
      </c>
      <c r="AO48" s="816">
        <f>FLN!AI48</f>
        <v>0</v>
      </c>
      <c r="AP48" s="823" t="str">
        <f t="shared" si="5"/>
        <v>457</v>
      </c>
      <c r="AQ48" s="816">
        <f>FLN!AJ48</f>
        <v>0</v>
      </c>
      <c r="AR48" s="816">
        <f>FLN!AK48</f>
        <v>0</v>
      </c>
      <c r="AS48" s="816">
        <f>FLN!AL48</f>
        <v>0</v>
      </c>
      <c r="AT48" s="816">
        <f>FLN!AM48</f>
        <v>0</v>
      </c>
      <c r="AU48" s="823" t="str">
        <f t="shared" si="6"/>
        <v>458</v>
      </c>
      <c r="AV48" s="816">
        <f>FLN!AN48</f>
        <v>0</v>
      </c>
      <c r="AW48" s="816">
        <f>FLN!AO48</f>
        <v>0</v>
      </c>
      <c r="AX48" s="816">
        <f>FLN!AP48</f>
        <v>0</v>
      </c>
      <c r="AY48" s="816">
        <f>FLN!AQ48</f>
        <v>0</v>
      </c>
      <c r="AZ48" s="823" t="str">
        <f t="shared" si="7"/>
        <v>459</v>
      </c>
      <c r="BA48" s="816">
        <f>FLN!AR48</f>
        <v>0</v>
      </c>
      <c r="BB48" s="816">
        <f>FLN!AS48</f>
        <v>0</v>
      </c>
      <c r="BC48" s="816">
        <f>FLN!AT48</f>
        <v>0</v>
      </c>
      <c r="BD48" s="816">
        <f>FLN!AU48</f>
        <v>0</v>
      </c>
      <c r="BE48" s="823" t="str">
        <f t="shared" si="8"/>
        <v>4510</v>
      </c>
      <c r="BF48" s="816">
        <f>FLN!AV48</f>
        <v>0</v>
      </c>
      <c r="BG48" s="816">
        <f>FLN!AW48</f>
        <v>0</v>
      </c>
      <c r="BH48" s="816">
        <f>FLN!AX48</f>
        <v>0</v>
      </c>
      <c r="BI48" s="816">
        <f>FLN!AY48</f>
        <v>0</v>
      </c>
      <c r="BJ48" s="823" t="str">
        <f t="shared" si="9"/>
        <v>4511</v>
      </c>
      <c r="BK48" s="816">
        <f>FLN!AZ48</f>
        <v>0</v>
      </c>
      <c r="BL48" s="816">
        <f>FLN!BA48</f>
        <v>0</v>
      </c>
      <c r="BM48" s="816">
        <f>FLN!BB48</f>
        <v>0</v>
      </c>
      <c r="BN48" s="816">
        <f>FLN!BC48</f>
        <v>0</v>
      </c>
      <c r="BO48" s="823" t="str">
        <f t="shared" si="10"/>
        <v>4512</v>
      </c>
      <c r="BP48" s="816">
        <f>FLN!BD48</f>
        <v>0</v>
      </c>
      <c r="BQ48" s="816">
        <f>FLN!BE48</f>
        <v>0</v>
      </c>
      <c r="BR48" s="816">
        <f>FLN!BF48</f>
        <v>0</v>
      </c>
      <c r="BS48" s="816">
        <f>FLN!BG48</f>
        <v>0</v>
      </c>
      <c r="BT48" s="823" t="str">
        <f t="shared" si="11"/>
        <v>4513</v>
      </c>
      <c r="BU48" s="816">
        <f>FLN!BH48</f>
        <v>0</v>
      </c>
      <c r="BV48" s="816">
        <f>FLN!BI48</f>
        <v>0</v>
      </c>
      <c r="BW48" s="816">
        <f>FLN!BJ48</f>
        <v>0</v>
      </c>
      <c r="BX48" s="816">
        <f>FLN!BK48</f>
        <v>0</v>
      </c>
      <c r="BY48" s="823" t="str">
        <f t="shared" si="12"/>
        <v>4514</v>
      </c>
      <c r="BZ48" s="816">
        <f>FLN!BL48</f>
        <v>0</v>
      </c>
      <c r="CA48" s="816">
        <f>FLN!BM48</f>
        <v>0</v>
      </c>
      <c r="CB48" s="816">
        <f>FLN!BN48</f>
        <v>0</v>
      </c>
      <c r="CC48" s="816">
        <f>FLN!BO48</f>
        <v>0</v>
      </c>
      <c r="CD48" s="823" t="str">
        <f t="shared" si="13"/>
        <v>4515</v>
      </c>
      <c r="CE48" s="816">
        <f>FLN!BP48</f>
        <v>0</v>
      </c>
      <c r="CF48" s="816">
        <f>FLN!BQ48</f>
        <v>0</v>
      </c>
      <c r="CG48" s="816">
        <f>FLN!BR48</f>
        <v>0</v>
      </c>
      <c r="CH48" s="816">
        <f>FLN!BS48</f>
        <v>0</v>
      </c>
      <c r="CI48" s="823" t="str">
        <f t="shared" si="14"/>
        <v>4516</v>
      </c>
      <c r="CJ48" s="816">
        <f>FLN!BT48</f>
        <v>0</v>
      </c>
      <c r="CK48" s="816">
        <f>FLN!BU48</f>
        <v>0</v>
      </c>
      <c r="CL48" s="816">
        <f>FLN!BV48</f>
        <v>0</v>
      </c>
      <c r="CM48" s="816">
        <f>FLN!BW48</f>
        <v>0</v>
      </c>
      <c r="CN48" s="823" t="str">
        <f t="shared" si="15"/>
        <v>4517</v>
      </c>
      <c r="CO48" s="816">
        <f>FLN!BX48</f>
        <v>0</v>
      </c>
      <c r="CP48" s="816">
        <f>FLN!BY48</f>
        <v>0</v>
      </c>
      <c r="CQ48" s="816">
        <f>FLN!BZ48</f>
        <v>0</v>
      </c>
      <c r="CR48" s="816">
        <f>FLN!CA48</f>
        <v>0</v>
      </c>
      <c r="CS48" s="823" t="str">
        <f t="shared" si="16"/>
        <v>4518</v>
      </c>
      <c r="CT48" s="816">
        <f>FLN!CB48</f>
        <v>0</v>
      </c>
      <c r="CU48" s="816">
        <f>FLN!CC48</f>
        <v>0</v>
      </c>
      <c r="CV48" s="816">
        <f>FLN!CD48</f>
        <v>0</v>
      </c>
      <c r="CW48" s="816">
        <f>FLN!CE48</f>
        <v>0</v>
      </c>
      <c r="CX48" s="823" t="str">
        <f t="shared" si="17"/>
        <v>4519</v>
      </c>
      <c r="CY48" s="816">
        <f>FLN!CF48</f>
        <v>0</v>
      </c>
      <c r="CZ48" s="816">
        <f>FLN!CG48</f>
        <v>0</v>
      </c>
      <c r="DA48" s="816">
        <f>FLN!CH48</f>
        <v>0</v>
      </c>
      <c r="DB48" s="816">
        <f>FLN!CI48</f>
        <v>0</v>
      </c>
      <c r="DC48" s="823" t="str">
        <f t="shared" si="18"/>
        <v>4520</v>
      </c>
      <c r="DD48" s="816">
        <f>FLN!CJ48</f>
        <v>0</v>
      </c>
      <c r="DE48" s="816">
        <f>FLN!CK48</f>
        <v>0</v>
      </c>
      <c r="DF48" s="816">
        <f>FLN!CL48</f>
        <v>0</v>
      </c>
      <c r="DG48" s="816">
        <f>FLN!CM48</f>
        <v>0</v>
      </c>
      <c r="DH48" s="823" t="str">
        <f t="shared" si="19"/>
        <v>4521</v>
      </c>
      <c r="DI48" s="816">
        <f>FLN!CN48</f>
        <v>0</v>
      </c>
      <c r="DJ48" s="816">
        <f>FLN!CO48</f>
        <v>0</v>
      </c>
      <c r="DK48" s="816">
        <f>FLN!CP48</f>
        <v>0</v>
      </c>
      <c r="DL48" s="816">
        <f>FLN!CQ48</f>
        <v>0</v>
      </c>
      <c r="DM48" s="823" t="str">
        <f t="shared" si="20"/>
        <v>4522</v>
      </c>
      <c r="DN48" s="816">
        <f>FLN!CR48</f>
        <v>0</v>
      </c>
      <c r="DO48" s="816">
        <f>FLN!CS48</f>
        <v>0</v>
      </c>
      <c r="DP48" s="816">
        <f>FLN!CT48</f>
        <v>0</v>
      </c>
      <c r="DQ48" s="816">
        <f>FLN!CU48</f>
        <v>0</v>
      </c>
      <c r="DR48" s="823" t="str">
        <f t="shared" si="21"/>
        <v>4523</v>
      </c>
      <c r="DS48" s="816">
        <f>FLN!CV48</f>
        <v>0</v>
      </c>
      <c r="DT48" s="816">
        <f>FLN!CW48</f>
        <v>0</v>
      </c>
      <c r="DU48" s="816">
        <f>FLN!CX48</f>
        <v>0</v>
      </c>
      <c r="DV48" s="816">
        <f>FLN!CY48</f>
        <v>0</v>
      </c>
      <c r="DW48" s="823" t="str">
        <f t="shared" si="22"/>
        <v>4524</v>
      </c>
      <c r="DX48" s="816">
        <f>FLN!CZ48</f>
        <v>0</v>
      </c>
      <c r="DY48" s="816">
        <f>FLN!DA48</f>
        <v>0</v>
      </c>
      <c r="DZ48" s="816">
        <f>FLN!DB48</f>
        <v>0</v>
      </c>
      <c r="EA48" s="816">
        <f>FLN!DC48</f>
        <v>0</v>
      </c>
      <c r="EB48" s="823" t="str">
        <f t="shared" si="23"/>
        <v>4525</v>
      </c>
      <c r="EC48" s="816">
        <f>FLN!DD48</f>
        <v>0</v>
      </c>
      <c r="ED48" s="816">
        <f>FLN!DE48</f>
        <v>0</v>
      </c>
      <c r="EE48" s="816">
        <f>FLN!DF48</f>
        <v>0</v>
      </c>
      <c r="EF48" s="816">
        <f>FLN!DG48</f>
        <v>0</v>
      </c>
    </row>
    <row r="49" spans="1:136">
      <c r="A49" s="824">
        <v>46</v>
      </c>
      <c r="B49" s="824">
        <f>STUDENT!F47</f>
        <v>0</v>
      </c>
      <c r="C49" s="824">
        <f>STUDENT!D47</f>
        <v>0</v>
      </c>
      <c r="D49" s="827">
        <f>STUDENT!E47</f>
        <v>0</v>
      </c>
      <c r="E49" s="827">
        <f>STUDENT!H47</f>
        <v>0</v>
      </c>
      <c r="F49" s="828">
        <f>FLN!F49</f>
        <v>0</v>
      </c>
      <c r="G49" s="828">
        <f>FLN!G49</f>
        <v>0</v>
      </c>
      <c r="H49" s="828">
        <f>FLN!H49</f>
        <v>0</v>
      </c>
      <c r="I49" s="824" t="str">
        <f>FLN!I49</f>
        <v/>
      </c>
      <c r="J49" s="824" t="str">
        <f>FLN!J49</f>
        <v/>
      </c>
      <c r="K49" s="824" t="str">
        <f>FLN!K49</f>
        <v/>
      </c>
      <c r="L49" s="823" t="str">
        <f t="shared" si="24"/>
        <v>461</v>
      </c>
      <c r="M49" s="816" t="str">
        <f>FLN!L49</f>
        <v>-</v>
      </c>
      <c r="N49" s="816" t="str">
        <f>FLN!M49</f>
        <v>-</v>
      </c>
      <c r="O49" s="816" t="str">
        <f>FLN!N49</f>
        <v>-</v>
      </c>
      <c r="P49" s="816">
        <f>FLN!O49</f>
        <v>0</v>
      </c>
      <c r="Q49" s="823" t="str">
        <f t="shared" si="0"/>
        <v>462</v>
      </c>
      <c r="R49" s="816">
        <f>FLN!P49</f>
        <v>0</v>
      </c>
      <c r="S49" s="816">
        <f>FLN!Q49</f>
        <v>0</v>
      </c>
      <c r="T49" s="816">
        <f>FLN!R49</f>
        <v>0</v>
      </c>
      <c r="U49" s="816">
        <f>FLN!S49</f>
        <v>0</v>
      </c>
      <c r="V49" s="823" t="str">
        <f t="shared" si="1"/>
        <v>463</v>
      </c>
      <c r="W49" s="816">
        <f>FLN!T49</f>
        <v>0</v>
      </c>
      <c r="X49" s="816">
        <f>FLN!U49</f>
        <v>0</v>
      </c>
      <c r="Y49" s="816">
        <f>FLN!V49</f>
        <v>0</v>
      </c>
      <c r="Z49" s="816">
        <f>FLN!W49</f>
        <v>0</v>
      </c>
      <c r="AA49" s="823" t="str">
        <f t="shared" si="2"/>
        <v>464</v>
      </c>
      <c r="AB49" s="816">
        <f>FLN!X49</f>
        <v>0</v>
      </c>
      <c r="AC49" s="816">
        <f>FLN!Y49</f>
        <v>0</v>
      </c>
      <c r="AD49" s="816">
        <f>FLN!Z49</f>
        <v>0</v>
      </c>
      <c r="AE49" s="816">
        <f>FLN!AA49</f>
        <v>0</v>
      </c>
      <c r="AF49" s="823" t="str">
        <f t="shared" si="3"/>
        <v>465</v>
      </c>
      <c r="AG49" s="816">
        <f>FLN!AB49</f>
        <v>0</v>
      </c>
      <c r="AH49" s="816">
        <f>FLN!AC49</f>
        <v>0</v>
      </c>
      <c r="AI49" s="816">
        <f>FLN!AD49</f>
        <v>0</v>
      </c>
      <c r="AJ49" s="816">
        <f>FLN!AE49</f>
        <v>0</v>
      </c>
      <c r="AK49" s="823" t="str">
        <f t="shared" si="4"/>
        <v>466</v>
      </c>
      <c r="AL49" s="816">
        <f>FLN!AF49</f>
        <v>0</v>
      </c>
      <c r="AM49" s="816">
        <f>FLN!AG49</f>
        <v>0</v>
      </c>
      <c r="AN49" s="816">
        <f>FLN!AH49</f>
        <v>0</v>
      </c>
      <c r="AO49" s="816">
        <f>FLN!AI49</f>
        <v>0</v>
      </c>
      <c r="AP49" s="823" t="str">
        <f t="shared" si="5"/>
        <v>467</v>
      </c>
      <c r="AQ49" s="816">
        <f>FLN!AJ49</f>
        <v>0</v>
      </c>
      <c r="AR49" s="816">
        <f>FLN!AK49</f>
        <v>0</v>
      </c>
      <c r="AS49" s="816">
        <f>FLN!AL49</f>
        <v>0</v>
      </c>
      <c r="AT49" s="816">
        <f>FLN!AM49</f>
        <v>0</v>
      </c>
      <c r="AU49" s="823" t="str">
        <f t="shared" si="6"/>
        <v>468</v>
      </c>
      <c r="AV49" s="816">
        <f>FLN!AN49</f>
        <v>0</v>
      </c>
      <c r="AW49" s="816">
        <f>FLN!AO49</f>
        <v>0</v>
      </c>
      <c r="AX49" s="816">
        <f>FLN!AP49</f>
        <v>0</v>
      </c>
      <c r="AY49" s="816">
        <f>FLN!AQ49</f>
        <v>0</v>
      </c>
      <c r="AZ49" s="823" t="str">
        <f t="shared" si="7"/>
        <v>469</v>
      </c>
      <c r="BA49" s="816">
        <f>FLN!AR49</f>
        <v>0</v>
      </c>
      <c r="BB49" s="816">
        <f>FLN!AS49</f>
        <v>0</v>
      </c>
      <c r="BC49" s="816">
        <f>FLN!AT49</f>
        <v>0</v>
      </c>
      <c r="BD49" s="816">
        <f>FLN!AU49</f>
        <v>0</v>
      </c>
      <c r="BE49" s="823" t="str">
        <f t="shared" si="8"/>
        <v>4610</v>
      </c>
      <c r="BF49" s="816">
        <f>FLN!AV49</f>
        <v>0</v>
      </c>
      <c r="BG49" s="816">
        <f>FLN!AW49</f>
        <v>0</v>
      </c>
      <c r="BH49" s="816">
        <f>FLN!AX49</f>
        <v>0</v>
      </c>
      <c r="BI49" s="816">
        <f>FLN!AY49</f>
        <v>0</v>
      </c>
      <c r="BJ49" s="823" t="str">
        <f t="shared" si="9"/>
        <v>4611</v>
      </c>
      <c r="BK49" s="816">
        <f>FLN!AZ49</f>
        <v>0</v>
      </c>
      <c r="BL49" s="816">
        <f>FLN!BA49</f>
        <v>0</v>
      </c>
      <c r="BM49" s="816">
        <f>FLN!BB49</f>
        <v>0</v>
      </c>
      <c r="BN49" s="816">
        <f>FLN!BC49</f>
        <v>0</v>
      </c>
      <c r="BO49" s="823" t="str">
        <f t="shared" si="10"/>
        <v>4612</v>
      </c>
      <c r="BP49" s="816">
        <f>FLN!BD49</f>
        <v>0</v>
      </c>
      <c r="BQ49" s="816">
        <f>FLN!BE49</f>
        <v>0</v>
      </c>
      <c r="BR49" s="816">
        <f>FLN!BF49</f>
        <v>0</v>
      </c>
      <c r="BS49" s="816">
        <f>FLN!BG49</f>
        <v>0</v>
      </c>
      <c r="BT49" s="823" t="str">
        <f t="shared" si="11"/>
        <v>4613</v>
      </c>
      <c r="BU49" s="816">
        <f>FLN!BH49</f>
        <v>0</v>
      </c>
      <c r="BV49" s="816">
        <f>FLN!BI49</f>
        <v>0</v>
      </c>
      <c r="BW49" s="816">
        <f>FLN!BJ49</f>
        <v>0</v>
      </c>
      <c r="BX49" s="816">
        <f>FLN!BK49</f>
        <v>0</v>
      </c>
      <c r="BY49" s="823" t="str">
        <f t="shared" si="12"/>
        <v>4614</v>
      </c>
      <c r="BZ49" s="816">
        <f>FLN!BL49</f>
        <v>0</v>
      </c>
      <c r="CA49" s="816">
        <f>FLN!BM49</f>
        <v>0</v>
      </c>
      <c r="CB49" s="816">
        <f>FLN!BN49</f>
        <v>0</v>
      </c>
      <c r="CC49" s="816">
        <f>FLN!BO49</f>
        <v>0</v>
      </c>
      <c r="CD49" s="823" t="str">
        <f t="shared" si="13"/>
        <v>4615</v>
      </c>
      <c r="CE49" s="816">
        <f>FLN!BP49</f>
        <v>0</v>
      </c>
      <c r="CF49" s="816">
        <f>FLN!BQ49</f>
        <v>0</v>
      </c>
      <c r="CG49" s="816">
        <f>FLN!BR49</f>
        <v>0</v>
      </c>
      <c r="CH49" s="816">
        <f>FLN!BS49</f>
        <v>0</v>
      </c>
      <c r="CI49" s="823" t="str">
        <f t="shared" si="14"/>
        <v>4616</v>
      </c>
      <c r="CJ49" s="816">
        <f>FLN!BT49</f>
        <v>0</v>
      </c>
      <c r="CK49" s="816">
        <f>FLN!BU49</f>
        <v>0</v>
      </c>
      <c r="CL49" s="816">
        <f>FLN!BV49</f>
        <v>0</v>
      </c>
      <c r="CM49" s="816">
        <f>FLN!BW49</f>
        <v>0</v>
      </c>
      <c r="CN49" s="823" t="str">
        <f t="shared" si="15"/>
        <v>4617</v>
      </c>
      <c r="CO49" s="816">
        <f>FLN!BX49</f>
        <v>0</v>
      </c>
      <c r="CP49" s="816">
        <f>FLN!BY49</f>
        <v>0</v>
      </c>
      <c r="CQ49" s="816">
        <f>FLN!BZ49</f>
        <v>0</v>
      </c>
      <c r="CR49" s="816">
        <f>FLN!CA49</f>
        <v>0</v>
      </c>
      <c r="CS49" s="823" t="str">
        <f t="shared" si="16"/>
        <v>4618</v>
      </c>
      <c r="CT49" s="816">
        <f>FLN!CB49</f>
        <v>0</v>
      </c>
      <c r="CU49" s="816">
        <f>FLN!CC49</f>
        <v>0</v>
      </c>
      <c r="CV49" s="816">
        <f>FLN!CD49</f>
        <v>0</v>
      </c>
      <c r="CW49" s="816">
        <f>FLN!CE49</f>
        <v>0</v>
      </c>
      <c r="CX49" s="823" t="str">
        <f t="shared" si="17"/>
        <v>4619</v>
      </c>
      <c r="CY49" s="816">
        <f>FLN!CF49</f>
        <v>0</v>
      </c>
      <c r="CZ49" s="816">
        <f>FLN!CG49</f>
        <v>0</v>
      </c>
      <c r="DA49" s="816">
        <f>FLN!CH49</f>
        <v>0</v>
      </c>
      <c r="DB49" s="816">
        <f>FLN!CI49</f>
        <v>0</v>
      </c>
      <c r="DC49" s="823" t="str">
        <f t="shared" si="18"/>
        <v>4620</v>
      </c>
      <c r="DD49" s="816">
        <f>FLN!CJ49</f>
        <v>0</v>
      </c>
      <c r="DE49" s="816">
        <f>FLN!CK49</f>
        <v>0</v>
      </c>
      <c r="DF49" s="816">
        <f>FLN!CL49</f>
        <v>0</v>
      </c>
      <c r="DG49" s="816">
        <f>FLN!CM49</f>
        <v>0</v>
      </c>
      <c r="DH49" s="823" t="str">
        <f t="shared" si="19"/>
        <v>4621</v>
      </c>
      <c r="DI49" s="816">
        <f>FLN!CN49</f>
        <v>0</v>
      </c>
      <c r="DJ49" s="816">
        <f>FLN!CO49</f>
        <v>0</v>
      </c>
      <c r="DK49" s="816">
        <f>FLN!CP49</f>
        <v>0</v>
      </c>
      <c r="DL49" s="816">
        <f>FLN!CQ49</f>
        <v>0</v>
      </c>
      <c r="DM49" s="823" t="str">
        <f t="shared" si="20"/>
        <v>4622</v>
      </c>
      <c r="DN49" s="816">
        <f>FLN!CR49</f>
        <v>0</v>
      </c>
      <c r="DO49" s="816">
        <f>FLN!CS49</f>
        <v>0</v>
      </c>
      <c r="DP49" s="816">
        <f>FLN!CT49</f>
        <v>0</v>
      </c>
      <c r="DQ49" s="816">
        <f>FLN!CU49</f>
        <v>0</v>
      </c>
      <c r="DR49" s="823" t="str">
        <f t="shared" si="21"/>
        <v>4623</v>
      </c>
      <c r="DS49" s="816">
        <f>FLN!CV49</f>
        <v>0</v>
      </c>
      <c r="DT49" s="816">
        <f>FLN!CW49</f>
        <v>0</v>
      </c>
      <c r="DU49" s="816">
        <f>FLN!CX49</f>
        <v>0</v>
      </c>
      <c r="DV49" s="816">
        <f>FLN!CY49</f>
        <v>0</v>
      </c>
      <c r="DW49" s="823" t="str">
        <f t="shared" si="22"/>
        <v>4624</v>
      </c>
      <c r="DX49" s="816">
        <f>FLN!CZ49</f>
        <v>0</v>
      </c>
      <c r="DY49" s="816">
        <f>FLN!DA49</f>
        <v>0</v>
      </c>
      <c r="DZ49" s="816">
        <f>FLN!DB49</f>
        <v>0</v>
      </c>
      <c r="EA49" s="816">
        <f>FLN!DC49</f>
        <v>0</v>
      </c>
      <c r="EB49" s="823" t="str">
        <f t="shared" si="23"/>
        <v>4625</v>
      </c>
      <c r="EC49" s="816">
        <f>FLN!DD49</f>
        <v>0</v>
      </c>
      <c r="ED49" s="816">
        <f>FLN!DE49</f>
        <v>0</v>
      </c>
      <c r="EE49" s="816">
        <f>FLN!DF49</f>
        <v>0</v>
      </c>
      <c r="EF49" s="816">
        <f>FLN!DG49</f>
        <v>0</v>
      </c>
    </row>
    <row r="50" spans="1:136">
      <c r="A50" s="824">
        <v>47</v>
      </c>
      <c r="B50" s="824">
        <f>STUDENT!F48</f>
        <v>0</v>
      </c>
      <c r="C50" s="824">
        <f>STUDENT!D48</f>
        <v>0</v>
      </c>
      <c r="D50" s="827">
        <f>STUDENT!E48</f>
        <v>0</v>
      </c>
      <c r="E50" s="827">
        <f>STUDENT!H48</f>
        <v>0</v>
      </c>
      <c r="F50" s="828">
        <f>FLN!F50</f>
        <v>0</v>
      </c>
      <c r="G50" s="828">
        <f>FLN!G50</f>
        <v>0</v>
      </c>
      <c r="H50" s="828">
        <f>FLN!H50</f>
        <v>0</v>
      </c>
      <c r="I50" s="824" t="str">
        <f>FLN!I50</f>
        <v/>
      </c>
      <c r="J50" s="824" t="str">
        <f>FLN!J50</f>
        <v/>
      </c>
      <c r="K50" s="824" t="str">
        <f>FLN!K50</f>
        <v/>
      </c>
      <c r="L50" s="823" t="str">
        <f t="shared" si="24"/>
        <v>471</v>
      </c>
      <c r="M50" s="816">
        <f>FLN!L50</f>
        <v>0</v>
      </c>
      <c r="N50" s="816">
        <f>FLN!M50</f>
        <v>0</v>
      </c>
      <c r="O50" s="816">
        <f>FLN!N50</f>
        <v>0</v>
      </c>
      <c r="P50" s="816">
        <f>FLN!O50</f>
        <v>0</v>
      </c>
      <c r="Q50" s="823" t="str">
        <f t="shared" si="0"/>
        <v>472</v>
      </c>
      <c r="R50" s="816">
        <f>FLN!P50</f>
        <v>0</v>
      </c>
      <c r="S50" s="816">
        <f>FLN!Q50</f>
        <v>0</v>
      </c>
      <c r="T50" s="816">
        <f>FLN!R50</f>
        <v>0</v>
      </c>
      <c r="U50" s="816">
        <f>FLN!S50</f>
        <v>0</v>
      </c>
      <c r="V50" s="823" t="str">
        <f t="shared" si="1"/>
        <v>473</v>
      </c>
      <c r="W50" s="816">
        <f>FLN!T50</f>
        <v>0</v>
      </c>
      <c r="X50" s="816">
        <f>FLN!U50</f>
        <v>0</v>
      </c>
      <c r="Y50" s="816">
        <f>FLN!V50</f>
        <v>0</v>
      </c>
      <c r="Z50" s="816">
        <f>FLN!W50</f>
        <v>0</v>
      </c>
      <c r="AA50" s="823" t="str">
        <f t="shared" si="2"/>
        <v>474</v>
      </c>
      <c r="AB50" s="816">
        <f>FLN!X50</f>
        <v>0</v>
      </c>
      <c r="AC50" s="816">
        <f>FLN!Y50</f>
        <v>0</v>
      </c>
      <c r="AD50" s="816">
        <f>FLN!Z50</f>
        <v>0</v>
      </c>
      <c r="AE50" s="816">
        <f>FLN!AA50</f>
        <v>0</v>
      </c>
      <c r="AF50" s="823" t="str">
        <f t="shared" si="3"/>
        <v>475</v>
      </c>
      <c r="AG50" s="816">
        <f>FLN!AB50</f>
        <v>0</v>
      </c>
      <c r="AH50" s="816">
        <f>FLN!AC50</f>
        <v>0</v>
      </c>
      <c r="AI50" s="816">
        <f>FLN!AD50</f>
        <v>0</v>
      </c>
      <c r="AJ50" s="816">
        <f>FLN!AE50</f>
        <v>0</v>
      </c>
      <c r="AK50" s="823" t="str">
        <f t="shared" si="4"/>
        <v>476</v>
      </c>
      <c r="AL50" s="816">
        <f>FLN!AF50</f>
        <v>0</v>
      </c>
      <c r="AM50" s="816">
        <f>FLN!AG50</f>
        <v>0</v>
      </c>
      <c r="AN50" s="816">
        <f>FLN!AH50</f>
        <v>0</v>
      </c>
      <c r="AO50" s="816">
        <f>FLN!AI50</f>
        <v>0</v>
      </c>
      <c r="AP50" s="823" t="str">
        <f t="shared" si="5"/>
        <v>477</v>
      </c>
      <c r="AQ50" s="816">
        <f>FLN!AJ50</f>
        <v>0</v>
      </c>
      <c r="AR50" s="816">
        <f>FLN!AK50</f>
        <v>0</v>
      </c>
      <c r="AS50" s="816">
        <f>FLN!AL50</f>
        <v>0</v>
      </c>
      <c r="AT50" s="816">
        <f>FLN!AM50</f>
        <v>0</v>
      </c>
      <c r="AU50" s="823" t="str">
        <f t="shared" si="6"/>
        <v>478</v>
      </c>
      <c r="AV50" s="816">
        <f>FLN!AN50</f>
        <v>0</v>
      </c>
      <c r="AW50" s="816">
        <f>FLN!AO50</f>
        <v>0</v>
      </c>
      <c r="AX50" s="816">
        <f>FLN!AP50</f>
        <v>0</v>
      </c>
      <c r="AY50" s="816">
        <f>FLN!AQ50</f>
        <v>0</v>
      </c>
      <c r="AZ50" s="823" t="str">
        <f t="shared" si="7"/>
        <v>479</v>
      </c>
      <c r="BA50" s="816">
        <f>FLN!AR50</f>
        <v>0</v>
      </c>
      <c r="BB50" s="816">
        <f>FLN!AS50</f>
        <v>0</v>
      </c>
      <c r="BC50" s="816">
        <f>FLN!AT50</f>
        <v>0</v>
      </c>
      <c r="BD50" s="816">
        <f>FLN!AU50</f>
        <v>0</v>
      </c>
      <c r="BE50" s="823" t="str">
        <f t="shared" si="8"/>
        <v>4710</v>
      </c>
      <c r="BF50" s="816">
        <f>FLN!AV50</f>
        <v>0</v>
      </c>
      <c r="BG50" s="816">
        <f>FLN!AW50</f>
        <v>0</v>
      </c>
      <c r="BH50" s="816">
        <f>FLN!AX50</f>
        <v>0</v>
      </c>
      <c r="BI50" s="816">
        <f>FLN!AY50</f>
        <v>0</v>
      </c>
      <c r="BJ50" s="823" t="str">
        <f t="shared" si="9"/>
        <v>4711</v>
      </c>
      <c r="BK50" s="816">
        <f>FLN!AZ50</f>
        <v>0</v>
      </c>
      <c r="BL50" s="816">
        <f>FLN!BA50</f>
        <v>0</v>
      </c>
      <c r="BM50" s="816">
        <f>FLN!BB50</f>
        <v>0</v>
      </c>
      <c r="BN50" s="816">
        <f>FLN!BC50</f>
        <v>0</v>
      </c>
      <c r="BO50" s="823" t="str">
        <f t="shared" si="10"/>
        <v>4712</v>
      </c>
      <c r="BP50" s="816">
        <f>FLN!BD50</f>
        <v>0</v>
      </c>
      <c r="BQ50" s="816">
        <f>FLN!BE50</f>
        <v>0</v>
      </c>
      <c r="BR50" s="816">
        <f>FLN!BF50</f>
        <v>0</v>
      </c>
      <c r="BS50" s="816">
        <f>FLN!BG50</f>
        <v>0</v>
      </c>
      <c r="BT50" s="823" t="str">
        <f t="shared" si="11"/>
        <v>4713</v>
      </c>
      <c r="BU50" s="816">
        <f>FLN!BH50</f>
        <v>0</v>
      </c>
      <c r="BV50" s="816">
        <f>FLN!BI50</f>
        <v>0</v>
      </c>
      <c r="BW50" s="816">
        <f>FLN!BJ50</f>
        <v>0</v>
      </c>
      <c r="BX50" s="816">
        <f>FLN!BK50</f>
        <v>0</v>
      </c>
      <c r="BY50" s="823" t="str">
        <f t="shared" si="12"/>
        <v>4714</v>
      </c>
      <c r="BZ50" s="816">
        <f>FLN!BL50</f>
        <v>0</v>
      </c>
      <c r="CA50" s="816">
        <f>FLN!BM50</f>
        <v>0</v>
      </c>
      <c r="CB50" s="816">
        <f>FLN!BN50</f>
        <v>0</v>
      </c>
      <c r="CC50" s="816">
        <f>FLN!BO50</f>
        <v>0</v>
      </c>
      <c r="CD50" s="823" t="str">
        <f t="shared" si="13"/>
        <v>4715</v>
      </c>
      <c r="CE50" s="816">
        <f>FLN!BP50</f>
        <v>0</v>
      </c>
      <c r="CF50" s="816">
        <f>FLN!BQ50</f>
        <v>0</v>
      </c>
      <c r="CG50" s="816">
        <f>FLN!BR50</f>
        <v>0</v>
      </c>
      <c r="CH50" s="816">
        <f>FLN!BS50</f>
        <v>0</v>
      </c>
      <c r="CI50" s="823" t="str">
        <f t="shared" si="14"/>
        <v>4716</v>
      </c>
      <c r="CJ50" s="816">
        <f>FLN!BT50</f>
        <v>0</v>
      </c>
      <c r="CK50" s="816">
        <f>FLN!BU50</f>
        <v>0</v>
      </c>
      <c r="CL50" s="816">
        <f>FLN!BV50</f>
        <v>0</v>
      </c>
      <c r="CM50" s="816">
        <f>FLN!BW50</f>
        <v>0</v>
      </c>
      <c r="CN50" s="823" t="str">
        <f t="shared" si="15"/>
        <v>4717</v>
      </c>
      <c r="CO50" s="816">
        <f>FLN!BX50</f>
        <v>0</v>
      </c>
      <c r="CP50" s="816">
        <f>FLN!BY50</f>
        <v>0</v>
      </c>
      <c r="CQ50" s="816">
        <f>FLN!BZ50</f>
        <v>0</v>
      </c>
      <c r="CR50" s="816">
        <f>FLN!CA50</f>
        <v>0</v>
      </c>
      <c r="CS50" s="823" t="str">
        <f t="shared" si="16"/>
        <v>4718</v>
      </c>
      <c r="CT50" s="816">
        <f>FLN!CB50</f>
        <v>0</v>
      </c>
      <c r="CU50" s="816">
        <f>FLN!CC50</f>
        <v>0</v>
      </c>
      <c r="CV50" s="816">
        <f>FLN!CD50</f>
        <v>0</v>
      </c>
      <c r="CW50" s="816">
        <f>FLN!CE50</f>
        <v>0</v>
      </c>
      <c r="CX50" s="823" t="str">
        <f t="shared" si="17"/>
        <v>4719</v>
      </c>
      <c r="CY50" s="816">
        <f>FLN!CF50</f>
        <v>0</v>
      </c>
      <c r="CZ50" s="816">
        <f>FLN!CG50</f>
        <v>0</v>
      </c>
      <c r="DA50" s="816">
        <f>FLN!CH50</f>
        <v>0</v>
      </c>
      <c r="DB50" s="816">
        <f>FLN!CI50</f>
        <v>0</v>
      </c>
      <c r="DC50" s="823" t="str">
        <f t="shared" si="18"/>
        <v>4720</v>
      </c>
      <c r="DD50" s="816">
        <f>FLN!CJ50</f>
        <v>0</v>
      </c>
      <c r="DE50" s="816">
        <f>FLN!CK50</f>
        <v>0</v>
      </c>
      <c r="DF50" s="816">
        <f>FLN!CL50</f>
        <v>0</v>
      </c>
      <c r="DG50" s="816">
        <f>FLN!CM50</f>
        <v>0</v>
      </c>
      <c r="DH50" s="823" t="str">
        <f t="shared" si="19"/>
        <v>4721</v>
      </c>
      <c r="DI50" s="816">
        <f>FLN!CN50</f>
        <v>0</v>
      </c>
      <c r="DJ50" s="816">
        <f>FLN!CO50</f>
        <v>0</v>
      </c>
      <c r="DK50" s="816">
        <f>FLN!CP50</f>
        <v>0</v>
      </c>
      <c r="DL50" s="816">
        <f>FLN!CQ50</f>
        <v>0</v>
      </c>
      <c r="DM50" s="823" t="str">
        <f t="shared" si="20"/>
        <v>4722</v>
      </c>
      <c r="DN50" s="816">
        <f>FLN!CR50</f>
        <v>0</v>
      </c>
      <c r="DO50" s="816">
        <f>FLN!CS50</f>
        <v>0</v>
      </c>
      <c r="DP50" s="816">
        <f>FLN!CT50</f>
        <v>0</v>
      </c>
      <c r="DQ50" s="816">
        <f>FLN!CU50</f>
        <v>0</v>
      </c>
      <c r="DR50" s="823" t="str">
        <f t="shared" si="21"/>
        <v>4723</v>
      </c>
      <c r="DS50" s="816">
        <f>FLN!CV50</f>
        <v>0</v>
      </c>
      <c r="DT50" s="816">
        <f>FLN!CW50</f>
        <v>0</v>
      </c>
      <c r="DU50" s="816">
        <f>FLN!CX50</f>
        <v>0</v>
      </c>
      <c r="DV50" s="816">
        <f>FLN!CY50</f>
        <v>0</v>
      </c>
      <c r="DW50" s="823" t="str">
        <f t="shared" si="22"/>
        <v>4724</v>
      </c>
      <c r="DX50" s="816">
        <f>FLN!CZ50</f>
        <v>0</v>
      </c>
      <c r="DY50" s="816">
        <f>FLN!DA50</f>
        <v>0</v>
      </c>
      <c r="DZ50" s="816">
        <f>FLN!DB50</f>
        <v>0</v>
      </c>
      <c r="EA50" s="816">
        <f>FLN!DC50</f>
        <v>0</v>
      </c>
      <c r="EB50" s="823" t="str">
        <f t="shared" si="23"/>
        <v>4725</v>
      </c>
      <c r="EC50" s="816">
        <f>FLN!DD50</f>
        <v>0</v>
      </c>
      <c r="ED50" s="816">
        <f>FLN!DE50</f>
        <v>0</v>
      </c>
      <c r="EE50" s="816">
        <f>FLN!DF50</f>
        <v>0</v>
      </c>
      <c r="EF50" s="816">
        <f>FLN!DG50</f>
        <v>0</v>
      </c>
    </row>
    <row r="51" spans="1:136">
      <c r="A51" s="824">
        <v>48</v>
      </c>
      <c r="B51" s="824">
        <f>STUDENT!F49</f>
        <v>0</v>
      </c>
      <c r="C51" s="824">
        <f>STUDENT!D49</f>
        <v>0</v>
      </c>
      <c r="D51" s="827">
        <f>STUDENT!E49</f>
        <v>0</v>
      </c>
      <c r="E51" s="827">
        <f>STUDENT!H49</f>
        <v>0</v>
      </c>
      <c r="F51" s="828">
        <f>FLN!F51</f>
        <v>0</v>
      </c>
      <c r="G51" s="828">
        <f>FLN!G51</f>
        <v>0</v>
      </c>
      <c r="H51" s="828">
        <f>FLN!H51</f>
        <v>0</v>
      </c>
      <c r="I51" s="824" t="str">
        <f>FLN!I51</f>
        <v/>
      </c>
      <c r="J51" s="824" t="str">
        <f>FLN!J51</f>
        <v/>
      </c>
      <c r="K51" s="824" t="str">
        <f>FLN!K51</f>
        <v/>
      </c>
      <c r="L51" s="823" t="str">
        <f t="shared" si="24"/>
        <v>481</v>
      </c>
      <c r="M51" s="816">
        <f>FLN!L51</f>
        <v>0</v>
      </c>
      <c r="N51" s="816">
        <f>FLN!M51</f>
        <v>0</v>
      </c>
      <c r="O51" s="816">
        <f>FLN!N51</f>
        <v>0</v>
      </c>
      <c r="P51" s="816">
        <f>FLN!O51</f>
        <v>0</v>
      </c>
      <c r="Q51" s="823" t="str">
        <f t="shared" si="0"/>
        <v>482</v>
      </c>
      <c r="R51" s="816">
        <f>FLN!P51</f>
        <v>0</v>
      </c>
      <c r="S51" s="816">
        <f>FLN!Q51</f>
        <v>0</v>
      </c>
      <c r="T51" s="816">
        <f>FLN!R51</f>
        <v>0</v>
      </c>
      <c r="U51" s="816">
        <f>FLN!S51</f>
        <v>0</v>
      </c>
      <c r="V51" s="823" t="str">
        <f t="shared" si="1"/>
        <v>483</v>
      </c>
      <c r="W51" s="816">
        <f>FLN!T51</f>
        <v>0</v>
      </c>
      <c r="X51" s="816">
        <f>FLN!U51</f>
        <v>0</v>
      </c>
      <c r="Y51" s="816">
        <f>FLN!V51</f>
        <v>0</v>
      </c>
      <c r="Z51" s="816">
        <f>FLN!W51</f>
        <v>0</v>
      </c>
      <c r="AA51" s="823" t="str">
        <f t="shared" si="2"/>
        <v>484</v>
      </c>
      <c r="AB51" s="816">
        <f>FLN!X51</f>
        <v>0</v>
      </c>
      <c r="AC51" s="816">
        <f>FLN!Y51</f>
        <v>0</v>
      </c>
      <c r="AD51" s="816">
        <f>FLN!Z51</f>
        <v>0</v>
      </c>
      <c r="AE51" s="816">
        <f>FLN!AA51</f>
        <v>0</v>
      </c>
      <c r="AF51" s="823" t="str">
        <f t="shared" si="3"/>
        <v>485</v>
      </c>
      <c r="AG51" s="816">
        <f>FLN!AB51</f>
        <v>0</v>
      </c>
      <c r="AH51" s="816">
        <f>FLN!AC51</f>
        <v>0</v>
      </c>
      <c r="AI51" s="816">
        <f>FLN!AD51</f>
        <v>0</v>
      </c>
      <c r="AJ51" s="816">
        <f>FLN!AE51</f>
        <v>0</v>
      </c>
      <c r="AK51" s="823" t="str">
        <f t="shared" si="4"/>
        <v>486</v>
      </c>
      <c r="AL51" s="816">
        <f>FLN!AF51</f>
        <v>0</v>
      </c>
      <c r="AM51" s="816">
        <f>FLN!AG51</f>
        <v>0</v>
      </c>
      <c r="AN51" s="816">
        <f>FLN!AH51</f>
        <v>0</v>
      </c>
      <c r="AO51" s="816">
        <f>FLN!AI51</f>
        <v>0</v>
      </c>
      <c r="AP51" s="823" t="str">
        <f t="shared" si="5"/>
        <v>487</v>
      </c>
      <c r="AQ51" s="816">
        <f>FLN!AJ51</f>
        <v>0</v>
      </c>
      <c r="AR51" s="816">
        <f>FLN!AK51</f>
        <v>0</v>
      </c>
      <c r="AS51" s="816">
        <f>FLN!AL51</f>
        <v>0</v>
      </c>
      <c r="AT51" s="816">
        <f>FLN!AM51</f>
        <v>0</v>
      </c>
      <c r="AU51" s="823" t="str">
        <f t="shared" si="6"/>
        <v>488</v>
      </c>
      <c r="AV51" s="816">
        <f>FLN!AN51</f>
        <v>0</v>
      </c>
      <c r="AW51" s="816">
        <f>FLN!AO51</f>
        <v>0</v>
      </c>
      <c r="AX51" s="816">
        <f>FLN!AP51</f>
        <v>0</v>
      </c>
      <c r="AY51" s="816">
        <f>FLN!AQ51</f>
        <v>0</v>
      </c>
      <c r="AZ51" s="823" t="str">
        <f t="shared" si="7"/>
        <v>489</v>
      </c>
      <c r="BA51" s="816">
        <f>FLN!AR51</f>
        <v>0</v>
      </c>
      <c r="BB51" s="816">
        <f>FLN!AS51</f>
        <v>0</v>
      </c>
      <c r="BC51" s="816">
        <f>FLN!AT51</f>
        <v>0</v>
      </c>
      <c r="BD51" s="816">
        <f>FLN!AU51</f>
        <v>0</v>
      </c>
      <c r="BE51" s="823" t="str">
        <f t="shared" si="8"/>
        <v>4810</v>
      </c>
      <c r="BF51" s="816">
        <f>FLN!AV51</f>
        <v>0</v>
      </c>
      <c r="BG51" s="816">
        <f>FLN!AW51</f>
        <v>0</v>
      </c>
      <c r="BH51" s="816">
        <f>FLN!AX51</f>
        <v>0</v>
      </c>
      <c r="BI51" s="816">
        <f>FLN!AY51</f>
        <v>0</v>
      </c>
      <c r="BJ51" s="823" t="str">
        <f t="shared" si="9"/>
        <v>4811</v>
      </c>
      <c r="BK51" s="816">
        <f>FLN!AZ51</f>
        <v>0</v>
      </c>
      <c r="BL51" s="816">
        <f>FLN!BA51</f>
        <v>0</v>
      </c>
      <c r="BM51" s="816">
        <f>FLN!BB51</f>
        <v>0</v>
      </c>
      <c r="BN51" s="816">
        <f>FLN!BC51</f>
        <v>0</v>
      </c>
      <c r="BO51" s="823" t="str">
        <f t="shared" si="10"/>
        <v>4812</v>
      </c>
      <c r="BP51" s="816">
        <f>FLN!BD51</f>
        <v>0</v>
      </c>
      <c r="BQ51" s="816">
        <f>FLN!BE51</f>
        <v>0</v>
      </c>
      <c r="BR51" s="816">
        <f>FLN!BF51</f>
        <v>0</v>
      </c>
      <c r="BS51" s="816">
        <f>FLN!BG51</f>
        <v>0</v>
      </c>
      <c r="BT51" s="823" t="str">
        <f t="shared" si="11"/>
        <v>4813</v>
      </c>
      <c r="BU51" s="816">
        <f>FLN!BH51</f>
        <v>0</v>
      </c>
      <c r="BV51" s="816">
        <f>FLN!BI51</f>
        <v>0</v>
      </c>
      <c r="BW51" s="816">
        <f>FLN!BJ51</f>
        <v>0</v>
      </c>
      <c r="BX51" s="816">
        <f>FLN!BK51</f>
        <v>0</v>
      </c>
      <c r="BY51" s="823" t="str">
        <f t="shared" si="12"/>
        <v>4814</v>
      </c>
      <c r="BZ51" s="816">
        <f>FLN!BL51</f>
        <v>0</v>
      </c>
      <c r="CA51" s="816">
        <f>FLN!BM51</f>
        <v>0</v>
      </c>
      <c r="CB51" s="816">
        <f>FLN!BN51</f>
        <v>0</v>
      </c>
      <c r="CC51" s="816">
        <f>FLN!BO51</f>
        <v>0</v>
      </c>
      <c r="CD51" s="823" t="str">
        <f t="shared" si="13"/>
        <v>4815</v>
      </c>
      <c r="CE51" s="816">
        <f>FLN!BP51</f>
        <v>0</v>
      </c>
      <c r="CF51" s="816">
        <f>FLN!BQ51</f>
        <v>0</v>
      </c>
      <c r="CG51" s="816">
        <f>FLN!BR51</f>
        <v>0</v>
      </c>
      <c r="CH51" s="816">
        <f>FLN!BS51</f>
        <v>0</v>
      </c>
      <c r="CI51" s="823" t="str">
        <f t="shared" si="14"/>
        <v>4816</v>
      </c>
      <c r="CJ51" s="816">
        <f>FLN!BT51</f>
        <v>0</v>
      </c>
      <c r="CK51" s="816">
        <f>FLN!BU51</f>
        <v>0</v>
      </c>
      <c r="CL51" s="816">
        <f>FLN!BV51</f>
        <v>0</v>
      </c>
      <c r="CM51" s="816">
        <f>FLN!BW51</f>
        <v>0</v>
      </c>
      <c r="CN51" s="823" t="str">
        <f t="shared" si="15"/>
        <v>4817</v>
      </c>
      <c r="CO51" s="816">
        <f>FLN!BX51</f>
        <v>0</v>
      </c>
      <c r="CP51" s="816">
        <f>FLN!BY51</f>
        <v>0</v>
      </c>
      <c r="CQ51" s="816">
        <f>FLN!BZ51</f>
        <v>0</v>
      </c>
      <c r="CR51" s="816">
        <f>FLN!CA51</f>
        <v>0</v>
      </c>
      <c r="CS51" s="823" t="str">
        <f t="shared" si="16"/>
        <v>4818</v>
      </c>
      <c r="CT51" s="816">
        <f>FLN!CB51</f>
        <v>0</v>
      </c>
      <c r="CU51" s="816">
        <f>FLN!CC51</f>
        <v>0</v>
      </c>
      <c r="CV51" s="816">
        <f>FLN!CD51</f>
        <v>0</v>
      </c>
      <c r="CW51" s="816">
        <f>FLN!CE51</f>
        <v>0</v>
      </c>
      <c r="CX51" s="823" t="str">
        <f t="shared" si="17"/>
        <v>4819</v>
      </c>
      <c r="CY51" s="816">
        <f>FLN!CF51</f>
        <v>0</v>
      </c>
      <c r="CZ51" s="816">
        <f>FLN!CG51</f>
        <v>0</v>
      </c>
      <c r="DA51" s="816">
        <f>FLN!CH51</f>
        <v>0</v>
      </c>
      <c r="DB51" s="816">
        <f>FLN!CI51</f>
        <v>0</v>
      </c>
      <c r="DC51" s="823" t="str">
        <f t="shared" si="18"/>
        <v>4820</v>
      </c>
      <c r="DD51" s="816">
        <f>FLN!CJ51</f>
        <v>0</v>
      </c>
      <c r="DE51" s="816">
        <f>FLN!CK51</f>
        <v>0</v>
      </c>
      <c r="DF51" s="816">
        <f>FLN!CL51</f>
        <v>0</v>
      </c>
      <c r="DG51" s="816">
        <f>FLN!CM51</f>
        <v>0</v>
      </c>
      <c r="DH51" s="823" t="str">
        <f t="shared" si="19"/>
        <v>4821</v>
      </c>
      <c r="DI51" s="816">
        <f>FLN!CN51</f>
        <v>0</v>
      </c>
      <c r="DJ51" s="816">
        <f>FLN!CO51</f>
        <v>0</v>
      </c>
      <c r="DK51" s="816">
        <f>FLN!CP51</f>
        <v>0</v>
      </c>
      <c r="DL51" s="816">
        <f>FLN!CQ51</f>
        <v>0</v>
      </c>
      <c r="DM51" s="823" t="str">
        <f t="shared" si="20"/>
        <v>4822</v>
      </c>
      <c r="DN51" s="816">
        <f>FLN!CR51</f>
        <v>0</v>
      </c>
      <c r="DO51" s="816">
        <f>FLN!CS51</f>
        <v>0</v>
      </c>
      <c r="DP51" s="816">
        <f>FLN!CT51</f>
        <v>0</v>
      </c>
      <c r="DQ51" s="816">
        <f>FLN!CU51</f>
        <v>0</v>
      </c>
      <c r="DR51" s="823" t="str">
        <f t="shared" si="21"/>
        <v>4823</v>
      </c>
      <c r="DS51" s="816">
        <f>FLN!CV51</f>
        <v>0</v>
      </c>
      <c r="DT51" s="816">
        <f>FLN!CW51</f>
        <v>0</v>
      </c>
      <c r="DU51" s="816">
        <f>FLN!CX51</f>
        <v>0</v>
      </c>
      <c r="DV51" s="816">
        <f>FLN!CY51</f>
        <v>0</v>
      </c>
      <c r="DW51" s="823" t="str">
        <f t="shared" si="22"/>
        <v>4824</v>
      </c>
      <c r="DX51" s="816">
        <f>FLN!CZ51</f>
        <v>0</v>
      </c>
      <c r="DY51" s="816">
        <f>FLN!DA51</f>
        <v>0</v>
      </c>
      <c r="DZ51" s="816">
        <f>FLN!DB51</f>
        <v>0</v>
      </c>
      <c r="EA51" s="816">
        <f>FLN!DC51</f>
        <v>0</v>
      </c>
      <c r="EB51" s="823" t="str">
        <f t="shared" si="23"/>
        <v>4825</v>
      </c>
      <c r="EC51" s="816">
        <f>FLN!DD51</f>
        <v>0</v>
      </c>
      <c r="ED51" s="816">
        <f>FLN!DE51</f>
        <v>0</v>
      </c>
      <c r="EE51" s="816">
        <f>FLN!DF51</f>
        <v>0</v>
      </c>
      <c r="EF51" s="816">
        <f>FLN!DG51</f>
        <v>0</v>
      </c>
    </row>
    <row r="52" spans="1:136">
      <c r="A52" s="824">
        <v>49</v>
      </c>
      <c r="B52" s="824">
        <f>STUDENT!F50</f>
        <v>0</v>
      </c>
      <c r="C52" s="824">
        <f>STUDENT!D50</f>
        <v>0</v>
      </c>
      <c r="D52" s="827">
        <f>STUDENT!E50</f>
        <v>0</v>
      </c>
      <c r="E52" s="827">
        <f>STUDENT!H50</f>
        <v>0</v>
      </c>
      <c r="F52" s="828">
        <f>FLN!F52</f>
        <v>0</v>
      </c>
      <c r="G52" s="828">
        <f>FLN!G52</f>
        <v>0</v>
      </c>
      <c r="H52" s="828">
        <f>FLN!H52</f>
        <v>0</v>
      </c>
      <c r="I52" s="824" t="str">
        <f>FLN!I52</f>
        <v/>
      </c>
      <c r="J52" s="824" t="str">
        <f>FLN!J52</f>
        <v/>
      </c>
      <c r="K52" s="824" t="str">
        <f>FLN!K52</f>
        <v/>
      </c>
      <c r="L52" s="823" t="str">
        <f t="shared" si="24"/>
        <v>491</v>
      </c>
      <c r="M52" s="816">
        <f>FLN!L52</f>
        <v>0</v>
      </c>
      <c r="N52" s="816">
        <f>FLN!M52</f>
        <v>0</v>
      </c>
      <c r="O52" s="816">
        <f>FLN!N52</f>
        <v>0</v>
      </c>
      <c r="P52" s="816">
        <f>FLN!O52</f>
        <v>0</v>
      </c>
      <c r="Q52" s="823" t="str">
        <f t="shared" si="0"/>
        <v>492</v>
      </c>
      <c r="R52" s="816">
        <f>FLN!P52</f>
        <v>0</v>
      </c>
      <c r="S52" s="816">
        <f>FLN!Q52</f>
        <v>0</v>
      </c>
      <c r="T52" s="816">
        <f>FLN!R52</f>
        <v>0</v>
      </c>
      <c r="U52" s="816">
        <f>FLN!S52</f>
        <v>0</v>
      </c>
      <c r="V52" s="823" t="str">
        <f t="shared" si="1"/>
        <v>493</v>
      </c>
      <c r="W52" s="816">
        <f>FLN!T52</f>
        <v>0</v>
      </c>
      <c r="X52" s="816">
        <f>FLN!U52</f>
        <v>0</v>
      </c>
      <c r="Y52" s="816">
        <f>FLN!V52</f>
        <v>0</v>
      </c>
      <c r="Z52" s="816">
        <f>FLN!W52</f>
        <v>0</v>
      </c>
      <c r="AA52" s="823" t="str">
        <f t="shared" si="2"/>
        <v>494</v>
      </c>
      <c r="AB52" s="816">
        <f>FLN!X52</f>
        <v>0</v>
      </c>
      <c r="AC52" s="816">
        <f>FLN!Y52</f>
        <v>0</v>
      </c>
      <c r="AD52" s="816">
        <f>FLN!Z52</f>
        <v>0</v>
      </c>
      <c r="AE52" s="816">
        <f>FLN!AA52</f>
        <v>0</v>
      </c>
      <c r="AF52" s="823" t="str">
        <f t="shared" si="3"/>
        <v>495</v>
      </c>
      <c r="AG52" s="816">
        <f>FLN!AB52</f>
        <v>0</v>
      </c>
      <c r="AH52" s="816">
        <f>FLN!AC52</f>
        <v>0</v>
      </c>
      <c r="AI52" s="816">
        <f>FLN!AD52</f>
        <v>0</v>
      </c>
      <c r="AJ52" s="816">
        <f>FLN!AE52</f>
        <v>0</v>
      </c>
      <c r="AK52" s="823" t="str">
        <f t="shared" si="4"/>
        <v>496</v>
      </c>
      <c r="AL52" s="816">
        <f>FLN!AF52</f>
        <v>0</v>
      </c>
      <c r="AM52" s="816">
        <f>FLN!AG52</f>
        <v>0</v>
      </c>
      <c r="AN52" s="816">
        <f>FLN!AH52</f>
        <v>0</v>
      </c>
      <c r="AO52" s="816">
        <f>FLN!AI52</f>
        <v>0</v>
      </c>
      <c r="AP52" s="823" t="str">
        <f t="shared" si="5"/>
        <v>497</v>
      </c>
      <c r="AQ52" s="816">
        <f>FLN!AJ52</f>
        <v>0</v>
      </c>
      <c r="AR52" s="816">
        <f>FLN!AK52</f>
        <v>0</v>
      </c>
      <c r="AS52" s="816">
        <f>FLN!AL52</f>
        <v>0</v>
      </c>
      <c r="AT52" s="816">
        <f>FLN!AM52</f>
        <v>0</v>
      </c>
      <c r="AU52" s="823" t="str">
        <f t="shared" si="6"/>
        <v>498</v>
      </c>
      <c r="AV52" s="816">
        <f>FLN!AN52</f>
        <v>0</v>
      </c>
      <c r="AW52" s="816">
        <f>FLN!AO52</f>
        <v>0</v>
      </c>
      <c r="AX52" s="816">
        <f>FLN!AP52</f>
        <v>0</v>
      </c>
      <c r="AY52" s="816">
        <f>FLN!AQ52</f>
        <v>0</v>
      </c>
      <c r="AZ52" s="823" t="str">
        <f t="shared" si="7"/>
        <v>499</v>
      </c>
      <c r="BA52" s="816">
        <f>FLN!AR52</f>
        <v>0</v>
      </c>
      <c r="BB52" s="816">
        <f>FLN!AS52</f>
        <v>0</v>
      </c>
      <c r="BC52" s="816">
        <f>FLN!AT52</f>
        <v>0</v>
      </c>
      <c r="BD52" s="816">
        <f>FLN!AU52</f>
        <v>0</v>
      </c>
      <c r="BE52" s="823" t="str">
        <f t="shared" si="8"/>
        <v>4910</v>
      </c>
      <c r="BF52" s="816">
        <f>FLN!AV52</f>
        <v>0</v>
      </c>
      <c r="BG52" s="816">
        <f>FLN!AW52</f>
        <v>0</v>
      </c>
      <c r="BH52" s="816">
        <f>FLN!AX52</f>
        <v>0</v>
      </c>
      <c r="BI52" s="816">
        <f>FLN!AY52</f>
        <v>0</v>
      </c>
      <c r="BJ52" s="823" t="str">
        <f t="shared" si="9"/>
        <v>4911</v>
      </c>
      <c r="BK52" s="816">
        <f>FLN!AZ52</f>
        <v>0</v>
      </c>
      <c r="BL52" s="816">
        <f>FLN!BA52</f>
        <v>0</v>
      </c>
      <c r="BM52" s="816">
        <f>FLN!BB52</f>
        <v>0</v>
      </c>
      <c r="BN52" s="816">
        <f>FLN!BC52</f>
        <v>0</v>
      </c>
      <c r="BO52" s="823" t="str">
        <f t="shared" si="10"/>
        <v>4912</v>
      </c>
      <c r="BP52" s="816">
        <f>FLN!BD52</f>
        <v>0</v>
      </c>
      <c r="BQ52" s="816">
        <f>FLN!BE52</f>
        <v>0</v>
      </c>
      <c r="BR52" s="816">
        <f>FLN!BF52</f>
        <v>0</v>
      </c>
      <c r="BS52" s="816">
        <f>FLN!BG52</f>
        <v>0</v>
      </c>
      <c r="BT52" s="823" t="str">
        <f t="shared" si="11"/>
        <v>4913</v>
      </c>
      <c r="BU52" s="816">
        <f>FLN!BH52</f>
        <v>0</v>
      </c>
      <c r="BV52" s="816">
        <f>FLN!BI52</f>
        <v>0</v>
      </c>
      <c r="BW52" s="816">
        <f>FLN!BJ52</f>
        <v>0</v>
      </c>
      <c r="BX52" s="816">
        <f>FLN!BK52</f>
        <v>0</v>
      </c>
      <c r="BY52" s="823" t="str">
        <f t="shared" si="12"/>
        <v>4914</v>
      </c>
      <c r="BZ52" s="816">
        <f>FLN!BL52</f>
        <v>0</v>
      </c>
      <c r="CA52" s="816">
        <f>FLN!BM52</f>
        <v>0</v>
      </c>
      <c r="CB52" s="816">
        <f>FLN!BN52</f>
        <v>0</v>
      </c>
      <c r="CC52" s="816">
        <f>FLN!BO52</f>
        <v>0</v>
      </c>
      <c r="CD52" s="823" t="str">
        <f t="shared" si="13"/>
        <v>4915</v>
      </c>
      <c r="CE52" s="816">
        <f>FLN!BP52</f>
        <v>0</v>
      </c>
      <c r="CF52" s="816">
        <f>FLN!BQ52</f>
        <v>0</v>
      </c>
      <c r="CG52" s="816">
        <f>FLN!BR52</f>
        <v>0</v>
      </c>
      <c r="CH52" s="816">
        <f>FLN!BS52</f>
        <v>0</v>
      </c>
      <c r="CI52" s="823" t="str">
        <f t="shared" si="14"/>
        <v>4916</v>
      </c>
      <c r="CJ52" s="816">
        <f>FLN!BT52</f>
        <v>0</v>
      </c>
      <c r="CK52" s="816">
        <f>FLN!BU52</f>
        <v>0</v>
      </c>
      <c r="CL52" s="816">
        <f>FLN!BV52</f>
        <v>0</v>
      </c>
      <c r="CM52" s="816">
        <f>FLN!BW52</f>
        <v>0</v>
      </c>
      <c r="CN52" s="823" t="str">
        <f t="shared" si="15"/>
        <v>4917</v>
      </c>
      <c r="CO52" s="816">
        <f>FLN!BX52</f>
        <v>0</v>
      </c>
      <c r="CP52" s="816">
        <f>FLN!BY52</f>
        <v>0</v>
      </c>
      <c r="CQ52" s="816">
        <f>FLN!BZ52</f>
        <v>0</v>
      </c>
      <c r="CR52" s="816">
        <f>FLN!CA52</f>
        <v>0</v>
      </c>
      <c r="CS52" s="823" t="str">
        <f t="shared" si="16"/>
        <v>4918</v>
      </c>
      <c r="CT52" s="816">
        <f>FLN!CB52</f>
        <v>0</v>
      </c>
      <c r="CU52" s="816">
        <f>FLN!CC52</f>
        <v>0</v>
      </c>
      <c r="CV52" s="816">
        <f>FLN!CD52</f>
        <v>0</v>
      </c>
      <c r="CW52" s="816">
        <f>FLN!CE52</f>
        <v>0</v>
      </c>
      <c r="CX52" s="823" t="str">
        <f t="shared" si="17"/>
        <v>4919</v>
      </c>
      <c r="CY52" s="816">
        <f>FLN!CF52</f>
        <v>0</v>
      </c>
      <c r="CZ52" s="816">
        <f>FLN!CG52</f>
        <v>0</v>
      </c>
      <c r="DA52" s="816">
        <f>FLN!CH52</f>
        <v>0</v>
      </c>
      <c r="DB52" s="816">
        <f>FLN!CI52</f>
        <v>0</v>
      </c>
      <c r="DC52" s="823" t="str">
        <f t="shared" si="18"/>
        <v>4920</v>
      </c>
      <c r="DD52" s="816">
        <f>FLN!CJ52</f>
        <v>0</v>
      </c>
      <c r="DE52" s="816">
        <f>FLN!CK52</f>
        <v>0</v>
      </c>
      <c r="DF52" s="816">
        <f>FLN!CL52</f>
        <v>0</v>
      </c>
      <c r="DG52" s="816">
        <f>FLN!CM52</f>
        <v>0</v>
      </c>
      <c r="DH52" s="823" t="str">
        <f t="shared" si="19"/>
        <v>4921</v>
      </c>
      <c r="DI52" s="816">
        <f>FLN!CN52</f>
        <v>0</v>
      </c>
      <c r="DJ52" s="816">
        <f>FLN!CO52</f>
        <v>0</v>
      </c>
      <c r="DK52" s="816">
        <f>FLN!CP52</f>
        <v>0</v>
      </c>
      <c r="DL52" s="816">
        <f>FLN!CQ52</f>
        <v>0</v>
      </c>
      <c r="DM52" s="823" t="str">
        <f t="shared" si="20"/>
        <v>4922</v>
      </c>
      <c r="DN52" s="816">
        <f>FLN!CR52</f>
        <v>0</v>
      </c>
      <c r="DO52" s="816">
        <f>FLN!CS52</f>
        <v>0</v>
      </c>
      <c r="DP52" s="816">
        <f>FLN!CT52</f>
        <v>0</v>
      </c>
      <c r="DQ52" s="816">
        <f>FLN!CU52</f>
        <v>0</v>
      </c>
      <c r="DR52" s="823" t="str">
        <f t="shared" si="21"/>
        <v>4923</v>
      </c>
      <c r="DS52" s="816">
        <f>FLN!CV52</f>
        <v>0</v>
      </c>
      <c r="DT52" s="816">
        <f>FLN!CW52</f>
        <v>0</v>
      </c>
      <c r="DU52" s="816">
        <f>FLN!CX52</f>
        <v>0</v>
      </c>
      <c r="DV52" s="816">
        <f>FLN!CY52</f>
        <v>0</v>
      </c>
      <c r="DW52" s="823" t="str">
        <f t="shared" si="22"/>
        <v>4924</v>
      </c>
      <c r="DX52" s="816">
        <f>FLN!CZ52</f>
        <v>0</v>
      </c>
      <c r="DY52" s="816">
        <f>FLN!DA52</f>
        <v>0</v>
      </c>
      <c r="DZ52" s="816">
        <f>FLN!DB52</f>
        <v>0</v>
      </c>
      <c r="EA52" s="816">
        <f>FLN!DC52</f>
        <v>0</v>
      </c>
      <c r="EB52" s="823" t="str">
        <f t="shared" si="23"/>
        <v>4925</v>
      </c>
      <c r="EC52" s="816">
        <f>FLN!DD52</f>
        <v>0</v>
      </c>
      <c r="ED52" s="816">
        <f>FLN!DE52</f>
        <v>0</v>
      </c>
      <c r="EE52" s="816">
        <f>FLN!DF52</f>
        <v>0</v>
      </c>
      <c r="EF52" s="816">
        <f>FLN!DG52</f>
        <v>0</v>
      </c>
    </row>
    <row r="53" spans="1:136">
      <c r="A53" s="824">
        <v>50</v>
      </c>
      <c r="B53" s="824">
        <f>STUDENT!F51</f>
        <v>0</v>
      </c>
      <c r="C53" s="824">
        <f>STUDENT!D51</f>
        <v>0</v>
      </c>
      <c r="D53" s="827">
        <f>STUDENT!E51</f>
        <v>0</v>
      </c>
      <c r="E53" s="827">
        <f>STUDENT!H51</f>
        <v>0</v>
      </c>
      <c r="F53" s="828">
        <f>FLN!F53</f>
        <v>0</v>
      </c>
      <c r="G53" s="828">
        <f>FLN!G53</f>
        <v>0</v>
      </c>
      <c r="H53" s="828">
        <f>FLN!H53</f>
        <v>0</v>
      </c>
      <c r="I53" s="824" t="str">
        <f>FLN!I53</f>
        <v/>
      </c>
      <c r="J53" s="824" t="str">
        <f>FLN!J53</f>
        <v/>
      </c>
      <c r="K53" s="824" t="str">
        <f>FLN!K53</f>
        <v/>
      </c>
      <c r="L53" s="823" t="str">
        <f t="shared" si="24"/>
        <v>501</v>
      </c>
      <c r="M53" s="816">
        <f>FLN!L53</f>
        <v>0</v>
      </c>
      <c r="N53" s="816">
        <f>FLN!M53</f>
        <v>0</v>
      </c>
      <c r="O53" s="816">
        <f>FLN!N53</f>
        <v>0</v>
      </c>
      <c r="P53" s="816">
        <f>FLN!O53</f>
        <v>0</v>
      </c>
      <c r="Q53" s="823" t="str">
        <f t="shared" si="0"/>
        <v>502</v>
      </c>
      <c r="R53" s="816">
        <f>FLN!P53</f>
        <v>0</v>
      </c>
      <c r="S53" s="816">
        <f>FLN!Q53</f>
        <v>0</v>
      </c>
      <c r="T53" s="816">
        <f>FLN!R53</f>
        <v>0</v>
      </c>
      <c r="U53" s="816">
        <f>FLN!S53</f>
        <v>0</v>
      </c>
      <c r="V53" s="823" t="str">
        <f t="shared" si="1"/>
        <v>503</v>
      </c>
      <c r="W53" s="816">
        <f>FLN!T53</f>
        <v>0</v>
      </c>
      <c r="X53" s="816">
        <f>FLN!U53</f>
        <v>0</v>
      </c>
      <c r="Y53" s="816">
        <f>FLN!V53</f>
        <v>0</v>
      </c>
      <c r="Z53" s="816">
        <f>FLN!W53</f>
        <v>0</v>
      </c>
      <c r="AA53" s="823" t="str">
        <f t="shared" si="2"/>
        <v>504</v>
      </c>
      <c r="AB53" s="816">
        <f>FLN!X53</f>
        <v>0</v>
      </c>
      <c r="AC53" s="816">
        <f>FLN!Y53</f>
        <v>0</v>
      </c>
      <c r="AD53" s="816">
        <f>FLN!Z53</f>
        <v>0</v>
      </c>
      <c r="AE53" s="816">
        <f>FLN!AA53</f>
        <v>0</v>
      </c>
      <c r="AF53" s="823" t="str">
        <f t="shared" si="3"/>
        <v>505</v>
      </c>
      <c r="AG53" s="816">
        <f>FLN!AB53</f>
        <v>0</v>
      </c>
      <c r="AH53" s="816">
        <f>FLN!AC53</f>
        <v>0</v>
      </c>
      <c r="AI53" s="816">
        <f>FLN!AD53</f>
        <v>0</v>
      </c>
      <c r="AJ53" s="816">
        <f>FLN!AE53</f>
        <v>0</v>
      </c>
      <c r="AK53" s="823" t="str">
        <f t="shared" si="4"/>
        <v>506</v>
      </c>
      <c r="AL53" s="816">
        <f>FLN!AF53</f>
        <v>0</v>
      </c>
      <c r="AM53" s="816">
        <f>FLN!AG53</f>
        <v>0</v>
      </c>
      <c r="AN53" s="816">
        <f>FLN!AH53</f>
        <v>0</v>
      </c>
      <c r="AO53" s="816">
        <f>FLN!AI53</f>
        <v>0</v>
      </c>
      <c r="AP53" s="823" t="str">
        <f t="shared" si="5"/>
        <v>507</v>
      </c>
      <c r="AQ53" s="816">
        <f>FLN!AJ53</f>
        <v>0</v>
      </c>
      <c r="AR53" s="816">
        <f>FLN!AK53</f>
        <v>0</v>
      </c>
      <c r="AS53" s="816">
        <f>FLN!AL53</f>
        <v>0</v>
      </c>
      <c r="AT53" s="816">
        <f>FLN!AM53</f>
        <v>0</v>
      </c>
      <c r="AU53" s="823" t="str">
        <f t="shared" si="6"/>
        <v>508</v>
      </c>
      <c r="AV53" s="816">
        <f>FLN!AN53</f>
        <v>0</v>
      </c>
      <c r="AW53" s="816">
        <f>FLN!AO53</f>
        <v>0</v>
      </c>
      <c r="AX53" s="816">
        <f>FLN!AP53</f>
        <v>0</v>
      </c>
      <c r="AY53" s="816">
        <f>FLN!AQ53</f>
        <v>0</v>
      </c>
      <c r="AZ53" s="823" t="str">
        <f t="shared" si="7"/>
        <v>509</v>
      </c>
      <c r="BA53" s="816">
        <f>FLN!AR53</f>
        <v>0</v>
      </c>
      <c r="BB53" s="816">
        <f>FLN!AS53</f>
        <v>0</v>
      </c>
      <c r="BC53" s="816">
        <f>FLN!AT53</f>
        <v>0</v>
      </c>
      <c r="BD53" s="816">
        <f>FLN!AU53</f>
        <v>0</v>
      </c>
      <c r="BE53" s="823" t="str">
        <f t="shared" si="8"/>
        <v>5010</v>
      </c>
      <c r="BF53" s="816">
        <f>FLN!AV53</f>
        <v>0</v>
      </c>
      <c r="BG53" s="816">
        <f>FLN!AW53</f>
        <v>0</v>
      </c>
      <c r="BH53" s="816">
        <f>FLN!AX53</f>
        <v>0</v>
      </c>
      <c r="BI53" s="816">
        <f>FLN!AY53</f>
        <v>0</v>
      </c>
      <c r="BJ53" s="823" t="str">
        <f t="shared" si="9"/>
        <v>5011</v>
      </c>
      <c r="BK53" s="816">
        <f>FLN!AZ53</f>
        <v>0</v>
      </c>
      <c r="BL53" s="816">
        <f>FLN!BA53</f>
        <v>0</v>
      </c>
      <c r="BM53" s="816">
        <f>FLN!BB53</f>
        <v>0</v>
      </c>
      <c r="BN53" s="816">
        <f>FLN!BC53</f>
        <v>0</v>
      </c>
      <c r="BO53" s="823" t="str">
        <f t="shared" si="10"/>
        <v>5012</v>
      </c>
      <c r="BP53" s="816">
        <f>FLN!BD53</f>
        <v>0</v>
      </c>
      <c r="BQ53" s="816">
        <f>FLN!BE53</f>
        <v>0</v>
      </c>
      <c r="BR53" s="816">
        <f>FLN!BF53</f>
        <v>0</v>
      </c>
      <c r="BS53" s="816">
        <f>FLN!BG53</f>
        <v>0</v>
      </c>
      <c r="BT53" s="823" t="str">
        <f t="shared" si="11"/>
        <v>5013</v>
      </c>
      <c r="BU53" s="816">
        <f>FLN!BH53</f>
        <v>0</v>
      </c>
      <c r="BV53" s="816">
        <f>FLN!BI53</f>
        <v>0</v>
      </c>
      <c r="BW53" s="816">
        <f>FLN!BJ53</f>
        <v>0</v>
      </c>
      <c r="BX53" s="816">
        <f>FLN!BK53</f>
        <v>0</v>
      </c>
      <c r="BY53" s="823" t="str">
        <f t="shared" si="12"/>
        <v>5014</v>
      </c>
      <c r="BZ53" s="816">
        <f>FLN!BL53</f>
        <v>0</v>
      </c>
      <c r="CA53" s="816">
        <f>FLN!BM53</f>
        <v>0</v>
      </c>
      <c r="CB53" s="816">
        <f>FLN!BN53</f>
        <v>0</v>
      </c>
      <c r="CC53" s="816">
        <f>FLN!BO53</f>
        <v>0</v>
      </c>
      <c r="CD53" s="823" t="str">
        <f t="shared" si="13"/>
        <v>5015</v>
      </c>
      <c r="CE53" s="816">
        <f>FLN!BP53</f>
        <v>0</v>
      </c>
      <c r="CF53" s="816">
        <f>FLN!BQ53</f>
        <v>0</v>
      </c>
      <c r="CG53" s="816">
        <f>FLN!BR53</f>
        <v>0</v>
      </c>
      <c r="CH53" s="816">
        <f>FLN!BS53</f>
        <v>0</v>
      </c>
      <c r="CI53" s="823" t="str">
        <f t="shared" si="14"/>
        <v>5016</v>
      </c>
      <c r="CJ53" s="816">
        <f>FLN!BT53</f>
        <v>0</v>
      </c>
      <c r="CK53" s="816">
        <f>FLN!BU53</f>
        <v>0</v>
      </c>
      <c r="CL53" s="816">
        <f>FLN!BV53</f>
        <v>0</v>
      </c>
      <c r="CM53" s="816">
        <f>FLN!BW53</f>
        <v>0</v>
      </c>
      <c r="CN53" s="823" t="str">
        <f t="shared" si="15"/>
        <v>5017</v>
      </c>
      <c r="CO53" s="816">
        <f>FLN!BX53</f>
        <v>0</v>
      </c>
      <c r="CP53" s="816">
        <f>FLN!BY53</f>
        <v>0</v>
      </c>
      <c r="CQ53" s="816">
        <f>FLN!BZ53</f>
        <v>0</v>
      </c>
      <c r="CR53" s="816">
        <f>FLN!CA53</f>
        <v>0</v>
      </c>
      <c r="CS53" s="823" t="str">
        <f t="shared" si="16"/>
        <v>5018</v>
      </c>
      <c r="CT53" s="816">
        <f>FLN!CB53</f>
        <v>0</v>
      </c>
      <c r="CU53" s="816">
        <f>FLN!CC53</f>
        <v>0</v>
      </c>
      <c r="CV53" s="816">
        <f>FLN!CD53</f>
        <v>0</v>
      </c>
      <c r="CW53" s="816">
        <f>FLN!CE53</f>
        <v>0</v>
      </c>
      <c r="CX53" s="823" t="str">
        <f t="shared" si="17"/>
        <v>5019</v>
      </c>
      <c r="CY53" s="816">
        <f>FLN!CF53</f>
        <v>0</v>
      </c>
      <c r="CZ53" s="816">
        <f>FLN!CG53</f>
        <v>0</v>
      </c>
      <c r="DA53" s="816">
        <f>FLN!CH53</f>
        <v>0</v>
      </c>
      <c r="DB53" s="816">
        <f>FLN!CI53</f>
        <v>0</v>
      </c>
      <c r="DC53" s="823" t="str">
        <f t="shared" si="18"/>
        <v>5020</v>
      </c>
      <c r="DD53" s="816">
        <f>FLN!CJ53</f>
        <v>0</v>
      </c>
      <c r="DE53" s="816">
        <f>FLN!CK53</f>
        <v>0</v>
      </c>
      <c r="DF53" s="816">
        <f>FLN!CL53</f>
        <v>0</v>
      </c>
      <c r="DG53" s="816">
        <f>FLN!CM53</f>
        <v>0</v>
      </c>
      <c r="DH53" s="823" t="str">
        <f t="shared" si="19"/>
        <v>5021</v>
      </c>
      <c r="DI53" s="816">
        <f>FLN!CN53</f>
        <v>0</v>
      </c>
      <c r="DJ53" s="816">
        <f>FLN!CO53</f>
        <v>0</v>
      </c>
      <c r="DK53" s="816">
        <f>FLN!CP53</f>
        <v>0</v>
      </c>
      <c r="DL53" s="816">
        <f>FLN!CQ53</f>
        <v>0</v>
      </c>
      <c r="DM53" s="823" t="str">
        <f t="shared" si="20"/>
        <v>5022</v>
      </c>
      <c r="DN53" s="816">
        <f>FLN!CR53</f>
        <v>0</v>
      </c>
      <c r="DO53" s="816">
        <f>FLN!CS53</f>
        <v>0</v>
      </c>
      <c r="DP53" s="816">
        <f>FLN!CT53</f>
        <v>0</v>
      </c>
      <c r="DQ53" s="816">
        <f>FLN!CU53</f>
        <v>0</v>
      </c>
      <c r="DR53" s="823" t="str">
        <f t="shared" si="21"/>
        <v>5023</v>
      </c>
      <c r="DS53" s="816">
        <f>FLN!CV53</f>
        <v>0</v>
      </c>
      <c r="DT53" s="816">
        <f>FLN!CW53</f>
        <v>0</v>
      </c>
      <c r="DU53" s="816">
        <f>FLN!CX53</f>
        <v>0</v>
      </c>
      <c r="DV53" s="816">
        <f>FLN!CY53</f>
        <v>0</v>
      </c>
      <c r="DW53" s="823" t="str">
        <f t="shared" si="22"/>
        <v>5024</v>
      </c>
      <c r="DX53" s="816">
        <f>FLN!CZ53</f>
        <v>0</v>
      </c>
      <c r="DY53" s="816">
        <f>FLN!DA53</f>
        <v>0</v>
      </c>
      <c r="DZ53" s="816">
        <f>FLN!DB53</f>
        <v>0</v>
      </c>
      <c r="EA53" s="816">
        <f>FLN!DC53</f>
        <v>0</v>
      </c>
      <c r="EB53" s="823" t="str">
        <f t="shared" si="23"/>
        <v>5025</v>
      </c>
      <c r="EC53" s="816">
        <f>FLN!DD53</f>
        <v>0</v>
      </c>
      <c r="ED53" s="816">
        <f>FLN!DE53</f>
        <v>0</v>
      </c>
      <c r="EE53" s="816">
        <f>FLN!DF53</f>
        <v>0</v>
      </c>
      <c r="EF53" s="816">
        <f>FLN!DG53</f>
        <v>0</v>
      </c>
    </row>
    <row r="54" spans="1:136">
      <c r="A54" s="824">
        <v>51</v>
      </c>
      <c r="B54" s="824">
        <f>STUDENT!F52</f>
        <v>0</v>
      </c>
      <c r="C54" s="824">
        <f>STUDENT!D52</f>
        <v>0</v>
      </c>
      <c r="D54" s="827">
        <f>STUDENT!E52</f>
        <v>0</v>
      </c>
      <c r="E54" s="827">
        <f>STUDENT!H52</f>
        <v>0</v>
      </c>
      <c r="F54" s="828">
        <f>FLN!F54</f>
        <v>0</v>
      </c>
      <c r="G54" s="828">
        <f>FLN!G54</f>
        <v>0</v>
      </c>
      <c r="H54" s="828">
        <f>FLN!H54</f>
        <v>0</v>
      </c>
      <c r="I54" s="824" t="str">
        <f>FLN!I54</f>
        <v/>
      </c>
      <c r="J54" s="824" t="str">
        <f>FLN!J54</f>
        <v/>
      </c>
      <c r="K54" s="824" t="str">
        <f>FLN!K54</f>
        <v/>
      </c>
      <c r="L54" s="823" t="str">
        <f t="shared" si="24"/>
        <v>511</v>
      </c>
      <c r="M54" s="816">
        <f>FLN!L54</f>
        <v>0</v>
      </c>
      <c r="N54" s="816">
        <f>FLN!M54</f>
        <v>0</v>
      </c>
      <c r="O54" s="816">
        <f>FLN!N54</f>
        <v>0</v>
      </c>
      <c r="P54" s="816">
        <f>FLN!O54</f>
        <v>0</v>
      </c>
      <c r="Q54" s="823" t="str">
        <f t="shared" si="0"/>
        <v>512</v>
      </c>
      <c r="R54" s="816">
        <f>FLN!P54</f>
        <v>0</v>
      </c>
      <c r="S54" s="816">
        <f>FLN!Q54</f>
        <v>0</v>
      </c>
      <c r="T54" s="816">
        <f>FLN!R54</f>
        <v>0</v>
      </c>
      <c r="U54" s="816">
        <f>FLN!S54</f>
        <v>0</v>
      </c>
      <c r="V54" s="823" t="str">
        <f t="shared" si="1"/>
        <v>513</v>
      </c>
      <c r="W54" s="816">
        <f>FLN!T54</f>
        <v>0</v>
      </c>
      <c r="X54" s="816">
        <f>FLN!U54</f>
        <v>0</v>
      </c>
      <c r="Y54" s="816">
        <f>FLN!V54</f>
        <v>0</v>
      </c>
      <c r="Z54" s="816">
        <f>FLN!W54</f>
        <v>0</v>
      </c>
      <c r="AA54" s="823" t="str">
        <f t="shared" si="2"/>
        <v>514</v>
      </c>
      <c r="AB54" s="816">
        <f>FLN!X54</f>
        <v>0</v>
      </c>
      <c r="AC54" s="816">
        <f>FLN!Y54</f>
        <v>0</v>
      </c>
      <c r="AD54" s="816">
        <f>FLN!Z54</f>
        <v>0</v>
      </c>
      <c r="AE54" s="816">
        <f>FLN!AA54</f>
        <v>0</v>
      </c>
      <c r="AF54" s="823" t="str">
        <f t="shared" si="3"/>
        <v>515</v>
      </c>
      <c r="AG54" s="816">
        <f>FLN!AB54</f>
        <v>0</v>
      </c>
      <c r="AH54" s="816">
        <f>FLN!AC54</f>
        <v>0</v>
      </c>
      <c r="AI54" s="816">
        <f>FLN!AD54</f>
        <v>0</v>
      </c>
      <c r="AJ54" s="816">
        <f>FLN!AE54</f>
        <v>0</v>
      </c>
      <c r="AK54" s="823" t="str">
        <f t="shared" si="4"/>
        <v>516</v>
      </c>
      <c r="AL54" s="816">
        <f>FLN!AF54</f>
        <v>0</v>
      </c>
      <c r="AM54" s="816">
        <f>FLN!AG54</f>
        <v>0</v>
      </c>
      <c r="AN54" s="816">
        <f>FLN!AH54</f>
        <v>0</v>
      </c>
      <c r="AO54" s="816">
        <f>FLN!AI54</f>
        <v>0</v>
      </c>
      <c r="AP54" s="823" t="str">
        <f t="shared" si="5"/>
        <v>517</v>
      </c>
      <c r="AQ54" s="816">
        <f>FLN!AJ54</f>
        <v>0</v>
      </c>
      <c r="AR54" s="816">
        <f>FLN!AK54</f>
        <v>0</v>
      </c>
      <c r="AS54" s="816">
        <f>FLN!AL54</f>
        <v>0</v>
      </c>
      <c r="AT54" s="816">
        <f>FLN!AM54</f>
        <v>0</v>
      </c>
      <c r="AU54" s="823" t="str">
        <f t="shared" si="6"/>
        <v>518</v>
      </c>
      <c r="AV54" s="816">
        <f>FLN!AN54</f>
        <v>0</v>
      </c>
      <c r="AW54" s="816">
        <f>FLN!AO54</f>
        <v>0</v>
      </c>
      <c r="AX54" s="816">
        <f>FLN!AP54</f>
        <v>0</v>
      </c>
      <c r="AY54" s="816">
        <f>FLN!AQ54</f>
        <v>0</v>
      </c>
      <c r="AZ54" s="823" t="str">
        <f t="shared" si="7"/>
        <v>519</v>
      </c>
      <c r="BA54" s="816">
        <f>FLN!AR54</f>
        <v>0</v>
      </c>
      <c r="BB54" s="816">
        <f>FLN!AS54</f>
        <v>0</v>
      </c>
      <c r="BC54" s="816">
        <f>FLN!AT54</f>
        <v>0</v>
      </c>
      <c r="BD54" s="816">
        <f>FLN!AU54</f>
        <v>0</v>
      </c>
      <c r="BE54" s="823" t="str">
        <f t="shared" si="8"/>
        <v>5110</v>
      </c>
      <c r="BF54" s="816">
        <f>FLN!AV54</f>
        <v>0</v>
      </c>
      <c r="BG54" s="816">
        <f>FLN!AW54</f>
        <v>0</v>
      </c>
      <c r="BH54" s="816">
        <f>FLN!AX54</f>
        <v>0</v>
      </c>
      <c r="BI54" s="816">
        <f>FLN!AY54</f>
        <v>0</v>
      </c>
      <c r="BJ54" s="823" t="str">
        <f t="shared" si="9"/>
        <v>5111</v>
      </c>
      <c r="BK54" s="816">
        <f>FLN!AZ54</f>
        <v>0</v>
      </c>
      <c r="BL54" s="816">
        <f>FLN!BA54</f>
        <v>0</v>
      </c>
      <c r="BM54" s="816">
        <f>FLN!BB54</f>
        <v>0</v>
      </c>
      <c r="BN54" s="816">
        <f>FLN!BC54</f>
        <v>0</v>
      </c>
      <c r="BO54" s="823" t="str">
        <f t="shared" si="10"/>
        <v>5112</v>
      </c>
      <c r="BP54" s="816">
        <f>FLN!BD54</f>
        <v>0</v>
      </c>
      <c r="BQ54" s="816">
        <f>FLN!BE54</f>
        <v>0</v>
      </c>
      <c r="BR54" s="816">
        <f>FLN!BF54</f>
        <v>0</v>
      </c>
      <c r="BS54" s="816">
        <f>FLN!BG54</f>
        <v>0</v>
      </c>
      <c r="BT54" s="823" t="str">
        <f t="shared" si="11"/>
        <v>5113</v>
      </c>
      <c r="BU54" s="816">
        <f>FLN!BH54</f>
        <v>0</v>
      </c>
      <c r="BV54" s="816">
        <f>FLN!BI54</f>
        <v>0</v>
      </c>
      <c r="BW54" s="816">
        <f>FLN!BJ54</f>
        <v>0</v>
      </c>
      <c r="BX54" s="816">
        <f>FLN!BK54</f>
        <v>0</v>
      </c>
      <c r="BY54" s="823" t="str">
        <f t="shared" si="12"/>
        <v>5114</v>
      </c>
      <c r="BZ54" s="816">
        <f>FLN!BL54</f>
        <v>0</v>
      </c>
      <c r="CA54" s="816">
        <f>FLN!BM54</f>
        <v>0</v>
      </c>
      <c r="CB54" s="816">
        <f>FLN!BN54</f>
        <v>0</v>
      </c>
      <c r="CC54" s="816">
        <f>FLN!BO54</f>
        <v>0</v>
      </c>
      <c r="CD54" s="823" t="str">
        <f t="shared" si="13"/>
        <v>5115</v>
      </c>
      <c r="CE54" s="816">
        <f>FLN!BP54</f>
        <v>0</v>
      </c>
      <c r="CF54" s="816">
        <f>FLN!BQ54</f>
        <v>0</v>
      </c>
      <c r="CG54" s="816">
        <f>FLN!BR54</f>
        <v>0</v>
      </c>
      <c r="CH54" s="816">
        <f>FLN!BS54</f>
        <v>0</v>
      </c>
      <c r="CI54" s="823" t="str">
        <f t="shared" si="14"/>
        <v>5116</v>
      </c>
      <c r="CJ54" s="816">
        <f>FLN!BT54</f>
        <v>0</v>
      </c>
      <c r="CK54" s="816">
        <f>FLN!BU54</f>
        <v>0</v>
      </c>
      <c r="CL54" s="816">
        <f>FLN!BV54</f>
        <v>0</v>
      </c>
      <c r="CM54" s="816">
        <f>FLN!BW54</f>
        <v>0</v>
      </c>
      <c r="CN54" s="823" t="str">
        <f t="shared" si="15"/>
        <v>5117</v>
      </c>
      <c r="CO54" s="816">
        <f>FLN!BX54</f>
        <v>0</v>
      </c>
      <c r="CP54" s="816">
        <f>FLN!BY54</f>
        <v>0</v>
      </c>
      <c r="CQ54" s="816">
        <f>FLN!BZ54</f>
        <v>0</v>
      </c>
      <c r="CR54" s="816">
        <f>FLN!CA54</f>
        <v>0</v>
      </c>
      <c r="CS54" s="823" t="str">
        <f t="shared" si="16"/>
        <v>5118</v>
      </c>
      <c r="CT54" s="816">
        <f>FLN!CB54</f>
        <v>0</v>
      </c>
      <c r="CU54" s="816">
        <f>FLN!CC54</f>
        <v>0</v>
      </c>
      <c r="CV54" s="816">
        <f>FLN!CD54</f>
        <v>0</v>
      </c>
      <c r="CW54" s="816">
        <f>FLN!CE54</f>
        <v>0</v>
      </c>
      <c r="CX54" s="823" t="str">
        <f t="shared" si="17"/>
        <v>5119</v>
      </c>
      <c r="CY54" s="816">
        <f>FLN!CF54</f>
        <v>0</v>
      </c>
      <c r="CZ54" s="816">
        <f>FLN!CG54</f>
        <v>0</v>
      </c>
      <c r="DA54" s="816">
        <f>FLN!CH54</f>
        <v>0</v>
      </c>
      <c r="DB54" s="816">
        <f>FLN!CI54</f>
        <v>0</v>
      </c>
      <c r="DC54" s="823" t="str">
        <f t="shared" si="18"/>
        <v>5120</v>
      </c>
      <c r="DD54" s="816">
        <f>FLN!CJ54</f>
        <v>0</v>
      </c>
      <c r="DE54" s="816">
        <f>FLN!CK54</f>
        <v>0</v>
      </c>
      <c r="DF54" s="816">
        <f>FLN!CL54</f>
        <v>0</v>
      </c>
      <c r="DG54" s="816">
        <f>FLN!CM54</f>
        <v>0</v>
      </c>
      <c r="DH54" s="823" t="str">
        <f t="shared" si="19"/>
        <v>5121</v>
      </c>
      <c r="DI54" s="816">
        <f>FLN!CN54</f>
        <v>0</v>
      </c>
      <c r="DJ54" s="816">
        <f>FLN!CO54</f>
        <v>0</v>
      </c>
      <c r="DK54" s="816">
        <f>FLN!CP54</f>
        <v>0</v>
      </c>
      <c r="DL54" s="816">
        <f>FLN!CQ54</f>
        <v>0</v>
      </c>
      <c r="DM54" s="823" t="str">
        <f t="shared" si="20"/>
        <v>5122</v>
      </c>
      <c r="DN54" s="816">
        <f>FLN!CR54</f>
        <v>0</v>
      </c>
      <c r="DO54" s="816">
        <f>FLN!CS54</f>
        <v>0</v>
      </c>
      <c r="DP54" s="816">
        <f>FLN!CT54</f>
        <v>0</v>
      </c>
      <c r="DQ54" s="816">
        <f>FLN!CU54</f>
        <v>0</v>
      </c>
      <c r="DR54" s="823" t="str">
        <f t="shared" si="21"/>
        <v>5123</v>
      </c>
      <c r="DS54" s="816">
        <f>FLN!CV54</f>
        <v>0</v>
      </c>
      <c r="DT54" s="816">
        <f>FLN!CW54</f>
        <v>0</v>
      </c>
      <c r="DU54" s="816">
        <f>FLN!CX54</f>
        <v>0</v>
      </c>
      <c r="DV54" s="816">
        <f>FLN!CY54</f>
        <v>0</v>
      </c>
      <c r="DW54" s="823" t="str">
        <f t="shared" si="22"/>
        <v>5124</v>
      </c>
      <c r="DX54" s="816">
        <f>FLN!CZ54</f>
        <v>0</v>
      </c>
      <c r="DY54" s="816">
        <f>FLN!DA54</f>
        <v>0</v>
      </c>
      <c r="DZ54" s="816">
        <f>FLN!DB54</f>
        <v>0</v>
      </c>
      <c r="EA54" s="816">
        <f>FLN!DC54</f>
        <v>0</v>
      </c>
      <c r="EB54" s="823" t="str">
        <f t="shared" si="23"/>
        <v>5125</v>
      </c>
      <c r="EC54" s="816">
        <f>FLN!DD54</f>
        <v>0</v>
      </c>
      <c r="ED54" s="816">
        <f>FLN!DE54</f>
        <v>0</v>
      </c>
      <c r="EE54" s="816">
        <f>FLN!DF54</f>
        <v>0</v>
      </c>
      <c r="EF54" s="816">
        <f>FLN!DG54</f>
        <v>0</v>
      </c>
    </row>
    <row r="55" spans="1:136">
      <c r="A55" s="824">
        <v>52</v>
      </c>
      <c r="B55" s="824">
        <f>STUDENT!F53</f>
        <v>0</v>
      </c>
      <c r="C55" s="824">
        <f>STUDENT!D53</f>
        <v>0</v>
      </c>
      <c r="D55" s="827">
        <f>STUDENT!E53</f>
        <v>0</v>
      </c>
      <c r="E55" s="827">
        <f>STUDENT!H53</f>
        <v>0</v>
      </c>
      <c r="F55" s="828">
        <f>FLN!F55</f>
        <v>0</v>
      </c>
      <c r="G55" s="828">
        <f>FLN!G55</f>
        <v>0</v>
      </c>
      <c r="H55" s="828">
        <f>FLN!H55</f>
        <v>0</v>
      </c>
      <c r="I55" s="824" t="str">
        <f>FLN!I55</f>
        <v/>
      </c>
      <c r="J55" s="824" t="str">
        <f>FLN!J55</f>
        <v/>
      </c>
      <c r="K55" s="824" t="str">
        <f>FLN!K55</f>
        <v/>
      </c>
      <c r="L55" s="823" t="str">
        <f t="shared" si="24"/>
        <v>521</v>
      </c>
      <c r="M55" s="816">
        <f>FLN!L55</f>
        <v>0</v>
      </c>
      <c r="N55" s="816">
        <f>FLN!M55</f>
        <v>0</v>
      </c>
      <c r="O55" s="816">
        <f>FLN!N55</f>
        <v>0</v>
      </c>
      <c r="P55" s="816">
        <f>FLN!O55</f>
        <v>0</v>
      </c>
      <c r="Q55" s="823" t="str">
        <f t="shared" si="0"/>
        <v>522</v>
      </c>
      <c r="R55" s="816">
        <f>FLN!P55</f>
        <v>0</v>
      </c>
      <c r="S55" s="816">
        <f>FLN!Q55</f>
        <v>0</v>
      </c>
      <c r="T55" s="816">
        <f>FLN!R55</f>
        <v>0</v>
      </c>
      <c r="U55" s="816">
        <f>FLN!S55</f>
        <v>0</v>
      </c>
      <c r="V55" s="823" t="str">
        <f t="shared" si="1"/>
        <v>523</v>
      </c>
      <c r="W55" s="816">
        <f>FLN!T55</f>
        <v>0</v>
      </c>
      <c r="X55" s="816">
        <f>FLN!U55</f>
        <v>0</v>
      </c>
      <c r="Y55" s="816">
        <f>FLN!V55</f>
        <v>0</v>
      </c>
      <c r="Z55" s="816">
        <f>FLN!W55</f>
        <v>0</v>
      </c>
      <c r="AA55" s="823" t="str">
        <f t="shared" si="2"/>
        <v>524</v>
      </c>
      <c r="AB55" s="816">
        <f>FLN!X55</f>
        <v>0</v>
      </c>
      <c r="AC55" s="816">
        <f>FLN!Y55</f>
        <v>0</v>
      </c>
      <c r="AD55" s="816">
        <f>FLN!Z55</f>
        <v>0</v>
      </c>
      <c r="AE55" s="816">
        <f>FLN!AA55</f>
        <v>0</v>
      </c>
      <c r="AF55" s="823" t="str">
        <f t="shared" si="3"/>
        <v>525</v>
      </c>
      <c r="AG55" s="816">
        <f>FLN!AB55</f>
        <v>0</v>
      </c>
      <c r="AH55" s="816">
        <f>FLN!AC55</f>
        <v>0</v>
      </c>
      <c r="AI55" s="816">
        <f>FLN!AD55</f>
        <v>0</v>
      </c>
      <c r="AJ55" s="816">
        <f>FLN!AE55</f>
        <v>0</v>
      </c>
      <c r="AK55" s="823" t="str">
        <f t="shared" si="4"/>
        <v>526</v>
      </c>
      <c r="AL55" s="816">
        <f>FLN!AF55</f>
        <v>0</v>
      </c>
      <c r="AM55" s="816">
        <f>FLN!AG55</f>
        <v>0</v>
      </c>
      <c r="AN55" s="816">
        <f>FLN!AH55</f>
        <v>0</v>
      </c>
      <c r="AO55" s="816">
        <f>FLN!AI55</f>
        <v>0</v>
      </c>
      <c r="AP55" s="823" t="str">
        <f t="shared" si="5"/>
        <v>527</v>
      </c>
      <c r="AQ55" s="816">
        <f>FLN!AJ55</f>
        <v>0</v>
      </c>
      <c r="AR55" s="816">
        <f>FLN!AK55</f>
        <v>0</v>
      </c>
      <c r="AS55" s="816">
        <f>FLN!AL55</f>
        <v>0</v>
      </c>
      <c r="AT55" s="816">
        <f>FLN!AM55</f>
        <v>0</v>
      </c>
      <c r="AU55" s="823" t="str">
        <f t="shared" si="6"/>
        <v>528</v>
      </c>
      <c r="AV55" s="816">
        <f>FLN!AN55</f>
        <v>0</v>
      </c>
      <c r="AW55" s="816">
        <f>FLN!AO55</f>
        <v>0</v>
      </c>
      <c r="AX55" s="816">
        <f>FLN!AP55</f>
        <v>0</v>
      </c>
      <c r="AY55" s="816">
        <f>FLN!AQ55</f>
        <v>0</v>
      </c>
      <c r="AZ55" s="823" t="str">
        <f t="shared" si="7"/>
        <v>529</v>
      </c>
      <c r="BA55" s="816">
        <f>FLN!AR55</f>
        <v>0</v>
      </c>
      <c r="BB55" s="816">
        <f>FLN!AS55</f>
        <v>0</v>
      </c>
      <c r="BC55" s="816">
        <f>FLN!AT55</f>
        <v>0</v>
      </c>
      <c r="BD55" s="816">
        <f>FLN!AU55</f>
        <v>0</v>
      </c>
      <c r="BE55" s="823" t="str">
        <f t="shared" si="8"/>
        <v>5210</v>
      </c>
      <c r="BF55" s="816">
        <f>FLN!AV55</f>
        <v>0</v>
      </c>
      <c r="BG55" s="816">
        <f>FLN!AW55</f>
        <v>0</v>
      </c>
      <c r="BH55" s="816">
        <f>FLN!AX55</f>
        <v>0</v>
      </c>
      <c r="BI55" s="816">
        <f>FLN!AY55</f>
        <v>0</v>
      </c>
      <c r="BJ55" s="823" t="str">
        <f t="shared" si="9"/>
        <v>5211</v>
      </c>
      <c r="BK55" s="816">
        <f>FLN!AZ55</f>
        <v>0</v>
      </c>
      <c r="BL55" s="816">
        <f>FLN!BA55</f>
        <v>0</v>
      </c>
      <c r="BM55" s="816">
        <f>FLN!BB55</f>
        <v>0</v>
      </c>
      <c r="BN55" s="816">
        <f>FLN!BC55</f>
        <v>0</v>
      </c>
      <c r="BO55" s="823" t="str">
        <f t="shared" si="10"/>
        <v>5212</v>
      </c>
      <c r="BP55" s="816">
        <f>FLN!BD55</f>
        <v>0</v>
      </c>
      <c r="BQ55" s="816">
        <f>FLN!BE55</f>
        <v>0</v>
      </c>
      <c r="BR55" s="816">
        <f>FLN!BF55</f>
        <v>0</v>
      </c>
      <c r="BS55" s="816">
        <f>FLN!BG55</f>
        <v>0</v>
      </c>
      <c r="BT55" s="823" t="str">
        <f t="shared" si="11"/>
        <v>5213</v>
      </c>
      <c r="BU55" s="816">
        <f>FLN!BH55</f>
        <v>0</v>
      </c>
      <c r="BV55" s="816">
        <f>FLN!BI55</f>
        <v>0</v>
      </c>
      <c r="BW55" s="816">
        <f>FLN!BJ55</f>
        <v>0</v>
      </c>
      <c r="BX55" s="816">
        <f>FLN!BK55</f>
        <v>0</v>
      </c>
      <c r="BY55" s="823" t="str">
        <f t="shared" si="12"/>
        <v>5214</v>
      </c>
      <c r="BZ55" s="816">
        <f>FLN!BL55</f>
        <v>0</v>
      </c>
      <c r="CA55" s="816">
        <f>FLN!BM55</f>
        <v>0</v>
      </c>
      <c r="CB55" s="816">
        <f>FLN!BN55</f>
        <v>0</v>
      </c>
      <c r="CC55" s="816">
        <f>FLN!BO55</f>
        <v>0</v>
      </c>
      <c r="CD55" s="823" t="str">
        <f t="shared" si="13"/>
        <v>5215</v>
      </c>
      <c r="CE55" s="816">
        <f>FLN!BP55</f>
        <v>0</v>
      </c>
      <c r="CF55" s="816">
        <f>FLN!BQ55</f>
        <v>0</v>
      </c>
      <c r="CG55" s="816">
        <f>FLN!BR55</f>
        <v>0</v>
      </c>
      <c r="CH55" s="816">
        <f>FLN!BS55</f>
        <v>0</v>
      </c>
      <c r="CI55" s="823" t="str">
        <f t="shared" si="14"/>
        <v>5216</v>
      </c>
      <c r="CJ55" s="816">
        <f>FLN!BT55</f>
        <v>0</v>
      </c>
      <c r="CK55" s="816">
        <f>FLN!BU55</f>
        <v>0</v>
      </c>
      <c r="CL55" s="816">
        <f>FLN!BV55</f>
        <v>0</v>
      </c>
      <c r="CM55" s="816">
        <f>FLN!BW55</f>
        <v>0</v>
      </c>
      <c r="CN55" s="823" t="str">
        <f t="shared" si="15"/>
        <v>5217</v>
      </c>
      <c r="CO55" s="816">
        <f>FLN!BX55</f>
        <v>0</v>
      </c>
      <c r="CP55" s="816">
        <f>FLN!BY55</f>
        <v>0</v>
      </c>
      <c r="CQ55" s="816">
        <f>FLN!BZ55</f>
        <v>0</v>
      </c>
      <c r="CR55" s="816">
        <f>FLN!CA55</f>
        <v>0</v>
      </c>
      <c r="CS55" s="823" t="str">
        <f t="shared" si="16"/>
        <v>5218</v>
      </c>
      <c r="CT55" s="816">
        <f>FLN!CB55</f>
        <v>0</v>
      </c>
      <c r="CU55" s="816">
        <f>FLN!CC55</f>
        <v>0</v>
      </c>
      <c r="CV55" s="816">
        <f>FLN!CD55</f>
        <v>0</v>
      </c>
      <c r="CW55" s="816">
        <f>FLN!CE55</f>
        <v>0</v>
      </c>
      <c r="CX55" s="823" t="str">
        <f t="shared" si="17"/>
        <v>5219</v>
      </c>
      <c r="CY55" s="816">
        <f>FLN!CF55</f>
        <v>0</v>
      </c>
      <c r="CZ55" s="816">
        <f>FLN!CG55</f>
        <v>0</v>
      </c>
      <c r="DA55" s="816">
        <f>FLN!CH55</f>
        <v>0</v>
      </c>
      <c r="DB55" s="816">
        <f>FLN!CI55</f>
        <v>0</v>
      </c>
      <c r="DC55" s="823" t="str">
        <f t="shared" si="18"/>
        <v>5220</v>
      </c>
      <c r="DD55" s="816">
        <f>FLN!CJ55</f>
        <v>0</v>
      </c>
      <c r="DE55" s="816">
        <f>FLN!CK55</f>
        <v>0</v>
      </c>
      <c r="DF55" s="816">
        <f>FLN!CL55</f>
        <v>0</v>
      </c>
      <c r="DG55" s="816">
        <f>FLN!CM55</f>
        <v>0</v>
      </c>
      <c r="DH55" s="823" t="str">
        <f t="shared" si="19"/>
        <v>5221</v>
      </c>
      <c r="DI55" s="816">
        <f>FLN!CN55</f>
        <v>0</v>
      </c>
      <c r="DJ55" s="816">
        <f>FLN!CO55</f>
        <v>0</v>
      </c>
      <c r="DK55" s="816">
        <f>FLN!CP55</f>
        <v>0</v>
      </c>
      <c r="DL55" s="816">
        <f>FLN!CQ55</f>
        <v>0</v>
      </c>
      <c r="DM55" s="823" t="str">
        <f t="shared" si="20"/>
        <v>5222</v>
      </c>
      <c r="DN55" s="816">
        <f>FLN!CR55</f>
        <v>0</v>
      </c>
      <c r="DO55" s="816">
        <f>FLN!CS55</f>
        <v>0</v>
      </c>
      <c r="DP55" s="816">
        <f>FLN!CT55</f>
        <v>0</v>
      </c>
      <c r="DQ55" s="816">
        <f>FLN!CU55</f>
        <v>0</v>
      </c>
      <c r="DR55" s="823" t="str">
        <f t="shared" si="21"/>
        <v>5223</v>
      </c>
      <c r="DS55" s="816">
        <f>FLN!CV55</f>
        <v>0</v>
      </c>
      <c r="DT55" s="816">
        <f>FLN!CW55</f>
        <v>0</v>
      </c>
      <c r="DU55" s="816">
        <f>FLN!CX55</f>
        <v>0</v>
      </c>
      <c r="DV55" s="816">
        <f>FLN!CY55</f>
        <v>0</v>
      </c>
      <c r="DW55" s="823" t="str">
        <f t="shared" si="22"/>
        <v>5224</v>
      </c>
      <c r="DX55" s="816">
        <f>FLN!CZ55</f>
        <v>0</v>
      </c>
      <c r="DY55" s="816">
        <f>FLN!DA55</f>
        <v>0</v>
      </c>
      <c r="DZ55" s="816">
        <f>FLN!DB55</f>
        <v>0</v>
      </c>
      <c r="EA55" s="816">
        <f>FLN!DC55</f>
        <v>0</v>
      </c>
      <c r="EB55" s="823" t="str">
        <f t="shared" si="23"/>
        <v>5225</v>
      </c>
      <c r="EC55" s="816">
        <f>FLN!DD55</f>
        <v>0</v>
      </c>
      <c r="ED55" s="816">
        <f>FLN!DE55</f>
        <v>0</v>
      </c>
      <c r="EE55" s="816">
        <f>FLN!DF55</f>
        <v>0</v>
      </c>
      <c r="EF55" s="816">
        <f>FLN!DG55</f>
        <v>0</v>
      </c>
    </row>
    <row r="56" spans="1:136">
      <c r="A56" s="824">
        <v>53</v>
      </c>
      <c r="B56" s="824">
        <f>STUDENT!F54</f>
        <v>0</v>
      </c>
      <c r="C56" s="824">
        <f>STUDENT!D54</f>
        <v>0</v>
      </c>
      <c r="D56" s="827">
        <f>STUDENT!E54</f>
        <v>0</v>
      </c>
      <c r="E56" s="827">
        <f>STUDENT!H54</f>
        <v>0</v>
      </c>
      <c r="F56" s="828">
        <f>FLN!F56</f>
        <v>0</v>
      </c>
      <c r="G56" s="828">
        <f>FLN!G56</f>
        <v>0</v>
      </c>
      <c r="H56" s="828">
        <f>FLN!H56</f>
        <v>0</v>
      </c>
      <c r="I56" s="824" t="str">
        <f>FLN!I56</f>
        <v/>
      </c>
      <c r="J56" s="824" t="str">
        <f>FLN!J56</f>
        <v/>
      </c>
      <c r="K56" s="824" t="str">
        <f>FLN!K56</f>
        <v/>
      </c>
      <c r="L56" s="823" t="str">
        <f t="shared" si="24"/>
        <v>531</v>
      </c>
      <c r="M56" s="816">
        <f>FLN!L56</f>
        <v>0</v>
      </c>
      <c r="N56" s="816">
        <f>FLN!M56</f>
        <v>0</v>
      </c>
      <c r="O56" s="816">
        <f>FLN!N56</f>
        <v>0</v>
      </c>
      <c r="P56" s="816">
        <f>FLN!O56</f>
        <v>0</v>
      </c>
      <c r="Q56" s="823" t="str">
        <f t="shared" si="0"/>
        <v>532</v>
      </c>
      <c r="R56" s="816">
        <f>FLN!P56</f>
        <v>0</v>
      </c>
      <c r="S56" s="816">
        <f>FLN!Q56</f>
        <v>0</v>
      </c>
      <c r="T56" s="816">
        <f>FLN!R56</f>
        <v>0</v>
      </c>
      <c r="U56" s="816">
        <f>FLN!S56</f>
        <v>0</v>
      </c>
      <c r="V56" s="823" t="str">
        <f t="shared" si="1"/>
        <v>533</v>
      </c>
      <c r="W56" s="816">
        <f>FLN!T56</f>
        <v>0</v>
      </c>
      <c r="X56" s="816">
        <f>FLN!U56</f>
        <v>0</v>
      </c>
      <c r="Y56" s="816">
        <f>FLN!V56</f>
        <v>0</v>
      </c>
      <c r="Z56" s="816">
        <f>FLN!W56</f>
        <v>0</v>
      </c>
      <c r="AA56" s="823" t="str">
        <f t="shared" si="2"/>
        <v>534</v>
      </c>
      <c r="AB56" s="816">
        <f>FLN!X56</f>
        <v>0</v>
      </c>
      <c r="AC56" s="816">
        <f>FLN!Y56</f>
        <v>0</v>
      </c>
      <c r="AD56" s="816">
        <f>FLN!Z56</f>
        <v>0</v>
      </c>
      <c r="AE56" s="816">
        <f>FLN!AA56</f>
        <v>0</v>
      </c>
      <c r="AF56" s="823" t="str">
        <f t="shared" si="3"/>
        <v>535</v>
      </c>
      <c r="AG56" s="816">
        <f>FLN!AB56</f>
        <v>0</v>
      </c>
      <c r="AH56" s="816">
        <f>FLN!AC56</f>
        <v>0</v>
      </c>
      <c r="AI56" s="816">
        <f>FLN!AD56</f>
        <v>0</v>
      </c>
      <c r="AJ56" s="816">
        <f>FLN!AE56</f>
        <v>0</v>
      </c>
      <c r="AK56" s="823" t="str">
        <f t="shared" si="4"/>
        <v>536</v>
      </c>
      <c r="AL56" s="816">
        <f>FLN!AF56</f>
        <v>0</v>
      </c>
      <c r="AM56" s="816">
        <f>FLN!AG56</f>
        <v>0</v>
      </c>
      <c r="AN56" s="816">
        <f>FLN!AH56</f>
        <v>0</v>
      </c>
      <c r="AO56" s="816">
        <f>FLN!AI56</f>
        <v>0</v>
      </c>
      <c r="AP56" s="823" t="str">
        <f t="shared" si="5"/>
        <v>537</v>
      </c>
      <c r="AQ56" s="816">
        <f>FLN!AJ56</f>
        <v>0</v>
      </c>
      <c r="AR56" s="816">
        <f>FLN!AK56</f>
        <v>0</v>
      </c>
      <c r="AS56" s="816">
        <f>FLN!AL56</f>
        <v>0</v>
      </c>
      <c r="AT56" s="816">
        <f>FLN!AM56</f>
        <v>0</v>
      </c>
      <c r="AU56" s="823" t="str">
        <f t="shared" si="6"/>
        <v>538</v>
      </c>
      <c r="AV56" s="816">
        <f>FLN!AN56</f>
        <v>0</v>
      </c>
      <c r="AW56" s="816">
        <f>FLN!AO56</f>
        <v>0</v>
      </c>
      <c r="AX56" s="816">
        <f>FLN!AP56</f>
        <v>0</v>
      </c>
      <c r="AY56" s="816">
        <f>FLN!AQ56</f>
        <v>0</v>
      </c>
      <c r="AZ56" s="823" t="str">
        <f t="shared" si="7"/>
        <v>539</v>
      </c>
      <c r="BA56" s="816">
        <f>FLN!AR56</f>
        <v>0</v>
      </c>
      <c r="BB56" s="816">
        <f>FLN!AS56</f>
        <v>0</v>
      </c>
      <c r="BC56" s="816">
        <f>FLN!AT56</f>
        <v>0</v>
      </c>
      <c r="BD56" s="816">
        <f>FLN!AU56</f>
        <v>0</v>
      </c>
      <c r="BE56" s="823" t="str">
        <f t="shared" si="8"/>
        <v>5310</v>
      </c>
      <c r="BF56" s="816">
        <f>FLN!AV56</f>
        <v>0</v>
      </c>
      <c r="BG56" s="816">
        <f>FLN!AW56</f>
        <v>0</v>
      </c>
      <c r="BH56" s="816">
        <f>FLN!AX56</f>
        <v>0</v>
      </c>
      <c r="BI56" s="816">
        <f>FLN!AY56</f>
        <v>0</v>
      </c>
      <c r="BJ56" s="823" t="str">
        <f t="shared" si="9"/>
        <v>5311</v>
      </c>
      <c r="BK56" s="816">
        <f>FLN!AZ56</f>
        <v>0</v>
      </c>
      <c r="BL56" s="816">
        <f>FLN!BA56</f>
        <v>0</v>
      </c>
      <c r="BM56" s="816">
        <f>FLN!BB56</f>
        <v>0</v>
      </c>
      <c r="BN56" s="816">
        <f>FLN!BC56</f>
        <v>0</v>
      </c>
      <c r="BO56" s="823" t="str">
        <f t="shared" si="10"/>
        <v>5312</v>
      </c>
      <c r="BP56" s="816">
        <f>FLN!BD56</f>
        <v>0</v>
      </c>
      <c r="BQ56" s="816">
        <f>FLN!BE56</f>
        <v>0</v>
      </c>
      <c r="BR56" s="816">
        <f>FLN!BF56</f>
        <v>0</v>
      </c>
      <c r="BS56" s="816">
        <f>FLN!BG56</f>
        <v>0</v>
      </c>
      <c r="BT56" s="823" t="str">
        <f t="shared" si="11"/>
        <v>5313</v>
      </c>
      <c r="BU56" s="816">
        <f>FLN!BH56</f>
        <v>0</v>
      </c>
      <c r="BV56" s="816">
        <f>FLN!BI56</f>
        <v>0</v>
      </c>
      <c r="BW56" s="816">
        <f>FLN!BJ56</f>
        <v>0</v>
      </c>
      <c r="BX56" s="816">
        <f>FLN!BK56</f>
        <v>0</v>
      </c>
      <c r="BY56" s="823" t="str">
        <f t="shared" si="12"/>
        <v>5314</v>
      </c>
      <c r="BZ56" s="816">
        <f>FLN!BL56</f>
        <v>0</v>
      </c>
      <c r="CA56" s="816">
        <f>FLN!BM56</f>
        <v>0</v>
      </c>
      <c r="CB56" s="816">
        <f>FLN!BN56</f>
        <v>0</v>
      </c>
      <c r="CC56" s="816">
        <f>FLN!BO56</f>
        <v>0</v>
      </c>
      <c r="CD56" s="823" t="str">
        <f t="shared" si="13"/>
        <v>5315</v>
      </c>
      <c r="CE56" s="816">
        <f>FLN!BP56</f>
        <v>0</v>
      </c>
      <c r="CF56" s="816">
        <f>FLN!BQ56</f>
        <v>0</v>
      </c>
      <c r="CG56" s="816">
        <f>FLN!BR56</f>
        <v>0</v>
      </c>
      <c r="CH56" s="816">
        <f>FLN!BS56</f>
        <v>0</v>
      </c>
      <c r="CI56" s="823" t="str">
        <f t="shared" si="14"/>
        <v>5316</v>
      </c>
      <c r="CJ56" s="816">
        <f>FLN!BT56</f>
        <v>0</v>
      </c>
      <c r="CK56" s="816">
        <f>FLN!BU56</f>
        <v>0</v>
      </c>
      <c r="CL56" s="816">
        <f>FLN!BV56</f>
        <v>0</v>
      </c>
      <c r="CM56" s="816">
        <f>FLN!BW56</f>
        <v>0</v>
      </c>
      <c r="CN56" s="823" t="str">
        <f t="shared" si="15"/>
        <v>5317</v>
      </c>
      <c r="CO56" s="816">
        <f>FLN!BX56</f>
        <v>0</v>
      </c>
      <c r="CP56" s="816">
        <f>FLN!BY56</f>
        <v>0</v>
      </c>
      <c r="CQ56" s="816">
        <f>FLN!BZ56</f>
        <v>0</v>
      </c>
      <c r="CR56" s="816">
        <f>FLN!CA56</f>
        <v>0</v>
      </c>
      <c r="CS56" s="823" t="str">
        <f t="shared" si="16"/>
        <v>5318</v>
      </c>
      <c r="CT56" s="816">
        <f>FLN!CB56</f>
        <v>0</v>
      </c>
      <c r="CU56" s="816">
        <f>FLN!CC56</f>
        <v>0</v>
      </c>
      <c r="CV56" s="816">
        <f>FLN!CD56</f>
        <v>0</v>
      </c>
      <c r="CW56" s="816">
        <f>FLN!CE56</f>
        <v>0</v>
      </c>
      <c r="CX56" s="823" t="str">
        <f t="shared" si="17"/>
        <v>5319</v>
      </c>
      <c r="CY56" s="816">
        <f>FLN!CF56</f>
        <v>0</v>
      </c>
      <c r="CZ56" s="816">
        <f>FLN!CG56</f>
        <v>0</v>
      </c>
      <c r="DA56" s="816">
        <f>FLN!CH56</f>
        <v>0</v>
      </c>
      <c r="DB56" s="816">
        <f>FLN!CI56</f>
        <v>0</v>
      </c>
      <c r="DC56" s="823" t="str">
        <f t="shared" si="18"/>
        <v>5320</v>
      </c>
      <c r="DD56" s="816">
        <f>FLN!CJ56</f>
        <v>0</v>
      </c>
      <c r="DE56" s="816">
        <f>FLN!CK56</f>
        <v>0</v>
      </c>
      <c r="DF56" s="816">
        <f>FLN!CL56</f>
        <v>0</v>
      </c>
      <c r="DG56" s="816">
        <f>FLN!CM56</f>
        <v>0</v>
      </c>
      <c r="DH56" s="823" t="str">
        <f t="shared" si="19"/>
        <v>5321</v>
      </c>
      <c r="DI56" s="816">
        <f>FLN!CN56</f>
        <v>0</v>
      </c>
      <c r="DJ56" s="816">
        <f>FLN!CO56</f>
        <v>0</v>
      </c>
      <c r="DK56" s="816">
        <f>FLN!CP56</f>
        <v>0</v>
      </c>
      <c r="DL56" s="816">
        <f>FLN!CQ56</f>
        <v>0</v>
      </c>
      <c r="DM56" s="823" t="str">
        <f t="shared" si="20"/>
        <v>5322</v>
      </c>
      <c r="DN56" s="816">
        <f>FLN!CR56</f>
        <v>0</v>
      </c>
      <c r="DO56" s="816">
        <f>FLN!CS56</f>
        <v>0</v>
      </c>
      <c r="DP56" s="816">
        <f>FLN!CT56</f>
        <v>0</v>
      </c>
      <c r="DQ56" s="816">
        <f>FLN!CU56</f>
        <v>0</v>
      </c>
      <c r="DR56" s="823" t="str">
        <f t="shared" si="21"/>
        <v>5323</v>
      </c>
      <c r="DS56" s="816">
        <f>FLN!CV56</f>
        <v>0</v>
      </c>
      <c r="DT56" s="816">
        <f>FLN!CW56</f>
        <v>0</v>
      </c>
      <c r="DU56" s="816">
        <f>FLN!CX56</f>
        <v>0</v>
      </c>
      <c r="DV56" s="816">
        <f>FLN!CY56</f>
        <v>0</v>
      </c>
      <c r="DW56" s="823" t="str">
        <f t="shared" si="22"/>
        <v>5324</v>
      </c>
      <c r="DX56" s="816">
        <f>FLN!CZ56</f>
        <v>0</v>
      </c>
      <c r="DY56" s="816">
        <f>FLN!DA56</f>
        <v>0</v>
      </c>
      <c r="DZ56" s="816">
        <f>FLN!DB56</f>
        <v>0</v>
      </c>
      <c r="EA56" s="816">
        <f>FLN!DC56</f>
        <v>0</v>
      </c>
      <c r="EB56" s="823" t="str">
        <f t="shared" si="23"/>
        <v>5325</v>
      </c>
      <c r="EC56" s="816">
        <f>FLN!DD56</f>
        <v>0</v>
      </c>
      <c r="ED56" s="816">
        <f>FLN!DE56</f>
        <v>0</v>
      </c>
      <c r="EE56" s="816">
        <f>FLN!DF56</f>
        <v>0</v>
      </c>
      <c r="EF56" s="816">
        <f>FLN!DG56</f>
        <v>0</v>
      </c>
    </row>
    <row r="57" spans="1:136">
      <c r="A57" s="824">
        <v>54</v>
      </c>
      <c r="B57" s="824">
        <f>STUDENT!F55</f>
        <v>0</v>
      </c>
      <c r="C57" s="824">
        <f>STUDENT!D55</f>
        <v>0</v>
      </c>
      <c r="D57" s="827">
        <f>STUDENT!E55</f>
        <v>0</v>
      </c>
      <c r="E57" s="827">
        <f>STUDENT!H55</f>
        <v>0</v>
      </c>
      <c r="F57" s="828">
        <f>FLN!F57</f>
        <v>0</v>
      </c>
      <c r="G57" s="828">
        <f>FLN!G57</f>
        <v>0</v>
      </c>
      <c r="H57" s="828">
        <f>FLN!H57</f>
        <v>0</v>
      </c>
      <c r="I57" s="824" t="str">
        <f>FLN!I57</f>
        <v/>
      </c>
      <c r="J57" s="824" t="str">
        <f>FLN!J57</f>
        <v/>
      </c>
      <c r="K57" s="824" t="str">
        <f>FLN!K57</f>
        <v/>
      </c>
      <c r="L57" s="823" t="str">
        <f t="shared" si="24"/>
        <v>541</v>
      </c>
      <c r="M57" s="816">
        <f>FLN!L57</f>
        <v>0</v>
      </c>
      <c r="N57" s="816">
        <f>FLN!M57</f>
        <v>0</v>
      </c>
      <c r="O57" s="816">
        <f>FLN!N57</f>
        <v>0</v>
      </c>
      <c r="P57" s="816">
        <f>FLN!O57</f>
        <v>0</v>
      </c>
      <c r="Q57" s="823" t="str">
        <f t="shared" si="0"/>
        <v>542</v>
      </c>
      <c r="R57" s="816">
        <f>FLN!P57</f>
        <v>0</v>
      </c>
      <c r="S57" s="816">
        <f>FLN!Q57</f>
        <v>0</v>
      </c>
      <c r="T57" s="816">
        <f>FLN!R57</f>
        <v>0</v>
      </c>
      <c r="U57" s="816">
        <f>FLN!S57</f>
        <v>0</v>
      </c>
      <c r="V57" s="823" t="str">
        <f t="shared" si="1"/>
        <v>543</v>
      </c>
      <c r="W57" s="816">
        <f>FLN!T57</f>
        <v>0</v>
      </c>
      <c r="X57" s="816">
        <f>FLN!U57</f>
        <v>0</v>
      </c>
      <c r="Y57" s="816">
        <f>FLN!V57</f>
        <v>0</v>
      </c>
      <c r="Z57" s="816">
        <f>FLN!W57</f>
        <v>0</v>
      </c>
      <c r="AA57" s="823" t="str">
        <f t="shared" si="2"/>
        <v>544</v>
      </c>
      <c r="AB57" s="816">
        <f>FLN!X57</f>
        <v>0</v>
      </c>
      <c r="AC57" s="816">
        <f>FLN!Y57</f>
        <v>0</v>
      </c>
      <c r="AD57" s="816">
        <f>FLN!Z57</f>
        <v>0</v>
      </c>
      <c r="AE57" s="816">
        <f>FLN!AA57</f>
        <v>0</v>
      </c>
      <c r="AF57" s="823" t="str">
        <f t="shared" si="3"/>
        <v>545</v>
      </c>
      <c r="AG57" s="816">
        <f>FLN!AB57</f>
        <v>0</v>
      </c>
      <c r="AH57" s="816">
        <f>FLN!AC57</f>
        <v>0</v>
      </c>
      <c r="AI57" s="816">
        <f>FLN!AD57</f>
        <v>0</v>
      </c>
      <c r="AJ57" s="816">
        <f>FLN!AE57</f>
        <v>0</v>
      </c>
      <c r="AK57" s="823" t="str">
        <f t="shared" si="4"/>
        <v>546</v>
      </c>
      <c r="AL57" s="816">
        <f>FLN!AF57</f>
        <v>0</v>
      </c>
      <c r="AM57" s="816">
        <f>FLN!AG57</f>
        <v>0</v>
      </c>
      <c r="AN57" s="816">
        <f>FLN!AH57</f>
        <v>0</v>
      </c>
      <c r="AO57" s="816">
        <f>FLN!AI57</f>
        <v>0</v>
      </c>
      <c r="AP57" s="823" t="str">
        <f t="shared" si="5"/>
        <v>547</v>
      </c>
      <c r="AQ57" s="816">
        <f>FLN!AJ57</f>
        <v>0</v>
      </c>
      <c r="AR57" s="816">
        <f>FLN!AK57</f>
        <v>0</v>
      </c>
      <c r="AS57" s="816">
        <f>FLN!AL57</f>
        <v>0</v>
      </c>
      <c r="AT57" s="816">
        <f>FLN!AM57</f>
        <v>0</v>
      </c>
      <c r="AU57" s="823" t="str">
        <f t="shared" si="6"/>
        <v>548</v>
      </c>
      <c r="AV57" s="816">
        <f>FLN!AN57</f>
        <v>0</v>
      </c>
      <c r="AW57" s="816">
        <f>FLN!AO57</f>
        <v>0</v>
      </c>
      <c r="AX57" s="816">
        <f>FLN!AP57</f>
        <v>0</v>
      </c>
      <c r="AY57" s="816">
        <f>FLN!AQ57</f>
        <v>0</v>
      </c>
      <c r="AZ57" s="823" t="str">
        <f t="shared" si="7"/>
        <v>549</v>
      </c>
      <c r="BA57" s="816">
        <f>FLN!AR57</f>
        <v>0</v>
      </c>
      <c r="BB57" s="816">
        <f>FLN!AS57</f>
        <v>0</v>
      </c>
      <c r="BC57" s="816">
        <f>FLN!AT57</f>
        <v>0</v>
      </c>
      <c r="BD57" s="816">
        <f>FLN!AU57</f>
        <v>0</v>
      </c>
      <c r="BE57" s="823" t="str">
        <f t="shared" si="8"/>
        <v>5410</v>
      </c>
      <c r="BF57" s="816">
        <f>FLN!AV57</f>
        <v>0</v>
      </c>
      <c r="BG57" s="816">
        <f>FLN!AW57</f>
        <v>0</v>
      </c>
      <c r="BH57" s="816">
        <f>FLN!AX57</f>
        <v>0</v>
      </c>
      <c r="BI57" s="816">
        <f>FLN!AY57</f>
        <v>0</v>
      </c>
      <c r="BJ57" s="823" t="str">
        <f t="shared" si="9"/>
        <v>5411</v>
      </c>
      <c r="BK57" s="816">
        <f>FLN!AZ57</f>
        <v>0</v>
      </c>
      <c r="BL57" s="816">
        <f>FLN!BA57</f>
        <v>0</v>
      </c>
      <c r="BM57" s="816">
        <f>FLN!BB57</f>
        <v>0</v>
      </c>
      <c r="BN57" s="816">
        <f>FLN!BC57</f>
        <v>0</v>
      </c>
      <c r="BO57" s="823" t="str">
        <f t="shared" si="10"/>
        <v>5412</v>
      </c>
      <c r="BP57" s="816">
        <f>FLN!BD57</f>
        <v>0</v>
      </c>
      <c r="BQ57" s="816">
        <f>FLN!BE57</f>
        <v>0</v>
      </c>
      <c r="BR57" s="816">
        <f>FLN!BF57</f>
        <v>0</v>
      </c>
      <c r="BS57" s="816">
        <f>FLN!BG57</f>
        <v>0</v>
      </c>
      <c r="BT57" s="823" t="str">
        <f t="shared" si="11"/>
        <v>5413</v>
      </c>
      <c r="BU57" s="816">
        <f>FLN!BH57</f>
        <v>0</v>
      </c>
      <c r="BV57" s="816">
        <f>FLN!BI57</f>
        <v>0</v>
      </c>
      <c r="BW57" s="816">
        <f>FLN!BJ57</f>
        <v>0</v>
      </c>
      <c r="BX57" s="816">
        <f>FLN!BK57</f>
        <v>0</v>
      </c>
      <c r="BY57" s="823" t="str">
        <f t="shared" si="12"/>
        <v>5414</v>
      </c>
      <c r="BZ57" s="816">
        <f>FLN!BL57</f>
        <v>0</v>
      </c>
      <c r="CA57" s="816">
        <f>FLN!BM57</f>
        <v>0</v>
      </c>
      <c r="CB57" s="816">
        <f>FLN!BN57</f>
        <v>0</v>
      </c>
      <c r="CC57" s="816">
        <f>FLN!BO57</f>
        <v>0</v>
      </c>
      <c r="CD57" s="823" t="str">
        <f t="shared" si="13"/>
        <v>5415</v>
      </c>
      <c r="CE57" s="816">
        <f>FLN!BP57</f>
        <v>0</v>
      </c>
      <c r="CF57" s="816">
        <f>FLN!BQ57</f>
        <v>0</v>
      </c>
      <c r="CG57" s="816">
        <f>FLN!BR57</f>
        <v>0</v>
      </c>
      <c r="CH57" s="816">
        <f>FLN!BS57</f>
        <v>0</v>
      </c>
      <c r="CI57" s="823" t="str">
        <f t="shared" si="14"/>
        <v>5416</v>
      </c>
      <c r="CJ57" s="816">
        <f>FLN!BT57</f>
        <v>0</v>
      </c>
      <c r="CK57" s="816">
        <f>FLN!BU57</f>
        <v>0</v>
      </c>
      <c r="CL57" s="816">
        <f>FLN!BV57</f>
        <v>0</v>
      </c>
      <c r="CM57" s="816">
        <f>FLN!BW57</f>
        <v>0</v>
      </c>
      <c r="CN57" s="823" t="str">
        <f t="shared" si="15"/>
        <v>5417</v>
      </c>
      <c r="CO57" s="816">
        <f>FLN!BX57</f>
        <v>0</v>
      </c>
      <c r="CP57" s="816">
        <f>FLN!BY57</f>
        <v>0</v>
      </c>
      <c r="CQ57" s="816">
        <f>FLN!BZ57</f>
        <v>0</v>
      </c>
      <c r="CR57" s="816">
        <f>FLN!CA57</f>
        <v>0</v>
      </c>
      <c r="CS57" s="823" t="str">
        <f t="shared" si="16"/>
        <v>5418</v>
      </c>
      <c r="CT57" s="816">
        <f>FLN!CB57</f>
        <v>0</v>
      </c>
      <c r="CU57" s="816">
        <f>FLN!CC57</f>
        <v>0</v>
      </c>
      <c r="CV57" s="816">
        <f>FLN!CD57</f>
        <v>0</v>
      </c>
      <c r="CW57" s="816">
        <f>FLN!CE57</f>
        <v>0</v>
      </c>
      <c r="CX57" s="823" t="str">
        <f t="shared" si="17"/>
        <v>5419</v>
      </c>
      <c r="CY57" s="816">
        <f>FLN!CF57</f>
        <v>0</v>
      </c>
      <c r="CZ57" s="816">
        <f>FLN!CG57</f>
        <v>0</v>
      </c>
      <c r="DA57" s="816">
        <f>FLN!CH57</f>
        <v>0</v>
      </c>
      <c r="DB57" s="816">
        <f>FLN!CI57</f>
        <v>0</v>
      </c>
      <c r="DC57" s="823" t="str">
        <f t="shared" si="18"/>
        <v>5420</v>
      </c>
      <c r="DD57" s="816">
        <f>FLN!CJ57</f>
        <v>0</v>
      </c>
      <c r="DE57" s="816">
        <f>FLN!CK57</f>
        <v>0</v>
      </c>
      <c r="DF57" s="816">
        <f>FLN!CL57</f>
        <v>0</v>
      </c>
      <c r="DG57" s="816">
        <f>FLN!CM57</f>
        <v>0</v>
      </c>
      <c r="DH57" s="823" t="str">
        <f t="shared" si="19"/>
        <v>5421</v>
      </c>
      <c r="DI57" s="816">
        <f>FLN!CN57</f>
        <v>0</v>
      </c>
      <c r="DJ57" s="816">
        <f>FLN!CO57</f>
        <v>0</v>
      </c>
      <c r="DK57" s="816">
        <f>FLN!CP57</f>
        <v>0</v>
      </c>
      <c r="DL57" s="816">
        <f>FLN!CQ57</f>
        <v>0</v>
      </c>
      <c r="DM57" s="823" t="str">
        <f t="shared" si="20"/>
        <v>5422</v>
      </c>
      <c r="DN57" s="816">
        <f>FLN!CR57</f>
        <v>0</v>
      </c>
      <c r="DO57" s="816">
        <f>FLN!CS57</f>
        <v>0</v>
      </c>
      <c r="DP57" s="816">
        <f>FLN!CT57</f>
        <v>0</v>
      </c>
      <c r="DQ57" s="816">
        <f>FLN!CU57</f>
        <v>0</v>
      </c>
      <c r="DR57" s="823" t="str">
        <f t="shared" si="21"/>
        <v>5423</v>
      </c>
      <c r="DS57" s="816">
        <f>FLN!CV57</f>
        <v>0</v>
      </c>
      <c r="DT57" s="816">
        <f>FLN!CW57</f>
        <v>0</v>
      </c>
      <c r="DU57" s="816">
        <f>FLN!CX57</f>
        <v>0</v>
      </c>
      <c r="DV57" s="816">
        <f>FLN!CY57</f>
        <v>0</v>
      </c>
      <c r="DW57" s="823" t="str">
        <f t="shared" si="22"/>
        <v>5424</v>
      </c>
      <c r="DX57" s="816">
        <f>FLN!CZ57</f>
        <v>0</v>
      </c>
      <c r="DY57" s="816">
        <f>FLN!DA57</f>
        <v>0</v>
      </c>
      <c r="DZ57" s="816">
        <f>FLN!DB57</f>
        <v>0</v>
      </c>
      <c r="EA57" s="816">
        <f>FLN!DC57</f>
        <v>0</v>
      </c>
      <c r="EB57" s="823" t="str">
        <f t="shared" si="23"/>
        <v>5425</v>
      </c>
      <c r="EC57" s="816">
        <f>FLN!DD57</f>
        <v>0</v>
      </c>
      <c r="ED57" s="816">
        <f>FLN!DE57</f>
        <v>0</v>
      </c>
      <c r="EE57" s="816">
        <f>FLN!DF57</f>
        <v>0</v>
      </c>
      <c r="EF57" s="816">
        <f>FLN!DG57</f>
        <v>0</v>
      </c>
    </row>
    <row r="58" spans="1:136">
      <c r="A58" s="824">
        <v>55</v>
      </c>
      <c r="B58" s="824">
        <f>STUDENT!F56</f>
        <v>0</v>
      </c>
      <c r="C58" s="824">
        <f>STUDENT!D56</f>
        <v>0</v>
      </c>
      <c r="D58" s="827">
        <f>STUDENT!E56</f>
        <v>0</v>
      </c>
      <c r="E58" s="827">
        <f>STUDENT!H56</f>
        <v>0</v>
      </c>
      <c r="F58" s="828">
        <f>FLN!F58</f>
        <v>0</v>
      </c>
      <c r="G58" s="828">
        <f>FLN!G58</f>
        <v>0</v>
      </c>
      <c r="H58" s="828">
        <f>FLN!H58</f>
        <v>0</v>
      </c>
      <c r="I58" s="824" t="str">
        <f>FLN!I58</f>
        <v/>
      </c>
      <c r="J58" s="824" t="str">
        <f>FLN!J58</f>
        <v/>
      </c>
      <c r="K58" s="824" t="str">
        <f>FLN!K58</f>
        <v/>
      </c>
      <c r="L58" s="823" t="str">
        <f t="shared" si="24"/>
        <v>551</v>
      </c>
      <c r="M58" s="816">
        <f>FLN!L58</f>
        <v>0</v>
      </c>
      <c r="N58" s="816">
        <f>FLN!M58</f>
        <v>0</v>
      </c>
      <c r="O58" s="816">
        <f>FLN!N58</f>
        <v>0</v>
      </c>
      <c r="P58" s="816">
        <f>FLN!O58</f>
        <v>0</v>
      </c>
      <c r="Q58" s="823" t="str">
        <f t="shared" si="0"/>
        <v>552</v>
      </c>
      <c r="R58" s="816">
        <f>FLN!P58</f>
        <v>0</v>
      </c>
      <c r="S58" s="816">
        <f>FLN!Q58</f>
        <v>0</v>
      </c>
      <c r="T58" s="816">
        <f>FLN!R58</f>
        <v>0</v>
      </c>
      <c r="U58" s="816">
        <f>FLN!S58</f>
        <v>0</v>
      </c>
      <c r="V58" s="823" t="str">
        <f t="shared" si="1"/>
        <v>553</v>
      </c>
      <c r="W58" s="816">
        <f>FLN!T58</f>
        <v>0</v>
      </c>
      <c r="X58" s="816">
        <f>FLN!U58</f>
        <v>0</v>
      </c>
      <c r="Y58" s="816">
        <f>FLN!V58</f>
        <v>0</v>
      </c>
      <c r="Z58" s="816">
        <f>FLN!W58</f>
        <v>0</v>
      </c>
      <c r="AA58" s="823" t="str">
        <f t="shared" si="2"/>
        <v>554</v>
      </c>
      <c r="AB58" s="816">
        <f>FLN!X58</f>
        <v>0</v>
      </c>
      <c r="AC58" s="816">
        <f>FLN!Y58</f>
        <v>0</v>
      </c>
      <c r="AD58" s="816">
        <f>FLN!Z58</f>
        <v>0</v>
      </c>
      <c r="AE58" s="816">
        <f>FLN!AA58</f>
        <v>0</v>
      </c>
      <c r="AF58" s="823" t="str">
        <f t="shared" si="3"/>
        <v>555</v>
      </c>
      <c r="AG58" s="816">
        <f>FLN!AB58</f>
        <v>0</v>
      </c>
      <c r="AH58" s="816">
        <f>FLN!AC58</f>
        <v>0</v>
      </c>
      <c r="AI58" s="816">
        <f>FLN!AD58</f>
        <v>0</v>
      </c>
      <c r="AJ58" s="816">
        <f>FLN!AE58</f>
        <v>0</v>
      </c>
      <c r="AK58" s="823" t="str">
        <f t="shared" si="4"/>
        <v>556</v>
      </c>
      <c r="AL58" s="816">
        <f>FLN!AF58</f>
        <v>0</v>
      </c>
      <c r="AM58" s="816">
        <f>FLN!AG58</f>
        <v>0</v>
      </c>
      <c r="AN58" s="816">
        <f>FLN!AH58</f>
        <v>0</v>
      </c>
      <c r="AO58" s="816">
        <f>FLN!AI58</f>
        <v>0</v>
      </c>
      <c r="AP58" s="823" t="str">
        <f t="shared" si="5"/>
        <v>557</v>
      </c>
      <c r="AQ58" s="816">
        <f>FLN!AJ58</f>
        <v>0</v>
      </c>
      <c r="AR58" s="816">
        <f>FLN!AK58</f>
        <v>0</v>
      </c>
      <c r="AS58" s="816">
        <f>FLN!AL58</f>
        <v>0</v>
      </c>
      <c r="AT58" s="816">
        <f>FLN!AM58</f>
        <v>0</v>
      </c>
      <c r="AU58" s="823" t="str">
        <f t="shared" si="6"/>
        <v>558</v>
      </c>
      <c r="AV58" s="816">
        <f>FLN!AN58</f>
        <v>0</v>
      </c>
      <c r="AW58" s="816">
        <f>FLN!AO58</f>
        <v>0</v>
      </c>
      <c r="AX58" s="816">
        <f>FLN!AP58</f>
        <v>0</v>
      </c>
      <c r="AY58" s="816">
        <f>FLN!AQ58</f>
        <v>0</v>
      </c>
      <c r="AZ58" s="823" t="str">
        <f t="shared" si="7"/>
        <v>559</v>
      </c>
      <c r="BA58" s="816">
        <f>FLN!AR58</f>
        <v>0</v>
      </c>
      <c r="BB58" s="816">
        <f>FLN!AS58</f>
        <v>0</v>
      </c>
      <c r="BC58" s="816">
        <f>FLN!AT58</f>
        <v>0</v>
      </c>
      <c r="BD58" s="816">
        <f>FLN!AU58</f>
        <v>0</v>
      </c>
      <c r="BE58" s="823" t="str">
        <f t="shared" si="8"/>
        <v>5510</v>
      </c>
      <c r="BF58" s="816">
        <f>FLN!AV58</f>
        <v>0</v>
      </c>
      <c r="BG58" s="816">
        <f>FLN!AW58</f>
        <v>0</v>
      </c>
      <c r="BH58" s="816">
        <f>FLN!AX58</f>
        <v>0</v>
      </c>
      <c r="BI58" s="816">
        <f>FLN!AY58</f>
        <v>0</v>
      </c>
      <c r="BJ58" s="823" t="str">
        <f t="shared" si="9"/>
        <v>5511</v>
      </c>
      <c r="BK58" s="816">
        <f>FLN!AZ58</f>
        <v>0</v>
      </c>
      <c r="BL58" s="816">
        <f>FLN!BA58</f>
        <v>0</v>
      </c>
      <c r="BM58" s="816">
        <f>FLN!BB58</f>
        <v>0</v>
      </c>
      <c r="BN58" s="816">
        <f>FLN!BC58</f>
        <v>0</v>
      </c>
      <c r="BO58" s="823" t="str">
        <f t="shared" si="10"/>
        <v>5512</v>
      </c>
      <c r="BP58" s="816">
        <f>FLN!BD58</f>
        <v>0</v>
      </c>
      <c r="BQ58" s="816">
        <f>FLN!BE58</f>
        <v>0</v>
      </c>
      <c r="BR58" s="816">
        <f>FLN!BF58</f>
        <v>0</v>
      </c>
      <c r="BS58" s="816">
        <f>FLN!BG58</f>
        <v>0</v>
      </c>
      <c r="BT58" s="823" t="str">
        <f t="shared" si="11"/>
        <v>5513</v>
      </c>
      <c r="BU58" s="816">
        <f>FLN!BH58</f>
        <v>0</v>
      </c>
      <c r="BV58" s="816">
        <f>FLN!BI58</f>
        <v>0</v>
      </c>
      <c r="BW58" s="816">
        <f>FLN!BJ58</f>
        <v>0</v>
      </c>
      <c r="BX58" s="816">
        <f>FLN!BK58</f>
        <v>0</v>
      </c>
      <c r="BY58" s="823" t="str">
        <f t="shared" si="12"/>
        <v>5514</v>
      </c>
      <c r="BZ58" s="816">
        <f>FLN!BL58</f>
        <v>0</v>
      </c>
      <c r="CA58" s="816">
        <f>FLN!BM58</f>
        <v>0</v>
      </c>
      <c r="CB58" s="816">
        <f>FLN!BN58</f>
        <v>0</v>
      </c>
      <c r="CC58" s="816">
        <f>FLN!BO58</f>
        <v>0</v>
      </c>
      <c r="CD58" s="823" t="str">
        <f t="shared" si="13"/>
        <v>5515</v>
      </c>
      <c r="CE58" s="816">
        <f>FLN!BP58</f>
        <v>0</v>
      </c>
      <c r="CF58" s="816">
        <f>FLN!BQ58</f>
        <v>0</v>
      </c>
      <c r="CG58" s="816">
        <f>FLN!BR58</f>
        <v>0</v>
      </c>
      <c r="CH58" s="816">
        <f>FLN!BS58</f>
        <v>0</v>
      </c>
      <c r="CI58" s="823" t="str">
        <f t="shared" si="14"/>
        <v>5516</v>
      </c>
      <c r="CJ58" s="816">
        <f>FLN!BT58</f>
        <v>0</v>
      </c>
      <c r="CK58" s="816">
        <f>FLN!BU58</f>
        <v>0</v>
      </c>
      <c r="CL58" s="816">
        <f>FLN!BV58</f>
        <v>0</v>
      </c>
      <c r="CM58" s="816">
        <f>FLN!BW58</f>
        <v>0</v>
      </c>
      <c r="CN58" s="823" t="str">
        <f t="shared" si="15"/>
        <v>5517</v>
      </c>
      <c r="CO58" s="816">
        <f>FLN!BX58</f>
        <v>0</v>
      </c>
      <c r="CP58" s="816">
        <f>FLN!BY58</f>
        <v>0</v>
      </c>
      <c r="CQ58" s="816">
        <f>FLN!BZ58</f>
        <v>0</v>
      </c>
      <c r="CR58" s="816">
        <f>FLN!CA58</f>
        <v>0</v>
      </c>
      <c r="CS58" s="823" t="str">
        <f t="shared" si="16"/>
        <v>5518</v>
      </c>
      <c r="CT58" s="816">
        <f>FLN!CB58</f>
        <v>0</v>
      </c>
      <c r="CU58" s="816">
        <f>FLN!CC58</f>
        <v>0</v>
      </c>
      <c r="CV58" s="816">
        <f>FLN!CD58</f>
        <v>0</v>
      </c>
      <c r="CW58" s="816">
        <f>FLN!CE58</f>
        <v>0</v>
      </c>
      <c r="CX58" s="823" t="str">
        <f t="shared" si="17"/>
        <v>5519</v>
      </c>
      <c r="CY58" s="816">
        <f>FLN!CF58</f>
        <v>0</v>
      </c>
      <c r="CZ58" s="816">
        <f>FLN!CG58</f>
        <v>0</v>
      </c>
      <c r="DA58" s="816">
        <f>FLN!CH58</f>
        <v>0</v>
      </c>
      <c r="DB58" s="816">
        <f>FLN!CI58</f>
        <v>0</v>
      </c>
      <c r="DC58" s="823" t="str">
        <f t="shared" si="18"/>
        <v>5520</v>
      </c>
      <c r="DD58" s="816">
        <f>FLN!CJ58</f>
        <v>0</v>
      </c>
      <c r="DE58" s="816">
        <f>FLN!CK58</f>
        <v>0</v>
      </c>
      <c r="DF58" s="816">
        <f>FLN!CL58</f>
        <v>0</v>
      </c>
      <c r="DG58" s="816">
        <f>FLN!CM58</f>
        <v>0</v>
      </c>
      <c r="DH58" s="823" t="str">
        <f t="shared" si="19"/>
        <v>5521</v>
      </c>
      <c r="DI58" s="816">
        <f>FLN!CN58</f>
        <v>0</v>
      </c>
      <c r="DJ58" s="816">
        <f>FLN!CO58</f>
        <v>0</v>
      </c>
      <c r="DK58" s="816">
        <f>FLN!CP58</f>
        <v>0</v>
      </c>
      <c r="DL58" s="816">
        <f>FLN!CQ58</f>
        <v>0</v>
      </c>
      <c r="DM58" s="823" t="str">
        <f t="shared" si="20"/>
        <v>5522</v>
      </c>
      <c r="DN58" s="816">
        <f>FLN!CR58</f>
        <v>0</v>
      </c>
      <c r="DO58" s="816">
        <f>FLN!CS58</f>
        <v>0</v>
      </c>
      <c r="DP58" s="816">
        <f>FLN!CT58</f>
        <v>0</v>
      </c>
      <c r="DQ58" s="816">
        <f>FLN!CU58</f>
        <v>0</v>
      </c>
      <c r="DR58" s="823" t="str">
        <f t="shared" si="21"/>
        <v>5523</v>
      </c>
      <c r="DS58" s="816">
        <f>FLN!CV58</f>
        <v>0</v>
      </c>
      <c r="DT58" s="816">
        <f>FLN!CW58</f>
        <v>0</v>
      </c>
      <c r="DU58" s="816">
        <f>FLN!CX58</f>
        <v>0</v>
      </c>
      <c r="DV58" s="816">
        <f>FLN!CY58</f>
        <v>0</v>
      </c>
      <c r="DW58" s="823" t="str">
        <f t="shared" si="22"/>
        <v>5524</v>
      </c>
      <c r="DX58" s="816">
        <f>FLN!CZ58</f>
        <v>0</v>
      </c>
      <c r="DY58" s="816">
        <f>FLN!DA58</f>
        <v>0</v>
      </c>
      <c r="DZ58" s="816">
        <f>FLN!DB58</f>
        <v>0</v>
      </c>
      <c r="EA58" s="816">
        <f>FLN!DC58</f>
        <v>0</v>
      </c>
      <c r="EB58" s="823" t="str">
        <f t="shared" si="23"/>
        <v>5525</v>
      </c>
      <c r="EC58" s="816">
        <f>FLN!DD58</f>
        <v>0</v>
      </c>
      <c r="ED58" s="816">
        <f>FLN!DE58</f>
        <v>0</v>
      </c>
      <c r="EE58" s="816">
        <f>FLN!DF58</f>
        <v>0</v>
      </c>
      <c r="EF58" s="816">
        <f>FLN!DG58</f>
        <v>0</v>
      </c>
    </row>
    <row r="59" spans="1:136">
      <c r="A59" s="824">
        <v>56</v>
      </c>
      <c r="B59" s="824">
        <f>STUDENT!F57</f>
        <v>0</v>
      </c>
      <c r="C59" s="824">
        <f>STUDENT!D57</f>
        <v>0</v>
      </c>
      <c r="D59" s="827">
        <f>STUDENT!E57</f>
        <v>0</v>
      </c>
      <c r="E59" s="827">
        <f>STUDENT!H57</f>
        <v>0</v>
      </c>
      <c r="F59" s="828">
        <f>FLN!F59</f>
        <v>0</v>
      </c>
      <c r="G59" s="828">
        <f>FLN!G59</f>
        <v>0</v>
      </c>
      <c r="H59" s="828">
        <f>FLN!H59</f>
        <v>0</v>
      </c>
      <c r="I59" s="824" t="str">
        <f>FLN!I59</f>
        <v/>
      </c>
      <c r="J59" s="824" t="str">
        <f>FLN!J59</f>
        <v/>
      </c>
      <c r="K59" s="824" t="str">
        <f>FLN!K59</f>
        <v/>
      </c>
      <c r="L59" s="823" t="str">
        <f t="shared" si="24"/>
        <v>561</v>
      </c>
      <c r="M59" s="816">
        <f>FLN!L59</f>
        <v>0</v>
      </c>
      <c r="N59" s="816">
        <f>FLN!M59</f>
        <v>0</v>
      </c>
      <c r="O59" s="816">
        <f>FLN!N59</f>
        <v>0</v>
      </c>
      <c r="P59" s="816">
        <f>FLN!O59</f>
        <v>0</v>
      </c>
      <c r="Q59" s="823" t="str">
        <f t="shared" si="0"/>
        <v>562</v>
      </c>
      <c r="R59" s="816">
        <f>FLN!P59</f>
        <v>0</v>
      </c>
      <c r="S59" s="816">
        <f>FLN!Q59</f>
        <v>0</v>
      </c>
      <c r="T59" s="816">
        <f>FLN!R59</f>
        <v>0</v>
      </c>
      <c r="U59" s="816">
        <f>FLN!S59</f>
        <v>0</v>
      </c>
      <c r="V59" s="823" t="str">
        <f t="shared" si="1"/>
        <v>563</v>
      </c>
      <c r="W59" s="816">
        <f>FLN!T59</f>
        <v>0</v>
      </c>
      <c r="X59" s="816">
        <f>FLN!U59</f>
        <v>0</v>
      </c>
      <c r="Y59" s="816">
        <f>FLN!V59</f>
        <v>0</v>
      </c>
      <c r="Z59" s="816">
        <f>FLN!W59</f>
        <v>0</v>
      </c>
      <c r="AA59" s="823" t="str">
        <f t="shared" si="2"/>
        <v>564</v>
      </c>
      <c r="AB59" s="816">
        <f>FLN!X59</f>
        <v>0</v>
      </c>
      <c r="AC59" s="816">
        <f>FLN!Y59</f>
        <v>0</v>
      </c>
      <c r="AD59" s="816">
        <f>FLN!Z59</f>
        <v>0</v>
      </c>
      <c r="AE59" s="816">
        <f>FLN!AA59</f>
        <v>0</v>
      </c>
      <c r="AF59" s="823" t="str">
        <f t="shared" si="3"/>
        <v>565</v>
      </c>
      <c r="AG59" s="816">
        <f>FLN!AB59</f>
        <v>0</v>
      </c>
      <c r="AH59" s="816">
        <f>FLN!AC59</f>
        <v>0</v>
      </c>
      <c r="AI59" s="816">
        <f>FLN!AD59</f>
        <v>0</v>
      </c>
      <c r="AJ59" s="816">
        <f>FLN!AE59</f>
        <v>0</v>
      </c>
      <c r="AK59" s="823" t="str">
        <f t="shared" si="4"/>
        <v>566</v>
      </c>
      <c r="AL59" s="816">
        <f>FLN!AF59</f>
        <v>0</v>
      </c>
      <c r="AM59" s="816">
        <f>FLN!AG59</f>
        <v>0</v>
      </c>
      <c r="AN59" s="816">
        <f>FLN!AH59</f>
        <v>0</v>
      </c>
      <c r="AO59" s="816">
        <f>FLN!AI59</f>
        <v>0</v>
      </c>
      <c r="AP59" s="823" t="str">
        <f t="shared" si="5"/>
        <v>567</v>
      </c>
      <c r="AQ59" s="816">
        <f>FLN!AJ59</f>
        <v>0</v>
      </c>
      <c r="AR59" s="816">
        <f>FLN!AK59</f>
        <v>0</v>
      </c>
      <c r="AS59" s="816">
        <f>FLN!AL59</f>
        <v>0</v>
      </c>
      <c r="AT59" s="816">
        <f>FLN!AM59</f>
        <v>0</v>
      </c>
      <c r="AU59" s="823" t="str">
        <f t="shared" si="6"/>
        <v>568</v>
      </c>
      <c r="AV59" s="816">
        <f>FLN!AN59</f>
        <v>0</v>
      </c>
      <c r="AW59" s="816">
        <f>FLN!AO59</f>
        <v>0</v>
      </c>
      <c r="AX59" s="816">
        <f>FLN!AP59</f>
        <v>0</v>
      </c>
      <c r="AY59" s="816">
        <f>FLN!AQ59</f>
        <v>0</v>
      </c>
      <c r="AZ59" s="823" t="str">
        <f t="shared" si="7"/>
        <v>569</v>
      </c>
      <c r="BA59" s="816">
        <f>FLN!AR59</f>
        <v>0</v>
      </c>
      <c r="BB59" s="816">
        <f>FLN!AS59</f>
        <v>0</v>
      </c>
      <c r="BC59" s="816">
        <f>FLN!AT59</f>
        <v>0</v>
      </c>
      <c r="BD59" s="816">
        <f>FLN!AU59</f>
        <v>0</v>
      </c>
      <c r="BE59" s="823" t="str">
        <f t="shared" si="8"/>
        <v>5610</v>
      </c>
      <c r="BF59" s="816">
        <f>FLN!AV59</f>
        <v>0</v>
      </c>
      <c r="BG59" s="816">
        <f>FLN!AW59</f>
        <v>0</v>
      </c>
      <c r="BH59" s="816">
        <f>FLN!AX59</f>
        <v>0</v>
      </c>
      <c r="BI59" s="816">
        <f>FLN!AY59</f>
        <v>0</v>
      </c>
      <c r="BJ59" s="823" t="str">
        <f t="shared" si="9"/>
        <v>5611</v>
      </c>
      <c r="BK59" s="816">
        <f>FLN!AZ59</f>
        <v>0</v>
      </c>
      <c r="BL59" s="816">
        <f>FLN!BA59</f>
        <v>0</v>
      </c>
      <c r="BM59" s="816">
        <f>FLN!BB59</f>
        <v>0</v>
      </c>
      <c r="BN59" s="816">
        <f>FLN!BC59</f>
        <v>0</v>
      </c>
      <c r="BO59" s="823" t="str">
        <f t="shared" si="10"/>
        <v>5612</v>
      </c>
      <c r="BP59" s="816">
        <f>FLN!BD59</f>
        <v>0</v>
      </c>
      <c r="BQ59" s="816">
        <f>FLN!BE59</f>
        <v>0</v>
      </c>
      <c r="BR59" s="816">
        <f>FLN!BF59</f>
        <v>0</v>
      </c>
      <c r="BS59" s="816">
        <f>FLN!BG59</f>
        <v>0</v>
      </c>
      <c r="BT59" s="823" t="str">
        <f t="shared" si="11"/>
        <v>5613</v>
      </c>
      <c r="BU59" s="816">
        <f>FLN!BH59</f>
        <v>0</v>
      </c>
      <c r="BV59" s="816">
        <f>FLN!BI59</f>
        <v>0</v>
      </c>
      <c r="BW59" s="816">
        <f>FLN!BJ59</f>
        <v>0</v>
      </c>
      <c r="BX59" s="816">
        <f>FLN!BK59</f>
        <v>0</v>
      </c>
      <c r="BY59" s="823" t="str">
        <f t="shared" si="12"/>
        <v>5614</v>
      </c>
      <c r="BZ59" s="816">
        <f>FLN!BL59</f>
        <v>0</v>
      </c>
      <c r="CA59" s="816">
        <f>FLN!BM59</f>
        <v>0</v>
      </c>
      <c r="CB59" s="816">
        <f>FLN!BN59</f>
        <v>0</v>
      </c>
      <c r="CC59" s="816">
        <f>FLN!BO59</f>
        <v>0</v>
      </c>
      <c r="CD59" s="823" t="str">
        <f t="shared" si="13"/>
        <v>5615</v>
      </c>
      <c r="CE59" s="816">
        <f>FLN!BP59</f>
        <v>0</v>
      </c>
      <c r="CF59" s="816">
        <f>FLN!BQ59</f>
        <v>0</v>
      </c>
      <c r="CG59" s="816">
        <f>FLN!BR59</f>
        <v>0</v>
      </c>
      <c r="CH59" s="816">
        <f>FLN!BS59</f>
        <v>0</v>
      </c>
      <c r="CI59" s="823" t="str">
        <f t="shared" si="14"/>
        <v>5616</v>
      </c>
      <c r="CJ59" s="816">
        <f>FLN!BT59</f>
        <v>0</v>
      </c>
      <c r="CK59" s="816">
        <f>FLN!BU59</f>
        <v>0</v>
      </c>
      <c r="CL59" s="816">
        <f>FLN!BV59</f>
        <v>0</v>
      </c>
      <c r="CM59" s="816">
        <f>FLN!BW59</f>
        <v>0</v>
      </c>
      <c r="CN59" s="823" t="str">
        <f t="shared" si="15"/>
        <v>5617</v>
      </c>
      <c r="CO59" s="816">
        <f>FLN!BX59</f>
        <v>0</v>
      </c>
      <c r="CP59" s="816">
        <f>FLN!BY59</f>
        <v>0</v>
      </c>
      <c r="CQ59" s="816">
        <f>FLN!BZ59</f>
        <v>0</v>
      </c>
      <c r="CR59" s="816">
        <f>FLN!CA59</f>
        <v>0</v>
      </c>
      <c r="CS59" s="823" t="str">
        <f t="shared" si="16"/>
        <v>5618</v>
      </c>
      <c r="CT59" s="816">
        <f>FLN!CB59</f>
        <v>0</v>
      </c>
      <c r="CU59" s="816">
        <f>FLN!CC59</f>
        <v>0</v>
      </c>
      <c r="CV59" s="816">
        <f>FLN!CD59</f>
        <v>0</v>
      </c>
      <c r="CW59" s="816">
        <f>FLN!CE59</f>
        <v>0</v>
      </c>
      <c r="CX59" s="823" t="str">
        <f t="shared" si="17"/>
        <v>5619</v>
      </c>
      <c r="CY59" s="816">
        <f>FLN!CF59</f>
        <v>0</v>
      </c>
      <c r="CZ59" s="816">
        <f>FLN!CG59</f>
        <v>0</v>
      </c>
      <c r="DA59" s="816">
        <f>FLN!CH59</f>
        <v>0</v>
      </c>
      <c r="DB59" s="816">
        <f>FLN!CI59</f>
        <v>0</v>
      </c>
      <c r="DC59" s="823" t="str">
        <f t="shared" si="18"/>
        <v>5620</v>
      </c>
      <c r="DD59" s="816">
        <f>FLN!CJ59</f>
        <v>0</v>
      </c>
      <c r="DE59" s="816">
        <f>FLN!CK59</f>
        <v>0</v>
      </c>
      <c r="DF59" s="816">
        <f>FLN!CL59</f>
        <v>0</v>
      </c>
      <c r="DG59" s="816">
        <f>FLN!CM59</f>
        <v>0</v>
      </c>
      <c r="DH59" s="823" t="str">
        <f t="shared" si="19"/>
        <v>5621</v>
      </c>
      <c r="DI59" s="816">
        <f>FLN!CN59</f>
        <v>0</v>
      </c>
      <c r="DJ59" s="816">
        <f>FLN!CO59</f>
        <v>0</v>
      </c>
      <c r="DK59" s="816">
        <f>FLN!CP59</f>
        <v>0</v>
      </c>
      <c r="DL59" s="816">
        <f>FLN!CQ59</f>
        <v>0</v>
      </c>
      <c r="DM59" s="823" t="str">
        <f t="shared" si="20"/>
        <v>5622</v>
      </c>
      <c r="DN59" s="816">
        <f>FLN!CR59</f>
        <v>0</v>
      </c>
      <c r="DO59" s="816">
        <f>FLN!CS59</f>
        <v>0</v>
      </c>
      <c r="DP59" s="816">
        <f>FLN!CT59</f>
        <v>0</v>
      </c>
      <c r="DQ59" s="816">
        <f>FLN!CU59</f>
        <v>0</v>
      </c>
      <c r="DR59" s="823" t="str">
        <f t="shared" si="21"/>
        <v>5623</v>
      </c>
      <c r="DS59" s="816">
        <f>FLN!CV59</f>
        <v>0</v>
      </c>
      <c r="DT59" s="816">
        <f>FLN!CW59</f>
        <v>0</v>
      </c>
      <c r="DU59" s="816">
        <f>FLN!CX59</f>
        <v>0</v>
      </c>
      <c r="DV59" s="816">
        <f>FLN!CY59</f>
        <v>0</v>
      </c>
      <c r="DW59" s="823" t="str">
        <f t="shared" si="22"/>
        <v>5624</v>
      </c>
      <c r="DX59" s="816">
        <f>FLN!CZ59</f>
        <v>0</v>
      </c>
      <c r="DY59" s="816">
        <f>FLN!DA59</f>
        <v>0</v>
      </c>
      <c r="DZ59" s="816">
        <f>FLN!DB59</f>
        <v>0</v>
      </c>
      <c r="EA59" s="816">
        <f>FLN!DC59</f>
        <v>0</v>
      </c>
      <c r="EB59" s="823" t="str">
        <f t="shared" si="23"/>
        <v>5625</v>
      </c>
      <c r="EC59" s="816">
        <f>FLN!DD59</f>
        <v>0</v>
      </c>
      <c r="ED59" s="816">
        <f>FLN!DE59</f>
        <v>0</v>
      </c>
      <c r="EE59" s="816">
        <f>FLN!DF59</f>
        <v>0</v>
      </c>
      <c r="EF59" s="816">
        <f>FLN!DG59</f>
        <v>0</v>
      </c>
    </row>
    <row r="60" spans="1:136">
      <c r="A60" s="824">
        <v>57</v>
      </c>
      <c r="B60" s="824">
        <f>STUDENT!F58</f>
        <v>0</v>
      </c>
      <c r="C60" s="824">
        <f>STUDENT!D58</f>
        <v>0</v>
      </c>
      <c r="D60" s="827">
        <f>STUDENT!E58</f>
        <v>0</v>
      </c>
      <c r="E60" s="827">
        <f>STUDENT!H58</f>
        <v>0</v>
      </c>
      <c r="F60" s="828">
        <f>FLN!F60</f>
        <v>0</v>
      </c>
      <c r="G60" s="828">
        <f>FLN!G60</f>
        <v>0</v>
      </c>
      <c r="H60" s="828">
        <f>FLN!H60</f>
        <v>0</v>
      </c>
      <c r="I60" s="824" t="str">
        <f>FLN!I60</f>
        <v/>
      </c>
      <c r="J60" s="824" t="str">
        <f>FLN!J60</f>
        <v/>
      </c>
      <c r="K60" s="824" t="str">
        <f>FLN!K60</f>
        <v/>
      </c>
      <c r="L60" s="823" t="str">
        <f t="shared" si="24"/>
        <v>571</v>
      </c>
      <c r="M60" s="816">
        <f>FLN!L60</f>
        <v>0</v>
      </c>
      <c r="N60" s="816">
        <f>FLN!M60</f>
        <v>0</v>
      </c>
      <c r="O60" s="816">
        <f>FLN!N60</f>
        <v>0</v>
      </c>
      <c r="P60" s="816">
        <f>FLN!O60</f>
        <v>0</v>
      </c>
      <c r="Q60" s="823" t="str">
        <f t="shared" si="0"/>
        <v>572</v>
      </c>
      <c r="R60" s="816">
        <f>FLN!P60</f>
        <v>0</v>
      </c>
      <c r="S60" s="816">
        <f>FLN!Q60</f>
        <v>0</v>
      </c>
      <c r="T60" s="816">
        <f>FLN!R60</f>
        <v>0</v>
      </c>
      <c r="U60" s="816">
        <f>FLN!S60</f>
        <v>0</v>
      </c>
      <c r="V60" s="823" t="str">
        <f t="shared" si="1"/>
        <v>573</v>
      </c>
      <c r="W60" s="816">
        <f>FLN!T60</f>
        <v>0</v>
      </c>
      <c r="X60" s="816">
        <f>FLN!U60</f>
        <v>0</v>
      </c>
      <c r="Y60" s="816">
        <f>FLN!V60</f>
        <v>0</v>
      </c>
      <c r="Z60" s="816">
        <f>FLN!W60</f>
        <v>0</v>
      </c>
      <c r="AA60" s="823" t="str">
        <f t="shared" si="2"/>
        <v>574</v>
      </c>
      <c r="AB60" s="816">
        <f>FLN!X60</f>
        <v>0</v>
      </c>
      <c r="AC60" s="816">
        <f>FLN!Y60</f>
        <v>0</v>
      </c>
      <c r="AD60" s="816">
        <f>FLN!Z60</f>
        <v>0</v>
      </c>
      <c r="AE60" s="816">
        <f>FLN!AA60</f>
        <v>0</v>
      </c>
      <c r="AF60" s="823" t="str">
        <f t="shared" si="3"/>
        <v>575</v>
      </c>
      <c r="AG60" s="816">
        <f>FLN!AB60</f>
        <v>0</v>
      </c>
      <c r="AH60" s="816">
        <f>FLN!AC60</f>
        <v>0</v>
      </c>
      <c r="AI60" s="816">
        <f>FLN!AD60</f>
        <v>0</v>
      </c>
      <c r="AJ60" s="816">
        <f>FLN!AE60</f>
        <v>0</v>
      </c>
      <c r="AK60" s="823" t="str">
        <f t="shared" si="4"/>
        <v>576</v>
      </c>
      <c r="AL60" s="816">
        <f>FLN!AF60</f>
        <v>0</v>
      </c>
      <c r="AM60" s="816">
        <f>FLN!AG60</f>
        <v>0</v>
      </c>
      <c r="AN60" s="816">
        <f>FLN!AH60</f>
        <v>0</v>
      </c>
      <c r="AO60" s="816">
        <f>FLN!AI60</f>
        <v>0</v>
      </c>
      <c r="AP60" s="823" t="str">
        <f t="shared" si="5"/>
        <v>577</v>
      </c>
      <c r="AQ60" s="816">
        <f>FLN!AJ60</f>
        <v>0</v>
      </c>
      <c r="AR60" s="816">
        <f>FLN!AK60</f>
        <v>0</v>
      </c>
      <c r="AS60" s="816">
        <f>FLN!AL60</f>
        <v>0</v>
      </c>
      <c r="AT60" s="816">
        <f>FLN!AM60</f>
        <v>0</v>
      </c>
      <c r="AU60" s="823" t="str">
        <f t="shared" si="6"/>
        <v>578</v>
      </c>
      <c r="AV60" s="816">
        <f>FLN!AN60</f>
        <v>0</v>
      </c>
      <c r="AW60" s="816">
        <f>FLN!AO60</f>
        <v>0</v>
      </c>
      <c r="AX60" s="816">
        <f>FLN!AP60</f>
        <v>0</v>
      </c>
      <c r="AY60" s="816">
        <f>FLN!AQ60</f>
        <v>0</v>
      </c>
      <c r="AZ60" s="823" t="str">
        <f t="shared" si="7"/>
        <v>579</v>
      </c>
      <c r="BA60" s="816">
        <f>FLN!AR60</f>
        <v>0</v>
      </c>
      <c r="BB60" s="816">
        <f>FLN!AS60</f>
        <v>0</v>
      </c>
      <c r="BC60" s="816">
        <f>FLN!AT60</f>
        <v>0</v>
      </c>
      <c r="BD60" s="816">
        <f>FLN!AU60</f>
        <v>0</v>
      </c>
      <c r="BE60" s="823" t="str">
        <f t="shared" si="8"/>
        <v>5710</v>
      </c>
      <c r="BF60" s="816">
        <f>FLN!AV60</f>
        <v>0</v>
      </c>
      <c r="BG60" s="816">
        <f>FLN!AW60</f>
        <v>0</v>
      </c>
      <c r="BH60" s="816">
        <f>FLN!AX60</f>
        <v>0</v>
      </c>
      <c r="BI60" s="816">
        <f>FLN!AY60</f>
        <v>0</v>
      </c>
      <c r="BJ60" s="823" t="str">
        <f t="shared" si="9"/>
        <v>5711</v>
      </c>
      <c r="BK60" s="816">
        <f>FLN!AZ60</f>
        <v>0</v>
      </c>
      <c r="BL60" s="816">
        <f>FLN!BA60</f>
        <v>0</v>
      </c>
      <c r="BM60" s="816">
        <f>FLN!BB60</f>
        <v>0</v>
      </c>
      <c r="BN60" s="816">
        <f>FLN!BC60</f>
        <v>0</v>
      </c>
      <c r="BO60" s="823" t="str">
        <f t="shared" si="10"/>
        <v>5712</v>
      </c>
      <c r="BP60" s="816">
        <f>FLN!BD60</f>
        <v>0</v>
      </c>
      <c r="BQ60" s="816">
        <f>FLN!BE60</f>
        <v>0</v>
      </c>
      <c r="BR60" s="816">
        <f>FLN!BF60</f>
        <v>0</v>
      </c>
      <c r="BS60" s="816">
        <f>FLN!BG60</f>
        <v>0</v>
      </c>
      <c r="BT60" s="823" t="str">
        <f t="shared" si="11"/>
        <v>5713</v>
      </c>
      <c r="BU60" s="816">
        <f>FLN!BH60</f>
        <v>0</v>
      </c>
      <c r="BV60" s="816">
        <f>FLN!BI60</f>
        <v>0</v>
      </c>
      <c r="BW60" s="816">
        <f>FLN!BJ60</f>
        <v>0</v>
      </c>
      <c r="BX60" s="816">
        <f>FLN!BK60</f>
        <v>0</v>
      </c>
      <c r="BY60" s="823" t="str">
        <f t="shared" si="12"/>
        <v>5714</v>
      </c>
      <c r="BZ60" s="816">
        <f>FLN!BL60</f>
        <v>0</v>
      </c>
      <c r="CA60" s="816">
        <f>FLN!BM60</f>
        <v>0</v>
      </c>
      <c r="CB60" s="816">
        <f>FLN!BN60</f>
        <v>0</v>
      </c>
      <c r="CC60" s="816">
        <f>FLN!BO60</f>
        <v>0</v>
      </c>
      <c r="CD60" s="823" t="str">
        <f t="shared" si="13"/>
        <v>5715</v>
      </c>
      <c r="CE60" s="816">
        <f>FLN!BP60</f>
        <v>0</v>
      </c>
      <c r="CF60" s="816">
        <f>FLN!BQ60</f>
        <v>0</v>
      </c>
      <c r="CG60" s="816">
        <f>FLN!BR60</f>
        <v>0</v>
      </c>
      <c r="CH60" s="816">
        <f>FLN!BS60</f>
        <v>0</v>
      </c>
      <c r="CI60" s="823" t="str">
        <f t="shared" si="14"/>
        <v>5716</v>
      </c>
      <c r="CJ60" s="816">
        <f>FLN!BT60</f>
        <v>0</v>
      </c>
      <c r="CK60" s="816">
        <f>FLN!BU60</f>
        <v>0</v>
      </c>
      <c r="CL60" s="816">
        <f>FLN!BV60</f>
        <v>0</v>
      </c>
      <c r="CM60" s="816">
        <f>FLN!BW60</f>
        <v>0</v>
      </c>
      <c r="CN60" s="823" t="str">
        <f t="shared" si="15"/>
        <v>5717</v>
      </c>
      <c r="CO60" s="816">
        <f>FLN!BX60</f>
        <v>0</v>
      </c>
      <c r="CP60" s="816">
        <f>FLN!BY60</f>
        <v>0</v>
      </c>
      <c r="CQ60" s="816">
        <f>FLN!BZ60</f>
        <v>0</v>
      </c>
      <c r="CR60" s="816">
        <f>FLN!CA60</f>
        <v>0</v>
      </c>
      <c r="CS60" s="823" t="str">
        <f t="shared" si="16"/>
        <v>5718</v>
      </c>
      <c r="CT60" s="816">
        <f>FLN!CB60</f>
        <v>0</v>
      </c>
      <c r="CU60" s="816">
        <f>FLN!CC60</f>
        <v>0</v>
      </c>
      <c r="CV60" s="816">
        <f>FLN!CD60</f>
        <v>0</v>
      </c>
      <c r="CW60" s="816">
        <f>FLN!CE60</f>
        <v>0</v>
      </c>
      <c r="CX60" s="823" t="str">
        <f t="shared" si="17"/>
        <v>5719</v>
      </c>
      <c r="CY60" s="816">
        <f>FLN!CF60</f>
        <v>0</v>
      </c>
      <c r="CZ60" s="816">
        <f>FLN!CG60</f>
        <v>0</v>
      </c>
      <c r="DA60" s="816">
        <f>FLN!CH60</f>
        <v>0</v>
      </c>
      <c r="DB60" s="816">
        <f>FLN!CI60</f>
        <v>0</v>
      </c>
      <c r="DC60" s="823" t="str">
        <f t="shared" si="18"/>
        <v>5720</v>
      </c>
      <c r="DD60" s="816">
        <f>FLN!CJ60</f>
        <v>0</v>
      </c>
      <c r="DE60" s="816">
        <f>FLN!CK60</f>
        <v>0</v>
      </c>
      <c r="DF60" s="816">
        <f>FLN!CL60</f>
        <v>0</v>
      </c>
      <c r="DG60" s="816">
        <f>FLN!CM60</f>
        <v>0</v>
      </c>
      <c r="DH60" s="823" t="str">
        <f t="shared" si="19"/>
        <v>5721</v>
      </c>
      <c r="DI60" s="816">
        <f>FLN!CN60</f>
        <v>0</v>
      </c>
      <c r="DJ60" s="816">
        <f>FLN!CO60</f>
        <v>0</v>
      </c>
      <c r="DK60" s="816">
        <f>FLN!CP60</f>
        <v>0</v>
      </c>
      <c r="DL60" s="816">
        <f>FLN!CQ60</f>
        <v>0</v>
      </c>
      <c r="DM60" s="823" t="str">
        <f t="shared" si="20"/>
        <v>5722</v>
      </c>
      <c r="DN60" s="816">
        <f>FLN!CR60</f>
        <v>0</v>
      </c>
      <c r="DO60" s="816">
        <f>FLN!CS60</f>
        <v>0</v>
      </c>
      <c r="DP60" s="816">
        <f>FLN!CT60</f>
        <v>0</v>
      </c>
      <c r="DQ60" s="816">
        <f>FLN!CU60</f>
        <v>0</v>
      </c>
      <c r="DR60" s="823" t="str">
        <f t="shared" si="21"/>
        <v>5723</v>
      </c>
      <c r="DS60" s="816">
        <f>FLN!CV60</f>
        <v>0</v>
      </c>
      <c r="DT60" s="816">
        <f>FLN!CW60</f>
        <v>0</v>
      </c>
      <c r="DU60" s="816">
        <f>FLN!CX60</f>
        <v>0</v>
      </c>
      <c r="DV60" s="816">
        <f>FLN!CY60</f>
        <v>0</v>
      </c>
      <c r="DW60" s="823" t="str">
        <f t="shared" si="22"/>
        <v>5724</v>
      </c>
      <c r="DX60" s="816">
        <f>FLN!CZ60</f>
        <v>0</v>
      </c>
      <c r="DY60" s="816">
        <f>FLN!DA60</f>
        <v>0</v>
      </c>
      <c r="DZ60" s="816">
        <f>FLN!DB60</f>
        <v>0</v>
      </c>
      <c r="EA60" s="816">
        <f>FLN!DC60</f>
        <v>0</v>
      </c>
      <c r="EB60" s="823" t="str">
        <f t="shared" si="23"/>
        <v>5725</v>
      </c>
      <c r="EC60" s="816">
        <f>FLN!DD60</f>
        <v>0</v>
      </c>
      <c r="ED60" s="816">
        <f>FLN!DE60</f>
        <v>0</v>
      </c>
      <c r="EE60" s="816">
        <f>FLN!DF60</f>
        <v>0</v>
      </c>
      <c r="EF60" s="816">
        <f>FLN!DG60</f>
        <v>0</v>
      </c>
    </row>
    <row r="61" spans="1:136">
      <c r="A61" s="824">
        <v>58</v>
      </c>
      <c r="B61" s="824">
        <f>STUDENT!F59</f>
        <v>0</v>
      </c>
      <c r="C61" s="824">
        <f>STUDENT!D59</f>
        <v>0</v>
      </c>
      <c r="D61" s="827">
        <f>STUDENT!E59</f>
        <v>0</v>
      </c>
      <c r="E61" s="827">
        <f>STUDENT!H59</f>
        <v>0</v>
      </c>
      <c r="F61" s="828">
        <f>FLN!F61</f>
        <v>0</v>
      </c>
      <c r="G61" s="828">
        <f>FLN!G61</f>
        <v>0</v>
      </c>
      <c r="H61" s="828">
        <f>FLN!H61</f>
        <v>0</v>
      </c>
      <c r="I61" s="824" t="str">
        <f>FLN!I61</f>
        <v/>
      </c>
      <c r="J61" s="824" t="str">
        <f>FLN!J61</f>
        <v/>
      </c>
      <c r="K61" s="824" t="str">
        <f>FLN!K61</f>
        <v/>
      </c>
      <c r="L61" s="823" t="str">
        <f t="shared" si="24"/>
        <v>581</v>
      </c>
      <c r="M61" s="816">
        <f>FLN!L61</f>
        <v>0</v>
      </c>
      <c r="N61" s="816">
        <f>FLN!M61</f>
        <v>0</v>
      </c>
      <c r="O61" s="816">
        <f>FLN!N61</f>
        <v>0</v>
      </c>
      <c r="P61" s="816">
        <f>FLN!O61</f>
        <v>0</v>
      </c>
      <c r="Q61" s="823" t="str">
        <f t="shared" si="0"/>
        <v>582</v>
      </c>
      <c r="R61" s="816">
        <f>FLN!P61</f>
        <v>0</v>
      </c>
      <c r="S61" s="816">
        <f>FLN!Q61</f>
        <v>0</v>
      </c>
      <c r="T61" s="816">
        <f>FLN!R61</f>
        <v>0</v>
      </c>
      <c r="U61" s="816">
        <f>FLN!S61</f>
        <v>0</v>
      </c>
      <c r="V61" s="823" t="str">
        <f t="shared" si="1"/>
        <v>583</v>
      </c>
      <c r="W61" s="816">
        <f>FLN!T61</f>
        <v>0</v>
      </c>
      <c r="X61" s="816">
        <f>FLN!U61</f>
        <v>0</v>
      </c>
      <c r="Y61" s="816">
        <f>FLN!V61</f>
        <v>0</v>
      </c>
      <c r="Z61" s="816">
        <f>FLN!W61</f>
        <v>0</v>
      </c>
      <c r="AA61" s="823" t="str">
        <f t="shared" si="2"/>
        <v>584</v>
      </c>
      <c r="AB61" s="816">
        <f>FLN!X61</f>
        <v>0</v>
      </c>
      <c r="AC61" s="816">
        <f>FLN!Y61</f>
        <v>0</v>
      </c>
      <c r="AD61" s="816">
        <f>FLN!Z61</f>
        <v>0</v>
      </c>
      <c r="AE61" s="816">
        <f>FLN!AA61</f>
        <v>0</v>
      </c>
      <c r="AF61" s="823" t="str">
        <f t="shared" si="3"/>
        <v>585</v>
      </c>
      <c r="AG61" s="816">
        <f>FLN!AB61</f>
        <v>0</v>
      </c>
      <c r="AH61" s="816">
        <f>FLN!AC61</f>
        <v>0</v>
      </c>
      <c r="AI61" s="816">
        <f>FLN!AD61</f>
        <v>0</v>
      </c>
      <c r="AJ61" s="816">
        <f>FLN!AE61</f>
        <v>0</v>
      </c>
      <c r="AK61" s="823" t="str">
        <f t="shared" si="4"/>
        <v>586</v>
      </c>
      <c r="AL61" s="816">
        <f>FLN!AF61</f>
        <v>0</v>
      </c>
      <c r="AM61" s="816">
        <f>FLN!AG61</f>
        <v>0</v>
      </c>
      <c r="AN61" s="816">
        <f>FLN!AH61</f>
        <v>0</v>
      </c>
      <c r="AO61" s="816">
        <f>FLN!AI61</f>
        <v>0</v>
      </c>
      <c r="AP61" s="823" t="str">
        <f t="shared" si="5"/>
        <v>587</v>
      </c>
      <c r="AQ61" s="816">
        <f>FLN!AJ61</f>
        <v>0</v>
      </c>
      <c r="AR61" s="816">
        <f>FLN!AK61</f>
        <v>0</v>
      </c>
      <c r="AS61" s="816">
        <f>FLN!AL61</f>
        <v>0</v>
      </c>
      <c r="AT61" s="816">
        <f>FLN!AM61</f>
        <v>0</v>
      </c>
      <c r="AU61" s="823" t="str">
        <f t="shared" si="6"/>
        <v>588</v>
      </c>
      <c r="AV61" s="816">
        <f>FLN!AN61</f>
        <v>0</v>
      </c>
      <c r="AW61" s="816">
        <f>FLN!AO61</f>
        <v>0</v>
      </c>
      <c r="AX61" s="816">
        <f>FLN!AP61</f>
        <v>0</v>
      </c>
      <c r="AY61" s="816">
        <f>FLN!AQ61</f>
        <v>0</v>
      </c>
      <c r="AZ61" s="823" t="str">
        <f t="shared" si="7"/>
        <v>589</v>
      </c>
      <c r="BA61" s="816">
        <f>FLN!AR61</f>
        <v>0</v>
      </c>
      <c r="BB61" s="816">
        <f>FLN!AS61</f>
        <v>0</v>
      </c>
      <c r="BC61" s="816">
        <f>FLN!AT61</f>
        <v>0</v>
      </c>
      <c r="BD61" s="816">
        <f>FLN!AU61</f>
        <v>0</v>
      </c>
      <c r="BE61" s="823" t="str">
        <f t="shared" si="8"/>
        <v>5810</v>
      </c>
      <c r="BF61" s="816">
        <f>FLN!AV61</f>
        <v>0</v>
      </c>
      <c r="BG61" s="816">
        <f>FLN!AW61</f>
        <v>0</v>
      </c>
      <c r="BH61" s="816">
        <f>FLN!AX61</f>
        <v>0</v>
      </c>
      <c r="BI61" s="816">
        <f>FLN!AY61</f>
        <v>0</v>
      </c>
      <c r="BJ61" s="823" t="str">
        <f t="shared" si="9"/>
        <v>5811</v>
      </c>
      <c r="BK61" s="816">
        <f>FLN!AZ61</f>
        <v>0</v>
      </c>
      <c r="BL61" s="816">
        <f>FLN!BA61</f>
        <v>0</v>
      </c>
      <c r="BM61" s="816">
        <f>FLN!BB61</f>
        <v>0</v>
      </c>
      <c r="BN61" s="816">
        <f>FLN!BC61</f>
        <v>0</v>
      </c>
      <c r="BO61" s="823" t="str">
        <f t="shared" si="10"/>
        <v>5812</v>
      </c>
      <c r="BP61" s="816">
        <f>FLN!BD61</f>
        <v>0</v>
      </c>
      <c r="BQ61" s="816">
        <f>FLN!BE61</f>
        <v>0</v>
      </c>
      <c r="BR61" s="816">
        <f>FLN!BF61</f>
        <v>0</v>
      </c>
      <c r="BS61" s="816">
        <f>FLN!BG61</f>
        <v>0</v>
      </c>
      <c r="BT61" s="823" t="str">
        <f t="shared" si="11"/>
        <v>5813</v>
      </c>
      <c r="BU61" s="816">
        <f>FLN!BH61</f>
        <v>0</v>
      </c>
      <c r="BV61" s="816">
        <f>FLN!BI61</f>
        <v>0</v>
      </c>
      <c r="BW61" s="816">
        <f>FLN!BJ61</f>
        <v>0</v>
      </c>
      <c r="BX61" s="816">
        <f>FLN!BK61</f>
        <v>0</v>
      </c>
      <c r="BY61" s="823" t="str">
        <f t="shared" si="12"/>
        <v>5814</v>
      </c>
      <c r="BZ61" s="816">
        <f>FLN!BL61</f>
        <v>0</v>
      </c>
      <c r="CA61" s="816">
        <f>FLN!BM61</f>
        <v>0</v>
      </c>
      <c r="CB61" s="816">
        <f>FLN!BN61</f>
        <v>0</v>
      </c>
      <c r="CC61" s="816">
        <f>FLN!BO61</f>
        <v>0</v>
      </c>
      <c r="CD61" s="823" t="str">
        <f t="shared" si="13"/>
        <v>5815</v>
      </c>
      <c r="CE61" s="816">
        <f>FLN!BP61</f>
        <v>0</v>
      </c>
      <c r="CF61" s="816">
        <f>FLN!BQ61</f>
        <v>0</v>
      </c>
      <c r="CG61" s="816">
        <f>FLN!BR61</f>
        <v>0</v>
      </c>
      <c r="CH61" s="816">
        <f>FLN!BS61</f>
        <v>0</v>
      </c>
      <c r="CI61" s="823" t="str">
        <f t="shared" si="14"/>
        <v>5816</v>
      </c>
      <c r="CJ61" s="816">
        <f>FLN!BT61</f>
        <v>0</v>
      </c>
      <c r="CK61" s="816">
        <f>FLN!BU61</f>
        <v>0</v>
      </c>
      <c r="CL61" s="816">
        <f>FLN!BV61</f>
        <v>0</v>
      </c>
      <c r="CM61" s="816">
        <f>FLN!BW61</f>
        <v>0</v>
      </c>
      <c r="CN61" s="823" t="str">
        <f t="shared" si="15"/>
        <v>5817</v>
      </c>
      <c r="CO61" s="816">
        <f>FLN!BX61</f>
        <v>0</v>
      </c>
      <c r="CP61" s="816">
        <f>FLN!BY61</f>
        <v>0</v>
      </c>
      <c r="CQ61" s="816">
        <f>FLN!BZ61</f>
        <v>0</v>
      </c>
      <c r="CR61" s="816">
        <f>FLN!CA61</f>
        <v>0</v>
      </c>
      <c r="CS61" s="823" t="str">
        <f t="shared" si="16"/>
        <v>5818</v>
      </c>
      <c r="CT61" s="816">
        <f>FLN!CB61</f>
        <v>0</v>
      </c>
      <c r="CU61" s="816">
        <f>FLN!CC61</f>
        <v>0</v>
      </c>
      <c r="CV61" s="816">
        <f>FLN!CD61</f>
        <v>0</v>
      </c>
      <c r="CW61" s="816">
        <f>FLN!CE61</f>
        <v>0</v>
      </c>
      <c r="CX61" s="823" t="str">
        <f t="shared" si="17"/>
        <v>5819</v>
      </c>
      <c r="CY61" s="816">
        <f>FLN!CF61</f>
        <v>0</v>
      </c>
      <c r="CZ61" s="816">
        <f>FLN!CG61</f>
        <v>0</v>
      </c>
      <c r="DA61" s="816">
        <f>FLN!CH61</f>
        <v>0</v>
      </c>
      <c r="DB61" s="816">
        <f>FLN!CI61</f>
        <v>0</v>
      </c>
      <c r="DC61" s="823" t="str">
        <f t="shared" si="18"/>
        <v>5820</v>
      </c>
      <c r="DD61" s="816">
        <f>FLN!CJ61</f>
        <v>0</v>
      </c>
      <c r="DE61" s="816">
        <f>FLN!CK61</f>
        <v>0</v>
      </c>
      <c r="DF61" s="816">
        <f>FLN!CL61</f>
        <v>0</v>
      </c>
      <c r="DG61" s="816">
        <f>FLN!CM61</f>
        <v>0</v>
      </c>
      <c r="DH61" s="823" t="str">
        <f t="shared" si="19"/>
        <v>5821</v>
      </c>
      <c r="DI61" s="816">
        <f>FLN!CN61</f>
        <v>0</v>
      </c>
      <c r="DJ61" s="816">
        <f>FLN!CO61</f>
        <v>0</v>
      </c>
      <c r="DK61" s="816">
        <f>FLN!CP61</f>
        <v>0</v>
      </c>
      <c r="DL61" s="816">
        <f>FLN!CQ61</f>
        <v>0</v>
      </c>
      <c r="DM61" s="823" t="str">
        <f t="shared" si="20"/>
        <v>5822</v>
      </c>
      <c r="DN61" s="816">
        <f>FLN!CR61</f>
        <v>0</v>
      </c>
      <c r="DO61" s="816">
        <f>FLN!CS61</f>
        <v>0</v>
      </c>
      <c r="DP61" s="816">
        <f>FLN!CT61</f>
        <v>0</v>
      </c>
      <c r="DQ61" s="816">
        <f>FLN!CU61</f>
        <v>0</v>
      </c>
      <c r="DR61" s="823" t="str">
        <f t="shared" si="21"/>
        <v>5823</v>
      </c>
      <c r="DS61" s="816">
        <f>FLN!CV61</f>
        <v>0</v>
      </c>
      <c r="DT61" s="816">
        <f>FLN!CW61</f>
        <v>0</v>
      </c>
      <c r="DU61" s="816">
        <f>FLN!CX61</f>
        <v>0</v>
      </c>
      <c r="DV61" s="816">
        <f>FLN!CY61</f>
        <v>0</v>
      </c>
      <c r="DW61" s="823" t="str">
        <f t="shared" si="22"/>
        <v>5824</v>
      </c>
      <c r="DX61" s="816">
        <f>FLN!CZ61</f>
        <v>0</v>
      </c>
      <c r="DY61" s="816">
        <f>FLN!DA61</f>
        <v>0</v>
      </c>
      <c r="DZ61" s="816">
        <f>FLN!DB61</f>
        <v>0</v>
      </c>
      <c r="EA61" s="816">
        <f>FLN!DC61</f>
        <v>0</v>
      </c>
      <c r="EB61" s="823" t="str">
        <f t="shared" si="23"/>
        <v>5825</v>
      </c>
      <c r="EC61" s="816">
        <f>FLN!DD61</f>
        <v>0</v>
      </c>
      <c r="ED61" s="816">
        <f>FLN!DE61</f>
        <v>0</v>
      </c>
      <c r="EE61" s="816">
        <f>FLN!DF61</f>
        <v>0</v>
      </c>
      <c r="EF61" s="816">
        <f>FLN!DG61</f>
        <v>0</v>
      </c>
    </row>
    <row r="62" spans="1:136">
      <c r="A62" s="824">
        <v>59</v>
      </c>
      <c r="B62" s="824">
        <f>STUDENT!F60</f>
        <v>0</v>
      </c>
      <c r="C62" s="824">
        <f>STUDENT!D60</f>
        <v>0</v>
      </c>
      <c r="D62" s="827">
        <f>STUDENT!E60</f>
        <v>0</v>
      </c>
      <c r="E62" s="827">
        <f>STUDENT!H60</f>
        <v>0</v>
      </c>
      <c r="F62" s="828">
        <f>FLN!F62</f>
        <v>0</v>
      </c>
      <c r="G62" s="828">
        <f>FLN!G62</f>
        <v>0</v>
      </c>
      <c r="H62" s="828">
        <f>FLN!H62</f>
        <v>0</v>
      </c>
      <c r="I62" s="824" t="str">
        <f>FLN!I62</f>
        <v/>
      </c>
      <c r="J62" s="824" t="str">
        <f>FLN!J62</f>
        <v/>
      </c>
      <c r="K62" s="824" t="str">
        <f>FLN!K62</f>
        <v/>
      </c>
      <c r="L62" s="823" t="str">
        <f t="shared" si="24"/>
        <v>591</v>
      </c>
      <c r="M62" s="816">
        <f>FLN!L62</f>
        <v>0</v>
      </c>
      <c r="N62" s="816">
        <f>FLN!M62</f>
        <v>0</v>
      </c>
      <c r="O62" s="816">
        <f>FLN!N62</f>
        <v>0</v>
      </c>
      <c r="P62" s="816">
        <f>FLN!O62</f>
        <v>0</v>
      </c>
      <c r="Q62" s="823" t="str">
        <f t="shared" si="0"/>
        <v>592</v>
      </c>
      <c r="R62" s="816">
        <f>FLN!P62</f>
        <v>0</v>
      </c>
      <c r="S62" s="816">
        <f>FLN!Q62</f>
        <v>0</v>
      </c>
      <c r="T62" s="816">
        <f>FLN!R62</f>
        <v>0</v>
      </c>
      <c r="U62" s="816">
        <f>FLN!S62</f>
        <v>0</v>
      </c>
      <c r="V62" s="823" t="str">
        <f t="shared" si="1"/>
        <v>593</v>
      </c>
      <c r="W62" s="816">
        <f>FLN!T62</f>
        <v>0</v>
      </c>
      <c r="X62" s="816">
        <f>FLN!U62</f>
        <v>0</v>
      </c>
      <c r="Y62" s="816">
        <f>FLN!V62</f>
        <v>0</v>
      </c>
      <c r="Z62" s="816">
        <f>FLN!W62</f>
        <v>0</v>
      </c>
      <c r="AA62" s="823" t="str">
        <f t="shared" si="2"/>
        <v>594</v>
      </c>
      <c r="AB62" s="816">
        <f>FLN!X62</f>
        <v>0</v>
      </c>
      <c r="AC62" s="816">
        <f>FLN!Y62</f>
        <v>0</v>
      </c>
      <c r="AD62" s="816">
        <f>FLN!Z62</f>
        <v>0</v>
      </c>
      <c r="AE62" s="816">
        <f>FLN!AA62</f>
        <v>0</v>
      </c>
      <c r="AF62" s="823" t="str">
        <f t="shared" si="3"/>
        <v>595</v>
      </c>
      <c r="AG62" s="816">
        <f>FLN!AB62</f>
        <v>0</v>
      </c>
      <c r="AH62" s="816">
        <f>FLN!AC62</f>
        <v>0</v>
      </c>
      <c r="AI62" s="816">
        <f>FLN!AD62</f>
        <v>0</v>
      </c>
      <c r="AJ62" s="816">
        <f>FLN!AE62</f>
        <v>0</v>
      </c>
      <c r="AK62" s="823" t="str">
        <f t="shared" si="4"/>
        <v>596</v>
      </c>
      <c r="AL62" s="816">
        <f>FLN!AF62</f>
        <v>0</v>
      </c>
      <c r="AM62" s="816">
        <f>FLN!AG62</f>
        <v>0</v>
      </c>
      <c r="AN62" s="816">
        <f>FLN!AH62</f>
        <v>0</v>
      </c>
      <c r="AO62" s="816">
        <f>FLN!AI62</f>
        <v>0</v>
      </c>
      <c r="AP62" s="823" t="str">
        <f t="shared" si="5"/>
        <v>597</v>
      </c>
      <c r="AQ62" s="816">
        <f>FLN!AJ62</f>
        <v>0</v>
      </c>
      <c r="AR62" s="816">
        <f>FLN!AK62</f>
        <v>0</v>
      </c>
      <c r="AS62" s="816">
        <f>FLN!AL62</f>
        <v>0</v>
      </c>
      <c r="AT62" s="816">
        <f>FLN!AM62</f>
        <v>0</v>
      </c>
      <c r="AU62" s="823" t="str">
        <f t="shared" si="6"/>
        <v>598</v>
      </c>
      <c r="AV62" s="816">
        <f>FLN!AN62</f>
        <v>0</v>
      </c>
      <c r="AW62" s="816">
        <f>FLN!AO62</f>
        <v>0</v>
      </c>
      <c r="AX62" s="816">
        <f>FLN!AP62</f>
        <v>0</v>
      </c>
      <c r="AY62" s="816">
        <f>FLN!AQ62</f>
        <v>0</v>
      </c>
      <c r="AZ62" s="823" t="str">
        <f t="shared" si="7"/>
        <v>599</v>
      </c>
      <c r="BA62" s="816">
        <f>FLN!AR62</f>
        <v>0</v>
      </c>
      <c r="BB62" s="816">
        <f>FLN!AS62</f>
        <v>0</v>
      </c>
      <c r="BC62" s="816">
        <f>FLN!AT62</f>
        <v>0</v>
      </c>
      <c r="BD62" s="816">
        <f>FLN!AU62</f>
        <v>0</v>
      </c>
      <c r="BE62" s="823" t="str">
        <f t="shared" si="8"/>
        <v>5910</v>
      </c>
      <c r="BF62" s="816">
        <f>FLN!AV62</f>
        <v>0</v>
      </c>
      <c r="BG62" s="816">
        <f>FLN!AW62</f>
        <v>0</v>
      </c>
      <c r="BH62" s="816">
        <f>FLN!AX62</f>
        <v>0</v>
      </c>
      <c r="BI62" s="816">
        <f>FLN!AY62</f>
        <v>0</v>
      </c>
      <c r="BJ62" s="823" t="str">
        <f t="shared" si="9"/>
        <v>5911</v>
      </c>
      <c r="BK62" s="816">
        <f>FLN!AZ62</f>
        <v>0</v>
      </c>
      <c r="BL62" s="816">
        <f>FLN!BA62</f>
        <v>0</v>
      </c>
      <c r="BM62" s="816">
        <f>FLN!BB62</f>
        <v>0</v>
      </c>
      <c r="BN62" s="816">
        <f>FLN!BC62</f>
        <v>0</v>
      </c>
      <c r="BO62" s="823" t="str">
        <f t="shared" si="10"/>
        <v>5912</v>
      </c>
      <c r="BP62" s="816">
        <f>FLN!BD62</f>
        <v>0</v>
      </c>
      <c r="BQ62" s="816">
        <f>FLN!BE62</f>
        <v>0</v>
      </c>
      <c r="BR62" s="816">
        <f>FLN!BF62</f>
        <v>0</v>
      </c>
      <c r="BS62" s="816">
        <f>FLN!BG62</f>
        <v>0</v>
      </c>
      <c r="BT62" s="823" t="str">
        <f t="shared" si="11"/>
        <v>5913</v>
      </c>
      <c r="BU62" s="816">
        <f>FLN!BH62</f>
        <v>0</v>
      </c>
      <c r="BV62" s="816">
        <f>FLN!BI62</f>
        <v>0</v>
      </c>
      <c r="BW62" s="816">
        <f>FLN!BJ62</f>
        <v>0</v>
      </c>
      <c r="BX62" s="816">
        <f>FLN!BK62</f>
        <v>0</v>
      </c>
      <c r="BY62" s="823" t="str">
        <f t="shared" si="12"/>
        <v>5914</v>
      </c>
      <c r="BZ62" s="816">
        <f>FLN!BL62</f>
        <v>0</v>
      </c>
      <c r="CA62" s="816">
        <f>FLN!BM62</f>
        <v>0</v>
      </c>
      <c r="CB62" s="816">
        <f>FLN!BN62</f>
        <v>0</v>
      </c>
      <c r="CC62" s="816">
        <f>FLN!BO62</f>
        <v>0</v>
      </c>
      <c r="CD62" s="823" t="str">
        <f t="shared" si="13"/>
        <v>5915</v>
      </c>
      <c r="CE62" s="816">
        <f>FLN!BP62</f>
        <v>0</v>
      </c>
      <c r="CF62" s="816">
        <f>FLN!BQ62</f>
        <v>0</v>
      </c>
      <c r="CG62" s="816">
        <f>FLN!BR62</f>
        <v>0</v>
      </c>
      <c r="CH62" s="816">
        <f>FLN!BS62</f>
        <v>0</v>
      </c>
      <c r="CI62" s="823" t="str">
        <f t="shared" si="14"/>
        <v>5916</v>
      </c>
      <c r="CJ62" s="816">
        <f>FLN!BT62</f>
        <v>0</v>
      </c>
      <c r="CK62" s="816">
        <f>FLN!BU62</f>
        <v>0</v>
      </c>
      <c r="CL62" s="816">
        <f>FLN!BV62</f>
        <v>0</v>
      </c>
      <c r="CM62" s="816">
        <f>FLN!BW62</f>
        <v>0</v>
      </c>
      <c r="CN62" s="823" t="str">
        <f t="shared" si="15"/>
        <v>5917</v>
      </c>
      <c r="CO62" s="816">
        <f>FLN!BX62</f>
        <v>0</v>
      </c>
      <c r="CP62" s="816">
        <f>FLN!BY62</f>
        <v>0</v>
      </c>
      <c r="CQ62" s="816">
        <f>FLN!BZ62</f>
        <v>0</v>
      </c>
      <c r="CR62" s="816">
        <f>FLN!CA62</f>
        <v>0</v>
      </c>
      <c r="CS62" s="823" t="str">
        <f t="shared" si="16"/>
        <v>5918</v>
      </c>
      <c r="CT62" s="816">
        <f>FLN!CB62</f>
        <v>0</v>
      </c>
      <c r="CU62" s="816">
        <f>FLN!CC62</f>
        <v>0</v>
      </c>
      <c r="CV62" s="816">
        <f>FLN!CD62</f>
        <v>0</v>
      </c>
      <c r="CW62" s="816">
        <f>FLN!CE62</f>
        <v>0</v>
      </c>
      <c r="CX62" s="823" t="str">
        <f t="shared" si="17"/>
        <v>5919</v>
      </c>
      <c r="CY62" s="816">
        <f>FLN!CF62</f>
        <v>0</v>
      </c>
      <c r="CZ62" s="816">
        <f>FLN!CG62</f>
        <v>0</v>
      </c>
      <c r="DA62" s="816">
        <f>FLN!CH62</f>
        <v>0</v>
      </c>
      <c r="DB62" s="816">
        <f>FLN!CI62</f>
        <v>0</v>
      </c>
      <c r="DC62" s="823" t="str">
        <f t="shared" si="18"/>
        <v>5920</v>
      </c>
      <c r="DD62" s="816">
        <f>FLN!CJ62</f>
        <v>0</v>
      </c>
      <c r="DE62" s="816">
        <f>FLN!CK62</f>
        <v>0</v>
      </c>
      <c r="DF62" s="816">
        <f>FLN!CL62</f>
        <v>0</v>
      </c>
      <c r="DG62" s="816">
        <f>FLN!CM62</f>
        <v>0</v>
      </c>
      <c r="DH62" s="823" t="str">
        <f t="shared" si="19"/>
        <v>5921</v>
      </c>
      <c r="DI62" s="816">
        <f>FLN!CN62</f>
        <v>0</v>
      </c>
      <c r="DJ62" s="816">
        <f>FLN!CO62</f>
        <v>0</v>
      </c>
      <c r="DK62" s="816">
        <f>FLN!CP62</f>
        <v>0</v>
      </c>
      <c r="DL62" s="816">
        <f>FLN!CQ62</f>
        <v>0</v>
      </c>
      <c r="DM62" s="823" t="str">
        <f t="shared" si="20"/>
        <v>5922</v>
      </c>
      <c r="DN62" s="816">
        <f>FLN!CR62</f>
        <v>0</v>
      </c>
      <c r="DO62" s="816">
        <f>FLN!CS62</f>
        <v>0</v>
      </c>
      <c r="DP62" s="816">
        <f>FLN!CT62</f>
        <v>0</v>
      </c>
      <c r="DQ62" s="816">
        <f>FLN!CU62</f>
        <v>0</v>
      </c>
      <c r="DR62" s="823" t="str">
        <f t="shared" si="21"/>
        <v>5923</v>
      </c>
      <c r="DS62" s="816">
        <f>FLN!CV62</f>
        <v>0</v>
      </c>
      <c r="DT62" s="816">
        <f>FLN!CW62</f>
        <v>0</v>
      </c>
      <c r="DU62" s="816">
        <f>FLN!CX62</f>
        <v>0</v>
      </c>
      <c r="DV62" s="816">
        <f>FLN!CY62</f>
        <v>0</v>
      </c>
      <c r="DW62" s="823" t="str">
        <f t="shared" si="22"/>
        <v>5924</v>
      </c>
      <c r="DX62" s="816">
        <f>FLN!CZ62</f>
        <v>0</v>
      </c>
      <c r="DY62" s="816">
        <f>FLN!DA62</f>
        <v>0</v>
      </c>
      <c r="DZ62" s="816">
        <f>FLN!DB62</f>
        <v>0</v>
      </c>
      <c r="EA62" s="816">
        <f>FLN!DC62</f>
        <v>0</v>
      </c>
      <c r="EB62" s="823" t="str">
        <f t="shared" si="23"/>
        <v>5925</v>
      </c>
      <c r="EC62" s="816">
        <f>FLN!DD62</f>
        <v>0</v>
      </c>
      <c r="ED62" s="816">
        <f>FLN!DE62</f>
        <v>0</v>
      </c>
      <c r="EE62" s="816">
        <f>FLN!DF62</f>
        <v>0</v>
      </c>
      <c r="EF62" s="816">
        <f>FLN!DG62</f>
        <v>0</v>
      </c>
    </row>
    <row r="63" spans="1:136">
      <c r="A63" s="824">
        <v>60</v>
      </c>
      <c r="B63" s="824">
        <f>STUDENT!F61</f>
        <v>0</v>
      </c>
      <c r="C63" s="824">
        <f>STUDENT!D61</f>
        <v>0</v>
      </c>
      <c r="D63" s="827">
        <f>STUDENT!E61</f>
        <v>0</v>
      </c>
      <c r="E63" s="827">
        <f>STUDENT!H61</f>
        <v>0</v>
      </c>
      <c r="F63" s="828">
        <f>FLN!F63</f>
        <v>0</v>
      </c>
      <c r="G63" s="828">
        <f>FLN!G63</f>
        <v>0</v>
      </c>
      <c r="H63" s="828">
        <f>FLN!H63</f>
        <v>0</v>
      </c>
      <c r="I63" s="824" t="str">
        <f>FLN!I63</f>
        <v/>
      </c>
      <c r="J63" s="824" t="str">
        <f>FLN!J63</f>
        <v/>
      </c>
      <c r="K63" s="824" t="str">
        <f>FLN!K63</f>
        <v/>
      </c>
      <c r="L63" s="823" t="str">
        <f t="shared" si="24"/>
        <v>601</v>
      </c>
      <c r="M63" s="816">
        <f>FLN!L63</f>
        <v>0</v>
      </c>
      <c r="N63" s="816">
        <f>FLN!M63</f>
        <v>0</v>
      </c>
      <c r="O63" s="816">
        <f>FLN!N63</f>
        <v>0</v>
      </c>
      <c r="P63" s="816">
        <f>FLN!O63</f>
        <v>0</v>
      </c>
      <c r="Q63" s="823" t="str">
        <f t="shared" si="0"/>
        <v>602</v>
      </c>
      <c r="R63" s="816">
        <f>FLN!P63</f>
        <v>0</v>
      </c>
      <c r="S63" s="816">
        <f>FLN!Q63</f>
        <v>0</v>
      </c>
      <c r="T63" s="816">
        <f>FLN!R63</f>
        <v>0</v>
      </c>
      <c r="U63" s="816">
        <f>FLN!S63</f>
        <v>0</v>
      </c>
      <c r="V63" s="823" t="str">
        <f t="shared" si="1"/>
        <v>603</v>
      </c>
      <c r="W63" s="816">
        <f>FLN!T63</f>
        <v>0</v>
      </c>
      <c r="X63" s="816">
        <f>FLN!U63</f>
        <v>0</v>
      </c>
      <c r="Y63" s="816">
        <f>FLN!V63</f>
        <v>0</v>
      </c>
      <c r="Z63" s="816">
        <f>FLN!W63</f>
        <v>0</v>
      </c>
      <c r="AA63" s="823" t="str">
        <f t="shared" si="2"/>
        <v>604</v>
      </c>
      <c r="AB63" s="816">
        <f>FLN!X63</f>
        <v>0</v>
      </c>
      <c r="AC63" s="816">
        <f>FLN!Y63</f>
        <v>0</v>
      </c>
      <c r="AD63" s="816">
        <f>FLN!Z63</f>
        <v>0</v>
      </c>
      <c r="AE63" s="816">
        <f>FLN!AA63</f>
        <v>0</v>
      </c>
      <c r="AF63" s="823" t="str">
        <f t="shared" si="3"/>
        <v>605</v>
      </c>
      <c r="AG63" s="816">
        <f>FLN!AB63</f>
        <v>0</v>
      </c>
      <c r="AH63" s="816">
        <f>FLN!AC63</f>
        <v>0</v>
      </c>
      <c r="AI63" s="816">
        <f>FLN!AD63</f>
        <v>0</v>
      </c>
      <c r="AJ63" s="816">
        <f>FLN!AE63</f>
        <v>0</v>
      </c>
      <c r="AK63" s="823" t="str">
        <f t="shared" si="4"/>
        <v>606</v>
      </c>
      <c r="AL63" s="816">
        <f>FLN!AF63</f>
        <v>0</v>
      </c>
      <c r="AM63" s="816">
        <f>FLN!AG63</f>
        <v>0</v>
      </c>
      <c r="AN63" s="816">
        <f>FLN!AH63</f>
        <v>0</v>
      </c>
      <c r="AO63" s="816">
        <f>FLN!AI63</f>
        <v>0</v>
      </c>
      <c r="AP63" s="823" t="str">
        <f t="shared" si="5"/>
        <v>607</v>
      </c>
      <c r="AQ63" s="816">
        <f>FLN!AJ63</f>
        <v>0</v>
      </c>
      <c r="AR63" s="816">
        <f>FLN!AK63</f>
        <v>0</v>
      </c>
      <c r="AS63" s="816">
        <f>FLN!AL63</f>
        <v>0</v>
      </c>
      <c r="AT63" s="816">
        <f>FLN!AM63</f>
        <v>0</v>
      </c>
      <c r="AU63" s="823" t="str">
        <f t="shared" si="6"/>
        <v>608</v>
      </c>
      <c r="AV63" s="816">
        <f>FLN!AN63</f>
        <v>0</v>
      </c>
      <c r="AW63" s="816">
        <f>FLN!AO63</f>
        <v>0</v>
      </c>
      <c r="AX63" s="816">
        <f>FLN!AP63</f>
        <v>0</v>
      </c>
      <c r="AY63" s="816">
        <f>FLN!AQ63</f>
        <v>0</v>
      </c>
      <c r="AZ63" s="823" t="str">
        <f t="shared" si="7"/>
        <v>609</v>
      </c>
      <c r="BA63" s="816">
        <f>FLN!AR63</f>
        <v>0</v>
      </c>
      <c r="BB63" s="816">
        <f>FLN!AS63</f>
        <v>0</v>
      </c>
      <c r="BC63" s="816">
        <f>FLN!AT63</f>
        <v>0</v>
      </c>
      <c r="BD63" s="816">
        <f>FLN!AU63</f>
        <v>0</v>
      </c>
      <c r="BE63" s="823" t="str">
        <f t="shared" si="8"/>
        <v>6010</v>
      </c>
      <c r="BF63" s="816">
        <f>FLN!AV63</f>
        <v>0</v>
      </c>
      <c r="BG63" s="816">
        <f>FLN!AW63</f>
        <v>0</v>
      </c>
      <c r="BH63" s="816">
        <f>FLN!AX63</f>
        <v>0</v>
      </c>
      <c r="BI63" s="816">
        <f>FLN!AY63</f>
        <v>0</v>
      </c>
      <c r="BJ63" s="823" t="str">
        <f t="shared" si="9"/>
        <v>6011</v>
      </c>
      <c r="BK63" s="816">
        <f>FLN!AZ63</f>
        <v>0</v>
      </c>
      <c r="BL63" s="816">
        <f>FLN!BA63</f>
        <v>0</v>
      </c>
      <c r="BM63" s="816">
        <f>FLN!BB63</f>
        <v>0</v>
      </c>
      <c r="BN63" s="816">
        <f>FLN!BC63</f>
        <v>0</v>
      </c>
      <c r="BO63" s="823" t="str">
        <f t="shared" si="10"/>
        <v>6012</v>
      </c>
      <c r="BP63" s="816">
        <f>FLN!BD63</f>
        <v>0</v>
      </c>
      <c r="BQ63" s="816">
        <f>FLN!BE63</f>
        <v>0</v>
      </c>
      <c r="BR63" s="816">
        <f>FLN!BF63</f>
        <v>0</v>
      </c>
      <c r="BS63" s="816">
        <f>FLN!BG63</f>
        <v>0</v>
      </c>
      <c r="BT63" s="823" t="str">
        <f t="shared" si="11"/>
        <v>6013</v>
      </c>
      <c r="BU63" s="816">
        <f>FLN!BH63</f>
        <v>0</v>
      </c>
      <c r="BV63" s="816">
        <f>FLN!BI63</f>
        <v>0</v>
      </c>
      <c r="BW63" s="816">
        <f>FLN!BJ63</f>
        <v>0</v>
      </c>
      <c r="BX63" s="816">
        <f>FLN!BK63</f>
        <v>0</v>
      </c>
      <c r="BY63" s="823" t="str">
        <f t="shared" si="12"/>
        <v>6014</v>
      </c>
      <c r="BZ63" s="816">
        <f>FLN!BL63</f>
        <v>0</v>
      </c>
      <c r="CA63" s="816">
        <f>FLN!BM63</f>
        <v>0</v>
      </c>
      <c r="CB63" s="816">
        <f>FLN!BN63</f>
        <v>0</v>
      </c>
      <c r="CC63" s="816">
        <f>FLN!BO63</f>
        <v>0</v>
      </c>
      <c r="CD63" s="823" t="str">
        <f t="shared" si="13"/>
        <v>6015</v>
      </c>
      <c r="CE63" s="816">
        <f>FLN!BP63</f>
        <v>0</v>
      </c>
      <c r="CF63" s="816">
        <f>FLN!BQ63</f>
        <v>0</v>
      </c>
      <c r="CG63" s="816">
        <f>FLN!BR63</f>
        <v>0</v>
      </c>
      <c r="CH63" s="816">
        <f>FLN!BS63</f>
        <v>0</v>
      </c>
      <c r="CI63" s="823" t="str">
        <f t="shared" si="14"/>
        <v>6016</v>
      </c>
      <c r="CJ63" s="816">
        <f>FLN!BT63</f>
        <v>0</v>
      </c>
      <c r="CK63" s="816">
        <f>FLN!BU63</f>
        <v>0</v>
      </c>
      <c r="CL63" s="816">
        <f>FLN!BV63</f>
        <v>0</v>
      </c>
      <c r="CM63" s="816">
        <f>FLN!BW63</f>
        <v>0</v>
      </c>
      <c r="CN63" s="823" t="str">
        <f t="shared" si="15"/>
        <v>6017</v>
      </c>
      <c r="CO63" s="816">
        <f>FLN!BX63</f>
        <v>0</v>
      </c>
      <c r="CP63" s="816">
        <f>FLN!BY63</f>
        <v>0</v>
      </c>
      <c r="CQ63" s="816">
        <f>FLN!BZ63</f>
        <v>0</v>
      </c>
      <c r="CR63" s="816">
        <f>FLN!CA63</f>
        <v>0</v>
      </c>
      <c r="CS63" s="823" t="str">
        <f t="shared" si="16"/>
        <v>6018</v>
      </c>
      <c r="CT63" s="816">
        <f>FLN!CB63</f>
        <v>0</v>
      </c>
      <c r="CU63" s="816">
        <f>FLN!CC63</f>
        <v>0</v>
      </c>
      <c r="CV63" s="816">
        <f>FLN!CD63</f>
        <v>0</v>
      </c>
      <c r="CW63" s="816">
        <f>FLN!CE63</f>
        <v>0</v>
      </c>
      <c r="CX63" s="823" t="str">
        <f t="shared" si="17"/>
        <v>6019</v>
      </c>
      <c r="CY63" s="816">
        <f>FLN!CF63</f>
        <v>0</v>
      </c>
      <c r="CZ63" s="816">
        <f>FLN!CG63</f>
        <v>0</v>
      </c>
      <c r="DA63" s="816">
        <f>FLN!CH63</f>
        <v>0</v>
      </c>
      <c r="DB63" s="816">
        <f>FLN!CI63</f>
        <v>0</v>
      </c>
      <c r="DC63" s="823" t="str">
        <f t="shared" si="18"/>
        <v>6020</v>
      </c>
      <c r="DD63" s="816">
        <f>FLN!CJ63</f>
        <v>0</v>
      </c>
      <c r="DE63" s="816">
        <f>FLN!CK63</f>
        <v>0</v>
      </c>
      <c r="DF63" s="816">
        <f>FLN!CL63</f>
        <v>0</v>
      </c>
      <c r="DG63" s="816">
        <f>FLN!CM63</f>
        <v>0</v>
      </c>
      <c r="DH63" s="823" t="str">
        <f t="shared" si="19"/>
        <v>6021</v>
      </c>
      <c r="DI63" s="816">
        <f>FLN!CN63</f>
        <v>0</v>
      </c>
      <c r="DJ63" s="816">
        <f>FLN!CO63</f>
        <v>0</v>
      </c>
      <c r="DK63" s="816">
        <f>FLN!CP63</f>
        <v>0</v>
      </c>
      <c r="DL63" s="816">
        <f>FLN!CQ63</f>
        <v>0</v>
      </c>
      <c r="DM63" s="823" t="str">
        <f t="shared" si="20"/>
        <v>6022</v>
      </c>
      <c r="DN63" s="816">
        <f>FLN!CR63</f>
        <v>0</v>
      </c>
      <c r="DO63" s="816">
        <f>FLN!CS63</f>
        <v>0</v>
      </c>
      <c r="DP63" s="816">
        <f>FLN!CT63</f>
        <v>0</v>
      </c>
      <c r="DQ63" s="816">
        <f>FLN!CU63</f>
        <v>0</v>
      </c>
      <c r="DR63" s="823" t="str">
        <f t="shared" si="21"/>
        <v>6023</v>
      </c>
      <c r="DS63" s="816">
        <f>FLN!CV63</f>
        <v>0</v>
      </c>
      <c r="DT63" s="816">
        <f>FLN!CW63</f>
        <v>0</v>
      </c>
      <c r="DU63" s="816">
        <f>FLN!CX63</f>
        <v>0</v>
      </c>
      <c r="DV63" s="816">
        <f>FLN!CY63</f>
        <v>0</v>
      </c>
      <c r="DW63" s="823" t="str">
        <f t="shared" si="22"/>
        <v>6024</v>
      </c>
      <c r="DX63" s="816">
        <f>FLN!CZ63</f>
        <v>0</v>
      </c>
      <c r="DY63" s="816">
        <f>FLN!DA63</f>
        <v>0</v>
      </c>
      <c r="DZ63" s="816">
        <f>FLN!DB63</f>
        <v>0</v>
      </c>
      <c r="EA63" s="816">
        <f>FLN!DC63</f>
        <v>0</v>
      </c>
      <c r="EB63" s="823" t="str">
        <f t="shared" si="23"/>
        <v>6025</v>
      </c>
      <c r="EC63" s="816">
        <f>FLN!DD63</f>
        <v>0</v>
      </c>
      <c r="ED63" s="816">
        <f>FLN!DE63</f>
        <v>0</v>
      </c>
      <c r="EE63" s="816">
        <f>FLN!DF63</f>
        <v>0</v>
      </c>
      <c r="EF63" s="816">
        <f>FLN!DG63</f>
        <v>0</v>
      </c>
    </row>
    <row r="64" spans="1:136">
      <c r="A64" s="824">
        <v>61</v>
      </c>
      <c r="B64" s="824">
        <f>STUDENT!F62</f>
        <v>0</v>
      </c>
      <c r="C64" s="824">
        <f>STUDENT!D62</f>
        <v>0</v>
      </c>
      <c r="D64" s="827">
        <f>STUDENT!E62</f>
        <v>0</v>
      </c>
      <c r="E64" s="827">
        <f>STUDENT!H62</f>
        <v>0</v>
      </c>
      <c r="F64" s="828">
        <f>FLN!F64</f>
        <v>0</v>
      </c>
      <c r="G64" s="828">
        <f>FLN!G64</f>
        <v>0</v>
      </c>
      <c r="H64" s="828">
        <f>FLN!H64</f>
        <v>0</v>
      </c>
      <c r="I64" s="824" t="str">
        <f>FLN!I64</f>
        <v/>
      </c>
      <c r="J64" s="824" t="str">
        <f>FLN!J64</f>
        <v/>
      </c>
      <c r="K64" s="824" t="str">
        <f>FLN!K64</f>
        <v/>
      </c>
      <c r="L64" s="823" t="str">
        <f t="shared" si="24"/>
        <v>611</v>
      </c>
      <c r="M64" s="816">
        <f>FLN!L64</f>
        <v>0</v>
      </c>
      <c r="N64" s="816">
        <f>FLN!M64</f>
        <v>0</v>
      </c>
      <c r="O64" s="816">
        <f>FLN!N64</f>
        <v>0</v>
      </c>
      <c r="P64" s="816">
        <f>FLN!O64</f>
        <v>0</v>
      </c>
      <c r="Q64" s="823" t="str">
        <f t="shared" si="0"/>
        <v>612</v>
      </c>
      <c r="R64" s="816">
        <f>FLN!P64</f>
        <v>0</v>
      </c>
      <c r="S64" s="816">
        <f>FLN!Q64</f>
        <v>0</v>
      </c>
      <c r="T64" s="816">
        <f>FLN!R64</f>
        <v>0</v>
      </c>
      <c r="U64" s="816">
        <f>FLN!S64</f>
        <v>0</v>
      </c>
      <c r="V64" s="823" t="str">
        <f t="shared" si="1"/>
        <v>613</v>
      </c>
      <c r="W64" s="816">
        <f>FLN!T64</f>
        <v>0</v>
      </c>
      <c r="X64" s="816">
        <f>FLN!U64</f>
        <v>0</v>
      </c>
      <c r="Y64" s="816">
        <f>FLN!V64</f>
        <v>0</v>
      </c>
      <c r="Z64" s="816">
        <f>FLN!W64</f>
        <v>0</v>
      </c>
      <c r="AA64" s="823" t="str">
        <f t="shared" si="2"/>
        <v>614</v>
      </c>
      <c r="AB64" s="816">
        <f>FLN!X64</f>
        <v>0</v>
      </c>
      <c r="AC64" s="816">
        <f>FLN!Y64</f>
        <v>0</v>
      </c>
      <c r="AD64" s="816">
        <f>FLN!Z64</f>
        <v>0</v>
      </c>
      <c r="AE64" s="816">
        <f>FLN!AA64</f>
        <v>0</v>
      </c>
      <c r="AF64" s="823" t="str">
        <f t="shared" si="3"/>
        <v>615</v>
      </c>
      <c r="AG64" s="816">
        <f>FLN!AB64</f>
        <v>0</v>
      </c>
      <c r="AH64" s="816">
        <f>FLN!AC64</f>
        <v>0</v>
      </c>
      <c r="AI64" s="816">
        <f>FLN!AD64</f>
        <v>0</v>
      </c>
      <c r="AJ64" s="816">
        <f>FLN!AE64</f>
        <v>0</v>
      </c>
      <c r="AK64" s="823" t="str">
        <f t="shared" si="4"/>
        <v>616</v>
      </c>
      <c r="AL64" s="816">
        <f>FLN!AF64</f>
        <v>0</v>
      </c>
      <c r="AM64" s="816">
        <f>FLN!AG64</f>
        <v>0</v>
      </c>
      <c r="AN64" s="816">
        <f>FLN!AH64</f>
        <v>0</v>
      </c>
      <c r="AO64" s="816">
        <f>FLN!AI64</f>
        <v>0</v>
      </c>
      <c r="AP64" s="823" t="str">
        <f t="shared" si="5"/>
        <v>617</v>
      </c>
      <c r="AQ64" s="816">
        <f>FLN!AJ64</f>
        <v>0</v>
      </c>
      <c r="AR64" s="816">
        <f>FLN!AK64</f>
        <v>0</v>
      </c>
      <c r="AS64" s="816">
        <f>FLN!AL64</f>
        <v>0</v>
      </c>
      <c r="AT64" s="816">
        <f>FLN!AM64</f>
        <v>0</v>
      </c>
      <c r="AU64" s="823" t="str">
        <f t="shared" si="6"/>
        <v>618</v>
      </c>
      <c r="AV64" s="816">
        <f>FLN!AN64</f>
        <v>0</v>
      </c>
      <c r="AW64" s="816">
        <f>FLN!AO64</f>
        <v>0</v>
      </c>
      <c r="AX64" s="816">
        <f>FLN!AP64</f>
        <v>0</v>
      </c>
      <c r="AY64" s="816">
        <f>FLN!AQ64</f>
        <v>0</v>
      </c>
      <c r="AZ64" s="823" t="str">
        <f t="shared" si="7"/>
        <v>619</v>
      </c>
      <c r="BA64" s="816">
        <f>FLN!AR64</f>
        <v>0</v>
      </c>
      <c r="BB64" s="816">
        <f>FLN!AS64</f>
        <v>0</v>
      </c>
      <c r="BC64" s="816">
        <f>FLN!AT64</f>
        <v>0</v>
      </c>
      <c r="BD64" s="816">
        <f>FLN!AU64</f>
        <v>0</v>
      </c>
      <c r="BE64" s="823" t="str">
        <f t="shared" si="8"/>
        <v>6110</v>
      </c>
      <c r="BF64" s="816">
        <f>FLN!AV64</f>
        <v>0</v>
      </c>
      <c r="BG64" s="816">
        <f>FLN!AW64</f>
        <v>0</v>
      </c>
      <c r="BH64" s="816">
        <f>FLN!AX64</f>
        <v>0</v>
      </c>
      <c r="BI64" s="816">
        <f>FLN!AY64</f>
        <v>0</v>
      </c>
      <c r="BJ64" s="823" t="str">
        <f t="shared" si="9"/>
        <v>6111</v>
      </c>
      <c r="BK64" s="816">
        <f>FLN!AZ64</f>
        <v>0</v>
      </c>
      <c r="BL64" s="816">
        <f>FLN!BA64</f>
        <v>0</v>
      </c>
      <c r="BM64" s="816">
        <f>FLN!BB64</f>
        <v>0</v>
      </c>
      <c r="BN64" s="816">
        <f>FLN!BC64</f>
        <v>0</v>
      </c>
      <c r="BO64" s="823" t="str">
        <f t="shared" si="10"/>
        <v>6112</v>
      </c>
      <c r="BP64" s="816">
        <f>FLN!BD64</f>
        <v>0</v>
      </c>
      <c r="BQ64" s="816">
        <f>FLN!BE64</f>
        <v>0</v>
      </c>
      <c r="BR64" s="816">
        <f>FLN!BF64</f>
        <v>0</v>
      </c>
      <c r="BS64" s="816">
        <f>FLN!BG64</f>
        <v>0</v>
      </c>
      <c r="BT64" s="823" t="str">
        <f t="shared" si="11"/>
        <v>6113</v>
      </c>
      <c r="BU64" s="816">
        <f>FLN!BH64</f>
        <v>0</v>
      </c>
      <c r="BV64" s="816">
        <f>FLN!BI64</f>
        <v>0</v>
      </c>
      <c r="BW64" s="816">
        <f>FLN!BJ64</f>
        <v>0</v>
      </c>
      <c r="BX64" s="816">
        <f>FLN!BK64</f>
        <v>0</v>
      </c>
      <c r="BY64" s="823" t="str">
        <f t="shared" si="12"/>
        <v>6114</v>
      </c>
      <c r="BZ64" s="816">
        <f>FLN!BL64</f>
        <v>0</v>
      </c>
      <c r="CA64" s="816">
        <f>FLN!BM64</f>
        <v>0</v>
      </c>
      <c r="CB64" s="816">
        <f>FLN!BN64</f>
        <v>0</v>
      </c>
      <c r="CC64" s="816">
        <f>FLN!BO64</f>
        <v>0</v>
      </c>
      <c r="CD64" s="823" t="str">
        <f t="shared" si="13"/>
        <v>6115</v>
      </c>
      <c r="CE64" s="816">
        <f>FLN!BP64</f>
        <v>0</v>
      </c>
      <c r="CF64" s="816">
        <f>FLN!BQ64</f>
        <v>0</v>
      </c>
      <c r="CG64" s="816">
        <f>FLN!BR64</f>
        <v>0</v>
      </c>
      <c r="CH64" s="816">
        <f>FLN!BS64</f>
        <v>0</v>
      </c>
      <c r="CI64" s="823" t="str">
        <f t="shared" si="14"/>
        <v>6116</v>
      </c>
      <c r="CJ64" s="816">
        <f>FLN!BT64</f>
        <v>0</v>
      </c>
      <c r="CK64" s="816">
        <f>FLN!BU64</f>
        <v>0</v>
      </c>
      <c r="CL64" s="816">
        <f>FLN!BV64</f>
        <v>0</v>
      </c>
      <c r="CM64" s="816">
        <f>FLN!BW64</f>
        <v>0</v>
      </c>
      <c r="CN64" s="823" t="str">
        <f t="shared" si="15"/>
        <v>6117</v>
      </c>
      <c r="CO64" s="816">
        <f>FLN!BX64</f>
        <v>0</v>
      </c>
      <c r="CP64" s="816">
        <f>FLN!BY64</f>
        <v>0</v>
      </c>
      <c r="CQ64" s="816">
        <f>FLN!BZ64</f>
        <v>0</v>
      </c>
      <c r="CR64" s="816">
        <f>FLN!CA64</f>
        <v>0</v>
      </c>
      <c r="CS64" s="823" t="str">
        <f t="shared" si="16"/>
        <v>6118</v>
      </c>
      <c r="CT64" s="816">
        <f>FLN!CB64</f>
        <v>0</v>
      </c>
      <c r="CU64" s="816">
        <f>FLN!CC64</f>
        <v>0</v>
      </c>
      <c r="CV64" s="816">
        <f>FLN!CD64</f>
        <v>0</v>
      </c>
      <c r="CW64" s="816">
        <f>FLN!CE64</f>
        <v>0</v>
      </c>
      <c r="CX64" s="823" t="str">
        <f t="shared" si="17"/>
        <v>6119</v>
      </c>
      <c r="CY64" s="816">
        <f>FLN!CF64</f>
        <v>0</v>
      </c>
      <c r="CZ64" s="816">
        <f>FLN!CG64</f>
        <v>0</v>
      </c>
      <c r="DA64" s="816">
        <f>FLN!CH64</f>
        <v>0</v>
      </c>
      <c r="DB64" s="816">
        <f>FLN!CI64</f>
        <v>0</v>
      </c>
      <c r="DC64" s="823" t="str">
        <f t="shared" si="18"/>
        <v>6120</v>
      </c>
      <c r="DD64" s="816">
        <f>FLN!CJ64</f>
        <v>0</v>
      </c>
      <c r="DE64" s="816">
        <f>FLN!CK64</f>
        <v>0</v>
      </c>
      <c r="DF64" s="816">
        <f>FLN!CL64</f>
        <v>0</v>
      </c>
      <c r="DG64" s="816">
        <f>FLN!CM64</f>
        <v>0</v>
      </c>
      <c r="DH64" s="823" t="str">
        <f t="shared" si="19"/>
        <v>6121</v>
      </c>
      <c r="DI64" s="816">
        <f>FLN!CN64</f>
        <v>0</v>
      </c>
      <c r="DJ64" s="816">
        <f>FLN!CO64</f>
        <v>0</v>
      </c>
      <c r="DK64" s="816">
        <f>FLN!CP64</f>
        <v>0</v>
      </c>
      <c r="DL64" s="816">
        <f>FLN!CQ64</f>
        <v>0</v>
      </c>
      <c r="DM64" s="823" t="str">
        <f t="shared" si="20"/>
        <v>6122</v>
      </c>
      <c r="DN64" s="816">
        <f>FLN!CR64</f>
        <v>0</v>
      </c>
      <c r="DO64" s="816">
        <f>FLN!CS64</f>
        <v>0</v>
      </c>
      <c r="DP64" s="816">
        <f>FLN!CT64</f>
        <v>0</v>
      </c>
      <c r="DQ64" s="816">
        <f>FLN!CU64</f>
        <v>0</v>
      </c>
      <c r="DR64" s="823" t="str">
        <f t="shared" si="21"/>
        <v>6123</v>
      </c>
      <c r="DS64" s="816">
        <f>FLN!CV64</f>
        <v>0</v>
      </c>
      <c r="DT64" s="816">
        <f>FLN!CW64</f>
        <v>0</v>
      </c>
      <c r="DU64" s="816">
        <f>FLN!CX64</f>
        <v>0</v>
      </c>
      <c r="DV64" s="816">
        <f>FLN!CY64</f>
        <v>0</v>
      </c>
      <c r="DW64" s="823" t="str">
        <f t="shared" si="22"/>
        <v>6124</v>
      </c>
      <c r="DX64" s="816">
        <f>FLN!CZ64</f>
        <v>0</v>
      </c>
      <c r="DY64" s="816">
        <f>FLN!DA64</f>
        <v>0</v>
      </c>
      <c r="DZ64" s="816">
        <f>FLN!DB64</f>
        <v>0</v>
      </c>
      <c r="EA64" s="816">
        <f>FLN!DC64</f>
        <v>0</v>
      </c>
      <c r="EB64" s="823" t="str">
        <f t="shared" si="23"/>
        <v>6125</v>
      </c>
      <c r="EC64" s="816">
        <f>FLN!DD64</f>
        <v>0</v>
      </c>
      <c r="ED64" s="816">
        <f>FLN!DE64</f>
        <v>0</v>
      </c>
      <c r="EE64" s="816">
        <f>FLN!DF64</f>
        <v>0</v>
      </c>
      <c r="EF64" s="816">
        <f>FLN!DG64</f>
        <v>0</v>
      </c>
    </row>
    <row r="65" spans="1:136">
      <c r="A65" s="824">
        <v>62</v>
      </c>
      <c r="B65" s="824">
        <f>STUDENT!F63</f>
        <v>0</v>
      </c>
      <c r="C65" s="824">
        <f>STUDENT!D63</f>
        <v>0</v>
      </c>
      <c r="D65" s="827">
        <f>STUDENT!E63</f>
        <v>0</v>
      </c>
      <c r="E65" s="827">
        <f>STUDENT!H63</f>
        <v>0</v>
      </c>
      <c r="F65" s="828">
        <f>FLN!F65</f>
        <v>0</v>
      </c>
      <c r="G65" s="828">
        <f>FLN!G65</f>
        <v>0</v>
      </c>
      <c r="H65" s="828">
        <f>FLN!H65</f>
        <v>0</v>
      </c>
      <c r="I65" s="824" t="str">
        <f>FLN!I65</f>
        <v/>
      </c>
      <c r="J65" s="824" t="str">
        <f>FLN!J65</f>
        <v/>
      </c>
      <c r="K65" s="824" t="str">
        <f>FLN!K65</f>
        <v/>
      </c>
      <c r="L65" s="823" t="str">
        <f t="shared" si="24"/>
        <v>621</v>
      </c>
      <c r="M65" s="816">
        <f>FLN!L65</f>
        <v>0</v>
      </c>
      <c r="N65" s="816">
        <f>FLN!M65</f>
        <v>0</v>
      </c>
      <c r="O65" s="816">
        <f>FLN!N65</f>
        <v>0</v>
      </c>
      <c r="P65" s="816">
        <f>FLN!O65</f>
        <v>0</v>
      </c>
      <c r="Q65" s="823" t="str">
        <f t="shared" si="0"/>
        <v>622</v>
      </c>
      <c r="R65" s="816">
        <f>FLN!P65</f>
        <v>0</v>
      </c>
      <c r="S65" s="816">
        <f>FLN!Q65</f>
        <v>0</v>
      </c>
      <c r="T65" s="816">
        <f>FLN!R65</f>
        <v>0</v>
      </c>
      <c r="U65" s="816">
        <f>FLN!S65</f>
        <v>0</v>
      </c>
      <c r="V65" s="823" t="str">
        <f t="shared" si="1"/>
        <v>623</v>
      </c>
      <c r="W65" s="816">
        <f>FLN!T65</f>
        <v>0</v>
      </c>
      <c r="X65" s="816">
        <f>FLN!U65</f>
        <v>0</v>
      </c>
      <c r="Y65" s="816">
        <f>FLN!V65</f>
        <v>0</v>
      </c>
      <c r="Z65" s="816">
        <f>FLN!W65</f>
        <v>0</v>
      </c>
      <c r="AA65" s="823" t="str">
        <f t="shared" si="2"/>
        <v>624</v>
      </c>
      <c r="AB65" s="816">
        <f>FLN!X65</f>
        <v>0</v>
      </c>
      <c r="AC65" s="816">
        <f>FLN!Y65</f>
        <v>0</v>
      </c>
      <c r="AD65" s="816">
        <f>FLN!Z65</f>
        <v>0</v>
      </c>
      <c r="AE65" s="816">
        <f>FLN!AA65</f>
        <v>0</v>
      </c>
      <c r="AF65" s="823" t="str">
        <f t="shared" si="3"/>
        <v>625</v>
      </c>
      <c r="AG65" s="816">
        <f>FLN!AB65</f>
        <v>0</v>
      </c>
      <c r="AH65" s="816">
        <f>FLN!AC65</f>
        <v>0</v>
      </c>
      <c r="AI65" s="816">
        <f>FLN!AD65</f>
        <v>0</v>
      </c>
      <c r="AJ65" s="816">
        <f>FLN!AE65</f>
        <v>0</v>
      </c>
      <c r="AK65" s="823" t="str">
        <f t="shared" si="4"/>
        <v>626</v>
      </c>
      <c r="AL65" s="816">
        <f>FLN!AF65</f>
        <v>0</v>
      </c>
      <c r="AM65" s="816">
        <f>FLN!AG65</f>
        <v>0</v>
      </c>
      <c r="AN65" s="816">
        <f>FLN!AH65</f>
        <v>0</v>
      </c>
      <c r="AO65" s="816">
        <f>FLN!AI65</f>
        <v>0</v>
      </c>
      <c r="AP65" s="823" t="str">
        <f t="shared" si="5"/>
        <v>627</v>
      </c>
      <c r="AQ65" s="816">
        <f>FLN!AJ65</f>
        <v>0</v>
      </c>
      <c r="AR65" s="816">
        <f>FLN!AK65</f>
        <v>0</v>
      </c>
      <c r="AS65" s="816">
        <f>FLN!AL65</f>
        <v>0</v>
      </c>
      <c r="AT65" s="816">
        <f>FLN!AM65</f>
        <v>0</v>
      </c>
      <c r="AU65" s="823" t="str">
        <f t="shared" si="6"/>
        <v>628</v>
      </c>
      <c r="AV65" s="816">
        <f>FLN!AN65</f>
        <v>0</v>
      </c>
      <c r="AW65" s="816">
        <f>FLN!AO65</f>
        <v>0</v>
      </c>
      <c r="AX65" s="816">
        <f>FLN!AP65</f>
        <v>0</v>
      </c>
      <c r="AY65" s="816">
        <f>FLN!AQ65</f>
        <v>0</v>
      </c>
      <c r="AZ65" s="823" t="str">
        <f t="shared" si="7"/>
        <v>629</v>
      </c>
      <c r="BA65" s="816">
        <f>FLN!AR65</f>
        <v>0</v>
      </c>
      <c r="BB65" s="816">
        <f>FLN!AS65</f>
        <v>0</v>
      </c>
      <c r="BC65" s="816">
        <f>FLN!AT65</f>
        <v>0</v>
      </c>
      <c r="BD65" s="816">
        <f>FLN!AU65</f>
        <v>0</v>
      </c>
      <c r="BE65" s="823" t="str">
        <f t="shared" si="8"/>
        <v>6210</v>
      </c>
      <c r="BF65" s="816">
        <f>FLN!AV65</f>
        <v>0</v>
      </c>
      <c r="BG65" s="816">
        <f>FLN!AW65</f>
        <v>0</v>
      </c>
      <c r="BH65" s="816">
        <f>FLN!AX65</f>
        <v>0</v>
      </c>
      <c r="BI65" s="816">
        <f>FLN!AY65</f>
        <v>0</v>
      </c>
      <c r="BJ65" s="823" t="str">
        <f t="shared" si="9"/>
        <v>6211</v>
      </c>
      <c r="BK65" s="816">
        <f>FLN!AZ65</f>
        <v>0</v>
      </c>
      <c r="BL65" s="816">
        <f>FLN!BA65</f>
        <v>0</v>
      </c>
      <c r="BM65" s="816">
        <f>FLN!BB65</f>
        <v>0</v>
      </c>
      <c r="BN65" s="816">
        <f>FLN!BC65</f>
        <v>0</v>
      </c>
      <c r="BO65" s="823" t="str">
        <f t="shared" si="10"/>
        <v>6212</v>
      </c>
      <c r="BP65" s="816">
        <f>FLN!BD65</f>
        <v>0</v>
      </c>
      <c r="BQ65" s="816">
        <f>FLN!BE65</f>
        <v>0</v>
      </c>
      <c r="BR65" s="816">
        <f>FLN!BF65</f>
        <v>0</v>
      </c>
      <c r="BS65" s="816">
        <f>FLN!BG65</f>
        <v>0</v>
      </c>
      <c r="BT65" s="823" t="str">
        <f t="shared" si="11"/>
        <v>6213</v>
      </c>
      <c r="BU65" s="816">
        <f>FLN!BH65</f>
        <v>0</v>
      </c>
      <c r="BV65" s="816">
        <f>FLN!BI65</f>
        <v>0</v>
      </c>
      <c r="BW65" s="816">
        <f>FLN!BJ65</f>
        <v>0</v>
      </c>
      <c r="BX65" s="816">
        <f>FLN!BK65</f>
        <v>0</v>
      </c>
      <c r="BY65" s="823" t="str">
        <f t="shared" si="12"/>
        <v>6214</v>
      </c>
      <c r="BZ65" s="816">
        <f>FLN!BL65</f>
        <v>0</v>
      </c>
      <c r="CA65" s="816">
        <f>FLN!BM65</f>
        <v>0</v>
      </c>
      <c r="CB65" s="816">
        <f>FLN!BN65</f>
        <v>0</v>
      </c>
      <c r="CC65" s="816">
        <f>FLN!BO65</f>
        <v>0</v>
      </c>
      <c r="CD65" s="823" t="str">
        <f t="shared" si="13"/>
        <v>6215</v>
      </c>
      <c r="CE65" s="816">
        <f>FLN!BP65</f>
        <v>0</v>
      </c>
      <c r="CF65" s="816">
        <f>FLN!BQ65</f>
        <v>0</v>
      </c>
      <c r="CG65" s="816">
        <f>FLN!BR65</f>
        <v>0</v>
      </c>
      <c r="CH65" s="816">
        <f>FLN!BS65</f>
        <v>0</v>
      </c>
      <c r="CI65" s="823" t="str">
        <f t="shared" si="14"/>
        <v>6216</v>
      </c>
      <c r="CJ65" s="816">
        <f>FLN!BT65</f>
        <v>0</v>
      </c>
      <c r="CK65" s="816">
        <f>FLN!BU65</f>
        <v>0</v>
      </c>
      <c r="CL65" s="816">
        <f>FLN!BV65</f>
        <v>0</v>
      </c>
      <c r="CM65" s="816">
        <f>FLN!BW65</f>
        <v>0</v>
      </c>
      <c r="CN65" s="823" t="str">
        <f t="shared" si="15"/>
        <v>6217</v>
      </c>
      <c r="CO65" s="816">
        <f>FLN!BX65</f>
        <v>0</v>
      </c>
      <c r="CP65" s="816">
        <f>FLN!BY65</f>
        <v>0</v>
      </c>
      <c r="CQ65" s="816">
        <f>FLN!BZ65</f>
        <v>0</v>
      </c>
      <c r="CR65" s="816">
        <f>FLN!CA65</f>
        <v>0</v>
      </c>
      <c r="CS65" s="823" t="str">
        <f t="shared" si="16"/>
        <v>6218</v>
      </c>
      <c r="CT65" s="816">
        <f>FLN!CB65</f>
        <v>0</v>
      </c>
      <c r="CU65" s="816">
        <f>FLN!CC65</f>
        <v>0</v>
      </c>
      <c r="CV65" s="816">
        <f>FLN!CD65</f>
        <v>0</v>
      </c>
      <c r="CW65" s="816">
        <f>FLN!CE65</f>
        <v>0</v>
      </c>
      <c r="CX65" s="823" t="str">
        <f t="shared" si="17"/>
        <v>6219</v>
      </c>
      <c r="CY65" s="816">
        <f>FLN!CF65</f>
        <v>0</v>
      </c>
      <c r="CZ65" s="816">
        <f>FLN!CG65</f>
        <v>0</v>
      </c>
      <c r="DA65" s="816">
        <f>FLN!CH65</f>
        <v>0</v>
      </c>
      <c r="DB65" s="816">
        <f>FLN!CI65</f>
        <v>0</v>
      </c>
      <c r="DC65" s="823" t="str">
        <f t="shared" si="18"/>
        <v>6220</v>
      </c>
      <c r="DD65" s="816">
        <f>FLN!CJ65</f>
        <v>0</v>
      </c>
      <c r="DE65" s="816">
        <f>FLN!CK65</f>
        <v>0</v>
      </c>
      <c r="DF65" s="816">
        <f>FLN!CL65</f>
        <v>0</v>
      </c>
      <c r="DG65" s="816">
        <f>FLN!CM65</f>
        <v>0</v>
      </c>
      <c r="DH65" s="823" t="str">
        <f t="shared" si="19"/>
        <v>6221</v>
      </c>
      <c r="DI65" s="816">
        <f>FLN!CN65</f>
        <v>0</v>
      </c>
      <c r="DJ65" s="816">
        <f>FLN!CO65</f>
        <v>0</v>
      </c>
      <c r="DK65" s="816">
        <f>FLN!CP65</f>
        <v>0</v>
      </c>
      <c r="DL65" s="816">
        <f>FLN!CQ65</f>
        <v>0</v>
      </c>
      <c r="DM65" s="823" t="str">
        <f t="shared" si="20"/>
        <v>6222</v>
      </c>
      <c r="DN65" s="816">
        <f>FLN!CR65</f>
        <v>0</v>
      </c>
      <c r="DO65" s="816">
        <f>FLN!CS65</f>
        <v>0</v>
      </c>
      <c r="DP65" s="816">
        <f>FLN!CT65</f>
        <v>0</v>
      </c>
      <c r="DQ65" s="816">
        <f>FLN!CU65</f>
        <v>0</v>
      </c>
      <c r="DR65" s="823" t="str">
        <f t="shared" si="21"/>
        <v>6223</v>
      </c>
      <c r="DS65" s="816">
        <f>FLN!CV65</f>
        <v>0</v>
      </c>
      <c r="DT65" s="816">
        <f>FLN!CW65</f>
        <v>0</v>
      </c>
      <c r="DU65" s="816">
        <f>FLN!CX65</f>
        <v>0</v>
      </c>
      <c r="DV65" s="816">
        <f>FLN!CY65</f>
        <v>0</v>
      </c>
      <c r="DW65" s="823" t="str">
        <f t="shared" si="22"/>
        <v>6224</v>
      </c>
      <c r="DX65" s="816">
        <f>FLN!CZ65</f>
        <v>0</v>
      </c>
      <c r="DY65" s="816">
        <f>FLN!DA65</f>
        <v>0</v>
      </c>
      <c r="DZ65" s="816">
        <f>FLN!DB65</f>
        <v>0</v>
      </c>
      <c r="EA65" s="816">
        <f>FLN!DC65</f>
        <v>0</v>
      </c>
      <c r="EB65" s="823" t="str">
        <f t="shared" si="23"/>
        <v>6225</v>
      </c>
      <c r="EC65" s="816">
        <f>FLN!DD65</f>
        <v>0</v>
      </c>
      <c r="ED65" s="816">
        <f>FLN!DE65</f>
        <v>0</v>
      </c>
      <c r="EE65" s="816">
        <f>FLN!DF65</f>
        <v>0</v>
      </c>
      <c r="EF65" s="816">
        <f>FLN!DG65</f>
        <v>0</v>
      </c>
    </row>
    <row r="66" spans="1:136">
      <c r="A66" s="824">
        <v>63</v>
      </c>
      <c r="B66" s="824">
        <f>STUDENT!F64</f>
        <v>0</v>
      </c>
      <c r="C66" s="824">
        <f>STUDENT!D64</f>
        <v>0</v>
      </c>
      <c r="D66" s="827">
        <f>STUDENT!E64</f>
        <v>0</v>
      </c>
      <c r="E66" s="827">
        <f>STUDENT!H64</f>
        <v>0</v>
      </c>
      <c r="F66" s="828">
        <f>FLN!F66</f>
        <v>0</v>
      </c>
      <c r="G66" s="828">
        <f>FLN!G66</f>
        <v>0</v>
      </c>
      <c r="H66" s="828">
        <f>FLN!H66</f>
        <v>0</v>
      </c>
      <c r="I66" s="824" t="str">
        <f>FLN!I66</f>
        <v/>
      </c>
      <c r="J66" s="824" t="str">
        <f>FLN!J66</f>
        <v/>
      </c>
      <c r="K66" s="824" t="str">
        <f>FLN!K66</f>
        <v/>
      </c>
      <c r="L66" s="823" t="str">
        <f t="shared" si="24"/>
        <v>631</v>
      </c>
      <c r="M66" s="816">
        <f>FLN!L66</f>
        <v>0</v>
      </c>
      <c r="N66" s="816">
        <f>FLN!M66</f>
        <v>0</v>
      </c>
      <c r="O66" s="816">
        <f>FLN!N66</f>
        <v>0</v>
      </c>
      <c r="P66" s="816">
        <f>FLN!O66</f>
        <v>0</v>
      </c>
      <c r="Q66" s="823" t="str">
        <f t="shared" si="0"/>
        <v>632</v>
      </c>
      <c r="R66" s="816">
        <f>FLN!P66</f>
        <v>0</v>
      </c>
      <c r="S66" s="816">
        <f>FLN!Q66</f>
        <v>0</v>
      </c>
      <c r="T66" s="816">
        <f>FLN!R66</f>
        <v>0</v>
      </c>
      <c r="U66" s="816">
        <f>FLN!S66</f>
        <v>0</v>
      </c>
      <c r="V66" s="823" t="str">
        <f t="shared" si="1"/>
        <v>633</v>
      </c>
      <c r="W66" s="816">
        <f>FLN!T66</f>
        <v>0</v>
      </c>
      <c r="X66" s="816">
        <f>FLN!U66</f>
        <v>0</v>
      </c>
      <c r="Y66" s="816">
        <f>FLN!V66</f>
        <v>0</v>
      </c>
      <c r="Z66" s="816">
        <f>FLN!W66</f>
        <v>0</v>
      </c>
      <c r="AA66" s="823" t="str">
        <f t="shared" si="2"/>
        <v>634</v>
      </c>
      <c r="AB66" s="816">
        <f>FLN!X66</f>
        <v>0</v>
      </c>
      <c r="AC66" s="816">
        <f>FLN!Y66</f>
        <v>0</v>
      </c>
      <c r="AD66" s="816">
        <f>FLN!Z66</f>
        <v>0</v>
      </c>
      <c r="AE66" s="816">
        <f>FLN!AA66</f>
        <v>0</v>
      </c>
      <c r="AF66" s="823" t="str">
        <f t="shared" si="3"/>
        <v>635</v>
      </c>
      <c r="AG66" s="816">
        <f>FLN!AB66</f>
        <v>0</v>
      </c>
      <c r="AH66" s="816">
        <f>FLN!AC66</f>
        <v>0</v>
      </c>
      <c r="AI66" s="816">
        <f>FLN!AD66</f>
        <v>0</v>
      </c>
      <c r="AJ66" s="816">
        <f>FLN!AE66</f>
        <v>0</v>
      </c>
      <c r="AK66" s="823" t="str">
        <f t="shared" si="4"/>
        <v>636</v>
      </c>
      <c r="AL66" s="816">
        <f>FLN!AF66</f>
        <v>0</v>
      </c>
      <c r="AM66" s="816">
        <f>FLN!AG66</f>
        <v>0</v>
      </c>
      <c r="AN66" s="816">
        <f>FLN!AH66</f>
        <v>0</v>
      </c>
      <c r="AO66" s="816">
        <f>FLN!AI66</f>
        <v>0</v>
      </c>
      <c r="AP66" s="823" t="str">
        <f t="shared" si="5"/>
        <v>637</v>
      </c>
      <c r="AQ66" s="816">
        <f>FLN!AJ66</f>
        <v>0</v>
      </c>
      <c r="AR66" s="816">
        <f>FLN!AK66</f>
        <v>0</v>
      </c>
      <c r="AS66" s="816">
        <f>FLN!AL66</f>
        <v>0</v>
      </c>
      <c r="AT66" s="816">
        <f>FLN!AM66</f>
        <v>0</v>
      </c>
      <c r="AU66" s="823" t="str">
        <f t="shared" si="6"/>
        <v>638</v>
      </c>
      <c r="AV66" s="816">
        <f>FLN!AN66</f>
        <v>0</v>
      </c>
      <c r="AW66" s="816">
        <f>FLN!AO66</f>
        <v>0</v>
      </c>
      <c r="AX66" s="816">
        <f>FLN!AP66</f>
        <v>0</v>
      </c>
      <c r="AY66" s="816">
        <f>FLN!AQ66</f>
        <v>0</v>
      </c>
      <c r="AZ66" s="823" t="str">
        <f t="shared" si="7"/>
        <v>639</v>
      </c>
      <c r="BA66" s="816">
        <f>FLN!AR66</f>
        <v>0</v>
      </c>
      <c r="BB66" s="816">
        <f>FLN!AS66</f>
        <v>0</v>
      </c>
      <c r="BC66" s="816">
        <f>FLN!AT66</f>
        <v>0</v>
      </c>
      <c r="BD66" s="816">
        <f>FLN!AU66</f>
        <v>0</v>
      </c>
      <c r="BE66" s="823" t="str">
        <f t="shared" si="8"/>
        <v>6310</v>
      </c>
      <c r="BF66" s="816">
        <f>FLN!AV66</f>
        <v>0</v>
      </c>
      <c r="BG66" s="816">
        <f>FLN!AW66</f>
        <v>0</v>
      </c>
      <c r="BH66" s="816">
        <f>FLN!AX66</f>
        <v>0</v>
      </c>
      <c r="BI66" s="816">
        <f>FLN!AY66</f>
        <v>0</v>
      </c>
      <c r="BJ66" s="823" t="str">
        <f t="shared" si="9"/>
        <v>6311</v>
      </c>
      <c r="BK66" s="816">
        <f>FLN!AZ66</f>
        <v>0</v>
      </c>
      <c r="BL66" s="816">
        <f>FLN!BA66</f>
        <v>0</v>
      </c>
      <c r="BM66" s="816">
        <f>FLN!BB66</f>
        <v>0</v>
      </c>
      <c r="BN66" s="816">
        <f>FLN!BC66</f>
        <v>0</v>
      </c>
      <c r="BO66" s="823" t="str">
        <f t="shared" si="10"/>
        <v>6312</v>
      </c>
      <c r="BP66" s="816">
        <f>FLN!BD66</f>
        <v>0</v>
      </c>
      <c r="BQ66" s="816">
        <f>FLN!BE66</f>
        <v>0</v>
      </c>
      <c r="BR66" s="816">
        <f>FLN!BF66</f>
        <v>0</v>
      </c>
      <c r="BS66" s="816">
        <f>FLN!BG66</f>
        <v>0</v>
      </c>
      <c r="BT66" s="823" t="str">
        <f t="shared" si="11"/>
        <v>6313</v>
      </c>
      <c r="BU66" s="816">
        <f>FLN!BH66</f>
        <v>0</v>
      </c>
      <c r="BV66" s="816">
        <f>FLN!BI66</f>
        <v>0</v>
      </c>
      <c r="BW66" s="816">
        <f>FLN!BJ66</f>
        <v>0</v>
      </c>
      <c r="BX66" s="816">
        <f>FLN!BK66</f>
        <v>0</v>
      </c>
      <c r="BY66" s="823" t="str">
        <f t="shared" si="12"/>
        <v>6314</v>
      </c>
      <c r="BZ66" s="816">
        <f>FLN!BL66</f>
        <v>0</v>
      </c>
      <c r="CA66" s="816">
        <f>FLN!BM66</f>
        <v>0</v>
      </c>
      <c r="CB66" s="816">
        <f>FLN!BN66</f>
        <v>0</v>
      </c>
      <c r="CC66" s="816">
        <f>FLN!BO66</f>
        <v>0</v>
      </c>
      <c r="CD66" s="823" t="str">
        <f t="shared" si="13"/>
        <v>6315</v>
      </c>
      <c r="CE66" s="816">
        <f>FLN!BP66</f>
        <v>0</v>
      </c>
      <c r="CF66" s="816">
        <f>FLN!BQ66</f>
        <v>0</v>
      </c>
      <c r="CG66" s="816">
        <f>FLN!BR66</f>
        <v>0</v>
      </c>
      <c r="CH66" s="816">
        <f>FLN!BS66</f>
        <v>0</v>
      </c>
      <c r="CI66" s="823" t="str">
        <f t="shared" si="14"/>
        <v>6316</v>
      </c>
      <c r="CJ66" s="816">
        <f>FLN!BT66</f>
        <v>0</v>
      </c>
      <c r="CK66" s="816">
        <f>FLN!BU66</f>
        <v>0</v>
      </c>
      <c r="CL66" s="816">
        <f>FLN!BV66</f>
        <v>0</v>
      </c>
      <c r="CM66" s="816">
        <f>FLN!BW66</f>
        <v>0</v>
      </c>
      <c r="CN66" s="823" t="str">
        <f t="shared" si="15"/>
        <v>6317</v>
      </c>
      <c r="CO66" s="816">
        <f>FLN!BX66</f>
        <v>0</v>
      </c>
      <c r="CP66" s="816">
        <f>FLN!BY66</f>
        <v>0</v>
      </c>
      <c r="CQ66" s="816">
        <f>FLN!BZ66</f>
        <v>0</v>
      </c>
      <c r="CR66" s="816">
        <f>FLN!CA66</f>
        <v>0</v>
      </c>
      <c r="CS66" s="823" t="str">
        <f t="shared" si="16"/>
        <v>6318</v>
      </c>
      <c r="CT66" s="816">
        <f>FLN!CB66</f>
        <v>0</v>
      </c>
      <c r="CU66" s="816">
        <f>FLN!CC66</f>
        <v>0</v>
      </c>
      <c r="CV66" s="816">
        <f>FLN!CD66</f>
        <v>0</v>
      </c>
      <c r="CW66" s="816">
        <f>FLN!CE66</f>
        <v>0</v>
      </c>
      <c r="CX66" s="823" t="str">
        <f t="shared" si="17"/>
        <v>6319</v>
      </c>
      <c r="CY66" s="816">
        <f>FLN!CF66</f>
        <v>0</v>
      </c>
      <c r="CZ66" s="816">
        <f>FLN!CG66</f>
        <v>0</v>
      </c>
      <c r="DA66" s="816">
        <f>FLN!CH66</f>
        <v>0</v>
      </c>
      <c r="DB66" s="816">
        <f>FLN!CI66</f>
        <v>0</v>
      </c>
      <c r="DC66" s="823" t="str">
        <f t="shared" si="18"/>
        <v>6320</v>
      </c>
      <c r="DD66" s="816">
        <f>FLN!CJ66</f>
        <v>0</v>
      </c>
      <c r="DE66" s="816">
        <f>FLN!CK66</f>
        <v>0</v>
      </c>
      <c r="DF66" s="816">
        <f>FLN!CL66</f>
        <v>0</v>
      </c>
      <c r="DG66" s="816">
        <f>FLN!CM66</f>
        <v>0</v>
      </c>
      <c r="DH66" s="823" t="str">
        <f t="shared" si="19"/>
        <v>6321</v>
      </c>
      <c r="DI66" s="816">
        <f>FLN!CN66</f>
        <v>0</v>
      </c>
      <c r="DJ66" s="816">
        <f>FLN!CO66</f>
        <v>0</v>
      </c>
      <c r="DK66" s="816">
        <f>FLN!CP66</f>
        <v>0</v>
      </c>
      <c r="DL66" s="816">
        <f>FLN!CQ66</f>
        <v>0</v>
      </c>
      <c r="DM66" s="823" t="str">
        <f t="shared" si="20"/>
        <v>6322</v>
      </c>
      <c r="DN66" s="816">
        <f>FLN!CR66</f>
        <v>0</v>
      </c>
      <c r="DO66" s="816">
        <f>FLN!CS66</f>
        <v>0</v>
      </c>
      <c r="DP66" s="816">
        <f>FLN!CT66</f>
        <v>0</v>
      </c>
      <c r="DQ66" s="816">
        <f>FLN!CU66</f>
        <v>0</v>
      </c>
      <c r="DR66" s="823" t="str">
        <f t="shared" si="21"/>
        <v>6323</v>
      </c>
      <c r="DS66" s="816">
        <f>FLN!CV66</f>
        <v>0</v>
      </c>
      <c r="DT66" s="816">
        <f>FLN!CW66</f>
        <v>0</v>
      </c>
      <c r="DU66" s="816">
        <f>FLN!CX66</f>
        <v>0</v>
      </c>
      <c r="DV66" s="816">
        <f>FLN!CY66</f>
        <v>0</v>
      </c>
      <c r="DW66" s="823" t="str">
        <f t="shared" si="22"/>
        <v>6324</v>
      </c>
      <c r="DX66" s="816">
        <f>FLN!CZ66</f>
        <v>0</v>
      </c>
      <c r="DY66" s="816">
        <f>FLN!DA66</f>
        <v>0</v>
      </c>
      <c r="DZ66" s="816">
        <f>FLN!DB66</f>
        <v>0</v>
      </c>
      <c r="EA66" s="816">
        <f>FLN!DC66</f>
        <v>0</v>
      </c>
      <c r="EB66" s="823" t="str">
        <f t="shared" si="23"/>
        <v>6325</v>
      </c>
      <c r="EC66" s="816">
        <f>FLN!DD66</f>
        <v>0</v>
      </c>
      <c r="ED66" s="816">
        <f>FLN!DE66</f>
        <v>0</v>
      </c>
      <c r="EE66" s="816">
        <f>FLN!DF66</f>
        <v>0</v>
      </c>
      <c r="EF66" s="816">
        <f>FLN!DG66</f>
        <v>0</v>
      </c>
    </row>
    <row r="67" spans="1:136">
      <c r="A67" s="824">
        <v>64</v>
      </c>
      <c r="B67" s="824">
        <f>STUDENT!F65</f>
        <v>0</v>
      </c>
      <c r="C67" s="824">
        <f>STUDENT!D65</f>
        <v>0</v>
      </c>
      <c r="D67" s="827">
        <f>STUDENT!E65</f>
        <v>0</v>
      </c>
      <c r="E67" s="827">
        <f>STUDENT!H65</f>
        <v>0</v>
      </c>
      <c r="F67" s="828">
        <f>FLN!F67</f>
        <v>0</v>
      </c>
      <c r="G67" s="828">
        <f>FLN!G67</f>
        <v>0</v>
      </c>
      <c r="H67" s="828">
        <f>FLN!H67</f>
        <v>0</v>
      </c>
      <c r="I67" s="824" t="str">
        <f>FLN!I67</f>
        <v/>
      </c>
      <c r="J67" s="824" t="str">
        <f>FLN!J67</f>
        <v/>
      </c>
      <c r="K67" s="824" t="str">
        <f>FLN!K67</f>
        <v/>
      </c>
      <c r="L67" s="823" t="str">
        <f t="shared" si="24"/>
        <v>641</v>
      </c>
      <c r="M67" s="816">
        <f>FLN!L67</f>
        <v>0</v>
      </c>
      <c r="N67" s="816">
        <f>FLN!M67</f>
        <v>0</v>
      </c>
      <c r="O67" s="816">
        <f>FLN!N67</f>
        <v>0</v>
      </c>
      <c r="P67" s="816">
        <f>FLN!O67</f>
        <v>0</v>
      </c>
      <c r="Q67" s="823" t="str">
        <f t="shared" si="0"/>
        <v>642</v>
      </c>
      <c r="R67" s="816">
        <f>FLN!P67</f>
        <v>0</v>
      </c>
      <c r="S67" s="816">
        <f>FLN!Q67</f>
        <v>0</v>
      </c>
      <c r="T67" s="816">
        <f>FLN!R67</f>
        <v>0</v>
      </c>
      <c r="U67" s="816">
        <f>FLN!S67</f>
        <v>0</v>
      </c>
      <c r="V67" s="823" t="str">
        <f t="shared" si="1"/>
        <v>643</v>
      </c>
      <c r="W67" s="816">
        <f>FLN!T67</f>
        <v>0</v>
      </c>
      <c r="X67" s="816">
        <f>FLN!U67</f>
        <v>0</v>
      </c>
      <c r="Y67" s="816">
        <f>FLN!V67</f>
        <v>0</v>
      </c>
      <c r="Z67" s="816">
        <f>FLN!W67</f>
        <v>0</v>
      </c>
      <c r="AA67" s="823" t="str">
        <f t="shared" si="2"/>
        <v>644</v>
      </c>
      <c r="AB67" s="816">
        <f>FLN!X67</f>
        <v>0</v>
      </c>
      <c r="AC67" s="816">
        <f>FLN!Y67</f>
        <v>0</v>
      </c>
      <c r="AD67" s="816">
        <f>FLN!Z67</f>
        <v>0</v>
      </c>
      <c r="AE67" s="816">
        <f>FLN!AA67</f>
        <v>0</v>
      </c>
      <c r="AF67" s="823" t="str">
        <f t="shared" si="3"/>
        <v>645</v>
      </c>
      <c r="AG67" s="816">
        <f>FLN!AB67</f>
        <v>0</v>
      </c>
      <c r="AH67" s="816">
        <f>FLN!AC67</f>
        <v>0</v>
      </c>
      <c r="AI67" s="816">
        <f>FLN!AD67</f>
        <v>0</v>
      </c>
      <c r="AJ67" s="816">
        <f>FLN!AE67</f>
        <v>0</v>
      </c>
      <c r="AK67" s="823" t="str">
        <f t="shared" si="4"/>
        <v>646</v>
      </c>
      <c r="AL67" s="816">
        <f>FLN!AF67</f>
        <v>0</v>
      </c>
      <c r="AM67" s="816">
        <f>FLN!AG67</f>
        <v>0</v>
      </c>
      <c r="AN67" s="816">
        <f>FLN!AH67</f>
        <v>0</v>
      </c>
      <c r="AO67" s="816">
        <f>FLN!AI67</f>
        <v>0</v>
      </c>
      <c r="AP67" s="823" t="str">
        <f t="shared" si="5"/>
        <v>647</v>
      </c>
      <c r="AQ67" s="816">
        <f>FLN!AJ67</f>
        <v>0</v>
      </c>
      <c r="AR67" s="816">
        <f>FLN!AK67</f>
        <v>0</v>
      </c>
      <c r="AS67" s="816">
        <f>FLN!AL67</f>
        <v>0</v>
      </c>
      <c r="AT67" s="816">
        <f>FLN!AM67</f>
        <v>0</v>
      </c>
      <c r="AU67" s="823" t="str">
        <f t="shared" si="6"/>
        <v>648</v>
      </c>
      <c r="AV67" s="816">
        <f>FLN!AN67</f>
        <v>0</v>
      </c>
      <c r="AW67" s="816">
        <f>FLN!AO67</f>
        <v>0</v>
      </c>
      <c r="AX67" s="816">
        <f>FLN!AP67</f>
        <v>0</v>
      </c>
      <c r="AY67" s="816">
        <f>FLN!AQ67</f>
        <v>0</v>
      </c>
      <c r="AZ67" s="823" t="str">
        <f t="shared" si="7"/>
        <v>649</v>
      </c>
      <c r="BA67" s="816">
        <f>FLN!AR67</f>
        <v>0</v>
      </c>
      <c r="BB67" s="816">
        <f>FLN!AS67</f>
        <v>0</v>
      </c>
      <c r="BC67" s="816">
        <f>FLN!AT67</f>
        <v>0</v>
      </c>
      <c r="BD67" s="816">
        <f>FLN!AU67</f>
        <v>0</v>
      </c>
      <c r="BE67" s="823" t="str">
        <f t="shared" si="8"/>
        <v>6410</v>
      </c>
      <c r="BF67" s="816">
        <f>FLN!AV67</f>
        <v>0</v>
      </c>
      <c r="BG67" s="816">
        <f>FLN!AW67</f>
        <v>0</v>
      </c>
      <c r="BH67" s="816">
        <f>FLN!AX67</f>
        <v>0</v>
      </c>
      <c r="BI67" s="816">
        <f>FLN!AY67</f>
        <v>0</v>
      </c>
      <c r="BJ67" s="823" t="str">
        <f t="shared" si="9"/>
        <v>6411</v>
      </c>
      <c r="BK67" s="816">
        <f>FLN!AZ67</f>
        <v>0</v>
      </c>
      <c r="BL67" s="816">
        <f>FLN!BA67</f>
        <v>0</v>
      </c>
      <c r="BM67" s="816">
        <f>FLN!BB67</f>
        <v>0</v>
      </c>
      <c r="BN67" s="816">
        <f>FLN!BC67</f>
        <v>0</v>
      </c>
      <c r="BO67" s="823" t="str">
        <f t="shared" si="10"/>
        <v>6412</v>
      </c>
      <c r="BP67" s="816">
        <f>FLN!BD67</f>
        <v>0</v>
      </c>
      <c r="BQ67" s="816">
        <f>FLN!BE67</f>
        <v>0</v>
      </c>
      <c r="BR67" s="816">
        <f>FLN!BF67</f>
        <v>0</v>
      </c>
      <c r="BS67" s="816">
        <f>FLN!BG67</f>
        <v>0</v>
      </c>
      <c r="BT67" s="823" t="str">
        <f t="shared" si="11"/>
        <v>6413</v>
      </c>
      <c r="BU67" s="816">
        <f>FLN!BH67</f>
        <v>0</v>
      </c>
      <c r="BV67" s="816">
        <f>FLN!BI67</f>
        <v>0</v>
      </c>
      <c r="BW67" s="816">
        <f>FLN!BJ67</f>
        <v>0</v>
      </c>
      <c r="BX67" s="816">
        <f>FLN!BK67</f>
        <v>0</v>
      </c>
      <c r="BY67" s="823" t="str">
        <f t="shared" si="12"/>
        <v>6414</v>
      </c>
      <c r="BZ67" s="816">
        <f>FLN!BL67</f>
        <v>0</v>
      </c>
      <c r="CA67" s="816">
        <f>FLN!BM67</f>
        <v>0</v>
      </c>
      <c r="CB67" s="816">
        <f>FLN!BN67</f>
        <v>0</v>
      </c>
      <c r="CC67" s="816">
        <f>FLN!BO67</f>
        <v>0</v>
      </c>
      <c r="CD67" s="823" t="str">
        <f t="shared" si="13"/>
        <v>6415</v>
      </c>
      <c r="CE67" s="816">
        <f>FLN!BP67</f>
        <v>0</v>
      </c>
      <c r="CF67" s="816">
        <f>FLN!BQ67</f>
        <v>0</v>
      </c>
      <c r="CG67" s="816">
        <f>FLN!BR67</f>
        <v>0</v>
      </c>
      <c r="CH67" s="816">
        <f>FLN!BS67</f>
        <v>0</v>
      </c>
      <c r="CI67" s="823" t="str">
        <f t="shared" si="14"/>
        <v>6416</v>
      </c>
      <c r="CJ67" s="816">
        <f>FLN!BT67</f>
        <v>0</v>
      </c>
      <c r="CK67" s="816">
        <f>FLN!BU67</f>
        <v>0</v>
      </c>
      <c r="CL67" s="816">
        <f>FLN!BV67</f>
        <v>0</v>
      </c>
      <c r="CM67" s="816">
        <f>FLN!BW67</f>
        <v>0</v>
      </c>
      <c r="CN67" s="823" t="str">
        <f t="shared" si="15"/>
        <v>6417</v>
      </c>
      <c r="CO67" s="816">
        <f>FLN!BX67</f>
        <v>0</v>
      </c>
      <c r="CP67" s="816">
        <f>FLN!BY67</f>
        <v>0</v>
      </c>
      <c r="CQ67" s="816">
        <f>FLN!BZ67</f>
        <v>0</v>
      </c>
      <c r="CR67" s="816">
        <f>FLN!CA67</f>
        <v>0</v>
      </c>
      <c r="CS67" s="823" t="str">
        <f t="shared" si="16"/>
        <v>6418</v>
      </c>
      <c r="CT67" s="816">
        <f>FLN!CB67</f>
        <v>0</v>
      </c>
      <c r="CU67" s="816">
        <f>FLN!CC67</f>
        <v>0</v>
      </c>
      <c r="CV67" s="816">
        <f>FLN!CD67</f>
        <v>0</v>
      </c>
      <c r="CW67" s="816">
        <f>FLN!CE67</f>
        <v>0</v>
      </c>
      <c r="CX67" s="823" t="str">
        <f t="shared" si="17"/>
        <v>6419</v>
      </c>
      <c r="CY67" s="816">
        <f>FLN!CF67</f>
        <v>0</v>
      </c>
      <c r="CZ67" s="816">
        <f>FLN!CG67</f>
        <v>0</v>
      </c>
      <c r="DA67" s="816">
        <f>FLN!CH67</f>
        <v>0</v>
      </c>
      <c r="DB67" s="816">
        <f>FLN!CI67</f>
        <v>0</v>
      </c>
      <c r="DC67" s="823" t="str">
        <f t="shared" si="18"/>
        <v>6420</v>
      </c>
      <c r="DD67" s="816">
        <f>FLN!CJ67</f>
        <v>0</v>
      </c>
      <c r="DE67" s="816">
        <f>FLN!CK67</f>
        <v>0</v>
      </c>
      <c r="DF67" s="816">
        <f>FLN!CL67</f>
        <v>0</v>
      </c>
      <c r="DG67" s="816">
        <f>FLN!CM67</f>
        <v>0</v>
      </c>
      <c r="DH67" s="823" t="str">
        <f t="shared" si="19"/>
        <v>6421</v>
      </c>
      <c r="DI67" s="816">
        <f>FLN!CN67</f>
        <v>0</v>
      </c>
      <c r="DJ67" s="816">
        <f>FLN!CO67</f>
        <v>0</v>
      </c>
      <c r="DK67" s="816">
        <f>FLN!CP67</f>
        <v>0</v>
      </c>
      <c r="DL67" s="816">
        <f>FLN!CQ67</f>
        <v>0</v>
      </c>
      <c r="DM67" s="823" t="str">
        <f t="shared" si="20"/>
        <v>6422</v>
      </c>
      <c r="DN67" s="816">
        <f>FLN!CR67</f>
        <v>0</v>
      </c>
      <c r="DO67" s="816">
        <f>FLN!CS67</f>
        <v>0</v>
      </c>
      <c r="DP67" s="816">
        <f>FLN!CT67</f>
        <v>0</v>
      </c>
      <c r="DQ67" s="816">
        <f>FLN!CU67</f>
        <v>0</v>
      </c>
      <c r="DR67" s="823" t="str">
        <f t="shared" si="21"/>
        <v>6423</v>
      </c>
      <c r="DS67" s="816">
        <f>FLN!CV67</f>
        <v>0</v>
      </c>
      <c r="DT67" s="816">
        <f>FLN!CW67</f>
        <v>0</v>
      </c>
      <c r="DU67" s="816">
        <f>FLN!CX67</f>
        <v>0</v>
      </c>
      <c r="DV67" s="816">
        <f>FLN!CY67</f>
        <v>0</v>
      </c>
      <c r="DW67" s="823" t="str">
        <f t="shared" si="22"/>
        <v>6424</v>
      </c>
      <c r="DX67" s="816">
        <f>FLN!CZ67</f>
        <v>0</v>
      </c>
      <c r="DY67" s="816">
        <f>FLN!DA67</f>
        <v>0</v>
      </c>
      <c r="DZ67" s="816">
        <f>FLN!DB67</f>
        <v>0</v>
      </c>
      <c r="EA67" s="816">
        <f>FLN!DC67</f>
        <v>0</v>
      </c>
      <c r="EB67" s="823" t="str">
        <f t="shared" si="23"/>
        <v>6425</v>
      </c>
      <c r="EC67" s="816">
        <f>FLN!DD67</f>
        <v>0</v>
      </c>
      <c r="ED67" s="816">
        <f>FLN!DE67</f>
        <v>0</v>
      </c>
      <c r="EE67" s="816">
        <f>FLN!DF67</f>
        <v>0</v>
      </c>
      <c r="EF67" s="816">
        <f>FLN!DG67</f>
        <v>0</v>
      </c>
    </row>
    <row r="68" spans="1:136">
      <c r="A68" s="824">
        <v>65</v>
      </c>
      <c r="B68" s="824">
        <f>STUDENT!F66</f>
        <v>0</v>
      </c>
      <c r="C68" s="824">
        <f>STUDENT!D66</f>
        <v>0</v>
      </c>
      <c r="D68" s="827">
        <f>STUDENT!E66</f>
        <v>0</v>
      </c>
      <c r="E68" s="827">
        <f>STUDENT!H66</f>
        <v>0</v>
      </c>
      <c r="F68" s="828">
        <f>FLN!F68</f>
        <v>0</v>
      </c>
      <c r="G68" s="828">
        <f>FLN!G68</f>
        <v>0</v>
      </c>
      <c r="H68" s="828">
        <f>FLN!H68</f>
        <v>0</v>
      </c>
      <c r="I68" s="824" t="str">
        <f>FLN!I68</f>
        <v/>
      </c>
      <c r="J68" s="824" t="str">
        <f>FLN!J68</f>
        <v/>
      </c>
      <c r="K68" s="824" t="str">
        <f>FLN!K68</f>
        <v/>
      </c>
      <c r="L68" s="823" t="str">
        <f t="shared" si="24"/>
        <v>651</v>
      </c>
      <c r="M68" s="816">
        <f>FLN!L68</f>
        <v>0</v>
      </c>
      <c r="N68" s="816">
        <f>FLN!M68</f>
        <v>0</v>
      </c>
      <c r="O68" s="816">
        <f>FLN!N68</f>
        <v>0</v>
      </c>
      <c r="P68" s="816">
        <f>FLN!O68</f>
        <v>0</v>
      </c>
      <c r="Q68" s="823" t="str">
        <f t="shared" si="0"/>
        <v>652</v>
      </c>
      <c r="R68" s="816">
        <f>FLN!P68</f>
        <v>0</v>
      </c>
      <c r="S68" s="816">
        <f>FLN!Q68</f>
        <v>0</v>
      </c>
      <c r="T68" s="816">
        <f>FLN!R68</f>
        <v>0</v>
      </c>
      <c r="U68" s="816">
        <f>FLN!S68</f>
        <v>0</v>
      </c>
      <c r="V68" s="823" t="str">
        <f t="shared" si="1"/>
        <v>653</v>
      </c>
      <c r="W68" s="816">
        <f>FLN!T68</f>
        <v>0</v>
      </c>
      <c r="X68" s="816">
        <f>FLN!U68</f>
        <v>0</v>
      </c>
      <c r="Y68" s="816">
        <f>FLN!V68</f>
        <v>0</v>
      </c>
      <c r="Z68" s="816">
        <f>FLN!W68</f>
        <v>0</v>
      </c>
      <c r="AA68" s="823" t="str">
        <f t="shared" si="2"/>
        <v>654</v>
      </c>
      <c r="AB68" s="816">
        <f>FLN!X68</f>
        <v>0</v>
      </c>
      <c r="AC68" s="816">
        <f>FLN!Y68</f>
        <v>0</v>
      </c>
      <c r="AD68" s="816">
        <f>FLN!Z68</f>
        <v>0</v>
      </c>
      <c r="AE68" s="816">
        <f>FLN!AA68</f>
        <v>0</v>
      </c>
      <c r="AF68" s="823" t="str">
        <f t="shared" si="3"/>
        <v>655</v>
      </c>
      <c r="AG68" s="816">
        <f>FLN!AB68</f>
        <v>0</v>
      </c>
      <c r="AH68" s="816">
        <f>FLN!AC68</f>
        <v>0</v>
      </c>
      <c r="AI68" s="816">
        <f>FLN!AD68</f>
        <v>0</v>
      </c>
      <c r="AJ68" s="816">
        <f>FLN!AE68</f>
        <v>0</v>
      </c>
      <c r="AK68" s="823" t="str">
        <f t="shared" si="4"/>
        <v>656</v>
      </c>
      <c r="AL68" s="816">
        <f>FLN!AF68</f>
        <v>0</v>
      </c>
      <c r="AM68" s="816">
        <f>FLN!AG68</f>
        <v>0</v>
      </c>
      <c r="AN68" s="816">
        <f>FLN!AH68</f>
        <v>0</v>
      </c>
      <c r="AO68" s="816">
        <f>FLN!AI68</f>
        <v>0</v>
      </c>
      <c r="AP68" s="823" t="str">
        <f t="shared" si="5"/>
        <v>657</v>
      </c>
      <c r="AQ68" s="816">
        <f>FLN!AJ68</f>
        <v>0</v>
      </c>
      <c r="AR68" s="816">
        <f>FLN!AK68</f>
        <v>0</v>
      </c>
      <c r="AS68" s="816">
        <f>FLN!AL68</f>
        <v>0</v>
      </c>
      <c r="AT68" s="816">
        <f>FLN!AM68</f>
        <v>0</v>
      </c>
      <c r="AU68" s="823" t="str">
        <f t="shared" si="6"/>
        <v>658</v>
      </c>
      <c r="AV68" s="816">
        <f>FLN!AN68</f>
        <v>0</v>
      </c>
      <c r="AW68" s="816">
        <f>FLN!AO68</f>
        <v>0</v>
      </c>
      <c r="AX68" s="816">
        <f>FLN!AP68</f>
        <v>0</v>
      </c>
      <c r="AY68" s="816">
        <f>FLN!AQ68</f>
        <v>0</v>
      </c>
      <c r="AZ68" s="823" t="str">
        <f t="shared" si="7"/>
        <v>659</v>
      </c>
      <c r="BA68" s="816">
        <f>FLN!AR68</f>
        <v>0</v>
      </c>
      <c r="BB68" s="816">
        <f>FLN!AS68</f>
        <v>0</v>
      </c>
      <c r="BC68" s="816">
        <f>FLN!AT68</f>
        <v>0</v>
      </c>
      <c r="BD68" s="816">
        <f>FLN!AU68</f>
        <v>0</v>
      </c>
      <c r="BE68" s="823" t="str">
        <f t="shared" si="8"/>
        <v>6510</v>
      </c>
      <c r="BF68" s="816">
        <f>FLN!AV68</f>
        <v>0</v>
      </c>
      <c r="BG68" s="816">
        <f>FLN!AW68</f>
        <v>0</v>
      </c>
      <c r="BH68" s="816">
        <f>FLN!AX68</f>
        <v>0</v>
      </c>
      <c r="BI68" s="816">
        <f>FLN!AY68</f>
        <v>0</v>
      </c>
      <c r="BJ68" s="823" t="str">
        <f t="shared" si="9"/>
        <v>6511</v>
      </c>
      <c r="BK68" s="816">
        <f>FLN!AZ68</f>
        <v>0</v>
      </c>
      <c r="BL68" s="816">
        <f>FLN!BA68</f>
        <v>0</v>
      </c>
      <c r="BM68" s="816">
        <f>FLN!BB68</f>
        <v>0</v>
      </c>
      <c r="BN68" s="816">
        <f>FLN!BC68</f>
        <v>0</v>
      </c>
      <c r="BO68" s="823" t="str">
        <f t="shared" si="10"/>
        <v>6512</v>
      </c>
      <c r="BP68" s="816">
        <f>FLN!BD68</f>
        <v>0</v>
      </c>
      <c r="BQ68" s="816">
        <f>FLN!BE68</f>
        <v>0</v>
      </c>
      <c r="BR68" s="816">
        <f>FLN!BF68</f>
        <v>0</v>
      </c>
      <c r="BS68" s="816">
        <f>FLN!BG68</f>
        <v>0</v>
      </c>
      <c r="BT68" s="823" t="str">
        <f t="shared" si="11"/>
        <v>6513</v>
      </c>
      <c r="BU68" s="816">
        <f>FLN!BH68</f>
        <v>0</v>
      </c>
      <c r="BV68" s="816">
        <f>FLN!BI68</f>
        <v>0</v>
      </c>
      <c r="BW68" s="816">
        <f>FLN!BJ68</f>
        <v>0</v>
      </c>
      <c r="BX68" s="816">
        <f>FLN!BK68</f>
        <v>0</v>
      </c>
      <c r="BY68" s="823" t="str">
        <f t="shared" si="12"/>
        <v>6514</v>
      </c>
      <c r="BZ68" s="816">
        <f>FLN!BL68</f>
        <v>0</v>
      </c>
      <c r="CA68" s="816">
        <f>FLN!BM68</f>
        <v>0</v>
      </c>
      <c r="CB68" s="816">
        <f>FLN!BN68</f>
        <v>0</v>
      </c>
      <c r="CC68" s="816">
        <f>FLN!BO68</f>
        <v>0</v>
      </c>
      <c r="CD68" s="823" t="str">
        <f t="shared" si="13"/>
        <v>6515</v>
      </c>
      <c r="CE68" s="816">
        <f>FLN!BP68</f>
        <v>0</v>
      </c>
      <c r="CF68" s="816">
        <f>FLN!BQ68</f>
        <v>0</v>
      </c>
      <c r="CG68" s="816">
        <f>FLN!BR68</f>
        <v>0</v>
      </c>
      <c r="CH68" s="816">
        <f>FLN!BS68</f>
        <v>0</v>
      </c>
      <c r="CI68" s="823" t="str">
        <f t="shared" si="14"/>
        <v>6516</v>
      </c>
      <c r="CJ68" s="816">
        <f>FLN!BT68</f>
        <v>0</v>
      </c>
      <c r="CK68" s="816">
        <f>FLN!BU68</f>
        <v>0</v>
      </c>
      <c r="CL68" s="816">
        <f>FLN!BV68</f>
        <v>0</v>
      </c>
      <c r="CM68" s="816">
        <f>FLN!BW68</f>
        <v>0</v>
      </c>
      <c r="CN68" s="823" t="str">
        <f t="shared" si="15"/>
        <v>6517</v>
      </c>
      <c r="CO68" s="816">
        <f>FLN!BX68</f>
        <v>0</v>
      </c>
      <c r="CP68" s="816">
        <f>FLN!BY68</f>
        <v>0</v>
      </c>
      <c r="CQ68" s="816">
        <f>FLN!BZ68</f>
        <v>0</v>
      </c>
      <c r="CR68" s="816">
        <f>FLN!CA68</f>
        <v>0</v>
      </c>
      <c r="CS68" s="823" t="str">
        <f t="shared" si="16"/>
        <v>6518</v>
      </c>
      <c r="CT68" s="816">
        <f>FLN!CB68</f>
        <v>0</v>
      </c>
      <c r="CU68" s="816">
        <f>FLN!CC68</f>
        <v>0</v>
      </c>
      <c r="CV68" s="816">
        <f>FLN!CD68</f>
        <v>0</v>
      </c>
      <c r="CW68" s="816">
        <f>FLN!CE68</f>
        <v>0</v>
      </c>
      <c r="CX68" s="823" t="str">
        <f t="shared" si="17"/>
        <v>6519</v>
      </c>
      <c r="CY68" s="816">
        <f>FLN!CF68</f>
        <v>0</v>
      </c>
      <c r="CZ68" s="816">
        <f>FLN!CG68</f>
        <v>0</v>
      </c>
      <c r="DA68" s="816">
        <f>FLN!CH68</f>
        <v>0</v>
      </c>
      <c r="DB68" s="816">
        <f>FLN!CI68</f>
        <v>0</v>
      </c>
      <c r="DC68" s="823" t="str">
        <f t="shared" si="18"/>
        <v>6520</v>
      </c>
      <c r="DD68" s="816">
        <f>FLN!CJ68</f>
        <v>0</v>
      </c>
      <c r="DE68" s="816">
        <f>FLN!CK68</f>
        <v>0</v>
      </c>
      <c r="DF68" s="816">
        <f>FLN!CL68</f>
        <v>0</v>
      </c>
      <c r="DG68" s="816">
        <f>FLN!CM68</f>
        <v>0</v>
      </c>
      <c r="DH68" s="823" t="str">
        <f t="shared" si="19"/>
        <v>6521</v>
      </c>
      <c r="DI68" s="816">
        <f>FLN!CN68</f>
        <v>0</v>
      </c>
      <c r="DJ68" s="816">
        <f>FLN!CO68</f>
        <v>0</v>
      </c>
      <c r="DK68" s="816">
        <f>FLN!CP68</f>
        <v>0</v>
      </c>
      <c r="DL68" s="816">
        <f>FLN!CQ68</f>
        <v>0</v>
      </c>
      <c r="DM68" s="823" t="str">
        <f t="shared" si="20"/>
        <v>6522</v>
      </c>
      <c r="DN68" s="816">
        <f>FLN!CR68</f>
        <v>0</v>
      </c>
      <c r="DO68" s="816">
        <f>FLN!CS68</f>
        <v>0</v>
      </c>
      <c r="DP68" s="816">
        <f>FLN!CT68</f>
        <v>0</v>
      </c>
      <c r="DQ68" s="816">
        <f>FLN!CU68</f>
        <v>0</v>
      </c>
      <c r="DR68" s="823" t="str">
        <f t="shared" si="21"/>
        <v>6523</v>
      </c>
      <c r="DS68" s="816">
        <f>FLN!CV68</f>
        <v>0</v>
      </c>
      <c r="DT68" s="816">
        <f>FLN!CW68</f>
        <v>0</v>
      </c>
      <c r="DU68" s="816">
        <f>FLN!CX68</f>
        <v>0</v>
      </c>
      <c r="DV68" s="816">
        <f>FLN!CY68</f>
        <v>0</v>
      </c>
      <c r="DW68" s="823" t="str">
        <f t="shared" si="22"/>
        <v>6524</v>
      </c>
      <c r="DX68" s="816">
        <f>FLN!CZ68</f>
        <v>0</v>
      </c>
      <c r="DY68" s="816">
        <f>FLN!DA68</f>
        <v>0</v>
      </c>
      <c r="DZ68" s="816">
        <f>FLN!DB68</f>
        <v>0</v>
      </c>
      <c r="EA68" s="816">
        <f>FLN!DC68</f>
        <v>0</v>
      </c>
      <c r="EB68" s="823" t="str">
        <f t="shared" si="23"/>
        <v>6525</v>
      </c>
      <c r="EC68" s="816">
        <f>FLN!DD68</f>
        <v>0</v>
      </c>
      <c r="ED68" s="816">
        <f>FLN!DE68</f>
        <v>0</v>
      </c>
      <c r="EE68" s="816">
        <f>FLN!DF68</f>
        <v>0</v>
      </c>
      <c r="EF68" s="816">
        <f>FLN!DG68</f>
        <v>0</v>
      </c>
    </row>
    <row r="69" spans="1:136">
      <c r="A69" s="824">
        <v>66</v>
      </c>
      <c r="B69" s="824">
        <f>STUDENT!F67</f>
        <v>0</v>
      </c>
      <c r="C69" s="824">
        <f>STUDENT!D67</f>
        <v>0</v>
      </c>
      <c r="D69" s="827">
        <f>STUDENT!E67</f>
        <v>0</v>
      </c>
      <c r="E69" s="827">
        <f>STUDENT!H67</f>
        <v>0</v>
      </c>
      <c r="F69" s="828">
        <f>FLN!F69</f>
        <v>0</v>
      </c>
      <c r="G69" s="828">
        <f>FLN!G69</f>
        <v>0</v>
      </c>
      <c r="H69" s="828">
        <f>FLN!H69</f>
        <v>0</v>
      </c>
      <c r="I69" s="824" t="str">
        <f>FLN!I69</f>
        <v/>
      </c>
      <c r="J69" s="824" t="str">
        <f>FLN!J69</f>
        <v/>
      </c>
      <c r="K69" s="824" t="str">
        <f>FLN!K69</f>
        <v/>
      </c>
      <c r="L69" s="823" t="str">
        <f t="shared" si="24"/>
        <v>661</v>
      </c>
      <c r="M69" s="816">
        <f>FLN!L69</f>
        <v>0</v>
      </c>
      <c r="N69" s="816">
        <f>FLN!M69</f>
        <v>0</v>
      </c>
      <c r="O69" s="816">
        <f>FLN!N69</f>
        <v>0</v>
      </c>
      <c r="P69" s="816">
        <f>FLN!O69</f>
        <v>0</v>
      </c>
      <c r="Q69" s="823" t="str">
        <f t="shared" ref="Q69:Q103" si="25">A69&amp;$S$1</f>
        <v>662</v>
      </c>
      <c r="R69" s="816">
        <f>FLN!P69</f>
        <v>0</v>
      </c>
      <c r="S69" s="816">
        <f>FLN!Q69</f>
        <v>0</v>
      </c>
      <c r="T69" s="816">
        <f>FLN!R69</f>
        <v>0</v>
      </c>
      <c r="U69" s="816">
        <f>FLN!S69</f>
        <v>0</v>
      </c>
      <c r="V69" s="823" t="str">
        <f t="shared" ref="V69:V103" si="26">A69&amp;$X$1</f>
        <v>663</v>
      </c>
      <c r="W69" s="816">
        <f>FLN!T69</f>
        <v>0</v>
      </c>
      <c r="X69" s="816">
        <f>FLN!U69</f>
        <v>0</v>
      </c>
      <c r="Y69" s="816">
        <f>FLN!V69</f>
        <v>0</v>
      </c>
      <c r="Z69" s="816">
        <f>FLN!W69</f>
        <v>0</v>
      </c>
      <c r="AA69" s="823" t="str">
        <f t="shared" ref="AA69:AA103" si="27">A69&amp;$AC$1</f>
        <v>664</v>
      </c>
      <c r="AB69" s="816">
        <f>FLN!X69</f>
        <v>0</v>
      </c>
      <c r="AC69" s="816">
        <f>FLN!Y69</f>
        <v>0</v>
      </c>
      <c r="AD69" s="816">
        <f>FLN!Z69</f>
        <v>0</v>
      </c>
      <c r="AE69" s="816">
        <f>FLN!AA69</f>
        <v>0</v>
      </c>
      <c r="AF69" s="823" t="str">
        <f t="shared" ref="AF69:AF103" si="28">A69&amp;$AH$1</f>
        <v>665</v>
      </c>
      <c r="AG69" s="816">
        <f>FLN!AB69</f>
        <v>0</v>
      </c>
      <c r="AH69" s="816">
        <f>FLN!AC69</f>
        <v>0</v>
      </c>
      <c r="AI69" s="816">
        <f>FLN!AD69</f>
        <v>0</v>
      </c>
      <c r="AJ69" s="816">
        <f>FLN!AE69</f>
        <v>0</v>
      </c>
      <c r="AK69" s="823" t="str">
        <f t="shared" ref="AK69:AK103" si="29">A69&amp;$AM$1</f>
        <v>666</v>
      </c>
      <c r="AL69" s="816">
        <f>FLN!AF69</f>
        <v>0</v>
      </c>
      <c r="AM69" s="816">
        <f>FLN!AG69</f>
        <v>0</v>
      </c>
      <c r="AN69" s="816">
        <f>FLN!AH69</f>
        <v>0</v>
      </c>
      <c r="AO69" s="816">
        <f>FLN!AI69</f>
        <v>0</v>
      </c>
      <c r="AP69" s="823" t="str">
        <f t="shared" ref="AP69:AP103" si="30">A69&amp;$AR$1</f>
        <v>667</v>
      </c>
      <c r="AQ69" s="816">
        <f>FLN!AJ69</f>
        <v>0</v>
      </c>
      <c r="AR69" s="816">
        <f>FLN!AK69</f>
        <v>0</v>
      </c>
      <c r="AS69" s="816">
        <f>FLN!AL69</f>
        <v>0</v>
      </c>
      <c r="AT69" s="816">
        <f>FLN!AM69</f>
        <v>0</v>
      </c>
      <c r="AU69" s="823" t="str">
        <f t="shared" ref="AU69:AU103" si="31">A69&amp;$AW$1</f>
        <v>668</v>
      </c>
      <c r="AV69" s="816">
        <f>FLN!AN69</f>
        <v>0</v>
      </c>
      <c r="AW69" s="816">
        <f>FLN!AO69</f>
        <v>0</v>
      </c>
      <c r="AX69" s="816">
        <f>FLN!AP69</f>
        <v>0</v>
      </c>
      <c r="AY69" s="816">
        <f>FLN!AQ69</f>
        <v>0</v>
      </c>
      <c r="AZ69" s="823" t="str">
        <f t="shared" ref="AZ69:AZ103" si="32">A69&amp;$BB$1</f>
        <v>669</v>
      </c>
      <c r="BA69" s="816">
        <f>FLN!AR69</f>
        <v>0</v>
      </c>
      <c r="BB69" s="816">
        <f>FLN!AS69</f>
        <v>0</v>
      </c>
      <c r="BC69" s="816">
        <f>FLN!AT69</f>
        <v>0</v>
      </c>
      <c r="BD69" s="816">
        <f>FLN!AU69</f>
        <v>0</v>
      </c>
      <c r="BE69" s="823" t="str">
        <f t="shared" ref="BE69:BE103" si="33">A69&amp;$BG$1</f>
        <v>6610</v>
      </c>
      <c r="BF69" s="816">
        <f>FLN!AV69</f>
        <v>0</v>
      </c>
      <c r="BG69" s="816">
        <f>FLN!AW69</f>
        <v>0</v>
      </c>
      <c r="BH69" s="816">
        <f>FLN!AX69</f>
        <v>0</v>
      </c>
      <c r="BI69" s="816">
        <f>FLN!AY69</f>
        <v>0</v>
      </c>
      <c r="BJ69" s="823" t="str">
        <f t="shared" ref="BJ69:BJ103" si="34">A69&amp;$BL$1</f>
        <v>6611</v>
      </c>
      <c r="BK69" s="816">
        <f>FLN!AZ69</f>
        <v>0</v>
      </c>
      <c r="BL69" s="816">
        <f>FLN!BA69</f>
        <v>0</v>
      </c>
      <c r="BM69" s="816">
        <f>FLN!BB69</f>
        <v>0</v>
      </c>
      <c r="BN69" s="816">
        <f>FLN!BC69</f>
        <v>0</v>
      </c>
      <c r="BO69" s="823" t="str">
        <f t="shared" ref="BO69:BO103" si="35">A69&amp;$BQ$1</f>
        <v>6612</v>
      </c>
      <c r="BP69" s="816">
        <f>FLN!BD69</f>
        <v>0</v>
      </c>
      <c r="BQ69" s="816">
        <f>FLN!BE69</f>
        <v>0</v>
      </c>
      <c r="BR69" s="816">
        <f>FLN!BF69</f>
        <v>0</v>
      </c>
      <c r="BS69" s="816">
        <f>FLN!BG69</f>
        <v>0</v>
      </c>
      <c r="BT69" s="823" t="str">
        <f t="shared" ref="BT69:BT103" si="36">A69&amp;$BV$1</f>
        <v>6613</v>
      </c>
      <c r="BU69" s="816">
        <f>FLN!BH69</f>
        <v>0</v>
      </c>
      <c r="BV69" s="816">
        <f>FLN!BI69</f>
        <v>0</v>
      </c>
      <c r="BW69" s="816">
        <f>FLN!BJ69</f>
        <v>0</v>
      </c>
      <c r="BX69" s="816">
        <f>FLN!BK69</f>
        <v>0</v>
      </c>
      <c r="BY69" s="823" t="str">
        <f t="shared" ref="BY69:BY103" si="37">A69&amp;$CA$1</f>
        <v>6614</v>
      </c>
      <c r="BZ69" s="816">
        <f>FLN!BL69</f>
        <v>0</v>
      </c>
      <c r="CA69" s="816">
        <f>FLN!BM69</f>
        <v>0</v>
      </c>
      <c r="CB69" s="816">
        <f>FLN!BN69</f>
        <v>0</v>
      </c>
      <c r="CC69" s="816">
        <f>FLN!BO69</f>
        <v>0</v>
      </c>
      <c r="CD69" s="823" t="str">
        <f t="shared" ref="CD69:CD103" si="38">A69&amp;$CF$1</f>
        <v>6615</v>
      </c>
      <c r="CE69" s="816">
        <f>FLN!BP69</f>
        <v>0</v>
      </c>
      <c r="CF69" s="816">
        <f>FLN!BQ69</f>
        <v>0</v>
      </c>
      <c r="CG69" s="816">
        <f>FLN!BR69</f>
        <v>0</v>
      </c>
      <c r="CH69" s="816">
        <f>FLN!BS69</f>
        <v>0</v>
      </c>
      <c r="CI69" s="823" t="str">
        <f t="shared" ref="CI69:CI103" si="39">A69&amp;$CK$1</f>
        <v>6616</v>
      </c>
      <c r="CJ69" s="816">
        <f>FLN!BT69</f>
        <v>0</v>
      </c>
      <c r="CK69" s="816">
        <f>FLN!BU69</f>
        <v>0</v>
      </c>
      <c r="CL69" s="816">
        <f>FLN!BV69</f>
        <v>0</v>
      </c>
      <c r="CM69" s="816">
        <f>FLN!BW69</f>
        <v>0</v>
      </c>
      <c r="CN69" s="823" t="str">
        <f t="shared" ref="CN69:CN103" si="40">A69&amp;$CP$1</f>
        <v>6617</v>
      </c>
      <c r="CO69" s="816">
        <f>FLN!BX69</f>
        <v>0</v>
      </c>
      <c r="CP69" s="816">
        <f>FLN!BY69</f>
        <v>0</v>
      </c>
      <c r="CQ69" s="816">
        <f>FLN!BZ69</f>
        <v>0</v>
      </c>
      <c r="CR69" s="816">
        <f>FLN!CA69</f>
        <v>0</v>
      </c>
      <c r="CS69" s="823" t="str">
        <f t="shared" ref="CS69:CS103" si="41">A69&amp;$CU$1</f>
        <v>6618</v>
      </c>
      <c r="CT69" s="816">
        <f>FLN!CB69</f>
        <v>0</v>
      </c>
      <c r="CU69" s="816">
        <f>FLN!CC69</f>
        <v>0</v>
      </c>
      <c r="CV69" s="816">
        <f>FLN!CD69</f>
        <v>0</v>
      </c>
      <c r="CW69" s="816">
        <f>FLN!CE69</f>
        <v>0</v>
      </c>
      <c r="CX69" s="823" t="str">
        <f t="shared" ref="CX69:CX103" si="42">A69&amp;$CZ$1</f>
        <v>6619</v>
      </c>
      <c r="CY69" s="816">
        <f>FLN!CF69</f>
        <v>0</v>
      </c>
      <c r="CZ69" s="816">
        <f>FLN!CG69</f>
        <v>0</v>
      </c>
      <c r="DA69" s="816">
        <f>FLN!CH69</f>
        <v>0</v>
      </c>
      <c r="DB69" s="816">
        <f>FLN!CI69</f>
        <v>0</v>
      </c>
      <c r="DC69" s="823" t="str">
        <f t="shared" ref="DC69:DC103" si="43">A69&amp;$DE$1</f>
        <v>6620</v>
      </c>
      <c r="DD69" s="816">
        <f>FLN!CJ69</f>
        <v>0</v>
      </c>
      <c r="DE69" s="816">
        <f>FLN!CK69</f>
        <v>0</v>
      </c>
      <c r="DF69" s="816">
        <f>FLN!CL69</f>
        <v>0</v>
      </c>
      <c r="DG69" s="816">
        <f>FLN!CM69</f>
        <v>0</v>
      </c>
      <c r="DH69" s="823" t="str">
        <f t="shared" ref="DH69:DH103" si="44">A69&amp;$DJ$1</f>
        <v>6621</v>
      </c>
      <c r="DI69" s="816">
        <f>FLN!CN69</f>
        <v>0</v>
      </c>
      <c r="DJ69" s="816">
        <f>FLN!CO69</f>
        <v>0</v>
      </c>
      <c r="DK69" s="816">
        <f>FLN!CP69</f>
        <v>0</v>
      </c>
      <c r="DL69" s="816">
        <f>FLN!CQ69</f>
        <v>0</v>
      </c>
      <c r="DM69" s="823" t="str">
        <f t="shared" ref="DM69:DM103" si="45">A69&amp;$DO$1</f>
        <v>6622</v>
      </c>
      <c r="DN69" s="816">
        <f>FLN!CR69</f>
        <v>0</v>
      </c>
      <c r="DO69" s="816">
        <f>FLN!CS69</f>
        <v>0</v>
      </c>
      <c r="DP69" s="816">
        <f>FLN!CT69</f>
        <v>0</v>
      </c>
      <c r="DQ69" s="816">
        <f>FLN!CU69</f>
        <v>0</v>
      </c>
      <c r="DR69" s="823" t="str">
        <f t="shared" ref="DR69:DR103" si="46">A69&amp;$DT$1</f>
        <v>6623</v>
      </c>
      <c r="DS69" s="816">
        <f>FLN!CV69</f>
        <v>0</v>
      </c>
      <c r="DT69" s="816">
        <f>FLN!CW69</f>
        <v>0</v>
      </c>
      <c r="DU69" s="816">
        <f>FLN!CX69</f>
        <v>0</v>
      </c>
      <c r="DV69" s="816">
        <f>FLN!CY69</f>
        <v>0</v>
      </c>
      <c r="DW69" s="823" t="str">
        <f t="shared" ref="DW69:DW103" si="47">A69&amp;$DY$1</f>
        <v>6624</v>
      </c>
      <c r="DX69" s="816">
        <f>FLN!CZ69</f>
        <v>0</v>
      </c>
      <c r="DY69" s="816">
        <f>FLN!DA69</f>
        <v>0</v>
      </c>
      <c r="DZ69" s="816">
        <f>FLN!DB69</f>
        <v>0</v>
      </c>
      <c r="EA69" s="816">
        <f>FLN!DC69</f>
        <v>0</v>
      </c>
      <c r="EB69" s="823" t="str">
        <f t="shared" ref="EB69:EB103" si="48">A69&amp;$ED$1</f>
        <v>6625</v>
      </c>
      <c r="EC69" s="816">
        <f>FLN!DD69</f>
        <v>0</v>
      </c>
      <c r="ED69" s="816">
        <f>FLN!DE69</f>
        <v>0</v>
      </c>
      <c r="EE69" s="816">
        <f>FLN!DF69</f>
        <v>0</v>
      </c>
      <c r="EF69" s="816">
        <f>FLN!DG69</f>
        <v>0</v>
      </c>
    </row>
    <row r="70" spans="1:136">
      <c r="A70" s="824">
        <v>67</v>
      </c>
      <c r="B70" s="824">
        <f>STUDENT!F68</f>
        <v>0</v>
      </c>
      <c r="C70" s="824">
        <f>STUDENT!D68</f>
        <v>0</v>
      </c>
      <c r="D70" s="827">
        <f>STUDENT!E68</f>
        <v>0</v>
      </c>
      <c r="E70" s="827">
        <f>STUDENT!H68</f>
        <v>0</v>
      </c>
      <c r="F70" s="828">
        <f>FLN!F70</f>
        <v>0</v>
      </c>
      <c r="G70" s="828">
        <f>FLN!G70</f>
        <v>0</v>
      </c>
      <c r="H70" s="828">
        <f>FLN!H70</f>
        <v>0</v>
      </c>
      <c r="I70" s="824" t="str">
        <f>FLN!I70</f>
        <v/>
      </c>
      <c r="J70" s="824" t="str">
        <f>FLN!J70</f>
        <v/>
      </c>
      <c r="K70" s="824" t="str">
        <f>FLN!K70</f>
        <v/>
      </c>
      <c r="L70" s="823" t="str">
        <f t="shared" ref="L70:L103" si="49">A70&amp;$N$1</f>
        <v>671</v>
      </c>
      <c r="M70" s="816">
        <f>FLN!L70</f>
        <v>0</v>
      </c>
      <c r="N70" s="816">
        <f>FLN!M70</f>
        <v>0</v>
      </c>
      <c r="O70" s="816">
        <f>FLN!N70</f>
        <v>0</v>
      </c>
      <c r="P70" s="816">
        <f>FLN!O70</f>
        <v>0</v>
      </c>
      <c r="Q70" s="823" t="str">
        <f t="shared" si="25"/>
        <v>672</v>
      </c>
      <c r="R70" s="816">
        <f>FLN!P70</f>
        <v>0</v>
      </c>
      <c r="S70" s="816">
        <f>FLN!Q70</f>
        <v>0</v>
      </c>
      <c r="T70" s="816">
        <f>FLN!R70</f>
        <v>0</v>
      </c>
      <c r="U70" s="816">
        <f>FLN!S70</f>
        <v>0</v>
      </c>
      <c r="V70" s="823" t="str">
        <f t="shared" si="26"/>
        <v>673</v>
      </c>
      <c r="W70" s="816">
        <f>FLN!T70</f>
        <v>0</v>
      </c>
      <c r="X70" s="816">
        <f>FLN!U70</f>
        <v>0</v>
      </c>
      <c r="Y70" s="816">
        <f>FLN!V70</f>
        <v>0</v>
      </c>
      <c r="Z70" s="816">
        <f>FLN!W70</f>
        <v>0</v>
      </c>
      <c r="AA70" s="823" t="str">
        <f t="shared" si="27"/>
        <v>674</v>
      </c>
      <c r="AB70" s="816">
        <f>FLN!X70</f>
        <v>0</v>
      </c>
      <c r="AC70" s="816">
        <f>FLN!Y70</f>
        <v>0</v>
      </c>
      <c r="AD70" s="816">
        <f>FLN!Z70</f>
        <v>0</v>
      </c>
      <c r="AE70" s="816">
        <f>FLN!AA70</f>
        <v>0</v>
      </c>
      <c r="AF70" s="823" t="str">
        <f t="shared" si="28"/>
        <v>675</v>
      </c>
      <c r="AG70" s="816">
        <f>FLN!AB70</f>
        <v>0</v>
      </c>
      <c r="AH70" s="816">
        <f>FLN!AC70</f>
        <v>0</v>
      </c>
      <c r="AI70" s="816">
        <f>FLN!AD70</f>
        <v>0</v>
      </c>
      <c r="AJ70" s="816">
        <f>FLN!AE70</f>
        <v>0</v>
      </c>
      <c r="AK70" s="823" t="str">
        <f t="shared" si="29"/>
        <v>676</v>
      </c>
      <c r="AL70" s="816">
        <f>FLN!AF70</f>
        <v>0</v>
      </c>
      <c r="AM70" s="816">
        <f>FLN!AG70</f>
        <v>0</v>
      </c>
      <c r="AN70" s="816">
        <f>FLN!AH70</f>
        <v>0</v>
      </c>
      <c r="AO70" s="816">
        <f>FLN!AI70</f>
        <v>0</v>
      </c>
      <c r="AP70" s="823" t="str">
        <f t="shared" si="30"/>
        <v>677</v>
      </c>
      <c r="AQ70" s="816">
        <f>FLN!AJ70</f>
        <v>0</v>
      </c>
      <c r="AR70" s="816">
        <f>FLN!AK70</f>
        <v>0</v>
      </c>
      <c r="AS70" s="816">
        <f>FLN!AL70</f>
        <v>0</v>
      </c>
      <c r="AT70" s="816">
        <f>FLN!AM70</f>
        <v>0</v>
      </c>
      <c r="AU70" s="823" t="str">
        <f t="shared" si="31"/>
        <v>678</v>
      </c>
      <c r="AV70" s="816">
        <f>FLN!AN70</f>
        <v>0</v>
      </c>
      <c r="AW70" s="816">
        <f>FLN!AO70</f>
        <v>0</v>
      </c>
      <c r="AX70" s="816">
        <f>FLN!AP70</f>
        <v>0</v>
      </c>
      <c r="AY70" s="816">
        <f>FLN!AQ70</f>
        <v>0</v>
      </c>
      <c r="AZ70" s="823" t="str">
        <f t="shared" si="32"/>
        <v>679</v>
      </c>
      <c r="BA70" s="816">
        <f>FLN!AR70</f>
        <v>0</v>
      </c>
      <c r="BB70" s="816">
        <f>FLN!AS70</f>
        <v>0</v>
      </c>
      <c r="BC70" s="816">
        <f>FLN!AT70</f>
        <v>0</v>
      </c>
      <c r="BD70" s="816">
        <f>FLN!AU70</f>
        <v>0</v>
      </c>
      <c r="BE70" s="823" t="str">
        <f t="shared" si="33"/>
        <v>6710</v>
      </c>
      <c r="BF70" s="816">
        <f>FLN!AV70</f>
        <v>0</v>
      </c>
      <c r="BG70" s="816">
        <f>FLN!AW70</f>
        <v>0</v>
      </c>
      <c r="BH70" s="816">
        <f>FLN!AX70</f>
        <v>0</v>
      </c>
      <c r="BI70" s="816">
        <f>FLN!AY70</f>
        <v>0</v>
      </c>
      <c r="BJ70" s="823" t="str">
        <f t="shared" si="34"/>
        <v>6711</v>
      </c>
      <c r="BK70" s="816">
        <f>FLN!AZ70</f>
        <v>0</v>
      </c>
      <c r="BL70" s="816">
        <f>FLN!BA70</f>
        <v>0</v>
      </c>
      <c r="BM70" s="816">
        <f>FLN!BB70</f>
        <v>0</v>
      </c>
      <c r="BN70" s="816">
        <f>FLN!BC70</f>
        <v>0</v>
      </c>
      <c r="BO70" s="823" t="str">
        <f t="shared" si="35"/>
        <v>6712</v>
      </c>
      <c r="BP70" s="816">
        <f>FLN!BD70</f>
        <v>0</v>
      </c>
      <c r="BQ70" s="816">
        <f>FLN!BE70</f>
        <v>0</v>
      </c>
      <c r="BR70" s="816">
        <f>FLN!BF70</f>
        <v>0</v>
      </c>
      <c r="BS70" s="816">
        <f>FLN!BG70</f>
        <v>0</v>
      </c>
      <c r="BT70" s="823" t="str">
        <f t="shared" si="36"/>
        <v>6713</v>
      </c>
      <c r="BU70" s="816">
        <f>FLN!BH70</f>
        <v>0</v>
      </c>
      <c r="BV70" s="816">
        <f>FLN!BI70</f>
        <v>0</v>
      </c>
      <c r="BW70" s="816">
        <f>FLN!BJ70</f>
        <v>0</v>
      </c>
      <c r="BX70" s="816">
        <f>FLN!BK70</f>
        <v>0</v>
      </c>
      <c r="BY70" s="823" t="str">
        <f t="shared" si="37"/>
        <v>6714</v>
      </c>
      <c r="BZ70" s="816">
        <f>FLN!BL70</f>
        <v>0</v>
      </c>
      <c r="CA70" s="816">
        <f>FLN!BM70</f>
        <v>0</v>
      </c>
      <c r="CB70" s="816">
        <f>FLN!BN70</f>
        <v>0</v>
      </c>
      <c r="CC70" s="816">
        <f>FLN!BO70</f>
        <v>0</v>
      </c>
      <c r="CD70" s="823" t="str">
        <f t="shared" si="38"/>
        <v>6715</v>
      </c>
      <c r="CE70" s="816">
        <f>FLN!BP70</f>
        <v>0</v>
      </c>
      <c r="CF70" s="816">
        <f>FLN!BQ70</f>
        <v>0</v>
      </c>
      <c r="CG70" s="816">
        <f>FLN!BR70</f>
        <v>0</v>
      </c>
      <c r="CH70" s="816">
        <f>FLN!BS70</f>
        <v>0</v>
      </c>
      <c r="CI70" s="823" t="str">
        <f t="shared" si="39"/>
        <v>6716</v>
      </c>
      <c r="CJ70" s="816">
        <f>FLN!BT70</f>
        <v>0</v>
      </c>
      <c r="CK70" s="816">
        <f>FLN!BU70</f>
        <v>0</v>
      </c>
      <c r="CL70" s="816">
        <f>FLN!BV70</f>
        <v>0</v>
      </c>
      <c r="CM70" s="816">
        <f>FLN!BW70</f>
        <v>0</v>
      </c>
      <c r="CN70" s="823" t="str">
        <f t="shared" si="40"/>
        <v>6717</v>
      </c>
      <c r="CO70" s="816">
        <f>FLN!BX70</f>
        <v>0</v>
      </c>
      <c r="CP70" s="816">
        <f>FLN!BY70</f>
        <v>0</v>
      </c>
      <c r="CQ70" s="816">
        <f>FLN!BZ70</f>
        <v>0</v>
      </c>
      <c r="CR70" s="816">
        <f>FLN!CA70</f>
        <v>0</v>
      </c>
      <c r="CS70" s="823" t="str">
        <f t="shared" si="41"/>
        <v>6718</v>
      </c>
      <c r="CT70" s="816">
        <f>FLN!CB70</f>
        <v>0</v>
      </c>
      <c r="CU70" s="816">
        <f>FLN!CC70</f>
        <v>0</v>
      </c>
      <c r="CV70" s="816">
        <f>FLN!CD70</f>
        <v>0</v>
      </c>
      <c r="CW70" s="816">
        <f>FLN!CE70</f>
        <v>0</v>
      </c>
      <c r="CX70" s="823" t="str">
        <f t="shared" si="42"/>
        <v>6719</v>
      </c>
      <c r="CY70" s="816">
        <f>FLN!CF70</f>
        <v>0</v>
      </c>
      <c r="CZ70" s="816">
        <f>FLN!CG70</f>
        <v>0</v>
      </c>
      <c r="DA70" s="816">
        <f>FLN!CH70</f>
        <v>0</v>
      </c>
      <c r="DB70" s="816">
        <f>FLN!CI70</f>
        <v>0</v>
      </c>
      <c r="DC70" s="823" t="str">
        <f t="shared" si="43"/>
        <v>6720</v>
      </c>
      <c r="DD70" s="816">
        <f>FLN!CJ70</f>
        <v>0</v>
      </c>
      <c r="DE70" s="816">
        <f>FLN!CK70</f>
        <v>0</v>
      </c>
      <c r="DF70" s="816">
        <f>FLN!CL70</f>
        <v>0</v>
      </c>
      <c r="DG70" s="816">
        <f>FLN!CM70</f>
        <v>0</v>
      </c>
      <c r="DH70" s="823" t="str">
        <f t="shared" si="44"/>
        <v>6721</v>
      </c>
      <c r="DI70" s="816">
        <f>FLN!CN70</f>
        <v>0</v>
      </c>
      <c r="DJ70" s="816">
        <f>FLN!CO70</f>
        <v>0</v>
      </c>
      <c r="DK70" s="816">
        <f>FLN!CP70</f>
        <v>0</v>
      </c>
      <c r="DL70" s="816">
        <f>FLN!CQ70</f>
        <v>0</v>
      </c>
      <c r="DM70" s="823" t="str">
        <f t="shared" si="45"/>
        <v>6722</v>
      </c>
      <c r="DN70" s="816">
        <f>FLN!CR70</f>
        <v>0</v>
      </c>
      <c r="DO70" s="816">
        <f>FLN!CS70</f>
        <v>0</v>
      </c>
      <c r="DP70" s="816">
        <f>FLN!CT70</f>
        <v>0</v>
      </c>
      <c r="DQ70" s="816">
        <f>FLN!CU70</f>
        <v>0</v>
      </c>
      <c r="DR70" s="823" t="str">
        <f t="shared" si="46"/>
        <v>6723</v>
      </c>
      <c r="DS70" s="816">
        <f>FLN!CV70</f>
        <v>0</v>
      </c>
      <c r="DT70" s="816">
        <f>FLN!CW70</f>
        <v>0</v>
      </c>
      <c r="DU70" s="816">
        <f>FLN!CX70</f>
        <v>0</v>
      </c>
      <c r="DV70" s="816">
        <f>FLN!CY70</f>
        <v>0</v>
      </c>
      <c r="DW70" s="823" t="str">
        <f t="shared" si="47"/>
        <v>6724</v>
      </c>
      <c r="DX70" s="816">
        <f>FLN!CZ70</f>
        <v>0</v>
      </c>
      <c r="DY70" s="816">
        <f>FLN!DA70</f>
        <v>0</v>
      </c>
      <c r="DZ70" s="816">
        <f>FLN!DB70</f>
        <v>0</v>
      </c>
      <c r="EA70" s="816">
        <f>FLN!DC70</f>
        <v>0</v>
      </c>
      <c r="EB70" s="823" t="str">
        <f t="shared" si="48"/>
        <v>6725</v>
      </c>
      <c r="EC70" s="816">
        <f>FLN!DD70</f>
        <v>0</v>
      </c>
      <c r="ED70" s="816">
        <f>FLN!DE70</f>
        <v>0</v>
      </c>
      <c r="EE70" s="816">
        <f>FLN!DF70</f>
        <v>0</v>
      </c>
      <c r="EF70" s="816">
        <f>FLN!DG70</f>
        <v>0</v>
      </c>
    </row>
    <row r="71" spans="1:136">
      <c r="A71" s="824">
        <v>68</v>
      </c>
      <c r="B71" s="824">
        <f>STUDENT!F69</f>
        <v>0</v>
      </c>
      <c r="C71" s="824">
        <f>STUDENT!D69</f>
        <v>0</v>
      </c>
      <c r="D71" s="827">
        <f>STUDENT!E69</f>
        <v>0</v>
      </c>
      <c r="E71" s="827">
        <f>STUDENT!H69</f>
        <v>0</v>
      </c>
      <c r="F71" s="828">
        <f>FLN!F71</f>
        <v>0</v>
      </c>
      <c r="G71" s="828">
        <f>FLN!G71</f>
        <v>0</v>
      </c>
      <c r="H71" s="828">
        <f>FLN!H71</f>
        <v>0</v>
      </c>
      <c r="I71" s="824" t="str">
        <f>FLN!I71</f>
        <v/>
      </c>
      <c r="J71" s="824" t="str">
        <f>FLN!J71</f>
        <v/>
      </c>
      <c r="K71" s="824" t="str">
        <f>FLN!K71</f>
        <v/>
      </c>
      <c r="L71" s="823" t="str">
        <f t="shared" si="49"/>
        <v>681</v>
      </c>
      <c r="M71" s="816">
        <f>FLN!L71</f>
        <v>0</v>
      </c>
      <c r="N71" s="816">
        <f>FLN!M71</f>
        <v>0</v>
      </c>
      <c r="O71" s="816">
        <f>FLN!N71</f>
        <v>0</v>
      </c>
      <c r="P71" s="816">
        <f>FLN!O71</f>
        <v>0</v>
      </c>
      <c r="Q71" s="823" t="str">
        <f t="shared" si="25"/>
        <v>682</v>
      </c>
      <c r="R71" s="816">
        <f>FLN!P71</f>
        <v>0</v>
      </c>
      <c r="S71" s="816">
        <f>FLN!Q71</f>
        <v>0</v>
      </c>
      <c r="T71" s="816">
        <f>FLN!R71</f>
        <v>0</v>
      </c>
      <c r="U71" s="816">
        <f>FLN!S71</f>
        <v>0</v>
      </c>
      <c r="V71" s="823" t="str">
        <f t="shared" si="26"/>
        <v>683</v>
      </c>
      <c r="W71" s="816">
        <f>FLN!T71</f>
        <v>0</v>
      </c>
      <c r="X71" s="816">
        <f>FLN!U71</f>
        <v>0</v>
      </c>
      <c r="Y71" s="816">
        <f>FLN!V71</f>
        <v>0</v>
      </c>
      <c r="Z71" s="816">
        <f>FLN!W71</f>
        <v>0</v>
      </c>
      <c r="AA71" s="823" t="str">
        <f t="shared" si="27"/>
        <v>684</v>
      </c>
      <c r="AB71" s="816">
        <f>FLN!X71</f>
        <v>0</v>
      </c>
      <c r="AC71" s="816">
        <f>FLN!Y71</f>
        <v>0</v>
      </c>
      <c r="AD71" s="816">
        <f>FLN!Z71</f>
        <v>0</v>
      </c>
      <c r="AE71" s="816">
        <f>FLN!AA71</f>
        <v>0</v>
      </c>
      <c r="AF71" s="823" t="str">
        <f t="shared" si="28"/>
        <v>685</v>
      </c>
      <c r="AG71" s="816">
        <f>FLN!AB71</f>
        <v>0</v>
      </c>
      <c r="AH71" s="816">
        <f>FLN!AC71</f>
        <v>0</v>
      </c>
      <c r="AI71" s="816">
        <f>FLN!AD71</f>
        <v>0</v>
      </c>
      <c r="AJ71" s="816">
        <f>FLN!AE71</f>
        <v>0</v>
      </c>
      <c r="AK71" s="823" t="str">
        <f t="shared" si="29"/>
        <v>686</v>
      </c>
      <c r="AL71" s="816">
        <f>FLN!AF71</f>
        <v>0</v>
      </c>
      <c r="AM71" s="816">
        <f>FLN!AG71</f>
        <v>0</v>
      </c>
      <c r="AN71" s="816">
        <f>FLN!AH71</f>
        <v>0</v>
      </c>
      <c r="AO71" s="816">
        <f>FLN!AI71</f>
        <v>0</v>
      </c>
      <c r="AP71" s="823" t="str">
        <f t="shared" si="30"/>
        <v>687</v>
      </c>
      <c r="AQ71" s="816">
        <f>FLN!AJ71</f>
        <v>0</v>
      </c>
      <c r="AR71" s="816">
        <f>FLN!AK71</f>
        <v>0</v>
      </c>
      <c r="AS71" s="816">
        <f>FLN!AL71</f>
        <v>0</v>
      </c>
      <c r="AT71" s="816">
        <f>FLN!AM71</f>
        <v>0</v>
      </c>
      <c r="AU71" s="823" t="str">
        <f t="shared" si="31"/>
        <v>688</v>
      </c>
      <c r="AV71" s="816">
        <f>FLN!AN71</f>
        <v>0</v>
      </c>
      <c r="AW71" s="816">
        <f>FLN!AO71</f>
        <v>0</v>
      </c>
      <c r="AX71" s="816">
        <f>FLN!AP71</f>
        <v>0</v>
      </c>
      <c r="AY71" s="816">
        <f>FLN!AQ71</f>
        <v>0</v>
      </c>
      <c r="AZ71" s="823" t="str">
        <f t="shared" si="32"/>
        <v>689</v>
      </c>
      <c r="BA71" s="816">
        <f>FLN!AR71</f>
        <v>0</v>
      </c>
      <c r="BB71" s="816">
        <f>FLN!AS71</f>
        <v>0</v>
      </c>
      <c r="BC71" s="816">
        <f>FLN!AT71</f>
        <v>0</v>
      </c>
      <c r="BD71" s="816">
        <f>FLN!AU71</f>
        <v>0</v>
      </c>
      <c r="BE71" s="823" t="str">
        <f t="shared" si="33"/>
        <v>6810</v>
      </c>
      <c r="BF71" s="816">
        <f>FLN!AV71</f>
        <v>0</v>
      </c>
      <c r="BG71" s="816">
        <f>FLN!AW71</f>
        <v>0</v>
      </c>
      <c r="BH71" s="816">
        <f>FLN!AX71</f>
        <v>0</v>
      </c>
      <c r="BI71" s="816">
        <f>FLN!AY71</f>
        <v>0</v>
      </c>
      <c r="BJ71" s="823" t="str">
        <f t="shared" si="34"/>
        <v>6811</v>
      </c>
      <c r="BK71" s="816">
        <f>FLN!AZ71</f>
        <v>0</v>
      </c>
      <c r="BL71" s="816">
        <f>FLN!BA71</f>
        <v>0</v>
      </c>
      <c r="BM71" s="816">
        <f>FLN!BB71</f>
        <v>0</v>
      </c>
      <c r="BN71" s="816">
        <f>FLN!BC71</f>
        <v>0</v>
      </c>
      <c r="BO71" s="823" t="str">
        <f t="shared" si="35"/>
        <v>6812</v>
      </c>
      <c r="BP71" s="816">
        <f>FLN!BD71</f>
        <v>0</v>
      </c>
      <c r="BQ71" s="816">
        <f>FLN!BE71</f>
        <v>0</v>
      </c>
      <c r="BR71" s="816">
        <f>FLN!BF71</f>
        <v>0</v>
      </c>
      <c r="BS71" s="816">
        <f>FLN!BG71</f>
        <v>0</v>
      </c>
      <c r="BT71" s="823" t="str">
        <f t="shared" si="36"/>
        <v>6813</v>
      </c>
      <c r="BU71" s="816">
        <f>FLN!BH71</f>
        <v>0</v>
      </c>
      <c r="BV71" s="816">
        <f>FLN!BI71</f>
        <v>0</v>
      </c>
      <c r="BW71" s="816">
        <f>FLN!BJ71</f>
        <v>0</v>
      </c>
      <c r="BX71" s="816">
        <f>FLN!BK71</f>
        <v>0</v>
      </c>
      <c r="BY71" s="823" t="str">
        <f t="shared" si="37"/>
        <v>6814</v>
      </c>
      <c r="BZ71" s="816">
        <f>FLN!BL71</f>
        <v>0</v>
      </c>
      <c r="CA71" s="816">
        <f>FLN!BM71</f>
        <v>0</v>
      </c>
      <c r="CB71" s="816">
        <f>FLN!BN71</f>
        <v>0</v>
      </c>
      <c r="CC71" s="816">
        <f>FLN!BO71</f>
        <v>0</v>
      </c>
      <c r="CD71" s="823" t="str">
        <f t="shared" si="38"/>
        <v>6815</v>
      </c>
      <c r="CE71" s="816">
        <f>FLN!BP71</f>
        <v>0</v>
      </c>
      <c r="CF71" s="816">
        <f>FLN!BQ71</f>
        <v>0</v>
      </c>
      <c r="CG71" s="816">
        <f>FLN!BR71</f>
        <v>0</v>
      </c>
      <c r="CH71" s="816">
        <f>FLN!BS71</f>
        <v>0</v>
      </c>
      <c r="CI71" s="823" t="str">
        <f t="shared" si="39"/>
        <v>6816</v>
      </c>
      <c r="CJ71" s="816">
        <f>FLN!BT71</f>
        <v>0</v>
      </c>
      <c r="CK71" s="816">
        <f>FLN!BU71</f>
        <v>0</v>
      </c>
      <c r="CL71" s="816">
        <f>FLN!BV71</f>
        <v>0</v>
      </c>
      <c r="CM71" s="816">
        <f>FLN!BW71</f>
        <v>0</v>
      </c>
      <c r="CN71" s="823" t="str">
        <f t="shared" si="40"/>
        <v>6817</v>
      </c>
      <c r="CO71" s="816">
        <f>FLN!BX71</f>
        <v>0</v>
      </c>
      <c r="CP71" s="816">
        <f>FLN!BY71</f>
        <v>0</v>
      </c>
      <c r="CQ71" s="816">
        <f>FLN!BZ71</f>
        <v>0</v>
      </c>
      <c r="CR71" s="816">
        <f>FLN!CA71</f>
        <v>0</v>
      </c>
      <c r="CS71" s="823" t="str">
        <f t="shared" si="41"/>
        <v>6818</v>
      </c>
      <c r="CT71" s="816">
        <f>FLN!CB71</f>
        <v>0</v>
      </c>
      <c r="CU71" s="816">
        <f>FLN!CC71</f>
        <v>0</v>
      </c>
      <c r="CV71" s="816">
        <f>FLN!CD71</f>
        <v>0</v>
      </c>
      <c r="CW71" s="816">
        <f>FLN!CE71</f>
        <v>0</v>
      </c>
      <c r="CX71" s="823" t="str">
        <f t="shared" si="42"/>
        <v>6819</v>
      </c>
      <c r="CY71" s="816">
        <f>FLN!CF71</f>
        <v>0</v>
      </c>
      <c r="CZ71" s="816">
        <f>FLN!CG71</f>
        <v>0</v>
      </c>
      <c r="DA71" s="816">
        <f>FLN!CH71</f>
        <v>0</v>
      </c>
      <c r="DB71" s="816">
        <f>FLN!CI71</f>
        <v>0</v>
      </c>
      <c r="DC71" s="823" t="str">
        <f t="shared" si="43"/>
        <v>6820</v>
      </c>
      <c r="DD71" s="816">
        <f>FLN!CJ71</f>
        <v>0</v>
      </c>
      <c r="DE71" s="816">
        <f>FLN!CK71</f>
        <v>0</v>
      </c>
      <c r="DF71" s="816">
        <f>FLN!CL71</f>
        <v>0</v>
      </c>
      <c r="DG71" s="816">
        <f>FLN!CM71</f>
        <v>0</v>
      </c>
      <c r="DH71" s="823" t="str">
        <f t="shared" si="44"/>
        <v>6821</v>
      </c>
      <c r="DI71" s="816">
        <f>FLN!CN71</f>
        <v>0</v>
      </c>
      <c r="DJ71" s="816">
        <f>FLN!CO71</f>
        <v>0</v>
      </c>
      <c r="DK71" s="816">
        <f>FLN!CP71</f>
        <v>0</v>
      </c>
      <c r="DL71" s="816">
        <f>FLN!CQ71</f>
        <v>0</v>
      </c>
      <c r="DM71" s="823" t="str">
        <f t="shared" si="45"/>
        <v>6822</v>
      </c>
      <c r="DN71" s="816">
        <f>FLN!CR71</f>
        <v>0</v>
      </c>
      <c r="DO71" s="816">
        <f>FLN!CS71</f>
        <v>0</v>
      </c>
      <c r="DP71" s="816">
        <f>FLN!CT71</f>
        <v>0</v>
      </c>
      <c r="DQ71" s="816">
        <f>FLN!CU71</f>
        <v>0</v>
      </c>
      <c r="DR71" s="823" t="str">
        <f t="shared" si="46"/>
        <v>6823</v>
      </c>
      <c r="DS71" s="816">
        <f>FLN!CV71</f>
        <v>0</v>
      </c>
      <c r="DT71" s="816">
        <f>FLN!CW71</f>
        <v>0</v>
      </c>
      <c r="DU71" s="816">
        <f>FLN!CX71</f>
        <v>0</v>
      </c>
      <c r="DV71" s="816">
        <f>FLN!CY71</f>
        <v>0</v>
      </c>
      <c r="DW71" s="823" t="str">
        <f t="shared" si="47"/>
        <v>6824</v>
      </c>
      <c r="DX71" s="816">
        <f>FLN!CZ71</f>
        <v>0</v>
      </c>
      <c r="DY71" s="816">
        <f>FLN!DA71</f>
        <v>0</v>
      </c>
      <c r="DZ71" s="816">
        <f>FLN!DB71</f>
        <v>0</v>
      </c>
      <c r="EA71" s="816">
        <f>FLN!DC71</f>
        <v>0</v>
      </c>
      <c r="EB71" s="823" t="str">
        <f t="shared" si="48"/>
        <v>6825</v>
      </c>
      <c r="EC71" s="816">
        <f>FLN!DD71</f>
        <v>0</v>
      </c>
      <c r="ED71" s="816">
        <f>FLN!DE71</f>
        <v>0</v>
      </c>
      <c r="EE71" s="816">
        <f>FLN!DF71</f>
        <v>0</v>
      </c>
      <c r="EF71" s="816">
        <f>FLN!DG71</f>
        <v>0</v>
      </c>
    </row>
    <row r="72" spans="1:136">
      <c r="A72" s="824">
        <v>69</v>
      </c>
      <c r="B72" s="824">
        <f>STUDENT!F70</f>
        <v>0</v>
      </c>
      <c r="C72" s="824">
        <f>STUDENT!D70</f>
        <v>0</v>
      </c>
      <c r="D72" s="827">
        <f>STUDENT!E70</f>
        <v>0</v>
      </c>
      <c r="E72" s="827">
        <f>STUDENT!H70</f>
        <v>0</v>
      </c>
      <c r="F72" s="828">
        <f>FLN!F72</f>
        <v>0</v>
      </c>
      <c r="G72" s="828">
        <f>FLN!G72</f>
        <v>0</v>
      </c>
      <c r="H72" s="828">
        <f>FLN!H72</f>
        <v>0</v>
      </c>
      <c r="I72" s="824" t="str">
        <f>FLN!I72</f>
        <v/>
      </c>
      <c r="J72" s="824" t="str">
        <f>FLN!J72</f>
        <v/>
      </c>
      <c r="K72" s="824" t="str">
        <f>FLN!K72</f>
        <v/>
      </c>
      <c r="L72" s="823" t="str">
        <f t="shared" si="49"/>
        <v>691</v>
      </c>
      <c r="M72" s="816">
        <f>FLN!L72</f>
        <v>0</v>
      </c>
      <c r="N72" s="816">
        <f>FLN!M72</f>
        <v>0</v>
      </c>
      <c r="O72" s="816">
        <f>FLN!N72</f>
        <v>0</v>
      </c>
      <c r="P72" s="816">
        <f>FLN!O72</f>
        <v>0</v>
      </c>
      <c r="Q72" s="823" t="str">
        <f t="shared" si="25"/>
        <v>692</v>
      </c>
      <c r="R72" s="816">
        <f>FLN!P72</f>
        <v>0</v>
      </c>
      <c r="S72" s="816">
        <f>FLN!Q72</f>
        <v>0</v>
      </c>
      <c r="T72" s="816">
        <f>FLN!R72</f>
        <v>0</v>
      </c>
      <c r="U72" s="816">
        <f>FLN!S72</f>
        <v>0</v>
      </c>
      <c r="V72" s="823" t="str">
        <f t="shared" si="26"/>
        <v>693</v>
      </c>
      <c r="W72" s="816">
        <f>FLN!T72</f>
        <v>0</v>
      </c>
      <c r="X72" s="816">
        <f>FLN!U72</f>
        <v>0</v>
      </c>
      <c r="Y72" s="816">
        <f>FLN!V72</f>
        <v>0</v>
      </c>
      <c r="Z72" s="816">
        <f>FLN!W72</f>
        <v>0</v>
      </c>
      <c r="AA72" s="823" t="str">
        <f t="shared" si="27"/>
        <v>694</v>
      </c>
      <c r="AB72" s="816">
        <f>FLN!X72</f>
        <v>0</v>
      </c>
      <c r="AC72" s="816">
        <f>FLN!Y72</f>
        <v>0</v>
      </c>
      <c r="AD72" s="816">
        <f>FLN!Z72</f>
        <v>0</v>
      </c>
      <c r="AE72" s="816">
        <f>FLN!AA72</f>
        <v>0</v>
      </c>
      <c r="AF72" s="823" t="str">
        <f t="shared" si="28"/>
        <v>695</v>
      </c>
      <c r="AG72" s="816">
        <f>FLN!AB72</f>
        <v>0</v>
      </c>
      <c r="AH72" s="816">
        <f>FLN!AC72</f>
        <v>0</v>
      </c>
      <c r="AI72" s="816">
        <f>FLN!AD72</f>
        <v>0</v>
      </c>
      <c r="AJ72" s="816">
        <f>FLN!AE72</f>
        <v>0</v>
      </c>
      <c r="AK72" s="823" t="str">
        <f t="shared" si="29"/>
        <v>696</v>
      </c>
      <c r="AL72" s="816">
        <f>FLN!AF72</f>
        <v>0</v>
      </c>
      <c r="AM72" s="816">
        <f>FLN!AG72</f>
        <v>0</v>
      </c>
      <c r="AN72" s="816">
        <f>FLN!AH72</f>
        <v>0</v>
      </c>
      <c r="AO72" s="816">
        <f>FLN!AI72</f>
        <v>0</v>
      </c>
      <c r="AP72" s="823" t="str">
        <f t="shared" si="30"/>
        <v>697</v>
      </c>
      <c r="AQ72" s="816">
        <f>FLN!AJ72</f>
        <v>0</v>
      </c>
      <c r="AR72" s="816">
        <f>FLN!AK72</f>
        <v>0</v>
      </c>
      <c r="AS72" s="816">
        <f>FLN!AL72</f>
        <v>0</v>
      </c>
      <c r="AT72" s="816">
        <f>FLN!AM72</f>
        <v>0</v>
      </c>
      <c r="AU72" s="823" t="str">
        <f t="shared" si="31"/>
        <v>698</v>
      </c>
      <c r="AV72" s="816">
        <f>FLN!AN72</f>
        <v>0</v>
      </c>
      <c r="AW72" s="816">
        <f>FLN!AO72</f>
        <v>0</v>
      </c>
      <c r="AX72" s="816">
        <f>FLN!AP72</f>
        <v>0</v>
      </c>
      <c r="AY72" s="816">
        <f>FLN!AQ72</f>
        <v>0</v>
      </c>
      <c r="AZ72" s="823" t="str">
        <f t="shared" si="32"/>
        <v>699</v>
      </c>
      <c r="BA72" s="816">
        <f>FLN!AR72</f>
        <v>0</v>
      </c>
      <c r="BB72" s="816">
        <f>FLN!AS72</f>
        <v>0</v>
      </c>
      <c r="BC72" s="816">
        <f>FLN!AT72</f>
        <v>0</v>
      </c>
      <c r="BD72" s="816">
        <f>FLN!AU72</f>
        <v>0</v>
      </c>
      <c r="BE72" s="823" t="str">
        <f t="shared" si="33"/>
        <v>6910</v>
      </c>
      <c r="BF72" s="816">
        <f>FLN!AV72</f>
        <v>0</v>
      </c>
      <c r="BG72" s="816">
        <f>FLN!AW72</f>
        <v>0</v>
      </c>
      <c r="BH72" s="816">
        <f>FLN!AX72</f>
        <v>0</v>
      </c>
      <c r="BI72" s="816">
        <f>FLN!AY72</f>
        <v>0</v>
      </c>
      <c r="BJ72" s="823" t="str">
        <f t="shared" si="34"/>
        <v>6911</v>
      </c>
      <c r="BK72" s="816">
        <f>FLN!AZ72</f>
        <v>0</v>
      </c>
      <c r="BL72" s="816">
        <f>FLN!BA72</f>
        <v>0</v>
      </c>
      <c r="BM72" s="816">
        <f>FLN!BB72</f>
        <v>0</v>
      </c>
      <c r="BN72" s="816">
        <f>FLN!BC72</f>
        <v>0</v>
      </c>
      <c r="BO72" s="823" t="str">
        <f t="shared" si="35"/>
        <v>6912</v>
      </c>
      <c r="BP72" s="816">
        <f>FLN!BD72</f>
        <v>0</v>
      </c>
      <c r="BQ72" s="816">
        <f>FLN!BE72</f>
        <v>0</v>
      </c>
      <c r="BR72" s="816">
        <f>FLN!BF72</f>
        <v>0</v>
      </c>
      <c r="BS72" s="816">
        <f>FLN!BG72</f>
        <v>0</v>
      </c>
      <c r="BT72" s="823" t="str">
        <f t="shared" si="36"/>
        <v>6913</v>
      </c>
      <c r="BU72" s="816">
        <f>FLN!BH72</f>
        <v>0</v>
      </c>
      <c r="BV72" s="816">
        <f>FLN!BI72</f>
        <v>0</v>
      </c>
      <c r="BW72" s="816">
        <f>FLN!BJ72</f>
        <v>0</v>
      </c>
      <c r="BX72" s="816">
        <f>FLN!BK72</f>
        <v>0</v>
      </c>
      <c r="BY72" s="823" t="str">
        <f t="shared" si="37"/>
        <v>6914</v>
      </c>
      <c r="BZ72" s="816">
        <f>FLN!BL72</f>
        <v>0</v>
      </c>
      <c r="CA72" s="816">
        <f>FLN!BM72</f>
        <v>0</v>
      </c>
      <c r="CB72" s="816">
        <f>FLN!BN72</f>
        <v>0</v>
      </c>
      <c r="CC72" s="816">
        <f>FLN!BO72</f>
        <v>0</v>
      </c>
      <c r="CD72" s="823" t="str">
        <f t="shared" si="38"/>
        <v>6915</v>
      </c>
      <c r="CE72" s="816">
        <f>FLN!BP72</f>
        <v>0</v>
      </c>
      <c r="CF72" s="816">
        <f>FLN!BQ72</f>
        <v>0</v>
      </c>
      <c r="CG72" s="816">
        <f>FLN!BR72</f>
        <v>0</v>
      </c>
      <c r="CH72" s="816">
        <f>FLN!BS72</f>
        <v>0</v>
      </c>
      <c r="CI72" s="823" t="str">
        <f t="shared" si="39"/>
        <v>6916</v>
      </c>
      <c r="CJ72" s="816">
        <f>FLN!BT72</f>
        <v>0</v>
      </c>
      <c r="CK72" s="816">
        <f>FLN!BU72</f>
        <v>0</v>
      </c>
      <c r="CL72" s="816">
        <f>FLN!BV72</f>
        <v>0</v>
      </c>
      <c r="CM72" s="816">
        <f>FLN!BW72</f>
        <v>0</v>
      </c>
      <c r="CN72" s="823" t="str">
        <f t="shared" si="40"/>
        <v>6917</v>
      </c>
      <c r="CO72" s="816">
        <f>FLN!BX72</f>
        <v>0</v>
      </c>
      <c r="CP72" s="816">
        <f>FLN!BY72</f>
        <v>0</v>
      </c>
      <c r="CQ72" s="816">
        <f>FLN!BZ72</f>
        <v>0</v>
      </c>
      <c r="CR72" s="816">
        <f>FLN!CA72</f>
        <v>0</v>
      </c>
      <c r="CS72" s="823" t="str">
        <f t="shared" si="41"/>
        <v>6918</v>
      </c>
      <c r="CT72" s="816">
        <f>FLN!CB72</f>
        <v>0</v>
      </c>
      <c r="CU72" s="816">
        <f>FLN!CC72</f>
        <v>0</v>
      </c>
      <c r="CV72" s="816">
        <f>FLN!CD72</f>
        <v>0</v>
      </c>
      <c r="CW72" s="816">
        <f>FLN!CE72</f>
        <v>0</v>
      </c>
      <c r="CX72" s="823" t="str">
        <f t="shared" si="42"/>
        <v>6919</v>
      </c>
      <c r="CY72" s="816">
        <f>FLN!CF72</f>
        <v>0</v>
      </c>
      <c r="CZ72" s="816">
        <f>FLN!CG72</f>
        <v>0</v>
      </c>
      <c r="DA72" s="816">
        <f>FLN!CH72</f>
        <v>0</v>
      </c>
      <c r="DB72" s="816">
        <f>FLN!CI72</f>
        <v>0</v>
      </c>
      <c r="DC72" s="823" t="str">
        <f t="shared" si="43"/>
        <v>6920</v>
      </c>
      <c r="DD72" s="816">
        <f>FLN!CJ72</f>
        <v>0</v>
      </c>
      <c r="DE72" s="816">
        <f>FLN!CK72</f>
        <v>0</v>
      </c>
      <c r="DF72" s="816">
        <f>FLN!CL72</f>
        <v>0</v>
      </c>
      <c r="DG72" s="816">
        <f>FLN!CM72</f>
        <v>0</v>
      </c>
      <c r="DH72" s="823" t="str">
        <f t="shared" si="44"/>
        <v>6921</v>
      </c>
      <c r="DI72" s="816">
        <f>FLN!CN72</f>
        <v>0</v>
      </c>
      <c r="DJ72" s="816">
        <f>FLN!CO72</f>
        <v>0</v>
      </c>
      <c r="DK72" s="816">
        <f>FLN!CP72</f>
        <v>0</v>
      </c>
      <c r="DL72" s="816">
        <f>FLN!CQ72</f>
        <v>0</v>
      </c>
      <c r="DM72" s="823" t="str">
        <f t="shared" si="45"/>
        <v>6922</v>
      </c>
      <c r="DN72" s="816">
        <f>FLN!CR72</f>
        <v>0</v>
      </c>
      <c r="DO72" s="816">
        <f>FLN!CS72</f>
        <v>0</v>
      </c>
      <c r="DP72" s="816">
        <f>FLN!CT72</f>
        <v>0</v>
      </c>
      <c r="DQ72" s="816">
        <f>FLN!CU72</f>
        <v>0</v>
      </c>
      <c r="DR72" s="823" t="str">
        <f t="shared" si="46"/>
        <v>6923</v>
      </c>
      <c r="DS72" s="816">
        <f>FLN!CV72</f>
        <v>0</v>
      </c>
      <c r="DT72" s="816">
        <f>FLN!CW72</f>
        <v>0</v>
      </c>
      <c r="DU72" s="816">
        <f>FLN!CX72</f>
        <v>0</v>
      </c>
      <c r="DV72" s="816">
        <f>FLN!CY72</f>
        <v>0</v>
      </c>
      <c r="DW72" s="823" t="str">
        <f t="shared" si="47"/>
        <v>6924</v>
      </c>
      <c r="DX72" s="816">
        <f>FLN!CZ72</f>
        <v>0</v>
      </c>
      <c r="DY72" s="816">
        <f>FLN!DA72</f>
        <v>0</v>
      </c>
      <c r="DZ72" s="816">
        <f>FLN!DB72</f>
        <v>0</v>
      </c>
      <c r="EA72" s="816">
        <f>FLN!DC72</f>
        <v>0</v>
      </c>
      <c r="EB72" s="823" t="str">
        <f t="shared" si="48"/>
        <v>6925</v>
      </c>
      <c r="EC72" s="816">
        <f>FLN!DD72</f>
        <v>0</v>
      </c>
      <c r="ED72" s="816">
        <f>FLN!DE72</f>
        <v>0</v>
      </c>
      <c r="EE72" s="816">
        <f>FLN!DF72</f>
        <v>0</v>
      </c>
      <c r="EF72" s="816">
        <f>FLN!DG72</f>
        <v>0</v>
      </c>
    </row>
    <row r="73" spans="1:136">
      <c r="A73" s="824">
        <v>70</v>
      </c>
      <c r="B73" s="824">
        <f>STUDENT!F71</f>
        <v>0</v>
      </c>
      <c r="C73" s="824">
        <f>STUDENT!D71</f>
        <v>0</v>
      </c>
      <c r="D73" s="827">
        <f>STUDENT!E71</f>
        <v>0</v>
      </c>
      <c r="E73" s="827">
        <f>STUDENT!H71</f>
        <v>0</v>
      </c>
      <c r="F73" s="828">
        <f>FLN!F73</f>
        <v>0</v>
      </c>
      <c r="G73" s="828">
        <f>FLN!G73</f>
        <v>0</v>
      </c>
      <c r="H73" s="828">
        <f>FLN!H73</f>
        <v>0</v>
      </c>
      <c r="I73" s="824" t="str">
        <f>FLN!I73</f>
        <v/>
      </c>
      <c r="J73" s="824" t="str">
        <f>FLN!J73</f>
        <v/>
      </c>
      <c r="K73" s="824" t="str">
        <f>FLN!K73</f>
        <v/>
      </c>
      <c r="L73" s="823" t="str">
        <f t="shared" si="49"/>
        <v>701</v>
      </c>
      <c r="M73" s="816">
        <f>FLN!L73</f>
        <v>0</v>
      </c>
      <c r="N73" s="816">
        <f>FLN!M73</f>
        <v>0</v>
      </c>
      <c r="O73" s="816">
        <f>FLN!N73</f>
        <v>0</v>
      </c>
      <c r="P73" s="816">
        <f>FLN!O73</f>
        <v>0</v>
      </c>
      <c r="Q73" s="823" t="str">
        <f t="shared" si="25"/>
        <v>702</v>
      </c>
      <c r="R73" s="816">
        <f>FLN!P73</f>
        <v>0</v>
      </c>
      <c r="S73" s="816">
        <f>FLN!Q73</f>
        <v>0</v>
      </c>
      <c r="T73" s="816">
        <f>FLN!R73</f>
        <v>0</v>
      </c>
      <c r="U73" s="816">
        <f>FLN!S73</f>
        <v>0</v>
      </c>
      <c r="V73" s="823" t="str">
        <f t="shared" si="26"/>
        <v>703</v>
      </c>
      <c r="W73" s="816">
        <f>FLN!T73</f>
        <v>0</v>
      </c>
      <c r="X73" s="816">
        <f>FLN!U73</f>
        <v>0</v>
      </c>
      <c r="Y73" s="816">
        <f>FLN!V73</f>
        <v>0</v>
      </c>
      <c r="Z73" s="816">
        <f>FLN!W73</f>
        <v>0</v>
      </c>
      <c r="AA73" s="823" t="str">
        <f t="shared" si="27"/>
        <v>704</v>
      </c>
      <c r="AB73" s="816">
        <f>FLN!X73</f>
        <v>0</v>
      </c>
      <c r="AC73" s="816">
        <f>FLN!Y73</f>
        <v>0</v>
      </c>
      <c r="AD73" s="816">
        <f>FLN!Z73</f>
        <v>0</v>
      </c>
      <c r="AE73" s="816">
        <f>FLN!AA73</f>
        <v>0</v>
      </c>
      <c r="AF73" s="823" t="str">
        <f t="shared" si="28"/>
        <v>705</v>
      </c>
      <c r="AG73" s="816">
        <f>FLN!AB73</f>
        <v>0</v>
      </c>
      <c r="AH73" s="816">
        <f>FLN!AC73</f>
        <v>0</v>
      </c>
      <c r="AI73" s="816">
        <f>FLN!AD73</f>
        <v>0</v>
      </c>
      <c r="AJ73" s="816">
        <f>FLN!AE73</f>
        <v>0</v>
      </c>
      <c r="AK73" s="823" t="str">
        <f t="shared" si="29"/>
        <v>706</v>
      </c>
      <c r="AL73" s="816">
        <f>FLN!AF73</f>
        <v>0</v>
      </c>
      <c r="AM73" s="816">
        <f>FLN!AG73</f>
        <v>0</v>
      </c>
      <c r="AN73" s="816">
        <f>FLN!AH73</f>
        <v>0</v>
      </c>
      <c r="AO73" s="816">
        <f>FLN!AI73</f>
        <v>0</v>
      </c>
      <c r="AP73" s="823" t="str">
        <f t="shared" si="30"/>
        <v>707</v>
      </c>
      <c r="AQ73" s="816">
        <f>FLN!AJ73</f>
        <v>0</v>
      </c>
      <c r="AR73" s="816">
        <f>FLN!AK73</f>
        <v>0</v>
      </c>
      <c r="AS73" s="816">
        <f>FLN!AL73</f>
        <v>0</v>
      </c>
      <c r="AT73" s="816">
        <f>FLN!AM73</f>
        <v>0</v>
      </c>
      <c r="AU73" s="823" t="str">
        <f t="shared" si="31"/>
        <v>708</v>
      </c>
      <c r="AV73" s="816">
        <f>FLN!AN73</f>
        <v>0</v>
      </c>
      <c r="AW73" s="816">
        <f>FLN!AO73</f>
        <v>0</v>
      </c>
      <c r="AX73" s="816">
        <f>FLN!AP73</f>
        <v>0</v>
      </c>
      <c r="AY73" s="816">
        <f>FLN!AQ73</f>
        <v>0</v>
      </c>
      <c r="AZ73" s="823" t="str">
        <f t="shared" si="32"/>
        <v>709</v>
      </c>
      <c r="BA73" s="816">
        <f>FLN!AR73</f>
        <v>0</v>
      </c>
      <c r="BB73" s="816">
        <f>FLN!AS73</f>
        <v>0</v>
      </c>
      <c r="BC73" s="816">
        <f>FLN!AT73</f>
        <v>0</v>
      </c>
      <c r="BD73" s="816">
        <f>FLN!AU73</f>
        <v>0</v>
      </c>
      <c r="BE73" s="823" t="str">
        <f t="shared" si="33"/>
        <v>7010</v>
      </c>
      <c r="BF73" s="816">
        <f>FLN!AV73</f>
        <v>0</v>
      </c>
      <c r="BG73" s="816">
        <f>FLN!AW73</f>
        <v>0</v>
      </c>
      <c r="BH73" s="816">
        <f>FLN!AX73</f>
        <v>0</v>
      </c>
      <c r="BI73" s="816">
        <f>FLN!AY73</f>
        <v>0</v>
      </c>
      <c r="BJ73" s="823" t="str">
        <f t="shared" si="34"/>
        <v>7011</v>
      </c>
      <c r="BK73" s="816">
        <f>FLN!AZ73</f>
        <v>0</v>
      </c>
      <c r="BL73" s="816">
        <f>FLN!BA73</f>
        <v>0</v>
      </c>
      <c r="BM73" s="816">
        <f>FLN!BB73</f>
        <v>0</v>
      </c>
      <c r="BN73" s="816">
        <f>FLN!BC73</f>
        <v>0</v>
      </c>
      <c r="BO73" s="823" t="str">
        <f t="shared" si="35"/>
        <v>7012</v>
      </c>
      <c r="BP73" s="816">
        <f>FLN!BD73</f>
        <v>0</v>
      </c>
      <c r="BQ73" s="816">
        <f>FLN!BE73</f>
        <v>0</v>
      </c>
      <c r="BR73" s="816">
        <f>FLN!BF73</f>
        <v>0</v>
      </c>
      <c r="BS73" s="816">
        <f>FLN!BG73</f>
        <v>0</v>
      </c>
      <c r="BT73" s="823" t="str">
        <f t="shared" si="36"/>
        <v>7013</v>
      </c>
      <c r="BU73" s="816">
        <f>FLN!BH73</f>
        <v>0</v>
      </c>
      <c r="BV73" s="816">
        <f>FLN!BI73</f>
        <v>0</v>
      </c>
      <c r="BW73" s="816">
        <f>FLN!BJ73</f>
        <v>0</v>
      </c>
      <c r="BX73" s="816">
        <f>FLN!BK73</f>
        <v>0</v>
      </c>
      <c r="BY73" s="823" t="str">
        <f t="shared" si="37"/>
        <v>7014</v>
      </c>
      <c r="BZ73" s="816">
        <f>FLN!BL73</f>
        <v>0</v>
      </c>
      <c r="CA73" s="816">
        <f>FLN!BM73</f>
        <v>0</v>
      </c>
      <c r="CB73" s="816">
        <f>FLN!BN73</f>
        <v>0</v>
      </c>
      <c r="CC73" s="816">
        <f>FLN!BO73</f>
        <v>0</v>
      </c>
      <c r="CD73" s="823" t="str">
        <f t="shared" si="38"/>
        <v>7015</v>
      </c>
      <c r="CE73" s="816">
        <f>FLN!BP73</f>
        <v>0</v>
      </c>
      <c r="CF73" s="816">
        <f>FLN!BQ73</f>
        <v>0</v>
      </c>
      <c r="CG73" s="816">
        <f>FLN!BR73</f>
        <v>0</v>
      </c>
      <c r="CH73" s="816">
        <f>FLN!BS73</f>
        <v>0</v>
      </c>
      <c r="CI73" s="823" t="str">
        <f t="shared" si="39"/>
        <v>7016</v>
      </c>
      <c r="CJ73" s="816">
        <f>FLN!BT73</f>
        <v>0</v>
      </c>
      <c r="CK73" s="816">
        <f>FLN!BU73</f>
        <v>0</v>
      </c>
      <c r="CL73" s="816">
        <f>FLN!BV73</f>
        <v>0</v>
      </c>
      <c r="CM73" s="816">
        <f>FLN!BW73</f>
        <v>0</v>
      </c>
      <c r="CN73" s="823" t="str">
        <f t="shared" si="40"/>
        <v>7017</v>
      </c>
      <c r="CO73" s="816">
        <f>FLN!BX73</f>
        <v>0</v>
      </c>
      <c r="CP73" s="816">
        <f>FLN!BY73</f>
        <v>0</v>
      </c>
      <c r="CQ73" s="816">
        <f>FLN!BZ73</f>
        <v>0</v>
      </c>
      <c r="CR73" s="816">
        <f>FLN!CA73</f>
        <v>0</v>
      </c>
      <c r="CS73" s="823" t="str">
        <f t="shared" si="41"/>
        <v>7018</v>
      </c>
      <c r="CT73" s="816">
        <f>FLN!CB73</f>
        <v>0</v>
      </c>
      <c r="CU73" s="816">
        <f>FLN!CC73</f>
        <v>0</v>
      </c>
      <c r="CV73" s="816">
        <f>FLN!CD73</f>
        <v>0</v>
      </c>
      <c r="CW73" s="816">
        <f>FLN!CE73</f>
        <v>0</v>
      </c>
      <c r="CX73" s="823" t="str">
        <f t="shared" si="42"/>
        <v>7019</v>
      </c>
      <c r="CY73" s="816">
        <f>FLN!CF73</f>
        <v>0</v>
      </c>
      <c r="CZ73" s="816">
        <f>FLN!CG73</f>
        <v>0</v>
      </c>
      <c r="DA73" s="816">
        <f>FLN!CH73</f>
        <v>0</v>
      </c>
      <c r="DB73" s="816">
        <f>FLN!CI73</f>
        <v>0</v>
      </c>
      <c r="DC73" s="823" t="str">
        <f t="shared" si="43"/>
        <v>7020</v>
      </c>
      <c r="DD73" s="816">
        <f>FLN!CJ73</f>
        <v>0</v>
      </c>
      <c r="DE73" s="816">
        <f>FLN!CK73</f>
        <v>0</v>
      </c>
      <c r="DF73" s="816">
        <f>FLN!CL73</f>
        <v>0</v>
      </c>
      <c r="DG73" s="816">
        <f>FLN!CM73</f>
        <v>0</v>
      </c>
      <c r="DH73" s="823" t="str">
        <f t="shared" si="44"/>
        <v>7021</v>
      </c>
      <c r="DI73" s="816">
        <f>FLN!CN73</f>
        <v>0</v>
      </c>
      <c r="DJ73" s="816">
        <f>FLN!CO73</f>
        <v>0</v>
      </c>
      <c r="DK73" s="816">
        <f>FLN!CP73</f>
        <v>0</v>
      </c>
      <c r="DL73" s="816">
        <f>FLN!CQ73</f>
        <v>0</v>
      </c>
      <c r="DM73" s="823" t="str">
        <f t="shared" si="45"/>
        <v>7022</v>
      </c>
      <c r="DN73" s="816">
        <f>FLN!CR73</f>
        <v>0</v>
      </c>
      <c r="DO73" s="816">
        <f>FLN!CS73</f>
        <v>0</v>
      </c>
      <c r="DP73" s="816">
        <f>FLN!CT73</f>
        <v>0</v>
      </c>
      <c r="DQ73" s="816">
        <f>FLN!CU73</f>
        <v>0</v>
      </c>
      <c r="DR73" s="823" t="str">
        <f t="shared" si="46"/>
        <v>7023</v>
      </c>
      <c r="DS73" s="816">
        <f>FLN!CV73</f>
        <v>0</v>
      </c>
      <c r="DT73" s="816">
        <f>FLN!CW73</f>
        <v>0</v>
      </c>
      <c r="DU73" s="816">
        <f>FLN!CX73</f>
        <v>0</v>
      </c>
      <c r="DV73" s="816">
        <f>FLN!CY73</f>
        <v>0</v>
      </c>
      <c r="DW73" s="823" t="str">
        <f t="shared" si="47"/>
        <v>7024</v>
      </c>
      <c r="DX73" s="816">
        <f>FLN!CZ73</f>
        <v>0</v>
      </c>
      <c r="DY73" s="816">
        <f>FLN!DA73</f>
        <v>0</v>
      </c>
      <c r="DZ73" s="816">
        <f>FLN!DB73</f>
        <v>0</v>
      </c>
      <c r="EA73" s="816">
        <f>FLN!DC73</f>
        <v>0</v>
      </c>
      <c r="EB73" s="823" t="str">
        <f t="shared" si="48"/>
        <v>7025</v>
      </c>
      <c r="EC73" s="816">
        <f>FLN!DD73</f>
        <v>0</v>
      </c>
      <c r="ED73" s="816">
        <f>FLN!DE73</f>
        <v>0</v>
      </c>
      <c r="EE73" s="816">
        <f>FLN!DF73</f>
        <v>0</v>
      </c>
      <c r="EF73" s="816">
        <f>FLN!DG73</f>
        <v>0</v>
      </c>
    </row>
    <row r="74" spans="1:136">
      <c r="A74" s="824">
        <v>71</v>
      </c>
      <c r="B74" s="824">
        <f>STUDENT!F72</f>
        <v>0</v>
      </c>
      <c r="C74" s="824">
        <f>STUDENT!D72</f>
        <v>0</v>
      </c>
      <c r="D74" s="827">
        <f>STUDENT!E72</f>
        <v>0</v>
      </c>
      <c r="E74" s="827">
        <f>STUDENT!H72</f>
        <v>0</v>
      </c>
      <c r="F74" s="828">
        <f>FLN!F74</f>
        <v>0</v>
      </c>
      <c r="G74" s="828">
        <f>FLN!G74</f>
        <v>0</v>
      </c>
      <c r="H74" s="828">
        <f>FLN!H74</f>
        <v>0</v>
      </c>
      <c r="I74" s="824" t="str">
        <f>FLN!I74</f>
        <v/>
      </c>
      <c r="J74" s="824" t="str">
        <f>FLN!J74</f>
        <v/>
      </c>
      <c r="K74" s="824" t="str">
        <f>FLN!K74</f>
        <v/>
      </c>
      <c r="L74" s="823" t="str">
        <f t="shared" si="49"/>
        <v>711</v>
      </c>
      <c r="M74" s="816">
        <f>FLN!L74</f>
        <v>0</v>
      </c>
      <c r="N74" s="816">
        <f>FLN!M74</f>
        <v>0</v>
      </c>
      <c r="O74" s="816">
        <f>FLN!N74</f>
        <v>0</v>
      </c>
      <c r="P74" s="816">
        <f>FLN!O74</f>
        <v>0</v>
      </c>
      <c r="Q74" s="823" t="str">
        <f t="shared" si="25"/>
        <v>712</v>
      </c>
      <c r="R74" s="816">
        <f>FLN!P74</f>
        <v>0</v>
      </c>
      <c r="S74" s="816">
        <f>FLN!Q74</f>
        <v>0</v>
      </c>
      <c r="T74" s="816">
        <f>FLN!R74</f>
        <v>0</v>
      </c>
      <c r="U74" s="816">
        <f>FLN!S74</f>
        <v>0</v>
      </c>
      <c r="V74" s="823" t="str">
        <f t="shared" si="26"/>
        <v>713</v>
      </c>
      <c r="W74" s="816">
        <f>FLN!T74</f>
        <v>0</v>
      </c>
      <c r="X74" s="816">
        <f>FLN!U74</f>
        <v>0</v>
      </c>
      <c r="Y74" s="816">
        <f>FLN!V74</f>
        <v>0</v>
      </c>
      <c r="Z74" s="816">
        <f>FLN!W74</f>
        <v>0</v>
      </c>
      <c r="AA74" s="823" t="str">
        <f t="shared" si="27"/>
        <v>714</v>
      </c>
      <c r="AB74" s="816">
        <f>FLN!X74</f>
        <v>0</v>
      </c>
      <c r="AC74" s="816">
        <f>FLN!Y74</f>
        <v>0</v>
      </c>
      <c r="AD74" s="816">
        <f>FLN!Z74</f>
        <v>0</v>
      </c>
      <c r="AE74" s="816">
        <f>FLN!AA74</f>
        <v>0</v>
      </c>
      <c r="AF74" s="823" t="str">
        <f t="shared" si="28"/>
        <v>715</v>
      </c>
      <c r="AG74" s="816">
        <f>FLN!AB74</f>
        <v>0</v>
      </c>
      <c r="AH74" s="816">
        <f>FLN!AC74</f>
        <v>0</v>
      </c>
      <c r="AI74" s="816">
        <f>FLN!AD74</f>
        <v>0</v>
      </c>
      <c r="AJ74" s="816">
        <f>FLN!AE74</f>
        <v>0</v>
      </c>
      <c r="AK74" s="823" t="str">
        <f t="shared" si="29"/>
        <v>716</v>
      </c>
      <c r="AL74" s="816">
        <f>FLN!AF74</f>
        <v>0</v>
      </c>
      <c r="AM74" s="816">
        <f>FLN!AG74</f>
        <v>0</v>
      </c>
      <c r="AN74" s="816">
        <f>FLN!AH74</f>
        <v>0</v>
      </c>
      <c r="AO74" s="816">
        <f>FLN!AI74</f>
        <v>0</v>
      </c>
      <c r="AP74" s="823" t="str">
        <f t="shared" si="30"/>
        <v>717</v>
      </c>
      <c r="AQ74" s="816">
        <f>FLN!AJ74</f>
        <v>0</v>
      </c>
      <c r="AR74" s="816">
        <f>FLN!AK74</f>
        <v>0</v>
      </c>
      <c r="AS74" s="816">
        <f>FLN!AL74</f>
        <v>0</v>
      </c>
      <c r="AT74" s="816">
        <f>FLN!AM74</f>
        <v>0</v>
      </c>
      <c r="AU74" s="823" t="str">
        <f t="shared" si="31"/>
        <v>718</v>
      </c>
      <c r="AV74" s="816">
        <f>FLN!AN74</f>
        <v>0</v>
      </c>
      <c r="AW74" s="816">
        <f>FLN!AO74</f>
        <v>0</v>
      </c>
      <c r="AX74" s="816">
        <f>FLN!AP74</f>
        <v>0</v>
      </c>
      <c r="AY74" s="816">
        <f>FLN!AQ74</f>
        <v>0</v>
      </c>
      <c r="AZ74" s="823" t="str">
        <f t="shared" si="32"/>
        <v>719</v>
      </c>
      <c r="BA74" s="816">
        <f>FLN!AR74</f>
        <v>0</v>
      </c>
      <c r="BB74" s="816">
        <f>FLN!AS74</f>
        <v>0</v>
      </c>
      <c r="BC74" s="816">
        <f>FLN!AT74</f>
        <v>0</v>
      </c>
      <c r="BD74" s="816">
        <f>FLN!AU74</f>
        <v>0</v>
      </c>
      <c r="BE74" s="823" t="str">
        <f t="shared" si="33"/>
        <v>7110</v>
      </c>
      <c r="BF74" s="816">
        <f>FLN!AV74</f>
        <v>0</v>
      </c>
      <c r="BG74" s="816">
        <f>FLN!AW74</f>
        <v>0</v>
      </c>
      <c r="BH74" s="816">
        <f>FLN!AX74</f>
        <v>0</v>
      </c>
      <c r="BI74" s="816">
        <f>FLN!AY74</f>
        <v>0</v>
      </c>
      <c r="BJ74" s="823" t="str">
        <f t="shared" si="34"/>
        <v>7111</v>
      </c>
      <c r="BK74" s="816">
        <f>FLN!AZ74</f>
        <v>0</v>
      </c>
      <c r="BL74" s="816">
        <f>FLN!BA74</f>
        <v>0</v>
      </c>
      <c r="BM74" s="816">
        <f>FLN!BB74</f>
        <v>0</v>
      </c>
      <c r="BN74" s="816">
        <f>FLN!BC74</f>
        <v>0</v>
      </c>
      <c r="BO74" s="823" t="str">
        <f t="shared" si="35"/>
        <v>7112</v>
      </c>
      <c r="BP74" s="816">
        <f>FLN!BD74</f>
        <v>0</v>
      </c>
      <c r="BQ74" s="816">
        <f>FLN!BE74</f>
        <v>0</v>
      </c>
      <c r="BR74" s="816">
        <f>FLN!BF74</f>
        <v>0</v>
      </c>
      <c r="BS74" s="816">
        <f>FLN!BG74</f>
        <v>0</v>
      </c>
      <c r="BT74" s="823" t="str">
        <f t="shared" si="36"/>
        <v>7113</v>
      </c>
      <c r="BU74" s="816">
        <f>FLN!BH74</f>
        <v>0</v>
      </c>
      <c r="BV74" s="816">
        <f>FLN!BI74</f>
        <v>0</v>
      </c>
      <c r="BW74" s="816">
        <f>FLN!BJ74</f>
        <v>0</v>
      </c>
      <c r="BX74" s="816">
        <f>FLN!BK74</f>
        <v>0</v>
      </c>
      <c r="BY74" s="823" t="str">
        <f t="shared" si="37"/>
        <v>7114</v>
      </c>
      <c r="BZ74" s="816">
        <f>FLN!BL74</f>
        <v>0</v>
      </c>
      <c r="CA74" s="816">
        <f>FLN!BM74</f>
        <v>0</v>
      </c>
      <c r="CB74" s="816">
        <f>FLN!BN74</f>
        <v>0</v>
      </c>
      <c r="CC74" s="816">
        <f>FLN!BO74</f>
        <v>0</v>
      </c>
      <c r="CD74" s="823" t="str">
        <f t="shared" si="38"/>
        <v>7115</v>
      </c>
      <c r="CE74" s="816">
        <f>FLN!BP74</f>
        <v>0</v>
      </c>
      <c r="CF74" s="816">
        <f>FLN!BQ74</f>
        <v>0</v>
      </c>
      <c r="CG74" s="816">
        <f>FLN!BR74</f>
        <v>0</v>
      </c>
      <c r="CH74" s="816">
        <f>FLN!BS74</f>
        <v>0</v>
      </c>
      <c r="CI74" s="823" t="str">
        <f t="shared" si="39"/>
        <v>7116</v>
      </c>
      <c r="CJ74" s="816">
        <f>FLN!BT74</f>
        <v>0</v>
      </c>
      <c r="CK74" s="816">
        <f>FLN!BU74</f>
        <v>0</v>
      </c>
      <c r="CL74" s="816">
        <f>FLN!BV74</f>
        <v>0</v>
      </c>
      <c r="CM74" s="816">
        <f>FLN!BW74</f>
        <v>0</v>
      </c>
      <c r="CN74" s="823" t="str">
        <f t="shared" si="40"/>
        <v>7117</v>
      </c>
      <c r="CO74" s="816">
        <f>FLN!BX74</f>
        <v>0</v>
      </c>
      <c r="CP74" s="816">
        <f>FLN!BY74</f>
        <v>0</v>
      </c>
      <c r="CQ74" s="816">
        <f>FLN!BZ74</f>
        <v>0</v>
      </c>
      <c r="CR74" s="816">
        <f>FLN!CA74</f>
        <v>0</v>
      </c>
      <c r="CS74" s="823" t="str">
        <f t="shared" si="41"/>
        <v>7118</v>
      </c>
      <c r="CT74" s="816">
        <f>FLN!CB74</f>
        <v>0</v>
      </c>
      <c r="CU74" s="816">
        <f>FLN!CC74</f>
        <v>0</v>
      </c>
      <c r="CV74" s="816">
        <f>FLN!CD74</f>
        <v>0</v>
      </c>
      <c r="CW74" s="816">
        <f>FLN!CE74</f>
        <v>0</v>
      </c>
      <c r="CX74" s="823" t="str">
        <f t="shared" si="42"/>
        <v>7119</v>
      </c>
      <c r="CY74" s="816">
        <f>FLN!CF74</f>
        <v>0</v>
      </c>
      <c r="CZ74" s="816">
        <f>FLN!CG74</f>
        <v>0</v>
      </c>
      <c r="DA74" s="816">
        <f>FLN!CH74</f>
        <v>0</v>
      </c>
      <c r="DB74" s="816">
        <f>FLN!CI74</f>
        <v>0</v>
      </c>
      <c r="DC74" s="823" t="str">
        <f t="shared" si="43"/>
        <v>7120</v>
      </c>
      <c r="DD74" s="816">
        <f>FLN!CJ74</f>
        <v>0</v>
      </c>
      <c r="DE74" s="816">
        <f>FLN!CK74</f>
        <v>0</v>
      </c>
      <c r="DF74" s="816">
        <f>FLN!CL74</f>
        <v>0</v>
      </c>
      <c r="DG74" s="816">
        <f>FLN!CM74</f>
        <v>0</v>
      </c>
      <c r="DH74" s="823" t="str">
        <f t="shared" si="44"/>
        <v>7121</v>
      </c>
      <c r="DI74" s="816">
        <f>FLN!CN74</f>
        <v>0</v>
      </c>
      <c r="DJ74" s="816">
        <f>FLN!CO74</f>
        <v>0</v>
      </c>
      <c r="DK74" s="816">
        <f>FLN!CP74</f>
        <v>0</v>
      </c>
      <c r="DL74" s="816">
        <f>FLN!CQ74</f>
        <v>0</v>
      </c>
      <c r="DM74" s="823" t="str">
        <f t="shared" si="45"/>
        <v>7122</v>
      </c>
      <c r="DN74" s="816">
        <f>FLN!CR74</f>
        <v>0</v>
      </c>
      <c r="DO74" s="816">
        <f>FLN!CS74</f>
        <v>0</v>
      </c>
      <c r="DP74" s="816">
        <f>FLN!CT74</f>
        <v>0</v>
      </c>
      <c r="DQ74" s="816">
        <f>FLN!CU74</f>
        <v>0</v>
      </c>
      <c r="DR74" s="823" t="str">
        <f t="shared" si="46"/>
        <v>7123</v>
      </c>
      <c r="DS74" s="816">
        <f>FLN!CV74</f>
        <v>0</v>
      </c>
      <c r="DT74" s="816">
        <f>FLN!CW74</f>
        <v>0</v>
      </c>
      <c r="DU74" s="816">
        <f>FLN!CX74</f>
        <v>0</v>
      </c>
      <c r="DV74" s="816">
        <f>FLN!CY74</f>
        <v>0</v>
      </c>
      <c r="DW74" s="823" t="str">
        <f t="shared" si="47"/>
        <v>7124</v>
      </c>
      <c r="DX74" s="816">
        <f>FLN!CZ74</f>
        <v>0</v>
      </c>
      <c r="DY74" s="816">
        <f>FLN!DA74</f>
        <v>0</v>
      </c>
      <c r="DZ74" s="816">
        <f>FLN!DB74</f>
        <v>0</v>
      </c>
      <c r="EA74" s="816">
        <f>FLN!DC74</f>
        <v>0</v>
      </c>
      <c r="EB74" s="823" t="str">
        <f t="shared" si="48"/>
        <v>7125</v>
      </c>
      <c r="EC74" s="816">
        <f>FLN!DD74</f>
        <v>0</v>
      </c>
      <c r="ED74" s="816">
        <f>FLN!DE74</f>
        <v>0</v>
      </c>
      <c r="EE74" s="816">
        <f>FLN!DF74</f>
        <v>0</v>
      </c>
      <c r="EF74" s="816">
        <f>FLN!DG74</f>
        <v>0</v>
      </c>
    </row>
    <row r="75" spans="1:136">
      <c r="A75" s="824">
        <v>72</v>
      </c>
      <c r="B75" s="824">
        <f>STUDENT!F73</f>
        <v>0</v>
      </c>
      <c r="C75" s="824">
        <f>STUDENT!D73</f>
        <v>0</v>
      </c>
      <c r="D75" s="827">
        <f>STUDENT!E73</f>
        <v>0</v>
      </c>
      <c r="E75" s="827">
        <f>STUDENT!H73</f>
        <v>0</v>
      </c>
      <c r="F75" s="828">
        <f>FLN!F75</f>
        <v>0</v>
      </c>
      <c r="G75" s="828">
        <f>FLN!G75</f>
        <v>0</v>
      </c>
      <c r="H75" s="828">
        <f>FLN!H75</f>
        <v>0</v>
      </c>
      <c r="I75" s="824" t="str">
        <f>FLN!I75</f>
        <v/>
      </c>
      <c r="J75" s="824" t="str">
        <f>FLN!J75</f>
        <v/>
      </c>
      <c r="K75" s="824" t="str">
        <f>FLN!K75</f>
        <v/>
      </c>
      <c r="L75" s="823" t="str">
        <f t="shared" si="49"/>
        <v>721</v>
      </c>
      <c r="M75" s="816">
        <f>FLN!L75</f>
        <v>0</v>
      </c>
      <c r="N75" s="816">
        <f>FLN!M75</f>
        <v>0</v>
      </c>
      <c r="O75" s="816">
        <f>FLN!N75</f>
        <v>0</v>
      </c>
      <c r="P75" s="816">
        <f>FLN!O75</f>
        <v>0</v>
      </c>
      <c r="Q75" s="823" t="str">
        <f t="shared" si="25"/>
        <v>722</v>
      </c>
      <c r="R75" s="816">
        <f>FLN!P75</f>
        <v>0</v>
      </c>
      <c r="S75" s="816">
        <f>FLN!Q75</f>
        <v>0</v>
      </c>
      <c r="T75" s="816">
        <f>FLN!R75</f>
        <v>0</v>
      </c>
      <c r="U75" s="816">
        <f>FLN!S75</f>
        <v>0</v>
      </c>
      <c r="V75" s="823" t="str">
        <f t="shared" si="26"/>
        <v>723</v>
      </c>
      <c r="W75" s="816">
        <f>FLN!T75</f>
        <v>0</v>
      </c>
      <c r="X75" s="816">
        <f>FLN!U75</f>
        <v>0</v>
      </c>
      <c r="Y75" s="816">
        <f>FLN!V75</f>
        <v>0</v>
      </c>
      <c r="Z75" s="816">
        <f>FLN!W75</f>
        <v>0</v>
      </c>
      <c r="AA75" s="823" t="str">
        <f t="shared" si="27"/>
        <v>724</v>
      </c>
      <c r="AB75" s="816">
        <f>FLN!X75</f>
        <v>0</v>
      </c>
      <c r="AC75" s="816">
        <f>FLN!Y75</f>
        <v>0</v>
      </c>
      <c r="AD75" s="816">
        <f>FLN!Z75</f>
        <v>0</v>
      </c>
      <c r="AE75" s="816">
        <f>FLN!AA75</f>
        <v>0</v>
      </c>
      <c r="AF75" s="823" t="str">
        <f t="shared" si="28"/>
        <v>725</v>
      </c>
      <c r="AG75" s="816">
        <f>FLN!AB75</f>
        <v>0</v>
      </c>
      <c r="AH75" s="816">
        <f>FLN!AC75</f>
        <v>0</v>
      </c>
      <c r="AI75" s="816">
        <f>FLN!AD75</f>
        <v>0</v>
      </c>
      <c r="AJ75" s="816">
        <f>FLN!AE75</f>
        <v>0</v>
      </c>
      <c r="AK75" s="823" t="str">
        <f t="shared" si="29"/>
        <v>726</v>
      </c>
      <c r="AL75" s="816">
        <f>FLN!AF75</f>
        <v>0</v>
      </c>
      <c r="AM75" s="816">
        <f>FLN!AG75</f>
        <v>0</v>
      </c>
      <c r="AN75" s="816">
        <f>FLN!AH75</f>
        <v>0</v>
      </c>
      <c r="AO75" s="816">
        <f>FLN!AI75</f>
        <v>0</v>
      </c>
      <c r="AP75" s="823" t="str">
        <f t="shared" si="30"/>
        <v>727</v>
      </c>
      <c r="AQ75" s="816">
        <f>FLN!AJ75</f>
        <v>0</v>
      </c>
      <c r="AR75" s="816">
        <f>FLN!AK75</f>
        <v>0</v>
      </c>
      <c r="AS75" s="816">
        <f>FLN!AL75</f>
        <v>0</v>
      </c>
      <c r="AT75" s="816">
        <f>FLN!AM75</f>
        <v>0</v>
      </c>
      <c r="AU75" s="823" t="str">
        <f t="shared" si="31"/>
        <v>728</v>
      </c>
      <c r="AV75" s="816">
        <f>FLN!AN75</f>
        <v>0</v>
      </c>
      <c r="AW75" s="816">
        <f>FLN!AO75</f>
        <v>0</v>
      </c>
      <c r="AX75" s="816">
        <f>FLN!AP75</f>
        <v>0</v>
      </c>
      <c r="AY75" s="816">
        <f>FLN!AQ75</f>
        <v>0</v>
      </c>
      <c r="AZ75" s="823" t="str">
        <f t="shared" si="32"/>
        <v>729</v>
      </c>
      <c r="BA75" s="816">
        <f>FLN!AR75</f>
        <v>0</v>
      </c>
      <c r="BB75" s="816">
        <f>FLN!AS75</f>
        <v>0</v>
      </c>
      <c r="BC75" s="816">
        <f>FLN!AT75</f>
        <v>0</v>
      </c>
      <c r="BD75" s="816">
        <f>FLN!AU75</f>
        <v>0</v>
      </c>
      <c r="BE75" s="823" t="str">
        <f t="shared" si="33"/>
        <v>7210</v>
      </c>
      <c r="BF75" s="816">
        <f>FLN!AV75</f>
        <v>0</v>
      </c>
      <c r="BG75" s="816">
        <f>FLN!AW75</f>
        <v>0</v>
      </c>
      <c r="BH75" s="816">
        <f>FLN!AX75</f>
        <v>0</v>
      </c>
      <c r="BI75" s="816">
        <f>FLN!AY75</f>
        <v>0</v>
      </c>
      <c r="BJ75" s="823" t="str">
        <f t="shared" si="34"/>
        <v>7211</v>
      </c>
      <c r="BK75" s="816">
        <f>FLN!AZ75</f>
        <v>0</v>
      </c>
      <c r="BL75" s="816">
        <f>FLN!BA75</f>
        <v>0</v>
      </c>
      <c r="BM75" s="816">
        <f>FLN!BB75</f>
        <v>0</v>
      </c>
      <c r="BN75" s="816">
        <f>FLN!BC75</f>
        <v>0</v>
      </c>
      <c r="BO75" s="823" t="str">
        <f t="shared" si="35"/>
        <v>7212</v>
      </c>
      <c r="BP75" s="816">
        <f>FLN!BD75</f>
        <v>0</v>
      </c>
      <c r="BQ75" s="816">
        <f>FLN!BE75</f>
        <v>0</v>
      </c>
      <c r="BR75" s="816">
        <f>FLN!BF75</f>
        <v>0</v>
      </c>
      <c r="BS75" s="816">
        <f>FLN!BG75</f>
        <v>0</v>
      </c>
      <c r="BT75" s="823" t="str">
        <f t="shared" si="36"/>
        <v>7213</v>
      </c>
      <c r="BU75" s="816">
        <f>FLN!BH75</f>
        <v>0</v>
      </c>
      <c r="BV75" s="816">
        <f>FLN!BI75</f>
        <v>0</v>
      </c>
      <c r="BW75" s="816">
        <f>FLN!BJ75</f>
        <v>0</v>
      </c>
      <c r="BX75" s="816">
        <f>FLN!BK75</f>
        <v>0</v>
      </c>
      <c r="BY75" s="823" t="str">
        <f t="shared" si="37"/>
        <v>7214</v>
      </c>
      <c r="BZ75" s="816">
        <f>FLN!BL75</f>
        <v>0</v>
      </c>
      <c r="CA75" s="816">
        <f>FLN!BM75</f>
        <v>0</v>
      </c>
      <c r="CB75" s="816">
        <f>FLN!BN75</f>
        <v>0</v>
      </c>
      <c r="CC75" s="816">
        <f>FLN!BO75</f>
        <v>0</v>
      </c>
      <c r="CD75" s="823" t="str">
        <f t="shared" si="38"/>
        <v>7215</v>
      </c>
      <c r="CE75" s="816">
        <f>FLN!BP75</f>
        <v>0</v>
      </c>
      <c r="CF75" s="816">
        <f>FLN!BQ75</f>
        <v>0</v>
      </c>
      <c r="CG75" s="816">
        <f>FLN!BR75</f>
        <v>0</v>
      </c>
      <c r="CH75" s="816">
        <f>FLN!BS75</f>
        <v>0</v>
      </c>
      <c r="CI75" s="823" t="str">
        <f t="shared" si="39"/>
        <v>7216</v>
      </c>
      <c r="CJ75" s="816">
        <f>FLN!BT75</f>
        <v>0</v>
      </c>
      <c r="CK75" s="816">
        <f>FLN!BU75</f>
        <v>0</v>
      </c>
      <c r="CL75" s="816">
        <f>FLN!BV75</f>
        <v>0</v>
      </c>
      <c r="CM75" s="816">
        <f>FLN!BW75</f>
        <v>0</v>
      </c>
      <c r="CN75" s="823" t="str">
        <f t="shared" si="40"/>
        <v>7217</v>
      </c>
      <c r="CO75" s="816">
        <f>FLN!BX75</f>
        <v>0</v>
      </c>
      <c r="CP75" s="816">
        <f>FLN!BY75</f>
        <v>0</v>
      </c>
      <c r="CQ75" s="816">
        <f>FLN!BZ75</f>
        <v>0</v>
      </c>
      <c r="CR75" s="816">
        <f>FLN!CA75</f>
        <v>0</v>
      </c>
      <c r="CS75" s="823" t="str">
        <f t="shared" si="41"/>
        <v>7218</v>
      </c>
      <c r="CT75" s="816">
        <f>FLN!CB75</f>
        <v>0</v>
      </c>
      <c r="CU75" s="816">
        <f>FLN!CC75</f>
        <v>0</v>
      </c>
      <c r="CV75" s="816">
        <f>FLN!CD75</f>
        <v>0</v>
      </c>
      <c r="CW75" s="816">
        <f>FLN!CE75</f>
        <v>0</v>
      </c>
      <c r="CX75" s="823" t="str">
        <f t="shared" si="42"/>
        <v>7219</v>
      </c>
      <c r="CY75" s="816">
        <f>FLN!CF75</f>
        <v>0</v>
      </c>
      <c r="CZ75" s="816">
        <f>FLN!CG75</f>
        <v>0</v>
      </c>
      <c r="DA75" s="816">
        <f>FLN!CH75</f>
        <v>0</v>
      </c>
      <c r="DB75" s="816">
        <f>FLN!CI75</f>
        <v>0</v>
      </c>
      <c r="DC75" s="823" t="str">
        <f t="shared" si="43"/>
        <v>7220</v>
      </c>
      <c r="DD75" s="816">
        <f>FLN!CJ75</f>
        <v>0</v>
      </c>
      <c r="DE75" s="816">
        <f>FLN!CK75</f>
        <v>0</v>
      </c>
      <c r="DF75" s="816">
        <f>FLN!CL75</f>
        <v>0</v>
      </c>
      <c r="DG75" s="816">
        <f>FLN!CM75</f>
        <v>0</v>
      </c>
      <c r="DH75" s="823" t="str">
        <f t="shared" si="44"/>
        <v>7221</v>
      </c>
      <c r="DI75" s="816">
        <f>FLN!CN75</f>
        <v>0</v>
      </c>
      <c r="DJ75" s="816">
        <f>FLN!CO75</f>
        <v>0</v>
      </c>
      <c r="DK75" s="816">
        <f>FLN!CP75</f>
        <v>0</v>
      </c>
      <c r="DL75" s="816">
        <f>FLN!CQ75</f>
        <v>0</v>
      </c>
      <c r="DM75" s="823" t="str">
        <f t="shared" si="45"/>
        <v>7222</v>
      </c>
      <c r="DN75" s="816">
        <f>FLN!CR75</f>
        <v>0</v>
      </c>
      <c r="DO75" s="816">
        <f>FLN!CS75</f>
        <v>0</v>
      </c>
      <c r="DP75" s="816">
        <f>FLN!CT75</f>
        <v>0</v>
      </c>
      <c r="DQ75" s="816">
        <f>FLN!CU75</f>
        <v>0</v>
      </c>
      <c r="DR75" s="823" t="str">
        <f t="shared" si="46"/>
        <v>7223</v>
      </c>
      <c r="DS75" s="816">
        <f>FLN!CV75</f>
        <v>0</v>
      </c>
      <c r="DT75" s="816">
        <f>FLN!CW75</f>
        <v>0</v>
      </c>
      <c r="DU75" s="816">
        <f>FLN!CX75</f>
        <v>0</v>
      </c>
      <c r="DV75" s="816">
        <f>FLN!CY75</f>
        <v>0</v>
      </c>
      <c r="DW75" s="823" t="str">
        <f t="shared" si="47"/>
        <v>7224</v>
      </c>
      <c r="DX75" s="816">
        <f>FLN!CZ75</f>
        <v>0</v>
      </c>
      <c r="DY75" s="816">
        <f>FLN!DA75</f>
        <v>0</v>
      </c>
      <c r="DZ75" s="816">
        <f>FLN!DB75</f>
        <v>0</v>
      </c>
      <c r="EA75" s="816">
        <f>FLN!DC75</f>
        <v>0</v>
      </c>
      <c r="EB75" s="823" t="str">
        <f t="shared" si="48"/>
        <v>7225</v>
      </c>
      <c r="EC75" s="816">
        <f>FLN!DD75</f>
        <v>0</v>
      </c>
      <c r="ED75" s="816">
        <f>FLN!DE75</f>
        <v>0</v>
      </c>
      <c r="EE75" s="816">
        <f>FLN!DF75</f>
        <v>0</v>
      </c>
      <c r="EF75" s="816">
        <f>FLN!DG75</f>
        <v>0</v>
      </c>
    </row>
    <row r="76" spans="1:136">
      <c r="A76" s="824">
        <v>73</v>
      </c>
      <c r="B76" s="824">
        <f>STUDENT!F74</f>
        <v>0</v>
      </c>
      <c r="C76" s="824">
        <f>STUDENT!D74</f>
        <v>0</v>
      </c>
      <c r="D76" s="827">
        <f>STUDENT!E74</f>
        <v>0</v>
      </c>
      <c r="E76" s="827">
        <f>STUDENT!H74</f>
        <v>0</v>
      </c>
      <c r="F76" s="828">
        <f>FLN!F76</f>
        <v>0</v>
      </c>
      <c r="G76" s="828">
        <f>FLN!G76</f>
        <v>0</v>
      </c>
      <c r="H76" s="828">
        <f>FLN!H76</f>
        <v>0</v>
      </c>
      <c r="I76" s="824" t="str">
        <f>FLN!I76</f>
        <v/>
      </c>
      <c r="J76" s="824" t="str">
        <f>FLN!J76</f>
        <v/>
      </c>
      <c r="K76" s="824" t="str">
        <f>FLN!K76</f>
        <v/>
      </c>
      <c r="L76" s="823" t="str">
        <f t="shared" si="49"/>
        <v>731</v>
      </c>
      <c r="M76" s="816">
        <f>FLN!L76</f>
        <v>0</v>
      </c>
      <c r="N76" s="816">
        <f>FLN!M76</f>
        <v>0</v>
      </c>
      <c r="O76" s="816">
        <f>FLN!N76</f>
        <v>0</v>
      </c>
      <c r="P76" s="816">
        <f>FLN!O76</f>
        <v>0</v>
      </c>
      <c r="Q76" s="823" t="str">
        <f t="shared" si="25"/>
        <v>732</v>
      </c>
      <c r="R76" s="816">
        <f>FLN!P76</f>
        <v>0</v>
      </c>
      <c r="S76" s="816">
        <f>FLN!Q76</f>
        <v>0</v>
      </c>
      <c r="T76" s="816">
        <f>FLN!R76</f>
        <v>0</v>
      </c>
      <c r="U76" s="816">
        <f>FLN!S76</f>
        <v>0</v>
      </c>
      <c r="V76" s="823" t="str">
        <f t="shared" si="26"/>
        <v>733</v>
      </c>
      <c r="W76" s="816">
        <f>FLN!T76</f>
        <v>0</v>
      </c>
      <c r="X76" s="816">
        <f>FLN!U76</f>
        <v>0</v>
      </c>
      <c r="Y76" s="816">
        <f>FLN!V76</f>
        <v>0</v>
      </c>
      <c r="Z76" s="816">
        <f>FLN!W76</f>
        <v>0</v>
      </c>
      <c r="AA76" s="823" t="str">
        <f t="shared" si="27"/>
        <v>734</v>
      </c>
      <c r="AB76" s="816">
        <f>FLN!X76</f>
        <v>0</v>
      </c>
      <c r="AC76" s="816">
        <f>FLN!Y76</f>
        <v>0</v>
      </c>
      <c r="AD76" s="816">
        <f>FLN!Z76</f>
        <v>0</v>
      </c>
      <c r="AE76" s="816">
        <f>FLN!AA76</f>
        <v>0</v>
      </c>
      <c r="AF76" s="823" t="str">
        <f t="shared" si="28"/>
        <v>735</v>
      </c>
      <c r="AG76" s="816">
        <f>FLN!AB76</f>
        <v>0</v>
      </c>
      <c r="AH76" s="816">
        <f>FLN!AC76</f>
        <v>0</v>
      </c>
      <c r="AI76" s="816">
        <f>FLN!AD76</f>
        <v>0</v>
      </c>
      <c r="AJ76" s="816">
        <f>FLN!AE76</f>
        <v>0</v>
      </c>
      <c r="AK76" s="823" t="str">
        <f t="shared" si="29"/>
        <v>736</v>
      </c>
      <c r="AL76" s="816">
        <f>FLN!AF76</f>
        <v>0</v>
      </c>
      <c r="AM76" s="816">
        <f>FLN!AG76</f>
        <v>0</v>
      </c>
      <c r="AN76" s="816">
        <f>FLN!AH76</f>
        <v>0</v>
      </c>
      <c r="AO76" s="816">
        <f>FLN!AI76</f>
        <v>0</v>
      </c>
      <c r="AP76" s="823" t="str">
        <f t="shared" si="30"/>
        <v>737</v>
      </c>
      <c r="AQ76" s="816">
        <f>FLN!AJ76</f>
        <v>0</v>
      </c>
      <c r="AR76" s="816">
        <f>FLN!AK76</f>
        <v>0</v>
      </c>
      <c r="AS76" s="816">
        <f>FLN!AL76</f>
        <v>0</v>
      </c>
      <c r="AT76" s="816">
        <f>FLN!AM76</f>
        <v>0</v>
      </c>
      <c r="AU76" s="823" t="str">
        <f t="shared" si="31"/>
        <v>738</v>
      </c>
      <c r="AV76" s="816">
        <f>FLN!AN76</f>
        <v>0</v>
      </c>
      <c r="AW76" s="816">
        <f>FLN!AO76</f>
        <v>0</v>
      </c>
      <c r="AX76" s="816">
        <f>FLN!AP76</f>
        <v>0</v>
      </c>
      <c r="AY76" s="816">
        <f>FLN!AQ76</f>
        <v>0</v>
      </c>
      <c r="AZ76" s="823" t="str">
        <f t="shared" si="32"/>
        <v>739</v>
      </c>
      <c r="BA76" s="816">
        <f>FLN!AR76</f>
        <v>0</v>
      </c>
      <c r="BB76" s="816">
        <f>FLN!AS76</f>
        <v>0</v>
      </c>
      <c r="BC76" s="816">
        <f>FLN!AT76</f>
        <v>0</v>
      </c>
      <c r="BD76" s="816">
        <f>FLN!AU76</f>
        <v>0</v>
      </c>
      <c r="BE76" s="823" t="str">
        <f t="shared" si="33"/>
        <v>7310</v>
      </c>
      <c r="BF76" s="816">
        <f>FLN!AV76</f>
        <v>0</v>
      </c>
      <c r="BG76" s="816">
        <f>FLN!AW76</f>
        <v>0</v>
      </c>
      <c r="BH76" s="816">
        <f>FLN!AX76</f>
        <v>0</v>
      </c>
      <c r="BI76" s="816">
        <f>FLN!AY76</f>
        <v>0</v>
      </c>
      <c r="BJ76" s="823" t="str">
        <f t="shared" si="34"/>
        <v>7311</v>
      </c>
      <c r="BK76" s="816">
        <f>FLN!AZ76</f>
        <v>0</v>
      </c>
      <c r="BL76" s="816">
        <f>FLN!BA76</f>
        <v>0</v>
      </c>
      <c r="BM76" s="816">
        <f>FLN!BB76</f>
        <v>0</v>
      </c>
      <c r="BN76" s="816">
        <f>FLN!BC76</f>
        <v>0</v>
      </c>
      <c r="BO76" s="823" t="str">
        <f t="shared" si="35"/>
        <v>7312</v>
      </c>
      <c r="BP76" s="816">
        <f>FLN!BD76</f>
        <v>0</v>
      </c>
      <c r="BQ76" s="816">
        <f>FLN!BE76</f>
        <v>0</v>
      </c>
      <c r="BR76" s="816">
        <f>FLN!BF76</f>
        <v>0</v>
      </c>
      <c r="BS76" s="816">
        <f>FLN!BG76</f>
        <v>0</v>
      </c>
      <c r="BT76" s="823" t="str">
        <f t="shared" si="36"/>
        <v>7313</v>
      </c>
      <c r="BU76" s="816">
        <f>FLN!BH76</f>
        <v>0</v>
      </c>
      <c r="BV76" s="816">
        <f>FLN!BI76</f>
        <v>0</v>
      </c>
      <c r="BW76" s="816">
        <f>FLN!BJ76</f>
        <v>0</v>
      </c>
      <c r="BX76" s="816">
        <f>FLN!BK76</f>
        <v>0</v>
      </c>
      <c r="BY76" s="823" t="str">
        <f t="shared" si="37"/>
        <v>7314</v>
      </c>
      <c r="BZ76" s="816">
        <f>FLN!BL76</f>
        <v>0</v>
      </c>
      <c r="CA76" s="816">
        <f>FLN!BM76</f>
        <v>0</v>
      </c>
      <c r="CB76" s="816">
        <f>FLN!BN76</f>
        <v>0</v>
      </c>
      <c r="CC76" s="816">
        <f>FLN!BO76</f>
        <v>0</v>
      </c>
      <c r="CD76" s="823" t="str">
        <f t="shared" si="38"/>
        <v>7315</v>
      </c>
      <c r="CE76" s="816">
        <f>FLN!BP76</f>
        <v>0</v>
      </c>
      <c r="CF76" s="816">
        <f>FLN!BQ76</f>
        <v>0</v>
      </c>
      <c r="CG76" s="816">
        <f>FLN!BR76</f>
        <v>0</v>
      </c>
      <c r="CH76" s="816">
        <f>FLN!BS76</f>
        <v>0</v>
      </c>
      <c r="CI76" s="823" t="str">
        <f t="shared" si="39"/>
        <v>7316</v>
      </c>
      <c r="CJ76" s="816">
        <f>FLN!BT76</f>
        <v>0</v>
      </c>
      <c r="CK76" s="816">
        <f>FLN!BU76</f>
        <v>0</v>
      </c>
      <c r="CL76" s="816">
        <f>FLN!BV76</f>
        <v>0</v>
      </c>
      <c r="CM76" s="816">
        <f>FLN!BW76</f>
        <v>0</v>
      </c>
      <c r="CN76" s="823" t="str">
        <f t="shared" si="40"/>
        <v>7317</v>
      </c>
      <c r="CO76" s="816">
        <f>FLN!BX76</f>
        <v>0</v>
      </c>
      <c r="CP76" s="816">
        <f>FLN!BY76</f>
        <v>0</v>
      </c>
      <c r="CQ76" s="816">
        <f>FLN!BZ76</f>
        <v>0</v>
      </c>
      <c r="CR76" s="816">
        <f>FLN!CA76</f>
        <v>0</v>
      </c>
      <c r="CS76" s="823" t="str">
        <f t="shared" si="41"/>
        <v>7318</v>
      </c>
      <c r="CT76" s="816">
        <f>FLN!CB76</f>
        <v>0</v>
      </c>
      <c r="CU76" s="816">
        <f>FLN!CC76</f>
        <v>0</v>
      </c>
      <c r="CV76" s="816">
        <f>FLN!CD76</f>
        <v>0</v>
      </c>
      <c r="CW76" s="816">
        <f>FLN!CE76</f>
        <v>0</v>
      </c>
      <c r="CX76" s="823" t="str">
        <f t="shared" si="42"/>
        <v>7319</v>
      </c>
      <c r="CY76" s="816">
        <f>FLN!CF76</f>
        <v>0</v>
      </c>
      <c r="CZ76" s="816">
        <f>FLN!CG76</f>
        <v>0</v>
      </c>
      <c r="DA76" s="816">
        <f>FLN!CH76</f>
        <v>0</v>
      </c>
      <c r="DB76" s="816">
        <f>FLN!CI76</f>
        <v>0</v>
      </c>
      <c r="DC76" s="823" t="str">
        <f t="shared" si="43"/>
        <v>7320</v>
      </c>
      <c r="DD76" s="816">
        <f>FLN!CJ76</f>
        <v>0</v>
      </c>
      <c r="DE76" s="816">
        <f>FLN!CK76</f>
        <v>0</v>
      </c>
      <c r="DF76" s="816">
        <f>FLN!CL76</f>
        <v>0</v>
      </c>
      <c r="DG76" s="816">
        <f>FLN!CM76</f>
        <v>0</v>
      </c>
      <c r="DH76" s="823" t="str">
        <f t="shared" si="44"/>
        <v>7321</v>
      </c>
      <c r="DI76" s="816">
        <f>FLN!CN76</f>
        <v>0</v>
      </c>
      <c r="DJ76" s="816">
        <f>FLN!CO76</f>
        <v>0</v>
      </c>
      <c r="DK76" s="816">
        <f>FLN!CP76</f>
        <v>0</v>
      </c>
      <c r="DL76" s="816">
        <f>FLN!CQ76</f>
        <v>0</v>
      </c>
      <c r="DM76" s="823" t="str">
        <f t="shared" si="45"/>
        <v>7322</v>
      </c>
      <c r="DN76" s="816">
        <f>FLN!CR76</f>
        <v>0</v>
      </c>
      <c r="DO76" s="816">
        <f>FLN!CS76</f>
        <v>0</v>
      </c>
      <c r="DP76" s="816">
        <f>FLN!CT76</f>
        <v>0</v>
      </c>
      <c r="DQ76" s="816">
        <f>FLN!CU76</f>
        <v>0</v>
      </c>
      <c r="DR76" s="823" t="str">
        <f t="shared" si="46"/>
        <v>7323</v>
      </c>
      <c r="DS76" s="816">
        <f>FLN!CV76</f>
        <v>0</v>
      </c>
      <c r="DT76" s="816">
        <f>FLN!CW76</f>
        <v>0</v>
      </c>
      <c r="DU76" s="816">
        <f>FLN!CX76</f>
        <v>0</v>
      </c>
      <c r="DV76" s="816">
        <f>FLN!CY76</f>
        <v>0</v>
      </c>
      <c r="DW76" s="823" t="str">
        <f t="shared" si="47"/>
        <v>7324</v>
      </c>
      <c r="DX76" s="816">
        <f>FLN!CZ76</f>
        <v>0</v>
      </c>
      <c r="DY76" s="816">
        <f>FLN!DA76</f>
        <v>0</v>
      </c>
      <c r="DZ76" s="816">
        <f>FLN!DB76</f>
        <v>0</v>
      </c>
      <c r="EA76" s="816">
        <f>FLN!DC76</f>
        <v>0</v>
      </c>
      <c r="EB76" s="823" t="str">
        <f t="shared" si="48"/>
        <v>7325</v>
      </c>
      <c r="EC76" s="816">
        <f>FLN!DD76</f>
        <v>0</v>
      </c>
      <c r="ED76" s="816">
        <f>FLN!DE76</f>
        <v>0</v>
      </c>
      <c r="EE76" s="816">
        <f>FLN!DF76</f>
        <v>0</v>
      </c>
      <c r="EF76" s="816">
        <f>FLN!DG76</f>
        <v>0</v>
      </c>
    </row>
    <row r="77" spans="1:136">
      <c r="A77" s="824">
        <v>74</v>
      </c>
      <c r="B77" s="824">
        <f>STUDENT!F75</f>
        <v>0</v>
      </c>
      <c r="C77" s="824">
        <f>STUDENT!D75</f>
        <v>0</v>
      </c>
      <c r="D77" s="827">
        <f>STUDENT!E75</f>
        <v>0</v>
      </c>
      <c r="E77" s="827">
        <f>STUDENT!H75</f>
        <v>0</v>
      </c>
      <c r="F77" s="828">
        <f>FLN!F77</f>
        <v>0</v>
      </c>
      <c r="G77" s="828">
        <f>FLN!G77</f>
        <v>0</v>
      </c>
      <c r="H77" s="828">
        <f>FLN!H77</f>
        <v>0</v>
      </c>
      <c r="I77" s="824" t="str">
        <f>FLN!I77</f>
        <v/>
      </c>
      <c r="J77" s="824" t="str">
        <f>FLN!J77</f>
        <v/>
      </c>
      <c r="K77" s="824" t="str">
        <f>FLN!K77</f>
        <v/>
      </c>
      <c r="L77" s="823" t="str">
        <f t="shared" si="49"/>
        <v>741</v>
      </c>
      <c r="M77" s="816">
        <f>FLN!L77</f>
        <v>0</v>
      </c>
      <c r="N77" s="816">
        <f>FLN!M77</f>
        <v>0</v>
      </c>
      <c r="O77" s="816">
        <f>FLN!N77</f>
        <v>0</v>
      </c>
      <c r="P77" s="816">
        <f>FLN!O77</f>
        <v>0</v>
      </c>
      <c r="Q77" s="823" t="str">
        <f t="shared" si="25"/>
        <v>742</v>
      </c>
      <c r="R77" s="816">
        <f>FLN!P77</f>
        <v>0</v>
      </c>
      <c r="S77" s="816">
        <f>FLN!Q77</f>
        <v>0</v>
      </c>
      <c r="T77" s="816">
        <f>FLN!R77</f>
        <v>0</v>
      </c>
      <c r="U77" s="816">
        <f>FLN!S77</f>
        <v>0</v>
      </c>
      <c r="V77" s="823" t="str">
        <f t="shared" si="26"/>
        <v>743</v>
      </c>
      <c r="W77" s="816">
        <f>FLN!T77</f>
        <v>0</v>
      </c>
      <c r="X77" s="816">
        <f>FLN!U77</f>
        <v>0</v>
      </c>
      <c r="Y77" s="816">
        <f>FLN!V77</f>
        <v>0</v>
      </c>
      <c r="Z77" s="816">
        <f>FLN!W77</f>
        <v>0</v>
      </c>
      <c r="AA77" s="823" t="str">
        <f t="shared" si="27"/>
        <v>744</v>
      </c>
      <c r="AB77" s="816">
        <f>FLN!X77</f>
        <v>0</v>
      </c>
      <c r="AC77" s="816">
        <f>FLN!Y77</f>
        <v>0</v>
      </c>
      <c r="AD77" s="816">
        <f>FLN!Z77</f>
        <v>0</v>
      </c>
      <c r="AE77" s="816">
        <f>FLN!AA77</f>
        <v>0</v>
      </c>
      <c r="AF77" s="823" t="str">
        <f t="shared" si="28"/>
        <v>745</v>
      </c>
      <c r="AG77" s="816">
        <f>FLN!AB77</f>
        <v>0</v>
      </c>
      <c r="AH77" s="816">
        <f>FLN!AC77</f>
        <v>0</v>
      </c>
      <c r="AI77" s="816">
        <f>FLN!AD77</f>
        <v>0</v>
      </c>
      <c r="AJ77" s="816">
        <f>FLN!AE77</f>
        <v>0</v>
      </c>
      <c r="AK77" s="823" t="str">
        <f t="shared" si="29"/>
        <v>746</v>
      </c>
      <c r="AL77" s="816">
        <f>FLN!AF77</f>
        <v>0</v>
      </c>
      <c r="AM77" s="816">
        <f>FLN!AG77</f>
        <v>0</v>
      </c>
      <c r="AN77" s="816">
        <f>FLN!AH77</f>
        <v>0</v>
      </c>
      <c r="AO77" s="816">
        <f>FLN!AI77</f>
        <v>0</v>
      </c>
      <c r="AP77" s="823" t="str">
        <f t="shared" si="30"/>
        <v>747</v>
      </c>
      <c r="AQ77" s="816">
        <f>FLN!AJ77</f>
        <v>0</v>
      </c>
      <c r="AR77" s="816">
        <f>FLN!AK77</f>
        <v>0</v>
      </c>
      <c r="AS77" s="816">
        <f>FLN!AL77</f>
        <v>0</v>
      </c>
      <c r="AT77" s="816">
        <f>FLN!AM77</f>
        <v>0</v>
      </c>
      <c r="AU77" s="823" t="str">
        <f t="shared" si="31"/>
        <v>748</v>
      </c>
      <c r="AV77" s="816">
        <f>FLN!AN77</f>
        <v>0</v>
      </c>
      <c r="AW77" s="816">
        <f>FLN!AO77</f>
        <v>0</v>
      </c>
      <c r="AX77" s="816">
        <f>FLN!AP77</f>
        <v>0</v>
      </c>
      <c r="AY77" s="816">
        <f>FLN!AQ77</f>
        <v>0</v>
      </c>
      <c r="AZ77" s="823" t="str">
        <f t="shared" si="32"/>
        <v>749</v>
      </c>
      <c r="BA77" s="816">
        <f>FLN!AR77</f>
        <v>0</v>
      </c>
      <c r="BB77" s="816">
        <f>FLN!AS77</f>
        <v>0</v>
      </c>
      <c r="BC77" s="816">
        <f>FLN!AT77</f>
        <v>0</v>
      </c>
      <c r="BD77" s="816">
        <f>FLN!AU77</f>
        <v>0</v>
      </c>
      <c r="BE77" s="823" t="str">
        <f t="shared" si="33"/>
        <v>7410</v>
      </c>
      <c r="BF77" s="816">
        <f>FLN!AV77</f>
        <v>0</v>
      </c>
      <c r="BG77" s="816">
        <f>FLN!AW77</f>
        <v>0</v>
      </c>
      <c r="BH77" s="816">
        <f>FLN!AX77</f>
        <v>0</v>
      </c>
      <c r="BI77" s="816">
        <f>FLN!AY77</f>
        <v>0</v>
      </c>
      <c r="BJ77" s="823" t="str">
        <f t="shared" si="34"/>
        <v>7411</v>
      </c>
      <c r="BK77" s="816">
        <f>FLN!AZ77</f>
        <v>0</v>
      </c>
      <c r="BL77" s="816">
        <f>FLN!BA77</f>
        <v>0</v>
      </c>
      <c r="BM77" s="816">
        <f>FLN!BB77</f>
        <v>0</v>
      </c>
      <c r="BN77" s="816">
        <f>FLN!BC77</f>
        <v>0</v>
      </c>
      <c r="BO77" s="823" t="str">
        <f t="shared" si="35"/>
        <v>7412</v>
      </c>
      <c r="BP77" s="816">
        <f>FLN!BD77</f>
        <v>0</v>
      </c>
      <c r="BQ77" s="816">
        <f>FLN!BE77</f>
        <v>0</v>
      </c>
      <c r="BR77" s="816">
        <f>FLN!BF77</f>
        <v>0</v>
      </c>
      <c r="BS77" s="816">
        <f>FLN!BG77</f>
        <v>0</v>
      </c>
      <c r="BT77" s="823" t="str">
        <f t="shared" si="36"/>
        <v>7413</v>
      </c>
      <c r="BU77" s="816">
        <f>FLN!BH77</f>
        <v>0</v>
      </c>
      <c r="BV77" s="816">
        <f>FLN!BI77</f>
        <v>0</v>
      </c>
      <c r="BW77" s="816">
        <f>FLN!BJ77</f>
        <v>0</v>
      </c>
      <c r="BX77" s="816">
        <f>FLN!BK77</f>
        <v>0</v>
      </c>
      <c r="BY77" s="823" t="str">
        <f t="shared" si="37"/>
        <v>7414</v>
      </c>
      <c r="BZ77" s="816">
        <f>FLN!BL77</f>
        <v>0</v>
      </c>
      <c r="CA77" s="816">
        <f>FLN!BM77</f>
        <v>0</v>
      </c>
      <c r="CB77" s="816">
        <f>FLN!BN77</f>
        <v>0</v>
      </c>
      <c r="CC77" s="816">
        <f>FLN!BO77</f>
        <v>0</v>
      </c>
      <c r="CD77" s="823" t="str">
        <f t="shared" si="38"/>
        <v>7415</v>
      </c>
      <c r="CE77" s="816">
        <f>FLN!BP77</f>
        <v>0</v>
      </c>
      <c r="CF77" s="816">
        <f>FLN!BQ77</f>
        <v>0</v>
      </c>
      <c r="CG77" s="816">
        <f>FLN!BR77</f>
        <v>0</v>
      </c>
      <c r="CH77" s="816">
        <f>FLN!BS77</f>
        <v>0</v>
      </c>
      <c r="CI77" s="823" t="str">
        <f t="shared" si="39"/>
        <v>7416</v>
      </c>
      <c r="CJ77" s="816">
        <f>FLN!BT77</f>
        <v>0</v>
      </c>
      <c r="CK77" s="816">
        <f>FLN!BU77</f>
        <v>0</v>
      </c>
      <c r="CL77" s="816">
        <f>FLN!BV77</f>
        <v>0</v>
      </c>
      <c r="CM77" s="816">
        <f>FLN!BW77</f>
        <v>0</v>
      </c>
      <c r="CN77" s="823" t="str">
        <f t="shared" si="40"/>
        <v>7417</v>
      </c>
      <c r="CO77" s="816">
        <f>FLN!BX77</f>
        <v>0</v>
      </c>
      <c r="CP77" s="816">
        <f>FLN!BY77</f>
        <v>0</v>
      </c>
      <c r="CQ77" s="816">
        <f>FLN!BZ77</f>
        <v>0</v>
      </c>
      <c r="CR77" s="816">
        <f>FLN!CA77</f>
        <v>0</v>
      </c>
      <c r="CS77" s="823" t="str">
        <f t="shared" si="41"/>
        <v>7418</v>
      </c>
      <c r="CT77" s="816">
        <f>FLN!CB77</f>
        <v>0</v>
      </c>
      <c r="CU77" s="816">
        <f>FLN!CC77</f>
        <v>0</v>
      </c>
      <c r="CV77" s="816">
        <f>FLN!CD77</f>
        <v>0</v>
      </c>
      <c r="CW77" s="816">
        <f>FLN!CE77</f>
        <v>0</v>
      </c>
      <c r="CX77" s="823" t="str">
        <f t="shared" si="42"/>
        <v>7419</v>
      </c>
      <c r="CY77" s="816">
        <f>FLN!CF77</f>
        <v>0</v>
      </c>
      <c r="CZ77" s="816">
        <f>FLN!CG77</f>
        <v>0</v>
      </c>
      <c r="DA77" s="816">
        <f>FLN!CH77</f>
        <v>0</v>
      </c>
      <c r="DB77" s="816">
        <f>FLN!CI77</f>
        <v>0</v>
      </c>
      <c r="DC77" s="823" t="str">
        <f t="shared" si="43"/>
        <v>7420</v>
      </c>
      <c r="DD77" s="816">
        <f>FLN!CJ77</f>
        <v>0</v>
      </c>
      <c r="DE77" s="816">
        <f>FLN!CK77</f>
        <v>0</v>
      </c>
      <c r="DF77" s="816">
        <f>FLN!CL77</f>
        <v>0</v>
      </c>
      <c r="DG77" s="816">
        <f>FLN!CM77</f>
        <v>0</v>
      </c>
      <c r="DH77" s="823" t="str">
        <f t="shared" si="44"/>
        <v>7421</v>
      </c>
      <c r="DI77" s="816">
        <f>FLN!CN77</f>
        <v>0</v>
      </c>
      <c r="DJ77" s="816">
        <f>FLN!CO77</f>
        <v>0</v>
      </c>
      <c r="DK77" s="816">
        <f>FLN!CP77</f>
        <v>0</v>
      </c>
      <c r="DL77" s="816">
        <f>FLN!CQ77</f>
        <v>0</v>
      </c>
      <c r="DM77" s="823" t="str">
        <f t="shared" si="45"/>
        <v>7422</v>
      </c>
      <c r="DN77" s="816">
        <f>FLN!CR77</f>
        <v>0</v>
      </c>
      <c r="DO77" s="816">
        <f>FLN!CS77</f>
        <v>0</v>
      </c>
      <c r="DP77" s="816">
        <f>FLN!CT77</f>
        <v>0</v>
      </c>
      <c r="DQ77" s="816">
        <f>FLN!CU77</f>
        <v>0</v>
      </c>
      <c r="DR77" s="823" t="str">
        <f t="shared" si="46"/>
        <v>7423</v>
      </c>
      <c r="DS77" s="816">
        <f>FLN!CV77</f>
        <v>0</v>
      </c>
      <c r="DT77" s="816">
        <f>FLN!CW77</f>
        <v>0</v>
      </c>
      <c r="DU77" s="816">
        <f>FLN!CX77</f>
        <v>0</v>
      </c>
      <c r="DV77" s="816">
        <f>FLN!CY77</f>
        <v>0</v>
      </c>
      <c r="DW77" s="823" t="str">
        <f t="shared" si="47"/>
        <v>7424</v>
      </c>
      <c r="DX77" s="816">
        <f>FLN!CZ77</f>
        <v>0</v>
      </c>
      <c r="DY77" s="816">
        <f>FLN!DA77</f>
        <v>0</v>
      </c>
      <c r="DZ77" s="816">
        <f>FLN!DB77</f>
        <v>0</v>
      </c>
      <c r="EA77" s="816">
        <f>FLN!DC77</f>
        <v>0</v>
      </c>
      <c r="EB77" s="823" t="str">
        <f t="shared" si="48"/>
        <v>7425</v>
      </c>
      <c r="EC77" s="816">
        <f>FLN!DD77</f>
        <v>0</v>
      </c>
      <c r="ED77" s="816">
        <f>FLN!DE77</f>
        <v>0</v>
      </c>
      <c r="EE77" s="816">
        <f>FLN!DF77</f>
        <v>0</v>
      </c>
      <c r="EF77" s="816">
        <f>FLN!DG77</f>
        <v>0</v>
      </c>
    </row>
    <row r="78" spans="1:136">
      <c r="A78" s="824">
        <v>75</v>
      </c>
      <c r="B78" s="824">
        <f>STUDENT!F76</f>
        <v>0</v>
      </c>
      <c r="C78" s="824">
        <f>STUDENT!D76</f>
        <v>0</v>
      </c>
      <c r="D78" s="827">
        <f>STUDENT!E76</f>
        <v>0</v>
      </c>
      <c r="E78" s="827">
        <f>STUDENT!H76</f>
        <v>0</v>
      </c>
      <c r="F78" s="828">
        <f>FLN!F78</f>
        <v>0</v>
      </c>
      <c r="G78" s="828">
        <f>FLN!G78</f>
        <v>0</v>
      </c>
      <c r="H78" s="828">
        <f>FLN!H78</f>
        <v>0</v>
      </c>
      <c r="I78" s="824" t="str">
        <f>FLN!I78</f>
        <v/>
      </c>
      <c r="J78" s="824" t="str">
        <f>FLN!J78</f>
        <v/>
      </c>
      <c r="K78" s="824" t="str">
        <f>FLN!K78</f>
        <v/>
      </c>
      <c r="L78" s="823" t="str">
        <f t="shared" si="49"/>
        <v>751</v>
      </c>
      <c r="M78" s="816">
        <f>FLN!L78</f>
        <v>0</v>
      </c>
      <c r="N78" s="816">
        <f>FLN!M78</f>
        <v>0</v>
      </c>
      <c r="O78" s="816">
        <f>FLN!N78</f>
        <v>0</v>
      </c>
      <c r="P78" s="816">
        <f>FLN!O78</f>
        <v>0</v>
      </c>
      <c r="Q78" s="823" t="str">
        <f t="shared" si="25"/>
        <v>752</v>
      </c>
      <c r="R78" s="816">
        <f>FLN!P78</f>
        <v>0</v>
      </c>
      <c r="S78" s="816">
        <f>FLN!Q78</f>
        <v>0</v>
      </c>
      <c r="T78" s="816">
        <f>FLN!R78</f>
        <v>0</v>
      </c>
      <c r="U78" s="816">
        <f>FLN!S78</f>
        <v>0</v>
      </c>
      <c r="V78" s="823" t="str">
        <f t="shared" si="26"/>
        <v>753</v>
      </c>
      <c r="W78" s="816">
        <f>FLN!T78</f>
        <v>0</v>
      </c>
      <c r="X78" s="816">
        <f>FLN!U78</f>
        <v>0</v>
      </c>
      <c r="Y78" s="816">
        <f>FLN!V78</f>
        <v>0</v>
      </c>
      <c r="Z78" s="816">
        <f>FLN!W78</f>
        <v>0</v>
      </c>
      <c r="AA78" s="823" t="str">
        <f t="shared" si="27"/>
        <v>754</v>
      </c>
      <c r="AB78" s="816">
        <f>FLN!X78</f>
        <v>0</v>
      </c>
      <c r="AC78" s="816">
        <f>FLN!Y78</f>
        <v>0</v>
      </c>
      <c r="AD78" s="816">
        <f>FLN!Z78</f>
        <v>0</v>
      </c>
      <c r="AE78" s="816">
        <f>FLN!AA78</f>
        <v>0</v>
      </c>
      <c r="AF78" s="823" t="str">
        <f t="shared" si="28"/>
        <v>755</v>
      </c>
      <c r="AG78" s="816">
        <f>FLN!AB78</f>
        <v>0</v>
      </c>
      <c r="AH78" s="816">
        <f>FLN!AC78</f>
        <v>0</v>
      </c>
      <c r="AI78" s="816">
        <f>FLN!AD78</f>
        <v>0</v>
      </c>
      <c r="AJ78" s="816">
        <f>FLN!AE78</f>
        <v>0</v>
      </c>
      <c r="AK78" s="823" t="str">
        <f t="shared" si="29"/>
        <v>756</v>
      </c>
      <c r="AL78" s="816">
        <f>FLN!AF78</f>
        <v>0</v>
      </c>
      <c r="AM78" s="816">
        <f>FLN!AG78</f>
        <v>0</v>
      </c>
      <c r="AN78" s="816">
        <f>FLN!AH78</f>
        <v>0</v>
      </c>
      <c r="AO78" s="816">
        <f>FLN!AI78</f>
        <v>0</v>
      </c>
      <c r="AP78" s="823" t="str">
        <f t="shared" si="30"/>
        <v>757</v>
      </c>
      <c r="AQ78" s="816">
        <f>FLN!AJ78</f>
        <v>0</v>
      </c>
      <c r="AR78" s="816">
        <f>FLN!AK78</f>
        <v>0</v>
      </c>
      <c r="AS78" s="816">
        <f>FLN!AL78</f>
        <v>0</v>
      </c>
      <c r="AT78" s="816">
        <f>FLN!AM78</f>
        <v>0</v>
      </c>
      <c r="AU78" s="823" t="str">
        <f t="shared" si="31"/>
        <v>758</v>
      </c>
      <c r="AV78" s="816">
        <f>FLN!AN78</f>
        <v>0</v>
      </c>
      <c r="AW78" s="816">
        <f>FLN!AO78</f>
        <v>0</v>
      </c>
      <c r="AX78" s="816">
        <f>FLN!AP78</f>
        <v>0</v>
      </c>
      <c r="AY78" s="816">
        <f>FLN!AQ78</f>
        <v>0</v>
      </c>
      <c r="AZ78" s="823" t="str">
        <f t="shared" si="32"/>
        <v>759</v>
      </c>
      <c r="BA78" s="816">
        <f>FLN!AR78</f>
        <v>0</v>
      </c>
      <c r="BB78" s="816">
        <f>FLN!AS78</f>
        <v>0</v>
      </c>
      <c r="BC78" s="816">
        <f>FLN!AT78</f>
        <v>0</v>
      </c>
      <c r="BD78" s="816">
        <f>FLN!AU78</f>
        <v>0</v>
      </c>
      <c r="BE78" s="823" t="str">
        <f t="shared" si="33"/>
        <v>7510</v>
      </c>
      <c r="BF78" s="816">
        <f>FLN!AV78</f>
        <v>0</v>
      </c>
      <c r="BG78" s="816">
        <f>FLN!AW78</f>
        <v>0</v>
      </c>
      <c r="BH78" s="816">
        <f>FLN!AX78</f>
        <v>0</v>
      </c>
      <c r="BI78" s="816">
        <f>FLN!AY78</f>
        <v>0</v>
      </c>
      <c r="BJ78" s="823" t="str">
        <f t="shared" si="34"/>
        <v>7511</v>
      </c>
      <c r="BK78" s="816">
        <f>FLN!AZ78</f>
        <v>0</v>
      </c>
      <c r="BL78" s="816">
        <f>FLN!BA78</f>
        <v>0</v>
      </c>
      <c r="BM78" s="816">
        <f>FLN!BB78</f>
        <v>0</v>
      </c>
      <c r="BN78" s="816">
        <f>FLN!BC78</f>
        <v>0</v>
      </c>
      <c r="BO78" s="823" t="str">
        <f t="shared" si="35"/>
        <v>7512</v>
      </c>
      <c r="BP78" s="816">
        <f>FLN!BD78</f>
        <v>0</v>
      </c>
      <c r="BQ78" s="816">
        <f>FLN!BE78</f>
        <v>0</v>
      </c>
      <c r="BR78" s="816">
        <f>FLN!BF78</f>
        <v>0</v>
      </c>
      <c r="BS78" s="816">
        <f>FLN!BG78</f>
        <v>0</v>
      </c>
      <c r="BT78" s="823" t="str">
        <f t="shared" si="36"/>
        <v>7513</v>
      </c>
      <c r="BU78" s="816">
        <f>FLN!BH78</f>
        <v>0</v>
      </c>
      <c r="BV78" s="816">
        <f>FLN!BI78</f>
        <v>0</v>
      </c>
      <c r="BW78" s="816">
        <f>FLN!BJ78</f>
        <v>0</v>
      </c>
      <c r="BX78" s="816">
        <f>FLN!BK78</f>
        <v>0</v>
      </c>
      <c r="BY78" s="823" t="str">
        <f t="shared" si="37"/>
        <v>7514</v>
      </c>
      <c r="BZ78" s="816">
        <f>FLN!BL78</f>
        <v>0</v>
      </c>
      <c r="CA78" s="816">
        <f>FLN!BM78</f>
        <v>0</v>
      </c>
      <c r="CB78" s="816">
        <f>FLN!BN78</f>
        <v>0</v>
      </c>
      <c r="CC78" s="816">
        <f>FLN!BO78</f>
        <v>0</v>
      </c>
      <c r="CD78" s="823" t="str">
        <f t="shared" si="38"/>
        <v>7515</v>
      </c>
      <c r="CE78" s="816">
        <f>FLN!BP78</f>
        <v>0</v>
      </c>
      <c r="CF78" s="816">
        <f>FLN!BQ78</f>
        <v>0</v>
      </c>
      <c r="CG78" s="816">
        <f>FLN!BR78</f>
        <v>0</v>
      </c>
      <c r="CH78" s="816">
        <f>FLN!BS78</f>
        <v>0</v>
      </c>
      <c r="CI78" s="823" t="str">
        <f t="shared" si="39"/>
        <v>7516</v>
      </c>
      <c r="CJ78" s="816">
        <f>FLN!BT78</f>
        <v>0</v>
      </c>
      <c r="CK78" s="816">
        <f>FLN!BU78</f>
        <v>0</v>
      </c>
      <c r="CL78" s="816">
        <f>FLN!BV78</f>
        <v>0</v>
      </c>
      <c r="CM78" s="816">
        <f>FLN!BW78</f>
        <v>0</v>
      </c>
      <c r="CN78" s="823" t="str">
        <f t="shared" si="40"/>
        <v>7517</v>
      </c>
      <c r="CO78" s="816">
        <f>FLN!BX78</f>
        <v>0</v>
      </c>
      <c r="CP78" s="816">
        <f>FLN!BY78</f>
        <v>0</v>
      </c>
      <c r="CQ78" s="816">
        <f>FLN!BZ78</f>
        <v>0</v>
      </c>
      <c r="CR78" s="816">
        <f>FLN!CA78</f>
        <v>0</v>
      </c>
      <c r="CS78" s="823" t="str">
        <f t="shared" si="41"/>
        <v>7518</v>
      </c>
      <c r="CT78" s="816">
        <f>FLN!CB78</f>
        <v>0</v>
      </c>
      <c r="CU78" s="816">
        <f>FLN!CC78</f>
        <v>0</v>
      </c>
      <c r="CV78" s="816">
        <f>FLN!CD78</f>
        <v>0</v>
      </c>
      <c r="CW78" s="816">
        <f>FLN!CE78</f>
        <v>0</v>
      </c>
      <c r="CX78" s="823" t="str">
        <f t="shared" si="42"/>
        <v>7519</v>
      </c>
      <c r="CY78" s="816">
        <f>FLN!CF78</f>
        <v>0</v>
      </c>
      <c r="CZ78" s="816">
        <f>FLN!CG78</f>
        <v>0</v>
      </c>
      <c r="DA78" s="816">
        <f>FLN!CH78</f>
        <v>0</v>
      </c>
      <c r="DB78" s="816">
        <f>FLN!CI78</f>
        <v>0</v>
      </c>
      <c r="DC78" s="823" t="str">
        <f t="shared" si="43"/>
        <v>7520</v>
      </c>
      <c r="DD78" s="816">
        <f>FLN!CJ78</f>
        <v>0</v>
      </c>
      <c r="DE78" s="816">
        <f>FLN!CK78</f>
        <v>0</v>
      </c>
      <c r="DF78" s="816">
        <f>FLN!CL78</f>
        <v>0</v>
      </c>
      <c r="DG78" s="816">
        <f>FLN!CM78</f>
        <v>0</v>
      </c>
      <c r="DH78" s="823" t="str">
        <f t="shared" si="44"/>
        <v>7521</v>
      </c>
      <c r="DI78" s="816">
        <f>FLN!CN78</f>
        <v>0</v>
      </c>
      <c r="DJ78" s="816">
        <f>FLN!CO78</f>
        <v>0</v>
      </c>
      <c r="DK78" s="816">
        <f>FLN!CP78</f>
        <v>0</v>
      </c>
      <c r="DL78" s="816">
        <f>FLN!CQ78</f>
        <v>0</v>
      </c>
      <c r="DM78" s="823" t="str">
        <f t="shared" si="45"/>
        <v>7522</v>
      </c>
      <c r="DN78" s="816">
        <f>FLN!CR78</f>
        <v>0</v>
      </c>
      <c r="DO78" s="816">
        <f>FLN!CS78</f>
        <v>0</v>
      </c>
      <c r="DP78" s="816">
        <f>FLN!CT78</f>
        <v>0</v>
      </c>
      <c r="DQ78" s="816">
        <f>FLN!CU78</f>
        <v>0</v>
      </c>
      <c r="DR78" s="823" t="str">
        <f t="shared" si="46"/>
        <v>7523</v>
      </c>
      <c r="DS78" s="816">
        <f>FLN!CV78</f>
        <v>0</v>
      </c>
      <c r="DT78" s="816">
        <f>FLN!CW78</f>
        <v>0</v>
      </c>
      <c r="DU78" s="816">
        <f>FLN!CX78</f>
        <v>0</v>
      </c>
      <c r="DV78" s="816">
        <f>FLN!CY78</f>
        <v>0</v>
      </c>
      <c r="DW78" s="823" t="str">
        <f t="shared" si="47"/>
        <v>7524</v>
      </c>
      <c r="DX78" s="816">
        <f>FLN!CZ78</f>
        <v>0</v>
      </c>
      <c r="DY78" s="816">
        <f>FLN!DA78</f>
        <v>0</v>
      </c>
      <c r="DZ78" s="816">
        <f>FLN!DB78</f>
        <v>0</v>
      </c>
      <c r="EA78" s="816">
        <f>FLN!DC78</f>
        <v>0</v>
      </c>
      <c r="EB78" s="823" t="str">
        <f t="shared" si="48"/>
        <v>7525</v>
      </c>
      <c r="EC78" s="816">
        <f>FLN!DD78</f>
        <v>0</v>
      </c>
      <c r="ED78" s="816">
        <f>FLN!DE78</f>
        <v>0</v>
      </c>
      <c r="EE78" s="816">
        <f>FLN!DF78</f>
        <v>0</v>
      </c>
      <c r="EF78" s="816">
        <f>FLN!DG78</f>
        <v>0</v>
      </c>
    </row>
    <row r="79" spans="1:136">
      <c r="A79" s="824">
        <v>76</v>
      </c>
      <c r="B79" s="824">
        <f>STUDENT!F77</f>
        <v>0</v>
      </c>
      <c r="C79" s="824">
        <f>STUDENT!D77</f>
        <v>0</v>
      </c>
      <c r="D79" s="827">
        <f>STUDENT!E77</f>
        <v>0</v>
      </c>
      <c r="E79" s="827">
        <f>STUDENT!H77</f>
        <v>0</v>
      </c>
      <c r="F79" s="828">
        <f>FLN!F79</f>
        <v>0</v>
      </c>
      <c r="G79" s="828">
        <f>FLN!G79</f>
        <v>0</v>
      </c>
      <c r="H79" s="828">
        <f>FLN!H79</f>
        <v>0</v>
      </c>
      <c r="I79" s="824" t="str">
        <f>FLN!I79</f>
        <v/>
      </c>
      <c r="J79" s="824" t="str">
        <f>FLN!J79</f>
        <v/>
      </c>
      <c r="K79" s="824" t="str">
        <f>FLN!K79</f>
        <v/>
      </c>
      <c r="L79" s="823" t="str">
        <f t="shared" si="49"/>
        <v>761</v>
      </c>
      <c r="M79" s="816">
        <f>FLN!L79</f>
        <v>0</v>
      </c>
      <c r="N79" s="816">
        <f>FLN!M79</f>
        <v>0</v>
      </c>
      <c r="O79" s="816">
        <f>FLN!N79</f>
        <v>0</v>
      </c>
      <c r="P79" s="816">
        <f>FLN!O79</f>
        <v>0</v>
      </c>
      <c r="Q79" s="823" t="str">
        <f t="shared" si="25"/>
        <v>762</v>
      </c>
      <c r="R79" s="816">
        <f>FLN!P79</f>
        <v>0</v>
      </c>
      <c r="S79" s="816">
        <f>FLN!Q79</f>
        <v>0</v>
      </c>
      <c r="T79" s="816">
        <f>FLN!R79</f>
        <v>0</v>
      </c>
      <c r="U79" s="816">
        <f>FLN!S79</f>
        <v>0</v>
      </c>
      <c r="V79" s="823" t="str">
        <f t="shared" si="26"/>
        <v>763</v>
      </c>
      <c r="W79" s="816">
        <f>FLN!T79</f>
        <v>0</v>
      </c>
      <c r="X79" s="816">
        <f>FLN!U79</f>
        <v>0</v>
      </c>
      <c r="Y79" s="816">
        <f>FLN!V79</f>
        <v>0</v>
      </c>
      <c r="Z79" s="816">
        <f>FLN!W79</f>
        <v>0</v>
      </c>
      <c r="AA79" s="823" t="str">
        <f t="shared" si="27"/>
        <v>764</v>
      </c>
      <c r="AB79" s="816">
        <f>FLN!X79</f>
        <v>0</v>
      </c>
      <c r="AC79" s="816">
        <f>FLN!Y79</f>
        <v>0</v>
      </c>
      <c r="AD79" s="816">
        <f>FLN!Z79</f>
        <v>0</v>
      </c>
      <c r="AE79" s="816">
        <f>FLN!AA79</f>
        <v>0</v>
      </c>
      <c r="AF79" s="823" t="str">
        <f t="shared" si="28"/>
        <v>765</v>
      </c>
      <c r="AG79" s="816">
        <f>FLN!AB79</f>
        <v>0</v>
      </c>
      <c r="AH79" s="816">
        <f>FLN!AC79</f>
        <v>0</v>
      </c>
      <c r="AI79" s="816">
        <f>FLN!AD79</f>
        <v>0</v>
      </c>
      <c r="AJ79" s="816">
        <f>FLN!AE79</f>
        <v>0</v>
      </c>
      <c r="AK79" s="823" t="str">
        <f t="shared" si="29"/>
        <v>766</v>
      </c>
      <c r="AL79" s="816">
        <f>FLN!AF79</f>
        <v>0</v>
      </c>
      <c r="AM79" s="816">
        <f>FLN!AG79</f>
        <v>0</v>
      </c>
      <c r="AN79" s="816">
        <f>FLN!AH79</f>
        <v>0</v>
      </c>
      <c r="AO79" s="816">
        <f>FLN!AI79</f>
        <v>0</v>
      </c>
      <c r="AP79" s="823" t="str">
        <f t="shared" si="30"/>
        <v>767</v>
      </c>
      <c r="AQ79" s="816">
        <f>FLN!AJ79</f>
        <v>0</v>
      </c>
      <c r="AR79" s="816">
        <f>FLN!AK79</f>
        <v>0</v>
      </c>
      <c r="AS79" s="816">
        <f>FLN!AL79</f>
        <v>0</v>
      </c>
      <c r="AT79" s="816">
        <f>FLN!AM79</f>
        <v>0</v>
      </c>
      <c r="AU79" s="823" t="str">
        <f t="shared" si="31"/>
        <v>768</v>
      </c>
      <c r="AV79" s="816">
        <f>FLN!AN79</f>
        <v>0</v>
      </c>
      <c r="AW79" s="816">
        <f>FLN!AO79</f>
        <v>0</v>
      </c>
      <c r="AX79" s="816">
        <f>FLN!AP79</f>
        <v>0</v>
      </c>
      <c r="AY79" s="816">
        <f>FLN!AQ79</f>
        <v>0</v>
      </c>
      <c r="AZ79" s="823" t="str">
        <f t="shared" si="32"/>
        <v>769</v>
      </c>
      <c r="BA79" s="816">
        <f>FLN!AR79</f>
        <v>0</v>
      </c>
      <c r="BB79" s="816">
        <f>FLN!AS79</f>
        <v>0</v>
      </c>
      <c r="BC79" s="816">
        <f>FLN!AT79</f>
        <v>0</v>
      </c>
      <c r="BD79" s="816">
        <f>FLN!AU79</f>
        <v>0</v>
      </c>
      <c r="BE79" s="823" t="str">
        <f t="shared" si="33"/>
        <v>7610</v>
      </c>
      <c r="BF79" s="816">
        <f>FLN!AV79</f>
        <v>0</v>
      </c>
      <c r="BG79" s="816">
        <f>FLN!AW79</f>
        <v>0</v>
      </c>
      <c r="BH79" s="816">
        <f>FLN!AX79</f>
        <v>0</v>
      </c>
      <c r="BI79" s="816">
        <f>FLN!AY79</f>
        <v>0</v>
      </c>
      <c r="BJ79" s="823" t="str">
        <f t="shared" si="34"/>
        <v>7611</v>
      </c>
      <c r="BK79" s="816">
        <f>FLN!AZ79</f>
        <v>0</v>
      </c>
      <c r="BL79" s="816">
        <f>FLN!BA79</f>
        <v>0</v>
      </c>
      <c r="BM79" s="816">
        <f>FLN!BB79</f>
        <v>0</v>
      </c>
      <c r="BN79" s="816">
        <f>FLN!BC79</f>
        <v>0</v>
      </c>
      <c r="BO79" s="823" t="str">
        <f t="shared" si="35"/>
        <v>7612</v>
      </c>
      <c r="BP79" s="816">
        <f>FLN!BD79</f>
        <v>0</v>
      </c>
      <c r="BQ79" s="816">
        <f>FLN!BE79</f>
        <v>0</v>
      </c>
      <c r="BR79" s="816">
        <f>FLN!BF79</f>
        <v>0</v>
      </c>
      <c r="BS79" s="816">
        <f>FLN!BG79</f>
        <v>0</v>
      </c>
      <c r="BT79" s="823" t="str">
        <f t="shared" si="36"/>
        <v>7613</v>
      </c>
      <c r="BU79" s="816">
        <f>FLN!BH79</f>
        <v>0</v>
      </c>
      <c r="BV79" s="816">
        <f>FLN!BI79</f>
        <v>0</v>
      </c>
      <c r="BW79" s="816">
        <f>FLN!BJ79</f>
        <v>0</v>
      </c>
      <c r="BX79" s="816">
        <f>FLN!BK79</f>
        <v>0</v>
      </c>
      <c r="BY79" s="823" t="str">
        <f t="shared" si="37"/>
        <v>7614</v>
      </c>
      <c r="BZ79" s="816">
        <f>FLN!BL79</f>
        <v>0</v>
      </c>
      <c r="CA79" s="816">
        <f>FLN!BM79</f>
        <v>0</v>
      </c>
      <c r="CB79" s="816">
        <f>FLN!BN79</f>
        <v>0</v>
      </c>
      <c r="CC79" s="816">
        <f>FLN!BO79</f>
        <v>0</v>
      </c>
      <c r="CD79" s="823" t="str">
        <f t="shared" si="38"/>
        <v>7615</v>
      </c>
      <c r="CE79" s="816">
        <f>FLN!BP79</f>
        <v>0</v>
      </c>
      <c r="CF79" s="816">
        <f>FLN!BQ79</f>
        <v>0</v>
      </c>
      <c r="CG79" s="816">
        <f>FLN!BR79</f>
        <v>0</v>
      </c>
      <c r="CH79" s="816">
        <f>FLN!BS79</f>
        <v>0</v>
      </c>
      <c r="CI79" s="823" t="str">
        <f t="shared" si="39"/>
        <v>7616</v>
      </c>
      <c r="CJ79" s="816">
        <f>FLN!BT79</f>
        <v>0</v>
      </c>
      <c r="CK79" s="816">
        <f>FLN!BU79</f>
        <v>0</v>
      </c>
      <c r="CL79" s="816">
        <f>FLN!BV79</f>
        <v>0</v>
      </c>
      <c r="CM79" s="816">
        <f>FLN!BW79</f>
        <v>0</v>
      </c>
      <c r="CN79" s="823" t="str">
        <f t="shared" si="40"/>
        <v>7617</v>
      </c>
      <c r="CO79" s="816">
        <f>FLN!BX79</f>
        <v>0</v>
      </c>
      <c r="CP79" s="816">
        <f>FLN!BY79</f>
        <v>0</v>
      </c>
      <c r="CQ79" s="816">
        <f>FLN!BZ79</f>
        <v>0</v>
      </c>
      <c r="CR79" s="816">
        <f>FLN!CA79</f>
        <v>0</v>
      </c>
      <c r="CS79" s="823" t="str">
        <f t="shared" si="41"/>
        <v>7618</v>
      </c>
      <c r="CT79" s="816">
        <f>FLN!CB79</f>
        <v>0</v>
      </c>
      <c r="CU79" s="816">
        <f>FLN!CC79</f>
        <v>0</v>
      </c>
      <c r="CV79" s="816">
        <f>FLN!CD79</f>
        <v>0</v>
      </c>
      <c r="CW79" s="816">
        <f>FLN!CE79</f>
        <v>0</v>
      </c>
      <c r="CX79" s="823" t="str">
        <f t="shared" si="42"/>
        <v>7619</v>
      </c>
      <c r="CY79" s="816">
        <f>FLN!CF79</f>
        <v>0</v>
      </c>
      <c r="CZ79" s="816">
        <f>FLN!CG79</f>
        <v>0</v>
      </c>
      <c r="DA79" s="816">
        <f>FLN!CH79</f>
        <v>0</v>
      </c>
      <c r="DB79" s="816">
        <f>FLN!CI79</f>
        <v>0</v>
      </c>
      <c r="DC79" s="823" t="str">
        <f t="shared" si="43"/>
        <v>7620</v>
      </c>
      <c r="DD79" s="816">
        <f>FLN!CJ79</f>
        <v>0</v>
      </c>
      <c r="DE79" s="816">
        <f>FLN!CK79</f>
        <v>0</v>
      </c>
      <c r="DF79" s="816">
        <f>FLN!CL79</f>
        <v>0</v>
      </c>
      <c r="DG79" s="816">
        <f>FLN!CM79</f>
        <v>0</v>
      </c>
      <c r="DH79" s="823" t="str">
        <f t="shared" si="44"/>
        <v>7621</v>
      </c>
      <c r="DI79" s="816">
        <f>FLN!CN79</f>
        <v>0</v>
      </c>
      <c r="DJ79" s="816">
        <f>FLN!CO79</f>
        <v>0</v>
      </c>
      <c r="DK79" s="816">
        <f>FLN!CP79</f>
        <v>0</v>
      </c>
      <c r="DL79" s="816">
        <f>FLN!CQ79</f>
        <v>0</v>
      </c>
      <c r="DM79" s="823" t="str">
        <f t="shared" si="45"/>
        <v>7622</v>
      </c>
      <c r="DN79" s="816">
        <f>FLN!CR79</f>
        <v>0</v>
      </c>
      <c r="DO79" s="816">
        <f>FLN!CS79</f>
        <v>0</v>
      </c>
      <c r="DP79" s="816">
        <f>FLN!CT79</f>
        <v>0</v>
      </c>
      <c r="DQ79" s="816">
        <f>FLN!CU79</f>
        <v>0</v>
      </c>
      <c r="DR79" s="823" t="str">
        <f t="shared" si="46"/>
        <v>7623</v>
      </c>
      <c r="DS79" s="816">
        <f>FLN!CV79</f>
        <v>0</v>
      </c>
      <c r="DT79" s="816">
        <f>FLN!CW79</f>
        <v>0</v>
      </c>
      <c r="DU79" s="816">
        <f>FLN!CX79</f>
        <v>0</v>
      </c>
      <c r="DV79" s="816">
        <f>FLN!CY79</f>
        <v>0</v>
      </c>
      <c r="DW79" s="823" t="str">
        <f t="shared" si="47"/>
        <v>7624</v>
      </c>
      <c r="DX79" s="816">
        <f>FLN!CZ79</f>
        <v>0</v>
      </c>
      <c r="DY79" s="816">
        <f>FLN!DA79</f>
        <v>0</v>
      </c>
      <c r="DZ79" s="816">
        <f>FLN!DB79</f>
        <v>0</v>
      </c>
      <c r="EA79" s="816">
        <f>FLN!DC79</f>
        <v>0</v>
      </c>
      <c r="EB79" s="823" t="str">
        <f t="shared" si="48"/>
        <v>7625</v>
      </c>
      <c r="EC79" s="816">
        <f>FLN!DD79</f>
        <v>0</v>
      </c>
      <c r="ED79" s="816">
        <f>FLN!DE79</f>
        <v>0</v>
      </c>
      <c r="EE79" s="816">
        <f>FLN!DF79</f>
        <v>0</v>
      </c>
      <c r="EF79" s="816">
        <f>FLN!DG79</f>
        <v>0</v>
      </c>
    </row>
    <row r="80" spans="1:136">
      <c r="A80" s="824">
        <v>77</v>
      </c>
      <c r="B80" s="824">
        <f>STUDENT!F78</f>
        <v>0</v>
      </c>
      <c r="C80" s="824">
        <f>STUDENT!D78</f>
        <v>0</v>
      </c>
      <c r="D80" s="827">
        <f>STUDENT!E78</f>
        <v>0</v>
      </c>
      <c r="E80" s="827">
        <f>STUDENT!H78</f>
        <v>0</v>
      </c>
      <c r="F80" s="828">
        <f>FLN!F80</f>
        <v>0</v>
      </c>
      <c r="G80" s="828">
        <f>FLN!G80</f>
        <v>0</v>
      </c>
      <c r="H80" s="828">
        <f>FLN!H80</f>
        <v>0</v>
      </c>
      <c r="I80" s="824" t="str">
        <f>FLN!I80</f>
        <v/>
      </c>
      <c r="J80" s="824" t="str">
        <f>FLN!J80</f>
        <v/>
      </c>
      <c r="K80" s="824" t="str">
        <f>FLN!K80</f>
        <v/>
      </c>
      <c r="L80" s="823" t="str">
        <f t="shared" si="49"/>
        <v>771</v>
      </c>
      <c r="M80" s="816">
        <f>FLN!L80</f>
        <v>0</v>
      </c>
      <c r="N80" s="816">
        <f>FLN!M80</f>
        <v>0</v>
      </c>
      <c r="O80" s="816">
        <f>FLN!N80</f>
        <v>0</v>
      </c>
      <c r="P80" s="816">
        <f>FLN!O80</f>
        <v>0</v>
      </c>
      <c r="Q80" s="823" t="str">
        <f t="shared" si="25"/>
        <v>772</v>
      </c>
      <c r="R80" s="816">
        <f>FLN!P80</f>
        <v>0</v>
      </c>
      <c r="S80" s="816">
        <f>FLN!Q80</f>
        <v>0</v>
      </c>
      <c r="T80" s="816">
        <f>FLN!R80</f>
        <v>0</v>
      </c>
      <c r="U80" s="816">
        <f>FLN!S80</f>
        <v>0</v>
      </c>
      <c r="V80" s="823" t="str">
        <f t="shared" si="26"/>
        <v>773</v>
      </c>
      <c r="W80" s="816">
        <f>FLN!T80</f>
        <v>0</v>
      </c>
      <c r="X80" s="816">
        <f>FLN!U80</f>
        <v>0</v>
      </c>
      <c r="Y80" s="816">
        <f>FLN!V80</f>
        <v>0</v>
      </c>
      <c r="Z80" s="816">
        <f>FLN!W80</f>
        <v>0</v>
      </c>
      <c r="AA80" s="823" t="str">
        <f t="shared" si="27"/>
        <v>774</v>
      </c>
      <c r="AB80" s="816">
        <f>FLN!X80</f>
        <v>0</v>
      </c>
      <c r="AC80" s="816">
        <f>FLN!Y80</f>
        <v>0</v>
      </c>
      <c r="AD80" s="816">
        <f>FLN!Z80</f>
        <v>0</v>
      </c>
      <c r="AE80" s="816">
        <f>FLN!AA80</f>
        <v>0</v>
      </c>
      <c r="AF80" s="823" t="str">
        <f t="shared" si="28"/>
        <v>775</v>
      </c>
      <c r="AG80" s="816">
        <f>FLN!AB80</f>
        <v>0</v>
      </c>
      <c r="AH80" s="816">
        <f>FLN!AC80</f>
        <v>0</v>
      </c>
      <c r="AI80" s="816">
        <f>FLN!AD80</f>
        <v>0</v>
      </c>
      <c r="AJ80" s="816">
        <f>FLN!AE80</f>
        <v>0</v>
      </c>
      <c r="AK80" s="823" t="str">
        <f t="shared" si="29"/>
        <v>776</v>
      </c>
      <c r="AL80" s="816">
        <f>FLN!AF80</f>
        <v>0</v>
      </c>
      <c r="AM80" s="816">
        <f>FLN!AG80</f>
        <v>0</v>
      </c>
      <c r="AN80" s="816">
        <f>FLN!AH80</f>
        <v>0</v>
      </c>
      <c r="AO80" s="816">
        <f>FLN!AI80</f>
        <v>0</v>
      </c>
      <c r="AP80" s="823" t="str">
        <f t="shared" si="30"/>
        <v>777</v>
      </c>
      <c r="AQ80" s="816">
        <f>FLN!AJ80</f>
        <v>0</v>
      </c>
      <c r="AR80" s="816">
        <f>FLN!AK80</f>
        <v>0</v>
      </c>
      <c r="AS80" s="816">
        <f>FLN!AL80</f>
        <v>0</v>
      </c>
      <c r="AT80" s="816">
        <f>FLN!AM80</f>
        <v>0</v>
      </c>
      <c r="AU80" s="823" t="str">
        <f t="shared" si="31"/>
        <v>778</v>
      </c>
      <c r="AV80" s="816">
        <f>FLN!AN80</f>
        <v>0</v>
      </c>
      <c r="AW80" s="816">
        <f>FLN!AO80</f>
        <v>0</v>
      </c>
      <c r="AX80" s="816">
        <f>FLN!AP80</f>
        <v>0</v>
      </c>
      <c r="AY80" s="816">
        <f>FLN!AQ80</f>
        <v>0</v>
      </c>
      <c r="AZ80" s="823" t="str">
        <f t="shared" si="32"/>
        <v>779</v>
      </c>
      <c r="BA80" s="816">
        <f>FLN!AR80</f>
        <v>0</v>
      </c>
      <c r="BB80" s="816">
        <f>FLN!AS80</f>
        <v>0</v>
      </c>
      <c r="BC80" s="816">
        <f>FLN!AT80</f>
        <v>0</v>
      </c>
      <c r="BD80" s="816">
        <f>FLN!AU80</f>
        <v>0</v>
      </c>
      <c r="BE80" s="823" t="str">
        <f t="shared" si="33"/>
        <v>7710</v>
      </c>
      <c r="BF80" s="816">
        <f>FLN!AV80</f>
        <v>0</v>
      </c>
      <c r="BG80" s="816">
        <f>FLN!AW80</f>
        <v>0</v>
      </c>
      <c r="BH80" s="816">
        <f>FLN!AX80</f>
        <v>0</v>
      </c>
      <c r="BI80" s="816">
        <f>FLN!AY80</f>
        <v>0</v>
      </c>
      <c r="BJ80" s="823" t="str">
        <f t="shared" si="34"/>
        <v>7711</v>
      </c>
      <c r="BK80" s="816">
        <f>FLN!AZ80</f>
        <v>0</v>
      </c>
      <c r="BL80" s="816">
        <f>FLN!BA80</f>
        <v>0</v>
      </c>
      <c r="BM80" s="816">
        <f>FLN!BB80</f>
        <v>0</v>
      </c>
      <c r="BN80" s="816">
        <f>FLN!BC80</f>
        <v>0</v>
      </c>
      <c r="BO80" s="823" t="str">
        <f t="shared" si="35"/>
        <v>7712</v>
      </c>
      <c r="BP80" s="816">
        <f>FLN!BD80</f>
        <v>0</v>
      </c>
      <c r="BQ80" s="816">
        <f>FLN!BE80</f>
        <v>0</v>
      </c>
      <c r="BR80" s="816">
        <f>FLN!BF80</f>
        <v>0</v>
      </c>
      <c r="BS80" s="816">
        <f>FLN!BG80</f>
        <v>0</v>
      </c>
      <c r="BT80" s="823" t="str">
        <f t="shared" si="36"/>
        <v>7713</v>
      </c>
      <c r="BU80" s="816">
        <f>FLN!BH80</f>
        <v>0</v>
      </c>
      <c r="BV80" s="816">
        <f>FLN!BI80</f>
        <v>0</v>
      </c>
      <c r="BW80" s="816">
        <f>FLN!BJ80</f>
        <v>0</v>
      </c>
      <c r="BX80" s="816">
        <f>FLN!BK80</f>
        <v>0</v>
      </c>
      <c r="BY80" s="823" t="str">
        <f t="shared" si="37"/>
        <v>7714</v>
      </c>
      <c r="BZ80" s="816">
        <f>FLN!BL80</f>
        <v>0</v>
      </c>
      <c r="CA80" s="816">
        <f>FLN!BM80</f>
        <v>0</v>
      </c>
      <c r="CB80" s="816">
        <f>FLN!BN80</f>
        <v>0</v>
      </c>
      <c r="CC80" s="816">
        <f>FLN!BO80</f>
        <v>0</v>
      </c>
      <c r="CD80" s="823" t="str">
        <f t="shared" si="38"/>
        <v>7715</v>
      </c>
      <c r="CE80" s="816">
        <f>FLN!BP80</f>
        <v>0</v>
      </c>
      <c r="CF80" s="816">
        <f>FLN!BQ80</f>
        <v>0</v>
      </c>
      <c r="CG80" s="816">
        <f>FLN!BR80</f>
        <v>0</v>
      </c>
      <c r="CH80" s="816">
        <f>FLN!BS80</f>
        <v>0</v>
      </c>
      <c r="CI80" s="823" t="str">
        <f t="shared" si="39"/>
        <v>7716</v>
      </c>
      <c r="CJ80" s="816">
        <f>FLN!BT80</f>
        <v>0</v>
      </c>
      <c r="CK80" s="816">
        <f>FLN!BU80</f>
        <v>0</v>
      </c>
      <c r="CL80" s="816">
        <f>FLN!BV80</f>
        <v>0</v>
      </c>
      <c r="CM80" s="816">
        <f>FLN!BW80</f>
        <v>0</v>
      </c>
      <c r="CN80" s="823" t="str">
        <f t="shared" si="40"/>
        <v>7717</v>
      </c>
      <c r="CO80" s="816">
        <f>FLN!BX80</f>
        <v>0</v>
      </c>
      <c r="CP80" s="816">
        <f>FLN!BY80</f>
        <v>0</v>
      </c>
      <c r="CQ80" s="816">
        <f>FLN!BZ80</f>
        <v>0</v>
      </c>
      <c r="CR80" s="816">
        <f>FLN!CA80</f>
        <v>0</v>
      </c>
      <c r="CS80" s="823" t="str">
        <f t="shared" si="41"/>
        <v>7718</v>
      </c>
      <c r="CT80" s="816">
        <f>FLN!CB80</f>
        <v>0</v>
      </c>
      <c r="CU80" s="816">
        <f>FLN!CC80</f>
        <v>0</v>
      </c>
      <c r="CV80" s="816">
        <f>FLN!CD80</f>
        <v>0</v>
      </c>
      <c r="CW80" s="816">
        <f>FLN!CE80</f>
        <v>0</v>
      </c>
      <c r="CX80" s="823" t="str">
        <f t="shared" si="42"/>
        <v>7719</v>
      </c>
      <c r="CY80" s="816">
        <f>FLN!CF80</f>
        <v>0</v>
      </c>
      <c r="CZ80" s="816">
        <f>FLN!CG80</f>
        <v>0</v>
      </c>
      <c r="DA80" s="816">
        <f>FLN!CH80</f>
        <v>0</v>
      </c>
      <c r="DB80" s="816">
        <f>FLN!CI80</f>
        <v>0</v>
      </c>
      <c r="DC80" s="823" t="str">
        <f t="shared" si="43"/>
        <v>7720</v>
      </c>
      <c r="DD80" s="816">
        <f>FLN!CJ80</f>
        <v>0</v>
      </c>
      <c r="DE80" s="816">
        <f>FLN!CK80</f>
        <v>0</v>
      </c>
      <c r="DF80" s="816">
        <f>FLN!CL80</f>
        <v>0</v>
      </c>
      <c r="DG80" s="816">
        <f>FLN!CM80</f>
        <v>0</v>
      </c>
      <c r="DH80" s="823" t="str">
        <f t="shared" si="44"/>
        <v>7721</v>
      </c>
      <c r="DI80" s="816">
        <f>FLN!CN80</f>
        <v>0</v>
      </c>
      <c r="DJ80" s="816">
        <f>FLN!CO80</f>
        <v>0</v>
      </c>
      <c r="DK80" s="816">
        <f>FLN!CP80</f>
        <v>0</v>
      </c>
      <c r="DL80" s="816">
        <f>FLN!CQ80</f>
        <v>0</v>
      </c>
      <c r="DM80" s="823" t="str">
        <f t="shared" si="45"/>
        <v>7722</v>
      </c>
      <c r="DN80" s="816">
        <f>FLN!CR80</f>
        <v>0</v>
      </c>
      <c r="DO80" s="816">
        <f>FLN!CS80</f>
        <v>0</v>
      </c>
      <c r="DP80" s="816">
        <f>FLN!CT80</f>
        <v>0</v>
      </c>
      <c r="DQ80" s="816">
        <f>FLN!CU80</f>
        <v>0</v>
      </c>
      <c r="DR80" s="823" t="str">
        <f t="shared" si="46"/>
        <v>7723</v>
      </c>
      <c r="DS80" s="816">
        <f>FLN!CV80</f>
        <v>0</v>
      </c>
      <c r="DT80" s="816">
        <f>FLN!CW80</f>
        <v>0</v>
      </c>
      <c r="DU80" s="816">
        <f>FLN!CX80</f>
        <v>0</v>
      </c>
      <c r="DV80" s="816">
        <f>FLN!CY80</f>
        <v>0</v>
      </c>
      <c r="DW80" s="823" t="str">
        <f t="shared" si="47"/>
        <v>7724</v>
      </c>
      <c r="DX80" s="816">
        <f>FLN!CZ80</f>
        <v>0</v>
      </c>
      <c r="DY80" s="816">
        <f>FLN!DA80</f>
        <v>0</v>
      </c>
      <c r="DZ80" s="816">
        <f>FLN!DB80</f>
        <v>0</v>
      </c>
      <c r="EA80" s="816">
        <f>FLN!DC80</f>
        <v>0</v>
      </c>
      <c r="EB80" s="823" t="str">
        <f t="shared" si="48"/>
        <v>7725</v>
      </c>
      <c r="EC80" s="816">
        <f>FLN!DD80</f>
        <v>0</v>
      </c>
      <c r="ED80" s="816">
        <f>FLN!DE80</f>
        <v>0</v>
      </c>
      <c r="EE80" s="816">
        <f>FLN!DF80</f>
        <v>0</v>
      </c>
      <c r="EF80" s="816">
        <f>FLN!DG80</f>
        <v>0</v>
      </c>
    </row>
    <row r="81" spans="1:136">
      <c r="A81" s="824">
        <v>78</v>
      </c>
      <c r="B81" s="824">
        <f>STUDENT!F79</f>
        <v>0</v>
      </c>
      <c r="C81" s="824">
        <f>STUDENT!D79</f>
        <v>0</v>
      </c>
      <c r="D81" s="827">
        <f>STUDENT!E79</f>
        <v>0</v>
      </c>
      <c r="E81" s="827">
        <f>STUDENT!H79</f>
        <v>0</v>
      </c>
      <c r="F81" s="828">
        <f>FLN!F81</f>
        <v>0</v>
      </c>
      <c r="G81" s="828">
        <f>FLN!G81</f>
        <v>0</v>
      </c>
      <c r="H81" s="828">
        <f>FLN!H81</f>
        <v>0</v>
      </c>
      <c r="I81" s="824" t="str">
        <f>FLN!I81</f>
        <v/>
      </c>
      <c r="J81" s="824" t="str">
        <f>FLN!J81</f>
        <v/>
      </c>
      <c r="K81" s="824" t="str">
        <f>FLN!K81</f>
        <v/>
      </c>
      <c r="L81" s="823" t="str">
        <f t="shared" si="49"/>
        <v>781</v>
      </c>
      <c r="M81" s="816">
        <f>FLN!L81</f>
        <v>0</v>
      </c>
      <c r="N81" s="816">
        <f>FLN!M81</f>
        <v>0</v>
      </c>
      <c r="O81" s="816">
        <f>FLN!N81</f>
        <v>0</v>
      </c>
      <c r="P81" s="816">
        <f>FLN!O81</f>
        <v>0</v>
      </c>
      <c r="Q81" s="823" t="str">
        <f t="shared" si="25"/>
        <v>782</v>
      </c>
      <c r="R81" s="816">
        <f>FLN!P81</f>
        <v>0</v>
      </c>
      <c r="S81" s="816">
        <f>FLN!Q81</f>
        <v>0</v>
      </c>
      <c r="T81" s="816">
        <f>FLN!R81</f>
        <v>0</v>
      </c>
      <c r="U81" s="816">
        <f>FLN!S81</f>
        <v>0</v>
      </c>
      <c r="V81" s="823" t="str">
        <f t="shared" si="26"/>
        <v>783</v>
      </c>
      <c r="W81" s="816">
        <f>FLN!T81</f>
        <v>0</v>
      </c>
      <c r="X81" s="816">
        <f>FLN!U81</f>
        <v>0</v>
      </c>
      <c r="Y81" s="816">
        <f>FLN!V81</f>
        <v>0</v>
      </c>
      <c r="Z81" s="816">
        <f>FLN!W81</f>
        <v>0</v>
      </c>
      <c r="AA81" s="823" t="str">
        <f t="shared" si="27"/>
        <v>784</v>
      </c>
      <c r="AB81" s="816">
        <f>FLN!X81</f>
        <v>0</v>
      </c>
      <c r="AC81" s="816">
        <f>FLN!Y81</f>
        <v>0</v>
      </c>
      <c r="AD81" s="816">
        <f>FLN!Z81</f>
        <v>0</v>
      </c>
      <c r="AE81" s="816">
        <f>FLN!AA81</f>
        <v>0</v>
      </c>
      <c r="AF81" s="823" t="str">
        <f t="shared" si="28"/>
        <v>785</v>
      </c>
      <c r="AG81" s="816">
        <f>FLN!AB81</f>
        <v>0</v>
      </c>
      <c r="AH81" s="816">
        <f>FLN!AC81</f>
        <v>0</v>
      </c>
      <c r="AI81" s="816">
        <f>FLN!AD81</f>
        <v>0</v>
      </c>
      <c r="AJ81" s="816">
        <f>FLN!AE81</f>
        <v>0</v>
      </c>
      <c r="AK81" s="823" t="str">
        <f t="shared" si="29"/>
        <v>786</v>
      </c>
      <c r="AL81" s="816">
        <f>FLN!AF81</f>
        <v>0</v>
      </c>
      <c r="AM81" s="816">
        <f>FLN!AG81</f>
        <v>0</v>
      </c>
      <c r="AN81" s="816">
        <f>FLN!AH81</f>
        <v>0</v>
      </c>
      <c r="AO81" s="816">
        <f>FLN!AI81</f>
        <v>0</v>
      </c>
      <c r="AP81" s="823" t="str">
        <f t="shared" si="30"/>
        <v>787</v>
      </c>
      <c r="AQ81" s="816">
        <f>FLN!AJ81</f>
        <v>0</v>
      </c>
      <c r="AR81" s="816">
        <f>FLN!AK81</f>
        <v>0</v>
      </c>
      <c r="AS81" s="816">
        <f>FLN!AL81</f>
        <v>0</v>
      </c>
      <c r="AT81" s="816">
        <f>FLN!AM81</f>
        <v>0</v>
      </c>
      <c r="AU81" s="823" t="str">
        <f t="shared" si="31"/>
        <v>788</v>
      </c>
      <c r="AV81" s="816">
        <f>FLN!AN81</f>
        <v>0</v>
      </c>
      <c r="AW81" s="816">
        <f>FLN!AO81</f>
        <v>0</v>
      </c>
      <c r="AX81" s="816">
        <f>FLN!AP81</f>
        <v>0</v>
      </c>
      <c r="AY81" s="816">
        <f>FLN!AQ81</f>
        <v>0</v>
      </c>
      <c r="AZ81" s="823" t="str">
        <f t="shared" si="32"/>
        <v>789</v>
      </c>
      <c r="BA81" s="816">
        <f>FLN!AR81</f>
        <v>0</v>
      </c>
      <c r="BB81" s="816">
        <f>FLN!AS81</f>
        <v>0</v>
      </c>
      <c r="BC81" s="816">
        <f>FLN!AT81</f>
        <v>0</v>
      </c>
      <c r="BD81" s="816">
        <f>FLN!AU81</f>
        <v>0</v>
      </c>
      <c r="BE81" s="823" t="str">
        <f t="shared" si="33"/>
        <v>7810</v>
      </c>
      <c r="BF81" s="816">
        <f>FLN!AV81</f>
        <v>0</v>
      </c>
      <c r="BG81" s="816">
        <f>FLN!AW81</f>
        <v>0</v>
      </c>
      <c r="BH81" s="816">
        <f>FLN!AX81</f>
        <v>0</v>
      </c>
      <c r="BI81" s="816">
        <f>FLN!AY81</f>
        <v>0</v>
      </c>
      <c r="BJ81" s="823" t="str">
        <f t="shared" si="34"/>
        <v>7811</v>
      </c>
      <c r="BK81" s="816">
        <f>FLN!AZ81</f>
        <v>0</v>
      </c>
      <c r="BL81" s="816">
        <f>FLN!BA81</f>
        <v>0</v>
      </c>
      <c r="BM81" s="816">
        <f>FLN!BB81</f>
        <v>0</v>
      </c>
      <c r="BN81" s="816">
        <f>FLN!BC81</f>
        <v>0</v>
      </c>
      <c r="BO81" s="823" t="str">
        <f t="shared" si="35"/>
        <v>7812</v>
      </c>
      <c r="BP81" s="816">
        <f>FLN!BD81</f>
        <v>0</v>
      </c>
      <c r="BQ81" s="816">
        <f>FLN!BE81</f>
        <v>0</v>
      </c>
      <c r="BR81" s="816">
        <f>FLN!BF81</f>
        <v>0</v>
      </c>
      <c r="BS81" s="816">
        <f>FLN!BG81</f>
        <v>0</v>
      </c>
      <c r="BT81" s="823" t="str">
        <f t="shared" si="36"/>
        <v>7813</v>
      </c>
      <c r="BU81" s="816">
        <f>FLN!BH81</f>
        <v>0</v>
      </c>
      <c r="BV81" s="816">
        <f>FLN!BI81</f>
        <v>0</v>
      </c>
      <c r="BW81" s="816">
        <f>FLN!BJ81</f>
        <v>0</v>
      </c>
      <c r="BX81" s="816">
        <f>FLN!BK81</f>
        <v>0</v>
      </c>
      <c r="BY81" s="823" t="str">
        <f t="shared" si="37"/>
        <v>7814</v>
      </c>
      <c r="BZ81" s="816">
        <f>FLN!BL81</f>
        <v>0</v>
      </c>
      <c r="CA81" s="816">
        <f>FLN!BM81</f>
        <v>0</v>
      </c>
      <c r="CB81" s="816">
        <f>FLN!BN81</f>
        <v>0</v>
      </c>
      <c r="CC81" s="816">
        <f>FLN!BO81</f>
        <v>0</v>
      </c>
      <c r="CD81" s="823" t="str">
        <f t="shared" si="38"/>
        <v>7815</v>
      </c>
      <c r="CE81" s="816">
        <f>FLN!BP81</f>
        <v>0</v>
      </c>
      <c r="CF81" s="816">
        <f>FLN!BQ81</f>
        <v>0</v>
      </c>
      <c r="CG81" s="816">
        <f>FLN!BR81</f>
        <v>0</v>
      </c>
      <c r="CH81" s="816">
        <f>FLN!BS81</f>
        <v>0</v>
      </c>
      <c r="CI81" s="823" t="str">
        <f t="shared" si="39"/>
        <v>7816</v>
      </c>
      <c r="CJ81" s="816">
        <f>FLN!BT81</f>
        <v>0</v>
      </c>
      <c r="CK81" s="816">
        <f>FLN!BU81</f>
        <v>0</v>
      </c>
      <c r="CL81" s="816">
        <f>FLN!BV81</f>
        <v>0</v>
      </c>
      <c r="CM81" s="816">
        <f>FLN!BW81</f>
        <v>0</v>
      </c>
      <c r="CN81" s="823" t="str">
        <f t="shared" si="40"/>
        <v>7817</v>
      </c>
      <c r="CO81" s="816">
        <f>FLN!BX81</f>
        <v>0</v>
      </c>
      <c r="CP81" s="816">
        <f>FLN!BY81</f>
        <v>0</v>
      </c>
      <c r="CQ81" s="816">
        <f>FLN!BZ81</f>
        <v>0</v>
      </c>
      <c r="CR81" s="816">
        <f>FLN!CA81</f>
        <v>0</v>
      </c>
      <c r="CS81" s="823" t="str">
        <f t="shared" si="41"/>
        <v>7818</v>
      </c>
      <c r="CT81" s="816">
        <f>FLN!CB81</f>
        <v>0</v>
      </c>
      <c r="CU81" s="816">
        <f>FLN!CC81</f>
        <v>0</v>
      </c>
      <c r="CV81" s="816">
        <f>FLN!CD81</f>
        <v>0</v>
      </c>
      <c r="CW81" s="816">
        <f>FLN!CE81</f>
        <v>0</v>
      </c>
      <c r="CX81" s="823" t="str">
        <f t="shared" si="42"/>
        <v>7819</v>
      </c>
      <c r="CY81" s="816">
        <f>FLN!CF81</f>
        <v>0</v>
      </c>
      <c r="CZ81" s="816">
        <f>FLN!CG81</f>
        <v>0</v>
      </c>
      <c r="DA81" s="816">
        <f>FLN!CH81</f>
        <v>0</v>
      </c>
      <c r="DB81" s="816">
        <f>FLN!CI81</f>
        <v>0</v>
      </c>
      <c r="DC81" s="823" t="str">
        <f t="shared" si="43"/>
        <v>7820</v>
      </c>
      <c r="DD81" s="816">
        <f>FLN!CJ81</f>
        <v>0</v>
      </c>
      <c r="DE81" s="816">
        <f>FLN!CK81</f>
        <v>0</v>
      </c>
      <c r="DF81" s="816">
        <f>FLN!CL81</f>
        <v>0</v>
      </c>
      <c r="DG81" s="816">
        <f>FLN!CM81</f>
        <v>0</v>
      </c>
      <c r="DH81" s="823" t="str">
        <f t="shared" si="44"/>
        <v>7821</v>
      </c>
      <c r="DI81" s="816">
        <f>FLN!CN81</f>
        <v>0</v>
      </c>
      <c r="DJ81" s="816">
        <f>FLN!CO81</f>
        <v>0</v>
      </c>
      <c r="DK81" s="816">
        <f>FLN!CP81</f>
        <v>0</v>
      </c>
      <c r="DL81" s="816">
        <f>FLN!CQ81</f>
        <v>0</v>
      </c>
      <c r="DM81" s="823" t="str">
        <f t="shared" si="45"/>
        <v>7822</v>
      </c>
      <c r="DN81" s="816">
        <f>FLN!CR81</f>
        <v>0</v>
      </c>
      <c r="DO81" s="816">
        <f>FLN!CS81</f>
        <v>0</v>
      </c>
      <c r="DP81" s="816">
        <f>FLN!CT81</f>
        <v>0</v>
      </c>
      <c r="DQ81" s="816">
        <f>FLN!CU81</f>
        <v>0</v>
      </c>
      <c r="DR81" s="823" t="str">
        <f t="shared" si="46"/>
        <v>7823</v>
      </c>
      <c r="DS81" s="816">
        <f>FLN!CV81</f>
        <v>0</v>
      </c>
      <c r="DT81" s="816">
        <f>FLN!CW81</f>
        <v>0</v>
      </c>
      <c r="DU81" s="816">
        <f>FLN!CX81</f>
        <v>0</v>
      </c>
      <c r="DV81" s="816">
        <f>FLN!CY81</f>
        <v>0</v>
      </c>
      <c r="DW81" s="823" t="str">
        <f t="shared" si="47"/>
        <v>7824</v>
      </c>
      <c r="DX81" s="816">
        <f>FLN!CZ81</f>
        <v>0</v>
      </c>
      <c r="DY81" s="816">
        <f>FLN!DA81</f>
        <v>0</v>
      </c>
      <c r="DZ81" s="816">
        <f>FLN!DB81</f>
        <v>0</v>
      </c>
      <c r="EA81" s="816">
        <f>FLN!DC81</f>
        <v>0</v>
      </c>
      <c r="EB81" s="823" t="str">
        <f t="shared" si="48"/>
        <v>7825</v>
      </c>
      <c r="EC81" s="816">
        <f>FLN!DD81</f>
        <v>0</v>
      </c>
      <c r="ED81" s="816">
        <f>FLN!DE81</f>
        <v>0</v>
      </c>
      <c r="EE81" s="816">
        <f>FLN!DF81</f>
        <v>0</v>
      </c>
      <c r="EF81" s="816">
        <f>FLN!DG81</f>
        <v>0</v>
      </c>
    </row>
    <row r="82" spans="1:136">
      <c r="A82" s="824">
        <v>79</v>
      </c>
      <c r="B82" s="824">
        <f>STUDENT!F80</f>
        <v>0</v>
      </c>
      <c r="C82" s="824">
        <f>STUDENT!D80</f>
        <v>0</v>
      </c>
      <c r="D82" s="827">
        <f>STUDENT!E80</f>
        <v>0</v>
      </c>
      <c r="E82" s="827">
        <f>STUDENT!H80</f>
        <v>0</v>
      </c>
      <c r="F82" s="828">
        <f>FLN!F82</f>
        <v>0</v>
      </c>
      <c r="G82" s="828">
        <f>FLN!G82</f>
        <v>0</v>
      </c>
      <c r="H82" s="828">
        <f>FLN!H82</f>
        <v>0</v>
      </c>
      <c r="I82" s="824" t="str">
        <f>FLN!I82</f>
        <v/>
      </c>
      <c r="J82" s="824" t="str">
        <f>FLN!J82</f>
        <v/>
      </c>
      <c r="K82" s="824" t="str">
        <f>FLN!K82</f>
        <v/>
      </c>
      <c r="L82" s="823" t="str">
        <f t="shared" si="49"/>
        <v>791</v>
      </c>
      <c r="M82" s="816">
        <f>FLN!L82</f>
        <v>0</v>
      </c>
      <c r="N82" s="816">
        <f>FLN!M82</f>
        <v>0</v>
      </c>
      <c r="O82" s="816">
        <f>FLN!N82</f>
        <v>0</v>
      </c>
      <c r="P82" s="816">
        <f>FLN!O82</f>
        <v>0</v>
      </c>
      <c r="Q82" s="823" t="str">
        <f t="shared" si="25"/>
        <v>792</v>
      </c>
      <c r="R82" s="816">
        <f>FLN!P82</f>
        <v>0</v>
      </c>
      <c r="S82" s="816">
        <f>FLN!Q82</f>
        <v>0</v>
      </c>
      <c r="T82" s="816">
        <f>FLN!R82</f>
        <v>0</v>
      </c>
      <c r="U82" s="816">
        <f>FLN!S82</f>
        <v>0</v>
      </c>
      <c r="V82" s="823" t="str">
        <f t="shared" si="26"/>
        <v>793</v>
      </c>
      <c r="W82" s="816">
        <f>FLN!T82</f>
        <v>0</v>
      </c>
      <c r="X82" s="816">
        <f>FLN!U82</f>
        <v>0</v>
      </c>
      <c r="Y82" s="816">
        <f>FLN!V82</f>
        <v>0</v>
      </c>
      <c r="Z82" s="816">
        <f>FLN!W82</f>
        <v>0</v>
      </c>
      <c r="AA82" s="823" t="str">
        <f t="shared" si="27"/>
        <v>794</v>
      </c>
      <c r="AB82" s="816">
        <f>FLN!X82</f>
        <v>0</v>
      </c>
      <c r="AC82" s="816">
        <f>FLN!Y82</f>
        <v>0</v>
      </c>
      <c r="AD82" s="816">
        <f>FLN!Z82</f>
        <v>0</v>
      </c>
      <c r="AE82" s="816">
        <f>FLN!AA82</f>
        <v>0</v>
      </c>
      <c r="AF82" s="823" t="str">
        <f t="shared" si="28"/>
        <v>795</v>
      </c>
      <c r="AG82" s="816">
        <f>FLN!AB82</f>
        <v>0</v>
      </c>
      <c r="AH82" s="816">
        <f>FLN!AC82</f>
        <v>0</v>
      </c>
      <c r="AI82" s="816">
        <f>FLN!AD82</f>
        <v>0</v>
      </c>
      <c r="AJ82" s="816">
        <f>FLN!AE82</f>
        <v>0</v>
      </c>
      <c r="AK82" s="823" t="str">
        <f t="shared" si="29"/>
        <v>796</v>
      </c>
      <c r="AL82" s="816">
        <f>FLN!AF82</f>
        <v>0</v>
      </c>
      <c r="AM82" s="816">
        <f>FLN!AG82</f>
        <v>0</v>
      </c>
      <c r="AN82" s="816">
        <f>FLN!AH82</f>
        <v>0</v>
      </c>
      <c r="AO82" s="816">
        <f>FLN!AI82</f>
        <v>0</v>
      </c>
      <c r="AP82" s="823" t="str">
        <f t="shared" si="30"/>
        <v>797</v>
      </c>
      <c r="AQ82" s="816">
        <f>FLN!AJ82</f>
        <v>0</v>
      </c>
      <c r="AR82" s="816">
        <f>FLN!AK82</f>
        <v>0</v>
      </c>
      <c r="AS82" s="816">
        <f>FLN!AL82</f>
        <v>0</v>
      </c>
      <c r="AT82" s="816">
        <f>FLN!AM82</f>
        <v>0</v>
      </c>
      <c r="AU82" s="823" t="str">
        <f t="shared" si="31"/>
        <v>798</v>
      </c>
      <c r="AV82" s="816">
        <f>FLN!AN82</f>
        <v>0</v>
      </c>
      <c r="AW82" s="816">
        <f>FLN!AO82</f>
        <v>0</v>
      </c>
      <c r="AX82" s="816">
        <f>FLN!AP82</f>
        <v>0</v>
      </c>
      <c r="AY82" s="816">
        <f>FLN!AQ82</f>
        <v>0</v>
      </c>
      <c r="AZ82" s="823" t="str">
        <f t="shared" si="32"/>
        <v>799</v>
      </c>
      <c r="BA82" s="816">
        <f>FLN!AR82</f>
        <v>0</v>
      </c>
      <c r="BB82" s="816">
        <f>FLN!AS82</f>
        <v>0</v>
      </c>
      <c r="BC82" s="816">
        <f>FLN!AT82</f>
        <v>0</v>
      </c>
      <c r="BD82" s="816">
        <f>FLN!AU82</f>
        <v>0</v>
      </c>
      <c r="BE82" s="823" t="str">
        <f t="shared" si="33"/>
        <v>7910</v>
      </c>
      <c r="BF82" s="816">
        <f>FLN!AV82</f>
        <v>0</v>
      </c>
      <c r="BG82" s="816">
        <f>FLN!AW82</f>
        <v>0</v>
      </c>
      <c r="BH82" s="816">
        <f>FLN!AX82</f>
        <v>0</v>
      </c>
      <c r="BI82" s="816">
        <f>FLN!AY82</f>
        <v>0</v>
      </c>
      <c r="BJ82" s="823" t="str">
        <f t="shared" si="34"/>
        <v>7911</v>
      </c>
      <c r="BK82" s="816">
        <f>FLN!AZ82</f>
        <v>0</v>
      </c>
      <c r="BL82" s="816">
        <f>FLN!BA82</f>
        <v>0</v>
      </c>
      <c r="BM82" s="816">
        <f>FLN!BB82</f>
        <v>0</v>
      </c>
      <c r="BN82" s="816">
        <f>FLN!BC82</f>
        <v>0</v>
      </c>
      <c r="BO82" s="823" t="str">
        <f t="shared" si="35"/>
        <v>7912</v>
      </c>
      <c r="BP82" s="816">
        <f>FLN!BD82</f>
        <v>0</v>
      </c>
      <c r="BQ82" s="816">
        <f>FLN!BE82</f>
        <v>0</v>
      </c>
      <c r="BR82" s="816">
        <f>FLN!BF82</f>
        <v>0</v>
      </c>
      <c r="BS82" s="816">
        <f>FLN!BG82</f>
        <v>0</v>
      </c>
      <c r="BT82" s="823" t="str">
        <f t="shared" si="36"/>
        <v>7913</v>
      </c>
      <c r="BU82" s="816">
        <f>FLN!BH82</f>
        <v>0</v>
      </c>
      <c r="BV82" s="816">
        <f>FLN!BI82</f>
        <v>0</v>
      </c>
      <c r="BW82" s="816">
        <f>FLN!BJ82</f>
        <v>0</v>
      </c>
      <c r="BX82" s="816">
        <f>FLN!BK82</f>
        <v>0</v>
      </c>
      <c r="BY82" s="823" t="str">
        <f t="shared" si="37"/>
        <v>7914</v>
      </c>
      <c r="BZ82" s="816">
        <f>FLN!BL82</f>
        <v>0</v>
      </c>
      <c r="CA82" s="816">
        <f>FLN!BM82</f>
        <v>0</v>
      </c>
      <c r="CB82" s="816">
        <f>FLN!BN82</f>
        <v>0</v>
      </c>
      <c r="CC82" s="816">
        <f>FLN!BO82</f>
        <v>0</v>
      </c>
      <c r="CD82" s="823" t="str">
        <f t="shared" si="38"/>
        <v>7915</v>
      </c>
      <c r="CE82" s="816">
        <f>FLN!BP82</f>
        <v>0</v>
      </c>
      <c r="CF82" s="816">
        <f>FLN!BQ82</f>
        <v>0</v>
      </c>
      <c r="CG82" s="816">
        <f>FLN!BR82</f>
        <v>0</v>
      </c>
      <c r="CH82" s="816">
        <f>FLN!BS82</f>
        <v>0</v>
      </c>
      <c r="CI82" s="823" t="str">
        <f t="shared" si="39"/>
        <v>7916</v>
      </c>
      <c r="CJ82" s="816">
        <f>FLN!BT82</f>
        <v>0</v>
      </c>
      <c r="CK82" s="816">
        <f>FLN!BU82</f>
        <v>0</v>
      </c>
      <c r="CL82" s="816">
        <f>FLN!BV82</f>
        <v>0</v>
      </c>
      <c r="CM82" s="816">
        <f>FLN!BW82</f>
        <v>0</v>
      </c>
      <c r="CN82" s="823" t="str">
        <f t="shared" si="40"/>
        <v>7917</v>
      </c>
      <c r="CO82" s="816">
        <f>FLN!BX82</f>
        <v>0</v>
      </c>
      <c r="CP82" s="816">
        <f>FLN!BY82</f>
        <v>0</v>
      </c>
      <c r="CQ82" s="816">
        <f>FLN!BZ82</f>
        <v>0</v>
      </c>
      <c r="CR82" s="816">
        <f>FLN!CA82</f>
        <v>0</v>
      </c>
      <c r="CS82" s="823" t="str">
        <f t="shared" si="41"/>
        <v>7918</v>
      </c>
      <c r="CT82" s="816">
        <f>FLN!CB82</f>
        <v>0</v>
      </c>
      <c r="CU82" s="816">
        <f>FLN!CC82</f>
        <v>0</v>
      </c>
      <c r="CV82" s="816">
        <f>FLN!CD82</f>
        <v>0</v>
      </c>
      <c r="CW82" s="816">
        <f>FLN!CE82</f>
        <v>0</v>
      </c>
      <c r="CX82" s="823" t="str">
        <f t="shared" si="42"/>
        <v>7919</v>
      </c>
      <c r="CY82" s="816">
        <f>FLN!CF82</f>
        <v>0</v>
      </c>
      <c r="CZ82" s="816">
        <f>FLN!CG82</f>
        <v>0</v>
      </c>
      <c r="DA82" s="816">
        <f>FLN!CH82</f>
        <v>0</v>
      </c>
      <c r="DB82" s="816">
        <f>FLN!CI82</f>
        <v>0</v>
      </c>
      <c r="DC82" s="823" t="str">
        <f t="shared" si="43"/>
        <v>7920</v>
      </c>
      <c r="DD82" s="816">
        <f>FLN!CJ82</f>
        <v>0</v>
      </c>
      <c r="DE82" s="816">
        <f>FLN!CK82</f>
        <v>0</v>
      </c>
      <c r="DF82" s="816">
        <f>FLN!CL82</f>
        <v>0</v>
      </c>
      <c r="DG82" s="816">
        <f>FLN!CM82</f>
        <v>0</v>
      </c>
      <c r="DH82" s="823" t="str">
        <f t="shared" si="44"/>
        <v>7921</v>
      </c>
      <c r="DI82" s="816">
        <f>FLN!CN82</f>
        <v>0</v>
      </c>
      <c r="DJ82" s="816">
        <f>FLN!CO82</f>
        <v>0</v>
      </c>
      <c r="DK82" s="816">
        <f>FLN!CP82</f>
        <v>0</v>
      </c>
      <c r="DL82" s="816">
        <f>FLN!CQ82</f>
        <v>0</v>
      </c>
      <c r="DM82" s="823" t="str">
        <f t="shared" si="45"/>
        <v>7922</v>
      </c>
      <c r="DN82" s="816">
        <f>FLN!CR82</f>
        <v>0</v>
      </c>
      <c r="DO82" s="816">
        <f>FLN!CS82</f>
        <v>0</v>
      </c>
      <c r="DP82" s="816">
        <f>FLN!CT82</f>
        <v>0</v>
      </c>
      <c r="DQ82" s="816">
        <f>FLN!CU82</f>
        <v>0</v>
      </c>
      <c r="DR82" s="823" t="str">
        <f t="shared" si="46"/>
        <v>7923</v>
      </c>
      <c r="DS82" s="816">
        <f>FLN!CV82</f>
        <v>0</v>
      </c>
      <c r="DT82" s="816">
        <f>FLN!CW82</f>
        <v>0</v>
      </c>
      <c r="DU82" s="816">
        <f>FLN!CX82</f>
        <v>0</v>
      </c>
      <c r="DV82" s="816">
        <f>FLN!CY82</f>
        <v>0</v>
      </c>
      <c r="DW82" s="823" t="str">
        <f t="shared" si="47"/>
        <v>7924</v>
      </c>
      <c r="DX82" s="816">
        <f>FLN!CZ82</f>
        <v>0</v>
      </c>
      <c r="DY82" s="816">
        <f>FLN!DA82</f>
        <v>0</v>
      </c>
      <c r="DZ82" s="816">
        <f>FLN!DB82</f>
        <v>0</v>
      </c>
      <c r="EA82" s="816">
        <f>FLN!DC82</f>
        <v>0</v>
      </c>
      <c r="EB82" s="823" t="str">
        <f t="shared" si="48"/>
        <v>7925</v>
      </c>
      <c r="EC82" s="816">
        <f>FLN!DD82</f>
        <v>0</v>
      </c>
      <c r="ED82" s="816">
        <f>FLN!DE82</f>
        <v>0</v>
      </c>
      <c r="EE82" s="816">
        <f>FLN!DF82</f>
        <v>0</v>
      </c>
      <c r="EF82" s="816">
        <f>FLN!DG82</f>
        <v>0</v>
      </c>
    </row>
    <row r="83" spans="1:136">
      <c r="A83" s="824">
        <v>80</v>
      </c>
      <c r="B83" s="824">
        <f>STUDENT!F81</f>
        <v>0</v>
      </c>
      <c r="C83" s="824">
        <f>STUDENT!D81</f>
        <v>0</v>
      </c>
      <c r="D83" s="827">
        <f>STUDENT!E81</f>
        <v>0</v>
      </c>
      <c r="E83" s="827">
        <f>STUDENT!H81</f>
        <v>0</v>
      </c>
      <c r="F83" s="828">
        <f>FLN!F83</f>
        <v>0</v>
      </c>
      <c r="G83" s="828">
        <f>FLN!G83</f>
        <v>0</v>
      </c>
      <c r="H83" s="828">
        <f>FLN!H83</f>
        <v>0</v>
      </c>
      <c r="I83" s="824" t="str">
        <f>FLN!I83</f>
        <v/>
      </c>
      <c r="J83" s="824" t="str">
        <f>FLN!J83</f>
        <v/>
      </c>
      <c r="K83" s="824" t="str">
        <f>FLN!K83</f>
        <v/>
      </c>
      <c r="L83" s="823" t="str">
        <f t="shared" si="49"/>
        <v>801</v>
      </c>
      <c r="M83" s="816">
        <f>FLN!L83</f>
        <v>0</v>
      </c>
      <c r="N83" s="816">
        <f>FLN!M83</f>
        <v>0</v>
      </c>
      <c r="O83" s="816">
        <f>FLN!N83</f>
        <v>0</v>
      </c>
      <c r="P83" s="816">
        <f>FLN!O83</f>
        <v>0</v>
      </c>
      <c r="Q83" s="823" t="str">
        <f t="shared" si="25"/>
        <v>802</v>
      </c>
      <c r="R83" s="816">
        <f>FLN!P83</f>
        <v>0</v>
      </c>
      <c r="S83" s="816">
        <f>FLN!Q83</f>
        <v>0</v>
      </c>
      <c r="T83" s="816">
        <f>FLN!R83</f>
        <v>0</v>
      </c>
      <c r="U83" s="816">
        <f>FLN!S83</f>
        <v>0</v>
      </c>
      <c r="V83" s="823" t="str">
        <f t="shared" si="26"/>
        <v>803</v>
      </c>
      <c r="W83" s="816">
        <f>FLN!T83</f>
        <v>0</v>
      </c>
      <c r="X83" s="816">
        <f>FLN!U83</f>
        <v>0</v>
      </c>
      <c r="Y83" s="816">
        <f>FLN!V83</f>
        <v>0</v>
      </c>
      <c r="Z83" s="816">
        <f>FLN!W83</f>
        <v>0</v>
      </c>
      <c r="AA83" s="823" t="str">
        <f t="shared" si="27"/>
        <v>804</v>
      </c>
      <c r="AB83" s="816">
        <f>FLN!X83</f>
        <v>0</v>
      </c>
      <c r="AC83" s="816">
        <f>FLN!Y83</f>
        <v>0</v>
      </c>
      <c r="AD83" s="816">
        <f>FLN!Z83</f>
        <v>0</v>
      </c>
      <c r="AE83" s="816">
        <f>FLN!AA83</f>
        <v>0</v>
      </c>
      <c r="AF83" s="823" t="str">
        <f t="shared" si="28"/>
        <v>805</v>
      </c>
      <c r="AG83" s="816">
        <f>FLN!AB83</f>
        <v>0</v>
      </c>
      <c r="AH83" s="816">
        <f>FLN!AC83</f>
        <v>0</v>
      </c>
      <c r="AI83" s="816">
        <f>FLN!AD83</f>
        <v>0</v>
      </c>
      <c r="AJ83" s="816">
        <f>FLN!AE83</f>
        <v>0</v>
      </c>
      <c r="AK83" s="823" t="str">
        <f t="shared" si="29"/>
        <v>806</v>
      </c>
      <c r="AL83" s="816">
        <f>FLN!AF83</f>
        <v>0</v>
      </c>
      <c r="AM83" s="816">
        <f>FLN!AG83</f>
        <v>0</v>
      </c>
      <c r="AN83" s="816">
        <f>FLN!AH83</f>
        <v>0</v>
      </c>
      <c r="AO83" s="816">
        <f>FLN!AI83</f>
        <v>0</v>
      </c>
      <c r="AP83" s="823" t="str">
        <f t="shared" si="30"/>
        <v>807</v>
      </c>
      <c r="AQ83" s="816">
        <f>FLN!AJ83</f>
        <v>0</v>
      </c>
      <c r="AR83" s="816">
        <f>FLN!AK83</f>
        <v>0</v>
      </c>
      <c r="AS83" s="816">
        <f>FLN!AL83</f>
        <v>0</v>
      </c>
      <c r="AT83" s="816">
        <f>FLN!AM83</f>
        <v>0</v>
      </c>
      <c r="AU83" s="823" t="str">
        <f t="shared" si="31"/>
        <v>808</v>
      </c>
      <c r="AV83" s="816">
        <f>FLN!AN83</f>
        <v>0</v>
      </c>
      <c r="AW83" s="816">
        <f>FLN!AO83</f>
        <v>0</v>
      </c>
      <c r="AX83" s="816">
        <f>FLN!AP83</f>
        <v>0</v>
      </c>
      <c r="AY83" s="816">
        <f>FLN!AQ83</f>
        <v>0</v>
      </c>
      <c r="AZ83" s="823" t="str">
        <f t="shared" si="32"/>
        <v>809</v>
      </c>
      <c r="BA83" s="816">
        <f>FLN!AR83</f>
        <v>0</v>
      </c>
      <c r="BB83" s="816">
        <f>FLN!AS83</f>
        <v>0</v>
      </c>
      <c r="BC83" s="816">
        <f>FLN!AT83</f>
        <v>0</v>
      </c>
      <c r="BD83" s="816">
        <f>FLN!AU83</f>
        <v>0</v>
      </c>
      <c r="BE83" s="823" t="str">
        <f t="shared" si="33"/>
        <v>8010</v>
      </c>
      <c r="BF83" s="816">
        <f>FLN!AV83</f>
        <v>0</v>
      </c>
      <c r="BG83" s="816">
        <f>FLN!AW83</f>
        <v>0</v>
      </c>
      <c r="BH83" s="816">
        <f>FLN!AX83</f>
        <v>0</v>
      </c>
      <c r="BI83" s="816">
        <f>FLN!AY83</f>
        <v>0</v>
      </c>
      <c r="BJ83" s="823" t="str">
        <f t="shared" si="34"/>
        <v>8011</v>
      </c>
      <c r="BK83" s="816">
        <f>FLN!AZ83</f>
        <v>0</v>
      </c>
      <c r="BL83" s="816">
        <f>FLN!BA83</f>
        <v>0</v>
      </c>
      <c r="BM83" s="816">
        <f>FLN!BB83</f>
        <v>0</v>
      </c>
      <c r="BN83" s="816">
        <f>FLN!BC83</f>
        <v>0</v>
      </c>
      <c r="BO83" s="823" t="str">
        <f t="shared" si="35"/>
        <v>8012</v>
      </c>
      <c r="BP83" s="816">
        <f>FLN!BD83</f>
        <v>0</v>
      </c>
      <c r="BQ83" s="816">
        <f>FLN!BE83</f>
        <v>0</v>
      </c>
      <c r="BR83" s="816">
        <f>FLN!BF83</f>
        <v>0</v>
      </c>
      <c r="BS83" s="816">
        <f>FLN!BG83</f>
        <v>0</v>
      </c>
      <c r="BT83" s="823" t="str">
        <f t="shared" si="36"/>
        <v>8013</v>
      </c>
      <c r="BU83" s="816">
        <f>FLN!BH83</f>
        <v>0</v>
      </c>
      <c r="BV83" s="816">
        <f>FLN!BI83</f>
        <v>0</v>
      </c>
      <c r="BW83" s="816">
        <f>FLN!BJ83</f>
        <v>0</v>
      </c>
      <c r="BX83" s="816">
        <f>FLN!BK83</f>
        <v>0</v>
      </c>
      <c r="BY83" s="823" t="str">
        <f t="shared" si="37"/>
        <v>8014</v>
      </c>
      <c r="BZ83" s="816">
        <f>FLN!BL83</f>
        <v>0</v>
      </c>
      <c r="CA83" s="816">
        <f>FLN!BM83</f>
        <v>0</v>
      </c>
      <c r="CB83" s="816">
        <f>FLN!BN83</f>
        <v>0</v>
      </c>
      <c r="CC83" s="816">
        <f>FLN!BO83</f>
        <v>0</v>
      </c>
      <c r="CD83" s="823" t="str">
        <f t="shared" si="38"/>
        <v>8015</v>
      </c>
      <c r="CE83" s="816">
        <f>FLN!BP83</f>
        <v>0</v>
      </c>
      <c r="CF83" s="816">
        <f>FLN!BQ83</f>
        <v>0</v>
      </c>
      <c r="CG83" s="816">
        <f>FLN!BR83</f>
        <v>0</v>
      </c>
      <c r="CH83" s="816">
        <f>FLN!BS83</f>
        <v>0</v>
      </c>
      <c r="CI83" s="823" t="str">
        <f t="shared" si="39"/>
        <v>8016</v>
      </c>
      <c r="CJ83" s="816">
        <f>FLN!BT83</f>
        <v>0</v>
      </c>
      <c r="CK83" s="816">
        <f>FLN!BU83</f>
        <v>0</v>
      </c>
      <c r="CL83" s="816">
        <f>FLN!BV83</f>
        <v>0</v>
      </c>
      <c r="CM83" s="816">
        <f>FLN!BW83</f>
        <v>0</v>
      </c>
      <c r="CN83" s="823" t="str">
        <f t="shared" si="40"/>
        <v>8017</v>
      </c>
      <c r="CO83" s="816">
        <f>FLN!BX83</f>
        <v>0</v>
      </c>
      <c r="CP83" s="816">
        <f>FLN!BY83</f>
        <v>0</v>
      </c>
      <c r="CQ83" s="816">
        <f>FLN!BZ83</f>
        <v>0</v>
      </c>
      <c r="CR83" s="816">
        <f>FLN!CA83</f>
        <v>0</v>
      </c>
      <c r="CS83" s="823" t="str">
        <f t="shared" si="41"/>
        <v>8018</v>
      </c>
      <c r="CT83" s="816">
        <f>FLN!CB83</f>
        <v>0</v>
      </c>
      <c r="CU83" s="816">
        <f>FLN!CC83</f>
        <v>0</v>
      </c>
      <c r="CV83" s="816">
        <f>FLN!CD83</f>
        <v>0</v>
      </c>
      <c r="CW83" s="816">
        <f>FLN!CE83</f>
        <v>0</v>
      </c>
      <c r="CX83" s="823" t="str">
        <f t="shared" si="42"/>
        <v>8019</v>
      </c>
      <c r="CY83" s="816">
        <f>FLN!CF83</f>
        <v>0</v>
      </c>
      <c r="CZ83" s="816">
        <f>FLN!CG83</f>
        <v>0</v>
      </c>
      <c r="DA83" s="816">
        <f>FLN!CH83</f>
        <v>0</v>
      </c>
      <c r="DB83" s="816">
        <f>FLN!CI83</f>
        <v>0</v>
      </c>
      <c r="DC83" s="823" t="str">
        <f t="shared" si="43"/>
        <v>8020</v>
      </c>
      <c r="DD83" s="816">
        <f>FLN!CJ83</f>
        <v>0</v>
      </c>
      <c r="DE83" s="816">
        <f>FLN!CK83</f>
        <v>0</v>
      </c>
      <c r="DF83" s="816">
        <f>FLN!CL83</f>
        <v>0</v>
      </c>
      <c r="DG83" s="816">
        <f>FLN!CM83</f>
        <v>0</v>
      </c>
      <c r="DH83" s="823" t="str">
        <f t="shared" si="44"/>
        <v>8021</v>
      </c>
      <c r="DI83" s="816">
        <f>FLN!CN83</f>
        <v>0</v>
      </c>
      <c r="DJ83" s="816">
        <f>FLN!CO83</f>
        <v>0</v>
      </c>
      <c r="DK83" s="816">
        <f>FLN!CP83</f>
        <v>0</v>
      </c>
      <c r="DL83" s="816">
        <f>FLN!CQ83</f>
        <v>0</v>
      </c>
      <c r="DM83" s="823" t="str">
        <f t="shared" si="45"/>
        <v>8022</v>
      </c>
      <c r="DN83" s="816">
        <f>FLN!CR83</f>
        <v>0</v>
      </c>
      <c r="DO83" s="816">
        <f>FLN!CS83</f>
        <v>0</v>
      </c>
      <c r="DP83" s="816">
        <f>FLN!CT83</f>
        <v>0</v>
      </c>
      <c r="DQ83" s="816">
        <f>FLN!CU83</f>
        <v>0</v>
      </c>
      <c r="DR83" s="823" t="str">
        <f t="shared" si="46"/>
        <v>8023</v>
      </c>
      <c r="DS83" s="816">
        <f>FLN!CV83</f>
        <v>0</v>
      </c>
      <c r="DT83" s="816">
        <f>FLN!CW83</f>
        <v>0</v>
      </c>
      <c r="DU83" s="816">
        <f>FLN!CX83</f>
        <v>0</v>
      </c>
      <c r="DV83" s="816">
        <f>FLN!CY83</f>
        <v>0</v>
      </c>
      <c r="DW83" s="823" t="str">
        <f t="shared" si="47"/>
        <v>8024</v>
      </c>
      <c r="DX83" s="816">
        <f>FLN!CZ83</f>
        <v>0</v>
      </c>
      <c r="DY83" s="816">
        <f>FLN!DA83</f>
        <v>0</v>
      </c>
      <c r="DZ83" s="816">
        <f>FLN!DB83</f>
        <v>0</v>
      </c>
      <c r="EA83" s="816">
        <f>FLN!DC83</f>
        <v>0</v>
      </c>
      <c r="EB83" s="823" t="str">
        <f t="shared" si="48"/>
        <v>8025</v>
      </c>
      <c r="EC83" s="816">
        <f>FLN!DD83</f>
        <v>0</v>
      </c>
      <c r="ED83" s="816">
        <f>FLN!DE83</f>
        <v>0</v>
      </c>
      <c r="EE83" s="816">
        <f>FLN!DF83</f>
        <v>0</v>
      </c>
      <c r="EF83" s="816">
        <f>FLN!DG83</f>
        <v>0</v>
      </c>
    </row>
    <row r="84" spans="1:136">
      <c r="A84" s="824">
        <v>81</v>
      </c>
      <c r="B84" s="824">
        <f>STUDENT!F82</f>
        <v>0</v>
      </c>
      <c r="C84" s="824">
        <f>STUDENT!D82</f>
        <v>0</v>
      </c>
      <c r="D84" s="827">
        <f>STUDENT!E82</f>
        <v>0</v>
      </c>
      <c r="E84" s="827">
        <f>STUDENT!H82</f>
        <v>0</v>
      </c>
      <c r="F84" s="828">
        <f>FLN!F84</f>
        <v>0</v>
      </c>
      <c r="G84" s="828">
        <f>FLN!G84</f>
        <v>0</v>
      </c>
      <c r="H84" s="828">
        <f>FLN!H84</f>
        <v>0</v>
      </c>
      <c r="I84" s="824" t="str">
        <f>FLN!I84</f>
        <v/>
      </c>
      <c r="J84" s="824" t="str">
        <f>FLN!J84</f>
        <v/>
      </c>
      <c r="K84" s="824" t="str">
        <f>FLN!K84</f>
        <v/>
      </c>
      <c r="L84" s="823" t="str">
        <f t="shared" si="49"/>
        <v>811</v>
      </c>
      <c r="M84" s="816">
        <f>FLN!L84</f>
        <v>0</v>
      </c>
      <c r="N84" s="816">
        <f>FLN!M84</f>
        <v>0</v>
      </c>
      <c r="O84" s="816">
        <f>FLN!N84</f>
        <v>0</v>
      </c>
      <c r="P84" s="816">
        <f>FLN!O84</f>
        <v>0</v>
      </c>
      <c r="Q84" s="823" t="str">
        <f t="shared" si="25"/>
        <v>812</v>
      </c>
      <c r="R84" s="816">
        <f>FLN!P84</f>
        <v>0</v>
      </c>
      <c r="S84" s="816">
        <f>FLN!Q84</f>
        <v>0</v>
      </c>
      <c r="T84" s="816">
        <f>FLN!R84</f>
        <v>0</v>
      </c>
      <c r="U84" s="816">
        <f>FLN!S84</f>
        <v>0</v>
      </c>
      <c r="V84" s="823" t="str">
        <f t="shared" si="26"/>
        <v>813</v>
      </c>
      <c r="W84" s="816">
        <f>FLN!T84</f>
        <v>0</v>
      </c>
      <c r="X84" s="816">
        <f>FLN!U84</f>
        <v>0</v>
      </c>
      <c r="Y84" s="816">
        <f>FLN!V84</f>
        <v>0</v>
      </c>
      <c r="Z84" s="816">
        <f>FLN!W84</f>
        <v>0</v>
      </c>
      <c r="AA84" s="823" t="str">
        <f t="shared" si="27"/>
        <v>814</v>
      </c>
      <c r="AB84" s="816">
        <f>FLN!X84</f>
        <v>0</v>
      </c>
      <c r="AC84" s="816">
        <f>FLN!Y84</f>
        <v>0</v>
      </c>
      <c r="AD84" s="816">
        <f>FLN!Z84</f>
        <v>0</v>
      </c>
      <c r="AE84" s="816">
        <f>FLN!AA84</f>
        <v>0</v>
      </c>
      <c r="AF84" s="823" t="str">
        <f t="shared" si="28"/>
        <v>815</v>
      </c>
      <c r="AG84" s="816">
        <f>FLN!AB84</f>
        <v>0</v>
      </c>
      <c r="AH84" s="816">
        <f>FLN!AC84</f>
        <v>0</v>
      </c>
      <c r="AI84" s="816">
        <f>FLN!AD84</f>
        <v>0</v>
      </c>
      <c r="AJ84" s="816">
        <f>FLN!AE84</f>
        <v>0</v>
      </c>
      <c r="AK84" s="823" t="str">
        <f t="shared" si="29"/>
        <v>816</v>
      </c>
      <c r="AL84" s="816">
        <f>FLN!AF84</f>
        <v>0</v>
      </c>
      <c r="AM84" s="816">
        <f>FLN!AG84</f>
        <v>0</v>
      </c>
      <c r="AN84" s="816">
        <f>FLN!AH84</f>
        <v>0</v>
      </c>
      <c r="AO84" s="816">
        <f>FLN!AI84</f>
        <v>0</v>
      </c>
      <c r="AP84" s="823" t="str">
        <f t="shared" si="30"/>
        <v>817</v>
      </c>
      <c r="AQ84" s="816">
        <f>FLN!AJ84</f>
        <v>0</v>
      </c>
      <c r="AR84" s="816">
        <f>FLN!AK84</f>
        <v>0</v>
      </c>
      <c r="AS84" s="816">
        <f>FLN!AL84</f>
        <v>0</v>
      </c>
      <c r="AT84" s="816">
        <f>FLN!AM84</f>
        <v>0</v>
      </c>
      <c r="AU84" s="823" t="str">
        <f t="shared" si="31"/>
        <v>818</v>
      </c>
      <c r="AV84" s="816">
        <f>FLN!AN84</f>
        <v>0</v>
      </c>
      <c r="AW84" s="816">
        <f>FLN!AO84</f>
        <v>0</v>
      </c>
      <c r="AX84" s="816">
        <f>FLN!AP84</f>
        <v>0</v>
      </c>
      <c r="AY84" s="816">
        <f>FLN!AQ84</f>
        <v>0</v>
      </c>
      <c r="AZ84" s="823" t="str">
        <f t="shared" si="32"/>
        <v>819</v>
      </c>
      <c r="BA84" s="816">
        <f>FLN!AR84</f>
        <v>0</v>
      </c>
      <c r="BB84" s="816">
        <f>FLN!AS84</f>
        <v>0</v>
      </c>
      <c r="BC84" s="816">
        <f>FLN!AT84</f>
        <v>0</v>
      </c>
      <c r="BD84" s="816">
        <f>FLN!AU84</f>
        <v>0</v>
      </c>
      <c r="BE84" s="823" t="str">
        <f t="shared" si="33"/>
        <v>8110</v>
      </c>
      <c r="BF84" s="816">
        <f>FLN!AV84</f>
        <v>0</v>
      </c>
      <c r="BG84" s="816">
        <f>FLN!AW84</f>
        <v>0</v>
      </c>
      <c r="BH84" s="816">
        <f>FLN!AX84</f>
        <v>0</v>
      </c>
      <c r="BI84" s="816">
        <f>FLN!AY84</f>
        <v>0</v>
      </c>
      <c r="BJ84" s="823" t="str">
        <f t="shared" si="34"/>
        <v>8111</v>
      </c>
      <c r="BK84" s="816">
        <f>FLN!AZ84</f>
        <v>0</v>
      </c>
      <c r="BL84" s="816">
        <f>FLN!BA84</f>
        <v>0</v>
      </c>
      <c r="BM84" s="816">
        <f>FLN!BB84</f>
        <v>0</v>
      </c>
      <c r="BN84" s="816">
        <f>FLN!BC84</f>
        <v>0</v>
      </c>
      <c r="BO84" s="823" t="str">
        <f t="shared" si="35"/>
        <v>8112</v>
      </c>
      <c r="BP84" s="816">
        <f>FLN!BD84</f>
        <v>0</v>
      </c>
      <c r="BQ84" s="816">
        <f>FLN!BE84</f>
        <v>0</v>
      </c>
      <c r="BR84" s="816">
        <f>FLN!BF84</f>
        <v>0</v>
      </c>
      <c r="BS84" s="816">
        <f>FLN!BG84</f>
        <v>0</v>
      </c>
      <c r="BT84" s="823" t="str">
        <f t="shared" si="36"/>
        <v>8113</v>
      </c>
      <c r="BU84" s="816">
        <f>FLN!BH84</f>
        <v>0</v>
      </c>
      <c r="BV84" s="816">
        <f>FLN!BI84</f>
        <v>0</v>
      </c>
      <c r="BW84" s="816">
        <f>FLN!BJ84</f>
        <v>0</v>
      </c>
      <c r="BX84" s="816">
        <f>FLN!BK84</f>
        <v>0</v>
      </c>
      <c r="BY84" s="823" t="str">
        <f t="shared" si="37"/>
        <v>8114</v>
      </c>
      <c r="BZ84" s="816">
        <f>FLN!BL84</f>
        <v>0</v>
      </c>
      <c r="CA84" s="816">
        <f>FLN!BM84</f>
        <v>0</v>
      </c>
      <c r="CB84" s="816">
        <f>FLN!BN84</f>
        <v>0</v>
      </c>
      <c r="CC84" s="816">
        <f>FLN!BO84</f>
        <v>0</v>
      </c>
      <c r="CD84" s="823" t="str">
        <f t="shared" si="38"/>
        <v>8115</v>
      </c>
      <c r="CE84" s="816">
        <f>FLN!BP84</f>
        <v>0</v>
      </c>
      <c r="CF84" s="816">
        <f>FLN!BQ84</f>
        <v>0</v>
      </c>
      <c r="CG84" s="816">
        <f>FLN!BR84</f>
        <v>0</v>
      </c>
      <c r="CH84" s="816">
        <f>FLN!BS84</f>
        <v>0</v>
      </c>
      <c r="CI84" s="823" t="str">
        <f t="shared" si="39"/>
        <v>8116</v>
      </c>
      <c r="CJ84" s="816">
        <f>FLN!BT84</f>
        <v>0</v>
      </c>
      <c r="CK84" s="816">
        <f>FLN!BU84</f>
        <v>0</v>
      </c>
      <c r="CL84" s="816">
        <f>FLN!BV84</f>
        <v>0</v>
      </c>
      <c r="CM84" s="816">
        <f>FLN!BW84</f>
        <v>0</v>
      </c>
      <c r="CN84" s="823" t="str">
        <f t="shared" si="40"/>
        <v>8117</v>
      </c>
      <c r="CO84" s="816">
        <f>FLN!BX84</f>
        <v>0</v>
      </c>
      <c r="CP84" s="816">
        <f>FLN!BY84</f>
        <v>0</v>
      </c>
      <c r="CQ84" s="816">
        <f>FLN!BZ84</f>
        <v>0</v>
      </c>
      <c r="CR84" s="816">
        <f>FLN!CA84</f>
        <v>0</v>
      </c>
      <c r="CS84" s="823" t="str">
        <f t="shared" si="41"/>
        <v>8118</v>
      </c>
      <c r="CT84" s="816">
        <f>FLN!CB84</f>
        <v>0</v>
      </c>
      <c r="CU84" s="816">
        <f>FLN!CC84</f>
        <v>0</v>
      </c>
      <c r="CV84" s="816">
        <f>FLN!CD84</f>
        <v>0</v>
      </c>
      <c r="CW84" s="816">
        <f>FLN!CE84</f>
        <v>0</v>
      </c>
      <c r="CX84" s="823" t="str">
        <f t="shared" si="42"/>
        <v>8119</v>
      </c>
      <c r="CY84" s="816">
        <f>FLN!CF84</f>
        <v>0</v>
      </c>
      <c r="CZ84" s="816">
        <f>FLN!CG84</f>
        <v>0</v>
      </c>
      <c r="DA84" s="816">
        <f>FLN!CH84</f>
        <v>0</v>
      </c>
      <c r="DB84" s="816">
        <f>FLN!CI84</f>
        <v>0</v>
      </c>
      <c r="DC84" s="823" t="str">
        <f t="shared" si="43"/>
        <v>8120</v>
      </c>
      <c r="DD84" s="816">
        <f>FLN!CJ84</f>
        <v>0</v>
      </c>
      <c r="DE84" s="816">
        <f>FLN!CK84</f>
        <v>0</v>
      </c>
      <c r="DF84" s="816">
        <f>FLN!CL84</f>
        <v>0</v>
      </c>
      <c r="DG84" s="816">
        <f>FLN!CM84</f>
        <v>0</v>
      </c>
      <c r="DH84" s="823" t="str">
        <f t="shared" si="44"/>
        <v>8121</v>
      </c>
      <c r="DI84" s="816">
        <f>FLN!CN84</f>
        <v>0</v>
      </c>
      <c r="DJ84" s="816">
        <f>FLN!CO84</f>
        <v>0</v>
      </c>
      <c r="DK84" s="816">
        <f>FLN!CP84</f>
        <v>0</v>
      </c>
      <c r="DL84" s="816">
        <f>FLN!CQ84</f>
        <v>0</v>
      </c>
      <c r="DM84" s="823" t="str">
        <f t="shared" si="45"/>
        <v>8122</v>
      </c>
      <c r="DN84" s="816">
        <f>FLN!CR84</f>
        <v>0</v>
      </c>
      <c r="DO84" s="816">
        <f>FLN!CS84</f>
        <v>0</v>
      </c>
      <c r="DP84" s="816">
        <f>FLN!CT84</f>
        <v>0</v>
      </c>
      <c r="DQ84" s="816">
        <f>FLN!CU84</f>
        <v>0</v>
      </c>
      <c r="DR84" s="823" t="str">
        <f t="shared" si="46"/>
        <v>8123</v>
      </c>
      <c r="DS84" s="816">
        <f>FLN!CV84</f>
        <v>0</v>
      </c>
      <c r="DT84" s="816">
        <f>FLN!CW84</f>
        <v>0</v>
      </c>
      <c r="DU84" s="816">
        <f>FLN!CX84</f>
        <v>0</v>
      </c>
      <c r="DV84" s="816">
        <f>FLN!CY84</f>
        <v>0</v>
      </c>
      <c r="DW84" s="823" t="str">
        <f t="shared" si="47"/>
        <v>8124</v>
      </c>
      <c r="DX84" s="816">
        <f>FLN!CZ84</f>
        <v>0</v>
      </c>
      <c r="DY84" s="816">
        <f>FLN!DA84</f>
        <v>0</v>
      </c>
      <c r="DZ84" s="816">
        <f>FLN!DB84</f>
        <v>0</v>
      </c>
      <c r="EA84" s="816">
        <f>FLN!DC84</f>
        <v>0</v>
      </c>
      <c r="EB84" s="823" t="str">
        <f t="shared" si="48"/>
        <v>8125</v>
      </c>
      <c r="EC84" s="816">
        <f>FLN!DD84</f>
        <v>0</v>
      </c>
      <c r="ED84" s="816">
        <f>FLN!DE84</f>
        <v>0</v>
      </c>
      <c r="EE84" s="816">
        <f>FLN!DF84</f>
        <v>0</v>
      </c>
      <c r="EF84" s="816">
        <f>FLN!DG84</f>
        <v>0</v>
      </c>
    </row>
    <row r="85" spans="1:136">
      <c r="A85" s="824">
        <v>82</v>
      </c>
      <c r="B85" s="824">
        <f>STUDENT!F83</f>
        <v>0</v>
      </c>
      <c r="C85" s="824">
        <f>STUDENT!D83</f>
        <v>0</v>
      </c>
      <c r="D85" s="827">
        <f>STUDENT!E83</f>
        <v>0</v>
      </c>
      <c r="E85" s="827">
        <f>STUDENT!H83</f>
        <v>0</v>
      </c>
      <c r="F85" s="828">
        <f>FLN!F85</f>
        <v>0</v>
      </c>
      <c r="G85" s="828">
        <f>FLN!G85</f>
        <v>0</v>
      </c>
      <c r="H85" s="828">
        <f>FLN!H85</f>
        <v>0</v>
      </c>
      <c r="I85" s="824" t="str">
        <f>FLN!I85</f>
        <v/>
      </c>
      <c r="J85" s="824" t="str">
        <f>FLN!J85</f>
        <v/>
      </c>
      <c r="K85" s="824" t="str">
        <f>FLN!K85</f>
        <v/>
      </c>
      <c r="L85" s="823" t="str">
        <f t="shared" si="49"/>
        <v>821</v>
      </c>
      <c r="M85" s="816">
        <f>FLN!L85</f>
        <v>0</v>
      </c>
      <c r="N85" s="816">
        <f>FLN!M85</f>
        <v>0</v>
      </c>
      <c r="O85" s="816">
        <f>FLN!N85</f>
        <v>0</v>
      </c>
      <c r="P85" s="816">
        <f>FLN!O85</f>
        <v>0</v>
      </c>
      <c r="Q85" s="823" t="str">
        <f t="shared" si="25"/>
        <v>822</v>
      </c>
      <c r="R85" s="816">
        <f>FLN!P85</f>
        <v>0</v>
      </c>
      <c r="S85" s="816">
        <f>FLN!Q85</f>
        <v>0</v>
      </c>
      <c r="T85" s="816">
        <f>FLN!R85</f>
        <v>0</v>
      </c>
      <c r="U85" s="816">
        <f>FLN!S85</f>
        <v>0</v>
      </c>
      <c r="V85" s="823" t="str">
        <f t="shared" si="26"/>
        <v>823</v>
      </c>
      <c r="W85" s="816">
        <f>FLN!T85</f>
        <v>0</v>
      </c>
      <c r="X85" s="816">
        <f>FLN!U85</f>
        <v>0</v>
      </c>
      <c r="Y85" s="816">
        <f>FLN!V85</f>
        <v>0</v>
      </c>
      <c r="Z85" s="816">
        <f>FLN!W85</f>
        <v>0</v>
      </c>
      <c r="AA85" s="823" t="str">
        <f t="shared" si="27"/>
        <v>824</v>
      </c>
      <c r="AB85" s="816">
        <f>FLN!X85</f>
        <v>0</v>
      </c>
      <c r="AC85" s="816">
        <f>FLN!Y85</f>
        <v>0</v>
      </c>
      <c r="AD85" s="816">
        <f>FLN!Z85</f>
        <v>0</v>
      </c>
      <c r="AE85" s="816">
        <f>FLN!AA85</f>
        <v>0</v>
      </c>
      <c r="AF85" s="823" t="str">
        <f t="shared" si="28"/>
        <v>825</v>
      </c>
      <c r="AG85" s="816">
        <f>FLN!AB85</f>
        <v>0</v>
      </c>
      <c r="AH85" s="816">
        <f>FLN!AC85</f>
        <v>0</v>
      </c>
      <c r="AI85" s="816">
        <f>FLN!AD85</f>
        <v>0</v>
      </c>
      <c r="AJ85" s="816">
        <f>FLN!AE85</f>
        <v>0</v>
      </c>
      <c r="AK85" s="823" t="str">
        <f t="shared" si="29"/>
        <v>826</v>
      </c>
      <c r="AL85" s="816">
        <f>FLN!AF85</f>
        <v>0</v>
      </c>
      <c r="AM85" s="816">
        <f>FLN!AG85</f>
        <v>0</v>
      </c>
      <c r="AN85" s="816">
        <f>FLN!AH85</f>
        <v>0</v>
      </c>
      <c r="AO85" s="816">
        <f>FLN!AI85</f>
        <v>0</v>
      </c>
      <c r="AP85" s="823" t="str">
        <f t="shared" si="30"/>
        <v>827</v>
      </c>
      <c r="AQ85" s="816">
        <f>FLN!AJ85</f>
        <v>0</v>
      </c>
      <c r="AR85" s="816">
        <f>FLN!AK85</f>
        <v>0</v>
      </c>
      <c r="AS85" s="816">
        <f>FLN!AL85</f>
        <v>0</v>
      </c>
      <c r="AT85" s="816">
        <f>FLN!AM85</f>
        <v>0</v>
      </c>
      <c r="AU85" s="823" t="str">
        <f t="shared" si="31"/>
        <v>828</v>
      </c>
      <c r="AV85" s="816">
        <f>FLN!AN85</f>
        <v>0</v>
      </c>
      <c r="AW85" s="816">
        <f>FLN!AO85</f>
        <v>0</v>
      </c>
      <c r="AX85" s="816">
        <f>FLN!AP85</f>
        <v>0</v>
      </c>
      <c r="AY85" s="816">
        <f>FLN!AQ85</f>
        <v>0</v>
      </c>
      <c r="AZ85" s="823" t="str">
        <f t="shared" si="32"/>
        <v>829</v>
      </c>
      <c r="BA85" s="816">
        <f>FLN!AR85</f>
        <v>0</v>
      </c>
      <c r="BB85" s="816">
        <f>FLN!AS85</f>
        <v>0</v>
      </c>
      <c r="BC85" s="816">
        <f>FLN!AT85</f>
        <v>0</v>
      </c>
      <c r="BD85" s="816">
        <f>FLN!AU85</f>
        <v>0</v>
      </c>
      <c r="BE85" s="823" t="str">
        <f t="shared" si="33"/>
        <v>8210</v>
      </c>
      <c r="BF85" s="816">
        <f>FLN!AV85</f>
        <v>0</v>
      </c>
      <c r="BG85" s="816">
        <f>FLN!AW85</f>
        <v>0</v>
      </c>
      <c r="BH85" s="816">
        <f>FLN!AX85</f>
        <v>0</v>
      </c>
      <c r="BI85" s="816">
        <f>FLN!AY85</f>
        <v>0</v>
      </c>
      <c r="BJ85" s="823" t="str">
        <f t="shared" si="34"/>
        <v>8211</v>
      </c>
      <c r="BK85" s="816">
        <f>FLN!AZ85</f>
        <v>0</v>
      </c>
      <c r="BL85" s="816">
        <f>FLN!BA85</f>
        <v>0</v>
      </c>
      <c r="BM85" s="816">
        <f>FLN!BB85</f>
        <v>0</v>
      </c>
      <c r="BN85" s="816">
        <f>FLN!BC85</f>
        <v>0</v>
      </c>
      <c r="BO85" s="823" t="str">
        <f t="shared" si="35"/>
        <v>8212</v>
      </c>
      <c r="BP85" s="816">
        <f>FLN!BD85</f>
        <v>0</v>
      </c>
      <c r="BQ85" s="816">
        <f>FLN!BE85</f>
        <v>0</v>
      </c>
      <c r="BR85" s="816">
        <f>FLN!BF85</f>
        <v>0</v>
      </c>
      <c r="BS85" s="816">
        <f>FLN!BG85</f>
        <v>0</v>
      </c>
      <c r="BT85" s="823" t="str">
        <f t="shared" si="36"/>
        <v>8213</v>
      </c>
      <c r="BU85" s="816">
        <f>FLN!BH85</f>
        <v>0</v>
      </c>
      <c r="BV85" s="816">
        <f>FLN!BI85</f>
        <v>0</v>
      </c>
      <c r="BW85" s="816">
        <f>FLN!BJ85</f>
        <v>0</v>
      </c>
      <c r="BX85" s="816">
        <f>FLN!BK85</f>
        <v>0</v>
      </c>
      <c r="BY85" s="823" t="str">
        <f t="shared" si="37"/>
        <v>8214</v>
      </c>
      <c r="BZ85" s="816">
        <f>FLN!BL85</f>
        <v>0</v>
      </c>
      <c r="CA85" s="816">
        <f>FLN!BM85</f>
        <v>0</v>
      </c>
      <c r="CB85" s="816">
        <f>FLN!BN85</f>
        <v>0</v>
      </c>
      <c r="CC85" s="816">
        <f>FLN!BO85</f>
        <v>0</v>
      </c>
      <c r="CD85" s="823" t="str">
        <f t="shared" si="38"/>
        <v>8215</v>
      </c>
      <c r="CE85" s="816">
        <f>FLN!BP85</f>
        <v>0</v>
      </c>
      <c r="CF85" s="816">
        <f>FLN!BQ85</f>
        <v>0</v>
      </c>
      <c r="CG85" s="816">
        <f>FLN!BR85</f>
        <v>0</v>
      </c>
      <c r="CH85" s="816">
        <f>FLN!BS85</f>
        <v>0</v>
      </c>
      <c r="CI85" s="823" t="str">
        <f t="shared" si="39"/>
        <v>8216</v>
      </c>
      <c r="CJ85" s="816">
        <f>FLN!BT85</f>
        <v>0</v>
      </c>
      <c r="CK85" s="816">
        <f>FLN!BU85</f>
        <v>0</v>
      </c>
      <c r="CL85" s="816">
        <f>FLN!BV85</f>
        <v>0</v>
      </c>
      <c r="CM85" s="816">
        <f>FLN!BW85</f>
        <v>0</v>
      </c>
      <c r="CN85" s="823" t="str">
        <f t="shared" si="40"/>
        <v>8217</v>
      </c>
      <c r="CO85" s="816">
        <f>FLN!BX85</f>
        <v>0</v>
      </c>
      <c r="CP85" s="816">
        <f>FLN!BY85</f>
        <v>0</v>
      </c>
      <c r="CQ85" s="816">
        <f>FLN!BZ85</f>
        <v>0</v>
      </c>
      <c r="CR85" s="816">
        <f>FLN!CA85</f>
        <v>0</v>
      </c>
      <c r="CS85" s="823" t="str">
        <f t="shared" si="41"/>
        <v>8218</v>
      </c>
      <c r="CT85" s="816">
        <f>FLN!CB85</f>
        <v>0</v>
      </c>
      <c r="CU85" s="816">
        <f>FLN!CC85</f>
        <v>0</v>
      </c>
      <c r="CV85" s="816">
        <f>FLN!CD85</f>
        <v>0</v>
      </c>
      <c r="CW85" s="816">
        <f>FLN!CE85</f>
        <v>0</v>
      </c>
      <c r="CX85" s="823" t="str">
        <f t="shared" si="42"/>
        <v>8219</v>
      </c>
      <c r="CY85" s="816">
        <f>FLN!CF85</f>
        <v>0</v>
      </c>
      <c r="CZ85" s="816">
        <f>FLN!CG85</f>
        <v>0</v>
      </c>
      <c r="DA85" s="816">
        <f>FLN!CH85</f>
        <v>0</v>
      </c>
      <c r="DB85" s="816">
        <f>FLN!CI85</f>
        <v>0</v>
      </c>
      <c r="DC85" s="823" t="str">
        <f t="shared" si="43"/>
        <v>8220</v>
      </c>
      <c r="DD85" s="816">
        <f>FLN!CJ85</f>
        <v>0</v>
      </c>
      <c r="DE85" s="816">
        <f>FLN!CK85</f>
        <v>0</v>
      </c>
      <c r="DF85" s="816">
        <f>FLN!CL85</f>
        <v>0</v>
      </c>
      <c r="DG85" s="816">
        <f>FLN!CM85</f>
        <v>0</v>
      </c>
      <c r="DH85" s="823" t="str">
        <f t="shared" si="44"/>
        <v>8221</v>
      </c>
      <c r="DI85" s="816">
        <f>FLN!CN85</f>
        <v>0</v>
      </c>
      <c r="DJ85" s="816">
        <f>FLN!CO85</f>
        <v>0</v>
      </c>
      <c r="DK85" s="816">
        <f>FLN!CP85</f>
        <v>0</v>
      </c>
      <c r="DL85" s="816">
        <f>FLN!CQ85</f>
        <v>0</v>
      </c>
      <c r="DM85" s="823" t="str">
        <f t="shared" si="45"/>
        <v>8222</v>
      </c>
      <c r="DN85" s="816">
        <f>FLN!CR85</f>
        <v>0</v>
      </c>
      <c r="DO85" s="816">
        <f>FLN!CS85</f>
        <v>0</v>
      </c>
      <c r="DP85" s="816">
        <f>FLN!CT85</f>
        <v>0</v>
      </c>
      <c r="DQ85" s="816">
        <f>FLN!CU85</f>
        <v>0</v>
      </c>
      <c r="DR85" s="823" t="str">
        <f t="shared" si="46"/>
        <v>8223</v>
      </c>
      <c r="DS85" s="816">
        <f>FLN!CV85</f>
        <v>0</v>
      </c>
      <c r="DT85" s="816">
        <f>FLN!CW85</f>
        <v>0</v>
      </c>
      <c r="DU85" s="816">
        <f>FLN!CX85</f>
        <v>0</v>
      </c>
      <c r="DV85" s="816">
        <f>FLN!CY85</f>
        <v>0</v>
      </c>
      <c r="DW85" s="823" t="str">
        <f t="shared" si="47"/>
        <v>8224</v>
      </c>
      <c r="DX85" s="816">
        <f>FLN!CZ85</f>
        <v>0</v>
      </c>
      <c r="DY85" s="816">
        <f>FLN!DA85</f>
        <v>0</v>
      </c>
      <c r="DZ85" s="816">
        <f>FLN!DB85</f>
        <v>0</v>
      </c>
      <c r="EA85" s="816">
        <f>FLN!DC85</f>
        <v>0</v>
      </c>
      <c r="EB85" s="823" t="str">
        <f t="shared" si="48"/>
        <v>8225</v>
      </c>
      <c r="EC85" s="816">
        <f>FLN!DD85</f>
        <v>0</v>
      </c>
      <c r="ED85" s="816">
        <f>FLN!DE85</f>
        <v>0</v>
      </c>
      <c r="EE85" s="816">
        <f>FLN!DF85</f>
        <v>0</v>
      </c>
      <c r="EF85" s="816">
        <f>FLN!DG85</f>
        <v>0</v>
      </c>
    </row>
    <row r="86" spans="1:136">
      <c r="A86" s="824">
        <v>83</v>
      </c>
      <c r="B86" s="824">
        <f>STUDENT!F84</f>
        <v>0</v>
      </c>
      <c r="C86" s="824">
        <f>STUDENT!D84</f>
        <v>0</v>
      </c>
      <c r="D86" s="827">
        <f>STUDENT!E84</f>
        <v>0</v>
      </c>
      <c r="E86" s="827">
        <f>STUDENT!H84</f>
        <v>0</v>
      </c>
      <c r="F86" s="828">
        <f>FLN!F86</f>
        <v>0</v>
      </c>
      <c r="G86" s="828">
        <f>FLN!G86</f>
        <v>0</v>
      </c>
      <c r="H86" s="828">
        <f>FLN!H86</f>
        <v>0</v>
      </c>
      <c r="I86" s="824" t="str">
        <f>FLN!I86</f>
        <v/>
      </c>
      <c r="J86" s="824" t="str">
        <f>FLN!J86</f>
        <v/>
      </c>
      <c r="K86" s="824" t="str">
        <f>FLN!K86</f>
        <v/>
      </c>
      <c r="L86" s="823" t="str">
        <f t="shared" si="49"/>
        <v>831</v>
      </c>
      <c r="M86" s="816">
        <f>FLN!L86</f>
        <v>0</v>
      </c>
      <c r="N86" s="816">
        <f>FLN!M86</f>
        <v>0</v>
      </c>
      <c r="O86" s="816">
        <f>FLN!N86</f>
        <v>0</v>
      </c>
      <c r="P86" s="816">
        <f>FLN!O86</f>
        <v>0</v>
      </c>
      <c r="Q86" s="823" t="str">
        <f t="shared" si="25"/>
        <v>832</v>
      </c>
      <c r="R86" s="816">
        <f>FLN!P86</f>
        <v>0</v>
      </c>
      <c r="S86" s="816">
        <f>FLN!Q86</f>
        <v>0</v>
      </c>
      <c r="T86" s="816">
        <f>FLN!R86</f>
        <v>0</v>
      </c>
      <c r="U86" s="816">
        <f>FLN!S86</f>
        <v>0</v>
      </c>
      <c r="V86" s="823" t="str">
        <f t="shared" si="26"/>
        <v>833</v>
      </c>
      <c r="W86" s="816">
        <f>FLN!T86</f>
        <v>0</v>
      </c>
      <c r="X86" s="816">
        <f>FLN!U86</f>
        <v>0</v>
      </c>
      <c r="Y86" s="816">
        <f>FLN!V86</f>
        <v>0</v>
      </c>
      <c r="Z86" s="816">
        <f>FLN!W86</f>
        <v>0</v>
      </c>
      <c r="AA86" s="823" t="str">
        <f t="shared" si="27"/>
        <v>834</v>
      </c>
      <c r="AB86" s="816">
        <f>FLN!X86</f>
        <v>0</v>
      </c>
      <c r="AC86" s="816">
        <f>FLN!Y86</f>
        <v>0</v>
      </c>
      <c r="AD86" s="816">
        <f>FLN!Z86</f>
        <v>0</v>
      </c>
      <c r="AE86" s="816">
        <f>FLN!AA86</f>
        <v>0</v>
      </c>
      <c r="AF86" s="823" t="str">
        <f t="shared" si="28"/>
        <v>835</v>
      </c>
      <c r="AG86" s="816">
        <f>FLN!AB86</f>
        <v>0</v>
      </c>
      <c r="AH86" s="816">
        <f>FLN!AC86</f>
        <v>0</v>
      </c>
      <c r="AI86" s="816">
        <f>FLN!AD86</f>
        <v>0</v>
      </c>
      <c r="AJ86" s="816">
        <f>FLN!AE86</f>
        <v>0</v>
      </c>
      <c r="AK86" s="823" t="str">
        <f t="shared" si="29"/>
        <v>836</v>
      </c>
      <c r="AL86" s="816">
        <f>FLN!AF86</f>
        <v>0</v>
      </c>
      <c r="AM86" s="816">
        <f>FLN!AG86</f>
        <v>0</v>
      </c>
      <c r="AN86" s="816">
        <f>FLN!AH86</f>
        <v>0</v>
      </c>
      <c r="AO86" s="816">
        <f>FLN!AI86</f>
        <v>0</v>
      </c>
      <c r="AP86" s="823" t="str">
        <f t="shared" si="30"/>
        <v>837</v>
      </c>
      <c r="AQ86" s="816">
        <f>FLN!AJ86</f>
        <v>0</v>
      </c>
      <c r="AR86" s="816">
        <f>FLN!AK86</f>
        <v>0</v>
      </c>
      <c r="AS86" s="816">
        <f>FLN!AL86</f>
        <v>0</v>
      </c>
      <c r="AT86" s="816">
        <f>FLN!AM86</f>
        <v>0</v>
      </c>
      <c r="AU86" s="823" t="str">
        <f t="shared" si="31"/>
        <v>838</v>
      </c>
      <c r="AV86" s="816">
        <f>FLN!AN86</f>
        <v>0</v>
      </c>
      <c r="AW86" s="816">
        <f>FLN!AO86</f>
        <v>0</v>
      </c>
      <c r="AX86" s="816">
        <f>FLN!AP86</f>
        <v>0</v>
      </c>
      <c r="AY86" s="816">
        <f>FLN!AQ86</f>
        <v>0</v>
      </c>
      <c r="AZ86" s="823" t="str">
        <f t="shared" si="32"/>
        <v>839</v>
      </c>
      <c r="BA86" s="816">
        <f>FLN!AR86</f>
        <v>0</v>
      </c>
      <c r="BB86" s="816">
        <f>FLN!AS86</f>
        <v>0</v>
      </c>
      <c r="BC86" s="816">
        <f>FLN!AT86</f>
        <v>0</v>
      </c>
      <c r="BD86" s="816">
        <f>FLN!AU86</f>
        <v>0</v>
      </c>
      <c r="BE86" s="823" t="str">
        <f t="shared" si="33"/>
        <v>8310</v>
      </c>
      <c r="BF86" s="816">
        <f>FLN!AV86</f>
        <v>0</v>
      </c>
      <c r="BG86" s="816">
        <f>FLN!AW86</f>
        <v>0</v>
      </c>
      <c r="BH86" s="816">
        <f>FLN!AX86</f>
        <v>0</v>
      </c>
      <c r="BI86" s="816">
        <f>FLN!AY86</f>
        <v>0</v>
      </c>
      <c r="BJ86" s="823" t="str">
        <f t="shared" si="34"/>
        <v>8311</v>
      </c>
      <c r="BK86" s="816">
        <f>FLN!AZ86</f>
        <v>0</v>
      </c>
      <c r="BL86" s="816">
        <f>FLN!BA86</f>
        <v>0</v>
      </c>
      <c r="BM86" s="816">
        <f>FLN!BB86</f>
        <v>0</v>
      </c>
      <c r="BN86" s="816">
        <f>FLN!BC86</f>
        <v>0</v>
      </c>
      <c r="BO86" s="823" t="str">
        <f t="shared" si="35"/>
        <v>8312</v>
      </c>
      <c r="BP86" s="816">
        <f>FLN!BD86</f>
        <v>0</v>
      </c>
      <c r="BQ86" s="816">
        <f>FLN!BE86</f>
        <v>0</v>
      </c>
      <c r="BR86" s="816">
        <f>FLN!BF86</f>
        <v>0</v>
      </c>
      <c r="BS86" s="816">
        <f>FLN!BG86</f>
        <v>0</v>
      </c>
      <c r="BT86" s="823" t="str">
        <f t="shared" si="36"/>
        <v>8313</v>
      </c>
      <c r="BU86" s="816">
        <f>FLN!BH86</f>
        <v>0</v>
      </c>
      <c r="BV86" s="816">
        <f>FLN!BI86</f>
        <v>0</v>
      </c>
      <c r="BW86" s="816">
        <f>FLN!BJ86</f>
        <v>0</v>
      </c>
      <c r="BX86" s="816">
        <f>FLN!BK86</f>
        <v>0</v>
      </c>
      <c r="BY86" s="823" t="str">
        <f t="shared" si="37"/>
        <v>8314</v>
      </c>
      <c r="BZ86" s="816">
        <f>FLN!BL86</f>
        <v>0</v>
      </c>
      <c r="CA86" s="816">
        <f>FLN!BM86</f>
        <v>0</v>
      </c>
      <c r="CB86" s="816">
        <f>FLN!BN86</f>
        <v>0</v>
      </c>
      <c r="CC86" s="816">
        <f>FLN!BO86</f>
        <v>0</v>
      </c>
      <c r="CD86" s="823" t="str">
        <f t="shared" si="38"/>
        <v>8315</v>
      </c>
      <c r="CE86" s="816">
        <f>FLN!BP86</f>
        <v>0</v>
      </c>
      <c r="CF86" s="816">
        <f>FLN!BQ86</f>
        <v>0</v>
      </c>
      <c r="CG86" s="816">
        <f>FLN!BR86</f>
        <v>0</v>
      </c>
      <c r="CH86" s="816">
        <f>FLN!BS86</f>
        <v>0</v>
      </c>
      <c r="CI86" s="823" t="str">
        <f t="shared" si="39"/>
        <v>8316</v>
      </c>
      <c r="CJ86" s="816">
        <f>FLN!BT86</f>
        <v>0</v>
      </c>
      <c r="CK86" s="816">
        <f>FLN!BU86</f>
        <v>0</v>
      </c>
      <c r="CL86" s="816">
        <f>FLN!BV86</f>
        <v>0</v>
      </c>
      <c r="CM86" s="816">
        <f>FLN!BW86</f>
        <v>0</v>
      </c>
      <c r="CN86" s="823" t="str">
        <f t="shared" si="40"/>
        <v>8317</v>
      </c>
      <c r="CO86" s="816">
        <f>FLN!BX86</f>
        <v>0</v>
      </c>
      <c r="CP86" s="816">
        <f>FLN!BY86</f>
        <v>0</v>
      </c>
      <c r="CQ86" s="816">
        <f>FLN!BZ86</f>
        <v>0</v>
      </c>
      <c r="CR86" s="816">
        <f>FLN!CA86</f>
        <v>0</v>
      </c>
      <c r="CS86" s="823" t="str">
        <f t="shared" si="41"/>
        <v>8318</v>
      </c>
      <c r="CT86" s="816">
        <f>FLN!CB86</f>
        <v>0</v>
      </c>
      <c r="CU86" s="816">
        <f>FLN!CC86</f>
        <v>0</v>
      </c>
      <c r="CV86" s="816">
        <f>FLN!CD86</f>
        <v>0</v>
      </c>
      <c r="CW86" s="816">
        <f>FLN!CE86</f>
        <v>0</v>
      </c>
      <c r="CX86" s="823" t="str">
        <f t="shared" si="42"/>
        <v>8319</v>
      </c>
      <c r="CY86" s="816">
        <f>FLN!CF86</f>
        <v>0</v>
      </c>
      <c r="CZ86" s="816">
        <f>FLN!CG86</f>
        <v>0</v>
      </c>
      <c r="DA86" s="816">
        <f>FLN!CH86</f>
        <v>0</v>
      </c>
      <c r="DB86" s="816">
        <f>FLN!CI86</f>
        <v>0</v>
      </c>
      <c r="DC86" s="823" t="str">
        <f t="shared" si="43"/>
        <v>8320</v>
      </c>
      <c r="DD86" s="816">
        <f>FLN!CJ86</f>
        <v>0</v>
      </c>
      <c r="DE86" s="816">
        <f>FLN!CK86</f>
        <v>0</v>
      </c>
      <c r="DF86" s="816">
        <f>FLN!CL86</f>
        <v>0</v>
      </c>
      <c r="DG86" s="816">
        <f>FLN!CM86</f>
        <v>0</v>
      </c>
      <c r="DH86" s="823" t="str">
        <f t="shared" si="44"/>
        <v>8321</v>
      </c>
      <c r="DI86" s="816">
        <f>FLN!CN86</f>
        <v>0</v>
      </c>
      <c r="DJ86" s="816">
        <f>FLN!CO86</f>
        <v>0</v>
      </c>
      <c r="DK86" s="816">
        <f>FLN!CP86</f>
        <v>0</v>
      </c>
      <c r="DL86" s="816">
        <f>FLN!CQ86</f>
        <v>0</v>
      </c>
      <c r="DM86" s="823" t="str">
        <f t="shared" si="45"/>
        <v>8322</v>
      </c>
      <c r="DN86" s="816">
        <f>FLN!CR86</f>
        <v>0</v>
      </c>
      <c r="DO86" s="816">
        <f>FLN!CS86</f>
        <v>0</v>
      </c>
      <c r="DP86" s="816">
        <f>FLN!CT86</f>
        <v>0</v>
      </c>
      <c r="DQ86" s="816">
        <f>FLN!CU86</f>
        <v>0</v>
      </c>
      <c r="DR86" s="823" t="str">
        <f t="shared" si="46"/>
        <v>8323</v>
      </c>
      <c r="DS86" s="816">
        <f>FLN!CV86</f>
        <v>0</v>
      </c>
      <c r="DT86" s="816">
        <f>FLN!CW86</f>
        <v>0</v>
      </c>
      <c r="DU86" s="816">
        <f>FLN!CX86</f>
        <v>0</v>
      </c>
      <c r="DV86" s="816">
        <f>FLN!CY86</f>
        <v>0</v>
      </c>
      <c r="DW86" s="823" t="str">
        <f t="shared" si="47"/>
        <v>8324</v>
      </c>
      <c r="DX86" s="816">
        <f>FLN!CZ86</f>
        <v>0</v>
      </c>
      <c r="DY86" s="816">
        <f>FLN!DA86</f>
        <v>0</v>
      </c>
      <c r="DZ86" s="816">
        <f>FLN!DB86</f>
        <v>0</v>
      </c>
      <c r="EA86" s="816">
        <f>FLN!DC86</f>
        <v>0</v>
      </c>
      <c r="EB86" s="823" t="str">
        <f t="shared" si="48"/>
        <v>8325</v>
      </c>
      <c r="EC86" s="816">
        <f>FLN!DD86</f>
        <v>0</v>
      </c>
      <c r="ED86" s="816">
        <f>FLN!DE86</f>
        <v>0</v>
      </c>
      <c r="EE86" s="816">
        <f>FLN!DF86</f>
        <v>0</v>
      </c>
      <c r="EF86" s="816">
        <f>FLN!DG86</f>
        <v>0</v>
      </c>
    </row>
    <row r="87" spans="1:136">
      <c r="A87" s="824">
        <v>84</v>
      </c>
      <c r="B87" s="824">
        <f>STUDENT!F85</f>
        <v>0</v>
      </c>
      <c r="C87" s="824">
        <f>STUDENT!D85</f>
        <v>0</v>
      </c>
      <c r="D87" s="827">
        <f>STUDENT!E85</f>
        <v>0</v>
      </c>
      <c r="E87" s="827">
        <f>STUDENT!H85</f>
        <v>0</v>
      </c>
      <c r="F87" s="828">
        <f>FLN!F87</f>
        <v>0</v>
      </c>
      <c r="G87" s="828">
        <f>FLN!G87</f>
        <v>0</v>
      </c>
      <c r="H87" s="828">
        <f>FLN!H87</f>
        <v>0</v>
      </c>
      <c r="I87" s="824" t="str">
        <f>FLN!I87</f>
        <v/>
      </c>
      <c r="J87" s="824" t="str">
        <f>FLN!J87</f>
        <v/>
      </c>
      <c r="K87" s="824" t="str">
        <f>FLN!K87</f>
        <v/>
      </c>
      <c r="L87" s="823" t="str">
        <f t="shared" si="49"/>
        <v>841</v>
      </c>
      <c r="M87" s="816">
        <f>FLN!L87</f>
        <v>0</v>
      </c>
      <c r="N87" s="816">
        <f>FLN!M87</f>
        <v>0</v>
      </c>
      <c r="O87" s="816">
        <f>FLN!N87</f>
        <v>0</v>
      </c>
      <c r="P87" s="816">
        <f>FLN!O87</f>
        <v>0</v>
      </c>
      <c r="Q87" s="823" t="str">
        <f t="shared" si="25"/>
        <v>842</v>
      </c>
      <c r="R87" s="816">
        <f>FLN!P87</f>
        <v>0</v>
      </c>
      <c r="S87" s="816">
        <f>FLN!Q87</f>
        <v>0</v>
      </c>
      <c r="T87" s="816">
        <f>FLN!R87</f>
        <v>0</v>
      </c>
      <c r="U87" s="816">
        <f>FLN!S87</f>
        <v>0</v>
      </c>
      <c r="V87" s="823" t="str">
        <f t="shared" si="26"/>
        <v>843</v>
      </c>
      <c r="W87" s="816">
        <f>FLN!T87</f>
        <v>0</v>
      </c>
      <c r="X87" s="816">
        <f>FLN!U87</f>
        <v>0</v>
      </c>
      <c r="Y87" s="816">
        <f>FLN!V87</f>
        <v>0</v>
      </c>
      <c r="Z87" s="816">
        <f>FLN!W87</f>
        <v>0</v>
      </c>
      <c r="AA87" s="823" t="str">
        <f t="shared" si="27"/>
        <v>844</v>
      </c>
      <c r="AB87" s="816">
        <f>FLN!X87</f>
        <v>0</v>
      </c>
      <c r="AC87" s="816">
        <f>FLN!Y87</f>
        <v>0</v>
      </c>
      <c r="AD87" s="816">
        <f>FLN!Z87</f>
        <v>0</v>
      </c>
      <c r="AE87" s="816">
        <f>FLN!AA87</f>
        <v>0</v>
      </c>
      <c r="AF87" s="823" t="str">
        <f t="shared" si="28"/>
        <v>845</v>
      </c>
      <c r="AG87" s="816">
        <f>FLN!AB87</f>
        <v>0</v>
      </c>
      <c r="AH87" s="816">
        <f>FLN!AC87</f>
        <v>0</v>
      </c>
      <c r="AI87" s="816">
        <f>FLN!AD87</f>
        <v>0</v>
      </c>
      <c r="AJ87" s="816">
        <f>FLN!AE87</f>
        <v>0</v>
      </c>
      <c r="AK87" s="823" t="str">
        <f t="shared" si="29"/>
        <v>846</v>
      </c>
      <c r="AL87" s="816">
        <f>FLN!AF87</f>
        <v>0</v>
      </c>
      <c r="AM87" s="816">
        <f>FLN!AG87</f>
        <v>0</v>
      </c>
      <c r="AN87" s="816">
        <f>FLN!AH87</f>
        <v>0</v>
      </c>
      <c r="AO87" s="816">
        <f>FLN!AI87</f>
        <v>0</v>
      </c>
      <c r="AP87" s="823" t="str">
        <f t="shared" si="30"/>
        <v>847</v>
      </c>
      <c r="AQ87" s="816">
        <f>FLN!AJ87</f>
        <v>0</v>
      </c>
      <c r="AR87" s="816">
        <f>FLN!AK87</f>
        <v>0</v>
      </c>
      <c r="AS87" s="816">
        <f>FLN!AL87</f>
        <v>0</v>
      </c>
      <c r="AT87" s="816">
        <f>FLN!AM87</f>
        <v>0</v>
      </c>
      <c r="AU87" s="823" t="str">
        <f t="shared" si="31"/>
        <v>848</v>
      </c>
      <c r="AV87" s="816">
        <f>FLN!AN87</f>
        <v>0</v>
      </c>
      <c r="AW87" s="816">
        <f>FLN!AO87</f>
        <v>0</v>
      </c>
      <c r="AX87" s="816">
        <f>FLN!AP87</f>
        <v>0</v>
      </c>
      <c r="AY87" s="816">
        <f>FLN!AQ87</f>
        <v>0</v>
      </c>
      <c r="AZ87" s="823" t="str">
        <f t="shared" si="32"/>
        <v>849</v>
      </c>
      <c r="BA87" s="816">
        <f>FLN!AR87</f>
        <v>0</v>
      </c>
      <c r="BB87" s="816">
        <f>FLN!AS87</f>
        <v>0</v>
      </c>
      <c r="BC87" s="816">
        <f>FLN!AT87</f>
        <v>0</v>
      </c>
      <c r="BD87" s="816">
        <f>FLN!AU87</f>
        <v>0</v>
      </c>
      <c r="BE87" s="823" t="str">
        <f t="shared" si="33"/>
        <v>8410</v>
      </c>
      <c r="BF87" s="816">
        <f>FLN!AV87</f>
        <v>0</v>
      </c>
      <c r="BG87" s="816">
        <f>FLN!AW87</f>
        <v>0</v>
      </c>
      <c r="BH87" s="816">
        <f>FLN!AX87</f>
        <v>0</v>
      </c>
      <c r="BI87" s="816">
        <f>FLN!AY87</f>
        <v>0</v>
      </c>
      <c r="BJ87" s="823" t="str">
        <f t="shared" si="34"/>
        <v>8411</v>
      </c>
      <c r="BK87" s="816">
        <f>FLN!AZ87</f>
        <v>0</v>
      </c>
      <c r="BL87" s="816">
        <f>FLN!BA87</f>
        <v>0</v>
      </c>
      <c r="BM87" s="816">
        <f>FLN!BB87</f>
        <v>0</v>
      </c>
      <c r="BN87" s="816">
        <f>FLN!BC87</f>
        <v>0</v>
      </c>
      <c r="BO87" s="823" t="str">
        <f t="shared" si="35"/>
        <v>8412</v>
      </c>
      <c r="BP87" s="816">
        <f>FLN!BD87</f>
        <v>0</v>
      </c>
      <c r="BQ87" s="816">
        <f>FLN!BE87</f>
        <v>0</v>
      </c>
      <c r="BR87" s="816">
        <f>FLN!BF87</f>
        <v>0</v>
      </c>
      <c r="BS87" s="816">
        <f>FLN!BG87</f>
        <v>0</v>
      </c>
      <c r="BT87" s="823" t="str">
        <f t="shared" si="36"/>
        <v>8413</v>
      </c>
      <c r="BU87" s="816">
        <f>FLN!BH87</f>
        <v>0</v>
      </c>
      <c r="BV87" s="816">
        <f>FLN!BI87</f>
        <v>0</v>
      </c>
      <c r="BW87" s="816">
        <f>FLN!BJ87</f>
        <v>0</v>
      </c>
      <c r="BX87" s="816">
        <f>FLN!BK87</f>
        <v>0</v>
      </c>
      <c r="BY87" s="823" t="str">
        <f t="shared" si="37"/>
        <v>8414</v>
      </c>
      <c r="BZ87" s="816">
        <f>FLN!BL87</f>
        <v>0</v>
      </c>
      <c r="CA87" s="816">
        <f>FLN!BM87</f>
        <v>0</v>
      </c>
      <c r="CB87" s="816">
        <f>FLN!BN87</f>
        <v>0</v>
      </c>
      <c r="CC87" s="816">
        <f>FLN!BO87</f>
        <v>0</v>
      </c>
      <c r="CD87" s="823" t="str">
        <f t="shared" si="38"/>
        <v>8415</v>
      </c>
      <c r="CE87" s="816">
        <f>FLN!BP87</f>
        <v>0</v>
      </c>
      <c r="CF87" s="816">
        <f>FLN!BQ87</f>
        <v>0</v>
      </c>
      <c r="CG87" s="816">
        <f>FLN!BR87</f>
        <v>0</v>
      </c>
      <c r="CH87" s="816">
        <f>FLN!BS87</f>
        <v>0</v>
      </c>
      <c r="CI87" s="823" t="str">
        <f t="shared" si="39"/>
        <v>8416</v>
      </c>
      <c r="CJ87" s="816">
        <f>FLN!BT87</f>
        <v>0</v>
      </c>
      <c r="CK87" s="816">
        <f>FLN!BU87</f>
        <v>0</v>
      </c>
      <c r="CL87" s="816">
        <f>FLN!BV87</f>
        <v>0</v>
      </c>
      <c r="CM87" s="816">
        <f>FLN!BW87</f>
        <v>0</v>
      </c>
      <c r="CN87" s="823" t="str">
        <f t="shared" si="40"/>
        <v>8417</v>
      </c>
      <c r="CO87" s="816">
        <f>FLN!BX87</f>
        <v>0</v>
      </c>
      <c r="CP87" s="816">
        <f>FLN!BY87</f>
        <v>0</v>
      </c>
      <c r="CQ87" s="816">
        <f>FLN!BZ87</f>
        <v>0</v>
      </c>
      <c r="CR87" s="816">
        <f>FLN!CA87</f>
        <v>0</v>
      </c>
      <c r="CS87" s="823" t="str">
        <f t="shared" si="41"/>
        <v>8418</v>
      </c>
      <c r="CT87" s="816">
        <f>FLN!CB87</f>
        <v>0</v>
      </c>
      <c r="CU87" s="816">
        <f>FLN!CC87</f>
        <v>0</v>
      </c>
      <c r="CV87" s="816">
        <f>FLN!CD87</f>
        <v>0</v>
      </c>
      <c r="CW87" s="816">
        <f>FLN!CE87</f>
        <v>0</v>
      </c>
      <c r="CX87" s="823" t="str">
        <f t="shared" si="42"/>
        <v>8419</v>
      </c>
      <c r="CY87" s="816">
        <f>FLN!CF87</f>
        <v>0</v>
      </c>
      <c r="CZ87" s="816">
        <f>FLN!CG87</f>
        <v>0</v>
      </c>
      <c r="DA87" s="816">
        <f>FLN!CH87</f>
        <v>0</v>
      </c>
      <c r="DB87" s="816">
        <f>FLN!CI87</f>
        <v>0</v>
      </c>
      <c r="DC87" s="823" t="str">
        <f t="shared" si="43"/>
        <v>8420</v>
      </c>
      <c r="DD87" s="816">
        <f>FLN!CJ87</f>
        <v>0</v>
      </c>
      <c r="DE87" s="816">
        <f>FLN!CK87</f>
        <v>0</v>
      </c>
      <c r="DF87" s="816">
        <f>FLN!CL87</f>
        <v>0</v>
      </c>
      <c r="DG87" s="816">
        <f>FLN!CM87</f>
        <v>0</v>
      </c>
      <c r="DH87" s="823" t="str">
        <f t="shared" si="44"/>
        <v>8421</v>
      </c>
      <c r="DI87" s="816">
        <f>FLN!CN87</f>
        <v>0</v>
      </c>
      <c r="DJ87" s="816">
        <f>FLN!CO87</f>
        <v>0</v>
      </c>
      <c r="DK87" s="816">
        <f>FLN!CP87</f>
        <v>0</v>
      </c>
      <c r="DL87" s="816">
        <f>FLN!CQ87</f>
        <v>0</v>
      </c>
      <c r="DM87" s="823" t="str">
        <f t="shared" si="45"/>
        <v>8422</v>
      </c>
      <c r="DN87" s="816">
        <f>FLN!CR87</f>
        <v>0</v>
      </c>
      <c r="DO87" s="816">
        <f>FLN!CS87</f>
        <v>0</v>
      </c>
      <c r="DP87" s="816">
        <f>FLN!CT87</f>
        <v>0</v>
      </c>
      <c r="DQ87" s="816">
        <f>FLN!CU87</f>
        <v>0</v>
      </c>
      <c r="DR87" s="823" t="str">
        <f t="shared" si="46"/>
        <v>8423</v>
      </c>
      <c r="DS87" s="816">
        <f>FLN!CV87</f>
        <v>0</v>
      </c>
      <c r="DT87" s="816">
        <f>FLN!CW87</f>
        <v>0</v>
      </c>
      <c r="DU87" s="816">
        <f>FLN!CX87</f>
        <v>0</v>
      </c>
      <c r="DV87" s="816">
        <f>FLN!CY87</f>
        <v>0</v>
      </c>
      <c r="DW87" s="823" t="str">
        <f t="shared" si="47"/>
        <v>8424</v>
      </c>
      <c r="DX87" s="816">
        <f>FLN!CZ87</f>
        <v>0</v>
      </c>
      <c r="DY87" s="816">
        <f>FLN!DA87</f>
        <v>0</v>
      </c>
      <c r="DZ87" s="816">
        <f>FLN!DB87</f>
        <v>0</v>
      </c>
      <c r="EA87" s="816">
        <f>FLN!DC87</f>
        <v>0</v>
      </c>
      <c r="EB87" s="823" t="str">
        <f t="shared" si="48"/>
        <v>8425</v>
      </c>
      <c r="EC87" s="816">
        <f>FLN!DD87</f>
        <v>0</v>
      </c>
      <c r="ED87" s="816">
        <f>FLN!DE87</f>
        <v>0</v>
      </c>
      <c r="EE87" s="816">
        <f>FLN!DF87</f>
        <v>0</v>
      </c>
      <c r="EF87" s="816">
        <f>FLN!DG87</f>
        <v>0</v>
      </c>
    </row>
    <row r="88" spans="1:136">
      <c r="A88" s="824">
        <v>85</v>
      </c>
      <c r="B88" s="824">
        <f>STUDENT!F86</f>
        <v>0</v>
      </c>
      <c r="C88" s="824">
        <f>STUDENT!D86</f>
        <v>0</v>
      </c>
      <c r="D88" s="827">
        <f>STUDENT!E86</f>
        <v>0</v>
      </c>
      <c r="E88" s="827">
        <f>STUDENT!H86</f>
        <v>0</v>
      </c>
      <c r="F88" s="828">
        <f>FLN!F88</f>
        <v>0</v>
      </c>
      <c r="G88" s="828">
        <f>FLN!G88</f>
        <v>0</v>
      </c>
      <c r="H88" s="828">
        <f>FLN!H88</f>
        <v>0</v>
      </c>
      <c r="I88" s="824" t="str">
        <f>FLN!I88</f>
        <v/>
      </c>
      <c r="J88" s="824" t="str">
        <f>FLN!J88</f>
        <v/>
      </c>
      <c r="K88" s="824" t="str">
        <f>FLN!K88</f>
        <v/>
      </c>
      <c r="L88" s="823" t="str">
        <f t="shared" si="49"/>
        <v>851</v>
      </c>
      <c r="M88" s="816">
        <f>FLN!L88</f>
        <v>0</v>
      </c>
      <c r="N88" s="816">
        <f>FLN!M88</f>
        <v>0</v>
      </c>
      <c r="O88" s="816">
        <f>FLN!N88</f>
        <v>0</v>
      </c>
      <c r="P88" s="816">
        <f>FLN!O88</f>
        <v>0</v>
      </c>
      <c r="Q88" s="823" t="str">
        <f t="shared" si="25"/>
        <v>852</v>
      </c>
      <c r="R88" s="816">
        <f>FLN!P88</f>
        <v>0</v>
      </c>
      <c r="S88" s="816">
        <f>FLN!Q88</f>
        <v>0</v>
      </c>
      <c r="T88" s="816">
        <f>FLN!R88</f>
        <v>0</v>
      </c>
      <c r="U88" s="816">
        <f>FLN!S88</f>
        <v>0</v>
      </c>
      <c r="V88" s="823" t="str">
        <f t="shared" si="26"/>
        <v>853</v>
      </c>
      <c r="W88" s="816">
        <f>FLN!T88</f>
        <v>0</v>
      </c>
      <c r="X88" s="816">
        <f>FLN!U88</f>
        <v>0</v>
      </c>
      <c r="Y88" s="816">
        <f>FLN!V88</f>
        <v>0</v>
      </c>
      <c r="Z88" s="816">
        <f>FLN!W88</f>
        <v>0</v>
      </c>
      <c r="AA88" s="823" t="str">
        <f t="shared" si="27"/>
        <v>854</v>
      </c>
      <c r="AB88" s="816">
        <f>FLN!X88</f>
        <v>0</v>
      </c>
      <c r="AC88" s="816">
        <f>FLN!Y88</f>
        <v>0</v>
      </c>
      <c r="AD88" s="816">
        <f>FLN!Z88</f>
        <v>0</v>
      </c>
      <c r="AE88" s="816">
        <f>FLN!AA88</f>
        <v>0</v>
      </c>
      <c r="AF88" s="823" t="str">
        <f t="shared" si="28"/>
        <v>855</v>
      </c>
      <c r="AG88" s="816">
        <f>FLN!AB88</f>
        <v>0</v>
      </c>
      <c r="AH88" s="816">
        <f>FLN!AC88</f>
        <v>0</v>
      </c>
      <c r="AI88" s="816">
        <f>FLN!AD88</f>
        <v>0</v>
      </c>
      <c r="AJ88" s="816">
        <f>FLN!AE88</f>
        <v>0</v>
      </c>
      <c r="AK88" s="823" t="str">
        <f t="shared" si="29"/>
        <v>856</v>
      </c>
      <c r="AL88" s="816">
        <f>FLN!AF88</f>
        <v>0</v>
      </c>
      <c r="AM88" s="816">
        <f>FLN!AG88</f>
        <v>0</v>
      </c>
      <c r="AN88" s="816">
        <f>FLN!AH88</f>
        <v>0</v>
      </c>
      <c r="AO88" s="816">
        <f>FLN!AI88</f>
        <v>0</v>
      </c>
      <c r="AP88" s="823" t="str">
        <f t="shared" si="30"/>
        <v>857</v>
      </c>
      <c r="AQ88" s="816">
        <f>FLN!AJ88</f>
        <v>0</v>
      </c>
      <c r="AR88" s="816">
        <f>FLN!AK88</f>
        <v>0</v>
      </c>
      <c r="AS88" s="816">
        <f>FLN!AL88</f>
        <v>0</v>
      </c>
      <c r="AT88" s="816">
        <f>FLN!AM88</f>
        <v>0</v>
      </c>
      <c r="AU88" s="823" t="str">
        <f t="shared" si="31"/>
        <v>858</v>
      </c>
      <c r="AV88" s="816">
        <f>FLN!AN88</f>
        <v>0</v>
      </c>
      <c r="AW88" s="816">
        <f>FLN!AO88</f>
        <v>0</v>
      </c>
      <c r="AX88" s="816">
        <f>FLN!AP88</f>
        <v>0</v>
      </c>
      <c r="AY88" s="816">
        <f>FLN!AQ88</f>
        <v>0</v>
      </c>
      <c r="AZ88" s="823" t="str">
        <f t="shared" si="32"/>
        <v>859</v>
      </c>
      <c r="BA88" s="816">
        <f>FLN!AR88</f>
        <v>0</v>
      </c>
      <c r="BB88" s="816">
        <f>FLN!AS88</f>
        <v>0</v>
      </c>
      <c r="BC88" s="816">
        <f>FLN!AT88</f>
        <v>0</v>
      </c>
      <c r="BD88" s="816">
        <f>FLN!AU88</f>
        <v>0</v>
      </c>
      <c r="BE88" s="823" t="str">
        <f t="shared" si="33"/>
        <v>8510</v>
      </c>
      <c r="BF88" s="816">
        <f>FLN!AV88</f>
        <v>0</v>
      </c>
      <c r="BG88" s="816">
        <f>FLN!AW88</f>
        <v>0</v>
      </c>
      <c r="BH88" s="816">
        <f>FLN!AX88</f>
        <v>0</v>
      </c>
      <c r="BI88" s="816">
        <f>FLN!AY88</f>
        <v>0</v>
      </c>
      <c r="BJ88" s="823" t="str">
        <f t="shared" si="34"/>
        <v>8511</v>
      </c>
      <c r="BK88" s="816">
        <f>FLN!AZ88</f>
        <v>0</v>
      </c>
      <c r="BL88" s="816">
        <f>FLN!BA88</f>
        <v>0</v>
      </c>
      <c r="BM88" s="816">
        <f>FLN!BB88</f>
        <v>0</v>
      </c>
      <c r="BN88" s="816">
        <f>FLN!BC88</f>
        <v>0</v>
      </c>
      <c r="BO88" s="823" t="str">
        <f t="shared" si="35"/>
        <v>8512</v>
      </c>
      <c r="BP88" s="816">
        <f>FLN!BD88</f>
        <v>0</v>
      </c>
      <c r="BQ88" s="816">
        <f>FLN!BE88</f>
        <v>0</v>
      </c>
      <c r="BR88" s="816">
        <f>FLN!BF88</f>
        <v>0</v>
      </c>
      <c r="BS88" s="816">
        <f>FLN!BG88</f>
        <v>0</v>
      </c>
      <c r="BT88" s="823" t="str">
        <f t="shared" si="36"/>
        <v>8513</v>
      </c>
      <c r="BU88" s="816">
        <f>FLN!BH88</f>
        <v>0</v>
      </c>
      <c r="BV88" s="816">
        <f>FLN!BI88</f>
        <v>0</v>
      </c>
      <c r="BW88" s="816">
        <f>FLN!BJ88</f>
        <v>0</v>
      </c>
      <c r="BX88" s="816">
        <f>FLN!BK88</f>
        <v>0</v>
      </c>
      <c r="BY88" s="823" t="str">
        <f t="shared" si="37"/>
        <v>8514</v>
      </c>
      <c r="BZ88" s="816">
        <f>FLN!BL88</f>
        <v>0</v>
      </c>
      <c r="CA88" s="816">
        <f>FLN!BM88</f>
        <v>0</v>
      </c>
      <c r="CB88" s="816">
        <f>FLN!BN88</f>
        <v>0</v>
      </c>
      <c r="CC88" s="816">
        <f>FLN!BO88</f>
        <v>0</v>
      </c>
      <c r="CD88" s="823" t="str">
        <f t="shared" si="38"/>
        <v>8515</v>
      </c>
      <c r="CE88" s="816">
        <f>FLN!BP88</f>
        <v>0</v>
      </c>
      <c r="CF88" s="816">
        <f>FLN!BQ88</f>
        <v>0</v>
      </c>
      <c r="CG88" s="816">
        <f>FLN!BR88</f>
        <v>0</v>
      </c>
      <c r="CH88" s="816">
        <f>FLN!BS88</f>
        <v>0</v>
      </c>
      <c r="CI88" s="823" t="str">
        <f t="shared" si="39"/>
        <v>8516</v>
      </c>
      <c r="CJ88" s="816">
        <f>FLN!BT88</f>
        <v>0</v>
      </c>
      <c r="CK88" s="816">
        <f>FLN!BU88</f>
        <v>0</v>
      </c>
      <c r="CL88" s="816">
        <f>FLN!BV88</f>
        <v>0</v>
      </c>
      <c r="CM88" s="816">
        <f>FLN!BW88</f>
        <v>0</v>
      </c>
      <c r="CN88" s="823" t="str">
        <f t="shared" si="40"/>
        <v>8517</v>
      </c>
      <c r="CO88" s="816">
        <f>FLN!BX88</f>
        <v>0</v>
      </c>
      <c r="CP88" s="816">
        <f>FLN!BY88</f>
        <v>0</v>
      </c>
      <c r="CQ88" s="816">
        <f>FLN!BZ88</f>
        <v>0</v>
      </c>
      <c r="CR88" s="816">
        <f>FLN!CA88</f>
        <v>0</v>
      </c>
      <c r="CS88" s="823" t="str">
        <f t="shared" si="41"/>
        <v>8518</v>
      </c>
      <c r="CT88" s="816">
        <f>FLN!CB88</f>
        <v>0</v>
      </c>
      <c r="CU88" s="816">
        <f>FLN!CC88</f>
        <v>0</v>
      </c>
      <c r="CV88" s="816">
        <f>FLN!CD88</f>
        <v>0</v>
      </c>
      <c r="CW88" s="816">
        <f>FLN!CE88</f>
        <v>0</v>
      </c>
      <c r="CX88" s="823" t="str">
        <f t="shared" si="42"/>
        <v>8519</v>
      </c>
      <c r="CY88" s="816">
        <f>FLN!CF88</f>
        <v>0</v>
      </c>
      <c r="CZ88" s="816">
        <f>FLN!CG88</f>
        <v>0</v>
      </c>
      <c r="DA88" s="816">
        <f>FLN!CH88</f>
        <v>0</v>
      </c>
      <c r="DB88" s="816">
        <f>FLN!CI88</f>
        <v>0</v>
      </c>
      <c r="DC88" s="823" t="str">
        <f t="shared" si="43"/>
        <v>8520</v>
      </c>
      <c r="DD88" s="816">
        <f>FLN!CJ88</f>
        <v>0</v>
      </c>
      <c r="DE88" s="816">
        <f>FLN!CK88</f>
        <v>0</v>
      </c>
      <c r="DF88" s="816">
        <f>FLN!CL88</f>
        <v>0</v>
      </c>
      <c r="DG88" s="816">
        <f>FLN!CM88</f>
        <v>0</v>
      </c>
      <c r="DH88" s="823" t="str">
        <f t="shared" si="44"/>
        <v>8521</v>
      </c>
      <c r="DI88" s="816">
        <f>FLN!CN88</f>
        <v>0</v>
      </c>
      <c r="DJ88" s="816">
        <f>FLN!CO88</f>
        <v>0</v>
      </c>
      <c r="DK88" s="816">
        <f>FLN!CP88</f>
        <v>0</v>
      </c>
      <c r="DL88" s="816">
        <f>FLN!CQ88</f>
        <v>0</v>
      </c>
      <c r="DM88" s="823" t="str">
        <f t="shared" si="45"/>
        <v>8522</v>
      </c>
      <c r="DN88" s="816">
        <f>FLN!CR88</f>
        <v>0</v>
      </c>
      <c r="DO88" s="816">
        <f>FLN!CS88</f>
        <v>0</v>
      </c>
      <c r="DP88" s="816">
        <f>FLN!CT88</f>
        <v>0</v>
      </c>
      <c r="DQ88" s="816">
        <f>FLN!CU88</f>
        <v>0</v>
      </c>
      <c r="DR88" s="823" t="str">
        <f t="shared" si="46"/>
        <v>8523</v>
      </c>
      <c r="DS88" s="816">
        <f>FLN!CV88</f>
        <v>0</v>
      </c>
      <c r="DT88" s="816">
        <f>FLN!CW88</f>
        <v>0</v>
      </c>
      <c r="DU88" s="816">
        <f>FLN!CX88</f>
        <v>0</v>
      </c>
      <c r="DV88" s="816">
        <f>FLN!CY88</f>
        <v>0</v>
      </c>
      <c r="DW88" s="823" t="str">
        <f t="shared" si="47"/>
        <v>8524</v>
      </c>
      <c r="DX88" s="816">
        <f>FLN!CZ88</f>
        <v>0</v>
      </c>
      <c r="DY88" s="816">
        <f>FLN!DA88</f>
        <v>0</v>
      </c>
      <c r="DZ88" s="816">
        <f>FLN!DB88</f>
        <v>0</v>
      </c>
      <c r="EA88" s="816">
        <f>FLN!DC88</f>
        <v>0</v>
      </c>
      <c r="EB88" s="823" t="str">
        <f t="shared" si="48"/>
        <v>8525</v>
      </c>
      <c r="EC88" s="816">
        <f>FLN!DD88</f>
        <v>0</v>
      </c>
      <c r="ED88" s="816">
        <f>FLN!DE88</f>
        <v>0</v>
      </c>
      <c r="EE88" s="816">
        <f>FLN!DF88</f>
        <v>0</v>
      </c>
      <c r="EF88" s="816">
        <f>FLN!DG88</f>
        <v>0</v>
      </c>
    </row>
    <row r="89" spans="1:136">
      <c r="A89" s="824">
        <v>86</v>
      </c>
      <c r="B89" s="824">
        <f>STUDENT!F87</f>
        <v>0</v>
      </c>
      <c r="C89" s="824">
        <f>STUDENT!D87</f>
        <v>0</v>
      </c>
      <c r="D89" s="827">
        <f>STUDENT!E87</f>
        <v>0</v>
      </c>
      <c r="E89" s="827">
        <f>STUDENT!H87</f>
        <v>0</v>
      </c>
      <c r="F89" s="828">
        <f>FLN!F89</f>
        <v>0</v>
      </c>
      <c r="G89" s="828">
        <f>FLN!G89</f>
        <v>0</v>
      </c>
      <c r="H89" s="828">
        <f>FLN!H89</f>
        <v>0</v>
      </c>
      <c r="I89" s="824" t="str">
        <f>FLN!I89</f>
        <v/>
      </c>
      <c r="J89" s="824" t="str">
        <f>FLN!J89</f>
        <v/>
      </c>
      <c r="K89" s="824" t="str">
        <f>FLN!K89</f>
        <v/>
      </c>
      <c r="L89" s="823" t="str">
        <f t="shared" si="49"/>
        <v>861</v>
      </c>
      <c r="M89" s="816">
        <f>FLN!L89</f>
        <v>0</v>
      </c>
      <c r="N89" s="816">
        <f>FLN!M89</f>
        <v>0</v>
      </c>
      <c r="O89" s="816">
        <f>FLN!N89</f>
        <v>0</v>
      </c>
      <c r="P89" s="816">
        <f>FLN!O89</f>
        <v>0</v>
      </c>
      <c r="Q89" s="823" t="str">
        <f t="shared" si="25"/>
        <v>862</v>
      </c>
      <c r="R89" s="816">
        <f>FLN!P89</f>
        <v>0</v>
      </c>
      <c r="S89" s="816">
        <f>FLN!Q89</f>
        <v>0</v>
      </c>
      <c r="T89" s="816">
        <f>FLN!R89</f>
        <v>0</v>
      </c>
      <c r="U89" s="816">
        <f>FLN!S89</f>
        <v>0</v>
      </c>
      <c r="V89" s="823" t="str">
        <f t="shared" si="26"/>
        <v>863</v>
      </c>
      <c r="W89" s="816">
        <f>FLN!T89</f>
        <v>0</v>
      </c>
      <c r="X89" s="816">
        <f>FLN!U89</f>
        <v>0</v>
      </c>
      <c r="Y89" s="816">
        <f>FLN!V89</f>
        <v>0</v>
      </c>
      <c r="Z89" s="816">
        <f>FLN!W89</f>
        <v>0</v>
      </c>
      <c r="AA89" s="823" t="str">
        <f t="shared" si="27"/>
        <v>864</v>
      </c>
      <c r="AB89" s="816">
        <f>FLN!X89</f>
        <v>0</v>
      </c>
      <c r="AC89" s="816">
        <f>FLN!Y89</f>
        <v>0</v>
      </c>
      <c r="AD89" s="816">
        <f>FLN!Z89</f>
        <v>0</v>
      </c>
      <c r="AE89" s="816">
        <f>FLN!AA89</f>
        <v>0</v>
      </c>
      <c r="AF89" s="823" t="str">
        <f t="shared" si="28"/>
        <v>865</v>
      </c>
      <c r="AG89" s="816">
        <f>FLN!AB89</f>
        <v>0</v>
      </c>
      <c r="AH89" s="816">
        <f>FLN!AC89</f>
        <v>0</v>
      </c>
      <c r="AI89" s="816">
        <f>FLN!AD89</f>
        <v>0</v>
      </c>
      <c r="AJ89" s="816">
        <f>FLN!AE89</f>
        <v>0</v>
      </c>
      <c r="AK89" s="823" t="str">
        <f t="shared" si="29"/>
        <v>866</v>
      </c>
      <c r="AL89" s="816">
        <f>FLN!AF89</f>
        <v>0</v>
      </c>
      <c r="AM89" s="816">
        <f>FLN!AG89</f>
        <v>0</v>
      </c>
      <c r="AN89" s="816">
        <f>FLN!AH89</f>
        <v>0</v>
      </c>
      <c r="AO89" s="816">
        <f>FLN!AI89</f>
        <v>0</v>
      </c>
      <c r="AP89" s="823" t="str">
        <f t="shared" si="30"/>
        <v>867</v>
      </c>
      <c r="AQ89" s="816">
        <f>FLN!AJ89</f>
        <v>0</v>
      </c>
      <c r="AR89" s="816">
        <f>FLN!AK89</f>
        <v>0</v>
      </c>
      <c r="AS89" s="816">
        <f>FLN!AL89</f>
        <v>0</v>
      </c>
      <c r="AT89" s="816">
        <f>FLN!AM89</f>
        <v>0</v>
      </c>
      <c r="AU89" s="823" t="str">
        <f t="shared" si="31"/>
        <v>868</v>
      </c>
      <c r="AV89" s="816">
        <f>FLN!AN89</f>
        <v>0</v>
      </c>
      <c r="AW89" s="816">
        <f>FLN!AO89</f>
        <v>0</v>
      </c>
      <c r="AX89" s="816">
        <f>FLN!AP89</f>
        <v>0</v>
      </c>
      <c r="AY89" s="816">
        <f>FLN!AQ89</f>
        <v>0</v>
      </c>
      <c r="AZ89" s="823" t="str">
        <f t="shared" si="32"/>
        <v>869</v>
      </c>
      <c r="BA89" s="816">
        <f>FLN!AR89</f>
        <v>0</v>
      </c>
      <c r="BB89" s="816">
        <f>FLN!AS89</f>
        <v>0</v>
      </c>
      <c r="BC89" s="816">
        <f>FLN!AT89</f>
        <v>0</v>
      </c>
      <c r="BD89" s="816">
        <f>FLN!AU89</f>
        <v>0</v>
      </c>
      <c r="BE89" s="823" t="str">
        <f t="shared" si="33"/>
        <v>8610</v>
      </c>
      <c r="BF89" s="816">
        <f>FLN!AV89</f>
        <v>0</v>
      </c>
      <c r="BG89" s="816">
        <f>FLN!AW89</f>
        <v>0</v>
      </c>
      <c r="BH89" s="816">
        <f>FLN!AX89</f>
        <v>0</v>
      </c>
      <c r="BI89" s="816">
        <f>FLN!AY89</f>
        <v>0</v>
      </c>
      <c r="BJ89" s="823" t="str">
        <f t="shared" si="34"/>
        <v>8611</v>
      </c>
      <c r="BK89" s="816">
        <f>FLN!AZ89</f>
        <v>0</v>
      </c>
      <c r="BL89" s="816">
        <f>FLN!BA89</f>
        <v>0</v>
      </c>
      <c r="BM89" s="816">
        <f>FLN!BB89</f>
        <v>0</v>
      </c>
      <c r="BN89" s="816">
        <f>FLN!BC89</f>
        <v>0</v>
      </c>
      <c r="BO89" s="823" t="str">
        <f t="shared" si="35"/>
        <v>8612</v>
      </c>
      <c r="BP89" s="816">
        <f>FLN!BD89</f>
        <v>0</v>
      </c>
      <c r="BQ89" s="816">
        <f>FLN!BE89</f>
        <v>0</v>
      </c>
      <c r="BR89" s="816">
        <f>FLN!BF89</f>
        <v>0</v>
      </c>
      <c r="BS89" s="816">
        <f>FLN!BG89</f>
        <v>0</v>
      </c>
      <c r="BT89" s="823" t="str">
        <f t="shared" si="36"/>
        <v>8613</v>
      </c>
      <c r="BU89" s="816">
        <f>FLN!BH89</f>
        <v>0</v>
      </c>
      <c r="BV89" s="816">
        <f>FLN!BI89</f>
        <v>0</v>
      </c>
      <c r="BW89" s="816">
        <f>FLN!BJ89</f>
        <v>0</v>
      </c>
      <c r="BX89" s="816">
        <f>FLN!BK89</f>
        <v>0</v>
      </c>
      <c r="BY89" s="823" t="str">
        <f t="shared" si="37"/>
        <v>8614</v>
      </c>
      <c r="BZ89" s="816">
        <f>FLN!BL89</f>
        <v>0</v>
      </c>
      <c r="CA89" s="816">
        <f>FLN!BM89</f>
        <v>0</v>
      </c>
      <c r="CB89" s="816">
        <f>FLN!BN89</f>
        <v>0</v>
      </c>
      <c r="CC89" s="816">
        <f>FLN!BO89</f>
        <v>0</v>
      </c>
      <c r="CD89" s="823" t="str">
        <f t="shared" si="38"/>
        <v>8615</v>
      </c>
      <c r="CE89" s="816">
        <f>FLN!BP89</f>
        <v>0</v>
      </c>
      <c r="CF89" s="816">
        <f>FLN!BQ89</f>
        <v>0</v>
      </c>
      <c r="CG89" s="816">
        <f>FLN!BR89</f>
        <v>0</v>
      </c>
      <c r="CH89" s="816">
        <f>FLN!BS89</f>
        <v>0</v>
      </c>
      <c r="CI89" s="823" t="str">
        <f t="shared" si="39"/>
        <v>8616</v>
      </c>
      <c r="CJ89" s="816">
        <f>FLN!BT89</f>
        <v>0</v>
      </c>
      <c r="CK89" s="816">
        <f>FLN!BU89</f>
        <v>0</v>
      </c>
      <c r="CL89" s="816">
        <f>FLN!BV89</f>
        <v>0</v>
      </c>
      <c r="CM89" s="816">
        <f>FLN!BW89</f>
        <v>0</v>
      </c>
      <c r="CN89" s="823" t="str">
        <f t="shared" si="40"/>
        <v>8617</v>
      </c>
      <c r="CO89" s="816">
        <f>FLN!BX89</f>
        <v>0</v>
      </c>
      <c r="CP89" s="816">
        <f>FLN!BY89</f>
        <v>0</v>
      </c>
      <c r="CQ89" s="816">
        <f>FLN!BZ89</f>
        <v>0</v>
      </c>
      <c r="CR89" s="816">
        <f>FLN!CA89</f>
        <v>0</v>
      </c>
      <c r="CS89" s="823" t="str">
        <f t="shared" si="41"/>
        <v>8618</v>
      </c>
      <c r="CT89" s="816">
        <f>FLN!CB89</f>
        <v>0</v>
      </c>
      <c r="CU89" s="816">
        <f>FLN!CC89</f>
        <v>0</v>
      </c>
      <c r="CV89" s="816">
        <f>FLN!CD89</f>
        <v>0</v>
      </c>
      <c r="CW89" s="816">
        <f>FLN!CE89</f>
        <v>0</v>
      </c>
      <c r="CX89" s="823" t="str">
        <f t="shared" si="42"/>
        <v>8619</v>
      </c>
      <c r="CY89" s="816">
        <f>FLN!CF89</f>
        <v>0</v>
      </c>
      <c r="CZ89" s="816">
        <f>FLN!CG89</f>
        <v>0</v>
      </c>
      <c r="DA89" s="816">
        <f>FLN!CH89</f>
        <v>0</v>
      </c>
      <c r="DB89" s="816">
        <f>FLN!CI89</f>
        <v>0</v>
      </c>
      <c r="DC89" s="823" t="str">
        <f t="shared" si="43"/>
        <v>8620</v>
      </c>
      <c r="DD89" s="816">
        <f>FLN!CJ89</f>
        <v>0</v>
      </c>
      <c r="DE89" s="816">
        <f>FLN!CK89</f>
        <v>0</v>
      </c>
      <c r="DF89" s="816">
        <f>FLN!CL89</f>
        <v>0</v>
      </c>
      <c r="DG89" s="816">
        <f>FLN!CM89</f>
        <v>0</v>
      </c>
      <c r="DH89" s="823" t="str">
        <f t="shared" si="44"/>
        <v>8621</v>
      </c>
      <c r="DI89" s="816">
        <f>FLN!CN89</f>
        <v>0</v>
      </c>
      <c r="DJ89" s="816">
        <f>FLN!CO89</f>
        <v>0</v>
      </c>
      <c r="DK89" s="816">
        <f>FLN!CP89</f>
        <v>0</v>
      </c>
      <c r="DL89" s="816">
        <f>FLN!CQ89</f>
        <v>0</v>
      </c>
      <c r="DM89" s="823" t="str">
        <f t="shared" si="45"/>
        <v>8622</v>
      </c>
      <c r="DN89" s="816">
        <f>FLN!CR89</f>
        <v>0</v>
      </c>
      <c r="DO89" s="816">
        <f>FLN!CS89</f>
        <v>0</v>
      </c>
      <c r="DP89" s="816">
        <f>FLN!CT89</f>
        <v>0</v>
      </c>
      <c r="DQ89" s="816">
        <f>FLN!CU89</f>
        <v>0</v>
      </c>
      <c r="DR89" s="823" t="str">
        <f t="shared" si="46"/>
        <v>8623</v>
      </c>
      <c r="DS89" s="816">
        <f>FLN!CV89</f>
        <v>0</v>
      </c>
      <c r="DT89" s="816">
        <f>FLN!CW89</f>
        <v>0</v>
      </c>
      <c r="DU89" s="816">
        <f>FLN!CX89</f>
        <v>0</v>
      </c>
      <c r="DV89" s="816">
        <f>FLN!CY89</f>
        <v>0</v>
      </c>
      <c r="DW89" s="823" t="str">
        <f t="shared" si="47"/>
        <v>8624</v>
      </c>
      <c r="DX89" s="816">
        <f>FLN!CZ89</f>
        <v>0</v>
      </c>
      <c r="DY89" s="816">
        <f>FLN!DA89</f>
        <v>0</v>
      </c>
      <c r="DZ89" s="816">
        <f>FLN!DB89</f>
        <v>0</v>
      </c>
      <c r="EA89" s="816">
        <f>FLN!DC89</f>
        <v>0</v>
      </c>
      <c r="EB89" s="823" t="str">
        <f t="shared" si="48"/>
        <v>8625</v>
      </c>
      <c r="EC89" s="816">
        <f>FLN!DD89</f>
        <v>0</v>
      </c>
      <c r="ED89" s="816">
        <f>FLN!DE89</f>
        <v>0</v>
      </c>
      <c r="EE89" s="816">
        <f>FLN!DF89</f>
        <v>0</v>
      </c>
      <c r="EF89" s="816">
        <f>FLN!DG89</f>
        <v>0</v>
      </c>
    </row>
    <row r="90" spans="1:136">
      <c r="A90" s="824">
        <v>87</v>
      </c>
      <c r="B90" s="824">
        <f>STUDENT!F88</f>
        <v>0</v>
      </c>
      <c r="C90" s="824">
        <f>STUDENT!D88</f>
        <v>0</v>
      </c>
      <c r="D90" s="827">
        <f>STUDENT!E88</f>
        <v>0</v>
      </c>
      <c r="E90" s="827">
        <f>STUDENT!H88</f>
        <v>0</v>
      </c>
      <c r="F90" s="828">
        <f>FLN!F90</f>
        <v>0</v>
      </c>
      <c r="G90" s="828">
        <f>FLN!G90</f>
        <v>0</v>
      </c>
      <c r="H90" s="828">
        <f>FLN!H90</f>
        <v>0</v>
      </c>
      <c r="I90" s="824" t="str">
        <f>FLN!I90</f>
        <v/>
      </c>
      <c r="J90" s="824" t="str">
        <f>FLN!J90</f>
        <v/>
      </c>
      <c r="K90" s="824" t="str">
        <f>FLN!K90</f>
        <v/>
      </c>
      <c r="L90" s="823" t="str">
        <f t="shared" si="49"/>
        <v>871</v>
      </c>
      <c r="M90" s="816">
        <f>FLN!L90</f>
        <v>0</v>
      </c>
      <c r="N90" s="816">
        <f>FLN!M90</f>
        <v>0</v>
      </c>
      <c r="O90" s="816">
        <f>FLN!N90</f>
        <v>0</v>
      </c>
      <c r="P90" s="816">
        <f>FLN!O90</f>
        <v>0</v>
      </c>
      <c r="Q90" s="823" t="str">
        <f t="shared" si="25"/>
        <v>872</v>
      </c>
      <c r="R90" s="816">
        <f>FLN!P90</f>
        <v>0</v>
      </c>
      <c r="S90" s="816">
        <f>FLN!Q90</f>
        <v>0</v>
      </c>
      <c r="T90" s="816">
        <f>FLN!R90</f>
        <v>0</v>
      </c>
      <c r="U90" s="816">
        <f>FLN!S90</f>
        <v>0</v>
      </c>
      <c r="V90" s="823" t="str">
        <f t="shared" si="26"/>
        <v>873</v>
      </c>
      <c r="W90" s="816">
        <f>FLN!T90</f>
        <v>0</v>
      </c>
      <c r="X90" s="816">
        <f>FLN!U90</f>
        <v>0</v>
      </c>
      <c r="Y90" s="816">
        <f>FLN!V90</f>
        <v>0</v>
      </c>
      <c r="Z90" s="816">
        <f>FLN!W90</f>
        <v>0</v>
      </c>
      <c r="AA90" s="823" t="str">
        <f t="shared" si="27"/>
        <v>874</v>
      </c>
      <c r="AB90" s="816">
        <f>FLN!X90</f>
        <v>0</v>
      </c>
      <c r="AC90" s="816">
        <f>FLN!Y90</f>
        <v>0</v>
      </c>
      <c r="AD90" s="816">
        <f>FLN!Z90</f>
        <v>0</v>
      </c>
      <c r="AE90" s="816">
        <f>FLN!AA90</f>
        <v>0</v>
      </c>
      <c r="AF90" s="823" t="str">
        <f t="shared" si="28"/>
        <v>875</v>
      </c>
      <c r="AG90" s="816">
        <f>FLN!AB90</f>
        <v>0</v>
      </c>
      <c r="AH90" s="816">
        <f>FLN!AC90</f>
        <v>0</v>
      </c>
      <c r="AI90" s="816">
        <f>FLN!AD90</f>
        <v>0</v>
      </c>
      <c r="AJ90" s="816">
        <f>FLN!AE90</f>
        <v>0</v>
      </c>
      <c r="AK90" s="823" t="str">
        <f t="shared" si="29"/>
        <v>876</v>
      </c>
      <c r="AL90" s="816">
        <f>FLN!AF90</f>
        <v>0</v>
      </c>
      <c r="AM90" s="816">
        <f>FLN!AG90</f>
        <v>0</v>
      </c>
      <c r="AN90" s="816">
        <f>FLN!AH90</f>
        <v>0</v>
      </c>
      <c r="AO90" s="816">
        <f>FLN!AI90</f>
        <v>0</v>
      </c>
      <c r="AP90" s="823" t="str">
        <f t="shared" si="30"/>
        <v>877</v>
      </c>
      <c r="AQ90" s="816">
        <f>FLN!AJ90</f>
        <v>0</v>
      </c>
      <c r="AR90" s="816">
        <f>FLN!AK90</f>
        <v>0</v>
      </c>
      <c r="AS90" s="816">
        <f>FLN!AL90</f>
        <v>0</v>
      </c>
      <c r="AT90" s="816">
        <f>FLN!AM90</f>
        <v>0</v>
      </c>
      <c r="AU90" s="823" t="str">
        <f t="shared" si="31"/>
        <v>878</v>
      </c>
      <c r="AV90" s="816">
        <f>FLN!AN90</f>
        <v>0</v>
      </c>
      <c r="AW90" s="816">
        <f>FLN!AO90</f>
        <v>0</v>
      </c>
      <c r="AX90" s="816">
        <f>FLN!AP90</f>
        <v>0</v>
      </c>
      <c r="AY90" s="816">
        <f>FLN!AQ90</f>
        <v>0</v>
      </c>
      <c r="AZ90" s="823" t="str">
        <f t="shared" si="32"/>
        <v>879</v>
      </c>
      <c r="BA90" s="816">
        <f>FLN!AR90</f>
        <v>0</v>
      </c>
      <c r="BB90" s="816">
        <f>FLN!AS90</f>
        <v>0</v>
      </c>
      <c r="BC90" s="816">
        <f>FLN!AT90</f>
        <v>0</v>
      </c>
      <c r="BD90" s="816">
        <f>FLN!AU90</f>
        <v>0</v>
      </c>
      <c r="BE90" s="823" t="str">
        <f t="shared" si="33"/>
        <v>8710</v>
      </c>
      <c r="BF90" s="816">
        <f>FLN!AV90</f>
        <v>0</v>
      </c>
      <c r="BG90" s="816">
        <f>FLN!AW90</f>
        <v>0</v>
      </c>
      <c r="BH90" s="816">
        <f>FLN!AX90</f>
        <v>0</v>
      </c>
      <c r="BI90" s="816">
        <f>FLN!AY90</f>
        <v>0</v>
      </c>
      <c r="BJ90" s="823" t="str">
        <f t="shared" si="34"/>
        <v>8711</v>
      </c>
      <c r="BK90" s="816">
        <f>FLN!AZ90</f>
        <v>0</v>
      </c>
      <c r="BL90" s="816">
        <f>FLN!BA90</f>
        <v>0</v>
      </c>
      <c r="BM90" s="816">
        <f>FLN!BB90</f>
        <v>0</v>
      </c>
      <c r="BN90" s="816">
        <f>FLN!BC90</f>
        <v>0</v>
      </c>
      <c r="BO90" s="823" t="str">
        <f t="shared" si="35"/>
        <v>8712</v>
      </c>
      <c r="BP90" s="816">
        <f>FLN!BD90</f>
        <v>0</v>
      </c>
      <c r="BQ90" s="816">
        <f>FLN!BE90</f>
        <v>0</v>
      </c>
      <c r="BR90" s="816">
        <f>FLN!BF90</f>
        <v>0</v>
      </c>
      <c r="BS90" s="816">
        <f>FLN!BG90</f>
        <v>0</v>
      </c>
      <c r="BT90" s="823" t="str">
        <f t="shared" si="36"/>
        <v>8713</v>
      </c>
      <c r="BU90" s="816">
        <f>FLN!BH90</f>
        <v>0</v>
      </c>
      <c r="BV90" s="816">
        <f>FLN!BI90</f>
        <v>0</v>
      </c>
      <c r="BW90" s="816">
        <f>FLN!BJ90</f>
        <v>0</v>
      </c>
      <c r="BX90" s="816">
        <f>FLN!BK90</f>
        <v>0</v>
      </c>
      <c r="BY90" s="823" t="str">
        <f t="shared" si="37"/>
        <v>8714</v>
      </c>
      <c r="BZ90" s="816">
        <f>FLN!BL90</f>
        <v>0</v>
      </c>
      <c r="CA90" s="816">
        <f>FLN!BM90</f>
        <v>0</v>
      </c>
      <c r="CB90" s="816">
        <f>FLN!BN90</f>
        <v>0</v>
      </c>
      <c r="CC90" s="816">
        <f>FLN!BO90</f>
        <v>0</v>
      </c>
      <c r="CD90" s="823" t="str">
        <f t="shared" si="38"/>
        <v>8715</v>
      </c>
      <c r="CE90" s="816">
        <f>FLN!BP90</f>
        <v>0</v>
      </c>
      <c r="CF90" s="816">
        <f>FLN!BQ90</f>
        <v>0</v>
      </c>
      <c r="CG90" s="816">
        <f>FLN!BR90</f>
        <v>0</v>
      </c>
      <c r="CH90" s="816">
        <f>FLN!BS90</f>
        <v>0</v>
      </c>
      <c r="CI90" s="823" t="str">
        <f t="shared" si="39"/>
        <v>8716</v>
      </c>
      <c r="CJ90" s="816">
        <f>FLN!BT90</f>
        <v>0</v>
      </c>
      <c r="CK90" s="816">
        <f>FLN!BU90</f>
        <v>0</v>
      </c>
      <c r="CL90" s="816">
        <f>FLN!BV90</f>
        <v>0</v>
      </c>
      <c r="CM90" s="816">
        <f>FLN!BW90</f>
        <v>0</v>
      </c>
      <c r="CN90" s="823" t="str">
        <f t="shared" si="40"/>
        <v>8717</v>
      </c>
      <c r="CO90" s="816">
        <f>FLN!BX90</f>
        <v>0</v>
      </c>
      <c r="CP90" s="816">
        <f>FLN!BY90</f>
        <v>0</v>
      </c>
      <c r="CQ90" s="816">
        <f>FLN!BZ90</f>
        <v>0</v>
      </c>
      <c r="CR90" s="816">
        <f>FLN!CA90</f>
        <v>0</v>
      </c>
      <c r="CS90" s="823" t="str">
        <f t="shared" si="41"/>
        <v>8718</v>
      </c>
      <c r="CT90" s="816">
        <f>FLN!CB90</f>
        <v>0</v>
      </c>
      <c r="CU90" s="816">
        <f>FLN!CC90</f>
        <v>0</v>
      </c>
      <c r="CV90" s="816">
        <f>FLN!CD90</f>
        <v>0</v>
      </c>
      <c r="CW90" s="816">
        <f>FLN!CE90</f>
        <v>0</v>
      </c>
      <c r="CX90" s="823" t="str">
        <f t="shared" si="42"/>
        <v>8719</v>
      </c>
      <c r="CY90" s="816">
        <f>FLN!CF90</f>
        <v>0</v>
      </c>
      <c r="CZ90" s="816">
        <f>FLN!CG90</f>
        <v>0</v>
      </c>
      <c r="DA90" s="816">
        <f>FLN!CH90</f>
        <v>0</v>
      </c>
      <c r="DB90" s="816">
        <f>FLN!CI90</f>
        <v>0</v>
      </c>
      <c r="DC90" s="823" t="str">
        <f t="shared" si="43"/>
        <v>8720</v>
      </c>
      <c r="DD90" s="816">
        <f>FLN!CJ90</f>
        <v>0</v>
      </c>
      <c r="DE90" s="816">
        <f>FLN!CK90</f>
        <v>0</v>
      </c>
      <c r="DF90" s="816">
        <f>FLN!CL90</f>
        <v>0</v>
      </c>
      <c r="DG90" s="816">
        <f>FLN!CM90</f>
        <v>0</v>
      </c>
      <c r="DH90" s="823" t="str">
        <f t="shared" si="44"/>
        <v>8721</v>
      </c>
      <c r="DI90" s="816">
        <f>FLN!CN90</f>
        <v>0</v>
      </c>
      <c r="DJ90" s="816">
        <f>FLN!CO90</f>
        <v>0</v>
      </c>
      <c r="DK90" s="816">
        <f>FLN!CP90</f>
        <v>0</v>
      </c>
      <c r="DL90" s="816">
        <f>FLN!CQ90</f>
        <v>0</v>
      </c>
      <c r="DM90" s="823" t="str">
        <f t="shared" si="45"/>
        <v>8722</v>
      </c>
      <c r="DN90" s="816">
        <f>FLN!CR90</f>
        <v>0</v>
      </c>
      <c r="DO90" s="816">
        <f>FLN!CS90</f>
        <v>0</v>
      </c>
      <c r="DP90" s="816">
        <f>FLN!CT90</f>
        <v>0</v>
      </c>
      <c r="DQ90" s="816">
        <f>FLN!CU90</f>
        <v>0</v>
      </c>
      <c r="DR90" s="823" t="str">
        <f t="shared" si="46"/>
        <v>8723</v>
      </c>
      <c r="DS90" s="816">
        <f>FLN!CV90</f>
        <v>0</v>
      </c>
      <c r="DT90" s="816">
        <f>FLN!CW90</f>
        <v>0</v>
      </c>
      <c r="DU90" s="816">
        <f>FLN!CX90</f>
        <v>0</v>
      </c>
      <c r="DV90" s="816">
        <f>FLN!CY90</f>
        <v>0</v>
      </c>
      <c r="DW90" s="823" t="str">
        <f t="shared" si="47"/>
        <v>8724</v>
      </c>
      <c r="DX90" s="816">
        <f>FLN!CZ90</f>
        <v>0</v>
      </c>
      <c r="DY90" s="816">
        <f>FLN!DA90</f>
        <v>0</v>
      </c>
      <c r="DZ90" s="816">
        <f>FLN!DB90</f>
        <v>0</v>
      </c>
      <c r="EA90" s="816">
        <f>FLN!DC90</f>
        <v>0</v>
      </c>
      <c r="EB90" s="823" t="str">
        <f t="shared" si="48"/>
        <v>8725</v>
      </c>
      <c r="EC90" s="816">
        <f>FLN!DD90</f>
        <v>0</v>
      </c>
      <c r="ED90" s="816">
        <f>FLN!DE90</f>
        <v>0</v>
      </c>
      <c r="EE90" s="816">
        <f>FLN!DF90</f>
        <v>0</v>
      </c>
      <c r="EF90" s="816">
        <f>FLN!DG90</f>
        <v>0</v>
      </c>
    </row>
    <row r="91" spans="1:136">
      <c r="A91" s="824">
        <v>88</v>
      </c>
      <c r="B91" s="824">
        <f>STUDENT!F89</f>
        <v>0</v>
      </c>
      <c r="C91" s="824">
        <f>STUDENT!D89</f>
        <v>0</v>
      </c>
      <c r="D91" s="827">
        <f>STUDENT!E89</f>
        <v>0</v>
      </c>
      <c r="E91" s="827">
        <f>STUDENT!H89</f>
        <v>0</v>
      </c>
      <c r="F91" s="828">
        <f>FLN!F91</f>
        <v>0</v>
      </c>
      <c r="G91" s="828">
        <f>FLN!G91</f>
        <v>0</v>
      </c>
      <c r="H91" s="828">
        <f>FLN!H91</f>
        <v>0</v>
      </c>
      <c r="I91" s="824" t="str">
        <f>FLN!I91</f>
        <v/>
      </c>
      <c r="J91" s="824" t="str">
        <f>FLN!J91</f>
        <v/>
      </c>
      <c r="K91" s="824" t="str">
        <f>FLN!K91</f>
        <v/>
      </c>
      <c r="L91" s="823" t="str">
        <f t="shared" si="49"/>
        <v>881</v>
      </c>
      <c r="M91" s="816">
        <f>FLN!L91</f>
        <v>0</v>
      </c>
      <c r="N91" s="816">
        <f>FLN!M91</f>
        <v>0</v>
      </c>
      <c r="O91" s="816">
        <f>FLN!N91</f>
        <v>0</v>
      </c>
      <c r="P91" s="816">
        <f>FLN!O91</f>
        <v>0</v>
      </c>
      <c r="Q91" s="823" t="str">
        <f t="shared" si="25"/>
        <v>882</v>
      </c>
      <c r="R91" s="816">
        <f>FLN!P91</f>
        <v>0</v>
      </c>
      <c r="S91" s="816">
        <f>FLN!Q91</f>
        <v>0</v>
      </c>
      <c r="T91" s="816">
        <f>FLN!R91</f>
        <v>0</v>
      </c>
      <c r="U91" s="816">
        <f>FLN!S91</f>
        <v>0</v>
      </c>
      <c r="V91" s="823" t="str">
        <f t="shared" si="26"/>
        <v>883</v>
      </c>
      <c r="W91" s="816">
        <f>FLN!T91</f>
        <v>0</v>
      </c>
      <c r="X91" s="816">
        <f>FLN!U91</f>
        <v>0</v>
      </c>
      <c r="Y91" s="816">
        <f>FLN!V91</f>
        <v>0</v>
      </c>
      <c r="Z91" s="816">
        <f>FLN!W91</f>
        <v>0</v>
      </c>
      <c r="AA91" s="823" t="str">
        <f t="shared" si="27"/>
        <v>884</v>
      </c>
      <c r="AB91" s="816">
        <f>FLN!X91</f>
        <v>0</v>
      </c>
      <c r="AC91" s="816">
        <f>FLN!Y91</f>
        <v>0</v>
      </c>
      <c r="AD91" s="816">
        <f>FLN!Z91</f>
        <v>0</v>
      </c>
      <c r="AE91" s="816">
        <f>FLN!AA91</f>
        <v>0</v>
      </c>
      <c r="AF91" s="823" t="str">
        <f t="shared" si="28"/>
        <v>885</v>
      </c>
      <c r="AG91" s="816">
        <f>FLN!AB91</f>
        <v>0</v>
      </c>
      <c r="AH91" s="816">
        <f>FLN!AC91</f>
        <v>0</v>
      </c>
      <c r="AI91" s="816">
        <f>FLN!AD91</f>
        <v>0</v>
      </c>
      <c r="AJ91" s="816">
        <f>FLN!AE91</f>
        <v>0</v>
      </c>
      <c r="AK91" s="823" t="str">
        <f t="shared" si="29"/>
        <v>886</v>
      </c>
      <c r="AL91" s="816">
        <f>FLN!AF91</f>
        <v>0</v>
      </c>
      <c r="AM91" s="816">
        <f>FLN!AG91</f>
        <v>0</v>
      </c>
      <c r="AN91" s="816">
        <f>FLN!AH91</f>
        <v>0</v>
      </c>
      <c r="AO91" s="816">
        <f>FLN!AI91</f>
        <v>0</v>
      </c>
      <c r="AP91" s="823" t="str">
        <f t="shared" si="30"/>
        <v>887</v>
      </c>
      <c r="AQ91" s="816">
        <f>FLN!AJ91</f>
        <v>0</v>
      </c>
      <c r="AR91" s="816">
        <f>FLN!AK91</f>
        <v>0</v>
      </c>
      <c r="AS91" s="816">
        <f>FLN!AL91</f>
        <v>0</v>
      </c>
      <c r="AT91" s="816">
        <f>FLN!AM91</f>
        <v>0</v>
      </c>
      <c r="AU91" s="823" t="str">
        <f t="shared" si="31"/>
        <v>888</v>
      </c>
      <c r="AV91" s="816">
        <f>FLN!AN91</f>
        <v>0</v>
      </c>
      <c r="AW91" s="816">
        <f>FLN!AO91</f>
        <v>0</v>
      </c>
      <c r="AX91" s="816">
        <f>FLN!AP91</f>
        <v>0</v>
      </c>
      <c r="AY91" s="816">
        <f>FLN!AQ91</f>
        <v>0</v>
      </c>
      <c r="AZ91" s="823" t="str">
        <f t="shared" si="32"/>
        <v>889</v>
      </c>
      <c r="BA91" s="816">
        <f>FLN!AR91</f>
        <v>0</v>
      </c>
      <c r="BB91" s="816">
        <f>FLN!AS91</f>
        <v>0</v>
      </c>
      <c r="BC91" s="816">
        <f>FLN!AT91</f>
        <v>0</v>
      </c>
      <c r="BD91" s="816">
        <f>FLN!AU91</f>
        <v>0</v>
      </c>
      <c r="BE91" s="823" t="str">
        <f t="shared" si="33"/>
        <v>8810</v>
      </c>
      <c r="BF91" s="816">
        <f>FLN!AV91</f>
        <v>0</v>
      </c>
      <c r="BG91" s="816">
        <f>FLN!AW91</f>
        <v>0</v>
      </c>
      <c r="BH91" s="816">
        <f>FLN!AX91</f>
        <v>0</v>
      </c>
      <c r="BI91" s="816">
        <f>FLN!AY91</f>
        <v>0</v>
      </c>
      <c r="BJ91" s="823" t="str">
        <f t="shared" si="34"/>
        <v>8811</v>
      </c>
      <c r="BK91" s="816">
        <f>FLN!AZ91</f>
        <v>0</v>
      </c>
      <c r="BL91" s="816">
        <f>FLN!BA91</f>
        <v>0</v>
      </c>
      <c r="BM91" s="816">
        <f>FLN!BB91</f>
        <v>0</v>
      </c>
      <c r="BN91" s="816">
        <f>FLN!BC91</f>
        <v>0</v>
      </c>
      <c r="BO91" s="823" t="str">
        <f t="shared" si="35"/>
        <v>8812</v>
      </c>
      <c r="BP91" s="816">
        <f>FLN!BD91</f>
        <v>0</v>
      </c>
      <c r="BQ91" s="816">
        <f>FLN!BE91</f>
        <v>0</v>
      </c>
      <c r="BR91" s="816">
        <f>FLN!BF91</f>
        <v>0</v>
      </c>
      <c r="BS91" s="816">
        <f>FLN!BG91</f>
        <v>0</v>
      </c>
      <c r="BT91" s="823" t="str">
        <f t="shared" si="36"/>
        <v>8813</v>
      </c>
      <c r="BU91" s="816">
        <f>FLN!BH91</f>
        <v>0</v>
      </c>
      <c r="BV91" s="816">
        <f>FLN!BI91</f>
        <v>0</v>
      </c>
      <c r="BW91" s="816">
        <f>FLN!BJ91</f>
        <v>0</v>
      </c>
      <c r="BX91" s="816">
        <f>FLN!BK91</f>
        <v>0</v>
      </c>
      <c r="BY91" s="823" t="str">
        <f t="shared" si="37"/>
        <v>8814</v>
      </c>
      <c r="BZ91" s="816">
        <f>FLN!BL91</f>
        <v>0</v>
      </c>
      <c r="CA91" s="816">
        <f>FLN!BM91</f>
        <v>0</v>
      </c>
      <c r="CB91" s="816">
        <f>FLN!BN91</f>
        <v>0</v>
      </c>
      <c r="CC91" s="816">
        <f>FLN!BO91</f>
        <v>0</v>
      </c>
      <c r="CD91" s="823" t="str">
        <f t="shared" si="38"/>
        <v>8815</v>
      </c>
      <c r="CE91" s="816">
        <f>FLN!BP91</f>
        <v>0</v>
      </c>
      <c r="CF91" s="816">
        <f>FLN!BQ91</f>
        <v>0</v>
      </c>
      <c r="CG91" s="816">
        <f>FLN!BR91</f>
        <v>0</v>
      </c>
      <c r="CH91" s="816">
        <f>FLN!BS91</f>
        <v>0</v>
      </c>
      <c r="CI91" s="823" t="str">
        <f t="shared" si="39"/>
        <v>8816</v>
      </c>
      <c r="CJ91" s="816">
        <f>FLN!BT91</f>
        <v>0</v>
      </c>
      <c r="CK91" s="816">
        <f>FLN!BU91</f>
        <v>0</v>
      </c>
      <c r="CL91" s="816">
        <f>FLN!BV91</f>
        <v>0</v>
      </c>
      <c r="CM91" s="816">
        <f>FLN!BW91</f>
        <v>0</v>
      </c>
      <c r="CN91" s="823" t="str">
        <f t="shared" si="40"/>
        <v>8817</v>
      </c>
      <c r="CO91" s="816">
        <f>FLN!BX91</f>
        <v>0</v>
      </c>
      <c r="CP91" s="816">
        <f>FLN!BY91</f>
        <v>0</v>
      </c>
      <c r="CQ91" s="816">
        <f>FLN!BZ91</f>
        <v>0</v>
      </c>
      <c r="CR91" s="816">
        <f>FLN!CA91</f>
        <v>0</v>
      </c>
      <c r="CS91" s="823" t="str">
        <f t="shared" si="41"/>
        <v>8818</v>
      </c>
      <c r="CT91" s="816">
        <f>FLN!CB91</f>
        <v>0</v>
      </c>
      <c r="CU91" s="816">
        <f>FLN!CC91</f>
        <v>0</v>
      </c>
      <c r="CV91" s="816">
        <f>FLN!CD91</f>
        <v>0</v>
      </c>
      <c r="CW91" s="816">
        <f>FLN!CE91</f>
        <v>0</v>
      </c>
      <c r="CX91" s="823" t="str">
        <f t="shared" si="42"/>
        <v>8819</v>
      </c>
      <c r="CY91" s="816">
        <f>FLN!CF91</f>
        <v>0</v>
      </c>
      <c r="CZ91" s="816">
        <f>FLN!CG91</f>
        <v>0</v>
      </c>
      <c r="DA91" s="816">
        <f>FLN!CH91</f>
        <v>0</v>
      </c>
      <c r="DB91" s="816">
        <f>FLN!CI91</f>
        <v>0</v>
      </c>
      <c r="DC91" s="823" t="str">
        <f t="shared" si="43"/>
        <v>8820</v>
      </c>
      <c r="DD91" s="816">
        <f>FLN!CJ91</f>
        <v>0</v>
      </c>
      <c r="DE91" s="816">
        <f>FLN!CK91</f>
        <v>0</v>
      </c>
      <c r="DF91" s="816">
        <f>FLN!CL91</f>
        <v>0</v>
      </c>
      <c r="DG91" s="816">
        <f>FLN!CM91</f>
        <v>0</v>
      </c>
      <c r="DH91" s="823" t="str">
        <f t="shared" si="44"/>
        <v>8821</v>
      </c>
      <c r="DI91" s="816">
        <f>FLN!CN91</f>
        <v>0</v>
      </c>
      <c r="DJ91" s="816">
        <f>FLN!CO91</f>
        <v>0</v>
      </c>
      <c r="DK91" s="816">
        <f>FLN!CP91</f>
        <v>0</v>
      </c>
      <c r="DL91" s="816">
        <f>FLN!CQ91</f>
        <v>0</v>
      </c>
      <c r="DM91" s="823" t="str">
        <f t="shared" si="45"/>
        <v>8822</v>
      </c>
      <c r="DN91" s="816">
        <f>FLN!CR91</f>
        <v>0</v>
      </c>
      <c r="DO91" s="816">
        <f>FLN!CS91</f>
        <v>0</v>
      </c>
      <c r="DP91" s="816">
        <f>FLN!CT91</f>
        <v>0</v>
      </c>
      <c r="DQ91" s="816">
        <f>FLN!CU91</f>
        <v>0</v>
      </c>
      <c r="DR91" s="823" t="str">
        <f t="shared" si="46"/>
        <v>8823</v>
      </c>
      <c r="DS91" s="816">
        <f>FLN!CV91</f>
        <v>0</v>
      </c>
      <c r="DT91" s="816">
        <f>FLN!CW91</f>
        <v>0</v>
      </c>
      <c r="DU91" s="816">
        <f>FLN!CX91</f>
        <v>0</v>
      </c>
      <c r="DV91" s="816">
        <f>FLN!CY91</f>
        <v>0</v>
      </c>
      <c r="DW91" s="823" t="str">
        <f t="shared" si="47"/>
        <v>8824</v>
      </c>
      <c r="DX91" s="816">
        <f>FLN!CZ91</f>
        <v>0</v>
      </c>
      <c r="DY91" s="816">
        <f>FLN!DA91</f>
        <v>0</v>
      </c>
      <c r="DZ91" s="816">
        <f>FLN!DB91</f>
        <v>0</v>
      </c>
      <c r="EA91" s="816">
        <f>FLN!DC91</f>
        <v>0</v>
      </c>
      <c r="EB91" s="823" t="str">
        <f t="shared" si="48"/>
        <v>8825</v>
      </c>
      <c r="EC91" s="816">
        <f>FLN!DD91</f>
        <v>0</v>
      </c>
      <c r="ED91" s="816">
        <f>FLN!DE91</f>
        <v>0</v>
      </c>
      <c r="EE91" s="816">
        <f>FLN!DF91</f>
        <v>0</v>
      </c>
      <c r="EF91" s="816">
        <f>FLN!DG91</f>
        <v>0</v>
      </c>
    </row>
    <row r="92" spans="1:136">
      <c r="A92" s="824">
        <v>89</v>
      </c>
      <c r="B92" s="824">
        <f>STUDENT!F90</f>
        <v>0</v>
      </c>
      <c r="C92" s="824">
        <f>STUDENT!D90</f>
        <v>0</v>
      </c>
      <c r="D92" s="827">
        <f>STUDENT!E90</f>
        <v>0</v>
      </c>
      <c r="E92" s="827">
        <f>STUDENT!H90</f>
        <v>0</v>
      </c>
      <c r="F92" s="828">
        <f>FLN!F92</f>
        <v>0</v>
      </c>
      <c r="G92" s="828">
        <f>FLN!G92</f>
        <v>0</v>
      </c>
      <c r="H92" s="828">
        <f>FLN!H92</f>
        <v>0</v>
      </c>
      <c r="I92" s="824" t="str">
        <f>FLN!I92</f>
        <v/>
      </c>
      <c r="J92" s="824" t="str">
        <f>FLN!J92</f>
        <v/>
      </c>
      <c r="K92" s="824" t="str">
        <f>FLN!K92</f>
        <v/>
      </c>
      <c r="L92" s="823" t="str">
        <f t="shared" si="49"/>
        <v>891</v>
      </c>
      <c r="M92" s="816">
        <f>FLN!L92</f>
        <v>0</v>
      </c>
      <c r="N92" s="816">
        <f>FLN!M92</f>
        <v>0</v>
      </c>
      <c r="O92" s="816">
        <f>FLN!N92</f>
        <v>0</v>
      </c>
      <c r="P92" s="816">
        <f>FLN!O92</f>
        <v>0</v>
      </c>
      <c r="Q92" s="823" t="str">
        <f t="shared" si="25"/>
        <v>892</v>
      </c>
      <c r="R92" s="816">
        <f>FLN!P92</f>
        <v>0</v>
      </c>
      <c r="S92" s="816">
        <f>FLN!Q92</f>
        <v>0</v>
      </c>
      <c r="T92" s="816">
        <f>FLN!R92</f>
        <v>0</v>
      </c>
      <c r="U92" s="816">
        <f>FLN!S92</f>
        <v>0</v>
      </c>
      <c r="V92" s="823" t="str">
        <f t="shared" si="26"/>
        <v>893</v>
      </c>
      <c r="W92" s="816">
        <f>FLN!T92</f>
        <v>0</v>
      </c>
      <c r="X92" s="816">
        <f>FLN!U92</f>
        <v>0</v>
      </c>
      <c r="Y92" s="816">
        <f>FLN!V92</f>
        <v>0</v>
      </c>
      <c r="Z92" s="816">
        <f>FLN!W92</f>
        <v>0</v>
      </c>
      <c r="AA92" s="823" t="str">
        <f t="shared" si="27"/>
        <v>894</v>
      </c>
      <c r="AB92" s="816">
        <f>FLN!X92</f>
        <v>0</v>
      </c>
      <c r="AC92" s="816">
        <f>FLN!Y92</f>
        <v>0</v>
      </c>
      <c r="AD92" s="816">
        <f>FLN!Z92</f>
        <v>0</v>
      </c>
      <c r="AE92" s="816">
        <f>FLN!AA92</f>
        <v>0</v>
      </c>
      <c r="AF92" s="823" t="str">
        <f t="shared" si="28"/>
        <v>895</v>
      </c>
      <c r="AG92" s="816">
        <f>FLN!AB92</f>
        <v>0</v>
      </c>
      <c r="AH92" s="816">
        <f>FLN!AC92</f>
        <v>0</v>
      </c>
      <c r="AI92" s="816">
        <f>FLN!AD92</f>
        <v>0</v>
      </c>
      <c r="AJ92" s="816">
        <f>FLN!AE92</f>
        <v>0</v>
      </c>
      <c r="AK92" s="823" t="str">
        <f t="shared" si="29"/>
        <v>896</v>
      </c>
      <c r="AL92" s="816">
        <f>FLN!AF92</f>
        <v>0</v>
      </c>
      <c r="AM92" s="816">
        <f>FLN!AG92</f>
        <v>0</v>
      </c>
      <c r="AN92" s="816">
        <f>FLN!AH92</f>
        <v>0</v>
      </c>
      <c r="AO92" s="816">
        <f>FLN!AI92</f>
        <v>0</v>
      </c>
      <c r="AP92" s="823" t="str">
        <f t="shared" si="30"/>
        <v>897</v>
      </c>
      <c r="AQ92" s="816">
        <f>FLN!AJ92</f>
        <v>0</v>
      </c>
      <c r="AR92" s="816">
        <f>FLN!AK92</f>
        <v>0</v>
      </c>
      <c r="AS92" s="816">
        <f>FLN!AL92</f>
        <v>0</v>
      </c>
      <c r="AT92" s="816">
        <f>FLN!AM92</f>
        <v>0</v>
      </c>
      <c r="AU92" s="823" t="str">
        <f t="shared" si="31"/>
        <v>898</v>
      </c>
      <c r="AV92" s="816">
        <f>FLN!AN92</f>
        <v>0</v>
      </c>
      <c r="AW92" s="816">
        <f>FLN!AO92</f>
        <v>0</v>
      </c>
      <c r="AX92" s="816">
        <f>FLN!AP92</f>
        <v>0</v>
      </c>
      <c r="AY92" s="816">
        <f>FLN!AQ92</f>
        <v>0</v>
      </c>
      <c r="AZ92" s="823" t="str">
        <f t="shared" si="32"/>
        <v>899</v>
      </c>
      <c r="BA92" s="816">
        <f>FLN!AR92</f>
        <v>0</v>
      </c>
      <c r="BB92" s="816">
        <f>FLN!AS92</f>
        <v>0</v>
      </c>
      <c r="BC92" s="816">
        <f>FLN!AT92</f>
        <v>0</v>
      </c>
      <c r="BD92" s="816">
        <f>FLN!AU92</f>
        <v>0</v>
      </c>
      <c r="BE92" s="823" t="str">
        <f t="shared" si="33"/>
        <v>8910</v>
      </c>
      <c r="BF92" s="816">
        <f>FLN!AV92</f>
        <v>0</v>
      </c>
      <c r="BG92" s="816">
        <f>FLN!AW92</f>
        <v>0</v>
      </c>
      <c r="BH92" s="816">
        <f>FLN!AX92</f>
        <v>0</v>
      </c>
      <c r="BI92" s="816">
        <f>FLN!AY92</f>
        <v>0</v>
      </c>
      <c r="BJ92" s="823" t="str">
        <f t="shared" si="34"/>
        <v>8911</v>
      </c>
      <c r="BK92" s="816">
        <f>FLN!AZ92</f>
        <v>0</v>
      </c>
      <c r="BL92" s="816">
        <f>FLN!BA92</f>
        <v>0</v>
      </c>
      <c r="BM92" s="816">
        <f>FLN!BB92</f>
        <v>0</v>
      </c>
      <c r="BN92" s="816">
        <f>FLN!BC92</f>
        <v>0</v>
      </c>
      <c r="BO92" s="823" t="str">
        <f t="shared" si="35"/>
        <v>8912</v>
      </c>
      <c r="BP92" s="816">
        <f>FLN!BD92</f>
        <v>0</v>
      </c>
      <c r="BQ92" s="816">
        <f>FLN!BE92</f>
        <v>0</v>
      </c>
      <c r="BR92" s="816">
        <f>FLN!BF92</f>
        <v>0</v>
      </c>
      <c r="BS92" s="816">
        <f>FLN!BG92</f>
        <v>0</v>
      </c>
      <c r="BT92" s="823" t="str">
        <f t="shared" si="36"/>
        <v>8913</v>
      </c>
      <c r="BU92" s="816">
        <f>FLN!BH92</f>
        <v>0</v>
      </c>
      <c r="BV92" s="816">
        <f>FLN!BI92</f>
        <v>0</v>
      </c>
      <c r="BW92" s="816">
        <f>FLN!BJ92</f>
        <v>0</v>
      </c>
      <c r="BX92" s="816">
        <f>FLN!BK92</f>
        <v>0</v>
      </c>
      <c r="BY92" s="823" t="str">
        <f t="shared" si="37"/>
        <v>8914</v>
      </c>
      <c r="BZ92" s="816">
        <f>FLN!BL92</f>
        <v>0</v>
      </c>
      <c r="CA92" s="816">
        <f>FLN!BM92</f>
        <v>0</v>
      </c>
      <c r="CB92" s="816">
        <f>FLN!BN92</f>
        <v>0</v>
      </c>
      <c r="CC92" s="816">
        <f>FLN!BO92</f>
        <v>0</v>
      </c>
      <c r="CD92" s="823" t="str">
        <f t="shared" si="38"/>
        <v>8915</v>
      </c>
      <c r="CE92" s="816">
        <f>FLN!BP92</f>
        <v>0</v>
      </c>
      <c r="CF92" s="816">
        <f>FLN!BQ92</f>
        <v>0</v>
      </c>
      <c r="CG92" s="816">
        <f>FLN!BR92</f>
        <v>0</v>
      </c>
      <c r="CH92" s="816">
        <f>FLN!BS92</f>
        <v>0</v>
      </c>
      <c r="CI92" s="823" t="str">
        <f t="shared" si="39"/>
        <v>8916</v>
      </c>
      <c r="CJ92" s="816">
        <f>FLN!BT92</f>
        <v>0</v>
      </c>
      <c r="CK92" s="816">
        <f>FLN!BU92</f>
        <v>0</v>
      </c>
      <c r="CL92" s="816">
        <f>FLN!BV92</f>
        <v>0</v>
      </c>
      <c r="CM92" s="816">
        <f>FLN!BW92</f>
        <v>0</v>
      </c>
      <c r="CN92" s="823" t="str">
        <f t="shared" si="40"/>
        <v>8917</v>
      </c>
      <c r="CO92" s="816">
        <f>FLN!BX92</f>
        <v>0</v>
      </c>
      <c r="CP92" s="816">
        <f>FLN!BY92</f>
        <v>0</v>
      </c>
      <c r="CQ92" s="816">
        <f>FLN!BZ92</f>
        <v>0</v>
      </c>
      <c r="CR92" s="816">
        <f>FLN!CA92</f>
        <v>0</v>
      </c>
      <c r="CS92" s="823" t="str">
        <f t="shared" si="41"/>
        <v>8918</v>
      </c>
      <c r="CT92" s="816">
        <f>FLN!CB92</f>
        <v>0</v>
      </c>
      <c r="CU92" s="816">
        <f>FLN!CC92</f>
        <v>0</v>
      </c>
      <c r="CV92" s="816">
        <f>FLN!CD92</f>
        <v>0</v>
      </c>
      <c r="CW92" s="816">
        <f>FLN!CE92</f>
        <v>0</v>
      </c>
      <c r="CX92" s="823" t="str">
        <f t="shared" si="42"/>
        <v>8919</v>
      </c>
      <c r="CY92" s="816">
        <f>FLN!CF92</f>
        <v>0</v>
      </c>
      <c r="CZ92" s="816">
        <f>FLN!CG92</f>
        <v>0</v>
      </c>
      <c r="DA92" s="816">
        <f>FLN!CH92</f>
        <v>0</v>
      </c>
      <c r="DB92" s="816">
        <f>FLN!CI92</f>
        <v>0</v>
      </c>
      <c r="DC92" s="823" t="str">
        <f t="shared" si="43"/>
        <v>8920</v>
      </c>
      <c r="DD92" s="816">
        <f>FLN!CJ92</f>
        <v>0</v>
      </c>
      <c r="DE92" s="816">
        <f>FLN!CK92</f>
        <v>0</v>
      </c>
      <c r="DF92" s="816">
        <f>FLN!CL92</f>
        <v>0</v>
      </c>
      <c r="DG92" s="816">
        <f>FLN!CM92</f>
        <v>0</v>
      </c>
      <c r="DH92" s="823" t="str">
        <f t="shared" si="44"/>
        <v>8921</v>
      </c>
      <c r="DI92" s="816">
        <f>FLN!CN92</f>
        <v>0</v>
      </c>
      <c r="DJ92" s="816">
        <f>FLN!CO92</f>
        <v>0</v>
      </c>
      <c r="DK92" s="816">
        <f>FLN!CP92</f>
        <v>0</v>
      </c>
      <c r="DL92" s="816">
        <f>FLN!CQ92</f>
        <v>0</v>
      </c>
      <c r="DM92" s="823" t="str">
        <f t="shared" si="45"/>
        <v>8922</v>
      </c>
      <c r="DN92" s="816">
        <f>FLN!CR92</f>
        <v>0</v>
      </c>
      <c r="DO92" s="816">
        <f>FLN!CS92</f>
        <v>0</v>
      </c>
      <c r="DP92" s="816">
        <f>FLN!CT92</f>
        <v>0</v>
      </c>
      <c r="DQ92" s="816">
        <f>FLN!CU92</f>
        <v>0</v>
      </c>
      <c r="DR92" s="823" t="str">
        <f t="shared" si="46"/>
        <v>8923</v>
      </c>
      <c r="DS92" s="816">
        <f>FLN!CV92</f>
        <v>0</v>
      </c>
      <c r="DT92" s="816">
        <f>FLN!CW92</f>
        <v>0</v>
      </c>
      <c r="DU92" s="816">
        <f>FLN!CX92</f>
        <v>0</v>
      </c>
      <c r="DV92" s="816">
        <f>FLN!CY92</f>
        <v>0</v>
      </c>
      <c r="DW92" s="823" t="str">
        <f t="shared" si="47"/>
        <v>8924</v>
      </c>
      <c r="DX92" s="816">
        <f>FLN!CZ92</f>
        <v>0</v>
      </c>
      <c r="DY92" s="816">
        <f>FLN!DA92</f>
        <v>0</v>
      </c>
      <c r="DZ92" s="816">
        <f>FLN!DB92</f>
        <v>0</v>
      </c>
      <c r="EA92" s="816">
        <f>FLN!DC92</f>
        <v>0</v>
      </c>
      <c r="EB92" s="823" t="str">
        <f t="shared" si="48"/>
        <v>8925</v>
      </c>
      <c r="EC92" s="816">
        <f>FLN!DD92</f>
        <v>0</v>
      </c>
      <c r="ED92" s="816">
        <f>FLN!DE92</f>
        <v>0</v>
      </c>
      <c r="EE92" s="816">
        <f>FLN!DF92</f>
        <v>0</v>
      </c>
      <c r="EF92" s="816">
        <f>FLN!DG92</f>
        <v>0</v>
      </c>
    </row>
    <row r="93" spans="1:136">
      <c r="A93" s="824">
        <v>90</v>
      </c>
      <c r="B93" s="824">
        <f>STUDENT!F91</f>
        <v>0</v>
      </c>
      <c r="C93" s="824">
        <f>STUDENT!D91</f>
        <v>0</v>
      </c>
      <c r="D93" s="827">
        <f>STUDENT!E91</f>
        <v>0</v>
      </c>
      <c r="E93" s="827">
        <f>STUDENT!H91</f>
        <v>0</v>
      </c>
      <c r="F93" s="828">
        <f>FLN!F93</f>
        <v>0</v>
      </c>
      <c r="G93" s="828">
        <f>FLN!G93</f>
        <v>0</v>
      </c>
      <c r="H93" s="828">
        <f>FLN!H93</f>
        <v>0</v>
      </c>
      <c r="I93" s="824" t="str">
        <f>FLN!I93</f>
        <v/>
      </c>
      <c r="J93" s="824" t="str">
        <f>FLN!J93</f>
        <v/>
      </c>
      <c r="K93" s="824" t="str">
        <f>FLN!K93</f>
        <v/>
      </c>
      <c r="L93" s="823" t="str">
        <f t="shared" si="49"/>
        <v>901</v>
      </c>
      <c r="M93" s="816">
        <f>FLN!L93</f>
        <v>0</v>
      </c>
      <c r="N93" s="816">
        <f>FLN!M93</f>
        <v>0</v>
      </c>
      <c r="O93" s="816">
        <f>FLN!N93</f>
        <v>0</v>
      </c>
      <c r="P93" s="816">
        <f>FLN!O93</f>
        <v>0</v>
      </c>
      <c r="Q93" s="823" t="str">
        <f t="shared" si="25"/>
        <v>902</v>
      </c>
      <c r="R93" s="816">
        <f>FLN!P93</f>
        <v>0</v>
      </c>
      <c r="S93" s="816">
        <f>FLN!Q93</f>
        <v>0</v>
      </c>
      <c r="T93" s="816">
        <f>FLN!R93</f>
        <v>0</v>
      </c>
      <c r="U93" s="816">
        <f>FLN!S93</f>
        <v>0</v>
      </c>
      <c r="V93" s="823" t="str">
        <f t="shared" si="26"/>
        <v>903</v>
      </c>
      <c r="W93" s="816">
        <f>FLN!T93</f>
        <v>0</v>
      </c>
      <c r="X93" s="816">
        <f>FLN!U93</f>
        <v>0</v>
      </c>
      <c r="Y93" s="816">
        <f>FLN!V93</f>
        <v>0</v>
      </c>
      <c r="Z93" s="816">
        <f>FLN!W93</f>
        <v>0</v>
      </c>
      <c r="AA93" s="823" t="str">
        <f t="shared" si="27"/>
        <v>904</v>
      </c>
      <c r="AB93" s="816">
        <f>FLN!X93</f>
        <v>0</v>
      </c>
      <c r="AC93" s="816">
        <f>FLN!Y93</f>
        <v>0</v>
      </c>
      <c r="AD93" s="816">
        <f>FLN!Z93</f>
        <v>0</v>
      </c>
      <c r="AE93" s="816">
        <f>FLN!AA93</f>
        <v>0</v>
      </c>
      <c r="AF93" s="823" t="str">
        <f t="shared" si="28"/>
        <v>905</v>
      </c>
      <c r="AG93" s="816">
        <f>FLN!AB93</f>
        <v>0</v>
      </c>
      <c r="AH93" s="816">
        <f>FLN!AC93</f>
        <v>0</v>
      </c>
      <c r="AI93" s="816">
        <f>FLN!AD93</f>
        <v>0</v>
      </c>
      <c r="AJ93" s="816">
        <f>FLN!AE93</f>
        <v>0</v>
      </c>
      <c r="AK93" s="823" t="str">
        <f t="shared" si="29"/>
        <v>906</v>
      </c>
      <c r="AL93" s="816">
        <f>FLN!AF93</f>
        <v>0</v>
      </c>
      <c r="AM93" s="816">
        <f>FLN!AG93</f>
        <v>0</v>
      </c>
      <c r="AN93" s="816">
        <f>FLN!AH93</f>
        <v>0</v>
      </c>
      <c r="AO93" s="816">
        <f>FLN!AI93</f>
        <v>0</v>
      </c>
      <c r="AP93" s="823" t="str">
        <f t="shared" si="30"/>
        <v>907</v>
      </c>
      <c r="AQ93" s="816">
        <f>FLN!AJ93</f>
        <v>0</v>
      </c>
      <c r="AR93" s="816">
        <f>FLN!AK93</f>
        <v>0</v>
      </c>
      <c r="AS93" s="816">
        <f>FLN!AL93</f>
        <v>0</v>
      </c>
      <c r="AT93" s="816">
        <f>FLN!AM93</f>
        <v>0</v>
      </c>
      <c r="AU93" s="823" t="str">
        <f t="shared" si="31"/>
        <v>908</v>
      </c>
      <c r="AV93" s="816">
        <f>FLN!AN93</f>
        <v>0</v>
      </c>
      <c r="AW93" s="816">
        <f>FLN!AO93</f>
        <v>0</v>
      </c>
      <c r="AX93" s="816">
        <f>FLN!AP93</f>
        <v>0</v>
      </c>
      <c r="AY93" s="816">
        <f>FLN!AQ93</f>
        <v>0</v>
      </c>
      <c r="AZ93" s="823" t="str">
        <f t="shared" si="32"/>
        <v>909</v>
      </c>
      <c r="BA93" s="816">
        <f>FLN!AR93</f>
        <v>0</v>
      </c>
      <c r="BB93" s="816">
        <f>FLN!AS93</f>
        <v>0</v>
      </c>
      <c r="BC93" s="816">
        <f>FLN!AT93</f>
        <v>0</v>
      </c>
      <c r="BD93" s="816">
        <f>FLN!AU93</f>
        <v>0</v>
      </c>
      <c r="BE93" s="823" t="str">
        <f t="shared" si="33"/>
        <v>9010</v>
      </c>
      <c r="BF93" s="816">
        <f>FLN!AV93</f>
        <v>0</v>
      </c>
      <c r="BG93" s="816">
        <f>FLN!AW93</f>
        <v>0</v>
      </c>
      <c r="BH93" s="816">
        <f>FLN!AX93</f>
        <v>0</v>
      </c>
      <c r="BI93" s="816">
        <f>FLN!AY93</f>
        <v>0</v>
      </c>
      <c r="BJ93" s="823" t="str">
        <f t="shared" si="34"/>
        <v>9011</v>
      </c>
      <c r="BK93" s="816">
        <f>FLN!AZ93</f>
        <v>0</v>
      </c>
      <c r="BL93" s="816">
        <f>FLN!BA93</f>
        <v>0</v>
      </c>
      <c r="BM93" s="816">
        <f>FLN!BB93</f>
        <v>0</v>
      </c>
      <c r="BN93" s="816">
        <f>FLN!BC93</f>
        <v>0</v>
      </c>
      <c r="BO93" s="823" t="str">
        <f t="shared" si="35"/>
        <v>9012</v>
      </c>
      <c r="BP93" s="816">
        <f>FLN!BD93</f>
        <v>0</v>
      </c>
      <c r="BQ93" s="816">
        <f>FLN!BE93</f>
        <v>0</v>
      </c>
      <c r="BR93" s="816">
        <f>FLN!BF93</f>
        <v>0</v>
      </c>
      <c r="BS93" s="816">
        <f>FLN!BG93</f>
        <v>0</v>
      </c>
      <c r="BT93" s="823" t="str">
        <f t="shared" si="36"/>
        <v>9013</v>
      </c>
      <c r="BU93" s="816">
        <f>FLN!BH93</f>
        <v>0</v>
      </c>
      <c r="BV93" s="816">
        <f>FLN!BI93</f>
        <v>0</v>
      </c>
      <c r="BW93" s="816">
        <f>FLN!BJ93</f>
        <v>0</v>
      </c>
      <c r="BX93" s="816">
        <f>FLN!BK93</f>
        <v>0</v>
      </c>
      <c r="BY93" s="823" t="str">
        <f t="shared" si="37"/>
        <v>9014</v>
      </c>
      <c r="BZ93" s="816">
        <f>FLN!BL93</f>
        <v>0</v>
      </c>
      <c r="CA93" s="816">
        <f>FLN!BM93</f>
        <v>0</v>
      </c>
      <c r="CB93" s="816">
        <f>FLN!BN93</f>
        <v>0</v>
      </c>
      <c r="CC93" s="816">
        <f>FLN!BO93</f>
        <v>0</v>
      </c>
      <c r="CD93" s="823" t="str">
        <f t="shared" si="38"/>
        <v>9015</v>
      </c>
      <c r="CE93" s="816">
        <f>FLN!BP93</f>
        <v>0</v>
      </c>
      <c r="CF93" s="816">
        <f>FLN!BQ93</f>
        <v>0</v>
      </c>
      <c r="CG93" s="816">
        <f>FLN!BR93</f>
        <v>0</v>
      </c>
      <c r="CH93" s="816">
        <f>FLN!BS93</f>
        <v>0</v>
      </c>
      <c r="CI93" s="823" t="str">
        <f t="shared" si="39"/>
        <v>9016</v>
      </c>
      <c r="CJ93" s="816">
        <f>FLN!BT93</f>
        <v>0</v>
      </c>
      <c r="CK93" s="816">
        <f>FLN!BU93</f>
        <v>0</v>
      </c>
      <c r="CL93" s="816">
        <f>FLN!BV93</f>
        <v>0</v>
      </c>
      <c r="CM93" s="816">
        <f>FLN!BW93</f>
        <v>0</v>
      </c>
      <c r="CN93" s="823" t="str">
        <f t="shared" si="40"/>
        <v>9017</v>
      </c>
      <c r="CO93" s="816">
        <f>FLN!BX93</f>
        <v>0</v>
      </c>
      <c r="CP93" s="816">
        <f>FLN!BY93</f>
        <v>0</v>
      </c>
      <c r="CQ93" s="816">
        <f>FLN!BZ93</f>
        <v>0</v>
      </c>
      <c r="CR93" s="816">
        <f>FLN!CA93</f>
        <v>0</v>
      </c>
      <c r="CS93" s="823" t="str">
        <f t="shared" si="41"/>
        <v>9018</v>
      </c>
      <c r="CT93" s="816">
        <f>FLN!CB93</f>
        <v>0</v>
      </c>
      <c r="CU93" s="816">
        <f>FLN!CC93</f>
        <v>0</v>
      </c>
      <c r="CV93" s="816">
        <f>FLN!CD93</f>
        <v>0</v>
      </c>
      <c r="CW93" s="816">
        <f>FLN!CE93</f>
        <v>0</v>
      </c>
      <c r="CX93" s="823" t="str">
        <f t="shared" si="42"/>
        <v>9019</v>
      </c>
      <c r="CY93" s="816">
        <f>FLN!CF93</f>
        <v>0</v>
      </c>
      <c r="CZ93" s="816">
        <f>FLN!CG93</f>
        <v>0</v>
      </c>
      <c r="DA93" s="816">
        <f>FLN!CH93</f>
        <v>0</v>
      </c>
      <c r="DB93" s="816">
        <f>FLN!CI93</f>
        <v>0</v>
      </c>
      <c r="DC93" s="823" t="str">
        <f t="shared" si="43"/>
        <v>9020</v>
      </c>
      <c r="DD93" s="816">
        <f>FLN!CJ93</f>
        <v>0</v>
      </c>
      <c r="DE93" s="816">
        <f>FLN!CK93</f>
        <v>0</v>
      </c>
      <c r="DF93" s="816">
        <f>FLN!CL93</f>
        <v>0</v>
      </c>
      <c r="DG93" s="816">
        <f>FLN!CM93</f>
        <v>0</v>
      </c>
      <c r="DH93" s="823" t="str">
        <f t="shared" si="44"/>
        <v>9021</v>
      </c>
      <c r="DI93" s="816">
        <f>FLN!CN93</f>
        <v>0</v>
      </c>
      <c r="DJ93" s="816">
        <f>FLN!CO93</f>
        <v>0</v>
      </c>
      <c r="DK93" s="816">
        <f>FLN!CP93</f>
        <v>0</v>
      </c>
      <c r="DL93" s="816">
        <f>FLN!CQ93</f>
        <v>0</v>
      </c>
      <c r="DM93" s="823" t="str">
        <f t="shared" si="45"/>
        <v>9022</v>
      </c>
      <c r="DN93" s="816">
        <f>FLN!CR93</f>
        <v>0</v>
      </c>
      <c r="DO93" s="816">
        <f>FLN!CS93</f>
        <v>0</v>
      </c>
      <c r="DP93" s="816">
        <f>FLN!CT93</f>
        <v>0</v>
      </c>
      <c r="DQ93" s="816">
        <f>FLN!CU93</f>
        <v>0</v>
      </c>
      <c r="DR93" s="823" t="str">
        <f t="shared" si="46"/>
        <v>9023</v>
      </c>
      <c r="DS93" s="816">
        <f>FLN!CV93</f>
        <v>0</v>
      </c>
      <c r="DT93" s="816">
        <f>FLN!CW93</f>
        <v>0</v>
      </c>
      <c r="DU93" s="816">
        <f>FLN!CX93</f>
        <v>0</v>
      </c>
      <c r="DV93" s="816">
        <f>FLN!CY93</f>
        <v>0</v>
      </c>
      <c r="DW93" s="823" t="str">
        <f t="shared" si="47"/>
        <v>9024</v>
      </c>
      <c r="DX93" s="816">
        <f>FLN!CZ93</f>
        <v>0</v>
      </c>
      <c r="DY93" s="816">
        <f>FLN!DA93</f>
        <v>0</v>
      </c>
      <c r="DZ93" s="816">
        <f>FLN!DB93</f>
        <v>0</v>
      </c>
      <c r="EA93" s="816">
        <f>FLN!DC93</f>
        <v>0</v>
      </c>
      <c r="EB93" s="823" t="str">
        <f t="shared" si="48"/>
        <v>9025</v>
      </c>
      <c r="EC93" s="816">
        <f>FLN!DD93</f>
        <v>0</v>
      </c>
      <c r="ED93" s="816">
        <f>FLN!DE93</f>
        <v>0</v>
      </c>
      <c r="EE93" s="816">
        <f>FLN!DF93</f>
        <v>0</v>
      </c>
      <c r="EF93" s="816">
        <f>FLN!DG93</f>
        <v>0</v>
      </c>
    </row>
    <row r="94" spans="1:136">
      <c r="A94" s="824">
        <v>91</v>
      </c>
      <c r="B94" s="824">
        <f>STUDENT!F92</f>
        <v>0</v>
      </c>
      <c r="C94" s="824">
        <f>STUDENT!D92</f>
        <v>0</v>
      </c>
      <c r="D94" s="827">
        <f>STUDENT!E92</f>
        <v>0</v>
      </c>
      <c r="E94" s="827">
        <f>STUDENT!H92</f>
        <v>0</v>
      </c>
      <c r="F94" s="828">
        <f>FLN!F94</f>
        <v>0</v>
      </c>
      <c r="G94" s="828">
        <f>FLN!G94</f>
        <v>0</v>
      </c>
      <c r="H94" s="828">
        <f>FLN!H94</f>
        <v>0</v>
      </c>
      <c r="I94" s="824" t="str">
        <f>FLN!I94</f>
        <v/>
      </c>
      <c r="J94" s="824" t="str">
        <f>FLN!J94</f>
        <v/>
      </c>
      <c r="K94" s="824" t="str">
        <f>FLN!K94</f>
        <v/>
      </c>
      <c r="L94" s="823" t="str">
        <f t="shared" si="49"/>
        <v>911</v>
      </c>
      <c r="M94" s="816">
        <f>FLN!L94</f>
        <v>0</v>
      </c>
      <c r="N94" s="816">
        <f>FLN!M94</f>
        <v>0</v>
      </c>
      <c r="O94" s="816">
        <f>FLN!N94</f>
        <v>0</v>
      </c>
      <c r="P94" s="816">
        <f>FLN!O94</f>
        <v>0</v>
      </c>
      <c r="Q94" s="823" t="str">
        <f t="shared" si="25"/>
        <v>912</v>
      </c>
      <c r="R94" s="816">
        <f>FLN!P94</f>
        <v>0</v>
      </c>
      <c r="S94" s="816">
        <f>FLN!Q94</f>
        <v>0</v>
      </c>
      <c r="T94" s="816">
        <f>FLN!R94</f>
        <v>0</v>
      </c>
      <c r="U94" s="816">
        <f>FLN!S94</f>
        <v>0</v>
      </c>
      <c r="V94" s="823" t="str">
        <f t="shared" si="26"/>
        <v>913</v>
      </c>
      <c r="W94" s="816">
        <f>FLN!T94</f>
        <v>0</v>
      </c>
      <c r="X94" s="816">
        <f>FLN!U94</f>
        <v>0</v>
      </c>
      <c r="Y94" s="816">
        <f>FLN!V94</f>
        <v>0</v>
      </c>
      <c r="Z94" s="816">
        <f>FLN!W94</f>
        <v>0</v>
      </c>
      <c r="AA94" s="823" t="str">
        <f t="shared" si="27"/>
        <v>914</v>
      </c>
      <c r="AB94" s="816">
        <f>FLN!X94</f>
        <v>0</v>
      </c>
      <c r="AC94" s="816">
        <f>FLN!Y94</f>
        <v>0</v>
      </c>
      <c r="AD94" s="816">
        <f>FLN!Z94</f>
        <v>0</v>
      </c>
      <c r="AE94" s="816">
        <f>FLN!AA94</f>
        <v>0</v>
      </c>
      <c r="AF94" s="823" t="str">
        <f t="shared" si="28"/>
        <v>915</v>
      </c>
      <c r="AG94" s="816">
        <f>FLN!AB94</f>
        <v>0</v>
      </c>
      <c r="AH94" s="816">
        <f>FLN!AC94</f>
        <v>0</v>
      </c>
      <c r="AI94" s="816">
        <f>FLN!AD94</f>
        <v>0</v>
      </c>
      <c r="AJ94" s="816">
        <f>FLN!AE94</f>
        <v>0</v>
      </c>
      <c r="AK94" s="823" t="str">
        <f t="shared" si="29"/>
        <v>916</v>
      </c>
      <c r="AL94" s="816">
        <f>FLN!AF94</f>
        <v>0</v>
      </c>
      <c r="AM94" s="816">
        <f>FLN!AG94</f>
        <v>0</v>
      </c>
      <c r="AN94" s="816">
        <f>FLN!AH94</f>
        <v>0</v>
      </c>
      <c r="AO94" s="816">
        <f>FLN!AI94</f>
        <v>0</v>
      </c>
      <c r="AP94" s="823" t="str">
        <f t="shared" si="30"/>
        <v>917</v>
      </c>
      <c r="AQ94" s="816">
        <f>FLN!AJ94</f>
        <v>0</v>
      </c>
      <c r="AR94" s="816">
        <f>FLN!AK94</f>
        <v>0</v>
      </c>
      <c r="AS94" s="816">
        <f>FLN!AL94</f>
        <v>0</v>
      </c>
      <c r="AT94" s="816">
        <f>FLN!AM94</f>
        <v>0</v>
      </c>
      <c r="AU94" s="823" t="str">
        <f t="shared" si="31"/>
        <v>918</v>
      </c>
      <c r="AV94" s="816">
        <f>FLN!AN94</f>
        <v>0</v>
      </c>
      <c r="AW94" s="816">
        <f>FLN!AO94</f>
        <v>0</v>
      </c>
      <c r="AX94" s="816">
        <f>FLN!AP94</f>
        <v>0</v>
      </c>
      <c r="AY94" s="816">
        <f>FLN!AQ94</f>
        <v>0</v>
      </c>
      <c r="AZ94" s="823" t="str">
        <f t="shared" si="32"/>
        <v>919</v>
      </c>
      <c r="BA94" s="816">
        <f>FLN!AR94</f>
        <v>0</v>
      </c>
      <c r="BB94" s="816">
        <f>FLN!AS94</f>
        <v>0</v>
      </c>
      <c r="BC94" s="816">
        <f>FLN!AT94</f>
        <v>0</v>
      </c>
      <c r="BD94" s="816">
        <f>FLN!AU94</f>
        <v>0</v>
      </c>
      <c r="BE94" s="823" t="str">
        <f t="shared" si="33"/>
        <v>9110</v>
      </c>
      <c r="BF94" s="816">
        <f>FLN!AV94</f>
        <v>0</v>
      </c>
      <c r="BG94" s="816">
        <f>FLN!AW94</f>
        <v>0</v>
      </c>
      <c r="BH94" s="816">
        <f>FLN!AX94</f>
        <v>0</v>
      </c>
      <c r="BI94" s="816">
        <f>FLN!AY94</f>
        <v>0</v>
      </c>
      <c r="BJ94" s="823" t="str">
        <f t="shared" si="34"/>
        <v>9111</v>
      </c>
      <c r="BK94" s="816">
        <f>FLN!AZ94</f>
        <v>0</v>
      </c>
      <c r="BL94" s="816">
        <f>FLN!BA94</f>
        <v>0</v>
      </c>
      <c r="BM94" s="816">
        <f>FLN!BB94</f>
        <v>0</v>
      </c>
      <c r="BN94" s="816">
        <f>FLN!BC94</f>
        <v>0</v>
      </c>
      <c r="BO94" s="823" t="str">
        <f t="shared" si="35"/>
        <v>9112</v>
      </c>
      <c r="BP94" s="816">
        <f>FLN!BD94</f>
        <v>0</v>
      </c>
      <c r="BQ94" s="816">
        <f>FLN!BE94</f>
        <v>0</v>
      </c>
      <c r="BR94" s="816">
        <f>FLN!BF94</f>
        <v>0</v>
      </c>
      <c r="BS94" s="816">
        <f>FLN!BG94</f>
        <v>0</v>
      </c>
      <c r="BT94" s="823" t="str">
        <f t="shared" si="36"/>
        <v>9113</v>
      </c>
      <c r="BU94" s="816">
        <f>FLN!BH94</f>
        <v>0</v>
      </c>
      <c r="BV94" s="816">
        <f>FLN!BI94</f>
        <v>0</v>
      </c>
      <c r="BW94" s="816">
        <f>FLN!BJ94</f>
        <v>0</v>
      </c>
      <c r="BX94" s="816">
        <f>FLN!BK94</f>
        <v>0</v>
      </c>
      <c r="BY94" s="823" t="str">
        <f t="shared" si="37"/>
        <v>9114</v>
      </c>
      <c r="BZ94" s="816">
        <f>FLN!BL94</f>
        <v>0</v>
      </c>
      <c r="CA94" s="816">
        <f>FLN!BM94</f>
        <v>0</v>
      </c>
      <c r="CB94" s="816">
        <f>FLN!BN94</f>
        <v>0</v>
      </c>
      <c r="CC94" s="816">
        <f>FLN!BO94</f>
        <v>0</v>
      </c>
      <c r="CD94" s="823" t="str">
        <f t="shared" si="38"/>
        <v>9115</v>
      </c>
      <c r="CE94" s="816">
        <f>FLN!BP94</f>
        <v>0</v>
      </c>
      <c r="CF94" s="816">
        <f>FLN!BQ94</f>
        <v>0</v>
      </c>
      <c r="CG94" s="816">
        <f>FLN!BR94</f>
        <v>0</v>
      </c>
      <c r="CH94" s="816">
        <f>FLN!BS94</f>
        <v>0</v>
      </c>
      <c r="CI94" s="823" t="str">
        <f t="shared" si="39"/>
        <v>9116</v>
      </c>
      <c r="CJ94" s="816">
        <f>FLN!BT94</f>
        <v>0</v>
      </c>
      <c r="CK94" s="816">
        <f>FLN!BU94</f>
        <v>0</v>
      </c>
      <c r="CL94" s="816">
        <f>FLN!BV94</f>
        <v>0</v>
      </c>
      <c r="CM94" s="816">
        <f>FLN!BW94</f>
        <v>0</v>
      </c>
      <c r="CN94" s="823" t="str">
        <f t="shared" si="40"/>
        <v>9117</v>
      </c>
      <c r="CO94" s="816">
        <f>FLN!BX94</f>
        <v>0</v>
      </c>
      <c r="CP94" s="816">
        <f>FLN!BY94</f>
        <v>0</v>
      </c>
      <c r="CQ94" s="816">
        <f>FLN!BZ94</f>
        <v>0</v>
      </c>
      <c r="CR94" s="816">
        <f>FLN!CA94</f>
        <v>0</v>
      </c>
      <c r="CS94" s="823" t="str">
        <f t="shared" si="41"/>
        <v>9118</v>
      </c>
      <c r="CT94" s="816">
        <f>FLN!CB94</f>
        <v>0</v>
      </c>
      <c r="CU94" s="816">
        <f>FLN!CC94</f>
        <v>0</v>
      </c>
      <c r="CV94" s="816">
        <f>FLN!CD94</f>
        <v>0</v>
      </c>
      <c r="CW94" s="816">
        <f>FLN!CE94</f>
        <v>0</v>
      </c>
      <c r="CX94" s="823" t="str">
        <f t="shared" si="42"/>
        <v>9119</v>
      </c>
      <c r="CY94" s="816">
        <f>FLN!CF94</f>
        <v>0</v>
      </c>
      <c r="CZ94" s="816">
        <f>FLN!CG94</f>
        <v>0</v>
      </c>
      <c r="DA94" s="816">
        <f>FLN!CH94</f>
        <v>0</v>
      </c>
      <c r="DB94" s="816">
        <f>FLN!CI94</f>
        <v>0</v>
      </c>
      <c r="DC94" s="823" t="str">
        <f t="shared" si="43"/>
        <v>9120</v>
      </c>
      <c r="DD94" s="816">
        <f>FLN!CJ94</f>
        <v>0</v>
      </c>
      <c r="DE94" s="816">
        <f>FLN!CK94</f>
        <v>0</v>
      </c>
      <c r="DF94" s="816">
        <f>FLN!CL94</f>
        <v>0</v>
      </c>
      <c r="DG94" s="816">
        <f>FLN!CM94</f>
        <v>0</v>
      </c>
      <c r="DH94" s="823" t="str">
        <f t="shared" si="44"/>
        <v>9121</v>
      </c>
      <c r="DI94" s="816">
        <f>FLN!CN94</f>
        <v>0</v>
      </c>
      <c r="DJ94" s="816">
        <f>FLN!CO94</f>
        <v>0</v>
      </c>
      <c r="DK94" s="816">
        <f>FLN!CP94</f>
        <v>0</v>
      </c>
      <c r="DL94" s="816">
        <f>FLN!CQ94</f>
        <v>0</v>
      </c>
      <c r="DM94" s="823" t="str">
        <f t="shared" si="45"/>
        <v>9122</v>
      </c>
      <c r="DN94" s="816">
        <f>FLN!CR94</f>
        <v>0</v>
      </c>
      <c r="DO94" s="816">
        <f>FLN!CS94</f>
        <v>0</v>
      </c>
      <c r="DP94" s="816">
        <f>FLN!CT94</f>
        <v>0</v>
      </c>
      <c r="DQ94" s="816">
        <f>FLN!CU94</f>
        <v>0</v>
      </c>
      <c r="DR94" s="823" t="str">
        <f t="shared" si="46"/>
        <v>9123</v>
      </c>
      <c r="DS94" s="816">
        <f>FLN!CV94</f>
        <v>0</v>
      </c>
      <c r="DT94" s="816">
        <f>FLN!CW94</f>
        <v>0</v>
      </c>
      <c r="DU94" s="816">
        <f>FLN!CX94</f>
        <v>0</v>
      </c>
      <c r="DV94" s="816">
        <f>FLN!CY94</f>
        <v>0</v>
      </c>
      <c r="DW94" s="823" t="str">
        <f t="shared" si="47"/>
        <v>9124</v>
      </c>
      <c r="DX94" s="816">
        <f>FLN!CZ94</f>
        <v>0</v>
      </c>
      <c r="DY94" s="816">
        <f>FLN!DA94</f>
        <v>0</v>
      </c>
      <c r="DZ94" s="816">
        <f>FLN!DB94</f>
        <v>0</v>
      </c>
      <c r="EA94" s="816">
        <f>FLN!DC94</f>
        <v>0</v>
      </c>
      <c r="EB94" s="823" t="str">
        <f t="shared" si="48"/>
        <v>9125</v>
      </c>
      <c r="EC94" s="816">
        <f>FLN!DD94</f>
        <v>0</v>
      </c>
      <c r="ED94" s="816">
        <f>FLN!DE94</f>
        <v>0</v>
      </c>
      <c r="EE94" s="816">
        <f>FLN!DF94</f>
        <v>0</v>
      </c>
      <c r="EF94" s="816">
        <f>FLN!DG94</f>
        <v>0</v>
      </c>
    </row>
    <row r="95" spans="1:136">
      <c r="A95" s="824">
        <v>92</v>
      </c>
      <c r="B95" s="824">
        <f>STUDENT!F93</f>
        <v>0</v>
      </c>
      <c r="C95" s="824">
        <f>STUDENT!D93</f>
        <v>0</v>
      </c>
      <c r="D95" s="827">
        <f>STUDENT!E93</f>
        <v>0</v>
      </c>
      <c r="E95" s="827">
        <f>STUDENT!H93</f>
        <v>0</v>
      </c>
      <c r="F95" s="828">
        <f>FLN!F95</f>
        <v>0</v>
      </c>
      <c r="G95" s="828">
        <f>FLN!G95</f>
        <v>0</v>
      </c>
      <c r="H95" s="828">
        <f>FLN!H95</f>
        <v>0</v>
      </c>
      <c r="I95" s="824" t="str">
        <f>FLN!I95</f>
        <v/>
      </c>
      <c r="J95" s="824" t="str">
        <f>FLN!J95</f>
        <v/>
      </c>
      <c r="K95" s="824" t="str">
        <f>FLN!K95</f>
        <v/>
      </c>
      <c r="L95" s="823" t="str">
        <f t="shared" si="49"/>
        <v>921</v>
      </c>
      <c r="M95" s="816">
        <f>FLN!L95</f>
        <v>0</v>
      </c>
      <c r="N95" s="816">
        <f>FLN!M95</f>
        <v>0</v>
      </c>
      <c r="O95" s="816">
        <f>FLN!N95</f>
        <v>0</v>
      </c>
      <c r="P95" s="816">
        <f>FLN!O95</f>
        <v>0</v>
      </c>
      <c r="Q95" s="823" t="str">
        <f t="shared" si="25"/>
        <v>922</v>
      </c>
      <c r="R95" s="816">
        <f>FLN!P95</f>
        <v>0</v>
      </c>
      <c r="S95" s="816">
        <f>FLN!Q95</f>
        <v>0</v>
      </c>
      <c r="T95" s="816">
        <f>FLN!R95</f>
        <v>0</v>
      </c>
      <c r="U95" s="816">
        <f>FLN!S95</f>
        <v>0</v>
      </c>
      <c r="V95" s="823" t="str">
        <f t="shared" si="26"/>
        <v>923</v>
      </c>
      <c r="W95" s="816">
        <f>FLN!T95</f>
        <v>0</v>
      </c>
      <c r="X95" s="816">
        <f>FLN!U95</f>
        <v>0</v>
      </c>
      <c r="Y95" s="816">
        <f>FLN!V95</f>
        <v>0</v>
      </c>
      <c r="Z95" s="816">
        <f>FLN!W95</f>
        <v>0</v>
      </c>
      <c r="AA95" s="823" t="str">
        <f t="shared" si="27"/>
        <v>924</v>
      </c>
      <c r="AB95" s="816">
        <f>FLN!X95</f>
        <v>0</v>
      </c>
      <c r="AC95" s="816">
        <f>FLN!Y95</f>
        <v>0</v>
      </c>
      <c r="AD95" s="816">
        <f>FLN!Z95</f>
        <v>0</v>
      </c>
      <c r="AE95" s="816">
        <f>FLN!AA95</f>
        <v>0</v>
      </c>
      <c r="AF95" s="823" t="str">
        <f t="shared" si="28"/>
        <v>925</v>
      </c>
      <c r="AG95" s="816">
        <f>FLN!AB95</f>
        <v>0</v>
      </c>
      <c r="AH95" s="816">
        <f>FLN!AC95</f>
        <v>0</v>
      </c>
      <c r="AI95" s="816">
        <f>FLN!AD95</f>
        <v>0</v>
      </c>
      <c r="AJ95" s="816">
        <f>FLN!AE95</f>
        <v>0</v>
      </c>
      <c r="AK95" s="823" t="str">
        <f t="shared" si="29"/>
        <v>926</v>
      </c>
      <c r="AL95" s="816">
        <f>FLN!AF95</f>
        <v>0</v>
      </c>
      <c r="AM95" s="816">
        <f>FLN!AG95</f>
        <v>0</v>
      </c>
      <c r="AN95" s="816">
        <f>FLN!AH95</f>
        <v>0</v>
      </c>
      <c r="AO95" s="816">
        <f>FLN!AI95</f>
        <v>0</v>
      </c>
      <c r="AP95" s="823" t="str">
        <f t="shared" si="30"/>
        <v>927</v>
      </c>
      <c r="AQ95" s="816">
        <f>FLN!AJ95</f>
        <v>0</v>
      </c>
      <c r="AR95" s="816">
        <f>FLN!AK95</f>
        <v>0</v>
      </c>
      <c r="AS95" s="816">
        <f>FLN!AL95</f>
        <v>0</v>
      </c>
      <c r="AT95" s="816">
        <f>FLN!AM95</f>
        <v>0</v>
      </c>
      <c r="AU95" s="823" t="str">
        <f t="shared" si="31"/>
        <v>928</v>
      </c>
      <c r="AV95" s="816">
        <f>FLN!AN95</f>
        <v>0</v>
      </c>
      <c r="AW95" s="816">
        <f>FLN!AO95</f>
        <v>0</v>
      </c>
      <c r="AX95" s="816">
        <f>FLN!AP95</f>
        <v>0</v>
      </c>
      <c r="AY95" s="816">
        <f>FLN!AQ95</f>
        <v>0</v>
      </c>
      <c r="AZ95" s="823" t="str">
        <f t="shared" si="32"/>
        <v>929</v>
      </c>
      <c r="BA95" s="816">
        <f>FLN!AR95</f>
        <v>0</v>
      </c>
      <c r="BB95" s="816">
        <f>FLN!AS95</f>
        <v>0</v>
      </c>
      <c r="BC95" s="816">
        <f>FLN!AT95</f>
        <v>0</v>
      </c>
      <c r="BD95" s="816">
        <f>FLN!AU95</f>
        <v>0</v>
      </c>
      <c r="BE95" s="823" t="str">
        <f t="shared" si="33"/>
        <v>9210</v>
      </c>
      <c r="BF95" s="816">
        <f>FLN!AV95</f>
        <v>0</v>
      </c>
      <c r="BG95" s="816">
        <f>FLN!AW95</f>
        <v>0</v>
      </c>
      <c r="BH95" s="816">
        <f>FLN!AX95</f>
        <v>0</v>
      </c>
      <c r="BI95" s="816">
        <f>FLN!AY95</f>
        <v>0</v>
      </c>
      <c r="BJ95" s="823" t="str">
        <f t="shared" si="34"/>
        <v>9211</v>
      </c>
      <c r="BK95" s="816">
        <f>FLN!AZ95</f>
        <v>0</v>
      </c>
      <c r="BL95" s="816">
        <f>FLN!BA95</f>
        <v>0</v>
      </c>
      <c r="BM95" s="816">
        <f>FLN!BB95</f>
        <v>0</v>
      </c>
      <c r="BN95" s="816">
        <f>FLN!BC95</f>
        <v>0</v>
      </c>
      <c r="BO95" s="823" t="str">
        <f t="shared" si="35"/>
        <v>9212</v>
      </c>
      <c r="BP95" s="816">
        <f>FLN!BD95</f>
        <v>0</v>
      </c>
      <c r="BQ95" s="816">
        <f>FLN!BE95</f>
        <v>0</v>
      </c>
      <c r="BR95" s="816">
        <f>FLN!BF95</f>
        <v>0</v>
      </c>
      <c r="BS95" s="816">
        <f>FLN!BG95</f>
        <v>0</v>
      </c>
      <c r="BT95" s="823" t="str">
        <f t="shared" si="36"/>
        <v>9213</v>
      </c>
      <c r="BU95" s="816">
        <f>FLN!BH95</f>
        <v>0</v>
      </c>
      <c r="BV95" s="816">
        <f>FLN!BI95</f>
        <v>0</v>
      </c>
      <c r="BW95" s="816">
        <f>FLN!BJ95</f>
        <v>0</v>
      </c>
      <c r="BX95" s="816">
        <f>FLN!BK95</f>
        <v>0</v>
      </c>
      <c r="BY95" s="823" t="str">
        <f t="shared" si="37"/>
        <v>9214</v>
      </c>
      <c r="BZ95" s="816">
        <f>FLN!BL95</f>
        <v>0</v>
      </c>
      <c r="CA95" s="816">
        <f>FLN!BM95</f>
        <v>0</v>
      </c>
      <c r="CB95" s="816">
        <f>FLN!BN95</f>
        <v>0</v>
      </c>
      <c r="CC95" s="816">
        <f>FLN!BO95</f>
        <v>0</v>
      </c>
      <c r="CD95" s="823" t="str">
        <f t="shared" si="38"/>
        <v>9215</v>
      </c>
      <c r="CE95" s="816">
        <f>FLN!BP95</f>
        <v>0</v>
      </c>
      <c r="CF95" s="816">
        <f>FLN!BQ95</f>
        <v>0</v>
      </c>
      <c r="CG95" s="816">
        <f>FLN!BR95</f>
        <v>0</v>
      </c>
      <c r="CH95" s="816">
        <f>FLN!BS95</f>
        <v>0</v>
      </c>
      <c r="CI95" s="823" t="str">
        <f t="shared" si="39"/>
        <v>9216</v>
      </c>
      <c r="CJ95" s="816">
        <f>FLN!BT95</f>
        <v>0</v>
      </c>
      <c r="CK95" s="816">
        <f>FLN!BU95</f>
        <v>0</v>
      </c>
      <c r="CL95" s="816">
        <f>FLN!BV95</f>
        <v>0</v>
      </c>
      <c r="CM95" s="816">
        <f>FLN!BW95</f>
        <v>0</v>
      </c>
      <c r="CN95" s="823" t="str">
        <f t="shared" si="40"/>
        <v>9217</v>
      </c>
      <c r="CO95" s="816">
        <f>FLN!BX95</f>
        <v>0</v>
      </c>
      <c r="CP95" s="816">
        <f>FLN!BY95</f>
        <v>0</v>
      </c>
      <c r="CQ95" s="816">
        <f>FLN!BZ95</f>
        <v>0</v>
      </c>
      <c r="CR95" s="816">
        <f>FLN!CA95</f>
        <v>0</v>
      </c>
      <c r="CS95" s="823" t="str">
        <f t="shared" si="41"/>
        <v>9218</v>
      </c>
      <c r="CT95" s="816">
        <f>FLN!CB95</f>
        <v>0</v>
      </c>
      <c r="CU95" s="816">
        <f>FLN!CC95</f>
        <v>0</v>
      </c>
      <c r="CV95" s="816">
        <f>FLN!CD95</f>
        <v>0</v>
      </c>
      <c r="CW95" s="816">
        <f>FLN!CE95</f>
        <v>0</v>
      </c>
      <c r="CX95" s="823" t="str">
        <f t="shared" si="42"/>
        <v>9219</v>
      </c>
      <c r="CY95" s="816">
        <f>FLN!CF95</f>
        <v>0</v>
      </c>
      <c r="CZ95" s="816">
        <f>FLN!CG95</f>
        <v>0</v>
      </c>
      <c r="DA95" s="816">
        <f>FLN!CH95</f>
        <v>0</v>
      </c>
      <c r="DB95" s="816">
        <f>FLN!CI95</f>
        <v>0</v>
      </c>
      <c r="DC95" s="823" t="str">
        <f t="shared" si="43"/>
        <v>9220</v>
      </c>
      <c r="DD95" s="816">
        <f>FLN!CJ95</f>
        <v>0</v>
      </c>
      <c r="DE95" s="816">
        <f>FLN!CK95</f>
        <v>0</v>
      </c>
      <c r="DF95" s="816">
        <f>FLN!CL95</f>
        <v>0</v>
      </c>
      <c r="DG95" s="816">
        <f>FLN!CM95</f>
        <v>0</v>
      </c>
      <c r="DH95" s="823" t="str">
        <f t="shared" si="44"/>
        <v>9221</v>
      </c>
      <c r="DI95" s="816">
        <f>FLN!CN95</f>
        <v>0</v>
      </c>
      <c r="DJ95" s="816">
        <f>FLN!CO95</f>
        <v>0</v>
      </c>
      <c r="DK95" s="816">
        <f>FLN!CP95</f>
        <v>0</v>
      </c>
      <c r="DL95" s="816">
        <f>FLN!CQ95</f>
        <v>0</v>
      </c>
      <c r="DM95" s="823" t="str">
        <f t="shared" si="45"/>
        <v>9222</v>
      </c>
      <c r="DN95" s="816">
        <f>FLN!CR95</f>
        <v>0</v>
      </c>
      <c r="DO95" s="816">
        <f>FLN!CS95</f>
        <v>0</v>
      </c>
      <c r="DP95" s="816">
        <f>FLN!CT95</f>
        <v>0</v>
      </c>
      <c r="DQ95" s="816">
        <f>FLN!CU95</f>
        <v>0</v>
      </c>
      <c r="DR95" s="823" t="str">
        <f t="shared" si="46"/>
        <v>9223</v>
      </c>
      <c r="DS95" s="816">
        <f>FLN!CV95</f>
        <v>0</v>
      </c>
      <c r="DT95" s="816">
        <f>FLN!CW95</f>
        <v>0</v>
      </c>
      <c r="DU95" s="816">
        <f>FLN!CX95</f>
        <v>0</v>
      </c>
      <c r="DV95" s="816">
        <f>FLN!CY95</f>
        <v>0</v>
      </c>
      <c r="DW95" s="823" t="str">
        <f t="shared" si="47"/>
        <v>9224</v>
      </c>
      <c r="DX95" s="816">
        <f>FLN!CZ95</f>
        <v>0</v>
      </c>
      <c r="DY95" s="816">
        <f>FLN!DA95</f>
        <v>0</v>
      </c>
      <c r="DZ95" s="816">
        <f>FLN!DB95</f>
        <v>0</v>
      </c>
      <c r="EA95" s="816">
        <f>FLN!DC95</f>
        <v>0</v>
      </c>
      <c r="EB95" s="823" t="str">
        <f t="shared" si="48"/>
        <v>9225</v>
      </c>
      <c r="EC95" s="816">
        <f>FLN!DD95</f>
        <v>0</v>
      </c>
      <c r="ED95" s="816">
        <f>FLN!DE95</f>
        <v>0</v>
      </c>
      <c r="EE95" s="816">
        <f>FLN!DF95</f>
        <v>0</v>
      </c>
      <c r="EF95" s="816">
        <f>FLN!DG95</f>
        <v>0</v>
      </c>
    </row>
    <row r="96" spans="1:136">
      <c r="A96" s="824">
        <v>93</v>
      </c>
      <c r="B96" s="824">
        <f>STUDENT!F94</f>
        <v>0</v>
      </c>
      <c r="C96" s="824">
        <f>STUDENT!D94</f>
        <v>0</v>
      </c>
      <c r="D96" s="827">
        <f>STUDENT!E94</f>
        <v>0</v>
      </c>
      <c r="E96" s="827">
        <f>STUDENT!H94</f>
        <v>0</v>
      </c>
      <c r="F96" s="828">
        <f>FLN!F96</f>
        <v>0</v>
      </c>
      <c r="G96" s="828">
        <f>FLN!G96</f>
        <v>0</v>
      </c>
      <c r="H96" s="828">
        <f>FLN!H96</f>
        <v>0</v>
      </c>
      <c r="I96" s="824" t="str">
        <f>FLN!I96</f>
        <v/>
      </c>
      <c r="J96" s="824" t="str">
        <f>FLN!J96</f>
        <v/>
      </c>
      <c r="K96" s="824" t="str">
        <f>FLN!K96</f>
        <v/>
      </c>
      <c r="L96" s="823" t="str">
        <f t="shared" si="49"/>
        <v>931</v>
      </c>
      <c r="M96" s="816">
        <f>FLN!L96</f>
        <v>0</v>
      </c>
      <c r="N96" s="816">
        <f>FLN!M96</f>
        <v>0</v>
      </c>
      <c r="O96" s="816">
        <f>FLN!N96</f>
        <v>0</v>
      </c>
      <c r="P96" s="816">
        <f>FLN!O96</f>
        <v>0</v>
      </c>
      <c r="Q96" s="823" t="str">
        <f t="shared" si="25"/>
        <v>932</v>
      </c>
      <c r="R96" s="816">
        <f>FLN!P96</f>
        <v>0</v>
      </c>
      <c r="S96" s="816">
        <f>FLN!Q96</f>
        <v>0</v>
      </c>
      <c r="T96" s="816">
        <f>FLN!R96</f>
        <v>0</v>
      </c>
      <c r="U96" s="816">
        <f>FLN!S96</f>
        <v>0</v>
      </c>
      <c r="V96" s="823" t="str">
        <f t="shared" si="26"/>
        <v>933</v>
      </c>
      <c r="W96" s="816">
        <f>FLN!T96</f>
        <v>0</v>
      </c>
      <c r="X96" s="816">
        <f>FLN!U96</f>
        <v>0</v>
      </c>
      <c r="Y96" s="816">
        <f>FLN!V96</f>
        <v>0</v>
      </c>
      <c r="Z96" s="816">
        <f>FLN!W96</f>
        <v>0</v>
      </c>
      <c r="AA96" s="823" t="str">
        <f t="shared" si="27"/>
        <v>934</v>
      </c>
      <c r="AB96" s="816">
        <f>FLN!X96</f>
        <v>0</v>
      </c>
      <c r="AC96" s="816">
        <f>FLN!Y96</f>
        <v>0</v>
      </c>
      <c r="AD96" s="816">
        <f>FLN!Z96</f>
        <v>0</v>
      </c>
      <c r="AE96" s="816">
        <f>FLN!AA96</f>
        <v>0</v>
      </c>
      <c r="AF96" s="823" t="str">
        <f t="shared" si="28"/>
        <v>935</v>
      </c>
      <c r="AG96" s="816">
        <f>FLN!AB96</f>
        <v>0</v>
      </c>
      <c r="AH96" s="816">
        <f>FLN!AC96</f>
        <v>0</v>
      </c>
      <c r="AI96" s="816">
        <f>FLN!AD96</f>
        <v>0</v>
      </c>
      <c r="AJ96" s="816">
        <f>FLN!AE96</f>
        <v>0</v>
      </c>
      <c r="AK96" s="823" t="str">
        <f t="shared" si="29"/>
        <v>936</v>
      </c>
      <c r="AL96" s="816">
        <f>FLN!AF96</f>
        <v>0</v>
      </c>
      <c r="AM96" s="816">
        <f>FLN!AG96</f>
        <v>0</v>
      </c>
      <c r="AN96" s="816">
        <f>FLN!AH96</f>
        <v>0</v>
      </c>
      <c r="AO96" s="816">
        <f>FLN!AI96</f>
        <v>0</v>
      </c>
      <c r="AP96" s="823" t="str">
        <f t="shared" si="30"/>
        <v>937</v>
      </c>
      <c r="AQ96" s="816">
        <f>FLN!AJ96</f>
        <v>0</v>
      </c>
      <c r="AR96" s="816">
        <f>FLN!AK96</f>
        <v>0</v>
      </c>
      <c r="AS96" s="816">
        <f>FLN!AL96</f>
        <v>0</v>
      </c>
      <c r="AT96" s="816">
        <f>FLN!AM96</f>
        <v>0</v>
      </c>
      <c r="AU96" s="823" t="str">
        <f t="shared" si="31"/>
        <v>938</v>
      </c>
      <c r="AV96" s="816">
        <f>FLN!AN96</f>
        <v>0</v>
      </c>
      <c r="AW96" s="816">
        <f>FLN!AO96</f>
        <v>0</v>
      </c>
      <c r="AX96" s="816">
        <f>FLN!AP96</f>
        <v>0</v>
      </c>
      <c r="AY96" s="816">
        <f>FLN!AQ96</f>
        <v>0</v>
      </c>
      <c r="AZ96" s="823" t="str">
        <f t="shared" si="32"/>
        <v>939</v>
      </c>
      <c r="BA96" s="816">
        <f>FLN!AR96</f>
        <v>0</v>
      </c>
      <c r="BB96" s="816">
        <f>FLN!AS96</f>
        <v>0</v>
      </c>
      <c r="BC96" s="816">
        <f>FLN!AT96</f>
        <v>0</v>
      </c>
      <c r="BD96" s="816">
        <f>FLN!AU96</f>
        <v>0</v>
      </c>
      <c r="BE96" s="823" t="str">
        <f t="shared" si="33"/>
        <v>9310</v>
      </c>
      <c r="BF96" s="816">
        <f>FLN!AV96</f>
        <v>0</v>
      </c>
      <c r="BG96" s="816">
        <f>FLN!AW96</f>
        <v>0</v>
      </c>
      <c r="BH96" s="816">
        <f>FLN!AX96</f>
        <v>0</v>
      </c>
      <c r="BI96" s="816">
        <f>FLN!AY96</f>
        <v>0</v>
      </c>
      <c r="BJ96" s="823" t="str">
        <f t="shared" si="34"/>
        <v>9311</v>
      </c>
      <c r="BK96" s="816">
        <f>FLN!AZ96</f>
        <v>0</v>
      </c>
      <c r="BL96" s="816">
        <f>FLN!BA96</f>
        <v>0</v>
      </c>
      <c r="BM96" s="816">
        <f>FLN!BB96</f>
        <v>0</v>
      </c>
      <c r="BN96" s="816">
        <f>FLN!BC96</f>
        <v>0</v>
      </c>
      <c r="BO96" s="823" t="str">
        <f t="shared" si="35"/>
        <v>9312</v>
      </c>
      <c r="BP96" s="816">
        <f>FLN!BD96</f>
        <v>0</v>
      </c>
      <c r="BQ96" s="816">
        <f>FLN!BE96</f>
        <v>0</v>
      </c>
      <c r="BR96" s="816">
        <f>FLN!BF96</f>
        <v>0</v>
      </c>
      <c r="BS96" s="816">
        <f>FLN!BG96</f>
        <v>0</v>
      </c>
      <c r="BT96" s="823" t="str">
        <f t="shared" si="36"/>
        <v>9313</v>
      </c>
      <c r="BU96" s="816">
        <f>FLN!BH96</f>
        <v>0</v>
      </c>
      <c r="BV96" s="816">
        <f>FLN!BI96</f>
        <v>0</v>
      </c>
      <c r="BW96" s="816">
        <f>FLN!BJ96</f>
        <v>0</v>
      </c>
      <c r="BX96" s="816">
        <f>FLN!BK96</f>
        <v>0</v>
      </c>
      <c r="BY96" s="823" t="str">
        <f t="shared" si="37"/>
        <v>9314</v>
      </c>
      <c r="BZ96" s="816">
        <f>FLN!BL96</f>
        <v>0</v>
      </c>
      <c r="CA96" s="816">
        <f>FLN!BM96</f>
        <v>0</v>
      </c>
      <c r="CB96" s="816">
        <f>FLN!BN96</f>
        <v>0</v>
      </c>
      <c r="CC96" s="816">
        <f>FLN!BO96</f>
        <v>0</v>
      </c>
      <c r="CD96" s="823" t="str">
        <f t="shared" si="38"/>
        <v>9315</v>
      </c>
      <c r="CE96" s="816">
        <f>FLN!BP96</f>
        <v>0</v>
      </c>
      <c r="CF96" s="816">
        <f>FLN!BQ96</f>
        <v>0</v>
      </c>
      <c r="CG96" s="816">
        <f>FLN!BR96</f>
        <v>0</v>
      </c>
      <c r="CH96" s="816">
        <f>FLN!BS96</f>
        <v>0</v>
      </c>
      <c r="CI96" s="823" t="str">
        <f t="shared" si="39"/>
        <v>9316</v>
      </c>
      <c r="CJ96" s="816">
        <f>FLN!BT96</f>
        <v>0</v>
      </c>
      <c r="CK96" s="816">
        <f>FLN!BU96</f>
        <v>0</v>
      </c>
      <c r="CL96" s="816">
        <f>FLN!BV96</f>
        <v>0</v>
      </c>
      <c r="CM96" s="816">
        <f>FLN!BW96</f>
        <v>0</v>
      </c>
      <c r="CN96" s="823" t="str">
        <f t="shared" si="40"/>
        <v>9317</v>
      </c>
      <c r="CO96" s="816">
        <f>FLN!BX96</f>
        <v>0</v>
      </c>
      <c r="CP96" s="816">
        <f>FLN!BY96</f>
        <v>0</v>
      </c>
      <c r="CQ96" s="816">
        <f>FLN!BZ96</f>
        <v>0</v>
      </c>
      <c r="CR96" s="816">
        <f>FLN!CA96</f>
        <v>0</v>
      </c>
      <c r="CS96" s="823" t="str">
        <f t="shared" si="41"/>
        <v>9318</v>
      </c>
      <c r="CT96" s="816">
        <f>FLN!CB96</f>
        <v>0</v>
      </c>
      <c r="CU96" s="816">
        <f>FLN!CC96</f>
        <v>0</v>
      </c>
      <c r="CV96" s="816">
        <f>FLN!CD96</f>
        <v>0</v>
      </c>
      <c r="CW96" s="816">
        <f>FLN!CE96</f>
        <v>0</v>
      </c>
      <c r="CX96" s="823" t="str">
        <f t="shared" si="42"/>
        <v>9319</v>
      </c>
      <c r="CY96" s="816">
        <f>FLN!CF96</f>
        <v>0</v>
      </c>
      <c r="CZ96" s="816">
        <f>FLN!CG96</f>
        <v>0</v>
      </c>
      <c r="DA96" s="816">
        <f>FLN!CH96</f>
        <v>0</v>
      </c>
      <c r="DB96" s="816">
        <f>FLN!CI96</f>
        <v>0</v>
      </c>
      <c r="DC96" s="823" t="str">
        <f t="shared" si="43"/>
        <v>9320</v>
      </c>
      <c r="DD96" s="816">
        <f>FLN!CJ96</f>
        <v>0</v>
      </c>
      <c r="DE96" s="816">
        <f>FLN!CK96</f>
        <v>0</v>
      </c>
      <c r="DF96" s="816">
        <f>FLN!CL96</f>
        <v>0</v>
      </c>
      <c r="DG96" s="816">
        <f>FLN!CM96</f>
        <v>0</v>
      </c>
      <c r="DH96" s="823" t="str">
        <f t="shared" si="44"/>
        <v>9321</v>
      </c>
      <c r="DI96" s="816">
        <f>FLN!CN96</f>
        <v>0</v>
      </c>
      <c r="DJ96" s="816">
        <f>FLN!CO96</f>
        <v>0</v>
      </c>
      <c r="DK96" s="816">
        <f>FLN!CP96</f>
        <v>0</v>
      </c>
      <c r="DL96" s="816">
        <f>FLN!CQ96</f>
        <v>0</v>
      </c>
      <c r="DM96" s="823" t="str">
        <f t="shared" si="45"/>
        <v>9322</v>
      </c>
      <c r="DN96" s="816">
        <f>FLN!CR96</f>
        <v>0</v>
      </c>
      <c r="DO96" s="816">
        <f>FLN!CS96</f>
        <v>0</v>
      </c>
      <c r="DP96" s="816">
        <f>FLN!CT96</f>
        <v>0</v>
      </c>
      <c r="DQ96" s="816">
        <f>FLN!CU96</f>
        <v>0</v>
      </c>
      <c r="DR96" s="823" t="str">
        <f t="shared" si="46"/>
        <v>9323</v>
      </c>
      <c r="DS96" s="816">
        <f>FLN!CV96</f>
        <v>0</v>
      </c>
      <c r="DT96" s="816">
        <f>FLN!CW96</f>
        <v>0</v>
      </c>
      <c r="DU96" s="816">
        <f>FLN!CX96</f>
        <v>0</v>
      </c>
      <c r="DV96" s="816">
        <f>FLN!CY96</f>
        <v>0</v>
      </c>
      <c r="DW96" s="823" t="str">
        <f t="shared" si="47"/>
        <v>9324</v>
      </c>
      <c r="DX96" s="816">
        <f>FLN!CZ96</f>
        <v>0</v>
      </c>
      <c r="DY96" s="816">
        <f>FLN!DA96</f>
        <v>0</v>
      </c>
      <c r="DZ96" s="816">
        <f>FLN!DB96</f>
        <v>0</v>
      </c>
      <c r="EA96" s="816">
        <f>FLN!DC96</f>
        <v>0</v>
      </c>
      <c r="EB96" s="823" t="str">
        <f t="shared" si="48"/>
        <v>9325</v>
      </c>
      <c r="EC96" s="816">
        <f>FLN!DD96</f>
        <v>0</v>
      </c>
      <c r="ED96" s="816">
        <f>FLN!DE96</f>
        <v>0</v>
      </c>
      <c r="EE96" s="816">
        <f>FLN!DF96</f>
        <v>0</v>
      </c>
      <c r="EF96" s="816">
        <f>FLN!DG96</f>
        <v>0</v>
      </c>
    </row>
    <row r="97" spans="1:136">
      <c r="A97" s="824">
        <v>94</v>
      </c>
      <c r="B97" s="824">
        <f>STUDENT!F95</f>
        <v>0</v>
      </c>
      <c r="C97" s="824">
        <f>STUDENT!D95</f>
        <v>0</v>
      </c>
      <c r="D97" s="827">
        <f>STUDENT!E95</f>
        <v>0</v>
      </c>
      <c r="E97" s="827">
        <f>STUDENT!H95</f>
        <v>0</v>
      </c>
      <c r="F97" s="828">
        <f>FLN!F97</f>
        <v>0</v>
      </c>
      <c r="G97" s="828">
        <f>FLN!G97</f>
        <v>0</v>
      </c>
      <c r="H97" s="828">
        <f>FLN!H97</f>
        <v>0</v>
      </c>
      <c r="I97" s="824" t="str">
        <f>FLN!I97</f>
        <v/>
      </c>
      <c r="J97" s="824" t="str">
        <f>FLN!J97</f>
        <v/>
      </c>
      <c r="K97" s="824" t="str">
        <f>FLN!K97</f>
        <v/>
      </c>
      <c r="L97" s="823" t="str">
        <f t="shared" si="49"/>
        <v>941</v>
      </c>
      <c r="M97" s="816">
        <f>FLN!L97</f>
        <v>0</v>
      </c>
      <c r="N97" s="816">
        <f>FLN!M97</f>
        <v>0</v>
      </c>
      <c r="O97" s="816">
        <f>FLN!N97</f>
        <v>0</v>
      </c>
      <c r="P97" s="816">
        <f>FLN!O97</f>
        <v>0</v>
      </c>
      <c r="Q97" s="823" t="str">
        <f t="shared" si="25"/>
        <v>942</v>
      </c>
      <c r="R97" s="816">
        <f>FLN!P97</f>
        <v>0</v>
      </c>
      <c r="S97" s="816">
        <f>FLN!Q97</f>
        <v>0</v>
      </c>
      <c r="T97" s="816">
        <f>FLN!R97</f>
        <v>0</v>
      </c>
      <c r="U97" s="816">
        <f>FLN!S97</f>
        <v>0</v>
      </c>
      <c r="V97" s="823" t="str">
        <f t="shared" si="26"/>
        <v>943</v>
      </c>
      <c r="W97" s="816">
        <f>FLN!T97</f>
        <v>0</v>
      </c>
      <c r="X97" s="816">
        <f>FLN!U97</f>
        <v>0</v>
      </c>
      <c r="Y97" s="816">
        <f>FLN!V97</f>
        <v>0</v>
      </c>
      <c r="Z97" s="816">
        <f>FLN!W97</f>
        <v>0</v>
      </c>
      <c r="AA97" s="823" t="str">
        <f t="shared" si="27"/>
        <v>944</v>
      </c>
      <c r="AB97" s="816">
        <f>FLN!X97</f>
        <v>0</v>
      </c>
      <c r="AC97" s="816">
        <f>FLN!Y97</f>
        <v>0</v>
      </c>
      <c r="AD97" s="816">
        <f>FLN!Z97</f>
        <v>0</v>
      </c>
      <c r="AE97" s="816">
        <f>FLN!AA97</f>
        <v>0</v>
      </c>
      <c r="AF97" s="823" t="str">
        <f t="shared" si="28"/>
        <v>945</v>
      </c>
      <c r="AG97" s="816">
        <f>FLN!AB97</f>
        <v>0</v>
      </c>
      <c r="AH97" s="816">
        <f>FLN!AC97</f>
        <v>0</v>
      </c>
      <c r="AI97" s="816">
        <f>FLN!AD97</f>
        <v>0</v>
      </c>
      <c r="AJ97" s="816">
        <f>FLN!AE97</f>
        <v>0</v>
      </c>
      <c r="AK97" s="823" t="str">
        <f t="shared" si="29"/>
        <v>946</v>
      </c>
      <c r="AL97" s="816">
        <f>FLN!AF97</f>
        <v>0</v>
      </c>
      <c r="AM97" s="816">
        <f>FLN!AG97</f>
        <v>0</v>
      </c>
      <c r="AN97" s="816">
        <f>FLN!AH97</f>
        <v>0</v>
      </c>
      <c r="AO97" s="816">
        <f>FLN!AI97</f>
        <v>0</v>
      </c>
      <c r="AP97" s="823" t="str">
        <f t="shared" si="30"/>
        <v>947</v>
      </c>
      <c r="AQ97" s="816">
        <f>FLN!AJ97</f>
        <v>0</v>
      </c>
      <c r="AR97" s="816">
        <f>FLN!AK97</f>
        <v>0</v>
      </c>
      <c r="AS97" s="816">
        <f>FLN!AL97</f>
        <v>0</v>
      </c>
      <c r="AT97" s="816">
        <f>FLN!AM97</f>
        <v>0</v>
      </c>
      <c r="AU97" s="823" t="str">
        <f t="shared" si="31"/>
        <v>948</v>
      </c>
      <c r="AV97" s="816">
        <f>FLN!AN97</f>
        <v>0</v>
      </c>
      <c r="AW97" s="816">
        <f>FLN!AO97</f>
        <v>0</v>
      </c>
      <c r="AX97" s="816">
        <f>FLN!AP97</f>
        <v>0</v>
      </c>
      <c r="AY97" s="816">
        <f>FLN!AQ97</f>
        <v>0</v>
      </c>
      <c r="AZ97" s="823" t="str">
        <f t="shared" si="32"/>
        <v>949</v>
      </c>
      <c r="BA97" s="816">
        <f>FLN!AR97</f>
        <v>0</v>
      </c>
      <c r="BB97" s="816">
        <f>FLN!AS97</f>
        <v>0</v>
      </c>
      <c r="BC97" s="816">
        <f>FLN!AT97</f>
        <v>0</v>
      </c>
      <c r="BD97" s="816">
        <f>FLN!AU97</f>
        <v>0</v>
      </c>
      <c r="BE97" s="823" t="str">
        <f t="shared" si="33"/>
        <v>9410</v>
      </c>
      <c r="BF97" s="816">
        <f>FLN!AV97</f>
        <v>0</v>
      </c>
      <c r="BG97" s="816">
        <f>FLN!AW97</f>
        <v>0</v>
      </c>
      <c r="BH97" s="816">
        <f>FLN!AX97</f>
        <v>0</v>
      </c>
      <c r="BI97" s="816">
        <f>FLN!AY97</f>
        <v>0</v>
      </c>
      <c r="BJ97" s="823" t="str">
        <f t="shared" si="34"/>
        <v>9411</v>
      </c>
      <c r="BK97" s="816">
        <f>FLN!AZ97</f>
        <v>0</v>
      </c>
      <c r="BL97" s="816">
        <f>FLN!BA97</f>
        <v>0</v>
      </c>
      <c r="BM97" s="816">
        <f>FLN!BB97</f>
        <v>0</v>
      </c>
      <c r="BN97" s="816">
        <f>FLN!BC97</f>
        <v>0</v>
      </c>
      <c r="BO97" s="823" t="str">
        <f t="shared" si="35"/>
        <v>9412</v>
      </c>
      <c r="BP97" s="816">
        <f>FLN!BD97</f>
        <v>0</v>
      </c>
      <c r="BQ97" s="816">
        <f>FLN!BE97</f>
        <v>0</v>
      </c>
      <c r="BR97" s="816">
        <f>FLN!BF97</f>
        <v>0</v>
      </c>
      <c r="BS97" s="816">
        <f>FLN!BG97</f>
        <v>0</v>
      </c>
      <c r="BT97" s="823" t="str">
        <f t="shared" si="36"/>
        <v>9413</v>
      </c>
      <c r="BU97" s="816">
        <f>FLN!BH97</f>
        <v>0</v>
      </c>
      <c r="BV97" s="816">
        <f>FLN!BI97</f>
        <v>0</v>
      </c>
      <c r="BW97" s="816">
        <f>FLN!BJ97</f>
        <v>0</v>
      </c>
      <c r="BX97" s="816">
        <f>FLN!BK97</f>
        <v>0</v>
      </c>
      <c r="BY97" s="823" t="str">
        <f t="shared" si="37"/>
        <v>9414</v>
      </c>
      <c r="BZ97" s="816">
        <f>FLN!BL97</f>
        <v>0</v>
      </c>
      <c r="CA97" s="816">
        <f>FLN!BM97</f>
        <v>0</v>
      </c>
      <c r="CB97" s="816">
        <f>FLN!BN97</f>
        <v>0</v>
      </c>
      <c r="CC97" s="816">
        <f>FLN!BO97</f>
        <v>0</v>
      </c>
      <c r="CD97" s="823" t="str">
        <f t="shared" si="38"/>
        <v>9415</v>
      </c>
      <c r="CE97" s="816">
        <f>FLN!BP97</f>
        <v>0</v>
      </c>
      <c r="CF97" s="816">
        <f>FLN!BQ97</f>
        <v>0</v>
      </c>
      <c r="CG97" s="816">
        <f>FLN!BR97</f>
        <v>0</v>
      </c>
      <c r="CH97" s="816">
        <f>FLN!BS97</f>
        <v>0</v>
      </c>
      <c r="CI97" s="823" t="str">
        <f t="shared" si="39"/>
        <v>9416</v>
      </c>
      <c r="CJ97" s="816">
        <f>FLN!BT97</f>
        <v>0</v>
      </c>
      <c r="CK97" s="816">
        <f>FLN!BU97</f>
        <v>0</v>
      </c>
      <c r="CL97" s="816">
        <f>FLN!BV97</f>
        <v>0</v>
      </c>
      <c r="CM97" s="816">
        <f>FLN!BW97</f>
        <v>0</v>
      </c>
      <c r="CN97" s="823" t="str">
        <f t="shared" si="40"/>
        <v>9417</v>
      </c>
      <c r="CO97" s="816">
        <f>FLN!BX97</f>
        <v>0</v>
      </c>
      <c r="CP97" s="816">
        <f>FLN!BY97</f>
        <v>0</v>
      </c>
      <c r="CQ97" s="816">
        <f>FLN!BZ97</f>
        <v>0</v>
      </c>
      <c r="CR97" s="816">
        <f>FLN!CA97</f>
        <v>0</v>
      </c>
      <c r="CS97" s="823" t="str">
        <f t="shared" si="41"/>
        <v>9418</v>
      </c>
      <c r="CT97" s="816">
        <f>FLN!CB97</f>
        <v>0</v>
      </c>
      <c r="CU97" s="816">
        <f>FLN!CC97</f>
        <v>0</v>
      </c>
      <c r="CV97" s="816">
        <f>FLN!CD97</f>
        <v>0</v>
      </c>
      <c r="CW97" s="816">
        <f>FLN!CE97</f>
        <v>0</v>
      </c>
      <c r="CX97" s="823" t="str">
        <f t="shared" si="42"/>
        <v>9419</v>
      </c>
      <c r="CY97" s="816">
        <f>FLN!CF97</f>
        <v>0</v>
      </c>
      <c r="CZ97" s="816">
        <f>FLN!CG97</f>
        <v>0</v>
      </c>
      <c r="DA97" s="816">
        <f>FLN!CH97</f>
        <v>0</v>
      </c>
      <c r="DB97" s="816">
        <f>FLN!CI97</f>
        <v>0</v>
      </c>
      <c r="DC97" s="823" t="str">
        <f t="shared" si="43"/>
        <v>9420</v>
      </c>
      <c r="DD97" s="816">
        <f>FLN!CJ97</f>
        <v>0</v>
      </c>
      <c r="DE97" s="816">
        <f>FLN!CK97</f>
        <v>0</v>
      </c>
      <c r="DF97" s="816">
        <f>FLN!CL97</f>
        <v>0</v>
      </c>
      <c r="DG97" s="816">
        <f>FLN!CM97</f>
        <v>0</v>
      </c>
      <c r="DH97" s="823" t="str">
        <f t="shared" si="44"/>
        <v>9421</v>
      </c>
      <c r="DI97" s="816">
        <f>FLN!CN97</f>
        <v>0</v>
      </c>
      <c r="DJ97" s="816">
        <f>FLN!CO97</f>
        <v>0</v>
      </c>
      <c r="DK97" s="816">
        <f>FLN!CP97</f>
        <v>0</v>
      </c>
      <c r="DL97" s="816">
        <f>FLN!CQ97</f>
        <v>0</v>
      </c>
      <c r="DM97" s="823" t="str">
        <f t="shared" si="45"/>
        <v>9422</v>
      </c>
      <c r="DN97" s="816">
        <f>FLN!CR97</f>
        <v>0</v>
      </c>
      <c r="DO97" s="816">
        <f>FLN!CS97</f>
        <v>0</v>
      </c>
      <c r="DP97" s="816">
        <f>FLN!CT97</f>
        <v>0</v>
      </c>
      <c r="DQ97" s="816">
        <f>FLN!CU97</f>
        <v>0</v>
      </c>
      <c r="DR97" s="823" t="str">
        <f t="shared" si="46"/>
        <v>9423</v>
      </c>
      <c r="DS97" s="816">
        <f>FLN!CV97</f>
        <v>0</v>
      </c>
      <c r="DT97" s="816">
        <f>FLN!CW97</f>
        <v>0</v>
      </c>
      <c r="DU97" s="816">
        <f>FLN!CX97</f>
        <v>0</v>
      </c>
      <c r="DV97" s="816">
        <f>FLN!CY97</f>
        <v>0</v>
      </c>
      <c r="DW97" s="823" t="str">
        <f t="shared" si="47"/>
        <v>9424</v>
      </c>
      <c r="DX97" s="816">
        <f>FLN!CZ97</f>
        <v>0</v>
      </c>
      <c r="DY97" s="816">
        <f>FLN!DA97</f>
        <v>0</v>
      </c>
      <c r="DZ97" s="816">
        <f>FLN!DB97</f>
        <v>0</v>
      </c>
      <c r="EA97" s="816">
        <f>FLN!DC97</f>
        <v>0</v>
      </c>
      <c r="EB97" s="823" t="str">
        <f t="shared" si="48"/>
        <v>9425</v>
      </c>
      <c r="EC97" s="816">
        <f>FLN!DD97</f>
        <v>0</v>
      </c>
      <c r="ED97" s="816">
        <f>FLN!DE97</f>
        <v>0</v>
      </c>
      <c r="EE97" s="816">
        <f>FLN!DF97</f>
        <v>0</v>
      </c>
      <c r="EF97" s="816">
        <f>FLN!DG97</f>
        <v>0</v>
      </c>
    </row>
    <row r="98" spans="1:136">
      <c r="A98" s="824">
        <v>95</v>
      </c>
      <c r="B98" s="824">
        <f>STUDENT!F96</f>
        <v>0</v>
      </c>
      <c r="C98" s="824">
        <f>STUDENT!D96</f>
        <v>0</v>
      </c>
      <c r="D98" s="827">
        <f>STUDENT!E96</f>
        <v>0</v>
      </c>
      <c r="E98" s="827">
        <f>STUDENT!H96</f>
        <v>0</v>
      </c>
      <c r="F98" s="828">
        <f>FLN!F98</f>
        <v>0</v>
      </c>
      <c r="G98" s="828">
        <f>FLN!G98</f>
        <v>0</v>
      </c>
      <c r="H98" s="828">
        <f>FLN!H98</f>
        <v>0</v>
      </c>
      <c r="I98" s="824" t="str">
        <f>FLN!I98</f>
        <v/>
      </c>
      <c r="J98" s="824" t="str">
        <f>FLN!J98</f>
        <v/>
      </c>
      <c r="K98" s="824" t="str">
        <f>FLN!K98</f>
        <v/>
      </c>
      <c r="L98" s="823" t="str">
        <f t="shared" si="49"/>
        <v>951</v>
      </c>
      <c r="M98" s="816">
        <f>FLN!L98</f>
        <v>0</v>
      </c>
      <c r="N98" s="816">
        <f>FLN!M98</f>
        <v>0</v>
      </c>
      <c r="O98" s="816">
        <f>FLN!N98</f>
        <v>0</v>
      </c>
      <c r="P98" s="816">
        <f>FLN!O98</f>
        <v>0</v>
      </c>
      <c r="Q98" s="823" t="str">
        <f t="shared" si="25"/>
        <v>952</v>
      </c>
      <c r="R98" s="816">
        <f>FLN!P98</f>
        <v>0</v>
      </c>
      <c r="S98" s="816">
        <f>FLN!Q98</f>
        <v>0</v>
      </c>
      <c r="T98" s="816">
        <f>FLN!R98</f>
        <v>0</v>
      </c>
      <c r="U98" s="816">
        <f>FLN!S98</f>
        <v>0</v>
      </c>
      <c r="V98" s="823" t="str">
        <f t="shared" si="26"/>
        <v>953</v>
      </c>
      <c r="W98" s="816">
        <f>FLN!T98</f>
        <v>0</v>
      </c>
      <c r="X98" s="816">
        <f>FLN!U98</f>
        <v>0</v>
      </c>
      <c r="Y98" s="816">
        <f>FLN!V98</f>
        <v>0</v>
      </c>
      <c r="Z98" s="816">
        <f>FLN!W98</f>
        <v>0</v>
      </c>
      <c r="AA98" s="823" t="str">
        <f t="shared" si="27"/>
        <v>954</v>
      </c>
      <c r="AB98" s="816">
        <f>FLN!X98</f>
        <v>0</v>
      </c>
      <c r="AC98" s="816">
        <f>FLN!Y98</f>
        <v>0</v>
      </c>
      <c r="AD98" s="816">
        <f>FLN!Z98</f>
        <v>0</v>
      </c>
      <c r="AE98" s="816">
        <f>FLN!AA98</f>
        <v>0</v>
      </c>
      <c r="AF98" s="823" t="str">
        <f t="shared" si="28"/>
        <v>955</v>
      </c>
      <c r="AG98" s="816">
        <f>FLN!AB98</f>
        <v>0</v>
      </c>
      <c r="AH98" s="816">
        <f>FLN!AC98</f>
        <v>0</v>
      </c>
      <c r="AI98" s="816">
        <f>FLN!AD98</f>
        <v>0</v>
      </c>
      <c r="AJ98" s="816">
        <f>FLN!AE98</f>
        <v>0</v>
      </c>
      <c r="AK98" s="823" t="str">
        <f t="shared" si="29"/>
        <v>956</v>
      </c>
      <c r="AL98" s="816">
        <f>FLN!AF98</f>
        <v>0</v>
      </c>
      <c r="AM98" s="816">
        <f>FLN!AG98</f>
        <v>0</v>
      </c>
      <c r="AN98" s="816">
        <f>FLN!AH98</f>
        <v>0</v>
      </c>
      <c r="AO98" s="816">
        <f>FLN!AI98</f>
        <v>0</v>
      </c>
      <c r="AP98" s="823" t="str">
        <f t="shared" si="30"/>
        <v>957</v>
      </c>
      <c r="AQ98" s="816">
        <f>FLN!AJ98</f>
        <v>0</v>
      </c>
      <c r="AR98" s="816">
        <f>FLN!AK98</f>
        <v>0</v>
      </c>
      <c r="AS98" s="816">
        <f>FLN!AL98</f>
        <v>0</v>
      </c>
      <c r="AT98" s="816">
        <f>FLN!AM98</f>
        <v>0</v>
      </c>
      <c r="AU98" s="823" t="str">
        <f t="shared" si="31"/>
        <v>958</v>
      </c>
      <c r="AV98" s="816">
        <f>FLN!AN98</f>
        <v>0</v>
      </c>
      <c r="AW98" s="816">
        <f>FLN!AO98</f>
        <v>0</v>
      </c>
      <c r="AX98" s="816">
        <f>FLN!AP98</f>
        <v>0</v>
      </c>
      <c r="AY98" s="816">
        <f>FLN!AQ98</f>
        <v>0</v>
      </c>
      <c r="AZ98" s="823" t="str">
        <f t="shared" si="32"/>
        <v>959</v>
      </c>
      <c r="BA98" s="816">
        <f>FLN!AR98</f>
        <v>0</v>
      </c>
      <c r="BB98" s="816">
        <f>FLN!AS98</f>
        <v>0</v>
      </c>
      <c r="BC98" s="816">
        <f>FLN!AT98</f>
        <v>0</v>
      </c>
      <c r="BD98" s="816">
        <f>FLN!AU98</f>
        <v>0</v>
      </c>
      <c r="BE98" s="823" t="str">
        <f t="shared" si="33"/>
        <v>9510</v>
      </c>
      <c r="BF98" s="816">
        <f>FLN!AV98</f>
        <v>0</v>
      </c>
      <c r="BG98" s="816">
        <f>FLN!AW98</f>
        <v>0</v>
      </c>
      <c r="BH98" s="816">
        <f>FLN!AX98</f>
        <v>0</v>
      </c>
      <c r="BI98" s="816">
        <f>FLN!AY98</f>
        <v>0</v>
      </c>
      <c r="BJ98" s="823" t="str">
        <f t="shared" si="34"/>
        <v>9511</v>
      </c>
      <c r="BK98" s="816">
        <f>FLN!AZ98</f>
        <v>0</v>
      </c>
      <c r="BL98" s="816">
        <f>FLN!BA98</f>
        <v>0</v>
      </c>
      <c r="BM98" s="816">
        <f>FLN!BB98</f>
        <v>0</v>
      </c>
      <c r="BN98" s="816">
        <f>FLN!BC98</f>
        <v>0</v>
      </c>
      <c r="BO98" s="823" t="str">
        <f t="shared" si="35"/>
        <v>9512</v>
      </c>
      <c r="BP98" s="816">
        <f>FLN!BD98</f>
        <v>0</v>
      </c>
      <c r="BQ98" s="816">
        <f>FLN!BE98</f>
        <v>0</v>
      </c>
      <c r="BR98" s="816">
        <f>FLN!BF98</f>
        <v>0</v>
      </c>
      <c r="BS98" s="816">
        <f>FLN!BG98</f>
        <v>0</v>
      </c>
      <c r="BT98" s="823" t="str">
        <f t="shared" si="36"/>
        <v>9513</v>
      </c>
      <c r="BU98" s="816">
        <f>FLN!BH98</f>
        <v>0</v>
      </c>
      <c r="BV98" s="816">
        <f>FLN!BI98</f>
        <v>0</v>
      </c>
      <c r="BW98" s="816">
        <f>FLN!BJ98</f>
        <v>0</v>
      </c>
      <c r="BX98" s="816">
        <f>FLN!BK98</f>
        <v>0</v>
      </c>
      <c r="BY98" s="823" t="str">
        <f t="shared" si="37"/>
        <v>9514</v>
      </c>
      <c r="BZ98" s="816">
        <f>FLN!BL98</f>
        <v>0</v>
      </c>
      <c r="CA98" s="816">
        <f>FLN!BM98</f>
        <v>0</v>
      </c>
      <c r="CB98" s="816">
        <f>FLN!BN98</f>
        <v>0</v>
      </c>
      <c r="CC98" s="816">
        <f>FLN!BO98</f>
        <v>0</v>
      </c>
      <c r="CD98" s="823" t="str">
        <f t="shared" si="38"/>
        <v>9515</v>
      </c>
      <c r="CE98" s="816">
        <f>FLN!BP98</f>
        <v>0</v>
      </c>
      <c r="CF98" s="816">
        <f>FLN!BQ98</f>
        <v>0</v>
      </c>
      <c r="CG98" s="816">
        <f>FLN!BR98</f>
        <v>0</v>
      </c>
      <c r="CH98" s="816">
        <f>FLN!BS98</f>
        <v>0</v>
      </c>
      <c r="CI98" s="823" t="str">
        <f t="shared" si="39"/>
        <v>9516</v>
      </c>
      <c r="CJ98" s="816">
        <f>FLN!BT98</f>
        <v>0</v>
      </c>
      <c r="CK98" s="816">
        <f>FLN!BU98</f>
        <v>0</v>
      </c>
      <c r="CL98" s="816">
        <f>FLN!BV98</f>
        <v>0</v>
      </c>
      <c r="CM98" s="816">
        <f>FLN!BW98</f>
        <v>0</v>
      </c>
      <c r="CN98" s="823" t="str">
        <f t="shared" si="40"/>
        <v>9517</v>
      </c>
      <c r="CO98" s="816">
        <f>FLN!BX98</f>
        <v>0</v>
      </c>
      <c r="CP98" s="816">
        <f>FLN!BY98</f>
        <v>0</v>
      </c>
      <c r="CQ98" s="816">
        <f>FLN!BZ98</f>
        <v>0</v>
      </c>
      <c r="CR98" s="816">
        <f>FLN!CA98</f>
        <v>0</v>
      </c>
      <c r="CS98" s="823" t="str">
        <f t="shared" si="41"/>
        <v>9518</v>
      </c>
      <c r="CT98" s="816">
        <f>FLN!CB98</f>
        <v>0</v>
      </c>
      <c r="CU98" s="816">
        <f>FLN!CC98</f>
        <v>0</v>
      </c>
      <c r="CV98" s="816">
        <f>FLN!CD98</f>
        <v>0</v>
      </c>
      <c r="CW98" s="816">
        <f>FLN!CE98</f>
        <v>0</v>
      </c>
      <c r="CX98" s="823" t="str">
        <f t="shared" si="42"/>
        <v>9519</v>
      </c>
      <c r="CY98" s="816">
        <f>FLN!CF98</f>
        <v>0</v>
      </c>
      <c r="CZ98" s="816">
        <f>FLN!CG98</f>
        <v>0</v>
      </c>
      <c r="DA98" s="816">
        <f>FLN!CH98</f>
        <v>0</v>
      </c>
      <c r="DB98" s="816">
        <f>FLN!CI98</f>
        <v>0</v>
      </c>
      <c r="DC98" s="823" t="str">
        <f t="shared" si="43"/>
        <v>9520</v>
      </c>
      <c r="DD98" s="816">
        <f>FLN!CJ98</f>
        <v>0</v>
      </c>
      <c r="DE98" s="816">
        <f>FLN!CK98</f>
        <v>0</v>
      </c>
      <c r="DF98" s="816">
        <f>FLN!CL98</f>
        <v>0</v>
      </c>
      <c r="DG98" s="816">
        <f>FLN!CM98</f>
        <v>0</v>
      </c>
      <c r="DH98" s="823" t="str">
        <f t="shared" si="44"/>
        <v>9521</v>
      </c>
      <c r="DI98" s="816">
        <f>FLN!CN98</f>
        <v>0</v>
      </c>
      <c r="DJ98" s="816">
        <f>FLN!CO98</f>
        <v>0</v>
      </c>
      <c r="DK98" s="816">
        <f>FLN!CP98</f>
        <v>0</v>
      </c>
      <c r="DL98" s="816">
        <f>FLN!CQ98</f>
        <v>0</v>
      </c>
      <c r="DM98" s="823" t="str">
        <f t="shared" si="45"/>
        <v>9522</v>
      </c>
      <c r="DN98" s="816">
        <f>FLN!CR98</f>
        <v>0</v>
      </c>
      <c r="DO98" s="816">
        <f>FLN!CS98</f>
        <v>0</v>
      </c>
      <c r="DP98" s="816">
        <f>FLN!CT98</f>
        <v>0</v>
      </c>
      <c r="DQ98" s="816">
        <f>FLN!CU98</f>
        <v>0</v>
      </c>
      <c r="DR98" s="823" t="str">
        <f t="shared" si="46"/>
        <v>9523</v>
      </c>
      <c r="DS98" s="816">
        <f>FLN!CV98</f>
        <v>0</v>
      </c>
      <c r="DT98" s="816">
        <f>FLN!CW98</f>
        <v>0</v>
      </c>
      <c r="DU98" s="816">
        <f>FLN!CX98</f>
        <v>0</v>
      </c>
      <c r="DV98" s="816">
        <f>FLN!CY98</f>
        <v>0</v>
      </c>
      <c r="DW98" s="823" t="str">
        <f t="shared" si="47"/>
        <v>9524</v>
      </c>
      <c r="DX98" s="816">
        <f>FLN!CZ98</f>
        <v>0</v>
      </c>
      <c r="DY98" s="816">
        <f>FLN!DA98</f>
        <v>0</v>
      </c>
      <c r="DZ98" s="816">
        <f>FLN!DB98</f>
        <v>0</v>
      </c>
      <c r="EA98" s="816">
        <f>FLN!DC98</f>
        <v>0</v>
      </c>
      <c r="EB98" s="823" t="str">
        <f t="shared" si="48"/>
        <v>9525</v>
      </c>
      <c r="EC98" s="816">
        <f>FLN!DD98</f>
        <v>0</v>
      </c>
      <c r="ED98" s="816">
        <f>FLN!DE98</f>
        <v>0</v>
      </c>
      <c r="EE98" s="816">
        <f>FLN!DF98</f>
        <v>0</v>
      </c>
      <c r="EF98" s="816">
        <f>FLN!DG98</f>
        <v>0</v>
      </c>
    </row>
    <row r="99" spans="1:136">
      <c r="A99" s="824">
        <v>96</v>
      </c>
      <c r="B99" s="824">
        <f>STUDENT!F97</f>
        <v>0</v>
      </c>
      <c r="C99" s="824">
        <f>STUDENT!D97</f>
        <v>0</v>
      </c>
      <c r="D99" s="827">
        <f>STUDENT!E97</f>
        <v>0</v>
      </c>
      <c r="E99" s="827">
        <f>STUDENT!H97</f>
        <v>0</v>
      </c>
      <c r="F99" s="828">
        <f>FLN!F99</f>
        <v>0</v>
      </c>
      <c r="G99" s="828">
        <f>FLN!G99</f>
        <v>0</v>
      </c>
      <c r="H99" s="828">
        <f>FLN!H99</f>
        <v>0</v>
      </c>
      <c r="I99" s="824" t="str">
        <f>FLN!I99</f>
        <v/>
      </c>
      <c r="J99" s="824" t="str">
        <f>FLN!J99</f>
        <v/>
      </c>
      <c r="K99" s="824" t="str">
        <f>FLN!K99</f>
        <v/>
      </c>
      <c r="L99" s="823" t="str">
        <f t="shared" si="49"/>
        <v>961</v>
      </c>
      <c r="M99" s="816">
        <f>FLN!L99</f>
        <v>0</v>
      </c>
      <c r="N99" s="816">
        <f>FLN!M99</f>
        <v>0</v>
      </c>
      <c r="O99" s="816">
        <f>FLN!N99</f>
        <v>0</v>
      </c>
      <c r="P99" s="816">
        <f>FLN!O99</f>
        <v>0</v>
      </c>
      <c r="Q99" s="823" t="str">
        <f t="shared" si="25"/>
        <v>962</v>
      </c>
      <c r="R99" s="816">
        <f>FLN!P99</f>
        <v>0</v>
      </c>
      <c r="S99" s="816">
        <f>FLN!Q99</f>
        <v>0</v>
      </c>
      <c r="T99" s="816">
        <f>FLN!R99</f>
        <v>0</v>
      </c>
      <c r="U99" s="816">
        <f>FLN!S99</f>
        <v>0</v>
      </c>
      <c r="V99" s="823" t="str">
        <f t="shared" si="26"/>
        <v>963</v>
      </c>
      <c r="W99" s="816">
        <f>FLN!T99</f>
        <v>0</v>
      </c>
      <c r="X99" s="816">
        <f>FLN!U99</f>
        <v>0</v>
      </c>
      <c r="Y99" s="816">
        <f>FLN!V99</f>
        <v>0</v>
      </c>
      <c r="Z99" s="816">
        <f>FLN!W99</f>
        <v>0</v>
      </c>
      <c r="AA99" s="823" t="str">
        <f t="shared" si="27"/>
        <v>964</v>
      </c>
      <c r="AB99" s="816">
        <f>FLN!X99</f>
        <v>0</v>
      </c>
      <c r="AC99" s="816">
        <f>FLN!Y99</f>
        <v>0</v>
      </c>
      <c r="AD99" s="816">
        <f>FLN!Z99</f>
        <v>0</v>
      </c>
      <c r="AE99" s="816">
        <f>FLN!AA99</f>
        <v>0</v>
      </c>
      <c r="AF99" s="823" t="str">
        <f t="shared" si="28"/>
        <v>965</v>
      </c>
      <c r="AG99" s="816">
        <f>FLN!AB99</f>
        <v>0</v>
      </c>
      <c r="AH99" s="816">
        <f>FLN!AC99</f>
        <v>0</v>
      </c>
      <c r="AI99" s="816">
        <f>FLN!AD99</f>
        <v>0</v>
      </c>
      <c r="AJ99" s="816">
        <f>FLN!AE99</f>
        <v>0</v>
      </c>
      <c r="AK99" s="823" t="str">
        <f t="shared" si="29"/>
        <v>966</v>
      </c>
      <c r="AL99" s="816">
        <f>FLN!AF99</f>
        <v>0</v>
      </c>
      <c r="AM99" s="816">
        <f>FLN!AG99</f>
        <v>0</v>
      </c>
      <c r="AN99" s="816">
        <f>FLN!AH99</f>
        <v>0</v>
      </c>
      <c r="AO99" s="816">
        <f>FLN!AI99</f>
        <v>0</v>
      </c>
      <c r="AP99" s="823" t="str">
        <f t="shared" si="30"/>
        <v>967</v>
      </c>
      <c r="AQ99" s="816">
        <f>FLN!AJ99</f>
        <v>0</v>
      </c>
      <c r="AR99" s="816">
        <f>FLN!AK99</f>
        <v>0</v>
      </c>
      <c r="AS99" s="816">
        <f>FLN!AL99</f>
        <v>0</v>
      </c>
      <c r="AT99" s="816">
        <f>FLN!AM99</f>
        <v>0</v>
      </c>
      <c r="AU99" s="823" t="str">
        <f t="shared" si="31"/>
        <v>968</v>
      </c>
      <c r="AV99" s="816">
        <f>FLN!AN99</f>
        <v>0</v>
      </c>
      <c r="AW99" s="816">
        <f>FLN!AO99</f>
        <v>0</v>
      </c>
      <c r="AX99" s="816">
        <f>FLN!AP99</f>
        <v>0</v>
      </c>
      <c r="AY99" s="816">
        <f>FLN!AQ99</f>
        <v>0</v>
      </c>
      <c r="AZ99" s="823" t="str">
        <f t="shared" si="32"/>
        <v>969</v>
      </c>
      <c r="BA99" s="816">
        <f>FLN!AR99</f>
        <v>0</v>
      </c>
      <c r="BB99" s="816">
        <f>FLN!AS99</f>
        <v>0</v>
      </c>
      <c r="BC99" s="816">
        <f>FLN!AT99</f>
        <v>0</v>
      </c>
      <c r="BD99" s="816">
        <f>FLN!AU99</f>
        <v>0</v>
      </c>
      <c r="BE99" s="823" t="str">
        <f t="shared" si="33"/>
        <v>9610</v>
      </c>
      <c r="BF99" s="816">
        <f>FLN!AV99</f>
        <v>0</v>
      </c>
      <c r="BG99" s="816">
        <f>FLN!AW99</f>
        <v>0</v>
      </c>
      <c r="BH99" s="816">
        <f>FLN!AX99</f>
        <v>0</v>
      </c>
      <c r="BI99" s="816">
        <f>FLN!AY99</f>
        <v>0</v>
      </c>
      <c r="BJ99" s="823" t="str">
        <f t="shared" si="34"/>
        <v>9611</v>
      </c>
      <c r="BK99" s="816">
        <f>FLN!AZ99</f>
        <v>0</v>
      </c>
      <c r="BL99" s="816">
        <f>FLN!BA99</f>
        <v>0</v>
      </c>
      <c r="BM99" s="816">
        <f>FLN!BB99</f>
        <v>0</v>
      </c>
      <c r="BN99" s="816">
        <f>FLN!BC99</f>
        <v>0</v>
      </c>
      <c r="BO99" s="823" t="str">
        <f t="shared" si="35"/>
        <v>9612</v>
      </c>
      <c r="BP99" s="816">
        <f>FLN!BD99</f>
        <v>0</v>
      </c>
      <c r="BQ99" s="816">
        <f>FLN!BE99</f>
        <v>0</v>
      </c>
      <c r="BR99" s="816">
        <f>FLN!BF99</f>
        <v>0</v>
      </c>
      <c r="BS99" s="816">
        <f>FLN!BG99</f>
        <v>0</v>
      </c>
      <c r="BT99" s="823" t="str">
        <f t="shared" si="36"/>
        <v>9613</v>
      </c>
      <c r="BU99" s="816">
        <f>FLN!BH99</f>
        <v>0</v>
      </c>
      <c r="BV99" s="816">
        <f>FLN!BI99</f>
        <v>0</v>
      </c>
      <c r="BW99" s="816">
        <f>FLN!BJ99</f>
        <v>0</v>
      </c>
      <c r="BX99" s="816">
        <f>FLN!BK99</f>
        <v>0</v>
      </c>
      <c r="BY99" s="823" t="str">
        <f t="shared" si="37"/>
        <v>9614</v>
      </c>
      <c r="BZ99" s="816">
        <f>FLN!BL99</f>
        <v>0</v>
      </c>
      <c r="CA99" s="816">
        <f>FLN!BM99</f>
        <v>0</v>
      </c>
      <c r="CB99" s="816">
        <f>FLN!BN99</f>
        <v>0</v>
      </c>
      <c r="CC99" s="816">
        <f>FLN!BO99</f>
        <v>0</v>
      </c>
      <c r="CD99" s="823" t="str">
        <f t="shared" si="38"/>
        <v>9615</v>
      </c>
      <c r="CE99" s="816">
        <f>FLN!BP99</f>
        <v>0</v>
      </c>
      <c r="CF99" s="816">
        <f>FLN!BQ99</f>
        <v>0</v>
      </c>
      <c r="CG99" s="816">
        <f>FLN!BR99</f>
        <v>0</v>
      </c>
      <c r="CH99" s="816">
        <f>FLN!BS99</f>
        <v>0</v>
      </c>
      <c r="CI99" s="823" t="str">
        <f t="shared" si="39"/>
        <v>9616</v>
      </c>
      <c r="CJ99" s="816">
        <f>FLN!BT99</f>
        <v>0</v>
      </c>
      <c r="CK99" s="816">
        <f>FLN!BU99</f>
        <v>0</v>
      </c>
      <c r="CL99" s="816">
        <f>FLN!BV99</f>
        <v>0</v>
      </c>
      <c r="CM99" s="816">
        <f>FLN!BW99</f>
        <v>0</v>
      </c>
      <c r="CN99" s="823" t="str">
        <f t="shared" si="40"/>
        <v>9617</v>
      </c>
      <c r="CO99" s="816">
        <f>FLN!BX99</f>
        <v>0</v>
      </c>
      <c r="CP99" s="816">
        <f>FLN!BY99</f>
        <v>0</v>
      </c>
      <c r="CQ99" s="816">
        <f>FLN!BZ99</f>
        <v>0</v>
      </c>
      <c r="CR99" s="816">
        <f>FLN!CA99</f>
        <v>0</v>
      </c>
      <c r="CS99" s="823" t="str">
        <f t="shared" si="41"/>
        <v>9618</v>
      </c>
      <c r="CT99" s="816">
        <f>FLN!CB99</f>
        <v>0</v>
      </c>
      <c r="CU99" s="816">
        <f>FLN!CC99</f>
        <v>0</v>
      </c>
      <c r="CV99" s="816">
        <f>FLN!CD99</f>
        <v>0</v>
      </c>
      <c r="CW99" s="816">
        <f>FLN!CE99</f>
        <v>0</v>
      </c>
      <c r="CX99" s="823" t="str">
        <f t="shared" si="42"/>
        <v>9619</v>
      </c>
      <c r="CY99" s="816">
        <f>FLN!CF99</f>
        <v>0</v>
      </c>
      <c r="CZ99" s="816">
        <f>FLN!CG99</f>
        <v>0</v>
      </c>
      <c r="DA99" s="816">
        <f>FLN!CH99</f>
        <v>0</v>
      </c>
      <c r="DB99" s="816">
        <f>FLN!CI99</f>
        <v>0</v>
      </c>
      <c r="DC99" s="823" t="str">
        <f t="shared" si="43"/>
        <v>9620</v>
      </c>
      <c r="DD99" s="816">
        <f>FLN!CJ99</f>
        <v>0</v>
      </c>
      <c r="DE99" s="816">
        <f>FLN!CK99</f>
        <v>0</v>
      </c>
      <c r="DF99" s="816">
        <f>FLN!CL99</f>
        <v>0</v>
      </c>
      <c r="DG99" s="816">
        <f>FLN!CM99</f>
        <v>0</v>
      </c>
      <c r="DH99" s="823" t="str">
        <f t="shared" si="44"/>
        <v>9621</v>
      </c>
      <c r="DI99" s="816">
        <f>FLN!CN99</f>
        <v>0</v>
      </c>
      <c r="DJ99" s="816">
        <f>FLN!CO99</f>
        <v>0</v>
      </c>
      <c r="DK99" s="816">
        <f>FLN!CP99</f>
        <v>0</v>
      </c>
      <c r="DL99" s="816">
        <f>FLN!CQ99</f>
        <v>0</v>
      </c>
      <c r="DM99" s="823" t="str">
        <f t="shared" si="45"/>
        <v>9622</v>
      </c>
      <c r="DN99" s="816">
        <f>FLN!CR99</f>
        <v>0</v>
      </c>
      <c r="DO99" s="816">
        <f>FLN!CS99</f>
        <v>0</v>
      </c>
      <c r="DP99" s="816">
        <f>FLN!CT99</f>
        <v>0</v>
      </c>
      <c r="DQ99" s="816">
        <f>FLN!CU99</f>
        <v>0</v>
      </c>
      <c r="DR99" s="823" t="str">
        <f t="shared" si="46"/>
        <v>9623</v>
      </c>
      <c r="DS99" s="816">
        <f>FLN!CV99</f>
        <v>0</v>
      </c>
      <c r="DT99" s="816">
        <f>FLN!CW99</f>
        <v>0</v>
      </c>
      <c r="DU99" s="816">
        <f>FLN!CX99</f>
        <v>0</v>
      </c>
      <c r="DV99" s="816">
        <f>FLN!CY99</f>
        <v>0</v>
      </c>
      <c r="DW99" s="823" t="str">
        <f t="shared" si="47"/>
        <v>9624</v>
      </c>
      <c r="DX99" s="816">
        <f>FLN!CZ99</f>
        <v>0</v>
      </c>
      <c r="DY99" s="816">
        <f>FLN!DA99</f>
        <v>0</v>
      </c>
      <c r="DZ99" s="816">
        <f>FLN!DB99</f>
        <v>0</v>
      </c>
      <c r="EA99" s="816">
        <f>FLN!DC99</f>
        <v>0</v>
      </c>
      <c r="EB99" s="823" t="str">
        <f t="shared" si="48"/>
        <v>9625</v>
      </c>
      <c r="EC99" s="816">
        <f>FLN!DD99</f>
        <v>0</v>
      </c>
      <c r="ED99" s="816">
        <f>FLN!DE99</f>
        <v>0</v>
      </c>
      <c r="EE99" s="816">
        <f>FLN!DF99</f>
        <v>0</v>
      </c>
      <c r="EF99" s="816">
        <f>FLN!DG99</f>
        <v>0</v>
      </c>
    </row>
    <row r="100" spans="1:136">
      <c r="A100" s="824">
        <v>97</v>
      </c>
      <c r="B100" s="824">
        <f>STUDENT!F98</f>
        <v>0</v>
      </c>
      <c r="C100" s="824">
        <f>STUDENT!D98</f>
        <v>0</v>
      </c>
      <c r="D100" s="827">
        <f>STUDENT!E98</f>
        <v>0</v>
      </c>
      <c r="E100" s="827">
        <f>STUDENT!H98</f>
        <v>0</v>
      </c>
      <c r="F100" s="828">
        <f>FLN!F100</f>
        <v>0</v>
      </c>
      <c r="G100" s="828">
        <f>FLN!G100</f>
        <v>0</v>
      </c>
      <c r="H100" s="828">
        <f>FLN!H100</f>
        <v>0</v>
      </c>
      <c r="I100" s="824" t="str">
        <f>FLN!I100</f>
        <v/>
      </c>
      <c r="J100" s="824" t="str">
        <f>FLN!J100</f>
        <v/>
      </c>
      <c r="K100" s="824" t="str">
        <f>FLN!K100</f>
        <v/>
      </c>
      <c r="L100" s="823" t="str">
        <f t="shared" si="49"/>
        <v>971</v>
      </c>
      <c r="M100" s="816">
        <f>FLN!L100</f>
        <v>0</v>
      </c>
      <c r="N100" s="816">
        <f>FLN!M100</f>
        <v>0</v>
      </c>
      <c r="O100" s="816">
        <f>FLN!N100</f>
        <v>0</v>
      </c>
      <c r="P100" s="816">
        <f>FLN!O100</f>
        <v>0</v>
      </c>
      <c r="Q100" s="823" t="str">
        <f t="shared" si="25"/>
        <v>972</v>
      </c>
      <c r="R100" s="816">
        <f>FLN!P100</f>
        <v>0</v>
      </c>
      <c r="S100" s="816">
        <f>FLN!Q100</f>
        <v>0</v>
      </c>
      <c r="T100" s="816">
        <f>FLN!R100</f>
        <v>0</v>
      </c>
      <c r="U100" s="816">
        <f>FLN!S100</f>
        <v>0</v>
      </c>
      <c r="V100" s="823" t="str">
        <f t="shared" si="26"/>
        <v>973</v>
      </c>
      <c r="W100" s="816">
        <f>FLN!T100</f>
        <v>0</v>
      </c>
      <c r="X100" s="816">
        <f>FLN!U100</f>
        <v>0</v>
      </c>
      <c r="Y100" s="816">
        <f>FLN!V100</f>
        <v>0</v>
      </c>
      <c r="Z100" s="816">
        <f>FLN!W100</f>
        <v>0</v>
      </c>
      <c r="AA100" s="823" t="str">
        <f t="shared" si="27"/>
        <v>974</v>
      </c>
      <c r="AB100" s="816">
        <f>FLN!X100</f>
        <v>0</v>
      </c>
      <c r="AC100" s="816">
        <f>FLN!Y100</f>
        <v>0</v>
      </c>
      <c r="AD100" s="816">
        <f>FLN!Z100</f>
        <v>0</v>
      </c>
      <c r="AE100" s="816">
        <f>FLN!AA100</f>
        <v>0</v>
      </c>
      <c r="AF100" s="823" t="str">
        <f t="shared" si="28"/>
        <v>975</v>
      </c>
      <c r="AG100" s="816">
        <f>FLN!AB100</f>
        <v>0</v>
      </c>
      <c r="AH100" s="816">
        <f>FLN!AC100</f>
        <v>0</v>
      </c>
      <c r="AI100" s="816">
        <f>FLN!AD100</f>
        <v>0</v>
      </c>
      <c r="AJ100" s="816">
        <f>FLN!AE100</f>
        <v>0</v>
      </c>
      <c r="AK100" s="823" t="str">
        <f t="shared" si="29"/>
        <v>976</v>
      </c>
      <c r="AL100" s="816">
        <f>FLN!AF100</f>
        <v>0</v>
      </c>
      <c r="AM100" s="816">
        <f>FLN!AG100</f>
        <v>0</v>
      </c>
      <c r="AN100" s="816">
        <f>FLN!AH100</f>
        <v>0</v>
      </c>
      <c r="AO100" s="816">
        <f>FLN!AI100</f>
        <v>0</v>
      </c>
      <c r="AP100" s="823" t="str">
        <f t="shared" si="30"/>
        <v>977</v>
      </c>
      <c r="AQ100" s="816">
        <f>FLN!AJ100</f>
        <v>0</v>
      </c>
      <c r="AR100" s="816">
        <f>FLN!AK100</f>
        <v>0</v>
      </c>
      <c r="AS100" s="816">
        <f>FLN!AL100</f>
        <v>0</v>
      </c>
      <c r="AT100" s="816">
        <f>FLN!AM100</f>
        <v>0</v>
      </c>
      <c r="AU100" s="823" t="str">
        <f t="shared" si="31"/>
        <v>978</v>
      </c>
      <c r="AV100" s="816">
        <f>FLN!AN100</f>
        <v>0</v>
      </c>
      <c r="AW100" s="816">
        <f>FLN!AO100</f>
        <v>0</v>
      </c>
      <c r="AX100" s="816">
        <f>FLN!AP100</f>
        <v>0</v>
      </c>
      <c r="AY100" s="816">
        <f>FLN!AQ100</f>
        <v>0</v>
      </c>
      <c r="AZ100" s="823" t="str">
        <f t="shared" si="32"/>
        <v>979</v>
      </c>
      <c r="BA100" s="816">
        <f>FLN!AR100</f>
        <v>0</v>
      </c>
      <c r="BB100" s="816">
        <f>FLN!AS100</f>
        <v>0</v>
      </c>
      <c r="BC100" s="816">
        <f>FLN!AT100</f>
        <v>0</v>
      </c>
      <c r="BD100" s="816">
        <f>FLN!AU100</f>
        <v>0</v>
      </c>
      <c r="BE100" s="823" t="str">
        <f t="shared" si="33"/>
        <v>9710</v>
      </c>
      <c r="BF100" s="816">
        <f>FLN!AV100</f>
        <v>0</v>
      </c>
      <c r="BG100" s="816">
        <f>FLN!AW100</f>
        <v>0</v>
      </c>
      <c r="BH100" s="816">
        <f>FLN!AX100</f>
        <v>0</v>
      </c>
      <c r="BI100" s="816">
        <f>FLN!AY100</f>
        <v>0</v>
      </c>
      <c r="BJ100" s="823" t="str">
        <f t="shared" si="34"/>
        <v>9711</v>
      </c>
      <c r="BK100" s="816">
        <f>FLN!AZ100</f>
        <v>0</v>
      </c>
      <c r="BL100" s="816">
        <f>FLN!BA100</f>
        <v>0</v>
      </c>
      <c r="BM100" s="816">
        <f>FLN!BB100</f>
        <v>0</v>
      </c>
      <c r="BN100" s="816">
        <f>FLN!BC100</f>
        <v>0</v>
      </c>
      <c r="BO100" s="823" t="str">
        <f t="shared" si="35"/>
        <v>9712</v>
      </c>
      <c r="BP100" s="816">
        <f>FLN!BD100</f>
        <v>0</v>
      </c>
      <c r="BQ100" s="816">
        <f>FLN!BE100</f>
        <v>0</v>
      </c>
      <c r="BR100" s="816">
        <f>FLN!BF100</f>
        <v>0</v>
      </c>
      <c r="BS100" s="816">
        <f>FLN!BG100</f>
        <v>0</v>
      </c>
      <c r="BT100" s="823" t="str">
        <f t="shared" si="36"/>
        <v>9713</v>
      </c>
      <c r="BU100" s="816">
        <f>FLN!BH100</f>
        <v>0</v>
      </c>
      <c r="BV100" s="816">
        <f>FLN!BI100</f>
        <v>0</v>
      </c>
      <c r="BW100" s="816">
        <f>FLN!BJ100</f>
        <v>0</v>
      </c>
      <c r="BX100" s="816">
        <f>FLN!BK100</f>
        <v>0</v>
      </c>
      <c r="BY100" s="823" t="str">
        <f t="shared" si="37"/>
        <v>9714</v>
      </c>
      <c r="BZ100" s="816">
        <f>FLN!BL100</f>
        <v>0</v>
      </c>
      <c r="CA100" s="816">
        <f>FLN!BM100</f>
        <v>0</v>
      </c>
      <c r="CB100" s="816">
        <f>FLN!BN100</f>
        <v>0</v>
      </c>
      <c r="CC100" s="816">
        <f>FLN!BO100</f>
        <v>0</v>
      </c>
      <c r="CD100" s="823" t="str">
        <f t="shared" si="38"/>
        <v>9715</v>
      </c>
      <c r="CE100" s="816">
        <f>FLN!BP100</f>
        <v>0</v>
      </c>
      <c r="CF100" s="816">
        <f>FLN!BQ100</f>
        <v>0</v>
      </c>
      <c r="CG100" s="816">
        <f>FLN!BR100</f>
        <v>0</v>
      </c>
      <c r="CH100" s="816">
        <f>FLN!BS100</f>
        <v>0</v>
      </c>
      <c r="CI100" s="823" t="str">
        <f t="shared" si="39"/>
        <v>9716</v>
      </c>
      <c r="CJ100" s="816">
        <f>FLN!BT100</f>
        <v>0</v>
      </c>
      <c r="CK100" s="816">
        <f>FLN!BU100</f>
        <v>0</v>
      </c>
      <c r="CL100" s="816">
        <f>FLN!BV100</f>
        <v>0</v>
      </c>
      <c r="CM100" s="816">
        <f>FLN!BW100</f>
        <v>0</v>
      </c>
      <c r="CN100" s="823" t="str">
        <f t="shared" si="40"/>
        <v>9717</v>
      </c>
      <c r="CO100" s="816">
        <f>FLN!BX100</f>
        <v>0</v>
      </c>
      <c r="CP100" s="816">
        <f>FLN!BY100</f>
        <v>0</v>
      </c>
      <c r="CQ100" s="816">
        <f>FLN!BZ100</f>
        <v>0</v>
      </c>
      <c r="CR100" s="816">
        <f>FLN!CA100</f>
        <v>0</v>
      </c>
      <c r="CS100" s="823" t="str">
        <f t="shared" si="41"/>
        <v>9718</v>
      </c>
      <c r="CT100" s="816">
        <f>FLN!CB100</f>
        <v>0</v>
      </c>
      <c r="CU100" s="816">
        <f>FLN!CC100</f>
        <v>0</v>
      </c>
      <c r="CV100" s="816">
        <f>FLN!CD100</f>
        <v>0</v>
      </c>
      <c r="CW100" s="816">
        <f>FLN!CE100</f>
        <v>0</v>
      </c>
      <c r="CX100" s="823" t="str">
        <f t="shared" si="42"/>
        <v>9719</v>
      </c>
      <c r="CY100" s="816">
        <f>FLN!CF100</f>
        <v>0</v>
      </c>
      <c r="CZ100" s="816">
        <f>FLN!CG100</f>
        <v>0</v>
      </c>
      <c r="DA100" s="816">
        <f>FLN!CH100</f>
        <v>0</v>
      </c>
      <c r="DB100" s="816">
        <f>FLN!CI100</f>
        <v>0</v>
      </c>
      <c r="DC100" s="823" t="str">
        <f t="shared" si="43"/>
        <v>9720</v>
      </c>
      <c r="DD100" s="816">
        <f>FLN!CJ100</f>
        <v>0</v>
      </c>
      <c r="DE100" s="816">
        <f>FLN!CK100</f>
        <v>0</v>
      </c>
      <c r="DF100" s="816">
        <f>FLN!CL100</f>
        <v>0</v>
      </c>
      <c r="DG100" s="816">
        <f>FLN!CM100</f>
        <v>0</v>
      </c>
      <c r="DH100" s="823" t="str">
        <f t="shared" si="44"/>
        <v>9721</v>
      </c>
      <c r="DI100" s="816">
        <f>FLN!CN100</f>
        <v>0</v>
      </c>
      <c r="DJ100" s="816">
        <f>FLN!CO100</f>
        <v>0</v>
      </c>
      <c r="DK100" s="816">
        <f>FLN!CP100</f>
        <v>0</v>
      </c>
      <c r="DL100" s="816">
        <f>FLN!CQ100</f>
        <v>0</v>
      </c>
      <c r="DM100" s="823" t="str">
        <f t="shared" si="45"/>
        <v>9722</v>
      </c>
      <c r="DN100" s="816">
        <f>FLN!CR100</f>
        <v>0</v>
      </c>
      <c r="DO100" s="816">
        <f>FLN!CS100</f>
        <v>0</v>
      </c>
      <c r="DP100" s="816">
        <f>FLN!CT100</f>
        <v>0</v>
      </c>
      <c r="DQ100" s="816">
        <f>FLN!CU100</f>
        <v>0</v>
      </c>
      <c r="DR100" s="823" t="str">
        <f t="shared" si="46"/>
        <v>9723</v>
      </c>
      <c r="DS100" s="816">
        <f>FLN!CV100</f>
        <v>0</v>
      </c>
      <c r="DT100" s="816">
        <f>FLN!CW100</f>
        <v>0</v>
      </c>
      <c r="DU100" s="816">
        <f>FLN!CX100</f>
        <v>0</v>
      </c>
      <c r="DV100" s="816">
        <f>FLN!CY100</f>
        <v>0</v>
      </c>
      <c r="DW100" s="823" t="str">
        <f t="shared" si="47"/>
        <v>9724</v>
      </c>
      <c r="DX100" s="816">
        <f>FLN!CZ100</f>
        <v>0</v>
      </c>
      <c r="DY100" s="816">
        <f>FLN!DA100</f>
        <v>0</v>
      </c>
      <c r="DZ100" s="816">
        <f>FLN!DB100</f>
        <v>0</v>
      </c>
      <c r="EA100" s="816">
        <f>FLN!DC100</f>
        <v>0</v>
      </c>
      <c r="EB100" s="823" t="str">
        <f t="shared" si="48"/>
        <v>9725</v>
      </c>
      <c r="EC100" s="816">
        <f>FLN!DD100</f>
        <v>0</v>
      </c>
      <c r="ED100" s="816">
        <f>FLN!DE100</f>
        <v>0</v>
      </c>
      <c r="EE100" s="816">
        <f>FLN!DF100</f>
        <v>0</v>
      </c>
      <c r="EF100" s="816">
        <f>FLN!DG100</f>
        <v>0</v>
      </c>
    </row>
    <row r="101" spans="1:136">
      <c r="A101" s="824">
        <v>98</v>
      </c>
      <c r="B101" s="824">
        <f>STUDENT!F99</f>
        <v>0</v>
      </c>
      <c r="C101" s="824">
        <f>STUDENT!D99</f>
        <v>0</v>
      </c>
      <c r="D101" s="827">
        <f>STUDENT!E99</f>
        <v>0</v>
      </c>
      <c r="E101" s="827">
        <f>STUDENT!H99</f>
        <v>0</v>
      </c>
      <c r="F101" s="828">
        <f>FLN!F101</f>
        <v>0</v>
      </c>
      <c r="G101" s="828">
        <f>FLN!G101</f>
        <v>0</v>
      </c>
      <c r="H101" s="828">
        <f>FLN!H101</f>
        <v>0</v>
      </c>
      <c r="I101" s="824" t="str">
        <f>FLN!I101</f>
        <v/>
      </c>
      <c r="J101" s="824" t="str">
        <f>FLN!J101</f>
        <v/>
      </c>
      <c r="K101" s="824" t="str">
        <f>FLN!K101</f>
        <v/>
      </c>
      <c r="L101" s="823" t="str">
        <f t="shared" si="49"/>
        <v>981</v>
      </c>
      <c r="M101" s="816">
        <f>FLN!L101</f>
        <v>0</v>
      </c>
      <c r="N101" s="816">
        <f>FLN!M101</f>
        <v>0</v>
      </c>
      <c r="O101" s="816">
        <f>FLN!N101</f>
        <v>0</v>
      </c>
      <c r="P101" s="816">
        <f>FLN!O101</f>
        <v>0</v>
      </c>
      <c r="Q101" s="823" t="str">
        <f t="shared" si="25"/>
        <v>982</v>
      </c>
      <c r="R101" s="816">
        <f>FLN!P101</f>
        <v>0</v>
      </c>
      <c r="S101" s="816">
        <f>FLN!Q101</f>
        <v>0</v>
      </c>
      <c r="T101" s="816">
        <f>FLN!R101</f>
        <v>0</v>
      </c>
      <c r="U101" s="816">
        <f>FLN!S101</f>
        <v>0</v>
      </c>
      <c r="V101" s="823" t="str">
        <f t="shared" si="26"/>
        <v>983</v>
      </c>
      <c r="W101" s="816">
        <f>FLN!T101</f>
        <v>0</v>
      </c>
      <c r="X101" s="816">
        <f>FLN!U101</f>
        <v>0</v>
      </c>
      <c r="Y101" s="816">
        <f>FLN!V101</f>
        <v>0</v>
      </c>
      <c r="Z101" s="816">
        <f>FLN!W101</f>
        <v>0</v>
      </c>
      <c r="AA101" s="823" t="str">
        <f t="shared" si="27"/>
        <v>984</v>
      </c>
      <c r="AB101" s="816">
        <f>FLN!X101</f>
        <v>0</v>
      </c>
      <c r="AC101" s="816">
        <f>FLN!Y101</f>
        <v>0</v>
      </c>
      <c r="AD101" s="816">
        <f>FLN!Z101</f>
        <v>0</v>
      </c>
      <c r="AE101" s="816">
        <f>FLN!AA101</f>
        <v>0</v>
      </c>
      <c r="AF101" s="823" t="str">
        <f t="shared" si="28"/>
        <v>985</v>
      </c>
      <c r="AG101" s="816">
        <f>FLN!AB101</f>
        <v>0</v>
      </c>
      <c r="AH101" s="816">
        <f>FLN!AC101</f>
        <v>0</v>
      </c>
      <c r="AI101" s="816">
        <f>FLN!AD101</f>
        <v>0</v>
      </c>
      <c r="AJ101" s="816">
        <f>FLN!AE101</f>
        <v>0</v>
      </c>
      <c r="AK101" s="823" t="str">
        <f t="shared" si="29"/>
        <v>986</v>
      </c>
      <c r="AL101" s="816">
        <f>FLN!AF101</f>
        <v>0</v>
      </c>
      <c r="AM101" s="816">
        <f>FLN!AG101</f>
        <v>0</v>
      </c>
      <c r="AN101" s="816">
        <f>FLN!AH101</f>
        <v>0</v>
      </c>
      <c r="AO101" s="816">
        <f>FLN!AI101</f>
        <v>0</v>
      </c>
      <c r="AP101" s="823" t="str">
        <f t="shared" si="30"/>
        <v>987</v>
      </c>
      <c r="AQ101" s="816">
        <f>FLN!AJ101</f>
        <v>0</v>
      </c>
      <c r="AR101" s="816">
        <f>FLN!AK101</f>
        <v>0</v>
      </c>
      <c r="AS101" s="816">
        <f>FLN!AL101</f>
        <v>0</v>
      </c>
      <c r="AT101" s="816">
        <f>FLN!AM101</f>
        <v>0</v>
      </c>
      <c r="AU101" s="823" t="str">
        <f t="shared" si="31"/>
        <v>988</v>
      </c>
      <c r="AV101" s="816">
        <f>FLN!AN101</f>
        <v>0</v>
      </c>
      <c r="AW101" s="816">
        <f>FLN!AO101</f>
        <v>0</v>
      </c>
      <c r="AX101" s="816">
        <f>FLN!AP101</f>
        <v>0</v>
      </c>
      <c r="AY101" s="816">
        <f>FLN!AQ101</f>
        <v>0</v>
      </c>
      <c r="AZ101" s="823" t="str">
        <f t="shared" si="32"/>
        <v>989</v>
      </c>
      <c r="BA101" s="816">
        <f>FLN!AR101</f>
        <v>0</v>
      </c>
      <c r="BB101" s="816">
        <f>FLN!AS101</f>
        <v>0</v>
      </c>
      <c r="BC101" s="816">
        <f>FLN!AT101</f>
        <v>0</v>
      </c>
      <c r="BD101" s="816">
        <f>FLN!AU101</f>
        <v>0</v>
      </c>
      <c r="BE101" s="823" t="str">
        <f t="shared" si="33"/>
        <v>9810</v>
      </c>
      <c r="BF101" s="816">
        <f>FLN!AV101</f>
        <v>0</v>
      </c>
      <c r="BG101" s="816">
        <f>FLN!AW101</f>
        <v>0</v>
      </c>
      <c r="BH101" s="816">
        <f>FLN!AX101</f>
        <v>0</v>
      </c>
      <c r="BI101" s="816">
        <f>FLN!AY101</f>
        <v>0</v>
      </c>
      <c r="BJ101" s="823" t="str">
        <f t="shared" si="34"/>
        <v>9811</v>
      </c>
      <c r="BK101" s="816">
        <f>FLN!AZ101</f>
        <v>0</v>
      </c>
      <c r="BL101" s="816">
        <f>FLN!BA101</f>
        <v>0</v>
      </c>
      <c r="BM101" s="816">
        <f>FLN!BB101</f>
        <v>0</v>
      </c>
      <c r="BN101" s="816">
        <f>FLN!BC101</f>
        <v>0</v>
      </c>
      <c r="BO101" s="823" t="str">
        <f t="shared" si="35"/>
        <v>9812</v>
      </c>
      <c r="BP101" s="816">
        <f>FLN!BD101</f>
        <v>0</v>
      </c>
      <c r="BQ101" s="816">
        <f>FLN!BE101</f>
        <v>0</v>
      </c>
      <c r="BR101" s="816">
        <f>FLN!BF101</f>
        <v>0</v>
      </c>
      <c r="BS101" s="816">
        <f>FLN!BG101</f>
        <v>0</v>
      </c>
      <c r="BT101" s="823" t="str">
        <f t="shared" si="36"/>
        <v>9813</v>
      </c>
      <c r="BU101" s="816">
        <f>FLN!BH101</f>
        <v>0</v>
      </c>
      <c r="BV101" s="816">
        <f>FLN!BI101</f>
        <v>0</v>
      </c>
      <c r="BW101" s="816">
        <f>FLN!BJ101</f>
        <v>0</v>
      </c>
      <c r="BX101" s="816">
        <f>FLN!BK101</f>
        <v>0</v>
      </c>
      <c r="BY101" s="823" t="str">
        <f t="shared" si="37"/>
        <v>9814</v>
      </c>
      <c r="BZ101" s="816">
        <f>FLN!BL101</f>
        <v>0</v>
      </c>
      <c r="CA101" s="816">
        <f>FLN!BM101</f>
        <v>0</v>
      </c>
      <c r="CB101" s="816">
        <f>FLN!BN101</f>
        <v>0</v>
      </c>
      <c r="CC101" s="816">
        <f>FLN!BO101</f>
        <v>0</v>
      </c>
      <c r="CD101" s="823" t="str">
        <f t="shared" si="38"/>
        <v>9815</v>
      </c>
      <c r="CE101" s="816">
        <f>FLN!BP101</f>
        <v>0</v>
      </c>
      <c r="CF101" s="816">
        <f>FLN!BQ101</f>
        <v>0</v>
      </c>
      <c r="CG101" s="816">
        <f>FLN!BR101</f>
        <v>0</v>
      </c>
      <c r="CH101" s="816">
        <f>FLN!BS101</f>
        <v>0</v>
      </c>
      <c r="CI101" s="823" t="str">
        <f t="shared" si="39"/>
        <v>9816</v>
      </c>
      <c r="CJ101" s="816">
        <f>FLN!BT101</f>
        <v>0</v>
      </c>
      <c r="CK101" s="816">
        <f>FLN!BU101</f>
        <v>0</v>
      </c>
      <c r="CL101" s="816">
        <f>FLN!BV101</f>
        <v>0</v>
      </c>
      <c r="CM101" s="816">
        <f>FLN!BW101</f>
        <v>0</v>
      </c>
      <c r="CN101" s="823" t="str">
        <f t="shared" si="40"/>
        <v>9817</v>
      </c>
      <c r="CO101" s="816">
        <f>FLN!BX101</f>
        <v>0</v>
      </c>
      <c r="CP101" s="816">
        <f>FLN!BY101</f>
        <v>0</v>
      </c>
      <c r="CQ101" s="816">
        <f>FLN!BZ101</f>
        <v>0</v>
      </c>
      <c r="CR101" s="816">
        <f>FLN!CA101</f>
        <v>0</v>
      </c>
      <c r="CS101" s="823" t="str">
        <f t="shared" si="41"/>
        <v>9818</v>
      </c>
      <c r="CT101" s="816">
        <f>FLN!CB101</f>
        <v>0</v>
      </c>
      <c r="CU101" s="816">
        <f>FLN!CC101</f>
        <v>0</v>
      </c>
      <c r="CV101" s="816">
        <f>FLN!CD101</f>
        <v>0</v>
      </c>
      <c r="CW101" s="816">
        <f>FLN!CE101</f>
        <v>0</v>
      </c>
      <c r="CX101" s="823" t="str">
        <f t="shared" si="42"/>
        <v>9819</v>
      </c>
      <c r="CY101" s="816">
        <f>FLN!CF101</f>
        <v>0</v>
      </c>
      <c r="CZ101" s="816">
        <f>FLN!CG101</f>
        <v>0</v>
      </c>
      <c r="DA101" s="816">
        <f>FLN!CH101</f>
        <v>0</v>
      </c>
      <c r="DB101" s="816">
        <f>FLN!CI101</f>
        <v>0</v>
      </c>
      <c r="DC101" s="823" t="str">
        <f t="shared" si="43"/>
        <v>9820</v>
      </c>
      <c r="DD101" s="816">
        <f>FLN!CJ101</f>
        <v>0</v>
      </c>
      <c r="DE101" s="816">
        <f>FLN!CK101</f>
        <v>0</v>
      </c>
      <c r="DF101" s="816">
        <f>FLN!CL101</f>
        <v>0</v>
      </c>
      <c r="DG101" s="816">
        <f>FLN!CM101</f>
        <v>0</v>
      </c>
      <c r="DH101" s="823" t="str">
        <f t="shared" si="44"/>
        <v>9821</v>
      </c>
      <c r="DI101" s="816">
        <f>FLN!CN101</f>
        <v>0</v>
      </c>
      <c r="DJ101" s="816">
        <f>FLN!CO101</f>
        <v>0</v>
      </c>
      <c r="DK101" s="816">
        <f>FLN!CP101</f>
        <v>0</v>
      </c>
      <c r="DL101" s="816">
        <f>FLN!CQ101</f>
        <v>0</v>
      </c>
      <c r="DM101" s="823" t="str">
        <f t="shared" si="45"/>
        <v>9822</v>
      </c>
      <c r="DN101" s="816">
        <f>FLN!CR101</f>
        <v>0</v>
      </c>
      <c r="DO101" s="816">
        <f>FLN!CS101</f>
        <v>0</v>
      </c>
      <c r="DP101" s="816">
        <f>FLN!CT101</f>
        <v>0</v>
      </c>
      <c r="DQ101" s="816">
        <f>FLN!CU101</f>
        <v>0</v>
      </c>
      <c r="DR101" s="823" t="str">
        <f t="shared" si="46"/>
        <v>9823</v>
      </c>
      <c r="DS101" s="816">
        <f>FLN!CV101</f>
        <v>0</v>
      </c>
      <c r="DT101" s="816">
        <f>FLN!CW101</f>
        <v>0</v>
      </c>
      <c r="DU101" s="816">
        <f>FLN!CX101</f>
        <v>0</v>
      </c>
      <c r="DV101" s="816">
        <f>FLN!CY101</f>
        <v>0</v>
      </c>
      <c r="DW101" s="823" t="str">
        <f t="shared" si="47"/>
        <v>9824</v>
      </c>
      <c r="DX101" s="816">
        <f>FLN!CZ101</f>
        <v>0</v>
      </c>
      <c r="DY101" s="816">
        <f>FLN!DA101</f>
        <v>0</v>
      </c>
      <c r="DZ101" s="816">
        <f>FLN!DB101</f>
        <v>0</v>
      </c>
      <c r="EA101" s="816">
        <f>FLN!DC101</f>
        <v>0</v>
      </c>
      <c r="EB101" s="823" t="str">
        <f t="shared" si="48"/>
        <v>9825</v>
      </c>
      <c r="EC101" s="816">
        <f>FLN!DD101</f>
        <v>0</v>
      </c>
      <c r="ED101" s="816">
        <f>FLN!DE101</f>
        <v>0</v>
      </c>
      <c r="EE101" s="816">
        <f>FLN!DF101</f>
        <v>0</v>
      </c>
      <c r="EF101" s="816">
        <f>FLN!DG101</f>
        <v>0</v>
      </c>
    </row>
    <row r="102" spans="1:136">
      <c r="A102" s="824">
        <v>99</v>
      </c>
      <c r="B102" s="824">
        <f>STUDENT!F100</f>
        <v>0</v>
      </c>
      <c r="C102" s="824">
        <f>STUDENT!D100</f>
        <v>0</v>
      </c>
      <c r="D102" s="827">
        <f>STUDENT!E100</f>
        <v>0</v>
      </c>
      <c r="E102" s="827">
        <f>STUDENT!H100</f>
        <v>0</v>
      </c>
      <c r="F102" s="828">
        <f>FLN!F102</f>
        <v>0</v>
      </c>
      <c r="G102" s="828">
        <f>FLN!G102</f>
        <v>0</v>
      </c>
      <c r="H102" s="828">
        <f>FLN!H102</f>
        <v>0</v>
      </c>
      <c r="I102" s="824" t="str">
        <f>FLN!I102</f>
        <v/>
      </c>
      <c r="J102" s="824" t="str">
        <f>FLN!J102</f>
        <v/>
      </c>
      <c r="K102" s="824" t="str">
        <f>FLN!K102</f>
        <v/>
      </c>
      <c r="L102" s="823" t="str">
        <f t="shared" si="49"/>
        <v>991</v>
      </c>
      <c r="M102" s="816">
        <f>FLN!L102</f>
        <v>0</v>
      </c>
      <c r="N102" s="816">
        <f>FLN!M102</f>
        <v>0</v>
      </c>
      <c r="O102" s="816">
        <f>FLN!N102</f>
        <v>0</v>
      </c>
      <c r="P102" s="816">
        <f>FLN!O102</f>
        <v>0</v>
      </c>
      <c r="Q102" s="823" t="str">
        <f t="shared" si="25"/>
        <v>992</v>
      </c>
      <c r="R102" s="816">
        <f>FLN!P102</f>
        <v>0</v>
      </c>
      <c r="S102" s="816">
        <f>FLN!Q102</f>
        <v>0</v>
      </c>
      <c r="T102" s="816">
        <f>FLN!R102</f>
        <v>0</v>
      </c>
      <c r="U102" s="816">
        <f>FLN!S102</f>
        <v>0</v>
      </c>
      <c r="V102" s="823" t="str">
        <f t="shared" si="26"/>
        <v>993</v>
      </c>
      <c r="W102" s="816">
        <f>FLN!T102</f>
        <v>0</v>
      </c>
      <c r="X102" s="816">
        <f>FLN!U102</f>
        <v>0</v>
      </c>
      <c r="Y102" s="816">
        <f>FLN!V102</f>
        <v>0</v>
      </c>
      <c r="Z102" s="816">
        <f>FLN!W102</f>
        <v>0</v>
      </c>
      <c r="AA102" s="823" t="str">
        <f t="shared" si="27"/>
        <v>994</v>
      </c>
      <c r="AB102" s="816">
        <f>FLN!X102</f>
        <v>0</v>
      </c>
      <c r="AC102" s="816">
        <f>FLN!Y102</f>
        <v>0</v>
      </c>
      <c r="AD102" s="816">
        <f>FLN!Z102</f>
        <v>0</v>
      </c>
      <c r="AE102" s="816">
        <f>FLN!AA102</f>
        <v>0</v>
      </c>
      <c r="AF102" s="823" t="str">
        <f t="shared" si="28"/>
        <v>995</v>
      </c>
      <c r="AG102" s="816">
        <f>FLN!AB102</f>
        <v>0</v>
      </c>
      <c r="AH102" s="816">
        <f>FLN!AC102</f>
        <v>0</v>
      </c>
      <c r="AI102" s="816">
        <f>FLN!AD102</f>
        <v>0</v>
      </c>
      <c r="AJ102" s="816">
        <f>FLN!AE102</f>
        <v>0</v>
      </c>
      <c r="AK102" s="823" t="str">
        <f t="shared" si="29"/>
        <v>996</v>
      </c>
      <c r="AL102" s="816">
        <f>FLN!AF102</f>
        <v>0</v>
      </c>
      <c r="AM102" s="816">
        <f>FLN!AG102</f>
        <v>0</v>
      </c>
      <c r="AN102" s="816">
        <f>FLN!AH102</f>
        <v>0</v>
      </c>
      <c r="AO102" s="816">
        <f>FLN!AI102</f>
        <v>0</v>
      </c>
      <c r="AP102" s="823" t="str">
        <f t="shared" si="30"/>
        <v>997</v>
      </c>
      <c r="AQ102" s="816">
        <f>FLN!AJ102</f>
        <v>0</v>
      </c>
      <c r="AR102" s="816">
        <f>FLN!AK102</f>
        <v>0</v>
      </c>
      <c r="AS102" s="816">
        <f>FLN!AL102</f>
        <v>0</v>
      </c>
      <c r="AT102" s="816">
        <f>FLN!AM102</f>
        <v>0</v>
      </c>
      <c r="AU102" s="823" t="str">
        <f t="shared" si="31"/>
        <v>998</v>
      </c>
      <c r="AV102" s="816">
        <f>FLN!AN102</f>
        <v>0</v>
      </c>
      <c r="AW102" s="816">
        <f>FLN!AO102</f>
        <v>0</v>
      </c>
      <c r="AX102" s="816">
        <f>FLN!AP102</f>
        <v>0</v>
      </c>
      <c r="AY102" s="816">
        <f>FLN!AQ102</f>
        <v>0</v>
      </c>
      <c r="AZ102" s="823" t="str">
        <f t="shared" si="32"/>
        <v>999</v>
      </c>
      <c r="BA102" s="816">
        <f>FLN!AR102</f>
        <v>0</v>
      </c>
      <c r="BB102" s="816">
        <f>FLN!AS102</f>
        <v>0</v>
      </c>
      <c r="BC102" s="816">
        <f>FLN!AT102</f>
        <v>0</v>
      </c>
      <c r="BD102" s="816">
        <f>FLN!AU102</f>
        <v>0</v>
      </c>
      <c r="BE102" s="823" t="str">
        <f t="shared" si="33"/>
        <v>9910</v>
      </c>
      <c r="BF102" s="816">
        <f>FLN!AV102</f>
        <v>0</v>
      </c>
      <c r="BG102" s="816">
        <f>FLN!AW102</f>
        <v>0</v>
      </c>
      <c r="BH102" s="816">
        <f>FLN!AX102</f>
        <v>0</v>
      </c>
      <c r="BI102" s="816">
        <f>FLN!AY102</f>
        <v>0</v>
      </c>
      <c r="BJ102" s="823" t="str">
        <f t="shared" si="34"/>
        <v>9911</v>
      </c>
      <c r="BK102" s="816">
        <f>FLN!AZ102</f>
        <v>0</v>
      </c>
      <c r="BL102" s="816">
        <f>FLN!BA102</f>
        <v>0</v>
      </c>
      <c r="BM102" s="816">
        <f>FLN!BB102</f>
        <v>0</v>
      </c>
      <c r="BN102" s="816">
        <f>FLN!BC102</f>
        <v>0</v>
      </c>
      <c r="BO102" s="823" t="str">
        <f t="shared" si="35"/>
        <v>9912</v>
      </c>
      <c r="BP102" s="816">
        <f>FLN!BD102</f>
        <v>0</v>
      </c>
      <c r="BQ102" s="816">
        <f>FLN!BE102</f>
        <v>0</v>
      </c>
      <c r="BR102" s="816">
        <f>FLN!BF102</f>
        <v>0</v>
      </c>
      <c r="BS102" s="816">
        <f>FLN!BG102</f>
        <v>0</v>
      </c>
      <c r="BT102" s="823" t="str">
        <f t="shared" si="36"/>
        <v>9913</v>
      </c>
      <c r="BU102" s="816">
        <f>FLN!BH102</f>
        <v>0</v>
      </c>
      <c r="BV102" s="816">
        <f>FLN!BI102</f>
        <v>0</v>
      </c>
      <c r="BW102" s="816">
        <f>FLN!BJ102</f>
        <v>0</v>
      </c>
      <c r="BX102" s="816">
        <f>FLN!BK102</f>
        <v>0</v>
      </c>
      <c r="BY102" s="823" t="str">
        <f t="shared" si="37"/>
        <v>9914</v>
      </c>
      <c r="BZ102" s="816">
        <f>FLN!BL102</f>
        <v>0</v>
      </c>
      <c r="CA102" s="816">
        <f>FLN!BM102</f>
        <v>0</v>
      </c>
      <c r="CB102" s="816">
        <f>FLN!BN102</f>
        <v>0</v>
      </c>
      <c r="CC102" s="816">
        <f>FLN!BO102</f>
        <v>0</v>
      </c>
      <c r="CD102" s="823" t="str">
        <f t="shared" si="38"/>
        <v>9915</v>
      </c>
      <c r="CE102" s="816">
        <f>FLN!BP102</f>
        <v>0</v>
      </c>
      <c r="CF102" s="816">
        <f>FLN!BQ102</f>
        <v>0</v>
      </c>
      <c r="CG102" s="816">
        <f>FLN!BR102</f>
        <v>0</v>
      </c>
      <c r="CH102" s="816">
        <f>FLN!BS102</f>
        <v>0</v>
      </c>
      <c r="CI102" s="823" t="str">
        <f t="shared" si="39"/>
        <v>9916</v>
      </c>
      <c r="CJ102" s="816">
        <f>FLN!BT102</f>
        <v>0</v>
      </c>
      <c r="CK102" s="816">
        <f>FLN!BU102</f>
        <v>0</v>
      </c>
      <c r="CL102" s="816">
        <f>FLN!BV102</f>
        <v>0</v>
      </c>
      <c r="CM102" s="816">
        <f>FLN!BW102</f>
        <v>0</v>
      </c>
      <c r="CN102" s="823" t="str">
        <f t="shared" si="40"/>
        <v>9917</v>
      </c>
      <c r="CO102" s="816">
        <f>FLN!BX102</f>
        <v>0</v>
      </c>
      <c r="CP102" s="816">
        <f>FLN!BY102</f>
        <v>0</v>
      </c>
      <c r="CQ102" s="816">
        <f>FLN!BZ102</f>
        <v>0</v>
      </c>
      <c r="CR102" s="816">
        <f>FLN!CA102</f>
        <v>0</v>
      </c>
      <c r="CS102" s="823" t="str">
        <f t="shared" si="41"/>
        <v>9918</v>
      </c>
      <c r="CT102" s="816">
        <f>FLN!CB102</f>
        <v>0</v>
      </c>
      <c r="CU102" s="816">
        <f>FLN!CC102</f>
        <v>0</v>
      </c>
      <c r="CV102" s="816">
        <f>FLN!CD102</f>
        <v>0</v>
      </c>
      <c r="CW102" s="816">
        <f>FLN!CE102</f>
        <v>0</v>
      </c>
      <c r="CX102" s="823" t="str">
        <f t="shared" si="42"/>
        <v>9919</v>
      </c>
      <c r="CY102" s="816">
        <f>FLN!CF102</f>
        <v>0</v>
      </c>
      <c r="CZ102" s="816">
        <f>FLN!CG102</f>
        <v>0</v>
      </c>
      <c r="DA102" s="816">
        <f>FLN!CH102</f>
        <v>0</v>
      </c>
      <c r="DB102" s="816">
        <f>FLN!CI102</f>
        <v>0</v>
      </c>
      <c r="DC102" s="823" t="str">
        <f t="shared" si="43"/>
        <v>9920</v>
      </c>
      <c r="DD102" s="816">
        <f>FLN!CJ102</f>
        <v>0</v>
      </c>
      <c r="DE102" s="816">
        <f>FLN!CK102</f>
        <v>0</v>
      </c>
      <c r="DF102" s="816">
        <f>FLN!CL102</f>
        <v>0</v>
      </c>
      <c r="DG102" s="816">
        <f>FLN!CM102</f>
        <v>0</v>
      </c>
      <c r="DH102" s="823" t="str">
        <f t="shared" si="44"/>
        <v>9921</v>
      </c>
      <c r="DI102" s="816">
        <f>FLN!CN102</f>
        <v>0</v>
      </c>
      <c r="DJ102" s="816">
        <f>FLN!CO102</f>
        <v>0</v>
      </c>
      <c r="DK102" s="816">
        <f>FLN!CP102</f>
        <v>0</v>
      </c>
      <c r="DL102" s="816">
        <f>FLN!CQ102</f>
        <v>0</v>
      </c>
      <c r="DM102" s="823" t="str">
        <f t="shared" si="45"/>
        <v>9922</v>
      </c>
      <c r="DN102" s="816">
        <f>FLN!CR102</f>
        <v>0</v>
      </c>
      <c r="DO102" s="816">
        <f>FLN!CS102</f>
        <v>0</v>
      </c>
      <c r="DP102" s="816">
        <f>FLN!CT102</f>
        <v>0</v>
      </c>
      <c r="DQ102" s="816">
        <f>FLN!CU102</f>
        <v>0</v>
      </c>
      <c r="DR102" s="823" t="str">
        <f t="shared" si="46"/>
        <v>9923</v>
      </c>
      <c r="DS102" s="816">
        <f>FLN!CV102</f>
        <v>0</v>
      </c>
      <c r="DT102" s="816">
        <f>FLN!CW102</f>
        <v>0</v>
      </c>
      <c r="DU102" s="816">
        <f>FLN!CX102</f>
        <v>0</v>
      </c>
      <c r="DV102" s="816">
        <f>FLN!CY102</f>
        <v>0</v>
      </c>
      <c r="DW102" s="823" t="str">
        <f t="shared" si="47"/>
        <v>9924</v>
      </c>
      <c r="DX102" s="816">
        <f>FLN!CZ102</f>
        <v>0</v>
      </c>
      <c r="DY102" s="816">
        <f>FLN!DA102</f>
        <v>0</v>
      </c>
      <c r="DZ102" s="816">
        <f>FLN!DB102</f>
        <v>0</v>
      </c>
      <c r="EA102" s="816">
        <f>FLN!DC102</f>
        <v>0</v>
      </c>
      <c r="EB102" s="823" t="str">
        <f t="shared" si="48"/>
        <v>9925</v>
      </c>
      <c r="EC102" s="816">
        <f>FLN!DD102</f>
        <v>0</v>
      </c>
      <c r="ED102" s="816">
        <f>FLN!DE102</f>
        <v>0</v>
      </c>
      <c r="EE102" s="816">
        <f>FLN!DF102</f>
        <v>0</v>
      </c>
      <c r="EF102" s="816">
        <f>FLN!DG102</f>
        <v>0</v>
      </c>
    </row>
    <row r="103" spans="1:136">
      <c r="A103" s="824">
        <v>100</v>
      </c>
      <c r="B103" s="824">
        <f>STUDENT!F101</f>
        <v>0</v>
      </c>
      <c r="C103" s="824">
        <f>STUDENT!D101</f>
        <v>0</v>
      </c>
      <c r="D103" s="827">
        <f>STUDENT!E101</f>
        <v>0</v>
      </c>
      <c r="E103" s="827">
        <f>STUDENT!H101</f>
        <v>0</v>
      </c>
      <c r="F103" s="828">
        <f>FLN!F103</f>
        <v>0</v>
      </c>
      <c r="G103" s="828">
        <f>FLN!G103</f>
        <v>0</v>
      </c>
      <c r="H103" s="828">
        <f>FLN!H103</f>
        <v>0</v>
      </c>
      <c r="I103" s="824" t="str">
        <f>FLN!I103</f>
        <v/>
      </c>
      <c r="J103" s="824" t="str">
        <f>FLN!J103</f>
        <v/>
      </c>
      <c r="K103" s="824" t="str">
        <f>FLN!K103</f>
        <v/>
      </c>
      <c r="L103" s="823" t="str">
        <f t="shared" si="49"/>
        <v>1001</v>
      </c>
      <c r="M103" s="816">
        <f>FLN!L103</f>
        <v>0</v>
      </c>
      <c r="N103" s="816">
        <f>FLN!M103</f>
        <v>0</v>
      </c>
      <c r="O103" s="816">
        <f>FLN!N103</f>
        <v>0</v>
      </c>
      <c r="P103" s="816">
        <f>FLN!O103</f>
        <v>0</v>
      </c>
      <c r="Q103" s="823" t="str">
        <f t="shared" si="25"/>
        <v>1002</v>
      </c>
      <c r="R103" s="816">
        <f>FLN!P103</f>
        <v>0</v>
      </c>
      <c r="S103" s="816">
        <f>FLN!Q103</f>
        <v>0</v>
      </c>
      <c r="T103" s="816">
        <f>FLN!R103</f>
        <v>0</v>
      </c>
      <c r="U103" s="816">
        <f>FLN!S103</f>
        <v>0</v>
      </c>
      <c r="V103" s="823" t="str">
        <f t="shared" si="26"/>
        <v>1003</v>
      </c>
      <c r="W103" s="816">
        <f>FLN!T103</f>
        <v>0</v>
      </c>
      <c r="X103" s="816">
        <f>FLN!U103</f>
        <v>0</v>
      </c>
      <c r="Y103" s="816">
        <f>FLN!V103</f>
        <v>0</v>
      </c>
      <c r="Z103" s="816">
        <f>FLN!W103</f>
        <v>0</v>
      </c>
      <c r="AA103" s="823" t="str">
        <f t="shared" si="27"/>
        <v>1004</v>
      </c>
      <c r="AB103" s="816">
        <f>FLN!X103</f>
        <v>0</v>
      </c>
      <c r="AC103" s="816">
        <f>FLN!Y103</f>
        <v>0</v>
      </c>
      <c r="AD103" s="816">
        <f>FLN!Z103</f>
        <v>0</v>
      </c>
      <c r="AE103" s="816">
        <f>FLN!AA103</f>
        <v>0</v>
      </c>
      <c r="AF103" s="823" t="str">
        <f t="shared" si="28"/>
        <v>1005</v>
      </c>
      <c r="AG103" s="816">
        <f>FLN!AB103</f>
        <v>0</v>
      </c>
      <c r="AH103" s="816">
        <f>FLN!AC103</f>
        <v>0</v>
      </c>
      <c r="AI103" s="816">
        <f>FLN!AD103</f>
        <v>0</v>
      </c>
      <c r="AJ103" s="816">
        <f>FLN!AE103</f>
        <v>0</v>
      </c>
      <c r="AK103" s="823" t="str">
        <f t="shared" si="29"/>
        <v>1006</v>
      </c>
      <c r="AL103" s="816">
        <f>FLN!AF103</f>
        <v>0</v>
      </c>
      <c r="AM103" s="816">
        <f>FLN!AG103</f>
        <v>0</v>
      </c>
      <c r="AN103" s="816">
        <f>FLN!AH103</f>
        <v>0</v>
      </c>
      <c r="AO103" s="816">
        <f>FLN!AI103</f>
        <v>0</v>
      </c>
      <c r="AP103" s="823" t="str">
        <f t="shared" si="30"/>
        <v>1007</v>
      </c>
      <c r="AQ103" s="816">
        <f>FLN!AJ103</f>
        <v>0</v>
      </c>
      <c r="AR103" s="816">
        <f>FLN!AK103</f>
        <v>0</v>
      </c>
      <c r="AS103" s="816">
        <f>FLN!AL103</f>
        <v>0</v>
      </c>
      <c r="AT103" s="816">
        <f>FLN!AM103</f>
        <v>0</v>
      </c>
      <c r="AU103" s="823" t="str">
        <f t="shared" si="31"/>
        <v>1008</v>
      </c>
      <c r="AV103" s="816">
        <f>FLN!AN103</f>
        <v>0</v>
      </c>
      <c r="AW103" s="816">
        <f>FLN!AO103</f>
        <v>0</v>
      </c>
      <c r="AX103" s="816">
        <f>FLN!AP103</f>
        <v>0</v>
      </c>
      <c r="AY103" s="816">
        <f>FLN!AQ103</f>
        <v>0</v>
      </c>
      <c r="AZ103" s="823" t="str">
        <f t="shared" si="32"/>
        <v>1009</v>
      </c>
      <c r="BA103" s="816">
        <f>FLN!AR103</f>
        <v>0</v>
      </c>
      <c r="BB103" s="816">
        <f>FLN!AS103</f>
        <v>0</v>
      </c>
      <c r="BC103" s="816">
        <f>FLN!AT103</f>
        <v>0</v>
      </c>
      <c r="BD103" s="816">
        <f>FLN!AU103</f>
        <v>0</v>
      </c>
      <c r="BE103" s="823" t="str">
        <f t="shared" si="33"/>
        <v>10010</v>
      </c>
      <c r="BF103" s="816">
        <f>FLN!AV103</f>
        <v>0</v>
      </c>
      <c r="BG103" s="816">
        <f>FLN!AW103</f>
        <v>0</v>
      </c>
      <c r="BH103" s="816">
        <f>FLN!AX103</f>
        <v>0</v>
      </c>
      <c r="BI103" s="816">
        <f>FLN!AY103</f>
        <v>0</v>
      </c>
      <c r="BJ103" s="823" t="str">
        <f t="shared" si="34"/>
        <v>10011</v>
      </c>
      <c r="BK103" s="816">
        <f>FLN!AZ103</f>
        <v>0</v>
      </c>
      <c r="BL103" s="816">
        <f>FLN!BA103</f>
        <v>0</v>
      </c>
      <c r="BM103" s="816">
        <f>FLN!BB103</f>
        <v>0</v>
      </c>
      <c r="BN103" s="816">
        <f>FLN!BC103</f>
        <v>0</v>
      </c>
      <c r="BO103" s="823" t="str">
        <f t="shared" si="35"/>
        <v>10012</v>
      </c>
      <c r="BP103" s="816">
        <f>FLN!BD103</f>
        <v>0</v>
      </c>
      <c r="BQ103" s="816">
        <f>FLN!BE103</f>
        <v>0</v>
      </c>
      <c r="BR103" s="816">
        <f>FLN!BF103</f>
        <v>0</v>
      </c>
      <c r="BS103" s="816">
        <f>FLN!BG103</f>
        <v>0</v>
      </c>
      <c r="BT103" s="823" t="str">
        <f t="shared" si="36"/>
        <v>10013</v>
      </c>
      <c r="BU103" s="816">
        <f>FLN!BH103</f>
        <v>0</v>
      </c>
      <c r="BV103" s="816">
        <f>FLN!BI103</f>
        <v>0</v>
      </c>
      <c r="BW103" s="816">
        <f>FLN!BJ103</f>
        <v>0</v>
      </c>
      <c r="BX103" s="816">
        <f>FLN!BK103</f>
        <v>0</v>
      </c>
      <c r="BY103" s="823" t="str">
        <f t="shared" si="37"/>
        <v>10014</v>
      </c>
      <c r="BZ103" s="816">
        <f>FLN!BL103</f>
        <v>0</v>
      </c>
      <c r="CA103" s="816">
        <f>FLN!BM103</f>
        <v>0</v>
      </c>
      <c r="CB103" s="816">
        <f>FLN!BN103</f>
        <v>0</v>
      </c>
      <c r="CC103" s="816">
        <f>FLN!BO103</f>
        <v>0</v>
      </c>
      <c r="CD103" s="823" t="str">
        <f t="shared" si="38"/>
        <v>10015</v>
      </c>
      <c r="CE103" s="816">
        <f>FLN!BP103</f>
        <v>0</v>
      </c>
      <c r="CF103" s="816">
        <f>FLN!BQ103</f>
        <v>0</v>
      </c>
      <c r="CG103" s="816">
        <f>FLN!BR103</f>
        <v>0</v>
      </c>
      <c r="CH103" s="816">
        <f>FLN!BS103</f>
        <v>0</v>
      </c>
      <c r="CI103" s="823" t="str">
        <f t="shared" si="39"/>
        <v>10016</v>
      </c>
      <c r="CJ103" s="816">
        <f>FLN!BT103</f>
        <v>0</v>
      </c>
      <c r="CK103" s="816">
        <f>FLN!BU103</f>
        <v>0</v>
      </c>
      <c r="CL103" s="816">
        <f>FLN!BV103</f>
        <v>0</v>
      </c>
      <c r="CM103" s="816">
        <f>FLN!BW103</f>
        <v>0</v>
      </c>
      <c r="CN103" s="823" t="str">
        <f t="shared" si="40"/>
        <v>10017</v>
      </c>
      <c r="CO103" s="816">
        <f>FLN!BX103</f>
        <v>0</v>
      </c>
      <c r="CP103" s="816">
        <f>FLN!BY103</f>
        <v>0</v>
      </c>
      <c r="CQ103" s="816">
        <f>FLN!BZ103</f>
        <v>0</v>
      </c>
      <c r="CR103" s="816">
        <f>FLN!CA103</f>
        <v>0</v>
      </c>
      <c r="CS103" s="823" t="str">
        <f t="shared" si="41"/>
        <v>10018</v>
      </c>
      <c r="CT103" s="816">
        <f>FLN!CB103</f>
        <v>0</v>
      </c>
      <c r="CU103" s="816">
        <f>FLN!CC103</f>
        <v>0</v>
      </c>
      <c r="CV103" s="816">
        <f>FLN!CD103</f>
        <v>0</v>
      </c>
      <c r="CW103" s="816">
        <f>FLN!CE103</f>
        <v>0</v>
      </c>
      <c r="CX103" s="823" t="str">
        <f t="shared" si="42"/>
        <v>10019</v>
      </c>
      <c r="CY103" s="816">
        <f>FLN!CF103</f>
        <v>0</v>
      </c>
      <c r="CZ103" s="816">
        <f>FLN!CG103</f>
        <v>0</v>
      </c>
      <c r="DA103" s="816">
        <f>FLN!CH103</f>
        <v>0</v>
      </c>
      <c r="DB103" s="816">
        <f>FLN!CI103</f>
        <v>0</v>
      </c>
      <c r="DC103" s="823" t="str">
        <f t="shared" si="43"/>
        <v>10020</v>
      </c>
      <c r="DD103" s="816">
        <f>FLN!CJ103</f>
        <v>0</v>
      </c>
      <c r="DE103" s="816">
        <f>FLN!CK103</f>
        <v>0</v>
      </c>
      <c r="DF103" s="816">
        <f>FLN!CL103</f>
        <v>0</v>
      </c>
      <c r="DG103" s="816">
        <f>FLN!CM103</f>
        <v>0</v>
      </c>
      <c r="DH103" s="823" t="str">
        <f t="shared" si="44"/>
        <v>10021</v>
      </c>
      <c r="DI103" s="816">
        <f>FLN!CN103</f>
        <v>0</v>
      </c>
      <c r="DJ103" s="816">
        <f>FLN!CO103</f>
        <v>0</v>
      </c>
      <c r="DK103" s="816">
        <f>FLN!CP103</f>
        <v>0</v>
      </c>
      <c r="DL103" s="816">
        <f>FLN!CQ103</f>
        <v>0</v>
      </c>
      <c r="DM103" s="823" t="str">
        <f t="shared" si="45"/>
        <v>10022</v>
      </c>
      <c r="DN103" s="816">
        <f>FLN!CR103</f>
        <v>0</v>
      </c>
      <c r="DO103" s="816">
        <f>FLN!CS103</f>
        <v>0</v>
      </c>
      <c r="DP103" s="816">
        <f>FLN!CT103</f>
        <v>0</v>
      </c>
      <c r="DQ103" s="816">
        <f>FLN!CU103</f>
        <v>0</v>
      </c>
      <c r="DR103" s="823" t="str">
        <f t="shared" si="46"/>
        <v>10023</v>
      </c>
      <c r="DS103" s="816">
        <f>FLN!CV103</f>
        <v>0</v>
      </c>
      <c r="DT103" s="816">
        <f>FLN!CW103</f>
        <v>0</v>
      </c>
      <c r="DU103" s="816">
        <f>FLN!CX103</f>
        <v>0</v>
      </c>
      <c r="DV103" s="816">
        <f>FLN!CY103</f>
        <v>0</v>
      </c>
      <c r="DW103" s="823" t="str">
        <f t="shared" si="47"/>
        <v>10024</v>
      </c>
      <c r="DX103" s="816">
        <f>FLN!CZ103</f>
        <v>0</v>
      </c>
      <c r="DY103" s="816">
        <f>FLN!DA103</f>
        <v>0</v>
      </c>
      <c r="DZ103" s="816">
        <f>FLN!DB103</f>
        <v>0</v>
      </c>
      <c r="EA103" s="816">
        <f>FLN!DC103</f>
        <v>0</v>
      </c>
      <c r="EB103" s="823" t="str">
        <f t="shared" si="48"/>
        <v>10025</v>
      </c>
      <c r="EC103" s="816">
        <f>FLN!DD103</f>
        <v>0</v>
      </c>
      <c r="ED103" s="816">
        <f>FLN!DE103</f>
        <v>0</v>
      </c>
      <c r="EE103" s="816">
        <f>FLN!DF103</f>
        <v>0</v>
      </c>
      <c r="EF103" s="816">
        <f>FLN!DG103</f>
        <v>0</v>
      </c>
    </row>
  </sheetData>
  <sheetProtection password="BF6F" sheet="1" formatCells="0" formatColumns="0" formatRows="0" objects="1" scenarios="1"/>
  <mergeCells count="30">
    <mergeCell ref="F1:H1"/>
    <mergeCell ref="I1:K1"/>
    <mergeCell ref="M3:O3"/>
    <mergeCell ref="R3:T3"/>
    <mergeCell ref="W3:Y3"/>
    <mergeCell ref="AB3:AD3"/>
    <mergeCell ref="AG3:AI3"/>
    <mergeCell ref="AL3:AN3"/>
    <mergeCell ref="AQ3:AS3"/>
    <mergeCell ref="AV3:AX3"/>
    <mergeCell ref="BA3:BC3"/>
    <mergeCell ref="BF3:BH3"/>
    <mergeCell ref="BK3:BM3"/>
    <mergeCell ref="BP3:BR3"/>
    <mergeCell ref="BU3:BW3"/>
    <mergeCell ref="BZ3:CB3"/>
    <mergeCell ref="CE3:CG3"/>
    <mergeCell ref="CJ3:CL3"/>
    <mergeCell ref="CO3:CQ3"/>
    <mergeCell ref="CT3:CV3"/>
    <mergeCell ref="CY3:DA3"/>
    <mergeCell ref="DD3:DF3"/>
    <mergeCell ref="DI3:DK3"/>
    <mergeCell ref="DN3:DP3"/>
    <mergeCell ref="DS3:DU3"/>
    <mergeCell ref="DX3:DZ3"/>
    <mergeCell ref="EC3:EE3"/>
    <mergeCell ref="EG3:EI3"/>
    <mergeCell ref="EJ3:EL3"/>
    <mergeCell ref="EM3:EO3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P102"/>
  <sheetViews>
    <sheetView workbookViewId="0">
      <selection activeCell="DF3" sqref="DF3"/>
    </sheetView>
  </sheetViews>
  <sheetFormatPr defaultColWidth="9.13888888888889" defaultRowHeight="18"/>
  <cols>
    <col min="1" max="1" width="9.13888888888889" style="812"/>
    <col min="2" max="2" width="15.5740740740741" style="812" customWidth="1"/>
    <col min="3" max="3" width="36.8611111111111" style="812" customWidth="1"/>
    <col min="4" max="4" width="19.287037037037" style="812" customWidth="1"/>
    <col min="5" max="5" width="14.1388888888889" style="812" customWidth="1"/>
    <col min="6" max="6" width="26" style="812" customWidth="1"/>
    <col min="7" max="7" width="12.5740740740741" style="812" customWidth="1"/>
    <col min="8" max="8" width="10.712962962963" style="812" customWidth="1"/>
    <col min="9" max="16384" width="9.13888888888889" style="812"/>
  </cols>
  <sheetData>
    <row r="2" ht="42" spans="1:120">
      <c r="A2" s="813" t="s">
        <v>387</v>
      </c>
      <c r="B2" s="813" t="s">
        <v>86</v>
      </c>
      <c r="C2" s="814" t="s">
        <v>388</v>
      </c>
      <c r="D2" s="814" t="s">
        <v>80</v>
      </c>
      <c r="E2" s="814" t="s">
        <v>81</v>
      </c>
      <c r="F2" s="814" t="s">
        <v>86</v>
      </c>
      <c r="G2" s="813" t="s">
        <v>389</v>
      </c>
      <c r="H2" s="813">
        <v>1</v>
      </c>
      <c r="I2" s="813">
        <v>2</v>
      </c>
      <c r="J2" s="813">
        <v>3</v>
      </c>
      <c r="K2" s="813">
        <v>4</v>
      </c>
      <c r="L2" s="813">
        <v>5</v>
      </c>
      <c r="M2" s="813">
        <v>6</v>
      </c>
      <c r="N2" s="813">
        <v>7</v>
      </c>
      <c r="O2" s="813">
        <v>8</v>
      </c>
      <c r="P2" s="813">
        <v>9</v>
      </c>
      <c r="Q2" s="813">
        <v>10</v>
      </c>
      <c r="R2" s="813">
        <v>11</v>
      </c>
      <c r="S2" s="813">
        <v>12</v>
      </c>
      <c r="T2" s="813">
        <v>13</v>
      </c>
      <c r="U2" s="813">
        <v>14</v>
      </c>
      <c r="V2" s="813">
        <v>15</v>
      </c>
      <c r="W2" s="813">
        <v>16</v>
      </c>
      <c r="X2" s="813">
        <v>17</v>
      </c>
      <c r="Y2" s="813">
        <v>18</v>
      </c>
      <c r="Z2" s="813">
        <v>19</v>
      </c>
      <c r="AA2" s="813">
        <v>20</v>
      </c>
      <c r="AB2" s="813">
        <v>21</v>
      </c>
      <c r="AC2" s="813">
        <v>22</v>
      </c>
      <c r="AD2" s="813">
        <v>23</v>
      </c>
      <c r="AE2" s="813">
        <v>24</v>
      </c>
      <c r="AF2" s="813">
        <v>25</v>
      </c>
      <c r="AG2" s="813">
        <v>26</v>
      </c>
      <c r="AH2" s="813">
        <v>27</v>
      </c>
      <c r="AI2" s="813">
        <v>28</v>
      </c>
      <c r="AJ2" s="813">
        <v>29</v>
      </c>
      <c r="AK2" s="813">
        <v>30</v>
      </c>
      <c r="AL2" s="813">
        <v>31</v>
      </c>
      <c r="AM2" s="813">
        <v>32</v>
      </c>
      <c r="AN2" s="813">
        <v>33</v>
      </c>
      <c r="AO2" s="813">
        <v>34</v>
      </c>
      <c r="AP2" s="813">
        <v>35</v>
      </c>
      <c r="AQ2" s="813">
        <v>36</v>
      </c>
      <c r="AR2" s="813">
        <v>37</v>
      </c>
      <c r="AS2" s="813">
        <v>38</v>
      </c>
      <c r="AT2" s="813">
        <v>39</v>
      </c>
      <c r="AU2" s="813">
        <v>40</v>
      </c>
      <c r="AV2" s="813">
        <v>41</v>
      </c>
      <c r="AW2" s="813">
        <v>42</v>
      </c>
      <c r="AX2" s="813">
        <v>43</v>
      </c>
      <c r="AY2" s="813">
        <v>44</v>
      </c>
      <c r="AZ2" s="813">
        <v>45</v>
      </c>
      <c r="BA2" s="813">
        <v>46</v>
      </c>
      <c r="BB2" s="813">
        <v>47</v>
      </c>
      <c r="BC2" s="813">
        <v>48</v>
      </c>
      <c r="BD2" s="813">
        <v>49</v>
      </c>
      <c r="BE2" s="813">
        <v>50</v>
      </c>
      <c r="BF2" s="813">
        <v>51</v>
      </c>
      <c r="BG2" s="813">
        <v>52</v>
      </c>
      <c r="BH2" s="813">
        <v>53</v>
      </c>
      <c r="BI2" s="813">
        <v>54</v>
      </c>
      <c r="BJ2" s="813">
        <v>55</v>
      </c>
      <c r="BK2" s="813">
        <v>56</v>
      </c>
      <c r="BL2" s="813">
        <v>57</v>
      </c>
      <c r="BM2" s="813">
        <v>58</v>
      </c>
      <c r="BN2" s="813">
        <v>59</v>
      </c>
      <c r="BO2" s="813">
        <v>60</v>
      </c>
      <c r="BP2" s="813">
        <v>61</v>
      </c>
      <c r="BQ2" s="813">
        <v>62</v>
      </c>
      <c r="BR2" s="813">
        <v>63</v>
      </c>
      <c r="BS2" s="813">
        <v>64</v>
      </c>
      <c r="BT2" s="813">
        <v>65</v>
      </c>
      <c r="BU2" s="813">
        <v>66</v>
      </c>
      <c r="BV2" s="813">
        <v>67</v>
      </c>
      <c r="BW2" s="813">
        <v>68</v>
      </c>
      <c r="BX2" s="813">
        <v>69</v>
      </c>
      <c r="BY2" s="813">
        <v>70</v>
      </c>
      <c r="BZ2" s="813">
        <v>71</v>
      </c>
      <c r="CA2" s="813">
        <v>72</v>
      </c>
      <c r="CB2" s="813">
        <v>73</v>
      </c>
      <c r="CC2" s="813">
        <v>74</v>
      </c>
      <c r="CD2" s="813">
        <v>75</v>
      </c>
      <c r="CE2" s="813">
        <v>76</v>
      </c>
      <c r="CF2" s="813">
        <v>77</v>
      </c>
      <c r="CG2" s="813">
        <v>78</v>
      </c>
      <c r="CH2" s="813">
        <v>79</v>
      </c>
      <c r="CI2" s="813">
        <v>80</v>
      </c>
      <c r="CJ2" s="813">
        <v>81</v>
      </c>
      <c r="CK2" s="813">
        <v>82</v>
      </c>
      <c r="CL2" s="813">
        <v>83</v>
      </c>
      <c r="CM2" s="813">
        <v>84</v>
      </c>
      <c r="CN2" s="813">
        <v>85</v>
      </c>
      <c r="CO2" s="813">
        <v>86</v>
      </c>
      <c r="CP2" s="813">
        <v>87</v>
      </c>
      <c r="CQ2" s="813">
        <v>88</v>
      </c>
      <c r="CR2" s="813">
        <v>89</v>
      </c>
      <c r="CS2" s="813">
        <v>90</v>
      </c>
      <c r="CT2" s="813">
        <v>91</v>
      </c>
      <c r="CU2" s="813">
        <v>92</v>
      </c>
      <c r="CV2" s="813">
        <v>93</v>
      </c>
      <c r="CW2" s="813">
        <v>94</v>
      </c>
      <c r="CX2" s="813">
        <v>95</v>
      </c>
      <c r="CY2" s="813">
        <v>96</v>
      </c>
      <c r="CZ2" s="813">
        <v>97</v>
      </c>
      <c r="DA2" s="813">
        <v>98</v>
      </c>
      <c r="DB2" s="813">
        <v>99</v>
      </c>
      <c r="DC2" s="813">
        <v>100</v>
      </c>
      <c r="DE2" s="812">
        <f>COLUMN(DE2)</f>
        <v>109</v>
      </c>
      <c r="DF2" s="812">
        <f t="shared" ref="DF2:DP2" si="0">COLUMN(DF2)</f>
        <v>110</v>
      </c>
      <c r="DG2" s="812">
        <f t="shared" si="0"/>
        <v>111</v>
      </c>
      <c r="DH2" s="812">
        <f t="shared" si="0"/>
        <v>112</v>
      </c>
      <c r="DI2" s="812">
        <f t="shared" si="0"/>
        <v>113</v>
      </c>
      <c r="DJ2" s="812">
        <f t="shared" si="0"/>
        <v>114</v>
      </c>
      <c r="DK2" s="812">
        <f t="shared" si="0"/>
        <v>115</v>
      </c>
      <c r="DL2" s="812">
        <f t="shared" si="0"/>
        <v>116</v>
      </c>
      <c r="DM2" s="812">
        <f t="shared" si="0"/>
        <v>117</v>
      </c>
      <c r="DN2" s="812">
        <f t="shared" si="0"/>
        <v>118</v>
      </c>
      <c r="DO2" s="812">
        <f t="shared" si="0"/>
        <v>119</v>
      </c>
      <c r="DP2" s="812">
        <f t="shared" si="0"/>
        <v>120</v>
      </c>
    </row>
    <row r="3" spans="1:120">
      <c r="A3" s="815">
        <v>1</v>
      </c>
      <c r="B3" s="815" t="str">
        <f t="shared" ref="B3:B34" si="1">A3&amp;G3</f>
        <v>1HINDI</v>
      </c>
      <c r="C3" s="815" t="str">
        <f>VLOOKUP(A3,DATEWISE!$A$3:$BY$27,2,0)</f>
        <v>30.04.2026</v>
      </c>
      <c r="D3" s="815">
        <f>VLOOKUP(A3,DATEWISE!$A$3:$BY$27,3,0)</f>
        <v>39</v>
      </c>
      <c r="E3" s="815">
        <f>VLOOKUP(A3,DATEWISE!$A$3:$BY$27,4,0)</f>
        <v>3</v>
      </c>
      <c r="F3" s="815" t="str">
        <f>C3&amp;G3</f>
        <v>30.04.2026HINDI</v>
      </c>
      <c r="G3" s="815" t="s">
        <v>87</v>
      </c>
      <c r="H3" s="816">
        <f t="array" ref="H3:DC102">TRANSPOSE(FLN!L4:DG103)</f>
        <v>2</v>
      </c>
      <c r="I3" s="816">
        <v>3</v>
      </c>
      <c r="J3" s="816">
        <v>3</v>
      </c>
      <c r="K3" s="816">
        <v>3</v>
      </c>
      <c r="L3" s="816">
        <v>2</v>
      </c>
      <c r="M3" s="816">
        <v>4</v>
      </c>
      <c r="N3" s="816">
        <v>4</v>
      </c>
      <c r="O3" s="816">
        <v>2</v>
      </c>
      <c r="P3" s="816">
        <v>2</v>
      </c>
      <c r="Q3" s="816">
        <v>2</v>
      </c>
      <c r="R3" s="816" t="str">
        <v>Ab</v>
      </c>
      <c r="S3" s="816">
        <v>2</v>
      </c>
      <c r="T3" s="816">
        <v>2</v>
      </c>
      <c r="U3" s="816">
        <v>2</v>
      </c>
      <c r="V3" s="816">
        <v>3</v>
      </c>
      <c r="W3" s="816">
        <v>2</v>
      </c>
      <c r="X3" s="816">
        <v>2</v>
      </c>
      <c r="Y3" s="816">
        <v>2</v>
      </c>
      <c r="Z3" s="816">
        <v>2</v>
      </c>
      <c r="AA3" s="816">
        <v>2</v>
      </c>
      <c r="AB3" s="816">
        <v>2</v>
      </c>
      <c r="AC3" s="816">
        <v>2</v>
      </c>
      <c r="AD3" s="816">
        <v>4</v>
      </c>
      <c r="AE3" s="816">
        <v>2</v>
      </c>
      <c r="AF3" s="816">
        <v>3</v>
      </c>
      <c r="AG3" s="816">
        <v>2</v>
      </c>
      <c r="AH3" s="816">
        <v>2</v>
      </c>
      <c r="AI3" s="816">
        <v>2</v>
      </c>
      <c r="AJ3" s="816">
        <v>2</v>
      </c>
      <c r="AK3" s="816">
        <v>2</v>
      </c>
      <c r="AL3" s="816">
        <v>2</v>
      </c>
      <c r="AM3" s="816">
        <v>2</v>
      </c>
      <c r="AN3" s="816">
        <v>2</v>
      </c>
      <c r="AO3" s="816" t="str">
        <v>Ab</v>
      </c>
      <c r="AP3" s="816">
        <v>2</v>
      </c>
      <c r="AQ3" s="816">
        <v>2</v>
      </c>
      <c r="AR3" s="816">
        <v>2</v>
      </c>
      <c r="AS3" s="816">
        <v>2</v>
      </c>
      <c r="AT3" s="816" t="str">
        <v>Ab</v>
      </c>
      <c r="AU3" s="816" t="str">
        <v>-</v>
      </c>
      <c r="AV3" s="816" t="str">
        <v>-</v>
      </c>
      <c r="AW3" s="816" t="str">
        <v>-</v>
      </c>
      <c r="AX3" s="816" t="str">
        <v>-</v>
      </c>
      <c r="AY3" s="816" t="str">
        <v>-</v>
      </c>
      <c r="AZ3" s="816" t="str">
        <v>-</v>
      </c>
      <c r="BA3" s="816" t="str">
        <v>-</v>
      </c>
      <c r="BB3" s="816">
        <v>0</v>
      </c>
      <c r="BC3" s="816">
        <v>0</v>
      </c>
      <c r="BD3" s="816">
        <v>0</v>
      </c>
      <c r="BE3" s="816">
        <v>0</v>
      </c>
      <c r="BF3" s="816">
        <v>0</v>
      </c>
      <c r="BG3" s="816">
        <v>0</v>
      </c>
      <c r="BH3" s="816">
        <v>0</v>
      </c>
      <c r="BI3" s="816">
        <v>0</v>
      </c>
      <c r="BJ3" s="816">
        <v>0</v>
      </c>
      <c r="BK3" s="816">
        <v>0</v>
      </c>
      <c r="BL3" s="816">
        <v>0</v>
      </c>
      <c r="BM3" s="816">
        <v>0</v>
      </c>
      <c r="BN3" s="816">
        <v>0</v>
      </c>
      <c r="BO3" s="816">
        <v>0</v>
      </c>
      <c r="BP3" s="816">
        <v>0</v>
      </c>
      <c r="BQ3" s="816">
        <v>0</v>
      </c>
      <c r="BR3" s="816">
        <v>0</v>
      </c>
      <c r="BS3" s="816">
        <v>0</v>
      </c>
      <c r="BT3" s="816">
        <v>0</v>
      </c>
      <c r="BU3" s="816">
        <v>0</v>
      </c>
      <c r="BV3" s="816">
        <v>0</v>
      </c>
      <c r="BW3" s="816">
        <v>0</v>
      </c>
      <c r="BX3" s="816">
        <v>0</v>
      </c>
      <c r="BY3" s="816">
        <v>0</v>
      </c>
      <c r="BZ3" s="816">
        <v>0</v>
      </c>
      <c r="CA3" s="816">
        <v>0</v>
      </c>
      <c r="CB3" s="816">
        <v>0</v>
      </c>
      <c r="CC3" s="816">
        <v>0</v>
      </c>
      <c r="CD3" s="816">
        <v>0</v>
      </c>
      <c r="CE3" s="816">
        <v>0</v>
      </c>
      <c r="CF3" s="816">
        <v>0</v>
      </c>
      <c r="CG3" s="816">
        <v>0</v>
      </c>
      <c r="CH3" s="816">
        <v>0</v>
      </c>
      <c r="CI3" s="816">
        <v>0</v>
      </c>
      <c r="CJ3" s="816">
        <v>0</v>
      </c>
      <c r="CK3" s="816">
        <v>0</v>
      </c>
      <c r="CL3" s="816">
        <v>0</v>
      </c>
      <c r="CM3" s="816">
        <v>0</v>
      </c>
      <c r="CN3" s="816">
        <v>0</v>
      </c>
      <c r="CO3" s="816">
        <v>0</v>
      </c>
      <c r="CP3" s="816">
        <v>0</v>
      </c>
      <c r="CQ3" s="816">
        <v>0</v>
      </c>
      <c r="CR3" s="816">
        <v>0</v>
      </c>
      <c r="CS3" s="816">
        <v>0</v>
      </c>
      <c r="CT3" s="816">
        <v>0</v>
      </c>
      <c r="CU3" s="816">
        <v>0</v>
      </c>
      <c r="CV3" s="816">
        <v>0</v>
      </c>
      <c r="CW3" s="816">
        <v>0</v>
      </c>
      <c r="CX3" s="816">
        <v>0</v>
      </c>
      <c r="CY3" s="816">
        <v>0</v>
      </c>
      <c r="CZ3" s="816">
        <v>0</v>
      </c>
      <c r="DA3" s="816">
        <v>0</v>
      </c>
      <c r="DB3" s="816">
        <v>0</v>
      </c>
      <c r="DC3" s="816">
        <v>0</v>
      </c>
      <c r="DE3" s="816" t="s">
        <v>96</v>
      </c>
      <c r="DF3" s="816">
        <f t="shared" ref="DF3:DF9" si="2">COUNTIFS(H3:DC3,1)</f>
        <v>0</v>
      </c>
      <c r="DG3" s="816" t="s">
        <v>97</v>
      </c>
      <c r="DH3" s="816">
        <f t="shared" ref="DH3:DH9" si="3">COUNTIFS(H3:DC3,2)</f>
        <v>28</v>
      </c>
      <c r="DI3" s="816" t="s">
        <v>98</v>
      </c>
      <c r="DJ3" s="816">
        <f t="shared" ref="DJ3:DJ9" si="4">COUNTIFS(H3:DC3,3)</f>
        <v>5</v>
      </c>
      <c r="DK3" s="816" t="s">
        <v>99</v>
      </c>
      <c r="DL3" s="816">
        <f t="shared" ref="DL3:DL9" si="5">COUNTIFS(H3:DC3,4)</f>
        <v>3</v>
      </c>
      <c r="DM3" s="816" t="s">
        <v>100</v>
      </c>
      <c r="DN3" s="816">
        <f t="shared" ref="DN3:DN9" si="6">COUNTIFS(H3:DC3,5)</f>
        <v>0</v>
      </c>
      <c r="DO3" s="816" t="s">
        <v>101</v>
      </c>
      <c r="DP3" s="816">
        <f t="shared" ref="DP3:DP9" si="7">COUNTIFS(H3:DC3,"Ab")</f>
        <v>3</v>
      </c>
    </row>
    <row r="4" spans="1:120">
      <c r="A4" s="815">
        <v>1</v>
      </c>
      <c r="B4" s="815" t="str">
        <f t="shared" si="1"/>
        <v>1ENGLISH</v>
      </c>
      <c r="C4" s="815" t="str">
        <f>VLOOKUP(A4,DATEWISE!$A$3:$BY$27,2,0)</f>
        <v>30.04.2026</v>
      </c>
      <c r="D4" s="815">
        <f>VLOOKUP(A4,DATEWISE!$A$3:$BY$27,3,0)</f>
        <v>39</v>
      </c>
      <c r="E4" s="815">
        <f>VLOOKUP(A4,DATEWISE!$A$3:$BY$27,4,0)</f>
        <v>3</v>
      </c>
      <c r="F4" s="815" t="str">
        <f t="shared" ref="F4:F67" si="8">C4&amp;G4</f>
        <v>30.04.2026ENGLISH</v>
      </c>
      <c r="G4" s="815" t="s">
        <v>89</v>
      </c>
      <c r="H4" s="816">
        <v>2</v>
      </c>
      <c r="I4" s="816">
        <v>2</v>
      </c>
      <c r="J4" s="816">
        <v>3</v>
      </c>
      <c r="K4" s="816">
        <v>2</v>
      </c>
      <c r="L4" s="816">
        <v>2</v>
      </c>
      <c r="M4" s="816">
        <v>3</v>
      </c>
      <c r="N4" s="816">
        <v>3</v>
      </c>
      <c r="O4" s="816">
        <v>2</v>
      </c>
      <c r="P4" s="816">
        <v>2</v>
      </c>
      <c r="Q4" s="816">
        <v>2</v>
      </c>
      <c r="R4" s="816" t="str">
        <v>Ab</v>
      </c>
      <c r="S4" s="816">
        <v>2</v>
      </c>
      <c r="T4" s="816">
        <v>2</v>
      </c>
      <c r="U4" s="816">
        <v>2</v>
      </c>
      <c r="V4" s="816">
        <v>3</v>
      </c>
      <c r="W4" s="816">
        <v>2</v>
      </c>
      <c r="X4" s="816">
        <v>2</v>
      </c>
      <c r="Y4" s="816">
        <v>2</v>
      </c>
      <c r="Z4" s="816">
        <v>2</v>
      </c>
      <c r="AA4" s="816">
        <v>2</v>
      </c>
      <c r="AB4" s="816">
        <v>2</v>
      </c>
      <c r="AC4" s="816">
        <v>2</v>
      </c>
      <c r="AD4" s="816">
        <v>3</v>
      </c>
      <c r="AE4" s="816">
        <v>2</v>
      </c>
      <c r="AF4" s="816">
        <v>2</v>
      </c>
      <c r="AG4" s="816">
        <v>2</v>
      </c>
      <c r="AH4" s="816">
        <v>2</v>
      </c>
      <c r="AI4" s="816">
        <v>2</v>
      </c>
      <c r="AJ4" s="816">
        <v>2</v>
      </c>
      <c r="AK4" s="816">
        <v>2</v>
      </c>
      <c r="AL4" s="816">
        <v>2</v>
      </c>
      <c r="AM4" s="816">
        <v>2</v>
      </c>
      <c r="AN4" s="816">
        <v>2</v>
      </c>
      <c r="AO4" s="816" t="str">
        <v>Ab</v>
      </c>
      <c r="AP4" s="816">
        <v>2</v>
      </c>
      <c r="AQ4" s="816">
        <v>2</v>
      </c>
      <c r="AR4" s="816">
        <v>2</v>
      </c>
      <c r="AS4" s="816">
        <v>2</v>
      </c>
      <c r="AT4" s="816" t="str">
        <v>Ab</v>
      </c>
      <c r="AU4" s="816" t="str">
        <v>-</v>
      </c>
      <c r="AV4" s="816" t="str">
        <v>-</v>
      </c>
      <c r="AW4" s="816" t="str">
        <v>-</v>
      </c>
      <c r="AX4" s="816" t="str">
        <v>-</v>
      </c>
      <c r="AY4" s="816" t="str">
        <v>-</v>
      </c>
      <c r="AZ4" s="816" t="str">
        <v>-</v>
      </c>
      <c r="BA4" s="816" t="str">
        <v>-</v>
      </c>
      <c r="BB4" s="816">
        <v>0</v>
      </c>
      <c r="BC4" s="816">
        <v>0</v>
      </c>
      <c r="BD4" s="816">
        <v>0</v>
      </c>
      <c r="BE4" s="816">
        <v>0</v>
      </c>
      <c r="BF4" s="816">
        <v>0</v>
      </c>
      <c r="BG4" s="816">
        <v>0</v>
      </c>
      <c r="BH4" s="816">
        <v>0</v>
      </c>
      <c r="BI4" s="816">
        <v>0</v>
      </c>
      <c r="BJ4" s="816">
        <v>0</v>
      </c>
      <c r="BK4" s="816">
        <v>0</v>
      </c>
      <c r="BL4" s="816">
        <v>0</v>
      </c>
      <c r="BM4" s="816">
        <v>0</v>
      </c>
      <c r="BN4" s="816">
        <v>0</v>
      </c>
      <c r="BO4" s="816">
        <v>0</v>
      </c>
      <c r="BP4" s="816">
        <v>0</v>
      </c>
      <c r="BQ4" s="816">
        <v>0</v>
      </c>
      <c r="BR4" s="816">
        <v>0</v>
      </c>
      <c r="BS4" s="816">
        <v>0</v>
      </c>
      <c r="BT4" s="816">
        <v>0</v>
      </c>
      <c r="BU4" s="816">
        <v>0</v>
      </c>
      <c r="BV4" s="816">
        <v>0</v>
      </c>
      <c r="BW4" s="816">
        <v>0</v>
      </c>
      <c r="BX4" s="816">
        <v>0</v>
      </c>
      <c r="BY4" s="816">
        <v>0</v>
      </c>
      <c r="BZ4" s="816">
        <v>0</v>
      </c>
      <c r="CA4" s="816">
        <v>0</v>
      </c>
      <c r="CB4" s="816">
        <v>0</v>
      </c>
      <c r="CC4" s="816">
        <v>0</v>
      </c>
      <c r="CD4" s="816">
        <v>0</v>
      </c>
      <c r="CE4" s="816">
        <v>0</v>
      </c>
      <c r="CF4" s="816">
        <v>0</v>
      </c>
      <c r="CG4" s="816">
        <v>0</v>
      </c>
      <c r="CH4" s="816">
        <v>0</v>
      </c>
      <c r="CI4" s="816">
        <v>0</v>
      </c>
      <c r="CJ4" s="816">
        <v>0</v>
      </c>
      <c r="CK4" s="816">
        <v>0</v>
      </c>
      <c r="CL4" s="816">
        <v>0</v>
      </c>
      <c r="CM4" s="816">
        <v>0</v>
      </c>
      <c r="CN4" s="816">
        <v>0</v>
      </c>
      <c r="CO4" s="816">
        <v>0</v>
      </c>
      <c r="CP4" s="816">
        <v>0</v>
      </c>
      <c r="CQ4" s="816">
        <v>0</v>
      </c>
      <c r="CR4" s="816">
        <v>0</v>
      </c>
      <c r="CS4" s="816">
        <v>0</v>
      </c>
      <c r="CT4" s="816">
        <v>0</v>
      </c>
      <c r="CU4" s="816">
        <v>0</v>
      </c>
      <c r="CV4" s="816">
        <v>0</v>
      </c>
      <c r="CW4" s="816">
        <v>0</v>
      </c>
      <c r="CX4" s="816">
        <v>0</v>
      </c>
      <c r="CY4" s="816">
        <v>0</v>
      </c>
      <c r="CZ4" s="816">
        <v>0</v>
      </c>
      <c r="DA4" s="816">
        <v>0</v>
      </c>
      <c r="DB4" s="816">
        <v>0</v>
      </c>
      <c r="DC4" s="816">
        <v>0</v>
      </c>
      <c r="DE4" s="816" t="s">
        <v>96</v>
      </c>
      <c r="DF4" s="816">
        <f t="shared" si="2"/>
        <v>0</v>
      </c>
      <c r="DG4" s="816" t="s">
        <v>97</v>
      </c>
      <c r="DH4" s="816">
        <f t="shared" si="3"/>
        <v>31</v>
      </c>
      <c r="DI4" s="816" t="s">
        <v>98</v>
      </c>
      <c r="DJ4" s="816">
        <f t="shared" si="4"/>
        <v>5</v>
      </c>
      <c r="DK4" s="816" t="s">
        <v>99</v>
      </c>
      <c r="DL4" s="816">
        <f t="shared" si="5"/>
        <v>0</v>
      </c>
      <c r="DM4" s="816" t="s">
        <v>100</v>
      </c>
      <c r="DN4" s="816">
        <f t="shared" si="6"/>
        <v>0</v>
      </c>
      <c r="DO4" s="816" t="s">
        <v>101</v>
      </c>
      <c r="DP4" s="816">
        <f t="shared" si="7"/>
        <v>3</v>
      </c>
    </row>
    <row r="5" spans="1:120">
      <c r="A5" s="815">
        <v>1</v>
      </c>
      <c r="B5" s="815" t="str">
        <f t="shared" si="1"/>
        <v>1MATHS</v>
      </c>
      <c r="C5" s="815" t="str">
        <f>VLOOKUP(A5,DATEWISE!$A$3:$BY$27,2,0)</f>
        <v>30.04.2026</v>
      </c>
      <c r="D5" s="815">
        <f>VLOOKUP(A5,DATEWISE!$A$3:$BY$27,3,0)</f>
        <v>39</v>
      </c>
      <c r="E5" s="815">
        <f>VLOOKUP(A5,DATEWISE!$A$3:$BY$27,4,0)</f>
        <v>3</v>
      </c>
      <c r="F5" s="815" t="str">
        <f t="shared" si="8"/>
        <v>30.04.2026MATHS</v>
      </c>
      <c r="G5" s="815" t="s">
        <v>88</v>
      </c>
      <c r="H5" s="816">
        <v>3</v>
      </c>
      <c r="I5" s="816">
        <v>3</v>
      </c>
      <c r="J5" s="816">
        <v>4</v>
      </c>
      <c r="K5" s="816">
        <v>3</v>
      </c>
      <c r="L5" s="816">
        <v>3</v>
      </c>
      <c r="M5" s="816">
        <v>4</v>
      </c>
      <c r="N5" s="816">
        <v>4</v>
      </c>
      <c r="O5" s="816">
        <v>3</v>
      </c>
      <c r="P5" s="816">
        <v>3</v>
      </c>
      <c r="Q5" s="816">
        <v>3</v>
      </c>
      <c r="R5" s="816" t="str">
        <v>Ab</v>
      </c>
      <c r="S5" s="816">
        <v>4</v>
      </c>
      <c r="T5" s="816">
        <v>3</v>
      </c>
      <c r="U5" s="816">
        <v>3</v>
      </c>
      <c r="V5" s="816">
        <v>4</v>
      </c>
      <c r="W5" s="816">
        <v>3</v>
      </c>
      <c r="X5" s="816">
        <v>4</v>
      </c>
      <c r="Y5" s="816">
        <v>4</v>
      </c>
      <c r="Z5" s="816">
        <v>3</v>
      </c>
      <c r="AA5" s="816">
        <v>3</v>
      </c>
      <c r="AB5" s="816">
        <v>3</v>
      </c>
      <c r="AC5" s="816">
        <v>3</v>
      </c>
      <c r="AD5" s="816">
        <v>4</v>
      </c>
      <c r="AE5" s="816">
        <v>3</v>
      </c>
      <c r="AF5" s="816">
        <v>4</v>
      </c>
      <c r="AG5" s="816">
        <v>3</v>
      </c>
      <c r="AH5" s="816">
        <v>3</v>
      </c>
      <c r="AI5" s="816">
        <v>3</v>
      </c>
      <c r="AJ5" s="816">
        <v>3</v>
      </c>
      <c r="AK5" s="816">
        <v>3</v>
      </c>
      <c r="AL5" s="816">
        <v>3</v>
      </c>
      <c r="AM5" s="816">
        <v>3</v>
      </c>
      <c r="AN5" s="816">
        <v>3</v>
      </c>
      <c r="AO5" s="816" t="str">
        <v>Ab</v>
      </c>
      <c r="AP5" s="816">
        <v>3</v>
      </c>
      <c r="AQ5" s="816">
        <v>3</v>
      </c>
      <c r="AR5" s="816">
        <v>3</v>
      </c>
      <c r="AS5" s="816">
        <v>3</v>
      </c>
      <c r="AT5" s="816" t="str">
        <v>Ab</v>
      </c>
      <c r="AU5" s="816" t="str">
        <v>-</v>
      </c>
      <c r="AV5" s="816" t="str">
        <v>-</v>
      </c>
      <c r="AW5" s="816" t="str">
        <v>-</v>
      </c>
      <c r="AX5" s="816" t="str">
        <v>-</v>
      </c>
      <c r="AY5" s="816" t="str">
        <v>-</v>
      </c>
      <c r="AZ5" s="816" t="str">
        <v>-</v>
      </c>
      <c r="BA5" s="816" t="str">
        <v>-</v>
      </c>
      <c r="BB5" s="816">
        <v>0</v>
      </c>
      <c r="BC5" s="816">
        <v>0</v>
      </c>
      <c r="BD5" s="816">
        <v>0</v>
      </c>
      <c r="BE5" s="816">
        <v>0</v>
      </c>
      <c r="BF5" s="816">
        <v>0</v>
      </c>
      <c r="BG5" s="816">
        <v>0</v>
      </c>
      <c r="BH5" s="816">
        <v>0</v>
      </c>
      <c r="BI5" s="816">
        <v>0</v>
      </c>
      <c r="BJ5" s="816">
        <v>0</v>
      </c>
      <c r="BK5" s="816">
        <v>0</v>
      </c>
      <c r="BL5" s="816">
        <v>0</v>
      </c>
      <c r="BM5" s="816">
        <v>0</v>
      </c>
      <c r="BN5" s="816">
        <v>0</v>
      </c>
      <c r="BO5" s="816">
        <v>0</v>
      </c>
      <c r="BP5" s="816">
        <v>0</v>
      </c>
      <c r="BQ5" s="816">
        <v>0</v>
      </c>
      <c r="BR5" s="816">
        <v>0</v>
      </c>
      <c r="BS5" s="816">
        <v>0</v>
      </c>
      <c r="BT5" s="816">
        <v>0</v>
      </c>
      <c r="BU5" s="816">
        <v>0</v>
      </c>
      <c r="BV5" s="816">
        <v>0</v>
      </c>
      <c r="BW5" s="816">
        <v>0</v>
      </c>
      <c r="BX5" s="816">
        <v>0</v>
      </c>
      <c r="BY5" s="816">
        <v>0</v>
      </c>
      <c r="BZ5" s="816">
        <v>0</v>
      </c>
      <c r="CA5" s="816">
        <v>0</v>
      </c>
      <c r="CB5" s="816">
        <v>0</v>
      </c>
      <c r="CC5" s="816">
        <v>0</v>
      </c>
      <c r="CD5" s="816">
        <v>0</v>
      </c>
      <c r="CE5" s="816">
        <v>0</v>
      </c>
      <c r="CF5" s="816">
        <v>0</v>
      </c>
      <c r="CG5" s="816">
        <v>0</v>
      </c>
      <c r="CH5" s="816">
        <v>0</v>
      </c>
      <c r="CI5" s="816">
        <v>0</v>
      </c>
      <c r="CJ5" s="816">
        <v>0</v>
      </c>
      <c r="CK5" s="816">
        <v>0</v>
      </c>
      <c r="CL5" s="816">
        <v>0</v>
      </c>
      <c r="CM5" s="816">
        <v>0</v>
      </c>
      <c r="CN5" s="816">
        <v>0</v>
      </c>
      <c r="CO5" s="816">
        <v>0</v>
      </c>
      <c r="CP5" s="816">
        <v>0</v>
      </c>
      <c r="CQ5" s="816">
        <v>0</v>
      </c>
      <c r="CR5" s="816">
        <v>0</v>
      </c>
      <c r="CS5" s="816">
        <v>0</v>
      </c>
      <c r="CT5" s="816">
        <v>0</v>
      </c>
      <c r="CU5" s="816">
        <v>0</v>
      </c>
      <c r="CV5" s="816">
        <v>0</v>
      </c>
      <c r="CW5" s="816">
        <v>0</v>
      </c>
      <c r="CX5" s="816">
        <v>0</v>
      </c>
      <c r="CY5" s="816">
        <v>0</v>
      </c>
      <c r="CZ5" s="816">
        <v>0</v>
      </c>
      <c r="DA5" s="816">
        <v>0</v>
      </c>
      <c r="DB5" s="816">
        <v>0</v>
      </c>
      <c r="DC5" s="816">
        <v>0</v>
      </c>
      <c r="DE5" s="816" t="s">
        <v>96</v>
      </c>
      <c r="DF5" s="816">
        <f t="shared" si="2"/>
        <v>0</v>
      </c>
      <c r="DG5" s="816" t="s">
        <v>97</v>
      </c>
      <c r="DH5" s="816">
        <f t="shared" si="3"/>
        <v>0</v>
      </c>
      <c r="DI5" s="816" t="s">
        <v>98</v>
      </c>
      <c r="DJ5" s="816">
        <f t="shared" si="4"/>
        <v>27</v>
      </c>
      <c r="DK5" s="816" t="s">
        <v>99</v>
      </c>
      <c r="DL5" s="816">
        <f t="shared" si="5"/>
        <v>9</v>
      </c>
      <c r="DM5" s="816" t="s">
        <v>100</v>
      </c>
      <c r="DN5" s="816">
        <f t="shared" si="6"/>
        <v>0</v>
      </c>
      <c r="DO5" s="816" t="s">
        <v>101</v>
      </c>
      <c r="DP5" s="816">
        <f t="shared" si="7"/>
        <v>3</v>
      </c>
    </row>
    <row r="6" spans="1:120">
      <c r="A6" s="815">
        <v>1</v>
      </c>
      <c r="B6" s="815" t="str">
        <f t="shared" si="1"/>
        <v>1REMARKS</v>
      </c>
      <c r="C6" s="815" t="str">
        <f>VLOOKUP(A6,DATEWISE!$A$3:$BY$27,2,0)</f>
        <v>30.04.2026</v>
      </c>
      <c r="D6" s="815">
        <f>VLOOKUP(A6,DATEWISE!$A$3:$BY$27,3,0)</f>
        <v>39</v>
      </c>
      <c r="E6" s="815">
        <f>VLOOKUP(A6,DATEWISE!$A$3:$BY$27,4,0)</f>
        <v>3</v>
      </c>
      <c r="F6" s="815" t="str">
        <f t="shared" si="8"/>
        <v>30.04.2026REMARKS</v>
      </c>
      <c r="G6" s="815" t="s">
        <v>390</v>
      </c>
      <c r="H6" s="816">
        <v>0</v>
      </c>
      <c r="I6" s="816">
        <v>0</v>
      </c>
      <c r="J6" s="816">
        <v>0</v>
      </c>
      <c r="K6" s="816">
        <v>0</v>
      </c>
      <c r="L6" s="816">
        <v>0</v>
      </c>
      <c r="M6" s="816">
        <v>0</v>
      </c>
      <c r="N6" s="816">
        <v>0</v>
      </c>
      <c r="O6" s="816">
        <v>0</v>
      </c>
      <c r="P6" s="816">
        <v>0</v>
      </c>
      <c r="Q6" s="816">
        <v>0</v>
      </c>
      <c r="R6" s="816">
        <v>0</v>
      </c>
      <c r="S6" s="816">
        <v>0</v>
      </c>
      <c r="T6" s="816">
        <v>0</v>
      </c>
      <c r="U6" s="816">
        <v>0</v>
      </c>
      <c r="V6" s="816">
        <v>0</v>
      </c>
      <c r="W6" s="816">
        <v>0</v>
      </c>
      <c r="X6" s="816">
        <v>0</v>
      </c>
      <c r="Y6" s="816">
        <v>0</v>
      </c>
      <c r="Z6" s="816">
        <v>0</v>
      </c>
      <c r="AA6" s="816">
        <v>0</v>
      </c>
      <c r="AB6" s="816">
        <v>0</v>
      </c>
      <c r="AC6" s="816">
        <v>0</v>
      </c>
      <c r="AD6" s="816">
        <v>0</v>
      </c>
      <c r="AE6" s="816">
        <v>0</v>
      </c>
      <c r="AF6" s="816">
        <v>0</v>
      </c>
      <c r="AG6" s="816">
        <v>0</v>
      </c>
      <c r="AH6" s="816">
        <v>0</v>
      </c>
      <c r="AI6" s="816">
        <v>0</v>
      </c>
      <c r="AJ6" s="816">
        <v>0</v>
      </c>
      <c r="AK6" s="816">
        <v>0</v>
      </c>
      <c r="AL6" s="816">
        <v>0</v>
      </c>
      <c r="AM6" s="816">
        <v>0</v>
      </c>
      <c r="AN6" s="816">
        <v>0</v>
      </c>
      <c r="AO6" s="816">
        <v>0</v>
      </c>
      <c r="AP6" s="816">
        <v>0</v>
      </c>
      <c r="AQ6" s="816">
        <v>0</v>
      </c>
      <c r="AR6" s="816">
        <v>0</v>
      </c>
      <c r="AS6" s="816">
        <v>0</v>
      </c>
      <c r="AT6" s="816">
        <v>0</v>
      </c>
      <c r="AU6" s="816">
        <v>0</v>
      </c>
      <c r="AV6" s="816">
        <v>0</v>
      </c>
      <c r="AW6" s="816">
        <v>0</v>
      </c>
      <c r="AX6" s="816">
        <v>0</v>
      </c>
      <c r="AY6" s="816">
        <v>0</v>
      </c>
      <c r="AZ6" s="816">
        <v>0</v>
      </c>
      <c r="BA6" s="816">
        <v>0</v>
      </c>
      <c r="BB6" s="816">
        <v>0</v>
      </c>
      <c r="BC6" s="816">
        <v>0</v>
      </c>
      <c r="BD6" s="816">
        <v>0</v>
      </c>
      <c r="BE6" s="816">
        <v>0</v>
      </c>
      <c r="BF6" s="816">
        <v>0</v>
      </c>
      <c r="BG6" s="816">
        <v>0</v>
      </c>
      <c r="BH6" s="816">
        <v>0</v>
      </c>
      <c r="BI6" s="816">
        <v>0</v>
      </c>
      <c r="BJ6" s="816">
        <v>0</v>
      </c>
      <c r="BK6" s="816">
        <v>0</v>
      </c>
      <c r="BL6" s="816">
        <v>0</v>
      </c>
      <c r="BM6" s="816">
        <v>0</v>
      </c>
      <c r="BN6" s="816">
        <v>0</v>
      </c>
      <c r="BO6" s="816">
        <v>0</v>
      </c>
      <c r="BP6" s="816">
        <v>0</v>
      </c>
      <c r="BQ6" s="816">
        <v>0</v>
      </c>
      <c r="BR6" s="816">
        <v>0</v>
      </c>
      <c r="BS6" s="816">
        <v>0</v>
      </c>
      <c r="BT6" s="816">
        <v>0</v>
      </c>
      <c r="BU6" s="816">
        <v>0</v>
      </c>
      <c r="BV6" s="816">
        <v>0</v>
      </c>
      <c r="BW6" s="816">
        <v>0</v>
      </c>
      <c r="BX6" s="816">
        <v>0</v>
      </c>
      <c r="BY6" s="816">
        <v>0</v>
      </c>
      <c r="BZ6" s="816">
        <v>0</v>
      </c>
      <c r="CA6" s="816">
        <v>0</v>
      </c>
      <c r="CB6" s="816">
        <v>0</v>
      </c>
      <c r="CC6" s="816">
        <v>0</v>
      </c>
      <c r="CD6" s="816">
        <v>0</v>
      </c>
      <c r="CE6" s="816">
        <v>0</v>
      </c>
      <c r="CF6" s="816">
        <v>0</v>
      </c>
      <c r="CG6" s="816">
        <v>0</v>
      </c>
      <c r="CH6" s="816">
        <v>0</v>
      </c>
      <c r="CI6" s="816">
        <v>0</v>
      </c>
      <c r="CJ6" s="816">
        <v>0</v>
      </c>
      <c r="CK6" s="816">
        <v>0</v>
      </c>
      <c r="CL6" s="816">
        <v>0</v>
      </c>
      <c r="CM6" s="816">
        <v>0</v>
      </c>
      <c r="CN6" s="816">
        <v>0</v>
      </c>
      <c r="CO6" s="816">
        <v>0</v>
      </c>
      <c r="CP6" s="816">
        <v>0</v>
      </c>
      <c r="CQ6" s="816">
        <v>0</v>
      </c>
      <c r="CR6" s="816">
        <v>0</v>
      </c>
      <c r="CS6" s="816">
        <v>0</v>
      </c>
      <c r="CT6" s="816">
        <v>0</v>
      </c>
      <c r="CU6" s="816">
        <v>0</v>
      </c>
      <c r="CV6" s="816">
        <v>0</v>
      </c>
      <c r="CW6" s="816">
        <v>0</v>
      </c>
      <c r="CX6" s="816">
        <v>0</v>
      </c>
      <c r="CY6" s="816">
        <v>0</v>
      </c>
      <c r="CZ6" s="816">
        <v>0</v>
      </c>
      <c r="DA6" s="816">
        <v>0</v>
      </c>
      <c r="DB6" s="816">
        <v>0</v>
      </c>
      <c r="DC6" s="816">
        <v>0</v>
      </c>
      <c r="DE6" s="816" t="s">
        <v>96</v>
      </c>
      <c r="DF6" s="816">
        <f t="shared" si="2"/>
        <v>0</v>
      </c>
      <c r="DG6" s="816" t="s">
        <v>97</v>
      </c>
      <c r="DH6" s="816">
        <f t="shared" si="3"/>
        <v>0</v>
      </c>
      <c r="DI6" s="816" t="s">
        <v>98</v>
      </c>
      <c r="DJ6" s="816">
        <f t="shared" si="4"/>
        <v>0</v>
      </c>
      <c r="DK6" s="816" t="s">
        <v>99</v>
      </c>
      <c r="DL6" s="816">
        <f t="shared" si="5"/>
        <v>0</v>
      </c>
      <c r="DM6" s="816" t="s">
        <v>100</v>
      </c>
      <c r="DN6" s="816">
        <f t="shared" si="6"/>
        <v>0</v>
      </c>
      <c r="DO6" s="816" t="s">
        <v>101</v>
      </c>
      <c r="DP6" s="816">
        <f t="shared" si="7"/>
        <v>0</v>
      </c>
    </row>
    <row r="7" spans="1:120">
      <c r="A7" s="815">
        <v>2</v>
      </c>
      <c r="B7" s="815" t="str">
        <f t="shared" si="1"/>
        <v>2HINDI</v>
      </c>
      <c r="C7" s="815" t="str">
        <f>VLOOKUP(A7,DATEWISE!$A$3:$BY$27,2,0)</f>
        <v>08.05.2026</v>
      </c>
      <c r="D7" s="815">
        <f>VLOOKUP(A7,DATEWISE!$A$3:$BY$27,3,0)</f>
        <v>39</v>
      </c>
      <c r="E7" s="815">
        <f>VLOOKUP(A7,DATEWISE!$A$3:$BY$27,4,0)</f>
        <v>3</v>
      </c>
      <c r="F7" s="815" t="str">
        <f t="shared" si="8"/>
        <v>08.05.2026HINDI</v>
      </c>
      <c r="G7" s="815" t="s">
        <v>87</v>
      </c>
      <c r="H7" s="816">
        <v>2</v>
      </c>
      <c r="I7" s="816">
        <v>3</v>
      </c>
      <c r="J7" s="816">
        <v>3</v>
      </c>
      <c r="K7" s="816">
        <v>3</v>
      </c>
      <c r="L7" s="816">
        <v>2</v>
      </c>
      <c r="M7" s="816">
        <v>4</v>
      </c>
      <c r="N7" s="816">
        <v>4</v>
      </c>
      <c r="O7" s="816">
        <v>2</v>
      </c>
      <c r="P7" s="816">
        <v>2</v>
      </c>
      <c r="Q7" s="816">
        <v>2</v>
      </c>
      <c r="R7" s="816" t="str">
        <v>Ab</v>
      </c>
      <c r="S7" s="816">
        <v>2</v>
      </c>
      <c r="T7" s="816">
        <v>2</v>
      </c>
      <c r="U7" s="816">
        <v>2</v>
      </c>
      <c r="V7" s="816">
        <v>3</v>
      </c>
      <c r="W7" s="816">
        <v>2</v>
      </c>
      <c r="X7" s="816">
        <v>2</v>
      </c>
      <c r="Y7" s="816">
        <v>2</v>
      </c>
      <c r="Z7" s="816">
        <v>2</v>
      </c>
      <c r="AA7" s="816">
        <v>2</v>
      </c>
      <c r="AB7" s="816">
        <v>2</v>
      </c>
      <c r="AC7" s="816">
        <v>2</v>
      </c>
      <c r="AD7" s="816">
        <v>4</v>
      </c>
      <c r="AE7" s="816">
        <v>2</v>
      </c>
      <c r="AF7" s="816">
        <v>3</v>
      </c>
      <c r="AG7" s="816">
        <v>2</v>
      </c>
      <c r="AH7" s="816">
        <v>2</v>
      </c>
      <c r="AI7" s="816">
        <v>2</v>
      </c>
      <c r="AJ7" s="816">
        <v>2</v>
      </c>
      <c r="AK7" s="816">
        <v>2</v>
      </c>
      <c r="AL7" s="816">
        <v>2</v>
      </c>
      <c r="AM7" s="816">
        <v>2</v>
      </c>
      <c r="AN7" s="816">
        <v>2</v>
      </c>
      <c r="AO7" s="816" t="str">
        <v>Ab</v>
      </c>
      <c r="AP7" s="816">
        <v>2</v>
      </c>
      <c r="AQ7" s="816">
        <v>2</v>
      </c>
      <c r="AR7" s="816">
        <v>2</v>
      </c>
      <c r="AS7" s="816">
        <v>2</v>
      </c>
      <c r="AT7" s="816" t="str">
        <v>Ab</v>
      </c>
      <c r="AU7" s="816" t="str">
        <v>-</v>
      </c>
      <c r="AV7" s="816" t="str">
        <v>-</v>
      </c>
      <c r="AW7" s="816" t="str">
        <v>-</v>
      </c>
      <c r="AX7" s="816">
        <v>0</v>
      </c>
      <c r="AY7" s="816">
        <v>0</v>
      </c>
      <c r="AZ7" s="816">
        <v>0</v>
      </c>
      <c r="BA7" s="816">
        <v>0</v>
      </c>
      <c r="BB7" s="816">
        <v>0</v>
      </c>
      <c r="BC7" s="816">
        <v>0</v>
      </c>
      <c r="BD7" s="816">
        <v>0</v>
      </c>
      <c r="BE7" s="816">
        <v>0</v>
      </c>
      <c r="BF7" s="816">
        <v>0</v>
      </c>
      <c r="BG7" s="816">
        <v>0</v>
      </c>
      <c r="BH7" s="816">
        <v>0</v>
      </c>
      <c r="BI7" s="816">
        <v>0</v>
      </c>
      <c r="BJ7" s="816">
        <v>0</v>
      </c>
      <c r="BK7" s="816">
        <v>0</v>
      </c>
      <c r="BL7" s="816">
        <v>0</v>
      </c>
      <c r="BM7" s="816">
        <v>0</v>
      </c>
      <c r="BN7" s="816">
        <v>0</v>
      </c>
      <c r="BO7" s="816">
        <v>0</v>
      </c>
      <c r="BP7" s="816">
        <v>0</v>
      </c>
      <c r="BQ7" s="816">
        <v>0</v>
      </c>
      <c r="BR7" s="816">
        <v>0</v>
      </c>
      <c r="BS7" s="816">
        <v>0</v>
      </c>
      <c r="BT7" s="816">
        <v>0</v>
      </c>
      <c r="BU7" s="816">
        <v>0</v>
      </c>
      <c r="BV7" s="816">
        <v>0</v>
      </c>
      <c r="BW7" s="816">
        <v>0</v>
      </c>
      <c r="BX7" s="816">
        <v>0</v>
      </c>
      <c r="BY7" s="816">
        <v>0</v>
      </c>
      <c r="BZ7" s="816">
        <v>0</v>
      </c>
      <c r="CA7" s="816">
        <v>0</v>
      </c>
      <c r="CB7" s="816">
        <v>0</v>
      </c>
      <c r="CC7" s="816">
        <v>0</v>
      </c>
      <c r="CD7" s="816">
        <v>0</v>
      </c>
      <c r="CE7" s="816">
        <v>0</v>
      </c>
      <c r="CF7" s="816">
        <v>0</v>
      </c>
      <c r="CG7" s="816">
        <v>0</v>
      </c>
      <c r="CH7" s="816">
        <v>0</v>
      </c>
      <c r="CI7" s="816">
        <v>0</v>
      </c>
      <c r="CJ7" s="816">
        <v>0</v>
      </c>
      <c r="CK7" s="816">
        <v>0</v>
      </c>
      <c r="CL7" s="816">
        <v>0</v>
      </c>
      <c r="CM7" s="816">
        <v>0</v>
      </c>
      <c r="CN7" s="816">
        <v>0</v>
      </c>
      <c r="CO7" s="816">
        <v>0</v>
      </c>
      <c r="CP7" s="816">
        <v>0</v>
      </c>
      <c r="CQ7" s="816">
        <v>0</v>
      </c>
      <c r="CR7" s="816">
        <v>0</v>
      </c>
      <c r="CS7" s="816">
        <v>0</v>
      </c>
      <c r="CT7" s="816">
        <v>0</v>
      </c>
      <c r="CU7" s="816">
        <v>0</v>
      </c>
      <c r="CV7" s="816">
        <v>0</v>
      </c>
      <c r="CW7" s="816">
        <v>0</v>
      </c>
      <c r="CX7" s="816">
        <v>0</v>
      </c>
      <c r="CY7" s="816">
        <v>0</v>
      </c>
      <c r="CZ7" s="816">
        <v>0</v>
      </c>
      <c r="DA7" s="816">
        <v>0</v>
      </c>
      <c r="DB7" s="816">
        <v>0</v>
      </c>
      <c r="DC7" s="816">
        <v>0</v>
      </c>
      <c r="DE7" s="816" t="s">
        <v>96</v>
      </c>
      <c r="DF7" s="816">
        <f t="shared" si="2"/>
        <v>0</v>
      </c>
      <c r="DG7" s="816" t="s">
        <v>97</v>
      </c>
      <c r="DH7" s="816">
        <f t="shared" si="3"/>
        <v>28</v>
      </c>
      <c r="DI7" s="816" t="s">
        <v>98</v>
      </c>
      <c r="DJ7" s="816">
        <f t="shared" si="4"/>
        <v>5</v>
      </c>
      <c r="DK7" s="816" t="s">
        <v>99</v>
      </c>
      <c r="DL7" s="816">
        <f t="shared" si="5"/>
        <v>3</v>
      </c>
      <c r="DM7" s="816" t="s">
        <v>100</v>
      </c>
      <c r="DN7" s="816">
        <f t="shared" si="6"/>
        <v>0</v>
      </c>
      <c r="DO7" s="816" t="s">
        <v>101</v>
      </c>
      <c r="DP7" s="816">
        <f t="shared" si="7"/>
        <v>3</v>
      </c>
    </row>
    <row r="8" spans="1:120">
      <c r="A8" s="815">
        <v>2</v>
      </c>
      <c r="B8" s="815" t="str">
        <f t="shared" si="1"/>
        <v>2ENGLISH</v>
      </c>
      <c r="C8" s="815" t="str">
        <f>VLOOKUP(A8,DATEWISE!$A$3:$BY$27,2,0)</f>
        <v>08.05.2026</v>
      </c>
      <c r="D8" s="815">
        <f>VLOOKUP(A8,DATEWISE!$A$3:$BY$27,3,0)</f>
        <v>39</v>
      </c>
      <c r="E8" s="815">
        <f>VLOOKUP(A8,DATEWISE!$A$3:$BY$27,4,0)</f>
        <v>3</v>
      </c>
      <c r="F8" s="815" t="str">
        <f t="shared" si="8"/>
        <v>08.05.2026ENGLISH</v>
      </c>
      <c r="G8" s="815" t="s">
        <v>89</v>
      </c>
      <c r="H8" s="816">
        <v>2</v>
      </c>
      <c r="I8" s="816">
        <v>2</v>
      </c>
      <c r="J8" s="816">
        <v>3</v>
      </c>
      <c r="K8" s="816">
        <v>2</v>
      </c>
      <c r="L8" s="816">
        <v>2</v>
      </c>
      <c r="M8" s="816">
        <v>3</v>
      </c>
      <c r="N8" s="816">
        <v>3</v>
      </c>
      <c r="O8" s="816">
        <v>2</v>
      </c>
      <c r="P8" s="816">
        <v>2</v>
      </c>
      <c r="Q8" s="816">
        <v>2</v>
      </c>
      <c r="R8" s="816" t="str">
        <v>Ab</v>
      </c>
      <c r="S8" s="816">
        <v>2</v>
      </c>
      <c r="T8" s="816">
        <v>2</v>
      </c>
      <c r="U8" s="816">
        <v>2</v>
      </c>
      <c r="V8" s="816">
        <v>3</v>
      </c>
      <c r="W8" s="816">
        <v>2</v>
      </c>
      <c r="X8" s="816">
        <v>2</v>
      </c>
      <c r="Y8" s="816">
        <v>2</v>
      </c>
      <c r="Z8" s="816">
        <v>2</v>
      </c>
      <c r="AA8" s="816">
        <v>2</v>
      </c>
      <c r="AB8" s="816">
        <v>2</v>
      </c>
      <c r="AC8" s="816">
        <v>2</v>
      </c>
      <c r="AD8" s="816">
        <v>3</v>
      </c>
      <c r="AE8" s="816">
        <v>2</v>
      </c>
      <c r="AF8" s="816">
        <v>2</v>
      </c>
      <c r="AG8" s="816">
        <v>2</v>
      </c>
      <c r="AH8" s="816">
        <v>2</v>
      </c>
      <c r="AI8" s="816">
        <v>2</v>
      </c>
      <c r="AJ8" s="816">
        <v>2</v>
      </c>
      <c r="AK8" s="816">
        <v>2</v>
      </c>
      <c r="AL8" s="816">
        <v>2</v>
      </c>
      <c r="AM8" s="816">
        <v>2</v>
      </c>
      <c r="AN8" s="816">
        <v>2</v>
      </c>
      <c r="AO8" s="816" t="str">
        <v>Ab</v>
      </c>
      <c r="AP8" s="816">
        <v>2</v>
      </c>
      <c r="AQ8" s="816">
        <v>2</v>
      </c>
      <c r="AR8" s="816">
        <v>2</v>
      </c>
      <c r="AS8" s="816">
        <v>2</v>
      </c>
      <c r="AT8" s="816" t="str">
        <v>Ab</v>
      </c>
      <c r="AU8" s="816" t="str">
        <v>-</v>
      </c>
      <c r="AV8" s="816" t="str">
        <v>-</v>
      </c>
      <c r="AW8" s="816" t="str">
        <v>-</v>
      </c>
      <c r="AX8" s="816">
        <v>0</v>
      </c>
      <c r="AY8" s="816">
        <v>0</v>
      </c>
      <c r="AZ8" s="816">
        <v>0</v>
      </c>
      <c r="BA8" s="816">
        <v>0</v>
      </c>
      <c r="BB8" s="816">
        <v>0</v>
      </c>
      <c r="BC8" s="816">
        <v>0</v>
      </c>
      <c r="BD8" s="816">
        <v>0</v>
      </c>
      <c r="BE8" s="816">
        <v>0</v>
      </c>
      <c r="BF8" s="816">
        <v>0</v>
      </c>
      <c r="BG8" s="816">
        <v>0</v>
      </c>
      <c r="BH8" s="816">
        <v>0</v>
      </c>
      <c r="BI8" s="816">
        <v>0</v>
      </c>
      <c r="BJ8" s="816">
        <v>0</v>
      </c>
      <c r="BK8" s="816">
        <v>0</v>
      </c>
      <c r="BL8" s="816">
        <v>0</v>
      </c>
      <c r="BM8" s="816">
        <v>0</v>
      </c>
      <c r="BN8" s="816">
        <v>0</v>
      </c>
      <c r="BO8" s="816">
        <v>0</v>
      </c>
      <c r="BP8" s="816">
        <v>0</v>
      </c>
      <c r="BQ8" s="816">
        <v>0</v>
      </c>
      <c r="BR8" s="816">
        <v>0</v>
      </c>
      <c r="BS8" s="816">
        <v>0</v>
      </c>
      <c r="BT8" s="816">
        <v>0</v>
      </c>
      <c r="BU8" s="816">
        <v>0</v>
      </c>
      <c r="BV8" s="816">
        <v>0</v>
      </c>
      <c r="BW8" s="816">
        <v>0</v>
      </c>
      <c r="BX8" s="816">
        <v>0</v>
      </c>
      <c r="BY8" s="816">
        <v>0</v>
      </c>
      <c r="BZ8" s="816">
        <v>0</v>
      </c>
      <c r="CA8" s="816">
        <v>0</v>
      </c>
      <c r="CB8" s="816">
        <v>0</v>
      </c>
      <c r="CC8" s="816">
        <v>0</v>
      </c>
      <c r="CD8" s="816">
        <v>0</v>
      </c>
      <c r="CE8" s="816">
        <v>0</v>
      </c>
      <c r="CF8" s="816">
        <v>0</v>
      </c>
      <c r="CG8" s="816">
        <v>0</v>
      </c>
      <c r="CH8" s="816">
        <v>0</v>
      </c>
      <c r="CI8" s="816">
        <v>0</v>
      </c>
      <c r="CJ8" s="816">
        <v>0</v>
      </c>
      <c r="CK8" s="816">
        <v>0</v>
      </c>
      <c r="CL8" s="816">
        <v>0</v>
      </c>
      <c r="CM8" s="816">
        <v>0</v>
      </c>
      <c r="CN8" s="816">
        <v>0</v>
      </c>
      <c r="CO8" s="816">
        <v>0</v>
      </c>
      <c r="CP8" s="816">
        <v>0</v>
      </c>
      <c r="CQ8" s="816">
        <v>0</v>
      </c>
      <c r="CR8" s="816">
        <v>0</v>
      </c>
      <c r="CS8" s="816">
        <v>0</v>
      </c>
      <c r="CT8" s="816">
        <v>0</v>
      </c>
      <c r="CU8" s="816">
        <v>0</v>
      </c>
      <c r="CV8" s="816">
        <v>0</v>
      </c>
      <c r="CW8" s="816">
        <v>0</v>
      </c>
      <c r="CX8" s="816">
        <v>0</v>
      </c>
      <c r="CY8" s="816">
        <v>0</v>
      </c>
      <c r="CZ8" s="816">
        <v>0</v>
      </c>
      <c r="DA8" s="816">
        <v>0</v>
      </c>
      <c r="DB8" s="816">
        <v>0</v>
      </c>
      <c r="DC8" s="816">
        <v>0</v>
      </c>
      <c r="DE8" s="816" t="s">
        <v>96</v>
      </c>
      <c r="DF8" s="816">
        <f t="shared" si="2"/>
        <v>0</v>
      </c>
      <c r="DG8" s="816" t="s">
        <v>97</v>
      </c>
      <c r="DH8" s="816">
        <f t="shared" si="3"/>
        <v>31</v>
      </c>
      <c r="DI8" s="816" t="s">
        <v>98</v>
      </c>
      <c r="DJ8" s="816">
        <f t="shared" si="4"/>
        <v>5</v>
      </c>
      <c r="DK8" s="816" t="s">
        <v>99</v>
      </c>
      <c r="DL8" s="816">
        <f t="shared" si="5"/>
        <v>0</v>
      </c>
      <c r="DM8" s="816" t="s">
        <v>100</v>
      </c>
      <c r="DN8" s="816">
        <f t="shared" si="6"/>
        <v>0</v>
      </c>
      <c r="DO8" s="816" t="s">
        <v>101</v>
      </c>
      <c r="DP8" s="816">
        <f t="shared" si="7"/>
        <v>3</v>
      </c>
    </row>
    <row r="9" spans="1:120">
      <c r="A9" s="815">
        <v>2</v>
      </c>
      <c r="B9" s="815" t="str">
        <f t="shared" si="1"/>
        <v>2MATHS</v>
      </c>
      <c r="C9" s="815" t="str">
        <f>VLOOKUP(A9,DATEWISE!$A$3:$BY$27,2,0)</f>
        <v>08.05.2026</v>
      </c>
      <c r="D9" s="815">
        <f>VLOOKUP(A9,DATEWISE!$A$3:$BY$27,3,0)</f>
        <v>39</v>
      </c>
      <c r="E9" s="815">
        <f>VLOOKUP(A9,DATEWISE!$A$3:$BY$27,4,0)</f>
        <v>3</v>
      </c>
      <c r="F9" s="815" t="str">
        <f t="shared" si="8"/>
        <v>08.05.2026MATHS</v>
      </c>
      <c r="G9" s="815" t="s">
        <v>88</v>
      </c>
      <c r="H9" s="816">
        <v>3</v>
      </c>
      <c r="I9" s="816">
        <v>3</v>
      </c>
      <c r="J9" s="816">
        <v>4</v>
      </c>
      <c r="K9" s="816">
        <v>3</v>
      </c>
      <c r="L9" s="816">
        <v>3</v>
      </c>
      <c r="M9" s="816">
        <v>4</v>
      </c>
      <c r="N9" s="816">
        <v>4</v>
      </c>
      <c r="O9" s="816">
        <v>3</v>
      </c>
      <c r="P9" s="816">
        <v>3</v>
      </c>
      <c r="Q9" s="816">
        <v>3</v>
      </c>
      <c r="R9" s="816" t="str">
        <v>Ab</v>
      </c>
      <c r="S9" s="816">
        <v>4</v>
      </c>
      <c r="T9" s="816">
        <v>3</v>
      </c>
      <c r="U9" s="816">
        <v>3</v>
      </c>
      <c r="V9" s="816">
        <v>4</v>
      </c>
      <c r="W9" s="816">
        <v>3</v>
      </c>
      <c r="X9" s="816">
        <v>4</v>
      </c>
      <c r="Y9" s="816">
        <v>4</v>
      </c>
      <c r="Z9" s="816">
        <v>3</v>
      </c>
      <c r="AA9" s="816">
        <v>3</v>
      </c>
      <c r="AB9" s="816">
        <v>3</v>
      </c>
      <c r="AC9" s="816">
        <v>3</v>
      </c>
      <c r="AD9" s="816">
        <v>4</v>
      </c>
      <c r="AE9" s="816">
        <v>3</v>
      </c>
      <c r="AF9" s="816">
        <v>4</v>
      </c>
      <c r="AG9" s="816">
        <v>3</v>
      </c>
      <c r="AH9" s="816">
        <v>3</v>
      </c>
      <c r="AI9" s="816">
        <v>3</v>
      </c>
      <c r="AJ9" s="816">
        <v>3</v>
      </c>
      <c r="AK9" s="816">
        <v>3</v>
      </c>
      <c r="AL9" s="816">
        <v>3</v>
      </c>
      <c r="AM9" s="816">
        <v>3</v>
      </c>
      <c r="AN9" s="816">
        <v>3</v>
      </c>
      <c r="AO9" s="816" t="str">
        <v>Ab</v>
      </c>
      <c r="AP9" s="816">
        <v>3</v>
      </c>
      <c r="AQ9" s="816">
        <v>3</v>
      </c>
      <c r="AR9" s="816">
        <v>3</v>
      </c>
      <c r="AS9" s="816">
        <v>3</v>
      </c>
      <c r="AT9" s="816" t="str">
        <v>Ab</v>
      </c>
      <c r="AU9" s="816" t="str">
        <v>-</v>
      </c>
      <c r="AV9" s="816" t="str">
        <v>-</v>
      </c>
      <c r="AW9" s="816" t="str">
        <v>-</v>
      </c>
      <c r="AX9" s="816">
        <v>0</v>
      </c>
      <c r="AY9" s="816">
        <v>0</v>
      </c>
      <c r="AZ9" s="816">
        <v>0</v>
      </c>
      <c r="BA9" s="816">
        <v>0</v>
      </c>
      <c r="BB9" s="816">
        <v>0</v>
      </c>
      <c r="BC9" s="816">
        <v>0</v>
      </c>
      <c r="BD9" s="816">
        <v>0</v>
      </c>
      <c r="BE9" s="816">
        <v>0</v>
      </c>
      <c r="BF9" s="816">
        <v>0</v>
      </c>
      <c r="BG9" s="816">
        <v>0</v>
      </c>
      <c r="BH9" s="816">
        <v>0</v>
      </c>
      <c r="BI9" s="816">
        <v>0</v>
      </c>
      <c r="BJ9" s="816">
        <v>0</v>
      </c>
      <c r="BK9" s="816">
        <v>0</v>
      </c>
      <c r="BL9" s="816">
        <v>0</v>
      </c>
      <c r="BM9" s="816">
        <v>0</v>
      </c>
      <c r="BN9" s="816">
        <v>0</v>
      </c>
      <c r="BO9" s="816">
        <v>0</v>
      </c>
      <c r="BP9" s="816">
        <v>0</v>
      </c>
      <c r="BQ9" s="816">
        <v>0</v>
      </c>
      <c r="BR9" s="816">
        <v>0</v>
      </c>
      <c r="BS9" s="816">
        <v>0</v>
      </c>
      <c r="BT9" s="816">
        <v>0</v>
      </c>
      <c r="BU9" s="816">
        <v>0</v>
      </c>
      <c r="BV9" s="816">
        <v>0</v>
      </c>
      <c r="BW9" s="816">
        <v>0</v>
      </c>
      <c r="BX9" s="816">
        <v>0</v>
      </c>
      <c r="BY9" s="816">
        <v>0</v>
      </c>
      <c r="BZ9" s="816">
        <v>0</v>
      </c>
      <c r="CA9" s="816">
        <v>0</v>
      </c>
      <c r="CB9" s="816">
        <v>0</v>
      </c>
      <c r="CC9" s="816">
        <v>0</v>
      </c>
      <c r="CD9" s="816">
        <v>0</v>
      </c>
      <c r="CE9" s="816">
        <v>0</v>
      </c>
      <c r="CF9" s="816">
        <v>0</v>
      </c>
      <c r="CG9" s="816">
        <v>0</v>
      </c>
      <c r="CH9" s="816">
        <v>0</v>
      </c>
      <c r="CI9" s="816">
        <v>0</v>
      </c>
      <c r="CJ9" s="816">
        <v>0</v>
      </c>
      <c r="CK9" s="816">
        <v>0</v>
      </c>
      <c r="CL9" s="816">
        <v>0</v>
      </c>
      <c r="CM9" s="816">
        <v>0</v>
      </c>
      <c r="CN9" s="816">
        <v>0</v>
      </c>
      <c r="CO9" s="816">
        <v>0</v>
      </c>
      <c r="CP9" s="816">
        <v>0</v>
      </c>
      <c r="CQ9" s="816">
        <v>0</v>
      </c>
      <c r="CR9" s="816">
        <v>0</v>
      </c>
      <c r="CS9" s="816">
        <v>0</v>
      </c>
      <c r="CT9" s="816">
        <v>0</v>
      </c>
      <c r="CU9" s="816">
        <v>0</v>
      </c>
      <c r="CV9" s="816">
        <v>0</v>
      </c>
      <c r="CW9" s="816">
        <v>0</v>
      </c>
      <c r="CX9" s="816">
        <v>0</v>
      </c>
      <c r="CY9" s="816">
        <v>0</v>
      </c>
      <c r="CZ9" s="816">
        <v>0</v>
      </c>
      <c r="DA9" s="816">
        <v>0</v>
      </c>
      <c r="DB9" s="816">
        <v>0</v>
      </c>
      <c r="DC9" s="816">
        <v>0</v>
      </c>
      <c r="DE9" s="816" t="s">
        <v>96</v>
      </c>
      <c r="DF9" s="816">
        <f t="shared" si="2"/>
        <v>0</v>
      </c>
      <c r="DG9" s="816" t="s">
        <v>97</v>
      </c>
      <c r="DH9" s="816">
        <f t="shared" si="3"/>
        <v>0</v>
      </c>
      <c r="DI9" s="816" t="s">
        <v>98</v>
      </c>
      <c r="DJ9" s="816">
        <f t="shared" si="4"/>
        <v>27</v>
      </c>
      <c r="DK9" s="816" t="s">
        <v>99</v>
      </c>
      <c r="DL9" s="816">
        <f t="shared" si="5"/>
        <v>9</v>
      </c>
      <c r="DM9" s="816" t="s">
        <v>100</v>
      </c>
      <c r="DN9" s="816">
        <f t="shared" si="6"/>
        <v>0</v>
      </c>
      <c r="DO9" s="816" t="s">
        <v>101</v>
      </c>
      <c r="DP9" s="816">
        <f t="shared" si="7"/>
        <v>3</v>
      </c>
    </row>
    <row r="10" spans="1:120">
      <c r="A10" s="815">
        <v>2</v>
      </c>
      <c r="B10" s="815" t="str">
        <f t="shared" si="1"/>
        <v>2REMARKS</v>
      </c>
      <c r="C10" s="815" t="str">
        <f>VLOOKUP(A10,DATEWISE!$A$3:$BY$27,2,0)</f>
        <v>08.05.2026</v>
      </c>
      <c r="D10" s="815">
        <f>VLOOKUP(A10,DATEWISE!$A$3:$BY$27,3,0)</f>
        <v>39</v>
      </c>
      <c r="E10" s="815">
        <f>VLOOKUP(A10,DATEWISE!$A$3:$BY$27,4,0)</f>
        <v>3</v>
      </c>
      <c r="F10" s="815" t="str">
        <f t="shared" si="8"/>
        <v>08.05.2026REMARKS</v>
      </c>
      <c r="G10" s="815" t="s">
        <v>390</v>
      </c>
      <c r="H10" s="816">
        <v>0</v>
      </c>
      <c r="I10" s="816">
        <v>0</v>
      </c>
      <c r="J10" s="816">
        <v>0</v>
      </c>
      <c r="K10" s="816">
        <v>0</v>
      </c>
      <c r="L10" s="816">
        <v>0</v>
      </c>
      <c r="M10" s="816">
        <v>0</v>
      </c>
      <c r="N10" s="816">
        <v>0</v>
      </c>
      <c r="O10" s="816">
        <v>0</v>
      </c>
      <c r="P10" s="816">
        <v>0</v>
      </c>
      <c r="Q10" s="816">
        <v>0</v>
      </c>
      <c r="R10" s="816">
        <v>0</v>
      </c>
      <c r="S10" s="816">
        <v>0</v>
      </c>
      <c r="T10" s="816">
        <v>0</v>
      </c>
      <c r="U10" s="816">
        <v>0</v>
      </c>
      <c r="V10" s="816">
        <v>0</v>
      </c>
      <c r="W10" s="816">
        <v>0</v>
      </c>
      <c r="X10" s="816">
        <v>0</v>
      </c>
      <c r="Y10" s="816">
        <v>0</v>
      </c>
      <c r="Z10" s="816">
        <v>0</v>
      </c>
      <c r="AA10" s="816">
        <v>0</v>
      </c>
      <c r="AB10" s="816">
        <v>0</v>
      </c>
      <c r="AC10" s="816">
        <v>0</v>
      </c>
      <c r="AD10" s="816">
        <v>0</v>
      </c>
      <c r="AE10" s="816">
        <v>0</v>
      </c>
      <c r="AF10" s="816">
        <v>0</v>
      </c>
      <c r="AG10" s="816">
        <v>0</v>
      </c>
      <c r="AH10" s="816">
        <v>0</v>
      </c>
      <c r="AI10" s="816">
        <v>0</v>
      </c>
      <c r="AJ10" s="816">
        <v>0</v>
      </c>
      <c r="AK10" s="816">
        <v>0</v>
      </c>
      <c r="AL10" s="816">
        <v>0</v>
      </c>
      <c r="AM10" s="816">
        <v>0</v>
      </c>
      <c r="AN10" s="816" t="str">
        <v>-</v>
      </c>
      <c r="AO10" s="816" t="str">
        <v>-</v>
      </c>
      <c r="AP10" s="816" t="str">
        <v>-</v>
      </c>
      <c r="AQ10" s="816" t="str">
        <v>-</v>
      </c>
      <c r="AR10" s="816" t="str">
        <v>-</v>
      </c>
      <c r="AS10" s="816" t="str">
        <v>-</v>
      </c>
      <c r="AT10" s="816" t="str">
        <v>-</v>
      </c>
      <c r="AU10" s="816" t="str">
        <v>-</v>
      </c>
      <c r="AV10" s="816" t="str">
        <v>-</v>
      </c>
      <c r="AW10" s="816" t="str">
        <v>-</v>
      </c>
      <c r="AX10" s="816">
        <v>0</v>
      </c>
      <c r="AY10" s="816">
        <v>0</v>
      </c>
      <c r="AZ10" s="816">
        <v>0</v>
      </c>
      <c r="BA10" s="816">
        <v>0</v>
      </c>
      <c r="BB10" s="816">
        <v>0</v>
      </c>
      <c r="BC10" s="816">
        <v>0</v>
      </c>
      <c r="BD10" s="816">
        <v>0</v>
      </c>
      <c r="BE10" s="816">
        <v>0</v>
      </c>
      <c r="BF10" s="816">
        <v>0</v>
      </c>
      <c r="BG10" s="816">
        <v>0</v>
      </c>
      <c r="BH10" s="816">
        <v>0</v>
      </c>
      <c r="BI10" s="816">
        <v>0</v>
      </c>
      <c r="BJ10" s="816">
        <v>0</v>
      </c>
      <c r="BK10" s="816">
        <v>0</v>
      </c>
      <c r="BL10" s="816">
        <v>0</v>
      </c>
      <c r="BM10" s="816">
        <v>0</v>
      </c>
      <c r="BN10" s="816">
        <v>0</v>
      </c>
      <c r="BO10" s="816">
        <v>0</v>
      </c>
      <c r="BP10" s="816">
        <v>0</v>
      </c>
      <c r="BQ10" s="816">
        <v>0</v>
      </c>
      <c r="BR10" s="816">
        <v>0</v>
      </c>
      <c r="BS10" s="816">
        <v>0</v>
      </c>
      <c r="BT10" s="816">
        <v>0</v>
      </c>
      <c r="BU10" s="816">
        <v>0</v>
      </c>
      <c r="BV10" s="816">
        <v>0</v>
      </c>
      <c r="BW10" s="816">
        <v>0</v>
      </c>
      <c r="BX10" s="816">
        <v>0</v>
      </c>
      <c r="BY10" s="816">
        <v>0</v>
      </c>
      <c r="BZ10" s="816">
        <v>0</v>
      </c>
      <c r="CA10" s="816">
        <v>0</v>
      </c>
      <c r="CB10" s="816">
        <v>0</v>
      </c>
      <c r="CC10" s="816">
        <v>0</v>
      </c>
      <c r="CD10" s="816">
        <v>0</v>
      </c>
      <c r="CE10" s="816">
        <v>0</v>
      </c>
      <c r="CF10" s="816">
        <v>0</v>
      </c>
      <c r="CG10" s="816">
        <v>0</v>
      </c>
      <c r="CH10" s="816">
        <v>0</v>
      </c>
      <c r="CI10" s="816">
        <v>0</v>
      </c>
      <c r="CJ10" s="816">
        <v>0</v>
      </c>
      <c r="CK10" s="816">
        <v>0</v>
      </c>
      <c r="CL10" s="816">
        <v>0</v>
      </c>
      <c r="CM10" s="816">
        <v>0</v>
      </c>
      <c r="CN10" s="816">
        <v>0</v>
      </c>
      <c r="CO10" s="816">
        <v>0</v>
      </c>
      <c r="CP10" s="816">
        <v>0</v>
      </c>
      <c r="CQ10" s="816">
        <v>0</v>
      </c>
      <c r="CR10" s="816">
        <v>0</v>
      </c>
      <c r="CS10" s="816">
        <v>0</v>
      </c>
      <c r="CT10" s="816">
        <v>0</v>
      </c>
      <c r="CU10" s="816">
        <v>0</v>
      </c>
      <c r="CV10" s="816">
        <v>0</v>
      </c>
      <c r="CW10" s="816">
        <v>0</v>
      </c>
      <c r="CX10" s="816">
        <v>0</v>
      </c>
      <c r="CY10" s="816">
        <v>0</v>
      </c>
      <c r="CZ10" s="816">
        <v>0</v>
      </c>
      <c r="DA10" s="816">
        <v>0</v>
      </c>
      <c r="DB10" s="816">
        <v>0</v>
      </c>
      <c r="DC10" s="816">
        <v>0</v>
      </c>
      <c r="DE10" s="816" t="s">
        <v>96</v>
      </c>
      <c r="DF10" s="816">
        <f t="shared" ref="DF10:DF73" si="9">COUNTIFS(H10:DC10,1)</f>
        <v>0</v>
      </c>
      <c r="DG10" s="816" t="s">
        <v>97</v>
      </c>
      <c r="DH10" s="816">
        <f t="shared" ref="DH10:DH73" si="10">COUNTIFS(H10:DC10,2)</f>
        <v>0</v>
      </c>
      <c r="DI10" s="816" t="s">
        <v>98</v>
      </c>
      <c r="DJ10" s="816">
        <f t="shared" ref="DJ10:DJ73" si="11">COUNTIFS(H10:DC10,3)</f>
        <v>0</v>
      </c>
      <c r="DK10" s="816" t="s">
        <v>99</v>
      </c>
      <c r="DL10" s="816">
        <f t="shared" ref="DL10:DL73" si="12">COUNTIFS(H10:DC10,4)</f>
        <v>0</v>
      </c>
      <c r="DM10" s="816" t="s">
        <v>100</v>
      </c>
      <c r="DN10" s="816">
        <f t="shared" ref="DN10:DN73" si="13">COUNTIFS(H10:DC10,5)</f>
        <v>0</v>
      </c>
      <c r="DO10" s="816" t="s">
        <v>101</v>
      </c>
      <c r="DP10" s="816">
        <f t="shared" ref="DP10:DP73" si="14">COUNTIFS(H10:DC10,"Ab")</f>
        <v>0</v>
      </c>
    </row>
    <row r="11" spans="1:120">
      <c r="A11" s="815">
        <v>3</v>
      </c>
      <c r="B11" s="815" t="str">
        <f t="shared" si="1"/>
        <v>3HINDI</v>
      </c>
      <c r="C11" s="815" t="str">
        <f>VLOOKUP(A11,DATEWISE!$A$3:$BY$27,2,0)</f>
        <v>15.07.2026</v>
      </c>
      <c r="D11" s="815">
        <f>VLOOKUP(A11,DATEWISE!$A$3:$BY$27,3,0)</f>
        <v>39</v>
      </c>
      <c r="E11" s="815">
        <f>VLOOKUP(A11,DATEWISE!$A$3:$BY$27,4,0)</f>
        <v>3</v>
      </c>
      <c r="F11" s="815" t="str">
        <f t="shared" si="8"/>
        <v>15.07.2026HINDI</v>
      </c>
      <c r="G11" s="815" t="s">
        <v>87</v>
      </c>
      <c r="H11" s="816">
        <v>2</v>
      </c>
      <c r="I11" s="816">
        <v>3</v>
      </c>
      <c r="J11" s="816">
        <v>3</v>
      </c>
      <c r="K11" s="816">
        <v>3</v>
      </c>
      <c r="L11" s="816">
        <v>2</v>
      </c>
      <c r="M11" s="816">
        <v>4</v>
      </c>
      <c r="N11" s="816">
        <v>4</v>
      </c>
      <c r="O11" s="816">
        <v>2</v>
      </c>
      <c r="P11" s="816">
        <v>2</v>
      </c>
      <c r="Q11" s="816">
        <v>2</v>
      </c>
      <c r="R11" s="816" t="str">
        <v>Ab</v>
      </c>
      <c r="S11" s="816">
        <v>2</v>
      </c>
      <c r="T11" s="816">
        <v>2</v>
      </c>
      <c r="U11" s="816">
        <v>2</v>
      </c>
      <c r="V11" s="816">
        <v>3</v>
      </c>
      <c r="W11" s="816">
        <v>2</v>
      </c>
      <c r="X11" s="816">
        <v>2</v>
      </c>
      <c r="Y11" s="816">
        <v>2</v>
      </c>
      <c r="Z11" s="816">
        <v>2</v>
      </c>
      <c r="AA11" s="816">
        <v>2</v>
      </c>
      <c r="AB11" s="816">
        <v>2</v>
      </c>
      <c r="AC11" s="816">
        <v>2</v>
      </c>
      <c r="AD11" s="816">
        <v>4</v>
      </c>
      <c r="AE11" s="816">
        <v>2</v>
      </c>
      <c r="AF11" s="816">
        <v>3</v>
      </c>
      <c r="AG11" s="816">
        <v>2</v>
      </c>
      <c r="AH11" s="816">
        <v>2</v>
      </c>
      <c r="AI11" s="816">
        <v>2</v>
      </c>
      <c r="AJ11" s="816">
        <v>2</v>
      </c>
      <c r="AK11" s="816">
        <v>2</v>
      </c>
      <c r="AL11" s="816">
        <v>2</v>
      </c>
      <c r="AM11" s="816">
        <v>2</v>
      </c>
      <c r="AN11" s="816">
        <v>2</v>
      </c>
      <c r="AO11" s="816" t="str">
        <v>Ab</v>
      </c>
      <c r="AP11" s="816">
        <v>2</v>
      </c>
      <c r="AQ11" s="816">
        <v>2</v>
      </c>
      <c r="AR11" s="816">
        <v>2</v>
      </c>
      <c r="AS11" s="816">
        <v>2</v>
      </c>
      <c r="AT11" s="816" t="str">
        <v>Ab</v>
      </c>
      <c r="AU11" s="816" t="str">
        <v>-</v>
      </c>
      <c r="AV11" s="816" t="str">
        <v>-</v>
      </c>
      <c r="AW11" s="816" t="str">
        <v>-</v>
      </c>
      <c r="AX11" s="816">
        <v>0</v>
      </c>
      <c r="AY11" s="816">
        <v>0</v>
      </c>
      <c r="AZ11" s="816">
        <v>0</v>
      </c>
      <c r="BA11" s="816">
        <v>0</v>
      </c>
      <c r="BB11" s="816">
        <v>0</v>
      </c>
      <c r="BC11" s="816">
        <v>0</v>
      </c>
      <c r="BD11" s="816">
        <v>0</v>
      </c>
      <c r="BE11" s="816">
        <v>0</v>
      </c>
      <c r="BF11" s="816">
        <v>0</v>
      </c>
      <c r="BG11" s="816">
        <v>0</v>
      </c>
      <c r="BH11" s="816">
        <v>0</v>
      </c>
      <c r="BI11" s="816">
        <v>0</v>
      </c>
      <c r="BJ11" s="816">
        <v>0</v>
      </c>
      <c r="BK11" s="816">
        <v>0</v>
      </c>
      <c r="BL11" s="816">
        <v>0</v>
      </c>
      <c r="BM11" s="816">
        <v>0</v>
      </c>
      <c r="BN11" s="816">
        <v>0</v>
      </c>
      <c r="BO11" s="816">
        <v>0</v>
      </c>
      <c r="BP11" s="816">
        <v>0</v>
      </c>
      <c r="BQ11" s="816">
        <v>0</v>
      </c>
      <c r="BR11" s="816">
        <v>0</v>
      </c>
      <c r="BS11" s="816">
        <v>0</v>
      </c>
      <c r="BT11" s="816">
        <v>0</v>
      </c>
      <c r="BU11" s="816">
        <v>0</v>
      </c>
      <c r="BV11" s="816">
        <v>0</v>
      </c>
      <c r="BW11" s="816">
        <v>0</v>
      </c>
      <c r="BX11" s="816">
        <v>0</v>
      </c>
      <c r="BY11" s="816">
        <v>0</v>
      </c>
      <c r="BZ11" s="816">
        <v>0</v>
      </c>
      <c r="CA11" s="816">
        <v>0</v>
      </c>
      <c r="CB11" s="816">
        <v>0</v>
      </c>
      <c r="CC11" s="816">
        <v>0</v>
      </c>
      <c r="CD11" s="816">
        <v>0</v>
      </c>
      <c r="CE11" s="816">
        <v>0</v>
      </c>
      <c r="CF11" s="816">
        <v>0</v>
      </c>
      <c r="CG11" s="816">
        <v>0</v>
      </c>
      <c r="CH11" s="816">
        <v>0</v>
      </c>
      <c r="CI11" s="816">
        <v>0</v>
      </c>
      <c r="CJ11" s="816">
        <v>0</v>
      </c>
      <c r="CK11" s="816">
        <v>0</v>
      </c>
      <c r="CL11" s="816">
        <v>0</v>
      </c>
      <c r="CM11" s="816">
        <v>0</v>
      </c>
      <c r="CN11" s="816">
        <v>0</v>
      </c>
      <c r="CO11" s="816">
        <v>0</v>
      </c>
      <c r="CP11" s="816">
        <v>0</v>
      </c>
      <c r="CQ11" s="816">
        <v>0</v>
      </c>
      <c r="CR11" s="816">
        <v>0</v>
      </c>
      <c r="CS11" s="816">
        <v>0</v>
      </c>
      <c r="CT11" s="816">
        <v>0</v>
      </c>
      <c r="CU11" s="816">
        <v>0</v>
      </c>
      <c r="CV11" s="816">
        <v>0</v>
      </c>
      <c r="CW11" s="816">
        <v>0</v>
      </c>
      <c r="CX11" s="816">
        <v>0</v>
      </c>
      <c r="CY11" s="816">
        <v>0</v>
      </c>
      <c r="CZ11" s="816">
        <v>0</v>
      </c>
      <c r="DA11" s="816">
        <v>0</v>
      </c>
      <c r="DB11" s="816">
        <v>0</v>
      </c>
      <c r="DC11" s="816">
        <v>0</v>
      </c>
      <c r="DE11" s="816" t="s">
        <v>96</v>
      </c>
      <c r="DF11" s="816">
        <f t="shared" si="9"/>
        <v>0</v>
      </c>
      <c r="DG11" s="816" t="s">
        <v>97</v>
      </c>
      <c r="DH11" s="816">
        <f t="shared" si="10"/>
        <v>28</v>
      </c>
      <c r="DI11" s="816" t="s">
        <v>98</v>
      </c>
      <c r="DJ11" s="816">
        <f t="shared" si="11"/>
        <v>5</v>
      </c>
      <c r="DK11" s="816" t="s">
        <v>99</v>
      </c>
      <c r="DL11" s="816">
        <f t="shared" si="12"/>
        <v>3</v>
      </c>
      <c r="DM11" s="816" t="s">
        <v>100</v>
      </c>
      <c r="DN11" s="816">
        <f t="shared" si="13"/>
        <v>0</v>
      </c>
      <c r="DO11" s="816" t="s">
        <v>101</v>
      </c>
      <c r="DP11" s="816">
        <f t="shared" si="14"/>
        <v>3</v>
      </c>
    </row>
    <row r="12" spans="1:120">
      <c r="A12" s="815">
        <v>3</v>
      </c>
      <c r="B12" s="815" t="str">
        <f t="shared" si="1"/>
        <v>3ENGLISH</v>
      </c>
      <c r="C12" s="815" t="str">
        <f>VLOOKUP(A12,DATEWISE!$A$3:$BY$27,2,0)</f>
        <v>15.07.2026</v>
      </c>
      <c r="D12" s="815">
        <f>VLOOKUP(A12,DATEWISE!$A$3:$BY$27,3,0)</f>
        <v>39</v>
      </c>
      <c r="E12" s="815">
        <f>VLOOKUP(A12,DATEWISE!$A$3:$BY$27,4,0)</f>
        <v>3</v>
      </c>
      <c r="F12" s="815" t="str">
        <f t="shared" si="8"/>
        <v>15.07.2026ENGLISH</v>
      </c>
      <c r="G12" s="815" t="s">
        <v>89</v>
      </c>
      <c r="H12" s="816">
        <v>2</v>
      </c>
      <c r="I12" s="816">
        <v>2</v>
      </c>
      <c r="J12" s="816">
        <v>3</v>
      </c>
      <c r="K12" s="816">
        <v>2</v>
      </c>
      <c r="L12" s="816">
        <v>2</v>
      </c>
      <c r="M12" s="816">
        <v>3</v>
      </c>
      <c r="N12" s="816">
        <v>3</v>
      </c>
      <c r="O12" s="816">
        <v>2</v>
      </c>
      <c r="P12" s="816">
        <v>2</v>
      </c>
      <c r="Q12" s="816">
        <v>2</v>
      </c>
      <c r="R12" s="816" t="str">
        <v>Ab</v>
      </c>
      <c r="S12" s="816">
        <v>2</v>
      </c>
      <c r="T12" s="816">
        <v>2</v>
      </c>
      <c r="U12" s="816">
        <v>2</v>
      </c>
      <c r="V12" s="816">
        <v>3</v>
      </c>
      <c r="W12" s="816">
        <v>2</v>
      </c>
      <c r="X12" s="816">
        <v>2</v>
      </c>
      <c r="Y12" s="816">
        <v>2</v>
      </c>
      <c r="Z12" s="816">
        <v>2</v>
      </c>
      <c r="AA12" s="816">
        <v>2</v>
      </c>
      <c r="AB12" s="816">
        <v>2</v>
      </c>
      <c r="AC12" s="816">
        <v>2</v>
      </c>
      <c r="AD12" s="816">
        <v>3</v>
      </c>
      <c r="AE12" s="816">
        <v>2</v>
      </c>
      <c r="AF12" s="816">
        <v>2</v>
      </c>
      <c r="AG12" s="816">
        <v>2</v>
      </c>
      <c r="AH12" s="816">
        <v>2</v>
      </c>
      <c r="AI12" s="816">
        <v>2</v>
      </c>
      <c r="AJ12" s="816">
        <v>2</v>
      </c>
      <c r="AK12" s="816">
        <v>2</v>
      </c>
      <c r="AL12" s="816">
        <v>2</v>
      </c>
      <c r="AM12" s="816">
        <v>2</v>
      </c>
      <c r="AN12" s="816">
        <v>2</v>
      </c>
      <c r="AO12" s="816" t="str">
        <v>Ab</v>
      </c>
      <c r="AP12" s="816">
        <v>2</v>
      </c>
      <c r="AQ12" s="816">
        <v>2</v>
      </c>
      <c r="AR12" s="816">
        <v>2</v>
      </c>
      <c r="AS12" s="816">
        <v>2</v>
      </c>
      <c r="AT12" s="816" t="str">
        <v>Ab</v>
      </c>
      <c r="AU12" s="816" t="str">
        <v>-</v>
      </c>
      <c r="AV12" s="816" t="str">
        <v>-</v>
      </c>
      <c r="AW12" s="816" t="str">
        <v>-</v>
      </c>
      <c r="AX12" s="816">
        <v>0</v>
      </c>
      <c r="AY12" s="816">
        <v>0</v>
      </c>
      <c r="AZ12" s="816">
        <v>0</v>
      </c>
      <c r="BA12" s="816">
        <v>0</v>
      </c>
      <c r="BB12" s="816">
        <v>0</v>
      </c>
      <c r="BC12" s="816">
        <v>0</v>
      </c>
      <c r="BD12" s="816">
        <v>0</v>
      </c>
      <c r="BE12" s="816">
        <v>0</v>
      </c>
      <c r="BF12" s="816">
        <v>0</v>
      </c>
      <c r="BG12" s="816">
        <v>0</v>
      </c>
      <c r="BH12" s="816">
        <v>0</v>
      </c>
      <c r="BI12" s="816">
        <v>0</v>
      </c>
      <c r="BJ12" s="816">
        <v>0</v>
      </c>
      <c r="BK12" s="816">
        <v>0</v>
      </c>
      <c r="BL12" s="816">
        <v>0</v>
      </c>
      <c r="BM12" s="816">
        <v>0</v>
      </c>
      <c r="BN12" s="816">
        <v>0</v>
      </c>
      <c r="BO12" s="816">
        <v>0</v>
      </c>
      <c r="BP12" s="816">
        <v>0</v>
      </c>
      <c r="BQ12" s="816">
        <v>0</v>
      </c>
      <c r="BR12" s="816">
        <v>0</v>
      </c>
      <c r="BS12" s="816">
        <v>0</v>
      </c>
      <c r="BT12" s="816">
        <v>0</v>
      </c>
      <c r="BU12" s="816">
        <v>0</v>
      </c>
      <c r="BV12" s="816">
        <v>0</v>
      </c>
      <c r="BW12" s="816">
        <v>0</v>
      </c>
      <c r="BX12" s="816">
        <v>0</v>
      </c>
      <c r="BY12" s="816">
        <v>0</v>
      </c>
      <c r="BZ12" s="816">
        <v>0</v>
      </c>
      <c r="CA12" s="816">
        <v>0</v>
      </c>
      <c r="CB12" s="816">
        <v>0</v>
      </c>
      <c r="CC12" s="816">
        <v>0</v>
      </c>
      <c r="CD12" s="816">
        <v>0</v>
      </c>
      <c r="CE12" s="816">
        <v>0</v>
      </c>
      <c r="CF12" s="816">
        <v>0</v>
      </c>
      <c r="CG12" s="816">
        <v>0</v>
      </c>
      <c r="CH12" s="816">
        <v>0</v>
      </c>
      <c r="CI12" s="816">
        <v>0</v>
      </c>
      <c r="CJ12" s="816">
        <v>0</v>
      </c>
      <c r="CK12" s="816">
        <v>0</v>
      </c>
      <c r="CL12" s="816">
        <v>0</v>
      </c>
      <c r="CM12" s="816">
        <v>0</v>
      </c>
      <c r="CN12" s="816">
        <v>0</v>
      </c>
      <c r="CO12" s="816">
        <v>0</v>
      </c>
      <c r="CP12" s="816">
        <v>0</v>
      </c>
      <c r="CQ12" s="816">
        <v>0</v>
      </c>
      <c r="CR12" s="816">
        <v>0</v>
      </c>
      <c r="CS12" s="816">
        <v>0</v>
      </c>
      <c r="CT12" s="816">
        <v>0</v>
      </c>
      <c r="CU12" s="816">
        <v>0</v>
      </c>
      <c r="CV12" s="816">
        <v>0</v>
      </c>
      <c r="CW12" s="816">
        <v>0</v>
      </c>
      <c r="CX12" s="816">
        <v>0</v>
      </c>
      <c r="CY12" s="816">
        <v>0</v>
      </c>
      <c r="CZ12" s="816">
        <v>0</v>
      </c>
      <c r="DA12" s="816">
        <v>0</v>
      </c>
      <c r="DB12" s="816">
        <v>0</v>
      </c>
      <c r="DC12" s="816">
        <v>0</v>
      </c>
      <c r="DE12" s="816" t="s">
        <v>96</v>
      </c>
      <c r="DF12" s="816">
        <f t="shared" si="9"/>
        <v>0</v>
      </c>
      <c r="DG12" s="816" t="s">
        <v>97</v>
      </c>
      <c r="DH12" s="816">
        <f t="shared" si="10"/>
        <v>31</v>
      </c>
      <c r="DI12" s="816" t="s">
        <v>98</v>
      </c>
      <c r="DJ12" s="816">
        <f t="shared" si="11"/>
        <v>5</v>
      </c>
      <c r="DK12" s="816" t="s">
        <v>99</v>
      </c>
      <c r="DL12" s="816">
        <f t="shared" si="12"/>
        <v>0</v>
      </c>
      <c r="DM12" s="816" t="s">
        <v>100</v>
      </c>
      <c r="DN12" s="816">
        <f t="shared" si="13"/>
        <v>0</v>
      </c>
      <c r="DO12" s="816" t="s">
        <v>101</v>
      </c>
      <c r="DP12" s="816">
        <f t="shared" si="14"/>
        <v>3</v>
      </c>
    </row>
    <row r="13" spans="1:120">
      <c r="A13" s="815">
        <v>3</v>
      </c>
      <c r="B13" s="815" t="str">
        <f t="shared" si="1"/>
        <v>3MATHS</v>
      </c>
      <c r="C13" s="815" t="str">
        <f>VLOOKUP(A13,DATEWISE!$A$3:$BY$27,2,0)</f>
        <v>15.07.2026</v>
      </c>
      <c r="D13" s="815">
        <f>VLOOKUP(A13,DATEWISE!$A$3:$BY$27,3,0)</f>
        <v>39</v>
      </c>
      <c r="E13" s="815">
        <f>VLOOKUP(A13,DATEWISE!$A$3:$BY$27,4,0)</f>
        <v>3</v>
      </c>
      <c r="F13" s="815" t="str">
        <f t="shared" si="8"/>
        <v>15.07.2026MATHS</v>
      </c>
      <c r="G13" s="815" t="s">
        <v>88</v>
      </c>
      <c r="H13" s="816">
        <v>3</v>
      </c>
      <c r="I13" s="816">
        <v>3</v>
      </c>
      <c r="J13" s="816">
        <v>4</v>
      </c>
      <c r="K13" s="816">
        <v>3</v>
      </c>
      <c r="L13" s="816">
        <v>3</v>
      </c>
      <c r="M13" s="816">
        <v>4</v>
      </c>
      <c r="N13" s="816">
        <v>4</v>
      </c>
      <c r="O13" s="816">
        <v>3</v>
      </c>
      <c r="P13" s="816">
        <v>3</v>
      </c>
      <c r="Q13" s="816">
        <v>3</v>
      </c>
      <c r="R13" s="816" t="str">
        <v>Ab</v>
      </c>
      <c r="S13" s="816">
        <v>4</v>
      </c>
      <c r="T13" s="816">
        <v>3</v>
      </c>
      <c r="U13" s="816">
        <v>3</v>
      </c>
      <c r="V13" s="816">
        <v>4</v>
      </c>
      <c r="W13" s="816">
        <v>3</v>
      </c>
      <c r="X13" s="816">
        <v>4</v>
      </c>
      <c r="Y13" s="816">
        <v>4</v>
      </c>
      <c r="Z13" s="816">
        <v>3</v>
      </c>
      <c r="AA13" s="816">
        <v>3</v>
      </c>
      <c r="AB13" s="816">
        <v>3</v>
      </c>
      <c r="AC13" s="816">
        <v>3</v>
      </c>
      <c r="AD13" s="816">
        <v>4</v>
      </c>
      <c r="AE13" s="816">
        <v>3</v>
      </c>
      <c r="AF13" s="816">
        <v>4</v>
      </c>
      <c r="AG13" s="816">
        <v>3</v>
      </c>
      <c r="AH13" s="816">
        <v>3</v>
      </c>
      <c r="AI13" s="816">
        <v>3</v>
      </c>
      <c r="AJ13" s="816">
        <v>3</v>
      </c>
      <c r="AK13" s="816">
        <v>3</v>
      </c>
      <c r="AL13" s="816">
        <v>3</v>
      </c>
      <c r="AM13" s="816">
        <v>3</v>
      </c>
      <c r="AN13" s="816">
        <v>3</v>
      </c>
      <c r="AO13" s="816" t="str">
        <v>Ab</v>
      </c>
      <c r="AP13" s="816">
        <v>3</v>
      </c>
      <c r="AQ13" s="816">
        <v>3</v>
      </c>
      <c r="AR13" s="816">
        <v>3</v>
      </c>
      <c r="AS13" s="816">
        <v>3</v>
      </c>
      <c r="AT13" s="816" t="str">
        <v>Ab</v>
      </c>
      <c r="AU13" s="816" t="str">
        <v>-</v>
      </c>
      <c r="AV13" s="816" t="str">
        <v>-</v>
      </c>
      <c r="AW13" s="816" t="str">
        <v>-</v>
      </c>
      <c r="AX13" s="816">
        <v>0</v>
      </c>
      <c r="AY13" s="816">
        <v>0</v>
      </c>
      <c r="AZ13" s="816">
        <v>0</v>
      </c>
      <c r="BA13" s="816">
        <v>0</v>
      </c>
      <c r="BB13" s="816">
        <v>0</v>
      </c>
      <c r="BC13" s="816">
        <v>0</v>
      </c>
      <c r="BD13" s="816">
        <v>0</v>
      </c>
      <c r="BE13" s="816">
        <v>0</v>
      </c>
      <c r="BF13" s="816">
        <v>0</v>
      </c>
      <c r="BG13" s="816">
        <v>0</v>
      </c>
      <c r="BH13" s="816">
        <v>0</v>
      </c>
      <c r="BI13" s="816">
        <v>0</v>
      </c>
      <c r="BJ13" s="816">
        <v>0</v>
      </c>
      <c r="BK13" s="816">
        <v>0</v>
      </c>
      <c r="BL13" s="816">
        <v>0</v>
      </c>
      <c r="BM13" s="816">
        <v>0</v>
      </c>
      <c r="BN13" s="816">
        <v>0</v>
      </c>
      <c r="BO13" s="816">
        <v>0</v>
      </c>
      <c r="BP13" s="816">
        <v>0</v>
      </c>
      <c r="BQ13" s="816">
        <v>0</v>
      </c>
      <c r="BR13" s="816">
        <v>0</v>
      </c>
      <c r="BS13" s="816">
        <v>0</v>
      </c>
      <c r="BT13" s="816">
        <v>0</v>
      </c>
      <c r="BU13" s="816">
        <v>0</v>
      </c>
      <c r="BV13" s="816">
        <v>0</v>
      </c>
      <c r="BW13" s="816">
        <v>0</v>
      </c>
      <c r="BX13" s="816">
        <v>0</v>
      </c>
      <c r="BY13" s="816">
        <v>0</v>
      </c>
      <c r="BZ13" s="816">
        <v>0</v>
      </c>
      <c r="CA13" s="816">
        <v>0</v>
      </c>
      <c r="CB13" s="816">
        <v>0</v>
      </c>
      <c r="CC13" s="816">
        <v>0</v>
      </c>
      <c r="CD13" s="816">
        <v>0</v>
      </c>
      <c r="CE13" s="816">
        <v>0</v>
      </c>
      <c r="CF13" s="816">
        <v>0</v>
      </c>
      <c r="CG13" s="816">
        <v>0</v>
      </c>
      <c r="CH13" s="816">
        <v>0</v>
      </c>
      <c r="CI13" s="816">
        <v>0</v>
      </c>
      <c r="CJ13" s="816">
        <v>0</v>
      </c>
      <c r="CK13" s="816">
        <v>0</v>
      </c>
      <c r="CL13" s="816">
        <v>0</v>
      </c>
      <c r="CM13" s="816">
        <v>0</v>
      </c>
      <c r="CN13" s="816">
        <v>0</v>
      </c>
      <c r="CO13" s="816">
        <v>0</v>
      </c>
      <c r="CP13" s="816">
        <v>0</v>
      </c>
      <c r="CQ13" s="816">
        <v>0</v>
      </c>
      <c r="CR13" s="816">
        <v>0</v>
      </c>
      <c r="CS13" s="816">
        <v>0</v>
      </c>
      <c r="CT13" s="816">
        <v>0</v>
      </c>
      <c r="CU13" s="816">
        <v>0</v>
      </c>
      <c r="CV13" s="816">
        <v>0</v>
      </c>
      <c r="CW13" s="816">
        <v>0</v>
      </c>
      <c r="CX13" s="816">
        <v>0</v>
      </c>
      <c r="CY13" s="816">
        <v>0</v>
      </c>
      <c r="CZ13" s="816">
        <v>0</v>
      </c>
      <c r="DA13" s="816">
        <v>0</v>
      </c>
      <c r="DB13" s="816">
        <v>0</v>
      </c>
      <c r="DC13" s="816">
        <v>0</v>
      </c>
      <c r="DE13" s="816" t="s">
        <v>96</v>
      </c>
      <c r="DF13" s="816">
        <f t="shared" si="9"/>
        <v>0</v>
      </c>
      <c r="DG13" s="816" t="s">
        <v>97</v>
      </c>
      <c r="DH13" s="816">
        <f t="shared" si="10"/>
        <v>0</v>
      </c>
      <c r="DI13" s="816" t="s">
        <v>98</v>
      </c>
      <c r="DJ13" s="816">
        <f t="shared" si="11"/>
        <v>27</v>
      </c>
      <c r="DK13" s="816" t="s">
        <v>99</v>
      </c>
      <c r="DL13" s="816">
        <f t="shared" si="12"/>
        <v>9</v>
      </c>
      <c r="DM13" s="816" t="s">
        <v>100</v>
      </c>
      <c r="DN13" s="816">
        <f t="shared" si="13"/>
        <v>0</v>
      </c>
      <c r="DO13" s="816" t="s">
        <v>101</v>
      </c>
      <c r="DP13" s="816">
        <f t="shared" si="14"/>
        <v>3</v>
      </c>
    </row>
    <row r="14" spans="1:120">
      <c r="A14" s="815">
        <v>3</v>
      </c>
      <c r="B14" s="815" t="str">
        <f t="shared" si="1"/>
        <v>3REMARKS</v>
      </c>
      <c r="C14" s="815" t="str">
        <f>VLOOKUP(A14,DATEWISE!$A$3:$BY$27,2,0)</f>
        <v>15.07.2026</v>
      </c>
      <c r="D14" s="815">
        <f>VLOOKUP(A14,DATEWISE!$A$3:$BY$27,3,0)</f>
        <v>39</v>
      </c>
      <c r="E14" s="815">
        <f>VLOOKUP(A14,DATEWISE!$A$3:$BY$27,4,0)</f>
        <v>3</v>
      </c>
      <c r="F14" s="815" t="str">
        <f t="shared" si="8"/>
        <v>15.07.2026REMARKS</v>
      </c>
      <c r="G14" s="815" t="s">
        <v>390</v>
      </c>
      <c r="H14" s="816">
        <v>0</v>
      </c>
      <c r="I14" s="816">
        <v>0</v>
      </c>
      <c r="J14" s="816">
        <v>0</v>
      </c>
      <c r="K14" s="816">
        <v>0</v>
      </c>
      <c r="L14" s="816">
        <v>0</v>
      </c>
      <c r="M14" s="816">
        <v>0</v>
      </c>
      <c r="N14" s="816">
        <v>0</v>
      </c>
      <c r="O14" s="816">
        <v>0</v>
      </c>
      <c r="P14" s="816">
        <v>0</v>
      </c>
      <c r="Q14" s="816">
        <v>0</v>
      </c>
      <c r="R14" s="816">
        <v>0</v>
      </c>
      <c r="S14" s="816">
        <v>0</v>
      </c>
      <c r="T14" s="816">
        <v>0</v>
      </c>
      <c r="U14" s="816">
        <v>0</v>
      </c>
      <c r="V14" s="816">
        <v>0</v>
      </c>
      <c r="W14" s="816">
        <v>0</v>
      </c>
      <c r="X14" s="816">
        <v>0</v>
      </c>
      <c r="Y14" s="816">
        <v>0</v>
      </c>
      <c r="Z14" s="816">
        <v>0</v>
      </c>
      <c r="AA14" s="816">
        <v>0</v>
      </c>
      <c r="AB14" s="816">
        <v>0</v>
      </c>
      <c r="AC14" s="816">
        <v>0</v>
      </c>
      <c r="AD14" s="816">
        <v>0</v>
      </c>
      <c r="AE14" s="816">
        <v>0</v>
      </c>
      <c r="AF14" s="816">
        <v>0</v>
      </c>
      <c r="AG14" s="816">
        <v>0</v>
      </c>
      <c r="AH14" s="816">
        <v>0</v>
      </c>
      <c r="AI14" s="816">
        <v>0</v>
      </c>
      <c r="AJ14" s="816">
        <v>0</v>
      </c>
      <c r="AK14" s="816">
        <v>0</v>
      </c>
      <c r="AL14" s="816">
        <v>0</v>
      </c>
      <c r="AM14" s="816">
        <v>0</v>
      </c>
      <c r="AN14" s="816" t="str">
        <v>-</v>
      </c>
      <c r="AO14" s="816" t="str">
        <v>-</v>
      </c>
      <c r="AP14" s="816" t="str">
        <v>-</v>
      </c>
      <c r="AQ14" s="816" t="str">
        <v>-</v>
      </c>
      <c r="AR14" s="816" t="str">
        <v>-</v>
      </c>
      <c r="AS14" s="816" t="str">
        <v>-</v>
      </c>
      <c r="AT14" s="816" t="str">
        <v>-</v>
      </c>
      <c r="AU14" s="816" t="str">
        <v>-</v>
      </c>
      <c r="AV14" s="816" t="str">
        <v>-</v>
      </c>
      <c r="AW14" s="816" t="str">
        <v>-</v>
      </c>
      <c r="AX14" s="816">
        <v>0</v>
      </c>
      <c r="AY14" s="816">
        <v>0</v>
      </c>
      <c r="AZ14" s="816">
        <v>0</v>
      </c>
      <c r="BA14" s="816">
        <v>0</v>
      </c>
      <c r="BB14" s="816">
        <v>0</v>
      </c>
      <c r="BC14" s="816">
        <v>0</v>
      </c>
      <c r="BD14" s="816">
        <v>0</v>
      </c>
      <c r="BE14" s="816">
        <v>0</v>
      </c>
      <c r="BF14" s="816">
        <v>0</v>
      </c>
      <c r="BG14" s="816">
        <v>0</v>
      </c>
      <c r="BH14" s="816">
        <v>0</v>
      </c>
      <c r="BI14" s="816">
        <v>0</v>
      </c>
      <c r="BJ14" s="816">
        <v>0</v>
      </c>
      <c r="BK14" s="816">
        <v>0</v>
      </c>
      <c r="BL14" s="816">
        <v>0</v>
      </c>
      <c r="BM14" s="816">
        <v>0</v>
      </c>
      <c r="BN14" s="816">
        <v>0</v>
      </c>
      <c r="BO14" s="816">
        <v>0</v>
      </c>
      <c r="BP14" s="816">
        <v>0</v>
      </c>
      <c r="BQ14" s="816">
        <v>0</v>
      </c>
      <c r="BR14" s="816">
        <v>0</v>
      </c>
      <c r="BS14" s="816">
        <v>0</v>
      </c>
      <c r="BT14" s="816">
        <v>0</v>
      </c>
      <c r="BU14" s="816">
        <v>0</v>
      </c>
      <c r="BV14" s="816">
        <v>0</v>
      </c>
      <c r="BW14" s="816">
        <v>0</v>
      </c>
      <c r="BX14" s="816">
        <v>0</v>
      </c>
      <c r="BY14" s="816">
        <v>0</v>
      </c>
      <c r="BZ14" s="816">
        <v>0</v>
      </c>
      <c r="CA14" s="816">
        <v>0</v>
      </c>
      <c r="CB14" s="816">
        <v>0</v>
      </c>
      <c r="CC14" s="816">
        <v>0</v>
      </c>
      <c r="CD14" s="816">
        <v>0</v>
      </c>
      <c r="CE14" s="816">
        <v>0</v>
      </c>
      <c r="CF14" s="816">
        <v>0</v>
      </c>
      <c r="CG14" s="816">
        <v>0</v>
      </c>
      <c r="CH14" s="816">
        <v>0</v>
      </c>
      <c r="CI14" s="816">
        <v>0</v>
      </c>
      <c r="CJ14" s="816">
        <v>0</v>
      </c>
      <c r="CK14" s="816">
        <v>0</v>
      </c>
      <c r="CL14" s="816">
        <v>0</v>
      </c>
      <c r="CM14" s="816">
        <v>0</v>
      </c>
      <c r="CN14" s="816">
        <v>0</v>
      </c>
      <c r="CO14" s="816">
        <v>0</v>
      </c>
      <c r="CP14" s="816">
        <v>0</v>
      </c>
      <c r="CQ14" s="816">
        <v>0</v>
      </c>
      <c r="CR14" s="816">
        <v>0</v>
      </c>
      <c r="CS14" s="816">
        <v>0</v>
      </c>
      <c r="CT14" s="816">
        <v>0</v>
      </c>
      <c r="CU14" s="816">
        <v>0</v>
      </c>
      <c r="CV14" s="816">
        <v>0</v>
      </c>
      <c r="CW14" s="816">
        <v>0</v>
      </c>
      <c r="CX14" s="816">
        <v>0</v>
      </c>
      <c r="CY14" s="816">
        <v>0</v>
      </c>
      <c r="CZ14" s="816">
        <v>0</v>
      </c>
      <c r="DA14" s="816">
        <v>0</v>
      </c>
      <c r="DB14" s="816">
        <v>0</v>
      </c>
      <c r="DC14" s="816">
        <v>0</v>
      </c>
      <c r="DE14" s="816" t="s">
        <v>96</v>
      </c>
      <c r="DF14" s="816">
        <f t="shared" si="9"/>
        <v>0</v>
      </c>
      <c r="DG14" s="816" t="s">
        <v>97</v>
      </c>
      <c r="DH14" s="816">
        <f t="shared" si="10"/>
        <v>0</v>
      </c>
      <c r="DI14" s="816" t="s">
        <v>98</v>
      </c>
      <c r="DJ14" s="816">
        <f t="shared" si="11"/>
        <v>0</v>
      </c>
      <c r="DK14" s="816" t="s">
        <v>99</v>
      </c>
      <c r="DL14" s="816">
        <f t="shared" si="12"/>
        <v>0</v>
      </c>
      <c r="DM14" s="816" t="s">
        <v>100</v>
      </c>
      <c r="DN14" s="816">
        <f t="shared" si="13"/>
        <v>0</v>
      </c>
      <c r="DO14" s="816" t="s">
        <v>101</v>
      </c>
      <c r="DP14" s="816">
        <f t="shared" si="14"/>
        <v>0</v>
      </c>
    </row>
    <row r="15" spans="1:120">
      <c r="A15" s="815">
        <v>4</v>
      </c>
      <c r="B15" s="815" t="str">
        <f t="shared" si="1"/>
        <v>4HINDI</v>
      </c>
      <c r="C15" s="815" t="str">
        <f>VLOOKUP(A15,DATEWISE!$A$3:$BY$27,2,0)</f>
        <v>31.07.2026</v>
      </c>
      <c r="D15" s="815">
        <f>VLOOKUP(A15,DATEWISE!$A$3:$BY$27,3,0)</f>
        <v>39</v>
      </c>
      <c r="E15" s="815">
        <f>VLOOKUP(A15,DATEWISE!$A$3:$BY$27,4,0)</f>
        <v>3</v>
      </c>
      <c r="F15" s="815" t="str">
        <f t="shared" si="8"/>
        <v>31.07.2026HINDI</v>
      </c>
      <c r="G15" s="815" t="s">
        <v>87</v>
      </c>
      <c r="H15" s="816">
        <v>2</v>
      </c>
      <c r="I15" s="816">
        <v>3</v>
      </c>
      <c r="J15" s="816">
        <v>3</v>
      </c>
      <c r="K15" s="816">
        <v>3</v>
      </c>
      <c r="L15" s="816">
        <v>2</v>
      </c>
      <c r="M15" s="816">
        <v>4</v>
      </c>
      <c r="N15" s="816">
        <v>4</v>
      </c>
      <c r="O15" s="816">
        <v>2</v>
      </c>
      <c r="P15" s="816">
        <v>2</v>
      </c>
      <c r="Q15" s="816">
        <v>2</v>
      </c>
      <c r="R15" s="816" t="str">
        <v>Ab</v>
      </c>
      <c r="S15" s="816">
        <v>2</v>
      </c>
      <c r="T15" s="816">
        <v>2</v>
      </c>
      <c r="U15" s="816">
        <v>2</v>
      </c>
      <c r="V15" s="816">
        <v>3</v>
      </c>
      <c r="W15" s="816">
        <v>2</v>
      </c>
      <c r="X15" s="816">
        <v>2</v>
      </c>
      <c r="Y15" s="816">
        <v>2</v>
      </c>
      <c r="Z15" s="816">
        <v>2</v>
      </c>
      <c r="AA15" s="816">
        <v>2</v>
      </c>
      <c r="AB15" s="816">
        <v>2</v>
      </c>
      <c r="AC15" s="816">
        <v>2</v>
      </c>
      <c r="AD15" s="816">
        <v>4</v>
      </c>
      <c r="AE15" s="816">
        <v>2</v>
      </c>
      <c r="AF15" s="816">
        <v>3</v>
      </c>
      <c r="AG15" s="816">
        <v>2</v>
      </c>
      <c r="AH15" s="816">
        <v>2</v>
      </c>
      <c r="AI15" s="816">
        <v>2</v>
      </c>
      <c r="AJ15" s="816">
        <v>2</v>
      </c>
      <c r="AK15" s="816">
        <v>2</v>
      </c>
      <c r="AL15" s="816">
        <v>2</v>
      </c>
      <c r="AM15" s="816">
        <v>2</v>
      </c>
      <c r="AN15" s="816">
        <v>2</v>
      </c>
      <c r="AO15" s="816" t="str">
        <v>Ab</v>
      </c>
      <c r="AP15" s="816">
        <v>2</v>
      </c>
      <c r="AQ15" s="816">
        <v>2</v>
      </c>
      <c r="AR15" s="816">
        <v>2</v>
      </c>
      <c r="AS15" s="816">
        <v>2</v>
      </c>
      <c r="AT15" s="816" t="str">
        <v>Ab</v>
      </c>
      <c r="AU15" s="816" t="str">
        <v>-</v>
      </c>
      <c r="AV15" s="816" t="str">
        <v>-</v>
      </c>
      <c r="AW15" s="816" t="str">
        <v>-</v>
      </c>
      <c r="AX15" s="816">
        <v>0</v>
      </c>
      <c r="AY15" s="816">
        <v>0</v>
      </c>
      <c r="AZ15" s="816">
        <v>0</v>
      </c>
      <c r="BA15" s="816">
        <v>0</v>
      </c>
      <c r="BB15" s="816">
        <v>0</v>
      </c>
      <c r="BC15" s="816">
        <v>0</v>
      </c>
      <c r="BD15" s="816">
        <v>0</v>
      </c>
      <c r="BE15" s="816">
        <v>0</v>
      </c>
      <c r="BF15" s="816">
        <v>0</v>
      </c>
      <c r="BG15" s="816">
        <v>0</v>
      </c>
      <c r="BH15" s="816">
        <v>0</v>
      </c>
      <c r="BI15" s="816">
        <v>0</v>
      </c>
      <c r="BJ15" s="816">
        <v>0</v>
      </c>
      <c r="BK15" s="816">
        <v>0</v>
      </c>
      <c r="BL15" s="816">
        <v>0</v>
      </c>
      <c r="BM15" s="816">
        <v>0</v>
      </c>
      <c r="BN15" s="816">
        <v>0</v>
      </c>
      <c r="BO15" s="816">
        <v>0</v>
      </c>
      <c r="BP15" s="816">
        <v>0</v>
      </c>
      <c r="BQ15" s="816">
        <v>0</v>
      </c>
      <c r="BR15" s="816">
        <v>0</v>
      </c>
      <c r="BS15" s="816">
        <v>0</v>
      </c>
      <c r="BT15" s="816">
        <v>0</v>
      </c>
      <c r="BU15" s="816">
        <v>0</v>
      </c>
      <c r="BV15" s="816">
        <v>0</v>
      </c>
      <c r="BW15" s="816">
        <v>0</v>
      </c>
      <c r="BX15" s="816">
        <v>0</v>
      </c>
      <c r="BY15" s="816">
        <v>0</v>
      </c>
      <c r="BZ15" s="816">
        <v>0</v>
      </c>
      <c r="CA15" s="816">
        <v>0</v>
      </c>
      <c r="CB15" s="816">
        <v>0</v>
      </c>
      <c r="CC15" s="816">
        <v>0</v>
      </c>
      <c r="CD15" s="816">
        <v>0</v>
      </c>
      <c r="CE15" s="816">
        <v>0</v>
      </c>
      <c r="CF15" s="816">
        <v>0</v>
      </c>
      <c r="CG15" s="816">
        <v>0</v>
      </c>
      <c r="CH15" s="816">
        <v>0</v>
      </c>
      <c r="CI15" s="816">
        <v>0</v>
      </c>
      <c r="CJ15" s="816">
        <v>0</v>
      </c>
      <c r="CK15" s="816">
        <v>0</v>
      </c>
      <c r="CL15" s="816">
        <v>0</v>
      </c>
      <c r="CM15" s="816">
        <v>0</v>
      </c>
      <c r="CN15" s="816">
        <v>0</v>
      </c>
      <c r="CO15" s="816">
        <v>0</v>
      </c>
      <c r="CP15" s="816">
        <v>0</v>
      </c>
      <c r="CQ15" s="816">
        <v>0</v>
      </c>
      <c r="CR15" s="816">
        <v>0</v>
      </c>
      <c r="CS15" s="816">
        <v>0</v>
      </c>
      <c r="CT15" s="816">
        <v>0</v>
      </c>
      <c r="CU15" s="816">
        <v>0</v>
      </c>
      <c r="CV15" s="816">
        <v>0</v>
      </c>
      <c r="CW15" s="816">
        <v>0</v>
      </c>
      <c r="CX15" s="816">
        <v>0</v>
      </c>
      <c r="CY15" s="816">
        <v>0</v>
      </c>
      <c r="CZ15" s="816">
        <v>0</v>
      </c>
      <c r="DA15" s="816">
        <v>0</v>
      </c>
      <c r="DB15" s="816">
        <v>0</v>
      </c>
      <c r="DC15" s="816">
        <v>0</v>
      </c>
      <c r="DE15" s="816" t="s">
        <v>96</v>
      </c>
      <c r="DF15" s="816">
        <f t="shared" si="9"/>
        <v>0</v>
      </c>
      <c r="DG15" s="816" t="s">
        <v>97</v>
      </c>
      <c r="DH15" s="816">
        <f t="shared" si="10"/>
        <v>28</v>
      </c>
      <c r="DI15" s="816" t="s">
        <v>98</v>
      </c>
      <c r="DJ15" s="816">
        <f t="shared" si="11"/>
        <v>5</v>
      </c>
      <c r="DK15" s="816" t="s">
        <v>99</v>
      </c>
      <c r="DL15" s="816">
        <f t="shared" si="12"/>
        <v>3</v>
      </c>
      <c r="DM15" s="816" t="s">
        <v>100</v>
      </c>
      <c r="DN15" s="816">
        <f t="shared" si="13"/>
        <v>0</v>
      </c>
      <c r="DO15" s="816" t="s">
        <v>101</v>
      </c>
      <c r="DP15" s="816">
        <f t="shared" si="14"/>
        <v>3</v>
      </c>
    </row>
    <row r="16" spans="1:120">
      <c r="A16" s="815">
        <v>4</v>
      </c>
      <c r="B16" s="815" t="str">
        <f t="shared" si="1"/>
        <v>4ENGLISH</v>
      </c>
      <c r="C16" s="815" t="str">
        <f>VLOOKUP(A16,DATEWISE!$A$3:$BY$27,2,0)</f>
        <v>31.07.2026</v>
      </c>
      <c r="D16" s="815">
        <f>VLOOKUP(A16,DATEWISE!$A$3:$BY$27,3,0)</f>
        <v>39</v>
      </c>
      <c r="E16" s="815">
        <f>VLOOKUP(A16,DATEWISE!$A$3:$BY$27,4,0)</f>
        <v>3</v>
      </c>
      <c r="F16" s="815" t="str">
        <f t="shared" si="8"/>
        <v>31.07.2026ENGLISH</v>
      </c>
      <c r="G16" s="815" t="s">
        <v>89</v>
      </c>
      <c r="H16" s="816">
        <v>2</v>
      </c>
      <c r="I16" s="816">
        <v>2</v>
      </c>
      <c r="J16" s="816">
        <v>3</v>
      </c>
      <c r="K16" s="816">
        <v>2</v>
      </c>
      <c r="L16" s="816">
        <v>2</v>
      </c>
      <c r="M16" s="816">
        <v>3</v>
      </c>
      <c r="N16" s="816">
        <v>3</v>
      </c>
      <c r="O16" s="816">
        <v>2</v>
      </c>
      <c r="P16" s="816">
        <v>2</v>
      </c>
      <c r="Q16" s="816">
        <v>2</v>
      </c>
      <c r="R16" s="816" t="str">
        <v>Ab</v>
      </c>
      <c r="S16" s="816">
        <v>2</v>
      </c>
      <c r="T16" s="816">
        <v>2</v>
      </c>
      <c r="U16" s="816">
        <v>2</v>
      </c>
      <c r="V16" s="816">
        <v>3</v>
      </c>
      <c r="W16" s="816">
        <v>2</v>
      </c>
      <c r="X16" s="816">
        <v>2</v>
      </c>
      <c r="Y16" s="816">
        <v>2</v>
      </c>
      <c r="Z16" s="816">
        <v>2</v>
      </c>
      <c r="AA16" s="816">
        <v>2</v>
      </c>
      <c r="AB16" s="816">
        <v>2</v>
      </c>
      <c r="AC16" s="816">
        <v>2</v>
      </c>
      <c r="AD16" s="816">
        <v>3</v>
      </c>
      <c r="AE16" s="816">
        <v>2</v>
      </c>
      <c r="AF16" s="816">
        <v>2</v>
      </c>
      <c r="AG16" s="816">
        <v>2</v>
      </c>
      <c r="AH16" s="816">
        <v>2</v>
      </c>
      <c r="AI16" s="816">
        <v>2</v>
      </c>
      <c r="AJ16" s="816">
        <v>2</v>
      </c>
      <c r="AK16" s="816">
        <v>2</v>
      </c>
      <c r="AL16" s="816">
        <v>2</v>
      </c>
      <c r="AM16" s="816">
        <v>2</v>
      </c>
      <c r="AN16" s="816">
        <v>2</v>
      </c>
      <c r="AO16" s="816" t="str">
        <v>Ab</v>
      </c>
      <c r="AP16" s="816">
        <v>2</v>
      </c>
      <c r="AQ16" s="816">
        <v>2</v>
      </c>
      <c r="AR16" s="816">
        <v>2</v>
      </c>
      <c r="AS16" s="816">
        <v>2</v>
      </c>
      <c r="AT16" s="816" t="str">
        <v>Ab</v>
      </c>
      <c r="AU16" s="816" t="str">
        <v>-</v>
      </c>
      <c r="AV16" s="816" t="str">
        <v>-</v>
      </c>
      <c r="AW16" s="816" t="str">
        <v>-</v>
      </c>
      <c r="AX16" s="816">
        <v>0</v>
      </c>
      <c r="AY16" s="816">
        <v>0</v>
      </c>
      <c r="AZ16" s="816">
        <v>0</v>
      </c>
      <c r="BA16" s="816">
        <v>0</v>
      </c>
      <c r="BB16" s="816">
        <v>0</v>
      </c>
      <c r="BC16" s="816">
        <v>0</v>
      </c>
      <c r="BD16" s="816">
        <v>0</v>
      </c>
      <c r="BE16" s="816">
        <v>0</v>
      </c>
      <c r="BF16" s="816">
        <v>0</v>
      </c>
      <c r="BG16" s="816">
        <v>0</v>
      </c>
      <c r="BH16" s="816">
        <v>0</v>
      </c>
      <c r="BI16" s="816">
        <v>0</v>
      </c>
      <c r="BJ16" s="816">
        <v>0</v>
      </c>
      <c r="BK16" s="816">
        <v>0</v>
      </c>
      <c r="BL16" s="816">
        <v>0</v>
      </c>
      <c r="BM16" s="816">
        <v>0</v>
      </c>
      <c r="BN16" s="816">
        <v>0</v>
      </c>
      <c r="BO16" s="816">
        <v>0</v>
      </c>
      <c r="BP16" s="816">
        <v>0</v>
      </c>
      <c r="BQ16" s="816">
        <v>0</v>
      </c>
      <c r="BR16" s="816">
        <v>0</v>
      </c>
      <c r="BS16" s="816">
        <v>0</v>
      </c>
      <c r="BT16" s="816">
        <v>0</v>
      </c>
      <c r="BU16" s="816">
        <v>0</v>
      </c>
      <c r="BV16" s="816">
        <v>0</v>
      </c>
      <c r="BW16" s="816">
        <v>0</v>
      </c>
      <c r="BX16" s="816">
        <v>0</v>
      </c>
      <c r="BY16" s="816">
        <v>0</v>
      </c>
      <c r="BZ16" s="816">
        <v>0</v>
      </c>
      <c r="CA16" s="816">
        <v>0</v>
      </c>
      <c r="CB16" s="816">
        <v>0</v>
      </c>
      <c r="CC16" s="816">
        <v>0</v>
      </c>
      <c r="CD16" s="816">
        <v>0</v>
      </c>
      <c r="CE16" s="816">
        <v>0</v>
      </c>
      <c r="CF16" s="816">
        <v>0</v>
      </c>
      <c r="CG16" s="816">
        <v>0</v>
      </c>
      <c r="CH16" s="816">
        <v>0</v>
      </c>
      <c r="CI16" s="816">
        <v>0</v>
      </c>
      <c r="CJ16" s="816">
        <v>0</v>
      </c>
      <c r="CK16" s="816">
        <v>0</v>
      </c>
      <c r="CL16" s="816">
        <v>0</v>
      </c>
      <c r="CM16" s="816">
        <v>0</v>
      </c>
      <c r="CN16" s="816">
        <v>0</v>
      </c>
      <c r="CO16" s="816">
        <v>0</v>
      </c>
      <c r="CP16" s="816">
        <v>0</v>
      </c>
      <c r="CQ16" s="816">
        <v>0</v>
      </c>
      <c r="CR16" s="816">
        <v>0</v>
      </c>
      <c r="CS16" s="816">
        <v>0</v>
      </c>
      <c r="CT16" s="816">
        <v>0</v>
      </c>
      <c r="CU16" s="816">
        <v>0</v>
      </c>
      <c r="CV16" s="816">
        <v>0</v>
      </c>
      <c r="CW16" s="816">
        <v>0</v>
      </c>
      <c r="CX16" s="816">
        <v>0</v>
      </c>
      <c r="CY16" s="816">
        <v>0</v>
      </c>
      <c r="CZ16" s="816">
        <v>0</v>
      </c>
      <c r="DA16" s="816">
        <v>0</v>
      </c>
      <c r="DB16" s="816">
        <v>0</v>
      </c>
      <c r="DC16" s="816">
        <v>0</v>
      </c>
      <c r="DE16" s="816" t="s">
        <v>96</v>
      </c>
      <c r="DF16" s="816">
        <f t="shared" si="9"/>
        <v>0</v>
      </c>
      <c r="DG16" s="816" t="s">
        <v>97</v>
      </c>
      <c r="DH16" s="816">
        <f t="shared" si="10"/>
        <v>31</v>
      </c>
      <c r="DI16" s="816" t="s">
        <v>98</v>
      </c>
      <c r="DJ16" s="816">
        <f t="shared" si="11"/>
        <v>5</v>
      </c>
      <c r="DK16" s="816" t="s">
        <v>99</v>
      </c>
      <c r="DL16" s="816">
        <f t="shared" si="12"/>
        <v>0</v>
      </c>
      <c r="DM16" s="816" t="s">
        <v>100</v>
      </c>
      <c r="DN16" s="816">
        <f t="shared" si="13"/>
        <v>0</v>
      </c>
      <c r="DO16" s="816" t="s">
        <v>101</v>
      </c>
      <c r="DP16" s="816">
        <f t="shared" si="14"/>
        <v>3</v>
      </c>
    </row>
    <row r="17" spans="1:120">
      <c r="A17" s="815">
        <v>4</v>
      </c>
      <c r="B17" s="815" t="str">
        <f t="shared" si="1"/>
        <v>4MATHS</v>
      </c>
      <c r="C17" s="815" t="str">
        <f>VLOOKUP(A17,DATEWISE!$A$3:$BY$27,2,0)</f>
        <v>31.07.2026</v>
      </c>
      <c r="D17" s="815">
        <f>VLOOKUP(A17,DATEWISE!$A$3:$BY$27,3,0)</f>
        <v>39</v>
      </c>
      <c r="E17" s="815">
        <f>VLOOKUP(A17,DATEWISE!$A$3:$BY$27,4,0)</f>
        <v>3</v>
      </c>
      <c r="F17" s="815" t="str">
        <f t="shared" si="8"/>
        <v>31.07.2026MATHS</v>
      </c>
      <c r="G17" s="815" t="s">
        <v>88</v>
      </c>
      <c r="H17" s="816">
        <v>3</v>
      </c>
      <c r="I17" s="816">
        <v>3</v>
      </c>
      <c r="J17" s="816">
        <v>4</v>
      </c>
      <c r="K17" s="816">
        <v>3</v>
      </c>
      <c r="L17" s="816">
        <v>3</v>
      </c>
      <c r="M17" s="816">
        <v>4</v>
      </c>
      <c r="N17" s="816">
        <v>4</v>
      </c>
      <c r="O17" s="816">
        <v>3</v>
      </c>
      <c r="P17" s="816">
        <v>3</v>
      </c>
      <c r="Q17" s="816">
        <v>3</v>
      </c>
      <c r="R17" s="816" t="str">
        <v>Ab</v>
      </c>
      <c r="S17" s="816">
        <v>4</v>
      </c>
      <c r="T17" s="816">
        <v>3</v>
      </c>
      <c r="U17" s="816">
        <v>3</v>
      </c>
      <c r="V17" s="816">
        <v>4</v>
      </c>
      <c r="W17" s="816">
        <v>3</v>
      </c>
      <c r="X17" s="816">
        <v>4</v>
      </c>
      <c r="Y17" s="816">
        <v>4</v>
      </c>
      <c r="Z17" s="816">
        <v>3</v>
      </c>
      <c r="AA17" s="816">
        <v>3</v>
      </c>
      <c r="AB17" s="816">
        <v>3</v>
      </c>
      <c r="AC17" s="816">
        <v>3</v>
      </c>
      <c r="AD17" s="816">
        <v>4</v>
      </c>
      <c r="AE17" s="816">
        <v>3</v>
      </c>
      <c r="AF17" s="816">
        <v>4</v>
      </c>
      <c r="AG17" s="816">
        <v>3</v>
      </c>
      <c r="AH17" s="816">
        <v>3</v>
      </c>
      <c r="AI17" s="816">
        <v>3</v>
      </c>
      <c r="AJ17" s="816">
        <v>3</v>
      </c>
      <c r="AK17" s="816">
        <v>3</v>
      </c>
      <c r="AL17" s="816">
        <v>3</v>
      </c>
      <c r="AM17" s="816">
        <v>3</v>
      </c>
      <c r="AN17" s="816">
        <v>3</v>
      </c>
      <c r="AO17" s="816" t="str">
        <v>Ab</v>
      </c>
      <c r="AP17" s="816">
        <v>3</v>
      </c>
      <c r="AQ17" s="816">
        <v>3</v>
      </c>
      <c r="AR17" s="816">
        <v>3</v>
      </c>
      <c r="AS17" s="816">
        <v>3</v>
      </c>
      <c r="AT17" s="816" t="str">
        <v>Ab</v>
      </c>
      <c r="AU17" s="816" t="str">
        <v>-</v>
      </c>
      <c r="AV17" s="816" t="str">
        <v>-</v>
      </c>
      <c r="AW17" s="816" t="str">
        <v>-</v>
      </c>
      <c r="AX17" s="816">
        <v>0</v>
      </c>
      <c r="AY17" s="816">
        <v>0</v>
      </c>
      <c r="AZ17" s="816">
        <v>0</v>
      </c>
      <c r="BA17" s="816">
        <v>0</v>
      </c>
      <c r="BB17" s="816">
        <v>0</v>
      </c>
      <c r="BC17" s="816">
        <v>0</v>
      </c>
      <c r="BD17" s="816">
        <v>0</v>
      </c>
      <c r="BE17" s="816">
        <v>0</v>
      </c>
      <c r="BF17" s="816">
        <v>0</v>
      </c>
      <c r="BG17" s="816">
        <v>0</v>
      </c>
      <c r="BH17" s="816">
        <v>0</v>
      </c>
      <c r="BI17" s="816">
        <v>0</v>
      </c>
      <c r="BJ17" s="816">
        <v>0</v>
      </c>
      <c r="BK17" s="816">
        <v>0</v>
      </c>
      <c r="BL17" s="816">
        <v>0</v>
      </c>
      <c r="BM17" s="816">
        <v>0</v>
      </c>
      <c r="BN17" s="816">
        <v>0</v>
      </c>
      <c r="BO17" s="816">
        <v>0</v>
      </c>
      <c r="BP17" s="816">
        <v>0</v>
      </c>
      <c r="BQ17" s="816">
        <v>0</v>
      </c>
      <c r="BR17" s="816">
        <v>0</v>
      </c>
      <c r="BS17" s="816">
        <v>0</v>
      </c>
      <c r="BT17" s="816">
        <v>0</v>
      </c>
      <c r="BU17" s="816">
        <v>0</v>
      </c>
      <c r="BV17" s="816">
        <v>0</v>
      </c>
      <c r="BW17" s="816">
        <v>0</v>
      </c>
      <c r="BX17" s="816">
        <v>0</v>
      </c>
      <c r="BY17" s="816">
        <v>0</v>
      </c>
      <c r="BZ17" s="816">
        <v>0</v>
      </c>
      <c r="CA17" s="816">
        <v>0</v>
      </c>
      <c r="CB17" s="816">
        <v>0</v>
      </c>
      <c r="CC17" s="816">
        <v>0</v>
      </c>
      <c r="CD17" s="816">
        <v>0</v>
      </c>
      <c r="CE17" s="816">
        <v>0</v>
      </c>
      <c r="CF17" s="816">
        <v>0</v>
      </c>
      <c r="CG17" s="816">
        <v>0</v>
      </c>
      <c r="CH17" s="816">
        <v>0</v>
      </c>
      <c r="CI17" s="816">
        <v>0</v>
      </c>
      <c r="CJ17" s="816">
        <v>0</v>
      </c>
      <c r="CK17" s="816">
        <v>0</v>
      </c>
      <c r="CL17" s="816">
        <v>0</v>
      </c>
      <c r="CM17" s="816">
        <v>0</v>
      </c>
      <c r="CN17" s="816">
        <v>0</v>
      </c>
      <c r="CO17" s="816">
        <v>0</v>
      </c>
      <c r="CP17" s="816">
        <v>0</v>
      </c>
      <c r="CQ17" s="816">
        <v>0</v>
      </c>
      <c r="CR17" s="816">
        <v>0</v>
      </c>
      <c r="CS17" s="816">
        <v>0</v>
      </c>
      <c r="CT17" s="816">
        <v>0</v>
      </c>
      <c r="CU17" s="816">
        <v>0</v>
      </c>
      <c r="CV17" s="816">
        <v>0</v>
      </c>
      <c r="CW17" s="816">
        <v>0</v>
      </c>
      <c r="CX17" s="816">
        <v>0</v>
      </c>
      <c r="CY17" s="816">
        <v>0</v>
      </c>
      <c r="CZ17" s="816">
        <v>0</v>
      </c>
      <c r="DA17" s="816">
        <v>0</v>
      </c>
      <c r="DB17" s="816">
        <v>0</v>
      </c>
      <c r="DC17" s="816">
        <v>0</v>
      </c>
      <c r="DE17" s="816" t="s">
        <v>96</v>
      </c>
      <c r="DF17" s="816">
        <f t="shared" si="9"/>
        <v>0</v>
      </c>
      <c r="DG17" s="816" t="s">
        <v>97</v>
      </c>
      <c r="DH17" s="816">
        <f t="shared" si="10"/>
        <v>0</v>
      </c>
      <c r="DI17" s="816" t="s">
        <v>98</v>
      </c>
      <c r="DJ17" s="816">
        <f t="shared" si="11"/>
        <v>27</v>
      </c>
      <c r="DK17" s="816" t="s">
        <v>99</v>
      </c>
      <c r="DL17" s="816">
        <f t="shared" si="12"/>
        <v>9</v>
      </c>
      <c r="DM17" s="816" t="s">
        <v>100</v>
      </c>
      <c r="DN17" s="816">
        <f t="shared" si="13"/>
        <v>0</v>
      </c>
      <c r="DO17" s="816" t="s">
        <v>101</v>
      </c>
      <c r="DP17" s="816">
        <f t="shared" si="14"/>
        <v>3</v>
      </c>
    </row>
    <row r="18" spans="1:120">
      <c r="A18" s="815">
        <v>4</v>
      </c>
      <c r="B18" s="815" t="str">
        <f t="shared" si="1"/>
        <v>4REMARKS</v>
      </c>
      <c r="C18" s="815" t="str">
        <f>VLOOKUP(A18,DATEWISE!$A$3:$BY$27,2,0)</f>
        <v>31.07.2026</v>
      </c>
      <c r="D18" s="815">
        <f>VLOOKUP(A18,DATEWISE!$A$3:$BY$27,3,0)</f>
        <v>39</v>
      </c>
      <c r="E18" s="815">
        <f>VLOOKUP(A18,DATEWISE!$A$3:$BY$27,4,0)</f>
        <v>3</v>
      </c>
      <c r="F18" s="815" t="str">
        <f t="shared" si="8"/>
        <v>31.07.2026REMARKS</v>
      </c>
      <c r="G18" s="815" t="s">
        <v>390</v>
      </c>
      <c r="H18" s="816">
        <v>0</v>
      </c>
      <c r="I18" s="816">
        <v>0</v>
      </c>
      <c r="J18" s="816">
        <v>0</v>
      </c>
      <c r="K18" s="816">
        <v>0</v>
      </c>
      <c r="L18" s="816">
        <v>0</v>
      </c>
      <c r="M18" s="816">
        <v>0</v>
      </c>
      <c r="N18" s="816">
        <v>0</v>
      </c>
      <c r="O18" s="816">
        <v>0</v>
      </c>
      <c r="P18" s="816">
        <v>0</v>
      </c>
      <c r="Q18" s="816">
        <v>0</v>
      </c>
      <c r="R18" s="816">
        <v>0</v>
      </c>
      <c r="S18" s="816">
        <v>0</v>
      </c>
      <c r="T18" s="816">
        <v>0</v>
      </c>
      <c r="U18" s="816">
        <v>0</v>
      </c>
      <c r="V18" s="816">
        <v>0</v>
      </c>
      <c r="W18" s="816">
        <v>0</v>
      </c>
      <c r="X18" s="816">
        <v>0</v>
      </c>
      <c r="Y18" s="816">
        <v>0</v>
      </c>
      <c r="Z18" s="816">
        <v>0</v>
      </c>
      <c r="AA18" s="816">
        <v>0</v>
      </c>
      <c r="AB18" s="816">
        <v>0</v>
      </c>
      <c r="AC18" s="816">
        <v>0</v>
      </c>
      <c r="AD18" s="816">
        <v>0</v>
      </c>
      <c r="AE18" s="816">
        <v>0</v>
      </c>
      <c r="AF18" s="816">
        <v>0</v>
      </c>
      <c r="AG18" s="816">
        <v>0</v>
      </c>
      <c r="AH18" s="816">
        <v>0</v>
      </c>
      <c r="AI18" s="816">
        <v>0</v>
      </c>
      <c r="AJ18" s="816">
        <v>0</v>
      </c>
      <c r="AK18" s="816">
        <v>0</v>
      </c>
      <c r="AL18" s="816">
        <v>0</v>
      </c>
      <c r="AM18" s="816">
        <v>0</v>
      </c>
      <c r="AN18" s="816" t="str">
        <v>-</v>
      </c>
      <c r="AO18" s="816" t="str">
        <v>-</v>
      </c>
      <c r="AP18" s="816" t="str">
        <v>-</v>
      </c>
      <c r="AQ18" s="816" t="str">
        <v>-</v>
      </c>
      <c r="AR18" s="816" t="str">
        <v>-</v>
      </c>
      <c r="AS18" s="816" t="str">
        <v>-</v>
      </c>
      <c r="AT18" s="816" t="str">
        <v>-</v>
      </c>
      <c r="AU18" s="816" t="str">
        <v>-</v>
      </c>
      <c r="AV18" s="816" t="str">
        <v>-</v>
      </c>
      <c r="AW18" s="816" t="str">
        <v>-</v>
      </c>
      <c r="AX18" s="816">
        <v>0</v>
      </c>
      <c r="AY18" s="816">
        <v>0</v>
      </c>
      <c r="AZ18" s="816">
        <v>0</v>
      </c>
      <c r="BA18" s="816">
        <v>0</v>
      </c>
      <c r="BB18" s="816">
        <v>0</v>
      </c>
      <c r="BC18" s="816">
        <v>0</v>
      </c>
      <c r="BD18" s="816">
        <v>0</v>
      </c>
      <c r="BE18" s="816">
        <v>0</v>
      </c>
      <c r="BF18" s="816">
        <v>0</v>
      </c>
      <c r="BG18" s="816">
        <v>0</v>
      </c>
      <c r="BH18" s="816">
        <v>0</v>
      </c>
      <c r="BI18" s="816">
        <v>0</v>
      </c>
      <c r="BJ18" s="816">
        <v>0</v>
      </c>
      <c r="BK18" s="816">
        <v>0</v>
      </c>
      <c r="BL18" s="816">
        <v>0</v>
      </c>
      <c r="BM18" s="816">
        <v>0</v>
      </c>
      <c r="BN18" s="816">
        <v>0</v>
      </c>
      <c r="BO18" s="816">
        <v>0</v>
      </c>
      <c r="BP18" s="816">
        <v>0</v>
      </c>
      <c r="BQ18" s="816">
        <v>0</v>
      </c>
      <c r="BR18" s="816">
        <v>0</v>
      </c>
      <c r="BS18" s="816">
        <v>0</v>
      </c>
      <c r="BT18" s="816">
        <v>0</v>
      </c>
      <c r="BU18" s="816">
        <v>0</v>
      </c>
      <c r="BV18" s="816">
        <v>0</v>
      </c>
      <c r="BW18" s="816">
        <v>0</v>
      </c>
      <c r="BX18" s="816">
        <v>0</v>
      </c>
      <c r="BY18" s="816">
        <v>0</v>
      </c>
      <c r="BZ18" s="816">
        <v>0</v>
      </c>
      <c r="CA18" s="816">
        <v>0</v>
      </c>
      <c r="CB18" s="816">
        <v>0</v>
      </c>
      <c r="CC18" s="816">
        <v>0</v>
      </c>
      <c r="CD18" s="816">
        <v>0</v>
      </c>
      <c r="CE18" s="816">
        <v>0</v>
      </c>
      <c r="CF18" s="816">
        <v>0</v>
      </c>
      <c r="CG18" s="816">
        <v>0</v>
      </c>
      <c r="CH18" s="816">
        <v>0</v>
      </c>
      <c r="CI18" s="816">
        <v>0</v>
      </c>
      <c r="CJ18" s="816">
        <v>0</v>
      </c>
      <c r="CK18" s="816">
        <v>0</v>
      </c>
      <c r="CL18" s="816">
        <v>0</v>
      </c>
      <c r="CM18" s="816">
        <v>0</v>
      </c>
      <c r="CN18" s="816">
        <v>0</v>
      </c>
      <c r="CO18" s="816">
        <v>0</v>
      </c>
      <c r="CP18" s="816">
        <v>0</v>
      </c>
      <c r="CQ18" s="816">
        <v>0</v>
      </c>
      <c r="CR18" s="816">
        <v>0</v>
      </c>
      <c r="CS18" s="816">
        <v>0</v>
      </c>
      <c r="CT18" s="816">
        <v>0</v>
      </c>
      <c r="CU18" s="816">
        <v>0</v>
      </c>
      <c r="CV18" s="816">
        <v>0</v>
      </c>
      <c r="CW18" s="816">
        <v>0</v>
      </c>
      <c r="CX18" s="816">
        <v>0</v>
      </c>
      <c r="CY18" s="816">
        <v>0</v>
      </c>
      <c r="CZ18" s="816">
        <v>0</v>
      </c>
      <c r="DA18" s="816">
        <v>0</v>
      </c>
      <c r="DB18" s="816">
        <v>0</v>
      </c>
      <c r="DC18" s="816">
        <v>0</v>
      </c>
      <c r="DE18" s="816" t="s">
        <v>96</v>
      </c>
      <c r="DF18" s="816">
        <f t="shared" si="9"/>
        <v>0</v>
      </c>
      <c r="DG18" s="816" t="s">
        <v>97</v>
      </c>
      <c r="DH18" s="816">
        <f t="shared" si="10"/>
        <v>0</v>
      </c>
      <c r="DI18" s="816" t="s">
        <v>98</v>
      </c>
      <c r="DJ18" s="816">
        <f t="shared" si="11"/>
        <v>0</v>
      </c>
      <c r="DK18" s="816" t="s">
        <v>99</v>
      </c>
      <c r="DL18" s="816">
        <f t="shared" si="12"/>
        <v>0</v>
      </c>
      <c r="DM18" s="816" t="s">
        <v>100</v>
      </c>
      <c r="DN18" s="816">
        <f t="shared" si="13"/>
        <v>0</v>
      </c>
      <c r="DO18" s="816" t="s">
        <v>101</v>
      </c>
      <c r="DP18" s="816">
        <f t="shared" si="14"/>
        <v>0</v>
      </c>
    </row>
    <row r="19" spans="1:120">
      <c r="A19" s="815">
        <v>5</v>
      </c>
      <c r="B19" s="815" t="str">
        <f t="shared" si="1"/>
        <v>5HINDI</v>
      </c>
      <c r="C19" s="815" t="str">
        <f>VLOOKUP(A19,DATEWISE!$A$3:$BY$27,2,0)</f>
        <v>17.08.2026</v>
      </c>
      <c r="D19" s="815">
        <f>VLOOKUP(A19,DATEWISE!$A$3:$BY$27,3,0)</f>
        <v>39</v>
      </c>
      <c r="E19" s="815">
        <f>VLOOKUP(A19,DATEWISE!$A$3:$BY$27,4,0)</f>
        <v>3</v>
      </c>
      <c r="F19" s="815" t="str">
        <f t="shared" si="8"/>
        <v>17.08.2026HINDI</v>
      </c>
      <c r="G19" s="815" t="s">
        <v>87</v>
      </c>
      <c r="H19" s="816">
        <v>2</v>
      </c>
      <c r="I19" s="816">
        <v>3</v>
      </c>
      <c r="J19" s="816">
        <v>3</v>
      </c>
      <c r="K19" s="816">
        <v>3</v>
      </c>
      <c r="L19" s="816">
        <v>2</v>
      </c>
      <c r="M19" s="816">
        <v>4</v>
      </c>
      <c r="N19" s="816">
        <v>4</v>
      </c>
      <c r="O19" s="816">
        <v>2</v>
      </c>
      <c r="P19" s="816">
        <v>2</v>
      </c>
      <c r="Q19" s="816">
        <v>2</v>
      </c>
      <c r="R19" s="816" t="str">
        <v>Ab</v>
      </c>
      <c r="S19" s="816">
        <v>2</v>
      </c>
      <c r="T19" s="816">
        <v>2</v>
      </c>
      <c r="U19" s="816">
        <v>2</v>
      </c>
      <c r="V19" s="816">
        <v>3</v>
      </c>
      <c r="W19" s="816">
        <v>2</v>
      </c>
      <c r="X19" s="816">
        <v>2</v>
      </c>
      <c r="Y19" s="816">
        <v>2</v>
      </c>
      <c r="Z19" s="816">
        <v>2</v>
      </c>
      <c r="AA19" s="816">
        <v>2</v>
      </c>
      <c r="AB19" s="816">
        <v>2</v>
      </c>
      <c r="AC19" s="816">
        <v>2</v>
      </c>
      <c r="AD19" s="816">
        <v>4</v>
      </c>
      <c r="AE19" s="816">
        <v>2</v>
      </c>
      <c r="AF19" s="816">
        <v>3</v>
      </c>
      <c r="AG19" s="816">
        <v>2</v>
      </c>
      <c r="AH19" s="816">
        <v>2</v>
      </c>
      <c r="AI19" s="816">
        <v>2</v>
      </c>
      <c r="AJ19" s="816">
        <v>2</v>
      </c>
      <c r="AK19" s="816">
        <v>2</v>
      </c>
      <c r="AL19" s="816">
        <v>2</v>
      </c>
      <c r="AM19" s="816">
        <v>2</v>
      </c>
      <c r="AN19" s="816">
        <v>2</v>
      </c>
      <c r="AO19" s="816" t="str">
        <v>Ab</v>
      </c>
      <c r="AP19" s="816">
        <v>2</v>
      </c>
      <c r="AQ19" s="816">
        <v>2</v>
      </c>
      <c r="AR19" s="816">
        <v>2</v>
      </c>
      <c r="AS19" s="816">
        <v>2</v>
      </c>
      <c r="AT19" s="816" t="str">
        <v>Ab</v>
      </c>
      <c r="AU19" s="816" t="str">
        <v>-</v>
      </c>
      <c r="AV19" s="816" t="str">
        <v>-</v>
      </c>
      <c r="AW19" s="816" t="str">
        <v>-</v>
      </c>
      <c r="AX19" s="816">
        <v>0</v>
      </c>
      <c r="AY19" s="816">
        <v>0</v>
      </c>
      <c r="AZ19" s="816">
        <v>0</v>
      </c>
      <c r="BA19" s="816">
        <v>0</v>
      </c>
      <c r="BB19" s="816">
        <v>0</v>
      </c>
      <c r="BC19" s="816">
        <v>0</v>
      </c>
      <c r="BD19" s="816">
        <v>0</v>
      </c>
      <c r="BE19" s="816">
        <v>0</v>
      </c>
      <c r="BF19" s="816">
        <v>0</v>
      </c>
      <c r="BG19" s="816">
        <v>0</v>
      </c>
      <c r="BH19" s="816">
        <v>0</v>
      </c>
      <c r="BI19" s="816">
        <v>0</v>
      </c>
      <c r="BJ19" s="816">
        <v>0</v>
      </c>
      <c r="BK19" s="816">
        <v>0</v>
      </c>
      <c r="BL19" s="816">
        <v>0</v>
      </c>
      <c r="BM19" s="816">
        <v>0</v>
      </c>
      <c r="BN19" s="816">
        <v>0</v>
      </c>
      <c r="BO19" s="816">
        <v>0</v>
      </c>
      <c r="BP19" s="816">
        <v>0</v>
      </c>
      <c r="BQ19" s="816">
        <v>0</v>
      </c>
      <c r="BR19" s="816">
        <v>0</v>
      </c>
      <c r="BS19" s="816">
        <v>0</v>
      </c>
      <c r="BT19" s="816">
        <v>0</v>
      </c>
      <c r="BU19" s="816">
        <v>0</v>
      </c>
      <c r="BV19" s="816">
        <v>0</v>
      </c>
      <c r="BW19" s="816">
        <v>0</v>
      </c>
      <c r="BX19" s="816">
        <v>0</v>
      </c>
      <c r="BY19" s="816">
        <v>0</v>
      </c>
      <c r="BZ19" s="816">
        <v>0</v>
      </c>
      <c r="CA19" s="816">
        <v>0</v>
      </c>
      <c r="CB19" s="816">
        <v>0</v>
      </c>
      <c r="CC19" s="816">
        <v>0</v>
      </c>
      <c r="CD19" s="816">
        <v>0</v>
      </c>
      <c r="CE19" s="816">
        <v>0</v>
      </c>
      <c r="CF19" s="816">
        <v>0</v>
      </c>
      <c r="CG19" s="816">
        <v>0</v>
      </c>
      <c r="CH19" s="816">
        <v>0</v>
      </c>
      <c r="CI19" s="816">
        <v>0</v>
      </c>
      <c r="CJ19" s="816">
        <v>0</v>
      </c>
      <c r="CK19" s="816">
        <v>0</v>
      </c>
      <c r="CL19" s="816">
        <v>0</v>
      </c>
      <c r="CM19" s="816">
        <v>0</v>
      </c>
      <c r="CN19" s="816">
        <v>0</v>
      </c>
      <c r="CO19" s="816">
        <v>0</v>
      </c>
      <c r="CP19" s="816">
        <v>0</v>
      </c>
      <c r="CQ19" s="816">
        <v>0</v>
      </c>
      <c r="CR19" s="816">
        <v>0</v>
      </c>
      <c r="CS19" s="816">
        <v>0</v>
      </c>
      <c r="CT19" s="816">
        <v>0</v>
      </c>
      <c r="CU19" s="816">
        <v>0</v>
      </c>
      <c r="CV19" s="816">
        <v>0</v>
      </c>
      <c r="CW19" s="816">
        <v>0</v>
      </c>
      <c r="CX19" s="816">
        <v>0</v>
      </c>
      <c r="CY19" s="816">
        <v>0</v>
      </c>
      <c r="CZ19" s="816">
        <v>0</v>
      </c>
      <c r="DA19" s="816">
        <v>0</v>
      </c>
      <c r="DB19" s="816">
        <v>0</v>
      </c>
      <c r="DC19" s="816">
        <v>0</v>
      </c>
      <c r="DE19" s="816" t="s">
        <v>96</v>
      </c>
      <c r="DF19" s="816">
        <f t="shared" si="9"/>
        <v>0</v>
      </c>
      <c r="DG19" s="816" t="s">
        <v>97</v>
      </c>
      <c r="DH19" s="816">
        <f t="shared" si="10"/>
        <v>28</v>
      </c>
      <c r="DI19" s="816" t="s">
        <v>98</v>
      </c>
      <c r="DJ19" s="816">
        <f t="shared" si="11"/>
        <v>5</v>
      </c>
      <c r="DK19" s="816" t="s">
        <v>99</v>
      </c>
      <c r="DL19" s="816">
        <f t="shared" si="12"/>
        <v>3</v>
      </c>
      <c r="DM19" s="816" t="s">
        <v>100</v>
      </c>
      <c r="DN19" s="816">
        <f t="shared" si="13"/>
        <v>0</v>
      </c>
      <c r="DO19" s="816" t="s">
        <v>101</v>
      </c>
      <c r="DP19" s="816">
        <f t="shared" si="14"/>
        <v>3</v>
      </c>
    </row>
    <row r="20" spans="1:120">
      <c r="A20" s="815">
        <v>5</v>
      </c>
      <c r="B20" s="815" t="str">
        <f t="shared" si="1"/>
        <v>5ENGLISH</v>
      </c>
      <c r="C20" s="815" t="str">
        <f>VLOOKUP(A20,DATEWISE!$A$3:$BY$27,2,0)</f>
        <v>17.08.2026</v>
      </c>
      <c r="D20" s="815">
        <f>VLOOKUP(A20,DATEWISE!$A$3:$BY$27,3,0)</f>
        <v>39</v>
      </c>
      <c r="E20" s="815">
        <f>VLOOKUP(A20,DATEWISE!$A$3:$BY$27,4,0)</f>
        <v>3</v>
      </c>
      <c r="F20" s="815" t="str">
        <f t="shared" si="8"/>
        <v>17.08.2026ENGLISH</v>
      </c>
      <c r="G20" s="815" t="s">
        <v>89</v>
      </c>
      <c r="H20" s="816">
        <v>2</v>
      </c>
      <c r="I20" s="816">
        <v>2</v>
      </c>
      <c r="J20" s="816">
        <v>3</v>
      </c>
      <c r="K20" s="816">
        <v>2</v>
      </c>
      <c r="L20" s="816">
        <v>2</v>
      </c>
      <c r="M20" s="816">
        <v>3</v>
      </c>
      <c r="N20" s="816">
        <v>3</v>
      </c>
      <c r="O20" s="816">
        <v>2</v>
      </c>
      <c r="P20" s="816">
        <v>2</v>
      </c>
      <c r="Q20" s="816">
        <v>2</v>
      </c>
      <c r="R20" s="816" t="str">
        <v>Ab</v>
      </c>
      <c r="S20" s="816">
        <v>2</v>
      </c>
      <c r="T20" s="816">
        <v>2</v>
      </c>
      <c r="U20" s="816">
        <v>2</v>
      </c>
      <c r="V20" s="816">
        <v>3</v>
      </c>
      <c r="W20" s="816">
        <v>2</v>
      </c>
      <c r="X20" s="816">
        <v>2</v>
      </c>
      <c r="Y20" s="816">
        <v>2</v>
      </c>
      <c r="Z20" s="816">
        <v>2</v>
      </c>
      <c r="AA20" s="816">
        <v>2</v>
      </c>
      <c r="AB20" s="816">
        <v>2</v>
      </c>
      <c r="AC20" s="816">
        <v>2</v>
      </c>
      <c r="AD20" s="816">
        <v>3</v>
      </c>
      <c r="AE20" s="816">
        <v>2</v>
      </c>
      <c r="AF20" s="816">
        <v>2</v>
      </c>
      <c r="AG20" s="816">
        <v>2</v>
      </c>
      <c r="AH20" s="816">
        <v>2</v>
      </c>
      <c r="AI20" s="816">
        <v>2</v>
      </c>
      <c r="AJ20" s="816">
        <v>2</v>
      </c>
      <c r="AK20" s="816">
        <v>2</v>
      </c>
      <c r="AL20" s="816">
        <v>2</v>
      </c>
      <c r="AM20" s="816">
        <v>2</v>
      </c>
      <c r="AN20" s="816">
        <v>2</v>
      </c>
      <c r="AO20" s="816" t="str">
        <v>Ab</v>
      </c>
      <c r="AP20" s="816">
        <v>2</v>
      </c>
      <c r="AQ20" s="816">
        <v>2</v>
      </c>
      <c r="AR20" s="816">
        <v>2</v>
      </c>
      <c r="AS20" s="816">
        <v>2</v>
      </c>
      <c r="AT20" s="816" t="str">
        <v>Ab</v>
      </c>
      <c r="AU20" s="816" t="str">
        <v>-</v>
      </c>
      <c r="AV20" s="816" t="str">
        <v>-</v>
      </c>
      <c r="AW20" s="816" t="str">
        <v>-</v>
      </c>
      <c r="AX20" s="816">
        <v>0</v>
      </c>
      <c r="AY20" s="816">
        <v>0</v>
      </c>
      <c r="AZ20" s="816">
        <v>0</v>
      </c>
      <c r="BA20" s="816">
        <v>0</v>
      </c>
      <c r="BB20" s="816">
        <v>0</v>
      </c>
      <c r="BC20" s="816">
        <v>0</v>
      </c>
      <c r="BD20" s="816">
        <v>0</v>
      </c>
      <c r="BE20" s="816">
        <v>0</v>
      </c>
      <c r="BF20" s="816">
        <v>0</v>
      </c>
      <c r="BG20" s="816">
        <v>0</v>
      </c>
      <c r="BH20" s="816">
        <v>0</v>
      </c>
      <c r="BI20" s="816">
        <v>0</v>
      </c>
      <c r="BJ20" s="816">
        <v>0</v>
      </c>
      <c r="BK20" s="816">
        <v>0</v>
      </c>
      <c r="BL20" s="816">
        <v>0</v>
      </c>
      <c r="BM20" s="816">
        <v>0</v>
      </c>
      <c r="BN20" s="816">
        <v>0</v>
      </c>
      <c r="BO20" s="816">
        <v>0</v>
      </c>
      <c r="BP20" s="816">
        <v>0</v>
      </c>
      <c r="BQ20" s="816">
        <v>0</v>
      </c>
      <c r="BR20" s="816">
        <v>0</v>
      </c>
      <c r="BS20" s="816">
        <v>0</v>
      </c>
      <c r="BT20" s="816">
        <v>0</v>
      </c>
      <c r="BU20" s="816">
        <v>0</v>
      </c>
      <c r="BV20" s="816">
        <v>0</v>
      </c>
      <c r="BW20" s="816">
        <v>0</v>
      </c>
      <c r="BX20" s="816">
        <v>0</v>
      </c>
      <c r="BY20" s="816">
        <v>0</v>
      </c>
      <c r="BZ20" s="816">
        <v>0</v>
      </c>
      <c r="CA20" s="816">
        <v>0</v>
      </c>
      <c r="CB20" s="816">
        <v>0</v>
      </c>
      <c r="CC20" s="816">
        <v>0</v>
      </c>
      <c r="CD20" s="816">
        <v>0</v>
      </c>
      <c r="CE20" s="816">
        <v>0</v>
      </c>
      <c r="CF20" s="816">
        <v>0</v>
      </c>
      <c r="CG20" s="816">
        <v>0</v>
      </c>
      <c r="CH20" s="816">
        <v>0</v>
      </c>
      <c r="CI20" s="816">
        <v>0</v>
      </c>
      <c r="CJ20" s="816">
        <v>0</v>
      </c>
      <c r="CK20" s="816">
        <v>0</v>
      </c>
      <c r="CL20" s="816">
        <v>0</v>
      </c>
      <c r="CM20" s="816">
        <v>0</v>
      </c>
      <c r="CN20" s="816">
        <v>0</v>
      </c>
      <c r="CO20" s="816">
        <v>0</v>
      </c>
      <c r="CP20" s="816">
        <v>0</v>
      </c>
      <c r="CQ20" s="816">
        <v>0</v>
      </c>
      <c r="CR20" s="816">
        <v>0</v>
      </c>
      <c r="CS20" s="816">
        <v>0</v>
      </c>
      <c r="CT20" s="816">
        <v>0</v>
      </c>
      <c r="CU20" s="816">
        <v>0</v>
      </c>
      <c r="CV20" s="816">
        <v>0</v>
      </c>
      <c r="CW20" s="816">
        <v>0</v>
      </c>
      <c r="CX20" s="816">
        <v>0</v>
      </c>
      <c r="CY20" s="816">
        <v>0</v>
      </c>
      <c r="CZ20" s="816">
        <v>0</v>
      </c>
      <c r="DA20" s="816">
        <v>0</v>
      </c>
      <c r="DB20" s="816">
        <v>0</v>
      </c>
      <c r="DC20" s="816">
        <v>0</v>
      </c>
      <c r="DE20" s="816" t="s">
        <v>96</v>
      </c>
      <c r="DF20" s="816">
        <f t="shared" si="9"/>
        <v>0</v>
      </c>
      <c r="DG20" s="816" t="s">
        <v>97</v>
      </c>
      <c r="DH20" s="816">
        <f t="shared" si="10"/>
        <v>31</v>
      </c>
      <c r="DI20" s="816" t="s">
        <v>98</v>
      </c>
      <c r="DJ20" s="816">
        <f t="shared" si="11"/>
        <v>5</v>
      </c>
      <c r="DK20" s="816" t="s">
        <v>99</v>
      </c>
      <c r="DL20" s="816">
        <f t="shared" si="12"/>
        <v>0</v>
      </c>
      <c r="DM20" s="816" t="s">
        <v>100</v>
      </c>
      <c r="DN20" s="816">
        <f t="shared" si="13"/>
        <v>0</v>
      </c>
      <c r="DO20" s="816" t="s">
        <v>101</v>
      </c>
      <c r="DP20" s="816">
        <f t="shared" si="14"/>
        <v>3</v>
      </c>
    </row>
    <row r="21" spans="1:120">
      <c r="A21" s="815">
        <v>5</v>
      </c>
      <c r="B21" s="815" t="str">
        <f t="shared" si="1"/>
        <v>5MATHS</v>
      </c>
      <c r="C21" s="815" t="str">
        <f>VLOOKUP(A21,DATEWISE!$A$3:$BY$27,2,0)</f>
        <v>17.08.2026</v>
      </c>
      <c r="D21" s="815">
        <f>VLOOKUP(A21,DATEWISE!$A$3:$BY$27,3,0)</f>
        <v>39</v>
      </c>
      <c r="E21" s="815">
        <f>VLOOKUP(A21,DATEWISE!$A$3:$BY$27,4,0)</f>
        <v>3</v>
      </c>
      <c r="F21" s="815" t="str">
        <f t="shared" si="8"/>
        <v>17.08.2026MATHS</v>
      </c>
      <c r="G21" s="815" t="s">
        <v>88</v>
      </c>
      <c r="H21" s="816">
        <v>3</v>
      </c>
      <c r="I21" s="816">
        <v>3</v>
      </c>
      <c r="J21" s="816">
        <v>4</v>
      </c>
      <c r="K21" s="816">
        <v>3</v>
      </c>
      <c r="L21" s="816">
        <v>3</v>
      </c>
      <c r="M21" s="816">
        <v>4</v>
      </c>
      <c r="N21" s="816">
        <v>4</v>
      </c>
      <c r="O21" s="816">
        <v>3</v>
      </c>
      <c r="P21" s="816">
        <v>3</v>
      </c>
      <c r="Q21" s="816">
        <v>3</v>
      </c>
      <c r="R21" s="816" t="str">
        <v>Ab</v>
      </c>
      <c r="S21" s="816">
        <v>4</v>
      </c>
      <c r="T21" s="816">
        <v>3</v>
      </c>
      <c r="U21" s="816">
        <v>3</v>
      </c>
      <c r="V21" s="816">
        <v>4</v>
      </c>
      <c r="W21" s="816">
        <v>3</v>
      </c>
      <c r="X21" s="816">
        <v>4</v>
      </c>
      <c r="Y21" s="816">
        <v>4</v>
      </c>
      <c r="Z21" s="816">
        <v>3</v>
      </c>
      <c r="AA21" s="816">
        <v>3</v>
      </c>
      <c r="AB21" s="816">
        <v>3</v>
      </c>
      <c r="AC21" s="816">
        <v>3</v>
      </c>
      <c r="AD21" s="816">
        <v>4</v>
      </c>
      <c r="AE21" s="816">
        <v>3</v>
      </c>
      <c r="AF21" s="816">
        <v>4</v>
      </c>
      <c r="AG21" s="816">
        <v>3</v>
      </c>
      <c r="AH21" s="816">
        <v>3</v>
      </c>
      <c r="AI21" s="816">
        <v>3</v>
      </c>
      <c r="AJ21" s="816">
        <v>3</v>
      </c>
      <c r="AK21" s="816">
        <v>3</v>
      </c>
      <c r="AL21" s="816">
        <v>3</v>
      </c>
      <c r="AM21" s="816">
        <v>3</v>
      </c>
      <c r="AN21" s="816">
        <v>3</v>
      </c>
      <c r="AO21" s="816" t="str">
        <v>Ab</v>
      </c>
      <c r="AP21" s="816">
        <v>3</v>
      </c>
      <c r="AQ21" s="816">
        <v>3</v>
      </c>
      <c r="AR21" s="816">
        <v>3</v>
      </c>
      <c r="AS21" s="816">
        <v>3</v>
      </c>
      <c r="AT21" s="816" t="str">
        <v>Ab</v>
      </c>
      <c r="AU21" s="816" t="str">
        <v>-</v>
      </c>
      <c r="AV21" s="816" t="str">
        <v>-</v>
      </c>
      <c r="AW21" s="816" t="str">
        <v>-</v>
      </c>
      <c r="AX21" s="816">
        <v>0</v>
      </c>
      <c r="AY21" s="816">
        <v>0</v>
      </c>
      <c r="AZ21" s="816">
        <v>0</v>
      </c>
      <c r="BA21" s="816">
        <v>0</v>
      </c>
      <c r="BB21" s="816">
        <v>0</v>
      </c>
      <c r="BC21" s="816">
        <v>0</v>
      </c>
      <c r="BD21" s="816">
        <v>0</v>
      </c>
      <c r="BE21" s="816">
        <v>0</v>
      </c>
      <c r="BF21" s="816">
        <v>0</v>
      </c>
      <c r="BG21" s="816">
        <v>0</v>
      </c>
      <c r="BH21" s="816">
        <v>0</v>
      </c>
      <c r="BI21" s="816">
        <v>0</v>
      </c>
      <c r="BJ21" s="816">
        <v>0</v>
      </c>
      <c r="BK21" s="816">
        <v>0</v>
      </c>
      <c r="BL21" s="816">
        <v>0</v>
      </c>
      <c r="BM21" s="816">
        <v>0</v>
      </c>
      <c r="BN21" s="816">
        <v>0</v>
      </c>
      <c r="BO21" s="816">
        <v>0</v>
      </c>
      <c r="BP21" s="816">
        <v>0</v>
      </c>
      <c r="BQ21" s="816">
        <v>0</v>
      </c>
      <c r="BR21" s="816">
        <v>0</v>
      </c>
      <c r="BS21" s="816">
        <v>0</v>
      </c>
      <c r="BT21" s="816">
        <v>0</v>
      </c>
      <c r="BU21" s="816">
        <v>0</v>
      </c>
      <c r="BV21" s="816">
        <v>0</v>
      </c>
      <c r="BW21" s="816">
        <v>0</v>
      </c>
      <c r="BX21" s="816">
        <v>0</v>
      </c>
      <c r="BY21" s="816">
        <v>0</v>
      </c>
      <c r="BZ21" s="816">
        <v>0</v>
      </c>
      <c r="CA21" s="816">
        <v>0</v>
      </c>
      <c r="CB21" s="816">
        <v>0</v>
      </c>
      <c r="CC21" s="816">
        <v>0</v>
      </c>
      <c r="CD21" s="816">
        <v>0</v>
      </c>
      <c r="CE21" s="816">
        <v>0</v>
      </c>
      <c r="CF21" s="816">
        <v>0</v>
      </c>
      <c r="CG21" s="816">
        <v>0</v>
      </c>
      <c r="CH21" s="816">
        <v>0</v>
      </c>
      <c r="CI21" s="816">
        <v>0</v>
      </c>
      <c r="CJ21" s="816">
        <v>0</v>
      </c>
      <c r="CK21" s="816">
        <v>0</v>
      </c>
      <c r="CL21" s="816">
        <v>0</v>
      </c>
      <c r="CM21" s="816">
        <v>0</v>
      </c>
      <c r="CN21" s="816">
        <v>0</v>
      </c>
      <c r="CO21" s="816">
        <v>0</v>
      </c>
      <c r="CP21" s="816">
        <v>0</v>
      </c>
      <c r="CQ21" s="816">
        <v>0</v>
      </c>
      <c r="CR21" s="816">
        <v>0</v>
      </c>
      <c r="CS21" s="816">
        <v>0</v>
      </c>
      <c r="CT21" s="816">
        <v>0</v>
      </c>
      <c r="CU21" s="816">
        <v>0</v>
      </c>
      <c r="CV21" s="816">
        <v>0</v>
      </c>
      <c r="CW21" s="816">
        <v>0</v>
      </c>
      <c r="CX21" s="816">
        <v>0</v>
      </c>
      <c r="CY21" s="816">
        <v>0</v>
      </c>
      <c r="CZ21" s="816">
        <v>0</v>
      </c>
      <c r="DA21" s="816">
        <v>0</v>
      </c>
      <c r="DB21" s="816">
        <v>0</v>
      </c>
      <c r="DC21" s="816">
        <v>0</v>
      </c>
      <c r="DE21" s="816" t="s">
        <v>96</v>
      </c>
      <c r="DF21" s="816">
        <f t="shared" si="9"/>
        <v>0</v>
      </c>
      <c r="DG21" s="816" t="s">
        <v>97</v>
      </c>
      <c r="DH21" s="816">
        <f t="shared" si="10"/>
        <v>0</v>
      </c>
      <c r="DI21" s="816" t="s">
        <v>98</v>
      </c>
      <c r="DJ21" s="816">
        <f t="shared" si="11"/>
        <v>27</v>
      </c>
      <c r="DK21" s="816" t="s">
        <v>99</v>
      </c>
      <c r="DL21" s="816">
        <f t="shared" si="12"/>
        <v>9</v>
      </c>
      <c r="DM21" s="816" t="s">
        <v>100</v>
      </c>
      <c r="DN21" s="816">
        <f t="shared" si="13"/>
        <v>0</v>
      </c>
      <c r="DO21" s="816" t="s">
        <v>101</v>
      </c>
      <c r="DP21" s="816">
        <f t="shared" si="14"/>
        <v>3</v>
      </c>
    </row>
    <row r="22" spans="1:120">
      <c r="A22" s="815">
        <v>5</v>
      </c>
      <c r="B22" s="815" t="str">
        <f t="shared" si="1"/>
        <v>5REMARKS</v>
      </c>
      <c r="C22" s="815" t="str">
        <f>VLOOKUP(A22,DATEWISE!$A$3:$BY$27,2,0)</f>
        <v>17.08.2026</v>
      </c>
      <c r="D22" s="815">
        <f>VLOOKUP(A22,DATEWISE!$A$3:$BY$27,3,0)</f>
        <v>39</v>
      </c>
      <c r="E22" s="815">
        <f>VLOOKUP(A22,DATEWISE!$A$3:$BY$27,4,0)</f>
        <v>3</v>
      </c>
      <c r="F22" s="815" t="str">
        <f t="shared" si="8"/>
        <v>17.08.2026REMARKS</v>
      </c>
      <c r="G22" s="815" t="s">
        <v>390</v>
      </c>
      <c r="H22" s="816">
        <v>0</v>
      </c>
      <c r="I22" s="816">
        <v>0</v>
      </c>
      <c r="J22" s="816">
        <v>0</v>
      </c>
      <c r="K22" s="816">
        <v>0</v>
      </c>
      <c r="L22" s="816">
        <v>0</v>
      </c>
      <c r="M22" s="816">
        <v>0</v>
      </c>
      <c r="N22" s="816">
        <v>0</v>
      </c>
      <c r="O22" s="816">
        <v>0</v>
      </c>
      <c r="P22" s="816">
        <v>0</v>
      </c>
      <c r="Q22" s="816">
        <v>0</v>
      </c>
      <c r="R22" s="816">
        <v>0</v>
      </c>
      <c r="S22" s="816">
        <v>0</v>
      </c>
      <c r="T22" s="816">
        <v>0</v>
      </c>
      <c r="U22" s="816">
        <v>0</v>
      </c>
      <c r="V22" s="816">
        <v>0</v>
      </c>
      <c r="W22" s="816">
        <v>0</v>
      </c>
      <c r="X22" s="816">
        <v>0</v>
      </c>
      <c r="Y22" s="816">
        <v>0</v>
      </c>
      <c r="Z22" s="816">
        <v>0</v>
      </c>
      <c r="AA22" s="816">
        <v>0</v>
      </c>
      <c r="AB22" s="816">
        <v>0</v>
      </c>
      <c r="AC22" s="816">
        <v>0</v>
      </c>
      <c r="AD22" s="816">
        <v>0</v>
      </c>
      <c r="AE22" s="816">
        <v>0</v>
      </c>
      <c r="AF22" s="816">
        <v>0</v>
      </c>
      <c r="AG22" s="816">
        <v>0</v>
      </c>
      <c r="AH22" s="816">
        <v>0</v>
      </c>
      <c r="AI22" s="816">
        <v>0</v>
      </c>
      <c r="AJ22" s="816">
        <v>0</v>
      </c>
      <c r="AK22" s="816">
        <v>0</v>
      </c>
      <c r="AL22" s="816">
        <v>0</v>
      </c>
      <c r="AM22" s="816">
        <v>0</v>
      </c>
      <c r="AN22" s="816">
        <v>0</v>
      </c>
      <c r="AO22" s="816">
        <v>0</v>
      </c>
      <c r="AP22" s="816">
        <v>0</v>
      </c>
      <c r="AQ22" s="816" t="str">
        <v>-</v>
      </c>
      <c r="AR22" s="816" t="str">
        <v>-</v>
      </c>
      <c r="AS22" s="816" t="str">
        <v>-</v>
      </c>
      <c r="AT22" s="816" t="str">
        <v>-</v>
      </c>
      <c r="AU22" s="816" t="str">
        <v>-</v>
      </c>
      <c r="AV22" s="816" t="str">
        <v>-</v>
      </c>
      <c r="AW22" s="816" t="str">
        <v>-</v>
      </c>
      <c r="AX22" s="816">
        <v>0</v>
      </c>
      <c r="AY22" s="816">
        <v>0</v>
      </c>
      <c r="AZ22" s="816">
        <v>0</v>
      </c>
      <c r="BA22" s="816">
        <v>0</v>
      </c>
      <c r="BB22" s="816">
        <v>0</v>
      </c>
      <c r="BC22" s="816">
        <v>0</v>
      </c>
      <c r="BD22" s="816">
        <v>0</v>
      </c>
      <c r="BE22" s="816">
        <v>0</v>
      </c>
      <c r="BF22" s="816">
        <v>0</v>
      </c>
      <c r="BG22" s="816">
        <v>0</v>
      </c>
      <c r="BH22" s="816">
        <v>0</v>
      </c>
      <c r="BI22" s="816">
        <v>0</v>
      </c>
      <c r="BJ22" s="816">
        <v>0</v>
      </c>
      <c r="BK22" s="816">
        <v>0</v>
      </c>
      <c r="BL22" s="816">
        <v>0</v>
      </c>
      <c r="BM22" s="816">
        <v>0</v>
      </c>
      <c r="BN22" s="816">
        <v>0</v>
      </c>
      <c r="BO22" s="816">
        <v>0</v>
      </c>
      <c r="BP22" s="816">
        <v>0</v>
      </c>
      <c r="BQ22" s="816">
        <v>0</v>
      </c>
      <c r="BR22" s="816">
        <v>0</v>
      </c>
      <c r="BS22" s="816">
        <v>0</v>
      </c>
      <c r="BT22" s="816">
        <v>0</v>
      </c>
      <c r="BU22" s="816">
        <v>0</v>
      </c>
      <c r="BV22" s="816">
        <v>0</v>
      </c>
      <c r="BW22" s="816">
        <v>0</v>
      </c>
      <c r="BX22" s="816">
        <v>0</v>
      </c>
      <c r="BY22" s="816">
        <v>0</v>
      </c>
      <c r="BZ22" s="816">
        <v>0</v>
      </c>
      <c r="CA22" s="816">
        <v>0</v>
      </c>
      <c r="CB22" s="816">
        <v>0</v>
      </c>
      <c r="CC22" s="816">
        <v>0</v>
      </c>
      <c r="CD22" s="816">
        <v>0</v>
      </c>
      <c r="CE22" s="816">
        <v>0</v>
      </c>
      <c r="CF22" s="816">
        <v>0</v>
      </c>
      <c r="CG22" s="816">
        <v>0</v>
      </c>
      <c r="CH22" s="816">
        <v>0</v>
      </c>
      <c r="CI22" s="816">
        <v>0</v>
      </c>
      <c r="CJ22" s="816">
        <v>0</v>
      </c>
      <c r="CK22" s="816">
        <v>0</v>
      </c>
      <c r="CL22" s="816">
        <v>0</v>
      </c>
      <c r="CM22" s="816">
        <v>0</v>
      </c>
      <c r="CN22" s="816">
        <v>0</v>
      </c>
      <c r="CO22" s="816">
        <v>0</v>
      </c>
      <c r="CP22" s="816">
        <v>0</v>
      </c>
      <c r="CQ22" s="816">
        <v>0</v>
      </c>
      <c r="CR22" s="816">
        <v>0</v>
      </c>
      <c r="CS22" s="816">
        <v>0</v>
      </c>
      <c r="CT22" s="816">
        <v>0</v>
      </c>
      <c r="CU22" s="816">
        <v>0</v>
      </c>
      <c r="CV22" s="816">
        <v>0</v>
      </c>
      <c r="CW22" s="816">
        <v>0</v>
      </c>
      <c r="CX22" s="816">
        <v>0</v>
      </c>
      <c r="CY22" s="816">
        <v>0</v>
      </c>
      <c r="CZ22" s="816">
        <v>0</v>
      </c>
      <c r="DA22" s="816">
        <v>0</v>
      </c>
      <c r="DB22" s="816">
        <v>0</v>
      </c>
      <c r="DC22" s="816">
        <v>0</v>
      </c>
      <c r="DE22" s="816" t="s">
        <v>96</v>
      </c>
      <c r="DF22" s="816">
        <f t="shared" si="9"/>
        <v>0</v>
      </c>
      <c r="DG22" s="816" t="s">
        <v>97</v>
      </c>
      <c r="DH22" s="816">
        <f t="shared" si="10"/>
        <v>0</v>
      </c>
      <c r="DI22" s="816" t="s">
        <v>98</v>
      </c>
      <c r="DJ22" s="816">
        <f t="shared" si="11"/>
        <v>0</v>
      </c>
      <c r="DK22" s="816" t="s">
        <v>99</v>
      </c>
      <c r="DL22" s="816">
        <f t="shared" si="12"/>
        <v>0</v>
      </c>
      <c r="DM22" s="816" t="s">
        <v>100</v>
      </c>
      <c r="DN22" s="816">
        <f t="shared" si="13"/>
        <v>0</v>
      </c>
      <c r="DO22" s="816" t="s">
        <v>101</v>
      </c>
      <c r="DP22" s="816">
        <f t="shared" si="14"/>
        <v>0</v>
      </c>
    </row>
    <row r="23" spans="1:120">
      <c r="A23" s="815">
        <v>6</v>
      </c>
      <c r="B23" s="815" t="str">
        <f t="shared" si="1"/>
        <v>6HINDI</v>
      </c>
      <c r="C23" s="815" t="str">
        <f>VLOOKUP(A23,DATEWISE!$A$3:$BY$27,2,0)</f>
        <v>31.08.2026</v>
      </c>
      <c r="D23" s="815">
        <f>VLOOKUP(A23,DATEWISE!$A$3:$BY$27,3,0)</f>
        <v>39</v>
      </c>
      <c r="E23" s="815">
        <f>VLOOKUP(A23,DATEWISE!$A$3:$BY$27,4,0)</f>
        <v>3</v>
      </c>
      <c r="F23" s="815" t="str">
        <f t="shared" si="8"/>
        <v>31.08.2026HINDI</v>
      </c>
      <c r="G23" s="815" t="s">
        <v>87</v>
      </c>
      <c r="H23" s="816">
        <v>2</v>
      </c>
      <c r="I23" s="816">
        <v>3</v>
      </c>
      <c r="J23" s="816">
        <v>3</v>
      </c>
      <c r="K23" s="816">
        <v>3</v>
      </c>
      <c r="L23" s="816">
        <v>3</v>
      </c>
      <c r="M23" s="816">
        <v>4</v>
      </c>
      <c r="N23" s="816">
        <v>4</v>
      </c>
      <c r="O23" s="816">
        <v>4</v>
      </c>
      <c r="P23" s="816">
        <v>3</v>
      </c>
      <c r="Q23" s="816">
        <v>3</v>
      </c>
      <c r="R23" s="816" t="str">
        <v>Ab</v>
      </c>
      <c r="S23" s="816">
        <v>2</v>
      </c>
      <c r="T23" s="816">
        <v>2</v>
      </c>
      <c r="U23" s="816">
        <v>3</v>
      </c>
      <c r="V23" s="816">
        <v>4</v>
      </c>
      <c r="W23" s="816">
        <v>3</v>
      </c>
      <c r="X23" s="816">
        <v>3</v>
      </c>
      <c r="Y23" s="816">
        <v>3</v>
      </c>
      <c r="Z23" s="816">
        <v>2</v>
      </c>
      <c r="AA23" s="816">
        <v>2</v>
      </c>
      <c r="AB23" s="816">
        <v>2</v>
      </c>
      <c r="AC23" s="816">
        <v>4</v>
      </c>
      <c r="AD23" s="816">
        <v>4</v>
      </c>
      <c r="AE23" s="816">
        <v>2</v>
      </c>
      <c r="AF23" s="816">
        <v>4</v>
      </c>
      <c r="AG23" s="816">
        <v>2</v>
      </c>
      <c r="AH23" s="816">
        <v>3</v>
      </c>
      <c r="AI23" s="816">
        <v>2</v>
      </c>
      <c r="AJ23" s="816">
        <v>2</v>
      </c>
      <c r="AK23" s="816">
        <v>2</v>
      </c>
      <c r="AL23" s="816">
        <v>2</v>
      </c>
      <c r="AM23" s="816">
        <v>4</v>
      </c>
      <c r="AN23" s="816">
        <v>2</v>
      </c>
      <c r="AO23" s="816" t="str">
        <v>Ab</v>
      </c>
      <c r="AP23" s="816">
        <v>2</v>
      </c>
      <c r="AQ23" s="816">
        <v>3</v>
      </c>
      <c r="AR23" s="816">
        <v>2</v>
      </c>
      <c r="AS23" s="816">
        <v>2</v>
      </c>
      <c r="AT23" s="816" t="str">
        <v>Ab</v>
      </c>
      <c r="AU23" s="816" t="str">
        <v>-</v>
      </c>
      <c r="AV23" s="816" t="str">
        <v>-</v>
      </c>
      <c r="AW23" s="816" t="str">
        <v>-</v>
      </c>
      <c r="AX23" s="816">
        <v>0</v>
      </c>
      <c r="AY23" s="816">
        <v>0</v>
      </c>
      <c r="AZ23" s="816">
        <v>0</v>
      </c>
      <c r="BA23" s="816">
        <v>0</v>
      </c>
      <c r="BB23" s="816">
        <v>0</v>
      </c>
      <c r="BC23" s="816">
        <v>0</v>
      </c>
      <c r="BD23" s="816">
        <v>0</v>
      </c>
      <c r="BE23" s="816">
        <v>0</v>
      </c>
      <c r="BF23" s="816">
        <v>0</v>
      </c>
      <c r="BG23" s="816">
        <v>0</v>
      </c>
      <c r="BH23" s="816">
        <v>0</v>
      </c>
      <c r="BI23" s="816">
        <v>0</v>
      </c>
      <c r="BJ23" s="816">
        <v>0</v>
      </c>
      <c r="BK23" s="816">
        <v>0</v>
      </c>
      <c r="BL23" s="816">
        <v>0</v>
      </c>
      <c r="BM23" s="816">
        <v>0</v>
      </c>
      <c r="BN23" s="816">
        <v>0</v>
      </c>
      <c r="BO23" s="816">
        <v>0</v>
      </c>
      <c r="BP23" s="816">
        <v>0</v>
      </c>
      <c r="BQ23" s="816">
        <v>0</v>
      </c>
      <c r="BR23" s="816">
        <v>0</v>
      </c>
      <c r="BS23" s="816">
        <v>0</v>
      </c>
      <c r="BT23" s="816">
        <v>0</v>
      </c>
      <c r="BU23" s="816">
        <v>0</v>
      </c>
      <c r="BV23" s="816">
        <v>0</v>
      </c>
      <c r="BW23" s="816">
        <v>0</v>
      </c>
      <c r="BX23" s="816">
        <v>0</v>
      </c>
      <c r="BY23" s="816">
        <v>0</v>
      </c>
      <c r="BZ23" s="816">
        <v>0</v>
      </c>
      <c r="CA23" s="816">
        <v>0</v>
      </c>
      <c r="CB23" s="816">
        <v>0</v>
      </c>
      <c r="CC23" s="816">
        <v>0</v>
      </c>
      <c r="CD23" s="816">
        <v>0</v>
      </c>
      <c r="CE23" s="816">
        <v>0</v>
      </c>
      <c r="CF23" s="816">
        <v>0</v>
      </c>
      <c r="CG23" s="816">
        <v>0</v>
      </c>
      <c r="CH23" s="816">
        <v>0</v>
      </c>
      <c r="CI23" s="816">
        <v>0</v>
      </c>
      <c r="CJ23" s="816">
        <v>0</v>
      </c>
      <c r="CK23" s="816">
        <v>0</v>
      </c>
      <c r="CL23" s="816">
        <v>0</v>
      </c>
      <c r="CM23" s="816">
        <v>0</v>
      </c>
      <c r="CN23" s="816">
        <v>0</v>
      </c>
      <c r="CO23" s="816">
        <v>0</v>
      </c>
      <c r="CP23" s="816">
        <v>0</v>
      </c>
      <c r="CQ23" s="816">
        <v>0</v>
      </c>
      <c r="CR23" s="816">
        <v>0</v>
      </c>
      <c r="CS23" s="816">
        <v>0</v>
      </c>
      <c r="CT23" s="816">
        <v>0</v>
      </c>
      <c r="CU23" s="816">
        <v>0</v>
      </c>
      <c r="CV23" s="816">
        <v>0</v>
      </c>
      <c r="CW23" s="816">
        <v>0</v>
      </c>
      <c r="CX23" s="816">
        <v>0</v>
      </c>
      <c r="CY23" s="816">
        <v>0</v>
      </c>
      <c r="CZ23" s="816">
        <v>0</v>
      </c>
      <c r="DA23" s="816">
        <v>0</v>
      </c>
      <c r="DB23" s="816">
        <v>0</v>
      </c>
      <c r="DC23" s="816">
        <v>0</v>
      </c>
      <c r="DE23" s="816" t="s">
        <v>96</v>
      </c>
      <c r="DF23" s="816">
        <f t="shared" si="9"/>
        <v>0</v>
      </c>
      <c r="DG23" s="816" t="s">
        <v>97</v>
      </c>
      <c r="DH23" s="816">
        <f t="shared" si="10"/>
        <v>16</v>
      </c>
      <c r="DI23" s="816" t="s">
        <v>98</v>
      </c>
      <c r="DJ23" s="816">
        <f t="shared" si="11"/>
        <v>12</v>
      </c>
      <c r="DK23" s="816" t="s">
        <v>99</v>
      </c>
      <c r="DL23" s="816">
        <f t="shared" si="12"/>
        <v>8</v>
      </c>
      <c r="DM23" s="816" t="s">
        <v>100</v>
      </c>
      <c r="DN23" s="816">
        <f t="shared" si="13"/>
        <v>0</v>
      </c>
      <c r="DO23" s="816" t="s">
        <v>101</v>
      </c>
      <c r="DP23" s="816">
        <f t="shared" si="14"/>
        <v>3</v>
      </c>
    </row>
    <row r="24" spans="1:120">
      <c r="A24" s="815">
        <v>6</v>
      </c>
      <c r="B24" s="815" t="str">
        <f t="shared" si="1"/>
        <v>6ENGLISH</v>
      </c>
      <c r="C24" s="815" t="str">
        <f>VLOOKUP(A24,DATEWISE!$A$3:$BY$27,2,0)</f>
        <v>31.08.2026</v>
      </c>
      <c r="D24" s="815">
        <f>VLOOKUP(A24,DATEWISE!$A$3:$BY$27,3,0)</f>
        <v>39</v>
      </c>
      <c r="E24" s="815">
        <f>VLOOKUP(A24,DATEWISE!$A$3:$BY$27,4,0)</f>
        <v>3</v>
      </c>
      <c r="F24" s="815" t="str">
        <f t="shared" si="8"/>
        <v>31.08.2026ENGLISH</v>
      </c>
      <c r="G24" s="815" t="s">
        <v>89</v>
      </c>
      <c r="H24" s="816">
        <v>2</v>
      </c>
      <c r="I24" s="816">
        <v>2</v>
      </c>
      <c r="J24" s="816">
        <v>3</v>
      </c>
      <c r="K24" s="816">
        <v>2</v>
      </c>
      <c r="L24" s="816">
        <v>2</v>
      </c>
      <c r="M24" s="816">
        <v>4</v>
      </c>
      <c r="N24" s="816">
        <v>3</v>
      </c>
      <c r="O24" s="816">
        <v>2</v>
      </c>
      <c r="P24" s="816">
        <v>2</v>
      </c>
      <c r="Q24" s="816">
        <v>2</v>
      </c>
      <c r="R24" s="816" t="str">
        <v>Ab</v>
      </c>
      <c r="S24" s="816">
        <v>2</v>
      </c>
      <c r="T24" s="816">
        <v>2</v>
      </c>
      <c r="U24" s="816">
        <v>2</v>
      </c>
      <c r="V24" s="816">
        <v>4</v>
      </c>
      <c r="W24" s="816">
        <v>3</v>
      </c>
      <c r="X24" s="816">
        <v>2</v>
      </c>
      <c r="Y24" s="816">
        <v>2</v>
      </c>
      <c r="Z24" s="816">
        <v>2</v>
      </c>
      <c r="AA24" s="816">
        <v>2</v>
      </c>
      <c r="AB24" s="816">
        <v>2</v>
      </c>
      <c r="AC24" s="816">
        <v>4</v>
      </c>
      <c r="AD24" s="816">
        <v>3</v>
      </c>
      <c r="AE24" s="816">
        <v>2</v>
      </c>
      <c r="AF24" s="816">
        <v>3</v>
      </c>
      <c r="AG24" s="816">
        <v>2</v>
      </c>
      <c r="AH24" s="816">
        <v>2</v>
      </c>
      <c r="AI24" s="816">
        <v>2</v>
      </c>
      <c r="AJ24" s="816">
        <v>2</v>
      </c>
      <c r="AK24" s="816">
        <v>2</v>
      </c>
      <c r="AL24" s="816">
        <v>2</v>
      </c>
      <c r="AM24" s="816">
        <v>3</v>
      </c>
      <c r="AN24" s="816">
        <v>2</v>
      </c>
      <c r="AO24" s="816" t="str">
        <v>Ab</v>
      </c>
      <c r="AP24" s="816">
        <v>2</v>
      </c>
      <c r="AQ24" s="816">
        <v>2</v>
      </c>
      <c r="AR24" s="816">
        <v>2</v>
      </c>
      <c r="AS24" s="816">
        <v>2</v>
      </c>
      <c r="AT24" s="816" t="str">
        <v>Ab</v>
      </c>
      <c r="AU24" s="816" t="str">
        <v>-</v>
      </c>
      <c r="AV24" s="816" t="str">
        <v>-</v>
      </c>
      <c r="AW24" s="816" t="str">
        <v>-</v>
      </c>
      <c r="AX24" s="816">
        <v>0</v>
      </c>
      <c r="AY24" s="816">
        <v>0</v>
      </c>
      <c r="AZ24" s="816">
        <v>0</v>
      </c>
      <c r="BA24" s="816">
        <v>0</v>
      </c>
      <c r="BB24" s="816">
        <v>0</v>
      </c>
      <c r="BC24" s="816">
        <v>0</v>
      </c>
      <c r="BD24" s="816">
        <v>0</v>
      </c>
      <c r="BE24" s="816">
        <v>0</v>
      </c>
      <c r="BF24" s="816">
        <v>0</v>
      </c>
      <c r="BG24" s="816">
        <v>0</v>
      </c>
      <c r="BH24" s="816">
        <v>0</v>
      </c>
      <c r="BI24" s="816">
        <v>0</v>
      </c>
      <c r="BJ24" s="816">
        <v>0</v>
      </c>
      <c r="BK24" s="816">
        <v>0</v>
      </c>
      <c r="BL24" s="816">
        <v>0</v>
      </c>
      <c r="BM24" s="816">
        <v>0</v>
      </c>
      <c r="BN24" s="816">
        <v>0</v>
      </c>
      <c r="BO24" s="816">
        <v>0</v>
      </c>
      <c r="BP24" s="816">
        <v>0</v>
      </c>
      <c r="BQ24" s="816">
        <v>0</v>
      </c>
      <c r="BR24" s="816">
        <v>0</v>
      </c>
      <c r="BS24" s="816">
        <v>0</v>
      </c>
      <c r="BT24" s="816">
        <v>0</v>
      </c>
      <c r="BU24" s="816">
        <v>0</v>
      </c>
      <c r="BV24" s="816">
        <v>0</v>
      </c>
      <c r="BW24" s="816">
        <v>0</v>
      </c>
      <c r="BX24" s="816">
        <v>0</v>
      </c>
      <c r="BY24" s="816">
        <v>0</v>
      </c>
      <c r="BZ24" s="816">
        <v>0</v>
      </c>
      <c r="CA24" s="816">
        <v>0</v>
      </c>
      <c r="CB24" s="816">
        <v>0</v>
      </c>
      <c r="CC24" s="816">
        <v>0</v>
      </c>
      <c r="CD24" s="816">
        <v>0</v>
      </c>
      <c r="CE24" s="816">
        <v>0</v>
      </c>
      <c r="CF24" s="816">
        <v>0</v>
      </c>
      <c r="CG24" s="816">
        <v>0</v>
      </c>
      <c r="CH24" s="816">
        <v>0</v>
      </c>
      <c r="CI24" s="816">
        <v>0</v>
      </c>
      <c r="CJ24" s="816">
        <v>0</v>
      </c>
      <c r="CK24" s="816">
        <v>0</v>
      </c>
      <c r="CL24" s="816">
        <v>0</v>
      </c>
      <c r="CM24" s="816">
        <v>0</v>
      </c>
      <c r="CN24" s="816">
        <v>0</v>
      </c>
      <c r="CO24" s="816">
        <v>0</v>
      </c>
      <c r="CP24" s="816">
        <v>0</v>
      </c>
      <c r="CQ24" s="816">
        <v>0</v>
      </c>
      <c r="CR24" s="816">
        <v>0</v>
      </c>
      <c r="CS24" s="816">
        <v>0</v>
      </c>
      <c r="CT24" s="816">
        <v>0</v>
      </c>
      <c r="CU24" s="816">
        <v>0</v>
      </c>
      <c r="CV24" s="816">
        <v>0</v>
      </c>
      <c r="CW24" s="816">
        <v>0</v>
      </c>
      <c r="CX24" s="816">
        <v>0</v>
      </c>
      <c r="CY24" s="816">
        <v>0</v>
      </c>
      <c r="CZ24" s="816">
        <v>0</v>
      </c>
      <c r="DA24" s="816">
        <v>0</v>
      </c>
      <c r="DB24" s="816">
        <v>0</v>
      </c>
      <c r="DC24" s="816">
        <v>0</v>
      </c>
      <c r="DE24" s="816" t="s">
        <v>96</v>
      </c>
      <c r="DF24" s="816">
        <f t="shared" si="9"/>
        <v>0</v>
      </c>
      <c r="DG24" s="816" t="s">
        <v>97</v>
      </c>
      <c r="DH24" s="816">
        <f t="shared" si="10"/>
        <v>27</v>
      </c>
      <c r="DI24" s="816" t="s">
        <v>98</v>
      </c>
      <c r="DJ24" s="816">
        <f t="shared" si="11"/>
        <v>6</v>
      </c>
      <c r="DK24" s="816" t="s">
        <v>99</v>
      </c>
      <c r="DL24" s="816">
        <f t="shared" si="12"/>
        <v>3</v>
      </c>
      <c r="DM24" s="816" t="s">
        <v>100</v>
      </c>
      <c r="DN24" s="816">
        <f t="shared" si="13"/>
        <v>0</v>
      </c>
      <c r="DO24" s="816" t="s">
        <v>101</v>
      </c>
      <c r="DP24" s="816">
        <f t="shared" si="14"/>
        <v>3</v>
      </c>
    </row>
    <row r="25" spans="1:120">
      <c r="A25" s="815">
        <v>6</v>
      </c>
      <c r="B25" s="815" t="str">
        <f t="shared" si="1"/>
        <v>6MATHS</v>
      </c>
      <c r="C25" s="815" t="str">
        <f>VLOOKUP(A25,DATEWISE!$A$3:$BY$27,2,0)</f>
        <v>31.08.2026</v>
      </c>
      <c r="D25" s="815">
        <f>VLOOKUP(A25,DATEWISE!$A$3:$BY$27,3,0)</f>
        <v>39</v>
      </c>
      <c r="E25" s="815">
        <f>VLOOKUP(A25,DATEWISE!$A$3:$BY$27,4,0)</f>
        <v>3</v>
      </c>
      <c r="F25" s="815" t="str">
        <f t="shared" si="8"/>
        <v>31.08.2026MATHS</v>
      </c>
      <c r="G25" s="815" t="s">
        <v>88</v>
      </c>
      <c r="H25" s="816">
        <v>3</v>
      </c>
      <c r="I25" s="816">
        <v>3</v>
      </c>
      <c r="J25" s="816">
        <v>4</v>
      </c>
      <c r="K25" s="816">
        <v>3</v>
      </c>
      <c r="L25" s="816">
        <v>4</v>
      </c>
      <c r="M25" s="816">
        <v>4</v>
      </c>
      <c r="N25" s="816">
        <v>4</v>
      </c>
      <c r="O25" s="816">
        <v>3</v>
      </c>
      <c r="P25" s="816">
        <v>3</v>
      </c>
      <c r="Q25" s="816">
        <v>3</v>
      </c>
      <c r="R25" s="816" t="str">
        <v>Ab</v>
      </c>
      <c r="S25" s="816">
        <v>4</v>
      </c>
      <c r="T25" s="816">
        <v>3</v>
      </c>
      <c r="U25" s="816">
        <v>3</v>
      </c>
      <c r="V25" s="816">
        <v>4</v>
      </c>
      <c r="W25" s="816">
        <v>4</v>
      </c>
      <c r="X25" s="816">
        <v>4</v>
      </c>
      <c r="Y25" s="816">
        <v>4</v>
      </c>
      <c r="Z25" s="816">
        <v>3</v>
      </c>
      <c r="AA25" s="816">
        <v>3</v>
      </c>
      <c r="AB25" s="816">
        <v>3</v>
      </c>
      <c r="AC25" s="816">
        <v>4</v>
      </c>
      <c r="AD25" s="816">
        <v>4</v>
      </c>
      <c r="AE25" s="816">
        <v>3</v>
      </c>
      <c r="AF25" s="816">
        <v>4</v>
      </c>
      <c r="AG25" s="816">
        <v>3</v>
      </c>
      <c r="AH25" s="816">
        <v>3</v>
      </c>
      <c r="AI25" s="816">
        <v>3</v>
      </c>
      <c r="AJ25" s="816">
        <v>3</v>
      </c>
      <c r="AK25" s="816">
        <v>3</v>
      </c>
      <c r="AL25" s="816">
        <v>3</v>
      </c>
      <c r="AM25" s="816">
        <v>4</v>
      </c>
      <c r="AN25" s="816">
        <v>3</v>
      </c>
      <c r="AO25" s="816" t="str">
        <v>Ab</v>
      </c>
      <c r="AP25" s="816">
        <v>3</v>
      </c>
      <c r="AQ25" s="816">
        <v>3</v>
      </c>
      <c r="AR25" s="816">
        <v>3</v>
      </c>
      <c r="AS25" s="816">
        <v>3</v>
      </c>
      <c r="AT25" s="816" t="str">
        <v>Ab</v>
      </c>
      <c r="AU25" s="816" t="str">
        <v>-</v>
      </c>
      <c r="AV25" s="816" t="str">
        <v>-</v>
      </c>
      <c r="AW25" s="816" t="str">
        <v>-</v>
      </c>
      <c r="AX25" s="816">
        <v>0</v>
      </c>
      <c r="AY25" s="816">
        <v>0</v>
      </c>
      <c r="AZ25" s="816">
        <v>0</v>
      </c>
      <c r="BA25" s="816">
        <v>0</v>
      </c>
      <c r="BB25" s="816">
        <v>0</v>
      </c>
      <c r="BC25" s="816">
        <v>0</v>
      </c>
      <c r="BD25" s="816">
        <v>0</v>
      </c>
      <c r="BE25" s="816">
        <v>0</v>
      </c>
      <c r="BF25" s="816">
        <v>0</v>
      </c>
      <c r="BG25" s="816">
        <v>0</v>
      </c>
      <c r="BH25" s="816">
        <v>0</v>
      </c>
      <c r="BI25" s="816">
        <v>0</v>
      </c>
      <c r="BJ25" s="816">
        <v>0</v>
      </c>
      <c r="BK25" s="816">
        <v>0</v>
      </c>
      <c r="BL25" s="816">
        <v>0</v>
      </c>
      <c r="BM25" s="816">
        <v>0</v>
      </c>
      <c r="BN25" s="816">
        <v>0</v>
      </c>
      <c r="BO25" s="816">
        <v>0</v>
      </c>
      <c r="BP25" s="816">
        <v>0</v>
      </c>
      <c r="BQ25" s="816">
        <v>0</v>
      </c>
      <c r="BR25" s="816">
        <v>0</v>
      </c>
      <c r="BS25" s="816">
        <v>0</v>
      </c>
      <c r="BT25" s="816">
        <v>0</v>
      </c>
      <c r="BU25" s="816">
        <v>0</v>
      </c>
      <c r="BV25" s="816">
        <v>0</v>
      </c>
      <c r="BW25" s="816">
        <v>0</v>
      </c>
      <c r="BX25" s="816">
        <v>0</v>
      </c>
      <c r="BY25" s="816">
        <v>0</v>
      </c>
      <c r="BZ25" s="816">
        <v>0</v>
      </c>
      <c r="CA25" s="816">
        <v>0</v>
      </c>
      <c r="CB25" s="816">
        <v>0</v>
      </c>
      <c r="CC25" s="816">
        <v>0</v>
      </c>
      <c r="CD25" s="816">
        <v>0</v>
      </c>
      <c r="CE25" s="816">
        <v>0</v>
      </c>
      <c r="CF25" s="816">
        <v>0</v>
      </c>
      <c r="CG25" s="816">
        <v>0</v>
      </c>
      <c r="CH25" s="816">
        <v>0</v>
      </c>
      <c r="CI25" s="816">
        <v>0</v>
      </c>
      <c r="CJ25" s="816">
        <v>0</v>
      </c>
      <c r="CK25" s="816">
        <v>0</v>
      </c>
      <c r="CL25" s="816">
        <v>0</v>
      </c>
      <c r="CM25" s="816">
        <v>0</v>
      </c>
      <c r="CN25" s="816">
        <v>0</v>
      </c>
      <c r="CO25" s="816">
        <v>0</v>
      </c>
      <c r="CP25" s="816">
        <v>0</v>
      </c>
      <c r="CQ25" s="816">
        <v>0</v>
      </c>
      <c r="CR25" s="816">
        <v>0</v>
      </c>
      <c r="CS25" s="816">
        <v>0</v>
      </c>
      <c r="CT25" s="816">
        <v>0</v>
      </c>
      <c r="CU25" s="816">
        <v>0</v>
      </c>
      <c r="CV25" s="816">
        <v>0</v>
      </c>
      <c r="CW25" s="816">
        <v>0</v>
      </c>
      <c r="CX25" s="816">
        <v>0</v>
      </c>
      <c r="CY25" s="816">
        <v>0</v>
      </c>
      <c r="CZ25" s="816">
        <v>0</v>
      </c>
      <c r="DA25" s="816">
        <v>0</v>
      </c>
      <c r="DB25" s="816">
        <v>0</v>
      </c>
      <c r="DC25" s="816">
        <v>0</v>
      </c>
      <c r="DE25" s="816" t="s">
        <v>96</v>
      </c>
      <c r="DF25" s="816">
        <f t="shared" si="9"/>
        <v>0</v>
      </c>
      <c r="DG25" s="816" t="s">
        <v>97</v>
      </c>
      <c r="DH25" s="816">
        <f t="shared" si="10"/>
        <v>0</v>
      </c>
      <c r="DI25" s="816" t="s">
        <v>98</v>
      </c>
      <c r="DJ25" s="816">
        <f t="shared" si="11"/>
        <v>23</v>
      </c>
      <c r="DK25" s="816" t="s">
        <v>99</v>
      </c>
      <c r="DL25" s="816">
        <f t="shared" si="12"/>
        <v>13</v>
      </c>
      <c r="DM25" s="816" t="s">
        <v>100</v>
      </c>
      <c r="DN25" s="816">
        <f t="shared" si="13"/>
        <v>0</v>
      </c>
      <c r="DO25" s="816" t="s">
        <v>101</v>
      </c>
      <c r="DP25" s="816">
        <f t="shared" si="14"/>
        <v>3</v>
      </c>
    </row>
    <row r="26" spans="1:120">
      <c r="A26" s="815">
        <v>6</v>
      </c>
      <c r="B26" s="815" t="str">
        <f t="shared" si="1"/>
        <v>6REMARKS</v>
      </c>
      <c r="C26" s="815" t="str">
        <f>VLOOKUP(A26,DATEWISE!$A$3:$BY$27,2,0)</f>
        <v>31.08.2026</v>
      </c>
      <c r="D26" s="815">
        <f>VLOOKUP(A26,DATEWISE!$A$3:$BY$27,3,0)</f>
        <v>39</v>
      </c>
      <c r="E26" s="815">
        <f>VLOOKUP(A26,DATEWISE!$A$3:$BY$27,4,0)</f>
        <v>3</v>
      </c>
      <c r="F26" s="815" t="str">
        <f t="shared" si="8"/>
        <v>31.08.2026REMARKS</v>
      </c>
      <c r="G26" s="815" t="s">
        <v>390</v>
      </c>
      <c r="H26" s="816">
        <v>0</v>
      </c>
      <c r="I26" s="816">
        <v>0</v>
      </c>
      <c r="J26" s="816">
        <v>0</v>
      </c>
      <c r="K26" s="816">
        <v>0</v>
      </c>
      <c r="L26" s="816">
        <v>0</v>
      </c>
      <c r="M26" s="816">
        <v>0</v>
      </c>
      <c r="N26" s="816">
        <v>0</v>
      </c>
      <c r="O26" s="816">
        <v>0</v>
      </c>
      <c r="P26" s="816">
        <v>0</v>
      </c>
      <c r="Q26" s="816">
        <v>0</v>
      </c>
      <c r="R26" s="816">
        <v>0</v>
      </c>
      <c r="S26" s="816">
        <v>0</v>
      </c>
      <c r="T26" s="816">
        <v>0</v>
      </c>
      <c r="U26" s="816">
        <v>0</v>
      </c>
      <c r="V26" s="816">
        <v>0</v>
      </c>
      <c r="W26" s="816">
        <v>0</v>
      </c>
      <c r="X26" s="816">
        <v>0</v>
      </c>
      <c r="Y26" s="816">
        <v>0</v>
      </c>
      <c r="Z26" s="816">
        <v>0</v>
      </c>
      <c r="AA26" s="816">
        <v>0</v>
      </c>
      <c r="AB26" s="816">
        <v>0</v>
      </c>
      <c r="AC26" s="816">
        <v>0</v>
      </c>
      <c r="AD26" s="816">
        <v>0</v>
      </c>
      <c r="AE26" s="816">
        <v>0</v>
      </c>
      <c r="AF26" s="816">
        <v>0</v>
      </c>
      <c r="AG26" s="816">
        <v>0</v>
      </c>
      <c r="AH26" s="816">
        <v>0</v>
      </c>
      <c r="AI26" s="816">
        <v>0</v>
      </c>
      <c r="AJ26" s="816">
        <v>0</v>
      </c>
      <c r="AK26" s="816">
        <v>0</v>
      </c>
      <c r="AL26" s="816">
        <v>0</v>
      </c>
      <c r="AM26" s="816">
        <v>0</v>
      </c>
      <c r="AN26" s="816">
        <v>0</v>
      </c>
      <c r="AO26" s="816">
        <v>0</v>
      </c>
      <c r="AP26" s="816">
        <v>0</v>
      </c>
      <c r="AQ26" s="816">
        <v>0</v>
      </c>
      <c r="AR26" s="816">
        <v>0</v>
      </c>
      <c r="AS26" s="816">
        <v>0</v>
      </c>
      <c r="AT26" s="816">
        <v>0</v>
      </c>
      <c r="AU26" s="816">
        <v>0</v>
      </c>
      <c r="AV26" s="816">
        <v>0</v>
      </c>
      <c r="AW26" s="816">
        <v>0</v>
      </c>
      <c r="AX26" s="816">
        <v>0</v>
      </c>
      <c r="AY26" s="816">
        <v>0</v>
      </c>
      <c r="AZ26" s="816">
        <v>0</v>
      </c>
      <c r="BA26" s="816">
        <v>0</v>
      </c>
      <c r="BB26" s="816">
        <v>0</v>
      </c>
      <c r="BC26" s="816">
        <v>0</v>
      </c>
      <c r="BD26" s="816">
        <v>0</v>
      </c>
      <c r="BE26" s="816">
        <v>0</v>
      </c>
      <c r="BF26" s="816">
        <v>0</v>
      </c>
      <c r="BG26" s="816">
        <v>0</v>
      </c>
      <c r="BH26" s="816">
        <v>0</v>
      </c>
      <c r="BI26" s="816">
        <v>0</v>
      </c>
      <c r="BJ26" s="816">
        <v>0</v>
      </c>
      <c r="BK26" s="816">
        <v>0</v>
      </c>
      <c r="BL26" s="816">
        <v>0</v>
      </c>
      <c r="BM26" s="816">
        <v>0</v>
      </c>
      <c r="BN26" s="816">
        <v>0</v>
      </c>
      <c r="BO26" s="816">
        <v>0</v>
      </c>
      <c r="BP26" s="816">
        <v>0</v>
      </c>
      <c r="BQ26" s="816">
        <v>0</v>
      </c>
      <c r="BR26" s="816">
        <v>0</v>
      </c>
      <c r="BS26" s="816">
        <v>0</v>
      </c>
      <c r="BT26" s="816">
        <v>0</v>
      </c>
      <c r="BU26" s="816">
        <v>0</v>
      </c>
      <c r="BV26" s="816">
        <v>0</v>
      </c>
      <c r="BW26" s="816">
        <v>0</v>
      </c>
      <c r="BX26" s="816">
        <v>0</v>
      </c>
      <c r="BY26" s="816">
        <v>0</v>
      </c>
      <c r="BZ26" s="816">
        <v>0</v>
      </c>
      <c r="CA26" s="816">
        <v>0</v>
      </c>
      <c r="CB26" s="816">
        <v>0</v>
      </c>
      <c r="CC26" s="816">
        <v>0</v>
      </c>
      <c r="CD26" s="816">
        <v>0</v>
      </c>
      <c r="CE26" s="816">
        <v>0</v>
      </c>
      <c r="CF26" s="816">
        <v>0</v>
      </c>
      <c r="CG26" s="816">
        <v>0</v>
      </c>
      <c r="CH26" s="816">
        <v>0</v>
      </c>
      <c r="CI26" s="816">
        <v>0</v>
      </c>
      <c r="CJ26" s="816">
        <v>0</v>
      </c>
      <c r="CK26" s="816">
        <v>0</v>
      </c>
      <c r="CL26" s="816">
        <v>0</v>
      </c>
      <c r="CM26" s="816">
        <v>0</v>
      </c>
      <c r="CN26" s="816">
        <v>0</v>
      </c>
      <c r="CO26" s="816">
        <v>0</v>
      </c>
      <c r="CP26" s="816">
        <v>0</v>
      </c>
      <c r="CQ26" s="816">
        <v>0</v>
      </c>
      <c r="CR26" s="816">
        <v>0</v>
      </c>
      <c r="CS26" s="816">
        <v>0</v>
      </c>
      <c r="CT26" s="816">
        <v>0</v>
      </c>
      <c r="CU26" s="816">
        <v>0</v>
      </c>
      <c r="CV26" s="816">
        <v>0</v>
      </c>
      <c r="CW26" s="816">
        <v>0</v>
      </c>
      <c r="CX26" s="816">
        <v>0</v>
      </c>
      <c r="CY26" s="816">
        <v>0</v>
      </c>
      <c r="CZ26" s="816">
        <v>0</v>
      </c>
      <c r="DA26" s="816">
        <v>0</v>
      </c>
      <c r="DB26" s="816">
        <v>0</v>
      </c>
      <c r="DC26" s="816">
        <v>0</v>
      </c>
      <c r="DE26" s="816" t="s">
        <v>96</v>
      </c>
      <c r="DF26" s="816">
        <f t="shared" si="9"/>
        <v>0</v>
      </c>
      <c r="DG26" s="816" t="s">
        <v>97</v>
      </c>
      <c r="DH26" s="816">
        <f t="shared" si="10"/>
        <v>0</v>
      </c>
      <c r="DI26" s="816" t="s">
        <v>98</v>
      </c>
      <c r="DJ26" s="816">
        <f t="shared" si="11"/>
        <v>0</v>
      </c>
      <c r="DK26" s="816" t="s">
        <v>99</v>
      </c>
      <c r="DL26" s="816">
        <f t="shared" si="12"/>
        <v>0</v>
      </c>
      <c r="DM26" s="816" t="s">
        <v>100</v>
      </c>
      <c r="DN26" s="816">
        <f t="shared" si="13"/>
        <v>0</v>
      </c>
      <c r="DO26" s="816" t="s">
        <v>101</v>
      </c>
      <c r="DP26" s="816">
        <f t="shared" si="14"/>
        <v>0</v>
      </c>
    </row>
    <row r="27" spans="1:120">
      <c r="A27" s="815">
        <v>7</v>
      </c>
      <c r="B27" s="815" t="str">
        <f t="shared" si="1"/>
        <v>7HINDI</v>
      </c>
      <c r="C27" s="815">
        <f>VLOOKUP(A27,DATEWISE!$A$3:$BY$27,2,0)</f>
        <v>0</v>
      </c>
      <c r="D27" s="815">
        <f>VLOOKUP(A27,DATEWISE!$A$3:$BY$27,3,0)</f>
        <v>0</v>
      </c>
      <c r="E27" s="815">
        <f>VLOOKUP(A27,DATEWISE!$A$3:$BY$27,4,0)</f>
        <v>0</v>
      </c>
      <c r="F27" s="815" t="str">
        <f t="shared" si="8"/>
        <v>0HINDI</v>
      </c>
      <c r="G27" s="815" t="s">
        <v>87</v>
      </c>
      <c r="H27" s="816">
        <v>0</v>
      </c>
      <c r="I27" s="816">
        <v>0</v>
      </c>
      <c r="J27" s="816">
        <v>0</v>
      </c>
      <c r="K27" s="816">
        <v>0</v>
      </c>
      <c r="L27" s="816">
        <v>0</v>
      </c>
      <c r="M27" s="816">
        <v>0</v>
      </c>
      <c r="N27" s="816">
        <v>0</v>
      </c>
      <c r="O27" s="816">
        <v>0</v>
      </c>
      <c r="P27" s="816">
        <v>0</v>
      </c>
      <c r="Q27" s="816">
        <v>0</v>
      </c>
      <c r="R27" s="816">
        <v>0</v>
      </c>
      <c r="S27" s="816">
        <v>0</v>
      </c>
      <c r="T27" s="816">
        <v>0</v>
      </c>
      <c r="U27" s="816">
        <v>0</v>
      </c>
      <c r="V27" s="816">
        <v>0</v>
      </c>
      <c r="W27" s="816">
        <v>0</v>
      </c>
      <c r="X27" s="816">
        <v>0</v>
      </c>
      <c r="Y27" s="816">
        <v>0</v>
      </c>
      <c r="Z27" s="816">
        <v>0</v>
      </c>
      <c r="AA27" s="816">
        <v>0</v>
      </c>
      <c r="AB27" s="816">
        <v>0</v>
      </c>
      <c r="AC27" s="816">
        <v>0</v>
      </c>
      <c r="AD27" s="816">
        <v>0</v>
      </c>
      <c r="AE27" s="816">
        <v>0</v>
      </c>
      <c r="AF27" s="816">
        <v>0</v>
      </c>
      <c r="AG27" s="816">
        <v>0</v>
      </c>
      <c r="AH27" s="816">
        <v>0</v>
      </c>
      <c r="AI27" s="816">
        <v>0</v>
      </c>
      <c r="AJ27" s="816">
        <v>0</v>
      </c>
      <c r="AK27" s="816">
        <v>0</v>
      </c>
      <c r="AL27" s="816">
        <v>0</v>
      </c>
      <c r="AM27" s="816">
        <v>0</v>
      </c>
      <c r="AN27" s="816">
        <v>0</v>
      </c>
      <c r="AO27" s="816">
        <v>0</v>
      </c>
      <c r="AP27" s="816">
        <v>0</v>
      </c>
      <c r="AQ27" s="816">
        <v>0</v>
      </c>
      <c r="AR27" s="816">
        <v>0</v>
      </c>
      <c r="AS27" s="816">
        <v>0</v>
      </c>
      <c r="AT27" s="816">
        <v>0</v>
      </c>
      <c r="AU27" s="816">
        <v>0</v>
      </c>
      <c r="AV27" s="816">
        <v>0</v>
      </c>
      <c r="AW27" s="816">
        <v>0</v>
      </c>
      <c r="AX27" s="816">
        <v>0</v>
      </c>
      <c r="AY27" s="816">
        <v>0</v>
      </c>
      <c r="AZ27" s="816">
        <v>0</v>
      </c>
      <c r="BA27" s="816">
        <v>0</v>
      </c>
      <c r="BB27" s="816">
        <v>0</v>
      </c>
      <c r="BC27" s="816">
        <v>0</v>
      </c>
      <c r="BD27" s="816">
        <v>0</v>
      </c>
      <c r="BE27" s="816">
        <v>0</v>
      </c>
      <c r="BF27" s="816">
        <v>0</v>
      </c>
      <c r="BG27" s="816">
        <v>0</v>
      </c>
      <c r="BH27" s="816">
        <v>0</v>
      </c>
      <c r="BI27" s="816">
        <v>0</v>
      </c>
      <c r="BJ27" s="816">
        <v>0</v>
      </c>
      <c r="BK27" s="816">
        <v>0</v>
      </c>
      <c r="BL27" s="816">
        <v>0</v>
      </c>
      <c r="BM27" s="816">
        <v>0</v>
      </c>
      <c r="BN27" s="816">
        <v>0</v>
      </c>
      <c r="BO27" s="816">
        <v>0</v>
      </c>
      <c r="BP27" s="816">
        <v>0</v>
      </c>
      <c r="BQ27" s="816">
        <v>0</v>
      </c>
      <c r="BR27" s="816">
        <v>0</v>
      </c>
      <c r="BS27" s="816">
        <v>0</v>
      </c>
      <c r="BT27" s="816">
        <v>0</v>
      </c>
      <c r="BU27" s="816">
        <v>0</v>
      </c>
      <c r="BV27" s="816">
        <v>0</v>
      </c>
      <c r="BW27" s="816">
        <v>0</v>
      </c>
      <c r="BX27" s="816">
        <v>0</v>
      </c>
      <c r="BY27" s="816">
        <v>0</v>
      </c>
      <c r="BZ27" s="816">
        <v>0</v>
      </c>
      <c r="CA27" s="816">
        <v>0</v>
      </c>
      <c r="CB27" s="816">
        <v>0</v>
      </c>
      <c r="CC27" s="816">
        <v>0</v>
      </c>
      <c r="CD27" s="816">
        <v>0</v>
      </c>
      <c r="CE27" s="816">
        <v>0</v>
      </c>
      <c r="CF27" s="816">
        <v>0</v>
      </c>
      <c r="CG27" s="816">
        <v>0</v>
      </c>
      <c r="CH27" s="816">
        <v>0</v>
      </c>
      <c r="CI27" s="816">
        <v>0</v>
      </c>
      <c r="CJ27" s="816">
        <v>0</v>
      </c>
      <c r="CK27" s="816">
        <v>0</v>
      </c>
      <c r="CL27" s="816">
        <v>0</v>
      </c>
      <c r="CM27" s="816">
        <v>0</v>
      </c>
      <c r="CN27" s="816">
        <v>0</v>
      </c>
      <c r="CO27" s="816">
        <v>0</v>
      </c>
      <c r="CP27" s="816">
        <v>0</v>
      </c>
      <c r="CQ27" s="816">
        <v>0</v>
      </c>
      <c r="CR27" s="816">
        <v>0</v>
      </c>
      <c r="CS27" s="816">
        <v>0</v>
      </c>
      <c r="CT27" s="816">
        <v>0</v>
      </c>
      <c r="CU27" s="816">
        <v>0</v>
      </c>
      <c r="CV27" s="816">
        <v>0</v>
      </c>
      <c r="CW27" s="816">
        <v>0</v>
      </c>
      <c r="CX27" s="816">
        <v>0</v>
      </c>
      <c r="CY27" s="816">
        <v>0</v>
      </c>
      <c r="CZ27" s="816">
        <v>0</v>
      </c>
      <c r="DA27" s="816">
        <v>0</v>
      </c>
      <c r="DB27" s="816">
        <v>0</v>
      </c>
      <c r="DC27" s="816">
        <v>0</v>
      </c>
      <c r="DE27" s="816" t="s">
        <v>96</v>
      </c>
      <c r="DF27" s="816">
        <f t="shared" si="9"/>
        <v>0</v>
      </c>
      <c r="DG27" s="816" t="s">
        <v>97</v>
      </c>
      <c r="DH27" s="816">
        <f t="shared" si="10"/>
        <v>0</v>
      </c>
      <c r="DI27" s="816" t="s">
        <v>98</v>
      </c>
      <c r="DJ27" s="816">
        <f t="shared" si="11"/>
        <v>0</v>
      </c>
      <c r="DK27" s="816" t="s">
        <v>99</v>
      </c>
      <c r="DL27" s="816">
        <f t="shared" si="12"/>
        <v>0</v>
      </c>
      <c r="DM27" s="816" t="s">
        <v>100</v>
      </c>
      <c r="DN27" s="816">
        <f t="shared" si="13"/>
        <v>0</v>
      </c>
      <c r="DO27" s="816" t="s">
        <v>101</v>
      </c>
      <c r="DP27" s="816">
        <f t="shared" si="14"/>
        <v>0</v>
      </c>
    </row>
    <row r="28" spans="1:120">
      <c r="A28" s="815">
        <v>7</v>
      </c>
      <c r="B28" s="815" t="str">
        <f t="shared" si="1"/>
        <v>7ENGLISH</v>
      </c>
      <c r="C28" s="815">
        <f>VLOOKUP(A28,DATEWISE!$A$3:$BY$27,2,0)</f>
        <v>0</v>
      </c>
      <c r="D28" s="815">
        <f>VLOOKUP(A28,DATEWISE!$A$3:$BY$27,3,0)</f>
        <v>0</v>
      </c>
      <c r="E28" s="815">
        <f>VLOOKUP(A28,DATEWISE!$A$3:$BY$27,4,0)</f>
        <v>0</v>
      </c>
      <c r="F28" s="815" t="str">
        <f t="shared" si="8"/>
        <v>0ENGLISH</v>
      </c>
      <c r="G28" s="815" t="s">
        <v>89</v>
      </c>
      <c r="H28" s="816">
        <v>0</v>
      </c>
      <c r="I28" s="816">
        <v>0</v>
      </c>
      <c r="J28" s="816">
        <v>0</v>
      </c>
      <c r="K28" s="816">
        <v>0</v>
      </c>
      <c r="L28" s="816">
        <v>0</v>
      </c>
      <c r="M28" s="816">
        <v>0</v>
      </c>
      <c r="N28" s="816">
        <v>0</v>
      </c>
      <c r="O28" s="816">
        <v>0</v>
      </c>
      <c r="P28" s="816">
        <v>0</v>
      </c>
      <c r="Q28" s="816">
        <v>0</v>
      </c>
      <c r="R28" s="816">
        <v>0</v>
      </c>
      <c r="S28" s="816">
        <v>0</v>
      </c>
      <c r="T28" s="816">
        <v>0</v>
      </c>
      <c r="U28" s="816">
        <v>0</v>
      </c>
      <c r="V28" s="816">
        <v>0</v>
      </c>
      <c r="W28" s="816">
        <v>0</v>
      </c>
      <c r="X28" s="816">
        <v>0</v>
      </c>
      <c r="Y28" s="816">
        <v>0</v>
      </c>
      <c r="Z28" s="816">
        <v>0</v>
      </c>
      <c r="AA28" s="816">
        <v>0</v>
      </c>
      <c r="AB28" s="816">
        <v>0</v>
      </c>
      <c r="AC28" s="816">
        <v>0</v>
      </c>
      <c r="AD28" s="816">
        <v>0</v>
      </c>
      <c r="AE28" s="816">
        <v>0</v>
      </c>
      <c r="AF28" s="816">
        <v>0</v>
      </c>
      <c r="AG28" s="816">
        <v>0</v>
      </c>
      <c r="AH28" s="816">
        <v>0</v>
      </c>
      <c r="AI28" s="816">
        <v>0</v>
      </c>
      <c r="AJ28" s="816">
        <v>0</v>
      </c>
      <c r="AK28" s="816">
        <v>0</v>
      </c>
      <c r="AL28" s="816">
        <v>0</v>
      </c>
      <c r="AM28" s="816">
        <v>0</v>
      </c>
      <c r="AN28" s="816">
        <v>0</v>
      </c>
      <c r="AO28" s="816">
        <v>0</v>
      </c>
      <c r="AP28" s="816">
        <v>0</v>
      </c>
      <c r="AQ28" s="816">
        <v>0</v>
      </c>
      <c r="AR28" s="816">
        <v>0</v>
      </c>
      <c r="AS28" s="816">
        <v>0</v>
      </c>
      <c r="AT28" s="816">
        <v>0</v>
      </c>
      <c r="AU28" s="816">
        <v>0</v>
      </c>
      <c r="AV28" s="816">
        <v>0</v>
      </c>
      <c r="AW28" s="816">
        <v>0</v>
      </c>
      <c r="AX28" s="816">
        <v>0</v>
      </c>
      <c r="AY28" s="816">
        <v>0</v>
      </c>
      <c r="AZ28" s="816">
        <v>0</v>
      </c>
      <c r="BA28" s="816">
        <v>0</v>
      </c>
      <c r="BB28" s="816">
        <v>0</v>
      </c>
      <c r="BC28" s="816">
        <v>0</v>
      </c>
      <c r="BD28" s="816">
        <v>0</v>
      </c>
      <c r="BE28" s="816">
        <v>0</v>
      </c>
      <c r="BF28" s="816">
        <v>0</v>
      </c>
      <c r="BG28" s="816">
        <v>0</v>
      </c>
      <c r="BH28" s="816">
        <v>0</v>
      </c>
      <c r="BI28" s="816">
        <v>0</v>
      </c>
      <c r="BJ28" s="816">
        <v>0</v>
      </c>
      <c r="BK28" s="816">
        <v>0</v>
      </c>
      <c r="BL28" s="816">
        <v>0</v>
      </c>
      <c r="BM28" s="816">
        <v>0</v>
      </c>
      <c r="BN28" s="816">
        <v>0</v>
      </c>
      <c r="BO28" s="816">
        <v>0</v>
      </c>
      <c r="BP28" s="816">
        <v>0</v>
      </c>
      <c r="BQ28" s="816">
        <v>0</v>
      </c>
      <c r="BR28" s="816">
        <v>0</v>
      </c>
      <c r="BS28" s="816">
        <v>0</v>
      </c>
      <c r="BT28" s="816">
        <v>0</v>
      </c>
      <c r="BU28" s="816">
        <v>0</v>
      </c>
      <c r="BV28" s="816">
        <v>0</v>
      </c>
      <c r="BW28" s="816">
        <v>0</v>
      </c>
      <c r="BX28" s="816">
        <v>0</v>
      </c>
      <c r="BY28" s="816">
        <v>0</v>
      </c>
      <c r="BZ28" s="816">
        <v>0</v>
      </c>
      <c r="CA28" s="816">
        <v>0</v>
      </c>
      <c r="CB28" s="816">
        <v>0</v>
      </c>
      <c r="CC28" s="816">
        <v>0</v>
      </c>
      <c r="CD28" s="816">
        <v>0</v>
      </c>
      <c r="CE28" s="816">
        <v>0</v>
      </c>
      <c r="CF28" s="816">
        <v>0</v>
      </c>
      <c r="CG28" s="816">
        <v>0</v>
      </c>
      <c r="CH28" s="816">
        <v>0</v>
      </c>
      <c r="CI28" s="816">
        <v>0</v>
      </c>
      <c r="CJ28" s="816">
        <v>0</v>
      </c>
      <c r="CK28" s="816">
        <v>0</v>
      </c>
      <c r="CL28" s="816">
        <v>0</v>
      </c>
      <c r="CM28" s="816">
        <v>0</v>
      </c>
      <c r="CN28" s="816">
        <v>0</v>
      </c>
      <c r="CO28" s="816">
        <v>0</v>
      </c>
      <c r="CP28" s="816">
        <v>0</v>
      </c>
      <c r="CQ28" s="816">
        <v>0</v>
      </c>
      <c r="CR28" s="816">
        <v>0</v>
      </c>
      <c r="CS28" s="816">
        <v>0</v>
      </c>
      <c r="CT28" s="816">
        <v>0</v>
      </c>
      <c r="CU28" s="816">
        <v>0</v>
      </c>
      <c r="CV28" s="816">
        <v>0</v>
      </c>
      <c r="CW28" s="816">
        <v>0</v>
      </c>
      <c r="CX28" s="816">
        <v>0</v>
      </c>
      <c r="CY28" s="816">
        <v>0</v>
      </c>
      <c r="CZ28" s="816">
        <v>0</v>
      </c>
      <c r="DA28" s="816">
        <v>0</v>
      </c>
      <c r="DB28" s="816">
        <v>0</v>
      </c>
      <c r="DC28" s="816">
        <v>0</v>
      </c>
      <c r="DE28" s="816" t="s">
        <v>96</v>
      </c>
      <c r="DF28" s="816">
        <f t="shared" si="9"/>
        <v>0</v>
      </c>
      <c r="DG28" s="816" t="s">
        <v>97</v>
      </c>
      <c r="DH28" s="816">
        <f t="shared" si="10"/>
        <v>0</v>
      </c>
      <c r="DI28" s="816" t="s">
        <v>98</v>
      </c>
      <c r="DJ28" s="816">
        <f t="shared" si="11"/>
        <v>0</v>
      </c>
      <c r="DK28" s="816" t="s">
        <v>99</v>
      </c>
      <c r="DL28" s="816">
        <f t="shared" si="12"/>
        <v>0</v>
      </c>
      <c r="DM28" s="816" t="s">
        <v>100</v>
      </c>
      <c r="DN28" s="816">
        <f t="shared" si="13"/>
        <v>0</v>
      </c>
      <c r="DO28" s="816" t="s">
        <v>101</v>
      </c>
      <c r="DP28" s="816">
        <f t="shared" si="14"/>
        <v>0</v>
      </c>
    </row>
    <row r="29" spans="1:120">
      <c r="A29" s="815">
        <v>7</v>
      </c>
      <c r="B29" s="815" t="str">
        <f t="shared" si="1"/>
        <v>7MATHS</v>
      </c>
      <c r="C29" s="815">
        <f>VLOOKUP(A29,DATEWISE!$A$3:$BY$27,2,0)</f>
        <v>0</v>
      </c>
      <c r="D29" s="815">
        <f>VLOOKUP(A29,DATEWISE!$A$3:$BY$27,3,0)</f>
        <v>0</v>
      </c>
      <c r="E29" s="815">
        <f>VLOOKUP(A29,DATEWISE!$A$3:$BY$27,4,0)</f>
        <v>0</v>
      </c>
      <c r="F29" s="815" t="str">
        <f t="shared" si="8"/>
        <v>0MATHS</v>
      </c>
      <c r="G29" s="815" t="s">
        <v>88</v>
      </c>
      <c r="H29" s="816">
        <v>0</v>
      </c>
      <c r="I29" s="816">
        <v>0</v>
      </c>
      <c r="J29" s="816">
        <v>0</v>
      </c>
      <c r="K29" s="816">
        <v>0</v>
      </c>
      <c r="L29" s="816">
        <v>0</v>
      </c>
      <c r="M29" s="816">
        <v>0</v>
      </c>
      <c r="N29" s="816">
        <v>0</v>
      </c>
      <c r="O29" s="816">
        <v>0</v>
      </c>
      <c r="P29" s="816">
        <v>0</v>
      </c>
      <c r="Q29" s="816">
        <v>0</v>
      </c>
      <c r="R29" s="816">
        <v>0</v>
      </c>
      <c r="S29" s="816">
        <v>0</v>
      </c>
      <c r="T29" s="816">
        <v>0</v>
      </c>
      <c r="U29" s="816">
        <v>0</v>
      </c>
      <c r="V29" s="816">
        <v>0</v>
      </c>
      <c r="W29" s="816">
        <v>0</v>
      </c>
      <c r="X29" s="816">
        <v>0</v>
      </c>
      <c r="Y29" s="816">
        <v>0</v>
      </c>
      <c r="Z29" s="816">
        <v>0</v>
      </c>
      <c r="AA29" s="816">
        <v>0</v>
      </c>
      <c r="AB29" s="816">
        <v>0</v>
      </c>
      <c r="AC29" s="816">
        <v>0</v>
      </c>
      <c r="AD29" s="816">
        <v>0</v>
      </c>
      <c r="AE29" s="816">
        <v>0</v>
      </c>
      <c r="AF29" s="816">
        <v>0</v>
      </c>
      <c r="AG29" s="816">
        <v>0</v>
      </c>
      <c r="AH29" s="816">
        <v>0</v>
      </c>
      <c r="AI29" s="816">
        <v>0</v>
      </c>
      <c r="AJ29" s="816">
        <v>0</v>
      </c>
      <c r="AK29" s="816">
        <v>0</v>
      </c>
      <c r="AL29" s="816">
        <v>0</v>
      </c>
      <c r="AM29" s="816">
        <v>0</v>
      </c>
      <c r="AN29" s="816">
        <v>0</v>
      </c>
      <c r="AO29" s="816">
        <v>0</v>
      </c>
      <c r="AP29" s="816">
        <v>0</v>
      </c>
      <c r="AQ29" s="816">
        <v>0</v>
      </c>
      <c r="AR29" s="816">
        <v>0</v>
      </c>
      <c r="AS29" s="816">
        <v>0</v>
      </c>
      <c r="AT29" s="816">
        <v>0</v>
      </c>
      <c r="AU29" s="816">
        <v>0</v>
      </c>
      <c r="AV29" s="816">
        <v>0</v>
      </c>
      <c r="AW29" s="816">
        <v>0</v>
      </c>
      <c r="AX29" s="816">
        <v>0</v>
      </c>
      <c r="AY29" s="816">
        <v>0</v>
      </c>
      <c r="AZ29" s="816">
        <v>0</v>
      </c>
      <c r="BA29" s="816">
        <v>0</v>
      </c>
      <c r="BB29" s="816">
        <v>0</v>
      </c>
      <c r="BC29" s="816">
        <v>0</v>
      </c>
      <c r="BD29" s="816">
        <v>0</v>
      </c>
      <c r="BE29" s="816">
        <v>0</v>
      </c>
      <c r="BF29" s="816">
        <v>0</v>
      </c>
      <c r="BG29" s="816">
        <v>0</v>
      </c>
      <c r="BH29" s="816">
        <v>0</v>
      </c>
      <c r="BI29" s="816">
        <v>0</v>
      </c>
      <c r="BJ29" s="816">
        <v>0</v>
      </c>
      <c r="BK29" s="816">
        <v>0</v>
      </c>
      <c r="BL29" s="816">
        <v>0</v>
      </c>
      <c r="BM29" s="816">
        <v>0</v>
      </c>
      <c r="BN29" s="816">
        <v>0</v>
      </c>
      <c r="BO29" s="816">
        <v>0</v>
      </c>
      <c r="BP29" s="816">
        <v>0</v>
      </c>
      <c r="BQ29" s="816">
        <v>0</v>
      </c>
      <c r="BR29" s="816">
        <v>0</v>
      </c>
      <c r="BS29" s="816">
        <v>0</v>
      </c>
      <c r="BT29" s="816">
        <v>0</v>
      </c>
      <c r="BU29" s="816">
        <v>0</v>
      </c>
      <c r="BV29" s="816">
        <v>0</v>
      </c>
      <c r="BW29" s="816">
        <v>0</v>
      </c>
      <c r="BX29" s="816">
        <v>0</v>
      </c>
      <c r="BY29" s="816">
        <v>0</v>
      </c>
      <c r="BZ29" s="816">
        <v>0</v>
      </c>
      <c r="CA29" s="816">
        <v>0</v>
      </c>
      <c r="CB29" s="816">
        <v>0</v>
      </c>
      <c r="CC29" s="816">
        <v>0</v>
      </c>
      <c r="CD29" s="816">
        <v>0</v>
      </c>
      <c r="CE29" s="816">
        <v>0</v>
      </c>
      <c r="CF29" s="816">
        <v>0</v>
      </c>
      <c r="CG29" s="816">
        <v>0</v>
      </c>
      <c r="CH29" s="816">
        <v>0</v>
      </c>
      <c r="CI29" s="816">
        <v>0</v>
      </c>
      <c r="CJ29" s="816">
        <v>0</v>
      </c>
      <c r="CK29" s="816">
        <v>0</v>
      </c>
      <c r="CL29" s="816">
        <v>0</v>
      </c>
      <c r="CM29" s="816">
        <v>0</v>
      </c>
      <c r="CN29" s="816">
        <v>0</v>
      </c>
      <c r="CO29" s="816">
        <v>0</v>
      </c>
      <c r="CP29" s="816">
        <v>0</v>
      </c>
      <c r="CQ29" s="816">
        <v>0</v>
      </c>
      <c r="CR29" s="816">
        <v>0</v>
      </c>
      <c r="CS29" s="816">
        <v>0</v>
      </c>
      <c r="CT29" s="816">
        <v>0</v>
      </c>
      <c r="CU29" s="816">
        <v>0</v>
      </c>
      <c r="CV29" s="816">
        <v>0</v>
      </c>
      <c r="CW29" s="816">
        <v>0</v>
      </c>
      <c r="CX29" s="816">
        <v>0</v>
      </c>
      <c r="CY29" s="816">
        <v>0</v>
      </c>
      <c r="CZ29" s="816">
        <v>0</v>
      </c>
      <c r="DA29" s="816">
        <v>0</v>
      </c>
      <c r="DB29" s="816">
        <v>0</v>
      </c>
      <c r="DC29" s="816">
        <v>0</v>
      </c>
      <c r="DE29" s="816" t="s">
        <v>96</v>
      </c>
      <c r="DF29" s="816">
        <f t="shared" si="9"/>
        <v>0</v>
      </c>
      <c r="DG29" s="816" t="s">
        <v>97</v>
      </c>
      <c r="DH29" s="816">
        <f t="shared" si="10"/>
        <v>0</v>
      </c>
      <c r="DI29" s="816" t="s">
        <v>98</v>
      </c>
      <c r="DJ29" s="816">
        <f t="shared" si="11"/>
        <v>0</v>
      </c>
      <c r="DK29" s="816" t="s">
        <v>99</v>
      </c>
      <c r="DL29" s="816">
        <f t="shared" si="12"/>
        <v>0</v>
      </c>
      <c r="DM29" s="816" t="s">
        <v>100</v>
      </c>
      <c r="DN29" s="816">
        <f t="shared" si="13"/>
        <v>0</v>
      </c>
      <c r="DO29" s="816" t="s">
        <v>101</v>
      </c>
      <c r="DP29" s="816">
        <f t="shared" si="14"/>
        <v>0</v>
      </c>
    </row>
    <row r="30" spans="1:120">
      <c r="A30" s="815">
        <v>7</v>
      </c>
      <c r="B30" s="815" t="str">
        <f t="shared" si="1"/>
        <v>7REMARKS</v>
      </c>
      <c r="C30" s="815">
        <f>VLOOKUP(A30,DATEWISE!$A$3:$BY$27,2,0)</f>
        <v>0</v>
      </c>
      <c r="D30" s="815">
        <f>VLOOKUP(A30,DATEWISE!$A$3:$BY$27,3,0)</f>
        <v>0</v>
      </c>
      <c r="E30" s="815">
        <f>VLOOKUP(A30,DATEWISE!$A$3:$BY$27,4,0)</f>
        <v>0</v>
      </c>
      <c r="F30" s="815" t="str">
        <f t="shared" si="8"/>
        <v>0REMARKS</v>
      </c>
      <c r="G30" s="815" t="s">
        <v>390</v>
      </c>
      <c r="H30" s="816">
        <v>0</v>
      </c>
      <c r="I30" s="816">
        <v>0</v>
      </c>
      <c r="J30" s="816">
        <v>0</v>
      </c>
      <c r="K30" s="816">
        <v>0</v>
      </c>
      <c r="L30" s="816">
        <v>0</v>
      </c>
      <c r="M30" s="816">
        <v>0</v>
      </c>
      <c r="N30" s="816">
        <v>0</v>
      </c>
      <c r="O30" s="816">
        <v>0</v>
      </c>
      <c r="P30" s="816">
        <v>0</v>
      </c>
      <c r="Q30" s="816">
        <v>0</v>
      </c>
      <c r="R30" s="816">
        <v>0</v>
      </c>
      <c r="S30" s="816">
        <v>0</v>
      </c>
      <c r="T30" s="816">
        <v>0</v>
      </c>
      <c r="U30" s="816">
        <v>0</v>
      </c>
      <c r="V30" s="816">
        <v>0</v>
      </c>
      <c r="W30" s="816">
        <v>0</v>
      </c>
      <c r="X30" s="816">
        <v>0</v>
      </c>
      <c r="Y30" s="816">
        <v>0</v>
      </c>
      <c r="Z30" s="816">
        <v>0</v>
      </c>
      <c r="AA30" s="816">
        <v>0</v>
      </c>
      <c r="AB30" s="816">
        <v>0</v>
      </c>
      <c r="AC30" s="816">
        <v>0</v>
      </c>
      <c r="AD30" s="816">
        <v>0</v>
      </c>
      <c r="AE30" s="816">
        <v>0</v>
      </c>
      <c r="AF30" s="816">
        <v>0</v>
      </c>
      <c r="AG30" s="816">
        <v>0</v>
      </c>
      <c r="AH30" s="816">
        <v>0</v>
      </c>
      <c r="AI30" s="816">
        <v>0</v>
      </c>
      <c r="AJ30" s="816">
        <v>0</v>
      </c>
      <c r="AK30" s="816">
        <v>0</v>
      </c>
      <c r="AL30" s="816">
        <v>0</v>
      </c>
      <c r="AM30" s="816">
        <v>0</v>
      </c>
      <c r="AN30" s="816">
        <v>0</v>
      </c>
      <c r="AO30" s="816">
        <v>0</v>
      </c>
      <c r="AP30" s="816">
        <v>0</v>
      </c>
      <c r="AQ30" s="816">
        <v>0</v>
      </c>
      <c r="AR30" s="816">
        <v>0</v>
      </c>
      <c r="AS30" s="816">
        <v>0</v>
      </c>
      <c r="AT30" s="816">
        <v>0</v>
      </c>
      <c r="AU30" s="816">
        <v>0</v>
      </c>
      <c r="AV30" s="816">
        <v>0</v>
      </c>
      <c r="AW30" s="816">
        <v>0</v>
      </c>
      <c r="AX30" s="816">
        <v>0</v>
      </c>
      <c r="AY30" s="816">
        <v>0</v>
      </c>
      <c r="AZ30" s="816">
        <v>0</v>
      </c>
      <c r="BA30" s="816">
        <v>0</v>
      </c>
      <c r="BB30" s="816">
        <v>0</v>
      </c>
      <c r="BC30" s="816">
        <v>0</v>
      </c>
      <c r="BD30" s="816">
        <v>0</v>
      </c>
      <c r="BE30" s="816">
        <v>0</v>
      </c>
      <c r="BF30" s="816">
        <v>0</v>
      </c>
      <c r="BG30" s="816">
        <v>0</v>
      </c>
      <c r="BH30" s="816">
        <v>0</v>
      </c>
      <c r="BI30" s="816">
        <v>0</v>
      </c>
      <c r="BJ30" s="816">
        <v>0</v>
      </c>
      <c r="BK30" s="816">
        <v>0</v>
      </c>
      <c r="BL30" s="816">
        <v>0</v>
      </c>
      <c r="BM30" s="816">
        <v>0</v>
      </c>
      <c r="BN30" s="816">
        <v>0</v>
      </c>
      <c r="BO30" s="816">
        <v>0</v>
      </c>
      <c r="BP30" s="816">
        <v>0</v>
      </c>
      <c r="BQ30" s="816">
        <v>0</v>
      </c>
      <c r="BR30" s="816">
        <v>0</v>
      </c>
      <c r="BS30" s="816">
        <v>0</v>
      </c>
      <c r="BT30" s="816">
        <v>0</v>
      </c>
      <c r="BU30" s="816">
        <v>0</v>
      </c>
      <c r="BV30" s="816">
        <v>0</v>
      </c>
      <c r="BW30" s="816">
        <v>0</v>
      </c>
      <c r="BX30" s="816">
        <v>0</v>
      </c>
      <c r="BY30" s="816">
        <v>0</v>
      </c>
      <c r="BZ30" s="816">
        <v>0</v>
      </c>
      <c r="CA30" s="816">
        <v>0</v>
      </c>
      <c r="CB30" s="816">
        <v>0</v>
      </c>
      <c r="CC30" s="816">
        <v>0</v>
      </c>
      <c r="CD30" s="816">
        <v>0</v>
      </c>
      <c r="CE30" s="816">
        <v>0</v>
      </c>
      <c r="CF30" s="816">
        <v>0</v>
      </c>
      <c r="CG30" s="816">
        <v>0</v>
      </c>
      <c r="CH30" s="816">
        <v>0</v>
      </c>
      <c r="CI30" s="816">
        <v>0</v>
      </c>
      <c r="CJ30" s="816">
        <v>0</v>
      </c>
      <c r="CK30" s="816">
        <v>0</v>
      </c>
      <c r="CL30" s="816">
        <v>0</v>
      </c>
      <c r="CM30" s="816">
        <v>0</v>
      </c>
      <c r="CN30" s="816">
        <v>0</v>
      </c>
      <c r="CO30" s="816">
        <v>0</v>
      </c>
      <c r="CP30" s="816">
        <v>0</v>
      </c>
      <c r="CQ30" s="816">
        <v>0</v>
      </c>
      <c r="CR30" s="816">
        <v>0</v>
      </c>
      <c r="CS30" s="816">
        <v>0</v>
      </c>
      <c r="CT30" s="816">
        <v>0</v>
      </c>
      <c r="CU30" s="816">
        <v>0</v>
      </c>
      <c r="CV30" s="816">
        <v>0</v>
      </c>
      <c r="CW30" s="816">
        <v>0</v>
      </c>
      <c r="CX30" s="816">
        <v>0</v>
      </c>
      <c r="CY30" s="816">
        <v>0</v>
      </c>
      <c r="CZ30" s="816">
        <v>0</v>
      </c>
      <c r="DA30" s="816">
        <v>0</v>
      </c>
      <c r="DB30" s="816">
        <v>0</v>
      </c>
      <c r="DC30" s="816">
        <v>0</v>
      </c>
      <c r="DE30" s="816" t="s">
        <v>96</v>
      </c>
      <c r="DF30" s="816">
        <f t="shared" si="9"/>
        <v>0</v>
      </c>
      <c r="DG30" s="816" t="s">
        <v>97</v>
      </c>
      <c r="DH30" s="816">
        <f t="shared" si="10"/>
        <v>0</v>
      </c>
      <c r="DI30" s="816" t="s">
        <v>98</v>
      </c>
      <c r="DJ30" s="816">
        <f t="shared" si="11"/>
        <v>0</v>
      </c>
      <c r="DK30" s="816" t="s">
        <v>99</v>
      </c>
      <c r="DL30" s="816">
        <f t="shared" si="12"/>
        <v>0</v>
      </c>
      <c r="DM30" s="816" t="s">
        <v>100</v>
      </c>
      <c r="DN30" s="816">
        <f t="shared" si="13"/>
        <v>0</v>
      </c>
      <c r="DO30" s="816" t="s">
        <v>101</v>
      </c>
      <c r="DP30" s="816">
        <f t="shared" si="14"/>
        <v>0</v>
      </c>
    </row>
    <row r="31" spans="1:120">
      <c r="A31" s="815">
        <v>8</v>
      </c>
      <c r="B31" s="815" t="str">
        <f t="shared" si="1"/>
        <v>8HINDI</v>
      </c>
      <c r="C31" s="815">
        <f>VLOOKUP(A31,DATEWISE!$A$3:$BY$27,2,0)</f>
        <v>0</v>
      </c>
      <c r="D31" s="815">
        <f>VLOOKUP(A31,DATEWISE!$A$3:$BY$27,3,0)</f>
        <v>0</v>
      </c>
      <c r="E31" s="815">
        <f>VLOOKUP(A31,DATEWISE!$A$3:$BY$27,4,0)</f>
        <v>0</v>
      </c>
      <c r="F31" s="815" t="str">
        <f t="shared" si="8"/>
        <v>0HINDI</v>
      </c>
      <c r="G31" s="815" t="s">
        <v>87</v>
      </c>
      <c r="H31" s="816">
        <v>0</v>
      </c>
      <c r="I31" s="816">
        <v>0</v>
      </c>
      <c r="J31" s="816">
        <v>0</v>
      </c>
      <c r="K31" s="816">
        <v>0</v>
      </c>
      <c r="L31" s="816">
        <v>0</v>
      </c>
      <c r="M31" s="816">
        <v>0</v>
      </c>
      <c r="N31" s="816">
        <v>0</v>
      </c>
      <c r="O31" s="816">
        <v>0</v>
      </c>
      <c r="P31" s="816">
        <v>0</v>
      </c>
      <c r="Q31" s="816">
        <v>0</v>
      </c>
      <c r="R31" s="816">
        <v>0</v>
      </c>
      <c r="S31" s="816">
        <v>0</v>
      </c>
      <c r="T31" s="816">
        <v>0</v>
      </c>
      <c r="U31" s="816">
        <v>0</v>
      </c>
      <c r="V31" s="816">
        <v>0</v>
      </c>
      <c r="W31" s="816">
        <v>0</v>
      </c>
      <c r="X31" s="816">
        <v>0</v>
      </c>
      <c r="Y31" s="816">
        <v>0</v>
      </c>
      <c r="Z31" s="816">
        <v>0</v>
      </c>
      <c r="AA31" s="816">
        <v>0</v>
      </c>
      <c r="AB31" s="816">
        <v>0</v>
      </c>
      <c r="AC31" s="816">
        <v>0</v>
      </c>
      <c r="AD31" s="816">
        <v>0</v>
      </c>
      <c r="AE31" s="816">
        <v>0</v>
      </c>
      <c r="AF31" s="816">
        <v>0</v>
      </c>
      <c r="AG31" s="816">
        <v>0</v>
      </c>
      <c r="AH31" s="816">
        <v>0</v>
      </c>
      <c r="AI31" s="816">
        <v>0</v>
      </c>
      <c r="AJ31" s="816">
        <v>0</v>
      </c>
      <c r="AK31" s="816">
        <v>0</v>
      </c>
      <c r="AL31" s="816">
        <v>0</v>
      </c>
      <c r="AM31" s="816">
        <v>0</v>
      </c>
      <c r="AN31" s="816">
        <v>0</v>
      </c>
      <c r="AO31" s="816">
        <v>0</v>
      </c>
      <c r="AP31" s="816">
        <v>0</v>
      </c>
      <c r="AQ31" s="816">
        <v>0</v>
      </c>
      <c r="AR31" s="816">
        <v>0</v>
      </c>
      <c r="AS31" s="816">
        <v>0</v>
      </c>
      <c r="AT31" s="816">
        <v>0</v>
      </c>
      <c r="AU31" s="816">
        <v>0</v>
      </c>
      <c r="AV31" s="816">
        <v>0</v>
      </c>
      <c r="AW31" s="816">
        <v>0</v>
      </c>
      <c r="AX31" s="816">
        <v>0</v>
      </c>
      <c r="AY31" s="816">
        <v>0</v>
      </c>
      <c r="AZ31" s="816">
        <v>0</v>
      </c>
      <c r="BA31" s="816">
        <v>0</v>
      </c>
      <c r="BB31" s="816">
        <v>0</v>
      </c>
      <c r="BC31" s="816">
        <v>0</v>
      </c>
      <c r="BD31" s="816">
        <v>0</v>
      </c>
      <c r="BE31" s="816">
        <v>0</v>
      </c>
      <c r="BF31" s="816">
        <v>0</v>
      </c>
      <c r="BG31" s="816">
        <v>0</v>
      </c>
      <c r="BH31" s="816">
        <v>0</v>
      </c>
      <c r="BI31" s="816">
        <v>0</v>
      </c>
      <c r="BJ31" s="816">
        <v>0</v>
      </c>
      <c r="BK31" s="816">
        <v>0</v>
      </c>
      <c r="BL31" s="816">
        <v>0</v>
      </c>
      <c r="BM31" s="816">
        <v>0</v>
      </c>
      <c r="BN31" s="816">
        <v>0</v>
      </c>
      <c r="BO31" s="816">
        <v>0</v>
      </c>
      <c r="BP31" s="816">
        <v>0</v>
      </c>
      <c r="BQ31" s="816">
        <v>0</v>
      </c>
      <c r="BR31" s="816">
        <v>0</v>
      </c>
      <c r="BS31" s="816">
        <v>0</v>
      </c>
      <c r="BT31" s="816">
        <v>0</v>
      </c>
      <c r="BU31" s="816">
        <v>0</v>
      </c>
      <c r="BV31" s="816">
        <v>0</v>
      </c>
      <c r="BW31" s="816">
        <v>0</v>
      </c>
      <c r="BX31" s="816">
        <v>0</v>
      </c>
      <c r="BY31" s="816">
        <v>0</v>
      </c>
      <c r="BZ31" s="816">
        <v>0</v>
      </c>
      <c r="CA31" s="816">
        <v>0</v>
      </c>
      <c r="CB31" s="816">
        <v>0</v>
      </c>
      <c r="CC31" s="816">
        <v>0</v>
      </c>
      <c r="CD31" s="816">
        <v>0</v>
      </c>
      <c r="CE31" s="816">
        <v>0</v>
      </c>
      <c r="CF31" s="816">
        <v>0</v>
      </c>
      <c r="CG31" s="816">
        <v>0</v>
      </c>
      <c r="CH31" s="816">
        <v>0</v>
      </c>
      <c r="CI31" s="816">
        <v>0</v>
      </c>
      <c r="CJ31" s="816">
        <v>0</v>
      </c>
      <c r="CK31" s="816">
        <v>0</v>
      </c>
      <c r="CL31" s="816">
        <v>0</v>
      </c>
      <c r="CM31" s="816">
        <v>0</v>
      </c>
      <c r="CN31" s="816">
        <v>0</v>
      </c>
      <c r="CO31" s="816">
        <v>0</v>
      </c>
      <c r="CP31" s="816">
        <v>0</v>
      </c>
      <c r="CQ31" s="816">
        <v>0</v>
      </c>
      <c r="CR31" s="816">
        <v>0</v>
      </c>
      <c r="CS31" s="816">
        <v>0</v>
      </c>
      <c r="CT31" s="816">
        <v>0</v>
      </c>
      <c r="CU31" s="816">
        <v>0</v>
      </c>
      <c r="CV31" s="816">
        <v>0</v>
      </c>
      <c r="CW31" s="816">
        <v>0</v>
      </c>
      <c r="CX31" s="816">
        <v>0</v>
      </c>
      <c r="CY31" s="816">
        <v>0</v>
      </c>
      <c r="CZ31" s="816">
        <v>0</v>
      </c>
      <c r="DA31" s="816">
        <v>0</v>
      </c>
      <c r="DB31" s="816">
        <v>0</v>
      </c>
      <c r="DC31" s="816">
        <v>0</v>
      </c>
      <c r="DE31" s="816" t="s">
        <v>96</v>
      </c>
      <c r="DF31" s="816">
        <f t="shared" si="9"/>
        <v>0</v>
      </c>
      <c r="DG31" s="816" t="s">
        <v>97</v>
      </c>
      <c r="DH31" s="816">
        <f t="shared" si="10"/>
        <v>0</v>
      </c>
      <c r="DI31" s="816" t="s">
        <v>98</v>
      </c>
      <c r="DJ31" s="816">
        <f t="shared" si="11"/>
        <v>0</v>
      </c>
      <c r="DK31" s="816" t="s">
        <v>99</v>
      </c>
      <c r="DL31" s="816">
        <f t="shared" si="12"/>
        <v>0</v>
      </c>
      <c r="DM31" s="816" t="s">
        <v>100</v>
      </c>
      <c r="DN31" s="816">
        <f t="shared" si="13"/>
        <v>0</v>
      </c>
      <c r="DO31" s="816" t="s">
        <v>101</v>
      </c>
      <c r="DP31" s="816">
        <f t="shared" si="14"/>
        <v>0</v>
      </c>
    </row>
    <row r="32" spans="1:120">
      <c r="A32" s="815">
        <v>8</v>
      </c>
      <c r="B32" s="815" t="str">
        <f t="shared" si="1"/>
        <v>8ENGLISH</v>
      </c>
      <c r="C32" s="815">
        <f>VLOOKUP(A32,DATEWISE!$A$3:$BY$27,2,0)</f>
        <v>0</v>
      </c>
      <c r="D32" s="815">
        <f>VLOOKUP(A32,DATEWISE!$A$3:$BY$27,3,0)</f>
        <v>0</v>
      </c>
      <c r="E32" s="815">
        <f>VLOOKUP(A32,DATEWISE!$A$3:$BY$27,4,0)</f>
        <v>0</v>
      </c>
      <c r="F32" s="815" t="str">
        <f t="shared" si="8"/>
        <v>0ENGLISH</v>
      </c>
      <c r="G32" s="815" t="s">
        <v>89</v>
      </c>
      <c r="H32" s="816">
        <v>0</v>
      </c>
      <c r="I32" s="816">
        <v>0</v>
      </c>
      <c r="J32" s="816">
        <v>0</v>
      </c>
      <c r="K32" s="816">
        <v>0</v>
      </c>
      <c r="L32" s="816">
        <v>0</v>
      </c>
      <c r="M32" s="816">
        <v>0</v>
      </c>
      <c r="N32" s="816">
        <v>0</v>
      </c>
      <c r="O32" s="816">
        <v>0</v>
      </c>
      <c r="P32" s="816">
        <v>0</v>
      </c>
      <c r="Q32" s="816">
        <v>0</v>
      </c>
      <c r="R32" s="816">
        <v>0</v>
      </c>
      <c r="S32" s="816">
        <v>0</v>
      </c>
      <c r="T32" s="816">
        <v>0</v>
      </c>
      <c r="U32" s="816">
        <v>0</v>
      </c>
      <c r="V32" s="816">
        <v>0</v>
      </c>
      <c r="W32" s="816">
        <v>0</v>
      </c>
      <c r="X32" s="816">
        <v>0</v>
      </c>
      <c r="Y32" s="816">
        <v>0</v>
      </c>
      <c r="Z32" s="816">
        <v>0</v>
      </c>
      <c r="AA32" s="816">
        <v>0</v>
      </c>
      <c r="AB32" s="816">
        <v>0</v>
      </c>
      <c r="AC32" s="816">
        <v>0</v>
      </c>
      <c r="AD32" s="816">
        <v>0</v>
      </c>
      <c r="AE32" s="816">
        <v>0</v>
      </c>
      <c r="AF32" s="816">
        <v>0</v>
      </c>
      <c r="AG32" s="816">
        <v>0</v>
      </c>
      <c r="AH32" s="816">
        <v>0</v>
      </c>
      <c r="AI32" s="816">
        <v>0</v>
      </c>
      <c r="AJ32" s="816">
        <v>0</v>
      </c>
      <c r="AK32" s="816">
        <v>0</v>
      </c>
      <c r="AL32" s="816">
        <v>0</v>
      </c>
      <c r="AM32" s="816">
        <v>0</v>
      </c>
      <c r="AN32" s="816">
        <v>0</v>
      </c>
      <c r="AO32" s="816">
        <v>0</v>
      </c>
      <c r="AP32" s="816">
        <v>0</v>
      </c>
      <c r="AQ32" s="816">
        <v>0</v>
      </c>
      <c r="AR32" s="816">
        <v>0</v>
      </c>
      <c r="AS32" s="816">
        <v>0</v>
      </c>
      <c r="AT32" s="816">
        <v>0</v>
      </c>
      <c r="AU32" s="816">
        <v>0</v>
      </c>
      <c r="AV32" s="816">
        <v>0</v>
      </c>
      <c r="AW32" s="816">
        <v>0</v>
      </c>
      <c r="AX32" s="816">
        <v>0</v>
      </c>
      <c r="AY32" s="816">
        <v>0</v>
      </c>
      <c r="AZ32" s="816">
        <v>0</v>
      </c>
      <c r="BA32" s="816">
        <v>0</v>
      </c>
      <c r="BB32" s="816">
        <v>0</v>
      </c>
      <c r="BC32" s="816">
        <v>0</v>
      </c>
      <c r="BD32" s="816">
        <v>0</v>
      </c>
      <c r="BE32" s="816">
        <v>0</v>
      </c>
      <c r="BF32" s="816">
        <v>0</v>
      </c>
      <c r="BG32" s="816">
        <v>0</v>
      </c>
      <c r="BH32" s="816">
        <v>0</v>
      </c>
      <c r="BI32" s="816">
        <v>0</v>
      </c>
      <c r="BJ32" s="816">
        <v>0</v>
      </c>
      <c r="BK32" s="816">
        <v>0</v>
      </c>
      <c r="BL32" s="816">
        <v>0</v>
      </c>
      <c r="BM32" s="816">
        <v>0</v>
      </c>
      <c r="BN32" s="816">
        <v>0</v>
      </c>
      <c r="BO32" s="816">
        <v>0</v>
      </c>
      <c r="BP32" s="816">
        <v>0</v>
      </c>
      <c r="BQ32" s="816">
        <v>0</v>
      </c>
      <c r="BR32" s="816">
        <v>0</v>
      </c>
      <c r="BS32" s="816">
        <v>0</v>
      </c>
      <c r="BT32" s="816">
        <v>0</v>
      </c>
      <c r="BU32" s="816">
        <v>0</v>
      </c>
      <c r="BV32" s="816">
        <v>0</v>
      </c>
      <c r="BW32" s="816">
        <v>0</v>
      </c>
      <c r="BX32" s="816">
        <v>0</v>
      </c>
      <c r="BY32" s="816">
        <v>0</v>
      </c>
      <c r="BZ32" s="816">
        <v>0</v>
      </c>
      <c r="CA32" s="816">
        <v>0</v>
      </c>
      <c r="CB32" s="816">
        <v>0</v>
      </c>
      <c r="CC32" s="816">
        <v>0</v>
      </c>
      <c r="CD32" s="816">
        <v>0</v>
      </c>
      <c r="CE32" s="816">
        <v>0</v>
      </c>
      <c r="CF32" s="816">
        <v>0</v>
      </c>
      <c r="CG32" s="816">
        <v>0</v>
      </c>
      <c r="CH32" s="816">
        <v>0</v>
      </c>
      <c r="CI32" s="816">
        <v>0</v>
      </c>
      <c r="CJ32" s="816">
        <v>0</v>
      </c>
      <c r="CK32" s="816">
        <v>0</v>
      </c>
      <c r="CL32" s="816">
        <v>0</v>
      </c>
      <c r="CM32" s="816">
        <v>0</v>
      </c>
      <c r="CN32" s="816">
        <v>0</v>
      </c>
      <c r="CO32" s="816">
        <v>0</v>
      </c>
      <c r="CP32" s="816">
        <v>0</v>
      </c>
      <c r="CQ32" s="816">
        <v>0</v>
      </c>
      <c r="CR32" s="816">
        <v>0</v>
      </c>
      <c r="CS32" s="816">
        <v>0</v>
      </c>
      <c r="CT32" s="816">
        <v>0</v>
      </c>
      <c r="CU32" s="816">
        <v>0</v>
      </c>
      <c r="CV32" s="816">
        <v>0</v>
      </c>
      <c r="CW32" s="816">
        <v>0</v>
      </c>
      <c r="CX32" s="816">
        <v>0</v>
      </c>
      <c r="CY32" s="816">
        <v>0</v>
      </c>
      <c r="CZ32" s="816">
        <v>0</v>
      </c>
      <c r="DA32" s="816">
        <v>0</v>
      </c>
      <c r="DB32" s="816">
        <v>0</v>
      </c>
      <c r="DC32" s="816">
        <v>0</v>
      </c>
      <c r="DE32" s="816" t="s">
        <v>96</v>
      </c>
      <c r="DF32" s="816">
        <f t="shared" si="9"/>
        <v>0</v>
      </c>
      <c r="DG32" s="816" t="s">
        <v>97</v>
      </c>
      <c r="DH32" s="816">
        <f t="shared" si="10"/>
        <v>0</v>
      </c>
      <c r="DI32" s="816" t="s">
        <v>98</v>
      </c>
      <c r="DJ32" s="816">
        <f t="shared" si="11"/>
        <v>0</v>
      </c>
      <c r="DK32" s="816" t="s">
        <v>99</v>
      </c>
      <c r="DL32" s="816">
        <f t="shared" si="12"/>
        <v>0</v>
      </c>
      <c r="DM32" s="816" t="s">
        <v>100</v>
      </c>
      <c r="DN32" s="816">
        <f t="shared" si="13"/>
        <v>0</v>
      </c>
      <c r="DO32" s="816" t="s">
        <v>101</v>
      </c>
      <c r="DP32" s="816">
        <f t="shared" si="14"/>
        <v>0</v>
      </c>
    </row>
    <row r="33" spans="1:120">
      <c r="A33" s="815">
        <v>8</v>
      </c>
      <c r="B33" s="815" t="str">
        <f t="shared" si="1"/>
        <v>8MATHS</v>
      </c>
      <c r="C33" s="815">
        <f>VLOOKUP(A33,DATEWISE!$A$3:$BY$27,2,0)</f>
        <v>0</v>
      </c>
      <c r="D33" s="815">
        <f>VLOOKUP(A33,DATEWISE!$A$3:$BY$27,3,0)</f>
        <v>0</v>
      </c>
      <c r="E33" s="815">
        <f>VLOOKUP(A33,DATEWISE!$A$3:$BY$27,4,0)</f>
        <v>0</v>
      </c>
      <c r="F33" s="815" t="str">
        <f t="shared" si="8"/>
        <v>0MATHS</v>
      </c>
      <c r="G33" s="815" t="s">
        <v>88</v>
      </c>
      <c r="H33" s="816">
        <v>0</v>
      </c>
      <c r="I33" s="816">
        <v>0</v>
      </c>
      <c r="J33" s="816">
        <v>0</v>
      </c>
      <c r="K33" s="816">
        <v>0</v>
      </c>
      <c r="L33" s="816">
        <v>0</v>
      </c>
      <c r="M33" s="816">
        <v>0</v>
      </c>
      <c r="N33" s="816">
        <v>0</v>
      </c>
      <c r="O33" s="816">
        <v>0</v>
      </c>
      <c r="P33" s="816">
        <v>0</v>
      </c>
      <c r="Q33" s="816">
        <v>0</v>
      </c>
      <c r="R33" s="816">
        <v>0</v>
      </c>
      <c r="S33" s="816">
        <v>0</v>
      </c>
      <c r="T33" s="816">
        <v>0</v>
      </c>
      <c r="U33" s="816">
        <v>0</v>
      </c>
      <c r="V33" s="816">
        <v>0</v>
      </c>
      <c r="W33" s="816">
        <v>0</v>
      </c>
      <c r="X33" s="816">
        <v>0</v>
      </c>
      <c r="Y33" s="816">
        <v>0</v>
      </c>
      <c r="Z33" s="816">
        <v>0</v>
      </c>
      <c r="AA33" s="816">
        <v>0</v>
      </c>
      <c r="AB33" s="816">
        <v>0</v>
      </c>
      <c r="AC33" s="816">
        <v>0</v>
      </c>
      <c r="AD33" s="816">
        <v>0</v>
      </c>
      <c r="AE33" s="816">
        <v>0</v>
      </c>
      <c r="AF33" s="816">
        <v>0</v>
      </c>
      <c r="AG33" s="816">
        <v>0</v>
      </c>
      <c r="AH33" s="816">
        <v>0</v>
      </c>
      <c r="AI33" s="816">
        <v>0</v>
      </c>
      <c r="AJ33" s="816">
        <v>0</v>
      </c>
      <c r="AK33" s="816">
        <v>0</v>
      </c>
      <c r="AL33" s="816">
        <v>0</v>
      </c>
      <c r="AM33" s="816">
        <v>0</v>
      </c>
      <c r="AN33" s="816">
        <v>0</v>
      </c>
      <c r="AO33" s="816">
        <v>0</v>
      </c>
      <c r="AP33" s="816">
        <v>0</v>
      </c>
      <c r="AQ33" s="816">
        <v>0</v>
      </c>
      <c r="AR33" s="816">
        <v>0</v>
      </c>
      <c r="AS33" s="816">
        <v>0</v>
      </c>
      <c r="AT33" s="816">
        <v>0</v>
      </c>
      <c r="AU33" s="816">
        <v>0</v>
      </c>
      <c r="AV33" s="816">
        <v>0</v>
      </c>
      <c r="AW33" s="816">
        <v>0</v>
      </c>
      <c r="AX33" s="816">
        <v>0</v>
      </c>
      <c r="AY33" s="816">
        <v>0</v>
      </c>
      <c r="AZ33" s="816">
        <v>0</v>
      </c>
      <c r="BA33" s="816">
        <v>0</v>
      </c>
      <c r="BB33" s="816">
        <v>0</v>
      </c>
      <c r="BC33" s="816">
        <v>0</v>
      </c>
      <c r="BD33" s="816">
        <v>0</v>
      </c>
      <c r="BE33" s="816">
        <v>0</v>
      </c>
      <c r="BF33" s="816">
        <v>0</v>
      </c>
      <c r="BG33" s="816">
        <v>0</v>
      </c>
      <c r="BH33" s="816">
        <v>0</v>
      </c>
      <c r="BI33" s="816">
        <v>0</v>
      </c>
      <c r="BJ33" s="816">
        <v>0</v>
      </c>
      <c r="BK33" s="816">
        <v>0</v>
      </c>
      <c r="BL33" s="816">
        <v>0</v>
      </c>
      <c r="BM33" s="816">
        <v>0</v>
      </c>
      <c r="BN33" s="816">
        <v>0</v>
      </c>
      <c r="BO33" s="816">
        <v>0</v>
      </c>
      <c r="BP33" s="816">
        <v>0</v>
      </c>
      <c r="BQ33" s="816">
        <v>0</v>
      </c>
      <c r="BR33" s="816">
        <v>0</v>
      </c>
      <c r="BS33" s="816">
        <v>0</v>
      </c>
      <c r="BT33" s="816">
        <v>0</v>
      </c>
      <c r="BU33" s="816">
        <v>0</v>
      </c>
      <c r="BV33" s="816">
        <v>0</v>
      </c>
      <c r="BW33" s="816">
        <v>0</v>
      </c>
      <c r="BX33" s="816">
        <v>0</v>
      </c>
      <c r="BY33" s="816">
        <v>0</v>
      </c>
      <c r="BZ33" s="816">
        <v>0</v>
      </c>
      <c r="CA33" s="816">
        <v>0</v>
      </c>
      <c r="CB33" s="816">
        <v>0</v>
      </c>
      <c r="CC33" s="816">
        <v>0</v>
      </c>
      <c r="CD33" s="816">
        <v>0</v>
      </c>
      <c r="CE33" s="816">
        <v>0</v>
      </c>
      <c r="CF33" s="816">
        <v>0</v>
      </c>
      <c r="CG33" s="816">
        <v>0</v>
      </c>
      <c r="CH33" s="816">
        <v>0</v>
      </c>
      <c r="CI33" s="816">
        <v>0</v>
      </c>
      <c r="CJ33" s="816">
        <v>0</v>
      </c>
      <c r="CK33" s="816">
        <v>0</v>
      </c>
      <c r="CL33" s="816">
        <v>0</v>
      </c>
      <c r="CM33" s="816">
        <v>0</v>
      </c>
      <c r="CN33" s="816">
        <v>0</v>
      </c>
      <c r="CO33" s="816">
        <v>0</v>
      </c>
      <c r="CP33" s="816">
        <v>0</v>
      </c>
      <c r="CQ33" s="816">
        <v>0</v>
      </c>
      <c r="CR33" s="816">
        <v>0</v>
      </c>
      <c r="CS33" s="816">
        <v>0</v>
      </c>
      <c r="CT33" s="816">
        <v>0</v>
      </c>
      <c r="CU33" s="816">
        <v>0</v>
      </c>
      <c r="CV33" s="816">
        <v>0</v>
      </c>
      <c r="CW33" s="816">
        <v>0</v>
      </c>
      <c r="CX33" s="816">
        <v>0</v>
      </c>
      <c r="CY33" s="816">
        <v>0</v>
      </c>
      <c r="CZ33" s="816">
        <v>0</v>
      </c>
      <c r="DA33" s="816">
        <v>0</v>
      </c>
      <c r="DB33" s="816">
        <v>0</v>
      </c>
      <c r="DC33" s="816">
        <v>0</v>
      </c>
      <c r="DE33" s="816" t="s">
        <v>96</v>
      </c>
      <c r="DF33" s="816">
        <f t="shared" si="9"/>
        <v>0</v>
      </c>
      <c r="DG33" s="816" t="s">
        <v>97</v>
      </c>
      <c r="DH33" s="816">
        <f t="shared" si="10"/>
        <v>0</v>
      </c>
      <c r="DI33" s="816" t="s">
        <v>98</v>
      </c>
      <c r="DJ33" s="816">
        <f t="shared" si="11"/>
        <v>0</v>
      </c>
      <c r="DK33" s="816" t="s">
        <v>99</v>
      </c>
      <c r="DL33" s="816">
        <f t="shared" si="12"/>
        <v>0</v>
      </c>
      <c r="DM33" s="816" t="s">
        <v>100</v>
      </c>
      <c r="DN33" s="816">
        <f t="shared" si="13"/>
        <v>0</v>
      </c>
      <c r="DO33" s="816" t="s">
        <v>101</v>
      </c>
      <c r="DP33" s="816">
        <f t="shared" si="14"/>
        <v>0</v>
      </c>
    </row>
    <row r="34" spans="1:120">
      <c r="A34" s="815">
        <v>8</v>
      </c>
      <c r="B34" s="815" t="str">
        <f t="shared" si="1"/>
        <v>8REMARKS</v>
      </c>
      <c r="C34" s="815">
        <f>VLOOKUP(A34,DATEWISE!$A$3:$BY$27,2,0)</f>
        <v>0</v>
      </c>
      <c r="D34" s="815">
        <f>VLOOKUP(A34,DATEWISE!$A$3:$BY$27,3,0)</f>
        <v>0</v>
      </c>
      <c r="E34" s="815">
        <f>VLOOKUP(A34,DATEWISE!$A$3:$BY$27,4,0)</f>
        <v>0</v>
      </c>
      <c r="F34" s="815" t="str">
        <f t="shared" si="8"/>
        <v>0REMARKS</v>
      </c>
      <c r="G34" s="815" t="s">
        <v>390</v>
      </c>
      <c r="H34" s="816">
        <v>0</v>
      </c>
      <c r="I34" s="816">
        <v>0</v>
      </c>
      <c r="J34" s="816">
        <v>0</v>
      </c>
      <c r="K34" s="816">
        <v>0</v>
      </c>
      <c r="L34" s="816">
        <v>0</v>
      </c>
      <c r="M34" s="816">
        <v>0</v>
      </c>
      <c r="N34" s="816">
        <v>0</v>
      </c>
      <c r="O34" s="816">
        <v>0</v>
      </c>
      <c r="P34" s="816">
        <v>0</v>
      </c>
      <c r="Q34" s="816">
        <v>0</v>
      </c>
      <c r="R34" s="816">
        <v>0</v>
      </c>
      <c r="S34" s="816">
        <v>0</v>
      </c>
      <c r="T34" s="816">
        <v>0</v>
      </c>
      <c r="U34" s="816">
        <v>0</v>
      </c>
      <c r="V34" s="816">
        <v>0</v>
      </c>
      <c r="W34" s="816">
        <v>0</v>
      </c>
      <c r="X34" s="816">
        <v>0</v>
      </c>
      <c r="Y34" s="816">
        <v>0</v>
      </c>
      <c r="Z34" s="816">
        <v>0</v>
      </c>
      <c r="AA34" s="816">
        <v>0</v>
      </c>
      <c r="AB34" s="816">
        <v>0</v>
      </c>
      <c r="AC34" s="816">
        <v>0</v>
      </c>
      <c r="AD34" s="816">
        <v>0</v>
      </c>
      <c r="AE34" s="816">
        <v>0</v>
      </c>
      <c r="AF34" s="816">
        <v>0</v>
      </c>
      <c r="AG34" s="816">
        <v>0</v>
      </c>
      <c r="AH34" s="816">
        <v>0</v>
      </c>
      <c r="AI34" s="816">
        <v>0</v>
      </c>
      <c r="AJ34" s="816">
        <v>0</v>
      </c>
      <c r="AK34" s="816">
        <v>0</v>
      </c>
      <c r="AL34" s="816">
        <v>0</v>
      </c>
      <c r="AM34" s="816">
        <v>0</v>
      </c>
      <c r="AN34" s="816">
        <v>0</v>
      </c>
      <c r="AO34" s="816">
        <v>0</v>
      </c>
      <c r="AP34" s="816">
        <v>0</v>
      </c>
      <c r="AQ34" s="816">
        <v>0</v>
      </c>
      <c r="AR34" s="816">
        <v>0</v>
      </c>
      <c r="AS34" s="816">
        <v>0</v>
      </c>
      <c r="AT34" s="816">
        <v>0</v>
      </c>
      <c r="AU34" s="816">
        <v>0</v>
      </c>
      <c r="AV34" s="816">
        <v>0</v>
      </c>
      <c r="AW34" s="816">
        <v>0</v>
      </c>
      <c r="AX34" s="816">
        <v>0</v>
      </c>
      <c r="AY34" s="816">
        <v>0</v>
      </c>
      <c r="AZ34" s="816">
        <v>0</v>
      </c>
      <c r="BA34" s="816">
        <v>0</v>
      </c>
      <c r="BB34" s="816">
        <v>0</v>
      </c>
      <c r="BC34" s="816">
        <v>0</v>
      </c>
      <c r="BD34" s="816">
        <v>0</v>
      </c>
      <c r="BE34" s="816">
        <v>0</v>
      </c>
      <c r="BF34" s="816">
        <v>0</v>
      </c>
      <c r="BG34" s="816">
        <v>0</v>
      </c>
      <c r="BH34" s="816">
        <v>0</v>
      </c>
      <c r="BI34" s="816">
        <v>0</v>
      </c>
      <c r="BJ34" s="816">
        <v>0</v>
      </c>
      <c r="BK34" s="816">
        <v>0</v>
      </c>
      <c r="BL34" s="816">
        <v>0</v>
      </c>
      <c r="BM34" s="816">
        <v>0</v>
      </c>
      <c r="BN34" s="816">
        <v>0</v>
      </c>
      <c r="BO34" s="816">
        <v>0</v>
      </c>
      <c r="BP34" s="816">
        <v>0</v>
      </c>
      <c r="BQ34" s="816">
        <v>0</v>
      </c>
      <c r="BR34" s="816">
        <v>0</v>
      </c>
      <c r="BS34" s="816">
        <v>0</v>
      </c>
      <c r="BT34" s="816">
        <v>0</v>
      </c>
      <c r="BU34" s="816">
        <v>0</v>
      </c>
      <c r="BV34" s="816">
        <v>0</v>
      </c>
      <c r="BW34" s="816">
        <v>0</v>
      </c>
      <c r="BX34" s="816">
        <v>0</v>
      </c>
      <c r="BY34" s="816">
        <v>0</v>
      </c>
      <c r="BZ34" s="816">
        <v>0</v>
      </c>
      <c r="CA34" s="816">
        <v>0</v>
      </c>
      <c r="CB34" s="816">
        <v>0</v>
      </c>
      <c r="CC34" s="816">
        <v>0</v>
      </c>
      <c r="CD34" s="816">
        <v>0</v>
      </c>
      <c r="CE34" s="816">
        <v>0</v>
      </c>
      <c r="CF34" s="816">
        <v>0</v>
      </c>
      <c r="CG34" s="816">
        <v>0</v>
      </c>
      <c r="CH34" s="816">
        <v>0</v>
      </c>
      <c r="CI34" s="816">
        <v>0</v>
      </c>
      <c r="CJ34" s="816">
        <v>0</v>
      </c>
      <c r="CK34" s="816">
        <v>0</v>
      </c>
      <c r="CL34" s="816">
        <v>0</v>
      </c>
      <c r="CM34" s="816">
        <v>0</v>
      </c>
      <c r="CN34" s="816">
        <v>0</v>
      </c>
      <c r="CO34" s="816">
        <v>0</v>
      </c>
      <c r="CP34" s="816">
        <v>0</v>
      </c>
      <c r="CQ34" s="816">
        <v>0</v>
      </c>
      <c r="CR34" s="816">
        <v>0</v>
      </c>
      <c r="CS34" s="816">
        <v>0</v>
      </c>
      <c r="CT34" s="816">
        <v>0</v>
      </c>
      <c r="CU34" s="816">
        <v>0</v>
      </c>
      <c r="CV34" s="816">
        <v>0</v>
      </c>
      <c r="CW34" s="816">
        <v>0</v>
      </c>
      <c r="CX34" s="816">
        <v>0</v>
      </c>
      <c r="CY34" s="816">
        <v>0</v>
      </c>
      <c r="CZ34" s="816">
        <v>0</v>
      </c>
      <c r="DA34" s="816">
        <v>0</v>
      </c>
      <c r="DB34" s="816">
        <v>0</v>
      </c>
      <c r="DC34" s="816">
        <v>0</v>
      </c>
      <c r="DE34" s="816" t="s">
        <v>96</v>
      </c>
      <c r="DF34" s="816">
        <f t="shared" si="9"/>
        <v>0</v>
      </c>
      <c r="DG34" s="816" t="s">
        <v>97</v>
      </c>
      <c r="DH34" s="816">
        <f t="shared" si="10"/>
        <v>0</v>
      </c>
      <c r="DI34" s="816" t="s">
        <v>98</v>
      </c>
      <c r="DJ34" s="816">
        <f t="shared" si="11"/>
        <v>0</v>
      </c>
      <c r="DK34" s="816" t="s">
        <v>99</v>
      </c>
      <c r="DL34" s="816">
        <f t="shared" si="12"/>
        <v>0</v>
      </c>
      <c r="DM34" s="816" t="s">
        <v>100</v>
      </c>
      <c r="DN34" s="816">
        <f t="shared" si="13"/>
        <v>0</v>
      </c>
      <c r="DO34" s="816" t="s">
        <v>101</v>
      </c>
      <c r="DP34" s="816">
        <f t="shared" si="14"/>
        <v>0</v>
      </c>
    </row>
    <row r="35" spans="1:120">
      <c r="A35" s="815">
        <v>9</v>
      </c>
      <c r="B35" s="815" t="str">
        <f t="shared" ref="B35:B66" si="15">A35&amp;G35</f>
        <v>9HINDI</v>
      </c>
      <c r="C35" s="815">
        <f>VLOOKUP(A35,DATEWISE!$A$3:$BY$27,2,0)</f>
        <v>0</v>
      </c>
      <c r="D35" s="815">
        <f>VLOOKUP(A35,DATEWISE!$A$3:$BY$27,3,0)</f>
        <v>0</v>
      </c>
      <c r="E35" s="815">
        <f>VLOOKUP(A35,DATEWISE!$A$3:$BY$27,4,0)</f>
        <v>0</v>
      </c>
      <c r="F35" s="815" t="str">
        <f t="shared" si="8"/>
        <v>0HINDI</v>
      </c>
      <c r="G35" s="815" t="s">
        <v>87</v>
      </c>
      <c r="H35" s="816">
        <v>0</v>
      </c>
      <c r="I35" s="816">
        <v>0</v>
      </c>
      <c r="J35" s="816">
        <v>0</v>
      </c>
      <c r="K35" s="816">
        <v>0</v>
      </c>
      <c r="L35" s="816">
        <v>0</v>
      </c>
      <c r="M35" s="816">
        <v>0</v>
      </c>
      <c r="N35" s="816">
        <v>0</v>
      </c>
      <c r="O35" s="816">
        <v>0</v>
      </c>
      <c r="P35" s="816">
        <v>0</v>
      </c>
      <c r="Q35" s="816">
        <v>0</v>
      </c>
      <c r="R35" s="816">
        <v>0</v>
      </c>
      <c r="S35" s="816">
        <v>0</v>
      </c>
      <c r="T35" s="816">
        <v>0</v>
      </c>
      <c r="U35" s="816">
        <v>0</v>
      </c>
      <c r="V35" s="816">
        <v>0</v>
      </c>
      <c r="W35" s="816">
        <v>0</v>
      </c>
      <c r="X35" s="816">
        <v>0</v>
      </c>
      <c r="Y35" s="816">
        <v>0</v>
      </c>
      <c r="Z35" s="816">
        <v>0</v>
      </c>
      <c r="AA35" s="816">
        <v>0</v>
      </c>
      <c r="AB35" s="816">
        <v>0</v>
      </c>
      <c r="AC35" s="816">
        <v>0</v>
      </c>
      <c r="AD35" s="816">
        <v>0</v>
      </c>
      <c r="AE35" s="816">
        <v>0</v>
      </c>
      <c r="AF35" s="816">
        <v>0</v>
      </c>
      <c r="AG35" s="816">
        <v>0</v>
      </c>
      <c r="AH35" s="816">
        <v>0</v>
      </c>
      <c r="AI35" s="816">
        <v>0</v>
      </c>
      <c r="AJ35" s="816">
        <v>0</v>
      </c>
      <c r="AK35" s="816">
        <v>0</v>
      </c>
      <c r="AL35" s="816">
        <v>0</v>
      </c>
      <c r="AM35" s="816">
        <v>0</v>
      </c>
      <c r="AN35" s="816">
        <v>0</v>
      </c>
      <c r="AO35" s="816">
        <v>0</v>
      </c>
      <c r="AP35" s="816">
        <v>0</v>
      </c>
      <c r="AQ35" s="816">
        <v>0</v>
      </c>
      <c r="AR35" s="816">
        <v>0</v>
      </c>
      <c r="AS35" s="816">
        <v>0</v>
      </c>
      <c r="AT35" s="816">
        <v>0</v>
      </c>
      <c r="AU35" s="816">
        <v>0</v>
      </c>
      <c r="AV35" s="816">
        <v>0</v>
      </c>
      <c r="AW35" s="816">
        <v>0</v>
      </c>
      <c r="AX35" s="816">
        <v>0</v>
      </c>
      <c r="AY35" s="816">
        <v>0</v>
      </c>
      <c r="AZ35" s="816">
        <v>0</v>
      </c>
      <c r="BA35" s="816">
        <v>0</v>
      </c>
      <c r="BB35" s="816">
        <v>0</v>
      </c>
      <c r="BC35" s="816">
        <v>0</v>
      </c>
      <c r="BD35" s="816">
        <v>0</v>
      </c>
      <c r="BE35" s="816">
        <v>0</v>
      </c>
      <c r="BF35" s="816">
        <v>0</v>
      </c>
      <c r="BG35" s="816">
        <v>0</v>
      </c>
      <c r="BH35" s="816">
        <v>0</v>
      </c>
      <c r="BI35" s="816">
        <v>0</v>
      </c>
      <c r="BJ35" s="816">
        <v>0</v>
      </c>
      <c r="BK35" s="816">
        <v>0</v>
      </c>
      <c r="BL35" s="816">
        <v>0</v>
      </c>
      <c r="BM35" s="816">
        <v>0</v>
      </c>
      <c r="BN35" s="816">
        <v>0</v>
      </c>
      <c r="BO35" s="816">
        <v>0</v>
      </c>
      <c r="BP35" s="816">
        <v>0</v>
      </c>
      <c r="BQ35" s="816">
        <v>0</v>
      </c>
      <c r="BR35" s="816">
        <v>0</v>
      </c>
      <c r="BS35" s="816">
        <v>0</v>
      </c>
      <c r="BT35" s="816">
        <v>0</v>
      </c>
      <c r="BU35" s="816">
        <v>0</v>
      </c>
      <c r="BV35" s="816">
        <v>0</v>
      </c>
      <c r="BW35" s="816">
        <v>0</v>
      </c>
      <c r="BX35" s="816">
        <v>0</v>
      </c>
      <c r="BY35" s="816">
        <v>0</v>
      </c>
      <c r="BZ35" s="816">
        <v>0</v>
      </c>
      <c r="CA35" s="816">
        <v>0</v>
      </c>
      <c r="CB35" s="816">
        <v>0</v>
      </c>
      <c r="CC35" s="816">
        <v>0</v>
      </c>
      <c r="CD35" s="816">
        <v>0</v>
      </c>
      <c r="CE35" s="816">
        <v>0</v>
      </c>
      <c r="CF35" s="816">
        <v>0</v>
      </c>
      <c r="CG35" s="816">
        <v>0</v>
      </c>
      <c r="CH35" s="816">
        <v>0</v>
      </c>
      <c r="CI35" s="816">
        <v>0</v>
      </c>
      <c r="CJ35" s="816">
        <v>0</v>
      </c>
      <c r="CK35" s="816">
        <v>0</v>
      </c>
      <c r="CL35" s="816">
        <v>0</v>
      </c>
      <c r="CM35" s="816">
        <v>0</v>
      </c>
      <c r="CN35" s="816">
        <v>0</v>
      </c>
      <c r="CO35" s="816">
        <v>0</v>
      </c>
      <c r="CP35" s="816">
        <v>0</v>
      </c>
      <c r="CQ35" s="816">
        <v>0</v>
      </c>
      <c r="CR35" s="816">
        <v>0</v>
      </c>
      <c r="CS35" s="816">
        <v>0</v>
      </c>
      <c r="CT35" s="816">
        <v>0</v>
      </c>
      <c r="CU35" s="816">
        <v>0</v>
      </c>
      <c r="CV35" s="816">
        <v>0</v>
      </c>
      <c r="CW35" s="816">
        <v>0</v>
      </c>
      <c r="CX35" s="816">
        <v>0</v>
      </c>
      <c r="CY35" s="816">
        <v>0</v>
      </c>
      <c r="CZ35" s="816">
        <v>0</v>
      </c>
      <c r="DA35" s="816">
        <v>0</v>
      </c>
      <c r="DB35" s="816">
        <v>0</v>
      </c>
      <c r="DC35" s="816">
        <v>0</v>
      </c>
      <c r="DE35" s="816" t="s">
        <v>96</v>
      </c>
      <c r="DF35" s="816">
        <f t="shared" si="9"/>
        <v>0</v>
      </c>
      <c r="DG35" s="816" t="s">
        <v>97</v>
      </c>
      <c r="DH35" s="816">
        <f t="shared" si="10"/>
        <v>0</v>
      </c>
      <c r="DI35" s="816" t="s">
        <v>98</v>
      </c>
      <c r="DJ35" s="816">
        <f t="shared" si="11"/>
        <v>0</v>
      </c>
      <c r="DK35" s="816" t="s">
        <v>99</v>
      </c>
      <c r="DL35" s="816">
        <f t="shared" si="12"/>
        <v>0</v>
      </c>
      <c r="DM35" s="816" t="s">
        <v>100</v>
      </c>
      <c r="DN35" s="816">
        <f t="shared" si="13"/>
        <v>0</v>
      </c>
      <c r="DO35" s="816" t="s">
        <v>101</v>
      </c>
      <c r="DP35" s="816">
        <f t="shared" si="14"/>
        <v>0</v>
      </c>
    </row>
    <row r="36" spans="1:120">
      <c r="A36" s="815">
        <v>9</v>
      </c>
      <c r="B36" s="815" t="str">
        <f t="shared" si="15"/>
        <v>9ENGLISH</v>
      </c>
      <c r="C36" s="815">
        <f>VLOOKUP(A36,DATEWISE!$A$3:$BY$27,2,0)</f>
        <v>0</v>
      </c>
      <c r="D36" s="815">
        <f>VLOOKUP(A36,DATEWISE!$A$3:$BY$27,3,0)</f>
        <v>0</v>
      </c>
      <c r="E36" s="815">
        <f>VLOOKUP(A36,DATEWISE!$A$3:$BY$27,4,0)</f>
        <v>0</v>
      </c>
      <c r="F36" s="815" t="str">
        <f t="shared" si="8"/>
        <v>0ENGLISH</v>
      </c>
      <c r="G36" s="815" t="s">
        <v>89</v>
      </c>
      <c r="H36" s="816">
        <v>0</v>
      </c>
      <c r="I36" s="816">
        <v>0</v>
      </c>
      <c r="J36" s="816">
        <v>0</v>
      </c>
      <c r="K36" s="816">
        <v>0</v>
      </c>
      <c r="L36" s="816">
        <v>0</v>
      </c>
      <c r="M36" s="816">
        <v>0</v>
      </c>
      <c r="N36" s="816">
        <v>0</v>
      </c>
      <c r="O36" s="816">
        <v>0</v>
      </c>
      <c r="P36" s="816">
        <v>0</v>
      </c>
      <c r="Q36" s="816">
        <v>0</v>
      </c>
      <c r="R36" s="816">
        <v>0</v>
      </c>
      <c r="S36" s="816">
        <v>0</v>
      </c>
      <c r="T36" s="816">
        <v>0</v>
      </c>
      <c r="U36" s="816">
        <v>0</v>
      </c>
      <c r="V36" s="816">
        <v>0</v>
      </c>
      <c r="W36" s="816">
        <v>0</v>
      </c>
      <c r="X36" s="816">
        <v>0</v>
      </c>
      <c r="Y36" s="816">
        <v>0</v>
      </c>
      <c r="Z36" s="816">
        <v>0</v>
      </c>
      <c r="AA36" s="816">
        <v>0</v>
      </c>
      <c r="AB36" s="816">
        <v>0</v>
      </c>
      <c r="AC36" s="816">
        <v>0</v>
      </c>
      <c r="AD36" s="816">
        <v>0</v>
      </c>
      <c r="AE36" s="816">
        <v>0</v>
      </c>
      <c r="AF36" s="816">
        <v>0</v>
      </c>
      <c r="AG36" s="816">
        <v>0</v>
      </c>
      <c r="AH36" s="816">
        <v>0</v>
      </c>
      <c r="AI36" s="816">
        <v>0</v>
      </c>
      <c r="AJ36" s="816">
        <v>0</v>
      </c>
      <c r="AK36" s="816">
        <v>0</v>
      </c>
      <c r="AL36" s="816">
        <v>0</v>
      </c>
      <c r="AM36" s="816">
        <v>0</v>
      </c>
      <c r="AN36" s="816">
        <v>0</v>
      </c>
      <c r="AO36" s="816">
        <v>0</v>
      </c>
      <c r="AP36" s="816">
        <v>0</v>
      </c>
      <c r="AQ36" s="816">
        <v>0</v>
      </c>
      <c r="AR36" s="816">
        <v>0</v>
      </c>
      <c r="AS36" s="816">
        <v>0</v>
      </c>
      <c r="AT36" s="816">
        <v>0</v>
      </c>
      <c r="AU36" s="816">
        <v>0</v>
      </c>
      <c r="AV36" s="816">
        <v>0</v>
      </c>
      <c r="AW36" s="816">
        <v>0</v>
      </c>
      <c r="AX36" s="816">
        <v>0</v>
      </c>
      <c r="AY36" s="816">
        <v>0</v>
      </c>
      <c r="AZ36" s="816">
        <v>0</v>
      </c>
      <c r="BA36" s="816">
        <v>0</v>
      </c>
      <c r="BB36" s="816">
        <v>0</v>
      </c>
      <c r="BC36" s="816">
        <v>0</v>
      </c>
      <c r="BD36" s="816">
        <v>0</v>
      </c>
      <c r="BE36" s="816">
        <v>0</v>
      </c>
      <c r="BF36" s="816">
        <v>0</v>
      </c>
      <c r="BG36" s="816">
        <v>0</v>
      </c>
      <c r="BH36" s="816">
        <v>0</v>
      </c>
      <c r="BI36" s="816">
        <v>0</v>
      </c>
      <c r="BJ36" s="816">
        <v>0</v>
      </c>
      <c r="BK36" s="816">
        <v>0</v>
      </c>
      <c r="BL36" s="816">
        <v>0</v>
      </c>
      <c r="BM36" s="816">
        <v>0</v>
      </c>
      <c r="BN36" s="816">
        <v>0</v>
      </c>
      <c r="BO36" s="816">
        <v>0</v>
      </c>
      <c r="BP36" s="816">
        <v>0</v>
      </c>
      <c r="BQ36" s="816">
        <v>0</v>
      </c>
      <c r="BR36" s="816">
        <v>0</v>
      </c>
      <c r="BS36" s="816">
        <v>0</v>
      </c>
      <c r="BT36" s="816">
        <v>0</v>
      </c>
      <c r="BU36" s="816">
        <v>0</v>
      </c>
      <c r="BV36" s="816">
        <v>0</v>
      </c>
      <c r="BW36" s="816">
        <v>0</v>
      </c>
      <c r="BX36" s="816">
        <v>0</v>
      </c>
      <c r="BY36" s="816">
        <v>0</v>
      </c>
      <c r="BZ36" s="816">
        <v>0</v>
      </c>
      <c r="CA36" s="816">
        <v>0</v>
      </c>
      <c r="CB36" s="816">
        <v>0</v>
      </c>
      <c r="CC36" s="816">
        <v>0</v>
      </c>
      <c r="CD36" s="816">
        <v>0</v>
      </c>
      <c r="CE36" s="816">
        <v>0</v>
      </c>
      <c r="CF36" s="816">
        <v>0</v>
      </c>
      <c r="CG36" s="816">
        <v>0</v>
      </c>
      <c r="CH36" s="816">
        <v>0</v>
      </c>
      <c r="CI36" s="816">
        <v>0</v>
      </c>
      <c r="CJ36" s="816">
        <v>0</v>
      </c>
      <c r="CK36" s="816">
        <v>0</v>
      </c>
      <c r="CL36" s="816">
        <v>0</v>
      </c>
      <c r="CM36" s="816">
        <v>0</v>
      </c>
      <c r="CN36" s="816">
        <v>0</v>
      </c>
      <c r="CO36" s="816">
        <v>0</v>
      </c>
      <c r="CP36" s="816">
        <v>0</v>
      </c>
      <c r="CQ36" s="816">
        <v>0</v>
      </c>
      <c r="CR36" s="816">
        <v>0</v>
      </c>
      <c r="CS36" s="816">
        <v>0</v>
      </c>
      <c r="CT36" s="816">
        <v>0</v>
      </c>
      <c r="CU36" s="816">
        <v>0</v>
      </c>
      <c r="CV36" s="816">
        <v>0</v>
      </c>
      <c r="CW36" s="816">
        <v>0</v>
      </c>
      <c r="CX36" s="816">
        <v>0</v>
      </c>
      <c r="CY36" s="816">
        <v>0</v>
      </c>
      <c r="CZ36" s="816">
        <v>0</v>
      </c>
      <c r="DA36" s="816">
        <v>0</v>
      </c>
      <c r="DB36" s="816">
        <v>0</v>
      </c>
      <c r="DC36" s="816">
        <v>0</v>
      </c>
      <c r="DE36" s="816" t="s">
        <v>96</v>
      </c>
      <c r="DF36" s="816">
        <f t="shared" si="9"/>
        <v>0</v>
      </c>
      <c r="DG36" s="816" t="s">
        <v>97</v>
      </c>
      <c r="DH36" s="816">
        <f t="shared" si="10"/>
        <v>0</v>
      </c>
      <c r="DI36" s="816" t="s">
        <v>98</v>
      </c>
      <c r="DJ36" s="816">
        <f t="shared" si="11"/>
        <v>0</v>
      </c>
      <c r="DK36" s="816" t="s">
        <v>99</v>
      </c>
      <c r="DL36" s="816">
        <f t="shared" si="12"/>
        <v>0</v>
      </c>
      <c r="DM36" s="816" t="s">
        <v>100</v>
      </c>
      <c r="DN36" s="816">
        <f t="shared" si="13"/>
        <v>0</v>
      </c>
      <c r="DO36" s="816" t="s">
        <v>101</v>
      </c>
      <c r="DP36" s="816">
        <f t="shared" si="14"/>
        <v>0</v>
      </c>
    </row>
    <row r="37" spans="1:120">
      <c r="A37" s="815">
        <v>9</v>
      </c>
      <c r="B37" s="815" t="str">
        <f t="shared" si="15"/>
        <v>9MATHS</v>
      </c>
      <c r="C37" s="815">
        <f>VLOOKUP(A37,DATEWISE!$A$3:$BY$27,2,0)</f>
        <v>0</v>
      </c>
      <c r="D37" s="815">
        <f>VLOOKUP(A37,DATEWISE!$A$3:$BY$27,3,0)</f>
        <v>0</v>
      </c>
      <c r="E37" s="815">
        <f>VLOOKUP(A37,DATEWISE!$A$3:$BY$27,4,0)</f>
        <v>0</v>
      </c>
      <c r="F37" s="815" t="str">
        <f t="shared" si="8"/>
        <v>0MATHS</v>
      </c>
      <c r="G37" s="815" t="s">
        <v>88</v>
      </c>
      <c r="H37" s="816">
        <v>0</v>
      </c>
      <c r="I37" s="816">
        <v>0</v>
      </c>
      <c r="J37" s="816">
        <v>0</v>
      </c>
      <c r="K37" s="816">
        <v>0</v>
      </c>
      <c r="L37" s="816">
        <v>0</v>
      </c>
      <c r="M37" s="816">
        <v>0</v>
      </c>
      <c r="N37" s="816">
        <v>0</v>
      </c>
      <c r="O37" s="816">
        <v>0</v>
      </c>
      <c r="P37" s="816">
        <v>0</v>
      </c>
      <c r="Q37" s="816">
        <v>0</v>
      </c>
      <c r="R37" s="816">
        <v>0</v>
      </c>
      <c r="S37" s="816">
        <v>0</v>
      </c>
      <c r="T37" s="816">
        <v>0</v>
      </c>
      <c r="U37" s="816">
        <v>0</v>
      </c>
      <c r="V37" s="816">
        <v>0</v>
      </c>
      <c r="W37" s="816">
        <v>0</v>
      </c>
      <c r="X37" s="816">
        <v>0</v>
      </c>
      <c r="Y37" s="816">
        <v>0</v>
      </c>
      <c r="Z37" s="816">
        <v>0</v>
      </c>
      <c r="AA37" s="816">
        <v>0</v>
      </c>
      <c r="AB37" s="816">
        <v>0</v>
      </c>
      <c r="AC37" s="816">
        <v>0</v>
      </c>
      <c r="AD37" s="816">
        <v>0</v>
      </c>
      <c r="AE37" s="816">
        <v>0</v>
      </c>
      <c r="AF37" s="816">
        <v>0</v>
      </c>
      <c r="AG37" s="816">
        <v>0</v>
      </c>
      <c r="AH37" s="816">
        <v>0</v>
      </c>
      <c r="AI37" s="816">
        <v>0</v>
      </c>
      <c r="AJ37" s="816">
        <v>0</v>
      </c>
      <c r="AK37" s="816">
        <v>0</v>
      </c>
      <c r="AL37" s="816">
        <v>0</v>
      </c>
      <c r="AM37" s="816">
        <v>0</v>
      </c>
      <c r="AN37" s="816">
        <v>0</v>
      </c>
      <c r="AO37" s="816">
        <v>0</v>
      </c>
      <c r="AP37" s="816">
        <v>0</v>
      </c>
      <c r="AQ37" s="816">
        <v>0</v>
      </c>
      <c r="AR37" s="816">
        <v>0</v>
      </c>
      <c r="AS37" s="816">
        <v>0</v>
      </c>
      <c r="AT37" s="816">
        <v>0</v>
      </c>
      <c r="AU37" s="816">
        <v>0</v>
      </c>
      <c r="AV37" s="816">
        <v>0</v>
      </c>
      <c r="AW37" s="816">
        <v>0</v>
      </c>
      <c r="AX37" s="816">
        <v>0</v>
      </c>
      <c r="AY37" s="816">
        <v>0</v>
      </c>
      <c r="AZ37" s="816">
        <v>0</v>
      </c>
      <c r="BA37" s="816">
        <v>0</v>
      </c>
      <c r="BB37" s="816">
        <v>0</v>
      </c>
      <c r="BC37" s="816">
        <v>0</v>
      </c>
      <c r="BD37" s="816">
        <v>0</v>
      </c>
      <c r="BE37" s="816">
        <v>0</v>
      </c>
      <c r="BF37" s="816">
        <v>0</v>
      </c>
      <c r="BG37" s="816">
        <v>0</v>
      </c>
      <c r="BH37" s="816">
        <v>0</v>
      </c>
      <c r="BI37" s="816">
        <v>0</v>
      </c>
      <c r="BJ37" s="816">
        <v>0</v>
      </c>
      <c r="BK37" s="816">
        <v>0</v>
      </c>
      <c r="BL37" s="816">
        <v>0</v>
      </c>
      <c r="BM37" s="816">
        <v>0</v>
      </c>
      <c r="BN37" s="816">
        <v>0</v>
      </c>
      <c r="BO37" s="816">
        <v>0</v>
      </c>
      <c r="BP37" s="816">
        <v>0</v>
      </c>
      <c r="BQ37" s="816">
        <v>0</v>
      </c>
      <c r="BR37" s="816">
        <v>0</v>
      </c>
      <c r="BS37" s="816">
        <v>0</v>
      </c>
      <c r="BT37" s="816">
        <v>0</v>
      </c>
      <c r="BU37" s="816">
        <v>0</v>
      </c>
      <c r="BV37" s="816">
        <v>0</v>
      </c>
      <c r="BW37" s="816">
        <v>0</v>
      </c>
      <c r="BX37" s="816">
        <v>0</v>
      </c>
      <c r="BY37" s="816">
        <v>0</v>
      </c>
      <c r="BZ37" s="816">
        <v>0</v>
      </c>
      <c r="CA37" s="816">
        <v>0</v>
      </c>
      <c r="CB37" s="816">
        <v>0</v>
      </c>
      <c r="CC37" s="816">
        <v>0</v>
      </c>
      <c r="CD37" s="816">
        <v>0</v>
      </c>
      <c r="CE37" s="816">
        <v>0</v>
      </c>
      <c r="CF37" s="816">
        <v>0</v>
      </c>
      <c r="CG37" s="816">
        <v>0</v>
      </c>
      <c r="CH37" s="816">
        <v>0</v>
      </c>
      <c r="CI37" s="816">
        <v>0</v>
      </c>
      <c r="CJ37" s="816">
        <v>0</v>
      </c>
      <c r="CK37" s="816">
        <v>0</v>
      </c>
      <c r="CL37" s="816">
        <v>0</v>
      </c>
      <c r="CM37" s="816">
        <v>0</v>
      </c>
      <c r="CN37" s="816">
        <v>0</v>
      </c>
      <c r="CO37" s="816">
        <v>0</v>
      </c>
      <c r="CP37" s="816">
        <v>0</v>
      </c>
      <c r="CQ37" s="816">
        <v>0</v>
      </c>
      <c r="CR37" s="816">
        <v>0</v>
      </c>
      <c r="CS37" s="816">
        <v>0</v>
      </c>
      <c r="CT37" s="816">
        <v>0</v>
      </c>
      <c r="CU37" s="816">
        <v>0</v>
      </c>
      <c r="CV37" s="816">
        <v>0</v>
      </c>
      <c r="CW37" s="816">
        <v>0</v>
      </c>
      <c r="CX37" s="816">
        <v>0</v>
      </c>
      <c r="CY37" s="816">
        <v>0</v>
      </c>
      <c r="CZ37" s="816">
        <v>0</v>
      </c>
      <c r="DA37" s="816">
        <v>0</v>
      </c>
      <c r="DB37" s="816">
        <v>0</v>
      </c>
      <c r="DC37" s="816">
        <v>0</v>
      </c>
      <c r="DE37" s="816" t="s">
        <v>96</v>
      </c>
      <c r="DF37" s="816">
        <f t="shared" si="9"/>
        <v>0</v>
      </c>
      <c r="DG37" s="816" t="s">
        <v>97</v>
      </c>
      <c r="DH37" s="816">
        <f t="shared" si="10"/>
        <v>0</v>
      </c>
      <c r="DI37" s="816" t="s">
        <v>98</v>
      </c>
      <c r="DJ37" s="816">
        <f t="shared" si="11"/>
        <v>0</v>
      </c>
      <c r="DK37" s="816" t="s">
        <v>99</v>
      </c>
      <c r="DL37" s="816">
        <f t="shared" si="12"/>
        <v>0</v>
      </c>
      <c r="DM37" s="816" t="s">
        <v>100</v>
      </c>
      <c r="DN37" s="816">
        <f t="shared" si="13"/>
        <v>0</v>
      </c>
      <c r="DO37" s="816" t="s">
        <v>101</v>
      </c>
      <c r="DP37" s="816">
        <f t="shared" si="14"/>
        <v>0</v>
      </c>
    </row>
    <row r="38" spans="1:120">
      <c r="A38" s="815">
        <v>9</v>
      </c>
      <c r="B38" s="815" t="str">
        <f t="shared" si="15"/>
        <v>9REMARKS</v>
      </c>
      <c r="C38" s="815">
        <f>VLOOKUP(A38,DATEWISE!$A$3:$BY$27,2,0)</f>
        <v>0</v>
      </c>
      <c r="D38" s="815">
        <f>VLOOKUP(A38,DATEWISE!$A$3:$BY$27,3,0)</f>
        <v>0</v>
      </c>
      <c r="E38" s="815">
        <f>VLOOKUP(A38,DATEWISE!$A$3:$BY$27,4,0)</f>
        <v>0</v>
      </c>
      <c r="F38" s="815" t="str">
        <f t="shared" si="8"/>
        <v>0REMARKS</v>
      </c>
      <c r="G38" s="815" t="s">
        <v>390</v>
      </c>
      <c r="H38" s="816">
        <v>0</v>
      </c>
      <c r="I38" s="816">
        <v>0</v>
      </c>
      <c r="J38" s="816">
        <v>0</v>
      </c>
      <c r="K38" s="816">
        <v>0</v>
      </c>
      <c r="L38" s="816">
        <v>0</v>
      </c>
      <c r="M38" s="816">
        <v>0</v>
      </c>
      <c r="N38" s="816">
        <v>0</v>
      </c>
      <c r="O38" s="816">
        <v>0</v>
      </c>
      <c r="P38" s="816">
        <v>0</v>
      </c>
      <c r="Q38" s="816">
        <v>0</v>
      </c>
      <c r="R38" s="816">
        <v>0</v>
      </c>
      <c r="S38" s="816">
        <v>0</v>
      </c>
      <c r="T38" s="816">
        <v>0</v>
      </c>
      <c r="U38" s="816">
        <v>0</v>
      </c>
      <c r="V38" s="816">
        <v>0</v>
      </c>
      <c r="W38" s="816">
        <v>0</v>
      </c>
      <c r="X38" s="816">
        <v>0</v>
      </c>
      <c r="Y38" s="816">
        <v>0</v>
      </c>
      <c r="Z38" s="816">
        <v>0</v>
      </c>
      <c r="AA38" s="816">
        <v>0</v>
      </c>
      <c r="AB38" s="816">
        <v>0</v>
      </c>
      <c r="AC38" s="816">
        <v>0</v>
      </c>
      <c r="AD38" s="816">
        <v>0</v>
      </c>
      <c r="AE38" s="816">
        <v>0</v>
      </c>
      <c r="AF38" s="816">
        <v>0</v>
      </c>
      <c r="AG38" s="816">
        <v>0</v>
      </c>
      <c r="AH38" s="816">
        <v>0</v>
      </c>
      <c r="AI38" s="816">
        <v>0</v>
      </c>
      <c r="AJ38" s="816">
        <v>0</v>
      </c>
      <c r="AK38" s="816">
        <v>0</v>
      </c>
      <c r="AL38" s="816">
        <v>0</v>
      </c>
      <c r="AM38" s="816">
        <v>0</v>
      </c>
      <c r="AN38" s="816">
        <v>0</v>
      </c>
      <c r="AO38" s="816">
        <v>0</v>
      </c>
      <c r="AP38" s="816">
        <v>0</v>
      </c>
      <c r="AQ38" s="816">
        <v>0</v>
      </c>
      <c r="AR38" s="816">
        <v>0</v>
      </c>
      <c r="AS38" s="816">
        <v>0</v>
      </c>
      <c r="AT38" s="816">
        <v>0</v>
      </c>
      <c r="AU38" s="816">
        <v>0</v>
      </c>
      <c r="AV38" s="816">
        <v>0</v>
      </c>
      <c r="AW38" s="816">
        <v>0</v>
      </c>
      <c r="AX38" s="816">
        <v>0</v>
      </c>
      <c r="AY38" s="816">
        <v>0</v>
      </c>
      <c r="AZ38" s="816">
        <v>0</v>
      </c>
      <c r="BA38" s="816">
        <v>0</v>
      </c>
      <c r="BB38" s="816">
        <v>0</v>
      </c>
      <c r="BC38" s="816">
        <v>0</v>
      </c>
      <c r="BD38" s="816">
        <v>0</v>
      </c>
      <c r="BE38" s="816">
        <v>0</v>
      </c>
      <c r="BF38" s="816">
        <v>0</v>
      </c>
      <c r="BG38" s="816">
        <v>0</v>
      </c>
      <c r="BH38" s="816">
        <v>0</v>
      </c>
      <c r="BI38" s="816">
        <v>0</v>
      </c>
      <c r="BJ38" s="816">
        <v>0</v>
      </c>
      <c r="BK38" s="816">
        <v>0</v>
      </c>
      <c r="BL38" s="816">
        <v>0</v>
      </c>
      <c r="BM38" s="816">
        <v>0</v>
      </c>
      <c r="BN38" s="816">
        <v>0</v>
      </c>
      <c r="BO38" s="816">
        <v>0</v>
      </c>
      <c r="BP38" s="816">
        <v>0</v>
      </c>
      <c r="BQ38" s="816">
        <v>0</v>
      </c>
      <c r="BR38" s="816">
        <v>0</v>
      </c>
      <c r="BS38" s="816">
        <v>0</v>
      </c>
      <c r="BT38" s="816">
        <v>0</v>
      </c>
      <c r="BU38" s="816">
        <v>0</v>
      </c>
      <c r="BV38" s="816">
        <v>0</v>
      </c>
      <c r="BW38" s="816">
        <v>0</v>
      </c>
      <c r="BX38" s="816">
        <v>0</v>
      </c>
      <c r="BY38" s="816">
        <v>0</v>
      </c>
      <c r="BZ38" s="816">
        <v>0</v>
      </c>
      <c r="CA38" s="816">
        <v>0</v>
      </c>
      <c r="CB38" s="816">
        <v>0</v>
      </c>
      <c r="CC38" s="816">
        <v>0</v>
      </c>
      <c r="CD38" s="816">
        <v>0</v>
      </c>
      <c r="CE38" s="816">
        <v>0</v>
      </c>
      <c r="CF38" s="816">
        <v>0</v>
      </c>
      <c r="CG38" s="816">
        <v>0</v>
      </c>
      <c r="CH38" s="816">
        <v>0</v>
      </c>
      <c r="CI38" s="816">
        <v>0</v>
      </c>
      <c r="CJ38" s="816">
        <v>0</v>
      </c>
      <c r="CK38" s="816">
        <v>0</v>
      </c>
      <c r="CL38" s="816">
        <v>0</v>
      </c>
      <c r="CM38" s="816">
        <v>0</v>
      </c>
      <c r="CN38" s="816">
        <v>0</v>
      </c>
      <c r="CO38" s="816">
        <v>0</v>
      </c>
      <c r="CP38" s="816">
        <v>0</v>
      </c>
      <c r="CQ38" s="816">
        <v>0</v>
      </c>
      <c r="CR38" s="816">
        <v>0</v>
      </c>
      <c r="CS38" s="816">
        <v>0</v>
      </c>
      <c r="CT38" s="816">
        <v>0</v>
      </c>
      <c r="CU38" s="816">
        <v>0</v>
      </c>
      <c r="CV38" s="816">
        <v>0</v>
      </c>
      <c r="CW38" s="816">
        <v>0</v>
      </c>
      <c r="CX38" s="816">
        <v>0</v>
      </c>
      <c r="CY38" s="816">
        <v>0</v>
      </c>
      <c r="CZ38" s="816">
        <v>0</v>
      </c>
      <c r="DA38" s="816">
        <v>0</v>
      </c>
      <c r="DB38" s="816">
        <v>0</v>
      </c>
      <c r="DC38" s="816">
        <v>0</v>
      </c>
      <c r="DE38" s="816" t="s">
        <v>96</v>
      </c>
      <c r="DF38" s="816">
        <f t="shared" si="9"/>
        <v>0</v>
      </c>
      <c r="DG38" s="816" t="s">
        <v>97</v>
      </c>
      <c r="DH38" s="816">
        <f t="shared" si="10"/>
        <v>0</v>
      </c>
      <c r="DI38" s="816" t="s">
        <v>98</v>
      </c>
      <c r="DJ38" s="816">
        <f t="shared" si="11"/>
        <v>0</v>
      </c>
      <c r="DK38" s="816" t="s">
        <v>99</v>
      </c>
      <c r="DL38" s="816">
        <f t="shared" si="12"/>
        <v>0</v>
      </c>
      <c r="DM38" s="816" t="s">
        <v>100</v>
      </c>
      <c r="DN38" s="816">
        <f t="shared" si="13"/>
        <v>0</v>
      </c>
      <c r="DO38" s="816" t="s">
        <v>101</v>
      </c>
      <c r="DP38" s="816">
        <f t="shared" si="14"/>
        <v>0</v>
      </c>
    </row>
    <row r="39" spans="1:120">
      <c r="A39" s="815">
        <v>10</v>
      </c>
      <c r="B39" s="815" t="str">
        <f t="shared" si="15"/>
        <v>10HINDI</v>
      </c>
      <c r="C39" s="815">
        <f>VLOOKUP(A39,DATEWISE!$A$3:$BY$27,2,0)</f>
        <v>0</v>
      </c>
      <c r="D39" s="815">
        <f>VLOOKUP(A39,DATEWISE!$A$3:$BY$27,3,0)</f>
        <v>0</v>
      </c>
      <c r="E39" s="815">
        <f>VLOOKUP(A39,DATEWISE!$A$3:$BY$27,4,0)</f>
        <v>0</v>
      </c>
      <c r="F39" s="815" t="str">
        <f t="shared" si="8"/>
        <v>0HINDI</v>
      </c>
      <c r="G39" s="815" t="s">
        <v>87</v>
      </c>
      <c r="H39" s="816">
        <v>0</v>
      </c>
      <c r="I39" s="816">
        <v>0</v>
      </c>
      <c r="J39" s="816">
        <v>0</v>
      </c>
      <c r="K39" s="816">
        <v>0</v>
      </c>
      <c r="L39" s="816">
        <v>0</v>
      </c>
      <c r="M39" s="816">
        <v>0</v>
      </c>
      <c r="N39" s="816">
        <v>0</v>
      </c>
      <c r="O39" s="816">
        <v>0</v>
      </c>
      <c r="P39" s="816">
        <v>0</v>
      </c>
      <c r="Q39" s="816">
        <v>0</v>
      </c>
      <c r="R39" s="816">
        <v>0</v>
      </c>
      <c r="S39" s="816">
        <v>0</v>
      </c>
      <c r="T39" s="816">
        <v>0</v>
      </c>
      <c r="U39" s="816">
        <v>0</v>
      </c>
      <c r="V39" s="816">
        <v>0</v>
      </c>
      <c r="W39" s="816">
        <v>0</v>
      </c>
      <c r="X39" s="816">
        <v>0</v>
      </c>
      <c r="Y39" s="816">
        <v>0</v>
      </c>
      <c r="Z39" s="816">
        <v>0</v>
      </c>
      <c r="AA39" s="816">
        <v>0</v>
      </c>
      <c r="AB39" s="816">
        <v>0</v>
      </c>
      <c r="AC39" s="816">
        <v>0</v>
      </c>
      <c r="AD39" s="816">
        <v>0</v>
      </c>
      <c r="AE39" s="816">
        <v>0</v>
      </c>
      <c r="AF39" s="816">
        <v>0</v>
      </c>
      <c r="AG39" s="816">
        <v>0</v>
      </c>
      <c r="AH39" s="816">
        <v>0</v>
      </c>
      <c r="AI39" s="816">
        <v>0</v>
      </c>
      <c r="AJ39" s="816">
        <v>0</v>
      </c>
      <c r="AK39" s="816">
        <v>0</v>
      </c>
      <c r="AL39" s="816">
        <v>0</v>
      </c>
      <c r="AM39" s="816">
        <v>0</v>
      </c>
      <c r="AN39" s="816">
        <v>0</v>
      </c>
      <c r="AO39" s="816">
        <v>0</v>
      </c>
      <c r="AP39" s="816">
        <v>0</v>
      </c>
      <c r="AQ39" s="816">
        <v>0</v>
      </c>
      <c r="AR39" s="816">
        <v>0</v>
      </c>
      <c r="AS39" s="816">
        <v>0</v>
      </c>
      <c r="AT39" s="816">
        <v>0</v>
      </c>
      <c r="AU39" s="816">
        <v>0</v>
      </c>
      <c r="AV39" s="816">
        <v>0</v>
      </c>
      <c r="AW39" s="816">
        <v>0</v>
      </c>
      <c r="AX39" s="816">
        <v>0</v>
      </c>
      <c r="AY39" s="816">
        <v>0</v>
      </c>
      <c r="AZ39" s="816">
        <v>0</v>
      </c>
      <c r="BA39" s="816">
        <v>0</v>
      </c>
      <c r="BB39" s="816">
        <v>0</v>
      </c>
      <c r="BC39" s="816">
        <v>0</v>
      </c>
      <c r="BD39" s="816">
        <v>0</v>
      </c>
      <c r="BE39" s="816">
        <v>0</v>
      </c>
      <c r="BF39" s="816">
        <v>0</v>
      </c>
      <c r="BG39" s="816">
        <v>0</v>
      </c>
      <c r="BH39" s="816">
        <v>0</v>
      </c>
      <c r="BI39" s="816">
        <v>0</v>
      </c>
      <c r="BJ39" s="816">
        <v>0</v>
      </c>
      <c r="BK39" s="816">
        <v>0</v>
      </c>
      <c r="BL39" s="816">
        <v>0</v>
      </c>
      <c r="BM39" s="816">
        <v>0</v>
      </c>
      <c r="BN39" s="816">
        <v>0</v>
      </c>
      <c r="BO39" s="816">
        <v>0</v>
      </c>
      <c r="BP39" s="816">
        <v>0</v>
      </c>
      <c r="BQ39" s="816">
        <v>0</v>
      </c>
      <c r="BR39" s="816">
        <v>0</v>
      </c>
      <c r="BS39" s="816">
        <v>0</v>
      </c>
      <c r="BT39" s="816">
        <v>0</v>
      </c>
      <c r="BU39" s="816">
        <v>0</v>
      </c>
      <c r="BV39" s="816">
        <v>0</v>
      </c>
      <c r="BW39" s="816">
        <v>0</v>
      </c>
      <c r="BX39" s="816">
        <v>0</v>
      </c>
      <c r="BY39" s="816">
        <v>0</v>
      </c>
      <c r="BZ39" s="816">
        <v>0</v>
      </c>
      <c r="CA39" s="816">
        <v>0</v>
      </c>
      <c r="CB39" s="816">
        <v>0</v>
      </c>
      <c r="CC39" s="816">
        <v>0</v>
      </c>
      <c r="CD39" s="816">
        <v>0</v>
      </c>
      <c r="CE39" s="816">
        <v>0</v>
      </c>
      <c r="CF39" s="816">
        <v>0</v>
      </c>
      <c r="CG39" s="816">
        <v>0</v>
      </c>
      <c r="CH39" s="816">
        <v>0</v>
      </c>
      <c r="CI39" s="816">
        <v>0</v>
      </c>
      <c r="CJ39" s="816">
        <v>0</v>
      </c>
      <c r="CK39" s="816">
        <v>0</v>
      </c>
      <c r="CL39" s="816">
        <v>0</v>
      </c>
      <c r="CM39" s="816">
        <v>0</v>
      </c>
      <c r="CN39" s="816">
        <v>0</v>
      </c>
      <c r="CO39" s="816">
        <v>0</v>
      </c>
      <c r="CP39" s="816">
        <v>0</v>
      </c>
      <c r="CQ39" s="816">
        <v>0</v>
      </c>
      <c r="CR39" s="816">
        <v>0</v>
      </c>
      <c r="CS39" s="816">
        <v>0</v>
      </c>
      <c r="CT39" s="816">
        <v>0</v>
      </c>
      <c r="CU39" s="816">
        <v>0</v>
      </c>
      <c r="CV39" s="816">
        <v>0</v>
      </c>
      <c r="CW39" s="816">
        <v>0</v>
      </c>
      <c r="CX39" s="816">
        <v>0</v>
      </c>
      <c r="CY39" s="816">
        <v>0</v>
      </c>
      <c r="CZ39" s="816">
        <v>0</v>
      </c>
      <c r="DA39" s="816">
        <v>0</v>
      </c>
      <c r="DB39" s="816">
        <v>0</v>
      </c>
      <c r="DC39" s="816">
        <v>0</v>
      </c>
      <c r="DE39" s="816" t="s">
        <v>96</v>
      </c>
      <c r="DF39" s="816">
        <f t="shared" si="9"/>
        <v>0</v>
      </c>
      <c r="DG39" s="816" t="s">
        <v>97</v>
      </c>
      <c r="DH39" s="816">
        <f t="shared" si="10"/>
        <v>0</v>
      </c>
      <c r="DI39" s="816" t="s">
        <v>98</v>
      </c>
      <c r="DJ39" s="816">
        <f t="shared" si="11"/>
        <v>0</v>
      </c>
      <c r="DK39" s="816" t="s">
        <v>99</v>
      </c>
      <c r="DL39" s="816">
        <f t="shared" si="12"/>
        <v>0</v>
      </c>
      <c r="DM39" s="816" t="s">
        <v>100</v>
      </c>
      <c r="DN39" s="816">
        <f t="shared" si="13"/>
        <v>0</v>
      </c>
      <c r="DO39" s="816" t="s">
        <v>101</v>
      </c>
      <c r="DP39" s="816">
        <f t="shared" si="14"/>
        <v>0</v>
      </c>
    </row>
    <row r="40" spans="1:120">
      <c r="A40" s="815">
        <v>10</v>
      </c>
      <c r="B40" s="815" t="str">
        <f t="shared" si="15"/>
        <v>10ENGLISH</v>
      </c>
      <c r="C40" s="815">
        <f>VLOOKUP(A40,DATEWISE!$A$3:$BY$27,2,0)</f>
        <v>0</v>
      </c>
      <c r="D40" s="815">
        <f>VLOOKUP(A40,DATEWISE!$A$3:$BY$27,3,0)</f>
        <v>0</v>
      </c>
      <c r="E40" s="815">
        <f>VLOOKUP(A40,DATEWISE!$A$3:$BY$27,4,0)</f>
        <v>0</v>
      </c>
      <c r="F40" s="815" t="str">
        <f t="shared" si="8"/>
        <v>0ENGLISH</v>
      </c>
      <c r="G40" s="815" t="s">
        <v>89</v>
      </c>
      <c r="H40" s="816">
        <v>0</v>
      </c>
      <c r="I40" s="816">
        <v>0</v>
      </c>
      <c r="J40" s="816">
        <v>0</v>
      </c>
      <c r="K40" s="816">
        <v>0</v>
      </c>
      <c r="L40" s="816">
        <v>0</v>
      </c>
      <c r="M40" s="816">
        <v>0</v>
      </c>
      <c r="N40" s="816">
        <v>0</v>
      </c>
      <c r="O40" s="816">
        <v>0</v>
      </c>
      <c r="P40" s="816">
        <v>0</v>
      </c>
      <c r="Q40" s="816">
        <v>0</v>
      </c>
      <c r="R40" s="816">
        <v>0</v>
      </c>
      <c r="S40" s="816">
        <v>0</v>
      </c>
      <c r="T40" s="816">
        <v>0</v>
      </c>
      <c r="U40" s="816">
        <v>0</v>
      </c>
      <c r="V40" s="816">
        <v>0</v>
      </c>
      <c r="W40" s="816">
        <v>0</v>
      </c>
      <c r="X40" s="816">
        <v>0</v>
      </c>
      <c r="Y40" s="816">
        <v>0</v>
      </c>
      <c r="Z40" s="816">
        <v>0</v>
      </c>
      <c r="AA40" s="816">
        <v>0</v>
      </c>
      <c r="AB40" s="816">
        <v>0</v>
      </c>
      <c r="AC40" s="816">
        <v>0</v>
      </c>
      <c r="AD40" s="816">
        <v>0</v>
      </c>
      <c r="AE40" s="816">
        <v>0</v>
      </c>
      <c r="AF40" s="816">
        <v>0</v>
      </c>
      <c r="AG40" s="816">
        <v>0</v>
      </c>
      <c r="AH40" s="816">
        <v>0</v>
      </c>
      <c r="AI40" s="816">
        <v>0</v>
      </c>
      <c r="AJ40" s="816">
        <v>0</v>
      </c>
      <c r="AK40" s="816">
        <v>0</v>
      </c>
      <c r="AL40" s="816">
        <v>0</v>
      </c>
      <c r="AM40" s="816">
        <v>0</v>
      </c>
      <c r="AN40" s="816">
        <v>0</v>
      </c>
      <c r="AO40" s="816">
        <v>0</v>
      </c>
      <c r="AP40" s="816">
        <v>0</v>
      </c>
      <c r="AQ40" s="816">
        <v>0</v>
      </c>
      <c r="AR40" s="816">
        <v>0</v>
      </c>
      <c r="AS40" s="816">
        <v>0</v>
      </c>
      <c r="AT40" s="816">
        <v>0</v>
      </c>
      <c r="AU40" s="816">
        <v>0</v>
      </c>
      <c r="AV40" s="816">
        <v>0</v>
      </c>
      <c r="AW40" s="816">
        <v>0</v>
      </c>
      <c r="AX40" s="816">
        <v>0</v>
      </c>
      <c r="AY40" s="816">
        <v>0</v>
      </c>
      <c r="AZ40" s="816">
        <v>0</v>
      </c>
      <c r="BA40" s="816">
        <v>0</v>
      </c>
      <c r="BB40" s="816">
        <v>0</v>
      </c>
      <c r="BC40" s="816">
        <v>0</v>
      </c>
      <c r="BD40" s="816">
        <v>0</v>
      </c>
      <c r="BE40" s="816">
        <v>0</v>
      </c>
      <c r="BF40" s="816">
        <v>0</v>
      </c>
      <c r="BG40" s="816">
        <v>0</v>
      </c>
      <c r="BH40" s="816">
        <v>0</v>
      </c>
      <c r="BI40" s="816">
        <v>0</v>
      </c>
      <c r="BJ40" s="816">
        <v>0</v>
      </c>
      <c r="BK40" s="816">
        <v>0</v>
      </c>
      <c r="BL40" s="816">
        <v>0</v>
      </c>
      <c r="BM40" s="816">
        <v>0</v>
      </c>
      <c r="BN40" s="816">
        <v>0</v>
      </c>
      <c r="BO40" s="816">
        <v>0</v>
      </c>
      <c r="BP40" s="816">
        <v>0</v>
      </c>
      <c r="BQ40" s="816">
        <v>0</v>
      </c>
      <c r="BR40" s="816">
        <v>0</v>
      </c>
      <c r="BS40" s="816">
        <v>0</v>
      </c>
      <c r="BT40" s="816">
        <v>0</v>
      </c>
      <c r="BU40" s="816">
        <v>0</v>
      </c>
      <c r="BV40" s="816">
        <v>0</v>
      </c>
      <c r="BW40" s="816">
        <v>0</v>
      </c>
      <c r="BX40" s="816">
        <v>0</v>
      </c>
      <c r="BY40" s="816">
        <v>0</v>
      </c>
      <c r="BZ40" s="816">
        <v>0</v>
      </c>
      <c r="CA40" s="816">
        <v>0</v>
      </c>
      <c r="CB40" s="816">
        <v>0</v>
      </c>
      <c r="CC40" s="816">
        <v>0</v>
      </c>
      <c r="CD40" s="816">
        <v>0</v>
      </c>
      <c r="CE40" s="816">
        <v>0</v>
      </c>
      <c r="CF40" s="816">
        <v>0</v>
      </c>
      <c r="CG40" s="816">
        <v>0</v>
      </c>
      <c r="CH40" s="816">
        <v>0</v>
      </c>
      <c r="CI40" s="816">
        <v>0</v>
      </c>
      <c r="CJ40" s="816">
        <v>0</v>
      </c>
      <c r="CK40" s="816">
        <v>0</v>
      </c>
      <c r="CL40" s="816">
        <v>0</v>
      </c>
      <c r="CM40" s="816">
        <v>0</v>
      </c>
      <c r="CN40" s="816">
        <v>0</v>
      </c>
      <c r="CO40" s="816">
        <v>0</v>
      </c>
      <c r="CP40" s="816">
        <v>0</v>
      </c>
      <c r="CQ40" s="816">
        <v>0</v>
      </c>
      <c r="CR40" s="816">
        <v>0</v>
      </c>
      <c r="CS40" s="816">
        <v>0</v>
      </c>
      <c r="CT40" s="816">
        <v>0</v>
      </c>
      <c r="CU40" s="816">
        <v>0</v>
      </c>
      <c r="CV40" s="816">
        <v>0</v>
      </c>
      <c r="CW40" s="816">
        <v>0</v>
      </c>
      <c r="CX40" s="816">
        <v>0</v>
      </c>
      <c r="CY40" s="816">
        <v>0</v>
      </c>
      <c r="CZ40" s="816">
        <v>0</v>
      </c>
      <c r="DA40" s="816">
        <v>0</v>
      </c>
      <c r="DB40" s="816">
        <v>0</v>
      </c>
      <c r="DC40" s="816">
        <v>0</v>
      </c>
      <c r="DE40" s="816" t="s">
        <v>96</v>
      </c>
      <c r="DF40" s="816">
        <f t="shared" si="9"/>
        <v>0</v>
      </c>
      <c r="DG40" s="816" t="s">
        <v>97</v>
      </c>
      <c r="DH40" s="816">
        <f t="shared" si="10"/>
        <v>0</v>
      </c>
      <c r="DI40" s="816" t="s">
        <v>98</v>
      </c>
      <c r="DJ40" s="816">
        <f t="shared" si="11"/>
        <v>0</v>
      </c>
      <c r="DK40" s="816" t="s">
        <v>99</v>
      </c>
      <c r="DL40" s="816">
        <f t="shared" si="12"/>
        <v>0</v>
      </c>
      <c r="DM40" s="816" t="s">
        <v>100</v>
      </c>
      <c r="DN40" s="816">
        <f t="shared" si="13"/>
        <v>0</v>
      </c>
      <c r="DO40" s="816" t="s">
        <v>101</v>
      </c>
      <c r="DP40" s="816">
        <f t="shared" si="14"/>
        <v>0</v>
      </c>
    </row>
    <row r="41" spans="1:120">
      <c r="A41" s="815">
        <v>10</v>
      </c>
      <c r="B41" s="815" t="str">
        <f t="shared" si="15"/>
        <v>10MATHS</v>
      </c>
      <c r="C41" s="815">
        <f>VLOOKUP(A41,DATEWISE!$A$3:$BY$27,2,0)</f>
        <v>0</v>
      </c>
      <c r="D41" s="815">
        <f>VLOOKUP(A41,DATEWISE!$A$3:$BY$27,3,0)</f>
        <v>0</v>
      </c>
      <c r="E41" s="815">
        <f>VLOOKUP(A41,DATEWISE!$A$3:$BY$27,4,0)</f>
        <v>0</v>
      </c>
      <c r="F41" s="815" t="str">
        <f t="shared" si="8"/>
        <v>0MATHS</v>
      </c>
      <c r="G41" s="815" t="s">
        <v>88</v>
      </c>
      <c r="H41" s="816">
        <v>0</v>
      </c>
      <c r="I41" s="816">
        <v>0</v>
      </c>
      <c r="J41" s="816">
        <v>0</v>
      </c>
      <c r="K41" s="816">
        <v>0</v>
      </c>
      <c r="L41" s="816">
        <v>0</v>
      </c>
      <c r="M41" s="816">
        <v>0</v>
      </c>
      <c r="N41" s="816">
        <v>0</v>
      </c>
      <c r="O41" s="816">
        <v>0</v>
      </c>
      <c r="P41" s="816">
        <v>0</v>
      </c>
      <c r="Q41" s="816">
        <v>0</v>
      </c>
      <c r="R41" s="816">
        <v>0</v>
      </c>
      <c r="S41" s="816">
        <v>0</v>
      </c>
      <c r="T41" s="816">
        <v>0</v>
      </c>
      <c r="U41" s="816">
        <v>0</v>
      </c>
      <c r="V41" s="816">
        <v>0</v>
      </c>
      <c r="W41" s="816">
        <v>0</v>
      </c>
      <c r="X41" s="816">
        <v>0</v>
      </c>
      <c r="Y41" s="816">
        <v>0</v>
      </c>
      <c r="Z41" s="816">
        <v>0</v>
      </c>
      <c r="AA41" s="816">
        <v>0</v>
      </c>
      <c r="AB41" s="816">
        <v>0</v>
      </c>
      <c r="AC41" s="816">
        <v>0</v>
      </c>
      <c r="AD41" s="816">
        <v>0</v>
      </c>
      <c r="AE41" s="816">
        <v>0</v>
      </c>
      <c r="AF41" s="816">
        <v>0</v>
      </c>
      <c r="AG41" s="816">
        <v>0</v>
      </c>
      <c r="AH41" s="816">
        <v>0</v>
      </c>
      <c r="AI41" s="816">
        <v>0</v>
      </c>
      <c r="AJ41" s="816">
        <v>0</v>
      </c>
      <c r="AK41" s="816">
        <v>0</v>
      </c>
      <c r="AL41" s="816">
        <v>0</v>
      </c>
      <c r="AM41" s="816">
        <v>0</v>
      </c>
      <c r="AN41" s="816">
        <v>0</v>
      </c>
      <c r="AO41" s="816">
        <v>0</v>
      </c>
      <c r="AP41" s="816">
        <v>0</v>
      </c>
      <c r="AQ41" s="816">
        <v>0</v>
      </c>
      <c r="AR41" s="816">
        <v>0</v>
      </c>
      <c r="AS41" s="816">
        <v>0</v>
      </c>
      <c r="AT41" s="816">
        <v>0</v>
      </c>
      <c r="AU41" s="816">
        <v>0</v>
      </c>
      <c r="AV41" s="816">
        <v>0</v>
      </c>
      <c r="AW41" s="816">
        <v>0</v>
      </c>
      <c r="AX41" s="816">
        <v>0</v>
      </c>
      <c r="AY41" s="816">
        <v>0</v>
      </c>
      <c r="AZ41" s="816">
        <v>0</v>
      </c>
      <c r="BA41" s="816">
        <v>0</v>
      </c>
      <c r="BB41" s="816">
        <v>0</v>
      </c>
      <c r="BC41" s="816">
        <v>0</v>
      </c>
      <c r="BD41" s="816">
        <v>0</v>
      </c>
      <c r="BE41" s="816">
        <v>0</v>
      </c>
      <c r="BF41" s="816">
        <v>0</v>
      </c>
      <c r="BG41" s="816">
        <v>0</v>
      </c>
      <c r="BH41" s="816">
        <v>0</v>
      </c>
      <c r="BI41" s="816">
        <v>0</v>
      </c>
      <c r="BJ41" s="816">
        <v>0</v>
      </c>
      <c r="BK41" s="816">
        <v>0</v>
      </c>
      <c r="BL41" s="816">
        <v>0</v>
      </c>
      <c r="BM41" s="816">
        <v>0</v>
      </c>
      <c r="BN41" s="816">
        <v>0</v>
      </c>
      <c r="BO41" s="816">
        <v>0</v>
      </c>
      <c r="BP41" s="816">
        <v>0</v>
      </c>
      <c r="BQ41" s="816">
        <v>0</v>
      </c>
      <c r="BR41" s="816">
        <v>0</v>
      </c>
      <c r="BS41" s="816">
        <v>0</v>
      </c>
      <c r="BT41" s="816">
        <v>0</v>
      </c>
      <c r="BU41" s="816">
        <v>0</v>
      </c>
      <c r="BV41" s="816">
        <v>0</v>
      </c>
      <c r="BW41" s="816">
        <v>0</v>
      </c>
      <c r="BX41" s="816">
        <v>0</v>
      </c>
      <c r="BY41" s="816">
        <v>0</v>
      </c>
      <c r="BZ41" s="816">
        <v>0</v>
      </c>
      <c r="CA41" s="816">
        <v>0</v>
      </c>
      <c r="CB41" s="816">
        <v>0</v>
      </c>
      <c r="CC41" s="816">
        <v>0</v>
      </c>
      <c r="CD41" s="816">
        <v>0</v>
      </c>
      <c r="CE41" s="816">
        <v>0</v>
      </c>
      <c r="CF41" s="816">
        <v>0</v>
      </c>
      <c r="CG41" s="816">
        <v>0</v>
      </c>
      <c r="CH41" s="816">
        <v>0</v>
      </c>
      <c r="CI41" s="816">
        <v>0</v>
      </c>
      <c r="CJ41" s="816">
        <v>0</v>
      </c>
      <c r="CK41" s="816">
        <v>0</v>
      </c>
      <c r="CL41" s="816">
        <v>0</v>
      </c>
      <c r="CM41" s="816">
        <v>0</v>
      </c>
      <c r="CN41" s="816">
        <v>0</v>
      </c>
      <c r="CO41" s="816">
        <v>0</v>
      </c>
      <c r="CP41" s="816">
        <v>0</v>
      </c>
      <c r="CQ41" s="816">
        <v>0</v>
      </c>
      <c r="CR41" s="816">
        <v>0</v>
      </c>
      <c r="CS41" s="816">
        <v>0</v>
      </c>
      <c r="CT41" s="816">
        <v>0</v>
      </c>
      <c r="CU41" s="816">
        <v>0</v>
      </c>
      <c r="CV41" s="816">
        <v>0</v>
      </c>
      <c r="CW41" s="816">
        <v>0</v>
      </c>
      <c r="CX41" s="816">
        <v>0</v>
      </c>
      <c r="CY41" s="816">
        <v>0</v>
      </c>
      <c r="CZ41" s="816">
        <v>0</v>
      </c>
      <c r="DA41" s="816">
        <v>0</v>
      </c>
      <c r="DB41" s="816">
        <v>0</v>
      </c>
      <c r="DC41" s="816">
        <v>0</v>
      </c>
      <c r="DE41" s="816" t="s">
        <v>96</v>
      </c>
      <c r="DF41" s="816">
        <f t="shared" si="9"/>
        <v>0</v>
      </c>
      <c r="DG41" s="816" t="s">
        <v>97</v>
      </c>
      <c r="DH41" s="816">
        <f t="shared" si="10"/>
        <v>0</v>
      </c>
      <c r="DI41" s="816" t="s">
        <v>98</v>
      </c>
      <c r="DJ41" s="816">
        <f t="shared" si="11"/>
        <v>0</v>
      </c>
      <c r="DK41" s="816" t="s">
        <v>99</v>
      </c>
      <c r="DL41" s="816">
        <f t="shared" si="12"/>
        <v>0</v>
      </c>
      <c r="DM41" s="816" t="s">
        <v>100</v>
      </c>
      <c r="DN41" s="816">
        <f t="shared" si="13"/>
        <v>0</v>
      </c>
      <c r="DO41" s="816" t="s">
        <v>101</v>
      </c>
      <c r="DP41" s="816">
        <f t="shared" si="14"/>
        <v>0</v>
      </c>
    </row>
    <row r="42" spans="1:120">
      <c r="A42" s="815">
        <v>10</v>
      </c>
      <c r="B42" s="815" t="str">
        <f t="shared" si="15"/>
        <v>10REMARKS</v>
      </c>
      <c r="C42" s="815">
        <f>VLOOKUP(A42,DATEWISE!$A$3:$BY$27,2,0)</f>
        <v>0</v>
      </c>
      <c r="D42" s="815">
        <f>VLOOKUP(A42,DATEWISE!$A$3:$BY$27,3,0)</f>
        <v>0</v>
      </c>
      <c r="E42" s="815">
        <f>VLOOKUP(A42,DATEWISE!$A$3:$BY$27,4,0)</f>
        <v>0</v>
      </c>
      <c r="F42" s="815" t="str">
        <f t="shared" si="8"/>
        <v>0REMARKS</v>
      </c>
      <c r="G42" s="815" t="s">
        <v>390</v>
      </c>
      <c r="H42" s="816">
        <v>0</v>
      </c>
      <c r="I42" s="816">
        <v>0</v>
      </c>
      <c r="J42" s="816">
        <v>0</v>
      </c>
      <c r="K42" s="816">
        <v>0</v>
      </c>
      <c r="L42" s="816">
        <v>0</v>
      </c>
      <c r="M42" s="816">
        <v>0</v>
      </c>
      <c r="N42" s="816">
        <v>0</v>
      </c>
      <c r="O42" s="816">
        <v>0</v>
      </c>
      <c r="P42" s="816">
        <v>0</v>
      </c>
      <c r="Q42" s="816">
        <v>0</v>
      </c>
      <c r="R42" s="816">
        <v>0</v>
      </c>
      <c r="S42" s="816">
        <v>0</v>
      </c>
      <c r="T42" s="816">
        <v>0</v>
      </c>
      <c r="U42" s="816">
        <v>0</v>
      </c>
      <c r="V42" s="816">
        <v>0</v>
      </c>
      <c r="W42" s="816">
        <v>0</v>
      </c>
      <c r="X42" s="816">
        <v>0</v>
      </c>
      <c r="Y42" s="816">
        <v>0</v>
      </c>
      <c r="Z42" s="816">
        <v>0</v>
      </c>
      <c r="AA42" s="816">
        <v>0</v>
      </c>
      <c r="AB42" s="816">
        <v>0</v>
      </c>
      <c r="AC42" s="816">
        <v>0</v>
      </c>
      <c r="AD42" s="816">
        <v>0</v>
      </c>
      <c r="AE42" s="816">
        <v>0</v>
      </c>
      <c r="AF42" s="816">
        <v>0</v>
      </c>
      <c r="AG42" s="816">
        <v>0</v>
      </c>
      <c r="AH42" s="816">
        <v>0</v>
      </c>
      <c r="AI42" s="816">
        <v>0</v>
      </c>
      <c r="AJ42" s="816">
        <v>0</v>
      </c>
      <c r="AK42" s="816">
        <v>0</v>
      </c>
      <c r="AL42" s="816">
        <v>0</v>
      </c>
      <c r="AM42" s="816">
        <v>0</v>
      </c>
      <c r="AN42" s="816">
        <v>0</v>
      </c>
      <c r="AO42" s="816">
        <v>0</v>
      </c>
      <c r="AP42" s="816">
        <v>0</v>
      </c>
      <c r="AQ42" s="816">
        <v>0</v>
      </c>
      <c r="AR42" s="816">
        <v>0</v>
      </c>
      <c r="AS42" s="816">
        <v>0</v>
      </c>
      <c r="AT42" s="816">
        <v>0</v>
      </c>
      <c r="AU42" s="816">
        <v>0</v>
      </c>
      <c r="AV42" s="816">
        <v>0</v>
      </c>
      <c r="AW42" s="816">
        <v>0</v>
      </c>
      <c r="AX42" s="816">
        <v>0</v>
      </c>
      <c r="AY42" s="816">
        <v>0</v>
      </c>
      <c r="AZ42" s="816">
        <v>0</v>
      </c>
      <c r="BA42" s="816">
        <v>0</v>
      </c>
      <c r="BB42" s="816">
        <v>0</v>
      </c>
      <c r="BC42" s="816">
        <v>0</v>
      </c>
      <c r="BD42" s="816">
        <v>0</v>
      </c>
      <c r="BE42" s="816">
        <v>0</v>
      </c>
      <c r="BF42" s="816">
        <v>0</v>
      </c>
      <c r="BG42" s="816">
        <v>0</v>
      </c>
      <c r="BH42" s="816">
        <v>0</v>
      </c>
      <c r="BI42" s="816">
        <v>0</v>
      </c>
      <c r="BJ42" s="816">
        <v>0</v>
      </c>
      <c r="BK42" s="816">
        <v>0</v>
      </c>
      <c r="BL42" s="816">
        <v>0</v>
      </c>
      <c r="BM42" s="816">
        <v>0</v>
      </c>
      <c r="BN42" s="816">
        <v>0</v>
      </c>
      <c r="BO42" s="816">
        <v>0</v>
      </c>
      <c r="BP42" s="816">
        <v>0</v>
      </c>
      <c r="BQ42" s="816">
        <v>0</v>
      </c>
      <c r="BR42" s="816">
        <v>0</v>
      </c>
      <c r="BS42" s="816">
        <v>0</v>
      </c>
      <c r="BT42" s="816">
        <v>0</v>
      </c>
      <c r="BU42" s="816">
        <v>0</v>
      </c>
      <c r="BV42" s="816">
        <v>0</v>
      </c>
      <c r="BW42" s="816">
        <v>0</v>
      </c>
      <c r="BX42" s="816">
        <v>0</v>
      </c>
      <c r="BY42" s="816">
        <v>0</v>
      </c>
      <c r="BZ42" s="816">
        <v>0</v>
      </c>
      <c r="CA42" s="816">
        <v>0</v>
      </c>
      <c r="CB42" s="816">
        <v>0</v>
      </c>
      <c r="CC42" s="816">
        <v>0</v>
      </c>
      <c r="CD42" s="816">
        <v>0</v>
      </c>
      <c r="CE42" s="816">
        <v>0</v>
      </c>
      <c r="CF42" s="816">
        <v>0</v>
      </c>
      <c r="CG42" s="816">
        <v>0</v>
      </c>
      <c r="CH42" s="816">
        <v>0</v>
      </c>
      <c r="CI42" s="816">
        <v>0</v>
      </c>
      <c r="CJ42" s="816">
        <v>0</v>
      </c>
      <c r="CK42" s="816">
        <v>0</v>
      </c>
      <c r="CL42" s="816">
        <v>0</v>
      </c>
      <c r="CM42" s="816">
        <v>0</v>
      </c>
      <c r="CN42" s="816">
        <v>0</v>
      </c>
      <c r="CO42" s="816">
        <v>0</v>
      </c>
      <c r="CP42" s="816">
        <v>0</v>
      </c>
      <c r="CQ42" s="816">
        <v>0</v>
      </c>
      <c r="CR42" s="816">
        <v>0</v>
      </c>
      <c r="CS42" s="816">
        <v>0</v>
      </c>
      <c r="CT42" s="816">
        <v>0</v>
      </c>
      <c r="CU42" s="816">
        <v>0</v>
      </c>
      <c r="CV42" s="816">
        <v>0</v>
      </c>
      <c r="CW42" s="816">
        <v>0</v>
      </c>
      <c r="CX42" s="816">
        <v>0</v>
      </c>
      <c r="CY42" s="816">
        <v>0</v>
      </c>
      <c r="CZ42" s="816">
        <v>0</v>
      </c>
      <c r="DA42" s="816">
        <v>0</v>
      </c>
      <c r="DB42" s="816">
        <v>0</v>
      </c>
      <c r="DC42" s="816">
        <v>0</v>
      </c>
      <c r="DE42" s="816" t="s">
        <v>96</v>
      </c>
      <c r="DF42" s="816">
        <f t="shared" si="9"/>
        <v>0</v>
      </c>
      <c r="DG42" s="816" t="s">
        <v>97</v>
      </c>
      <c r="DH42" s="816">
        <f t="shared" si="10"/>
        <v>0</v>
      </c>
      <c r="DI42" s="816" t="s">
        <v>98</v>
      </c>
      <c r="DJ42" s="816">
        <f t="shared" si="11"/>
        <v>0</v>
      </c>
      <c r="DK42" s="816" t="s">
        <v>99</v>
      </c>
      <c r="DL42" s="816">
        <f t="shared" si="12"/>
        <v>0</v>
      </c>
      <c r="DM42" s="816" t="s">
        <v>100</v>
      </c>
      <c r="DN42" s="816">
        <f t="shared" si="13"/>
        <v>0</v>
      </c>
      <c r="DO42" s="816" t="s">
        <v>101</v>
      </c>
      <c r="DP42" s="816">
        <f t="shared" si="14"/>
        <v>0</v>
      </c>
    </row>
    <row r="43" spans="1:120">
      <c r="A43" s="815">
        <v>11</v>
      </c>
      <c r="B43" s="815" t="str">
        <f t="shared" si="15"/>
        <v>11HINDI</v>
      </c>
      <c r="C43" s="815">
        <f>VLOOKUP(A43,DATEWISE!$A$3:$BY$27,2,0)</f>
        <v>0</v>
      </c>
      <c r="D43" s="815">
        <f>VLOOKUP(A43,DATEWISE!$A$3:$BY$27,3,0)</f>
        <v>0</v>
      </c>
      <c r="E43" s="815">
        <f>VLOOKUP(A43,DATEWISE!$A$3:$BY$27,4,0)</f>
        <v>0</v>
      </c>
      <c r="F43" s="815" t="str">
        <f t="shared" si="8"/>
        <v>0HINDI</v>
      </c>
      <c r="G43" s="815" t="s">
        <v>87</v>
      </c>
      <c r="H43" s="816">
        <v>0</v>
      </c>
      <c r="I43" s="816">
        <v>0</v>
      </c>
      <c r="J43" s="816">
        <v>0</v>
      </c>
      <c r="K43" s="816">
        <v>0</v>
      </c>
      <c r="L43" s="816">
        <v>0</v>
      </c>
      <c r="M43" s="816">
        <v>0</v>
      </c>
      <c r="N43" s="816">
        <v>0</v>
      </c>
      <c r="O43" s="816">
        <v>0</v>
      </c>
      <c r="P43" s="816">
        <v>0</v>
      </c>
      <c r="Q43" s="816">
        <v>0</v>
      </c>
      <c r="R43" s="816">
        <v>0</v>
      </c>
      <c r="S43" s="816">
        <v>0</v>
      </c>
      <c r="T43" s="816">
        <v>0</v>
      </c>
      <c r="U43" s="816">
        <v>0</v>
      </c>
      <c r="V43" s="816">
        <v>0</v>
      </c>
      <c r="W43" s="816">
        <v>0</v>
      </c>
      <c r="X43" s="816">
        <v>0</v>
      </c>
      <c r="Y43" s="816">
        <v>0</v>
      </c>
      <c r="Z43" s="816">
        <v>0</v>
      </c>
      <c r="AA43" s="816">
        <v>0</v>
      </c>
      <c r="AB43" s="816">
        <v>0</v>
      </c>
      <c r="AC43" s="816">
        <v>0</v>
      </c>
      <c r="AD43" s="816">
        <v>0</v>
      </c>
      <c r="AE43" s="816">
        <v>0</v>
      </c>
      <c r="AF43" s="816">
        <v>0</v>
      </c>
      <c r="AG43" s="816">
        <v>0</v>
      </c>
      <c r="AH43" s="816">
        <v>0</v>
      </c>
      <c r="AI43" s="816">
        <v>0</v>
      </c>
      <c r="AJ43" s="816">
        <v>0</v>
      </c>
      <c r="AK43" s="816">
        <v>0</v>
      </c>
      <c r="AL43" s="816">
        <v>0</v>
      </c>
      <c r="AM43" s="816">
        <v>0</v>
      </c>
      <c r="AN43" s="816">
        <v>0</v>
      </c>
      <c r="AO43" s="816">
        <v>0</v>
      </c>
      <c r="AP43" s="816">
        <v>0</v>
      </c>
      <c r="AQ43" s="816">
        <v>0</v>
      </c>
      <c r="AR43" s="816">
        <v>0</v>
      </c>
      <c r="AS43" s="816">
        <v>0</v>
      </c>
      <c r="AT43" s="816">
        <v>0</v>
      </c>
      <c r="AU43" s="816">
        <v>0</v>
      </c>
      <c r="AV43" s="816">
        <v>0</v>
      </c>
      <c r="AW43" s="816">
        <v>0</v>
      </c>
      <c r="AX43" s="816">
        <v>0</v>
      </c>
      <c r="AY43" s="816">
        <v>0</v>
      </c>
      <c r="AZ43" s="816">
        <v>0</v>
      </c>
      <c r="BA43" s="816">
        <v>0</v>
      </c>
      <c r="BB43" s="816">
        <v>0</v>
      </c>
      <c r="BC43" s="816">
        <v>0</v>
      </c>
      <c r="BD43" s="816">
        <v>0</v>
      </c>
      <c r="BE43" s="816">
        <v>0</v>
      </c>
      <c r="BF43" s="816">
        <v>0</v>
      </c>
      <c r="BG43" s="816">
        <v>0</v>
      </c>
      <c r="BH43" s="816">
        <v>0</v>
      </c>
      <c r="BI43" s="816">
        <v>0</v>
      </c>
      <c r="BJ43" s="816">
        <v>0</v>
      </c>
      <c r="BK43" s="816">
        <v>0</v>
      </c>
      <c r="BL43" s="816">
        <v>0</v>
      </c>
      <c r="BM43" s="816">
        <v>0</v>
      </c>
      <c r="BN43" s="816">
        <v>0</v>
      </c>
      <c r="BO43" s="816">
        <v>0</v>
      </c>
      <c r="BP43" s="816">
        <v>0</v>
      </c>
      <c r="BQ43" s="816">
        <v>0</v>
      </c>
      <c r="BR43" s="816">
        <v>0</v>
      </c>
      <c r="BS43" s="816">
        <v>0</v>
      </c>
      <c r="BT43" s="816">
        <v>0</v>
      </c>
      <c r="BU43" s="816">
        <v>0</v>
      </c>
      <c r="BV43" s="816">
        <v>0</v>
      </c>
      <c r="BW43" s="816">
        <v>0</v>
      </c>
      <c r="BX43" s="816">
        <v>0</v>
      </c>
      <c r="BY43" s="816">
        <v>0</v>
      </c>
      <c r="BZ43" s="816">
        <v>0</v>
      </c>
      <c r="CA43" s="816">
        <v>0</v>
      </c>
      <c r="CB43" s="816">
        <v>0</v>
      </c>
      <c r="CC43" s="816">
        <v>0</v>
      </c>
      <c r="CD43" s="816">
        <v>0</v>
      </c>
      <c r="CE43" s="816">
        <v>0</v>
      </c>
      <c r="CF43" s="816">
        <v>0</v>
      </c>
      <c r="CG43" s="816">
        <v>0</v>
      </c>
      <c r="CH43" s="816">
        <v>0</v>
      </c>
      <c r="CI43" s="816">
        <v>0</v>
      </c>
      <c r="CJ43" s="816">
        <v>0</v>
      </c>
      <c r="CK43" s="816">
        <v>0</v>
      </c>
      <c r="CL43" s="816">
        <v>0</v>
      </c>
      <c r="CM43" s="816">
        <v>0</v>
      </c>
      <c r="CN43" s="816">
        <v>0</v>
      </c>
      <c r="CO43" s="816">
        <v>0</v>
      </c>
      <c r="CP43" s="816">
        <v>0</v>
      </c>
      <c r="CQ43" s="816">
        <v>0</v>
      </c>
      <c r="CR43" s="816">
        <v>0</v>
      </c>
      <c r="CS43" s="816">
        <v>0</v>
      </c>
      <c r="CT43" s="816">
        <v>0</v>
      </c>
      <c r="CU43" s="816">
        <v>0</v>
      </c>
      <c r="CV43" s="816">
        <v>0</v>
      </c>
      <c r="CW43" s="816">
        <v>0</v>
      </c>
      <c r="CX43" s="816">
        <v>0</v>
      </c>
      <c r="CY43" s="816">
        <v>0</v>
      </c>
      <c r="CZ43" s="816">
        <v>0</v>
      </c>
      <c r="DA43" s="816">
        <v>0</v>
      </c>
      <c r="DB43" s="816">
        <v>0</v>
      </c>
      <c r="DC43" s="816">
        <v>0</v>
      </c>
      <c r="DE43" s="816" t="s">
        <v>96</v>
      </c>
      <c r="DF43" s="816">
        <f t="shared" si="9"/>
        <v>0</v>
      </c>
      <c r="DG43" s="816" t="s">
        <v>97</v>
      </c>
      <c r="DH43" s="816">
        <f t="shared" si="10"/>
        <v>0</v>
      </c>
      <c r="DI43" s="816" t="s">
        <v>98</v>
      </c>
      <c r="DJ43" s="816">
        <f t="shared" si="11"/>
        <v>0</v>
      </c>
      <c r="DK43" s="816" t="s">
        <v>99</v>
      </c>
      <c r="DL43" s="816">
        <f t="shared" si="12"/>
        <v>0</v>
      </c>
      <c r="DM43" s="816" t="s">
        <v>100</v>
      </c>
      <c r="DN43" s="816">
        <f t="shared" si="13"/>
        <v>0</v>
      </c>
      <c r="DO43" s="816" t="s">
        <v>101</v>
      </c>
      <c r="DP43" s="816">
        <f t="shared" si="14"/>
        <v>0</v>
      </c>
    </row>
    <row r="44" spans="1:120">
      <c r="A44" s="815">
        <v>11</v>
      </c>
      <c r="B44" s="815" t="str">
        <f t="shared" si="15"/>
        <v>11ENGLISH</v>
      </c>
      <c r="C44" s="815">
        <f>VLOOKUP(A44,DATEWISE!$A$3:$BY$27,2,0)</f>
        <v>0</v>
      </c>
      <c r="D44" s="815">
        <f>VLOOKUP(A44,DATEWISE!$A$3:$BY$27,3,0)</f>
        <v>0</v>
      </c>
      <c r="E44" s="815">
        <f>VLOOKUP(A44,DATEWISE!$A$3:$BY$27,4,0)</f>
        <v>0</v>
      </c>
      <c r="F44" s="815" t="str">
        <f t="shared" si="8"/>
        <v>0ENGLISH</v>
      </c>
      <c r="G44" s="815" t="s">
        <v>89</v>
      </c>
      <c r="H44" s="816">
        <v>0</v>
      </c>
      <c r="I44" s="816">
        <v>0</v>
      </c>
      <c r="J44" s="816">
        <v>0</v>
      </c>
      <c r="K44" s="816">
        <v>0</v>
      </c>
      <c r="L44" s="816">
        <v>0</v>
      </c>
      <c r="M44" s="816">
        <v>0</v>
      </c>
      <c r="N44" s="816">
        <v>0</v>
      </c>
      <c r="O44" s="816">
        <v>0</v>
      </c>
      <c r="P44" s="816">
        <v>0</v>
      </c>
      <c r="Q44" s="816">
        <v>0</v>
      </c>
      <c r="R44" s="816">
        <v>0</v>
      </c>
      <c r="S44" s="816">
        <v>0</v>
      </c>
      <c r="T44" s="816">
        <v>0</v>
      </c>
      <c r="U44" s="816">
        <v>0</v>
      </c>
      <c r="V44" s="816">
        <v>0</v>
      </c>
      <c r="W44" s="816">
        <v>0</v>
      </c>
      <c r="X44" s="816">
        <v>0</v>
      </c>
      <c r="Y44" s="816">
        <v>0</v>
      </c>
      <c r="Z44" s="816">
        <v>0</v>
      </c>
      <c r="AA44" s="816">
        <v>0</v>
      </c>
      <c r="AB44" s="816">
        <v>0</v>
      </c>
      <c r="AC44" s="816">
        <v>0</v>
      </c>
      <c r="AD44" s="816">
        <v>0</v>
      </c>
      <c r="AE44" s="816">
        <v>0</v>
      </c>
      <c r="AF44" s="816">
        <v>0</v>
      </c>
      <c r="AG44" s="816">
        <v>0</v>
      </c>
      <c r="AH44" s="816">
        <v>0</v>
      </c>
      <c r="AI44" s="816">
        <v>0</v>
      </c>
      <c r="AJ44" s="816">
        <v>0</v>
      </c>
      <c r="AK44" s="816">
        <v>0</v>
      </c>
      <c r="AL44" s="816">
        <v>0</v>
      </c>
      <c r="AM44" s="816">
        <v>0</v>
      </c>
      <c r="AN44" s="816">
        <v>0</v>
      </c>
      <c r="AO44" s="816">
        <v>0</v>
      </c>
      <c r="AP44" s="816">
        <v>0</v>
      </c>
      <c r="AQ44" s="816">
        <v>0</v>
      </c>
      <c r="AR44" s="816">
        <v>0</v>
      </c>
      <c r="AS44" s="816">
        <v>0</v>
      </c>
      <c r="AT44" s="816">
        <v>0</v>
      </c>
      <c r="AU44" s="816">
        <v>0</v>
      </c>
      <c r="AV44" s="816">
        <v>0</v>
      </c>
      <c r="AW44" s="816">
        <v>0</v>
      </c>
      <c r="AX44" s="816">
        <v>0</v>
      </c>
      <c r="AY44" s="816">
        <v>0</v>
      </c>
      <c r="AZ44" s="816">
        <v>0</v>
      </c>
      <c r="BA44" s="816">
        <v>0</v>
      </c>
      <c r="BB44" s="816">
        <v>0</v>
      </c>
      <c r="BC44" s="816">
        <v>0</v>
      </c>
      <c r="BD44" s="816">
        <v>0</v>
      </c>
      <c r="BE44" s="816">
        <v>0</v>
      </c>
      <c r="BF44" s="816">
        <v>0</v>
      </c>
      <c r="BG44" s="816">
        <v>0</v>
      </c>
      <c r="BH44" s="816">
        <v>0</v>
      </c>
      <c r="BI44" s="816">
        <v>0</v>
      </c>
      <c r="BJ44" s="816">
        <v>0</v>
      </c>
      <c r="BK44" s="816">
        <v>0</v>
      </c>
      <c r="BL44" s="816">
        <v>0</v>
      </c>
      <c r="BM44" s="816">
        <v>0</v>
      </c>
      <c r="BN44" s="816">
        <v>0</v>
      </c>
      <c r="BO44" s="816">
        <v>0</v>
      </c>
      <c r="BP44" s="816">
        <v>0</v>
      </c>
      <c r="BQ44" s="816">
        <v>0</v>
      </c>
      <c r="BR44" s="816">
        <v>0</v>
      </c>
      <c r="BS44" s="816">
        <v>0</v>
      </c>
      <c r="BT44" s="816">
        <v>0</v>
      </c>
      <c r="BU44" s="816">
        <v>0</v>
      </c>
      <c r="BV44" s="816">
        <v>0</v>
      </c>
      <c r="BW44" s="816">
        <v>0</v>
      </c>
      <c r="BX44" s="816">
        <v>0</v>
      </c>
      <c r="BY44" s="816">
        <v>0</v>
      </c>
      <c r="BZ44" s="816">
        <v>0</v>
      </c>
      <c r="CA44" s="816">
        <v>0</v>
      </c>
      <c r="CB44" s="816">
        <v>0</v>
      </c>
      <c r="CC44" s="816">
        <v>0</v>
      </c>
      <c r="CD44" s="816">
        <v>0</v>
      </c>
      <c r="CE44" s="816">
        <v>0</v>
      </c>
      <c r="CF44" s="816">
        <v>0</v>
      </c>
      <c r="CG44" s="816">
        <v>0</v>
      </c>
      <c r="CH44" s="816">
        <v>0</v>
      </c>
      <c r="CI44" s="816">
        <v>0</v>
      </c>
      <c r="CJ44" s="816">
        <v>0</v>
      </c>
      <c r="CK44" s="816">
        <v>0</v>
      </c>
      <c r="CL44" s="816">
        <v>0</v>
      </c>
      <c r="CM44" s="816">
        <v>0</v>
      </c>
      <c r="CN44" s="816">
        <v>0</v>
      </c>
      <c r="CO44" s="816">
        <v>0</v>
      </c>
      <c r="CP44" s="816">
        <v>0</v>
      </c>
      <c r="CQ44" s="816">
        <v>0</v>
      </c>
      <c r="CR44" s="816">
        <v>0</v>
      </c>
      <c r="CS44" s="816">
        <v>0</v>
      </c>
      <c r="CT44" s="816">
        <v>0</v>
      </c>
      <c r="CU44" s="816">
        <v>0</v>
      </c>
      <c r="CV44" s="816">
        <v>0</v>
      </c>
      <c r="CW44" s="816">
        <v>0</v>
      </c>
      <c r="CX44" s="816">
        <v>0</v>
      </c>
      <c r="CY44" s="816">
        <v>0</v>
      </c>
      <c r="CZ44" s="816">
        <v>0</v>
      </c>
      <c r="DA44" s="816">
        <v>0</v>
      </c>
      <c r="DB44" s="816">
        <v>0</v>
      </c>
      <c r="DC44" s="816">
        <v>0</v>
      </c>
      <c r="DE44" s="816" t="s">
        <v>96</v>
      </c>
      <c r="DF44" s="816">
        <f t="shared" si="9"/>
        <v>0</v>
      </c>
      <c r="DG44" s="816" t="s">
        <v>97</v>
      </c>
      <c r="DH44" s="816">
        <f t="shared" si="10"/>
        <v>0</v>
      </c>
      <c r="DI44" s="816" t="s">
        <v>98</v>
      </c>
      <c r="DJ44" s="816">
        <f t="shared" si="11"/>
        <v>0</v>
      </c>
      <c r="DK44" s="816" t="s">
        <v>99</v>
      </c>
      <c r="DL44" s="816">
        <f t="shared" si="12"/>
        <v>0</v>
      </c>
      <c r="DM44" s="816" t="s">
        <v>100</v>
      </c>
      <c r="DN44" s="816">
        <f t="shared" si="13"/>
        <v>0</v>
      </c>
      <c r="DO44" s="816" t="s">
        <v>101</v>
      </c>
      <c r="DP44" s="816">
        <f t="shared" si="14"/>
        <v>0</v>
      </c>
    </row>
    <row r="45" spans="1:120">
      <c r="A45" s="815">
        <v>11</v>
      </c>
      <c r="B45" s="815" t="str">
        <f t="shared" si="15"/>
        <v>11MATHS</v>
      </c>
      <c r="C45" s="815">
        <f>VLOOKUP(A45,DATEWISE!$A$3:$BY$27,2,0)</f>
        <v>0</v>
      </c>
      <c r="D45" s="815">
        <f>VLOOKUP(A45,DATEWISE!$A$3:$BY$27,3,0)</f>
        <v>0</v>
      </c>
      <c r="E45" s="815">
        <f>VLOOKUP(A45,DATEWISE!$A$3:$BY$27,4,0)</f>
        <v>0</v>
      </c>
      <c r="F45" s="815" t="str">
        <f t="shared" si="8"/>
        <v>0MATHS</v>
      </c>
      <c r="G45" s="815" t="s">
        <v>88</v>
      </c>
      <c r="H45" s="816">
        <v>0</v>
      </c>
      <c r="I45" s="816">
        <v>0</v>
      </c>
      <c r="J45" s="816">
        <v>0</v>
      </c>
      <c r="K45" s="816">
        <v>0</v>
      </c>
      <c r="L45" s="816">
        <v>0</v>
      </c>
      <c r="M45" s="816">
        <v>0</v>
      </c>
      <c r="N45" s="816">
        <v>0</v>
      </c>
      <c r="O45" s="816">
        <v>0</v>
      </c>
      <c r="P45" s="816">
        <v>0</v>
      </c>
      <c r="Q45" s="816">
        <v>0</v>
      </c>
      <c r="R45" s="816">
        <v>0</v>
      </c>
      <c r="S45" s="816">
        <v>0</v>
      </c>
      <c r="T45" s="816">
        <v>0</v>
      </c>
      <c r="U45" s="816">
        <v>0</v>
      </c>
      <c r="V45" s="816">
        <v>0</v>
      </c>
      <c r="W45" s="816">
        <v>0</v>
      </c>
      <c r="X45" s="816">
        <v>0</v>
      </c>
      <c r="Y45" s="816">
        <v>0</v>
      </c>
      <c r="Z45" s="816">
        <v>0</v>
      </c>
      <c r="AA45" s="816">
        <v>0</v>
      </c>
      <c r="AB45" s="816">
        <v>0</v>
      </c>
      <c r="AC45" s="816">
        <v>0</v>
      </c>
      <c r="AD45" s="816">
        <v>0</v>
      </c>
      <c r="AE45" s="816">
        <v>0</v>
      </c>
      <c r="AF45" s="816">
        <v>0</v>
      </c>
      <c r="AG45" s="816">
        <v>0</v>
      </c>
      <c r="AH45" s="816">
        <v>0</v>
      </c>
      <c r="AI45" s="816">
        <v>0</v>
      </c>
      <c r="AJ45" s="816">
        <v>0</v>
      </c>
      <c r="AK45" s="816">
        <v>0</v>
      </c>
      <c r="AL45" s="816">
        <v>0</v>
      </c>
      <c r="AM45" s="816">
        <v>0</v>
      </c>
      <c r="AN45" s="816">
        <v>0</v>
      </c>
      <c r="AO45" s="816">
        <v>0</v>
      </c>
      <c r="AP45" s="816">
        <v>0</v>
      </c>
      <c r="AQ45" s="816">
        <v>0</v>
      </c>
      <c r="AR45" s="816">
        <v>0</v>
      </c>
      <c r="AS45" s="816">
        <v>0</v>
      </c>
      <c r="AT45" s="816">
        <v>0</v>
      </c>
      <c r="AU45" s="816">
        <v>0</v>
      </c>
      <c r="AV45" s="816">
        <v>0</v>
      </c>
      <c r="AW45" s="816">
        <v>0</v>
      </c>
      <c r="AX45" s="816">
        <v>0</v>
      </c>
      <c r="AY45" s="816">
        <v>0</v>
      </c>
      <c r="AZ45" s="816">
        <v>0</v>
      </c>
      <c r="BA45" s="816">
        <v>0</v>
      </c>
      <c r="BB45" s="816">
        <v>0</v>
      </c>
      <c r="BC45" s="816">
        <v>0</v>
      </c>
      <c r="BD45" s="816">
        <v>0</v>
      </c>
      <c r="BE45" s="816">
        <v>0</v>
      </c>
      <c r="BF45" s="816">
        <v>0</v>
      </c>
      <c r="BG45" s="816">
        <v>0</v>
      </c>
      <c r="BH45" s="816">
        <v>0</v>
      </c>
      <c r="BI45" s="816">
        <v>0</v>
      </c>
      <c r="BJ45" s="816">
        <v>0</v>
      </c>
      <c r="BK45" s="816">
        <v>0</v>
      </c>
      <c r="BL45" s="816">
        <v>0</v>
      </c>
      <c r="BM45" s="816">
        <v>0</v>
      </c>
      <c r="BN45" s="816">
        <v>0</v>
      </c>
      <c r="BO45" s="816">
        <v>0</v>
      </c>
      <c r="BP45" s="816">
        <v>0</v>
      </c>
      <c r="BQ45" s="816">
        <v>0</v>
      </c>
      <c r="BR45" s="816">
        <v>0</v>
      </c>
      <c r="BS45" s="816">
        <v>0</v>
      </c>
      <c r="BT45" s="816">
        <v>0</v>
      </c>
      <c r="BU45" s="816">
        <v>0</v>
      </c>
      <c r="BV45" s="816">
        <v>0</v>
      </c>
      <c r="BW45" s="816">
        <v>0</v>
      </c>
      <c r="BX45" s="816">
        <v>0</v>
      </c>
      <c r="BY45" s="816">
        <v>0</v>
      </c>
      <c r="BZ45" s="816">
        <v>0</v>
      </c>
      <c r="CA45" s="816">
        <v>0</v>
      </c>
      <c r="CB45" s="816">
        <v>0</v>
      </c>
      <c r="CC45" s="816">
        <v>0</v>
      </c>
      <c r="CD45" s="816">
        <v>0</v>
      </c>
      <c r="CE45" s="816">
        <v>0</v>
      </c>
      <c r="CF45" s="816">
        <v>0</v>
      </c>
      <c r="CG45" s="816">
        <v>0</v>
      </c>
      <c r="CH45" s="816">
        <v>0</v>
      </c>
      <c r="CI45" s="816">
        <v>0</v>
      </c>
      <c r="CJ45" s="816">
        <v>0</v>
      </c>
      <c r="CK45" s="816">
        <v>0</v>
      </c>
      <c r="CL45" s="816">
        <v>0</v>
      </c>
      <c r="CM45" s="816">
        <v>0</v>
      </c>
      <c r="CN45" s="816">
        <v>0</v>
      </c>
      <c r="CO45" s="816">
        <v>0</v>
      </c>
      <c r="CP45" s="816">
        <v>0</v>
      </c>
      <c r="CQ45" s="816">
        <v>0</v>
      </c>
      <c r="CR45" s="816">
        <v>0</v>
      </c>
      <c r="CS45" s="816">
        <v>0</v>
      </c>
      <c r="CT45" s="816">
        <v>0</v>
      </c>
      <c r="CU45" s="816">
        <v>0</v>
      </c>
      <c r="CV45" s="816">
        <v>0</v>
      </c>
      <c r="CW45" s="816">
        <v>0</v>
      </c>
      <c r="CX45" s="816">
        <v>0</v>
      </c>
      <c r="CY45" s="816">
        <v>0</v>
      </c>
      <c r="CZ45" s="816">
        <v>0</v>
      </c>
      <c r="DA45" s="816">
        <v>0</v>
      </c>
      <c r="DB45" s="816">
        <v>0</v>
      </c>
      <c r="DC45" s="816">
        <v>0</v>
      </c>
      <c r="DE45" s="816" t="s">
        <v>96</v>
      </c>
      <c r="DF45" s="816">
        <f t="shared" si="9"/>
        <v>0</v>
      </c>
      <c r="DG45" s="816" t="s">
        <v>97</v>
      </c>
      <c r="DH45" s="816">
        <f t="shared" si="10"/>
        <v>0</v>
      </c>
      <c r="DI45" s="816" t="s">
        <v>98</v>
      </c>
      <c r="DJ45" s="816">
        <f t="shared" si="11"/>
        <v>0</v>
      </c>
      <c r="DK45" s="816" t="s">
        <v>99</v>
      </c>
      <c r="DL45" s="816">
        <f t="shared" si="12"/>
        <v>0</v>
      </c>
      <c r="DM45" s="816" t="s">
        <v>100</v>
      </c>
      <c r="DN45" s="816">
        <f t="shared" si="13"/>
        <v>0</v>
      </c>
      <c r="DO45" s="816" t="s">
        <v>101</v>
      </c>
      <c r="DP45" s="816">
        <f t="shared" si="14"/>
        <v>0</v>
      </c>
    </row>
    <row r="46" spans="1:120">
      <c r="A46" s="815">
        <v>11</v>
      </c>
      <c r="B46" s="815" t="str">
        <f t="shared" si="15"/>
        <v>11REMARKS</v>
      </c>
      <c r="C46" s="815">
        <f>VLOOKUP(A46,DATEWISE!$A$3:$BY$27,2,0)</f>
        <v>0</v>
      </c>
      <c r="D46" s="815">
        <f>VLOOKUP(A46,DATEWISE!$A$3:$BY$27,3,0)</f>
        <v>0</v>
      </c>
      <c r="E46" s="815">
        <f>VLOOKUP(A46,DATEWISE!$A$3:$BY$27,4,0)</f>
        <v>0</v>
      </c>
      <c r="F46" s="815" t="str">
        <f t="shared" si="8"/>
        <v>0REMARKS</v>
      </c>
      <c r="G46" s="815" t="s">
        <v>390</v>
      </c>
      <c r="H46" s="816">
        <v>0</v>
      </c>
      <c r="I46" s="816">
        <v>0</v>
      </c>
      <c r="J46" s="816">
        <v>0</v>
      </c>
      <c r="K46" s="816">
        <v>0</v>
      </c>
      <c r="L46" s="816">
        <v>0</v>
      </c>
      <c r="M46" s="816">
        <v>0</v>
      </c>
      <c r="N46" s="816">
        <v>0</v>
      </c>
      <c r="O46" s="816">
        <v>0</v>
      </c>
      <c r="P46" s="816">
        <v>0</v>
      </c>
      <c r="Q46" s="816">
        <v>0</v>
      </c>
      <c r="R46" s="816">
        <v>0</v>
      </c>
      <c r="S46" s="816">
        <v>0</v>
      </c>
      <c r="T46" s="816">
        <v>0</v>
      </c>
      <c r="U46" s="816">
        <v>0</v>
      </c>
      <c r="V46" s="816">
        <v>0</v>
      </c>
      <c r="W46" s="816">
        <v>0</v>
      </c>
      <c r="X46" s="816">
        <v>0</v>
      </c>
      <c r="Y46" s="816">
        <v>0</v>
      </c>
      <c r="Z46" s="816">
        <v>0</v>
      </c>
      <c r="AA46" s="816">
        <v>0</v>
      </c>
      <c r="AB46" s="816">
        <v>0</v>
      </c>
      <c r="AC46" s="816">
        <v>0</v>
      </c>
      <c r="AD46" s="816">
        <v>0</v>
      </c>
      <c r="AE46" s="816">
        <v>0</v>
      </c>
      <c r="AF46" s="816">
        <v>0</v>
      </c>
      <c r="AG46" s="816">
        <v>0</v>
      </c>
      <c r="AH46" s="816">
        <v>0</v>
      </c>
      <c r="AI46" s="816">
        <v>0</v>
      </c>
      <c r="AJ46" s="816">
        <v>0</v>
      </c>
      <c r="AK46" s="816">
        <v>0</v>
      </c>
      <c r="AL46" s="816">
        <v>0</v>
      </c>
      <c r="AM46" s="816">
        <v>0</v>
      </c>
      <c r="AN46" s="816">
        <v>0</v>
      </c>
      <c r="AO46" s="816">
        <v>0</v>
      </c>
      <c r="AP46" s="816">
        <v>0</v>
      </c>
      <c r="AQ46" s="816">
        <v>0</v>
      </c>
      <c r="AR46" s="816">
        <v>0</v>
      </c>
      <c r="AS46" s="816">
        <v>0</v>
      </c>
      <c r="AT46" s="816">
        <v>0</v>
      </c>
      <c r="AU46" s="816">
        <v>0</v>
      </c>
      <c r="AV46" s="816">
        <v>0</v>
      </c>
      <c r="AW46" s="816">
        <v>0</v>
      </c>
      <c r="AX46" s="816">
        <v>0</v>
      </c>
      <c r="AY46" s="816">
        <v>0</v>
      </c>
      <c r="AZ46" s="816">
        <v>0</v>
      </c>
      <c r="BA46" s="816">
        <v>0</v>
      </c>
      <c r="BB46" s="816">
        <v>0</v>
      </c>
      <c r="BC46" s="816">
        <v>0</v>
      </c>
      <c r="BD46" s="816">
        <v>0</v>
      </c>
      <c r="BE46" s="816">
        <v>0</v>
      </c>
      <c r="BF46" s="816">
        <v>0</v>
      </c>
      <c r="BG46" s="816">
        <v>0</v>
      </c>
      <c r="BH46" s="816">
        <v>0</v>
      </c>
      <c r="BI46" s="816">
        <v>0</v>
      </c>
      <c r="BJ46" s="816">
        <v>0</v>
      </c>
      <c r="BK46" s="816">
        <v>0</v>
      </c>
      <c r="BL46" s="816">
        <v>0</v>
      </c>
      <c r="BM46" s="816">
        <v>0</v>
      </c>
      <c r="BN46" s="816">
        <v>0</v>
      </c>
      <c r="BO46" s="816">
        <v>0</v>
      </c>
      <c r="BP46" s="816">
        <v>0</v>
      </c>
      <c r="BQ46" s="816">
        <v>0</v>
      </c>
      <c r="BR46" s="816">
        <v>0</v>
      </c>
      <c r="BS46" s="816">
        <v>0</v>
      </c>
      <c r="BT46" s="816">
        <v>0</v>
      </c>
      <c r="BU46" s="816">
        <v>0</v>
      </c>
      <c r="BV46" s="816">
        <v>0</v>
      </c>
      <c r="BW46" s="816">
        <v>0</v>
      </c>
      <c r="BX46" s="816">
        <v>0</v>
      </c>
      <c r="BY46" s="816">
        <v>0</v>
      </c>
      <c r="BZ46" s="816">
        <v>0</v>
      </c>
      <c r="CA46" s="816">
        <v>0</v>
      </c>
      <c r="CB46" s="816">
        <v>0</v>
      </c>
      <c r="CC46" s="816">
        <v>0</v>
      </c>
      <c r="CD46" s="816">
        <v>0</v>
      </c>
      <c r="CE46" s="816">
        <v>0</v>
      </c>
      <c r="CF46" s="816">
        <v>0</v>
      </c>
      <c r="CG46" s="816">
        <v>0</v>
      </c>
      <c r="CH46" s="816">
        <v>0</v>
      </c>
      <c r="CI46" s="816">
        <v>0</v>
      </c>
      <c r="CJ46" s="816">
        <v>0</v>
      </c>
      <c r="CK46" s="816">
        <v>0</v>
      </c>
      <c r="CL46" s="816">
        <v>0</v>
      </c>
      <c r="CM46" s="816">
        <v>0</v>
      </c>
      <c r="CN46" s="816">
        <v>0</v>
      </c>
      <c r="CO46" s="816">
        <v>0</v>
      </c>
      <c r="CP46" s="816">
        <v>0</v>
      </c>
      <c r="CQ46" s="816">
        <v>0</v>
      </c>
      <c r="CR46" s="816">
        <v>0</v>
      </c>
      <c r="CS46" s="816">
        <v>0</v>
      </c>
      <c r="CT46" s="816">
        <v>0</v>
      </c>
      <c r="CU46" s="816">
        <v>0</v>
      </c>
      <c r="CV46" s="816">
        <v>0</v>
      </c>
      <c r="CW46" s="816">
        <v>0</v>
      </c>
      <c r="CX46" s="816">
        <v>0</v>
      </c>
      <c r="CY46" s="816">
        <v>0</v>
      </c>
      <c r="CZ46" s="816">
        <v>0</v>
      </c>
      <c r="DA46" s="816">
        <v>0</v>
      </c>
      <c r="DB46" s="816">
        <v>0</v>
      </c>
      <c r="DC46" s="816">
        <v>0</v>
      </c>
      <c r="DE46" s="816" t="s">
        <v>96</v>
      </c>
      <c r="DF46" s="816">
        <f t="shared" si="9"/>
        <v>0</v>
      </c>
      <c r="DG46" s="816" t="s">
        <v>97</v>
      </c>
      <c r="DH46" s="816">
        <f t="shared" si="10"/>
        <v>0</v>
      </c>
      <c r="DI46" s="816" t="s">
        <v>98</v>
      </c>
      <c r="DJ46" s="816">
        <f t="shared" si="11"/>
        <v>0</v>
      </c>
      <c r="DK46" s="816" t="s">
        <v>99</v>
      </c>
      <c r="DL46" s="816">
        <f t="shared" si="12"/>
        <v>0</v>
      </c>
      <c r="DM46" s="816" t="s">
        <v>100</v>
      </c>
      <c r="DN46" s="816">
        <f t="shared" si="13"/>
        <v>0</v>
      </c>
      <c r="DO46" s="816" t="s">
        <v>101</v>
      </c>
      <c r="DP46" s="816">
        <f t="shared" si="14"/>
        <v>0</v>
      </c>
    </row>
    <row r="47" spans="1:120">
      <c r="A47" s="815">
        <v>12</v>
      </c>
      <c r="B47" s="815" t="str">
        <f t="shared" si="15"/>
        <v>12HINDI</v>
      </c>
      <c r="C47" s="815">
        <f>VLOOKUP(A47,DATEWISE!$A$3:$BY$27,2,0)</f>
        <v>0</v>
      </c>
      <c r="D47" s="815">
        <f>VLOOKUP(A47,DATEWISE!$A$3:$BY$27,3,0)</f>
        <v>0</v>
      </c>
      <c r="E47" s="815">
        <f>VLOOKUP(A47,DATEWISE!$A$3:$BY$27,4,0)</f>
        <v>0</v>
      </c>
      <c r="F47" s="815" t="str">
        <f t="shared" si="8"/>
        <v>0HINDI</v>
      </c>
      <c r="G47" s="815" t="s">
        <v>87</v>
      </c>
      <c r="H47" s="816">
        <v>0</v>
      </c>
      <c r="I47" s="816">
        <v>0</v>
      </c>
      <c r="J47" s="816">
        <v>0</v>
      </c>
      <c r="K47" s="816">
        <v>0</v>
      </c>
      <c r="L47" s="816">
        <v>0</v>
      </c>
      <c r="M47" s="816">
        <v>0</v>
      </c>
      <c r="N47" s="816">
        <v>0</v>
      </c>
      <c r="O47" s="816">
        <v>0</v>
      </c>
      <c r="P47" s="816">
        <v>0</v>
      </c>
      <c r="Q47" s="816">
        <v>0</v>
      </c>
      <c r="R47" s="816">
        <v>0</v>
      </c>
      <c r="S47" s="816">
        <v>0</v>
      </c>
      <c r="T47" s="816">
        <v>0</v>
      </c>
      <c r="U47" s="816">
        <v>0</v>
      </c>
      <c r="V47" s="816">
        <v>0</v>
      </c>
      <c r="W47" s="816">
        <v>0</v>
      </c>
      <c r="X47" s="816">
        <v>0</v>
      </c>
      <c r="Y47" s="816">
        <v>0</v>
      </c>
      <c r="Z47" s="816">
        <v>0</v>
      </c>
      <c r="AA47" s="816">
        <v>0</v>
      </c>
      <c r="AB47" s="816">
        <v>0</v>
      </c>
      <c r="AC47" s="816">
        <v>0</v>
      </c>
      <c r="AD47" s="816">
        <v>0</v>
      </c>
      <c r="AE47" s="816">
        <v>0</v>
      </c>
      <c r="AF47" s="816">
        <v>0</v>
      </c>
      <c r="AG47" s="816">
        <v>0</v>
      </c>
      <c r="AH47" s="816">
        <v>0</v>
      </c>
      <c r="AI47" s="816">
        <v>0</v>
      </c>
      <c r="AJ47" s="816">
        <v>0</v>
      </c>
      <c r="AK47" s="816">
        <v>0</v>
      </c>
      <c r="AL47" s="816">
        <v>0</v>
      </c>
      <c r="AM47" s="816">
        <v>0</v>
      </c>
      <c r="AN47" s="816">
        <v>0</v>
      </c>
      <c r="AO47" s="816">
        <v>0</v>
      </c>
      <c r="AP47" s="816">
        <v>0</v>
      </c>
      <c r="AQ47" s="816">
        <v>0</v>
      </c>
      <c r="AR47" s="816">
        <v>0</v>
      </c>
      <c r="AS47" s="816">
        <v>0</v>
      </c>
      <c r="AT47" s="816">
        <v>0</v>
      </c>
      <c r="AU47" s="816">
        <v>0</v>
      </c>
      <c r="AV47" s="816">
        <v>0</v>
      </c>
      <c r="AW47" s="816">
        <v>0</v>
      </c>
      <c r="AX47" s="816">
        <v>0</v>
      </c>
      <c r="AY47" s="816">
        <v>0</v>
      </c>
      <c r="AZ47" s="816">
        <v>0</v>
      </c>
      <c r="BA47" s="816">
        <v>0</v>
      </c>
      <c r="BB47" s="816">
        <v>0</v>
      </c>
      <c r="BC47" s="816">
        <v>0</v>
      </c>
      <c r="BD47" s="816">
        <v>0</v>
      </c>
      <c r="BE47" s="816">
        <v>0</v>
      </c>
      <c r="BF47" s="816">
        <v>0</v>
      </c>
      <c r="BG47" s="816">
        <v>0</v>
      </c>
      <c r="BH47" s="816">
        <v>0</v>
      </c>
      <c r="BI47" s="816">
        <v>0</v>
      </c>
      <c r="BJ47" s="816">
        <v>0</v>
      </c>
      <c r="BK47" s="816">
        <v>0</v>
      </c>
      <c r="BL47" s="816">
        <v>0</v>
      </c>
      <c r="BM47" s="816">
        <v>0</v>
      </c>
      <c r="BN47" s="816">
        <v>0</v>
      </c>
      <c r="BO47" s="816">
        <v>0</v>
      </c>
      <c r="BP47" s="816">
        <v>0</v>
      </c>
      <c r="BQ47" s="816">
        <v>0</v>
      </c>
      <c r="BR47" s="816">
        <v>0</v>
      </c>
      <c r="BS47" s="816">
        <v>0</v>
      </c>
      <c r="BT47" s="816">
        <v>0</v>
      </c>
      <c r="BU47" s="816">
        <v>0</v>
      </c>
      <c r="BV47" s="816">
        <v>0</v>
      </c>
      <c r="BW47" s="816">
        <v>0</v>
      </c>
      <c r="BX47" s="816">
        <v>0</v>
      </c>
      <c r="BY47" s="816">
        <v>0</v>
      </c>
      <c r="BZ47" s="816">
        <v>0</v>
      </c>
      <c r="CA47" s="816">
        <v>0</v>
      </c>
      <c r="CB47" s="816">
        <v>0</v>
      </c>
      <c r="CC47" s="816">
        <v>0</v>
      </c>
      <c r="CD47" s="816">
        <v>0</v>
      </c>
      <c r="CE47" s="816">
        <v>0</v>
      </c>
      <c r="CF47" s="816">
        <v>0</v>
      </c>
      <c r="CG47" s="816">
        <v>0</v>
      </c>
      <c r="CH47" s="816">
        <v>0</v>
      </c>
      <c r="CI47" s="816">
        <v>0</v>
      </c>
      <c r="CJ47" s="816">
        <v>0</v>
      </c>
      <c r="CK47" s="816">
        <v>0</v>
      </c>
      <c r="CL47" s="816">
        <v>0</v>
      </c>
      <c r="CM47" s="816">
        <v>0</v>
      </c>
      <c r="CN47" s="816">
        <v>0</v>
      </c>
      <c r="CO47" s="816">
        <v>0</v>
      </c>
      <c r="CP47" s="816">
        <v>0</v>
      </c>
      <c r="CQ47" s="816">
        <v>0</v>
      </c>
      <c r="CR47" s="816">
        <v>0</v>
      </c>
      <c r="CS47" s="816">
        <v>0</v>
      </c>
      <c r="CT47" s="816">
        <v>0</v>
      </c>
      <c r="CU47" s="816">
        <v>0</v>
      </c>
      <c r="CV47" s="816">
        <v>0</v>
      </c>
      <c r="CW47" s="816">
        <v>0</v>
      </c>
      <c r="CX47" s="816">
        <v>0</v>
      </c>
      <c r="CY47" s="816">
        <v>0</v>
      </c>
      <c r="CZ47" s="816">
        <v>0</v>
      </c>
      <c r="DA47" s="816">
        <v>0</v>
      </c>
      <c r="DB47" s="816">
        <v>0</v>
      </c>
      <c r="DC47" s="816">
        <v>0</v>
      </c>
      <c r="DE47" s="816" t="s">
        <v>96</v>
      </c>
      <c r="DF47" s="816">
        <f t="shared" si="9"/>
        <v>0</v>
      </c>
      <c r="DG47" s="816" t="s">
        <v>97</v>
      </c>
      <c r="DH47" s="816">
        <f t="shared" si="10"/>
        <v>0</v>
      </c>
      <c r="DI47" s="816" t="s">
        <v>98</v>
      </c>
      <c r="DJ47" s="816">
        <f t="shared" si="11"/>
        <v>0</v>
      </c>
      <c r="DK47" s="816" t="s">
        <v>99</v>
      </c>
      <c r="DL47" s="816">
        <f t="shared" si="12"/>
        <v>0</v>
      </c>
      <c r="DM47" s="816" t="s">
        <v>100</v>
      </c>
      <c r="DN47" s="816">
        <f t="shared" si="13"/>
        <v>0</v>
      </c>
      <c r="DO47" s="816" t="s">
        <v>101</v>
      </c>
      <c r="DP47" s="816">
        <f t="shared" si="14"/>
        <v>0</v>
      </c>
    </row>
    <row r="48" spans="1:120">
      <c r="A48" s="815">
        <v>12</v>
      </c>
      <c r="B48" s="815" t="str">
        <f t="shared" si="15"/>
        <v>12ENGLISH</v>
      </c>
      <c r="C48" s="815">
        <f>VLOOKUP(A48,DATEWISE!$A$3:$BY$27,2,0)</f>
        <v>0</v>
      </c>
      <c r="D48" s="815">
        <f>VLOOKUP(A48,DATEWISE!$A$3:$BY$27,3,0)</f>
        <v>0</v>
      </c>
      <c r="E48" s="815">
        <f>VLOOKUP(A48,DATEWISE!$A$3:$BY$27,4,0)</f>
        <v>0</v>
      </c>
      <c r="F48" s="815" t="str">
        <f t="shared" si="8"/>
        <v>0ENGLISH</v>
      </c>
      <c r="G48" s="815" t="s">
        <v>89</v>
      </c>
      <c r="H48" s="816">
        <v>0</v>
      </c>
      <c r="I48" s="816">
        <v>0</v>
      </c>
      <c r="J48" s="816">
        <v>0</v>
      </c>
      <c r="K48" s="816">
        <v>0</v>
      </c>
      <c r="L48" s="816">
        <v>0</v>
      </c>
      <c r="M48" s="816">
        <v>0</v>
      </c>
      <c r="N48" s="816">
        <v>0</v>
      </c>
      <c r="O48" s="816">
        <v>0</v>
      </c>
      <c r="P48" s="816">
        <v>0</v>
      </c>
      <c r="Q48" s="816">
        <v>0</v>
      </c>
      <c r="R48" s="816">
        <v>0</v>
      </c>
      <c r="S48" s="816">
        <v>0</v>
      </c>
      <c r="T48" s="816">
        <v>0</v>
      </c>
      <c r="U48" s="816">
        <v>0</v>
      </c>
      <c r="V48" s="816">
        <v>0</v>
      </c>
      <c r="W48" s="816">
        <v>0</v>
      </c>
      <c r="X48" s="816">
        <v>0</v>
      </c>
      <c r="Y48" s="816">
        <v>0</v>
      </c>
      <c r="Z48" s="816">
        <v>0</v>
      </c>
      <c r="AA48" s="816">
        <v>0</v>
      </c>
      <c r="AB48" s="816">
        <v>0</v>
      </c>
      <c r="AC48" s="816">
        <v>0</v>
      </c>
      <c r="AD48" s="816">
        <v>0</v>
      </c>
      <c r="AE48" s="816">
        <v>0</v>
      </c>
      <c r="AF48" s="816">
        <v>0</v>
      </c>
      <c r="AG48" s="816">
        <v>0</v>
      </c>
      <c r="AH48" s="816">
        <v>0</v>
      </c>
      <c r="AI48" s="816">
        <v>0</v>
      </c>
      <c r="AJ48" s="816">
        <v>0</v>
      </c>
      <c r="AK48" s="816">
        <v>0</v>
      </c>
      <c r="AL48" s="816">
        <v>0</v>
      </c>
      <c r="AM48" s="816">
        <v>0</v>
      </c>
      <c r="AN48" s="816">
        <v>0</v>
      </c>
      <c r="AO48" s="816">
        <v>0</v>
      </c>
      <c r="AP48" s="816">
        <v>0</v>
      </c>
      <c r="AQ48" s="816">
        <v>0</v>
      </c>
      <c r="AR48" s="816">
        <v>0</v>
      </c>
      <c r="AS48" s="816">
        <v>0</v>
      </c>
      <c r="AT48" s="816">
        <v>0</v>
      </c>
      <c r="AU48" s="816">
        <v>0</v>
      </c>
      <c r="AV48" s="816">
        <v>0</v>
      </c>
      <c r="AW48" s="816">
        <v>0</v>
      </c>
      <c r="AX48" s="816">
        <v>0</v>
      </c>
      <c r="AY48" s="816">
        <v>0</v>
      </c>
      <c r="AZ48" s="816">
        <v>0</v>
      </c>
      <c r="BA48" s="816">
        <v>0</v>
      </c>
      <c r="BB48" s="816">
        <v>0</v>
      </c>
      <c r="BC48" s="816">
        <v>0</v>
      </c>
      <c r="BD48" s="816">
        <v>0</v>
      </c>
      <c r="BE48" s="816">
        <v>0</v>
      </c>
      <c r="BF48" s="816">
        <v>0</v>
      </c>
      <c r="BG48" s="816">
        <v>0</v>
      </c>
      <c r="BH48" s="816">
        <v>0</v>
      </c>
      <c r="BI48" s="816">
        <v>0</v>
      </c>
      <c r="BJ48" s="816">
        <v>0</v>
      </c>
      <c r="BK48" s="816">
        <v>0</v>
      </c>
      <c r="BL48" s="816">
        <v>0</v>
      </c>
      <c r="BM48" s="816">
        <v>0</v>
      </c>
      <c r="BN48" s="816">
        <v>0</v>
      </c>
      <c r="BO48" s="816">
        <v>0</v>
      </c>
      <c r="BP48" s="816">
        <v>0</v>
      </c>
      <c r="BQ48" s="816">
        <v>0</v>
      </c>
      <c r="BR48" s="816">
        <v>0</v>
      </c>
      <c r="BS48" s="816">
        <v>0</v>
      </c>
      <c r="BT48" s="816">
        <v>0</v>
      </c>
      <c r="BU48" s="816">
        <v>0</v>
      </c>
      <c r="BV48" s="816">
        <v>0</v>
      </c>
      <c r="BW48" s="816">
        <v>0</v>
      </c>
      <c r="BX48" s="816">
        <v>0</v>
      </c>
      <c r="BY48" s="816">
        <v>0</v>
      </c>
      <c r="BZ48" s="816">
        <v>0</v>
      </c>
      <c r="CA48" s="816">
        <v>0</v>
      </c>
      <c r="CB48" s="816">
        <v>0</v>
      </c>
      <c r="CC48" s="816">
        <v>0</v>
      </c>
      <c r="CD48" s="816">
        <v>0</v>
      </c>
      <c r="CE48" s="816">
        <v>0</v>
      </c>
      <c r="CF48" s="816">
        <v>0</v>
      </c>
      <c r="CG48" s="816">
        <v>0</v>
      </c>
      <c r="CH48" s="816">
        <v>0</v>
      </c>
      <c r="CI48" s="816">
        <v>0</v>
      </c>
      <c r="CJ48" s="816">
        <v>0</v>
      </c>
      <c r="CK48" s="816">
        <v>0</v>
      </c>
      <c r="CL48" s="816">
        <v>0</v>
      </c>
      <c r="CM48" s="816">
        <v>0</v>
      </c>
      <c r="CN48" s="816">
        <v>0</v>
      </c>
      <c r="CO48" s="816">
        <v>0</v>
      </c>
      <c r="CP48" s="816">
        <v>0</v>
      </c>
      <c r="CQ48" s="816">
        <v>0</v>
      </c>
      <c r="CR48" s="816">
        <v>0</v>
      </c>
      <c r="CS48" s="816">
        <v>0</v>
      </c>
      <c r="CT48" s="816">
        <v>0</v>
      </c>
      <c r="CU48" s="816">
        <v>0</v>
      </c>
      <c r="CV48" s="816">
        <v>0</v>
      </c>
      <c r="CW48" s="816">
        <v>0</v>
      </c>
      <c r="CX48" s="816">
        <v>0</v>
      </c>
      <c r="CY48" s="816">
        <v>0</v>
      </c>
      <c r="CZ48" s="816">
        <v>0</v>
      </c>
      <c r="DA48" s="816">
        <v>0</v>
      </c>
      <c r="DB48" s="816">
        <v>0</v>
      </c>
      <c r="DC48" s="816">
        <v>0</v>
      </c>
      <c r="DE48" s="816" t="s">
        <v>96</v>
      </c>
      <c r="DF48" s="816">
        <f t="shared" si="9"/>
        <v>0</v>
      </c>
      <c r="DG48" s="816" t="s">
        <v>97</v>
      </c>
      <c r="DH48" s="816">
        <f t="shared" si="10"/>
        <v>0</v>
      </c>
      <c r="DI48" s="816" t="s">
        <v>98</v>
      </c>
      <c r="DJ48" s="816">
        <f t="shared" si="11"/>
        <v>0</v>
      </c>
      <c r="DK48" s="816" t="s">
        <v>99</v>
      </c>
      <c r="DL48" s="816">
        <f t="shared" si="12"/>
        <v>0</v>
      </c>
      <c r="DM48" s="816" t="s">
        <v>100</v>
      </c>
      <c r="DN48" s="816">
        <f t="shared" si="13"/>
        <v>0</v>
      </c>
      <c r="DO48" s="816" t="s">
        <v>101</v>
      </c>
      <c r="DP48" s="816">
        <f t="shared" si="14"/>
        <v>0</v>
      </c>
    </row>
    <row r="49" spans="1:120">
      <c r="A49" s="815">
        <v>12</v>
      </c>
      <c r="B49" s="815" t="str">
        <f t="shared" si="15"/>
        <v>12MATHS</v>
      </c>
      <c r="C49" s="815">
        <f>VLOOKUP(A49,DATEWISE!$A$3:$BY$27,2,0)</f>
        <v>0</v>
      </c>
      <c r="D49" s="815">
        <f>VLOOKUP(A49,DATEWISE!$A$3:$BY$27,3,0)</f>
        <v>0</v>
      </c>
      <c r="E49" s="815">
        <f>VLOOKUP(A49,DATEWISE!$A$3:$BY$27,4,0)</f>
        <v>0</v>
      </c>
      <c r="F49" s="815" t="str">
        <f t="shared" si="8"/>
        <v>0MATHS</v>
      </c>
      <c r="G49" s="815" t="s">
        <v>88</v>
      </c>
      <c r="H49" s="816">
        <v>0</v>
      </c>
      <c r="I49" s="816">
        <v>0</v>
      </c>
      <c r="J49" s="816">
        <v>0</v>
      </c>
      <c r="K49" s="816">
        <v>0</v>
      </c>
      <c r="L49" s="816">
        <v>0</v>
      </c>
      <c r="M49" s="816">
        <v>0</v>
      </c>
      <c r="N49" s="816">
        <v>0</v>
      </c>
      <c r="O49" s="816">
        <v>0</v>
      </c>
      <c r="P49" s="816">
        <v>0</v>
      </c>
      <c r="Q49" s="816">
        <v>0</v>
      </c>
      <c r="R49" s="816">
        <v>0</v>
      </c>
      <c r="S49" s="816">
        <v>0</v>
      </c>
      <c r="T49" s="816">
        <v>0</v>
      </c>
      <c r="U49" s="816">
        <v>0</v>
      </c>
      <c r="V49" s="816">
        <v>0</v>
      </c>
      <c r="W49" s="816">
        <v>0</v>
      </c>
      <c r="X49" s="816">
        <v>0</v>
      </c>
      <c r="Y49" s="816">
        <v>0</v>
      </c>
      <c r="Z49" s="816">
        <v>0</v>
      </c>
      <c r="AA49" s="816">
        <v>0</v>
      </c>
      <c r="AB49" s="816">
        <v>0</v>
      </c>
      <c r="AC49" s="816">
        <v>0</v>
      </c>
      <c r="AD49" s="816">
        <v>0</v>
      </c>
      <c r="AE49" s="816">
        <v>0</v>
      </c>
      <c r="AF49" s="816">
        <v>0</v>
      </c>
      <c r="AG49" s="816">
        <v>0</v>
      </c>
      <c r="AH49" s="816">
        <v>0</v>
      </c>
      <c r="AI49" s="816">
        <v>0</v>
      </c>
      <c r="AJ49" s="816">
        <v>0</v>
      </c>
      <c r="AK49" s="816">
        <v>0</v>
      </c>
      <c r="AL49" s="816">
        <v>0</v>
      </c>
      <c r="AM49" s="816">
        <v>0</v>
      </c>
      <c r="AN49" s="816">
        <v>0</v>
      </c>
      <c r="AO49" s="816">
        <v>0</v>
      </c>
      <c r="AP49" s="816">
        <v>0</v>
      </c>
      <c r="AQ49" s="816">
        <v>0</v>
      </c>
      <c r="AR49" s="816">
        <v>0</v>
      </c>
      <c r="AS49" s="816">
        <v>0</v>
      </c>
      <c r="AT49" s="816">
        <v>0</v>
      </c>
      <c r="AU49" s="816">
        <v>0</v>
      </c>
      <c r="AV49" s="816">
        <v>0</v>
      </c>
      <c r="AW49" s="816">
        <v>0</v>
      </c>
      <c r="AX49" s="816">
        <v>0</v>
      </c>
      <c r="AY49" s="816">
        <v>0</v>
      </c>
      <c r="AZ49" s="816">
        <v>0</v>
      </c>
      <c r="BA49" s="816">
        <v>0</v>
      </c>
      <c r="BB49" s="816">
        <v>0</v>
      </c>
      <c r="BC49" s="816">
        <v>0</v>
      </c>
      <c r="BD49" s="816">
        <v>0</v>
      </c>
      <c r="BE49" s="816">
        <v>0</v>
      </c>
      <c r="BF49" s="816">
        <v>0</v>
      </c>
      <c r="BG49" s="816">
        <v>0</v>
      </c>
      <c r="BH49" s="816">
        <v>0</v>
      </c>
      <c r="BI49" s="816">
        <v>0</v>
      </c>
      <c r="BJ49" s="816">
        <v>0</v>
      </c>
      <c r="BK49" s="816">
        <v>0</v>
      </c>
      <c r="BL49" s="816">
        <v>0</v>
      </c>
      <c r="BM49" s="816">
        <v>0</v>
      </c>
      <c r="BN49" s="816">
        <v>0</v>
      </c>
      <c r="BO49" s="816">
        <v>0</v>
      </c>
      <c r="BP49" s="816">
        <v>0</v>
      </c>
      <c r="BQ49" s="816">
        <v>0</v>
      </c>
      <c r="BR49" s="816">
        <v>0</v>
      </c>
      <c r="BS49" s="816">
        <v>0</v>
      </c>
      <c r="BT49" s="816">
        <v>0</v>
      </c>
      <c r="BU49" s="816">
        <v>0</v>
      </c>
      <c r="BV49" s="816">
        <v>0</v>
      </c>
      <c r="BW49" s="816">
        <v>0</v>
      </c>
      <c r="BX49" s="816">
        <v>0</v>
      </c>
      <c r="BY49" s="816">
        <v>0</v>
      </c>
      <c r="BZ49" s="816">
        <v>0</v>
      </c>
      <c r="CA49" s="816">
        <v>0</v>
      </c>
      <c r="CB49" s="816">
        <v>0</v>
      </c>
      <c r="CC49" s="816">
        <v>0</v>
      </c>
      <c r="CD49" s="816">
        <v>0</v>
      </c>
      <c r="CE49" s="816">
        <v>0</v>
      </c>
      <c r="CF49" s="816">
        <v>0</v>
      </c>
      <c r="CG49" s="816">
        <v>0</v>
      </c>
      <c r="CH49" s="816">
        <v>0</v>
      </c>
      <c r="CI49" s="816">
        <v>0</v>
      </c>
      <c r="CJ49" s="816">
        <v>0</v>
      </c>
      <c r="CK49" s="816">
        <v>0</v>
      </c>
      <c r="CL49" s="816">
        <v>0</v>
      </c>
      <c r="CM49" s="816">
        <v>0</v>
      </c>
      <c r="CN49" s="816">
        <v>0</v>
      </c>
      <c r="CO49" s="816">
        <v>0</v>
      </c>
      <c r="CP49" s="816">
        <v>0</v>
      </c>
      <c r="CQ49" s="816">
        <v>0</v>
      </c>
      <c r="CR49" s="816">
        <v>0</v>
      </c>
      <c r="CS49" s="816">
        <v>0</v>
      </c>
      <c r="CT49" s="816">
        <v>0</v>
      </c>
      <c r="CU49" s="816">
        <v>0</v>
      </c>
      <c r="CV49" s="816">
        <v>0</v>
      </c>
      <c r="CW49" s="816">
        <v>0</v>
      </c>
      <c r="CX49" s="816">
        <v>0</v>
      </c>
      <c r="CY49" s="816">
        <v>0</v>
      </c>
      <c r="CZ49" s="816">
        <v>0</v>
      </c>
      <c r="DA49" s="816">
        <v>0</v>
      </c>
      <c r="DB49" s="816">
        <v>0</v>
      </c>
      <c r="DC49" s="816">
        <v>0</v>
      </c>
      <c r="DE49" s="816" t="s">
        <v>96</v>
      </c>
      <c r="DF49" s="816">
        <f t="shared" si="9"/>
        <v>0</v>
      </c>
      <c r="DG49" s="816" t="s">
        <v>97</v>
      </c>
      <c r="DH49" s="816">
        <f t="shared" si="10"/>
        <v>0</v>
      </c>
      <c r="DI49" s="816" t="s">
        <v>98</v>
      </c>
      <c r="DJ49" s="816">
        <f t="shared" si="11"/>
        <v>0</v>
      </c>
      <c r="DK49" s="816" t="s">
        <v>99</v>
      </c>
      <c r="DL49" s="816">
        <f t="shared" si="12"/>
        <v>0</v>
      </c>
      <c r="DM49" s="816" t="s">
        <v>100</v>
      </c>
      <c r="DN49" s="816">
        <f t="shared" si="13"/>
        <v>0</v>
      </c>
      <c r="DO49" s="816" t="s">
        <v>101</v>
      </c>
      <c r="DP49" s="816">
        <f t="shared" si="14"/>
        <v>0</v>
      </c>
    </row>
    <row r="50" spans="1:120">
      <c r="A50" s="815">
        <v>12</v>
      </c>
      <c r="B50" s="815" t="str">
        <f t="shared" si="15"/>
        <v>12REMARKS</v>
      </c>
      <c r="C50" s="815">
        <f>VLOOKUP(A50,DATEWISE!$A$3:$BY$27,2,0)</f>
        <v>0</v>
      </c>
      <c r="D50" s="815">
        <f>VLOOKUP(A50,DATEWISE!$A$3:$BY$27,3,0)</f>
        <v>0</v>
      </c>
      <c r="E50" s="815">
        <f>VLOOKUP(A50,DATEWISE!$A$3:$BY$27,4,0)</f>
        <v>0</v>
      </c>
      <c r="F50" s="815" t="str">
        <f t="shared" si="8"/>
        <v>0REMARKS</v>
      </c>
      <c r="G50" s="815" t="s">
        <v>390</v>
      </c>
      <c r="H50" s="816">
        <v>0</v>
      </c>
      <c r="I50" s="816">
        <v>0</v>
      </c>
      <c r="J50" s="816">
        <v>0</v>
      </c>
      <c r="K50" s="816">
        <v>0</v>
      </c>
      <c r="L50" s="816">
        <v>0</v>
      </c>
      <c r="M50" s="816">
        <v>0</v>
      </c>
      <c r="N50" s="816">
        <v>0</v>
      </c>
      <c r="O50" s="816">
        <v>0</v>
      </c>
      <c r="P50" s="816">
        <v>0</v>
      </c>
      <c r="Q50" s="816">
        <v>0</v>
      </c>
      <c r="R50" s="816">
        <v>0</v>
      </c>
      <c r="S50" s="816">
        <v>0</v>
      </c>
      <c r="T50" s="816">
        <v>0</v>
      </c>
      <c r="U50" s="816">
        <v>0</v>
      </c>
      <c r="V50" s="816">
        <v>0</v>
      </c>
      <c r="W50" s="816">
        <v>0</v>
      </c>
      <c r="X50" s="816">
        <v>0</v>
      </c>
      <c r="Y50" s="816">
        <v>0</v>
      </c>
      <c r="Z50" s="816">
        <v>0</v>
      </c>
      <c r="AA50" s="816">
        <v>0</v>
      </c>
      <c r="AB50" s="816">
        <v>0</v>
      </c>
      <c r="AC50" s="816">
        <v>0</v>
      </c>
      <c r="AD50" s="816">
        <v>0</v>
      </c>
      <c r="AE50" s="816">
        <v>0</v>
      </c>
      <c r="AF50" s="816">
        <v>0</v>
      </c>
      <c r="AG50" s="816">
        <v>0</v>
      </c>
      <c r="AH50" s="816">
        <v>0</v>
      </c>
      <c r="AI50" s="816">
        <v>0</v>
      </c>
      <c r="AJ50" s="816">
        <v>0</v>
      </c>
      <c r="AK50" s="816">
        <v>0</v>
      </c>
      <c r="AL50" s="816">
        <v>0</v>
      </c>
      <c r="AM50" s="816">
        <v>0</v>
      </c>
      <c r="AN50" s="816">
        <v>0</v>
      </c>
      <c r="AO50" s="816">
        <v>0</v>
      </c>
      <c r="AP50" s="816">
        <v>0</v>
      </c>
      <c r="AQ50" s="816">
        <v>0</v>
      </c>
      <c r="AR50" s="816">
        <v>0</v>
      </c>
      <c r="AS50" s="816">
        <v>0</v>
      </c>
      <c r="AT50" s="816">
        <v>0</v>
      </c>
      <c r="AU50" s="816">
        <v>0</v>
      </c>
      <c r="AV50" s="816">
        <v>0</v>
      </c>
      <c r="AW50" s="816">
        <v>0</v>
      </c>
      <c r="AX50" s="816">
        <v>0</v>
      </c>
      <c r="AY50" s="816">
        <v>0</v>
      </c>
      <c r="AZ50" s="816">
        <v>0</v>
      </c>
      <c r="BA50" s="816">
        <v>0</v>
      </c>
      <c r="BB50" s="816">
        <v>0</v>
      </c>
      <c r="BC50" s="816">
        <v>0</v>
      </c>
      <c r="BD50" s="816">
        <v>0</v>
      </c>
      <c r="BE50" s="816">
        <v>0</v>
      </c>
      <c r="BF50" s="816">
        <v>0</v>
      </c>
      <c r="BG50" s="816">
        <v>0</v>
      </c>
      <c r="BH50" s="816">
        <v>0</v>
      </c>
      <c r="BI50" s="816">
        <v>0</v>
      </c>
      <c r="BJ50" s="816">
        <v>0</v>
      </c>
      <c r="BK50" s="816">
        <v>0</v>
      </c>
      <c r="BL50" s="816">
        <v>0</v>
      </c>
      <c r="BM50" s="816">
        <v>0</v>
      </c>
      <c r="BN50" s="816">
        <v>0</v>
      </c>
      <c r="BO50" s="816">
        <v>0</v>
      </c>
      <c r="BP50" s="816">
        <v>0</v>
      </c>
      <c r="BQ50" s="816">
        <v>0</v>
      </c>
      <c r="BR50" s="816">
        <v>0</v>
      </c>
      <c r="BS50" s="816">
        <v>0</v>
      </c>
      <c r="BT50" s="816">
        <v>0</v>
      </c>
      <c r="BU50" s="816">
        <v>0</v>
      </c>
      <c r="BV50" s="816">
        <v>0</v>
      </c>
      <c r="BW50" s="816">
        <v>0</v>
      </c>
      <c r="BX50" s="816">
        <v>0</v>
      </c>
      <c r="BY50" s="816">
        <v>0</v>
      </c>
      <c r="BZ50" s="816">
        <v>0</v>
      </c>
      <c r="CA50" s="816">
        <v>0</v>
      </c>
      <c r="CB50" s="816">
        <v>0</v>
      </c>
      <c r="CC50" s="816">
        <v>0</v>
      </c>
      <c r="CD50" s="816">
        <v>0</v>
      </c>
      <c r="CE50" s="816">
        <v>0</v>
      </c>
      <c r="CF50" s="816">
        <v>0</v>
      </c>
      <c r="CG50" s="816">
        <v>0</v>
      </c>
      <c r="CH50" s="816">
        <v>0</v>
      </c>
      <c r="CI50" s="816">
        <v>0</v>
      </c>
      <c r="CJ50" s="816">
        <v>0</v>
      </c>
      <c r="CK50" s="816">
        <v>0</v>
      </c>
      <c r="CL50" s="816">
        <v>0</v>
      </c>
      <c r="CM50" s="816">
        <v>0</v>
      </c>
      <c r="CN50" s="816">
        <v>0</v>
      </c>
      <c r="CO50" s="816">
        <v>0</v>
      </c>
      <c r="CP50" s="816">
        <v>0</v>
      </c>
      <c r="CQ50" s="816">
        <v>0</v>
      </c>
      <c r="CR50" s="816">
        <v>0</v>
      </c>
      <c r="CS50" s="816">
        <v>0</v>
      </c>
      <c r="CT50" s="816">
        <v>0</v>
      </c>
      <c r="CU50" s="816">
        <v>0</v>
      </c>
      <c r="CV50" s="816">
        <v>0</v>
      </c>
      <c r="CW50" s="816">
        <v>0</v>
      </c>
      <c r="CX50" s="816">
        <v>0</v>
      </c>
      <c r="CY50" s="816">
        <v>0</v>
      </c>
      <c r="CZ50" s="816">
        <v>0</v>
      </c>
      <c r="DA50" s="816">
        <v>0</v>
      </c>
      <c r="DB50" s="816">
        <v>0</v>
      </c>
      <c r="DC50" s="816">
        <v>0</v>
      </c>
      <c r="DE50" s="816" t="s">
        <v>96</v>
      </c>
      <c r="DF50" s="816">
        <f t="shared" si="9"/>
        <v>0</v>
      </c>
      <c r="DG50" s="816" t="s">
        <v>97</v>
      </c>
      <c r="DH50" s="816">
        <f t="shared" si="10"/>
        <v>0</v>
      </c>
      <c r="DI50" s="816" t="s">
        <v>98</v>
      </c>
      <c r="DJ50" s="816">
        <f t="shared" si="11"/>
        <v>0</v>
      </c>
      <c r="DK50" s="816" t="s">
        <v>99</v>
      </c>
      <c r="DL50" s="816">
        <f t="shared" si="12"/>
        <v>0</v>
      </c>
      <c r="DM50" s="816" t="s">
        <v>100</v>
      </c>
      <c r="DN50" s="816">
        <f t="shared" si="13"/>
        <v>0</v>
      </c>
      <c r="DO50" s="816" t="s">
        <v>101</v>
      </c>
      <c r="DP50" s="816">
        <f t="shared" si="14"/>
        <v>0</v>
      </c>
    </row>
    <row r="51" spans="1:120">
      <c r="A51" s="815">
        <v>13</v>
      </c>
      <c r="B51" s="815" t="str">
        <f t="shared" si="15"/>
        <v>13HINDI</v>
      </c>
      <c r="C51" s="815">
        <f>VLOOKUP(A51,DATEWISE!$A$3:$BY$27,2,0)</f>
        <v>0</v>
      </c>
      <c r="D51" s="815">
        <f>VLOOKUP(A51,DATEWISE!$A$3:$BY$27,3,0)</f>
        <v>0</v>
      </c>
      <c r="E51" s="815">
        <f>VLOOKUP(A51,DATEWISE!$A$3:$BY$27,4,0)</f>
        <v>0</v>
      </c>
      <c r="F51" s="815" t="str">
        <f t="shared" si="8"/>
        <v>0HINDI</v>
      </c>
      <c r="G51" s="815" t="s">
        <v>87</v>
      </c>
      <c r="H51" s="816">
        <v>0</v>
      </c>
      <c r="I51" s="816">
        <v>0</v>
      </c>
      <c r="J51" s="816">
        <v>0</v>
      </c>
      <c r="K51" s="816">
        <v>0</v>
      </c>
      <c r="L51" s="816">
        <v>0</v>
      </c>
      <c r="M51" s="816">
        <v>0</v>
      </c>
      <c r="N51" s="816">
        <v>0</v>
      </c>
      <c r="O51" s="816">
        <v>0</v>
      </c>
      <c r="P51" s="816">
        <v>0</v>
      </c>
      <c r="Q51" s="816">
        <v>0</v>
      </c>
      <c r="R51" s="816">
        <v>0</v>
      </c>
      <c r="S51" s="816">
        <v>0</v>
      </c>
      <c r="T51" s="816">
        <v>0</v>
      </c>
      <c r="U51" s="816">
        <v>0</v>
      </c>
      <c r="V51" s="816">
        <v>0</v>
      </c>
      <c r="W51" s="816">
        <v>0</v>
      </c>
      <c r="X51" s="816">
        <v>0</v>
      </c>
      <c r="Y51" s="816">
        <v>0</v>
      </c>
      <c r="Z51" s="816">
        <v>0</v>
      </c>
      <c r="AA51" s="816">
        <v>0</v>
      </c>
      <c r="AB51" s="816">
        <v>0</v>
      </c>
      <c r="AC51" s="816">
        <v>0</v>
      </c>
      <c r="AD51" s="816">
        <v>0</v>
      </c>
      <c r="AE51" s="816">
        <v>0</v>
      </c>
      <c r="AF51" s="816">
        <v>0</v>
      </c>
      <c r="AG51" s="816">
        <v>0</v>
      </c>
      <c r="AH51" s="816">
        <v>0</v>
      </c>
      <c r="AI51" s="816">
        <v>0</v>
      </c>
      <c r="AJ51" s="816">
        <v>0</v>
      </c>
      <c r="AK51" s="816">
        <v>0</v>
      </c>
      <c r="AL51" s="816">
        <v>0</v>
      </c>
      <c r="AM51" s="816">
        <v>0</v>
      </c>
      <c r="AN51" s="816">
        <v>0</v>
      </c>
      <c r="AO51" s="816">
        <v>0</v>
      </c>
      <c r="AP51" s="816">
        <v>0</v>
      </c>
      <c r="AQ51" s="816">
        <v>0</v>
      </c>
      <c r="AR51" s="816">
        <v>0</v>
      </c>
      <c r="AS51" s="816">
        <v>0</v>
      </c>
      <c r="AT51" s="816">
        <v>0</v>
      </c>
      <c r="AU51" s="816">
        <v>0</v>
      </c>
      <c r="AV51" s="816">
        <v>0</v>
      </c>
      <c r="AW51" s="816">
        <v>0</v>
      </c>
      <c r="AX51" s="816">
        <v>0</v>
      </c>
      <c r="AY51" s="816">
        <v>0</v>
      </c>
      <c r="AZ51" s="816">
        <v>0</v>
      </c>
      <c r="BA51" s="816">
        <v>0</v>
      </c>
      <c r="BB51" s="816">
        <v>0</v>
      </c>
      <c r="BC51" s="816">
        <v>0</v>
      </c>
      <c r="BD51" s="816">
        <v>0</v>
      </c>
      <c r="BE51" s="816">
        <v>0</v>
      </c>
      <c r="BF51" s="816">
        <v>0</v>
      </c>
      <c r="BG51" s="816">
        <v>0</v>
      </c>
      <c r="BH51" s="816">
        <v>0</v>
      </c>
      <c r="BI51" s="816">
        <v>0</v>
      </c>
      <c r="BJ51" s="816">
        <v>0</v>
      </c>
      <c r="BK51" s="816">
        <v>0</v>
      </c>
      <c r="BL51" s="816">
        <v>0</v>
      </c>
      <c r="BM51" s="816">
        <v>0</v>
      </c>
      <c r="BN51" s="816">
        <v>0</v>
      </c>
      <c r="BO51" s="816">
        <v>0</v>
      </c>
      <c r="BP51" s="816">
        <v>0</v>
      </c>
      <c r="BQ51" s="816">
        <v>0</v>
      </c>
      <c r="BR51" s="816">
        <v>0</v>
      </c>
      <c r="BS51" s="816">
        <v>0</v>
      </c>
      <c r="BT51" s="816">
        <v>0</v>
      </c>
      <c r="BU51" s="816">
        <v>0</v>
      </c>
      <c r="BV51" s="816">
        <v>0</v>
      </c>
      <c r="BW51" s="816">
        <v>0</v>
      </c>
      <c r="BX51" s="816">
        <v>0</v>
      </c>
      <c r="BY51" s="816">
        <v>0</v>
      </c>
      <c r="BZ51" s="816">
        <v>0</v>
      </c>
      <c r="CA51" s="816">
        <v>0</v>
      </c>
      <c r="CB51" s="816">
        <v>0</v>
      </c>
      <c r="CC51" s="816">
        <v>0</v>
      </c>
      <c r="CD51" s="816">
        <v>0</v>
      </c>
      <c r="CE51" s="816">
        <v>0</v>
      </c>
      <c r="CF51" s="816">
        <v>0</v>
      </c>
      <c r="CG51" s="816">
        <v>0</v>
      </c>
      <c r="CH51" s="816">
        <v>0</v>
      </c>
      <c r="CI51" s="816">
        <v>0</v>
      </c>
      <c r="CJ51" s="816">
        <v>0</v>
      </c>
      <c r="CK51" s="816">
        <v>0</v>
      </c>
      <c r="CL51" s="816">
        <v>0</v>
      </c>
      <c r="CM51" s="816">
        <v>0</v>
      </c>
      <c r="CN51" s="816">
        <v>0</v>
      </c>
      <c r="CO51" s="816">
        <v>0</v>
      </c>
      <c r="CP51" s="816">
        <v>0</v>
      </c>
      <c r="CQ51" s="816">
        <v>0</v>
      </c>
      <c r="CR51" s="816">
        <v>0</v>
      </c>
      <c r="CS51" s="816">
        <v>0</v>
      </c>
      <c r="CT51" s="816">
        <v>0</v>
      </c>
      <c r="CU51" s="816">
        <v>0</v>
      </c>
      <c r="CV51" s="816">
        <v>0</v>
      </c>
      <c r="CW51" s="816">
        <v>0</v>
      </c>
      <c r="CX51" s="816">
        <v>0</v>
      </c>
      <c r="CY51" s="816">
        <v>0</v>
      </c>
      <c r="CZ51" s="816">
        <v>0</v>
      </c>
      <c r="DA51" s="816">
        <v>0</v>
      </c>
      <c r="DB51" s="816">
        <v>0</v>
      </c>
      <c r="DC51" s="816">
        <v>0</v>
      </c>
      <c r="DE51" s="816" t="s">
        <v>96</v>
      </c>
      <c r="DF51" s="816">
        <f t="shared" si="9"/>
        <v>0</v>
      </c>
      <c r="DG51" s="816" t="s">
        <v>97</v>
      </c>
      <c r="DH51" s="816">
        <f t="shared" si="10"/>
        <v>0</v>
      </c>
      <c r="DI51" s="816" t="s">
        <v>98</v>
      </c>
      <c r="DJ51" s="816">
        <f t="shared" si="11"/>
        <v>0</v>
      </c>
      <c r="DK51" s="816" t="s">
        <v>99</v>
      </c>
      <c r="DL51" s="816">
        <f t="shared" si="12"/>
        <v>0</v>
      </c>
      <c r="DM51" s="816" t="s">
        <v>100</v>
      </c>
      <c r="DN51" s="816">
        <f t="shared" si="13"/>
        <v>0</v>
      </c>
      <c r="DO51" s="816" t="s">
        <v>101</v>
      </c>
      <c r="DP51" s="816">
        <f t="shared" si="14"/>
        <v>0</v>
      </c>
    </row>
    <row r="52" spans="1:120">
      <c r="A52" s="815">
        <v>13</v>
      </c>
      <c r="B52" s="815" t="str">
        <f t="shared" si="15"/>
        <v>13ENGLISH</v>
      </c>
      <c r="C52" s="815">
        <f>VLOOKUP(A52,DATEWISE!$A$3:$BY$27,2,0)</f>
        <v>0</v>
      </c>
      <c r="D52" s="815">
        <f>VLOOKUP(A52,DATEWISE!$A$3:$BY$27,3,0)</f>
        <v>0</v>
      </c>
      <c r="E52" s="815">
        <f>VLOOKUP(A52,DATEWISE!$A$3:$BY$27,4,0)</f>
        <v>0</v>
      </c>
      <c r="F52" s="815" t="str">
        <f t="shared" si="8"/>
        <v>0ENGLISH</v>
      </c>
      <c r="G52" s="815" t="s">
        <v>89</v>
      </c>
      <c r="H52" s="816">
        <v>0</v>
      </c>
      <c r="I52" s="816">
        <v>0</v>
      </c>
      <c r="J52" s="816">
        <v>0</v>
      </c>
      <c r="K52" s="816">
        <v>0</v>
      </c>
      <c r="L52" s="816">
        <v>0</v>
      </c>
      <c r="M52" s="816">
        <v>0</v>
      </c>
      <c r="N52" s="816">
        <v>0</v>
      </c>
      <c r="O52" s="816">
        <v>0</v>
      </c>
      <c r="P52" s="816">
        <v>0</v>
      </c>
      <c r="Q52" s="816">
        <v>0</v>
      </c>
      <c r="R52" s="816">
        <v>0</v>
      </c>
      <c r="S52" s="816">
        <v>0</v>
      </c>
      <c r="T52" s="816">
        <v>0</v>
      </c>
      <c r="U52" s="816">
        <v>0</v>
      </c>
      <c r="V52" s="816">
        <v>0</v>
      </c>
      <c r="W52" s="816">
        <v>0</v>
      </c>
      <c r="X52" s="816">
        <v>0</v>
      </c>
      <c r="Y52" s="816">
        <v>0</v>
      </c>
      <c r="Z52" s="816">
        <v>0</v>
      </c>
      <c r="AA52" s="816">
        <v>0</v>
      </c>
      <c r="AB52" s="816">
        <v>0</v>
      </c>
      <c r="AC52" s="816">
        <v>0</v>
      </c>
      <c r="AD52" s="816">
        <v>0</v>
      </c>
      <c r="AE52" s="816">
        <v>0</v>
      </c>
      <c r="AF52" s="816">
        <v>0</v>
      </c>
      <c r="AG52" s="816">
        <v>0</v>
      </c>
      <c r="AH52" s="816">
        <v>0</v>
      </c>
      <c r="AI52" s="816">
        <v>0</v>
      </c>
      <c r="AJ52" s="816">
        <v>0</v>
      </c>
      <c r="AK52" s="816">
        <v>0</v>
      </c>
      <c r="AL52" s="816">
        <v>0</v>
      </c>
      <c r="AM52" s="816">
        <v>0</v>
      </c>
      <c r="AN52" s="816">
        <v>0</v>
      </c>
      <c r="AO52" s="816">
        <v>0</v>
      </c>
      <c r="AP52" s="816">
        <v>0</v>
      </c>
      <c r="AQ52" s="816">
        <v>0</v>
      </c>
      <c r="AR52" s="816">
        <v>0</v>
      </c>
      <c r="AS52" s="816">
        <v>0</v>
      </c>
      <c r="AT52" s="816">
        <v>0</v>
      </c>
      <c r="AU52" s="816">
        <v>0</v>
      </c>
      <c r="AV52" s="816">
        <v>0</v>
      </c>
      <c r="AW52" s="816">
        <v>0</v>
      </c>
      <c r="AX52" s="816">
        <v>0</v>
      </c>
      <c r="AY52" s="816">
        <v>0</v>
      </c>
      <c r="AZ52" s="816">
        <v>0</v>
      </c>
      <c r="BA52" s="816">
        <v>0</v>
      </c>
      <c r="BB52" s="816">
        <v>0</v>
      </c>
      <c r="BC52" s="816">
        <v>0</v>
      </c>
      <c r="BD52" s="816">
        <v>0</v>
      </c>
      <c r="BE52" s="816">
        <v>0</v>
      </c>
      <c r="BF52" s="816">
        <v>0</v>
      </c>
      <c r="BG52" s="816">
        <v>0</v>
      </c>
      <c r="BH52" s="816">
        <v>0</v>
      </c>
      <c r="BI52" s="816">
        <v>0</v>
      </c>
      <c r="BJ52" s="816">
        <v>0</v>
      </c>
      <c r="BK52" s="816">
        <v>0</v>
      </c>
      <c r="BL52" s="816">
        <v>0</v>
      </c>
      <c r="BM52" s="816">
        <v>0</v>
      </c>
      <c r="BN52" s="816">
        <v>0</v>
      </c>
      <c r="BO52" s="816">
        <v>0</v>
      </c>
      <c r="BP52" s="816">
        <v>0</v>
      </c>
      <c r="BQ52" s="816">
        <v>0</v>
      </c>
      <c r="BR52" s="816">
        <v>0</v>
      </c>
      <c r="BS52" s="816">
        <v>0</v>
      </c>
      <c r="BT52" s="816">
        <v>0</v>
      </c>
      <c r="BU52" s="816">
        <v>0</v>
      </c>
      <c r="BV52" s="816">
        <v>0</v>
      </c>
      <c r="BW52" s="816">
        <v>0</v>
      </c>
      <c r="BX52" s="816">
        <v>0</v>
      </c>
      <c r="BY52" s="816">
        <v>0</v>
      </c>
      <c r="BZ52" s="816">
        <v>0</v>
      </c>
      <c r="CA52" s="816">
        <v>0</v>
      </c>
      <c r="CB52" s="816">
        <v>0</v>
      </c>
      <c r="CC52" s="816">
        <v>0</v>
      </c>
      <c r="CD52" s="816">
        <v>0</v>
      </c>
      <c r="CE52" s="816">
        <v>0</v>
      </c>
      <c r="CF52" s="816">
        <v>0</v>
      </c>
      <c r="CG52" s="816">
        <v>0</v>
      </c>
      <c r="CH52" s="816">
        <v>0</v>
      </c>
      <c r="CI52" s="816">
        <v>0</v>
      </c>
      <c r="CJ52" s="816">
        <v>0</v>
      </c>
      <c r="CK52" s="816">
        <v>0</v>
      </c>
      <c r="CL52" s="816">
        <v>0</v>
      </c>
      <c r="CM52" s="816">
        <v>0</v>
      </c>
      <c r="CN52" s="816">
        <v>0</v>
      </c>
      <c r="CO52" s="816">
        <v>0</v>
      </c>
      <c r="CP52" s="816">
        <v>0</v>
      </c>
      <c r="CQ52" s="816">
        <v>0</v>
      </c>
      <c r="CR52" s="816">
        <v>0</v>
      </c>
      <c r="CS52" s="816">
        <v>0</v>
      </c>
      <c r="CT52" s="816">
        <v>0</v>
      </c>
      <c r="CU52" s="816">
        <v>0</v>
      </c>
      <c r="CV52" s="816">
        <v>0</v>
      </c>
      <c r="CW52" s="816">
        <v>0</v>
      </c>
      <c r="CX52" s="816">
        <v>0</v>
      </c>
      <c r="CY52" s="816">
        <v>0</v>
      </c>
      <c r="CZ52" s="816">
        <v>0</v>
      </c>
      <c r="DA52" s="816">
        <v>0</v>
      </c>
      <c r="DB52" s="816">
        <v>0</v>
      </c>
      <c r="DC52" s="816">
        <v>0</v>
      </c>
      <c r="DE52" s="816" t="s">
        <v>96</v>
      </c>
      <c r="DF52" s="816">
        <f t="shared" si="9"/>
        <v>0</v>
      </c>
      <c r="DG52" s="816" t="s">
        <v>97</v>
      </c>
      <c r="DH52" s="816">
        <f t="shared" si="10"/>
        <v>0</v>
      </c>
      <c r="DI52" s="816" t="s">
        <v>98</v>
      </c>
      <c r="DJ52" s="816">
        <f t="shared" si="11"/>
        <v>0</v>
      </c>
      <c r="DK52" s="816" t="s">
        <v>99</v>
      </c>
      <c r="DL52" s="816">
        <f t="shared" si="12"/>
        <v>0</v>
      </c>
      <c r="DM52" s="816" t="s">
        <v>100</v>
      </c>
      <c r="DN52" s="816">
        <f t="shared" si="13"/>
        <v>0</v>
      </c>
      <c r="DO52" s="816" t="s">
        <v>101</v>
      </c>
      <c r="DP52" s="816">
        <f t="shared" si="14"/>
        <v>0</v>
      </c>
    </row>
    <row r="53" spans="1:120">
      <c r="A53" s="815">
        <v>13</v>
      </c>
      <c r="B53" s="815" t="str">
        <f t="shared" si="15"/>
        <v>13MATHS</v>
      </c>
      <c r="C53" s="815">
        <f>VLOOKUP(A53,DATEWISE!$A$3:$BY$27,2,0)</f>
        <v>0</v>
      </c>
      <c r="D53" s="815">
        <f>VLOOKUP(A53,DATEWISE!$A$3:$BY$27,3,0)</f>
        <v>0</v>
      </c>
      <c r="E53" s="815">
        <f>VLOOKUP(A53,DATEWISE!$A$3:$BY$27,4,0)</f>
        <v>0</v>
      </c>
      <c r="F53" s="815" t="str">
        <f t="shared" si="8"/>
        <v>0MATHS</v>
      </c>
      <c r="G53" s="815" t="s">
        <v>88</v>
      </c>
      <c r="H53" s="816">
        <v>0</v>
      </c>
      <c r="I53" s="816">
        <v>0</v>
      </c>
      <c r="J53" s="816">
        <v>0</v>
      </c>
      <c r="K53" s="816">
        <v>0</v>
      </c>
      <c r="L53" s="816">
        <v>0</v>
      </c>
      <c r="M53" s="816">
        <v>0</v>
      </c>
      <c r="N53" s="816">
        <v>0</v>
      </c>
      <c r="O53" s="816">
        <v>0</v>
      </c>
      <c r="P53" s="816">
        <v>0</v>
      </c>
      <c r="Q53" s="816">
        <v>0</v>
      </c>
      <c r="R53" s="816">
        <v>0</v>
      </c>
      <c r="S53" s="816">
        <v>0</v>
      </c>
      <c r="T53" s="816">
        <v>0</v>
      </c>
      <c r="U53" s="816">
        <v>0</v>
      </c>
      <c r="V53" s="816">
        <v>0</v>
      </c>
      <c r="W53" s="816">
        <v>0</v>
      </c>
      <c r="X53" s="816">
        <v>0</v>
      </c>
      <c r="Y53" s="816">
        <v>0</v>
      </c>
      <c r="Z53" s="816">
        <v>0</v>
      </c>
      <c r="AA53" s="816">
        <v>0</v>
      </c>
      <c r="AB53" s="816">
        <v>0</v>
      </c>
      <c r="AC53" s="816">
        <v>0</v>
      </c>
      <c r="AD53" s="816">
        <v>0</v>
      </c>
      <c r="AE53" s="816">
        <v>0</v>
      </c>
      <c r="AF53" s="816">
        <v>0</v>
      </c>
      <c r="AG53" s="816">
        <v>0</v>
      </c>
      <c r="AH53" s="816">
        <v>0</v>
      </c>
      <c r="AI53" s="816">
        <v>0</v>
      </c>
      <c r="AJ53" s="816">
        <v>0</v>
      </c>
      <c r="AK53" s="816">
        <v>0</v>
      </c>
      <c r="AL53" s="816">
        <v>0</v>
      </c>
      <c r="AM53" s="816">
        <v>0</v>
      </c>
      <c r="AN53" s="816">
        <v>0</v>
      </c>
      <c r="AO53" s="816">
        <v>0</v>
      </c>
      <c r="AP53" s="816">
        <v>0</v>
      </c>
      <c r="AQ53" s="816">
        <v>0</v>
      </c>
      <c r="AR53" s="816">
        <v>0</v>
      </c>
      <c r="AS53" s="816">
        <v>0</v>
      </c>
      <c r="AT53" s="816">
        <v>0</v>
      </c>
      <c r="AU53" s="816">
        <v>0</v>
      </c>
      <c r="AV53" s="816">
        <v>0</v>
      </c>
      <c r="AW53" s="816">
        <v>0</v>
      </c>
      <c r="AX53" s="816">
        <v>0</v>
      </c>
      <c r="AY53" s="816">
        <v>0</v>
      </c>
      <c r="AZ53" s="816">
        <v>0</v>
      </c>
      <c r="BA53" s="816">
        <v>0</v>
      </c>
      <c r="BB53" s="816">
        <v>0</v>
      </c>
      <c r="BC53" s="816">
        <v>0</v>
      </c>
      <c r="BD53" s="816">
        <v>0</v>
      </c>
      <c r="BE53" s="816">
        <v>0</v>
      </c>
      <c r="BF53" s="816">
        <v>0</v>
      </c>
      <c r="BG53" s="816">
        <v>0</v>
      </c>
      <c r="BH53" s="816">
        <v>0</v>
      </c>
      <c r="BI53" s="816">
        <v>0</v>
      </c>
      <c r="BJ53" s="816">
        <v>0</v>
      </c>
      <c r="BK53" s="816">
        <v>0</v>
      </c>
      <c r="BL53" s="816">
        <v>0</v>
      </c>
      <c r="BM53" s="816">
        <v>0</v>
      </c>
      <c r="BN53" s="816">
        <v>0</v>
      </c>
      <c r="BO53" s="816">
        <v>0</v>
      </c>
      <c r="BP53" s="816">
        <v>0</v>
      </c>
      <c r="BQ53" s="816">
        <v>0</v>
      </c>
      <c r="BR53" s="816">
        <v>0</v>
      </c>
      <c r="BS53" s="816">
        <v>0</v>
      </c>
      <c r="BT53" s="816">
        <v>0</v>
      </c>
      <c r="BU53" s="816">
        <v>0</v>
      </c>
      <c r="BV53" s="816">
        <v>0</v>
      </c>
      <c r="BW53" s="816">
        <v>0</v>
      </c>
      <c r="BX53" s="816">
        <v>0</v>
      </c>
      <c r="BY53" s="816">
        <v>0</v>
      </c>
      <c r="BZ53" s="816">
        <v>0</v>
      </c>
      <c r="CA53" s="816">
        <v>0</v>
      </c>
      <c r="CB53" s="816">
        <v>0</v>
      </c>
      <c r="CC53" s="816">
        <v>0</v>
      </c>
      <c r="CD53" s="816">
        <v>0</v>
      </c>
      <c r="CE53" s="816">
        <v>0</v>
      </c>
      <c r="CF53" s="816">
        <v>0</v>
      </c>
      <c r="CG53" s="816">
        <v>0</v>
      </c>
      <c r="CH53" s="816">
        <v>0</v>
      </c>
      <c r="CI53" s="816">
        <v>0</v>
      </c>
      <c r="CJ53" s="816">
        <v>0</v>
      </c>
      <c r="CK53" s="816">
        <v>0</v>
      </c>
      <c r="CL53" s="816">
        <v>0</v>
      </c>
      <c r="CM53" s="816">
        <v>0</v>
      </c>
      <c r="CN53" s="816">
        <v>0</v>
      </c>
      <c r="CO53" s="816">
        <v>0</v>
      </c>
      <c r="CP53" s="816">
        <v>0</v>
      </c>
      <c r="CQ53" s="816">
        <v>0</v>
      </c>
      <c r="CR53" s="816">
        <v>0</v>
      </c>
      <c r="CS53" s="816">
        <v>0</v>
      </c>
      <c r="CT53" s="816">
        <v>0</v>
      </c>
      <c r="CU53" s="816">
        <v>0</v>
      </c>
      <c r="CV53" s="816">
        <v>0</v>
      </c>
      <c r="CW53" s="816">
        <v>0</v>
      </c>
      <c r="CX53" s="816">
        <v>0</v>
      </c>
      <c r="CY53" s="816">
        <v>0</v>
      </c>
      <c r="CZ53" s="816">
        <v>0</v>
      </c>
      <c r="DA53" s="816">
        <v>0</v>
      </c>
      <c r="DB53" s="816">
        <v>0</v>
      </c>
      <c r="DC53" s="816">
        <v>0</v>
      </c>
      <c r="DE53" s="816" t="s">
        <v>96</v>
      </c>
      <c r="DF53" s="816">
        <f t="shared" si="9"/>
        <v>0</v>
      </c>
      <c r="DG53" s="816" t="s">
        <v>97</v>
      </c>
      <c r="DH53" s="816">
        <f t="shared" si="10"/>
        <v>0</v>
      </c>
      <c r="DI53" s="816" t="s">
        <v>98</v>
      </c>
      <c r="DJ53" s="816">
        <f t="shared" si="11"/>
        <v>0</v>
      </c>
      <c r="DK53" s="816" t="s">
        <v>99</v>
      </c>
      <c r="DL53" s="816">
        <f t="shared" si="12"/>
        <v>0</v>
      </c>
      <c r="DM53" s="816" t="s">
        <v>100</v>
      </c>
      <c r="DN53" s="816">
        <f t="shared" si="13"/>
        <v>0</v>
      </c>
      <c r="DO53" s="816" t="s">
        <v>101</v>
      </c>
      <c r="DP53" s="816">
        <f t="shared" si="14"/>
        <v>0</v>
      </c>
    </row>
    <row r="54" spans="1:120">
      <c r="A54" s="815">
        <v>13</v>
      </c>
      <c r="B54" s="815" t="str">
        <f t="shared" si="15"/>
        <v>13REMARKS</v>
      </c>
      <c r="C54" s="815">
        <f>VLOOKUP(A54,DATEWISE!$A$3:$BY$27,2,0)</f>
        <v>0</v>
      </c>
      <c r="D54" s="815">
        <f>VLOOKUP(A54,DATEWISE!$A$3:$BY$27,3,0)</f>
        <v>0</v>
      </c>
      <c r="E54" s="815">
        <f>VLOOKUP(A54,DATEWISE!$A$3:$BY$27,4,0)</f>
        <v>0</v>
      </c>
      <c r="F54" s="815" t="str">
        <f t="shared" si="8"/>
        <v>0REMARKS</v>
      </c>
      <c r="G54" s="815" t="s">
        <v>390</v>
      </c>
      <c r="H54" s="816">
        <v>0</v>
      </c>
      <c r="I54" s="816">
        <v>0</v>
      </c>
      <c r="J54" s="816">
        <v>0</v>
      </c>
      <c r="K54" s="816">
        <v>0</v>
      </c>
      <c r="L54" s="816">
        <v>0</v>
      </c>
      <c r="M54" s="816">
        <v>0</v>
      </c>
      <c r="N54" s="816">
        <v>0</v>
      </c>
      <c r="O54" s="816">
        <v>0</v>
      </c>
      <c r="P54" s="816">
        <v>0</v>
      </c>
      <c r="Q54" s="816">
        <v>0</v>
      </c>
      <c r="R54" s="816">
        <v>0</v>
      </c>
      <c r="S54" s="816">
        <v>0</v>
      </c>
      <c r="T54" s="816">
        <v>0</v>
      </c>
      <c r="U54" s="816">
        <v>0</v>
      </c>
      <c r="V54" s="816">
        <v>0</v>
      </c>
      <c r="W54" s="816">
        <v>0</v>
      </c>
      <c r="X54" s="816">
        <v>0</v>
      </c>
      <c r="Y54" s="816">
        <v>0</v>
      </c>
      <c r="Z54" s="816">
        <v>0</v>
      </c>
      <c r="AA54" s="816">
        <v>0</v>
      </c>
      <c r="AB54" s="816">
        <v>0</v>
      </c>
      <c r="AC54" s="816">
        <v>0</v>
      </c>
      <c r="AD54" s="816">
        <v>0</v>
      </c>
      <c r="AE54" s="816">
        <v>0</v>
      </c>
      <c r="AF54" s="816">
        <v>0</v>
      </c>
      <c r="AG54" s="816">
        <v>0</v>
      </c>
      <c r="AH54" s="816">
        <v>0</v>
      </c>
      <c r="AI54" s="816">
        <v>0</v>
      </c>
      <c r="AJ54" s="816">
        <v>0</v>
      </c>
      <c r="AK54" s="816">
        <v>0</v>
      </c>
      <c r="AL54" s="816">
        <v>0</v>
      </c>
      <c r="AM54" s="816">
        <v>0</v>
      </c>
      <c r="AN54" s="816">
        <v>0</v>
      </c>
      <c r="AO54" s="816">
        <v>0</v>
      </c>
      <c r="AP54" s="816">
        <v>0</v>
      </c>
      <c r="AQ54" s="816">
        <v>0</v>
      </c>
      <c r="AR54" s="816">
        <v>0</v>
      </c>
      <c r="AS54" s="816">
        <v>0</v>
      </c>
      <c r="AT54" s="816">
        <v>0</v>
      </c>
      <c r="AU54" s="816">
        <v>0</v>
      </c>
      <c r="AV54" s="816">
        <v>0</v>
      </c>
      <c r="AW54" s="816">
        <v>0</v>
      </c>
      <c r="AX54" s="816">
        <v>0</v>
      </c>
      <c r="AY54" s="816">
        <v>0</v>
      </c>
      <c r="AZ54" s="816">
        <v>0</v>
      </c>
      <c r="BA54" s="816">
        <v>0</v>
      </c>
      <c r="BB54" s="816">
        <v>0</v>
      </c>
      <c r="BC54" s="816">
        <v>0</v>
      </c>
      <c r="BD54" s="816">
        <v>0</v>
      </c>
      <c r="BE54" s="816">
        <v>0</v>
      </c>
      <c r="BF54" s="816">
        <v>0</v>
      </c>
      <c r="BG54" s="816">
        <v>0</v>
      </c>
      <c r="BH54" s="816">
        <v>0</v>
      </c>
      <c r="BI54" s="816">
        <v>0</v>
      </c>
      <c r="BJ54" s="816">
        <v>0</v>
      </c>
      <c r="BK54" s="816">
        <v>0</v>
      </c>
      <c r="BL54" s="816">
        <v>0</v>
      </c>
      <c r="BM54" s="816">
        <v>0</v>
      </c>
      <c r="BN54" s="816">
        <v>0</v>
      </c>
      <c r="BO54" s="816">
        <v>0</v>
      </c>
      <c r="BP54" s="816">
        <v>0</v>
      </c>
      <c r="BQ54" s="816">
        <v>0</v>
      </c>
      <c r="BR54" s="816">
        <v>0</v>
      </c>
      <c r="BS54" s="816">
        <v>0</v>
      </c>
      <c r="BT54" s="816">
        <v>0</v>
      </c>
      <c r="BU54" s="816">
        <v>0</v>
      </c>
      <c r="BV54" s="816">
        <v>0</v>
      </c>
      <c r="BW54" s="816">
        <v>0</v>
      </c>
      <c r="BX54" s="816">
        <v>0</v>
      </c>
      <c r="BY54" s="816">
        <v>0</v>
      </c>
      <c r="BZ54" s="816">
        <v>0</v>
      </c>
      <c r="CA54" s="816">
        <v>0</v>
      </c>
      <c r="CB54" s="816">
        <v>0</v>
      </c>
      <c r="CC54" s="816">
        <v>0</v>
      </c>
      <c r="CD54" s="816">
        <v>0</v>
      </c>
      <c r="CE54" s="816">
        <v>0</v>
      </c>
      <c r="CF54" s="816">
        <v>0</v>
      </c>
      <c r="CG54" s="816">
        <v>0</v>
      </c>
      <c r="CH54" s="816">
        <v>0</v>
      </c>
      <c r="CI54" s="816">
        <v>0</v>
      </c>
      <c r="CJ54" s="816">
        <v>0</v>
      </c>
      <c r="CK54" s="816">
        <v>0</v>
      </c>
      <c r="CL54" s="816">
        <v>0</v>
      </c>
      <c r="CM54" s="816">
        <v>0</v>
      </c>
      <c r="CN54" s="816">
        <v>0</v>
      </c>
      <c r="CO54" s="816">
        <v>0</v>
      </c>
      <c r="CP54" s="816">
        <v>0</v>
      </c>
      <c r="CQ54" s="816">
        <v>0</v>
      </c>
      <c r="CR54" s="816">
        <v>0</v>
      </c>
      <c r="CS54" s="816">
        <v>0</v>
      </c>
      <c r="CT54" s="816">
        <v>0</v>
      </c>
      <c r="CU54" s="816">
        <v>0</v>
      </c>
      <c r="CV54" s="816">
        <v>0</v>
      </c>
      <c r="CW54" s="816">
        <v>0</v>
      </c>
      <c r="CX54" s="816">
        <v>0</v>
      </c>
      <c r="CY54" s="816">
        <v>0</v>
      </c>
      <c r="CZ54" s="816">
        <v>0</v>
      </c>
      <c r="DA54" s="816">
        <v>0</v>
      </c>
      <c r="DB54" s="816">
        <v>0</v>
      </c>
      <c r="DC54" s="816">
        <v>0</v>
      </c>
      <c r="DE54" s="816" t="s">
        <v>96</v>
      </c>
      <c r="DF54" s="816">
        <f t="shared" si="9"/>
        <v>0</v>
      </c>
      <c r="DG54" s="816" t="s">
        <v>97</v>
      </c>
      <c r="DH54" s="816">
        <f t="shared" si="10"/>
        <v>0</v>
      </c>
      <c r="DI54" s="816" t="s">
        <v>98</v>
      </c>
      <c r="DJ54" s="816">
        <f t="shared" si="11"/>
        <v>0</v>
      </c>
      <c r="DK54" s="816" t="s">
        <v>99</v>
      </c>
      <c r="DL54" s="816">
        <f t="shared" si="12"/>
        <v>0</v>
      </c>
      <c r="DM54" s="816" t="s">
        <v>100</v>
      </c>
      <c r="DN54" s="816">
        <f t="shared" si="13"/>
        <v>0</v>
      </c>
      <c r="DO54" s="816" t="s">
        <v>101</v>
      </c>
      <c r="DP54" s="816">
        <f t="shared" si="14"/>
        <v>0</v>
      </c>
    </row>
    <row r="55" spans="1:120">
      <c r="A55" s="815">
        <v>14</v>
      </c>
      <c r="B55" s="815" t="str">
        <f t="shared" si="15"/>
        <v>14HINDI</v>
      </c>
      <c r="C55" s="815">
        <f>VLOOKUP(A55,DATEWISE!$A$3:$BY$27,2,0)</f>
        <v>0</v>
      </c>
      <c r="D55" s="815">
        <f>VLOOKUP(A55,DATEWISE!$A$3:$BY$27,3,0)</f>
        <v>0</v>
      </c>
      <c r="E55" s="815">
        <f>VLOOKUP(A55,DATEWISE!$A$3:$BY$27,4,0)</f>
        <v>0</v>
      </c>
      <c r="F55" s="815" t="str">
        <f t="shared" si="8"/>
        <v>0HINDI</v>
      </c>
      <c r="G55" s="815" t="s">
        <v>87</v>
      </c>
      <c r="H55" s="816">
        <v>0</v>
      </c>
      <c r="I55" s="816">
        <v>0</v>
      </c>
      <c r="J55" s="816">
        <v>0</v>
      </c>
      <c r="K55" s="816">
        <v>0</v>
      </c>
      <c r="L55" s="816">
        <v>0</v>
      </c>
      <c r="M55" s="816">
        <v>0</v>
      </c>
      <c r="N55" s="816">
        <v>0</v>
      </c>
      <c r="O55" s="816">
        <v>0</v>
      </c>
      <c r="P55" s="816">
        <v>0</v>
      </c>
      <c r="Q55" s="816">
        <v>0</v>
      </c>
      <c r="R55" s="816">
        <v>0</v>
      </c>
      <c r="S55" s="816">
        <v>0</v>
      </c>
      <c r="T55" s="816">
        <v>0</v>
      </c>
      <c r="U55" s="816">
        <v>0</v>
      </c>
      <c r="V55" s="816">
        <v>0</v>
      </c>
      <c r="W55" s="816">
        <v>0</v>
      </c>
      <c r="X55" s="816">
        <v>0</v>
      </c>
      <c r="Y55" s="816">
        <v>0</v>
      </c>
      <c r="Z55" s="816">
        <v>0</v>
      </c>
      <c r="AA55" s="816">
        <v>0</v>
      </c>
      <c r="AB55" s="816">
        <v>0</v>
      </c>
      <c r="AC55" s="816">
        <v>0</v>
      </c>
      <c r="AD55" s="816">
        <v>0</v>
      </c>
      <c r="AE55" s="816">
        <v>0</v>
      </c>
      <c r="AF55" s="816">
        <v>0</v>
      </c>
      <c r="AG55" s="816">
        <v>0</v>
      </c>
      <c r="AH55" s="816">
        <v>0</v>
      </c>
      <c r="AI55" s="816">
        <v>0</v>
      </c>
      <c r="AJ55" s="816">
        <v>0</v>
      </c>
      <c r="AK55" s="816">
        <v>0</v>
      </c>
      <c r="AL55" s="816">
        <v>0</v>
      </c>
      <c r="AM55" s="816">
        <v>0</v>
      </c>
      <c r="AN55" s="816">
        <v>0</v>
      </c>
      <c r="AO55" s="816">
        <v>0</v>
      </c>
      <c r="AP55" s="816">
        <v>0</v>
      </c>
      <c r="AQ55" s="816">
        <v>0</v>
      </c>
      <c r="AR55" s="816">
        <v>0</v>
      </c>
      <c r="AS55" s="816">
        <v>0</v>
      </c>
      <c r="AT55" s="816">
        <v>0</v>
      </c>
      <c r="AU55" s="816">
        <v>0</v>
      </c>
      <c r="AV55" s="816">
        <v>0</v>
      </c>
      <c r="AW55" s="816">
        <v>0</v>
      </c>
      <c r="AX55" s="816">
        <v>0</v>
      </c>
      <c r="AY55" s="816">
        <v>0</v>
      </c>
      <c r="AZ55" s="816">
        <v>0</v>
      </c>
      <c r="BA55" s="816">
        <v>0</v>
      </c>
      <c r="BB55" s="816">
        <v>0</v>
      </c>
      <c r="BC55" s="816">
        <v>0</v>
      </c>
      <c r="BD55" s="816">
        <v>0</v>
      </c>
      <c r="BE55" s="816">
        <v>0</v>
      </c>
      <c r="BF55" s="816">
        <v>0</v>
      </c>
      <c r="BG55" s="816">
        <v>0</v>
      </c>
      <c r="BH55" s="816">
        <v>0</v>
      </c>
      <c r="BI55" s="816">
        <v>0</v>
      </c>
      <c r="BJ55" s="816">
        <v>0</v>
      </c>
      <c r="BK55" s="816">
        <v>0</v>
      </c>
      <c r="BL55" s="816">
        <v>0</v>
      </c>
      <c r="BM55" s="816">
        <v>0</v>
      </c>
      <c r="BN55" s="816">
        <v>0</v>
      </c>
      <c r="BO55" s="816">
        <v>0</v>
      </c>
      <c r="BP55" s="816">
        <v>0</v>
      </c>
      <c r="BQ55" s="816">
        <v>0</v>
      </c>
      <c r="BR55" s="816">
        <v>0</v>
      </c>
      <c r="BS55" s="816">
        <v>0</v>
      </c>
      <c r="BT55" s="816">
        <v>0</v>
      </c>
      <c r="BU55" s="816">
        <v>0</v>
      </c>
      <c r="BV55" s="816">
        <v>0</v>
      </c>
      <c r="BW55" s="816">
        <v>0</v>
      </c>
      <c r="BX55" s="816">
        <v>0</v>
      </c>
      <c r="BY55" s="816">
        <v>0</v>
      </c>
      <c r="BZ55" s="816">
        <v>0</v>
      </c>
      <c r="CA55" s="816">
        <v>0</v>
      </c>
      <c r="CB55" s="816">
        <v>0</v>
      </c>
      <c r="CC55" s="816">
        <v>0</v>
      </c>
      <c r="CD55" s="816">
        <v>0</v>
      </c>
      <c r="CE55" s="816">
        <v>0</v>
      </c>
      <c r="CF55" s="816">
        <v>0</v>
      </c>
      <c r="CG55" s="816">
        <v>0</v>
      </c>
      <c r="CH55" s="816">
        <v>0</v>
      </c>
      <c r="CI55" s="816">
        <v>0</v>
      </c>
      <c r="CJ55" s="816">
        <v>0</v>
      </c>
      <c r="CK55" s="816">
        <v>0</v>
      </c>
      <c r="CL55" s="816">
        <v>0</v>
      </c>
      <c r="CM55" s="816">
        <v>0</v>
      </c>
      <c r="CN55" s="816">
        <v>0</v>
      </c>
      <c r="CO55" s="816">
        <v>0</v>
      </c>
      <c r="CP55" s="816">
        <v>0</v>
      </c>
      <c r="CQ55" s="816">
        <v>0</v>
      </c>
      <c r="CR55" s="816">
        <v>0</v>
      </c>
      <c r="CS55" s="816">
        <v>0</v>
      </c>
      <c r="CT55" s="816">
        <v>0</v>
      </c>
      <c r="CU55" s="816">
        <v>0</v>
      </c>
      <c r="CV55" s="816">
        <v>0</v>
      </c>
      <c r="CW55" s="816">
        <v>0</v>
      </c>
      <c r="CX55" s="816">
        <v>0</v>
      </c>
      <c r="CY55" s="816">
        <v>0</v>
      </c>
      <c r="CZ55" s="816">
        <v>0</v>
      </c>
      <c r="DA55" s="816">
        <v>0</v>
      </c>
      <c r="DB55" s="816">
        <v>0</v>
      </c>
      <c r="DC55" s="816">
        <v>0</v>
      </c>
      <c r="DE55" s="816" t="s">
        <v>96</v>
      </c>
      <c r="DF55" s="816">
        <f t="shared" si="9"/>
        <v>0</v>
      </c>
      <c r="DG55" s="816" t="s">
        <v>97</v>
      </c>
      <c r="DH55" s="816">
        <f t="shared" si="10"/>
        <v>0</v>
      </c>
      <c r="DI55" s="816" t="s">
        <v>98</v>
      </c>
      <c r="DJ55" s="816">
        <f t="shared" si="11"/>
        <v>0</v>
      </c>
      <c r="DK55" s="816" t="s">
        <v>99</v>
      </c>
      <c r="DL55" s="816">
        <f t="shared" si="12"/>
        <v>0</v>
      </c>
      <c r="DM55" s="816" t="s">
        <v>100</v>
      </c>
      <c r="DN55" s="816">
        <f t="shared" si="13"/>
        <v>0</v>
      </c>
      <c r="DO55" s="816" t="s">
        <v>101</v>
      </c>
      <c r="DP55" s="816">
        <f t="shared" si="14"/>
        <v>0</v>
      </c>
    </row>
    <row r="56" spans="1:120">
      <c r="A56" s="815">
        <v>14</v>
      </c>
      <c r="B56" s="815" t="str">
        <f t="shared" si="15"/>
        <v>14ENGLISH</v>
      </c>
      <c r="C56" s="815">
        <f>VLOOKUP(A56,DATEWISE!$A$3:$BY$27,2,0)</f>
        <v>0</v>
      </c>
      <c r="D56" s="815">
        <f>VLOOKUP(A56,DATEWISE!$A$3:$BY$27,3,0)</f>
        <v>0</v>
      </c>
      <c r="E56" s="815">
        <f>VLOOKUP(A56,DATEWISE!$A$3:$BY$27,4,0)</f>
        <v>0</v>
      </c>
      <c r="F56" s="815" t="str">
        <f t="shared" si="8"/>
        <v>0ENGLISH</v>
      </c>
      <c r="G56" s="815" t="s">
        <v>89</v>
      </c>
      <c r="H56" s="816">
        <v>0</v>
      </c>
      <c r="I56" s="816">
        <v>0</v>
      </c>
      <c r="J56" s="816">
        <v>0</v>
      </c>
      <c r="K56" s="816">
        <v>0</v>
      </c>
      <c r="L56" s="816">
        <v>0</v>
      </c>
      <c r="M56" s="816">
        <v>0</v>
      </c>
      <c r="N56" s="816">
        <v>0</v>
      </c>
      <c r="O56" s="816">
        <v>0</v>
      </c>
      <c r="P56" s="816">
        <v>0</v>
      </c>
      <c r="Q56" s="816">
        <v>0</v>
      </c>
      <c r="R56" s="816">
        <v>0</v>
      </c>
      <c r="S56" s="816">
        <v>0</v>
      </c>
      <c r="T56" s="816">
        <v>0</v>
      </c>
      <c r="U56" s="816">
        <v>0</v>
      </c>
      <c r="V56" s="816">
        <v>0</v>
      </c>
      <c r="W56" s="816">
        <v>0</v>
      </c>
      <c r="X56" s="816">
        <v>0</v>
      </c>
      <c r="Y56" s="816">
        <v>0</v>
      </c>
      <c r="Z56" s="816">
        <v>0</v>
      </c>
      <c r="AA56" s="816">
        <v>0</v>
      </c>
      <c r="AB56" s="816">
        <v>0</v>
      </c>
      <c r="AC56" s="816">
        <v>0</v>
      </c>
      <c r="AD56" s="816">
        <v>0</v>
      </c>
      <c r="AE56" s="816">
        <v>0</v>
      </c>
      <c r="AF56" s="816">
        <v>0</v>
      </c>
      <c r="AG56" s="816">
        <v>0</v>
      </c>
      <c r="AH56" s="816">
        <v>0</v>
      </c>
      <c r="AI56" s="816">
        <v>0</v>
      </c>
      <c r="AJ56" s="816">
        <v>0</v>
      </c>
      <c r="AK56" s="816">
        <v>0</v>
      </c>
      <c r="AL56" s="816">
        <v>0</v>
      </c>
      <c r="AM56" s="816">
        <v>0</v>
      </c>
      <c r="AN56" s="816">
        <v>0</v>
      </c>
      <c r="AO56" s="816">
        <v>0</v>
      </c>
      <c r="AP56" s="816">
        <v>0</v>
      </c>
      <c r="AQ56" s="816">
        <v>0</v>
      </c>
      <c r="AR56" s="816">
        <v>0</v>
      </c>
      <c r="AS56" s="816">
        <v>0</v>
      </c>
      <c r="AT56" s="816">
        <v>0</v>
      </c>
      <c r="AU56" s="816">
        <v>0</v>
      </c>
      <c r="AV56" s="816">
        <v>0</v>
      </c>
      <c r="AW56" s="816">
        <v>0</v>
      </c>
      <c r="AX56" s="816">
        <v>0</v>
      </c>
      <c r="AY56" s="816">
        <v>0</v>
      </c>
      <c r="AZ56" s="816">
        <v>0</v>
      </c>
      <c r="BA56" s="816">
        <v>0</v>
      </c>
      <c r="BB56" s="816">
        <v>0</v>
      </c>
      <c r="BC56" s="816">
        <v>0</v>
      </c>
      <c r="BD56" s="816">
        <v>0</v>
      </c>
      <c r="BE56" s="816">
        <v>0</v>
      </c>
      <c r="BF56" s="816">
        <v>0</v>
      </c>
      <c r="BG56" s="816">
        <v>0</v>
      </c>
      <c r="BH56" s="816">
        <v>0</v>
      </c>
      <c r="BI56" s="816">
        <v>0</v>
      </c>
      <c r="BJ56" s="816">
        <v>0</v>
      </c>
      <c r="BK56" s="816">
        <v>0</v>
      </c>
      <c r="BL56" s="816">
        <v>0</v>
      </c>
      <c r="BM56" s="816">
        <v>0</v>
      </c>
      <c r="BN56" s="816">
        <v>0</v>
      </c>
      <c r="BO56" s="816">
        <v>0</v>
      </c>
      <c r="BP56" s="816">
        <v>0</v>
      </c>
      <c r="BQ56" s="816">
        <v>0</v>
      </c>
      <c r="BR56" s="816">
        <v>0</v>
      </c>
      <c r="BS56" s="816">
        <v>0</v>
      </c>
      <c r="BT56" s="816">
        <v>0</v>
      </c>
      <c r="BU56" s="816">
        <v>0</v>
      </c>
      <c r="BV56" s="816">
        <v>0</v>
      </c>
      <c r="BW56" s="816">
        <v>0</v>
      </c>
      <c r="BX56" s="816">
        <v>0</v>
      </c>
      <c r="BY56" s="816">
        <v>0</v>
      </c>
      <c r="BZ56" s="816">
        <v>0</v>
      </c>
      <c r="CA56" s="816">
        <v>0</v>
      </c>
      <c r="CB56" s="816">
        <v>0</v>
      </c>
      <c r="CC56" s="816">
        <v>0</v>
      </c>
      <c r="CD56" s="816">
        <v>0</v>
      </c>
      <c r="CE56" s="816">
        <v>0</v>
      </c>
      <c r="CF56" s="816">
        <v>0</v>
      </c>
      <c r="CG56" s="816">
        <v>0</v>
      </c>
      <c r="CH56" s="816">
        <v>0</v>
      </c>
      <c r="CI56" s="816">
        <v>0</v>
      </c>
      <c r="CJ56" s="816">
        <v>0</v>
      </c>
      <c r="CK56" s="816">
        <v>0</v>
      </c>
      <c r="CL56" s="816">
        <v>0</v>
      </c>
      <c r="CM56" s="816">
        <v>0</v>
      </c>
      <c r="CN56" s="816">
        <v>0</v>
      </c>
      <c r="CO56" s="816">
        <v>0</v>
      </c>
      <c r="CP56" s="816">
        <v>0</v>
      </c>
      <c r="CQ56" s="816">
        <v>0</v>
      </c>
      <c r="CR56" s="816">
        <v>0</v>
      </c>
      <c r="CS56" s="816">
        <v>0</v>
      </c>
      <c r="CT56" s="816">
        <v>0</v>
      </c>
      <c r="CU56" s="816">
        <v>0</v>
      </c>
      <c r="CV56" s="816">
        <v>0</v>
      </c>
      <c r="CW56" s="816">
        <v>0</v>
      </c>
      <c r="CX56" s="816">
        <v>0</v>
      </c>
      <c r="CY56" s="816">
        <v>0</v>
      </c>
      <c r="CZ56" s="816">
        <v>0</v>
      </c>
      <c r="DA56" s="816">
        <v>0</v>
      </c>
      <c r="DB56" s="816">
        <v>0</v>
      </c>
      <c r="DC56" s="816">
        <v>0</v>
      </c>
      <c r="DE56" s="816" t="s">
        <v>96</v>
      </c>
      <c r="DF56" s="816">
        <f t="shared" si="9"/>
        <v>0</v>
      </c>
      <c r="DG56" s="816" t="s">
        <v>97</v>
      </c>
      <c r="DH56" s="816">
        <f t="shared" si="10"/>
        <v>0</v>
      </c>
      <c r="DI56" s="816" t="s">
        <v>98</v>
      </c>
      <c r="DJ56" s="816">
        <f t="shared" si="11"/>
        <v>0</v>
      </c>
      <c r="DK56" s="816" t="s">
        <v>99</v>
      </c>
      <c r="DL56" s="816">
        <f t="shared" si="12"/>
        <v>0</v>
      </c>
      <c r="DM56" s="816" t="s">
        <v>100</v>
      </c>
      <c r="DN56" s="816">
        <f t="shared" si="13"/>
        <v>0</v>
      </c>
      <c r="DO56" s="816" t="s">
        <v>101</v>
      </c>
      <c r="DP56" s="816">
        <f t="shared" si="14"/>
        <v>0</v>
      </c>
    </row>
    <row r="57" spans="1:120">
      <c r="A57" s="815">
        <v>14</v>
      </c>
      <c r="B57" s="815" t="str">
        <f t="shared" si="15"/>
        <v>14MATHS</v>
      </c>
      <c r="C57" s="815">
        <f>VLOOKUP(A57,DATEWISE!$A$3:$BY$27,2,0)</f>
        <v>0</v>
      </c>
      <c r="D57" s="815">
        <f>VLOOKUP(A57,DATEWISE!$A$3:$BY$27,3,0)</f>
        <v>0</v>
      </c>
      <c r="E57" s="815">
        <f>VLOOKUP(A57,DATEWISE!$A$3:$BY$27,4,0)</f>
        <v>0</v>
      </c>
      <c r="F57" s="815" t="str">
        <f t="shared" si="8"/>
        <v>0MATHS</v>
      </c>
      <c r="G57" s="815" t="s">
        <v>88</v>
      </c>
      <c r="H57" s="816">
        <v>0</v>
      </c>
      <c r="I57" s="816">
        <v>0</v>
      </c>
      <c r="J57" s="816">
        <v>0</v>
      </c>
      <c r="K57" s="816">
        <v>0</v>
      </c>
      <c r="L57" s="816">
        <v>0</v>
      </c>
      <c r="M57" s="816">
        <v>0</v>
      </c>
      <c r="N57" s="816">
        <v>0</v>
      </c>
      <c r="O57" s="816">
        <v>0</v>
      </c>
      <c r="P57" s="816">
        <v>0</v>
      </c>
      <c r="Q57" s="816">
        <v>0</v>
      </c>
      <c r="R57" s="816">
        <v>0</v>
      </c>
      <c r="S57" s="816">
        <v>0</v>
      </c>
      <c r="T57" s="816">
        <v>0</v>
      </c>
      <c r="U57" s="816">
        <v>0</v>
      </c>
      <c r="V57" s="816">
        <v>0</v>
      </c>
      <c r="W57" s="816">
        <v>0</v>
      </c>
      <c r="X57" s="816">
        <v>0</v>
      </c>
      <c r="Y57" s="816">
        <v>0</v>
      </c>
      <c r="Z57" s="816">
        <v>0</v>
      </c>
      <c r="AA57" s="816">
        <v>0</v>
      </c>
      <c r="AB57" s="816">
        <v>0</v>
      </c>
      <c r="AC57" s="816">
        <v>0</v>
      </c>
      <c r="AD57" s="816">
        <v>0</v>
      </c>
      <c r="AE57" s="816">
        <v>0</v>
      </c>
      <c r="AF57" s="816">
        <v>0</v>
      </c>
      <c r="AG57" s="816">
        <v>0</v>
      </c>
      <c r="AH57" s="816">
        <v>0</v>
      </c>
      <c r="AI57" s="816">
        <v>0</v>
      </c>
      <c r="AJ57" s="816">
        <v>0</v>
      </c>
      <c r="AK57" s="816">
        <v>0</v>
      </c>
      <c r="AL57" s="816">
        <v>0</v>
      </c>
      <c r="AM57" s="816">
        <v>0</v>
      </c>
      <c r="AN57" s="816">
        <v>0</v>
      </c>
      <c r="AO57" s="816">
        <v>0</v>
      </c>
      <c r="AP57" s="816">
        <v>0</v>
      </c>
      <c r="AQ57" s="816">
        <v>0</v>
      </c>
      <c r="AR57" s="816">
        <v>0</v>
      </c>
      <c r="AS57" s="816">
        <v>0</v>
      </c>
      <c r="AT57" s="816">
        <v>0</v>
      </c>
      <c r="AU57" s="816">
        <v>0</v>
      </c>
      <c r="AV57" s="816">
        <v>0</v>
      </c>
      <c r="AW57" s="816">
        <v>0</v>
      </c>
      <c r="AX57" s="816">
        <v>0</v>
      </c>
      <c r="AY57" s="816">
        <v>0</v>
      </c>
      <c r="AZ57" s="816">
        <v>0</v>
      </c>
      <c r="BA57" s="816">
        <v>0</v>
      </c>
      <c r="BB57" s="816">
        <v>0</v>
      </c>
      <c r="BC57" s="816">
        <v>0</v>
      </c>
      <c r="BD57" s="816">
        <v>0</v>
      </c>
      <c r="BE57" s="816">
        <v>0</v>
      </c>
      <c r="BF57" s="816">
        <v>0</v>
      </c>
      <c r="BG57" s="816">
        <v>0</v>
      </c>
      <c r="BH57" s="816">
        <v>0</v>
      </c>
      <c r="BI57" s="816">
        <v>0</v>
      </c>
      <c r="BJ57" s="816">
        <v>0</v>
      </c>
      <c r="BK57" s="816">
        <v>0</v>
      </c>
      <c r="BL57" s="816">
        <v>0</v>
      </c>
      <c r="BM57" s="816">
        <v>0</v>
      </c>
      <c r="BN57" s="816">
        <v>0</v>
      </c>
      <c r="BO57" s="816">
        <v>0</v>
      </c>
      <c r="BP57" s="816">
        <v>0</v>
      </c>
      <c r="BQ57" s="816">
        <v>0</v>
      </c>
      <c r="BR57" s="816">
        <v>0</v>
      </c>
      <c r="BS57" s="816">
        <v>0</v>
      </c>
      <c r="BT57" s="816">
        <v>0</v>
      </c>
      <c r="BU57" s="816">
        <v>0</v>
      </c>
      <c r="BV57" s="816">
        <v>0</v>
      </c>
      <c r="BW57" s="816">
        <v>0</v>
      </c>
      <c r="BX57" s="816">
        <v>0</v>
      </c>
      <c r="BY57" s="816">
        <v>0</v>
      </c>
      <c r="BZ57" s="816">
        <v>0</v>
      </c>
      <c r="CA57" s="816">
        <v>0</v>
      </c>
      <c r="CB57" s="816">
        <v>0</v>
      </c>
      <c r="CC57" s="816">
        <v>0</v>
      </c>
      <c r="CD57" s="816">
        <v>0</v>
      </c>
      <c r="CE57" s="816">
        <v>0</v>
      </c>
      <c r="CF57" s="816">
        <v>0</v>
      </c>
      <c r="CG57" s="816">
        <v>0</v>
      </c>
      <c r="CH57" s="816">
        <v>0</v>
      </c>
      <c r="CI57" s="816">
        <v>0</v>
      </c>
      <c r="CJ57" s="816">
        <v>0</v>
      </c>
      <c r="CK57" s="816">
        <v>0</v>
      </c>
      <c r="CL57" s="816">
        <v>0</v>
      </c>
      <c r="CM57" s="816">
        <v>0</v>
      </c>
      <c r="CN57" s="816">
        <v>0</v>
      </c>
      <c r="CO57" s="816">
        <v>0</v>
      </c>
      <c r="CP57" s="816">
        <v>0</v>
      </c>
      <c r="CQ57" s="816">
        <v>0</v>
      </c>
      <c r="CR57" s="816">
        <v>0</v>
      </c>
      <c r="CS57" s="816">
        <v>0</v>
      </c>
      <c r="CT57" s="816">
        <v>0</v>
      </c>
      <c r="CU57" s="816">
        <v>0</v>
      </c>
      <c r="CV57" s="816">
        <v>0</v>
      </c>
      <c r="CW57" s="816">
        <v>0</v>
      </c>
      <c r="CX57" s="816">
        <v>0</v>
      </c>
      <c r="CY57" s="816">
        <v>0</v>
      </c>
      <c r="CZ57" s="816">
        <v>0</v>
      </c>
      <c r="DA57" s="816">
        <v>0</v>
      </c>
      <c r="DB57" s="816">
        <v>0</v>
      </c>
      <c r="DC57" s="816">
        <v>0</v>
      </c>
      <c r="DE57" s="816" t="s">
        <v>96</v>
      </c>
      <c r="DF57" s="816">
        <f t="shared" si="9"/>
        <v>0</v>
      </c>
      <c r="DG57" s="816" t="s">
        <v>97</v>
      </c>
      <c r="DH57" s="816">
        <f t="shared" si="10"/>
        <v>0</v>
      </c>
      <c r="DI57" s="816" t="s">
        <v>98</v>
      </c>
      <c r="DJ57" s="816">
        <f t="shared" si="11"/>
        <v>0</v>
      </c>
      <c r="DK57" s="816" t="s">
        <v>99</v>
      </c>
      <c r="DL57" s="816">
        <f t="shared" si="12"/>
        <v>0</v>
      </c>
      <c r="DM57" s="816" t="s">
        <v>100</v>
      </c>
      <c r="DN57" s="816">
        <f t="shared" si="13"/>
        <v>0</v>
      </c>
      <c r="DO57" s="816" t="s">
        <v>101</v>
      </c>
      <c r="DP57" s="816">
        <f t="shared" si="14"/>
        <v>0</v>
      </c>
    </row>
    <row r="58" spans="1:120">
      <c r="A58" s="815">
        <v>14</v>
      </c>
      <c r="B58" s="815" t="str">
        <f t="shared" si="15"/>
        <v>14REMARKS</v>
      </c>
      <c r="C58" s="815">
        <f>VLOOKUP(A58,DATEWISE!$A$3:$BY$27,2,0)</f>
        <v>0</v>
      </c>
      <c r="D58" s="815">
        <f>VLOOKUP(A58,DATEWISE!$A$3:$BY$27,3,0)</f>
        <v>0</v>
      </c>
      <c r="E58" s="815">
        <f>VLOOKUP(A58,DATEWISE!$A$3:$BY$27,4,0)</f>
        <v>0</v>
      </c>
      <c r="F58" s="815" t="str">
        <f t="shared" si="8"/>
        <v>0REMARKS</v>
      </c>
      <c r="G58" s="815" t="s">
        <v>390</v>
      </c>
      <c r="H58" s="816">
        <v>0</v>
      </c>
      <c r="I58" s="816">
        <v>0</v>
      </c>
      <c r="J58" s="816">
        <v>0</v>
      </c>
      <c r="K58" s="816">
        <v>0</v>
      </c>
      <c r="L58" s="816">
        <v>0</v>
      </c>
      <c r="M58" s="816">
        <v>0</v>
      </c>
      <c r="N58" s="816">
        <v>0</v>
      </c>
      <c r="O58" s="816">
        <v>0</v>
      </c>
      <c r="P58" s="816">
        <v>0</v>
      </c>
      <c r="Q58" s="816">
        <v>0</v>
      </c>
      <c r="R58" s="816">
        <v>0</v>
      </c>
      <c r="S58" s="816">
        <v>0</v>
      </c>
      <c r="T58" s="816">
        <v>0</v>
      </c>
      <c r="U58" s="816">
        <v>0</v>
      </c>
      <c r="V58" s="816">
        <v>0</v>
      </c>
      <c r="W58" s="816">
        <v>0</v>
      </c>
      <c r="X58" s="816">
        <v>0</v>
      </c>
      <c r="Y58" s="816">
        <v>0</v>
      </c>
      <c r="Z58" s="816">
        <v>0</v>
      </c>
      <c r="AA58" s="816">
        <v>0</v>
      </c>
      <c r="AB58" s="816">
        <v>0</v>
      </c>
      <c r="AC58" s="816">
        <v>0</v>
      </c>
      <c r="AD58" s="816">
        <v>0</v>
      </c>
      <c r="AE58" s="816">
        <v>0</v>
      </c>
      <c r="AF58" s="816">
        <v>0</v>
      </c>
      <c r="AG58" s="816">
        <v>0</v>
      </c>
      <c r="AH58" s="816">
        <v>0</v>
      </c>
      <c r="AI58" s="816">
        <v>0</v>
      </c>
      <c r="AJ58" s="816">
        <v>0</v>
      </c>
      <c r="AK58" s="816">
        <v>0</v>
      </c>
      <c r="AL58" s="816">
        <v>0</v>
      </c>
      <c r="AM58" s="816">
        <v>0</v>
      </c>
      <c r="AN58" s="816">
        <v>0</v>
      </c>
      <c r="AO58" s="816">
        <v>0</v>
      </c>
      <c r="AP58" s="816">
        <v>0</v>
      </c>
      <c r="AQ58" s="816">
        <v>0</v>
      </c>
      <c r="AR58" s="816">
        <v>0</v>
      </c>
      <c r="AS58" s="816">
        <v>0</v>
      </c>
      <c r="AT58" s="816">
        <v>0</v>
      </c>
      <c r="AU58" s="816">
        <v>0</v>
      </c>
      <c r="AV58" s="816">
        <v>0</v>
      </c>
      <c r="AW58" s="816">
        <v>0</v>
      </c>
      <c r="AX58" s="816">
        <v>0</v>
      </c>
      <c r="AY58" s="816">
        <v>0</v>
      </c>
      <c r="AZ58" s="816">
        <v>0</v>
      </c>
      <c r="BA58" s="816">
        <v>0</v>
      </c>
      <c r="BB58" s="816">
        <v>0</v>
      </c>
      <c r="BC58" s="816">
        <v>0</v>
      </c>
      <c r="BD58" s="816">
        <v>0</v>
      </c>
      <c r="BE58" s="816">
        <v>0</v>
      </c>
      <c r="BF58" s="816">
        <v>0</v>
      </c>
      <c r="BG58" s="816">
        <v>0</v>
      </c>
      <c r="BH58" s="816">
        <v>0</v>
      </c>
      <c r="BI58" s="816">
        <v>0</v>
      </c>
      <c r="BJ58" s="816">
        <v>0</v>
      </c>
      <c r="BK58" s="816">
        <v>0</v>
      </c>
      <c r="BL58" s="816">
        <v>0</v>
      </c>
      <c r="BM58" s="816">
        <v>0</v>
      </c>
      <c r="BN58" s="816">
        <v>0</v>
      </c>
      <c r="BO58" s="816">
        <v>0</v>
      </c>
      <c r="BP58" s="816">
        <v>0</v>
      </c>
      <c r="BQ58" s="816">
        <v>0</v>
      </c>
      <c r="BR58" s="816">
        <v>0</v>
      </c>
      <c r="BS58" s="816">
        <v>0</v>
      </c>
      <c r="BT58" s="816">
        <v>0</v>
      </c>
      <c r="BU58" s="816">
        <v>0</v>
      </c>
      <c r="BV58" s="816">
        <v>0</v>
      </c>
      <c r="BW58" s="816">
        <v>0</v>
      </c>
      <c r="BX58" s="816">
        <v>0</v>
      </c>
      <c r="BY58" s="816">
        <v>0</v>
      </c>
      <c r="BZ58" s="816">
        <v>0</v>
      </c>
      <c r="CA58" s="816">
        <v>0</v>
      </c>
      <c r="CB58" s="816">
        <v>0</v>
      </c>
      <c r="CC58" s="816">
        <v>0</v>
      </c>
      <c r="CD58" s="816">
        <v>0</v>
      </c>
      <c r="CE58" s="816">
        <v>0</v>
      </c>
      <c r="CF58" s="816">
        <v>0</v>
      </c>
      <c r="CG58" s="816">
        <v>0</v>
      </c>
      <c r="CH58" s="816">
        <v>0</v>
      </c>
      <c r="CI58" s="816">
        <v>0</v>
      </c>
      <c r="CJ58" s="816">
        <v>0</v>
      </c>
      <c r="CK58" s="816">
        <v>0</v>
      </c>
      <c r="CL58" s="816">
        <v>0</v>
      </c>
      <c r="CM58" s="816">
        <v>0</v>
      </c>
      <c r="CN58" s="816">
        <v>0</v>
      </c>
      <c r="CO58" s="816">
        <v>0</v>
      </c>
      <c r="CP58" s="816">
        <v>0</v>
      </c>
      <c r="CQ58" s="816">
        <v>0</v>
      </c>
      <c r="CR58" s="816">
        <v>0</v>
      </c>
      <c r="CS58" s="816">
        <v>0</v>
      </c>
      <c r="CT58" s="816">
        <v>0</v>
      </c>
      <c r="CU58" s="816">
        <v>0</v>
      </c>
      <c r="CV58" s="816">
        <v>0</v>
      </c>
      <c r="CW58" s="816">
        <v>0</v>
      </c>
      <c r="CX58" s="816">
        <v>0</v>
      </c>
      <c r="CY58" s="816">
        <v>0</v>
      </c>
      <c r="CZ58" s="816">
        <v>0</v>
      </c>
      <c r="DA58" s="816">
        <v>0</v>
      </c>
      <c r="DB58" s="816">
        <v>0</v>
      </c>
      <c r="DC58" s="816">
        <v>0</v>
      </c>
      <c r="DE58" s="816" t="s">
        <v>96</v>
      </c>
      <c r="DF58" s="816">
        <f t="shared" si="9"/>
        <v>0</v>
      </c>
      <c r="DG58" s="816" t="s">
        <v>97</v>
      </c>
      <c r="DH58" s="816">
        <f t="shared" si="10"/>
        <v>0</v>
      </c>
      <c r="DI58" s="816" t="s">
        <v>98</v>
      </c>
      <c r="DJ58" s="816">
        <f t="shared" si="11"/>
        <v>0</v>
      </c>
      <c r="DK58" s="816" t="s">
        <v>99</v>
      </c>
      <c r="DL58" s="816">
        <f t="shared" si="12"/>
        <v>0</v>
      </c>
      <c r="DM58" s="816" t="s">
        <v>100</v>
      </c>
      <c r="DN58" s="816">
        <f t="shared" si="13"/>
        <v>0</v>
      </c>
      <c r="DO58" s="816" t="s">
        <v>101</v>
      </c>
      <c r="DP58" s="816">
        <f t="shared" si="14"/>
        <v>0</v>
      </c>
    </row>
    <row r="59" spans="1:120">
      <c r="A59" s="815">
        <v>15</v>
      </c>
      <c r="B59" s="815" t="str">
        <f t="shared" si="15"/>
        <v>15HINDI</v>
      </c>
      <c r="C59" s="815">
        <f>VLOOKUP(A59,DATEWISE!$A$3:$BY$27,2,0)</f>
        <v>0</v>
      </c>
      <c r="D59" s="815">
        <f>VLOOKUP(A59,DATEWISE!$A$3:$BY$27,3,0)</f>
        <v>0</v>
      </c>
      <c r="E59" s="815">
        <f>VLOOKUP(A59,DATEWISE!$A$3:$BY$27,4,0)</f>
        <v>0</v>
      </c>
      <c r="F59" s="815" t="str">
        <f t="shared" si="8"/>
        <v>0HINDI</v>
      </c>
      <c r="G59" s="815" t="s">
        <v>87</v>
      </c>
      <c r="H59" s="816">
        <v>0</v>
      </c>
      <c r="I59" s="816">
        <v>0</v>
      </c>
      <c r="J59" s="816">
        <v>0</v>
      </c>
      <c r="K59" s="816">
        <v>0</v>
      </c>
      <c r="L59" s="816">
        <v>0</v>
      </c>
      <c r="M59" s="816">
        <v>0</v>
      </c>
      <c r="N59" s="816">
        <v>0</v>
      </c>
      <c r="O59" s="816">
        <v>0</v>
      </c>
      <c r="P59" s="816">
        <v>0</v>
      </c>
      <c r="Q59" s="816">
        <v>0</v>
      </c>
      <c r="R59" s="816">
        <v>0</v>
      </c>
      <c r="S59" s="816">
        <v>0</v>
      </c>
      <c r="T59" s="816">
        <v>0</v>
      </c>
      <c r="U59" s="816">
        <v>0</v>
      </c>
      <c r="V59" s="816">
        <v>0</v>
      </c>
      <c r="W59" s="816">
        <v>0</v>
      </c>
      <c r="X59" s="816">
        <v>0</v>
      </c>
      <c r="Y59" s="816">
        <v>0</v>
      </c>
      <c r="Z59" s="816">
        <v>0</v>
      </c>
      <c r="AA59" s="816">
        <v>0</v>
      </c>
      <c r="AB59" s="816">
        <v>0</v>
      </c>
      <c r="AC59" s="816">
        <v>0</v>
      </c>
      <c r="AD59" s="816">
        <v>0</v>
      </c>
      <c r="AE59" s="816">
        <v>0</v>
      </c>
      <c r="AF59" s="816">
        <v>0</v>
      </c>
      <c r="AG59" s="816">
        <v>0</v>
      </c>
      <c r="AH59" s="816">
        <v>0</v>
      </c>
      <c r="AI59" s="816">
        <v>0</v>
      </c>
      <c r="AJ59" s="816">
        <v>0</v>
      </c>
      <c r="AK59" s="816">
        <v>0</v>
      </c>
      <c r="AL59" s="816">
        <v>0</v>
      </c>
      <c r="AM59" s="816">
        <v>0</v>
      </c>
      <c r="AN59" s="816">
        <v>0</v>
      </c>
      <c r="AO59" s="816">
        <v>0</v>
      </c>
      <c r="AP59" s="816">
        <v>0</v>
      </c>
      <c r="AQ59" s="816">
        <v>0</v>
      </c>
      <c r="AR59" s="816">
        <v>0</v>
      </c>
      <c r="AS59" s="816">
        <v>0</v>
      </c>
      <c r="AT59" s="816">
        <v>0</v>
      </c>
      <c r="AU59" s="816">
        <v>0</v>
      </c>
      <c r="AV59" s="816">
        <v>0</v>
      </c>
      <c r="AW59" s="816">
        <v>0</v>
      </c>
      <c r="AX59" s="816">
        <v>0</v>
      </c>
      <c r="AY59" s="816">
        <v>0</v>
      </c>
      <c r="AZ59" s="816">
        <v>0</v>
      </c>
      <c r="BA59" s="816">
        <v>0</v>
      </c>
      <c r="BB59" s="816">
        <v>0</v>
      </c>
      <c r="BC59" s="816">
        <v>0</v>
      </c>
      <c r="BD59" s="816">
        <v>0</v>
      </c>
      <c r="BE59" s="816">
        <v>0</v>
      </c>
      <c r="BF59" s="816">
        <v>0</v>
      </c>
      <c r="BG59" s="816">
        <v>0</v>
      </c>
      <c r="BH59" s="816">
        <v>0</v>
      </c>
      <c r="BI59" s="816">
        <v>0</v>
      </c>
      <c r="BJ59" s="816">
        <v>0</v>
      </c>
      <c r="BK59" s="816">
        <v>0</v>
      </c>
      <c r="BL59" s="816">
        <v>0</v>
      </c>
      <c r="BM59" s="816">
        <v>0</v>
      </c>
      <c r="BN59" s="816">
        <v>0</v>
      </c>
      <c r="BO59" s="816">
        <v>0</v>
      </c>
      <c r="BP59" s="816">
        <v>0</v>
      </c>
      <c r="BQ59" s="816">
        <v>0</v>
      </c>
      <c r="BR59" s="816">
        <v>0</v>
      </c>
      <c r="BS59" s="816">
        <v>0</v>
      </c>
      <c r="BT59" s="816">
        <v>0</v>
      </c>
      <c r="BU59" s="816">
        <v>0</v>
      </c>
      <c r="BV59" s="816">
        <v>0</v>
      </c>
      <c r="BW59" s="816">
        <v>0</v>
      </c>
      <c r="BX59" s="816">
        <v>0</v>
      </c>
      <c r="BY59" s="816">
        <v>0</v>
      </c>
      <c r="BZ59" s="816">
        <v>0</v>
      </c>
      <c r="CA59" s="816">
        <v>0</v>
      </c>
      <c r="CB59" s="816">
        <v>0</v>
      </c>
      <c r="CC59" s="816">
        <v>0</v>
      </c>
      <c r="CD59" s="816">
        <v>0</v>
      </c>
      <c r="CE59" s="816">
        <v>0</v>
      </c>
      <c r="CF59" s="816">
        <v>0</v>
      </c>
      <c r="CG59" s="816">
        <v>0</v>
      </c>
      <c r="CH59" s="816">
        <v>0</v>
      </c>
      <c r="CI59" s="816">
        <v>0</v>
      </c>
      <c r="CJ59" s="816">
        <v>0</v>
      </c>
      <c r="CK59" s="816">
        <v>0</v>
      </c>
      <c r="CL59" s="816">
        <v>0</v>
      </c>
      <c r="CM59" s="816">
        <v>0</v>
      </c>
      <c r="CN59" s="816">
        <v>0</v>
      </c>
      <c r="CO59" s="816">
        <v>0</v>
      </c>
      <c r="CP59" s="816">
        <v>0</v>
      </c>
      <c r="CQ59" s="816">
        <v>0</v>
      </c>
      <c r="CR59" s="816">
        <v>0</v>
      </c>
      <c r="CS59" s="816">
        <v>0</v>
      </c>
      <c r="CT59" s="816">
        <v>0</v>
      </c>
      <c r="CU59" s="816">
        <v>0</v>
      </c>
      <c r="CV59" s="816">
        <v>0</v>
      </c>
      <c r="CW59" s="816">
        <v>0</v>
      </c>
      <c r="CX59" s="816">
        <v>0</v>
      </c>
      <c r="CY59" s="816">
        <v>0</v>
      </c>
      <c r="CZ59" s="816">
        <v>0</v>
      </c>
      <c r="DA59" s="816">
        <v>0</v>
      </c>
      <c r="DB59" s="816">
        <v>0</v>
      </c>
      <c r="DC59" s="816">
        <v>0</v>
      </c>
      <c r="DE59" s="816" t="s">
        <v>96</v>
      </c>
      <c r="DF59" s="816">
        <f t="shared" si="9"/>
        <v>0</v>
      </c>
      <c r="DG59" s="816" t="s">
        <v>97</v>
      </c>
      <c r="DH59" s="816">
        <f t="shared" si="10"/>
        <v>0</v>
      </c>
      <c r="DI59" s="816" t="s">
        <v>98</v>
      </c>
      <c r="DJ59" s="816">
        <f t="shared" si="11"/>
        <v>0</v>
      </c>
      <c r="DK59" s="816" t="s">
        <v>99</v>
      </c>
      <c r="DL59" s="816">
        <f t="shared" si="12"/>
        <v>0</v>
      </c>
      <c r="DM59" s="816" t="s">
        <v>100</v>
      </c>
      <c r="DN59" s="816">
        <f t="shared" si="13"/>
        <v>0</v>
      </c>
      <c r="DO59" s="816" t="s">
        <v>101</v>
      </c>
      <c r="DP59" s="816">
        <f t="shared" si="14"/>
        <v>0</v>
      </c>
    </row>
    <row r="60" spans="1:120">
      <c r="A60" s="815">
        <v>15</v>
      </c>
      <c r="B60" s="815" t="str">
        <f t="shared" si="15"/>
        <v>15ENGLISH</v>
      </c>
      <c r="C60" s="815">
        <f>VLOOKUP(A60,DATEWISE!$A$3:$BY$27,2,0)</f>
        <v>0</v>
      </c>
      <c r="D60" s="815">
        <f>VLOOKUP(A60,DATEWISE!$A$3:$BY$27,3,0)</f>
        <v>0</v>
      </c>
      <c r="E60" s="815">
        <f>VLOOKUP(A60,DATEWISE!$A$3:$BY$27,4,0)</f>
        <v>0</v>
      </c>
      <c r="F60" s="815" t="str">
        <f t="shared" si="8"/>
        <v>0ENGLISH</v>
      </c>
      <c r="G60" s="815" t="s">
        <v>89</v>
      </c>
      <c r="H60" s="816">
        <v>0</v>
      </c>
      <c r="I60" s="816">
        <v>0</v>
      </c>
      <c r="J60" s="816">
        <v>0</v>
      </c>
      <c r="K60" s="816">
        <v>0</v>
      </c>
      <c r="L60" s="816">
        <v>0</v>
      </c>
      <c r="M60" s="816">
        <v>0</v>
      </c>
      <c r="N60" s="816">
        <v>0</v>
      </c>
      <c r="O60" s="816">
        <v>0</v>
      </c>
      <c r="P60" s="816">
        <v>0</v>
      </c>
      <c r="Q60" s="816">
        <v>0</v>
      </c>
      <c r="R60" s="816">
        <v>0</v>
      </c>
      <c r="S60" s="816">
        <v>0</v>
      </c>
      <c r="T60" s="816">
        <v>0</v>
      </c>
      <c r="U60" s="816">
        <v>0</v>
      </c>
      <c r="V60" s="816">
        <v>0</v>
      </c>
      <c r="W60" s="816">
        <v>0</v>
      </c>
      <c r="X60" s="816">
        <v>0</v>
      </c>
      <c r="Y60" s="816">
        <v>0</v>
      </c>
      <c r="Z60" s="816">
        <v>0</v>
      </c>
      <c r="AA60" s="816">
        <v>0</v>
      </c>
      <c r="AB60" s="816">
        <v>0</v>
      </c>
      <c r="AC60" s="816">
        <v>0</v>
      </c>
      <c r="AD60" s="816">
        <v>0</v>
      </c>
      <c r="AE60" s="816">
        <v>0</v>
      </c>
      <c r="AF60" s="816">
        <v>0</v>
      </c>
      <c r="AG60" s="816">
        <v>0</v>
      </c>
      <c r="AH60" s="816">
        <v>0</v>
      </c>
      <c r="AI60" s="816">
        <v>0</v>
      </c>
      <c r="AJ60" s="816">
        <v>0</v>
      </c>
      <c r="AK60" s="816">
        <v>0</v>
      </c>
      <c r="AL60" s="816">
        <v>0</v>
      </c>
      <c r="AM60" s="816">
        <v>0</v>
      </c>
      <c r="AN60" s="816">
        <v>0</v>
      </c>
      <c r="AO60" s="816">
        <v>0</v>
      </c>
      <c r="AP60" s="816">
        <v>0</v>
      </c>
      <c r="AQ60" s="816">
        <v>0</v>
      </c>
      <c r="AR60" s="816">
        <v>0</v>
      </c>
      <c r="AS60" s="816">
        <v>0</v>
      </c>
      <c r="AT60" s="816">
        <v>0</v>
      </c>
      <c r="AU60" s="816">
        <v>0</v>
      </c>
      <c r="AV60" s="816">
        <v>0</v>
      </c>
      <c r="AW60" s="816">
        <v>0</v>
      </c>
      <c r="AX60" s="816">
        <v>0</v>
      </c>
      <c r="AY60" s="816">
        <v>0</v>
      </c>
      <c r="AZ60" s="816">
        <v>0</v>
      </c>
      <c r="BA60" s="816">
        <v>0</v>
      </c>
      <c r="BB60" s="816">
        <v>0</v>
      </c>
      <c r="BC60" s="816">
        <v>0</v>
      </c>
      <c r="BD60" s="816">
        <v>0</v>
      </c>
      <c r="BE60" s="816">
        <v>0</v>
      </c>
      <c r="BF60" s="816">
        <v>0</v>
      </c>
      <c r="BG60" s="816">
        <v>0</v>
      </c>
      <c r="BH60" s="816">
        <v>0</v>
      </c>
      <c r="BI60" s="816">
        <v>0</v>
      </c>
      <c r="BJ60" s="816">
        <v>0</v>
      </c>
      <c r="BK60" s="816">
        <v>0</v>
      </c>
      <c r="BL60" s="816">
        <v>0</v>
      </c>
      <c r="BM60" s="816">
        <v>0</v>
      </c>
      <c r="BN60" s="816">
        <v>0</v>
      </c>
      <c r="BO60" s="816">
        <v>0</v>
      </c>
      <c r="BP60" s="816">
        <v>0</v>
      </c>
      <c r="BQ60" s="816">
        <v>0</v>
      </c>
      <c r="BR60" s="816">
        <v>0</v>
      </c>
      <c r="BS60" s="816">
        <v>0</v>
      </c>
      <c r="BT60" s="816">
        <v>0</v>
      </c>
      <c r="BU60" s="816">
        <v>0</v>
      </c>
      <c r="BV60" s="816">
        <v>0</v>
      </c>
      <c r="BW60" s="816">
        <v>0</v>
      </c>
      <c r="BX60" s="816">
        <v>0</v>
      </c>
      <c r="BY60" s="816">
        <v>0</v>
      </c>
      <c r="BZ60" s="816">
        <v>0</v>
      </c>
      <c r="CA60" s="816">
        <v>0</v>
      </c>
      <c r="CB60" s="816">
        <v>0</v>
      </c>
      <c r="CC60" s="816">
        <v>0</v>
      </c>
      <c r="CD60" s="816">
        <v>0</v>
      </c>
      <c r="CE60" s="816">
        <v>0</v>
      </c>
      <c r="CF60" s="816">
        <v>0</v>
      </c>
      <c r="CG60" s="816">
        <v>0</v>
      </c>
      <c r="CH60" s="816">
        <v>0</v>
      </c>
      <c r="CI60" s="816">
        <v>0</v>
      </c>
      <c r="CJ60" s="816">
        <v>0</v>
      </c>
      <c r="CK60" s="816">
        <v>0</v>
      </c>
      <c r="CL60" s="816">
        <v>0</v>
      </c>
      <c r="CM60" s="816">
        <v>0</v>
      </c>
      <c r="CN60" s="816">
        <v>0</v>
      </c>
      <c r="CO60" s="816">
        <v>0</v>
      </c>
      <c r="CP60" s="816">
        <v>0</v>
      </c>
      <c r="CQ60" s="816">
        <v>0</v>
      </c>
      <c r="CR60" s="816">
        <v>0</v>
      </c>
      <c r="CS60" s="816">
        <v>0</v>
      </c>
      <c r="CT60" s="816">
        <v>0</v>
      </c>
      <c r="CU60" s="816">
        <v>0</v>
      </c>
      <c r="CV60" s="816">
        <v>0</v>
      </c>
      <c r="CW60" s="816">
        <v>0</v>
      </c>
      <c r="CX60" s="816">
        <v>0</v>
      </c>
      <c r="CY60" s="816">
        <v>0</v>
      </c>
      <c r="CZ60" s="816">
        <v>0</v>
      </c>
      <c r="DA60" s="816">
        <v>0</v>
      </c>
      <c r="DB60" s="816">
        <v>0</v>
      </c>
      <c r="DC60" s="816">
        <v>0</v>
      </c>
      <c r="DE60" s="816" t="s">
        <v>96</v>
      </c>
      <c r="DF60" s="816">
        <f t="shared" si="9"/>
        <v>0</v>
      </c>
      <c r="DG60" s="816" t="s">
        <v>97</v>
      </c>
      <c r="DH60" s="816">
        <f t="shared" si="10"/>
        <v>0</v>
      </c>
      <c r="DI60" s="816" t="s">
        <v>98</v>
      </c>
      <c r="DJ60" s="816">
        <f t="shared" si="11"/>
        <v>0</v>
      </c>
      <c r="DK60" s="816" t="s">
        <v>99</v>
      </c>
      <c r="DL60" s="816">
        <f t="shared" si="12"/>
        <v>0</v>
      </c>
      <c r="DM60" s="816" t="s">
        <v>100</v>
      </c>
      <c r="DN60" s="816">
        <f t="shared" si="13"/>
        <v>0</v>
      </c>
      <c r="DO60" s="816" t="s">
        <v>101</v>
      </c>
      <c r="DP60" s="816">
        <f t="shared" si="14"/>
        <v>0</v>
      </c>
    </row>
    <row r="61" spans="1:120">
      <c r="A61" s="815">
        <v>15</v>
      </c>
      <c r="B61" s="815" t="str">
        <f t="shared" si="15"/>
        <v>15MATHS</v>
      </c>
      <c r="C61" s="815">
        <f>VLOOKUP(A61,DATEWISE!$A$3:$BY$27,2,0)</f>
        <v>0</v>
      </c>
      <c r="D61" s="815">
        <f>VLOOKUP(A61,DATEWISE!$A$3:$BY$27,3,0)</f>
        <v>0</v>
      </c>
      <c r="E61" s="815">
        <f>VLOOKUP(A61,DATEWISE!$A$3:$BY$27,4,0)</f>
        <v>0</v>
      </c>
      <c r="F61" s="815" t="str">
        <f t="shared" si="8"/>
        <v>0MATHS</v>
      </c>
      <c r="G61" s="815" t="s">
        <v>88</v>
      </c>
      <c r="H61" s="816">
        <v>0</v>
      </c>
      <c r="I61" s="816">
        <v>0</v>
      </c>
      <c r="J61" s="816">
        <v>0</v>
      </c>
      <c r="K61" s="816">
        <v>0</v>
      </c>
      <c r="L61" s="816">
        <v>0</v>
      </c>
      <c r="M61" s="816">
        <v>0</v>
      </c>
      <c r="N61" s="816">
        <v>0</v>
      </c>
      <c r="O61" s="816">
        <v>0</v>
      </c>
      <c r="P61" s="816">
        <v>0</v>
      </c>
      <c r="Q61" s="816">
        <v>0</v>
      </c>
      <c r="R61" s="816">
        <v>0</v>
      </c>
      <c r="S61" s="816">
        <v>0</v>
      </c>
      <c r="T61" s="816">
        <v>0</v>
      </c>
      <c r="U61" s="816">
        <v>0</v>
      </c>
      <c r="V61" s="816">
        <v>0</v>
      </c>
      <c r="W61" s="816">
        <v>0</v>
      </c>
      <c r="X61" s="816">
        <v>0</v>
      </c>
      <c r="Y61" s="816">
        <v>0</v>
      </c>
      <c r="Z61" s="816">
        <v>0</v>
      </c>
      <c r="AA61" s="816">
        <v>0</v>
      </c>
      <c r="AB61" s="816">
        <v>0</v>
      </c>
      <c r="AC61" s="816">
        <v>0</v>
      </c>
      <c r="AD61" s="816">
        <v>0</v>
      </c>
      <c r="AE61" s="816">
        <v>0</v>
      </c>
      <c r="AF61" s="816">
        <v>0</v>
      </c>
      <c r="AG61" s="816">
        <v>0</v>
      </c>
      <c r="AH61" s="816">
        <v>0</v>
      </c>
      <c r="AI61" s="816">
        <v>0</v>
      </c>
      <c r="AJ61" s="816">
        <v>0</v>
      </c>
      <c r="AK61" s="816">
        <v>0</v>
      </c>
      <c r="AL61" s="816">
        <v>0</v>
      </c>
      <c r="AM61" s="816">
        <v>0</v>
      </c>
      <c r="AN61" s="816">
        <v>0</v>
      </c>
      <c r="AO61" s="816">
        <v>0</v>
      </c>
      <c r="AP61" s="816">
        <v>0</v>
      </c>
      <c r="AQ61" s="816">
        <v>0</v>
      </c>
      <c r="AR61" s="816">
        <v>0</v>
      </c>
      <c r="AS61" s="816">
        <v>0</v>
      </c>
      <c r="AT61" s="816">
        <v>0</v>
      </c>
      <c r="AU61" s="816">
        <v>0</v>
      </c>
      <c r="AV61" s="816">
        <v>0</v>
      </c>
      <c r="AW61" s="816">
        <v>0</v>
      </c>
      <c r="AX61" s="816">
        <v>0</v>
      </c>
      <c r="AY61" s="816">
        <v>0</v>
      </c>
      <c r="AZ61" s="816">
        <v>0</v>
      </c>
      <c r="BA61" s="816">
        <v>0</v>
      </c>
      <c r="BB61" s="816">
        <v>0</v>
      </c>
      <c r="BC61" s="816">
        <v>0</v>
      </c>
      <c r="BD61" s="816">
        <v>0</v>
      </c>
      <c r="BE61" s="816">
        <v>0</v>
      </c>
      <c r="BF61" s="816">
        <v>0</v>
      </c>
      <c r="BG61" s="816">
        <v>0</v>
      </c>
      <c r="BH61" s="816">
        <v>0</v>
      </c>
      <c r="BI61" s="816">
        <v>0</v>
      </c>
      <c r="BJ61" s="816">
        <v>0</v>
      </c>
      <c r="BK61" s="816">
        <v>0</v>
      </c>
      <c r="BL61" s="816">
        <v>0</v>
      </c>
      <c r="BM61" s="816">
        <v>0</v>
      </c>
      <c r="BN61" s="816">
        <v>0</v>
      </c>
      <c r="BO61" s="816">
        <v>0</v>
      </c>
      <c r="BP61" s="816">
        <v>0</v>
      </c>
      <c r="BQ61" s="816">
        <v>0</v>
      </c>
      <c r="BR61" s="816">
        <v>0</v>
      </c>
      <c r="BS61" s="816">
        <v>0</v>
      </c>
      <c r="BT61" s="816">
        <v>0</v>
      </c>
      <c r="BU61" s="816">
        <v>0</v>
      </c>
      <c r="BV61" s="816">
        <v>0</v>
      </c>
      <c r="BW61" s="816">
        <v>0</v>
      </c>
      <c r="BX61" s="816">
        <v>0</v>
      </c>
      <c r="BY61" s="816">
        <v>0</v>
      </c>
      <c r="BZ61" s="816">
        <v>0</v>
      </c>
      <c r="CA61" s="816">
        <v>0</v>
      </c>
      <c r="CB61" s="816">
        <v>0</v>
      </c>
      <c r="CC61" s="816">
        <v>0</v>
      </c>
      <c r="CD61" s="816">
        <v>0</v>
      </c>
      <c r="CE61" s="816">
        <v>0</v>
      </c>
      <c r="CF61" s="816">
        <v>0</v>
      </c>
      <c r="CG61" s="816">
        <v>0</v>
      </c>
      <c r="CH61" s="816">
        <v>0</v>
      </c>
      <c r="CI61" s="816">
        <v>0</v>
      </c>
      <c r="CJ61" s="816">
        <v>0</v>
      </c>
      <c r="CK61" s="816">
        <v>0</v>
      </c>
      <c r="CL61" s="816">
        <v>0</v>
      </c>
      <c r="CM61" s="816">
        <v>0</v>
      </c>
      <c r="CN61" s="816">
        <v>0</v>
      </c>
      <c r="CO61" s="816">
        <v>0</v>
      </c>
      <c r="CP61" s="816">
        <v>0</v>
      </c>
      <c r="CQ61" s="816">
        <v>0</v>
      </c>
      <c r="CR61" s="816">
        <v>0</v>
      </c>
      <c r="CS61" s="816">
        <v>0</v>
      </c>
      <c r="CT61" s="816">
        <v>0</v>
      </c>
      <c r="CU61" s="816">
        <v>0</v>
      </c>
      <c r="CV61" s="816">
        <v>0</v>
      </c>
      <c r="CW61" s="816">
        <v>0</v>
      </c>
      <c r="CX61" s="816">
        <v>0</v>
      </c>
      <c r="CY61" s="816">
        <v>0</v>
      </c>
      <c r="CZ61" s="816">
        <v>0</v>
      </c>
      <c r="DA61" s="816">
        <v>0</v>
      </c>
      <c r="DB61" s="816">
        <v>0</v>
      </c>
      <c r="DC61" s="816">
        <v>0</v>
      </c>
      <c r="DE61" s="816" t="s">
        <v>96</v>
      </c>
      <c r="DF61" s="816">
        <f t="shared" si="9"/>
        <v>0</v>
      </c>
      <c r="DG61" s="816" t="s">
        <v>97</v>
      </c>
      <c r="DH61" s="816">
        <f t="shared" si="10"/>
        <v>0</v>
      </c>
      <c r="DI61" s="816" t="s">
        <v>98</v>
      </c>
      <c r="DJ61" s="816">
        <f t="shared" si="11"/>
        <v>0</v>
      </c>
      <c r="DK61" s="816" t="s">
        <v>99</v>
      </c>
      <c r="DL61" s="816">
        <f t="shared" si="12"/>
        <v>0</v>
      </c>
      <c r="DM61" s="816" t="s">
        <v>100</v>
      </c>
      <c r="DN61" s="816">
        <f t="shared" si="13"/>
        <v>0</v>
      </c>
      <c r="DO61" s="816" t="s">
        <v>101</v>
      </c>
      <c r="DP61" s="816">
        <f t="shared" si="14"/>
        <v>0</v>
      </c>
    </row>
    <row r="62" spans="1:120">
      <c r="A62" s="815">
        <v>15</v>
      </c>
      <c r="B62" s="815" t="str">
        <f t="shared" si="15"/>
        <v>15REMARKS</v>
      </c>
      <c r="C62" s="815">
        <f>VLOOKUP(A62,DATEWISE!$A$3:$BY$27,2,0)</f>
        <v>0</v>
      </c>
      <c r="D62" s="815">
        <f>VLOOKUP(A62,DATEWISE!$A$3:$BY$27,3,0)</f>
        <v>0</v>
      </c>
      <c r="E62" s="815">
        <f>VLOOKUP(A62,DATEWISE!$A$3:$BY$27,4,0)</f>
        <v>0</v>
      </c>
      <c r="F62" s="815" t="str">
        <f t="shared" si="8"/>
        <v>0REMARKS</v>
      </c>
      <c r="G62" s="815" t="s">
        <v>390</v>
      </c>
      <c r="H62" s="816">
        <v>0</v>
      </c>
      <c r="I62" s="816">
        <v>0</v>
      </c>
      <c r="J62" s="816">
        <v>0</v>
      </c>
      <c r="K62" s="816">
        <v>0</v>
      </c>
      <c r="L62" s="816">
        <v>0</v>
      </c>
      <c r="M62" s="816">
        <v>0</v>
      </c>
      <c r="N62" s="816">
        <v>0</v>
      </c>
      <c r="O62" s="816">
        <v>0</v>
      </c>
      <c r="P62" s="816">
        <v>0</v>
      </c>
      <c r="Q62" s="816">
        <v>0</v>
      </c>
      <c r="R62" s="816">
        <v>0</v>
      </c>
      <c r="S62" s="816">
        <v>0</v>
      </c>
      <c r="T62" s="816">
        <v>0</v>
      </c>
      <c r="U62" s="816">
        <v>0</v>
      </c>
      <c r="V62" s="816">
        <v>0</v>
      </c>
      <c r="W62" s="816">
        <v>0</v>
      </c>
      <c r="X62" s="816">
        <v>0</v>
      </c>
      <c r="Y62" s="816">
        <v>0</v>
      </c>
      <c r="Z62" s="816">
        <v>0</v>
      </c>
      <c r="AA62" s="816">
        <v>0</v>
      </c>
      <c r="AB62" s="816">
        <v>0</v>
      </c>
      <c r="AC62" s="816">
        <v>0</v>
      </c>
      <c r="AD62" s="816">
        <v>0</v>
      </c>
      <c r="AE62" s="816">
        <v>0</v>
      </c>
      <c r="AF62" s="816">
        <v>0</v>
      </c>
      <c r="AG62" s="816">
        <v>0</v>
      </c>
      <c r="AH62" s="816">
        <v>0</v>
      </c>
      <c r="AI62" s="816">
        <v>0</v>
      </c>
      <c r="AJ62" s="816">
        <v>0</v>
      </c>
      <c r="AK62" s="816">
        <v>0</v>
      </c>
      <c r="AL62" s="816">
        <v>0</v>
      </c>
      <c r="AM62" s="816">
        <v>0</v>
      </c>
      <c r="AN62" s="816">
        <v>0</v>
      </c>
      <c r="AO62" s="816">
        <v>0</v>
      </c>
      <c r="AP62" s="816">
        <v>0</v>
      </c>
      <c r="AQ62" s="816">
        <v>0</v>
      </c>
      <c r="AR62" s="816">
        <v>0</v>
      </c>
      <c r="AS62" s="816">
        <v>0</v>
      </c>
      <c r="AT62" s="816">
        <v>0</v>
      </c>
      <c r="AU62" s="816">
        <v>0</v>
      </c>
      <c r="AV62" s="816">
        <v>0</v>
      </c>
      <c r="AW62" s="816">
        <v>0</v>
      </c>
      <c r="AX62" s="816">
        <v>0</v>
      </c>
      <c r="AY62" s="816">
        <v>0</v>
      </c>
      <c r="AZ62" s="816">
        <v>0</v>
      </c>
      <c r="BA62" s="816">
        <v>0</v>
      </c>
      <c r="BB62" s="816">
        <v>0</v>
      </c>
      <c r="BC62" s="816">
        <v>0</v>
      </c>
      <c r="BD62" s="816">
        <v>0</v>
      </c>
      <c r="BE62" s="816">
        <v>0</v>
      </c>
      <c r="BF62" s="816">
        <v>0</v>
      </c>
      <c r="BG62" s="816">
        <v>0</v>
      </c>
      <c r="BH62" s="816">
        <v>0</v>
      </c>
      <c r="BI62" s="816">
        <v>0</v>
      </c>
      <c r="BJ62" s="816">
        <v>0</v>
      </c>
      <c r="BK62" s="816">
        <v>0</v>
      </c>
      <c r="BL62" s="816">
        <v>0</v>
      </c>
      <c r="BM62" s="816">
        <v>0</v>
      </c>
      <c r="BN62" s="816">
        <v>0</v>
      </c>
      <c r="BO62" s="816">
        <v>0</v>
      </c>
      <c r="BP62" s="816">
        <v>0</v>
      </c>
      <c r="BQ62" s="816">
        <v>0</v>
      </c>
      <c r="BR62" s="816">
        <v>0</v>
      </c>
      <c r="BS62" s="816">
        <v>0</v>
      </c>
      <c r="BT62" s="816">
        <v>0</v>
      </c>
      <c r="BU62" s="816">
        <v>0</v>
      </c>
      <c r="BV62" s="816">
        <v>0</v>
      </c>
      <c r="BW62" s="816">
        <v>0</v>
      </c>
      <c r="BX62" s="816">
        <v>0</v>
      </c>
      <c r="BY62" s="816">
        <v>0</v>
      </c>
      <c r="BZ62" s="816">
        <v>0</v>
      </c>
      <c r="CA62" s="816">
        <v>0</v>
      </c>
      <c r="CB62" s="816">
        <v>0</v>
      </c>
      <c r="CC62" s="816">
        <v>0</v>
      </c>
      <c r="CD62" s="816">
        <v>0</v>
      </c>
      <c r="CE62" s="816">
        <v>0</v>
      </c>
      <c r="CF62" s="816">
        <v>0</v>
      </c>
      <c r="CG62" s="816">
        <v>0</v>
      </c>
      <c r="CH62" s="816">
        <v>0</v>
      </c>
      <c r="CI62" s="816">
        <v>0</v>
      </c>
      <c r="CJ62" s="816">
        <v>0</v>
      </c>
      <c r="CK62" s="816">
        <v>0</v>
      </c>
      <c r="CL62" s="816">
        <v>0</v>
      </c>
      <c r="CM62" s="816">
        <v>0</v>
      </c>
      <c r="CN62" s="816">
        <v>0</v>
      </c>
      <c r="CO62" s="816">
        <v>0</v>
      </c>
      <c r="CP62" s="816">
        <v>0</v>
      </c>
      <c r="CQ62" s="816">
        <v>0</v>
      </c>
      <c r="CR62" s="816">
        <v>0</v>
      </c>
      <c r="CS62" s="816">
        <v>0</v>
      </c>
      <c r="CT62" s="816">
        <v>0</v>
      </c>
      <c r="CU62" s="816">
        <v>0</v>
      </c>
      <c r="CV62" s="816">
        <v>0</v>
      </c>
      <c r="CW62" s="816">
        <v>0</v>
      </c>
      <c r="CX62" s="816">
        <v>0</v>
      </c>
      <c r="CY62" s="816">
        <v>0</v>
      </c>
      <c r="CZ62" s="816">
        <v>0</v>
      </c>
      <c r="DA62" s="816">
        <v>0</v>
      </c>
      <c r="DB62" s="816">
        <v>0</v>
      </c>
      <c r="DC62" s="816">
        <v>0</v>
      </c>
      <c r="DE62" s="816" t="s">
        <v>96</v>
      </c>
      <c r="DF62" s="816">
        <f t="shared" si="9"/>
        <v>0</v>
      </c>
      <c r="DG62" s="816" t="s">
        <v>97</v>
      </c>
      <c r="DH62" s="816">
        <f t="shared" si="10"/>
        <v>0</v>
      </c>
      <c r="DI62" s="816" t="s">
        <v>98</v>
      </c>
      <c r="DJ62" s="816">
        <f t="shared" si="11"/>
        <v>0</v>
      </c>
      <c r="DK62" s="816" t="s">
        <v>99</v>
      </c>
      <c r="DL62" s="816">
        <f t="shared" si="12"/>
        <v>0</v>
      </c>
      <c r="DM62" s="816" t="s">
        <v>100</v>
      </c>
      <c r="DN62" s="816">
        <f t="shared" si="13"/>
        <v>0</v>
      </c>
      <c r="DO62" s="816" t="s">
        <v>101</v>
      </c>
      <c r="DP62" s="816">
        <f t="shared" si="14"/>
        <v>0</v>
      </c>
    </row>
    <row r="63" spans="1:120">
      <c r="A63" s="815">
        <v>16</v>
      </c>
      <c r="B63" s="815" t="str">
        <f t="shared" si="15"/>
        <v>16HINDI</v>
      </c>
      <c r="C63" s="815">
        <f>VLOOKUP(A63,DATEWISE!$A$3:$BY$27,2,0)</f>
        <v>0</v>
      </c>
      <c r="D63" s="815">
        <f>VLOOKUP(A63,DATEWISE!$A$3:$BY$27,3,0)</f>
        <v>0</v>
      </c>
      <c r="E63" s="815">
        <f>VLOOKUP(A63,DATEWISE!$A$3:$BY$27,4,0)</f>
        <v>0</v>
      </c>
      <c r="F63" s="815" t="str">
        <f t="shared" si="8"/>
        <v>0HINDI</v>
      </c>
      <c r="G63" s="815" t="s">
        <v>87</v>
      </c>
      <c r="H63" s="816">
        <v>0</v>
      </c>
      <c r="I63" s="816">
        <v>0</v>
      </c>
      <c r="J63" s="816">
        <v>0</v>
      </c>
      <c r="K63" s="816">
        <v>0</v>
      </c>
      <c r="L63" s="816">
        <v>0</v>
      </c>
      <c r="M63" s="816">
        <v>0</v>
      </c>
      <c r="N63" s="816">
        <v>0</v>
      </c>
      <c r="O63" s="816">
        <v>0</v>
      </c>
      <c r="P63" s="816">
        <v>0</v>
      </c>
      <c r="Q63" s="816">
        <v>0</v>
      </c>
      <c r="R63" s="816">
        <v>0</v>
      </c>
      <c r="S63" s="816">
        <v>0</v>
      </c>
      <c r="T63" s="816">
        <v>0</v>
      </c>
      <c r="U63" s="816">
        <v>0</v>
      </c>
      <c r="V63" s="816">
        <v>0</v>
      </c>
      <c r="W63" s="816">
        <v>0</v>
      </c>
      <c r="X63" s="816">
        <v>0</v>
      </c>
      <c r="Y63" s="816">
        <v>0</v>
      </c>
      <c r="Z63" s="816">
        <v>0</v>
      </c>
      <c r="AA63" s="816">
        <v>0</v>
      </c>
      <c r="AB63" s="816">
        <v>0</v>
      </c>
      <c r="AC63" s="816">
        <v>0</v>
      </c>
      <c r="AD63" s="816">
        <v>0</v>
      </c>
      <c r="AE63" s="816">
        <v>0</v>
      </c>
      <c r="AF63" s="816">
        <v>0</v>
      </c>
      <c r="AG63" s="816">
        <v>0</v>
      </c>
      <c r="AH63" s="816">
        <v>0</v>
      </c>
      <c r="AI63" s="816">
        <v>0</v>
      </c>
      <c r="AJ63" s="816">
        <v>0</v>
      </c>
      <c r="AK63" s="816">
        <v>0</v>
      </c>
      <c r="AL63" s="816">
        <v>0</v>
      </c>
      <c r="AM63" s="816">
        <v>0</v>
      </c>
      <c r="AN63" s="816">
        <v>0</v>
      </c>
      <c r="AO63" s="816">
        <v>0</v>
      </c>
      <c r="AP63" s="816">
        <v>0</v>
      </c>
      <c r="AQ63" s="816">
        <v>0</v>
      </c>
      <c r="AR63" s="816">
        <v>0</v>
      </c>
      <c r="AS63" s="816">
        <v>0</v>
      </c>
      <c r="AT63" s="816">
        <v>0</v>
      </c>
      <c r="AU63" s="816">
        <v>0</v>
      </c>
      <c r="AV63" s="816">
        <v>0</v>
      </c>
      <c r="AW63" s="816">
        <v>0</v>
      </c>
      <c r="AX63" s="816">
        <v>0</v>
      </c>
      <c r="AY63" s="816">
        <v>0</v>
      </c>
      <c r="AZ63" s="816">
        <v>0</v>
      </c>
      <c r="BA63" s="816">
        <v>0</v>
      </c>
      <c r="BB63" s="816">
        <v>0</v>
      </c>
      <c r="BC63" s="816">
        <v>0</v>
      </c>
      <c r="BD63" s="816">
        <v>0</v>
      </c>
      <c r="BE63" s="816">
        <v>0</v>
      </c>
      <c r="BF63" s="816">
        <v>0</v>
      </c>
      <c r="BG63" s="816">
        <v>0</v>
      </c>
      <c r="BH63" s="816">
        <v>0</v>
      </c>
      <c r="BI63" s="816">
        <v>0</v>
      </c>
      <c r="BJ63" s="816">
        <v>0</v>
      </c>
      <c r="BK63" s="816">
        <v>0</v>
      </c>
      <c r="BL63" s="816">
        <v>0</v>
      </c>
      <c r="BM63" s="816">
        <v>0</v>
      </c>
      <c r="BN63" s="816">
        <v>0</v>
      </c>
      <c r="BO63" s="816">
        <v>0</v>
      </c>
      <c r="BP63" s="816">
        <v>0</v>
      </c>
      <c r="BQ63" s="816">
        <v>0</v>
      </c>
      <c r="BR63" s="816">
        <v>0</v>
      </c>
      <c r="BS63" s="816">
        <v>0</v>
      </c>
      <c r="BT63" s="816">
        <v>0</v>
      </c>
      <c r="BU63" s="816">
        <v>0</v>
      </c>
      <c r="BV63" s="816">
        <v>0</v>
      </c>
      <c r="BW63" s="816">
        <v>0</v>
      </c>
      <c r="BX63" s="816">
        <v>0</v>
      </c>
      <c r="BY63" s="816">
        <v>0</v>
      </c>
      <c r="BZ63" s="816">
        <v>0</v>
      </c>
      <c r="CA63" s="816">
        <v>0</v>
      </c>
      <c r="CB63" s="816">
        <v>0</v>
      </c>
      <c r="CC63" s="816">
        <v>0</v>
      </c>
      <c r="CD63" s="816">
        <v>0</v>
      </c>
      <c r="CE63" s="816">
        <v>0</v>
      </c>
      <c r="CF63" s="816">
        <v>0</v>
      </c>
      <c r="CG63" s="816">
        <v>0</v>
      </c>
      <c r="CH63" s="816">
        <v>0</v>
      </c>
      <c r="CI63" s="816">
        <v>0</v>
      </c>
      <c r="CJ63" s="816">
        <v>0</v>
      </c>
      <c r="CK63" s="816">
        <v>0</v>
      </c>
      <c r="CL63" s="816">
        <v>0</v>
      </c>
      <c r="CM63" s="816">
        <v>0</v>
      </c>
      <c r="CN63" s="816">
        <v>0</v>
      </c>
      <c r="CO63" s="816">
        <v>0</v>
      </c>
      <c r="CP63" s="816">
        <v>0</v>
      </c>
      <c r="CQ63" s="816">
        <v>0</v>
      </c>
      <c r="CR63" s="816">
        <v>0</v>
      </c>
      <c r="CS63" s="816">
        <v>0</v>
      </c>
      <c r="CT63" s="816">
        <v>0</v>
      </c>
      <c r="CU63" s="816">
        <v>0</v>
      </c>
      <c r="CV63" s="816">
        <v>0</v>
      </c>
      <c r="CW63" s="816">
        <v>0</v>
      </c>
      <c r="CX63" s="816">
        <v>0</v>
      </c>
      <c r="CY63" s="816">
        <v>0</v>
      </c>
      <c r="CZ63" s="816">
        <v>0</v>
      </c>
      <c r="DA63" s="816">
        <v>0</v>
      </c>
      <c r="DB63" s="816">
        <v>0</v>
      </c>
      <c r="DC63" s="816">
        <v>0</v>
      </c>
      <c r="DE63" s="816" t="s">
        <v>96</v>
      </c>
      <c r="DF63" s="816">
        <f t="shared" si="9"/>
        <v>0</v>
      </c>
      <c r="DG63" s="816" t="s">
        <v>97</v>
      </c>
      <c r="DH63" s="816">
        <f t="shared" si="10"/>
        <v>0</v>
      </c>
      <c r="DI63" s="816" t="s">
        <v>98</v>
      </c>
      <c r="DJ63" s="816">
        <f t="shared" si="11"/>
        <v>0</v>
      </c>
      <c r="DK63" s="816" t="s">
        <v>99</v>
      </c>
      <c r="DL63" s="816">
        <f t="shared" si="12"/>
        <v>0</v>
      </c>
      <c r="DM63" s="816" t="s">
        <v>100</v>
      </c>
      <c r="DN63" s="816">
        <f t="shared" si="13"/>
        <v>0</v>
      </c>
      <c r="DO63" s="816" t="s">
        <v>101</v>
      </c>
      <c r="DP63" s="816">
        <f t="shared" si="14"/>
        <v>0</v>
      </c>
    </row>
    <row r="64" spans="1:120">
      <c r="A64" s="815">
        <v>16</v>
      </c>
      <c r="B64" s="815" t="str">
        <f t="shared" si="15"/>
        <v>16ENGLISH</v>
      </c>
      <c r="C64" s="815">
        <f>VLOOKUP(A64,DATEWISE!$A$3:$BY$27,2,0)</f>
        <v>0</v>
      </c>
      <c r="D64" s="815">
        <f>VLOOKUP(A64,DATEWISE!$A$3:$BY$27,3,0)</f>
        <v>0</v>
      </c>
      <c r="E64" s="815">
        <f>VLOOKUP(A64,DATEWISE!$A$3:$BY$27,4,0)</f>
        <v>0</v>
      </c>
      <c r="F64" s="815" t="str">
        <f t="shared" si="8"/>
        <v>0ENGLISH</v>
      </c>
      <c r="G64" s="815" t="s">
        <v>89</v>
      </c>
      <c r="H64" s="816">
        <v>0</v>
      </c>
      <c r="I64" s="816">
        <v>0</v>
      </c>
      <c r="J64" s="816">
        <v>0</v>
      </c>
      <c r="K64" s="816">
        <v>0</v>
      </c>
      <c r="L64" s="816">
        <v>0</v>
      </c>
      <c r="M64" s="816">
        <v>0</v>
      </c>
      <c r="N64" s="816">
        <v>0</v>
      </c>
      <c r="O64" s="816">
        <v>0</v>
      </c>
      <c r="P64" s="816">
        <v>0</v>
      </c>
      <c r="Q64" s="816">
        <v>0</v>
      </c>
      <c r="R64" s="816">
        <v>0</v>
      </c>
      <c r="S64" s="816">
        <v>0</v>
      </c>
      <c r="T64" s="816">
        <v>0</v>
      </c>
      <c r="U64" s="816">
        <v>0</v>
      </c>
      <c r="V64" s="816">
        <v>0</v>
      </c>
      <c r="W64" s="816">
        <v>0</v>
      </c>
      <c r="X64" s="816">
        <v>0</v>
      </c>
      <c r="Y64" s="816">
        <v>0</v>
      </c>
      <c r="Z64" s="816">
        <v>0</v>
      </c>
      <c r="AA64" s="816">
        <v>0</v>
      </c>
      <c r="AB64" s="816">
        <v>0</v>
      </c>
      <c r="AC64" s="816">
        <v>0</v>
      </c>
      <c r="AD64" s="816">
        <v>0</v>
      </c>
      <c r="AE64" s="816">
        <v>0</v>
      </c>
      <c r="AF64" s="816">
        <v>0</v>
      </c>
      <c r="AG64" s="816">
        <v>0</v>
      </c>
      <c r="AH64" s="816">
        <v>0</v>
      </c>
      <c r="AI64" s="816">
        <v>0</v>
      </c>
      <c r="AJ64" s="816">
        <v>0</v>
      </c>
      <c r="AK64" s="816">
        <v>0</v>
      </c>
      <c r="AL64" s="816">
        <v>0</v>
      </c>
      <c r="AM64" s="816">
        <v>0</v>
      </c>
      <c r="AN64" s="816">
        <v>0</v>
      </c>
      <c r="AO64" s="816">
        <v>0</v>
      </c>
      <c r="AP64" s="816">
        <v>0</v>
      </c>
      <c r="AQ64" s="816">
        <v>0</v>
      </c>
      <c r="AR64" s="816">
        <v>0</v>
      </c>
      <c r="AS64" s="816">
        <v>0</v>
      </c>
      <c r="AT64" s="816">
        <v>0</v>
      </c>
      <c r="AU64" s="816">
        <v>0</v>
      </c>
      <c r="AV64" s="816">
        <v>0</v>
      </c>
      <c r="AW64" s="816">
        <v>0</v>
      </c>
      <c r="AX64" s="816">
        <v>0</v>
      </c>
      <c r="AY64" s="816">
        <v>0</v>
      </c>
      <c r="AZ64" s="816">
        <v>0</v>
      </c>
      <c r="BA64" s="816">
        <v>0</v>
      </c>
      <c r="BB64" s="816">
        <v>0</v>
      </c>
      <c r="BC64" s="816">
        <v>0</v>
      </c>
      <c r="BD64" s="816">
        <v>0</v>
      </c>
      <c r="BE64" s="816">
        <v>0</v>
      </c>
      <c r="BF64" s="816">
        <v>0</v>
      </c>
      <c r="BG64" s="816">
        <v>0</v>
      </c>
      <c r="BH64" s="816">
        <v>0</v>
      </c>
      <c r="BI64" s="816">
        <v>0</v>
      </c>
      <c r="BJ64" s="816">
        <v>0</v>
      </c>
      <c r="BK64" s="816">
        <v>0</v>
      </c>
      <c r="BL64" s="816">
        <v>0</v>
      </c>
      <c r="BM64" s="816">
        <v>0</v>
      </c>
      <c r="BN64" s="816">
        <v>0</v>
      </c>
      <c r="BO64" s="816">
        <v>0</v>
      </c>
      <c r="BP64" s="816">
        <v>0</v>
      </c>
      <c r="BQ64" s="816">
        <v>0</v>
      </c>
      <c r="BR64" s="816">
        <v>0</v>
      </c>
      <c r="BS64" s="816">
        <v>0</v>
      </c>
      <c r="BT64" s="816">
        <v>0</v>
      </c>
      <c r="BU64" s="816">
        <v>0</v>
      </c>
      <c r="BV64" s="816">
        <v>0</v>
      </c>
      <c r="BW64" s="816">
        <v>0</v>
      </c>
      <c r="BX64" s="816">
        <v>0</v>
      </c>
      <c r="BY64" s="816">
        <v>0</v>
      </c>
      <c r="BZ64" s="816">
        <v>0</v>
      </c>
      <c r="CA64" s="816">
        <v>0</v>
      </c>
      <c r="CB64" s="816">
        <v>0</v>
      </c>
      <c r="CC64" s="816">
        <v>0</v>
      </c>
      <c r="CD64" s="816">
        <v>0</v>
      </c>
      <c r="CE64" s="816">
        <v>0</v>
      </c>
      <c r="CF64" s="816">
        <v>0</v>
      </c>
      <c r="CG64" s="816">
        <v>0</v>
      </c>
      <c r="CH64" s="816">
        <v>0</v>
      </c>
      <c r="CI64" s="816">
        <v>0</v>
      </c>
      <c r="CJ64" s="816">
        <v>0</v>
      </c>
      <c r="CK64" s="816">
        <v>0</v>
      </c>
      <c r="CL64" s="816">
        <v>0</v>
      </c>
      <c r="CM64" s="816">
        <v>0</v>
      </c>
      <c r="CN64" s="816">
        <v>0</v>
      </c>
      <c r="CO64" s="816">
        <v>0</v>
      </c>
      <c r="CP64" s="816">
        <v>0</v>
      </c>
      <c r="CQ64" s="816">
        <v>0</v>
      </c>
      <c r="CR64" s="816">
        <v>0</v>
      </c>
      <c r="CS64" s="816">
        <v>0</v>
      </c>
      <c r="CT64" s="816">
        <v>0</v>
      </c>
      <c r="CU64" s="816">
        <v>0</v>
      </c>
      <c r="CV64" s="816">
        <v>0</v>
      </c>
      <c r="CW64" s="816">
        <v>0</v>
      </c>
      <c r="CX64" s="816">
        <v>0</v>
      </c>
      <c r="CY64" s="816">
        <v>0</v>
      </c>
      <c r="CZ64" s="816">
        <v>0</v>
      </c>
      <c r="DA64" s="816">
        <v>0</v>
      </c>
      <c r="DB64" s="816">
        <v>0</v>
      </c>
      <c r="DC64" s="816">
        <v>0</v>
      </c>
      <c r="DE64" s="816" t="s">
        <v>96</v>
      </c>
      <c r="DF64" s="816">
        <f t="shared" si="9"/>
        <v>0</v>
      </c>
      <c r="DG64" s="816" t="s">
        <v>97</v>
      </c>
      <c r="DH64" s="816">
        <f t="shared" si="10"/>
        <v>0</v>
      </c>
      <c r="DI64" s="816" t="s">
        <v>98</v>
      </c>
      <c r="DJ64" s="816">
        <f t="shared" si="11"/>
        <v>0</v>
      </c>
      <c r="DK64" s="816" t="s">
        <v>99</v>
      </c>
      <c r="DL64" s="816">
        <f t="shared" si="12"/>
        <v>0</v>
      </c>
      <c r="DM64" s="816" t="s">
        <v>100</v>
      </c>
      <c r="DN64" s="816">
        <f t="shared" si="13"/>
        <v>0</v>
      </c>
      <c r="DO64" s="816" t="s">
        <v>101</v>
      </c>
      <c r="DP64" s="816">
        <f t="shared" si="14"/>
        <v>0</v>
      </c>
    </row>
    <row r="65" spans="1:120">
      <c r="A65" s="815">
        <v>16</v>
      </c>
      <c r="B65" s="815" t="str">
        <f t="shared" si="15"/>
        <v>16MATHS</v>
      </c>
      <c r="C65" s="815">
        <f>VLOOKUP(A65,DATEWISE!$A$3:$BY$27,2,0)</f>
        <v>0</v>
      </c>
      <c r="D65" s="815">
        <f>VLOOKUP(A65,DATEWISE!$A$3:$BY$27,3,0)</f>
        <v>0</v>
      </c>
      <c r="E65" s="815">
        <f>VLOOKUP(A65,DATEWISE!$A$3:$BY$27,4,0)</f>
        <v>0</v>
      </c>
      <c r="F65" s="815" t="str">
        <f t="shared" si="8"/>
        <v>0MATHS</v>
      </c>
      <c r="G65" s="815" t="s">
        <v>88</v>
      </c>
      <c r="H65" s="816">
        <v>0</v>
      </c>
      <c r="I65" s="816">
        <v>0</v>
      </c>
      <c r="J65" s="816">
        <v>0</v>
      </c>
      <c r="K65" s="816">
        <v>0</v>
      </c>
      <c r="L65" s="816">
        <v>0</v>
      </c>
      <c r="M65" s="816">
        <v>0</v>
      </c>
      <c r="N65" s="816">
        <v>0</v>
      </c>
      <c r="O65" s="816">
        <v>0</v>
      </c>
      <c r="P65" s="816">
        <v>0</v>
      </c>
      <c r="Q65" s="816">
        <v>0</v>
      </c>
      <c r="R65" s="816">
        <v>0</v>
      </c>
      <c r="S65" s="816">
        <v>0</v>
      </c>
      <c r="T65" s="816">
        <v>0</v>
      </c>
      <c r="U65" s="816">
        <v>0</v>
      </c>
      <c r="V65" s="816">
        <v>0</v>
      </c>
      <c r="W65" s="816">
        <v>0</v>
      </c>
      <c r="X65" s="816">
        <v>0</v>
      </c>
      <c r="Y65" s="816">
        <v>0</v>
      </c>
      <c r="Z65" s="816">
        <v>0</v>
      </c>
      <c r="AA65" s="816">
        <v>0</v>
      </c>
      <c r="AB65" s="816">
        <v>0</v>
      </c>
      <c r="AC65" s="816">
        <v>0</v>
      </c>
      <c r="AD65" s="816">
        <v>0</v>
      </c>
      <c r="AE65" s="816">
        <v>0</v>
      </c>
      <c r="AF65" s="816">
        <v>0</v>
      </c>
      <c r="AG65" s="816">
        <v>0</v>
      </c>
      <c r="AH65" s="816">
        <v>0</v>
      </c>
      <c r="AI65" s="816">
        <v>0</v>
      </c>
      <c r="AJ65" s="816">
        <v>0</v>
      </c>
      <c r="AK65" s="816">
        <v>0</v>
      </c>
      <c r="AL65" s="816">
        <v>0</v>
      </c>
      <c r="AM65" s="816">
        <v>0</v>
      </c>
      <c r="AN65" s="816">
        <v>0</v>
      </c>
      <c r="AO65" s="816">
        <v>0</v>
      </c>
      <c r="AP65" s="816">
        <v>0</v>
      </c>
      <c r="AQ65" s="816">
        <v>0</v>
      </c>
      <c r="AR65" s="816">
        <v>0</v>
      </c>
      <c r="AS65" s="816">
        <v>0</v>
      </c>
      <c r="AT65" s="816">
        <v>0</v>
      </c>
      <c r="AU65" s="816">
        <v>0</v>
      </c>
      <c r="AV65" s="816">
        <v>0</v>
      </c>
      <c r="AW65" s="816">
        <v>0</v>
      </c>
      <c r="AX65" s="816">
        <v>0</v>
      </c>
      <c r="AY65" s="816">
        <v>0</v>
      </c>
      <c r="AZ65" s="816">
        <v>0</v>
      </c>
      <c r="BA65" s="816">
        <v>0</v>
      </c>
      <c r="BB65" s="816">
        <v>0</v>
      </c>
      <c r="BC65" s="816">
        <v>0</v>
      </c>
      <c r="BD65" s="816">
        <v>0</v>
      </c>
      <c r="BE65" s="816">
        <v>0</v>
      </c>
      <c r="BF65" s="816">
        <v>0</v>
      </c>
      <c r="BG65" s="816">
        <v>0</v>
      </c>
      <c r="BH65" s="816">
        <v>0</v>
      </c>
      <c r="BI65" s="816">
        <v>0</v>
      </c>
      <c r="BJ65" s="816">
        <v>0</v>
      </c>
      <c r="BK65" s="816">
        <v>0</v>
      </c>
      <c r="BL65" s="816">
        <v>0</v>
      </c>
      <c r="BM65" s="816">
        <v>0</v>
      </c>
      <c r="BN65" s="816">
        <v>0</v>
      </c>
      <c r="BO65" s="816">
        <v>0</v>
      </c>
      <c r="BP65" s="816">
        <v>0</v>
      </c>
      <c r="BQ65" s="816">
        <v>0</v>
      </c>
      <c r="BR65" s="816">
        <v>0</v>
      </c>
      <c r="BS65" s="816">
        <v>0</v>
      </c>
      <c r="BT65" s="816">
        <v>0</v>
      </c>
      <c r="BU65" s="816">
        <v>0</v>
      </c>
      <c r="BV65" s="816">
        <v>0</v>
      </c>
      <c r="BW65" s="816">
        <v>0</v>
      </c>
      <c r="BX65" s="816">
        <v>0</v>
      </c>
      <c r="BY65" s="816">
        <v>0</v>
      </c>
      <c r="BZ65" s="816">
        <v>0</v>
      </c>
      <c r="CA65" s="816">
        <v>0</v>
      </c>
      <c r="CB65" s="816">
        <v>0</v>
      </c>
      <c r="CC65" s="816">
        <v>0</v>
      </c>
      <c r="CD65" s="816">
        <v>0</v>
      </c>
      <c r="CE65" s="816">
        <v>0</v>
      </c>
      <c r="CF65" s="816">
        <v>0</v>
      </c>
      <c r="CG65" s="816">
        <v>0</v>
      </c>
      <c r="CH65" s="816">
        <v>0</v>
      </c>
      <c r="CI65" s="816">
        <v>0</v>
      </c>
      <c r="CJ65" s="816">
        <v>0</v>
      </c>
      <c r="CK65" s="816">
        <v>0</v>
      </c>
      <c r="CL65" s="816">
        <v>0</v>
      </c>
      <c r="CM65" s="816">
        <v>0</v>
      </c>
      <c r="CN65" s="816">
        <v>0</v>
      </c>
      <c r="CO65" s="816">
        <v>0</v>
      </c>
      <c r="CP65" s="816">
        <v>0</v>
      </c>
      <c r="CQ65" s="816">
        <v>0</v>
      </c>
      <c r="CR65" s="816">
        <v>0</v>
      </c>
      <c r="CS65" s="816">
        <v>0</v>
      </c>
      <c r="CT65" s="816">
        <v>0</v>
      </c>
      <c r="CU65" s="816">
        <v>0</v>
      </c>
      <c r="CV65" s="816">
        <v>0</v>
      </c>
      <c r="CW65" s="816">
        <v>0</v>
      </c>
      <c r="CX65" s="816">
        <v>0</v>
      </c>
      <c r="CY65" s="816">
        <v>0</v>
      </c>
      <c r="CZ65" s="816">
        <v>0</v>
      </c>
      <c r="DA65" s="816">
        <v>0</v>
      </c>
      <c r="DB65" s="816">
        <v>0</v>
      </c>
      <c r="DC65" s="816">
        <v>0</v>
      </c>
      <c r="DE65" s="816" t="s">
        <v>96</v>
      </c>
      <c r="DF65" s="816">
        <f t="shared" si="9"/>
        <v>0</v>
      </c>
      <c r="DG65" s="816" t="s">
        <v>97</v>
      </c>
      <c r="DH65" s="816">
        <f t="shared" si="10"/>
        <v>0</v>
      </c>
      <c r="DI65" s="816" t="s">
        <v>98</v>
      </c>
      <c r="DJ65" s="816">
        <f t="shared" si="11"/>
        <v>0</v>
      </c>
      <c r="DK65" s="816" t="s">
        <v>99</v>
      </c>
      <c r="DL65" s="816">
        <f t="shared" si="12"/>
        <v>0</v>
      </c>
      <c r="DM65" s="816" t="s">
        <v>100</v>
      </c>
      <c r="DN65" s="816">
        <f t="shared" si="13"/>
        <v>0</v>
      </c>
      <c r="DO65" s="816" t="s">
        <v>101</v>
      </c>
      <c r="DP65" s="816">
        <f t="shared" si="14"/>
        <v>0</v>
      </c>
    </row>
    <row r="66" spans="1:120">
      <c r="A66" s="815">
        <v>16</v>
      </c>
      <c r="B66" s="815" t="str">
        <f t="shared" si="15"/>
        <v>16REMARKS</v>
      </c>
      <c r="C66" s="815">
        <f>VLOOKUP(A66,DATEWISE!$A$3:$BY$27,2,0)</f>
        <v>0</v>
      </c>
      <c r="D66" s="815">
        <f>VLOOKUP(A66,DATEWISE!$A$3:$BY$27,3,0)</f>
        <v>0</v>
      </c>
      <c r="E66" s="815">
        <f>VLOOKUP(A66,DATEWISE!$A$3:$BY$27,4,0)</f>
        <v>0</v>
      </c>
      <c r="F66" s="815" t="str">
        <f t="shared" si="8"/>
        <v>0REMARKS</v>
      </c>
      <c r="G66" s="815" t="s">
        <v>390</v>
      </c>
      <c r="H66" s="816">
        <v>0</v>
      </c>
      <c r="I66" s="816">
        <v>0</v>
      </c>
      <c r="J66" s="816">
        <v>0</v>
      </c>
      <c r="K66" s="816">
        <v>0</v>
      </c>
      <c r="L66" s="816">
        <v>0</v>
      </c>
      <c r="M66" s="816">
        <v>0</v>
      </c>
      <c r="N66" s="816">
        <v>0</v>
      </c>
      <c r="O66" s="816">
        <v>0</v>
      </c>
      <c r="P66" s="816">
        <v>0</v>
      </c>
      <c r="Q66" s="816">
        <v>0</v>
      </c>
      <c r="R66" s="816">
        <v>0</v>
      </c>
      <c r="S66" s="816">
        <v>0</v>
      </c>
      <c r="T66" s="816">
        <v>0</v>
      </c>
      <c r="U66" s="816">
        <v>0</v>
      </c>
      <c r="V66" s="816">
        <v>0</v>
      </c>
      <c r="W66" s="816">
        <v>0</v>
      </c>
      <c r="X66" s="816">
        <v>0</v>
      </c>
      <c r="Y66" s="816">
        <v>0</v>
      </c>
      <c r="Z66" s="816">
        <v>0</v>
      </c>
      <c r="AA66" s="816">
        <v>0</v>
      </c>
      <c r="AB66" s="816">
        <v>0</v>
      </c>
      <c r="AC66" s="816">
        <v>0</v>
      </c>
      <c r="AD66" s="816">
        <v>0</v>
      </c>
      <c r="AE66" s="816">
        <v>0</v>
      </c>
      <c r="AF66" s="816">
        <v>0</v>
      </c>
      <c r="AG66" s="816">
        <v>0</v>
      </c>
      <c r="AH66" s="816">
        <v>0</v>
      </c>
      <c r="AI66" s="816">
        <v>0</v>
      </c>
      <c r="AJ66" s="816">
        <v>0</v>
      </c>
      <c r="AK66" s="816">
        <v>0</v>
      </c>
      <c r="AL66" s="816">
        <v>0</v>
      </c>
      <c r="AM66" s="816">
        <v>0</v>
      </c>
      <c r="AN66" s="816">
        <v>0</v>
      </c>
      <c r="AO66" s="816">
        <v>0</v>
      </c>
      <c r="AP66" s="816">
        <v>0</v>
      </c>
      <c r="AQ66" s="816">
        <v>0</v>
      </c>
      <c r="AR66" s="816">
        <v>0</v>
      </c>
      <c r="AS66" s="816">
        <v>0</v>
      </c>
      <c r="AT66" s="816">
        <v>0</v>
      </c>
      <c r="AU66" s="816">
        <v>0</v>
      </c>
      <c r="AV66" s="816">
        <v>0</v>
      </c>
      <c r="AW66" s="816">
        <v>0</v>
      </c>
      <c r="AX66" s="816">
        <v>0</v>
      </c>
      <c r="AY66" s="816">
        <v>0</v>
      </c>
      <c r="AZ66" s="816">
        <v>0</v>
      </c>
      <c r="BA66" s="816">
        <v>0</v>
      </c>
      <c r="BB66" s="816">
        <v>0</v>
      </c>
      <c r="BC66" s="816">
        <v>0</v>
      </c>
      <c r="BD66" s="816">
        <v>0</v>
      </c>
      <c r="BE66" s="816">
        <v>0</v>
      </c>
      <c r="BF66" s="816">
        <v>0</v>
      </c>
      <c r="BG66" s="816">
        <v>0</v>
      </c>
      <c r="BH66" s="816">
        <v>0</v>
      </c>
      <c r="BI66" s="816">
        <v>0</v>
      </c>
      <c r="BJ66" s="816">
        <v>0</v>
      </c>
      <c r="BK66" s="816">
        <v>0</v>
      </c>
      <c r="BL66" s="816">
        <v>0</v>
      </c>
      <c r="BM66" s="816">
        <v>0</v>
      </c>
      <c r="BN66" s="816">
        <v>0</v>
      </c>
      <c r="BO66" s="816">
        <v>0</v>
      </c>
      <c r="BP66" s="816">
        <v>0</v>
      </c>
      <c r="BQ66" s="816">
        <v>0</v>
      </c>
      <c r="BR66" s="816">
        <v>0</v>
      </c>
      <c r="BS66" s="816">
        <v>0</v>
      </c>
      <c r="BT66" s="816">
        <v>0</v>
      </c>
      <c r="BU66" s="816">
        <v>0</v>
      </c>
      <c r="BV66" s="816">
        <v>0</v>
      </c>
      <c r="BW66" s="816">
        <v>0</v>
      </c>
      <c r="BX66" s="816">
        <v>0</v>
      </c>
      <c r="BY66" s="816">
        <v>0</v>
      </c>
      <c r="BZ66" s="816">
        <v>0</v>
      </c>
      <c r="CA66" s="816">
        <v>0</v>
      </c>
      <c r="CB66" s="816">
        <v>0</v>
      </c>
      <c r="CC66" s="816">
        <v>0</v>
      </c>
      <c r="CD66" s="816">
        <v>0</v>
      </c>
      <c r="CE66" s="816">
        <v>0</v>
      </c>
      <c r="CF66" s="816">
        <v>0</v>
      </c>
      <c r="CG66" s="816">
        <v>0</v>
      </c>
      <c r="CH66" s="816">
        <v>0</v>
      </c>
      <c r="CI66" s="816">
        <v>0</v>
      </c>
      <c r="CJ66" s="816">
        <v>0</v>
      </c>
      <c r="CK66" s="816">
        <v>0</v>
      </c>
      <c r="CL66" s="816">
        <v>0</v>
      </c>
      <c r="CM66" s="816">
        <v>0</v>
      </c>
      <c r="CN66" s="816">
        <v>0</v>
      </c>
      <c r="CO66" s="816">
        <v>0</v>
      </c>
      <c r="CP66" s="816">
        <v>0</v>
      </c>
      <c r="CQ66" s="816">
        <v>0</v>
      </c>
      <c r="CR66" s="816">
        <v>0</v>
      </c>
      <c r="CS66" s="816">
        <v>0</v>
      </c>
      <c r="CT66" s="816">
        <v>0</v>
      </c>
      <c r="CU66" s="816">
        <v>0</v>
      </c>
      <c r="CV66" s="816">
        <v>0</v>
      </c>
      <c r="CW66" s="816">
        <v>0</v>
      </c>
      <c r="CX66" s="816">
        <v>0</v>
      </c>
      <c r="CY66" s="816">
        <v>0</v>
      </c>
      <c r="CZ66" s="816">
        <v>0</v>
      </c>
      <c r="DA66" s="816">
        <v>0</v>
      </c>
      <c r="DB66" s="816">
        <v>0</v>
      </c>
      <c r="DC66" s="816">
        <v>0</v>
      </c>
      <c r="DE66" s="816" t="s">
        <v>96</v>
      </c>
      <c r="DF66" s="816">
        <f t="shared" si="9"/>
        <v>0</v>
      </c>
      <c r="DG66" s="816" t="s">
        <v>97</v>
      </c>
      <c r="DH66" s="816">
        <f t="shared" si="10"/>
        <v>0</v>
      </c>
      <c r="DI66" s="816" t="s">
        <v>98</v>
      </c>
      <c r="DJ66" s="816">
        <f t="shared" si="11"/>
        <v>0</v>
      </c>
      <c r="DK66" s="816" t="s">
        <v>99</v>
      </c>
      <c r="DL66" s="816">
        <f t="shared" si="12"/>
        <v>0</v>
      </c>
      <c r="DM66" s="816" t="s">
        <v>100</v>
      </c>
      <c r="DN66" s="816">
        <f t="shared" si="13"/>
        <v>0</v>
      </c>
      <c r="DO66" s="816" t="s">
        <v>101</v>
      </c>
      <c r="DP66" s="816">
        <f t="shared" si="14"/>
        <v>0</v>
      </c>
    </row>
    <row r="67" spans="1:120">
      <c r="A67" s="815">
        <v>17</v>
      </c>
      <c r="B67" s="815" t="str">
        <f t="shared" ref="B67:B98" si="16">A67&amp;G67</f>
        <v>17HINDI</v>
      </c>
      <c r="C67" s="815">
        <f>VLOOKUP(A67,DATEWISE!$A$3:$BY$27,2,0)</f>
        <v>0</v>
      </c>
      <c r="D67" s="815">
        <f>VLOOKUP(A67,DATEWISE!$A$3:$BY$27,3,0)</f>
        <v>0</v>
      </c>
      <c r="E67" s="815">
        <f>VLOOKUP(A67,DATEWISE!$A$3:$BY$27,4,0)</f>
        <v>0</v>
      </c>
      <c r="F67" s="815" t="str">
        <f t="shared" si="8"/>
        <v>0HINDI</v>
      </c>
      <c r="G67" s="815" t="s">
        <v>87</v>
      </c>
      <c r="H67" s="816">
        <v>0</v>
      </c>
      <c r="I67" s="816">
        <v>0</v>
      </c>
      <c r="J67" s="816">
        <v>0</v>
      </c>
      <c r="K67" s="816">
        <v>0</v>
      </c>
      <c r="L67" s="816">
        <v>0</v>
      </c>
      <c r="M67" s="816">
        <v>0</v>
      </c>
      <c r="N67" s="816">
        <v>0</v>
      </c>
      <c r="O67" s="816">
        <v>0</v>
      </c>
      <c r="P67" s="816">
        <v>0</v>
      </c>
      <c r="Q67" s="816">
        <v>0</v>
      </c>
      <c r="R67" s="816">
        <v>0</v>
      </c>
      <c r="S67" s="816">
        <v>0</v>
      </c>
      <c r="T67" s="816">
        <v>0</v>
      </c>
      <c r="U67" s="816">
        <v>0</v>
      </c>
      <c r="V67" s="816">
        <v>0</v>
      </c>
      <c r="W67" s="816">
        <v>0</v>
      </c>
      <c r="X67" s="816">
        <v>0</v>
      </c>
      <c r="Y67" s="816">
        <v>0</v>
      </c>
      <c r="Z67" s="816">
        <v>0</v>
      </c>
      <c r="AA67" s="816">
        <v>0</v>
      </c>
      <c r="AB67" s="816">
        <v>0</v>
      </c>
      <c r="AC67" s="816">
        <v>0</v>
      </c>
      <c r="AD67" s="816">
        <v>0</v>
      </c>
      <c r="AE67" s="816">
        <v>0</v>
      </c>
      <c r="AF67" s="816">
        <v>0</v>
      </c>
      <c r="AG67" s="816">
        <v>0</v>
      </c>
      <c r="AH67" s="816">
        <v>0</v>
      </c>
      <c r="AI67" s="816">
        <v>0</v>
      </c>
      <c r="AJ67" s="816">
        <v>0</v>
      </c>
      <c r="AK67" s="816">
        <v>0</v>
      </c>
      <c r="AL67" s="816">
        <v>0</v>
      </c>
      <c r="AM67" s="816">
        <v>0</v>
      </c>
      <c r="AN67" s="816">
        <v>0</v>
      </c>
      <c r="AO67" s="816">
        <v>0</v>
      </c>
      <c r="AP67" s="816">
        <v>0</v>
      </c>
      <c r="AQ67" s="816">
        <v>0</v>
      </c>
      <c r="AR67" s="816">
        <v>0</v>
      </c>
      <c r="AS67" s="816">
        <v>0</v>
      </c>
      <c r="AT67" s="816">
        <v>0</v>
      </c>
      <c r="AU67" s="816">
        <v>0</v>
      </c>
      <c r="AV67" s="816">
        <v>0</v>
      </c>
      <c r="AW67" s="816">
        <v>0</v>
      </c>
      <c r="AX67" s="816">
        <v>0</v>
      </c>
      <c r="AY67" s="816">
        <v>0</v>
      </c>
      <c r="AZ67" s="816">
        <v>0</v>
      </c>
      <c r="BA67" s="816">
        <v>0</v>
      </c>
      <c r="BB67" s="816">
        <v>0</v>
      </c>
      <c r="BC67" s="816">
        <v>0</v>
      </c>
      <c r="BD67" s="816">
        <v>0</v>
      </c>
      <c r="BE67" s="816">
        <v>0</v>
      </c>
      <c r="BF67" s="816">
        <v>0</v>
      </c>
      <c r="BG67" s="816">
        <v>0</v>
      </c>
      <c r="BH67" s="816">
        <v>0</v>
      </c>
      <c r="BI67" s="816">
        <v>0</v>
      </c>
      <c r="BJ67" s="816">
        <v>0</v>
      </c>
      <c r="BK67" s="816">
        <v>0</v>
      </c>
      <c r="BL67" s="816">
        <v>0</v>
      </c>
      <c r="BM67" s="816">
        <v>0</v>
      </c>
      <c r="BN67" s="816">
        <v>0</v>
      </c>
      <c r="BO67" s="816">
        <v>0</v>
      </c>
      <c r="BP67" s="816">
        <v>0</v>
      </c>
      <c r="BQ67" s="816">
        <v>0</v>
      </c>
      <c r="BR67" s="816">
        <v>0</v>
      </c>
      <c r="BS67" s="816">
        <v>0</v>
      </c>
      <c r="BT67" s="816">
        <v>0</v>
      </c>
      <c r="BU67" s="816">
        <v>0</v>
      </c>
      <c r="BV67" s="816">
        <v>0</v>
      </c>
      <c r="BW67" s="816">
        <v>0</v>
      </c>
      <c r="BX67" s="816">
        <v>0</v>
      </c>
      <c r="BY67" s="816">
        <v>0</v>
      </c>
      <c r="BZ67" s="816">
        <v>0</v>
      </c>
      <c r="CA67" s="816">
        <v>0</v>
      </c>
      <c r="CB67" s="816">
        <v>0</v>
      </c>
      <c r="CC67" s="816">
        <v>0</v>
      </c>
      <c r="CD67" s="816">
        <v>0</v>
      </c>
      <c r="CE67" s="816">
        <v>0</v>
      </c>
      <c r="CF67" s="816">
        <v>0</v>
      </c>
      <c r="CG67" s="816">
        <v>0</v>
      </c>
      <c r="CH67" s="816">
        <v>0</v>
      </c>
      <c r="CI67" s="816">
        <v>0</v>
      </c>
      <c r="CJ67" s="816">
        <v>0</v>
      </c>
      <c r="CK67" s="816">
        <v>0</v>
      </c>
      <c r="CL67" s="816">
        <v>0</v>
      </c>
      <c r="CM67" s="816">
        <v>0</v>
      </c>
      <c r="CN67" s="816">
        <v>0</v>
      </c>
      <c r="CO67" s="816">
        <v>0</v>
      </c>
      <c r="CP67" s="816">
        <v>0</v>
      </c>
      <c r="CQ67" s="816">
        <v>0</v>
      </c>
      <c r="CR67" s="816">
        <v>0</v>
      </c>
      <c r="CS67" s="816">
        <v>0</v>
      </c>
      <c r="CT67" s="816">
        <v>0</v>
      </c>
      <c r="CU67" s="816">
        <v>0</v>
      </c>
      <c r="CV67" s="816">
        <v>0</v>
      </c>
      <c r="CW67" s="816">
        <v>0</v>
      </c>
      <c r="CX67" s="816">
        <v>0</v>
      </c>
      <c r="CY67" s="816">
        <v>0</v>
      </c>
      <c r="CZ67" s="816">
        <v>0</v>
      </c>
      <c r="DA67" s="816">
        <v>0</v>
      </c>
      <c r="DB67" s="816">
        <v>0</v>
      </c>
      <c r="DC67" s="816">
        <v>0</v>
      </c>
      <c r="DE67" s="816" t="s">
        <v>96</v>
      </c>
      <c r="DF67" s="816">
        <f t="shared" si="9"/>
        <v>0</v>
      </c>
      <c r="DG67" s="816" t="s">
        <v>97</v>
      </c>
      <c r="DH67" s="816">
        <f t="shared" si="10"/>
        <v>0</v>
      </c>
      <c r="DI67" s="816" t="s">
        <v>98</v>
      </c>
      <c r="DJ67" s="816">
        <f t="shared" si="11"/>
        <v>0</v>
      </c>
      <c r="DK67" s="816" t="s">
        <v>99</v>
      </c>
      <c r="DL67" s="816">
        <f t="shared" si="12"/>
        <v>0</v>
      </c>
      <c r="DM67" s="816" t="s">
        <v>100</v>
      </c>
      <c r="DN67" s="816">
        <f t="shared" si="13"/>
        <v>0</v>
      </c>
      <c r="DO67" s="816" t="s">
        <v>101</v>
      </c>
      <c r="DP67" s="816">
        <f t="shared" si="14"/>
        <v>0</v>
      </c>
    </row>
    <row r="68" spans="1:120">
      <c r="A68" s="815">
        <v>17</v>
      </c>
      <c r="B68" s="815" t="str">
        <f t="shared" si="16"/>
        <v>17ENGLISH</v>
      </c>
      <c r="C68" s="815">
        <f>VLOOKUP(A68,DATEWISE!$A$3:$BY$27,2,0)</f>
        <v>0</v>
      </c>
      <c r="D68" s="815">
        <f>VLOOKUP(A68,DATEWISE!$A$3:$BY$27,3,0)</f>
        <v>0</v>
      </c>
      <c r="E68" s="815">
        <f>VLOOKUP(A68,DATEWISE!$A$3:$BY$27,4,0)</f>
        <v>0</v>
      </c>
      <c r="F68" s="815" t="str">
        <f t="shared" ref="F68:F102" si="17">C68&amp;G68</f>
        <v>0ENGLISH</v>
      </c>
      <c r="G68" s="815" t="s">
        <v>89</v>
      </c>
      <c r="H68" s="816">
        <v>0</v>
      </c>
      <c r="I68" s="816">
        <v>0</v>
      </c>
      <c r="J68" s="816">
        <v>0</v>
      </c>
      <c r="K68" s="816">
        <v>0</v>
      </c>
      <c r="L68" s="816">
        <v>0</v>
      </c>
      <c r="M68" s="816">
        <v>0</v>
      </c>
      <c r="N68" s="816">
        <v>0</v>
      </c>
      <c r="O68" s="816">
        <v>0</v>
      </c>
      <c r="P68" s="816">
        <v>0</v>
      </c>
      <c r="Q68" s="816">
        <v>0</v>
      </c>
      <c r="R68" s="816">
        <v>0</v>
      </c>
      <c r="S68" s="816">
        <v>0</v>
      </c>
      <c r="T68" s="816">
        <v>0</v>
      </c>
      <c r="U68" s="816">
        <v>0</v>
      </c>
      <c r="V68" s="816">
        <v>0</v>
      </c>
      <c r="W68" s="816">
        <v>0</v>
      </c>
      <c r="X68" s="816">
        <v>0</v>
      </c>
      <c r="Y68" s="816">
        <v>0</v>
      </c>
      <c r="Z68" s="816">
        <v>0</v>
      </c>
      <c r="AA68" s="816">
        <v>0</v>
      </c>
      <c r="AB68" s="816">
        <v>0</v>
      </c>
      <c r="AC68" s="816">
        <v>0</v>
      </c>
      <c r="AD68" s="816">
        <v>0</v>
      </c>
      <c r="AE68" s="816">
        <v>0</v>
      </c>
      <c r="AF68" s="816">
        <v>0</v>
      </c>
      <c r="AG68" s="816">
        <v>0</v>
      </c>
      <c r="AH68" s="816">
        <v>0</v>
      </c>
      <c r="AI68" s="816">
        <v>0</v>
      </c>
      <c r="AJ68" s="816">
        <v>0</v>
      </c>
      <c r="AK68" s="816">
        <v>0</v>
      </c>
      <c r="AL68" s="816">
        <v>0</v>
      </c>
      <c r="AM68" s="816">
        <v>0</v>
      </c>
      <c r="AN68" s="816">
        <v>0</v>
      </c>
      <c r="AO68" s="816">
        <v>0</v>
      </c>
      <c r="AP68" s="816">
        <v>0</v>
      </c>
      <c r="AQ68" s="816">
        <v>0</v>
      </c>
      <c r="AR68" s="816">
        <v>0</v>
      </c>
      <c r="AS68" s="816">
        <v>0</v>
      </c>
      <c r="AT68" s="816">
        <v>0</v>
      </c>
      <c r="AU68" s="816">
        <v>0</v>
      </c>
      <c r="AV68" s="816">
        <v>0</v>
      </c>
      <c r="AW68" s="816">
        <v>0</v>
      </c>
      <c r="AX68" s="816">
        <v>0</v>
      </c>
      <c r="AY68" s="816">
        <v>0</v>
      </c>
      <c r="AZ68" s="816">
        <v>0</v>
      </c>
      <c r="BA68" s="816">
        <v>0</v>
      </c>
      <c r="BB68" s="816">
        <v>0</v>
      </c>
      <c r="BC68" s="816">
        <v>0</v>
      </c>
      <c r="BD68" s="816">
        <v>0</v>
      </c>
      <c r="BE68" s="816">
        <v>0</v>
      </c>
      <c r="BF68" s="816">
        <v>0</v>
      </c>
      <c r="BG68" s="816">
        <v>0</v>
      </c>
      <c r="BH68" s="816">
        <v>0</v>
      </c>
      <c r="BI68" s="816">
        <v>0</v>
      </c>
      <c r="BJ68" s="816">
        <v>0</v>
      </c>
      <c r="BK68" s="816">
        <v>0</v>
      </c>
      <c r="BL68" s="816">
        <v>0</v>
      </c>
      <c r="BM68" s="816">
        <v>0</v>
      </c>
      <c r="BN68" s="816">
        <v>0</v>
      </c>
      <c r="BO68" s="816">
        <v>0</v>
      </c>
      <c r="BP68" s="816">
        <v>0</v>
      </c>
      <c r="BQ68" s="816">
        <v>0</v>
      </c>
      <c r="BR68" s="816">
        <v>0</v>
      </c>
      <c r="BS68" s="816">
        <v>0</v>
      </c>
      <c r="BT68" s="816">
        <v>0</v>
      </c>
      <c r="BU68" s="816">
        <v>0</v>
      </c>
      <c r="BV68" s="816">
        <v>0</v>
      </c>
      <c r="BW68" s="816">
        <v>0</v>
      </c>
      <c r="BX68" s="816">
        <v>0</v>
      </c>
      <c r="BY68" s="816">
        <v>0</v>
      </c>
      <c r="BZ68" s="816">
        <v>0</v>
      </c>
      <c r="CA68" s="816">
        <v>0</v>
      </c>
      <c r="CB68" s="816">
        <v>0</v>
      </c>
      <c r="CC68" s="816">
        <v>0</v>
      </c>
      <c r="CD68" s="816">
        <v>0</v>
      </c>
      <c r="CE68" s="816">
        <v>0</v>
      </c>
      <c r="CF68" s="816">
        <v>0</v>
      </c>
      <c r="CG68" s="816">
        <v>0</v>
      </c>
      <c r="CH68" s="816">
        <v>0</v>
      </c>
      <c r="CI68" s="816">
        <v>0</v>
      </c>
      <c r="CJ68" s="816">
        <v>0</v>
      </c>
      <c r="CK68" s="816">
        <v>0</v>
      </c>
      <c r="CL68" s="816">
        <v>0</v>
      </c>
      <c r="CM68" s="816">
        <v>0</v>
      </c>
      <c r="CN68" s="816">
        <v>0</v>
      </c>
      <c r="CO68" s="816">
        <v>0</v>
      </c>
      <c r="CP68" s="816">
        <v>0</v>
      </c>
      <c r="CQ68" s="816">
        <v>0</v>
      </c>
      <c r="CR68" s="816">
        <v>0</v>
      </c>
      <c r="CS68" s="816">
        <v>0</v>
      </c>
      <c r="CT68" s="816">
        <v>0</v>
      </c>
      <c r="CU68" s="816">
        <v>0</v>
      </c>
      <c r="CV68" s="816">
        <v>0</v>
      </c>
      <c r="CW68" s="816">
        <v>0</v>
      </c>
      <c r="CX68" s="816">
        <v>0</v>
      </c>
      <c r="CY68" s="816">
        <v>0</v>
      </c>
      <c r="CZ68" s="816">
        <v>0</v>
      </c>
      <c r="DA68" s="816">
        <v>0</v>
      </c>
      <c r="DB68" s="816">
        <v>0</v>
      </c>
      <c r="DC68" s="816">
        <v>0</v>
      </c>
      <c r="DE68" s="816" t="s">
        <v>96</v>
      </c>
      <c r="DF68" s="816">
        <f t="shared" si="9"/>
        <v>0</v>
      </c>
      <c r="DG68" s="816" t="s">
        <v>97</v>
      </c>
      <c r="DH68" s="816">
        <f t="shared" si="10"/>
        <v>0</v>
      </c>
      <c r="DI68" s="816" t="s">
        <v>98</v>
      </c>
      <c r="DJ68" s="816">
        <f t="shared" si="11"/>
        <v>0</v>
      </c>
      <c r="DK68" s="816" t="s">
        <v>99</v>
      </c>
      <c r="DL68" s="816">
        <f t="shared" si="12"/>
        <v>0</v>
      </c>
      <c r="DM68" s="816" t="s">
        <v>100</v>
      </c>
      <c r="DN68" s="816">
        <f t="shared" si="13"/>
        <v>0</v>
      </c>
      <c r="DO68" s="816" t="s">
        <v>101</v>
      </c>
      <c r="DP68" s="816">
        <f t="shared" si="14"/>
        <v>0</v>
      </c>
    </row>
    <row r="69" spans="1:120">
      <c r="A69" s="815">
        <v>17</v>
      </c>
      <c r="B69" s="815" t="str">
        <f t="shared" si="16"/>
        <v>17MATHS</v>
      </c>
      <c r="C69" s="815">
        <f>VLOOKUP(A69,DATEWISE!$A$3:$BY$27,2,0)</f>
        <v>0</v>
      </c>
      <c r="D69" s="815">
        <f>VLOOKUP(A69,DATEWISE!$A$3:$BY$27,3,0)</f>
        <v>0</v>
      </c>
      <c r="E69" s="815">
        <f>VLOOKUP(A69,DATEWISE!$A$3:$BY$27,4,0)</f>
        <v>0</v>
      </c>
      <c r="F69" s="815" t="str">
        <f t="shared" si="17"/>
        <v>0MATHS</v>
      </c>
      <c r="G69" s="815" t="s">
        <v>88</v>
      </c>
      <c r="H69" s="816">
        <v>0</v>
      </c>
      <c r="I69" s="816">
        <v>0</v>
      </c>
      <c r="J69" s="816">
        <v>0</v>
      </c>
      <c r="K69" s="816">
        <v>0</v>
      </c>
      <c r="L69" s="816">
        <v>0</v>
      </c>
      <c r="M69" s="816">
        <v>0</v>
      </c>
      <c r="N69" s="816">
        <v>0</v>
      </c>
      <c r="O69" s="816">
        <v>0</v>
      </c>
      <c r="P69" s="816">
        <v>0</v>
      </c>
      <c r="Q69" s="816">
        <v>0</v>
      </c>
      <c r="R69" s="816">
        <v>0</v>
      </c>
      <c r="S69" s="816">
        <v>0</v>
      </c>
      <c r="T69" s="816">
        <v>0</v>
      </c>
      <c r="U69" s="816">
        <v>0</v>
      </c>
      <c r="V69" s="816">
        <v>0</v>
      </c>
      <c r="W69" s="816">
        <v>0</v>
      </c>
      <c r="X69" s="816">
        <v>0</v>
      </c>
      <c r="Y69" s="816">
        <v>0</v>
      </c>
      <c r="Z69" s="816">
        <v>0</v>
      </c>
      <c r="AA69" s="816">
        <v>0</v>
      </c>
      <c r="AB69" s="816">
        <v>0</v>
      </c>
      <c r="AC69" s="816">
        <v>0</v>
      </c>
      <c r="AD69" s="816">
        <v>0</v>
      </c>
      <c r="AE69" s="816">
        <v>0</v>
      </c>
      <c r="AF69" s="816">
        <v>0</v>
      </c>
      <c r="AG69" s="816">
        <v>0</v>
      </c>
      <c r="AH69" s="816">
        <v>0</v>
      </c>
      <c r="AI69" s="816">
        <v>0</v>
      </c>
      <c r="AJ69" s="816">
        <v>0</v>
      </c>
      <c r="AK69" s="816">
        <v>0</v>
      </c>
      <c r="AL69" s="816">
        <v>0</v>
      </c>
      <c r="AM69" s="816">
        <v>0</v>
      </c>
      <c r="AN69" s="816">
        <v>0</v>
      </c>
      <c r="AO69" s="816">
        <v>0</v>
      </c>
      <c r="AP69" s="816">
        <v>0</v>
      </c>
      <c r="AQ69" s="816">
        <v>0</v>
      </c>
      <c r="AR69" s="816">
        <v>0</v>
      </c>
      <c r="AS69" s="816">
        <v>0</v>
      </c>
      <c r="AT69" s="816">
        <v>0</v>
      </c>
      <c r="AU69" s="816">
        <v>0</v>
      </c>
      <c r="AV69" s="816">
        <v>0</v>
      </c>
      <c r="AW69" s="816">
        <v>0</v>
      </c>
      <c r="AX69" s="816">
        <v>0</v>
      </c>
      <c r="AY69" s="816">
        <v>0</v>
      </c>
      <c r="AZ69" s="816">
        <v>0</v>
      </c>
      <c r="BA69" s="816">
        <v>0</v>
      </c>
      <c r="BB69" s="816">
        <v>0</v>
      </c>
      <c r="BC69" s="816">
        <v>0</v>
      </c>
      <c r="BD69" s="816">
        <v>0</v>
      </c>
      <c r="BE69" s="816">
        <v>0</v>
      </c>
      <c r="BF69" s="816">
        <v>0</v>
      </c>
      <c r="BG69" s="816">
        <v>0</v>
      </c>
      <c r="BH69" s="816">
        <v>0</v>
      </c>
      <c r="BI69" s="816">
        <v>0</v>
      </c>
      <c r="BJ69" s="816">
        <v>0</v>
      </c>
      <c r="BK69" s="816">
        <v>0</v>
      </c>
      <c r="BL69" s="816">
        <v>0</v>
      </c>
      <c r="BM69" s="816">
        <v>0</v>
      </c>
      <c r="BN69" s="816">
        <v>0</v>
      </c>
      <c r="BO69" s="816">
        <v>0</v>
      </c>
      <c r="BP69" s="816">
        <v>0</v>
      </c>
      <c r="BQ69" s="816">
        <v>0</v>
      </c>
      <c r="BR69" s="816">
        <v>0</v>
      </c>
      <c r="BS69" s="816">
        <v>0</v>
      </c>
      <c r="BT69" s="816">
        <v>0</v>
      </c>
      <c r="BU69" s="816">
        <v>0</v>
      </c>
      <c r="BV69" s="816">
        <v>0</v>
      </c>
      <c r="BW69" s="816">
        <v>0</v>
      </c>
      <c r="BX69" s="816">
        <v>0</v>
      </c>
      <c r="BY69" s="816">
        <v>0</v>
      </c>
      <c r="BZ69" s="816">
        <v>0</v>
      </c>
      <c r="CA69" s="816">
        <v>0</v>
      </c>
      <c r="CB69" s="816">
        <v>0</v>
      </c>
      <c r="CC69" s="816">
        <v>0</v>
      </c>
      <c r="CD69" s="816">
        <v>0</v>
      </c>
      <c r="CE69" s="816">
        <v>0</v>
      </c>
      <c r="CF69" s="816">
        <v>0</v>
      </c>
      <c r="CG69" s="816">
        <v>0</v>
      </c>
      <c r="CH69" s="816">
        <v>0</v>
      </c>
      <c r="CI69" s="816">
        <v>0</v>
      </c>
      <c r="CJ69" s="816">
        <v>0</v>
      </c>
      <c r="CK69" s="816">
        <v>0</v>
      </c>
      <c r="CL69" s="816">
        <v>0</v>
      </c>
      <c r="CM69" s="816">
        <v>0</v>
      </c>
      <c r="CN69" s="816">
        <v>0</v>
      </c>
      <c r="CO69" s="816">
        <v>0</v>
      </c>
      <c r="CP69" s="816">
        <v>0</v>
      </c>
      <c r="CQ69" s="816">
        <v>0</v>
      </c>
      <c r="CR69" s="816">
        <v>0</v>
      </c>
      <c r="CS69" s="816">
        <v>0</v>
      </c>
      <c r="CT69" s="816">
        <v>0</v>
      </c>
      <c r="CU69" s="816">
        <v>0</v>
      </c>
      <c r="CV69" s="816">
        <v>0</v>
      </c>
      <c r="CW69" s="816">
        <v>0</v>
      </c>
      <c r="CX69" s="816">
        <v>0</v>
      </c>
      <c r="CY69" s="816">
        <v>0</v>
      </c>
      <c r="CZ69" s="816">
        <v>0</v>
      </c>
      <c r="DA69" s="816">
        <v>0</v>
      </c>
      <c r="DB69" s="816">
        <v>0</v>
      </c>
      <c r="DC69" s="816">
        <v>0</v>
      </c>
      <c r="DE69" s="816" t="s">
        <v>96</v>
      </c>
      <c r="DF69" s="816">
        <f t="shared" si="9"/>
        <v>0</v>
      </c>
      <c r="DG69" s="816" t="s">
        <v>97</v>
      </c>
      <c r="DH69" s="816">
        <f t="shared" si="10"/>
        <v>0</v>
      </c>
      <c r="DI69" s="816" t="s">
        <v>98</v>
      </c>
      <c r="DJ69" s="816">
        <f t="shared" si="11"/>
        <v>0</v>
      </c>
      <c r="DK69" s="816" t="s">
        <v>99</v>
      </c>
      <c r="DL69" s="816">
        <f t="shared" si="12"/>
        <v>0</v>
      </c>
      <c r="DM69" s="816" t="s">
        <v>100</v>
      </c>
      <c r="DN69" s="816">
        <f t="shared" si="13"/>
        <v>0</v>
      </c>
      <c r="DO69" s="816" t="s">
        <v>101</v>
      </c>
      <c r="DP69" s="816">
        <f t="shared" si="14"/>
        <v>0</v>
      </c>
    </row>
    <row r="70" spans="1:120">
      <c r="A70" s="815">
        <v>17</v>
      </c>
      <c r="B70" s="815" t="str">
        <f t="shared" si="16"/>
        <v>17REMARKS</v>
      </c>
      <c r="C70" s="815">
        <f>VLOOKUP(A70,DATEWISE!$A$3:$BY$27,2,0)</f>
        <v>0</v>
      </c>
      <c r="D70" s="815">
        <f>VLOOKUP(A70,DATEWISE!$A$3:$BY$27,3,0)</f>
        <v>0</v>
      </c>
      <c r="E70" s="815">
        <f>VLOOKUP(A70,DATEWISE!$A$3:$BY$27,4,0)</f>
        <v>0</v>
      </c>
      <c r="F70" s="815" t="str">
        <f t="shared" si="17"/>
        <v>0REMARKS</v>
      </c>
      <c r="G70" s="815" t="s">
        <v>390</v>
      </c>
      <c r="H70" s="816">
        <v>0</v>
      </c>
      <c r="I70" s="816">
        <v>0</v>
      </c>
      <c r="J70" s="816">
        <v>0</v>
      </c>
      <c r="K70" s="816">
        <v>0</v>
      </c>
      <c r="L70" s="816">
        <v>0</v>
      </c>
      <c r="M70" s="816">
        <v>0</v>
      </c>
      <c r="N70" s="816">
        <v>0</v>
      </c>
      <c r="O70" s="816">
        <v>0</v>
      </c>
      <c r="P70" s="816">
        <v>0</v>
      </c>
      <c r="Q70" s="816">
        <v>0</v>
      </c>
      <c r="R70" s="816">
        <v>0</v>
      </c>
      <c r="S70" s="816">
        <v>0</v>
      </c>
      <c r="T70" s="816">
        <v>0</v>
      </c>
      <c r="U70" s="816">
        <v>0</v>
      </c>
      <c r="V70" s="816">
        <v>0</v>
      </c>
      <c r="W70" s="816">
        <v>0</v>
      </c>
      <c r="X70" s="816">
        <v>0</v>
      </c>
      <c r="Y70" s="816">
        <v>0</v>
      </c>
      <c r="Z70" s="816">
        <v>0</v>
      </c>
      <c r="AA70" s="816">
        <v>0</v>
      </c>
      <c r="AB70" s="816">
        <v>0</v>
      </c>
      <c r="AC70" s="816">
        <v>0</v>
      </c>
      <c r="AD70" s="816">
        <v>0</v>
      </c>
      <c r="AE70" s="816">
        <v>0</v>
      </c>
      <c r="AF70" s="816">
        <v>0</v>
      </c>
      <c r="AG70" s="816">
        <v>0</v>
      </c>
      <c r="AH70" s="816">
        <v>0</v>
      </c>
      <c r="AI70" s="816">
        <v>0</v>
      </c>
      <c r="AJ70" s="816">
        <v>0</v>
      </c>
      <c r="AK70" s="816">
        <v>0</v>
      </c>
      <c r="AL70" s="816">
        <v>0</v>
      </c>
      <c r="AM70" s="816">
        <v>0</v>
      </c>
      <c r="AN70" s="816">
        <v>0</v>
      </c>
      <c r="AO70" s="816">
        <v>0</v>
      </c>
      <c r="AP70" s="816">
        <v>0</v>
      </c>
      <c r="AQ70" s="816">
        <v>0</v>
      </c>
      <c r="AR70" s="816">
        <v>0</v>
      </c>
      <c r="AS70" s="816">
        <v>0</v>
      </c>
      <c r="AT70" s="816">
        <v>0</v>
      </c>
      <c r="AU70" s="816">
        <v>0</v>
      </c>
      <c r="AV70" s="816">
        <v>0</v>
      </c>
      <c r="AW70" s="816">
        <v>0</v>
      </c>
      <c r="AX70" s="816">
        <v>0</v>
      </c>
      <c r="AY70" s="816">
        <v>0</v>
      </c>
      <c r="AZ70" s="816">
        <v>0</v>
      </c>
      <c r="BA70" s="816">
        <v>0</v>
      </c>
      <c r="BB70" s="816">
        <v>0</v>
      </c>
      <c r="BC70" s="816">
        <v>0</v>
      </c>
      <c r="BD70" s="816">
        <v>0</v>
      </c>
      <c r="BE70" s="816">
        <v>0</v>
      </c>
      <c r="BF70" s="816">
        <v>0</v>
      </c>
      <c r="BG70" s="816">
        <v>0</v>
      </c>
      <c r="BH70" s="816">
        <v>0</v>
      </c>
      <c r="BI70" s="816">
        <v>0</v>
      </c>
      <c r="BJ70" s="816">
        <v>0</v>
      </c>
      <c r="BK70" s="816">
        <v>0</v>
      </c>
      <c r="BL70" s="816">
        <v>0</v>
      </c>
      <c r="BM70" s="816">
        <v>0</v>
      </c>
      <c r="BN70" s="816">
        <v>0</v>
      </c>
      <c r="BO70" s="816">
        <v>0</v>
      </c>
      <c r="BP70" s="816">
        <v>0</v>
      </c>
      <c r="BQ70" s="816">
        <v>0</v>
      </c>
      <c r="BR70" s="816">
        <v>0</v>
      </c>
      <c r="BS70" s="816">
        <v>0</v>
      </c>
      <c r="BT70" s="816">
        <v>0</v>
      </c>
      <c r="BU70" s="816">
        <v>0</v>
      </c>
      <c r="BV70" s="816">
        <v>0</v>
      </c>
      <c r="BW70" s="816">
        <v>0</v>
      </c>
      <c r="BX70" s="816">
        <v>0</v>
      </c>
      <c r="BY70" s="816">
        <v>0</v>
      </c>
      <c r="BZ70" s="816">
        <v>0</v>
      </c>
      <c r="CA70" s="816">
        <v>0</v>
      </c>
      <c r="CB70" s="816">
        <v>0</v>
      </c>
      <c r="CC70" s="816">
        <v>0</v>
      </c>
      <c r="CD70" s="816">
        <v>0</v>
      </c>
      <c r="CE70" s="816">
        <v>0</v>
      </c>
      <c r="CF70" s="816">
        <v>0</v>
      </c>
      <c r="CG70" s="816">
        <v>0</v>
      </c>
      <c r="CH70" s="816">
        <v>0</v>
      </c>
      <c r="CI70" s="816">
        <v>0</v>
      </c>
      <c r="CJ70" s="816">
        <v>0</v>
      </c>
      <c r="CK70" s="816">
        <v>0</v>
      </c>
      <c r="CL70" s="816">
        <v>0</v>
      </c>
      <c r="CM70" s="816">
        <v>0</v>
      </c>
      <c r="CN70" s="816">
        <v>0</v>
      </c>
      <c r="CO70" s="816">
        <v>0</v>
      </c>
      <c r="CP70" s="816">
        <v>0</v>
      </c>
      <c r="CQ70" s="816">
        <v>0</v>
      </c>
      <c r="CR70" s="816">
        <v>0</v>
      </c>
      <c r="CS70" s="816">
        <v>0</v>
      </c>
      <c r="CT70" s="816">
        <v>0</v>
      </c>
      <c r="CU70" s="816">
        <v>0</v>
      </c>
      <c r="CV70" s="816">
        <v>0</v>
      </c>
      <c r="CW70" s="816">
        <v>0</v>
      </c>
      <c r="CX70" s="816">
        <v>0</v>
      </c>
      <c r="CY70" s="816">
        <v>0</v>
      </c>
      <c r="CZ70" s="816">
        <v>0</v>
      </c>
      <c r="DA70" s="816">
        <v>0</v>
      </c>
      <c r="DB70" s="816">
        <v>0</v>
      </c>
      <c r="DC70" s="816">
        <v>0</v>
      </c>
      <c r="DE70" s="816" t="s">
        <v>96</v>
      </c>
      <c r="DF70" s="816">
        <f t="shared" si="9"/>
        <v>0</v>
      </c>
      <c r="DG70" s="816" t="s">
        <v>97</v>
      </c>
      <c r="DH70" s="816">
        <f t="shared" si="10"/>
        <v>0</v>
      </c>
      <c r="DI70" s="816" t="s">
        <v>98</v>
      </c>
      <c r="DJ70" s="816">
        <f t="shared" si="11"/>
        <v>0</v>
      </c>
      <c r="DK70" s="816" t="s">
        <v>99</v>
      </c>
      <c r="DL70" s="816">
        <f t="shared" si="12"/>
        <v>0</v>
      </c>
      <c r="DM70" s="816" t="s">
        <v>100</v>
      </c>
      <c r="DN70" s="816">
        <f t="shared" si="13"/>
        <v>0</v>
      </c>
      <c r="DO70" s="816" t="s">
        <v>101</v>
      </c>
      <c r="DP70" s="816">
        <f t="shared" si="14"/>
        <v>0</v>
      </c>
    </row>
    <row r="71" spans="1:120">
      <c r="A71" s="815">
        <v>18</v>
      </c>
      <c r="B71" s="815" t="str">
        <f t="shared" si="16"/>
        <v>18HINDI</v>
      </c>
      <c r="C71" s="815">
        <f>VLOOKUP(A71,DATEWISE!$A$3:$BY$27,2,0)</f>
        <v>0</v>
      </c>
      <c r="D71" s="815">
        <f>VLOOKUP(A71,DATEWISE!$A$3:$BY$27,3,0)</f>
        <v>0</v>
      </c>
      <c r="E71" s="815">
        <f>VLOOKUP(A71,DATEWISE!$A$3:$BY$27,4,0)</f>
        <v>0</v>
      </c>
      <c r="F71" s="815" t="str">
        <f t="shared" si="17"/>
        <v>0HINDI</v>
      </c>
      <c r="G71" s="815" t="s">
        <v>87</v>
      </c>
      <c r="H71" s="816">
        <v>0</v>
      </c>
      <c r="I71" s="816">
        <v>0</v>
      </c>
      <c r="J71" s="816">
        <v>0</v>
      </c>
      <c r="K71" s="816">
        <v>0</v>
      </c>
      <c r="L71" s="816">
        <v>0</v>
      </c>
      <c r="M71" s="816">
        <v>0</v>
      </c>
      <c r="N71" s="816">
        <v>0</v>
      </c>
      <c r="O71" s="816">
        <v>0</v>
      </c>
      <c r="P71" s="816">
        <v>0</v>
      </c>
      <c r="Q71" s="816">
        <v>0</v>
      </c>
      <c r="R71" s="816">
        <v>0</v>
      </c>
      <c r="S71" s="816">
        <v>0</v>
      </c>
      <c r="T71" s="816">
        <v>0</v>
      </c>
      <c r="U71" s="816">
        <v>0</v>
      </c>
      <c r="V71" s="816">
        <v>0</v>
      </c>
      <c r="W71" s="816">
        <v>0</v>
      </c>
      <c r="X71" s="816">
        <v>0</v>
      </c>
      <c r="Y71" s="816">
        <v>0</v>
      </c>
      <c r="Z71" s="816">
        <v>0</v>
      </c>
      <c r="AA71" s="816">
        <v>0</v>
      </c>
      <c r="AB71" s="816">
        <v>0</v>
      </c>
      <c r="AC71" s="816">
        <v>0</v>
      </c>
      <c r="AD71" s="816">
        <v>0</v>
      </c>
      <c r="AE71" s="816">
        <v>0</v>
      </c>
      <c r="AF71" s="816">
        <v>0</v>
      </c>
      <c r="AG71" s="816">
        <v>0</v>
      </c>
      <c r="AH71" s="816">
        <v>0</v>
      </c>
      <c r="AI71" s="816">
        <v>0</v>
      </c>
      <c r="AJ71" s="816">
        <v>0</v>
      </c>
      <c r="AK71" s="816">
        <v>0</v>
      </c>
      <c r="AL71" s="816">
        <v>0</v>
      </c>
      <c r="AM71" s="816">
        <v>0</v>
      </c>
      <c r="AN71" s="816">
        <v>0</v>
      </c>
      <c r="AO71" s="816">
        <v>0</v>
      </c>
      <c r="AP71" s="816">
        <v>0</v>
      </c>
      <c r="AQ71" s="816">
        <v>0</v>
      </c>
      <c r="AR71" s="816">
        <v>0</v>
      </c>
      <c r="AS71" s="816">
        <v>0</v>
      </c>
      <c r="AT71" s="816">
        <v>0</v>
      </c>
      <c r="AU71" s="816">
        <v>0</v>
      </c>
      <c r="AV71" s="816">
        <v>0</v>
      </c>
      <c r="AW71" s="816">
        <v>0</v>
      </c>
      <c r="AX71" s="816">
        <v>0</v>
      </c>
      <c r="AY71" s="816">
        <v>0</v>
      </c>
      <c r="AZ71" s="816">
        <v>0</v>
      </c>
      <c r="BA71" s="816">
        <v>0</v>
      </c>
      <c r="BB71" s="816">
        <v>0</v>
      </c>
      <c r="BC71" s="816">
        <v>0</v>
      </c>
      <c r="BD71" s="816">
        <v>0</v>
      </c>
      <c r="BE71" s="816">
        <v>0</v>
      </c>
      <c r="BF71" s="816">
        <v>0</v>
      </c>
      <c r="BG71" s="816">
        <v>0</v>
      </c>
      <c r="BH71" s="816">
        <v>0</v>
      </c>
      <c r="BI71" s="816">
        <v>0</v>
      </c>
      <c r="BJ71" s="816">
        <v>0</v>
      </c>
      <c r="BK71" s="816">
        <v>0</v>
      </c>
      <c r="BL71" s="816">
        <v>0</v>
      </c>
      <c r="BM71" s="816">
        <v>0</v>
      </c>
      <c r="BN71" s="816">
        <v>0</v>
      </c>
      <c r="BO71" s="816">
        <v>0</v>
      </c>
      <c r="BP71" s="816">
        <v>0</v>
      </c>
      <c r="BQ71" s="816">
        <v>0</v>
      </c>
      <c r="BR71" s="816">
        <v>0</v>
      </c>
      <c r="BS71" s="816">
        <v>0</v>
      </c>
      <c r="BT71" s="816">
        <v>0</v>
      </c>
      <c r="BU71" s="816">
        <v>0</v>
      </c>
      <c r="BV71" s="816">
        <v>0</v>
      </c>
      <c r="BW71" s="816">
        <v>0</v>
      </c>
      <c r="BX71" s="816">
        <v>0</v>
      </c>
      <c r="BY71" s="816">
        <v>0</v>
      </c>
      <c r="BZ71" s="816">
        <v>0</v>
      </c>
      <c r="CA71" s="816">
        <v>0</v>
      </c>
      <c r="CB71" s="816">
        <v>0</v>
      </c>
      <c r="CC71" s="816">
        <v>0</v>
      </c>
      <c r="CD71" s="816">
        <v>0</v>
      </c>
      <c r="CE71" s="816">
        <v>0</v>
      </c>
      <c r="CF71" s="816">
        <v>0</v>
      </c>
      <c r="CG71" s="816">
        <v>0</v>
      </c>
      <c r="CH71" s="816">
        <v>0</v>
      </c>
      <c r="CI71" s="816">
        <v>0</v>
      </c>
      <c r="CJ71" s="816">
        <v>0</v>
      </c>
      <c r="CK71" s="816">
        <v>0</v>
      </c>
      <c r="CL71" s="816">
        <v>0</v>
      </c>
      <c r="CM71" s="816">
        <v>0</v>
      </c>
      <c r="CN71" s="816">
        <v>0</v>
      </c>
      <c r="CO71" s="816">
        <v>0</v>
      </c>
      <c r="CP71" s="816">
        <v>0</v>
      </c>
      <c r="CQ71" s="816">
        <v>0</v>
      </c>
      <c r="CR71" s="816">
        <v>0</v>
      </c>
      <c r="CS71" s="816">
        <v>0</v>
      </c>
      <c r="CT71" s="816">
        <v>0</v>
      </c>
      <c r="CU71" s="816">
        <v>0</v>
      </c>
      <c r="CV71" s="816">
        <v>0</v>
      </c>
      <c r="CW71" s="816">
        <v>0</v>
      </c>
      <c r="CX71" s="816">
        <v>0</v>
      </c>
      <c r="CY71" s="816">
        <v>0</v>
      </c>
      <c r="CZ71" s="816">
        <v>0</v>
      </c>
      <c r="DA71" s="816">
        <v>0</v>
      </c>
      <c r="DB71" s="816">
        <v>0</v>
      </c>
      <c r="DC71" s="816">
        <v>0</v>
      </c>
      <c r="DE71" s="816" t="s">
        <v>96</v>
      </c>
      <c r="DF71" s="816">
        <f t="shared" si="9"/>
        <v>0</v>
      </c>
      <c r="DG71" s="816" t="s">
        <v>97</v>
      </c>
      <c r="DH71" s="816">
        <f t="shared" si="10"/>
        <v>0</v>
      </c>
      <c r="DI71" s="816" t="s">
        <v>98</v>
      </c>
      <c r="DJ71" s="816">
        <f t="shared" si="11"/>
        <v>0</v>
      </c>
      <c r="DK71" s="816" t="s">
        <v>99</v>
      </c>
      <c r="DL71" s="816">
        <f t="shared" si="12"/>
        <v>0</v>
      </c>
      <c r="DM71" s="816" t="s">
        <v>100</v>
      </c>
      <c r="DN71" s="816">
        <f t="shared" si="13"/>
        <v>0</v>
      </c>
      <c r="DO71" s="816" t="s">
        <v>101</v>
      </c>
      <c r="DP71" s="816">
        <f t="shared" si="14"/>
        <v>0</v>
      </c>
    </row>
    <row r="72" spans="1:120">
      <c r="A72" s="815">
        <v>18</v>
      </c>
      <c r="B72" s="815" t="str">
        <f t="shared" si="16"/>
        <v>18ENGLISH</v>
      </c>
      <c r="C72" s="815">
        <f>VLOOKUP(A72,DATEWISE!$A$3:$BY$27,2,0)</f>
        <v>0</v>
      </c>
      <c r="D72" s="815">
        <f>VLOOKUP(A72,DATEWISE!$A$3:$BY$27,3,0)</f>
        <v>0</v>
      </c>
      <c r="E72" s="815">
        <f>VLOOKUP(A72,DATEWISE!$A$3:$BY$27,4,0)</f>
        <v>0</v>
      </c>
      <c r="F72" s="815" t="str">
        <f t="shared" si="17"/>
        <v>0ENGLISH</v>
      </c>
      <c r="G72" s="815" t="s">
        <v>89</v>
      </c>
      <c r="H72" s="816">
        <v>0</v>
      </c>
      <c r="I72" s="816">
        <v>0</v>
      </c>
      <c r="J72" s="816">
        <v>0</v>
      </c>
      <c r="K72" s="816">
        <v>0</v>
      </c>
      <c r="L72" s="816">
        <v>0</v>
      </c>
      <c r="M72" s="816">
        <v>0</v>
      </c>
      <c r="N72" s="816">
        <v>0</v>
      </c>
      <c r="O72" s="816">
        <v>0</v>
      </c>
      <c r="P72" s="816">
        <v>0</v>
      </c>
      <c r="Q72" s="816">
        <v>0</v>
      </c>
      <c r="R72" s="816">
        <v>0</v>
      </c>
      <c r="S72" s="816">
        <v>0</v>
      </c>
      <c r="T72" s="816">
        <v>0</v>
      </c>
      <c r="U72" s="816">
        <v>0</v>
      </c>
      <c r="V72" s="816">
        <v>0</v>
      </c>
      <c r="W72" s="816">
        <v>0</v>
      </c>
      <c r="X72" s="816">
        <v>0</v>
      </c>
      <c r="Y72" s="816">
        <v>0</v>
      </c>
      <c r="Z72" s="816">
        <v>0</v>
      </c>
      <c r="AA72" s="816">
        <v>0</v>
      </c>
      <c r="AB72" s="816">
        <v>0</v>
      </c>
      <c r="AC72" s="816">
        <v>0</v>
      </c>
      <c r="AD72" s="816">
        <v>0</v>
      </c>
      <c r="AE72" s="816">
        <v>0</v>
      </c>
      <c r="AF72" s="816">
        <v>0</v>
      </c>
      <c r="AG72" s="816">
        <v>0</v>
      </c>
      <c r="AH72" s="816">
        <v>0</v>
      </c>
      <c r="AI72" s="816">
        <v>0</v>
      </c>
      <c r="AJ72" s="816">
        <v>0</v>
      </c>
      <c r="AK72" s="816">
        <v>0</v>
      </c>
      <c r="AL72" s="816">
        <v>0</v>
      </c>
      <c r="AM72" s="816">
        <v>0</v>
      </c>
      <c r="AN72" s="816">
        <v>0</v>
      </c>
      <c r="AO72" s="816">
        <v>0</v>
      </c>
      <c r="AP72" s="816">
        <v>0</v>
      </c>
      <c r="AQ72" s="816">
        <v>0</v>
      </c>
      <c r="AR72" s="816">
        <v>0</v>
      </c>
      <c r="AS72" s="816">
        <v>0</v>
      </c>
      <c r="AT72" s="816">
        <v>0</v>
      </c>
      <c r="AU72" s="816">
        <v>0</v>
      </c>
      <c r="AV72" s="816">
        <v>0</v>
      </c>
      <c r="AW72" s="816">
        <v>0</v>
      </c>
      <c r="AX72" s="816">
        <v>0</v>
      </c>
      <c r="AY72" s="816">
        <v>0</v>
      </c>
      <c r="AZ72" s="816">
        <v>0</v>
      </c>
      <c r="BA72" s="816">
        <v>0</v>
      </c>
      <c r="BB72" s="816">
        <v>0</v>
      </c>
      <c r="BC72" s="816">
        <v>0</v>
      </c>
      <c r="BD72" s="816">
        <v>0</v>
      </c>
      <c r="BE72" s="816">
        <v>0</v>
      </c>
      <c r="BF72" s="816">
        <v>0</v>
      </c>
      <c r="BG72" s="816">
        <v>0</v>
      </c>
      <c r="BH72" s="816">
        <v>0</v>
      </c>
      <c r="BI72" s="816">
        <v>0</v>
      </c>
      <c r="BJ72" s="816">
        <v>0</v>
      </c>
      <c r="BK72" s="816">
        <v>0</v>
      </c>
      <c r="BL72" s="816">
        <v>0</v>
      </c>
      <c r="BM72" s="816">
        <v>0</v>
      </c>
      <c r="BN72" s="816">
        <v>0</v>
      </c>
      <c r="BO72" s="816">
        <v>0</v>
      </c>
      <c r="BP72" s="816">
        <v>0</v>
      </c>
      <c r="BQ72" s="816">
        <v>0</v>
      </c>
      <c r="BR72" s="816">
        <v>0</v>
      </c>
      <c r="BS72" s="816">
        <v>0</v>
      </c>
      <c r="BT72" s="816">
        <v>0</v>
      </c>
      <c r="BU72" s="816">
        <v>0</v>
      </c>
      <c r="BV72" s="816">
        <v>0</v>
      </c>
      <c r="BW72" s="816">
        <v>0</v>
      </c>
      <c r="BX72" s="816">
        <v>0</v>
      </c>
      <c r="BY72" s="816">
        <v>0</v>
      </c>
      <c r="BZ72" s="816">
        <v>0</v>
      </c>
      <c r="CA72" s="816">
        <v>0</v>
      </c>
      <c r="CB72" s="816">
        <v>0</v>
      </c>
      <c r="CC72" s="816">
        <v>0</v>
      </c>
      <c r="CD72" s="816">
        <v>0</v>
      </c>
      <c r="CE72" s="816">
        <v>0</v>
      </c>
      <c r="CF72" s="816">
        <v>0</v>
      </c>
      <c r="CG72" s="816">
        <v>0</v>
      </c>
      <c r="CH72" s="816">
        <v>0</v>
      </c>
      <c r="CI72" s="816">
        <v>0</v>
      </c>
      <c r="CJ72" s="816">
        <v>0</v>
      </c>
      <c r="CK72" s="816">
        <v>0</v>
      </c>
      <c r="CL72" s="816">
        <v>0</v>
      </c>
      <c r="CM72" s="816">
        <v>0</v>
      </c>
      <c r="CN72" s="816">
        <v>0</v>
      </c>
      <c r="CO72" s="816">
        <v>0</v>
      </c>
      <c r="CP72" s="816">
        <v>0</v>
      </c>
      <c r="CQ72" s="816">
        <v>0</v>
      </c>
      <c r="CR72" s="816">
        <v>0</v>
      </c>
      <c r="CS72" s="816">
        <v>0</v>
      </c>
      <c r="CT72" s="816">
        <v>0</v>
      </c>
      <c r="CU72" s="816">
        <v>0</v>
      </c>
      <c r="CV72" s="816">
        <v>0</v>
      </c>
      <c r="CW72" s="816">
        <v>0</v>
      </c>
      <c r="CX72" s="816">
        <v>0</v>
      </c>
      <c r="CY72" s="816">
        <v>0</v>
      </c>
      <c r="CZ72" s="816">
        <v>0</v>
      </c>
      <c r="DA72" s="816">
        <v>0</v>
      </c>
      <c r="DB72" s="816">
        <v>0</v>
      </c>
      <c r="DC72" s="816">
        <v>0</v>
      </c>
      <c r="DE72" s="816" t="s">
        <v>96</v>
      </c>
      <c r="DF72" s="816">
        <f t="shared" si="9"/>
        <v>0</v>
      </c>
      <c r="DG72" s="816" t="s">
        <v>97</v>
      </c>
      <c r="DH72" s="816">
        <f t="shared" si="10"/>
        <v>0</v>
      </c>
      <c r="DI72" s="816" t="s">
        <v>98</v>
      </c>
      <c r="DJ72" s="816">
        <f t="shared" si="11"/>
        <v>0</v>
      </c>
      <c r="DK72" s="816" t="s">
        <v>99</v>
      </c>
      <c r="DL72" s="816">
        <f t="shared" si="12"/>
        <v>0</v>
      </c>
      <c r="DM72" s="816" t="s">
        <v>100</v>
      </c>
      <c r="DN72" s="816">
        <f t="shared" si="13"/>
        <v>0</v>
      </c>
      <c r="DO72" s="816" t="s">
        <v>101</v>
      </c>
      <c r="DP72" s="816">
        <f t="shared" si="14"/>
        <v>0</v>
      </c>
    </row>
    <row r="73" spans="1:120">
      <c r="A73" s="815">
        <v>18</v>
      </c>
      <c r="B73" s="815" t="str">
        <f t="shared" si="16"/>
        <v>18MATHS</v>
      </c>
      <c r="C73" s="815">
        <f>VLOOKUP(A73,DATEWISE!$A$3:$BY$27,2,0)</f>
        <v>0</v>
      </c>
      <c r="D73" s="815">
        <f>VLOOKUP(A73,DATEWISE!$A$3:$BY$27,3,0)</f>
        <v>0</v>
      </c>
      <c r="E73" s="815">
        <f>VLOOKUP(A73,DATEWISE!$A$3:$BY$27,4,0)</f>
        <v>0</v>
      </c>
      <c r="F73" s="815" t="str">
        <f t="shared" si="17"/>
        <v>0MATHS</v>
      </c>
      <c r="G73" s="815" t="s">
        <v>88</v>
      </c>
      <c r="H73" s="816">
        <v>0</v>
      </c>
      <c r="I73" s="816">
        <v>0</v>
      </c>
      <c r="J73" s="816">
        <v>0</v>
      </c>
      <c r="K73" s="816">
        <v>0</v>
      </c>
      <c r="L73" s="816">
        <v>0</v>
      </c>
      <c r="M73" s="816">
        <v>0</v>
      </c>
      <c r="N73" s="816">
        <v>0</v>
      </c>
      <c r="O73" s="816">
        <v>0</v>
      </c>
      <c r="P73" s="816">
        <v>0</v>
      </c>
      <c r="Q73" s="816">
        <v>0</v>
      </c>
      <c r="R73" s="816">
        <v>0</v>
      </c>
      <c r="S73" s="816">
        <v>0</v>
      </c>
      <c r="T73" s="816">
        <v>0</v>
      </c>
      <c r="U73" s="816">
        <v>0</v>
      </c>
      <c r="V73" s="816">
        <v>0</v>
      </c>
      <c r="W73" s="816">
        <v>0</v>
      </c>
      <c r="X73" s="816">
        <v>0</v>
      </c>
      <c r="Y73" s="816">
        <v>0</v>
      </c>
      <c r="Z73" s="816">
        <v>0</v>
      </c>
      <c r="AA73" s="816">
        <v>0</v>
      </c>
      <c r="AB73" s="816">
        <v>0</v>
      </c>
      <c r="AC73" s="816">
        <v>0</v>
      </c>
      <c r="AD73" s="816">
        <v>0</v>
      </c>
      <c r="AE73" s="816">
        <v>0</v>
      </c>
      <c r="AF73" s="816">
        <v>0</v>
      </c>
      <c r="AG73" s="816">
        <v>0</v>
      </c>
      <c r="AH73" s="816">
        <v>0</v>
      </c>
      <c r="AI73" s="816">
        <v>0</v>
      </c>
      <c r="AJ73" s="816">
        <v>0</v>
      </c>
      <c r="AK73" s="816">
        <v>0</v>
      </c>
      <c r="AL73" s="816">
        <v>0</v>
      </c>
      <c r="AM73" s="816">
        <v>0</v>
      </c>
      <c r="AN73" s="816">
        <v>0</v>
      </c>
      <c r="AO73" s="816">
        <v>0</v>
      </c>
      <c r="AP73" s="816">
        <v>0</v>
      </c>
      <c r="AQ73" s="816">
        <v>0</v>
      </c>
      <c r="AR73" s="816">
        <v>0</v>
      </c>
      <c r="AS73" s="816">
        <v>0</v>
      </c>
      <c r="AT73" s="816">
        <v>0</v>
      </c>
      <c r="AU73" s="816">
        <v>0</v>
      </c>
      <c r="AV73" s="816">
        <v>0</v>
      </c>
      <c r="AW73" s="816">
        <v>0</v>
      </c>
      <c r="AX73" s="816">
        <v>0</v>
      </c>
      <c r="AY73" s="816">
        <v>0</v>
      </c>
      <c r="AZ73" s="816">
        <v>0</v>
      </c>
      <c r="BA73" s="816">
        <v>0</v>
      </c>
      <c r="BB73" s="816">
        <v>0</v>
      </c>
      <c r="BC73" s="816">
        <v>0</v>
      </c>
      <c r="BD73" s="816">
        <v>0</v>
      </c>
      <c r="BE73" s="816">
        <v>0</v>
      </c>
      <c r="BF73" s="816">
        <v>0</v>
      </c>
      <c r="BG73" s="816">
        <v>0</v>
      </c>
      <c r="BH73" s="816">
        <v>0</v>
      </c>
      <c r="BI73" s="816">
        <v>0</v>
      </c>
      <c r="BJ73" s="816">
        <v>0</v>
      </c>
      <c r="BK73" s="816">
        <v>0</v>
      </c>
      <c r="BL73" s="816">
        <v>0</v>
      </c>
      <c r="BM73" s="816">
        <v>0</v>
      </c>
      <c r="BN73" s="816">
        <v>0</v>
      </c>
      <c r="BO73" s="816">
        <v>0</v>
      </c>
      <c r="BP73" s="816">
        <v>0</v>
      </c>
      <c r="BQ73" s="816">
        <v>0</v>
      </c>
      <c r="BR73" s="816">
        <v>0</v>
      </c>
      <c r="BS73" s="816">
        <v>0</v>
      </c>
      <c r="BT73" s="816">
        <v>0</v>
      </c>
      <c r="BU73" s="816">
        <v>0</v>
      </c>
      <c r="BV73" s="816">
        <v>0</v>
      </c>
      <c r="BW73" s="816">
        <v>0</v>
      </c>
      <c r="BX73" s="816">
        <v>0</v>
      </c>
      <c r="BY73" s="816">
        <v>0</v>
      </c>
      <c r="BZ73" s="816">
        <v>0</v>
      </c>
      <c r="CA73" s="816">
        <v>0</v>
      </c>
      <c r="CB73" s="816">
        <v>0</v>
      </c>
      <c r="CC73" s="816">
        <v>0</v>
      </c>
      <c r="CD73" s="816">
        <v>0</v>
      </c>
      <c r="CE73" s="816">
        <v>0</v>
      </c>
      <c r="CF73" s="816">
        <v>0</v>
      </c>
      <c r="CG73" s="816">
        <v>0</v>
      </c>
      <c r="CH73" s="816">
        <v>0</v>
      </c>
      <c r="CI73" s="816">
        <v>0</v>
      </c>
      <c r="CJ73" s="816">
        <v>0</v>
      </c>
      <c r="CK73" s="816">
        <v>0</v>
      </c>
      <c r="CL73" s="816">
        <v>0</v>
      </c>
      <c r="CM73" s="816">
        <v>0</v>
      </c>
      <c r="CN73" s="816">
        <v>0</v>
      </c>
      <c r="CO73" s="816">
        <v>0</v>
      </c>
      <c r="CP73" s="816">
        <v>0</v>
      </c>
      <c r="CQ73" s="816">
        <v>0</v>
      </c>
      <c r="CR73" s="816">
        <v>0</v>
      </c>
      <c r="CS73" s="816">
        <v>0</v>
      </c>
      <c r="CT73" s="816">
        <v>0</v>
      </c>
      <c r="CU73" s="816">
        <v>0</v>
      </c>
      <c r="CV73" s="816">
        <v>0</v>
      </c>
      <c r="CW73" s="816">
        <v>0</v>
      </c>
      <c r="CX73" s="816">
        <v>0</v>
      </c>
      <c r="CY73" s="816">
        <v>0</v>
      </c>
      <c r="CZ73" s="816">
        <v>0</v>
      </c>
      <c r="DA73" s="816">
        <v>0</v>
      </c>
      <c r="DB73" s="816">
        <v>0</v>
      </c>
      <c r="DC73" s="816">
        <v>0</v>
      </c>
      <c r="DE73" s="816" t="s">
        <v>96</v>
      </c>
      <c r="DF73" s="816">
        <f t="shared" si="9"/>
        <v>0</v>
      </c>
      <c r="DG73" s="816" t="s">
        <v>97</v>
      </c>
      <c r="DH73" s="816">
        <f t="shared" si="10"/>
        <v>0</v>
      </c>
      <c r="DI73" s="816" t="s">
        <v>98</v>
      </c>
      <c r="DJ73" s="816">
        <f t="shared" si="11"/>
        <v>0</v>
      </c>
      <c r="DK73" s="816" t="s">
        <v>99</v>
      </c>
      <c r="DL73" s="816">
        <f t="shared" si="12"/>
        <v>0</v>
      </c>
      <c r="DM73" s="816" t="s">
        <v>100</v>
      </c>
      <c r="DN73" s="816">
        <f t="shared" si="13"/>
        <v>0</v>
      </c>
      <c r="DO73" s="816" t="s">
        <v>101</v>
      </c>
      <c r="DP73" s="816">
        <f t="shared" si="14"/>
        <v>0</v>
      </c>
    </row>
    <row r="74" spans="1:120">
      <c r="A74" s="815">
        <v>18</v>
      </c>
      <c r="B74" s="815" t="str">
        <f t="shared" si="16"/>
        <v>18REMARKS</v>
      </c>
      <c r="C74" s="815">
        <f>VLOOKUP(A74,DATEWISE!$A$3:$BY$27,2,0)</f>
        <v>0</v>
      </c>
      <c r="D74" s="815">
        <f>VLOOKUP(A74,DATEWISE!$A$3:$BY$27,3,0)</f>
        <v>0</v>
      </c>
      <c r="E74" s="815">
        <f>VLOOKUP(A74,DATEWISE!$A$3:$BY$27,4,0)</f>
        <v>0</v>
      </c>
      <c r="F74" s="815" t="str">
        <f t="shared" si="17"/>
        <v>0REMARKS</v>
      </c>
      <c r="G74" s="815" t="s">
        <v>390</v>
      </c>
      <c r="H74" s="816">
        <v>0</v>
      </c>
      <c r="I74" s="816">
        <v>0</v>
      </c>
      <c r="J74" s="816">
        <v>0</v>
      </c>
      <c r="K74" s="816">
        <v>0</v>
      </c>
      <c r="L74" s="816">
        <v>0</v>
      </c>
      <c r="M74" s="816">
        <v>0</v>
      </c>
      <c r="N74" s="816">
        <v>0</v>
      </c>
      <c r="O74" s="816">
        <v>0</v>
      </c>
      <c r="P74" s="816">
        <v>0</v>
      </c>
      <c r="Q74" s="816">
        <v>0</v>
      </c>
      <c r="R74" s="816">
        <v>0</v>
      </c>
      <c r="S74" s="816">
        <v>0</v>
      </c>
      <c r="T74" s="816">
        <v>0</v>
      </c>
      <c r="U74" s="816">
        <v>0</v>
      </c>
      <c r="V74" s="816">
        <v>0</v>
      </c>
      <c r="W74" s="816">
        <v>0</v>
      </c>
      <c r="X74" s="816">
        <v>0</v>
      </c>
      <c r="Y74" s="816">
        <v>0</v>
      </c>
      <c r="Z74" s="816">
        <v>0</v>
      </c>
      <c r="AA74" s="816">
        <v>0</v>
      </c>
      <c r="AB74" s="816">
        <v>0</v>
      </c>
      <c r="AC74" s="816">
        <v>0</v>
      </c>
      <c r="AD74" s="816">
        <v>0</v>
      </c>
      <c r="AE74" s="816">
        <v>0</v>
      </c>
      <c r="AF74" s="816">
        <v>0</v>
      </c>
      <c r="AG74" s="816">
        <v>0</v>
      </c>
      <c r="AH74" s="816">
        <v>0</v>
      </c>
      <c r="AI74" s="816">
        <v>0</v>
      </c>
      <c r="AJ74" s="816">
        <v>0</v>
      </c>
      <c r="AK74" s="816">
        <v>0</v>
      </c>
      <c r="AL74" s="816">
        <v>0</v>
      </c>
      <c r="AM74" s="816">
        <v>0</v>
      </c>
      <c r="AN74" s="816">
        <v>0</v>
      </c>
      <c r="AO74" s="816">
        <v>0</v>
      </c>
      <c r="AP74" s="816">
        <v>0</v>
      </c>
      <c r="AQ74" s="816">
        <v>0</v>
      </c>
      <c r="AR74" s="816">
        <v>0</v>
      </c>
      <c r="AS74" s="816">
        <v>0</v>
      </c>
      <c r="AT74" s="816">
        <v>0</v>
      </c>
      <c r="AU74" s="816">
        <v>0</v>
      </c>
      <c r="AV74" s="816">
        <v>0</v>
      </c>
      <c r="AW74" s="816">
        <v>0</v>
      </c>
      <c r="AX74" s="816">
        <v>0</v>
      </c>
      <c r="AY74" s="816">
        <v>0</v>
      </c>
      <c r="AZ74" s="816">
        <v>0</v>
      </c>
      <c r="BA74" s="816">
        <v>0</v>
      </c>
      <c r="BB74" s="816">
        <v>0</v>
      </c>
      <c r="BC74" s="816">
        <v>0</v>
      </c>
      <c r="BD74" s="816">
        <v>0</v>
      </c>
      <c r="BE74" s="816">
        <v>0</v>
      </c>
      <c r="BF74" s="816">
        <v>0</v>
      </c>
      <c r="BG74" s="816">
        <v>0</v>
      </c>
      <c r="BH74" s="816">
        <v>0</v>
      </c>
      <c r="BI74" s="816">
        <v>0</v>
      </c>
      <c r="BJ74" s="816">
        <v>0</v>
      </c>
      <c r="BK74" s="816">
        <v>0</v>
      </c>
      <c r="BL74" s="816">
        <v>0</v>
      </c>
      <c r="BM74" s="816">
        <v>0</v>
      </c>
      <c r="BN74" s="816">
        <v>0</v>
      </c>
      <c r="BO74" s="816">
        <v>0</v>
      </c>
      <c r="BP74" s="816">
        <v>0</v>
      </c>
      <c r="BQ74" s="816">
        <v>0</v>
      </c>
      <c r="BR74" s="816">
        <v>0</v>
      </c>
      <c r="BS74" s="816">
        <v>0</v>
      </c>
      <c r="BT74" s="816">
        <v>0</v>
      </c>
      <c r="BU74" s="816">
        <v>0</v>
      </c>
      <c r="BV74" s="816">
        <v>0</v>
      </c>
      <c r="BW74" s="816">
        <v>0</v>
      </c>
      <c r="BX74" s="816">
        <v>0</v>
      </c>
      <c r="BY74" s="816">
        <v>0</v>
      </c>
      <c r="BZ74" s="816">
        <v>0</v>
      </c>
      <c r="CA74" s="816">
        <v>0</v>
      </c>
      <c r="CB74" s="816">
        <v>0</v>
      </c>
      <c r="CC74" s="816">
        <v>0</v>
      </c>
      <c r="CD74" s="816">
        <v>0</v>
      </c>
      <c r="CE74" s="816">
        <v>0</v>
      </c>
      <c r="CF74" s="816">
        <v>0</v>
      </c>
      <c r="CG74" s="816">
        <v>0</v>
      </c>
      <c r="CH74" s="816">
        <v>0</v>
      </c>
      <c r="CI74" s="816">
        <v>0</v>
      </c>
      <c r="CJ74" s="816">
        <v>0</v>
      </c>
      <c r="CK74" s="816">
        <v>0</v>
      </c>
      <c r="CL74" s="816">
        <v>0</v>
      </c>
      <c r="CM74" s="816">
        <v>0</v>
      </c>
      <c r="CN74" s="816">
        <v>0</v>
      </c>
      <c r="CO74" s="816">
        <v>0</v>
      </c>
      <c r="CP74" s="816">
        <v>0</v>
      </c>
      <c r="CQ74" s="816">
        <v>0</v>
      </c>
      <c r="CR74" s="816">
        <v>0</v>
      </c>
      <c r="CS74" s="816">
        <v>0</v>
      </c>
      <c r="CT74" s="816">
        <v>0</v>
      </c>
      <c r="CU74" s="816">
        <v>0</v>
      </c>
      <c r="CV74" s="816">
        <v>0</v>
      </c>
      <c r="CW74" s="816">
        <v>0</v>
      </c>
      <c r="CX74" s="816">
        <v>0</v>
      </c>
      <c r="CY74" s="816">
        <v>0</v>
      </c>
      <c r="CZ74" s="816">
        <v>0</v>
      </c>
      <c r="DA74" s="816">
        <v>0</v>
      </c>
      <c r="DB74" s="816">
        <v>0</v>
      </c>
      <c r="DC74" s="816">
        <v>0</v>
      </c>
      <c r="DE74" s="816" t="s">
        <v>96</v>
      </c>
      <c r="DF74" s="816">
        <f t="shared" ref="DF74:DF102" si="18">COUNTIFS(H74:DC74,1)</f>
        <v>0</v>
      </c>
      <c r="DG74" s="816" t="s">
        <v>97</v>
      </c>
      <c r="DH74" s="816">
        <f t="shared" ref="DH74:DH102" si="19">COUNTIFS(H74:DC74,2)</f>
        <v>0</v>
      </c>
      <c r="DI74" s="816" t="s">
        <v>98</v>
      </c>
      <c r="DJ74" s="816">
        <f t="shared" ref="DJ74:DJ102" si="20">COUNTIFS(H74:DC74,3)</f>
        <v>0</v>
      </c>
      <c r="DK74" s="816" t="s">
        <v>99</v>
      </c>
      <c r="DL74" s="816">
        <f t="shared" ref="DL74:DL102" si="21">COUNTIFS(H74:DC74,4)</f>
        <v>0</v>
      </c>
      <c r="DM74" s="816" t="s">
        <v>100</v>
      </c>
      <c r="DN74" s="816">
        <f t="shared" ref="DN74:DN102" si="22">COUNTIFS(H74:DC74,5)</f>
        <v>0</v>
      </c>
      <c r="DO74" s="816" t="s">
        <v>101</v>
      </c>
      <c r="DP74" s="816">
        <f t="shared" ref="DP74:DP102" si="23">COUNTIFS(H74:DC74,"Ab")</f>
        <v>0</v>
      </c>
    </row>
    <row r="75" spans="1:120">
      <c r="A75" s="815">
        <v>19</v>
      </c>
      <c r="B75" s="815" t="str">
        <f t="shared" si="16"/>
        <v>19HINDI</v>
      </c>
      <c r="C75" s="815">
        <f>VLOOKUP(A75,DATEWISE!$A$3:$BY$27,2,0)</f>
        <v>0</v>
      </c>
      <c r="D75" s="815">
        <f>VLOOKUP(A75,DATEWISE!$A$3:$BY$27,3,0)</f>
        <v>0</v>
      </c>
      <c r="E75" s="815">
        <f>VLOOKUP(A75,DATEWISE!$A$3:$BY$27,4,0)</f>
        <v>0</v>
      </c>
      <c r="F75" s="815" t="str">
        <f t="shared" si="17"/>
        <v>0HINDI</v>
      </c>
      <c r="G75" s="815" t="s">
        <v>87</v>
      </c>
      <c r="H75" s="816">
        <v>0</v>
      </c>
      <c r="I75" s="816">
        <v>0</v>
      </c>
      <c r="J75" s="816">
        <v>0</v>
      </c>
      <c r="K75" s="816">
        <v>0</v>
      </c>
      <c r="L75" s="816">
        <v>0</v>
      </c>
      <c r="M75" s="816">
        <v>0</v>
      </c>
      <c r="N75" s="816">
        <v>0</v>
      </c>
      <c r="O75" s="816">
        <v>0</v>
      </c>
      <c r="P75" s="816">
        <v>0</v>
      </c>
      <c r="Q75" s="816">
        <v>0</v>
      </c>
      <c r="R75" s="816">
        <v>0</v>
      </c>
      <c r="S75" s="816">
        <v>0</v>
      </c>
      <c r="T75" s="816">
        <v>0</v>
      </c>
      <c r="U75" s="816">
        <v>0</v>
      </c>
      <c r="V75" s="816">
        <v>0</v>
      </c>
      <c r="W75" s="816">
        <v>0</v>
      </c>
      <c r="X75" s="816">
        <v>0</v>
      </c>
      <c r="Y75" s="816">
        <v>0</v>
      </c>
      <c r="Z75" s="816">
        <v>0</v>
      </c>
      <c r="AA75" s="816">
        <v>0</v>
      </c>
      <c r="AB75" s="816">
        <v>0</v>
      </c>
      <c r="AC75" s="816">
        <v>0</v>
      </c>
      <c r="AD75" s="816">
        <v>0</v>
      </c>
      <c r="AE75" s="816">
        <v>0</v>
      </c>
      <c r="AF75" s="816">
        <v>0</v>
      </c>
      <c r="AG75" s="816">
        <v>0</v>
      </c>
      <c r="AH75" s="816">
        <v>0</v>
      </c>
      <c r="AI75" s="816">
        <v>0</v>
      </c>
      <c r="AJ75" s="816">
        <v>0</v>
      </c>
      <c r="AK75" s="816">
        <v>0</v>
      </c>
      <c r="AL75" s="816">
        <v>0</v>
      </c>
      <c r="AM75" s="816">
        <v>0</v>
      </c>
      <c r="AN75" s="816">
        <v>0</v>
      </c>
      <c r="AO75" s="816">
        <v>0</v>
      </c>
      <c r="AP75" s="816">
        <v>0</v>
      </c>
      <c r="AQ75" s="816">
        <v>0</v>
      </c>
      <c r="AR75" s="816">
        <v>0</v>
      </c>
      <c r="AS75" s="816">
        <v>0</v>
      </c>
      <c r="AT75" s="816">
        <v>0</v>
      </c>
      <c r="AU75" s="816">
        <v>0</v>
      </c>
      <c r="AV75" s="816">
        <v>0</v>
      </c>
      <c r="AW75" s="816">
        <v>0</v>
      </c>
      <c r="AX75" s="816">
        <v>0</v>
      </c>
      <c r="AY75" s="816">
        <v>0</v>
      </c>
      <c r="AZ75" s="816">
        <v>0</v>
      </c>
      <c r="BA75" s="816">
        <v>0</v>
      </c>
      <c r="BB75" s="816">
        <v>0</v>
      </c>
      <c r="BC75" s="816">
        <v>0</v>
      </c>
      <c r="BD75" s="816">
        <v>0</v>
      </c>
      <c r="BE75" s="816">
        <v>0</v>
      </c>
      <c r="BF75" s="816">
        <v>0</v>
      </c>
      <c r="BG75" s="816">
        <v>0</v>
      </c>
      <c r="BH75" s="816">
        <v>0</v>
      </c>
      <c r="BI75" s="816">
        <v>0</v>
      </c>
      <c r="BJ75" s="816">
        <v>0</v>
      </c>
      <c r="BK75" s="816">
        <v>0</v>
      </c>
      <c r="BL75" s="816">
        <v>0</v>
      </c>
      <c r="BM75" s="816">
        <v>0</v>
      </c>
      <c r="BN75" s="816">
        <v>0</v>
      </c>
      <c r="BO75" s="816">
        <v>0</v>
      </c>
      <c r="BP75" s="816">
        <v>0</v>
      </c>
      <c r="BQ75" s="816">
        <v>0</v>
      </c>
      <c r="BR75" s="816">
        <v>0</v>
      </c>
      <c r="BS75" s="816">
        <v>0</v>
      </c>
      <c r="BT75" s="816">
        <v>0</v>
      </c>
      <c r="BU75" s="816">
        <v>0</v>
      </c>
      <c r="BV75" s="816">
        <v>0</v>
      </c>
      <c r="BW75" s="816">
        <v>0</v>
      </c>
      <c r="BX75" s="816">
        <v>0</v>
      </c>
      <c r="BY75" s="816">
        <v>0</v>
      </c>
      <c r="BZ75" s="816">
        <v>0</v>
      </c>
      <c r="CA75" s="816">
        <v>0</v>
      </c>
      <c r="CB75" s="816">
        <v>0</v>
      </c>
      <c r="CC75" s="816">
        <v>0</v>
      </c>
      <c r="CD75" s="816">
        <v>0</v>
      </c>
      <c r="CE75" s="816">
        <v>0</v>
      </c>
      <c r="CF75" s="816">
        <v>0</v>
      </c>
      <c r="CG75" s="816">
        <v>0</v>
      </c>
      <c r="CH75" s="816">
        <v>0</v>
      </c>
      <c r="CI75" s="816">
        <v>0</v>
      </c>
      <c r="CJ75" s="816">
        <v>0</v>
      </c>
      <c r="CK75" s="816">
        <v>0</v>
      </c>
      <c r="CL75" s="816">
        <v>0</v>
      </c>
      <c r="CM75" s="816">
        <v>0</v>
      </c>
      <c r="CN75" s="816">
        <v>0</v>
      </c>
      <c r="CO75" s="816">
        <v>0</v>
      </c>
      <c r="CP75" s="816">
        <v>0</v>
      </c>
      <c r="CQ75" s="816">
        <v>0</v>
      </c>
      <c r="CR75" s="816">
        <v>0</v>
      </c>
      <c r="CS75" s="816">
        <v>0</v>
      </c>
      <c r="CT75" s="816">
        <v>0</v>
      </c>
      <c r="CU75" s="816">
        <v>0</v>
      </c>
      <c r="CV75" s="816">
        <v>0</v>
      </c>
      <c r="CW75" s="816">
        <v>0</v>
      </c>
      <c r="CX75" s="816">
        <v>0</v>
      </c>
      <c r="CY75" s="816">
        <v>0</v>
      </c>
      <c r="CZ75" s="816">
        <v>0</v>
      </c>
      <c r="DA75" s="816">
        <v>0</v>
      </c>
      <c r="DB75" s="816">
        <v>0</v>
      </c>
      <c r="DC75" s="816">
        <v>0</v>
      </c>
      <c r="DE75" s="816" t="s">
        <v>96</v>
      </c>
      <c r="DF75" s="816">
        <f t="shared" si="18"/>
        <v>0</v>
      </c>
      <c r="DG75" s="816" t="s">
        <v>97</v>
      </c>
      <c r="DH75" s="816">
        <f t="shared" si="19"/>
        <v>0</v>
      </c>
      <c r="DI75" s="816" t="s">
        <v>98</v>
      </c>
      <c r="DJ75" s="816">
        <f t="shared" si="20"/>
        <v>0</v>
      </c>
      <c r="DK75" s="816" t="s">
        <v>99</v>
      </c>
      <c r="DL75" s="816">
        <f t="shared" si="21"/>
        <v>0</v>
      </c>
      <c r="DM75" s="816" t="s">
        <v>100</v>
      </c>
      <c r="DN75" s="816">
        <f t="shared" si="22"/>
        <v>0</v>
      </c>
      <c r="DO75" s="816" t="s">
        <v>101</v>
      </c>
      <c r="DP75" s="816">
        <f t="shared" si="23"/>
        <v>0</v>
      </c>
    </row>
    <row r="76" spans="1:120">
      <c r="A76" s="815">
        <v>19</v>
      </c>
      <c r="B76" s="815" t="str">
        <f t="shared" si="16"/>
        <v>19ENGLISH</v>
      </c>
      <c r="C76" s="815">
        <f>VLOOKUP(A76,DATEWISE!$A$3:$BY$27,2,0)</f>
        <v>0</v>
      </c>
      <c r="D76" s="815">
        <f>VLOOKUP(A76,DATEWISE!$A$3:$BY$27,3,0)</f>
        <v>0</v>
      </c>
      <c r="E76" s="815">
        <f>VLOOKUP(A76,DATEWISE!$A$3:$BY$27,4,0)</f>
        <v>0</v>
      </c>
      <c r="F76" s="815" t="str">
        <f t="shared" si="17"/>
        <v>0ENGLISH</v>
      </c>
      <c r="G76" s="815" t="s">
        <v>89</v>
      </c>
      <c r="H76" s="816">
        <v>0</v>
      </c>
      <c r="I76" s="816">
        <v>0</v>
      </c>
      <c r="J76" s="816">
        <v>0</v>
      </c>
      <c r="K76" s="816">
        <v>0</v>
      </c>
      <c r="L76" s="816">
        <v>0</v>
      </c>
      <c r="M76" s="816">
        <v>0</v>
      </c>
      <c r="N76" s="816">
        <v>0</v>
      </c>
      <c r="O76" s="816">
        <v>0</v>
      </c>
      <c r="P76" s="816">
        <v>0</v>
      </c>
      <c r="Q76" s="816">
        <v>0</v>
      </c>
      <c r="R76" s="816">
        <v>0</v>
      </c>
      <c r="S76" s="816">
        <v>0</v>
      </c>
      <c r="T76" s="816">
        <v>0</v>
      </c>
      <c r="U76" s="816">
        <v>0</v>
      </c>
      <c r="V76" s="816">
        <v>0</v>
      </c>
      <c r="W76" s="816">
        <v>0</v>
      </c>
      <c r="X76" s="816">
        <v>0</v>
      </c>
      <c r="Y76" s="816">
        <v>0</v>
      </c>
      <c r="Z76" s="816">
        <v>0</v>
      </c>
      <c r="AA76" s="816">
        <v>0</v>
      </c>
      <c r="AB76" s="816">
        <v>0</v>
      </c>
      <c r="AC76" s="816">
        <v>0</v>
      </c>
      <c r="AD76" s="816">
        <v>0</v>
      </c>
      <c r="AE76" s="816">
        <v>0</v>
      </c>
      <c r="AF76" s="816">
        <v>0</v>
      </c>
      <c r="AG76" s="816">
        <v>0</v>
      </c>
      <c r="AH76" s="816">
        <v>0</v>
      </c>
      <c r="AI76" s="816">
        <v>0</v>
      </c>
      <c r="AJ76" s="816">
        <v>0</v>
      </c>
      <c r="AK76" s="816">
        <v>0</v>
      </c>
      <c r="AL76" s="816">
        <v>0</v>
      </c>
      <c r="AM76" s="816">
        <v>0</v>
      </c>
      <c r="AN76" s="816">
        <v>0</v>
      </c>
      <c r="AO76" s="816">
        <v>0</v>
      </c>
      <c r="AP76" s="816">
        <v>0</v>
      </c>
      <c r="AQ76" s="816">
        <v>0</v>
      </c>
      <c r="AR76" s="816">
        <v>0</v>
      </c>
      <c r="AS76" s="816">
        <v>0</v>
      </c>
      <c r="AT76" s="816">
        <v>0</v>
      </c>
      <c r="AU76" s="816">
        <v>0</v>
      </c>
      <c r="AV76" s="816">
        <v>0</v>
      </c>
      <c r="AW76" s="816">
        <v>0</v>
      </c>
      <c r="AX76" s="816">
        <v>0</v>
      </c>
      <c r="AY76" s="816">
        <v>0</v>
      </c>
      <c r="AZ76" s="816">
        <v>0</v>
      </c>
      <c r="BA76" s="816">
        <v>0</v>
      </c>
      <c r="BB76" s="816">
        <v>0</v>
      </c>
      <c r="BC76" s="816">
        <v>0</v>
      </c>
      <c r="BD76" s="816">
        <v>0</v>
      </c>
      <c r="BE76" s="816">
        <v>0</v>
      </c>
      <c r="BF76" s="816">
        <v>0</v>
      </c>
      <c r="BG76" s="816">
        <v>0</v>
      </c>
      <c r="BH76" s="816">
        <v>0</v>
      </c>
      <c r="BI76" s="816">
        <v>0</v>
      </c>
      <c r="BJ76" s="816">
        <v>0</v>
      </c>
      <c r="BK76" s="816">
        <v>0</v>
      </c>
      <c r="BL76" s="816">
        <v>0</v>
      </c>
      <c r="BM76" s="816">
        <v>0</v>
      </c>
      <c r="BN76" s="816">
        <v>0</v>
      </c>
      <c r="BO76" s="816">
        <v>0</v>
      </c>
      <c r="BP76" s="816">
        <v>0</v>
      </c>
      <c r="BQ76" s="816">
        <v>0</v>
      </c>
      <c r="BR76" s="816">
        <v>0</v>
      </c>
      <c r="BS76" s="816">
        <v>0</v>
      </c>
      <c r="BT76" s="816">
        <v>0</v>
      </c>
      <c r="BU76" s="816">
        <v>0</v>
      </c>
      <c r="BV76" s="816">
        <v>0</v>
      </c>
      <c r="BW76" s="816">
        <v>0</v>
      </c>
      <c r="BX76" s="816">
        <v>0</v>
      </c>
      <c r="BY76" s="816">
        <v>0</v>
      </c>
      <c r="BZ76" s="816">
        <v>0</v>
      </c>
      <c r="CA76" s="816">
        <v>0</v>
      </c>
      <c r="CB76" s="816">
        <v>0</v>
      </c>
      <c r="CC76" s="816">
        <v>0</v>
      </c>
      <c r="CD76" s="816">
        <v>0</v>
      </c>
      <c r="CE76" s="816">
        <v>0</v>
      </c>
      <c r="CF76" s="816">
        <v>0</v>
      </c>
      <c r="CG76" s="816">
        <v>0</v>
      </c>
      <c r="CH76" s="816">
        <v>0</v>
      </c>
      <c r="CI76" s="816">
        <v>0</v>
      </c>
      <c r="CJ76" s="816">
        <v>0</v>
      </c>
      <c r="CK76" s="816">
        <v>0</v>
      </c>
      <c r="CL76" s="816">
        <v>0</v>
      </c>
      <c r="CM76" s="816">
        <v>0</v>
      </c>
      <c r="CN76" s="816">
        <v>0</v>
      </c>
      <c r="CO76" s="816">
        <v>0</v>
      </c>
      <c r="CP76" s="816">
        <v>0</v>
      </c>
      <c r="CQ76" s="816">
        <v>0</v>
      </c>
      <c r="CR76" s="816">
        <v>0</v>
      </c>
      <c r="CS76" s="816">
        <v>0</v>
      </c>
      <c r="CT76" s="816">
        <v>0</v>
      </c>
      <c r="CU76" s="816">
        <v>0</v>
      </c>
      <c r="CV76" s="816">
        <v>0</v>
      </c>
      <c r="CW76" s="816">
        <v>0</v>
      </c>
      <c r="CX76" s="816">
        <v>0</v>
      </c>
      <c r="CY76" s="816">
        <v>0</v>
      </c>
      <c r="CZ76" s="816">
        <v>0</v>
      </c>
      <c r="DA76" s="816">
        <v>0</v>
      </c>
      <c r="DB76" s="816">
        <v>0</v>
      </c>
      <c r="DC76" s="816">
        <v>0</v>
      </c>
      <c r="DE76" s="816" t="s">
        <v>96</v>
      </c>
      <c r="DF76" s="816">
        <f t="shared" si="18"/>
        <v>0</v>
      </c>
      <c r="DG76" s="816" t="s">
        <v>97</v>
      </c>
      <c r="DH76" s="816">
        <f t="shared" si="19"/>
        <v>0</v>
      </c>
      <c r="DI76" s="816" t="s">
        <v>98</v>
      </c>
      <c r="DJ76" s="816">
        <f t="shared" si="20"/>
        <v>0</v>
      </c>
      <c r="DK76" s="816" t="s">
        <v>99</v>
      </c>
      <c r="DL76" s="816">
        <f t="shared" si="21"/>
        <v>0</v>
      </c>
      <c r="DM76" s="816" t="s">
        <v>100</v>
      </c>
      <c r="DN76" s="816">
        <f t="shared" si="22"/>
        <v>0</v>
      </c>
      <c r="DO76" s="816" t="s">
        <v>101</v>
      </c>
      <c r="DP76" s="816">
        <f t="shared" si="23"/>
        <v>0</v>
      </c>
    </row>
    <row r="77" spans="1:120">
      <c r="A77" s="815">
        <v>19</v>
      </c>
      <c r="B77" s="815" t="str">
        <f t="shared" si="16"/>
        <v>19MATHS</v>
      </c>
      <c r="C77" s="815">
        <f>VLOOKUP(A77,DATEWISE!$A$3:$BY$27,2,0)</f>
        <v>0</v>
      </c>
      <c r="D77" s="815">
        <f>VLOOKUP(A77,DATEWISE!$A$3:$BY$27,3,0)</f>
        <v>0</v>
      </c>
      <c r="E77" s="815">
        <f>VLOOKUP(A77,DATEWISE!$A$3:$BY$27,4,0)</f>
        <v>0</v>
      </c>
      <c r="F77" s="815" t="str">
        <f t="shared" si="17"/>
        <v>0MATHS</v>
      </c>
      <c r="G77" s="815" t="s">
        <v>88</v>
      </c>
      <c r="H77" s="816">
        <v>0</v>
      </c>
      <c r="I77" s="816">
        <v>0</v>
      </c>
      <c r="J77" s="816">
        <v>0</v>
      </c>
      <c r="K77" s="816">
        <v>0</v>
      </c>
      <c r="L77" s="816">
        <v>0</v>
      </c>
      <c r="M77" s="816">
        <v>0</v>
      </c>
      <c r="N77" s="816">
        <v>0</v>
      </c>
      <c r="O77" s="816">
        <v>0</v>
      </c>
      <c r="P77" s="816">
        <v>0</v>
      </c>
      <c r="Q77" s="816">
        <v>0</v>
      </c>
      <c r="R77" s="816">
        <v>0</v>
      </c>
      <c r="S77" s="816">
        <v>0</v>
      </c>
      <c r="T77" s="816">
        <v>0</v>
      </c>
      <c r="U77" s="816">
        <v>0</v>
      </c>
      <c r="V77" s="816">
        <v>0</v>
      </c>
      <c r="W77" s="816">
        <v>0</v>
      </c>
      <c r="X77" s="816">
        <v>0</v>
      </c>
      <c r="Y77" s="816">
        <v>0</v>
      </c>
      <c r="Z77" s="816">
        <v>0</v>
      </c>
      <c r="AA77" s="816">
        <v>0</v>
      </c>
      <c r="AB77" s="816">
        <v>0</v>
      </c>
      <c r="AC77" s="816">
        <v>0</v>
      </c>
      <c r="AD77" s="816">
        <v>0</v>
      </c>
      <c r="AE77" s="816">
        <v>0</v>
      </c>
      <c r="AF77" s="816">
        <v>0</v>
      </c>
      <c r="AG77" s="816">
        <v>0</v>
      </c>
      <c r="AH77" s="816">
        <v>0</v>
      </c>
      <c r="AI77" s="816">
        <v>0</v>
      </c>
      <c r="AJ77" s="816">
        <v>0</v>
      </c>
      <c r="AK77" s="816">
        <v>0</v>
      </c>
      <c r="AL77" s="816">
        <v>0</v>
      </c>
      <c r="AM77" s="816">
        <v>0</v>
      </c>
      <c r="AN77" s="816">
        <v>0</v>
      </c>
      <c r="AO77" s="816">
        <v>0</v>
      </c>
      <c r="AP77" s="816">
        <v>0</v>
      </c>
      <c r="AQ77" s="816">
        <v>0</v>
      </c>
      <c r="AR77" s="816">
        <v>0</v>
      </c>
      <c r="AS77" s="816">
        <v>0</v>
      </c>
      <c r="AT77" s="816">
        <v>0</v>
      </c>
      <c r="AU77" s="816">
        <v>0</v>
      </c>
      <c r="AV77" s="816">
        <v>0</v>
      </c>
      <c r="AW77" s="816">
        <v>0</v>
      </c>
      <c r="AX77" s="816">
        <v>0</v>
      </c>
      <c r="AY77" s="816">
        <v>0</v>
      </c>
      <c r="AZ77" s="816">
        <v>0</v>
      </c>
      <c r="BA77" s="816">
        <v>0</v>
      </c>
      <c r="BB77" s="816">
        <v>0</v>
      </c>
      <c r="BC77" s="816">
        <v>0</v>
      </c>
      <c r="BD77" s="816">
        <v>0</v>
      </c>
      <c r="BE77" s="816">
        <v>0</v>
      </c>
      <c r="BF77" s="816">
        <v>0</v>
      </c>
      <c r="BG77" s="816">
        <v>0</v>
      </c>
      <c r="BH77" s="816">
        <v>0</v>
      </c>
      <c r="BI77" s="816">
        <v>0</v>
      </c>
      <c r="BJ77" s="816">
        <v>0</v>
      </c>
      <c r="BK77" s="816">
        <v>0</v>
      </c>
      <c r="BL77" s="816">
        <v>0</v>
      </c>
      <c r="BM77" s="816">
        <v>0</v>
      </c>
      <c r="BN77" s="816">
        <v>0</v>
      </c>
      <c r="BO77" s="816">
        <v>0</v>
      </c>
      <c r="BP77" s="816">
        <v>0</v>
      </c>
      <c r="BQ77" s="816">
        <v>0</v>
      </c>
      <c r="BR77" s="816">
        <v>0</v>
      </c>
      <c r="BS77" s="816">
        <v>0</v>
      </c>
      <c r="BT77" s="816">
        <v>0</v>
      </c>
      <c r="BU77" s="816">
        <v>0</v>
      </c>
      <c r="BV77" s="816">
        <v>0</v>
      </c>
      <c r="BW77" s="816">
        <v>0</v>
      </c>
      <c r="BX77" s="816">
        <v>0</v>
      </c>
      <c r="BY77" s="816">
        <v>0</v>
      </c>
      <c r="BZ77" s="816">
        <v>0</v>
      </c>
      <c r="CA77" s="816">
        <v>0</v>
      </c>
      <c r="CB77" s="816">
        <v>0</v>
      </c>
      <c r="CC77" s="816">
        <v>0</v>
      </c>
      <c r="CD77" s="816">
        <v>0</v>
      </c>
      <c r="CE77" s="816">
        <v>0</v>
      </c>
      <c r="CF77" s="816">
        <v>0</v>
      </c>
      <c r="CG77" s="816">
        <v>0</v>
      </c>
      <c r="CH77" s="816">
        <v>0</v>
      </c>
      <c r="CI77" s="816">
        <v>0</v>
      </c>
      <c r="CJ77" s="816">
        <v>0</v>
      </c>
      <c r="CK77" s="816">
        <v>0</v>
      </c>
      <c r="CL77" s="816">
        <v>0</v>
      </c>
      <c r="CM77" s="816">
        <v>0</v>
      </c>
      <c r="CN77" s="816">
        <v>0</v>
      </c>
      <c r="CO77" s="816">
        <v>0</v>
      </c>
      <c r="CP77" s="816">
        <v>0</v>
      </c>
      <c r="CQ77" s="816">
        <v>0</v>
      </c>
      <c r="CR77" s="816">
        <v>0</v>
      </c>
      <c r="CS77" s="816">
        <v>0</v>
      </c>
      <c r="CT77" s="816">
        <v>0</v>
      </c>
      <c r="CU77" s="816">
        <v>0</v>
      </c>
      <c r="CV77" s="816">
        <v>0</v>
      </c>
      <c r="CW77" s="816">
        <v>0</v>
      </c>
      <c r="CX77" s="816">
        <v>0</v>
      </c>
      <c r="CY77" s="816">
        <v>0</v>
      </c>
      <c r="CZ77" s="816">
        <v>0</v>
      </c>
      <c r="DA77" s="816">
        <v>0</v>
      </c>
      <c r="DB77" s="816">
        <v>0</v>
      </c>
      <c r="DC77" s="816">
        <v>0</v>
      </c>
      <c r="DE77" s="816" t="s">
        <v>96</v>
      </c>
      <c r="DF77" s="816">
        <f t="shared" si="18"/>
        <v>0</v>
      </c>
      <c r="DG77" s="816" t="s">
        <v>97</v>
      </c>
      <c r="DH77" s="816">
        <f t="shared" si="19"/>
        <v>0</v>
      </c>
      <c r="DI77" s="816" t="s">
        <v>98</v>
      </c>
      <c r="DJ77" s="816">
        <f t="shared" si="20"/>
        <v>0</v>
      </c>
      <c r="DK77" s="816" t="s">
        <v>99</v>
      </c>
      <c r="DL77" s="816">
        <f t="shared" si="21"/>
        <v>0</v>
      </c>
      <c r="DM77" s="816" t="s">
        <v>100</v>
      </c>
      <c r="DN77" s="816">
        <f t="shared" si="22"/>
        <v>0</v>
      </c>
      <c r="DO77" s="816" t="s">
        <v>101</v>
      </c>
      <c r="DP77" s="816">
        <f t="shared" si="23"/>
        <v>0</v>
      </c>
    </row>
    <row r="78" spans="1:120">
      <c r="A78" s="815">
        <v>19</v>
      </c>
      <c r="B78" s="815" t="str">
        <f t="shared" si="16"/>
        <v>19REMARKS</v>
      </c>
      <c r="C78" s="815">
        <f>VLOOKUP(A78,DATEWISE!$A$3:$BY$27,2,0)</f>
        <v>0</v>
      </c>
      <c r="D78" s="815">
        <f>VLOOKUP(A78,DATEWISE!$A$3:$BY$27,3,0)</f>
        <v>0</v>
      </c>
      <c r="E78" s="815">
        <f>VLOOKUP(A78,DATEWISE!$A$3:$BY$27,4,0)</f>
        <v>0</v>
      </c>
      <c r="F78" s="815" t="str">
        <f t="shared" si="17"/>
        <v>0REMARKS</v>
      </c>
      <c r="G78" s="815" t="s">
        <v>390</v>
      </c>
      <c r="H78" s="816">
        <v>0</v>
      </c>
      <c r="I78" s="816">
        <v>0</v>
      </c>
      <c r="J78" s="816">
        <v>0</v>
      </c>
      <c r="K78" s="816">
        <v>0</v>
      </c>
      <c r="L78" s="816">
        <v>0</v>
      </c>
      <c r="M78" s="816">
        <v>0</v>
      </c>
      <c r="N78" s="816">
        <v>0</v>
      </c>
      <c r="O78" s="816">
        <v>0</v>
      </c>
      <c r="P78" s="816">
        <v>0</v>
      </c>
      <c r="Q78" s="816">
        <v>0</v>
      </c>
      <c r="R78" s="816">
        <v>0</v>
      </c>
      <c r="S78" s="816">
        <v>0</v>
      </c>
      <c r="T78" s="816">
        <v>0</v>
      </c>
      <c r="U78" s="816">
        <v>0</v>
      </c>
      <c r="V78" s="816">
        <v>0</v>
      </c>
      <c r="W78" s="816">
        <v>0</v>
      </c>
      <c r="X78" s="816">
        <v>0</v>
      </c>
      <c r="Y78" s="816">
        <v>0</v>
      </c>
      <c r="Z78" s="816">
        <v>0</v>
      </c>
      <c r="AA78" s="816">
        <v>0</v>
      </c>
      <c r="AB78" s="816">
        <v>0</v>
      </c>
      <c r="AC78" s="816">
        <v>0</v>
      </c>
      <c r="AD78" s="816">
        <v>0</v>
      </c>
      <c r="AE78" s="816">
        <v>0</v>
      </c>
      <c r="AF78" s="816">
        <v>0</v>
      </c>
      <c r="AG78" s="816">
        <v>0</v>
      </c>
      <c r="AH78" s="816">
        <v>0</v>
      </c>
      <c r="AI78" s="816">
        <v>0</v>
      </c>
      <c r="AJ78" s="816">
        <v>0</v>
      </c>
      <c r="AK78" s="816">
        <v>0</v>
      </c>
      <c r="AL78" s="816">
        <v>0</v>
      </c>
      <c r="AM78" s="816">
        <v>0</v>
      </c>
      <c r="AN78" s="816">
        <v>0</v>
      </c>
      <c r="AO78" s="816">
        <v>0</v>
      </c>
      <c r="AP78" s="816">
        <v>0</v>
      </c>
      <c r="AQ78" s="816">
        <v>0</v>
      </c>
      <c r="AR78" s="816">
        <v>0</v>
      </c>
      <c r="AS78" s="816">
        <v>0</v>
      </c>
      <c r="AT78" s="816">
        <v>0</v>
      </c>
      <c r="AU78" s="816">
        <v>0</v>
      </c>
      <c r="AV78" s="816">
        <v>0</v>
      </c>
      <c r="AW78" s="816">
        <v>0</v>
      </c>
      <c r="AX78" s="816">
        <v>0</v>
      </c>
      <c r="AY78" s="816">
        <v>0</v>
      </c>
      <c r="AZ78" s="816">
        <v>0</v>
      </c>
      <c r="BA78" s="816">
        <v>0</v>
      </c>
      <c r="BB78" s="816">
        <v>0</v>
      </c>
      <c r="BC78" s="816">
        <v>0</v>
      </c>
      <c r="BD78" s="816">
        <v>0</v>
      </c>
      <c r="BE78" s="816">
        <v>0</v>
      </c>
      <c r="BF78" s="816">
        <v>0</v>
      </c>
      <c r="BG78" s="816">
        <v>0</v>
      </c>
      <c r="BH78" s="816">
        <v>0</v>
      </c>
      <c r="BI78" s="816">
        <v>0</v>
      </c>
      <c r="BJ78" s="816">
        <v>0</v>
      </c>
      <c r="BK78" s="816">
        <v>0</v>
      </c>
      <c r="BL78" s="816">
        <v>0</v>
      </c>
      <c r="BM78" s="816">
        <v>0</v>
      </c>
      <c r="BN78" s="816">
        <v>0</v>
      </c>
      <c r="BO78" s="816">
        <v>0</v>
      </c>
      <c r="BP78" s="816">
        <v>0</v>
      </c>
      <c r="BQ78" s="816">
        <v>0</v>
      </c>
      <c r="BR78" s="816">
        <v>0</v>
      </c>
      <c r="BS78" s="816">
        <v>0</v>
      </c>
      <c r="BT78" s="816">
        <v>0</v>
      </c>
      <c r="BU78" s="816">
        <v>0</v>
      </c>
      <c r="BV78" s="816">
        <v>0</v>
      </c>
      <c r="BW78" s="816">
        <v>0</v>
      </c>
      <c r="BX78" s="816">
        <v>0</v>
      </c>
      <c r="BY78" s="816">
        <v>0</v>
      </c>
      <c r="BZ78" s="816">
        <v>0</v>
      </c>
      <c r="CA78" s="816">
        <v>0</v>
      </c>
      <c r="CB78" s="816">
        <v>0</v>
      </c>
      <c r="CC78" s="816">
        <v>0</v>
      </c>
      <c r="CD78" s="816">
        <v>0</v>
      </c>
      <c r="CE78" s="816">
        <v>0</v>
      </c>
      <c r="CF78" s="816">
        <v>0</v>
      </c>
      <c r="CG78" s="816">
        <v>0</v>
      </c>
      <c r="CH78" s="816">
        <v>0</v>
      </c>
      <c r="CI78" s="816">
        <v>0</v>
      </c>
      <c r="CJ78" s="816">
        <v>0</v>
      </c>
      <c r="CK78" s="816">
        <v>0</v>
      </c>
      <c r="CL78" s="816">
        <v>0</v>
      </c>
      <c r="CM78" s="816">
        <v>0</v>
      </c>
      <c r="CN78" s="816">
        <v>0</v>
      </c>
      <c r="CO78" s="816">
        <v>0</v>
      </c>
      <c r="CP78" s="816">
        <v>0</v>
      </c>
      <c r="CQ78" s="816">
        <v>0</v>
      </c>
      <c r="CR78" s="816">
        <v>0</v>
      </c>
      <c r="CS78" s="816">
        <v>0</v>
      </c>
      <c r="CT78" s="816">
        <v>0</v>
      </c>
      <c r="CU78" s="816">
        <v>0</v>
      </c>
      <c r="CV78" s="816">
        <v>0</v>
      </c>
      <c r="CW78" s="816">
        <v>0</v>
      </c>
      <c r="CX78" s="816">
        <v>0</v>
      </c>
      <c r="CY78" s="816">
        <v>0</v>
      </c>
      <c r="CZ78" s="816">
        <v>0</v>
      </c>
      <c r="DA78" s="816">
        <v>0</v>
      </c>
      <c r="DB78" s="816">
        <v>0</v>
      </c>
      <c r="DC78" s="816">
        <v>0</v>
      </c>
      <c r="DE78" s="816" t="s">
        <v>96</v>
      </c>
      <c r="DF78" s="816">
        <f t="shared" si="18"/>
        <v>0</v>
      </c>
      <c r="DG78" s="816" t="s">
        <v>97</v>
      </c>
      <c r="DH78" s="816">
        <f t="shared" si="19"/>
        <v>0</v>
      </c>
      <c r="DI78" s="816" t="s">
        <v>98</v>
      </c>
      <c r="DJ78" s="816">
        <f t="shared" si="20"/>
        <v>0</v>
      </c>
      <c r="DK78" s="816" t="s">
        <v>99</v>
      </c>
      <c r="DL78" s="816">
        <f t="shared" si="21"/>
        <v>0</v>
      </c>
      <c r="DM78" s="816" t="s">
        <v>100</v>
      </c>
      <c r="DN78" s="816">
        <f t="shared" si="22"/>
        <v>0</v>
      </c>
      <c r="DO78" s="816" t="s">
        <v>101</v>
      </c>
      <c r="DP78" s="816">
        <f t="shared" si="23"/>
        <v>0</v>
      </c>
    </row>
    <row r="79" spans="1:120">
      <c r="A79" s="815">
        <v>20</v>
      </c>
      <c r="B79" s="815" t="str">
        <f t="shared" si="16"/>
        <v>20HINDI</v>
      </c>
      <c r="C79" s="815">
        <f>VLOOKUP(A79,DATEWISE!$A$3:$BY$27,2,0)</f>
        <v>0</v>
      </c>
      <c r="D79" s="815">
        <f>VLOOKUP(A79,DATEWISE!$A$3:$BY$27,3,0)</f>
        <v>0</v>
      </c>
      <c r="E79" s="815">
        <f>VLOOKUP(A79,DATEWISE!$A$3:$BY$27,4,0)</f>
        <v>0</v>
      </c>
      <c r="F79" s="815" t="str">
        <f t="shared" si="17"/>
        <v>0HINDI</v>
      </c>
      <c r="G79" s="815" t="s">
        <v>87</v>
      </c>
      <c r="H79" s="816">
        <v>0</v>
      </c>
      <c r="I79" s="816">
        <v>0</v>
      </c>
      <c r="J79" s="816">
        <v>0</v>
      </c>
      <c r="K79" s="816">
        <v>0</v>
      </c>
      <c r="L79" s="816">
        <v>0</v>
      </c>
      <c r="M79" s="816">
        <v>0</v>
      </c>
      <c r="N79" s="816">
        <v>0</v>
      </c>
      <c r="O79" s="816">
        <v>0</v>
      </c>
      <c r="P79" s="816">
        <v>0</v>
      </c>
      <c r="Q79" s="816">
        <v>0</v>
      </c>
      <c r="R79" s="816">
        <v>0</v>
      </c>
      <c r="S79" s="816">
        <v>0</v>
      </c>
      <c r="T79" s="816">
        <v>0</v>
      </c>
      <c r="U79" s="816">
        <v>0</v>
      </c>
      <c r="V79" s="816">
        <v>0</v>
      </c>
      <c r="W79" s="816">
        <v>0</v>
      </c>
      <c r="X79" s="816">
        <v>0</v>
      </c>
      <c r="Y79" s="816">
        <v>0</v>
      </c>
      <c r="Z79" s="816">
        <v>0</v>
      </c>
      <c r="AA79" s="816">
        <v>0</v>
      </c>
      <c r="AB79" s="816">
        <v>0</v>
      </c>
      <c r="AC79" s="816">
        <v>0</v>
      </c>
      <c r="AD79" s="816">
        <v>0</v>
      </c>
      <c r="AE79" s="816">
        <v>0</v>
      </c>
      <c r="AF79" s="816">
        <v>0</v>
      </c>
      <c r="AG79" s="816">
        <v>0</v>
      </c>
      <c r="AH79" s="816">
        <v>0</v>
      </c>
      <c r="AI79" s="816">
        <v>0</v>
      </c>
      <c r="AJ79" s="816">
        <v>0</v>
      </c>
      <c r="AK79" s="816">
        <v>0</v>
      </c>
      <c r="AL79" s="816">
        <v>0</v>
      </c>
      <c r="AM79" s="816">
        <v>0</v>
      </c>
      <c r="AN79" s="816">
        <v>0</v>
      </c>
      <c r="AO79" s="816">
        <v>0</v>
      </c>
      <c r="AP79" s="816">
        <v>0</v>
      </c>
      <c r="AQ79" s="816">
        <v>0</v>
      </c>
      <c r="AR79" s="816">
        <v>0</v>
      </c>
      <c r="AS79" s="816">
        <v>0</v>
      </c>
      <c r="AT79" s="816">
        <v>0</v>
      </c>
      <c r="AU79" s="816">
        <v>0</v>
      </c>
      <c r="AV79" s="816">
        <v>0</v>
      </c>
      <c r="AW79" s="816">
        <v>0</v>
      </c>
      <c r="AX79" s="816">
        <v>0</v>
      </c>
      <c r="AY79" s="816">
        <v>0</v>
      </c>
      <c r="AZ79" s="816">
        <v>0</v>
      </c>
      <c r="BA79" s="816">
        <v>0</v>
      </c>
      <c r="BB79" s="816">
        <v>0</v>
      </c>
      <c r="BC79" s="816">
        <v>0</v>
      </c>
      <c r="BD79" s="816">
        <v>0</v>
      </c>
      <c r="BE79" s="816">
        <v>0</v>
      </c>
      <c r="BF79" s="816">
        <v>0</v>
      </c>
      <c r="BG79" s="816">
        <v>0</v>
      </c>
      <c r="BH79" s="816">
        <v>0</v>
      </c>
      <c r="BI79" s="816">
        <v>0</v>
      </c>
      <c r="BJ79" s="816">
        <v>0</v>
      </c>
      <c r="BK79" s="816">
        <v>0</v>
      </c>
      <c r="BL79" s="816">
        <v>0</v>
      </c>
      <c r="BM79" s="816">
        <v>0</v>
      </c>
      <c r="BN79" s="816">
        <v>0</v>
      </c>
      <c r="BO79" s="816">
        <v>0</v>
      </c>
      <c r="BP79" s="816">
        <v>0</v>
      </c>
      <c r="BQ79" s="816">
        <v>0</v>
      </c>
      <c r="BR79" s="816">
        <v>0</v>
      </c>
      <c r="BS79" s="816">
        <v>0</v>
      </c>
      <c r="BT79" s="816">
        <v>0</v>
      </c>
      <c r="BU79" s="816">
        <v>0</v>
      </c>
      <c r="BV79" s="816">
        <v>0</v>
      </c>
      <c r="BW79" s="816">
        <v>0</v>
      </c>
      <c r="BX79" s="816">
        <v>0</v>
      </c>
      <c r="BY79" s="816">
        <v>0</v>
      </c>
      <c r="BZ79" s="816">
        <v>0</v>
      </c>
      <c r="CA79" s="816">
        <v>0</v>
      </c>
      <c r="CB79" s="816">
        <v>0</v>
      </c>
      <c r="CC79" s="816">
        <v>0</v>
      </c>
      <c r="CD79" s="816">
        <v>0</v>
      </c>
      <c r="CE79" s="816">
        <v>0</v>
      </c>
      <c r="CF79" s="816">
        <v>0</v>
      </c>
      <c r="CG79" s="816">
        <v>0</v>
      </c>
      <c r="CH79" s="816">
        <v>0</v>
      </c>
      <c r="CI79" s="816">
        <v>0</v>
      </c>
      <c r="CJ79" s="816">
        <v>0</v>
      </c>
      <c r="CK79" s="816">
        <v>0</v>
      </c>
      <c r="CL79" s="816">
        <v>0</v>
      </c>
      <c r="CM79" s="816">
        <v>0</v>
      </c>
      <c r="CN79" s="816">
        <v>0</v>
      </c>
      <c r="CO79" s="816">
        <v>0</v>
      </c>
      <c r="CP79" s="816">
        <v>0</v>
      </c>
      <c r="CQ79" s="816">
        <v>0</v>
      </c>
      <c r="CR79" s="816">
        <v>0</v>
      </c>
      <c r="CS79" s="816">
        <v>0</v>
      </c>
      <c r="CT79" s="816">
        <v>0</v>
      </c>
      <c r="CU79" s="816">
        <v>0</v>
      </c>
      <c r="CV79" s="816">
        <v>0</v>
      </c>
      <c r="CW79" s="816">
        <v>0</v>
      </c>
      <c r="CX79" s="816">
        <v>0</v>
      </c>
      <c r="CY79" s="816">
        <v>0</v>
      </c>
      <c r="CZ79" s="816">
        <v>0</v>
      </c>
      <c r="DA79" s="816">
        <v>0</v>
      </c>
      <c r="DB79" s="816">
        <v>0</v>
      </c>
      <c r="DC79" s="816">
        <v>0</v>
      </c>
      <c r="DE79" s="816" t="s">
        <v>96</v>
      </c>
      <c r="DF79" s="816">
        <f t="shared" si="18"/>
        <v>0</v>
      </c>
      <c r="DG79" s="816" t="s">
        <v>97</v>
      </c>
      <c r="DH79" s="816">
        <f t="shared" si="19"/>
        <v>0</v>
      </c>
      <c r="DI79" s="816" t="s">
        <v>98</v>
      </c>
      <c r="DJ79" s="816">
        <f t="shared" si="20"/>
        <v>0</v>
      </c>
      <c r="DK79" s="816" t="s">
        <v>99</v>
      </c>
      <c r="DL79" s="816">
        <f t="shared" si="21"/>
        <v>0</v>
      </c>
      <c r="DM79" s="816" t="s">
        <v>100</v>
      </c>
      <c r="DN79" s="816">
        <f t="shared" si="22"/>
        <v>0</v>
      </c>
      <c r="DO79" s="816" t="s">
        <v>101</v>
      </c>
      <c r="DP79" s="816">
        <f t="shared" si="23"/>
        <v>0</v>
      </c>
    </row>
    <row r="80" spans="1:120">
      <c r="A80" s="815">
        <v>20</v>
      </c>
      <c r="B80" s="815" t="str">
        <f t="shared" si="16"/>
        <v>20ENGLISH</v>
      </c>
      <c r="C80" s="815">
        <f>VLOOKUP(A80,DATEWISE!$A$3:$BY$27,2,0)</f>
        <v>0</v>
      </c>
      <c r="D80" s="815">
        <f>VLOOKUP(A80,DATEWISE!$A$3:$BY$27,3,0)</f>
        <v>0</v>
      </c>
      <c r="E80" s="815">
        <f>VLOOKUP(A80,DATEWISE!$A$3:$BY$27,4,0)</f>
        <v>0</v>
      </c>
      <c r="F80" s="815" t="str">
        <f t="shared" si="17"/>
        <v>0ENGLISH</v>
      </c>
      <c r="G80" s="815" t="s">
        <v>89</v>
      </c>
      <c r="H80" s="816">
        <v>0</v>
      </c>
      <c r="I80" s="816">
        <v>0</v>
      </c>
      <c r="J80" s="816">
        <v>0</v>
      </c>
      <c r="K80" s="816">
        <v>0</v>
      </c>
      <c r="L80" s="816">
        <v>0</v>
      </c>
      <c r="M80" s="816">
        <v>0</v>
      </c>
      <c r="N80" s="816">
        <v>0</v>
      </c>
      <c r="O80" s="816">
        <v>0</v>
      </c>
      <c r="P80" s="816">
        <v>0</v>
      </c>
      <c r="Q80" s="816">
        <v>0</v>
      </c>
      <c r="R80" s="816">
        <v>0</v>
      </c>
      <c r="S80" s="816">
        <v>0</v>
      </c>
      <c r="T80" s="816">
        <v>0</v>
      </c>
      <c r="U80" s="816">
        <v>0</v>
      </c>
      <c r="V80" s="816">
        <v>0</v>
      </c>
      <c r="W80" s="816">
        <v>0</v>
      </c>
      <c r="X80" s="816">
        <v>0</v>
      </c>
      <c r="Y80" s="816">
        <v>0</v>
      </c>
      <c r="Z80" s="816">
        <v>0</v>
      </c>
      <c r="AA80" s="816">
        <v>0</v>
      </c>
      <c r="AB80" s="816">
        <v>0</v>
      </c>
      <c r="AC80" s="816">
        <v>0</v>
      </c>
      <c r="AD80" s="816">
        <v>0</v>
      </c>
      <c r="AE80" s="816">
        <v>0</v>
      </c>
      <c r="AF80" s="816">
        <v>0</v>
      </c>
      <c r="AG80" s="816">
        <v>0</v>
      </c>
      <c r="AH80" s="816">
        <v>0</v>
      </c>
      <c r="AI80" s="816">
        <v>0</v>
      </c>
      <c r="AJ80" s="816">
        <v>0</v>
      </c>
      <c r="AK80" s="816">
        <v>0</v>
      </c>
      <c r="AL80" s="816">
        <v>0</v>
      </c>
      <c r="AM80" s="816">
        <v>0</v>
      </c>
      <c r="AN80" s="816">
        <v>0</v>
      </c>
      <c r="AO80" s="816">
        <v>0</v>
      </c>
      <c r="AP80" s="816">
        <v>0</v>
      </c>
      <c r="AQ80" s="816">
        <v>0</v>
      </c>
      <c r="AR80" s="816">
        <v>0</v>
      </c>
      <c r="AS80" s="816">
        <v>0</v>
      </c>
      <c r="AT80" s="816">
        <v>0</v>
      </c>
      <c r="AU80" s="816">
        <v>0</v>
      </c>
      <c r="AV80" s="816">
        <v>0</v>
      </c>
      <c r="AW80" s="816">
        <v>0</v>
      </c>
      <c r="AX80" s="816">
        <v>0</v>
      </c>
      <c r="AY80" s="816">
        <v>0</v>
      </c>
      <c r="AZ80" s="816">
        <v>0</v>
      </c>
      <c r="BA80" s="816">
        <v>0</v>
      </c>
      <c r="BB80" s="816">
        <v>0</v>
      </c>
      <c r="BC80" s="816">
        <v>0</v>
      </c>
      <c r="BD80" s="816">
        <v>0</v>
      </c>
      <c r="BE80" s="816">
        <v>0</v>
      </c>
      <c r="BF80" s="816">
        <v>0</v>
      </c>
      <c r="BG80" s="816">
        <v>0</v>
      </c>
      <c r="BH80" s="816">
        <v>0</v>
      </c>
      <c r="BI80" s="816">
        <v>0</v>
      </c>
      <c r="BJ80" s="816">
        <v>0</v>
      </c>
      <c r="BK80" s="816">
        <v>0</v>
      </c>
      <c r="BL80" s="816">
        <v>0</v>
      </c>
      <c r="BM80" s="816">
        <v>0</v>
      </c>
      <c r="BN80" s="816">
        <v>0</v>
      </c>
      <c r="BO80" s="816">
        <v>0</v>
      </c>
      <c r="BP80" s="816">
        <v>0</v>
      </c>
      <c r="BQ80" s="816">
        <v>0</v>
      </c>
      <c r="BR80" s="816">
        <v>0</v>
      </c>
      <c r="BS80" s="816">
        <v>0</v>
      </c>
      <c r="BT80" s="816">
        <v>0</v>
      </c>
      <c r="BU80" s="816">
        <v>0</v>
      </c>
      <c r="BV80" s="816">
        <v>0</v>
      </c>
      <c r="BW80" s="816">
        <v>0</v>
      </c>
      <c r="BX80" s="816">
        <v>0</v>
      </c>
      <c r="BY80" s="816">
        <v>0</v>
      </c>
      <c r="BZ80" s="816">
        <v>0</v>
      </c>
      <c r="CA80" s="816">
        <v>0</v>
      </c>
      <c r="CB80" s="816">
        <v>0</v>
      </c>
      <c r="CC80" s="816">
        <v>0</v>
      </c>
      <c r="CD80" s="816">
        <v>0</v>
      </c>
      <c r="CE80" s="816">
        <v>0</v>
      </c>
      <c r="CF80" s="816">
        <v>0</v>
      </c>
      <c r="CG80" s="816">
        <v>0</v>
      </c>
      <c r="CH80" s="816">
        <v>0</v>
      </c>
      <c r="CI80" s="816">
        <v>0</v>
      </c>
      <c r="CJ80" s="816">
        <v>0</v>
      </c>
      <c r="CK80" s="816">
        <v>0</v>
      </c>
      <c r="CL80" s="816">
        <v>0</v>
      </c>
      <c r="CM80" s="816">
        <v>0</v>
      </c>
      <c r="CN80" s="816">
        <v>0</v>
      </c>
      <c r="CO80" s="816">
        <v>0</v>
      </c>
      <c r="CP80" s="816">
        <v>0</v>
      </c>
      <c r="CQ80" s="816">
        <v>0</v>
      </c>
      <c r="CR80" s="816">
        <v>0</v>
      </c>
      <c r="CS80" s="816">
        <v>0</v>
      </c>
      <c r="CT80" s="816">
        <v>0</v>
      </c>
      <c r="CU80" s="816">
        <v>0</v>
      </c>
      <c r="CV80" s="816">
        <v>0</v>
      </c>
      <c r="CW80" s="816">
        <v>0</v>
      </c>
      <c r="CX80" s="816">
        <v>0</v>
      </c>
      <c r="CY80" s="816">
        <v>0</v>
      </c>
      <c r="CZ80" s="816">
        <v>0</v>
      </c>
      <c r="DA80" s="816">
        <v>0</v>
      </c>
      <c r="DB80" s="816">
        <v>0</v>
      </c>
      <c r="DC80" s="816">
        <v>0</v>
      </c>
      <c r="DE80" s="816" t="s">
        <v>96</v>
      </c>
      <c r="DF80" s="816">
        <f t="shared" si="18"/>
        <v>0</v>
      </c>
      <c r="DG80" s="816" t="s">
        <v>97</v>
      </c>
      <c r="DH80" s="816">
        <f t="shared" si="19"/>
        <v>0</v>
      </c>
      <c r="DI80" s="816" t="s">
        <v>98</v>
      </c>
      <c r="DJ80" s="816">
        <f t="shared" si="20"/>
        <v>0</v>
      </c>
      <c r="DK80" s="816" t="s">
        <v>99</v>
      </c>
      <c r="DL80" s="816">
        <f t="shared" si="21"/>
        <v>0</v>
      </c>
      <c r="DM80" s="816" t="s">
        <v>100</v>
      </c>
      <c r="DN80" s="816">
        <f t="shared" si="22"/>
        <v>0</v>
      </c>
      <c r="DO80" s="816" t="s">
        <v>101</v>
      </c>
      <c r="DP80" s="816">
        <f t="shared" si="23"/>
        <v>0</v>
      </c>
    </row>
    <row r="81" spans="1:120">
      <c r="A81" s="815">
        <v>20</v>
      </c>
      <c r="B81" s="815" t="str">
        <f t="shared" si="16"/>
        <v>20MATHS</v>
      </c>
      <c r="C81" s="815">
        <f>VLOOKUP(A81,DATEWISE!$A$3:$BY$27,2,0)</f>
        <v>0</v>
      </c>
      <c r="D81" s="815">
        <f>VLOOKUP(A81,DATEWISE!$A$3:$BY$27,3,0)</f>
        <v>0</v>
      </c>
      <c r="E81" s="815">
        <f>VLOOKUP(A81,DATEWISE!$A$3:$BY$27,4,0)</f>
        <v>0</v>
      </c>
      <c r="F81" s="815" t="str">
        <f t="shared" si="17"/>
        <v>0MATHS</v>
      </c>
      <c r="G81" s="815" t="s">
        <v>88</v>
      </c>
      <c r="H81" s="816">
        <v>0</v>
      </c>
      <c r="I81" s="816">
        <v>0</v>
      </c>
      <c r="J81" s="816">
        <v>0</v>
      </c>
      <c r="K81" s="816">
        <v>0</v>
      </c>
      <c r="L81" s="816">
        <v>0</v>
      </c>
      <c r="M81" s="816">
        <v>0</v>
      </c>
      <c r="N81" s="816">
        <v>0</v>
      </c>
      <c r="O81" s="816">
        <v>0</v>
      </c>
      <c r="P81" s="816">
        <v>0</v>
      </c>
      <c r="Q81" s="816">
        <v>0</v>
      </c>
      <c r="R81" s="816">
        <v>0</v>
      </c>
      <c r="S81" s="816">
        <v>0</v>
      </c>
      <c r="T81" s="816">
        <v>0</v>
      </c>
      <c r="U81" s="816">
        <v>0</v>
      </c>
      <c r="V81" s="816">
        <v>0</v>
      </c>
      <c r="W81" s="816">
        <v>0</v>
      </c>
      <c r="X81" s="816">
        <v>0</v>
      </c>
      <c r="Y81" s="816">
        <v>0</v>
      </c>
      <c r="Z81" s="816">
        <v>0</v>
      </c>
      <c r="AA81" s="816">
        <v>0</v>
      </c>
      <c r="AB81" s="816">
        <v>0</v>
      </c>
      <c r="AC81" s="816">
        <v>0</v>
      </c>
      <c r="AD81" s="816">
        <v>0</v>
      </c>
      <c r="AE81" s="816">
        <v>0</v>
      </c>
      <c r="AF81" s="816">
        <v>0</v>
      </c>
      <c r="AG81" s="816">
        <v>0</v>
      </c>
      <c r="AH81" s="816">
        <v>0</v>
      </c>
      <c r="AI81" s="816">
        <v>0</v>
      </c>
      <c r="AJ81" s="816">
        <v>0</v>
      </c>
      <c r="AK81" s="816">
        <v>0</v>
      </c>
      <c r="AL81" s="816">
        <v>0</v>
      </c>
      <c r="AM81" s="816">
        <v>0</v>
      </c>
      <c r="AN81" s="816">
        <v>0</v>
      </c>
      <c r="AO81" s="816">
        <v>0</v>
      </c>
      <c r="AP81" s="816">
        <v>0</v>
      </c>
      <c r="AQ81" s="816">
        <v>0</v>
      </c>
      <c r="AR81" s="816">
        <v>0</v>
      </c>
      <c r="AS81" s="816">
        <v>0</v>
      </c>
      <c r="AT81" s="816">
        <v>0</v>
      </c>
      <c r="AU81" s="816">
        <v>0</v>
      </c>
      <c r="AV81" s="816">
        <v>0</v>
      </c>
      <c r="AW81" s="816">
        <v>0</v>
      </c>
      <c r="AX81" s="816">
        <v>0</v>
      </c>
      <c r="AY81" s="816">
        <v>0</v>
      </c>
      <c r="AZ81" s="816">
        <v>0</v>
      </c>
      <c r="BA81" s="816">
        <v>0</v>
      </c>
      <c r="BB81" s="816">
        <v>0</v>
      </c>
      <c r="BC81" s="816">
        <v>0</v>
      </c>
      <c r="BD81" s="816">
        <v>0</v>
      </c>
      <c r="BE81" s="816">
        <v>0</v>
      </c>
      <c r="BF81" s="816">
        <v>0</v>
      </c>
      <c r="BG81" s="816">
        <v>0</v>
      </c>
      <c r="BH81" s="816">
        <v>0</v>
      </c>
      <c r="BI81" s="816">
        <v>0</v>
      </c>
      <c r="BJ81" s="816">
        <v>0</v>
      </c>
      <c r="BK81" s="816">
        <v>0</v>
      </c>
      <c r="BL81" s="816">
        <v>0</v>
      </c>
      <c r="BM81" s="816">
        <v>0</v>
      </c>
      <c r="BN81" s="816">
        <v>0</v>
      </c>
      <c r="BO81" s="816">
        <v>0</v>
      </c>
      <c r="BP81" s="816">
        <v>0</v>
      </c>
      <c r="BQ81" s="816">
        <v>0</v>
      </c>
      <c r="BR81" s="816">
        <v>0</v>
      </c>
      <c r="BS81" s="816">
        <v>0</v>
      </c>
      <c r="BT81" s="816">
        <v>0</v>
      </c>
      <c r="BU81" s="816">
        <v>0</v>
      </c>
      <c r="BV81" s="816">
        <v>0</v>
      </c>
      <c r="BW81" s="816">
        <v>0</v>
      </c>
      <c r="BX81" s="816">
        <v>0</v>
      </c>
      <c r="BY81" s="816">
        <v>0</v>
      </c>
      <c r="BZ81" s="816">
        <v>0</v>
      </c>
      <c r="CA81" s="816">
        <v>0</v>
      </c>
      <c r="CB81" s="816">
        <v>0</v>
      </c>
      <c r="CC81" s="816">
        <v>0</v>
      </c>
      <c r="CD81" s="816">
        <v>0</v>
      </c>
      <c r="CE81" s="816">
        <v>0</v>
      </c>
      <c r="CF81" s="816">
        <v>0</v>
      </c>
      <c r="CG81" s="816">
        <v>0</v>
      </c>
      <c r="CH81" s="816">
        <v>0</v>
      </c>
      <c r="CI81" s="816">
        <v>0</v>
      </c>
      <c r="CJ81" s="816">
        <v>0</v>
      </c>
      <c r="CK81" s="816">
        <v>0</v>
      </c>
      <c r="CL81" s="816">
        <v>0</v>
      </c>
      <c r="CM81" s="816">
        <v>0</v>
      </c>
      <c r="CN81" s="816">
        <v>0</v>
      </c>
      <c r="CO81" s="816">
        <v>0</v>
      </c>
      <c r="CP81" s="816">
        <v>0</v>
      </c>
      <c r="CQ81" s="816">
        <v>0</v>
      </c>
      <c r="CR81" s="816">
        <v>0</v>
      </c>
      <c r="CS81" s="816">
        <v>0</v>
      </c>
      <c r="CT81" s="816">
        <v>0</v>
      </c>
      <c r="CU81" s="816">
        <v>0</v>
      </c>
      <c r="CV81" s="816">
        <v>0</v>
      </c>
      <c r="CW81" s="816">
        <v>0</v>
      </c>
      <c r="CX81" s="816">
        <v>0</v>
      </c>
      <c r="CY81" s="816">
        <v>0</v>
      </c>
      <c r="CZ81" s="816">
        <v>0</v>
      </c>
      <c r="DA81" s="816">
        <v>0</v>
      </c>
      <c r="DB81" s="816">
        <v>0</v>
      </c>
      <c r="DC81" s="816">
        <v>0</v>
      </c>
      <c r="DE81" s="816" t="s">
        <v>96</v>
      </c>
      <c r="DF81" s="816">
        <f t="shared" si="18"/>
        <v>0</v>
      </c>
      <c r="DG81" s="816" t="s">
        <v>97</v>
      </c>
      <c r="DH81" s="816">
        <f t="shared" si="19"/>
        <v>0</v>
      </c>
      <c r="DI81" s="816" t="s">
        <v>98</v>
      </c>
      <c r="DJ81" s="816">
        <f t="shared" si="20"/>
        <v>0</v>
      </c>
      <c r="DK81" s="816" t="s">
        <v>99</v>
      </c>
      <c r="DL81" s="816">
        <f t="shared" si="21"/>
        <v>0</v>
      </c>
      <c r="DM81" s="816" t="s">
        <v>100</v>
      </c>
      <c r="DN81" s="816">
        <f t="shared" si="22"/>
        <v>0</v>
      </c>
      <c r="DO81" s="816" t="s">
        <v>101</v>
      </c>
      <c r="DP81" s="816">
        <f t="shared" si="23"/>
        <v>0</v>
      </c>
    </row>
    <row r="82" spans="1:120">
      <c r="A82" s="815">
        <v>20</v>
      </c>
      <c r="B82" s="815" t="str">
        <f t="shared" si="16"/>
        <v>20REMARKS</v>
      </c>
      <c r="C82" s="815">
        <f>VLOOKUP(A82,DATEWISE!$A$3:$BY$27,2,0)</f>
        <v>0</v>
      </c>
      <c r="D82" s="815">
        <f>VLOOKUP(A82,DATEWISE!$A$3:$BY$27,3,0)</f>
        <v>0</v>
      </c>
      <c r="E82" s="815">
        <f>VLOOKUP(A82,DATEWISE!$A$3:$BY$27,4,0)</f>
        <v>0</v>
      </c>
      <c r="F82" s="815" t="str">
        <f t="shared" si="17"/>
        <v>0REMARKS</v>
      </c>
      <c r="G82" s="815" t="s">
        <v>390</v>
      </c>
      <c r="H82" s="816">
        <v>0</v>
      </c>
      <c r="I82" s="816">
        <v>0</v>
      </c>
      <c r="J82" s="816">
        <v>0</v>
      </c>
      <c r="K82" s="816">
        <v>0</v>
      </c>
      <c r="L82" s="816">
        <v>0</v>
      </c>
      <c r="M82" s="816">
        <v>0</v>
      </c>
      <c r="N82" s="816">
        <v>0</v>
      </c>
      <c r="O82" s="816">
        <v>0</v>
      </c>
      <c r="P82" s="816">
        <v>0</v>
      </c>
      <c r="Q82" s="816">
        <v>0</v>
      </c>
      <c r="R82" s="816">
        <v>0</v>
      </c>
      <c r="S82" s="816">
        <v>0</v>
      </c>
      <c r="T82" s="816">
        <v>0</v>
      </c>
      <c r="U82" s="816">
        <v>0</v>
      </c>
      <c r="V82" s="816">
        <v>0</v>
      </c>
      <c r="W82" s="816">
        <v>0</v>
      </c>
      <c r="X82" s="816">
        <v>0</v>
      </c>
      <c r="Y82" s="816">
        <v>0</v>
      </c>
      <c r="Z82" s="816">
        <v>0</v>
      </c>
      <c r="AA82" s="816">
        <v>0</v>
      </c>
      <c r="AB82" s="816">
        <v>0</v>
      </c>
      <c r="AC82" s="816">
        <v>0</v>
      </c>
      <c r="AD82" s="816">
        <v>0</v>
      </c>
      <c r="AE82" s="816">
        <v>0</v>
      </c>
      <c r="AF82" s="816">
        <v>0</v>
      </c>
      <c r="AG82" s="816">
        <v>0</v>
      </c>
      <c r="AH82" s="816">
        <v>0</v>
      </c>
      <c r="AI82" s="816">
        <v>0</v>
      </c>
      <c r="AJ82" s="816">
        <v>0</v>
      </c>
      <c r="AK82" s="816">
        <v>0</v>
      </c>
      <c r="AL82" s="816">
        <v>0</v>
      </c>
      <c r="AM82" s="816">
        <v>0</v>
      </c>
      <c r="AN82" s="816">
        <v>0</v>
      </c>
      <c r="AO82" s="816">
        <v>0</v>
      </c>
      <c r="AP82" s="816">
        <v>0</v>
      </c>
      <c r="AQ82" s="816">
        <v>0</v>
      </c>
      <c r="AR82" s="816">
        <v>0</v>
      </c>
      <c r="AS82" s="816">
        <v>0</v>
      </c>
      <c r="AT82" s="816">
        <v>0</v>
      </c>
      <c r="AU82" s="816">
        <v>0</v>
      </c>
      <c r="AV82" s="816">
        <v>0</v>
      </c>
      <c r="AW82" s="816">
        <v>0</v>
      </c>
      <c r="AX82" s="816">
        <v>0</v>
      </c>
      <c r="AY82" s="816">
        <v>0</v>
      </c>
      <c r="AZ82" s="816">
        <v>0</v>
      </c>
      <c r="BA82" s="816">
        <v>0</v>
      </c>
      <c r="BB82" s="816">
        <v>0</v>
      </c>
      <c r="BC82" s="816">
        <v>0</v>
      </c>
      <c r="BD82" s="816">
        <v>0</v>
      </c>
      <c r="BE82" s="816">
        <v>0</v>
      </c>
      <c r="BF82" s="816">
        <v>0</v>
      </c>
      <c r="BG82" s="816">
        <v>0</v>
      </c>
      <c r="BH82" s="816">
        <v>0</v>
      </c>
      <c r="BI82" s="816">
        <v>0</v>
      </c>
      <c r="BJ82" s="816">
        <v>0</v>
      </c>
      <c r="BK82" s="816">
        <v>0</v>
      </c>
      <c r="BL82" s="816">
        <v>0</v>
      </c>
      <c r="BM82" s="816">
        <v>0</v>
      </c>
      <c r="BN82" s="816">
        <v>0</v>
      </c>
      <c r="BO82" s="816">
        <v>0</v>
      </c>
      <c r="BP82" s="816">
        <v>0</v>
      </c>
      <c r="BQ82" s="816">
        <v>0</v>
      </c>
      <c r="BR82" s="816">
        <v>0</v>
      </c>
      <c r="BS82" s="816">
        <v>0</v>
      </c>
      <c r="BT82" s="816">
        <v>0</v>
      </c>
      <c r="BU82" s="816">
        <v>0</v>
      </c>
      <c r="BV82" s="816">
        <v>0</v>
      </c>
      <c r="BW82" s="816">
        <v>0</v>
      </c>
      <c r="BX82" s="816">
        <v>0</v>
      </c>
      <c r="BY82" s="816">
        <v>0</v>
      </c>
      <c r="BZ82" s="816">
        <v>0</v>
      </c>
      <c r="CA82" s="816">
        <v>0</v>
      </c>
      <c r="CB82" s="816">
        <v>0</v>
      </c>
      <c r="CC82" s="816">
        <v>0</v>
      </c>
      <c r="CD82" s="816">
        <v>0</v>
      </c>
      <c r="CE82" s="816">
        <v>0</v>
      </c>
      <c r="CF82" s="816">
        <v>0</v>
      </c>
      <c r="CG82" s="816">
        <v>0</v>
      </c>
      <c r="CH82" s="816">
        <v>0</v>
      </c>
      <c r="CI82" s="816">
        <v>0</v>
      </c>
      <c r="CJ82" s="816">
        <v>0</v>
      </c>
      <c r="CK82" s="816">
        <v>0</v>
      </c>
      <c r="CL82" s="816">
        <v>0</v>
      </c>
      <c r="CM82" s="816">
        <v>0</v>
      </c>
      <c r="CN82" s="816">
        <v>0</v>
      </c>
      <c r="CO82" s="816">
        <v>0</v>
      </c>
      <c r="CP82" s="816">
        <v>0</v>
      </c>
      <c r="CQ82" s="816">
        <v>0</v>
      </c>
      <c r="CR82" s="816">
        <v>0</v>
      </c>
      <c r="CS82" s="816">
        <v>0</v>
      </c>
      <c r="CT82" s="816">
        <v>0</v>
      </c>
      <c r="CU82" s="816">
        <v>0</v>
      </c>
      <c r="CV82" s="816">
        <v>0</v>
      </c>
      <c r="CW82" s="816">
        <v>0</v>
      </c>
      <c r="CX82" s="816">
        <v>0</v>
      </c>
      <c r="CY82" s="816">
        <v>0</v>
      </c>
      <c r="CZ82" s="816">
        <v>0</v>
      </c>
      <c r="DA82" s="816">
        <v>0</v>
      </c>
      <c r="DB82" s="816">
        <v>0</v>
      </c>
      <c r="DC82" s="816">
        <v>0</v>
      </c>
      <c r="DE82" s="816" t="s">
        <v>96</v>
      </c>
      <c r="DF82" s="816">
        <f t="shared" si="18"/>
        <v>0</v>
      </c>
      <c r="DG82" s="816" t="s">
        <v>97</v>
      </c>
      <c r="DH82" s="816">
        <f t="shared" si="19"/>
        <v>0</v>
      </c>
      <c r="DI82" s="816" t="s">
        <v>98</v>
      </c>
      <c r="DJ82" s="816">
        <f t="shared" si="20"/>
        <v>0</v>
      </c>
      <c r="DK82" s="816" t="s">
        <v>99</v>
      </c>
      <c r="DL82" s="816">
        <f t="shared" si="21"/>
        <v>0</v>
      </c>
      <c r="DM82" s="816" t="s">
        <v>100</v>
      </c>
      <c r="DN82" s="816">
        <f t="shared" si="22"/>
        <v>0</v>
      </c>
      <c r="DO82" s="816" t="s">
        <v>101</v>
      </c>
      <c r="DP82" s="816">
        <f t="shared" si="23"/>
        <v>0</v>
      </c>
    </row>
    <row r="83" spans="1:120">
      <c r="A83" s="815">
        <v>21</v>
      </c>
      <c r="B83" s="815" t="str">
        <f t="shared" si="16"/>
        <v>21HINDI</v>
      </c>
      <c r="C83" s="815">
        <f>VLOOKUP(A83,DATEWISE!$A$3:$BY$27,2,0)</f>
        <v>0</v>
      </c>
      <c r="D83" s="815">
        <f>VLOOKUP(A83,DATEWISE!$A$3:$BY$27,3,0)</f>
        <v>0</v>
      </c>
      <c r="E83" s="815">
        <f>VLOOKUP(A83,DATEWISE!$A$3:$BY$27,4,0)</f>
        <v>0</v>
      </c>
      <c r="F83" s="815" t="str">
        <f t="shared" si="17"/>
        <v>0HINDI</v>
      </c>
      <c r="G83" s="815" t="s">
        <v>87</v>
      </c>
      <c r="H83" s="816">
        <v>0</v>
      </c>
      <c r="I83" s="816">
        <v>0</v>
      </c>
      <c r="J83" s="816">
        <v>0</v>
      </c>
      <c r="K83" s="816">
        <v>0</v>
      </c>
      <c r="L83" s="816">
        <v>0</v>
      </c>
      <c r="M83" s="816">
        <v>0</v>
      </c>
      <c r="N83" s="816">
        <v>0</v>
      </c>
      <c r="O83" s="816">
        <v>0</v>
      </c>
      <c r="P83" s="816">
        <v>0</v>
      </c>
      <c r="Q83" s="816">
        <v>0</v>
      </c>
      <c r="R83" s="816">
        <v>0</v>
      </c>
      <c r="S83" s="816">
        <v>0</v>
      </c>
      <c r="T83" s="816">
        <v>0</v>
      </c>
      <c r="U83" s="816">
        <v>0</v>
      </c>
      <c r="V83" s="816">
        <v>0</v>
      </c>
      <c r="W83" s="816">
        <v>0</v>
      </c>
      <c r="X83" s="816">
        <v>0</v>
      </c>
      <c r="Y83" s="816">
        <v>0</v>
      </c>
      <c r="Z83" s="816">
        <v>0</v>
      </c>
      <c r="AA83" s="816">
        <v>0</v>
      </c>
      <c r="AB83" s="816">
        <v>0</v>
      </c>
      <c r="AC83" s="816">
        <v>0</v>
      </c>
      <c r="AD83" s="816">
        <v>0</v>
      </c>
      <c r="AE83" s="816">
        <v>0</v>
      </c>
      <c r="AF83" s="816">
        <v>0</v>
      </c>
      <c r="AG83" s="816">
        <v>0</v>
      </c>
      <c r="AH83" s="816">
        <v>0</v>
      </c>
      <c r="AI83" s="816">
        <v>0</v>
      </c>
      <c r="AJ83" s="816">
        <v>0</v>
      </c>
      <c r="AK83" s="816">
        <v>0</v>
      </c>
      <c r="AL83" s="816">
        <v>0</v>
      </c>
      <c r="AM83" s="816">
        <v>0</v>
      </c>
      <c r="AN83" s="816">
        <v>0</v>
      </c>
      <c r="AO83" s="816">
        <v>0</v>
      </c>
      <c r="AP83" s="816">
        <v>0</v>
      </c>
      <c r="AQ83" s="816">
        <v>0</v>
      </c>
      <c r="AR83" s="816">
        <v>0</v>
      </c>
      <c r="AS83" s="816">
        <v>0</v>
      </c>
      <c r="AT83" s="816">
        <v>0</v>
      </c>
      <c r="AU83" s="816">
        <v>0</v>
      </c>
      <c r="AV83" s="816">
        <v>0</v>
      </c>
      <c r="AW83" s="816">
        <v>0</v>
      </c>
      <c r="AX83" s="816">
        <v>0</v>
      </c>
      <c r="AY83" s="816">
        <v>0</v>
      </c>
      <c r="AZ83" s="816">
        <v>0</v>
      </c>
      <c r="BA83" s="816">
        <v>0</v>
      </c>
      <c r="BB83" s="816">
        <v>0</v>
      </c>
      <c r="BC83" s="816">
        <v>0</v>
      </c>
      <c r="BD83" s="816">
        <v>0</v>
      </c>
      <c r="BE83" s="816">
        <v>0</v>
      </c>
      <c r="BF83" s="816">
        <v>0</v>
      </c>
      <c r="BG83" s="816">
        <v>0</v>
      </c>
      <c r="BH83" s="816">
        <v>0</v>
      </c>
      <c r="BI83" s="816">
        <v>0</v>
      </c>
      <c r="BJ83" s="816">
        <v>0</v>
      </c>
      <c r="BK83" s="816">
        <v>0</v>
      </c>
      <c r="BL83" s="816">
        <v>0</v>
      </c>
      <c r="BM83" s="816">
        <v>0</v>
      </c>
      <c r="BN83" s="816">
        <v>0</v>
      </c>
      <c r="BO83" s="816">
        <v>0</v>
      </c>
      <c r="BP83" s="816">
        <v>0</v>
      </c>
      <c r="BQ83" s="816">
        <v>0</v>
      </c>
      <c r="BR83" s="816">
        <v>0</v>
      </c>
      <c r="BS83" s="816">
        <v>0</v>
      </c>
      <c r="BT83" s="816">
        <v>0</v>
      </c>
      <c r="BU83" s="816">
        <v>0</v>
      </c>
      <c r="BV83" s="816">
        <v>0</v>
      </c>
      <c r="BW83" s="816">
        <v>0</v>
      </c>
      <c r="BX83" s="816">
        <v>0</v>
      </c>
      <c r="BY83" s="816">
        <v>0</v>
      </c>
      <c r="BZ83" s="816">
        <v>0</v>
      </c>
      <c r="CA83" s="816">
        <v>0</v>
      </c>
      <c r="CB83" s="816">
        <v>0</v>
      </c>
      <c r="CC83" s="816">
        <v>0</v>
      </c>
      <c r="CD83" s="816">
        <v>0</v>
      </c>
      <c r="CE83" s="816">
        <v>0</v>
      </c>
      <c r="CF83" s="816">
        <v>0</v>
      </c>
      <c r="CG83" s="816">
        <v>0</v>
      </c>
      <c r="CH83" s="816">
        <v>0</v>
      </c>
      <c r="CI83" s="816">
        <v>0</v>
      </c>
      <c r="CJ83" s="816">
        <v>0</v>
      </c>
      <c r="CK83" s="816">
        <v>0</v>
      </c>
      <c r="CL83" s="816">
        <v>0</v>
      </c>
      <c r="CM83" s="816">
        <v>0</v>
      </c>
      <c r="CN83" s="816">
        <v>0</v>
      </c>
      <c r="CO83" s="816">
        <v>0</v>
      </c>
      <c r="CP83" s="816">
        <v>0</v>
      </c>
      <c r="CQ83" s="816">
        <v>0</v>
      </c>
      <c r="CR83" s="816">
        <v>0</v>
      </c>
      <c r="CS83" s="816">
        <v>0</v>
      </c>
      <c r="CT83" s="816">
        <v>0</v>
      </c>
      <c r="CU83" s="816">
        <v>0</v>
      </c>
      <c r="CV83" s="816">
        <v>0</v>
      </c>
      <c r="CW83" s="816">
        <v>0</v>
      </c>
      <c r="CX83" s="816">
        <v>0</v>
      </c>
      <c r="CY83" s="816">
        <v>0</v>
      </c>
      <c r="CZ83" s="816">
        <v>0</v>
      </c>
      <c r="DA83" s="816">
        <v>0</v>
      </c>
      <c r="DB83" s="816">
        <v>0</v>
      </c>
      <c r="DC83" s="816">
        <v>0</v>
      </c>
      <c r="DE83" s="816" t="s">
        <v>96</v>
      </c>
      <c r="DF83" s="816">
        <f t="shared" si="18"/>
        <v>0</v>
      </c>
      <c r="DG83" s="816" t="s">
        <v>97</v>
      </c>
      <c r="DH83" s="816">
        <f t="shared" si="19"/>
        <v>0</v>
      </c>
      <c r="DI83" s="816" t="s">
        <v>98</v>
      </c>
      <c r="DJ83" s="816">
        <f t="shared" si="20"/>
        <v>0</v>
      </c>
      <c r="DK83" s="816" t="s">
        <v>99</v>
      </c>
      <c r="DL83" s="816">
        <f t="shared" si="21"/>
        <v>0</v>
      </c>
      <c r="DM83" s="816" t="s">
        <v>100</v>
      </c>
      <c r="DN83" s="816">
        <f t="shared" si="22"/>
        <v>0</v>
      </c>
      <c r="DO83" s="816" t="s">
        <v>101</v>
      </c>
      <c r="DP83" s="816">
        <f t="shared" si="23"/>
        <v>0</v>
      </c>
    </row>
    <row r="84" spans="1:120">
      <c r="A84" s="815">
        <v>21</v>
      </c>
      <c r="B84" s="815" t="str">
        <f t="shared" si="16"/>
        <v>21ENGLISH</v>
      </c>
      <c r="C84" s="815">
        <f>VLOOKUP(A84,DATEWISE!$A$3:$BY$27,2,0)</f>
        <v>0</v>
      </c>
      <c r="D84" s="815">
        <f>VLOOKUP(A84,DATEWISE!$A$3:$BY$27,3,0)</f>
        <v>0</v>
      </c>
      <c r="E84" s="815">
        <f>VLOOKUP(A84,DATEWISE!$A$3:$BY$27,4,0)</f>
        <v>0</v>
      </c>
      <c r="F84" s="815" t="str">
        <f t="shared" si="17"/>
        <v>0ENGLISH</v>
      </c>
      <c r="G84" s="815" t="s">
        <v>89</v>
      </c>
      <c r="H84" s="816">
        <v>0</v>
      </c>
      <c r="I84" s="816">
        <v>0</v>
      </c>
      <c r="J84" s="816">
        <v>0</v>
      </c>
      <c r="K84" s="816">
        <v>0</v>
      </c>
      <c r="L84" s="816">
        <v>0</v>
      </c>
      <c r="M84" s="816">
        <v>0</v>
      </c>
      <c r="N84" s="816">
        <v>0</v>
      </c>
      <c r="O84" s="816">
        <v>0</v>
      </c>
      <c r="P84" s="816">
        <v>0</v>
      </c>
      <c r="Q84" s="816">
        <v>0</v>
      </c>
      <c r="R84" s="816">
        <v>0</v>
      </c>
      <c r="S84" s="816">
        <v>0</v>
      </c>
      <c r="T84" s="816">
        <v>0</v>
      </c>
      <c r="U84" s="816">
        <v>0</v>
      </c>
      <c r="V84" s="816">
        <v>0</v>
      </c>
      <c r="W84" s="816">
        <v>0</v>
      </c>
      <c r="X84" s="816">
        <v>0</v>
      </c>
      <c r="Y84" s="816">
        <v>0</v>
      </c>
      <c r="Z84" s="816">
        <v>0</v>
      </c>
      <c r="AA84" s="816">
        <v>0</v>
      </c>
      <c r="AB84" s="816">
        <v>0</v>
      </c>
      <c r="AC84" s="816">
        <v>0</v>
      </c>
      <c r="AD84" s="816">
        <v>0</v>
      </c>
      <c r="AE84" s="816">
        <v>0</v>
      </c>
      <c r="AF84" s="816">
        <v>0</v>
      </c>
      <c r="AG84" s="816">
        <v>0</v>
      </c>
      <c r="AH84" s="816">
        <v>0</v>
      </c>
      <c r="AI84" s="816">
        <v>0</v>
      </c>
      <c r="AJ84" s="816">
        <v>0</v>
      </c>
      <c r="AK84" s="816">
        <v>0</v>
      </c>
      <c r="AL84" s="816">
        <v>0</v>
      </c>
      <c r="AM84" s="816">
        <v>0</v>
      </c>
      <c r="AN84" s="816">
        <v>0</v>
      </c>
      <c r="AO84" s="816">
        <v>0</v>
      </c>
      <c r="AP84" s="816">
        <v>0</v>
      </c>
      <c r="AQ84" s="816">
        <v>0</v>
      </c>
      <c r="AR84" s="816">
        <v>0</v>
      </c>
      <c r="AS84" s="816">
        <v>0</v>
      </c>
      <c r="AT84" s="816">
        <v>0</v>
      </c>
      <c r="AU84" s="816">
        <v>0</v>
      </c>
      <c r="AV84" s="816">
        <v>0</v>
      </c>
      <c r="AW84" s="816">
        <v>0</v>
      </c>
      <c r="AX84" s="816">
        <v>0</v>
      </c>
      <c r="AY84" s="816">
        <v>0</v>
      </c>
      <c r="AZ84" s="816">
        <v>0</v>
      </c>
      <c r="BA84" s="816">
        <v>0</v>
      </c>
      <c r="BB84" s="816">
        <v>0</v>
      </c>
      <c r="BC84" s="816">
        <v>0</v>
      </c>
      <c r="BD84" s="816">
        <v>0</v>
      </c>
      <c r="BE84" s="816">
        <v>0</v>
      </c>
      <c r="BF84" s="816">
        <v>0</v>
      </c>
      <c r="BG84" s="816">
        <v>0</v>
      </c>
      <c r="BH84" s="816">
        <v>0</v>
      </c>
      <c r="BI84" s="816">
        <v>0</v>
      </c>
      <c r="BJ84" s="816">
        <v>0</v>
      </c>
      <c r="BK84" s="816">
        <v>0</v>
      </c>
      <c r="BL84" s="816">
        <v>0</v>
      </c>
      <c r="BM84" s="816">
        <v>0</v>
      </c>
      <c r="BN84" s="816">
        <v>0</v>
      </c>
      <c r="BO84" s="816">
        <v>0</v>
      </c>
      <c r="BP84" s="816">
        <v>0</v>
      </c>
      <c r="BQ84" s="816">
        <v>0</v>
      </c>
      <c r="BR84" s="816">
        <v>0</v>
      </c>
      <c r="BS84" s="816">
        <v>0</v>
      </c>
      <c r="BT84" s="816">
        <v>0</v>
      </c>
      <c r="BU84" s="816">
        <v>0</v>
      </c>
      <c r="BV84" s="816">
        <v>0</v>
      </c>
      <c r="BW84" s="816">
        <v>0</v>
      </c>
      <c r="BX84" s="816">
        <v>0</v>
      </c>
      <c r="BY84" s="816">
        <v>0</v>
      </c>
      <c r="BZ84" s="816">
        <v>0</v>
      </c>
      <c r="CA84" s="816">
        <v>0</v>
      </c>
      <c r="CB84" s="816">
        <v>0</v>
      </c>
      <c r="CC84" s="816">
        <v>0</v>
      </c>
      <c r="CD84" s="816">
        <v>0</v>
      </c>
      <c r="CE84" s="816">
        <v>0</v>
      </c>
      <c r="CF84" s="816">
        <v>0</v>
      </c>
      <c r="CG84" s="816">
        <v>0</v>
      </c>
      <c r="CH84" s="816">
        <v>0</v>
      </c>
      <c r="CI84" s="816">
        <v>0</v>
      </c>
      <c r="CJ84" s="816">
        <v>0</v>
      </c>
      <c r="CK84" s="816">
        <v>0</v>
      </c>
      <c r="CL84" s="816">
        <v>0</v>
      </c>
      <c r="CM84" s="816">
        <v>0</v>
      </c>
      <c r="CN84" s="816">
        <v>0</v>
      </c>
      <c r="CO84" s="816">
        <v>0</v>
      </c>
      <c r="CP84" s="816">
        <v>0</v>
      </c>
      <c r="CQ84" s="816">
        <v>0</v>
      </c>
      <c r="CR84" s="816">
        <v>0</v>
      </c>
      <c r="CS84" s="816">
        <v>0</v>
      </c>
      <c r="CT84" s="816">
        <v>0</v>
      </c>
      <c r="CU84" s="816">
        <v>0</v>
      </c>
      <c r="CV84" s="816">
        <v>0</v>
      </c>
      <c r="CW84" s="816">
        <v>0</v>
      </c>
      <c r="CX84" s="816">
        <v>0</v>
      </c>
      <c r="CY84" s="816">
        <v>0</v>
      </c>
      <c r="CZ84" s="816">
        <v>0</v>
      </c>
      <c r="DA84" s="816">
        <v>0</v>
      </c>
      <c r="DB84" s="816">
        <v>0</v>
      </c>
      <c r="DC84" s="816">
        <v>0</v>
      </c>
      <c r="DE84" s="816" t="s">
        <v>96</v>
      </c>
      <c r="DF84" s="816">
        <f t="shared" si="18"/>
        <v>0</v>
      </c>
      <c r="DG84" s="816" t="s">
        <v>97</v>
      </c>
      <c r="DH84" s="816">
        <f t="shared" si="19"/>
        <v>0</v>
      </c>
      <c r="DI84" s="816" t="s">
        <v>98</v>
      </c>
      <c r="DJ84" s="816">
        <f t="shared" si="20"/>
        <v>0</v>
      </c>
      <c r="DK84" s="816" t="s">
        <v>99</v>
      </c>
      <c r="DL84" s="816">
        <f t="shared" si="21"/>
        <v>0</v>
      </c>
      <c r="DM84" s="816" t="s">
        <v>100</v>
      </c>
      <c r="DN84" s="816">
        <f t="shared" si="22"/>
        <v>0</v>
      </c>
      <c r="DO84" s="816" t="s">
        <v>101</v>
      </c>
      <c r="DP84" s="816">
        <f t="shared" si="23"/>
        <v>0</v>
      </c>
    </row>
    <row r="85" spans="1:120">
      <c r="A85" s="815">
        <v>21</v>
      </c>
      <c r="B85" s="815" t="str">
        <f t="shared" si="16"/>
        <v>21MATHS</v>
      </c>
      <c r="C85" s="815">
        <f>VLOOKUP(A85,DATEWISE!$A$3:$BY$27,2,0)</f>
        <v>0</v>
      </c>
      <c r="D85" s="815">
        <f>VLOOKUP(A85,DATEWISE!$A$3:$BY$27,3,0)</f>
        <v>0</v>
      </c>
      <c r="E85" s="815">
        <f>VLOOKUP(A85,DATEWISE!$A$3:$BY$27,4,0)</f>
        <v>0</v>
      </c>
      <c r="F85" s="815" t="str">
        <f t="shared" si="17"/>
        <v>0MATHS</v>
      </c>
      <c r="G85" s="815" t="s">
        <v>88</v>
      </c>
      <c r="H85" s="816">
        <v>0</v>
      </c>
      <c r="I85" s="816">
        <v>0</v>
      </c>
      <c r="J85" s="816">
        <v>0</v>
      </c>
      <c r="K85" s="816">
        <v>0</v>
      </c>
      <c r="L85" s="816">
        <v>0</v>
      </c>
      <c r="M85" s="816">
        <v>0</v>
      </c>
      <c r="N85" s="816">
        <v>0</v>
      </c>
      <c r="O85" s="816">
        <v>0</v>
      </c>
      <c r="P85" s="816">
        <v>0</v>
      </c>
      <c r="Q85" s="816">
        <v>0</v>
      </c>
      <c r="R85" s="816">
        <v>0</v>
      </c>
      <c r="S85" s="816">
        <v>0</v>
      </c>
      <c r="T85" s="816">
        <v>0</v>
      </c>
      <c r="U85" s="816">
        <v>0</v>
      </c>
      <c r="V85" s="816">
        <v>0</v>
      </c>
      <c r="W85" s="816">
        <v>0</v>
      </c>
      <c r="X85" s="816">
        <v>0</v>
      </c>
      <c r="Y85" s="816">
        <v>0</v>
      </c>
      <c r="Z85" s="816">
        <v>0</v>
      </c>
      <c r="AA85" s="816">
        <v>0</v>
      </c>
      <c r="AB85" s="816">
        <v>0</v>
      </c>
      <c r="AC85" s="816">
        <v>0</v>
      </c>
      <c r="AD85" s="816">
        <v>0</v>
      </c>
      <c r="AE85" s="816">
        <v>0</v>
      </c>
      <c r="AF85" s="816">
        <v>0</v>
      </c>
      <c r="AG85" s="816">
        <v>0</v>
      </c>
      <c r="AH85" s="816">
        <v>0</v>
      </c>
      <c r="AI85" s="816">
        <v>0</v>
      </c>
      <c r="AJ85" s="816">
        <v>0</v>
      </c>
      <c r="AK85" s="816">
        <v>0</v>
      </c>
      <c r="AL85" s="816">
        <v>0</v>
      </c>
      <c r="AM85" s="816">
        <v>0</v>
      </c>
      <c r="AN85" s="816">
        <v>0</v>
      </c>
      <c r="AO85" s="816">
        <v>0</v>
      </c>
      <c r="AP85" s="816">
        <v>0</v>
      </c>
      <c r="AQ85" s="816">
        <v>0</v>
      </c>
      <c r="AR85" s="816">
        <v>0</v>
      </c>
      <c r="AS85" s="816">
        <v>0</v>
      </c>
      <c r="AT85" s="816">
        <v>0</v>
      </c>
      <c r="AU85" s="816">
        <v>0</v>
      </c>
      <c r="AV85" s="816">
        <v>0</v>
      </c>
      <c r="AW85" s="816">
        <v>0</v>
      </c>
      <c r="AX85" s="816">
        <v>0</v>
      </c>
      <c r="AY85" s="816">
        <v>0</v>
      </c>
      <c r="AZ85" s="816">
        <v>0</v>
      </c>
      <c r="BA85" s="816">
        <v>0</v>
      </c>
      <c r="BB85" s="816">
        <v>0</v>
      </c>
      <c r="BC85" s="816">
        <v>0</v>
      </c>
      <c r="BD85" s="816">
        <v>0</v>
      </c>
      <c r="BE85" s="816">
        <v>0</v>
      </c>
      <c r="BF85" s="816">
        <v>0</v>
      </c>
      <c r="BG85" s="816">
        <v>0</v>
      </c>
      <c r="BH85" s="816">
        <v>0</v>
      </c>
      <c r="BI85" s="816">
        <v>0</v>
      </c>
      <c r="BJ85" s="816">
        <v>0</v>
      </c>
      <c r="BK85" s="816">
        <v>0</v>
      </c>
      <c r="BL85" s="816">
        <v>0</v>
      </c>
      <c r="BM85" s="816">
        <v>0</v>
      </c>
      <c r="BN85" s="816">
        <v>0</v>
      </c>
      <c r="BO85" s="816">
        <v>0</v>
      </c>
      <c r="BP85" s="816">
        <v>0</v>
      </c>
      <c r="BQ85" s="816">
        <v>0</v>
      </c>
      <c r="BR85" s="816">
        <v>0</v>
      </c>
      <c r="BS85" s="816">
        <v>0</v>
      </c>
      <c r="BT85" s="816">
        <v>0</v>
      </c>
      <c r="BU85" s="816">
        <v>0</v>
      </c>
      <c r="BV85" s="816">
        <v>0</v>
      </c>
      <c r="BW85" s="816">
        <v>0</v>
      </c>
      <c r="BX85" s="816">
        <v>0</v>
      </c>
      <c r="BY85" s="816">
        <v>0</v>
      </c>
      <c r="BZ85" s="816">
        <v>0</v>
      </c>
      <c r="CA85" s="816">
        <v>0</v>
      </c>
      <c r="CB85" s="816">
        <v>0</v>
      </c>
      <c r="CC85" s="816">
        <v>0</v>
      </c>
      <c r="CD85" s="816">
        <v>0</v>
      </c>
      <c r="CE85" s="816">
        <v>0</v>
      </c>
      <c r="CF85" s="816">
        <v>0</v>
      </c>
      <c r="CG85" s="816">
        <v>0</v>
      </c>
      <c r="CH85" s="816">
        <v>0</v>
      </c>
      <c r="CI85" s="816">
        <v>0</v>
      </c>
      <c r="CJ85" s="816">
        <v>0</v>
      </c>
      <c r="CK85" s="816">
        <v>0</v>
      </c>
      <c r="CL85" s="816">
        <v>0</v>
      </c>
      <c r="CM85" s="816">
        <v>0</v>
      </c>
      <c r="CN85" s="816">
        <v>0</v>
      </c>
      <c r="CO85" s="816">
        <v>0</v>
      </c>
      <c r="CP85" s="816">
        <v>0</v>
      </c>
      <c r="CQ85" s="816">
        <v>0</v>
      </c>
      <c r="CR85" s="816">
        <v>0</v>
      </c>
      <c r="CS85" s="816">
        <v>0</v>
      </c>
      <c r="CT85" s="816">
        <v>0</v>
      </c>
      <c r="CU85" s="816">
        <v>0</v>
      </c>
      <c r="CV85" s="816">
        <v>0</v>
      </c>
      <c r="CW85" s="816">
        <v>0</v>
      </c>
      <c r="CX85" s="816">
        <v>0</v>
      </c>
      <c r="CY85" s="816">
        <v>0</v>
      </c>
      <c r="CZ85" s="816">
        <v>0</v>
      </c>
      <c r="DA85" s="816">
        <v>0</v>
      </c>
      <c r="DB85" s="816">
        <v>0</v>
      </c>
      <c r="DC85" s="816">
        <v>0</v>
      </c>
      <c r="DE85" s="816" t="s">
        <v>96</v>
      </c>
      <c r="DF85" s="816">
        <f t="shared" si="18"/>
        <v>0</v>
      </c>
      <c r="DG85" s="816" t="s">
        <v>97</v>
      </c>
      <c r="DH85" s="816">
        <f t="shared" si="19"/>
        <v>0</v>
      </c>
      <c r="DI85" s="816" t="s">
        <v>98</v>
      </c>
      <c r="DJ85" s="816">
        <f t="shared" si="20"/>
        <v>0</v>
      </c>
      <c r="DK85" s="816" t="s">
        <v>99</v>
      </c>
      <c r="DL85" s="816">
        <f t="shared" si="21"/>
        <v>0</v>
      </c>
      <c r="DM85" s="816" t="s">
        <v>100</v>
      </c>
      <c r="DN85" s="816">
        <f t="shared" si="22"/>
        <v>0</v>
      </c>
      <c r="DO85" s="816" t="s">
        <v>101</v>
      </c>
      <c r="DP85" s="816">
        <f t="shared" si="23"/>
        <v>0</v>
      </c>
    </row>
    <row r="86" spans="1:120">
      <c r="A86" s="815">
        <v>21</v>
      </c>
      <c r="B86" s="815" t="str">
        <f t="shared" si="16"/>
        <v>21REMARKS</v>
      </c>
      <c r="C86" s="815">
        <f>VLOOKUP(A86,DATEWISE!$A$3:$BY$27,2,0)</f>
        <v>0</v>
      </c>
      <c r="D86" s="815">
        <f>VLOOKUP(A86,DATEWISE!$A$3:$BY$27,3,0)</f>
        <v>0</v>
      </c>
      <c r="E86" s="815">
        <f>VLOOKUP(A86,DATEWISE!$A$3:$BY$27,4,0)</f>
        <v>0</v>
      </c>
      <c r="F86" s="815" t="str">
        <f t="shared" si="17"/>
        <v>0REMARKS</v>
      </c>
      <c r="G86" s="815" t="s">
        <v>390</v>
      </c>
      <c r="H86" s="816">
        <v>0</v>
      </c>
      <c r="I86" s="816">
        <v>0</v>
      </c>
      <c r="J86" s="816">
        <v>0</v>
      </c>
      <c r="K86" s="816">
        <v>0</v>
      </c>
      <c r="L86" s="816">
        <v>0</v>
      </c>
      <c r="M86" s="816">
        <v>0</v>
      </c>
      <c r="N86" s="816">
        <v>0</v>
      </c>
      <c r="O86" s="816">
        <v>0</v>
      </c>
      <c r="P86" s="816">
        <v>0</v>
      </c>
      <c r="Q86" s="816">
        <v>0</v>
      </c>
      <c r="R86" s="816">
        <v>0</v>
      </c>
      <c r="S86" s="816">
        <v>0</v>
      </c>
      <c r="T86" s="816">
        <v>0</v>
      </c>
      <c r="U86" s="816">
        <v>0</v>
      </c>
      <c r="V86" s="816">
        <v>0</v>
      </c>
      <c r="W86" s="816">
        <v>0</v>
      </c>
      <c r="X86" s="816">
        <v>0</v>
      </c>
      <c r="Y86" s="816">
        <v>0</v>
      </c>
      <c r="Z86" s="816">
        <v>0</v>
      </c>
      <c r="AA86" s="816">
        <v>0</v>
      </c>
      <c r="AB86" s="816">
        <v>0</v>
      </c>
      <c r="AC86" s="816">
        <v>0</v>
      </c>
      <c r="AD86" s="816">
        <v>0</v>
      </c>
      <c r="AE86" s="816">
        <v>0</v>
      </c>
      <c r="AF86" s="816">
        <v>0</v>
      </c>
      <c r="AG86" s="816">
        <v>0</v>
      </c>
      <c r="AH86" s="816">
        <v>0</v>
      </c>
      <c r="AI86" s="816">
        <v>0</v>
      </c>
      <c r="AJ86" s="816">
        <v>0</v>
      </c>
      <c r="AK86" s="816">
        <v>0</v>
      </c>
      <c r="AL86" s="816">
        <v>0</v>
      </c>
      <c r="AM86" s="816">
        <v>0</v>
      </c>
      <c r="AN86" s="816">
        <v>0</v>
      </c>
      <c r="AO86" s="816">
        <v>0</v>
      </c>
      <c r="AP86" s="816">
        <v>0</v>
      </c>
      <c r="AQ86" s="816">
        <v>0</v>
      </c>
      <c r="AR86" s="816">
        <v>0</v>
      </c>
      <c r="AS86" s="816">
        <v>0</v>
      </c>
      <c r="AT86" s="816">
        <v>0</v>
      </c>
      <c r="AU86" s="816">
        <v>0</v>
      </c>
      <c r="AV86" s="816">
        <v>0</v>
      </c>
      <c r="AW86" s="816">
        <v>0</v>
      </c>
      <c r="AX86" s="816">
        <v>0</v>
      </c>
      <c r="AY86" s="816">
        <v>0</v>
      </c>
      <c r="AZ86" s="816">
        <v>0</v>
      </c>
      <c r="BA86" s="816">
        <v>0</v>
      </c>
      <c r="BB86" s="816">
        <v>0</v>
      </c>
      <c r="BC86" s="816">
        <v>0</v>
      </c>
      <c r="BD86" s="816">
        <v>0</v>
      </c>
      <c r="BE86" s="816">
        <v>0</v>
      </c>
      <c r="BF86" s="816">
        <v>0</v>
      </c>
      <c r="BG86" s="816">
        <v>0</v>
      </c>
      <c r="BH86" s="816">
        <v>0</v>
      </c>
      <c r="BI86" s="816">
        <v>0</v>
      </c>
      <c r="BJ86" s="816">
        <v>0</v>
      </c>
      <c r="BK86" s="816">
        <v>0</v>
      </c>
      <c r="BL86" s="816">
        <v>0</v>
      </c>
      <c r="BM86" s="816">
        <v>0</v>
      </c>
      <c r="BN86" s="816">
        <v>0</v>
      </c>
      <c r="BO86" s="816">
        <v>0</v>
      </c>
      <c r="BP86" s="816">
        <v>0</v>
      </c>
      <c r="BQ86" s="816">
        <v>0</v>
      </c>
      <c r="BR86" s="816">
        <v>0</v>
      </c>
      <c r="BS86" s="816">
        <v>0</v>
      </c>
      <c r="BT86" s="816">
        <v>0</v>
      </c>
      <c r="BU86" s="816">
        <v>0</v>
      </c>
      <c r="BV86" s="816">
        <v>0</v>
      </c>
      <c r="BW86" s="816">
        <v>0</v>
      </c>
      <c r="BX86" s="816">
        <v>0</v>
      </c>
      <c r="BY86" s="816">
        <v>0</v>
      </c>
      <c r="BZ86" s="816">
        <v>0</v>
      </c>
      <c r="CA86" s="816">
        <v>0</v>
      </c>
      <c r="CB86" s="816">
        <v>0</v>
      </c>
      <c r="CC86" s="816">
        <v>0</v>
      </c>
      <c r="CD86" s="816">
        <v>0</v>
      </c>
      <c r="CE86" s="816">
        <v>0</v>
      </c>
      <c r="CF86" s="816">
        <v>0</v>
      </c>
      <c r="CG86" s="816">
        <v>0</v>
      </c>
      <c r="CH86" s="816">
        <v>0</v>
      </c>
      <c r="CI86" s="816">
        <v>0</v>
      </c>
      <c r="CJ86" s="816">
        <v>0</v>
      </c>
      <c r="CK86" s="816">
        <v>0</v>
      </c>
      <c r="CL86" s="816">
        <v>0</v>
      </c>
      <c r="CM86" s="816">
        <v>0</v>
      </c>
      <c r="CN86" s="816">
        <v>0</v>
      </c>
      <c r="CO86" s="816">
        <v>0</v>
      </c>
      <c r="CP86" s="816">
        <v>0</v>
      </c>
      <c r="CQ86" s="816">
        <v>0</v>
      </c>
      <c r="CR86" s="816">
        <v>0</v>
      </c>
      <c r="CS86" s="816">
        <v>0</v>
      </c>
      <c r="CT86" s="816">
        <v>0</v>
      </c>
      <c r="CU86" s="816">
        <v>0</v>
      </c>
      <c r="CV86" s="816">
        <v>0</v>
      </c>
      <c r="CW86" s="816">
        <v>0</v>
      </c>
      <c r="CX86" s="816">
        <v>0</v>
      </c>
      <c r="CY86" s="816">
        <v>0</v>
      </c>
      <c r="CZ86" s="816">
        <v>0</v>
      </c>
      <c r="DA86" s="816">
        <v>0</v>
      </c>
      <c r="DB86" s="816">
        <v>0</v>
      </c>
      <c r="DC86" s="816">
        <v>0</v>
      </c>
      <c r="DE86" s="816" t="s">
        <v>96</v>
      </c>
      <c r="DF86" s="816">
        <f t="shared" si="18"/>
        <v>0</v>
      </c>
      <c r="DG86" s="816" t="s">
        <v>97</v>
      </c>
      <c r="DH86" s="816">
        <f t="shared" si="19"/>
        <v>0</v>
      </c>
      <c r="DI86" s="816" t="s">
        <v>98</v>
      </c>
      <c r="DJ86" s="816">
        <f t="shared" si="20"/>
        <v>0</v>
      </c>
      <c r="DK86" s="816" t="s">
        <v>99</v>
      </c>
      <c r="DL86" s="816">
        <f t="shared" si="21"/>
        <v>0</v>
      </c>
      <c r="DM86" s="816" t="s">
        <v>100</v>
      </c>
      <c r="DN86" s="816">
        <f t="shared" si="22"/>
        <v>0</v>
      </c>
      <c r="DO86" s="816" t="s">
        <v>101</v>
      </c>
      <c r="DP86" s="816">
        <f t="shared" si="23"/>
        <v>0</v>
      </c>
    </row>
    <row r="87" spans="1:120">
      <c r="A87" s="815">
        <v>22</v>
      </c>
      <c r="B87" s="815" t="str">
        <f t="shared" si="16"/>
        <v>22HINDI</v>
      </c>
      <c r="C87" s="815">
        <f>VLOOKUP(A87,DATEWISE!$A$3:$BY$27,2,0)</f>
        <v>0</v>
      </c>
      <c r="D87" s="815">
        <f>VLOOKUP(A87,DATEWISE!$A$3:$BY$27,3,0)</f>
        <v>0</v>
      </c>
      <c r="E87" s="815">
        <f>VLOOKUP(A87,DATEWISE!$A$3:$BY$27,4,0)</f>
        <v>0</v>
      </c>
      <c r="F87" s="815" t="str">
        <f t="shared" si="17"/>
        <v>0HINDI</v>
      </c>
      <c r="G87" s="815" t="s">
        <v>87</v>
      </c>
      <c r="H87" s="816">
        <v>0</v>
      </c>
      <c r="I87" s="816">
        <v>0</v>
      </c>
      <c r="J87" s="816">
        <v>0</v>
      </c>
      <c r="K87" s="816">
        <v>0</v>
      </c>
      <c r="L87" s="816">
        <v>0</v>
      </c>
      <c r="M87" s="816">
        <v>0</v>
      </c>
      <c r="N87" s="816">
        <v>0</v>
      </c>
      <c r="O87" s="816">
        <v>0</v>
      </c>
      <c r="P87" s="816">
        <v>0</v>
      </c>
      <c r="Q87" s="816">
        <v>0</v>
      </c>
      <c r="R87" s="816">
        <v>0</v>
      </c>
      <c r="S87" s="816">
        <v>0</v>
      </c>
      <c r="T87" s="816">
        <v>0</v>
      </c>
      <c r="U87" s="816">
        <v>0</v>
      </c>
      <c r="V87" s="816">
        <v>0</v>
      </c>
      <c r="W87" s="816">
        <v>0</v>
      </c>
      <c r="X87" s="816">
        <v>0</v>
      </c>
      <c r="Y87" s="816">
        <v>0</v>
      </c>
      <c r="Z87" s="816">
        <v>0</v>
      </c>
      <c r="AA87" s="816">
        <v>0</v>
      </c>
      <c r="AB87" s="816">
        <v>0</v>
      </c>
      <c r="AC87" s="816">
        <v>0</v>
      </c>
      <c r="AD87" s="816">
        <v>0</v>
      </c>
      <c r="AE87" s="816">
        <v>0</v>
      </c>
      <c r="AF87" s="816">
        <v>0</v>
      </c>
      <c r="AG87" s="816">
        <v>0</v>
      </c>
      <c r="AH87" s="816">
        <v>0</v>
      </c>
      <c r="AI87" s="816">
        <v>0</v>
      </c>
      <c r="AJ87" s="816">
        <v>0</v>
      </c>
      <c r="AK87" s="816">
        <v>0</v>
      </c>
      <c r="AL87" s="816">
        <v>0</v>
      </c>
      <c r="AM87" s="816">
        <v>0</v>
      </c>
      <c r="AN87" s="816">
        <v>0</v>
      </c>
      <c r="AO87" s="816">
        <v>0</v>
      </c>
      <c r="AP87" s="816">
        <v>0</v>
      </c>
      <c r="AQ87" s="816">
        <v>0</v>
      </c>
      <c r="AR87" s="816">
        <v>0</v>
      </c>
      <c r="AS87" s="816">
        <v>0</v>
      </c>
      <c r="AT87" s="816">
        <v>0</v>
      </c>
      <c r="AU87" s="816">
        <v>0</v>
      </c>
      <c r="AV87" s="816">
        <v>0</v>
      </c>
      <c r="AW87" s="816">
        <v>0</v>
      </c>
      <c r="AX87" s="816">
        <v>0</v>
      </c>
      <c r="AY87" s="816">
        <v>0</v>
      </c>
      <c r="AZ87" s="816">
        <v>0</v>
      </c>
      <c r="BA87" s="816">
        <v>0</v>
      </c>
      <c r="BB87" s="816">
        <v>0</v>
      </c>
      <c r="BC87" s="816">
        <v>0</v>
      </c>
      <c r="BD87" s="816">
        <v>0</v>
      </c>
      <c r="BE87" s="816">
        <v>0</v>
      </c>
      <c r="BF87" s="816">
        <v>0</v>
      </c>
      <c r="BG87" s="816">
        <v>0</v>
      </c>
      <c r="BH87" s="816">
        <v>0</v>
      </c>
      <c r="BI87" s="816">
        <v>0</v>
      </c>
      <c r="BJ87" s="816">
        <v>0</v>
      </c>
      <c r="BK87" s="816">
        <v>0</v>
      </c>
      <c r="BL87" s="816">
        <v>0</v>
      </c>
      <c r="BM87" s="816">
        <v>0</v>
      </c>
      <c r="BN87" s="816">
        <v>0</v>
      </c>
      <c r="BO87" s="816">
        <v>0</v>
      </c>
      <c r="BP87" s="816">
        <v>0</v>
      </c>
      <c r="BQ87" s="816">
        <v>0</v>
      </c>
      <c r="BR87" s="816">
        <v>0</v>
      </c>
      <c r="BS87" s="816">
        <v>0</v>
      </c>
      <c r="BT87" s="816">
        <v>0</v>
      </c>
      <c r="BU87" s="816">
        <v>0</v>
      </c>
      <c r="BV87" s="816">
        <v>0</v>
      </c>
      <c r="BW87" s="816">
        <v>0</v>
      </c>
      <c r="BX87" s="816">
        <v>0</v>
      </c>
      <c r="BY87" s="816">
        <v>0</v>
      </c>
      <c r="BZ87" s="816">
        <v>0</v>
      </c>
      <c r="CA87" s="816">
        <v>0</v>
      </c>
      <c r="CB87" s="816">
        <v>0</v>
      </c>
      <c r="CC87" s="816">
        <v>0</v>
      </c>
      <c r="CD87" s="816">
        <v>0</v>
      </c>
      <c r="CE87" s="816">
        <v>0</v>
      </c>
      <c r="CF87" s="816">
        <v>0</v>
      </c>
      <c r="CG87" s="816">
        <v>0</v>
      </c>
      <c r="CH87" s="816">
        <v>0</v>
      </c>
      <c r="CI87" s="816">
        <v>0</v>
      </c>
      <c r="CJ87" s="816">
        <v>0</v>
      </c>
      <c r="CK87" s="816">
        <v>0</v>
      </c>
      <c r="CL87" s="816">
        <v>0</v>
      </c>
      <c r="CM87" s="816">
        <v>0</v>
      </c>
      <c r="CN87" s="816">
        <v>0</v>
      </c>
      <c r="CO87" s="816">
        <v>0</v>
      </c>
      <c r="CP87" s="816">
        <v>0</v>
      </c>
      <c r="CQ87" s="816">
        <v>0</v>
      </c>
      <c r="CR87" s="816">
        <v>0</v>
      </c>
      <c r="CS87" s="816">
        <v>0</v>
      </c>
      <c r="CT87" s="816">
        <v>0</v>
      </c>
      <c r="CU87" s="816">
        <v>0</v>
      </c>
      <c r="CV87" s="816">
        <v>0</v>
      </c>
      <c r="CW87" s="816">
        <v>0</v>
      </c>
      <c r="CX87" s="816">
        <v>0</v>
      </c>
      <c r="CY87" s="816">
        <v>0</v>
      </c>
      <c r="CZ87" s="816">
        <v>0</v>
      </c>
      <c r="DA87" s="816">
        <v>0</v>
      </c>
      <c r="DB87" s="816">
        <v>0</v>
      </c>
      <c r="DC87" s="816">
        <v>0</v>
      </c>
      <c r="DE87" s="816" t="s">
        <v>96</v>
      </c>
      <c r="DF87" s="816">
        <f t="shared" si="18"/>
        <v>0</v>
      </c>
      <c r="DG87" s="816" t="s">
        <v>97</v>
      </c>
      <c r="DH87" s="816">
        <f t="shared" si="19"/>
        <v>0</v>
      </c>
      <c r="DI87" s="816" t="s">
        <v>98</v>
      </c>
      <c r="DJ87" s="816">
        <f t="shared" si="20"/>
        <v>0</v>
      </c>
      <c r="DK87" s="816" t="s">
        <v>99</v>
      </c>
      <c r="DL87" s="816">
        <f t="shared" si="21"/>
        <v>0</v>
      </c>
      <c r="DM87" s="816" t="s">
        <v>100</v>
      </c>
      <c r="DN87" s="816">
        <f t="shared" si="22"/>
        <v>0</v>
      </c>
      <c r="DO87" s="816" t="s">
        <v>101</v>
      </c>
      <c r="DP87" s="816">
        <f t="shared" si="23"/>
        <v>0</v>
      </c>
    </row>
    <row r="88" spans="1:120">
      <c r="A88" s="815">
        <v>22</v>
      </c>
      <c r="B88" s="815" t="str">
        <f t="shared" si="16"/>
        <v>22ENGLISH</v>
      </c>
      <c r="C88" s="815">
        <f>VLOOKUP(A88,DATEWISE!$A$3:$BY$27,2,0)</f>
        <v>0</v>
      </c>
      <c r="D88" s="815">
        <f>VLOOKUP(A88,DATEWISE!$A$3:$BY$27,3,0)</f>
        <v>0</v>
      </c>
      <c r="E88" s="815">
        <f>VLOOKUP(A88,DATEWISE!$A$3:$BY$27,4,0)</f>
        <v>0</v>
      </c>
      <c r="F88" s="815" t="str">
        <f t="shared" si="17"/>
        <v>0ENGLISH</v>
      </c>
      <c r="G88" s="815" t="s">
        <v>89</v>
      </c>
      <c r="H88" s="816">
        <v>0</v>
      </c>
      <c r="I88" s="816">
        <v>0</v>
      </c>
      <c r="J88" s="816">
        <v>0</v>
      </c>
      <c r="K88" s="816">
        <v>0</v>
      </c>
      <c r="L88" s="816">
        <v>0</v>
      </c>
      <c r="M88" s="816">
        <v>0</v>
      </c>
      <c r="N88" s="816">
        <v>0</v>
      </c>
      <c r="O88" s="816">
        <v>0</v>
      </c>
      <c r="P88" s="816">
        <v>0</v>
      </c>
      <c r="Q88" s="816">
        <v>0</v>
      </c>
      <c r="R88" s="816">
        <v>0</v>
      </c>
      <c r="S88" s="816">
        <v>0</v>
      </c>
      <c r="T88" s="816">
        <v>0</v>
      </c>
      <c r="U88" s="816">
        <v>0</v>
      </c>
      <c r="V88" s="816">
        <v>0</v>
      </c>
      <c r="W88" s="816">
        <v>0</v>
      </c>
      <c r="X88" s="816">
        <v>0</v>
      </c>
      <c r="Y88" s="816">
        <v>0</v>
      </c>
      <c r="Z88" s="816">
        <v>0</v>
      </c>
      <c r="AA88" s="816">
        <v>0</v>
      </c>
      <c r="AB88" s="816">
        <v>0</v>
      </c>
      <c r="AC88" s="816">
        <v>0</v>
      </c>
      <c r="AD88" s="816">
        <v>0</v>
      </c>
      <c r="AE88" s="816">
        <v>0</v>
      </c>
      <c r="AF88" s="816">
        <v>0</v>
      </c>
      <c r="AG88" s="816">
        <v>0</v>
      </c>
      <c r="AH88" s="816">
        <v>0</v>
      </c>
      <c r="AI88" s="816">
        <v>0</v>
      </c>
      <c r="AJ88" s="816">
        <v>0</v>
      </c>
      <c r="AK88" s="816">
        <v>0</v>
      </c>
      <c r="AL88" s="816">
        <v>0</v>
      </c>
      <c r="AM88" s="816">
        <v>0</v>
      </c>
      <c r="AN88" s="816">
        <v>0</v>
      </c>
      <c r="AO88" s="816">
        <v>0</v>
      </c>
      <c r="AP88" s="816">
        <v>0</v>
      </c>
      <c r="AQ88" s="816">
        <v>0</v>
      </c>
      <c r="AR88" s="816">
        <v>0</v>
      </c>
      <c r="AS88" s="816">
        <v>0</v>
      </c>
      <c r="AT88" s="816">
        <v>0</v>
      </c>
      <c r="AU88" s="816">
        <v>0</v>
      </c>
      <c r="AV88" s="816">
        <v>0</v>
      </c>
      <c r="AW88" s="816">
        <v>0</v>
      </c>
      <c r="AX88" s="816">
        <v>0</v>
      </c>
      <c r="AY88" s="816">
        <v>0</v>
      </c>
      <c r="AZ88" s="816">
        <v>0</v>
      </c>
      <c r="BA88" s="816">
        <v>0</v>
      </c>
      <c r="BB88" s="816">
        <v>0</v>
      </c>
      <c r="BC88" s="816">
        <v>0</v>
      </c>
      <c r="BD88" s="816">
        <v>0</v>
      </c>
      <c r="BE88" s="816">
        <v>0</v>
      </c>
      <c r="BF88" s="816">
        <v>0</v>
      </c>
      <c r="BG88" s="816">
        <v>0</v>
      </c>
      <c r="BH88" s="816">
        <v>0</v>
      </c>
      <c r="BI88" s="816">
        <v>0</v>
      </c>
      <c r="BJ88" s="816">
        <v>0</v>
      </c>
      <c r="BK88" s="816">
        <v>0</v>
      </c>
      <c r="BL88" s="816">
        <v>0</v>
      </c>
      <c r="BM88" s="816">
        <v>0</v>
      </c>
      <c r="BN88" s="816">
        <v>0</v>
      </c>
      <c r="BO88" s="816">
        <v>0</v>
      </c>
      <c r="BP88" s="816">
        <v>0</v>
      </c>
      <c r="BQ88" s="816">
        <v>0</v>
      </c>
      <c r="BR88" s="816">
        <v>0</v>
      </c>
      <c r="BS88" s="816">
        <v>0</v>
      </c>
      <c r="BT88" s="816">
        <v>0</v>
      </c>
      <c r="BU88" s="816">
        <v>0</v>
      </c>
      <c r="BV88" s="816">
        <v>0</v>
      </c>
      <c r="BW88" s="816">
        <v>0</v>
      </c>
      <c r="BX88" s="816">
        <v>0</v>
      </c>
      <c r="BY88" s="816">
        <v>0</v>
      </c>
      <c r="BZ88" s="816">
        <v>0</v>
      </c>
      <c r="CA88" s="816">
        <v>0</v>
      </c>
      <c r="CB88" s="816">
        <v>0</v>
      </c>
      <c r="CC88" s="816">
        <v>0</v>
      </c>
      <c r="CD88" s="816">
        <v>0</v>
      </c>
      <c r="CE88" s="816">
        <v>0</v>
      </c>
      <c r="CF88" s="816">
        <v>0</v>
      </c>
      <c r="CG88" s="816">
        <v>0</v>
      </c>
      <c r="CH88" s="816">
        <v>0</v>
      </c>
      <c r="CI88" s="816">
        <v>0</v>
      </c>
      <c r="CJ88" s="816">
        <v>0</v>
      </c>
      <c r="CK88" s="816">
        <v>0</v>
      </c>
      <c r="CL88" s="816">
        <v>0</v>
      </c>
      <c r="CM88" s="816">
        <v>0</v>
      </c>
      <c r="CN88" s="816">
        <v>0</v>
      </c>
      <c r="CO88" s="816">
        <v>0</v>
      </c>
      <c r="CP88" s="816">
        <v>0</v>
      </c>
      <c r="CQ88" s="816">
        <v>0</v>
      </c>
      <c r="CR88" s="816">
        <v>0</v>
      </c>
      <c r="CS88" s="816">
        <v>0</v>
      </c>
      <c r="CT88" s="816">
        <v>0</v>
      </c>
      <c r="CU88" s="816">
        <v>0</v>
      </c>
      <c r="CV88" s="816">
        <v>0</v>
      </c>
      <c r="CW88" s="816">
        <v>0</v>
      </c>
      <c r="CX88" s="816">
        <v>0</v>
      </c>
      <c r="CY88" s="816">
        <v>0</v>
      </c>
      <c r="CZ88" s="816">
        <v>0</v>
      </c>
      <c r="DA88" s="816">
        <v>0</v>
      </c>
      <c r="DB88" s="816">
        <v>0</v>
      </c>
      <c r="DC88" s="816">
        <v>0</v>
      </c>
      <c r="DE88" s="816" t="s">
        <v>96</v>
      </c>
      <c r="DF88" s="816">
        <f t="shared" si="18"/>
        <v>0</v>
      </c>
      <c r="DG88" s="816" t="s">
        <v>97</v>
      </c>
      <c r="DH88" s="816">
        <f t="shared" si="19"/>
        <v>0</v>
      </c>
      <c r="DI88" s="816" t="s">
        <v>98</v>
      </c>
      <c r="DJ88" s="816">
        <f t="shared" si="20"/>
        <v>0</v>
      </c>
      <c r="DK88" s="816" t="s">
        <v>99</v>
      </c>
      <c r="DL88" s="816">
        <f t="shared" si="21"/>
        <v>0</v>
      </c>
      <c r="DM88" s="816" t="s">
        <v>100</v>
      </c>
      <c r="DN88" s="816">
        <f t="shared" si="22"/>
        <v>0</v>
      </c>
      <c r="DO88" s="816" t="s">
        <v>101</v>
      </c>
      <c r="DP88" s="816">
        <f t="shared" si="23"/>
        <v>0</v>
      </c>
    </row>
    <row r="89" spans="1:120">
      <c r="A89" s="815">
        <v>22</v>
      </c>
      <c r="B89" s="815" t="str">
        <f t="shared" si="16"/>
        <v>22MATHS</v>
      </c>
      <c r="C89" s="815">
        <f>VLOOKUP(A89,DATEWISE!$A$3:$BY$27,2,0)</f>
        <v>0</v>
      </c>
      <c r="D89" s="815">
        <f>VLOOKUP(A89,DATEWISE!$A$3:$BY$27,3,0)</f>
        <v>0</v>
      </c>
      <c r="E89" s="815">
        <f>VLOOKUP(A89,DATEWISE!$A$3:$BY$27,4,0)</f>
        <v>0</v>
      </c>
      <c r="F89" s="815" t="str">
        <f t="shared" si="17"/>
        <v>0MATHS</v>
      </c>
      <c r="G89" s="815" t="s">
        <v>88</v>
      </c>
      <c r="H89" s="816">
        <v>0</v>
      </c>
      <c r="I89" s="816">
        <v>0</v>
      </c>
      <c r="J89" s="816">
        <v>0</v>
      </c>
      <c r="K89" s="816">
        <v>0</v>
      </c>
      <c r="L89" s="816">
        <v>0</v>
      </c>
      <c r="M89" s="816">
        <v>0</v>
      </c>
      <c r="N89" s="816">
        <v>0</v>
      </c>
      <c r="O89" s="816">
        <v>0</v>
      </c>
      <c r="P89" s="816">
        <v>0</v>
      </c>
      <c r="Q89" s="816">
        <v>0</v>
      </c>
      <c r="R89" s="816">
        <v>0</v>
      </c>
      <c r="S89" s="816">
        <v>0</v>
      </c>
      <c r="T89" s="816">
        <v>0</v>
      </c>
      <c r="U89" s="816">
        <v>0</v>
      </c>
      <c r="V89" s="816">
        <v>0</v>
      </c>
      <c r="W89" s="816">
        <v>0</v>
      </c>
      <c r="X89" s="816">
        <v>0</v>
      </c>
      <c r="Y89" s="816">
        <v>0</v>
      </c>
      <c r="Z89" s="816">
        <v>0</v>
      </c>
      <c r="AA89" s="816">
        <v>0</v>
      </c>
      <c r="AB89" s="816">
        <v>0</v>
      </c>
      <c r="AC89" s="816">
        <v>0</v>
      </c>
      <c r="AD89" s="816">
        <v>0</v>
      </c>
      <c r="AE89" s="816">
        <v>0</v>
      </c>
      <c r="AF89" s="816">
        <v>0</v>
      </c>
      <c r="AG89" s="816">
        <v>0</v>
      </c>
      <c r="AH89" s="816">
        <v>0</v>
      </c>
      <c r="AI89" s="816">
        <v>0</v>
      </c>
      <c r="AJ89" s="816">
        <v>0</v>
      </c>
      <c r="AK89" s="816">
        <v>0</v>
      </c>
      <c r="AL89" s="816">
        <v>0</v>
      </c>
      <c r="AM89" s="816">
        <v>0</v>
      </c>
      <c r="AN89" s="816">
        <v>0</v>
      </c>
      <c r="AO89" s="816">
        <v>0</v>
      </c>
      <c r="AP89" s="816">
        <v>0</v>
      </c>
      <c r="AQ89" s="816">
        <v>0</v>
      </c>
      <c r="AR89" s="816">
        <v>0</v>
      </c>
      <c r="AS89" s="816">
        <v>0</v>
      </c>
      <c r="AT89" s="816">
        <v>0</v>
      </c>
      <c r="AU89" s="816">
        <v>0</v>
      </c>
      <c r="AV89" s="816">
        <v>0</v>
      </c>
      <c r="AW89" s="816">
        <v>0</v>
      </c>
      <c r="AX89" s="816">
        <v>0</v>
      </c>
      <c r="AY89" s="816">
        <v>0</v>
      </c>
      <c r="AZ89" s="816">
        <v>0</v>
      </c>
      <c r="BA89" s="816">
        <v>0</v>
      </c>
      <c r="BB89" s="816">
        <v>0</v>
      </c>
      <c r="BC89" s="816">
        <v>0</v>
      </c>
      <c r="BD89" s="816">
        <v>0</v>
      </c>
      <c r="BE89" s="816">
        <v>0</v>
      </c>
      <c r="BF89" s="816">
        <v>0</v>
      </c>
      <c r="BG89" s="816">
        <v>0</v>
      </c>
      <c r="BH89" s="816">
        <v>0</v>
      </c>
      <c r="BI89" s="816">
        <v>0</v>
      </c>
      <c r="BJ89" s="816">
        <v>0</v>
      </c>
      <c r="BK89" s="816">
        <v>0</v>
      </c>
      <c r="BL89" s="816">
        <v>0</v>
      </c>
      <c r="BM89" s="816">
        <v>0</v>
      </c>
      <c r="BN89" s="816">
        <v>0</v>
      </c>
      <c r="BO89" s="816">
        <v>0</v>
      </c>
      <c r="BP89" s="816">
        <v>0</v>
      </c>
      <c r="BQ89" s="816">
        <v>0</v>
      </c>
      <c r="BR89" s="816">
        <v>0</v>
      </c>
      <c r="BS89" s="816">
        <v>0</v>
      </c>
      <c r="BT89" s="816">
        <v>0</v>
      </c>
      <c r="BU89" s="816">
        <v>0</v>
      </c>
      <c r="BV89" s="816">
        <v>0</v>
      </c>
      <c r="BW89" s="816">
        <v>0</v>
      </c>
      <c r="BX89" s="816">
        <v>0</v>
      </c>
      <c r="BY89" s="816">
        <v>0</v>
      </c>
      <c r="BZ89" s="816">
        <v>0</v>
      </c>
      <c r="CA89" s="816">
        <v>0</v>
      </c>
      <c r="CB89" s="816">
        <v>0</v>
      </c>
      <c r="CC89" s="816">
        <v>0</v>
      </c>
      <c r="CD89" s="816">
        <v>0</v>
      </c>
      <c r="CE89" s="816">
        <v>0</v>
      </c>
      <c r="CF89" s="816">
        <v>0</v>
      </c>
      <c r="CG89" s="816">
        <v>0</v>
      </c>
      <c r="CH89" s="816">
        <v>0</v>
      </c>
      <c r="CI89" s="816">
        <v>0</v>
      </c>
      <c r="CJ89" s="816">
        <v>0</v>
      </c>
      <c r="CK89" s="816">
        <v>0</v>
      </c>
      <c r="CL89" s="816">
        <v>0</v>
      </c>
      <c r="CM89" s="816">
        <v>0</v>
      </c>
      <c r="CN89" s="816">
        <v>0</v>
      </c>
      <c r="CO89" s="816">
        <v>0</v>
      </c>
      <c r="CP89" s="816">
        <v>0</v>
      </c>
      <c r="CQ89" s="816">
        <v>0</v>
      </c>
      <c r="CR89" s="816">
        <v>0</v>
      </c>
      <c r="CS89" s="816">
        <v>0</v>
      </c>
      <c r="CT89" s="816">
        <v>0</v>
      </c>
      <c r="CU89" s="816">
        <v>0</v>
      </c>
      <c r="CV89" s="816">
        <v>0</v>
      </c>
      <c r="CW89" s="816">
        <v>0</v>
      </c>
      <c r="CX89" s="816">
        <v>0</v>
      </c>
      <c r="CY89" s="816">
        <v>0</v>
      </c>
      <c r="CZ89" s="816">
        <v>0</v>
      </c>
      <c r="DA89" s="816">
        <v>0</v>
      </c>
      <c r="DB89" s="816">
        <v>0</v>
      </c>
      <c r="DC89" s="816">
        <v>0</v>
      </c>
      <c r="DE89" s="816" t="s">
        <v>96</v>
      </c>
      <c r="DF89" s="816">
        <f t="shared" si="18"/>
        <v>0</v>
      </c>
      <c r="DG89" s="816" t="s">
        <v>97</v>
      </c>
      <c r="DH89" s="816">
        <f t="shared" si="19"/>
        <v>0</v>
      </c>
      <c r="DI89" s="816" t="s">
        <v>98</v>
      </c>
      <c r="DJ89" s="816">
        <f t="shared" si="20"/>
        <v>0</v>
      </c>
      <c r="DK89" s="816" t="s">
        <v>99</v>
      </c>
      <c r="DL89" s="816">
        <f t="shared" si="21"/>
        <v>0</v>
      </c>
      <c r="DM89" s="816" t="s">
        <v>100</v>
      </c>
      <c r="DN89" s="816">
        <f t="shared" si="22"/>
        <v>0</v>
      </c>
      <c r="DO89" s="816" t="s">
        <v>101</v>
      </c>
      <c r="DP89" s="816">
        <f t="shared" si="23"/>
        <v>0</v>
      </c>
    </row>
    <row r="90" spans="1:120">
      <c r="A90" s="815">
        <v>22</v>
      </c>
      <c r="B90" s="815" t="str">
        <f t="shared" si="16"/>
        <v>22REMARKS</v>
      </c>
      <c r="C90" s="815">
        <f>VLOOKUP(A90,DATEWISE!$A$3:$BY$27,2,0)</f>
        <v>0</v>
      </c>
      <c r="D90" s="815">
        <f>VLOOKUP(A90,DATEWISE!$A$3:$BY$27,3,0)</f>
        <v>0</v>
      </c>
      <c r="E90" s="815">
        <f>VLOOKUP(A90,DATEWISE!$A$3:$BY$27,4,0)</f>
        <v>0</v>
      </c>
      <c r="F90" s="815" t="str">
        <f t="shared" si="17"/>
        <v>0REMARKS</v>
      </c>
      <c r="G90" s="815" t="s">
        <v>390</v>
      </c>
      <c r="H90" s="816">
        <v>0</v>
      </c>
      <c r="I90" s="816">
        <v>0</v>
      </c>
      <c r="J90" s="816">
        <v>0</v>
      </c>
      <c r="K90" s="816">
        <v>0</v>
      </c>
      <c r="L90" s="816">
        <v>0</v>
      </c>
      <c r="M90" s="816">
        <v>0</v>
      </c>
      <c r="N90" s="816">
        <v>0</v>
      </c>
      <c r="O90" s="816">
        <v>0</v>
      </c>
      <c r="P90" s="816">
        <v>0</v>
      </c>
      <c r="Q90" s="816">
        <v>0</v>
      </c>
      <c r="R90" s="816">
        <v>0</v>
      </c>
      <c r="S90" s="816">
        <v>0</v>
      </c>
      <c r="T90" s="816">
        <v>0</v>
      </c>
      <c r="U90" s="816">
        <v>0</v>
      </c>
      <c r="V90" s="816">
        <v>0</v>
      </c>
      <c r="W90" s="816">
        <v>0</v>
      </c>
      <c r="X90" s="816">
        <v>0</v>
      </c>
      <c r="Y90" s="816">
        <v>0</v>
      </c>
      <c r="Z90" s="816">
        <v>0</v>
      </c>
      <c r="AA90" s="816">
        <v>0</v>
      </c>
      <c r="AB90" s="816">
        <v>0</v>
      </c>
      <c r="AC90" s="816">
        <v>0</v>
      </c>
      <c r="AD90" s="816">
        <v>0</v>
      </c>
      <c r="AE90" s="816">
        <v>0</v>
      </c>
      <c r="AF90" s="816">
        <v>0</v>
      </c>
      <c r="AG90" s="816">
        <v>0</v>
      </c>
      <c r="AH90" s="816">
        <v>0</v>
      </c>
      <c r="AI90" s="816">
        <v>0</v>
      </c>
      <c r="AJ90" s="816">
        <v>0</v>
      </c>
      <c r="AK90" s="816">
        <v>0</v>
      </c>
      <c r="AL90" s="816">
        <v>0</v>
      </c>
      <c r="AM90" s="816">
        <v>0</v>
      </c>
      <c r="AN90" s="816">
        <v>0</v>
      </c>
      <c r="AO90" s="816">
        <v>0</v>
      </c>
      <c r="AP90" s="816">
        <v>0</v>
      </c>
      <c r="AQ90" s="816">
        <v>0</v>
      </c>
      <c r="AR90" s="816">
        <v>0</v>
      </c>
      <c r="AS90" s="816">
        <v>0</v>
      </c>
      <c r="AT90" s="816">
        <v>0</v>
      </c>
      <c r="AU90" s="816">
        <v>0</v>
      </c>
      <c r="AV90" s="816">
        <v>0</v>
      </c>
      <c r="AW90" s="816">
        <v>0</v>
      </c>
      <c r="AX90" s="816">
        <v>0</v>
      </c>
      <c r="AY90" s="816">
        <v>0</v>
      </c>
      <c r="AZ90" s="816">
        <v>0</v>
      </c>
      <c r="BA90" s="816">
        <v>0</v>
      </c>
      <c r="BB90" s="816">
        <v>0</v>
      </c>
      <c r="BC90" s="816">
        <v>0</v>
      </c>
      <c r="BD90" s="816">
        <v>0</v>
      </c>
      <c r="BE90" s="816">
        <v>0</v>
      </c>
      <c r="BF90" s="816">
        <v>0</v>
      </c>
      <c r="BG90" s="816">
        <v>0</v>
      </c>
      <c r="BH90" s="816">
        <v>0</v>
      </c>
      <c r="BI90" s="816">
        <v>0</v>
      </c>
      <c r="BJ90" s="816">
        <v>0</v>
      </c>
      <c r="BK90" s="816">
        <v>0</v>
      </c>
      <c r="BL90" s="816">
        <v>0</v>
      </c>
      <c r="BM90" s="816">
        <v>0</v>
      </c>
      <c r="BN90" s="816">
        <v>0</v>
      </c>
      <c r="BO90" s="816">
        <v>0</v>
      </c>
      <c r="BP90" s="816">
        <v>0</v>
      </c>
      <c r="BQ90" s="816">
        <v>0</v>
      </c>
      <c r="BR90" s="816">
        <v>0</v>
      </c>
      <c r="BS90" s="816">
        <v>0</v>
      </c>
      <c r="BT90" s="816">
        <v>0</v>
      </c>
      <c r="BU90" s="816">
        <v>0</v>
      </c>
      <c r="BV90" s="816">
        <v>0</v>
      </c>
      <c r="BW90" s="816">
        <v>0</v>
      </c>
      <c r="BX90" s="816">
        <v>0</v>
      </c>
      <c r="BY90" s="816">
        <v>0</v>
      </c>
      <c r="BZ90" s="816">
        <v>0</v>
      </c>
      <c r="CA90" s="816">
        <v>0</v>
      </c>
      <c r="CB90" s="816">
        <v>0</v>
      </c>
      <c r="CC90" s="816">
        <v>0</v>
      </c>
      <c r="CD90" s="816">
        <v>0</v>
      </c>
      <c r="CE90" s="816">
        <v>0</v>
      </c>
      <c r="CF90" s="816">
        <v>0</v>
      </c>
      <c r="CG90" s="816">
        <v>0</v>
      </c>
      <c r="CH90" s="816">
        <v>0</v>
      </c>
      <c r="CI90" s="816">
        <v>0</v>
      </c>
      <c r="CJ90" s="816">
        <v>0</v>
      </c>
      <c r="CK90" s="816">
        <v>0</v>
      </c>
      <c r="CL90" s="816">
        <v>0</v>
      </c>
      <c r="CM90" s="816">
        <v>0</v>
      </c>
      <c r="CN90" s="816">
        <v>0</v>
      </c>
      <c r="CO90" s="816">
        <v>0</v>
      </c>
      <c r="CP90" s="816">
        <v>0</v>
      </c>
      <c r="CQ90" s="816">
        <v>0</v>
      </c>
      <c r="CR90" s="816">
        <v>0</v>
      </c>
      <c r="CS90" s="816">
        <v>0</v>
      </c>
      <c r="CT90" s="816">
        <v>0</v>
      </c>
      <c r="CU90" s="816">
        <v>0</v>
      </c>
      <c r="CV90" s="816">
        <v>0</v>
      </c>
      <c r="CW90" s="816">
        <v>0</v>
      </c>
      <c r="CX90" s="816">
        <v>0</v>
      </c>
      <c r="CY90" s="816">
        <v>0</v>
      </c>
      <c r="CZ90" s="816">
        <v>0</v>
      </c>
      <c r="DA90" s="816">
        <v>0</v>
      </c>
      <c r="DB90" s="816">
        <v>0</v>
      </c>
      <c r="DC90" s="816">
        <v>0</v>
      </c>
      <c r="DE90" s="816" t="s">
        <v>96</v>
      </c>
      <c r="DF90" s="816">
        <f t="shared" si="18"/>
        <v>0</v>
      </c>
      <c r="DG90" s="816" t="s">
        <v>97</v>
      </c>
      <c r="DH90" s="816">
        <f t="shared" si="19"/>
        <v>0</v>
      </c>
      <c r="DI90" s="816" t="s">
        <v>98</v>
      </c>
      <c r="DJ90" s="816">
        <f t="shared" si="20"/>
        <v>0</v>
      </c>
      <c r="DK90" s="816" t="s">
        <v>99</v>
      </c>
      <c r="DL90" s="816">
        <f t="shared" si="21"/>
        <v>0</v>
      </c>
      <c r="DM90" s="816" t="s">
        <v>100</v>
      </c>
      <c r="DN90" s="816">
        <f t="shared" si="22"/>
        <v>0</v>
      </c>
      <c r="DO90" s="816" t="s">
        <v>101</v>
      </c>
      <c r="DP90" s="816">
        <f t="shared" si="23"/>
        <v>0</v>
      </c>
    </row>
    <row r="91" spans="1:120">
      <c r="A91" s="815">
        <v>23</v>
      </c>
      <c r="B91" s="815" t="str">
        <f t="shared" si="16"/>
        <v>23HINDI</v>
      </c>
      <c r="C91" s="815">
        <f>VLOOKUP(A91,DATEWISE!$A$3:$BY$27,2,0)</f>
        <v>0</v>
      </c>
      <c r="D91" s="815">
        <f>VLOOKUP(A91,DATEWISE!$A$3:$BY$27,3,0)</f>
        <v>0</v>
      </c>
      <c r="E91" s="815">
        <f>VLOOKUP(A91,DATEWISE!$A$3:$BY$27,4,0)</f>
        <v>0</v>
      </c>
      <c r="F91" s="815" t="str">
        <f t="shared" si="17"/>
        <v>0HINDI</v>
      </c>
      <c r="G91" s="815" t="s">
        <v>87</v>
      </c>
      <c r="H91" s="816">
        <v>0</v>
      </c>
      <c r="I91" s="816">
        <v>0</v>
      </c>
      <c r="J91" s="816">
        <v>0</v>
      </c>
      <c r="K91" s="816">
        <v>0</v>
      </c>
      <c r="L91" s="816">
        <v>0</v>
      </c>
      <c r="M91" s="816">
        <v>0</v>
      </c>
      <c r="N91" s="816">
        <v>0</v>
      </c>
      <c r="O91" s="816">
        <v>0</v>
      </c>
      <c r="P91" s="816">
        <v>0</v>
      </c>
      <c r="Q91" s="816">
        <v>0</v>
      </c>
      <c r="R91" s="816">
        <v>0</v>
      </c>
      <c r="S91" s="816">
        <v>0</v>
      </c>
      <c r="T91" s="816">
        <v>0</v>
      </c>
      <c r="U91" s="816">
        <v>0</v>
      </c>
      <c r="V91" s="816">
        <v>0</v>
      </c>
      <c r="W91" s="816">
        <v>0</v>
      </c>
      <c r="X91" s="816">
        <v>0</v>
      </c>
      <c r="Y91" s="816">
        <v>0</v>
      </c>
      <c r="Z91" s="816">
        <v>0</v>
      </c>
      <c r="AA91" s="816">
        <v>0</v>
      </c>
      <c r="AB91" s="816">
        <v>0</v>
      </c>
      <c r="AC91" s="816">
        <v>0</v>
      </c>
      <c r="AD91" s="816">
        <v>0</v>
      </c>
      <c r="AE91" s="816">
        <v>0</v>
      </c>
      <c r="AF91" s="816">
        <v>0</v>
      </c>
      <c r="AG91" s="816">
        <v>0</v>
      </c>
      <c r="AH91" s="816">
        <v>0</v>
      </c>
      <c r="AI91" s="816">
        <v>0</v>
      </c>
      <c r="AJ91" s="816">
        <v>0</v>
      </c>
      <c r="AK91" s="816">
        <v>0</v>
      </c>
      <c r="AL91" s="816">
        <v>0</v>
      </c>
      <c r="AM91" s="816">
        <v>0</v>
      </c>
      <c r="AN91" s="816">
        <v>0</v>
      </c>
      <c r="AO91" s="816">
        <v>0</v>
      </c>
      <c r="AP91" s="816">
        <v>0</v>
      </c>
      <c r="AQ91" s="816">
        <v>0</v>
      </c>
      <c r="AR91" s="816">
        <v>0</v>
      </c>
      <c r="AS91" s="816">
        <v>0</v>
      </c>
      <c r="AT91" s="816">
        <v>0</v>
      </c>
      <c r="AU91" s="816">
        <v>0</v>
      </c>
      <c r="AV91" s="816">
        <v>0</v>
      </c>
      <c r="AW91" s="816">
        <v>0</v>
      </c>
      <c r="AX91" s="816">
        <v>0</v>
      </c>
      <c r="AY91" s="816">
        <v>0</v>
      </c>
      <c r="AZ91" s="816">
        <v>0</v>
      </c>
      <c r="BA91" s="816">
        <v>0</v>
      </c>
      <c r="BB91" s="816">
        <v>0</v>
      </c>
      <c r="BC91" s="816">
        <v>0</v>
      </c>
      <c r="BD91" s="816">
        <v>0</v>
      </c>
      <c r="BE91" s="816">
        <v>0</v>
      </c>
      <c r="BF91" s="816">
        <v>0</v>
      </c>
      <c r="BG91" s="816">
        <v>0</v>
      </c>
      <c r="BH91" s="816">
        <v>0</v>
      </c>
      <c r="BI91" s="816">
        <v>0</v>
      </c>
      <c r="BJ91" s="816">
        <v>0</v>
      </c>
      <c r="BK91" s="816">
        <v>0</v>
      </c>
      <c r="BL91" s="816">
        <v>0</v>
      </c>
      <c r="BM91" s="816">
        <v>0</v>
      </c>
      <c r="BN91" s="816">
        <v>0</v>
      </c>
      <c r="BO91" s="816">
        <v>0</v>
      </c>
      <c r="BP91" s="816">
        <v>0</v>
      </c>
      <c r="BQ91" s="816">
        <v>0</v>
      </c>
      <c r="BR91" s="816">
        <v>0</v>
      </c>
      <c r="BS91" s="816">
        <v>0</v>
      </c>
      <c r="BT91" s="816">
        <v>0</v>
      </c>
      <c r="BU91" s="816">
        <v>0</v>
      </c>
      <c r="BV91" s="816">
        <v>0</v>
      </c>
      <c r="BW91" s="816">
        <v>0</v>
      </c>
      <c r="BX91" s="816">
        <v>0</v>
      </c>
      <c r="BY91" s="816">
        <v>0</v>
      </c>
      <c r="BZ91" s="816">
        <v>0</v>
      </c>
      <c r="CA91" s="816">
        <v>0</v>
      </c>
      <c r="CB91" s="816">
        <v>0</v>
      </c>
      <c r="CC91" s="816">
        <v>0</v>
      </c>
      <c r="CD91" s="816">
        <v>0</v>
      </c>
      <c r="CE91" s="816">
        <v>0</v>
      </c>
      <c r="CF91" s="816">
        <v>0</v>
      </c>
      <c r="CG91" s="816">
        <v>0</v>
      </c>
      <c r="CH91" s="816">
        <v>0</v>
      </c>
      <c r="CI91" s="816">
        <v>0</v>
      </c>
      <c r="CJ91" s="816">
        <v>0</v>
      </c>
      <c r="CK91" s="816">
        <v>0</v>
      </c>
      <c r="CL91" s="816">
        <v>0</v>
      </c>
      <c r="CM91" s="816">
        <v>0</v>
      </c>
      <c r="CN91" s="816">
        <v>0</v>
      </c>
      <c r="CO91" s="816">
        <v>0</v>
      </c>
      <c r="CP91" s="816">
        <v>0</v>
      </c>
      <c r="CQ91" s="816">
        <v>0</v>
      </c>
      <c r="CR91" s="816">
        <v>0</v>
      </c>
      <c r="CS91" s="816">
        <v>0</v>
      </c>
      <c r="CT91" s="816">
        <v>0</v>
      </c>
      <c r="CU91" s="816">
        <v>0</v>
      </c>
      <c r="CV91" s="816">
        <v>0</v>
      </c>
      <c r="CW91" s="816">
        <v>0</v>
      </c>
      <c r="CX91" s="816">
        <v>0</v>
      </c>
      <c r="CY91" s="816">
        <v>0</v>
      </c>
      <c r="CZ91" s="816">
        <v>0</v>
      </c>
      <c r="DA91" s="816">
        <v>0</v>
      </c>
      <c r="DB91" s="816">
        <v>0</v>
      </c>
      <c r="DC91" s="816">
        <v>0</v>
      </c>
      <c r="DE91" s="816" t="s">
        <v>96</v>
      </c>
      <c r="DF91" s="816">
        <f t="shared" si="18"/>
        <v>0</v>
      </c>
      <c r="DG91" s="816" t="s">
        <v>97</v>
      </c>
      <c r="DH91" s="816">
        <f t="shared" si="19"/>
        <v>0</v>
      </c>
      <c r="DI91" s="816" t="s">
        <v>98</v>
      </c>
      <c r="DJ91" s="816">
        <f t="shared" si="20"/>
        <v>0</v>
      </c>
      <c r="DK91" s="816" t="s">
        <v>99</v>
      </c>
      <c r="DL91" s="816">
        <f t="shared" si="21"/>
        <v>0</v>
      </c>
      <c r="DM91" s="816" t="s">
        <v>100</v>
      </c>
      <c r="DN91" s="816">
        <f t="shared" si="22"/>
        <v>0</v>
      </c>
      <c r="DO91" s="816" t="s">
        <v>101</v>
      </c>
      <c r="DP91" s="816">
        <f t="shared" si="23"/>
        <v>0</v>
      </c>
    </row>
    <row r="92" spans="1:120">
      <c r="A92" s="815">
        <v>23</v>
      </c>
      <c r="B92" s="815" t="str">
        <f t="shared" si="16"/>
        <v>23ENGLISH</v>
      </c>
      <c r="C92" s="815">
        <f>VLOOKUP(A92,DATEWISE!$A$3:$BY$27,2,0)</f>
        <v>0</v>
      </c>
      <c r="D92" s="815">
        <f>VLOOKUP(A92,DATEWISE!$A$3:$BY$27,3,0)</f>
        <v>0</v>
      </c>
      <c r="E92" s="815">
        <f>VLOOKUP(A92,DATEWISE!$A$3:$BY$27,4,0)</f>
        <v>0</v>
      </c>
      <c r="F92" s="815" t="str">
        <f t="shared" si="17"/>
        <v>0ENGLISH</v>
      </c>
      <c r="G92" s="815" t="s">
        <v>89</v>
      </c>
      <c r="H92" s="816">
        <v>0</v>
      </c>
      <c r="I92" s="816">
        <v>0</v>
      </c>
      <c r="J92" s="816">
        <v>0</v>
      </c>
      <c r="K92" s="816">
        <v>0</v>
      </c>
      <c r="L92" s="816">
        <v>0</v>
      </c>
      <c r="M92" s="816">
        <v>0</v>
      </c>
      <c r="N92" s="816">
        <v>0</v>
      </c>
      <c r="O92" s="816">
        <v>0</v>
      </c>
      <c r="P92" s="816">
        <v>0</v>
      </c>
      <c r="Q92" s="816">
        <v>0</v>
      </c>
      <c r="R92" s="816">
        <v>0</v>
      </c>
      <c r="S92" s="816">
        <v>0</v>
      </c>
      <c r="T92" s="816">
        <v>0</v>
      </c>
      <c r="U92" s="816">
        <v>0</v>
      </c>
      <c r="V92" s="816">
        <v>0</v>
      </c>
      <c r="W92" s="816">
        <v>0</v>
      </c>
      <c r="X92" s="816">
        <v>0</v>
      </c>
      <c r="Y92" s="816">
        <v>0</v>
      </c>
      <c r="Z92" s="816">
        <v>0</v>
      </c>
      <c r="AA92" s="816">
        <v>0</v>
      </c>
      <c r="AB92" s="816">
        <v>0</v>
      </c>
      <c r="AC92" s="816">
        <v>0</v>
      </c>
      <c r="AD92" s="816">
        <v>0</v>
      </c>
      <c r="AE92" s="816">
        <v>0</v>
      </c>
      <c r="AF92" s="816">
        <v>0</v>
      </c>
      <c r="AG92" s="816">
        <v>0</v>
      </c>
      <c r="AH92" s="816">
        <v>0</v>
      </c>
      <c r="AI92" s="816">
        <v>0</v>
      </c>
      <c r="AJ92" s="816">
        <v>0</v>
      </c>
      <c r="AK92" s="816">
        <v>0</v>
      </c>
      <c r="AL92" s="816">
        <v>0</v>
      </c>
      <c r="AM92" s="816">
        <v>0</v>
      </c>
      <c r="AN92" s="816">
        <v>0</v>
      </c>
      <c r="AO92" s="816">
        <v>0</v>
      </c>
      <c r="AP92" s="816">
        <v>0</v>
      </c>
      <c r="AQ92" s="816">
        <v>0</v>
      </c>
      <c r="AR92" s="816">
        <v>0</v>
      </c>
      <c r="AS92" s="816">
        <v>0</v>
      </c>
      <c r="AT92" s="816">
        <v>0</v>
      </c>
      <c r="AU92" s="816">
        <v>0</v>
      </c>
      <c r="AV92" s="816">
        <v>0</v>
      </c>
      <c r="AW92" s="816">
        <v>0</v>
      </c>
      <c r="AX92" s="816">
        <v>0</v>
      </c>
      <c r="AY92" s="816">
        <v>0</v>
      </c>
      <c r="AZ92" s="816">
        <v>0</v>
      </c>
      <c r="BA92" s="816">
        <v>0</v>
      </c>
      <c r="BB92" s="816">
        <v>0</v>
      </c>
      <c r="BC92" s="816">
        <v>0</v>
      </c>
      <c r="BD92" s="816">
        <v>0</v>
      </c>
      <c r="BE92" s="816">
        <v>0</v>
      </c>
      <c r="BF92" s="816">
        <v>0</v>
      </c>
      <c r="BG92" s="816">
        <v>0</v>
      </c>
      <c r="BH92" s="816">
        <v>0</v>
      </c>
      <c r="BI92" s="816">
        <v>0</v>
      </c>
      <c r="BJ92" s="816">
        <v>0</v>
      </c>
      <c r="BK92" s="816">
        <v>0</v>
      </c>
      <c r="BL92" s="816">
        <v>0</v>
      </c>
      <c r="BM92" s="816">
        <v>0</v>
      </c>
      <c r="BN92" s="816">
        <v>0</v>
      </c>
      <c r="BO92" s="816">
        <v>0</v>
      </c>
      <c r="BP92" s="816">
        <v>0</v>
      </c>
      <c r="BQ92" s="816">
        <v>0</v>
      </c>
      <c r="BR92" s="816">
        <v>0</v>
      </c>
      <c r="BS92" s="816">
        <v>0</v>
      </c>
      <c r="BT92" s="816">
        <v>0</v>
      </c>
      <c r="BU92" s="816">
        <v>0</v>
      </c>
      <c r="BV92" s="816">
        <v>0</v>
      </c>
      <c r="BW92" s="816">
        <v>0</v>
      </c>
      <c r="BX92" s="816">
        <v>0</v>
      </c>
      <c r="BY92" s="816">
        <v>0</v>
      </c>
      <c r="BZ92" s="816">
        <v>0</v>
      </c>
      <c r="CA92" s="816">
        <v>0</v>
      </c>
      <c r="CB92" s="816">
        <v>0</v>
      </c>
      <c r="CC92" s="816">
        <v>0</v>
      </c>
      <c r="CD92" s="816">
        <v>0</v>
      </c>
      <c r="CE92" s="816">
        <v>0</v>
      </c>
      <c r="CF92" s="816">
        <v>0</v>
      </c>
      <c r="CG92" s="816">
        <v>0</v>
      </c>
      <c r="CH92" s="816">
        <v>0</v>
      </c>
      <c r="CI92" s="816">
        <v>0</v>
      </c>
      <c r="CJ92" s="816">
        <v>0</v>
      </c>
      <c r="CK92" s="816">
        <v>0</v>
      </c>
      <c r="CL92" s="816">
        <v>0</v>
      </c>
      <c r="CM92" s="816">
        <v>0</v>
      </c>
      <c r="CN92" s="816">
        <v>0</v>
      </c>
      <c r="CO92" s="816">
        <v>0</v>
      </c>
      <c r="CP92" s="816">
        <v>0</v>
      </c>
      <c r="CQ92" s="816">
        <v>0</v>
      </c>
      <c r="CR92" s="816">
        <v>0</v>
      </c>
      <c r="CS92" s="816">
        <v>0</v>
      </c>
      <c r="CT92" s="816">
        <v>0</v>
      </c>
      <c r="CU92" s="816">
        <v>0</v>
      </c>
      <c r="CV92" s="816">
        <v>0</v>
      </c>
      <c r="CW92" s="816">
        <v>0</v>
      </c>
      <c r="CX92" s="816">
        <v>0</v>
      </c>
      <c r="CY92" s="816">
        <v>0</v>
      </c>
      <c r="CZ92" s="816">
        <v>0</v>
      </c>
      <c r="DA92" s="816">
        <v>0</v>
      </c>
      <c r="DB92" s="816">
        <v>0</v>
      </c>
      <c r="DC92" s="816">
        <v>0</v>
      </c>
      <c r="DE92" s="816" t="s">
        <v>96</v>
      </c>
      <c r="DF92" s="816">
        <f t="shared" si="18"/>
        <v>0</v>
      </c>
      <c r="DG92" s="816" t="s">
        <v>97</v>
      </c>
      <c r="DH92" s="816">
        <f t="shared" si="19"/>
        <v>0</v>
      </c>
      <c r="DI92" s="816" t="s">
        <v>98</v>
      </c>
      <c r="DJ92" s="816">
        <f t="shared" si="20"/>
        <v>0</v>
      </c>
      <c r="DK92" s="816" t="s">
        <v>99</v>
      </c>
      <c r="DL92" s="816">
        <f t="shared" si="21"/>
        <v>0</v>
      </c>
      <c r="DM92" s="816" t="s">
        <v>100</v>
      </c>
      <c r="DN92" s="816">
        <f t="shared" si="22"/>
        <v>0</v>
      </c>
      <c r="DO92" s="816" t="s">
        <v>101</v>
      </c>
      <c r="DP92" s="816">
        <f t="shared" si="23"/>
        <v>0</v>
      </c>
    </row>
    <row r="93" spans="1:120">
      <c r="A93" s="815">
        <v>23</v>
      </c>
      <c r="B93" s="815" t="str">
        <f t="shared" si="16"/>
        <v>23MATHS</v>
      </c>
      <c r="C93" s="815">
        <f>VLOOKUP(A93,DATEWISE!$A$3:$BY$27,2,0)</f>
        <v>0</v>
      </c>
      <c r="D93" s="815">
        <f>VLOOKUP(A93,DATEWISE!$A$3:$BY$27,3,0)</f>
        <v>0</v>
      </c>
      <c r="E93" s="815">
        <f>VLOOKUP(A93,DATEWISE!$A$3:$BY$27,4,0)</f>
        <v>0</v>
      </c>
      <c r="F93" s="815" t="str">
        <f t="shared" si="17"/>
        <v>0MATHS</v>
      </c>
      <c r="G93" s="815" t="s">
        <v>88</v>
      </c>
      <c r="H93" s="816">
        <v>0</v>
      </c>
      <c r="I93" s="816">
        <v>0</v>
      </c>
      <c r="J93" s="816">
        <v>0</v>
      </c>
      <c r="K93" s="816">
        <v>0</v>
      </c>
      <c r="L93" s="816">
        <v>0</v>
      </c>
      <c r="M93" s="816">
        <v>0</v>
      </c>
      <c r="N93" s="816">
        <v>0</v>
      </c>
      <c r="O93" s="816">
        <v>0</v>
      </c>
      <c r="P93" s="816">
        <v>0</v>
      </c>
      <c r="Q93" s="816">
        <v>0</v>
      </c>
      <c r="R93" s="816">
        <v>0</v>
      </c>
      <c r="S93" s="816">
        <v>0</v>
      </c>
      <c r="T93" s="816">
        <v>0</v>
      </c>
      <c r="U93" s="816">
        <v>0</v>
      </c>
      <c r="V93" s="816">
        <v>0</v>
      </c>
      <c r="W93" s="816">
        <v>0</v>
      </c>
      <c r="X93" s="816">
        <v>0</v>
      </c>
      <c r="Y93" s="816">
        <v>0</v>
      </c>
      <c r="Z93" s="816">
        <v>0</v>
      </c>
      <c r="AA93" s="816">
        <v>0</v>
      </c>
      <c r="AB93" s="816">
        <v>0</v>
      </c>
      <c r="AC93" s="816">
        <v>0</v>
      </c>
      <c r="AD93" s="816">
        <v>0</v>
      </c>
      <c r="AE93" s="816">
        <v>0</v>
      </c>
      <c r="AF93" s="816">
        <v>0</v>
      </c>
      <c r="AG93" s="816">
        <v>0</v>
      </c>
      <c r="AH93" s="816">
        <v>0</v>
      </c>
      <c r="AI93" s="816">
        <v>0</v>
      </c>
      <c r="AJ93" s="816">
        <v>0</v>
      </c>
      <c r="AK93" s="816">
        <v>0</v>
      </c>
      <c r="AL93" s="816">
        <v>0</v>
      </c>
      <c r="AM93" s="816">
        <v>0</v>
      </c>
      <c r="AN93" s="816">
        <v>0</v>
      </c>
      <c r="AO93" s="816">
        <v>0</v>
      </c>
      <c r="AP93" s="816">
        <v>0</v>
      </c>
      <c r="AQ93" s="816">
        <v>0</v>
      </c>
      <c r="AR93" s="816">
        <v>0</v>
      </c>
      <c r="AS93" s="816">
        <v>0</v>
      </c>
      <c r="AT93" s="816">
        <v>0</v>
      </c>
      <c r="AU93" s="816">
        <v>0</v>
      </c>
      <c r="AV93" s="816">
        <v>0</v>
      </c>
      <c r="AW93" s="816">
        <v>0</v>
      </c>
      <c r="AX93" s="816">
        <v>0</v>
      </c>
      <c r="AY93" s="816">
        <v>0</v>
      </c>
      <c r="AZ93" s="816">
        <v>0</v>
      </c>
      <c r="BA93" s="816">
        <v>0</v>
      </c>
      <c r="BB93" s="816">
        <v>0</v>
      </c>
      <c r="BC93" s="816">
        <v>0</v>
      </c>
      <c r="BD93" s="816">
        <v>0</v>
      </c>
      <c r="BE93" s="816">
        <v>0</v>
      </c>
      <c r="BF93" s="816">
        <v>0</v>
      </c>
      <c r="BG93" s="816">
        <v>0</v>
      </c>
      <c r="BH93" s="816">
        <v>0</v>
      </c>
      <c r="BI93" s="816">
        <v>0</v>
      </c>
      <c r="BJ93" s="816">
        <v>0</v>
      </c>
      <c r="BK93" s="816">
        <v>0</v>
      </c>
      <c r="BL93" s="816">
        <v>0</v>
      </c>
      <c r="BM93" s="816">
        <v>0</v>
      </c>
      <c r="BN93" s="816">
        <v>0</v>
      </c>
      <c r="BO93" s="816">
        <v>0</v>
      </c>
      <c r="BP93" s="816">
        <v>0</v>
      </c>
      <c r="BQ93" s="816">
        <v>0</v>
      </c>
      <c r="BR93" s="816">
        <v>0</v>
      </c>
      <c r="BS93" s="816">
        <v>0</v>
      </c>
      <c r="BT93" s="816">
        <v>0</v>
      </c>
      <c r="BU93" s="816">
        <v>0</v>
      </c>
      <c r="BV93" s="816">
        <v>0</v>
      </c>
      <c r="BW93" s="816">
        <v>0</v>
      </c>
      <c r="BX93" s="816">
        <v>0</v>
      </c>
      <c r="BY93" s="816">
        <v>0</v>
      </c>
      <c r="BZ93" s="816">
        <v>0</v>
      </c>
      <c r="CA93" s="816">
        <v>0</v>
      </c>
      <c r="CB93" s="816">
        <v>0</v>
      </c>
      <c r="CC93" s="816">
        <v>0</v>
      </c>
      <c r="CD93" s="816">
        <v>0</v>
      </c>
      <c r="CE93" s="816">
        <v>0</v>
      </c>
      <c r="CF93" s="816">
        <v>0</v>
      </c>
      <c r="CG93" s="816">
        <v>0</v>
      </c>
      <c r="CH93" s="816">
        <v>0</v>
      </c>
      <c r="CI93" s="816">
        <v>0</v>
      </c>
      <c r="CJ93" s="816">
        <v>0</v>
      </c>
      <c r="CK93" s="816">
        <v>0</v>
      </c>
      <c r="CL93" s="816">
        <v>0</v>
      </c>
      <c r="CM93" s="816">
        <v>0</v>
      </c>
      <c r="CN93" s="816">
        <v>0</v>
      </c>
      <c r="CO93" s="816">
        <v>0</v>
      </c>
      <c r="CP93" s="816">
        <v>0</v>
      </c>
      <c r="CQ93" s="816">
        <v>0</v>
      </c>
      <c r="CR93" s="816">
        <v>0</v>
      </c>
      <c r="CS93" s="816">
        <v>0</v>
      </c>
      <c r="CT93" s="816">
        <v>0</v>
      </c>
      <c r="CU93" s="816">
        <v>0</v>
      </c>
      <c r="CV93" s="816">
        <v>0</v>
      </c>
      <c r="CW93" s="816">
        <v>0</v>
      </c>
      <c r="CX93" s="816">
        <v>0</v>
      </c>
      <c r="CY93" s="816">
        <v>0</v>
      </c>
      <c r="CZ93" s="816">
        <v>0</v>
      </c>
      <c r="DA93" s="816">
        <v>0</v>
      </c>
      <c r="DB93" s="816">
        <v>0</v>
      </c>
      <c r="DC93" s="816">
        <v>0</v>
      </c>
      <c r="DE93" s="816" t="s">
        <v>96</v>
      </c>
      <c r="DF93" s="816">
        <f t="shared" si="18"/>
        <v>0</v>
      </c>
      <c r="DG93" s="816" t="s">
        <v>97</v>
      </c>
      <c r="DH93" s="816">
        <f t="shared" si="19"/>
        <v>0</v>
      </c>
      <c r="DI93" s="816" t="s">
        <v>98</v>
      </c>
      <c r="DJ93" s="816">
        <f t="shared" si="20"/>
        <v>0</v>
      </c>
      <c r="DK93" s="816" t="s">
        <v>99</v>
      </c>
      <c r="DL93" s="816">
        <f t="shared" si="21"/>
        <v>0</v>
      </c>
      <c r="DM93" s="816" t="s">
        <v>100</v>
      </c>
      <c r="DN93" s="816">
        <f t="shared" si="22"/>
        <v>0</v>
      </c>
      <c r="DO93" s="816" t="s">
        <v>101</v>
      </c>
      <c r="DP93" s="816">
        <f t="shared" si="23"/>
        <v>0</v>
      </c>
    </row>
    <row r="94" spans="1:120">
      <c r="A94" s="815">
        <v>23</v>
      </c>
      <c r="B94" s="815" t="str">
        <f t="shared" si="16"/>
        <v>23REMARKS</v>
      </c>
      <c r="C94" s="815">
        <f>VLOOKUP(A94,DATEWISE!$A$3:$BY$27,2,0)</f>
        <v>0</v>
      </c>
      <c r="D94" s="815">
        <f>VLOOKUP(A94,DATEWISE!$A$3:$BY$27,3,0)</f>
        <v>0</v>
      </c>
      <c r="E94" s="815">
        <f>VLOOKUP(A94,DATEWISE!$A$3:$BY$27,4,0)</f>
        <v>0</v>
      </c>
      <c r="F94" s="815" t="str">
        <f t="shared" si="17"/>
        <v>0REMARKS</v>
      </c>
      <c r="G94" s="815" t="s">
        <v>390</v>
      </c>
      <c r="H94" s="816">
        <v>0</v>
      </c>
      <c r="I94" s="816">
        <v>0</v>
      </c>
      <c r="J94" s="816">
        <v>0</v>
      </c>
      <c r="K94" s="816">
        <v>0</v>
      </c>
      <c r="L94" s="816">
        <v>0</v>
      </c>
      <c r="M94" s="816">
        <v>0</v>
      </c>
      <c r="N94" s="816">
        <v>0</v>
      </c>
      <c r="O94" s="816">
        <v>0</v>
      </c>
      <c r="P94" s="816">
        <v>0</v>
      </c>
      <c r="Q94" s="816">
        <v>0</v>
      </c>
      <c r="R94" s="816">
        <v>0</v>
      </c>
      <c r="S94" s="816">
        <v>0</v>
      </c>
      <c r="T94" s="816">
        <v>0</v>
      </c>
      <c r="U94" s="816">
        <v>0</v>
      </c>
      <c r="V94" s="816">
        <v>0</v>
      </c>
      <c r="W94" s="816">
        <v>0</v>
      </c>
      <c r="X94" s="816">
        <v>0</v>
      </c>
      <c r="Y94" s="816">
        <v>0</v>
      </c>
      <c r="Z94" s="816">
        <v>0</v>
      </c>
      <c r="AA94" s="816">
        <v>0</v>
      </c>
      <c r="AB94" s="816">
        <v>0</v>
      </c>
      <c r="AC94" s="816">
        <v>0</v>
      </c>
      <c r="AD94" s="816">
        <v>0</v>
      </c>
      <c r="AE94" s="816">
        <v>0</v>
      </c>
      <c r="AF94" s="816">
        <v>0</v>
      </c>
      <c r="AG94" s="816">
        <v>0</v>
      </c>
      <c r="AH94" s="816">
        <v>0</v>
      </c>
      <c r="AI94" s="816">
        <v>0</v>
      </c>
      <c r="AJ94" s="816">
        <v>0</v>
      </c>
      <c r="AK94" s="816">
        <v>0</v>
      </c>
      <c r="AL94" s="816">
        <v>0</v>
      </c>
      <c r="AM94" s="816">
        <v>0</v>
      </c>
      <c r="AN94" s="816">
        <v>0</v>
      </c>
      <c r="AO94" s="816">
        <v>0</v>
      </c>
      <c r="AP94" s="816">
        <v>0</v>
      </c>
      <c r="AQ94" s="816">
        <v>0</v>
      </c>
      <c r="AR94" s="816">
        <v>0</v>
      </c>
      <c r="AS94" s="816">
        <v>0</v>
      </c>
      <c r="AT94" s="816">
        <v>0</v>
      </c>
      <c r="AU94" s="816">
        <v>0</v>
      </c>
      <c r="AV94" s="816">
        <v>0</v>
      </c>
      <c r="AW94" s="816">
        <v>0</v>
      </c>
      <c r="AX94" s="816">
        <v>0</v>
      </c>
      <c r="AY94" s="816">
        <v>0</v>
      </c>
      <c r="AZ94" s="816">
        <v>0</v>
      </c>
      <c r="BA94" s="816">
        <v>0</v>
      </c>
      <c r="BB94" s="816">
        <v>0</v>
      </c>
      <c r="BC94" s="816">
        <v>0</v>
      </c>
      <c r="BD94" s="816">
        <v>0</v>
      </c>
      <c r="BE94" s="816">
        <v>0</v>
      </c>
      <c r="BF94" s="816">
        <v>0</v>
      </c>
      <c r="BG94" s="816">
        <v>0</v>
      </c>
      <c r="BH94" s="816">
        <v>0</v>
      </c>
      <c r="BI94" s="816">
        <v>0</v>
      </c>
      <c r="BJ94" s="816">
        <v>0</v>
      </c>
      <c r="BK94" s="816">
        <v>0</v>
      </c>
      <c r="BL94" s="816">
        <v>0</v>
      </c>
      <c r="BM94" s="816">
        <v>0</v>
      </c>
      <c r="BN94" s="816">
        <v>0</v>
      </c>
      <c r="BO94" s="816">
        <v>0</v>
      </c>
      <c r="BP94" s="816">
        <v>0</v>
      </c>
      <c r="BQ94" s="816">
        <v>0</v>
      </c>
      <c r="BR94" s="816">
        <v>0</v>
      </c>
      <c r="BS94" s="816">
        <v>0</v>
      </c>
      <c r="BT94" s="816">
        <v>0</v>
      </c>
      <c r="BU94" s="816">
        <v>0</v>
      </c>
      <c r="BV94" s="816">
        <v>0</v>
      </c>
      <c r="BW94" s="816">
        <v>0</v>
      </c>
      <c r="BX94" s="816">
        <v>0</v>
      </c>
      <c r="BY94" s="816">
        <v>0</v>
      </c>
      <c r="BZ94" s="816">
        <v>0</v>
      </c>
      <c r="CA94" s="816">
        <v>0</v>
      </c>
      <c r="CB94" s="816">
        <v>0</v>
      </c>
      <c r="CC94" s="816">
        <v>0</v>
      </c>
      <c r="CD94" s="816">
        <v>0</v>
      </c>
      <c r="CE94" s="816">
        <v>0</v>
      </c>
      <c r="CF94" s="816">
        <v>0</v>
      </c>
      <c r="CG94" s="816">
        <v>0</v>
      </c>
      <c r="CH94" s="816">
        <v>0</v>
      </c>
      <c r="CI94" s="816">
        <v>0</v>
      </c>
      <c r="CJ94" s="816">
        <v>0</v>
      </c>
      <c r="CK94" s="816">
        <v>0</v>
      </c>
      <c r="CL94" s="816">
        <v>0</v>
      </c>
      <c r="CM94" s="816">
        <v>0</v>
      </c>
      <c r="CN94" s="816">
        <v>0</v>
      </c>
      <c r="CO94" s="816">
        <v>0</v>
      </c>
      <c r="CP94" s="816">
        <v>0</v>
      </c>
      <c r="CQ94" s="816">
        <v>0</v>
      </c>
      <c r="CR94" s="816">
        <v>0</v>
      </c>
      <c r="CS94" s="816">
        <v>0</v>
      </c>
      <c r="CT94" s="816">
        <v>0</v>
      </c>
      <c r="CU94" s="816">
        <v>0</v>
      </c>
      <c r="CV94" s="816">
        <v>0</v>
      </c>
      <c r="CW94" s="816">
        <v>0</v>
      </c>
      <c r="CX94" s="816">
        <v>0</v>
      </c>
      <c r="CY94" s="816">
        <v>0</v>
      </c>
      <c r="CZ94" s="816">
        <v>0</v>
      </c>
      <c r="DA94" s="816">
        <v>0</v>
      </c>
      <c r="DB94" s="816">
        <v>0</v>
      </c>
      <c r="DC94" s="816">
        <v>0</v>
      </c>
      <c r="DE94" s="816" t="s">
        <v>96</v>
      </c>
      <c r="DF94" s="816">
        <f t="shared" si="18"/>
        <v>0</v>
      </c>
      <c r="DG94" s="816" t="s">
        <v>97</v>
      </c>
      <c r="DH94" s="816">
        <f t="shared" si="19"/>
        <v>0</v>
      </c>
      <c r="DI94" s="816" t="s">
        <v>98</v>
      </c>
      <c r="DJ94" s="816">
        <f t="shared" si="20"/>
        <v>0</v>
      </c>
      <c r="DK94" s="816" t="s">
        <v>99</v>
      </c>
      <c r="DL94" s="816">
        <f t="shared" si="21"/>
        <v>0</v>
      </c>
      <c r="DM94" s="816" t="s">
        <v>100</v>
      </c>
      <c r="DN94" s="816">
        <f t="shared" si="22"/>
        <v>0</v>
      </c>
      <c r="DO94" s="816" t="s">
        <v>101</v>
      </c>
      <c r="DP94" s="816">
        <f t="shared" si="23"/>
        <v>0</v>
      </c>
    </row>
    <row r="95" spans="1:120">
      <c r="A95" s="815">
        <v>24</v>
      </c>
      <c r="B95" s="815" t="str">
        <f t="shared" si="16"/>
        <v>24HINDI</v>
      </c>
      <c r="C95" s="815">
        <f>VLOOKUP(A95,DATEWISE!$A$3:$BY$27,2,0)</f>
        <v>0</v>
      </c>
      <c r="D95" s="815">
        <f>VLOOKUP(A95,DATEWISE!$A$3:$BY$27,3,0)</f>
        <v>0</v>
      </c>
      <c r="E95" s="815">
        <f>VLOOKUP(A95,DATEWISE!$A$3:$BY$27,4,0)</f>
        <v>0</v>
      </c>
      <c r="F95" s="815" t="str">
        <f t="shared" si="17"/>
        <v>0HINDI</v>
      </c>
      <c r="G95" s="815" t="s">
        <v>87</v>
      </c>
      <c r="H95" s="816">
        <v>0</v>
      </c>
      <c r="I95" s="816">
        <v>0</v>
      </c>
      <c r="J95" s="816">
        <v>0</v>
      </c>
      <c r="K95" s="816">
        <v>0</v>
      </c>
      <c r="L95" s="816">
        <v>0</v>
      </c>
      <c r="M95" s="816">
        <v>0</v>
      </c>
      <c r="N95" s="816">
        <v>0</v>
      </c>
      <c r="O95" s="816">
        <v>0</v>
      </c>
      <c r="P95" s="816">
        <v>0</v>
      </c>
      <c r="Q95" s="816">
        <v>0</v>
      </c>
      <c r="R95" s="816">
        <v>0</v>
      </c>
      <c r="S95" s="816">
        <v>0</v>
      </c>
      <c r="T95" s="816">
        <v>0</v>
      </c>
      <c r="U95" s="816">
        <v>0</v>
      </c>
      <c r="V95" s="816">
        <v>0</v>
      </c>
      <c r="W95" s="816">
        <v>0</v>
      </c>
      <c r="X95" s="816">
        <v>0</v>
      </c>
      <c r="Y95" s="816">
        <v>0</v>
      </c>
      <c r="Z95" s="816">
        <v>0</v>
      </c>
      <c r="AA95" s="816">
        <v>0</v>
      </c>
      <c r="AB95" s="816">
        <v>0</v>
      </c>
      <c r="AC95" s="816">
        <v>0</v>
      </c>
      <c r="AD95" s="816">
        <v>0</v>
      </c>
      <c r="AE95" s="816">
        <v>0</v>
      </c>
      <c r="AF95" s="816">
        <v>0</v>
      </c>
      <c r="AG95" s="816">
        <v>0</v>
      </c>
      <c r="AH95" s="816">
        <v>0</v>
      </c>
      <c r="AI95" s="816">
        <v>0</v>
      </c>
      <c r="AJ95" s="816">
        <v>0</v>
      </c>
      <c r="AK95" s="816">
        <v>0</v>
      </c>
      <c r="AL95" s="816">
        <v>0</v>
      </c>
      <c r="AM95" s="816">
        <v>0</v>
      </c>
      <c r="AN95" s="816">
        <v>0</v>
      </c>
      <c r="AO95" s="816">
        <v>0</v>
      </c>
      <c r="AP95" s="816">
        <v>0</v>
      </c>
      <c r="AQ95" s="816">
        <v>0</v>
      </c>
      <c r="AR95" s="816">
        <v>0</v>
      </c>
      <c r="AS95" s="816">
        <v>0</v>
      </c>
      <c r="AT95" s="816">
        <v>0</v>
      </c>
      <c r="AU95" s="816">
        <v>0</v>
      </c>
      <c r="AV95" s="816">
        <v>0</v>
      </c>
      <c r="AW95" s="816">
        <v>0</v>
      </c>
      <c r="AX95" s="816">
        <v>0</v>
      </c>
      <c r="AY95" s="816">
        <v>0</v>
      </c>
      <c r="AZ95" s="816">
        <v>0</v>
      </c>
      <c r="BA95" s="816">
        <v>0</v>
      </c>
      <c r="BB95" s="816">
        <v>0</v>
      </c>
      <c r="BC95" s="816">
        <v>0</v>
      </c>
      <c r="BD95" s="816">
        <v>0</v>
      </c>
      <c r="BE95" s="816">
        <v>0</v>
      </c>
      <c r="BF95" s="816">
        <v>0</v>
      </c>
      <c r="BG95" s="816">
        <v>0</v>
      </c>
      <c r="BH95" s="816">
        <v>0</v>
      </c>
      <c r="BI95" s="816">
        <v>0</v>
      </c>
      <c r="BJ95" s="816">
        <v>0</v>
      </c>
      <c r="BK95" s="816">
        <v>0</v>
      </c>
      <c r="BL95" s="816">
        <v>0</v>
      </c>
      <c r="BM95" s="816">
        <v>0</v>
      </c>
      <c r="BN95" s="816">
        <v>0</v>
      </c>
      <c r="BO95" s="816">
        <v>0</v>
      </c>
      <c r="BP95" s="816">
        <v>0</v>
      </c>
      <c r="BQ95" s="816">
        <v>0</v>
      </c>
      <c r="BR95" s="816">
        <v>0</v>
      </c>
      <c r="BS95" s="816">
        <v>0</v>
      </c>
      <c r="BT95" s="816">
        <v>0</v>
      </c>
      <c r="BU95" s="816">
        <v>0</v>
      </c>
      <c r="BV95" s="816">
        <v>0</v>
      </c>
      <c r="BW95" s="816">
        <v>0</v>
      </c>
      <c r="BX95" s="816">
        <v>0</v>
      </c>
      <c r="BY95" s="816">
        <v>0</v>
      </c>
      <c r="BZ95" s="816">
        <v>0</v>
      </c>
      <c r="CA95" s="816">
        <v>0</v>
      </c>
      <c r="CB95" s="816">
        <v>0</v>
      </c>
      <c r="CC95" s="816">
        <v>0</v>
      </c>
      <c r="CD95" s="816">
        <v>0</v>
      </c>
      <c r="CE95" s="816">
        <v>0</v>
      </c>
      <c r="CF95" s="816">
        <v>0</v>
      </c>
      <c r="CG95" s="816">
        <v>0</v>
      </c>
      <c r="CH95" s="816">
        <v>0</v>
      </c>
      <c r="CI95" s="816">
        <v>0</v>
      </c>
      <c r="CJ95" s="816">
        <v>0</v>
      </c>
      <c r="CK95" s="816">
        <v>0</v>
      </c>
      <c r="CL95" s="816">
        <v>0</v>
      </c>
      <c r="CM95" s="816">
        <v>0</v>
      </c>
      <c r="CN95" s="816">
        <v>0</v>
      </c>
      <c r="CO95" s="816">
        <v>0</v>
      </c>
      <c r="CP95" s="816">
        <v>0</v>
      </c>
      <c r="CQ95" s="816">
        <v>0</v>
      </c>
      <c r="CR95" s="816">
        <v>0</v>
      </c>
      <c r="CS95" s="816">
        <v>0</v>
      </c>
      <c r="CT95" s="816">
        <v>0</v>
      </c>
      <c r="CU95" s="816">
        <v>0</v>
      </c>
      <c r="CV95" s="816">
        <v>0</v>
      </c>
      <c r="CW95" s="816">
        <v>0</v>
      </c>
      <c r="CX95" s="816">
        <v>0</v>
      </c>
      <c r="CY95" s="816">
        <v>0</v>
      </c>
      <c r="CZ95" s="816">
        <v>0</v>
      </c>
      <c r="DA95" s="816">
        <v>0</v>
      </c>
      <c r="DB95" s="816">
        <v>0</v>
      </c>
      <c r="DC95" s="816">
        <v>0</v>
      </c>
      <c r="DE95" s="816" t="s">
        <v>96</v>
      </c>
      <c r="DF95" s="816">
        <f t="shared" si="18"/>
        <v>0</v>
      </c>
      <c r="DG95" s="816" t="s">
        <v>97</v>
      </c>
      <c r="DH95" s="816">
        <f t="shared" si="19"/>
        <v>0</v>
      </c>
      <c r="DI95" s="816" t="s">
        <v>98</v>
      </c>
      <c r="DJ95" s="816">
        <f t="shared" si="20"/>
        <v>0</v>
      </c>
      <c r="DK95" s="816" t="s">
        <v>99</v>
      </c>
      <c r="DL95" s="816">
        <f t="shared" si="21"/>
        <v>0</v>
      </c>
      <c r="DM95" s="816" t="s">
        <v>100</v>
      </c>
      <c r="DN95" s="816">
        <f t="shared" si="22"/>
        <v>0</v>
      </c>
      <c r="DO95" s="816" t="s">
        <v>101</v>
      </c>
      <c r="DP95" s="816">
        <f t="shared" si="23"/>
        <v>0</v>
      </c>
    </row>
    <row r="96" spans="1:120">
      <c r="A96" s="815">
        <v>24</v>
      </c>
      <c r="B96" s="815" t="str">
        <f t="shared" si="16"/>
        <v>24ENGLISH</v>
      </c>
      <c r="C96" s="815">
        <f>VLOOKUP(A96,DATEWISE!$A$3:$BY$27,2,0)</f>
        <v>0</v>
      </c>
      <c r="D96" s="815">
        <f>VLOOKUP(A96,DATEWISE!$A$3:$BY$27,3,0)</f>
        <v>0</v>
      </c>
      <c r="E96" s="815">
        <f>VLOOKUP(A96,DATEWISE!$A$3:$BY$27,4,0)</f>
        <v>0</v>
      </c>
      <c r="F96" s="815" t="str">
        <f t="shared" si="17"/>
        <v>0ENGLISH</v>
      </c>
      <c r="G96" s="815" t="s">
        <v>89</v>
      </c>
      <c r="H96" s="816">
        <v>0</v>
      </c>
      <c r="I96" s="816">
        <v>0</v>
      </c>
      <c r="J96" s="816">
        <v>0</v>
      </c>
      <c r="K96" s="816">
        <v>0</v>
      </c>
      <c r="L96" s="816">
        <v>0</v>
      </c>
      <c r="M96" s="816">
        <v>0</v>
      </c>
      <c r="N96" s="816">
        <v>0</v>
      </c>
      <c r="O96" s="816">
        <v>0</v>
      </c>
      <c r="P96" s="816">
        <v>0</v>
      </c>
      <c r="Q96" s="816">
        <v>0</v>
      </c>
      <c r="R96" s="816">
        <v>0</v>
      </c>
      <c r="S96" s="816">
        <v>0</v>
      </c>
      <c r="T96" s="816">
        <v>0</v>
      </c>
      <c r="U96" s="816">
        <v>0</v>
      </c>
      <c r="V96" s="816">
        <v>0</v>
      </c>
      <c r="W96" s="816">
        <v>0</v>
      </c>
      <c r="X96" s="816">
        <v>0</v>
      </c>
      <c r="Y96" s="816">
        <v>0</v>
      </c>
      <c r="Z96" s="816">
        <v>0</v>
      </c>
      <c r="AA96" s="816">
        <v>0</v>
      </c>
      <c r="AB96" s="816">
        <v>0</v>
      </c>
      <c r="AC96" s="816">
        <v>0</v>
      </c>
      <c r="AD96" s="816">
        <v>0</v>
      </c>
      <c r="AE96" s="816">
        <v>0</v>
      </c>
      <c r="AF96" s="816">
        <v>0</v>
      </c>
      <c r="AG96" s="816">
        <v>0</v>
      </c>
      <c r="AH96" s="816">
        <v>0</v>
      </c>
      <c r="AI96" s="816">
        <v>0</v>
      </c>
      <c r="AJ96" s="816">
        <v>0</v>
      </c>
      <c r="AK96" s="816">
        <v>0</v>
      </c>
      <c r="AL96" s="816">
        <v>0</v>
      </c>
      <c r="AM96" s="816">
        <v>0</v>
      </c>
      <c r="AN96" s="816">
        <v>0</v>
      </c>
      <c r="AO96" s="816">
        <v>0</v>
      </c>
      <c r="AP96" s="816">
        <v>0</v>
      </c>
      <c r="AQ96" s="816">
        <v>0</v>
      </c>
      <c r="AR96" s="816">
        <v>0</v>
      </c>
      <c r="AS96" s="816">
        <v>0</v>
      </c>
      <c r="AT96" s="816">
        <v>0</v>
      </c>
      <c r="AU96" s="816">
        <v>0</v>
      </c>
      <c r="AV96" s="816">
        <v>0</v>
      </c>
      <c r="AW96" s="816">
        <v>0</v>
      </c>
      <c r="AX96" s="816">
        <v>0</v>
      </c>
      <c r="AY96" s="816">
        <v>0</v>
      </c>
      <c r="AZ96" s="816">
        <v>0</v>
      </c>
      <c r="BA96" s="816">
        <v>0</v>
      </c>
      <c r="BB96" s="816">
        <v>0</v>
      </c>
      <c r="BC96" s="816">
        <v>0</v>
      </c>
      <c r="BD96" s="816">
        <v>0</v>
      </c>
      <c r="BE96" s="816">
        <v>0</v>
      </c>
      <c r="BF96" s="816">
        <v>0</v>
      </c>
      <c r="BG96" s="816">
        <v>0</v>
      </c>
      <c r="BH96" s="816">
        <v>0</v>
      </c>
      <c r="BI96" s="816">
        <v>0</v>
      </c>
      <c r="BJ96" s="816">
        <v>0</v>
      </c>
      <c r="BK96" s="816">
        <v>0</v>
      </c>
      <c r="BL96" s="816">
        <v>0</v>
      </c>
      <c r="BM96" s="816">
        <v>0</v>
      </c>
      <c r="BN96" s="816">
        <v>0</v>
      </c>
      <c r="BO96" s="816">
        <v>0</v>
      </c>
      <c r="BP96" s="816">
        <v>0</v>
      </c>
      <c r="BQ96" s="816">
        <v>0</v>
      </c>
      <c r="BR96" s="816">
        <v>0</v>
      </c>
      <c r="BS96" s="816">
        <v>0</v>
      </c>
      <c r="BT96" s="816">
        <v>0</v>
      </c>
      <c r="BU96" s="816">
        <v>0</v>
      </c>
      <c r="BV96" s="816">
        <v>0</v>
      </c>
      <c r="BW96" s="816">
        <v>0</v>
      </c>
      <c r="BX96" s="816">
        <v>0</v>
      </c>
      <c r="BY96" s="816">
        <v>0</v>
      </c>
      <c r="BZ96" s="816">
        <v>0</v>
      </c>
      <c r="CA96" s="816">
        <v>0</v>
      </c>
      <c r="CB96" s="816">
        <v>0</v>
      </c>
      <c r="CC96" s="816">
        <v>0</v>
      </c>
      <c r="CD96" s="816">
        <v>0</v>
      </c>
      <c r="CE96" s="816">
        <v>0</v>
      </c>
      <c r="CF96" s="816">
        <v>0</v>
      </c>
      <c r="CG96" s="816">
        <v>0</v>
      </c>
      <c r="CH96" s="816">
        <v>0</v>
      </c>
      <c r="CI96" s="816">
        <v>0</v>
      </c>
      <c r="CJ96" s="816">
        <v>0</v>
      </c>
      <c r="CK96" s="816">
        <v>0</v>
      </c>
      <c r="CL96" s="816">
        <v>0</v>
      </c>
      <c r="CM96" s="816">
        <v>0</v>
      </c>
      <c r="CN96" s="816">
        <v>0</v>
      </c>
      <c r="CO96" s="816">
        <v>0</v>
      </c>
      <c r="CP96" s="816">
        <v>0</v>
      </c>
      <c r="CQ96" s="816">
        <v>0</v>
      </c>
      <c r="CR96" s="816">
        <v>0</v>
      </c>
      <c r="CS96" s="816">
        <v>0</v>
      </c>
      <c r="CT96" s="816">
        <v>0</v>
      </c>
      <c r="CU96" s="816">
        <v>0</v>
      </c>
      <c r="CV96" s="816">
        <v>0</v>
      </c>
      <c r="CW96" s="816">
        <v>0</v>
      </c>
      <c r="CX96" s="816">
        <v>0</v>
      </c>
      <c r="CY96" s="816">
        <v>0</v>
      </c>
      <c r="CZ96" s="816">
        <v>0</v>
      </c>
      <c r="DA96" s="816">
        <v>0</v>
      </c>
      <c r="DB96" s="816">
        <v>0</v>
      </c>
      <c r="DC96" s="816">
        <v>0</v>
      </c>
      <c r="DE96" s="816" t="s">
        <v>96</v>
      </c>
      <c r="DF96" s="816">
        <f t="shared" si="18"/>
        <v>0</v>
      </c>
      <c r="DG96" s="816" t="s">
        <v>97</v>
      </c>
      <c r="DH96" s="816">
        <f t="shared" si="19"/>
        <v>0</v>
      </c>
      <c r="DI96" s="816" t="s">
        <v>98</v>
      </c>
      <c r="DJ96" s="816">
        <f t="shared" si="20"/>
        <v>0</v>
      </c>
      <c r="DK96" s="816" t="s">
        <v>99</v>
      </c>
      <c r="DL96" s="816">
        <f t="shared" si="21"/>
        <v>0</v>
      </c>
      <c r="DM96" s="816" t="s">
        <v>100</v>
      </c>
      <c r="DN96" s="816">
        <f t="shared" si="22"/>
        <v>0</v>
      </c>
      <c r="DO96" s="816" t="s">
        <v>101</v>
      </c>
      <c r="DP96" s="816">
        <f t="shared" si="23"/>
        <v>0</v>
      </c>
    </row>
    <row r="97" spans="1:120">
      <c r="A97" s="815">
        <v>24</v>
      </c>
      <c r="B97" s="815" t="str">
        <f t="shared" si="16"/>
        <v>24MATHS</v>
      </c>
      <c r="C97" s="815">
        <f>VLOOKUP(A97,DATEWISE!$A$3:$BY$27,2,0)</f>
        <v>0</v>
      </c>
      <c r="D97" s="815">
        <f>VLOOKUP(A97,DATEWISE!$A$3:$BY$27,3,0)</f>
        <v>0</v>
      </c>
      <c r="E97" s="815">
        <f>VLOOKUP(A97,DATEWISE!$A$3:$BY$27,4,0)</f>
        <v>0</v>
      </c>
      <c r="F97" s="815" t="str">
        <f t="shared" si="17"/>
        <v>0MATHS</v>
      </c>
      <c r="G97" s="815" t="s">
        <v>88</v>
      </c>
      <c r="H97" s="816">
        <v>0</v>
      </c>
      <c r="I97" s="816">
        <v>0</v>
      </c>
      <c r="J97" s="816">
        <v>0</v>
      </c>
      <c r="K97" s="816">
        <v>0</v>
      </c>
      <c r="L97" s="816">
        <v>0</v>
      </c>
      <c r="M97" s="816">
        <v>0</v>
      </c>
      <c r="N97" s="816">
        <v>0</v>
      </c>
      <c r="O97" s="816">
        <v>0</v>
      </c>
      <c r="P97" s="816">
        <v>0</v>
      </c>
      <c r="Q97" s="816">
        <v>0</v>
      </c>
      <c r="R97" s="816">
        <v>0</v>
      </c>
      <c r="S97" s="816">
        <v>0</v>
      </c>
      <c r="T97" s="816">
        <v>0</v>
      </c>
      <c r="U97" s="816">
        <v>0</v>
      </c>
      <c r="V97" s="816">
        <v>0</v>
      </c>
      <c r="W97" s="816">
        <v>0</v>
      </c>
      <c r="X97" s="816">
        <v>0</v>
      </c>
      <c r="Y97" s="816">
        <v>0</v>
      </c>
      <c r="Z97" s="816">
        <v>0</v>
      </c>
      <c r="AA97" s="816">
        <v>0</v>
      </c>
      <c r="AB97" s="816">
        <v>0</v>
      </c>
      <c r="AC97" s="816">
        <v>0</v>
      </c>
      <c r="AD97" s="816">
        <v>0</v>
      </c>
      <c r="AE97" s="816">
        <v>0</v>
      </c>
      <c r="AF97" s="816">
        <v>0</v>
      </c>
      <c r="AG97" s="816">
        <v>0</v>
      </c>
      <c r="AH97" s="816">
        <v>0</v>
      </c>
      <c r="AI97" s="816">
        <v>0</v>
      </c>
      <c r="AJ97" s="816">
        <v>0</v>
      </c>
      <c r="AK97" s="816">
        <v>0</v>
      </c>
      <c r="AL97" s="816">
        <v>0</v>
      </c>
      <c r="AM97" s="816">
        <v>0</v>
      </c>
      <c r="AN97" s="816">
        <v>0</v>
      </c>
      <c r="AO97" s="816">
        <v>0</v>
      </c>
      <c r="AP97" s="816">
        <v>0</v>
      </c>
      <c r="AQ97" s="816">
        <v>0</v>
      </c>
      <c r="AR97" s="816">
        <v>0</v>
      </c>
      <c r="AS97" s="816">
        <v>0</v>
      </c>
      <c r="AT97" s="816">
        <v>0</v>
      </c>
      <c r="AU97" s="816">
        <v>0</v>
      </c>
      <c r="AV97" s="816">
        <v>0</v>
      </c>
      <c r="AW97" s="816">
        <v>0</v>
      </c>
      <c r="AX97" s="816">
        <v>0</v>
      </c>
      <c r="AY97" s="816">
        <v>0</v>
      </c>
      <c r="AZ97" s="816">
        <v>0</v>
      </c>
      <c r="BA97" s="816">
        <v>0</v>
      </c>
      <c r="BB97" s="816">
        <v>0</v>
      </c>
      <c r="BC97" s="816">
        <v>0</v>
      </c>
      <c r="BD97" s="816">
        <v>0</v>
      </c>
      <c r="BE97" s="816">
        <v>0</v>
      </c>
      <c r="BF97" s="816">
        <v>0</v>
      </c>
      <c r="BG97" s="816">
        <v>0</v>
      </c>
      <c r="BH97" s="816">
        <v>0</v>
      </c>
      <c r="BI97" s="816">
        <v>0</v>
      </c>
      <c r="BJ97" s="816">
        <v>0</v>
      </c>
      <c r="BK97" s="816">
        <v>0</v>
      </c>
      <c r="BL97" s="816">
        <v>0</v>
      </c>
      <c r="BM97" s="816">
        <v>0</v>
      </c>
      <c r="BN97" s="816">
        <v>0</v>
      </c>
      <c r="BO97" s="816">
        <v>0</v>
      </c>
      <c r="BP97" s="816">
        <v>0</v>
      </c>
      <c r="BQ97" s="816">
        <v>0</v>
      </c>
      <c r="BR97" s="816">
        <v>0</v>
      </c>
      <c r="BS97" s="816">
        <v>0</v>
      </c>
      <c r="BT97" s="816">
        <v>0</v>
      </c>
      <c r="BU97" s="816">
        <v>0</v>
      </c>
      <c r="BV97" s="816">
        <v>0</v>
      </c>
      <c r="BW97" s="816">
        <v>0</v>
      </c>
      <c r="BX97" s="816">
        <v>0</v>
      </c>
      <c r="BY97" s="816">
        <v>0</v>
      </c>
      <c r="BZ97" s="816">
        <v>0</v>
      </c>
      <c r="CA97" s="816">
        <v>0</v>
      </c>
      <c r="CB97" s="816">
        <v>0</v>
      </c>
      <c r="CC97" s="816">
        <v>0</v>
      </c>
      <c r="CD97" s="816">
        <v>0</v>
      </c>
      <c r="CE97" s="816">
        <v>0</v>
      </c>
      <c r="CF97" s="816">
        <v>0</v>
      </c>
      <c r="CG97" s="816">
        <v>0</v>
      </c>
      <c r="CH97" s="816">
        <v>0</v>
      </c>
      <c r="CI97" s="816">
        <v>0</v>
      </c>
      <c r="CJ97" s="816">
        <v>0</v>
      </c>
      <c r="CK97" s="816">
        <v>0</v>
      </c>
      <c r="CL97" s="816">
        <v>0</v>
      </c>
      <c r="CM97" s="816">
        <v>0</v>
      </c>
      <c r="CN97" s="816">
        <v>0</v>
      </c>
      <c r="CO97" s="816">
        <v>0</v>
      </c>
      <c r="CP97" s="816">
        <v>0</v>
      </c>
      <c r="CQ97" s="816">
        <v>0</v>
      </c>
      <c r="CR97" s="816">
        <v>0</v>
      </c>
      <c r="CS97" s="816">
        <v>0</v>
      </c>
      <c r="CT97" s="816">
        <v>0</v>
      </c>
      <c r="CU97" s="816">
        <v>0</v>
      </c>
      <c r="CV97" s="816">
        <v>0</v>
      </c>
      <c r="CW97" s="816">
        <v>0</v>
      </c>
      <c r="CX97" s="816">
        <v>0</v>
      </c>
      <c r="CY97" s="816">
        <v>0</v>
      </c>
      <c r="CZ97" s="816">
        <v>0</v>
      </c>
      <c r="DA97" s="816">
        <v>0</v>
      </c>
      <c r="DB97" s="816">
        <v>0</v>
      </c>
      <c r="DC97" s="816">
        <v>0</v>
      </c>
      <c r="DE97" s="816" t="s">
        <v>96</v>
      </c>
      <c r="DF97" s="816">
        <f t="shared" si="18"/>
        <v>0</v>
      </c>
      <c r="DG97" s="816" t="s">
        <v>97</v>
      </c>
      <c r="DH97" s="816">
        <f t="shared" si="19"/>
        <v>0</v>
      </c>
      <c r="DI97" s="816" t="s">
        <v>98</v>
      </c>
      <c r="DJ97" s="816">
        <f t="shared" si="20"/>
        <v>0</v>
      </c>
      <c r="DK97" s="816" t="s">
        <v>99</v>
      </c>
      <c r="DL97" s="816">
        <f t="shared" si="21"/>
        <v>0</v>
      </c>
      <c r="DM97" s="816" t="s">
        <v>100</v>
      </c>
      <c r="DN97" s="816">
        <f t="shared" si="22"/>
        <v>0</v>
      </c>
      <c r="DO97" s="816" t="s">
        <v>101</v>
      </c>
      <c r="DP97" s="816">
        <f t="shared" si="23"/>
        <v>0</v>
      </c>
    </row>
    <row r="98" spans="1:120">
      <c r="A98" s="815">
        <v>24</v>
      </c>
      <c r="B98" s="815" t="str">
        <f t="shared" si="16"/>
        <v>24REMARKS</v>
      </c>
      <c r="C98" s="815">
        <f>VLOOKUP(A98,DATEWISE!$A$3:$BY$27,2,0)</f>
        <v>0</v>
      </c>
      <c r="D98" s="815">
        <f>VLOOKUP(A98,DATEWISE!$A$3:$BY$27,3,0)</f>
        <v>0</v>
      </c>
      <c r="E98" s="815">
        <f>VLOOKUP(A98,DATEWISE!$A$3:$BY$27,4,0)</f>
        <v>0</v>
      </c>
      <c r="F98" s="815" t="str">
        <f t="shared" si="17"/>
        <v>0REMARKS</v>
      </c>
      <c r="G98" s="815" t="s">
        <v>390</v>
      </c>
      <c r="H98" s="816">
        <v>0</v>
      </c>
      <c r="I98" s="816">
        <v>0</v>
      </c>
      <c r="J98" s="816">
        <v>0</v>
      </c>
      <c r="K98" s="816">
        <v>0</v>
      </c>
      <c r="L98" s="816">
        <v>0</v>
      </c>
      <c r="M98" s="816">
        <v>0</v>
      </c>
      <c r="N98" s="816">
        <v>0</v>
      </c>
      <c r="O98" s="816">
        <v>0</v>
      </c>
      <c r="P98" s="816">
        <v>0</v>
      </c>
      <c r="Q98" s="816">
        <v>0</v>
      </c>
      <c r="R98" s="816">
        <v>0</v>
      </c>
      <c r="S98" s="816">
        <v>0</v>
      </c>
      <c r="T98" s="816">
        <v>0</v>
      </c>
      <c r="U98" s="816">
        <v>0</v>
      </c>
      <c r="V98" s="816">
        <v>0</v>
      </c>
      <c r="W98" s="816">
        <v>0</v>
      </c>
      <c r="X98" s="816">
        <v>0</v>
      </c>
      <c r="Y98" s="816">
        <v>0</v>
      </c>
      <c r="Z98" s="816">
        <v>0</v>
      </c>
      <c r="AA98" s="816">
        <v>0</v>
      </c>
      <c r="AB98" s="816">
        <v>0</v>
      </c>
      <c r="AC98" s="816">
        <v>0</v>
      </c>
      <c r="AD98" s="816">
        <v>0</v>
      </c>
      <c r="AE98" s="816">
        <v>0</v>
      </c>
      <c r="AF98" s="816">
        <v>0</v>
      </c>
      <c r="AG98" s="816">
        <v>0</v>
      </c>
      <c r="AH98" s="816">
        <v>0</v>
      </c>
      <c r="AI98" s="816">
        <v>0</v>
      </c>
      <c r="AJ98" s="816">
        <v>0</v>
      </c>
      <c r="AK98" s="816">
        <v>0</v>
      </c>
      <c r="AL98" s="816">
        <v>0</v>
      </c>
      <c r="AM98" s="816">
        <v>0</v>
      </c>
      <c r="AN98" s="816">
        <v>0</v>
      </c>
      <c r="AO98" s="816">
        <v>0</v>
      </c>
      <c r="AP98" s="816">
        <v>0</v>
      </c>
      <c r="AQ98" s="816">
        <v>0</v>
      </c>
      <c r="AR98" s="816">
        <v>0</v>
      </c>
      <c r="AS98" s="816">
        <v>0</v>
      </c>
      <c r="AT98" s="816">
        <v>0</v>
      </c>
      <c r="AU98" s="816">
        <v>0</v>
      </c>
      <c r="AV98" s="816">
        <v>0</v>
      </c>
      <c r="AW98" s="816">
        <v>0</v>
      </c>
      <c r="AX98" s="816">
        <v>0</v>
      </c>
      <c r="AY98" s="816">
        <v>0</v>
      </c>
      <c r="AZ98" s="816">
        <v>0</v>
      </c>
      <c r="BA98" s="816">
        <v>0</v>
      </c>
      <c r="BB98" s="816">
        <v>0</v>
      </c>
      <c r="BC98" s="816">
        <v>0</v>
      </c>
      <c r="BD98" s="816">
        <v>0</v>
      </c>
      <c r="BE98" s="816">
        <v>0</v>
      </c>
      <c r="BF98" s="816">
        <v>0</v>
      </c>
      <c r="BG98" s="816">
        <v>0</v>
      </c>
      <c r="BH98" s="816">
        <v>0</v>
      </c>
      <c r="BI98" s="816">
        <v>0</v>
      </c>
      <c r="BJ98" s="816">
        <v>0</v>
      </c>
      <c r="BK98" s="816">
        <v>0</v>
      </c>
      <c r="BL98" s="816">
        <v>0</v>
      </c>
      <c r="BM98" s="816">
        <v>0</v>
      </c>
      <c r="BN98" s="816">
        <v>0</v>
      </c>
      <c r="BO98" s="816">
        <v>0</v>
      </c>
      <c r="BP98" s="816">
        <v>0</v>
      </c>
      <c r="BQ98" s="816">
        <v>0</v>
      </c>
      <c r="BR98" s="816">
        <v>0</v>
      </c>
      <c r="BS98" s="816">
        <v>0</v>
      </c>
      <c r="BT98" s="816">
        <v>0</v>
      </c>
      <c r="BU98" s="816">
        <v>0</v>
      </c>
      <c r="BV98" s="816">
        <v>0</v>
      </c>
      <c r="BW98" s="816">
        <v>0</v>
      </c>
      <c r="BX98" s="816">
        <v>0</v>
      </c>
      <c r="BY98" s="816">
        <v>0</v>
      </c>
      <c r="BZ98" s="816">
        <v>0</v>
      </c>
      <c r="CA98" s="816">
        <v>0</v>
      </c>
      <c r="CB98" s="816">
        <v>0</v>
      </c>
      <c r="CC98" s="816">
        <v>0</v>
      </c>
      <c r="CD98" s="816">
        <v>0</v>
      </c>
      <c r="CE98" s="816">
        <v>0</v>
      </c>
      <c r="CF98" s="816">
        <v>0</v>
      </c>
      <c r="CG98" s="816">
        <v>0</v>
      </c>
      <c r="CH98" s="816">
        <v>0</v>
      </c>
      <c r="CI98" s="816">
        <v>0</v>
      </c>
      <c r="CJ98" s="816">
        <v>0</v>
      </c>
      <c r="CK98" s="816">
        <v>0</v>
      </c>
      <c r="CL98" s="816">
        <v>0</v>
      </c>
      <c r="CM98" s="816">
        <v>0</v>
      </c>
      <c r="CN98" s="816">
        <v>0</v>
      </c>
      <c r="CO98" s="816">
        <v>0</v>
      </c>
      <c r="CP98" s="816">
        <v>0</v>
      </c>
      <c r="CQ98" s="816">
        <v>0</v>
      </c>
      <c r="CR98" s="816">
        <v>0</v>
      </c>
      <c r="CS98" s="816">
        <v>0</v>
      </c>
      <c r="CT98" s="816">
        <v>0</v>
      </c>
      <c r="CU98" s="816">
        <v>0</v>
      </c>
      <c r="CV98" s="816">
        <v>0</v>
      </c>
      <c r="CW98" s="816">
        <v>0</v>
      </c>
      <c r="CX98" s="816">
        <v>0</v>
      </c>
      <c r="CY98" s="816">
        <v>0</v>
      </c>
      <c r="CZ98" s="816">
        <v>0</v>
      </c>
      <c r="DA98" s="816">
        <v>0</v>
      </c>
      <c r="DB98" s="816">
        <v>0</v>
      </c>
      <c r="DC98" s="816">
        <v>0</v>
      </c>
      <c r="DE98" s="816" t="s">
        <v>96</v>
      </c>
      <c r="DF98" s="816">
        <f t="shared" si="18"/>
        <v>0</v>
      </c>
      <c r="DG98" s="816" t="s">
        <v>97</v>
      </c>
      <c r="DH98" s="816">
        <f t="shared" si="19"/>
        <v>0</v>
      </c>
      <c r="DI98" s="816" t="s">
        <v>98</v>
      </c>
      <c r="DJ98" s="816">
        <f t="shared" si="20"/>
        <v>0</v>
      </c>
      <c r="DK98" s="816" t="s">
        <v>99</v>
      </c>
      <c r="DL98" s="816">
        <f t="shared" si="21"/>
        <v>0</v>
      </c>
      <c r="DM98" s="816" t="s">
        <v>100</v>
      </c>
      <c r="DN98" s="816">
        <f t="shared" si="22"/>
        <v>0</v>
      </c>
      <c r="DO98" s="816" t="s">
        <v>101</v>
      </c>
      <c r="DP98" s="816">
        <f t="shared" si="23"/>
        <v>0</v>
      </c>
    </row>
    <row r="99" spans="1:120">
      <c r="A99" s="815">
        <v>25</v>
      </c>
      <c r="B99" s="815" t="str">
        <f t="shared" ref="B99:B102" si="24">A99&amp;G99</f>
        <v>25HINDI</v>
      </c>
      <c r="C99" s="815">
        <f>VLOOKUP(A99,DATEWISE!$A$3:$BY$27,2,0)</f>
        <v>0</v>
      </c>
      <c r="D99" s="815">
        <f>VLOOKUP(A99,DATEWISE!$A$3:$BY$27,3,0)</f>
        <v>0</v>
      </c>
      <c r="E99" s="815">
        <f>VLOOKUP(A99,DATEWISE!$A$3:$BY$27,4,0)</f>
        <v>0</v>
      </c>
      <c r="F99" s="815" t="str">
        <f t="shared" si="17"/>
        <v>0HINDI</v>
      </c>
      <c r="G99" s="815" t="s">
        <v>87</v>
      </c>
      <c r="H99" s="816">
        <v>0</v>
      </c>
      <c r="I99" s="816">
        <v>0</v>
      </c>
      <c r="J99" s="816">
        <v>0</v>
      </c>
      <c r="K99" s="816">
        <v>0</v>
      </c>
      <c r="L99" s="816">
        <v>0</v>
      </c>
      <c r="M99" s="816">
        <v>0</v>
      </c>
      <c r="N99" s="816">
        <v>0</v>
      </c>
      <c r="O99" s="816">
        <v>0</v>
      </c>
      <c r="P99" s="816">
        <v>0</v>
      </c>
      <c r="Q99" s="816">
        <v>0</v>
      </c>
      <c r="R99" s="816">
        <v>0</v>
      </c>
      <c r="S99" s="816">
        <v>0</v>
      </c>
      <c r="T99" s="816">
        <v>0</v>
      </c>
      <c r="U99" s="816">
        <v>0</v>
      </c>
      <c r="V99" s="816">
        <v>0</v>
      </c>
      <c r="W99" s="816">
        <v>0</v>
      </c>
      <c r="X99" s="816">
        <v>0</v>
      </c>
      <c r="Y99" s="816">
        <v>0</v>
      </c>
      <c r="Z99" s="816">
        <v>0</v>
      </c>
      <c r="AA99" s="816">
        <v>0</v>
      </c>
      <c r="AB99" s="816">
        <v>0</v>
      </c>
      <c r="AC99" s="816">
        <v>0</v>
      </c>
      <c r="AD99" s="816">
        <v>0</v>
      </c>
      <c r="AE99" s="816">
        <v>0</v>
      </c>
      <c r="AF99" s="816">
        <v>0</v>
      </c>
      <c r="AG99" s="816">
        <v>0</v>
      </c>
      <c r="AH99" s="816">
        <v>0</v>
      </c>
      <c r="AI99" s="816">
        <v>0</v>
      </c>
      <c r="AJ99" s="816">
        <v>0</v>
      </c>
      <c r="AK99" s="816">
        <v>0</v>
      </c>
      <c r="AL99" s="816">
        <v>0</v>
      </c>
      <c r="AM99" s="816">
        <v>0</v>
      </c>
      <c r="AN99" s="816">
        <v>0</v>
      </c>
      <c r="AO99" s="816">
        <v>0</v>
      </c>
      <c r="AP99" s="816">
        <v>0</v>
      </c>
      <c r="AQ99" s="816">
        <v>0</v>
      </c>
      <c r="AR99" s="816">
        <v>0</v>
      </c>
      <c r="AS99" s="816">
        <v>0</v>
      </c>
      <c r="AT99" s="816">
        <v>0</v>
      </c>
      <c r="AU99" s="816">
        <v>0</v>
      </c>
      <c r="AV99" s="816">
        <v>0</v>
      </c>
      <c r="AW99" s="816">
        <v>0</v>
      </c>
      <c r="AX99" s="816">
        <v>0</v>
      </c>
      <c r="AY99" s="816">
        <v>0</v>
      </c>
      <c r="AZ99" s="816">
        <v>0</v>
      </c>
      <c r="BA99" s="816">
        <v>0</v>
      </c>
      <c r="BB99" s="816">
        <v>0</v>
      </c>
      <c r="BC99" s="816">
        <v>0</v>
      </c>
      <c r="BD99" s="816">
        <v>0</v>
      </c>
      <c r="BE99" s="816">
        <v>0</v>
      </c>
      <c r="BF99" s="816">
        <v>0</v>
      </c>
      <c r="BG99" s="816">
        <v>0</v>
      </c>
      <c r="BH99" s="816">
        <v>0</v>
      </c>
      <c r="BI99" s="816">
        <v>0</v>
      </c>
      <c r="BJ99" s="816">
        <v>0</v>
      </c>
      <c r="BK99" s="816">
        <v>0</v>
      </c>
      <c r="BL99" s="816">
        <v>0</v>
      </c>
      <c r="BM99" s="816">
        <v>0</v>
      </c>
      <c r="BN99" s="816">
        <v>0</v>
      </c>
      <c r="BO99" s="816">
        <v>0</v>
      </c>
      <c r="BP99" s="816">
        <v>0</v>
      </c>
      <c r="BQ99" s="816">
        <v>0</v>
      </c>
      <c r="BR99" s="816">
        <v>0</v>
      </c>
      <c r="BS99" s="816">
        <v>0</v>
      </c>
      <c r="BT99" s="816">
        <v>0</v>
      </c>
      <c r="BU99" s="816">
        <v>0</v>
      </c>
      <c r="BV99" s="816">
        <v>0</v>
      </c>
      <c r="BW99" s="816">
        <v>0</v>
      </c>
      <c r="BX99" s="816">
        <v>0</v>
      </c>
      <c r="BY99" s="816">
        <v>0</v>
      </c>
      <c r="BZ99" s="816">
        <v>0</v>
      </c>
      <c r="CA99" s="816">
        <v>0</v>
      </c>
      <c r="CB99" s="816">
        <v>0</v>
      </c>
      <c r="CC99" s="816">
        <v>0</v>
      </c>
      <c r="CD99" s="816">
        <v>0</v>
      </c>
      <c r="CE99" s="816">
        <v>0</v>
      </c>
      <c r="CF99" s="816">
        <v>0</v>
      </c>
      <c r="CG99" s="816">
        <v>0</v>
      </c>
      <c r="CH99" s="816">
        <v>0</v>
      </c>
      <c r="CI99" s="816">
        <v>0</v>
      </c>
      <c r="CJ99" s="816">
        <v>0</v>
      </c>
      <c r="CK99" s="816">
        <v>0</v>
      </c>
      <c r="CL99" s="816">
        <v>0</v>
      </c>
      <c r="CM99" s="816">
        <v>0</v>
      </c>
      <c r="CN99" s="816">
        <v>0</v>
      </c>
      <c r="CO99" s="816">
        <v>0</v>
      </c>
      <c r="CP99" s="816">
        <v>0</v>
      </c>
      <c r="CQ99" s="816">
        <v>0</v>
      </c>
      <c r="CR99" s="816">
        <v>0</v>
      </c>
      <c r="CS99" s="816">
        <v>0</v>
      </c>
      <c r="CT99" s="816">
        <v>0</v>
      </c>
      <c r="CU99" s="816">
        <v>0</v>
      </c>
      <c r="CV99" s="816">
        <v>0</v>
      </c>
      <c r="CW99" s="816">
        <v>0</v>
      </c>
      <c r="CX99" s="816">
        <v>0</v>
      </c>
      <c r="CY99" s="816">
        <v>0</v>
      </c>
      <c r="CZ99" s="816">
        <v>0</v>
      </c>
      <c r="DA99" s="816">
        <v>0</v>
      </c>
      <c r="DB99" s="816">
        <v>0</v>
      </c>
      <c r="DC99" s="816">
        <v>0</v>
      </c>
      <c r="DE99" s="816" t="s">
        <v>96</v>
      </c>
      <c r="DF99" s="816">
        <f t="shared" si="18"/>
        <v>0</v>
      </c>
      <c r="DG99" s="816" t="s">
        <v>97</v>
      </c>
      <c r="DH99" s="816">
        <f t="shared" si="19"/>
        <v>0</v>
      </c>
      <c r="DI99" s="816" t="s">
        <v>98</v>
      </c>
      <c r="DJ99" s="816">
        <f t="shared" si="20"/>
        <v>0</v>
      </c>
      <c r="DK99" s="816" t="s">
        <v>99</v>
      </c>
      <c r="DL99" s="816">
        <f t="shared" si="21"/>
        <v>0</v>
      </c>
      <c r="DM99" s="816" t="s">
        <v>100</v>
      </c>
      <c r="DN99" s="816">
        <f t="shared" si="22"/>
        <v>0</v>
      </c>
      <c r="DO99" s="816" t="s">
        <v>101</v>
      </c>
      <c r="DP99" s="816">
        <f t="shared" si="23"/>
        <v>0</v>
      </c>
    </row>
    <row r="100" spans="1:120">
      <c r="A100" s="815">
        <v>25</v>
      </c>
      <c r="B100" s="815" t="str">
        <f t="shared" si="24"/>
        <v>25ENGLISH</v>
      </c>
      <c r="C100" s="815">
        <f>VLOOKUP(A100,DATEWISE!$A$3:$BY$27,2,0)</f>
        <v>0</v>
      </c>
      <c r="D100" s="815">
        <f>VLOOKUP(A100,DATEWISE!$A$3:$BY$27,3,0)</f>
        <v>0</v>
      </c>
      <c r="E100" s="815">
        <f>VLOOKUP(A100,DATEWISE!$A$3:$BY$27,4,0)</f>
        <v>0</v>
      </c>
      <c r="F100" s="815" t="str">
        <f t="shared" si="17"/>
        <v>0ENGLISH</v>
      </c>
      <c r="G100" s="815" t="s">
        <v>89</v>
      </c>
      <c r="H100" s="816">
        <v>0</v>
      </c>
      <c r="I100" s="816">
        <v>0</v>
      </c>
      <c r="J100" s="816">
        <v>0</v>
      </c>
      <c r="K100" s="816">
        <v>0</v>
      </c>
      <c r="L100" s="816">
        <v>0</v>
      </c>
      <c r="M100" s="816">
        <v>0</v>
      </c>
      <c r="N100" s="816">
        <v>0</v>
      </c>
      <c r="O100" s="816">
        <v>0</v>
      </c>
      <c r="P100" s="816">
        <v>0</v>
      </c>
      <c r="Q100" s="816">
        <v>0</v>
      </c>
      <c r="R100" s="816">
        <v>0</v>
      </c>
      <c r="S100" s="816">
        <v>0</v>
      </c>
      <c r="T100" s="816">
        <v>0</v>
      </c>
      <c r="U100" s="816">
        <v>0</v>
      </c>
      <c r="V100" s="816">
        <v>0</v>
      </c>
      <c r="W100" s="816">
        <v>0</v>
      </c>
      <c r="X100" s="816">
        <v>0</v>
      </c>
      <c r="Y100" s="816">
        <v>0</v>
      </c>
      <c r="Z100" s="816">
        <v>0</v>
      </c>
      <c r="AA100" s="816">
        <v>0</v>
      </c>
      <c r="AB100" s="816">
        <v>0</v>
      </c>
      <c r="AC100" s="816">
        <v>0</v>
      </c>
      <c r="AD100" s="816">
        <v>0</v>
      </c>
      <c r="AE100" s="816">
        <v>0</v>
      </c>
      <c r="AF100" s="816">
        <v>0</v>
      </c>
      <c r="AG100" s="816">
        <v>0</v>
      </c>
      <c r="AH100" s="816">
        <v>0</v>
      </c>
      <c r="AI100" s="816">
        <v>0</v>
      </c>
      <c r="AJ100" s="816">
        <v>0</v>
      </c>
      <c r="AK100" s="816">
        <v>0</v>
      </c>
      <c r="AL100" s="816">
        <v>0</v>
      </c>
      <c r="AM100" s="816">
        <v>0</v>
      </c>
      <c r="AN100" s="816">
        <v>0</v>
      </c>
      <c r="AO100" s="816">
        <v>0</v>
      </c>
      <c r="AP100" s="816">
        <v>0</v>
      </c>
      <c r="AQ100" s="816">
        <v>0</v>
      </c>
      <c r="AR100" s="816">
        <v>0</v>
      </c>
      <c r="AS100" s="816">
        <v>0</v>
      </c>
      <c r="AT100" s="816">
        <v>0</v>
      </c>
      <c r="AU100" s="816">
        <v>0</v>
      </c>
      <c r="AV100" s="816">
        <v>0</v>
      </c>
      <c r="AW100" s="816">
        <v>0</v>
      </c>
      <c r="AX100" s="816">
        <v>0</v>
      </c>
      <c r="AY100" s="816">
        <v>0</v>
      </c>
      <c r="AZ100" s="816">
        <v>0</v>
      </c>
      <c r="BA100" s="816">
        <v>0</v>
      </c>
      <c r="BB100" s="816">
        <v>0</v>
      </c>
      <c r="BC100" s="816">
        <v>0</v>
      </c>
      <c r="BD100" s="816">
        <v>0</v>
      </c>
      <c r="BE100" s="816">
        <v>0</v>
      </c>
      <c r="BF100" s="816">
        <v>0</v>
      </c>
      <c r="BG100" s="816">
        <v>0</v>
      </c>
      <c r="BH100" s="816">
        <v>0</v>
      </c>
      <c r="BI100" s="816">
        <v>0</v>
      </c>
      <c r="BJ100" s="816">
        <v>0</v>
      </c>
      <c r="BK100" s="816">
        <v>0</v>
      </c>
      <c r="BL100" s="816">
        <v>0</v>
      </c>
      <c r="BM100" s="816">
        <v>0</v>
      </c>
      <c r="BN100" s="816">
        <v>0</v>
      </c>
      <c r="BO100" s="816">
        <v>0</v>
      </c>
      <c r="BP100" s="816">
        <v>0</v>
      </c>
      <c r="BQ100" s="816">
        <v>0</v>
      </c>
      <c r="BR100" s="816">
        <v>0</v>
      </c>
      <c r="BS100" s="816">
        <v>0</v>
      </c>
      <c r="BT100" s="816">
        <v>0</v>
      </c>
      <c r="BU100" s="816">
        <v>0</v>
      </c>
      <c r="BV100" s="816">
        <v>0</v>
      </c>
      <c r="BW100" s="816">
        <v>0</v>
      </c>
      <c r="BX100" s="816">
        <v>0</v>
      </c>
      <c r="BY100" s="816">
        <v>0</v>
      </c>
      <c r="BZ100" s="816">
        <v>0</v>
      </c>
      <c r="CA100" s="816">
        <v>0</v>
      </c>
      <c r="CB100" s="816">
        <v>0</v>
      </c>
      <c r="CC100" s="816">
        <v>0</v>
      </c>
      <c r="CD100" s="816">
        <v>0</v>
      </c>
      <c r="CE100" s="816">
        <v>0</v>
      </c>
      <c r="CF100" s="816">
        <v>0</v>
      </c>
      <c r="CG100" s="816">
        <v>0</v>
      </c>
      <c r="CH100" s="816">
        <v>0</v>
      </c>
      <c r="CI100" s="816">
        <v>0</v>
      </c>
      <c r="CJ100" s="816">
        <v>0</v>
      </c>
      <c r="CK100" s="816">
        <v>0</v>
      </c>
      <c r="CL100" s="816">
        <v>0</v>
      </c>
      <c r="CM100" s="816">
        <v>0</v>
      </c>
      <c r="CN100" s="816">
        <v>0</v>
      </c>
      <c r="CO100" s="816">
        <v>0</v>
      </c>
      <c r="CP100" s="816">
        <v>0</v>
      </c>
      <c r="CQ100" s="816">
        <v>0</v>
      </c>
      <c r="CR100" s="816">
        <v>0</v>
      </c>
      <c r="CS100" s="816">
        <v>0</v>
      </c>
      <c r="CT100" s="816">
        <v>0</v>
      </c>
      <c r="CU100" s="816">
        <v>0</v>
      </c>
      <c r="CV100" s="816">
        <v>0</v>
      </c>
      <c r="CW100" s="816">
        <v>0</v>
      </c>
      <c r="CX100" s="816">
        <v>0</v>
      </c>
      <c r="CY100" s="816">
        <v>0</v>
      </c>
      <c r="CZ100" s="816">
        <v>0</v>
      </c>
      <c r="DA100" s="816">
        <v>0</v>
      </c>
      <c r="DB100" s="816">
        <v>0</v>
      </c>
      <c r="DC100" s="816">
        <v>0</v>
      </c>
      <c r="DE100" s="816" t="s">
        <v>96</v>
      </c>
      <c r="DF100" s="816">
        <f t="shared" si="18"/>
        <v>0</v>
      </c>
      <c r="DG100" s="816" t="s">
        <v>97</v>
      </c>
      <c r="DH100" s="816">
        <f t="shared" si="19"/>
        <v>0</v>
      </c>
      <c r="DI100" s="816" t="s">
        <v>98</v>
      </c>
      <c r="DJ100" s="816">
        <f t="shared" si="20"/>
        <v>0</v>
      </c>
      <c r="DK100" s="816" t="s">
        <v>99</v>
      </c>
      <c r="DL100" s="816">
        <f t="shared" si="21"/>
        <v>0</v>
      </c>
      <c r="DM100" s="816" t="s">
        <v>100</v>
      </c>
      <c r="DN100" s="816">
        <f t="shared" si="22"/>
        <v>0</v>
      </c>
      <c r="DO100" s="816" t="s">
        <v>101</v>
      </c>
      <c r="DP100" s="816">
        <f t="shared" si="23"/>
        <v>0</v>
      </c>
    </row>
    <row r="101" spans="1:120">
      <c r="A101" s="815">
        <v>25</v>
      </c>
      <c r="B101" s="815" t="str">
        <f t="shared" si="24"/>
        <v>25MATHS</v>
      </c>
      <c r="C101" s="815">
        <f>VLOOKUP(A101,DATEWISE!$A$3:$BY$27,2,0)</f>
        <v>0</v>
      </c>
      <c r="D101" s="815">
        <f>VLOOKUP(A101,DATEWISE!$A$3:$BY$27,3,0)</f>
        <v>0</v>
      </c>
      <c r="E101" s="815">
        <f>VLOOKUP(A101,DATEWISE!$A$3:$BY$27,4,0)</f>
        <v>0</v>
      </c>
      <c r="F101" s="815" t="str">
        <f t="shared" si="17"/>
        <v>0MATHS</v>
      </c>
      <c r="G101" s="815" t="s">
        <v>88</v>
      </c>
      <c r="H101" s="816">
        <v>0</v>
      </c>
      <c r="I101" s="816">
        <v>0</v>
      </c>
      <c r="J101" s="816">
        <v>0</v>
      </c>
      <c r="K101" s="816">
        <v>0</v>
      </c>
      <c r="L101" s="816">
        <v>0</v>
      </c>
      <c r="M101" s="816">
        <v>0</v>
      </c>
      <c r="N101" s="816">
        <v>0</v>
      </c>
      <c r="O101" s="816">
        <v>0</v>
      </c>
      <c r="P101" s="816">
        <v>0</v>
      </c>
      <c r="Q101" s="816">
        <v>0</v>
      </c>
      <c r="R101" s="816">
        <v>0</v>
      </c>
      <c r="S101" s="816">
        <v>0</v>
      </c>
      <c r="T101" s="816">
        <v>0</v>
      </c>
      <c r="U101" s="816">
        <v>0</v>
      </c>
      <c r="V101" s="816">
        <v>0</v>
      </c>
      <c r="W101" s="816">
        <v>0</v>
      </c>
      <c r="X101" s="816">
        <v>0</v>
      </c>
      <c r="Y101" s="816">
        <v>0</v>
      </c>
      <c r="Z101" s="816">
        <v>0</v>
      </c>
      <c r="AA101" s="816">
        <v>0</v>
      </c>
      <c r="AB101" s="816">
        <v>0</v>
      </c>
      <c r="AC101" s="816">
        <v>0</v>
      </c>
      <c r="AD101" s="816">
        <v>0</v>
      </c>
      <c r="AE101" s="816">
        <v>0</v>
      </c>
      <c r="AF101" s="816">
        <v>0</v>
      </c>
      <c r="AG101" s="816">
        <v>0</v>
      </c>
      <c r="AH101" s="816">
        <v>0</v>
      </c>
      <c r="AI101" s="816">
        <v>0</v>
      </c>
      <c r="AJ101" s="816">
        <v>0</v>
      </c>
      <c r="AK101" s="816">
        <v>0</v>
      </c>
      <c r="AL101" s="816">
        <v>0</v>
      </c>
      <c r="AM101" s="816">
        <v>0</v>
      </c>
      <c r="AN101" s="816">
        <v>0</v>
      </c>
      <c r="AO101" s="816">
        <v>0</v>
      </c>
      <c r="AP101" s="816">
        <v>0</v>
      </c>
      <c r="AQ101" s="816">
        <v>0</v>
      </c>
      <c r="AR101" s="816">
        <v>0</v>
      </c>
      <c r="AS101" s="816">
        <v>0</v>
      </c>
      <c r="AT101" s="816">
        <v>0</v>
      </c>
      <c r="AU101" s="816">
        <v>0</v>
      </c>
      <c r="AV101" s="816">
        <v>0</v>
      </c>
      <c r="AW101" s="816">
        <v>0</v>
      </c>
      <c r="AX101" s="816">
        <v>0</v>
      </c>
      <c r="AY101" s="816">
        <v>0</v>
      </c>
      <c r="AZ101" s="816">
        <v>0</v>
      </c>
      <c r="BA101" s="816">
        <v>0</v>
      </c>
      <c r="BB101" s="816">
        <v>0</v>
      </c>
      <c r="BC101" s="816">
        <v>0</v>
      </c>
      <c r="BD101" s="816">
        <v>0</v>
      </c>
      <c r="BE101" s="816">
        <v>0</v>
      </c>
      <c r="BF101" s="816">
        <v>0</v>
      </c>
      <c r="BG101" s="816">
        <v>0</v>
      </c>
      <c r="BH101" s="816">
        <v>0</v>
      </c>
      <c r="BI101" s="816">
        <v>0</v>
      </c>
      <c r="BJ101" s="816">
        <v>0</v>
      </c>
      <c r="BK101" s="816">
        <v>0</v>
      </c>
      <c r="BL101" s="816">
        <v>0</v>
      </c>
      <c r="BM101" s="816">
        <v>0</v>
      </c>
      <c r="BN101" s="816">
        <v>0</v>
      </c>
      <c r="BO101" s="816">
        <v>0</v>
      </c>
      <c r="BP101" s="816">
        <v>0</v>
      </c>
      <c r="BQ101" s="816">
        <v>0</v>
      </c>
      <c r="BR101" s="816">
        <v>0</v>
      </c>
      <c r="BS101" s="816">
        <v>0</v>
      </c>
      <c r="BT101" s="816">
        <v>0</v>
      </c>
      <c r="BU101" s="816">
        <v>0</v>
      </c>
      <c r="BV101" s="816">
        <v>0</v>
      </c>
      <c r="BW101" s="816">
        <v>0</v>
      </c>
      <c r="BX101" s="816">
        <v>0</v>
      </c>
      <c r="BY101" s="816">
        <v>0</v>
      </c>
      <c r="BZ101" s="816">
        <v>0</v>
      </c>
      <c r="CA101" s="816">
        <v>0</v>
      </c>
      <c r="CB101" s="816">
        <v>0</v>
      </c>
      <c r="CC101" s="816">
        <v>0</v>
      </c>
      <c r="CD101" s="816">
        <v>0</v>
      </c>
      <c r="CE101" s="816">
        <v>0</v>
      </c>
      <c r="CF101" s="816">
        <v>0</v>
      </c>
      <c r="CG101" s="816">
        <v>0</v>
      </c>
      <c r="CH101" s="816">
        <v>0</v>
      </c>
      <c r="CI101" s="816">
        <v>0</v>
      </c>
      <c r="CJ101" s="816">
        <v>0</v>
      </c>
      <c r="CK101" s="816">
        <v>0</v>
      </c>
      <c r="CL101" s="816">
        <v>0</v>
      </c>
      <c r="CM101" s="816">
        <v>0</v>
      </c>
      <c r="CN101" s="816">
        <v>0</v>
      </c>
      <c r="CO101" s="816">
        <v>0</v>
      </c>
      <c r="CP101" s="816">
        <v>0</v>
      </c>
      <c r="CQ101" s="816">
        <v>0</v>
      </c>
      <c r="CR101" s="816">
        <v>0</v>
      </c>
      <c r="CS101" s="816">
        <v>0</v>
      </c>
      <c r="CT101" s="816">
        <v>0</v>
      </c>
      <c r="CU101" s="816">
        <v>0</v>
      </c>
      <c r="CV101" s="816">
        <v>0</v>
      </c>
      <c r="CW101" s="816">
        <v>0</v>
      </c>
      <c r="CX101" s="816">
        <v>0</v>
      </c>
      <c r="CY101" s="816">
        <v>0</v>
      </c>
      <c r="CZ101" s="816">
        <v>0</v>
      </c>
      <c r="DA101" s="816">
        <v>0</v>
      </c>
      <c r="DB101" s="816">
        <v>0</v>
      </c>
      <c r="DC101" s="816">
        <v>0</v>
      </c>
      <c r="DE101" s="816" t="s">
        <v>96</v>
      </c>
      <c r="DF101" s="816">
        <f t="shared" si="18"/>
        <v>0</v>
      </c>
      <c r="DG101" s="816" t="s">
        <v>97</v>
      </c>
      <c r="DH101" s="816">
        <f t="shared" si="19"/>
        <v>0</v>
      </c>
      <c r="DI101" s="816" t="s">
        <v>98</v>
      </c>
      <c r="DJ101" s="816">
        <f t="shared" si="20"/>
        <v>0</v>
      </c>
      <c r="DK101" s="816" t="s">
        <v>99</v>
      </c>
      <c r="DL101" s="816">
        <f t="shared" si="21"/>
        <v>0</v>
      </c>
      <c r="DM101" s="816" t="s">
        <v>100</v>
      </c>
      <c r="DN101" s="816">
        <f t="shared" si="22"/>
        <v>0</v>
      </c>
      <c r="DO101" s="816" t="s">
        <v>101</v>
      </c>
      <c r="DP101" s="816">
        <f t="shared" si="23"/>
        <v>0</v>
      </c>
    </row>
    <row r="102" spans="1:120">
      <c r="A102" s="815">
        <v>25</v>
      </c>
      <c r="B102" s="815" t="str">
        <f t="shared" si="24"/>
        <v>25REMARKS</v>
      </c>
      <c r="C102" s="815">
        <f>VLOOKUP(A102,DATEWISE!$A$3:$BY$27,2,0)</f>
        <v>0</v>
      </c>
      <c r="D102" s="815">
        <f>VLOOKUP(A102,DATEWISE!$A$3:$BY$27,3,0)</f>
        <v>0</v>
      </c>
      <c r="E102" s="815">
        <f>VLOOKUP(A102,DATEWISE!$A$3:$BY$27,4,0)</f>
        <v>0</v>
      </c>
      <c r="F102" s="815" t="str">
        <f t="shared" si="17"/>
        <v>0REMARKS</v>
      </c>
      <c r="G102" s="815" t="s">
        <v>390</v>
      </c>
      <c r="H102" s="816">
        <v>0</v>
      </c>
      <c r="I102" s="816">
        <v>0</v>
      </c>
      <c r="J102" s="816">
        <v>0</v>
      </c>
      <c r="K102" s="816">
        <v>0</v>
      </c>
      <c r="L102" s="816">
        <v>0</v>
      </c>
      <c r="M102" s="816">
        <v>0</v>
      </c>
      <c r="N102" s="816">
        <v>0</v>
      </c>
      <c r="O102" s="816">
        <v>0</v>
      </c>
      <c r="P102" s="816">
        <v>0</v>
      </c>
      <c r="Q102" s="816">
        <v>0</v>
      </c>
      <c r="R102" s="816">
        <v>0</v>
      </c>
      <c r="S102" s="816">
        <v>0</v>
      </c>
      <c r="T102" s="816">
        <v>0</v>
      </c>
      <c r="U102" s="816">
        <v>0</v>
      </c>
      <c r="V102" s="816">
        <v>0</v>
      </c>
      <c r="W102" s="816">
        <v>0</v>
      </c>
      <c r="X102" s="816">
        <v>0</v>
      </c>
      <c r="Y102" s="816">
        <v>0</v>
      </c>
      <c r="Z102" s="816">
        <v>0</v>
      </c>
      <c r="AA102" s="816">
        <v>0</v>
      </c>
      <c r="AB102" s="816">
        <v>0</v>
      </c>
      <c r="AC102" s="816">
        <v>0</v>
      </c>
      <c r="AD102" s="816">
        <v>0</v>
      </c>
      <c r="AE102" s="816">
        <v>0</v>
      </c>
      <c r="AF102" s="816">
        <v>0</v>
      </c>
      <c r="AG102" s="816">
        <v>0</v>
      </c>
      <c r="AH102" s="816">
        <v>0</v>
      </c>
      <c r="AI102" s="816">
        <v>0</v>
      </c>
      <c r="AJ102" s="816">
        <v>0</v>
      </c>
      <c r="AK102" s="816">
        <v>0</v>
      </c>
      <c r="AL102" s="816">
        <v>0</v>
      </c>
      <c r="AM102" s="816">
        <v>0</v>
      </c>
      <c r="AN102" s="816">
        <v>0</v>
      </c>
      <c r="AO102" s="816">
        <v>0</v>
      </c>
      <c r="AP102" s="816">
        <v>0</v>
      </c>
      <c r="AQ102" s="816">
        <v>0</v>
      </c>
      <c r="AR102" s="816">
        <v>0</v>
      </c>
      <c r="AS102" s="816">
        <v>0</v>
      </c>
      <c r="AT102" s="816">
        <v>0</v>
      </c>
      <c r="AU102" s="816">
        <v>0</v>
      </c>
      <c r="AV102" s="816">
        <v>0</v>
      </c>
      <c r="AW102" s="816">
        <v>0</v>
      </c>
      <c r="AX102" s="816">
        <v>0</v>
      </c>
      <c r="AY102" s="816">
        <v>0</v>
      </c>
      <c r="AZ102" s="816">
        <v>0</v>
      </c>
      <c r="BA102" s="816">
        <v>0</v>
      </c>
      <c r="BB102" s="816">
        <v>0</v>
      </c>
      <c r="BC102" s="816">
        <v>0</v>
      </c>
      <c r="BD102" s="816">
        <v>0</v>
      </c>
      <c r="BE102" s="816">
        <v>0</v>
      </c>
      <c r="BF102" s="816">
        <v>0</v>
      </c>
      <c r="BG102" s="816">
        <v>0</v>
      </c>
      <c r="BH102" s="816">
        <v>0</v>
      </c>
      <c r="BI102" s="816">
        <v>0</v>
      </c>
      <c r="BJ102" s="816">
        <v>0</v>
      </c>
      <c r="BK102" s="816">
        <v>0</v>
      </c>
      <c r="BL102" s="816">
        <v>0</v>
      </c>
      <c r="BM102" s="816">
        <v>0</v>
      </c>
      <c r="BN102" s="816">
        <v>0</v>
      </c>
      <c r="BO102" s="816">
        <v>0</v>
      </c>
      <c r="BP102" s="816">
        <v>0</v>
      </c>
      <c r="BQ102" s="816">
        <v>0</v>
      </c>
      <c r="BR102" s="816">
        <v>0</v>
      </c>
      <c r="BS102" s="816">
        <v>0</v>
      </c>
      <c r="BT102" s="816">
        <v>0</v>
      </c>
      <c r="BU102" s="816">
        <v>0</v>
      </c>
      <c r="BV102" s="816">
        <v>0</v>
      </c>
      <c r="BW102" s="816">
        <v>0</v>
      </c>
      <c r="BX102" s="816">
        <v>0</v>
      </c>
      <c r="BY102" s="816">
        <v>0</v>
      </c>
      <c r="BZ102" s="816">
        <v>0</v>
      </c>
      <c r="CA102" s="816">
        <v>0</v>
      </c>
      <c r="CB102" s="816">
        <v>0</v>
      </c>
      <c r="CC102" s="816">
        <v>0</v>
      </c>
      <c r="CD102" s="816">
        <v>0</v>
      </c>
      <c r="CE102" s="816">
        <v>0</v>
      </c>
      <c r="CF102" s="816">
        <v>0</v>
      </c>
      <c r="CG102" s="816">
        <v>0</v>
      </c>
      <c r="CH102" s="816">
        <v>0</v>
      </c>
      <c r="CI102" s="816">
        <v>0</v>
      </c>
      <c r="CJ102" s="816">
        <v>0</v>
      </c>
      <c r="CK102" s="816">
        <v>0</v>
      </c>
      <c r="CL102" s="816">
        <v>0</v>
      </c>
      <c r="CM102" s="816">
        <v>0</v>
      </c>
      <c r="CN102" s="816">
        <v>0</v>
      </c>
      <c r="CO102" s="816">
        <v>0</v>
      </c>
      <c r="CP102" s="816">
        <v>0</v>
      </c>
      <c r="CQ102" s="816">
        <v>0</v>
      </c>
      <c r="CR102" s="816">
        <v>0</v>
      </c>
      <c r="CS102" s="816">
        <v>0</v>
      </c>
      <c r="CT102" s="816">
        <v>0</v>
      </c>
      <c r="CU102" s="816">
        <v>0</v>
      </c>
      <c r="CV102" s="816">
        <v>0</v>
      </c>
      <c r="CW102" s="816">
        <v>0</v>
      </c>
      <c r="CX102" s="816">
        <v>0</v>
      </c>
      <c r="CY102" s="816">
        <v>0</v>
      </c>
      <c r="CZ102" s="816">
        <v>0</v>
      </c>
      <c r="DA102" s="816">
        <v>0</v>
      </c>
      <c r="DB102" s="816">
        <v>0</v>
      </c>
      <c r="DC102" s="816">
        <v>0</v>
      </c>
      <c r="DE102" s="816" t="s">
        <v>96</v>
      </c>
      <c r="DF102" s="816">
        <f t="shared" si="18"/>
        <v>0</v>
      </c>
      <c r="DG102" s="816" t="s">
        <v>97</v>
      </c>
      <c r="DH102" s="816">
        <f t="shared" si="19"/>
        <v>0</v>
      </c>
      <c r="DI102" s="816" t="s">
        <v>98</v>
      </c>
      <c r="DJ102" s="816">
        <f t="shared" si="20"/>
        <v>0</v>
      </c>
      <c r="DK102" s="816" t="s">
        <v>99</v>
      </c>
      <c r="DL102" s="816">
        <f t="shared" si="21"/>
        <v>0</v>
      </c>
      <c r="DM102" s="816" t="s">
        <v>100</v>
      </c>
      <c r="DN102" s="816">
        <f t="shared" si="22"/>
        <v>0</v>
      </c>
      <c r="DO102" s="816" t="s">
        <v>101</v>
      </c>
      <c r="DP102" s="816">
        <f t="shared" si="23"/>
        <v>0</v>
      </c>
    </row>
  </sheetData>
  <sheetProtection password="BF6F" sheet="1" formatCells="0" formatColumns="0" formatRows="0" objects="1" scenario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5"/>
  <sheetViews>
    <sheetView tabSelected="1" topLeftCell="A43" workbookViewId="0">
      <selection activeCell="E8" sqref="E8"/>
    </sheetView>
  </sheetViews>
  <sheetFormatPr defaultColWidth="9.13888888888889" defaultRowHeight="17.4"/>
  <cols>
    <col min="1" max="1" width="9.57407407407407" style="775" customWidth="1"/>
    <col min="2" max="2" width="13.5740740740741" style="775" customWidth="1"/>
    <col min="3" max="4" width="30.712962962963" style="775" customWidth="1"/>
    <col min="5" max="13" width="11.712962962963" style="775" customWidth="1"/>
    <col min="14" max="16384" width="9.13888888888889" style="775"/>
  </cols>
  <sheetData>
    <row r="1" s="772" customFormat="1" ht="21" spans="1:13">
      <c r="A1" s="776" t="s">
        <v>391</v>
      </c>
      <c r="B1" s="776"/>
      <c r="C1" s="776"/>
      <c r="D1" s="776"/>
      <c r="E1" s="776"/>
      <c r="F1" s="776"/>
      <c r="G1" s="776"/>
      <c r="H1" s="776"/>
      <c r="I1" s="776"/>
      <c r="J1" s="776"/>
      <c r="K1" s="776"/>
      <c r="L1" s="776"/>
      <c r="M1" s="776"/>
    </row>
    <row r="2" spans="1:13">
      <c r="A2" s="777" t="s">
        <v>392</v>
      </c>
      <c r="B2" s="777"/>
      <c r="C2" s="778" t="str">
        <f>ENTRY!$D$6</f>
        <v>MCP NITHARI NO 1 BOYS</v>
      </c>
      <c r="D2" s="779"/>
      <c r="E2" s="779"/>
      <c r="F2" s="779"/>
      <c r="G2" s="780"/>
      <c r="H2" s="781" t="s">
        <v>393</v>
      </c>
      <c r="I2" s="782"/>
      <c r="J2" s="778">
        <f>ENTRY!$D$7</f>
        <v>0</v>
      </c>
      <c r="K2" s="779"/>
      <c r="L2" s="779"/>
      <c r="M2" s="780"/>
    </row>
    <row r="3" spans="1:13">
      <c r="A3" s="783" t="s">
        <v>394</v>
      </c>
      <c r="B3" s="783"/>
      <c r="C3" s="778" t="str">
        <f>ENTRY!$D$19</f>
        <v>INDRAJEET</v>
      </c>
      <c r="D3" s="779"/>
      <c r="E3" s="779"/>
      <c r="F3" s="779"/>
      <c r="G3" s="780"/>
      <c r="H3" s="781" t="s">
        <v>395</v>
      </c>
      <c r="I3" s="782"/>
      <c r="J3" s="778" t="str">
        <f>ENTRY!$D$20&amp;"-"&amp;ENTRY!$D$21</f>
        <v>III-A</v>
      </c>
      <c r="K3" s="779"/>
      <c r="L3" s="779"/>
      <c r="M3" s="780"/>
    </row>
    <row r="4" s="773" customFormat="1" spans="1:13">
      <c r="A4" s="777" t="s">
        <v>396</v>
      </c>
      <c r="B4" s="784" t="s">
        <v>397</v>
      </c>
      <c r="C4" s="784" t="s">
        <v>398</v>
      </c>
      <c r="D4" s="784" t="s">
        <v>399</v>
      </c>
      <c r="E4" s="784" t="s">
        <v>400</v>
      </c>
      <c r="F4" s="784"/>
      <c r="G4" s="784"/>
      <c r="H4" s="784" t="s">
        <v>401</v>
      </c>
      <c r="I4" s="784"/>
      <c r="J4" s="784"/>
      <c r="K4" s="784" t="s">
        <v>402</v>
      </c>
      <c r="L4" s="784"/>
      <c r="M4" s="784"/>
    </row>
    <row r="5" s="773" customFormat="1" spans="1:13">
      <c r="A5" s="777" t="s">
        <v>403</v>
      </c>
      <c r="B5" s="784" t="s">
        <v>397</v>
      </c>
      <c r="C5" s="784" t="s">
        <v>398</v>
      </c>
      <c r="D5" s="784" t="s">
        <v>404</v>
      </c>
      <c r="E5" s="784" t="s">
        <v>405</v>
      </c>
      <c r="F5" s="784"/>
      <c r="G5" s="784"/>
      <c r="H5" s="784" t="s">
        <v>406</v>
      </c>
      <c r="I5" s="784"/>
      <c r="J5" s="784"/>
      <c r="K5" s="784" t="s">
        <v>407</v>
      </c>
      <c r="L5" s="784"/>
      <c r="M5" s="784"/>
    </row>
    <row r="6" s="773" customFormat="1" spans="1:13">
      <c r="A6" s="777" t="s">
        <v>408</v>
      </c>
      <c r="B6" s="784" t="s">
        <v>397</v>
      </c>
      <c r="C6" s="784" t="s">
        <v>398</v>
      </c>
      <c r="D6" s="784" t="s">
        <v>409</v>
      </c>
      <c r="E6" s="784" t="s">
        <v>400</v>
      </c>
      <c r="F6" s="784"/>
      <c r="G6" s="784"/>
      <c r="H6" s="784" t="s">
        <v>401</v>
      </c>
      <c r="I6" s="784"/>
      <c r="J6" s="784"/>
      <c r="K6" s="784" t="s">
        <v>402</v>
      </c>
      <c r="L6" s="784"/>
      <c r="M6" s="784"/>
    </row>
    <row r="7" s="774" customFormat="1" spans="1:13">
      <c r="A7" s="785" t="s">
        <v>410</v>
      </c>
      <c r="B7" s="786" t="s">
        <v>411</v>
      </c>
      <c r="C7" s="787" t="s">
        <v>412</v>
      </c>
      <c r="D7" s="787" t="s">
        <v>116</v>
      </c>
      <c r="E7" s="788">
        <v>4</v>
      </c>
      <c r="F7" s="781" t="str">
        <f>"Date : "&amp;VLOOKUP(E7,DATEWISE!$A$3:$BY$27,2,0)</f>
        <v>Date : 31.07.2026</v>
      </c>
      <c r="G7" s="782"/>
      <c r="H7" s="789">
        <f>E7+1</f>
        <v>5</v>
      </c>
      <c r="I7" s="781" t="str">
        <f>"Date : "&amp;VLOOKUP(H7,DATEWISE!$A$3:$BY$27,2,0)</f>
        <v>Date : 17.08.2026</v>
      </c>
      <c r="J7" s="782"/>
      <c r="K7" s="789">
        <f>H7+1</f>
        <v>6</v>
      </c>
      <c r="L7" s="781" t="str">
        <f>"Date : "&amp;VLOOKUP(K7,DATEWISE!$A$3:$BY$27,2,0)</f>
        <v>Date : 31.08.2026</v>
      </c>
      <c r="M7" s="782"/>
    </row>
    <row r="8" s="774" customFormat="1" spans="1:13">
      <c r="A8" s="790"/>
      <c r="B8" s="791"/>
      <c r="C8" s="792"/>
      <c r="D8" s="792"/>
      <c r="E8" s="789" t="s">
        <v>87</v>
      </c>
      <c r="F8" s="789" t="s">
        <v>89</v>
      </c>
      <c r="G8" s="789" t="s">
        <v>88</v>
      </c>
      <c r="H8" s="789" t="s">
        <v>87</v>
      </c>
      <c r="I8" s="789" t="s">
        <v>89</v>
      </c>
      <c r="J8" s="789" t="s">
        <v>88</v>
      </c>
      <c r="K8" s="789" t="s">
        <v>87</v>
      </c>
      <c r="L8" s="789" t="s">
        <v>89</v>
      </c>
      <c r="M8" s="789" t="s">
        <v>88</v>
      </c>
    </row>
    <row r="9" spans="1:13">
      <c r="A9" s="793">
        <f>IF(ENTRY!$D$24&gt;1,1,0)</f>
        <v>1</v>
      </c>
      <c r="B9" s="794">
        <f>STUDENT!F2</f>
        <v>14779</v>
      </c>
      <c r="C9" s="795" t="str">
        <f>STUDENT!E2</f>
        <v>NAKSH</v>
      </c>
      <c r="D9" s="795" t="str">
        <f>STUDENT!H2</f>
        <v>NARESH</v>
      </c>
      <c r="E9" s="794">
        <f>IFERROR(VLOOKUP($E$7&amp;$E$8,FLNTRANSPOSE!$B$3:$DC$102,7,0),0)</f>
        <v>2</v>
      </c>
      <c r="F9" s="794">
        <f>IFERROR(VLOOKUP($E$7&amp;$F$8,FLNTRANSPOSE!$B$3:$DC$102,7,0),0)</f>
        <v>2</v>
      </c>
      <c r="G9" s="794">
        <f>IFERROR(VLOOKUP($E$7&amp;$G$8,FLNTRANSPOSE!$B$3:$DC$102,7,0),0)</f>
        <v>3</v>
      </c>
      <c r="H9" s="794">
        <f>IFERROR(VLOOKUP($H$7&amp;$H$8,FLNTRANSPOSE!$B$3:$DC$102,7,0),0)</f>
        <v>2</v>
      </c>
      <c r="I9" s="794">
        <f>IFERROR(VLOOKUP($H$7&amp;$I$8,FLNTRANSPOSE!$B$3:$DC$102,7,0),0)</f>
        <v>2</v>
      </c>
      <c r="J9" s="794">
        <f>IFERROR(VLOOKUP($H$7&amp;$J$8,FLNTRANSPOSE!$B$3:$DC$102,7,0),0)</f>
        <v>3</v>
      </c>
      <c r="K9" s="794">
        <f>IFERROR(VLOOKUP($K$7&amp;$K$8,FLNTRANSPOSE!$B$3:$DC$102,7,0),0)</f>
        <v>2</v>
      </c>
      <c r="L9" s="794">
        <f>IFERROR(VLOOKUP($K$7&amp;$L$8,FLNTRANSPOSE!$B$3:$DC$102,7,0),0)</f>
        <v>2</v>
      </c>
      <c r="M9" s="794">
        <f>IFERROR(VLOOKUP($K$7&amp;$M$8,FLNTRANSPOSE!$B$3:$DC$102,7,0),0)</f>
        <v>3</v>
      </c>
    </row>
    <row r="10" spans="1:13">
      <c r="A10" s="793">
        <f>IF(A9=0,0,IF(A9&lt;ENTRY!$D$24,A9+1,0))</f>
        <v>2</v>
      </c>
      <c r="B10" s="794">
        <f>STUDENT!F3</f>
        <v>14733</v>
      </c>
      <c r="C10" s="795" t="str">
        <f>STUDENT!E3</f>
        <v>NAVEEN</v>
      </c>
      <c r="D10" s="795" t="str">
        <f>STUDENT!H3</f>
        <v>SANJAY</v>
      </c>
      <c r="E10" s="794">
        <f>IFERROR(VLOOKUP($E$7&amp;$E$8,FLNTRANSPOSE!$B$3:$DC$102,8,0),0)</f>
        <v>3</v>
      </c>
      <c r="F10" s="794">
        <f>IFERROR(VLOOKUP($E$7&amp;$F$8,FLNTRANSPOSE!$B$3:$DC$102,8,0),0)</f>
        <v>2</v>
      </c>
      <c r="G10" s="794">
        <f>IFERROR(VLOOKUP($E$7&amp;$G$8,FLNTRANSPOSE!$B$3:$DC$102,8,0),0)</f>
        <v>3</v>
      </c>
      <c r="H10" s="794">
        <f>IFERROR(VLOOKUP($H$7&amp;$H$8,FLNTRANSPOSE!$B$3:$DC$102,8,0),0)</f>
        <v>3</v>
      </c>
      <c r="I10" s="794">
        <f>IFERROR(VLOOKUP($H$7&amp;$I$8,FLNTRANSPOSE!$B$3:$DC$102,8,0),0)</f>
        <v>2</v>
      </c>
      <c r="J10" s="794">
        <f>IFERROR(VLOOKUP($H$7&amp;$J$8,FLNTRANSPOSE!$B$3:$DC$102,8,0),0)</f>
        <v>3</v>
      </c>
      <c r="K10" s="794">
        <f>IFERROR(VLOOKUP($K$7&amp;$K$8,FLNTRANSPOSE!$B$3:$DC$102,8,0),0)</f>
        <v>3</v>
      </c>
      <c r="L10" s="794">
        <f>IFERROR(VLOOKUP($K$7&amp;$L$8,FLNTRANSPOSE!$B$3:$DC$102,8,0),0)</f>
        <v>2</v>
      </c>
      <c r="M10" s="794">
        <f>IFERROR(VLOOKUP($K$7&amp;$M$8,FLNTRANSPOSE!$B$3:$DC$102,8,0),0)</f>
        <v>3</v>
      </c>
    </row>
    <row r="11" spans="1:13">
      <c r="A11" s="793">
        <f>IF(A10=0,0,IF(A10&lt;ENTRY!$D$24,A10+1,0))</f>
        <v>3</v>
      </c>
      <c r="B11" s="794">
        <f>STUDENT!F4</f>
        <v>14757</v>
      </c>
      <c r="C11" s="795" t="str">
        <f>STUDENT!E4</f>
        <v>AADITYA KUMAR</v>
      </c>
      <c r="D11" s="795" t="str">
        <f>STUDENT!H4</f>
        <v>DHARMENDRA KUMAR</v>
      </c>
      <c r="E11" s="794">
        <f>IFERROR(VLOOKUP($E$7&amp;$E$8,FLNTRANSPOSE!$B$3:$DC$102,9,0),0)</f>
        <v>3</v>
      </c>
      <c r="F11" s="794">
        <f>IFERROR(VLOOKUP($E$7&amp;$F$8,FLNTRANSPOSE!$B$3:$DC$102,9,0),0)</f>
        <v>3</v>
      </c>
      <c r="G11" s="794">
        <f>IFERROR(VLOOKUP($E$7&amp;$G$8,FLNTRANSPOSE!$B$3:$DC$102,9,0),0)</f>
        <v>4</v>
      </c>
      <c r="H11" s="794">
        <f>IFERROR(VLOOKUP($H$7&amp;$H$8,FLNTRANSPOSE!$B$3:$DC$102,9,0),0)</f>
        <v>3</v>
      </c>
      <c r="I11" s="794">
        <f>IFERROR(VLOOKUP($H$7&amp;$I$8,FLNTRANSPOSE!$B$3:$DC$102,9,0),0)</f>
        <v>3</v>
      </c>
      <c r="J11" s="794">
        <f>IFERROR(VLOOKUP($H$7&amp;$J$8,FLNTRANSPOSE!$B$3:$DC$102,9,0),0)</f>
        <v>4</v>
      </c>
      <c r="K11" s="794">
        <f>IFERROR(VLOOKUP($K$7&amp;$K$8,FLNTRANSPOSE!$B$3:$DC$102,9,0),0)</f>
        <v>3</v>
      </c>
      <c r="L11" s="794">
        <f>IFERROR(VLOOKUP($K$7&amp;$L$8,FLNTRANSPOSE!$B$3:$DC$102,9,0),0)</f>
        <v>3</v>
      </c>
      <c r="M11" s="794">
        <f>IFERROR(VLOOKUP($K$7&amp;$M$8,FLNTRANSPOSE!$B$3:$DC$102,9,0),0)</f>
        <v>4</v>
      </c>
    </row>
    <row r="12" spans="1:13">
      <c r="A12" s="793">
        <f>IF(A11=0,0,IF(A11&lt;ENTRY!$D$24,A11+1,0))</f>
        <v>4</v>
      </c>
      <c r="B12" s="794">
        <f>STUDENT!F5</f>
        <v>14778</v>
      </c>
      <c r="C12" s="795" t="str">
        <f>STUDENT!E5</f>
        <v>PRINCE KUMAR RAY</v>
      </c>
      <c r="D12" s="795" t="str">
        <f>STUDENT!H5</f>
        <v>RAMSHARAN RAY</v>
      </c>
      <c r="E12" s="794">
        <f>IFERROR(VLOOKUP($E$7&amp;$E$8,FLNTRANSPOSE!$B$3:$DC$102,10,0),0)</f>
        <v>3</v>
      </c>
      <c r="F12" s="794">
        <f>IFERROR(VLOOKUP($E$7&amp;$F$8,FLNTRANSPOSE!$B$3:$DC$102,10,0),0)</f>
        <v>2</v>
      </c>
      <c r="G12" s="794">
        <f>IFERROR(VLOOKUP($E$7&amp;$G$8,FLNTRANSPOSE!$B$3:$DC$102,10,0),0)</f>
        <v>3</v>
      </c>
      <c r="H12" s="794">
        <f>IFERROR(VLOOKUP($H$7&amp;$H$8,FLNTRANSPOSE!$B$3:$DC$102,10,0),0)</f>
        <v>3</v>
      </c>
      <c r="I12" s="794">
        <f>IFERROR(VLOOKUP($H$7&amp;$I$8,FLNTRANSPOSE!$B$3:$DC$102,10,0),0)</f>
        <v>2</v>
      </c>
      <c r="J12" s="794">
        <f>IFERROR(VLOOKUP($H$7&amp;$J$8,FLNTRANSPOSE!$B$3:$DC$102,10,0),0)</f>
        <v>3</v>
      </c>
      <c r="K12" s="794">
        <f>IFERROR(VLOOKUP($K$7&amp;$K$8,FLNTRANSPOSE!$B$3:$DC$102,10,0),0)</f>
        <v>3</v>
      </c>
      <c r="L12" s="794">
        <f>IFERROR(VLOOKUP($K$7&amp;$L$8,FLNTRANSPOSE!$B$3:$DC$102,10,0),0)</f>
        <v>2</v>
      </c>
      <c r="M12" s="794">
        <f>IFERROR(VLOOKUP($K$7&amp;$M$8,FLNTRANSPOSE!$B$3:$DC$102,10,0),0)</f>
        <v>3</v>
      </c>
    </row>
    <row r="13" spans="1:13">
      <c r="A13" s="793">
        <f>IF(A12=0,0,IF(A12&lt;ENTRY!$D$24,A12+1,0))</f>
        <v>5</v>
      </c>
      <c r="B13" s="794">
        <f>STUDENT!F6</f>
        <v>14785</v>
      </c>
      <c r="C13" s="795" t="str">
        <f>STUDENT!E6</f>
        <v>KIRSHNA</v>
      </c>
      <c r="D13" s="795" t="str">
        <f>STUDENT!H6</f>
        <v>VISHNU KASHYAP</v>
      </c>
      <c r="E13" s="794">
        <f>IFERROR(VLOOKUP($E$7&amp;$E$8,FLNTRANSPOSE!$B$3:$DC$102,11,0),0)</f>
        <v>2</v>
      </c>
      <c r="F13" s="794">
        <f>IFERROR(VLOOKUP($E$7&amp;$F$8,FLNTRANSPOSE!$B$3:$DC$102,11,0),0)</f>
        <v>2</v>
      </c>
      <c r="G13" s="794">
        <f>IFERROR(VLOOKUP($E$7&amp;$G$8,FLNTRANSPOSE!$B$3:$DC$102,11,0),0)</f>
        <v>3</v>
      </c>
      <c r="H13" s="794">
        <f>IFERROR(VLOOKUP($H$7&amp;$H$8,FLNTRANSPOSE!$B$3:$DC$102,11,0),0)</f>
        <v>2</v>
      </c>
      <c r="I13" s="794">
        <f>IFERROR(VLOOKUP($H$7&amp;$I$8,FLNTRANSPOSE!$B$3:$DC$102,11,0),0)</f>
        <v>2</v>
      </c>
      <c r="J13" s="794">
        <f>IFERROR(VLOOKUP($H$7&amp;$J$8,FLNTRANSPOSE!$B$3:$DC$102,11,0),0)</f>
        <v>3</v>
      </c>
      <c r="K13" s="794">
        <f>IFERROR(VLOOKUP($K$7&amp;$K$8,FLNTRANSPOSE!$B$3:$DC$102,11,0),0)</f>
        <v>3</v>
      </c>
      <c r="L13" s="794">
        <f>IFERROR(VLOOKUP($K$7&amp;$L$8,FLNTRANSPOSE!$B$3:$DC$102,11,0),0)</f>
        <v>2</v>
      </c>
      <c r="M13" s="794">
        <f>IFERROR(VLOOKUP($K$7&amp;$M$8,FLNTRANSPOSE!$B$3:$DC$102,11,0),0)</f>
        <v>4</v>
      </c>
    </row>
    <row r="14" spans="1:13">
      <c r="A14" s="793">
        <f>IF(A13=0,0,IF(A13&lt;ENTRY!$D$24,A13+1,0))</f>
        <v>6</v>
      </c>
      <c r="B14" s="794">
        <f>STUDENT!F7</f>
        <v>14780</v>
      </c>
      <c r="C14" s="795" t="str">
        <f>STUDENT!E7</f>
        <v>MD SOPHIYAN ALAM</v>
      </c>
      <c r="D14" s="795" t="str">
        <f>STUDENT!H7</f>
        <v>MD TABREJ ALAM</v>
      </c>
      <c r="E14" s="794">
        <f>IFERROR(VLOOKUP($E$7&amp;$E$8,FLNTRANSPOSE!$B$3:$DC$102,12,0),0)</f>
        <v>4</v>
      </c>
      <c r="F14" s="794">
        <f>IFERROR(VLOOKUP($E$7&amp;$F$8,FLNTRANSPOSE!$B$3:$DC$102,12,0),0)</f>
        <v>3</v>
      </c>
      <c r="G14" s="794">
        <f>IFERROR(VLOOKUP($E$7&amp;$G$8,FLNTRANSPOSE!$B$3:$DC$102,12,0),0)</f>
        <v>4</v>
      </c>
      <c r="H14" s="794">
        <f>IFERROR(VLOOKUP($H$7&amp;$H$8,FLNTRANSPOSE!$B$3:$DC$102,12,0),0)</f>
        <v>4</v>
      </c>
      <c r="I14" s="794">
        <f>IFERROR(VLOOKUP($H$7&amp;$I$8,FLNTRANSPOSE!$B$3:$DC$102,12,0),0)</f>
        <v>3</v>
      </c>
      <c r="J14" s="794">
        <f>IFERROR(VLOOKUP($H$7&amp;$J$8,FLNTRANSPOSE!$B$3:$DC$102,12,0),0)</f>
        <v>4</v>
      </c>
      <c r="K14" s="794">
        <f>IFERROR(VLOOKUP($K$7&amp;$K$8,FLNTRANSPOSE!$B$3:$DC$102,12,0),0)</f>
        <v>4</v>
      </c>
      <c r="L14" s="794">
        <f>IFERROR(VLOOKUP($K$7&amp;$L$8,FLNTRANSPOSE!$B$3:$DC$102,12,0),0)</f>
        <v>4</v>
      </c>
      <c r="M14" s="794">
        <f>IFERROR(VLOOKUP($K$7&amp;$M$8,FLNTRANSPOSE!$B$3:$DC$102,12,0),0)</f>
        <v>4</v>
      </c>
    </row>
    <row r="15" spans="1:13">
      <c r="A15" s="793">
        <f>IF(A14=0,0,IF(A14&lt;ENTRY!$D$24,A14+1,0))</f>
        <v>7</v>
      </c>
      <c r="B15" s="794">
        <f>STUDENT!F8</f>
        <v>14773</v>
      </c>
      <c r="C15" s="795" t="str">
        <f>STUDENT!E8</f>
        <v>MD SAUBAN</v>
      </c>
      <c r="D15" s="795" t="str">
        <f>STUDENT!H8</f>
        <v>MD IRSHAD</v>
      </c>
      <c r="E15" s="794">
        <f>IFERROR(VLOOKUP($E$7&amp;$E$8,FLNTRANSPOSE!$B$3:$DC$102,13,0),0)</f>
        <v>4</v>
      </c>
      <c r="F15" s="794">
        <f>IFERROR(VLOOKUP($E$7&amp;$F$8,FLNTRANSPOSE!$B$3:$DC$102,13,0),0)</f>
        <v>3</v>
      </c>
      <c r="G15" s="794">
        <f>IFERROR(VLOOKUP($E$7&amp;$G$8,FLNTRANSPOSE!$B$3:$DC$102,13,0),0)</f>
        <v>4</v>
      </c>
      <c r="H15" s="794">
        <f>IFERROR(VLOOKUP($H$7&amp;$H$8,FLNTRANSPOSE!$B$3:$DC$102,13,0),0)</f>
        <v>4</v>
      </c>
      <c r="I15" s="794">
        <f>IFERROR(VLOOKUP($H$7&amp;$I$8,FLNTRANSPOSE!$B$3:$DC$102,13,0),0)</f>
        <v>3</v>
      </c>
      <c r="J15" s="794">
        <f>IFERROR(VLOOKUP($H$7&amp;$J$8,FLNTRANSPOSE!$B$3:$DC$102,13,0),0)</f>
        <v>4</v>
      </c>
      <c r="K15" s="794">
        <f>IFERROR(VLOOKUP($K$7&amp;$K$8,FLNTRANSPOSE!$B$3:$DC$102,13,0),0)</f>
        <v>4</v>
      </c>
      <c r="L15" s="794">
        <f>IFERROR(VLOOKUP($K$7&amp;$L$8,FLNTRANSPOSE!$B$3:$DC$102,13,0),0)</f>
        <v>3</v>
      </c>
      <c r="M15" s="794">
        <f>IFERROR(VLOOKUP($K$7&amp;$M$8,FLNTRANSPOSE!$B$3:$DC$102,13,0),0)</f>
        <v>4</v>
      </c>
    </row>
    <row r="16" spans="1:13">
      <c r="A16" s="793">
        <f>IF(A15=0,0,IF(A15&lt;ENTRY!$D$24,A15+1,0))</f>
        <v>8</v>
      </c>
      <c r="B16" s="794">
        <f>STUDENT!F9</f>
        <v>14769</v>
      </c>
      <c r="C16" s="795" t="str">
        <f>STUDENT!E9</f>
        <v>DEEPANSHU</v>
      </c>
      <c r="D16" s="795" t="str">
        <f>STUDENT!H9</f>
        <v>AKHILESH KUMAR</v>
      </c>
      <c r="E16" s="794">
        <f>IFERROR(VLOOKUP($E$7&amp;$E$8,FLNTRANSPOSE!$B$3:$DC$102,14,0),0)</f>
        <v>2</v>
      </c>
      <c r="F16" s="794">
        <f>IFERROR(VLOOKUP($E$7&amp;$F$8,FLNTRANSPOSE!$B$3:$DC$102,14,0),0)</f>
        <v>2</v>
      </c>
      <c r="G16" s="794">
        <f>IFERROR(VLOOKUP($E$7&amp;$G$8,FLNTRANSPOSE!$B$3:$DC$102,14,0),0)</f>
        <v>3</v>
      </c>
      <c r="H16" s="794">
        <f>IFERROR(VLOOKUP($H$7&amp;$H$8,FLNTRANSPOSE!$B$3:$DC$102,14,0),0)</f>
        <v>2</v>
      </c>
      <c r="I16" s="794">
        <f>IFERROR(VLOOKUP($H$7&amp;$I$8,FLNTRANSPOSE!$B$3:$DC$102,14,0),0)</f>
        <v>2</v>
      </c>
      <c r="J16" s="794">
        <f>IFERROR(VLOOKUP($H$7&amp;$J$8,FLNTRANSPOSE!$B$3:$DC$102,14,0),0)</f>
        <v>3</v>
      </c>
      <c r="K16" s="794">
        <f>IFERROR(VLOOKUP($K$7&amp;$K$8,FLNTRANSPOSE!$B$3:$DC$102,14,0),0)</f>
        <v>4</v>
      </c>
      <c r="L16" s="794">
        <f>IFERROR(VLOOKUP($K$7&amp;$L$8,FLNTRANSPOSE!$B$3:$DC$102,14,0),0)</f>
        <v>2</v>
      </c>
      <c r="M16" s="794">
        <f>IFERROR(VLOOKUP($K$7&amp;$M$8,FLNTRANSPOSE!$B$3:$DC$102,14,0),0)</f>
        <v>3</v>
      </c>
    </row>
    <row r="17" spans="1:13">
      <c r="A17" s="793">
        <f>IF(A16=0,0,IF(A16&lt;ENTRY!$D$24,A16+1,0))</f>
        <v>9</v>
      </c>
      <c r="B17" s="794">
        <f>STUDENT!F10</f>
        <v>14754</v>
      </c>
      <c r="C17" s="795" t="str">
        <f>STUDENT!E10</f>
        <v>ANUJ</v>
      </c>
      <c r="D17" s="795" t="str">
        <f>STUDENT!H10</f>
        <v>RANJEET DAS</v>
      </c>
      <c r="E17" s="794">
        <f>IFERROR(VLOOKUP($E$7&amp;$E$8,FLNTRANSPOSE!$B$3:$DC$102,15,0),0)</f>
        <v>2</v>
      </c>
      <c r="F17" s="794">
        <f>IFERROR(VLOOKUP($E$7&amp;$F$8,FLNTRANSPOSE!$B$3:$DC$102,15,0),0)</f>
        <v>2</v>
      </c>
      <c r="G17" s="794">
        <f>IFERROR(VLOOKUP($E$7&amp;$G$8,FLNTRANSPOSE!$B$3:$DC$102,15,0),0)</f>
        <v>3</v>
      </c>
      <c r="H17" s="794">
        <f>IFERROR(VLOOKUP($H$7&amp;$H$8,FLNTRANSPOSE!$B$3:$DC$102,15,0),0)</f>
        <v>2</v>
      </c>
      <c r="I17" s="794">
        <f>IFERROR(VLOOKUP($H$7&amp;$I$8,FLNTRANSPOSE!$B$3:$DC$102,15,0),0)</f>
        <v>2</v>
      </c>
      <c r="J17" s="794">
        <f>IFERROR(VLOOKUP($H$7&amp;$J$8,FLNTRANSPOSE!$B$3:$DC$102,15,0),0)</f>
        <v>3</v>
      </c>
      <c r="K17" s="794">
        <f>IFERROR(VLOOKUP($K$7&amp;$K$8,FLNTRANSPOSE!$B$3:$DC$102,15,0),0)</f>
        <v>3</v>
      </c>
      <c r="L17" s="794">
        <f>IFERROR(VLOOKUP($K$7&amp;$L$8,FLNTRANSPOSE!$B$3:$DC$102,15,0),0)</f>
        <v>2</v>
      </c>
      <c r="M17" s="794">
        <f>IFERROR(VLOOKUP($K$7&amp;$M$8,FLNTRANSPOSE!$B$3:$DC$102,15,0),0)</f>
        <v>3</v>
      </c>
    </row>
    <row r="18" spans="1:13">
      <c r="A18" s="793">
        <f>IF(A17=0,0,IF(A17&lt;ENTRY!$D$24,A17+1,0))</f>
        <v>10</v>
      </c>
      <c r="B18" s="794">
        <f>STUDENT!F11</f>
        <v>14774</v>
      </c>
      <c r="C18" s="795" t="str">
        <f>STUDENT!E11</f>
        <v>PIYUSH KUMAR</v>
      </c>
      <c r="D18" s="795" t="str">
        <f>STUDENT!H11</f>
        <v>MUNNA LAL</v>
      </c>
      <c r="E18" s="794">
        <f>IFERROR(VLOOKUP($E$7&amp;$E$8,FLNTRANSPOSE!$B$3:$DC$102,16,0),0)</f>
        <v>2</v>
      </c>
      <c r="F18" s="794">
        <f>IFERROR(VLOOKUP($E$7&amp;$F$8,FLNTRANSPOSE!$B$3:$DC$102,16,0),0)</f>
        <v>2</v>
      </c>
      <c r="G18" s="794">
        <f>IFERROR(VLOOKUP($E$7&amp;$G$8,FLNTRANSPOSE!$B$3:$DC$102,16,0),0)</f>
        <v>3</v>
      </c>
      <c r="H18" s="794">
        <f>IFERROR(VLOOKUP($H$7&amp;$H$8,FLNTRANSPOSE!$B$3:$DC$102,16,0),0)</f>
        <v>2</v>
      </c>
      <c r="I18" s="794">
        <f>IFERROR(VLOOKUP($H$7&amp;$I$8,FLNTRANSPOSE!$B$3:$DC$102,16,0),0)</f>
        <v>2</v>
      </c>
      <c r="J18" s="794">
        <f>IFERROR(VLOOKUP($H$7&amp;$J$8,FLNTRANSPOSE!$B$3:$DC$102,16,0),0)</f>
        <v>3</v>
      </c>
      <c r="K18" s="794">
        <f>IFERROR(VLOOKUP($K$7&amp;$K$8,FLNTRANSPOSE!$B$3:$DC$102,16,0),0)</f>
        <v>3</v>
      </c>
      <c r="L18" s="794">
        <f>IFERROR(VLOOKUP($K$7&amp;$L$8,FLNTRANSPOSE!$B$3:$DC$102,16,0),0)</f>
        <v>2</v>
      </c>
      <c r="M18" s="794">
        <f>IFERROR(VLOOKUP($K$7&amp;$M$8,FLNTRANSPOSE!$B$3:$DC$102,16,0),0)</f>
        <v>3</v>
      </c>
    </row>
    <row r="19" spans="1:13">
      <c r="A19" s="793">
        <f>IF(A18=0,0,IF(A18&lt;ENTRY!$D$24,A18+1,0))</f>
        <v>11</v>
      </c>
      <c r="B19" s="794">
        <f>STUDENT!F12</f>
        <v>14775</v>
      </c>
      <c r="C19" s="795" t="str">
        <f>STUDENT!E12</f>
        <v>MD MAHTAB</v>
      </c>
      <c r="D19" s="795" t="str">
        <f>STUDENT!H12</f>
        <v>MD ASRAF</v>
      </c>
      <c r="E19" s="794" t="str">
        <f>IFERROR(VLOOKUP($E$7&amp;$E$8,FLNTRANSPOSE!$B$3:$DC$102,17,0),0)</f>
        <v>Ab</v>
      </c>
      <c r="F19" s="794" t="str">
        <f>IFERROR(VLOOKUP($E$7&amp;$F$8,FLNTRANSPOSE!$B$3:$DC$102,17,0),0)</f>
        <v>Ab</v>
      </c>
      <c r="G19" s="794" t="str">
        <f>IFERROR(VLOOKUP($E$7&amp;$G$8,FLNTRANSPOSE!$B$3:$DC$102,17,0),0)</f>
        <v>Ab</v>
      </c>
      <c r="H19" s="794" t="str">
        <f>IFERROR(VLOOKUP($H$7&amp;$H$8,FLNTRANSPOSE!$B$3:$DC$102,17,0),0)</f>
        <v>Ab</v>
      </c>
      <c r="I19" s="794" t="str">
        <f>IFERROR(VLOOKUP($H$7&amp;$I$8,FLNTRANSPOSE!$B$3:$DC$102,17,0),0)</f>
        <v>Ab</v>
      </c>
      <c r="J19" s="794" t="str">
        <f>IFERROR(VLOOKUP($H$7&amp;$J$8,FLNTRANSPOSE!$B$3:$DC$102,17,0),0)</f>
        <v>Ab</v>
      </c>
      <c r="K19" s="794" t="str">
        <f>IFERROR(VLOOKUP($K$7&amp;$K$8,FLNTRANSPOSE!$B$3:$DC$102,17,0),0)</f>
        <v>Ab</v>
      </c>
      <c r="L19" s="794" t="str">
        <f>IFERROR(VLOOKUP($K$7&amp;$L$8,FLNTRANSPOSE!$B$3:$DC$102,17,0),0)</f>
        <v>Ab</v>
      </c>
      <c r="M19" s="794" t="str">
        <f>IFERROR(VLOOKUP($K$7&amp;$M$8,FLNTRANSPOSE!$B$3:$DC$102,17,0),0)</f>
        <v>Ab</v>
      </c>
    </row>
    <row r="20" spans="1:13">
      <c r="A20" s="793">
        <f>IF(A19=0,0,IF(A19&lt;ENTRY!$D$24,A19+1,0))</f>
        <v>12</v>
      </c>
      <c r="B20" s="794">
        <f>STUDENT!F13</f>
        <v>14734</v>
      </c>
      <c r="C20" s="795" t="str">
        <f>STUDENT!E13</f>
        <v>PRADEEP</v>
      </c>
      <c r="D20" s="795" t="str">
        <f>STUDENT!H13</f>
        <v>RAM BHAWAN</v>
      </c>
      <c r="E20" s="794">
        <f>IFERROR(VLOOKUP($E$7&amp;$E$8,FLNTRANSPOSE!$B$3:$DC$102,18,0),0)</f>
        <v>2</v>
      </c>
      <c r="F20" s="794">
        <f>IFERROR(VLOOKUP($E$7&amp;$F$8,FLNTRANSPOSE!$B$3:$DC$102,18,0),0)</f>
        <v>2</v>
      </c>
      <c r="G20" s="794">
        <f>IFERROR(VLOOKUP($E$7&amp;$G$8,FLNTRANSPOSE!$B$3:$DC$102,18,0),0)</f>
        <v>4</v>
      </c>
      <c r="H20" s="794">
        <f>IFERROR(VLOOKUP($H$7&amp;$H$8,FLNTRANSPOSE!$B$3:$DC$102,18,0),0)</f>
        <v>2</v>
      </c>
      <c r="I20" s="794">
        <f>IFERROR(VLOOKUP($H$7&amp;$I$8,FLNTRANSPOSE!$B$3:$DC$102,18,0),0)</f>
        <v>2</v>
      </c>
      <c r="J20" s="794">
        <f>IFERROR(VLOOKUP($H$7&amp;$J$8,FLNTRANSPOSE!$B$3:$DC$102,18,0),0)</f>
        <v>4</v>
      </c>
      <c r="K20" s="794">
        <f>IFERROR(VLOOKUP($K$7&amp;$K$8,FLNTRANSPOSE!$B$3:$DC$102,18,0),0)</f>
        <v>2</v>
      </c>
      <c r="L20" s="794">
        <f>IFERROR(VLOOKUP($K$7&amp;$L$8,FLNTRANSPOSE!$B$3:$DC$102,18,0),0)</f>
        <v>2</v>
      </c>
      <c r="M20" s="794">
        <f>IFERROR(VLOOKUP($K$7&amp;$M$8,FLNTRANSPOSE!$B$3:$DC$102,18,0),0)</f>
        <v>4</v>
      </c>
    </row>
    <row r="21" spans="1:13">
      <c r="A21" s="793">
        <f>IF(A20=0,0,IF(A20&lt;ENTRY!$D$24,A20+1,0))</f>
        <v>13</v>
      </c>
      <c r="B21" s="794">
        <f>STUDENT!F14</f>
        <v>14735</v>
      </c>
      <c r="C21" s="795" t="str">
        <f>STUDENT!E14</f>
        <v>MOHD JISAN</v>
      </c>
      <c r="D21" s="795" t="str">
        <f>STUDENT!H14</f>
        <v>MD ZAMEEL</v>
      </c>
      <c r="E21" s="794">
        <f>IFERROR(VLOOKUP($E$7&amp;$E$8,FLNTRANSPOSE!$B$3:$DC$102,19,0),0)</f>
        <v>2</v>
      </c>
      <c r="F21" s="794">
        <f>IFERROR(VLOOKUP($E$7&amp;$F$8,FLNTRANSPOSE!$B$3:$DC$102,19,0),0)</f>
        <v>2</v>
      </c>
      <c r="G21" s="794">
        <f>IFERROR(VLOOKUP($E$7&amp;$G$8,FLNTRANSPOSE!$B$3:$DC$102,19,0),0)</f>
        <v>3</v>
      </c>
      <c r="H21" s="794">
        <f>IFERROR(VLOOKUP($H$7&amp;$H$8,FLNTRANSPOSE!$B$3:$DC$102,19,0),0)</f>
        <v>2</v>
      </c>
      <c r="I21" s="794">
        <f>IFERROR(VLOOKUP($H$7&amp;$I$8,FLNTRANSPOSE!$B$3:$DC$102,19,0),0)</f>
        <v>2</v>
      </c>
      <c r="J21" s="794">
        <f>IFERROR(VLOOKUP($H$7&amp;$J$8,FLNTRANSPOSE!$B$3:$DC$102,19,0),0)</f>
        <v>3</v>
      </c>
      <c r="K21" s="794">
        <f>IFERROR(VLOOKUP($K$7&amp;$K$8,FLNTRANSPOSE!$B$3:$DC$102,19,0),0)</f>
        <v>2</v>
      </c>
      <c r="L21" s="794">
        <f>IFERROR(VLOOKUP($K$7&amp;$L$8,FLNTRANSPOSE!$B$3:$DC$102,19,0),0)</f>
        <v>2</v>
      </c>
      <c r="M21" s="794">
        <f>IFERROR(VLOOKUP($K$7&amp;$M$8,FLNTRANSPOSE!$B$3:$DC$102,19,0),0)</f>
        <v>3</v>
      </c>
    </row>
    <row r="22" spans="1:13">
      <c r="A22" s="793">
        <f>IF(A21=0,0,IF(A21&lt;ENTRY!$D$24,A21+1,0))</f>
        <v>14</v>
      </c>
      <c r="B22" s="794">
        <f>STUDENT!F15</f>
        <v>14745</v>
      </c>
      <c r="C22" s="795" t="str">
        <f>STUDENT!E15</f>
        <v>KARN KUMAR</v>
      </c>
      <c r="D22" s="795" t="str">
        <f>STUDENT!H15</f>
        <v>MUKESH RAY</v>
      </c>
      <c r="E22" s="794">
        <f>IFERROR(VLOOKUP($E$7&amp;$E$8,FLNTRANSPOSE!$B$3:$DC$102,20,0),0)</f>
        <v>2</v>
      </c>
      <c r="F22" s="794">
        <f>IFERROR(VLOOKUP($E$7&amp;$F$8,FLNTRANSPOSE!$B$3:$DC$102,20,0),0)</f>
        <v>2</v>
      </c>
      <c r="G22" s="794">
        <f>IFERROR(VLOOKUP($E$7&amp;$G$8,FLNTRANSPOSE!$B$3:$DC$102,20,0),0)</f>
        <v>3</v>
      </c>
      <c r="H22" s="794">
        <f>IFERROR(VLOOKUP($H$7&amp;$H$8,FLNTRANSPOSE!$B$3:$DC$102,20,0),0)</f>
        <v>2</v>
      </c>
      <c r="I22" s="794">
        <f>IFERROR(VLOOKUP($H$7&amp;$I$8,FLNTRANSPOSE!$B$3:$DC$102,20,0),0)</f>
        <v>2</v>
      </c>
      <c r="J22" s="794">
        <f>IFERROR(VLOOKUP($H$7&amp;$J$8,FLNTRANSPOSE!$B$3:$DC$102,20,0),0)</f>
        <v>3</v>
      </c>
      <c r="K22" s="794">
        <f>IFERROR(VLOOKUP($K$7&amp;$K$8,FLNTRANSPOSE!$B$3:$DC$102,20,0),0)</f>
        <v>3</v>
      </c>
      <c r="L22" s="794">
        <f>IFERROR(VLOOKUP($K$7&amp;$L$8,FLNTRANSPOSE!$B$3:$DC$102,20,0),0)</f>
        <v>2</v>
      </c>
      <c r="M22" s="794">
        <f>IFERROR(VLOOKUP($K$7&amp;$M$8,FLNTRANSPOSE!$B$3:$DC$102,20,0),0)</f>
        <v>3</v>
      </c>
    </row>
    <row r="23" spans="1:13">
      <c r="A23" s="793">
        <f>IF(A22=0,0,IF(A22&lt;ENTRY!$D$24,A22+1,0))</f>
        <v>15</v>
      </c>
      <c r="B23" s="794">
        <f>STUDENT!F16</f>
        <v>14746</v>
      </c>
      <c r="C23" s="795" t="str">
        <f>STUDENT!E16</f>
        <v>ROKI</v>
      </c>
      <c r="D23" s="795" t="str">
        <f>STUDENT!H16</f>
        <v>KUAR SINGH</v>
      </c>
      <c r="E23" s="794">
        <f>IFERROR(VLOOKUP($E$7&amp;$E$8,FLNTRANSPOSE!$B$3:$DC$102,21,0),0)</f>
        <v>3</v>
      </c>
      <c r="F23" s="794">
        <f>IFERROR(VLOOKUP($E$7&amp;$F$8,FLNTRANSPOSE!$B$3:$DC$102,21,0),0)</f>
        <v>3</v>
      </c>
      <c r="G23" s="794">
        <f>IFERROR(VLOOKUP($E$7&amp;$G$8,FLNTRANSPOSE!$B$3:$DC$102,21,0),0)</f>
        <v>4</v>
      </c>
      <c r="H23" s="794">
        <f>IFERROR(VLOOKUP($H$7&amp;$H$8,FLNTRANSPOSE!$B$3:$DC$102,21,0),0)</f>
        <v>3</v>
      </c>
      <c r="I23" s="794">
        <f>IFERROR(VLOOKUP($H$7&amp;$I$8,FLNTRANSPOSE!$B$3:$DC$102,21,0),0)</f>
        <v>3</v>
      </c>
      <c r="J23" s="794">
        <f>IFERROR(VLOOKUP($H$7&amp;$J$8,FLNTRANSPOSE!$B$3:$DC$102,21,0),0)</f>
        <v>4</v>
      </c>
      <c r="K23" s="794">
        <f>IFERROR(VLOOKUP($K$7&amp;$K$8,FLNTRANSPOSE!$B$3:$DC$102,21,0),0)</f>
        <v>4</v>
      </c>
      <c r="L23" s="794">
        <f>IFERROR(VLOOKUP($K$7&amp;$L$8,FLNTRANSPOSE!$B$3:$DC$102,21,0),0)</f>
        <v>4</v>
      </c>
      <c r="M23" s="794">
        <f>IFERROR(VLOOKUP($K$7&amp;$M$8,FLNTRANSPOSE!$B$3:$DC$102,21,0),0)</f>
        <v>4</v>
      </c>
    </row>
    <row r="24" spans="1:13">
      <c r="A24" s="793">
        <f>IF(A23=0,0,IF(A23&lt;ENTRY!$D$24,A23+1,0))</f>
        <v>16</v>
      </c>
      <c r="B24" s="794">
        <f>STUDENT!F17</f>
        <v>14748</v>
      </c>
      <c r="C24" s="795" t="str">
        <f>STUDENT!E17</f>
        <v>MD BILAL</v>
      </c>
      <c r="D24" s="795" t="str">
        <f>STUDENT!H17</f>
        <v>MD AFROJ</v>
      </c>
      <c r="E24" s="794">
        <f>IFERROR(VLOOKUP($E$7&amp;$E$8,FLNTRANSPOSE!$B$3:$DC$102,22,0),0)</f>
        <v>2</v>
      </c>
      <c r="F24" s="794">
        <f>IFERROR(VLOOKUP($E$7&amp;$F$8,FLNTRANSPOSE!$B$3:$DC$102,22,0),0)</f>
        <v>2</v>
      </c>
      <c r="G24" s="794">
        <f>IFERROR(VLOOKUP($E$7&amp;$G$8,FLNTRANSPOSE!$B$3:$DC$102,22,0),0)</f>
        <v>3</v>
      </c>
      <c r="H24" s="794">
        <f>IFERROR(VLOOKUP($H$7&amp;$H$8,FLNTRANSPOSE!$B$3:$DC$102,22,0),0)</f>
        <v>2</v>
      </c>
      <c r="I24" s="794">
        <f>IFERROR(VLOOKUP($H$7&amp;$I$8,FLNTRANSPOSE!$B$3:$DC$102,22,0),0)</f>
        <v>2</v>
      </c>
      <c r="J24" s="794">
        <f>IFERROR(VLOOKUP($H$7&amp;$J$8,FLNTRANSPOSE!$B$3:$DC$102,22,0),0)</f>
        <v>3</v>
      </c>
      <c r="K24" s="794">
        <f>IFERROR(VLOOKUP($K$7&amp;$K$8,FLNTRANSPOSE!$B$3:$DC$102,22,0),0)</f>
        <v>3</v>
      </c>
      <c r="L24" s="794">
        <f>IFERROR(VLOOKUP($K$7&amp;$L$8,FLNTRANSPOSE!$B$3:$DC$102,22,0),0)</f>
        <v>3</v>
      </c>
      <c r="M24" s="794">
        <f>IFERROR(VLOOKUP($K$7&amp;$M$8,FLNTRANSPOSE!$B$3:$DC$102,22,0),0)</f>
        <v>4</v>
      </c>
    </row>
    <row r="25" spans="1:13">
      <c r="A25" s="793">
        <f>IF(A24=0,0,IF(A24&lt;ENTRY!$D$24,A24+1,0))</f>
        <v>17</v>
      </c>
      <c r="B25" s="794">
        <f>STUDENT!F18</f>
        <v>14755</v>
      </c>
      <c r="C25" s="795" t="str">
        <f>STUDENT!E18</f>
        <v>GAURAV KUMAR</v>
      </c>
      <c r="D25" s="795" t="str">
        <f>STUDENT!H18</f>
        <v>HARINDER YADAV</v>
      </c>
      <c r="E25" s="794">
        <f>IFERROR(VLOOKUP($E$7&amp;$E$8,FLNTRANSPOSE!$B$3:$DC$102,23,0),0)</f>
        <v>2</v>
      </c>
      <c r="F25" s="794">
        <f>IFERROR(VLOOKUP($E$7&amp;$F$8,FLNTRANSPOSE!$B$3:$DC$102,23,0),0)</f>
        <v>2</v>
      </c>
      <c r="G25" s="794">
        <f>IFERROR(VLOOKUP($E$7&amp;$G$8,FLNTRANSPOSE!$B$3:$DC$102,23,0),0)</f>
        <v>4</v>
      </c>
      <c r="H25" s="794">
        <f>IFERROR(VLOOKUP($H$7&amp;$H$8,FLNTRANSPOSE!$B$3:$DC$102,23,0),0)</f>
        <v>2</v>
      </c>
      <c r="I25" s="794">
        <f>IFERROR(VLOOKUP($H$7&amp;$I$8,FLNTRANSPOSE!$B$3:$DC$102,23,0),0)</f>
        <v>2</v>
      </c>
      <c r="J25" s="794">
        <f>IFERROR(VLOOKUP($H$7&amp;$J$8,FLNTRANSPOSE!$B$3:$DC$102,23,0),0)</f>
        <v>4</v>
      </c>
      <c r="K25" s="794">
        <f>IFERROR(VLOOKUP($K$7&amp;$K$8,FLNTRANSPOSE!$B$3:$DC$102,23,0),0)</f>
        <v>3</v>
      </c>
      <c r="L25" s="794">
        <f>IFERROR(VLOOKUP($K$7&amp;$L$8,FLNTRANSPOSE!$B$3:$DC$102,23,0),0)</f>
        <v>2</v>
      </c>
      <c r="M25" s="794">
        <f>IFERROR(VLOOKUP($K$7&amp;$M$8,FLNTRANSPOSE!$B$3:$DC$102,23,0),0)</f>
        <v>4</v>
      </c>
    </row>
    <row r="26" spans="1:13">
      <c r="A26" s="793">
        <f>IF(A25=0,0,IF(A25&lt;ENTRY!$D$24,A25+1,0))</f>
        <v>18</v>
      </c>
      <c r="B26" s="794">
        <f>STUDENT!F19</f>
        <v>14756</v>
      </c>
      <c r="C26" s="795" t="str">
        <f>STUDENT!E19</f>
        <v>SAURAV KUMAR</v>
      </c>
      <c r="D26" s="795" t="str">
        <f>STUDENT!H19</f>
        <v>HARINDER YADAV</v>
      </c>
      <c r="E26" s="794">
        <f>IFERROR(VLOOKUP($E$7&amp;$E$8,FLNTRANSPOSE!$B$3:$DC$102,24,0),0)</f>
        <v>2</v>
      </c>
      <c r="F26" s="794">
        <f>IFERROR(VLOOKUP($E$7&amp;$F$8,FLNTRANSPOSE!$B$3:$DC$102,24,0),0)</f>
        <v>2</v>
      </c>
      <c r="G26" s="794">
        <f>IFERROR(VLOOKUP($E$7&amp;$G$8,FLNTRANSPOSE!$B$3:$DC$102,24,0),0)</f>
        <v>4</v>
      </c>
      <c r="H26" s="794">
        <f>IFERROR(VLOOKUP($H$7&amp;$H$8,FLNTRANSPOSE!$B$3:$DC$102,24,0),0)</f>
        <v>2</v>
      </c>
      <c r="I26" s="794">
        <f>IFERROR(VLOOKUP($H$7&amp;$I$8,FLNTRANSPOSE!$B$3:$DC$102,24,0),0)</f>
        <v>2</v>
      </c>
      <c r="J26" s="794">
        <f>IFERROR(VLOOKUP($H$7&amp;$J$8,FLNTRANSPOSE!$B$3:$DC$102,24,0),0)</f>
        <v>4</v>
      </c>
      <c r="K26" s="794">
        <f>IFERROR(VLOOKUP($K$7&amp;$K$8,FLNTRANSPOSE!$B$3:$DC$102,24,0),0)</f>
        <v>3</v>
      </c>
      <c r="L26" s="794">
        <f>IFERROR(VLOOKUP($K$7&amp;$L$8,FLNTRANSPOSE!$B$3:$DC$102,24,0),0)</f>
        <v>2</v>
      </c>
      <c r="M26" s="794">
        <f>IFERROR(VLOOKUP($K$7&amp;$M$8,FLNTRANSPOSE!$B$3:$DC$102,24,0),0)</f>
        <v>4</v>
      </c>
    </row>
    <row r="27" spans="1:13">
      <c r="A27" s="793">
        <f>IF(A26=0,0,IF(A26&lt;ENTRY!$D$24,A26+1,0))</f>
        <v>19</v>
      </c>
      <c r="B27" s="794">
        <f>STUDENT!F20</f>
        <v>14758</v>
      </c>
      <c r="C27" s="795" t="str">
        <f>STUDENT!E20</f>
        <v>HANAM AYUBI</v>
      </c>
      <c r="D27" s="795" t="str">
        <f>STUDENT!H20</f>
        <v>MD PARWEZ</v>
      </c>
      <c r="E27" s="794">
        <f>IFERROR(VLOOKUP($E$7&amp;$E$8,FLNTRANSPOSE!$B$3:$DC$102,25,0),0)</f>
        <v>2</v>
      </c>
      <c r="F27" s="794">
        <f>IFERROR(VLOOKUP($E$7&amp;$F$8,FLNTRANSPOSE!$B$3:$DC$102,25,0),0)</f>
        <v>2</v>
      </c>
      <c r="G27" s="794">
        <f>IFERROR(VLOOKUP($E$7&amp;$G$8,FLNTRANSPOSE!$B$3:$DC$102,25,0),0)</f>
        <v>3</v>
      </c>
      <c r="H27" s="794">
        <f>IFERROR(VLOOKUP($H$7&amp;$H$8,FLNTRANSPOSE!$B$3:$DC$102,25,0),0)</f>
        <v>2</v>
      </c>
      <c r="I27" s="794">
        <f>IFERROR(VLOOKUP($H$7&amp;$I$8,FLNTRANSPOSE!$B$3:$DC$102,25,0),0)</f>
        <v>2</v>
      </c>
      <c r="J27" s="794">
        <f>IFERROR(VLOOKUP($H$7&amp;$J$8,FLNTRANSPOSE!$B$3:$DC$102,25,0),0)</f>
        <v>3</v>
      </c>
      <c r="K27" s="794">
        <f>IFERROR(VLOOKUP($K$7&amp;$K$8,FLNTRANSPOSE!$B$3:$DC$102,25,0),0)</f>
        <v>2</v>
      </c>
      <c r="L27" s="794">
        <f>IFERROR(VLOOKUP($K$7&amp;$L$8,FLNTRANSPOSE!$B$3:$DC$102,25,0),0)</f>
        <v>2</v>
      </c>
      <c r="M27" s="794">
        <f>IFERROR(VLOOKUP($K$7&amp;$M$8,FLNTRANSPOSE!$B$3:$DC$102,25,0),0)</f>
        <v>3</v>
      </c>
    </row>
    <row r="28" spans="1:13">
      <c r="A28" s="793">
        <f>IF(A27=0,0,IF(A27&lt;ENTRY!$D$24,A27+1,0))</f>
        <v>20</v>
      </c>
      <c r="B28" s="794">
        <f>STUDENT!F21</f>
        <v>14768</v>
      </c>
      <c r="C28" s="795" t="str">
        <f>STUDENT!E21</f>
        <v>ANKUR</v>
      </c>
      <c r="D28" s="795" t="str">
        <f>STUDENT!H21</f>
        <v>ASHOK KUMAR GUPTA</v>
      </c>
      <c r="E28" s="794">
        <f>IFERROR(VLOOKUP($E$7&amp;$E$8,FLNTRANSPOSE!$B$3:$DC$102,26,0),0)</f>
        <v>2</v>
      </c>
      <c r="F28" s="794">
        <f>IFERROR(VLOOKUP($E$7&amp;$F$8,FLNTRANSPOSE!$B$3:$DC$102,26,0),0)</f>
        <v>2</v>
      </c>
      <c r="G28" s="794">
        <f>IFERROR(VLOOKUP($E$7&amp;$G$8,FLNTRANSPOSE!$B$3:$DC$102,26,0),0)</f>
        <v>3</v>
      </c>
      <c r="H28" s="794">
        <f>IFERROR(VLOOKUP($H$7&amp;$H$8,FLNTRANSPOSE!$B$3:$DC$102,26,0),0)</f>
        <v>2</v>
      </c>
      <c r="I28" s="794">
        <f>IFERROR(VLOOKUP($H$7&amp;$I$8,FLNTRANSPOSE!$B$3:$DC$102,26,0),0)</f>
        <v>2</v>
      </c>
      <c r="J28" s="794">
        <f>IFERROR(VLOOKUP($H$7&amp;$J$8,FLNTRANSPOSE!$B$3:$DC$102,26,0),0)</f>
        <v>3</v>
      </c>
      <c r="K28" s="794">
        <f>IFERROR(VLOOKUP($K$7&amp;$K$8,FLNTRANSPOSE!$B$3:$DC$102,26,0),0)</f>
        <v>2</v>
      </c>
      <c r="L28" s="794">
        <f>IFERROR(VLOOKUP($K$7&amp;$L$8,FLNTRANSPOSE!$B$3:$DC$102,26,0),0)</f>
        <v>2</v>
      </c>
      <c r="M28" s="794">
        <f>IFERROR(VLOOKUP($K$7&amp;$M$8,FLNTRANSPOSE!$B$3:$DC$102,26,0),0)</f>
        <v>3</v>
      </c>
    </row>
    <row r="29" spans="1:13">
      <c r="A29" s="793">
        <f>IF(A28=0,0,IF(A28&lt;ENTRY!$D$24,A28+1,0))</f>
        <v>21</v>
      </c>
      <c r="B29" s="794">
        <f>STUDENT!F22</f>
        <v>14792</v>
      </c>
      <c r="C29" s="795" t="str">
        <f>STUDENT!E22</f>
        <v>SOBHIT PASWAN</v>
      </c>
      <c r="D29" s="795" t="str">
        <f>STUDENT!H22</f>
        <v>SHANKAR PASWAN</v>
      </c>
      <c r="E29" s="794">
        <f>IFERROR(VLOOKUP($E$7&amp;$E$8,FLNTRANSPOSE!$B$3:$DC$102,27,0),0)</f>
        <v>2</v>
      </c>
      <c r="F29" s="794">
        <f>IFERROR(VLOOKUP($E$7&amp;$F$8,FLNTRANSPOSE!$B$3:$DC$102,27,0),0)</f>
        <v>2</v>
      </c>
      <c r="G29" s="794">
        <f>IFERROR(VLOOKUP($E$7&amp;$G$8,FLNTRANSPOSE!$B$3:$DC$102,27,0),0)</f>
        <v>3</v>
      </c>
      <c r="H29" s="794">
        <f>IFERROR(VLOOKUP($H$7&amp;$H$8,FLNTRANSPOSE!$B$3:$DC$102,27,0),0)</f>
        <v>2</v>
      </c>
      <c r="I29" s="794">
        <f>IFERROR(VLOOKUP($H$7&amp;$I$8,FLNTRANSPOSE!$B$3:$DC$102,27,0),0)</f>
        <v>2</v>
      </c>
      <c r="J29" s="794">
        <f>IFERROR(VLOOKUP($H$7&amp;$J$8,FLNTRANSPOSE!$B$3:$DC$102,27,0),0)</f>
        <v>3</v>
      </c>
      <c r="K29" s="794">
        <f>IFERROR(VLOOKUP($K$7&amp;$K$8,FLNTRANSPOSE!$B$3:$DC$102,27,0),0)</f>
        <v>2</v>
      </c>
      <c r="L29" s="794">
        <f>IFERROR(VLOOKUP($K$7&amp;$L$8,FLNTRANSPOSE!$B$3:$DC$102,27,0),0)</f>
        <v>2</v>
      </c>
      <c r="M29" s="794">
        <f>IFERROR(VLOOKUP($K$7&amp;$M$8,FLNTRANSPOSE!$B$3:$DC$102,27,0),0)</f>
        <v>3</v>
      </c>
    </row>
    <row r="30" spans="1:13">
      <c r="A30" s="793">
        <f>IF(A29=0,0,IF(A29&lt;ENTRY!$D$24,A29+1,0))</f>
        <v>22</v>
      </c>
      <c r="B30" s="794">
        <f>STUDENT!F23</f>
        <v>14804</v>
      </c>
      <c r="C30" s="795" t="str">
        <f>STUDENT!E23</f>
        <v>ABHISHEK MUKHIYA</v>
      </c>
      <c r="D30" s="795" t="str">
        <f>STUDENT!H23</f>
        <v>ARJUN MUKHIYA</v>
      </c>
      <c r="E30" s="794">
        <f>IFERROR(VLOOKUP($E$7&amp;$E$8,FLNTRANSPOSE!$B$3:$DC$102,28,0),0)</f>
        <v>2</v>
      </c>
      <c r="F30" s="794">
        <f>IFERROR(VLOOKUP($E$7&amp;$F$8,FLNTRANSPOSE!$B$3:$DC$102,28,0),0)</f>
        <v>2</v>
      </c>
      <c r="G30" s="794">
        <f>IFERROR(VLOOKUP($E$7&amp;$G$8,FLNTRANSPOSE!$B$3:$DC$102,28,0),0)</f>
        <v>3</v>
      </c>
      <c r="H30" s="794">
        <f>IFERROR(VLOOKUP($H$7&amp;$H$8,FLNTRANSPOSE!$B$3:$DC$102,28,0),0)</f>
        <v>2</v>
      </c>
      <c r="I30" s="794">
        <f>IFERROR(VLOOKUP($H$7&amp;$I$8,FLNTRANSPOSE!$B$3:$DC$102,28,0),0)</f>
        <v>2</v>
      </c>
      <c r="J30" s="794">
        <f>IFERROR(VLOOKUP($H$7&amp;$J$8,FLNTRANSPOSE!$B$3:$DC$102,28,0),0)</f>
        <v>3</v>
      </c>
      <c r="K30" s="794">
        <f>IFERROR(VLOOKUP($K$7&amp;$K$8,FLNTRANSPOSE!$B$3:$DC$102,28,0),0)</f>
        <v>4</v>
      </c>
      <c r="L30" s="794">
        <f>IFERROR(VLOOKUP($K$7&amp;$L$8,FLNTRANSPOSE!$B$3:$DC$102,28,0),0)</f>
        <v>4</v>
      </c>
      <c r="M30" s="794">
        <f>IFERROR(VLOOKUP($K$7&amp;$M$8,FLNTRANSPOSE!$B$3:$DC$102,28,0),0)</f>
        <v>4</v>
      </c>
    </row>
    <row r="31" spans="1:13">
      <c r="A31" s="793">
        <f>IF(A30=0,0,IF(A30&lt;ENTRY!$D$24,A30+1,0))</f>
        <v>23</v>
      </c>
      <c r="B31" s="794">
        <f>STUDENT!F24</f>
        <v>14805</v>
      </c>
      <c r="C31" s="795" t="str">
        <f>STUDENT!E24</f>
        <v>NITIN</v>
      </c>
      <c r="D31" s="795" t="str">
        <f>STUDENT!H24</f>
        <v>AJAY</v>
      </c>
      <c r="E31" s="794">
        <f>IFERROR(VLOOKUP($E$7&amp;$E$8,FLNTRANSPOSE!$B$3:$DC$102,29,0),0)</f>
        <v>4</v>
      </c>
      <c r="F31" s="794">
        <f>IFERROR(VLOOKUP($E$7&amp;$F$8,FLNTRANSPOSE!$B$3:$DC$102,29,0),0)</f>
        <v>3</v>
      </c>
      <c r="G31" s="794">
        <f>IFERROR(VLOOKUP($E$7&amp;$G$8,FLNTRANSPOSE!$B$3:$DC$102,29,0),0)</f>
        <v>4</v>
      </c>
      <c r="H31" s="794">
        <f>IFERROR(VLOOKUP($H$7&amp;$H$8,FLNTRANSPOSE!$B$3:$DC$102,29,0),0)</f>
        <v>4</v>
      </c>
      <c r="I31" s="794">
        <f>IFERROR(VLOOKUP($H$7&amp;$I$8,FLNTRANSPOSE!$B$3:$DC$102,29,0),0)</f>
        <v>3</v>
      </c>
      <c r="J31" s="794">
        <f>IFERROR(VLOOKUP($H$7&amp;$J$8,FLNTRANSPOSE!$B$3:$DC$102,29,0),0)</f>
        <v>4</v>
      </c>
      <c r="K31" s="794">
        <f>IFERROR(VLOOKUP($K$7&amp;$K$8,FLNTRANSPOSE!$B$3:$DC$102,29,0),0)</f>
        <v>4</v>
      </c>
      <c r="L31" s="794">
        <f>IFERROR(VLOOKUP($K$7&amp;$L$8,FLNTRANSPOSE!$B$3:$DC$102,29,0),0)</f>
        <v>3</v>
      </c>
      <c r="M31" s="794">
        <f>IFERROR(VLOOKUP($K$7&amp;$M$8,FLNTRANSPOSE!$B$3:$DC$102,29,0),0)</f>
        <v>4</v>
      </c>
    </row>
    <row r="32" spans="1:13">
      <c r="A32" s="793">
        <f>IF(A31=0,0,IF(A31&lt;ENTRY!$D$24,A31+1,0))</f>
        <v>24</v>
      </c>
      <c r="B32" s="794">
        <f>STUDENT!F25</f>
        <v>14806</v>
      </c>
      <c r="C32" s="795" t="str">
        <f>STUDENT!E25</f>
        <v>SOORYA VANSHAL</v>
      </c>
      <c r="D32" s="795" t="str">
        <f>STUDENT!H25</f>
        <v>KAMLESH KUMAR</v>
      </c>
      <c r="E32" s="794">
        <f>IFERROR(VLOOKUP($E$7&amp;$E$8,FLNTRANSPOSE!$B$3:$DC$102,30,0),0)</f>
        <v>2</v>
      </c>
      <c r="F32" s="794">
        <f>IFERROR(VLOOKUP($E$7&amp;$F$8,FLNTRANSPOSE!$B$3:$DC$102,30,0),0)</f>
        <v>2</v>
      </c>
      <c r="G32" s="794">
        <f>IFERROR(VLOOKUP($E$7&amp;$G$8,FLNTRANSPOSE!$B$3:$DC$102,30,0),0)</f>
        <v>3</v>
      </c>
      <c r="H32" s="794">
        <f>IFERROR(VLOOKUP($H$7&amp;$H$8,FLNTRANSPOSE!$B$3:$DC$102,30,0),0)</f>
        <v>2</v>
      </c>
      <c r="I32" s="794">
        <f>IFERROR(VLOOKUP($H$7&amp;$I$8,FLNTRANSPOSE!$B$3:$DC$102,30,0),0)</f>
        <v>2</v>
      </c>
      <c r="J32" s="794">
        <f>IFERROR(VLOOKUP($H$7&amp;$J$8,FLNTRANSPOSE!$B$3:$DC$102,30,0),0)</f>
        <v>3</v>
      </c>
      <c r="K32" s="794">
        <f>IFERROR(VLOOKUP($K$7&amp;$K$8,FLNTRANSPOSE!$B$3:$DC$102,30,0),0)</f>
        <v>2</v>
      </c>
      <c r="L32" s="794">
        <f>IFERROR(VLOOKUP($K$7&amp;$L$8,FLNTRANSPOSE!$B$3:$DC$102,30,0),0)</f>
        <v>2</v>
      </c>
      <c r="M32" s="794">
        <f>IFERROR(VLOOKUP($K$7&amp;$M$8,FLNTRANSPOSE!$B$3:$DC$102,30,0),0)</f>
        <v>3</v>
      </c>
    </row>
    <row r="33" spans="1:13">
      <c r="A33" s="793">
        <f>IF(A32=0,0,IF(A32&lt;ENTRY!$D$24,A32+1,0))</f>
        <v>25</v>
      </c>
      <c r="B33" s="794">
        <f>STUDENT!F26</f>
        <v>14943</v>
      </c>
      <c r="C33" s="795" t="str">
        <f>STUDENT!E26</f>
        <v>ANSHU KUMAR PANDIT</v>
      </c>
      <c r="D33" s="795" t="str">
        <f>STUDENT!H26</f>
        <v>RAMESH KUMAR PANDIT</v>
      </c>
      <c r="E33" s="794">
        <f>IFERROR(VLOOKUP($E$7&amp;$E$8,FLNTRANSPOSE!$B$3:$DC$102,31,0),0)</f>
        <v>3</v>
      </c>
      <c r="F33" s="794">
        <f>IFERROR(VLOOKUP($E$7&amp;$F$8,FLNTRANSPOSE!$B$3:$DC$102,31,0),0)</f>
        <v>2</v>
      </c>
      <c r="G33" s="794">
        <f>IFERROR(VLOOKUP($E$7&amp;$G$8,FLNTRANSPOSE!$B$3:$DC$102,31,0),0)</f>
        <v>4</v>
      </c>
      <c r="H33" s="794">
        <f>IFERROR(VLOOKUP($H$7&amp;$H$8,FLNTRANSPOSE!$B$3:$DC$102,31,0),0)</f>
        <v>3</v>
      </c>
      <c r="I33" s="794">
        <f>IFERROR(VLOOKUP($H$7&amp;$I$8,FLNTRANSPOSE!$B$3:$DC$102,31,0),0)</f>
        <v>2</v>
      </c>
      <c r="J33" s="794">
        <f>IFERROR(VLOOKUP($H$7&amp;$J$8,FLNTRANSPOSE!$B$3:$DC$102,31,0),0)</f>
        <v>4</v>
      </c>
      <c r="K33" s="794">
        <f>IFERROR(VLOOKUP($K$7&amp;$K$8,FLNTRANSPOSE!$B$3:$DC$102,31,0),0)</f>
        <v>4</v>
      </c>
      <c r="L33" s="794">
        <f>IFERROR(VLOOKUP($K$7&amp;$L$8,FLNTRANSPOSE!$B$3:$DC$102,31,0),0)</f>
        <v>3</v>
      </c>
      <c r="M33" s="794">
        <f>IFERROR(VLOOKUP($K$7&amp;$M$8,FLNTRANSPOSE!$B$3:$DC$102,31,0),0)</f>
        <v>4</v>
      </c>
    </row>
    <row r="34" spans="1:13">
      <c r="A34" s="793">
        <f>IF(A33=0,0,IF(A33&lt;ENTRY!$D$24,A33+1,0))</f>
        <v>26</v>
      </c>
      <c r="B34" s="794">
        <f>STUDENT!F27</f>
        <v>14960</v>
      </c>
      <c r="C34" s="795" t="str">
        <f>STUDENT!E27</f>
        <v>MD ADAN SHEKH</v>
      </c>
      <c r="D34" s="795" t="str">
        <f>STUDENT!H27</f>
        <v>MD ISHTIKHAR</v>
      </c>
      <c r="E34" s="794">
        <f>IFERROR(VLOOKUP($E$7&amp;$E$8,FLNTRANSPOSE!$B$3:$DC$102,32,0),0)</f>
        <v>2</v>
      </c>
      <c r="F34" s="794">
        <f>IFERROR(VLOOKUP($E$7&amp;$F$8,FLNTRANSPOSE!$B$3:$DC$102,32,0),0)</f>
        <v>2</v>
      </c>
      <c r="G34" s="794">
        <f>IFERROR(VLOOKUP($E$7&amp;$G$8,FLNTRANSPOSE!$B$3:$DC$102,32,0),0)</f>
        <v>3</v>
      </c>
      <c r="H34" s="794">
        <f>IFERROR(VLOOKUP($H$7&amp;$H$8,FLNTRANSPOSE!$B$3:$DC$102,32,0),0)</f>
        <v>2</v>
      </c>
      <c r="I34" s="794">
        <f>IFERROR(VLOOKUP($H$7&amp;$I$8,FLNTRANSPOSE!$B$3:$DC$102,32,0),0)</f>
        <v>2</v>
      </c>
      <c r="J34" s="794">
        <f>IFERROR(VLOOKUP($H$7&amp;$J$8,FLNTRANSPOSE!$B$3:$DC$102,32,0),0)</f>
        <v>3</v>
      </c>
      <c r="K34" s="794">
        <f>IFERROR(VLOOKUP($K$7&amp;$K$8,FLNTRANSPOSE!$B$3:$DC$102,32,0),0)</f>
        <v>2</v>
      </c>
      <c r="L34" s="794">
        <f>IFERROR(VLOOKUP($K$7&amp;$L$8,FLNTRANSPOSE!$B$3:$DC$102,32,0),0)</f>
        <v>2</v>
      </c>
      <c r="M34" s="794">
        <f>IFERROR(VLOOKUP($K$7&amp;$M$8,FLNTRANSPOSE!$B$3:$DC$102,32,0),0)</f>
        <v>3</v>
      </c>
    </row>
    <row r="35" spans="1:13">
      <c r="A35" s="793">
        <f>IF(A34=0,0,IF(A34&lt;ENTRY!$D$24,A34+1,0))</f>
        <v>27</v>
      </c>
      <c r="B35" s="794">
        <f>STUDENT!F28</f>
        <v>14976</v>
      </c>
      <c r="C35" s="795" t="str">
        <f>STUDENT!E28</f>
        <v>KARTIK</v>
      </c>
      <c r="D35" s="795" t="str">
        <f>STUDENT!H28</f>
        <v>SUNIL</v>
      </c>
      <c r="E35" s="794">
        <f>IFERROR(VLOOKUP($E$7&amp;$E$8,FLNTRANSPOSE!$B$3:$DC$102,33,0),0)</f>
        <v>2</v>
      </c>
      <c r="F35" s="794">
        <f>IFERROR(VLOOKUP($E$7&amp;$F$8,FLNTRANSPOSE!$B$3:$DC$102,33,0),0)</f>
        <v>2</v>
      </c>
      <c r="G35" s="794">
        <f>IFERROR(VLOOKUP($E$7&amp;$G$8,FLNTRANSPOSE!$B$3:$DC$102,33,0),0)</f>
        <v>3</v>
      </c>
      <c r="H35" s="794">
        <f>IFERROR(VLOOKUP($H$7&amp;$H$8,FLNTRANSPOSE!$B$3:$DC$102,33,0),0)</f>
        <v>2</v>
      </c>
      <c r="I35" s="794">
        <f>IFERROR(VLOOKUP($H$7&amp;$I$8,FLNTRANSPOSE!$B$3:$DC$102,33,0),0)</f>
        <v>2</v>
      </c>
      <c r="J35" s="794">
        <f>IFERROR(VLOOKUP($H$7&amp;$J$8,FLNTRANSPOSE!$B$3:$DC$102,33,0),0)</f>
        <v>3</v>
      </c>
      <c r="K35" s="794">
        <f>IFERROR(VLOOKUP($K$7&amp;$K$8,FLNTRANSPOSE!$B$3:$DC$102,33,0),0)</f>
        <v>3</v>
      </c>
      <c r="L35" s="794">
        <f>IFERROR(VLOOKUP($K$7&amp;$L$8,FLNTRANSPOSE!$B$3:$DC$102,33,0),0)</f>
        <v>2</v>
      </c>
      <c r="M35" s="794">
        <f>IFERROR(VLOOKUP($K$7&amp;$M$8,FLNTRANSPOSE!$B$3:$DC$102,33,0),0)</f>
        <v>3</v>
      </c>
    </row>
    <row r="36" spans="1:13">
      <c r="A36" s="793">
        <f>IF(A35=0,0,IF(A35&lt;ENTRY!$D$24,A35+1,0))</f>
        <v>28</v>
      </c>
      <c r="B36" s="794">
        <f>STUDENT!F29</f>
        <v>14999</v>
      </c>
      <c r="C36" s="795" t="str">
        <f>STUDENT!E29</f>
        <v>ABDUL REHMAN</v>
      </c>
      <c r="D36" s="795" t="str">
        <f>STUDENT!H29</f>
        <v>MD LAL BABU</v>
      </c>
      <c r="E36" s="794">
        <f>IFERROR(VLOOKUP($E$7&amp;$E$8,FLNTRANSPOSE!$B$3:$DC$102,34,0),0)</f>
        <v>2</v>
      </c>
      <c r="F36" s="794">
        <f>IFERROR(VLOOKUP($E$7&amp;$F$8,FLNTRANSPOSE!$B$3:$DC$102,34,0),0)</f>
        <v>2</v>
      </c>
      <c r="G36" s="794">
        <f>IFERROR(VLOOKUP($E$7&amp;$G$8,FLNTRANSPOSE!$B$3:$DC$102,34,0),0)</f>
        <v>3</v>
      </c>
      <c r="H36" s="794">
        <f>IFERROR(VLOOKUP($H$7&amp;$H$8,FLNTRANSPOSE!$B$3:$DC$102,34,0),0)</f>
        <v>2</v>
      </c>
      <c r="I36" s="794">
        <f>IFERROR(VLOOKUP($H$7&amp;$I$8,FLNTRANSPOSE!$B$3:$DC$102,34,0),0)</f>
        <v>2</v>
      </c>
      <c r="J36" s="794">
        <f>IFERROR(VLOOKUP($H$7&amp;$J$8,FLNTRANSPOSE!$B$3:$DC$102,34,0),0)</f>
        <v>3</v>
      </c>
      <c r="K36" s="794">
        <f>IFERROR(VLOOKUP($K$7&amp;$K$8,FLNTRANSPOSE!$B$3:$DC$102,34,0),0)</f>
        <v>2</v>
      </c>
      <c r="L36" s="794">
        <f>IFERROR(VLOOKUP($K$7&amp;$L$8,FLNTRANSPOSE!$B$3:$DC$102,34,0),0)</f>
        <v>2</v>
      </c>
      <c r="M36" s="794">
        <f>IFERROR(VLOOKUP($K$7&amp;$M$8,FLNTRANSPOSE!$B$3:$DC$102,34,0),0)</f>
        <v>3</v>
      </c>
    </row>
    <row r="37" spans="1:13">
      <c r="A37" s="793">
        <f>IF(A36=0,0,IF(A36&lt;ENTRY!$D$24,A36+1,0))</f>
        <v>29</v>
      </c>
      <c r="B37" s="794">
        <f>STUDENT!F30</f>
        <v>15000</v>
      </c>
      <c r="C37" s="795" t="str">
        <f>STUDENT!E30</f>
        <v>KARTIK</v>
      </c>
      <c r="D37" s="795" t="str">
        <f>STUDENT!H30</f>
        <v>AMAN YADAV</v>
      </c>
      <c r="E37" s="794">
        <f>IFERROR(VLOOKUP($E$7&amp;$E$8,FLNTRANSPOSE!$B$3:$DC$102,35,0),0)</f>
        <v>2</v>
      </c>
      <c r="F37" s="794">
        <f>IFERROR(VLOOKUP($E$7&amp;$F$8,FLNTRANSPOSE!$B$3:$DC$102,35,0),0)</f>
        <v>2</v>
      </c>
      <c r="G37" s="794">
        <f>IFERROR(VLOOKUP($E$7&amp;$G$8,FLNTRANSPOSE!$B$3:$DC$102,35,0),0)</f>
        <v>3</v>
      </c>
      <c r="H37" s="794">
        <f>IFERROR(VLOOKUP($H$7&amp;$H$8,FLNTRANSPOSE!$B$3:$DC$102,35,0),0)</f>
        <v>2</v>
      </c>
      <c r="I37" s="794">
        <f>IFERROR(VLOOKUP($H$7&amp;$I$8,FLNTRANSPOSE!$B$3:$DC$102,35,0),0)</f>
        <v>2</v>
      </c>
      <c r="J37" s="794">
        <f>IFERROR(VLOOKUP($H$7&amp;$J$8,FLNTRANSPOSE!$B$3:$DC$102,35,0),0)</f>
        <v>3</v>
      </c>
      <c r="K37" s="794">
        <f>IFERROR(VLOOKUP($K$7&amp;$K$8,FLNTRANSPOSE!$B$3:$DC$102,35,0),0)</f>
        <v>2</v>
      </c>
      <c r="L37" s="794">
        <f>IFERROR(VLOOKUP($K$7&amp;$L$8,FLNTRANSPOSE!$B$3:$DC$102,35,0),0)</f>
        <v>2</v>
      </c>
      <c r="M37" s="794">
        <f>IFERROR(VLOOKUP($K$7&amp;$M$8,FLNTRANSPOSE!$B$3:$DC$102,35,0),0)</f>
        <v>3</v>
      </c>
    </row>
    <row r="38" spans="1:13">
      <c r="A38" s="793">
        <f>IF(A37=0,0,IF(A37&lt;ENTRY!$D$24,A37+1,0))</f>
        <v>30</v>
      </c>
      <c r="B38" s="794">
        <f>STUDENT!F31</f>
        <v>15022</v>
      </c>
      <c r="C38" s="795" t="str">
        <f>STUDENT!E31</f>
        <v>AYAN</v>
      </c>
      <c r="D38" s="795" t="str">
        <f>STUDENT!H31</f>
        <v>BABU HASAN</v>
      </c>
      <c r="E38" s="794">
        <f>IFERROR(VLOOKUP($E$7&amp;$E$8,FLNTRANSPOSE!$B$3:$DC$102,36,0),0)</f>
        <v>2</v>
      </c>
      <c r="F38" s="794">
        <f>IFERROR(VLOOKUP($E$7&amp;$F$8,FLNTRANSPOSE!$B$3:$DC$102,36,0),0)</f>
        <v>2</v>
      </c>
      <c r="G38" s="794">
        <f>IFERROR(VLOOKUP($E$7&amp;$G$8,FLNTRANSPOSE!$B$3:$DC$102,36,0),0)</f>
        <v>3</v>
      </c>
      <c r="H38" s="794">
        <f>IFERROR(VLOOKUP($H$7&amp;$H$8,FLNTRANSPOSE!$B$3:$DC$102,36,0),0)</f>
        <v>2</v>
      </c>
      <c r="I38" s="794">
        <f>IFERROR(VLOOKUP($H$7&amp;$I$8,FLNTRANSPOSE!$B$3:$DC$102,36,0),0)</f>
        <v>2</v>
      </c>
      <c r="J38" s="794">
        <f>IFERROR(VLOOKUP($H$7&amp;$J$8,FLNTRANSPOSE!$B$3:$DC$102,36,0),0)</f>
        <v>3</v>
      </c>
      <c r="K38" s="794">
        <f>IFERROR(VLOOKUP($K$7&amp;$K$8,FLNTRANSPOSE!$B$3:$DC$102,36,0),0)</f>
        <v>2</v>
      </c>
      <c r="L38" s="794">
        <f>IFERROR(VLOOKUP($K$7&amp;$L$8,FLNTRANSPOSE!$B$3:$DC$102,36,0),0)</f>
        <v>2</v>
      </c>
      <c r="M38" s="794">
        <f>IFERROR(VLOOKUP($K$7&amp;$M$8,FLNTRANSPOSE!$B$3:$DC$102,36,0),0)</f>
        <v>3</v>
      </c>
    </row>
    <row r="39" spans="1:13">
      <c r="A39" s="793">
        <f>IF(A38=0,0,IF(A38&lt;ENTRY!$D$24,A38+1,0))</f>
        <v>31</v>
      </c>
      <c r="B39" s="794">
        <f>STUDENT!F32</f>
        <v>15034</v>
      </c>
      <c r="C39" s="795" t="str">
        <f>STUDENT!E32</f>
        <v>RAM CHANDER KUMAR</v>
      </c>
      <c r="D39" s="795" t="str">
        <f>STUDENT!H32</f>
        <v>AKASH SHARMA</v>
      </c>
      <c r="E39" s="794">
        <f>IFERROR(VLOOKUP($E$7&amp;$E$8,FLNTRANSPOSE!$B$3:$DC$102,37,0),0)</f>
        <v>2</v>
      </c>
      <c r="F39" s="794">
        <f>IFERROR(VLOOKUP($E$7&amp;$F$8,FLNTRANSPOSE!$B$3:$DC$102,37,0),0)</f>
        <v>2</v>
      </c>
      <c r="G39" s="794">
        <f>IFERROR(VLOOKUP($E$7&amp;$G$8,FLNTRANSPOSE!$B$3:$DC$102,37,0),0)</f>
        <v>3</v>
      </c>
      <c r="H39" s="794">
        <f>IFERROR(VLOOKUP($H$7&amp;$H$8,FLNTRANSPOSE!$B$3:$DC$102,37,0),0)</f>
        <v>2</v>
      </c>
      <c r="I39" s="794">
        <f>IFERROR(VLOOKUP($H$7&amp;$I$8,FLNTRANSPOSE!$B$3:$DC$102,37,0),0)</f>
        <v>2</v>
      </c>
      <c r="J39" s="794">
        <f>IFERROR(VLOOKUP($H$7&amp;$J$8,FLNTRANSPOSE!$B$3:$DC$102,37,0),0)</f>
        <v>3</v>
      </c>
      <c r="K39" s="794">
        <f>IFERROR(VLOOKUP($K$7&amp;$K$8,FLNTRANSPOSE!$B$3:$DC$102,37,0),0)</f>
        <v>2</v>
      </c>
      <c r="L39" s="794">
        <f>IFERROR(VLOOKUP($K$7&amp;$L$8,FLNTRANSPOSE!$B$3:$DC$102,37,0),0)</f>
        <v>2</v>
      </c>
      <c r="M39" s="794">
        <f>IFERROR(VLOOKUP($K$7&amp;$M$8,FLNTRANSPOSE!$B$3:$DC$102,37,0),0)</f>
        <v>3</v>
      </c>
    </row>
    <row r="40" spans="1:13">
      <c r="A40" s="793">
        <f>IF(A39=0,0,IF(A39&lt;ENTRY!$D$24,A39+1,0))</f>
        <v>32</v>
      </c>
      <c r="B40" s="794">
        <f>STUDENT!F33</f>
        <v>15035</v>
      </c>
      <c r="C40" s="795" t="str">
        <f>STUDENT!E33</f>
        <v>HARSHIT</v>
      </c>
      <c r="D40" s="795" t="str">
        <f>STUDENT!H33</f>
        <v>ANKIT SINGH</v>
      </c>
      <c r="E40" s="794">
        <f>IFERROR(VLOOKUP($E$7&amp;$E$8,FLNTRANSPOSE!$B$3:$DC$102,38,0),0)</f>
        <v>2</v>
      </c>
      <c r="F40" s="794">
        <f>IFERROR(VLOOKUP($E$7&amp;$F$8,FLNTRANSPOSE!$B$3:$DC$102,38,0),0)</f>
        <v>2</v>
      </c>
      <c r="G40" s="794">
        <f>IFERROR(VLOOKUP($E$7&amp;$G$8,FLNTRANSPOSE!$B$3:$DC$102,38,0),0)</f>
        <v>3</v>
      </c>
      <c r="H40" s="794">
        <f>IFERROR(VLOOKUP($H$7&amp;$H$8,FLNTRANSPOSE!$B$3:$DC$102,38,0),0)</f>
        <v>2</v>
      </c>
      <c r="I40" s="794">
        <f>IFERROR(VLOOKUP($H$7&amp;$I$8,FLNTRANSPOSE!$B$3:$DC$102,38,0),0)</f>
        <v>2</v>
      </c>
      <c r="J40" s="794">
        <f>IFERROR(VLOOKUP($H$7&amp;$J$8,FLNTRANSPOSE!$B$3:$DC$102,38,0),0)</f>
        <v>3</v>
      </c>
      <c r="K40" s="794">
        <f>IFERROR(VLOOKUP($K$7&amp;$K$8,FLNTRANSPOSE!$B$3:$DC$102,38,0),0)</f>
        <v>4</v>
      </c>
      <c r="L40" s="794">
        <f>IFERROR(VLOOKUP($K$7&amp;$L$8,FLNTRANSPOSE!$B$3:$DC$102,38,0),0)</f>
        <v>3</v>
      </c>
      <c r="M40" s="794">
        <f>IFERROR(VLOOKUP($K$7&amp;$M$8,FLNTRANSPOSE!$B$3:$DC$102,38,0),0)</f>
        <v>4</v>
      </c>
    </row>
    <row r="41" spans="1:13">
      <c r="A41" s="793">
        <f>IF(A40=0,0,IF(A40&lt;ENTRY!$D$24,A40+1,0))</f>
        <v>33</v>
      </c>
      <c r="B41" s="794">
        <f>STUDENT!F34</f>
        <v>15077</v>
      </c>
      <c r="C41" s="795" t="str">
        <f>STUDENT!E34</f>
        <v>HEMANT KUMAR</v>
      </c>
      <c r="D41" s="795" t="str">
        <f>STUDENT!H34</f>
        <v>PRADEEP KUMAR</v>
      </c>
      <c r="E41" s="794">
        <f>IFERROR(VLOOKUP($E$7&amp;$E$8,FLNTRANSPOSE!$B$3:$DC$102,39,0),0)</f>
        <v>2</v>
      </c>
      <c r="F41" s="794">
        <f>IFERROR(VLOOKUP($E$7&amp;$F$8,FLNTRANSPOSE!$B$3:$DC$102,39,0),0)</f>
        <v>2</v>
      </c>
      <c r="G41" s="794">
        <f>IFERROR(VLOOKUP($E$7&amp;$G$8,FLNTRANSPOSE!$B$3:$DC$102,39,0),0)</f>
        <v>3</v>
      </c>
      <c r="H41" s="794">
        <f>IFERROR(VLOOKUP($H$7&amp;$H$8,FLNTRANSPOSE!$B$3:$DC$102,39,0),0)</f>
        <v>2</v>
      </c>
      <c r="I41" s="794">
        <f>IFERROR(VLOOKUP($H$7&amp;$I$8,FLNTRANSPOSE!$B$3:$DC$102,39,0),0)</f>
        <v>2</v>
      </c>
      <c r="J41" s="794">
        <f>IFERROR(VLOOKUP($H$7&amp;$J$8,FLNTRANSPOSE!$B$3:$DC$102,39,0),0)</f>
        <v>3</v>
      </c>
      <c r="K41" s="794">
        <f>IFERROR(VLOOKUP($K$7&amp;$K$8,FLNTRANSPOSE!$B$3:$DC$102,39,0),0)</f>
        <v>2</v>
      </c>
      <c r="L41" s="794">
        <f>IFERROR(VLOOKUP($K$7&amp;$L$8,FLNTRANSPOSE!$B$3:$DC$102,39,0),0)</f>
        <v>2</v>
      </c>
      <c r="M41" s="794">
        <f>IFERROR(VLOOKUP($K$7&amp;$M$8,FLNTRANSPOSE!$B$3:$DC$102,39,0),0)</f>
        <v>3</v>
      </c>
    </row>
    <row r="42" spans="1:13">
      <c r="A42" s="793">
        <f>IF(A41=0,0,IF(A41&lt;ENTRY!$D$24,A41+1,0))</f>
        <v>34</v>
      </c>
      <c r="B42" s="794">
        <f>STUDENT!F35</f>
        <v>15088</v>
      </c>
      <c r="C42" s="795" t="str">
        <f>STUDENT!E35</f>
        <v>VEERPARTAP SINGH</v>
      </c>
      <c r="D42" s="795" t="str">
        <f>STUDENT!H35</f>
        <v>VIJAY SINGH</v>
      </c>
      <c r="E42" s="794" t="str">
        <f>IFERROR(VLOOKUP($E$7&amp;$E$8,FLNTRANSPOSE!$B$3:$DC$102,40,0),0)</f>
        <v>Ab</v>
      </c>
      <c r="F42" s="794" t="str">
        <f>IFERROR(VLOOKUP($E$7&amp;$F$8,FLNTRANSPOSE!$B$3:$DC$102,40,0),0)</f>
        <v>Ab</v>
      </c>
      <c r="G42" s="794" t="str">
        <f>IFERROR(VLOOKUP($E$7&amp;$G$8,FLNTRANSPOSE!$B$3:$DC$102,40,0),0)</f>
        <v>Ab</v>
      </c>
      <c r="H42" s="794" t="str">
        <f>IFERROR(VLOOKUP($H$7&amp;$H$8,FLNTRANSPOSE!$B$3:$DC$102,40,0),0)</f>
        <v>Ab</v>
      </c>
      <c r="I42" s="794" t="str">
        <f>IFERROR(VLOOKUP($H$7&amp;$I$8,FLNTRANSPOSE!$B$3:$DC$102,40,0),0)</f>
        <v>Ab</v>
      </c>
      <c r="J42" s="794" t="str">
        <f>IFERROR(VLOOKUP($H$7&amp;$J$8,FLNTRANSPOSE!$B$3:$DC$102,40,0),0)</f>
        <v>Ab</v>
      </c>
      <c r="K42" s="794" t="str">
        <f>IFERROR(VLOOKUP($K$7&amp;$K$8,FLNTRANSPOSE!$B$3:$DC$102,40,0),0)</f>
        <v>Ab</v>
      </c>
      <c r="L42" s="794" t="str">
        <f>IFERROR(VLOOKUP($K$7&amp;$L$8,FLNTRANSPOSE!$B$3:$DC$102,40,0),0)</f>
        <v>Ab</v>
      </c>
      <c r="M42" s="794" t="str">
        <f>IFERROR(VLOOKUP($K$7&amp;$M$8,FLNTRANSPOSE!$B$3:$DC$102,40,0),0)</f>
        <v>Ab</v>
      </c>
    </row>
    <row r="43" spans="1:13">
      <c r="A43" s="793">
        <f>IF(A42=0,0,IF(A42&lt;ENTRY!$D$24,A42+1,0))</f>
        <v>35</v>
      </c>
      <c r="B43" s="794">
        <f>STUDENT!F36</f>
        <v>15104</v>
      </c>
      <c r="C43" s="795" t="str">
        <f>STUDENT!E36</f>
        <v>NIKHIL KUMAR</v>
      </c>
      <c r="D43" s="795" t="str">
        <f>STUDENT!H36</f>
        <v>SUNIL KUMAR</v>
      </c>
      <c r="E43" s="794">
        <f>IFERROR(VLOOKUP($E$7&amp;$E$8,FLNTRANSPOSE!$B$3:$DC$102,41,0),0)</f>
        <v>2</v>
      </c>
      <c r="F43" s="794">
        <f>IFERROR(VLOOKUP($E$7&amp;$F$8,FLNTRANSPOSE!$B$3:$DC$102,41,0),0)</f>
        <v>2</v>
      </c>
      <c r="G43" s="794">
        <f>IFERROR(VLOOKUP($E$7&amp;$G$8,FLNTRANSPOSE!$B$3:$DC$102,41,0),0)</f>
        <v>3</v>
      </c>
      <c r="H43" s="794">
        <f>IFERROR(VLOOKUP($H$7&amp;$H$8,FLNTRANSPOSE!$B$3:$DC$102,41,0),0)</f>
        <v>2</v>
      </c>
      <c r="I43" s="794">
        <f>IFERROR(VLOOKUP($H$7&amp;$I$8,FLNTRANSPOSE!$B$3:$DC$102,41,0),0)</f>
        <v>2</v>
      </c>
      <c r="J43" s="794">
        <f>IFERROR(VLOOKUP($H$7&amp;$J$8,FLNTRANSPOSE!$B$3:$DC$102,41,0),0)</f>
        <v>3</v>
      </c>
      <c r="K43" s="794">
        <f>IFERROR(VLOOKUP($K$7&amp;$K$8,FLNTRANSPOSE!$B$3:$DC$102,41,0),0)</f>
        <v>2</v>
      </c>
      <c r="L43" s="794">
        <f>IFERROR(VLOOKUP($K$7&amp;$L$8,FLNTRANSPOSE!$B$3:$DC$102,41,0),0)</f>
        <v>2</v>
      </c>
      <c r="M43" s="794">
        <f>IFERROR(VLOOKUP($K$7&amp;$M$8,FLNTRANSPOSE!$B$3:$DC$102,41,0),0)</f>
        <v>3</v>
      </c>
    </row>
    <row r="44" spans="1:13">
      <c r="A44" s="793">
        <f>IF(A43=0,0,IF(A43&lt;ENTRY!$D$24,A43+1,0))</f>
        <v>36</v>
      </c>
      <c r="B44" s="794">
        <f>STUDENT!F37</f>
        <v>15143</v>
      </c>
      <c r="C44" s="795" t="str">
        <f>STUDENT!E37</f>
        <v>JITENDRA</v>
      </c>
      <c r="D44" s="795" t="str">
        <f>STUDENT!H37</f>
        <v>RAM SUMAR</v>
      </c>
      <c r="E44" s="794">
        <f>IFERROR(VLOOKUP($E$7&amp;$E$8,FLNTRANSPOSE!$B$3:$DC$102,42,0),0)</f>
        <v>2</v>
      </c>
      <c r="F44" s="794">
        <f>IFERROR(VLOOKUP($E$7&amp;$F$8,FLNTRANSPOSE!$B$3:$DC$102,42,0),0)</f>
        <v>2</v>
      </c>
      <c r="G44" s="794">
        <f>IFERROR(VLOOKUP($E$7&amp;$G$8,FLNTRANSPOSE!$B$3:$DC$102,42,0),0)</f>
        <v>3</v>
      </c>
      <c r="H44" s="794">
        <f>IFERROR(VLOOKUP($H$7&amp;$H$8,FLNTRANSPOSE!$B$3:$DC$102,42,0),0)</f>
        <v>2</v>
      </c>
      <c r="I44" s="794">
        <f>IFERROR(VLOOKUP($H$7&amp;$I$8,FLNTRANSPOSE!$B$3:$DC$102,42,0),0)</f>
        <v>2</v>
      </c>
      <c r="J44" s="794">
        <f>IFERROR(VLOOKUP($H$7&amp;$J$8,FLNTRANSPOSE!$B$3:$DC$102,42,0),0)</f>
        <v>3</v>
      </c>
      <c r="K44" s="794">
        <f>IFERROR(VLOOKUP($K$7&amp;$K$8,FLNTRANSPOSE!$B$3:$DC$102,42,0),0)</f>
        <v>3</v>
      </c>
      <c r="L44" s="794">
        <f>IFERROR(VLOOKUP($K$7&amp;$L$8,FLNTRANSPOSE!$B$3:$DC$102,42,0),0)</f>
        <v>2</v>
      </c>
      <c r="M44" s="794">
        <f>IFERROR(VLOOKUP($K$7&amp;$M$8,FLNTRANSPOSE!$B$3:$DC$102,42,0),0)</f>
        <v>3</v>
      </c>
    </row>
    <row r="45" spans="1:13">
      <c r="A45" s="793">
        <f>IF(A44=0,0,IF(A44&lt;ENTRY!$D$24,A44+1,0))</f>
        <v>37</v>
      </c>
      <c r="B45" s="794">
        <f>STUDENT!F38</f>
        <v>15144</v>
      </c>
      <c r="C45" s="795" t="str">
        <f>STUDENT!E38</f>
        <v>MOHD AYAN</v>
      </c>
      <c r="D45" s="795" t="str">
        <f>STUDENT!H38</f>
        <v>BUDHAN MIYAN</v>
      </c>
      <c r="E45" s="794">
        <f>IFERROR(VLOOKUP($E$7&amp;$E$8,FLNTRANSPOSE!$B$3:$DC$102,43,0),0)</f>
        <v>2</v>
      </c>
      <c r="F45" s="794">
        <f>IFERROR(VLOOKUP($E$7&amp;$F$8,FLNTRANSPOSE!$B$3:$DC$102,43,0),0)</f>
        <v>2</v>
      </c>
      <c r="G45" s="794">
        <f>IFERROR(VLOOKUP($E$7&amp;$G$8,FLNTRANSPOSE!$B$3:$DC$102,43,0),0)</f>
        <v>3</v>
      </c>
      <c r="H45" s="794">
        <f>IFERROR(VLOOKUP($H$7&amp;$H$8,FLNTRANSPOSE!$B$3:$DC$102,43,0),0)</f>
        <v>2</v>
      </c>
      <c r="I45" s="794">
        <f>IFERROR(VLOOKUP($H$7&amp;$I$8,FLNTRANSPOSE!$B$3:$DC$102,43,0),0)</f>
        <v>2</v>
      </c>
      <c r="J45" s="794">
        <f>IFERROR(VLOOKUP($H$7&amp;$J$8,FLNTRANSPOSE!$B$3:$DC$102,43,0),0)</f>
        <v>3</v>
      </c>
      <c r="K45" s="794">
        <f>IFERROR(VLOOKUP($K$7&amp;$K$8,FLNTRANSPOSE!$B$3:$DC$102,43,0),0)</f>
        <v>2</v>
      </c>
      <c r="L45" s="794">
        <f>IFERROR(VLOOKUP($K$7&amp;$L$8,FLNTRANSPOSE!$B$3:$DC$102,43,0),0)</f>
        <v>2</v>
      </c>
      <c r="M45" s="794">
        <f>IFERROR(VLOOKUP($K$7&amp;$M$8,FLNTRANSPOSE!$B$3:$DC$102,43,0),0)</f>
        <v>3</v>
      </c>
    </row>
    <row r="46" spans="1:13">
      <c r="A46" s="793">
        <f>IF(A45=0,0,IF(A45&lt;ENTRY!$D$24,A45+1,0))</f>
        <v>38</v>
      </c>
      <c r="B46" s="794">
        <f>STUDENT!F39</f>
        <v>15145</v>
      </c>
      <c r="C46" s="795" t="str">
        <f>STUDENT!E39</f>
        <v>RAJA KUMAR</v>
      </c>
      <c r="D46" s="795" t="str">
        <f>STUDENT!H39</f>
        <v>AMAR PODDAR</v>
      </c>
      <c r="E46" s="794">
        <f>IFERROR(VLOOKUP($E$7&amp;$E$8,FLNTRANSPOSE!$B$3:$DC$102,44,0),0)</f>
        <v>2</v>
      </c>
      <c r="F46" s="794">
        <f>IFERROR(VLOOKUP($E$7&amp;$F$8,FLNTRANSPOSE!$B$3:$DC$102,44,0),0)</f>
        <v>2</v>
      </c>
      <c r="G46" s="794">
        <f>IFERROR(VLOOKUP($E$7&amp;$G$8,FLNTRANSPOSE!$B$3:$DC$102,44,0),0)</f>
        <v>3</v>
      </c>
      <c r="H46" s="794">
        <f>IFERROR(VLOOKUP($H$7&amp;$H$8,FLNTRANSPOSE!$B$3:$DC$102,44,0),0)</f>
        <v>2</v>
      </c>
      <c r="I46" s="794">
        <f>IFERROR(VLOOKUP($H$7&amp;$I$8,FLNTRANSPOSE!$B$3:$DC$102,44,0),0)</f>
        <v>2</v>
      </c>
      <c r="J46" s="794">
        <f>IFERROR(VLOOKUP($H$7&amp;$J$8,FLNTRANSPOSE!$B$3:$DC$102,44,0),0)</f>
        <v>3</v>
      </c>
      <c r="K46" s="794">
        <f>IFERROR(VLOOKUP($K$7&amp;$K$8,FLNTRANSPOSE!$B$3:$DC$102,44,0),0)</f>
        <v>2</v>
      </c>
      <c r="L46" s="794">
        <f>IFERROR(VLOOKUP($K$7&amp;$L$8,FLNTRANSPOSE!$B$3:$DC$102,44,0),0)</f>
        <v>2</v>
      </c>
      <c r="M46" s="794">
        <f>IFERROR(VLOOKUP($K$7&amp;$M$8,FLNTRANSPOSE!$B$3:$DC$102,44,0),0)</f>
        <v>3</v>
      </c>
    </row>
    <row r="47" spans="1:13">
      <c r="A47" s="793">
        <f>IF(A46=0,0,IF(A46&lt;ENTRY!$D$24,A46+1,0))</f>
        <v>39</v>
      </c>
      <c r="B47" s="794">
        <f>STUDENT!F40</f>
        <v>15149</v>
      </c>
      <c r="C47" s="795" t="str">
        <f>STUDENT!E40</f>
        <v>LOVECESH KUMAR</v>
      </c>
      <c r="D47" s="795" t="str">
        <f>STUDENT!H40</f>
        <v>SANDEEP KUMAR</v>
      </c>
      <c r="E47" s="794" t="str">
        <f>IFERROR(VLOOKUP($E$7&amp;$E$8,FLNTRANSPOSE!$B$3:$DC$102,45,0),0)</f>
        <v>Ab</v>
      </c>
      <c r="F47" s="794" t="str">
        <f>IFERROR(VLOOKUP($E$7&amp;$F$8,FLNTRANSPOSE!$B$3:$DC$102,45,0),0)</f>
        <v>Ab</v>
      </c>
      <c r="G47" s="794" t="str">
        <f>IFERROR(VLOOKUP($E$7&amp;$G$8,FLNTRANSPOSE!$B$3:$DC$102,45,0),0)</f>
        <v>Ab</v>
      </c>
      <c r="H47" s="794" t="str">
        <f>IFERROR(VLOOKUP($H$7&amp;$H$8,FLNTRANSPOSE!$B$3:$DC$102,45,0),0)</f>
        <v>Ab</v>
      </c>
      <c r="I47" s="794" t="str">
        <f>IFERROR(VLOOKUP($H$7&amp;$I$8,FLNTRANSPOSE!$B$3:$DC$102,45,0),0)</f>
        <v>Ab</v>
      </c>
      <c r="J47" s="794" t="str">
        <f>IFERROR(VLOOKUP($H$7&amp;$J$8,FLNTRANSPOSE!$B$3:$DC$102,45,0),0)</f>
        <v>Ab</v>
      </c>
      <c r="K47" s="794" t="str">
        <f>IFERROR(VLOOKUP($K$7&amp;$K$8,FLNTRANSPOSE!$B$3:$DC$102,45,0),0)</f>
        <v>Ab</v>
      </c>
      <c r="L47" s="794" t="str">
        <f>IFERROR(VLOOKUP($K$7&amp;$L$8,FLNTRANSPOSE!$B$3:$DC$102,45,0),0)</f>
        <v>Ab</v>
      </c>
      <c r="M47" s="794" t="str">
        <f>IFERROR(VLOOKUP($K$7&amp;$M$8,FLNTRANSPOSE!$B$3:$DC$102,45,0),0)</f>
        <v>Ab</v>
      </c>
    </row>
    <row r="48" spans="1:13">
      <c r="A48" s="793">
        <f>IF(A47=0,0,IF(A47&lt;ENTRY!$D$24,A47+1,0))</f>
        <v>0</v>
      </c>
      <c r="B48" s="794">
        <f>STUDENT!F41</f>
        <v>0</v>
      </c>
      <c r="C48" s="795">
        <f>STUDENT!E41</f>
        <v>0</v>
      </c>
      <c r="D48" s="795">
        <f>STUDENT!H41</f>
        <v>0</v>
      </c>
      <c r="E48" s="794" t="str">
        <f>IFERROR(VLOOKUP($E$7&amp;$E$8,FLNTRANSPOSE!$B$3:$DC$102,46,0),0)</f>
        <v>-</v>
      </c>
      <c r="F48" s="794" t="str">
        <f>IFERROR(VLOOKUP($E$7&amp;$F$8,FLNTRANSPOSE!$B$3:$DC$102,46,0),0)</f>
        <v>-</v>
      </c>
      <c r="G48" s="794" t="str">
        <f>IFERROR(VLOOKUP($E$7&amp;$G$8,FLNTRANSPOSE!$B$3:$DC$102,46,0),0)</f>
        <v>-</v>
      </c>
      <c r="H48" s="794" t="str">
        <f>IFERROR(VLOOKUP($H$7&amp;$H$8,FLNTRANSPOSE!$B$3:$DC$102,46,0),0)</f>
        <v>-</v>
      </c>
      <c r="I48" s="794" t="str">
        <f>IFERROR(VLOOKUP($H$7&amp;$I$8,FLNTRANSPOSE!$B$3:$DC$102,46,0),0)</f>
        <v>-</v>
      </c>
      <c r="J48" s="794" t="str">
        <f>IFERROR(VLOOKUP($H$7&amp;$J$8,FLNTRANSPOSE!$B$3:$DC$102,46,0),0)</f>
        <v>-</v>
      </c>
      <c r="K48" s="794" t="str">
        <f>IFERROR(VLOOKUP($K$7&amp;$K$8,FLNTRANSPOSE!$B$3:$DC$102,46,0),0)</f>
        <v>-</v>
      </c>
      <c r="L48" s="794" t="str">
        <f>IFERROR(VLOOKUP($K$7&amp;$L$8,FLNTRANSPOSE!$B$3:$DC$102,46,0),0)</f>
        <v>-</v>
      </c>
      <c r="M48" s="794" t="str">
        <f>IFERROR(VLOOKUP($K$7&amp;$M$8,FLNTRANSPOSE!$B$3:$DC$102,46,0),0)</f>
        <v>-</v>
      </c>
    </row>
    <row r="49" spans="1:13">
      <c r="A49" s="793">
        <f>IF(A48=0,0,IF(A48&lt;ENTRY!$D$24,A48+1,0))</f>
        <v>0</v>
      </c>
      <c r="B49" s="794">
        <f>STUDENT!F42</f>
        <v>0</v>
      </c>
      <c r="C49" s="795">
        <f>STUDENT!E42</f>
        <v>0</v>
      </c>
      <c r="D49" s="795">
        <f>STUDENT!H42</f>
        <v>0</v>
      </c>
      <c r="E49" s="794" t="str">
        <f>IFERROR(VLOOKUP($E$7&amp;$E$8,FLNTRANSPOSE!$B$3:$DC$102,47,0),0)</f>
        <v>-</v>
      </c>
      <c r="F49" s="794" t="str">
        <f>IFERROR(VLOOKUP($E$7&amp;$F$8,FLNTRANSPOSE!$B$3:$DC$102,47,0),0)</f>
        <v>-</v>
      </c>
      <c r="G49" s="794" t="str">
        <f>IFERROR(VLOOKUP($E$7&amp;$G$8,FLNTRANSPOSE!$B$3:$DC$102,47,0),0)</f>
        <v>-</v>
      </c>
      <c r="H49" s="794" t="str">
        <f>IFERROR(VLOOKUP($H$7&amp;$H$8,FLNTRANSPOSE!$B$3:$DC$102,47,0),0)</f>
        <v>-</v>
      </c>
      <c r="I49" s="794" t="str">
        <f>IFERROR(VLOOKUP($H$7&amp;$I$8,FLNTRANSPOSE!$B$3:$DC$102,47,0),0)</f>
        <v>-</v>
      </c>
      <c r="J49" s="794" t="str">
        <f>IFERROR(VLOOKUP($H$7&amp;$J$8,FLNTRANSPOSE!$B$3:$DC$102,47,0),0)</f>
        <v>-</v>
      </c>
      <c r="K49" s="794" t="str">
        <f>IFERROR(VLOOKUP($K$7&amp;$K$8,FLNTRANSPOSE!$B$3:$DC$102,47,0),0)</f>
        <v>-</v>
      </c>
      <c r="L49" s="794" t="str">
        <f>IFERROR(VLOOKUP($K$7&amp;$L$8,FLNTRANSPOSE!$B$3:$DC$102,47,0),0)</f>
        <v>-</v>
      </c>
      <c r="M49" s="794" t="str">
        <f>IFERROR(VLOOKUP($K$7&amp;$M$8,FLNTRANSPOSE!$B$3:$DC$102,47,0),0)</f>
        <v>-</v>
      </c>
    </row>
    <row r="50" spans="1:13">
      <c r="A50" s="793">
        <f>IF(A49=0,0,IF(A49&lt;ENTRY!$D$24,A49+1,0))</f>
        <v>0</v>
      </c>
      <c r="B50" s="794">
        <f>STUDENT!F43</f>
        <v>0</v>
      </c>
      <c r="C50" s="795">
        <f>STUDENT!E43</f>
        <v>0</v>
      </c>
      <c r="D50" s="795">
        <f>STUDENT!H43</f>
        <v>0</v>
      </c>
      <c r="E50" s="794" t="str">
        <f>IFERROR(VLOOKUP($E$7&amp;$E$8,FLNTRANSPOSE!$B$3:$DC$102,48,0),0)</f>
        <v>-</v>
      </c>
      <c r="F50" s="794" t="str">
        <f>IFERROR(VLOOKUP($E$7&amp;$F$8,FLNTRANSPOSE!$B$3:$DC$102,48,0),0)</f>
        <v>-</v>
      </c>
      <c r="G50" s="794" t="str">
        <f>IFERROR(VLOOKUP($E$7&amp;$G$8,FLNTRANSPOSE!$B$3:$DC$102,48,0),0)</f>
        <v>-</v>
      </c>
      <c r="H50" s="794" t="str">
        <f>IFERROR(VLOOKUP($H$7&amp;$H$8,FLNTRANSPOSE!$B$3:$DC$102,48,0),0)</f>
        <v>-</v>
      </c>
      <c r="I50" s="794" t="str">
        <f>IFERROR(VLOOKUP($H$7&amp;$I$8,FLNTRANSPOSE!$B$3:$DC$102,48,0),0)</f>
        <v>-</v>
      </c>
      <c r="J50" s="794" t="str">
        <f>IFERROR(VLOOKUP($H$7&amp;$J$8,FLNTRANSPOSE!$B$3:$DC$102,48,0),0)</f>
        <v>-</v>
      </c>
      <c r="K50" s="794" t="str">
        <f>IFERROR(VLOOKUP($K$7&amp;$K$8,FLNTRANSPOSE!$B$3:$DC$102,48,0),0)</f>
        <v>-</v>
      </c>
      <c r="L50" s="794" t="str">
        <f>IFERROR(VLOOKUP($K$7&amp;$L$8,FLNTRANSPOSE!$B$3:$DC$102,48,0),0)</f>
        <v>-</v>
      </c>
      <c r="M50" s="794" t="str">
        <f>IFERROR(VLOOKUP($K$7&amp;$M$8,FLNTRANSPOSE!$B$3:$DC$102,48,0),0)</f>
        <v>-</v>
      </c>
    </row>
    <row r="51" spans="1:13">
      <c r="A51" s="793">
        <f>IF(A50=0,0,IF(A50&lt;ENTRY!$D$24,A50+1,0))</f>
        <v>0</v>
      </c>
      <c r="B51" s="794">
        <f>STUDENT!F44</f>
        <v>0</v>
      </c>
      <c r="C51" s="795">
        <f>STUDENT!E44</f>
        <v>0</v>
      </c>
      <c r="D51" s="795">
        <f>STUDENT!H44</f>
        <v>0</v>
      </c>
      <c r="E51" s="794">
        <f>IFERROR(VLOOKUP($E$7&amp;$E$8,FLNTRANSPOSE!$B$3:$DC$102,49,0),0)</f>
        <v>0</v>
      </c>
      <c r="F51" s="794">
        <f>IFERROR(VLOOKUP($E$7&amp;$F$8,FLNTRANSPOSE!$B$3:$DC$102,49,0),0)</f>
        <v>0</v>
      </c>
      <c r="G51" s="794">
        <f>IFERROR(VLOOKUP($E$7&amp;$G$8,FLNTRANSPOSE!$B$3:$DC$102,49,0),0)</f>
        <v>0</v>
      </c>
      <c r="H51" s="794">
        <f>IFERROR(VLOOKUP($H$7&amp;$H$8,FLNTRANSPOSE!$B$3:$DC$102,49,0),0)</f>
        <v>0</v>
      </c>
      <c r="I51" s="794">
        <f>IFERROR(VLOOKUP($H$7&amp;$I$8,FLNTRANSPOSE!$B$3:$DC$102,49,0),0)</f>
        <v>0</v>
      </c>
      <c r="J51" s="794">
        <f>IFERROR(VLOOKUP($H$7&amp;$J$8,FLNTRANSPOSE!$B$3:$DC$102,49,0),0)</f>
        <v>0</v>
      </c>
      <c r="K51" s="794">
        <f>IFERROR(VLOOKUP($K$7&amp;$K$8,FLNTRANSPOSE!$B$3:$DC$102,49,0),0)</f>
        <v>0</v>
      </c>
      <c r="L51" s="794">
        <f>IFERROR(VLOOKUP($K$7&amp;$L$8,FLNTRANSPOSE!$B$3:$DC$102,49,0),0)</f>
        <v>0</v>
      </c>
      <c r="M51" s="794">
        <f>IFERROR(VLOOKUP($K$7&amp;$M$8,FLNTRANSPOSE!$B$3:$DC$102,49,0),0)</f>
        <v>0</v>
      </c>
    </row>
    <row r="52" spans="1:13">
      <c r="A52" s="793">
        <f>IF(A51=0,0,IF(A51&lt;ENTRY!$D$24,A51+1,0))</f>
        <v>0</v>
      </c>
      <c r="B52" s="794">
        <f>STUDENT!F45</f>
        <v>0</v>
      </c>
      <c r="C52" s="795">
        <f>STUDENT!E45</f>
        <v>0</v>
      </c>
      <c r="D52" s="795">
        <f>STUDENT!H45</f>
        <v>0</v>
      </c>
      <c r="E52" s="794">
        <f>IFERROR(VLOOKUP($E$7&amp;$E$8,FLNTRANSPOSE!$B$3:$DC$102,50,0),0)</f>
        <v>0</v>
      </c>
      <c r="F52" s="794">
        <f>IFERROR(VLOOKUP($E$7&amp;$F$8,FLNTRANSPOSE!$B$3:$DC$102,50,0),0)</f>
        <v>0</v>
      </c>
      <c r="G52" s="794">
        <f>IFERROR(VLOOKUP($E$7&amp;$G$8,FLNTRANSPOSE!$B$3:$DC$102,50,0),0)</f>
        <v>0</v>
      </c>
      <c r="H52" s="794">
        <f>IFERROR(VLOOKUP($H$7&amp;$H$8,FLNTRANSPOSE!$B$3:$DC$102,50,0),0)</f>
        <v>0</v>
      </c>
      <c r="I52" s="794">
        <f>IFERROR(VLOOKUP($H$7&amp;$I$8,FLNTRANSPOSE!$B$3:$DC$102,50,0),0)</f>
        <v>0</v>
      </c>
      <c r="J52" s="794">
        <f>IFERROR(VLOOKUP($H$7&amp;$J$8,FLNTRANSPOSE!$B$3:$DC$102,50,0),0)</f>
        <v>0</v>
      </c>
      <c r="K52" s="794">
        <f>IFERROR(VLOOKUP($K$7&amp;$K$8,FLNTRANSPOSE!$B$3:$DC$102,50,0),0)</f>
        <v>0</v>
      </c>
      <c r="L52" s="794">
        <f>IFERROR(VLOOKUP($K$7&amp;$L$8,FLNTRANSPOSE!$B$3:$DC$102,50,0),0)</f>
        <v>0</v>
      </c>
      <c r="M52" s="794">
        <f>IFERROR(VLOOKUP($K$7&amp;$M$8,FLNTRANSPOSE!$B$3:$DC$102,50,0),0)</f>
        <v>0</v>
      </c>
    </row>
    <row r="53" spans="1:13">
      <c r="A53" s="793">
        <f>IF(A52=0,0,IF(A52&lt;ENTRY!$D$24,A52+1,0))</f>
        <v>0</v>
      </c>
      <c r="B53" s="794">
        <f>STUDENT!F46</f>
        <v>0</v>
      </c>
      <c r="C53" s="795">
        <f>STUDENT!E46</f>
        <v>0</v>
      </c>
      <c r="D53" s="795">
        <f>STUDENT!H46</f>
        <v>0</v>
      </c>
      <c r="E53" s="794">
        <f>IFERROR(VLOOKUP($E$7&amp;$E$8,FLNTRANSPOSE!$B$3:$DC$102,51,0),0)</f>
        <v>0</v>
      </c>
      <c r="F53" s="794">
        <f>IFERROR(VLOOKUP($E$7&amp;$F$8,FLNTRANSPOSE!$B$3:$DC$102,51,0),0)</f>
        <v>0</v>
      </c>
      <c r="G53" s="794">
        <f>IFERROR(VLOOKUP($E$7&amp;$G$8,FLNTRANSPOSE!$B$3:$DC$102,51,0),0)</f>
        <v>0</v>
      </c>
      <c r="H53" s="794">
        <f>IFERROR(VLOOKUP($H$7&amp;$H$8,FLNTRANSPOSE!$B$3:$DC$102,51,0),0)</f>
        <v>0</v>
      </c>
      <c r="I53" s="794">
        <f>IFERROR(VLOOKUP($H$7&amp;$I$8,FLNTRANSPOSE!$B$3:$DC$102,51,0),0)</f>
        <v>0</v>
      </c>
      <c r="J53" s="794">
        <f>IFERROR(VLOOKUP($H$7&amp;$J$8,FLNTRANSPOSE!$B$3:$DC$102,51,0),0)</f>
        <v>0</v>
      </c>
      <c r="K53" s="794">
        <f>IFERROR(VLOOKUP($K$7&amp;$K$8,FLNTRANSPOSE!$B$3:$DC$102,51,0),0)</f>
        <v>0</v>
      </c>
      <c r="L53" s="794">
        <f>IFERROR(VLOOKUP($K$7&amp;$L$8,FLNTRANSPOSE!$B$3:$DC$102,51,0),0)</f>
        <v>0</v>
      </c>
      <c r="M53" s="794">
        <f>IFERROR(VLOOKUP($K$7&amp;$M$8,FLNTRANSPOSE!$B$3:$DC$102,51,0),0)</f>
        <v>0</v>
      </c>
    </row>
    <row r="54" spans="1:13">
      <c r="A54" s="793">
        <f>IF(A53=0,0,IF(A53&lt;ENTRY!$D$24,A53+1,0))</f>
        <v>0</v>
      </c>
      <c r="B54" s="794">
        <f>STUDENT!F47</f>
        <v>0</v>
      </c>
      <c r="C54" s="795">
        <f>STUDENT!E47</f>
        <v>0</v>
      </c>
      <c r="D54" s="795">
        <f>STUDENT!H47</f>
        <v>0</v>
      </c>
      <c r="E54" s="794">
        <f>IFERROR(VLOOKUP($E$7&amp;$E$8,FLNTRANSPOSE!$B$3:$DC$102,52,0),0)</f>
        <v>0</v>
      </c>
      <c r="F54" s="794">
        <f>IFERROR(VLOOKUP($E$7&amp;$F$8,FLNTRANSPOSE!$B$3:$DC$102,52,0),0)</f>
        <v>0</v>
      </c>
      <c r="G54" s="794">
        <f>IFERROR(VLOOKUP($E$7&amp;$G$8,FLNTRANSPOSE!$B$3:$DC$102,52,0),0)</f>
        <v>0</v>
      </c>
      <c r="H54" s="794">
        <f>IFERROR(VLOOKUP($H$7&amp;$H$8,FLNTRANSPOSE!$B$3:$DC$102,52,0),0)</f>
        <v>0</v>
      </c>
      <c r="I54" s="794">
        <f>IFERROR(VLOOKUP($H$7&amp;$I$8,FLNTRANSPOSE!$B$3:$DC$102,52,0),0)</f>
        <v>0</v>
      </c>
      <c r="J54" s="794">
        <f>IFERROR(VLOOKUP($H$7&amp;$J$8,FLNTRANSPOSE!$B$3:$DC$102,52,0),0)</f>
        <v>0</v>
      </c>
      <c r="K54" s="794">
        <f>IFERROR(VLOOKUP($K$7&amp;$K$8,FLNTRANSPOSE!$B$3:$DC$102,52,0),0)</f>
        <v>0</v>
      </c>
      <c r="L54" s="794">
        <f>IFERROR(VLOOKUP($K$7&amp;$L$8,FLNTRANSPOSE!$B$3:$DC$102,52,0),0)</f>
        <v>0</v>
      </c>
      <c r="M54" s="794">
        <f>IFERROR(VLOOKUP($K$7&amp;$M$8,FLNTRANSPOSE!$B$3:$DC$102,52,0),0)</f>
        <v>0</v>
      </c>
    </row>
    <row r="55" spans="1:13">
      <c r="A55" s="793">
        <f>IF(A54=0,0,IF(A54&lt;ENTRY!$D$24,A54+1,0))</f>
        <v>0</v>
      </c>
      <c r="B55" s="794">
        <f>STUDENT!F48</f>
        <v>0</v>
      </c>
      <c r="C55" s="795">
        <f>STUDENT!E48</f>
        <v>0</v>
      </c>
      <c r="D55" s="795">
        <f>STUDENT!H48</f>
        <v>0</v>
      </c>
      <c r="E55" s="794">
        <f>IFERROR(VLOOKUP($E$7&amp;$E$8,FLNTRANSPOSE!$B$3:$DC$102,53,0),0)</f>
        <v>0</v>
      </c>
      <c r="F55" s="794">
        <f>IFERROR(VLOOKUP($E$7&amp;$F$8,FLNTRANSPOSE!$B$3:$DC$102,53,0),0)</f>
        <v>0</v>
      </c>
      <c r="G55" s="794">
        <f>IFERROR(VLOOKUP($E$7&amp;$G$8,FLNTRANSPOSE!$B$3:$DC$102,53,0),0)</f>
        <v>0</v>
      </c>
      <c r="H55" s="794">
        <f>IFERROR(VLOOKUP($H$7&amp;$H$8,FLNTRANSPOSE!$B$3:$DC$102,53,0),0)</f>
        <v>0</v>
      </c>
      <c r="I55" s="794">
        <f>IFERROR(VLOOKUP($H$7&amp;$I$8,FLNTRANSPOSE!$B$3:$DC$102,53,0),0)</f>
        <v>0</v>
      </c>
      <c r="J55" s="794">
        <f>IFERROR(VLOOKUP($H$7&amp;$J$8,FLNTRANSPOSE!$B$3:$DC$102,53,0),0)</f>
        <v>0</v>
      </c>
      <c r="K55" s="794">
        <f>IFERROR(VLOOKUP($K$7&amp;$K$8,FLNTRANSPOSE!$B$3:$DC$102,53,0),0)</f>
        <v>0</v>
      </c>
      <c r="L55" s="794">
        <f>IFERROR(VLOOKUP($K$7&amp;$L$8,FLNTRANSPOSE!$B$3:$DC$102,53,0),0)</f>
        <v>0</v>
      </c>
      <c r="M55" s="794">
        <f>IFERROR(VLOOKUP($K$7&amp;$M$8,FLNTRANSPOSE!$B$3:$DC$102,53,0),0)</f>
        <v>0</v>
      </c>
    </row>
    <row r="56" hidden="1" spans="1:13">
      <c r="A56" s="793">
        <f>IF(A55=0,0,IF(A55&lt;ENTRY!$D$24,A55+1,0))</f>
        <v>0</v>
      </c>
      <c r="B56" s="794">
        <f>STUDENT!F49</f>
        <v>0</v>
      </c>
      <c r="C56" s="795">
        <f>STUDENT!E49</f>
        <v>0</v>
      </c>
      <c r="D56" s="795">
        <f>STUDENT!H49</f>
        <v>0</v>
      </c>
      <c r="E56" s="794">
        <f>IFERROR(VLOOKUP($E$7&amp;$E$8,FLNTRANSPOSE!$B$3:$DC$102,54,0),0)</f>
        <v>0</v>
      </c>
      <c r="F56" s="794">
        <f>IFERROR(VLOOKUP($E$7&amp;$F$8,FLNTRANSPOSE!$B$3:$DC$102,54,0),0)</f>
        <v>0</v>
      </c>
      <c r="G56" s="794">
        <f>IFERROR(VLOOKUP($E$7&amp;$G$8,FLNTRANSPOSE!$B$3:$DC$102,54,0),0)</f>
        <v>0</v>
      </c>
      <c r="H56" s="794">
        <f>IFERROR(VLOOKUP($H$7&amp;$H$8,FLNTRANSPOSE!$B$3:$DC$102,54,0),0)</f>
        <v>0</v>
      </c>
      <c r="I56" s="794">
        <f>IFERROR(VLOOKUP($H$7&amp;$I$8,FLNTRANSPOSE!$B$3:$DC$102,54,0),0)</f>
        <v>0</v>
      </c>
      <c r="J56" s="794">
        <f>IFERROR(VLOOKUP($H$7&amp;$J$8,FLNTRANSPOSE!$B$3:$DC$102,54,0),0)</f>
        <v>0</v>
      </c>
      <c r="K56" s="794">
        <f>IFERROR(VLOOKUP($K$7&amp;$K$8,FLNTRANSPOSE!$B$3:$DC$102,54,0),0)</f>
        <v>0</v>
      </c>
      <c r="L56" s="794">
        <f>IFERROR(VLOOKUP($K$7&amp;$L$8,FLNTRANSPOSE!$B$3:$DC$102,54,0),0)</f>
        <v>0</v>
      </c>
      <c r="M56" s="794">
        <f>IFERROR(VLOOKUP($K$7&amp;$M$8,FLNTRANSPOSE!$B$3:$DC$102,54,0),0)</f>
        <v>0</v>
      </c>
    </row>
    <row r="57" hidden="1" spans="1:13">
      <c r="A57" s="793">
        <f>IF(A56=0,0,IF(A56&lt;ENTRY!$D$24,A56+1,0))</f>
        <v>0</v>
      </c>
      <c r="B57" s="794">
        <f>STUDENT!F50</f>
        <v>0</v>
      </c>
      <c r="C57" s="795">
        <f>STUDENT!E50</f>
        <v>0</v>
      </c>
      <c r="D57" s="795">
        <f>STUDENT!H50</f>
        <v>0</v>
      </c>
      <c r="E57" s="794">
        <f>IFERROR(VLOOKUP($E$7&amp;$E$8,FLNTRANSPOSE!$B$3:$DC$102,55,0),0)</f>
        <v>0</v>
      </c>
      <c r="F57" s="794">
        <f>IFERROR(VLOOKUP($E$7&amp;$F$8,FLNTRANSPOSE!$B$3:$DC$102,55,0),0)</f>
        <v>0</v>
      </c>
      <c r="G57" s="794">
        <f>IFERROR(VLOOKUP($E$7&amp;$G$8,FLNTRANSPOSE!$B$3:$DC$102,55,0),0)</f>
        <v>0</v>
      </c>
      <c r="H57" s="794">
        <f>IFERROR(VLOOKUP($H$7&amp;$H$8,FLNTRANSPOSE!$B$3:$DC$102,55,0),0)</f>
        <v>0</v>
      </c>
      <c r="I57" s="794">
        <f>IFERROR(VLOOKUP($H$7&amp;$I$8,FLNTRANSPOSE!$B$3:$DC$102,55,0),0)</f>
        <v>0</v>
      </c>
      <c r="J57" s="794">
        <f>IFERROR(VLOOKUP($H$7&amp;$J$8,FLNTRANSPOSE!$B$3:$DC$102,55,0),0)</f>
        <v>0</v>
      </c>
      <c r="K57" s="794">
        <f>IFERROR(VLOOKUP($K$7&amp;$K$8,FLNTRANSPOSE!$B$3:$DC$102,55,0),0)</f>
        <v>0</v>
      </c>
      <c r="L57" s="794">
        <f>IFERROR(VLOOKUP($K$7&amp;$L$8,FLNTRANSPOSE!$B$3:$DC$102,55,0),0)</f>
        <v>0</v>
      </c>
      <c r="M57" s="794">
        <f>IFERROR(VLOOKUP($K$7&amp;$M$8,FLNTRANSPOSE!$B$3:$DC$102,55,0),0)</f>
        <v>0</v>
      </c>
    </row>
    <row r="58" hidden="1" spans="1:13">
      <c r="A58" s="793">
        <f>IF(A57=0,0,IF(A57&lt;ENTRY!$D$24,A57+1,0))</f>
        <v>0</v>
      </c>
      <c r="B58" s="794">
        <f>STUDENT!F51</f>
        <v>0</v>
      </c>
      <c r="C58" s="795">
        <f>STUDENT!E51</f>
        <v>0</v>
      </c>
      <c r="D58" s="795">
        <f>STUDENT!H51</f>
        <v>0</v>
      </c>
      <c r="E58" s="794">
        <f>IFERROR(VLOOKUP($E$7&amp;$E$8,FLNTRANSPOSE!$B$3:$DC$102,56,0),0)</f>
        <v>0</v>
      </c>
      <c r="F58" s="794">
        <f>IFERROR(VLOOKUP($E$7&amp;$F$8,FLNTRANSPOSE!$B$3:$DC$102,56,0),0)</f>
        <v>0</v>
      </c>
      <c r="G58" s="794">
        <f>IFERROR(VLOOKUP($E$7&amp;$G$8,FLNTRANSPOSE!$B$3:$DC$102,56,0),0)</f>
        <v>0</v>
      </c>
      <c r="H58" s="794">
        <f>IFERROR(VLOOKUP($H$7&amp;$H$8,FLNTRANSPOSE!$B$3:$DC$102,56,0),0)</f>
        <v>0</v>
      </c>
      <c r="I58" s="794">
        <f>IFERROR(VLOOKUP($H$7&amp;$I$8,FLNTRANSPOSE!$B$3:$DC$102,56,0),0)</f>
        <v>0</v>
      </c>
      <c r="J58" s="794">
        <f>IFERROR(VLOOKUP($H$7&amp;$J$8,FLNTRANSPOSE!$B$3:$DC$102,56,0),0)</f>
        <v>0</v>
      </c>
      <c r="K58" s="794">
        <f>IFERROR(VLOOKUP($K$7&amp;$K$8,FLNTRANSPOSE!$B$3:$DC$102,56,0),0)</f>
        <v>0</v>
      </c>
      <c r="L58" s="794">
        <f>IFERROR(VLOOKUP($K$7&amp;$L$8,FLNTRANSPOSE!$B$3:$DC$102,56,0),0)</f>
        <v>0</v>
      </c>
      <c r="M58" s="794">
        <f>IFERROR(VLOOKUP($K$7&amp;$M$8,FLNTRANSPOSE!$B$3:$DC$102,56,0),0)</f>
        <v>0</v>
      </c>
    </row>
    <row r="59" hidden="1" spans="1:13">
      <c r="A59" s="793">
        <f>IF(A58=0,0,IF(A58&lt;ENTRY!$D$24,A58+1,0))</f>
        <v>0</v>
      </c>
      <c r="B59" s="794">
        <f>STUDENT!F52</f>
        <v>0</v>
      </c>
      <c r="C59" s="795">
        <f>STUDENT!E52</f>
        <v>0</v>
      </c>
      <c r="D59" s="795">
        <f>STUDENT!H52</f>
        <v>0</v>
      </c>
      <c r="E59" s="794">
        <f>IFERROR(VLOOKUP($E$7&amp;$E$8,FLNTRANSPOSE!$B$3:$DC$102,57,0),0)</f>
        <v>0</v>
      </c>
      <c r="F59" s="794">
        <f>IFERROR(VLOOKUP($E$7&amp;$F$8,FLNTRANSPOSE!$B$3:$DC$102,57,0),0)</f>
        <v>0</v>
      </c>
      <c r="G59" s="794">
        <f>IFERROR(VLOOKUP($E$7&amp;$G$8,FLNTRANSPOSE!$B$3:$DC$102,57,0),0)</f>
        <v>0</v>
      </c>
      <c r="H59" s="794">
        <f>IFERROR(VLOOKUP($H$7&amp;$H$8,FLNTRANSPOSE!$B$3:$DC$102,57,0),0)</f>
        <v>0</v>
      </c>
      <c r="I59" s="794">
        <f>IFERROR(VLOOKUP($H$7&amp;$I$8,FLNTRANSPOSE!$B$3:$DC$102,57,0),0)</f>
        <v>0</v>
      </c>
      <c r="J59" s="794">
        <f>IFERROR(VLOOKUP($H$7&amp;$J$8,FLNTRANSPOSE!$B$3:$DC$102,57,0),0)</f>
        <v>0</v>
      </c>
      <c r="K59" s="794">
        <f>IFERROR(VLOOKUP($K$7&amp;$K$8,FLNTRANSPOSE!$B$3:$DC$102,57,0),0)</f>
        <v>0</v>
      </c>
      <c r="L59" s="794">
        <f>IFERROR(VLOOKUP($K$7&amp;$L$8,FLNTRANSPOSE!$B$3:$DC$102,57,0),0)</f>
        <v>0</v>
      </c>
      <c r="M59" s="794">
        <f>IFERROR(VLOOKUP($K$7&amp;$M$8,FLNTRANSPOSE!$B$3:$DC$102,57,0),0)</f>
        <v>0</v>
      </c>
    </row>
    <row r="60" hidden="1" spans="1:13">
      <c r="A60" s="793">
        <f>IF(A59=0,0,IF(A59&lt;ENTRY!$D$24,A59+1,0))</f>
        <v>0</v>
      </c>
      <c r="B60" s="794">
        <f>STUDENT!F53</f>
        <v>0</v>
      </c>
      <c r="C60" s="795">
        <f>STUDENT!E53</f>
        <v>0</v>
      </c>
      <c r="D60" s="795">
        <f>STUDENT!H53</f>
        <v>0</v>
      </c>
      <c r="E60" s="794">
        <f>IFERROR(VLOOKUP($E$7&amp;$E$8,FLNTRANSPOSE!$B$3:$DC$102,58,0),0)</f>
        <v>0</v>
      </c>
      <c r="F60" s="794">
        <f>IFERROR(VLOOKUP($E$7&amp;$F$8,FLNTRANSPOSE!$B$3:$DC$102,58,0),0)</f>
        <v>0</v>
      </c>
      <c r="G60" s="794">
        <f>IFERROR(VLOOKUP($E$7&amp;$G$8,FLNTRANSPOSE!$B$3:$DC$102,58,0),0)</f>
        <v>0</v>
      </c>
      <c r="H60" s="794">
        <f>IFERROR(VLOOKUP($H$7&amp;$H$8,FLNTRANSPOSE!$B$3:$DC$102,58,0),0)</f>
        <v>0</v>
      </c>
      <c r="I60" s="794">
        <f>IFERROR(VLOOKUP($H$7&amp;$I$8,FLNTRANSPOSE!$B$3:$DC$102,58,0),0)</f>
        <v>0</v>
      </c>
      <c r="J60" s="794">
        <f>IFERROR(VLOOKUP($H$7&amp;$J$8,FLNTRANSPOSE!$B$3:$DC$102,58,0),0)</f>
        <v>0</v>
      </c>
      <c r="K60" s="794">
        <f>IFERROR(VLOOKUP($K$7&amp;$K$8,FLNTRANSPOSE!$B$3:$DC$102,58,0),0)</f>
        <v>0</v>
      </c>
      <c r="L60" s="794">
        <f>IFERROR(VLOOKUP($K$7&amp;$L$8,FLNTRANSPOSE!$B$3:$DC$102,58,0),0)</f>
        <v>0</v>
      </c>
      <c r="M60" s="794">
        <f>IFERROR(VLOOKUP($K$7&amp;$M$8,FLNTRANSPOSE!$B$3:$DC$102,58,0),0)</f>
        <v>0</v>
      </c>
    </row>
    <row r="61" hidden="1" spans="1:13">
      <c r="A61" s="793">
        <f>IF(A60=0,0,IF(A60&lt;ENTRY!$D$24,A60+1,0))</f>
        <v>0</v>
      </c>
      <c r="B61" s="794">
        <f>STUDENT!F54</f>
        <v>0</v>
      </c>
      <c r="C61" s="795">
        <f>STUDENT!E54</f>
        <v>0</v>
      </c>
      <c r="D61" s="795">
        <f>STUDENT!H54</f>
        <v>0</v>
      </c>
      <c r="E61" s="794">
        <f>IFERROR(VLOOKUP($E$7&amp;$E$8,FLNTRANSPOSE!$B$3:$DC$102,59,0),0)</f>
        <v>0</v>
      </c>
      <c r="F61" s="794">
        <f>IFERROR(VLOOKUP($E$7&amp;$F$8,FLNTRANSPOSE!$B$3:$DC$102,59,0),0)</f>
        <v>0</v>
      </c>
      <c r="G61" s="794">
        <f>IFERROR(VLOOKUP($E$7&amp;$G$8,FLNTRANSPOSE!$B$3:$DC$102,59,0),0)</f>
        <v>0</v>
      </c>
      <c r="H61" s="794">
        <f>IFERROR(VLOOKUP($H$7&amp;$H$8,FLNTRANSPOSE!$B$3:$DC$102,59,0),0)</f>
        <v>0</v>
      </c>
      <c r="I61" s="794">
        <f>IFERROR(VLOOKUP($H$7&amp;$I$8,FLNTRANSPOSE!$B$3:$DC$102,59,0),0)</f>
        <v>0</v>
      </c>
      <c r="J61" s="794">
        <f>IFERROR(VLOOKUP($H$7&amp;$J$8,FLNTRANSPOSE!$B$3:$DC$102,59,0),0)</f>
        <v>0</v>
      </c>
      <c r="K61" s="794">
        <f>IFERROR(VLOOKUP($K$7&amp;$K$8,FLNTRANSPOSE!$B$3:$DC$102,59,0),0)</f>
        <v>0</v>
      </c>
      <c r="L61" s="794">
        <f>IFERROR(VLOOKUP($K$7&amp;$L$8,FLNTRANSPOSE!$B$3:$DC$102,59,0),0)</f>
        <v>0</v>
      </c>
      <c r="M61" s="794">
        <f>IFERROR(VLOOKUP($K$7&amp;$M$8,FLNTRANSPOSE!$B$3:$DC$102,59,0),0)</f>
        <v>0</v>
      </c>
    </row>
    <row r="62" hidden="1" spans="1:13">
      <c r="A62" s="793">
        <f>IF(A61=0,0,IF(A61&lt;ENTRY!$D$24,A61+1,0))</f>
        <v>0</v>
      </c>
      <c r="B62" s="794">
        <f>STUDENT!F55</f>
        <v>0</v>
      </c>
      <c r="C62" s="795">
        <f>STUDENT!E55</f>
        <v>0</v>
      </c>
      <c r="D62" s="795">
        <f>STUDENT!H55</f>
        <v>0</v>
      </c>
      <c r="E62" s="794">
        <f>IFERROR(VLOOKUP($E$7&amp;$E$8,FLNTRANSPOSE!$B$3:$DC$102,60,0),0)</f>
        <v>0</v>
      </c>
      <c r="F62" s="794">
        <f>IFERROR(VLOOKUP($E$7&amp;$F$8,FLNTRANSPOSE!$B$3:$DC$102,60,0),0)</f>
        <v>0</v>
      </c>
      <c r="G62" s="794">
        <f>IFERROR(VLOOKUP($E$7&amp;$G$8,FLNTRANSPOSE!$B$3:$DC$102,60,0),0)</f>
        <v>0</v>
      </c>
      <c r="H62" s="794">
        <f>IFERROR(VLOOKUP($H$7&amp;$H$8,FLNTRANSPOSE!$B$3:$DC$102,60,0),0)</f>
        <v>0</v>
      </c>
      <c r="I62" s="794">
        <f>IFERROR(VLOOKUP($H$7&amp;$I$8,FLNTRANSPOSE!$B$3:$DC$102,60,0),0)</f>
        <v>0</v>
      </c>
      <c r="J62" s="794">
        <f>IFERROR(VLOOKUP($H$7&amp;$J$8,FLNTRANSPOSE!$B$3:$DC$102,60,0),0)</f>
        <v>0</v>
      </c>
      <c r="K62" s="794">
        <f>IFERROR(VLOOKUP($K$7&amp;$K$8,FLNTRANSPOSE!$B$3:$DC$102,60,0),0)</f>
        <v>0</v>
      </c>
      <c r="L62" s="794">
        <f>IFERROR(VLOOKUP($K$7&amp;$L$8,FLNTRANSPOSE!$B$3:$DC$102,60,0),0)</f>
        <v>0</v>
      </c>
      <c r="M62" s="794">
        <f>IFERROR(VLOOKUP($K$7&amp;$M$8,FLNTRANSPOSE!$B$3:$DC$102,60,0),0)</f>
        <v>0</v>
      </c>
    </row>
    <row r="63" hidden="1" spans="1:13">
      <c r="A63" s="793">
        <f>IF(A62=0,0,IF(A62&lt;ENTRY!$D$24,A62+1,0))</f>
        <v>0</v>
      </c>
      <c r="B63" s="794">
        <f>STUDENT!F56</f>
        <v>0</v>
      </c>
      <c r="C63" s="795">
        <f>STUDENT!E56</f>
        <v>0</v>
      </c>
      <c r="D63" s="795">
        <f>STUDENT!H56</f>
        <v>0</v>
      </c>
      <c r="E63" s="794">
        <f>IFERROR(VLOOKUP($E$7&amp;$E$8,FLNTRANSPOSE!$B$3:$DC$102,61,0),0)</f>
        <v>0</v>
      </c>
      <c r="F63" s="794">
        <f>IFERROR(VLOOKUP($E$7&amp;$F$8,FLNTRANSPOSE!$B$3:$DC$102,61,0),0)</f>
        <v>0</v>
      </c>
      <c r="G63" s="794">
        <f>IFERROR(VLOOKUP($E$7&amp;$G$8,FLNTRANSPOSE!$B$3:$DC$102,61,0),0)</f>
        <v>0</v>
      </c>
      <c r="H63" s="794">
        <f>IFERROR(VLOOKUP($H$7&amp;$H$8,FLNTRANSPOSE!$B$3:$DC$102,61,0),0)</f>
        <v>0</v>
      </c>
      <c r="I63" s="794">
        <f>IFERROR(VLOOKUP($H$7&amp;$I$8,FLNTRANSPOSE!$B$3:$DC$102,61,0),0)</f>
        <v>0</v>
      </c>
      <c r="J63" s="794">
        <f>IFERROR(VLOOKUP($H$7&amp;$J$8,FLNTRANSPOSE!$B$3:$DC$102,61,0),0)</f>
        <v>0</v>
      </c>
      <c r="K63" s="794">
        <f>IFERROR(VLOOKUP($K$7&amp;$K$8,FLNTRANSPOSE!$B$3:$DC$102,61,0),0)</f>
        <v>0</v>
      </c>
      <c r="L63" s="794">
        <f>IFERROR(VLOOKUP($K$7&amp;$L$8,FLNTRANSPOSE!$B$3:$DC$102,61,0),0)</f>
        <v>0</v>
      </c>
      <c r="M63" s="794">
        <f>IFERROR(VLOOKUP($K$7&amp;$M$8,FLNTRANSPOSE!$B$3:$DC$102,61,0),0)</f>
        <v>0</v>
      </c>
    </row>
    <row r="64" hidden="1" spans="1:13">
      <c r="A64" s="793">
        <f>IF(A63=0,0,IF(A63&lt;ENTRY!$D$24,A63+1,0))</f>
        <v>0</v>
      </c>
      <c r="B64" s="794">
        <f>STUDENT!F57</f>
        <v>0</v>
      </c>
      <c r="C64" s="795">
        <f>STUDENT!E57</f>
        <v>0</v>
      </c>
      <c r="D64" s="795">
        <f>STUDENT!H57</f>
        <v>0</v>
      </c>
      <c r="E64" s="794">
        <f>IFERROR(VLOOKUP($E$7&amp;$E$8,FLNTRANSPOSE!$B$3:$DC$102,62,0),0)</f>
        <v>0</v>
      </c>
      <c r="F64" s="794">
        <f>IFERROR(VLOOKUP($E$7&amp;$F$8,FLNTRANSPOSE!$B$3:$DC$102,62,0),0)</f>
        <v>0</v>
      </c>
      <c r="G64" s="794">
        <f>IFERROR(VLOOKUP($E$7&amp;$G$8,FLNTRANSPOSE!$B$3:$DC$102,62,0),0)</f>
        <v>0</v>
      </c>
      <c r="H64" s="794">
        <f>IFERROR(VLOOKUP($H$7&amp;$H$8,FLNTRANSPOSE!$B$3:$DC$102,62,0),0)</f>
        <v>0</v>
      </c>
      <c r="I64" s="794">
        <f>IFERROR(VLOOKUP($H$7&amp;$I$8,FLNTRANSPOSE!$B$3:$DC$102,62,0),0)</f>
        <v>0</v>
      </c>
      <c r="J64" s="794">
        <f>IFERROR(VLOOKUP($H$7&amp;$J$8,FLNTRANSPOSE!$B$3:$DC$102,62,0),0)</f>
        <v>0</v>
      </c>
      <c r="K64" s="794">
        <f>IFERROR(VLOOKUP($K$7&amp;$K$8,FLNTRANSPOSE!$B$3:$DC$102,62,0),0)</f>
        <v>0</v>
      </c>
      <c r="L64" s="794">
        <f>IFERROR(VLOOKUP($K$7&amp;$L$8,FLNTRANSPOSE!$B$3:$DC$102,62,0),0)</f>
        <v>0</v>
      </c>
      <c r="M64" s="794">
        <f>IFERROR(VLOOKUP($K$7&amp;$M$8,FLNTRANSPOSE!$B$3:$DC$102,62,0),0)</f>
        <v>0</v>
      </c>
    </row>
    <row r="65" hidden="1" spans="1:13">
      <c r="A65" s="793">
        <f>IF(A64=0,0,IF(A64&lt;ENTRY!$D$24,A64+1,0))</f>
        <v>0</v>
      </c>
      <c r="B65" s="794">
        <f>STUDENT!F58</f>
        <v>0</v>
      </c>
      <c r="C65" s="795">
        <f>STUDENT!E58</f>
        <v>0</v>
      </c>
      <c r="D65" s="795">
        <f>STUDENT!H58</f>
        <v>0</v>
      </c>
      <c r="E65" s="794">
        <f>IFERROR(VLOOKUP($E$7&amp;$E$8,FLNTRANSPOSE!$B$3:$DC$102,63,0),0)</f>
        <v>0</v>
      </c>
      <c r="F65" s="794">
        <f>IFERROR(VLOOKUP($E$7&amp;$F$8,FLNTRANSPOSE!$B$3:$DC$102,63,0),0)</f>
        <v>0</v>
      </c>
      <c r="G65" s="794">
        <f>IFERROR(VLOOKUP($E$7&amp;$G$8,FLNTRANSPOSE!$B$3:$DC$102,63,0),0)</f>
        <v>0</v>
      </c>
      <c r="H65" s="794">
        <f>IFERROR(VLOOKUP($H$7&amp;$H$8,FLNTRANSPOSE!$B$3:$DC$102,63,0),0)</f>
        <v>0</v>
      </c>
      <c r="I65" s="794">
        <f>IFERROR(VLOOKUP($H$7&amp;$I$8,FLNTRANSPOSE!$B$3:$DC$102,63,0),0)</f>
        <v>0</v>
      </c>
      <c r="J65" s="794">
        <f>IFERROR(VLOOKUP($H$7&amp;$J$8,FLNTRANSPOSE!$B$3:$DC$102,63,0),0)</f>
        <v>0</v>
      </c>
      <c r="K65" s="794">
        <f>IFERROR(VLOOKUP($K$7&amp;$K$8,FLNTRANSPOSE!$B$3:$DC$102,63,0),0)</f>
        <v>0</v>
      </c>
      <c r="L65" s="794">
        <f>IFERROR(VLOOKUP($K$7&amp;$L$8,FLNTRANSPOSE!$B$3:$DC$102,63,0),0)</f>
        <v>0</v>
      </c>
      <c r="M65" s="794">
        <f>IFERROR(VLOOKUP($K$7&amp;$M$8,FLNTRANSPOSE!$B$3:$DC$102,63,0),0)</f>
        <v>0</v>
      </c>
    </row>
    <row r="66" hidden="1" spans="1:13">
      <c r="A66" s="793">
        <f>IF(A65=0,0,IF(A65&lt;ENTRY!$D$24,A65+1,0))</f>
        <v>0</v>
      </c>
      <c r="B66" s="794">
        <f>STUDENT!F59</f>
        <v>0</v>
      </c>
      <c r="C66" s="795">
        <f>STUDENT!E59</f>
        <v>0</v>
      </c>
      <c r="D66" s="795">
        <f>STUDENT!H59</f>
        <v>0</v>
      </c>
      <c r="E66" s="794">
        <f>IFERROR(VLOOKUP($E$7&amp;$E$8,FLNTRANSPOSE!$B$3:$DC$102,64,0),0)</f>
        <v>0</v>
      </c>
      <c r="F66" s="794">
        <f>IFERROR(VLOOKUP($E$7&amp;$F$8,FLNTRANSPOSE!$B$3:$DC$102,64,0),0)</f>
        <v>0</v>
      </c>
      <c r="G66" s="794">
        <f>IFERROR(VLOOKUP($E$7&amp;$G$8,FLNTRANSPOSE!$B$3:$DC$102,64,0),0)</f>
        <v>0</v>
      </c>
      <c r="H66" s="794">
        <f>IFERROR(VLOOKUP($H$7&amp;$H$8,FLNTRANSPOSE!$B$3:$DC$102,64,0),0)</f>
        <v>0</v>
      </c>
      <c r="I66" s="794">
        <f>IFERROR(VLOOKUP($H$7&amp;$I$8,FLNTRANSPOSE!$B$3:$DC$102,64,0),0)</f>
        <v>0</v>
      </c>
      <c r="J66" s="794">
        <f>IFERROR(VLOOKUP($H$7&amp;$J$8,FLNTRANSPOSE!$B$3:$DC$102,64,0),0)</f>
        <v>0</v>
      </c>
      <c r="K66" s="794">
        <f>IFERROR(VLOOKUP($K$7&amp;$K$8,FLNTRANSPOSE!$B$3:$DC$102,64,0),0)</f>
        <v>0</v>
      </c>
      <c r="L66" s="794">
        <f>IFERROR(VLOOKUP($K$7&amp;$L$8,FLNTRANSPOSE!$B$3:$DC$102,64,0),0)</f>
        <v>0</v>
      </c>
      <c r="M66" s="794">
        <f>IFERROR(VLOOKUP($K$7&amp;$M$8,FLNTRANSPOSE!$B$3:$DC$102,64,0),0)</f>
        <v>0</v>
      </c>
    </row>
    <row r="67" hidden="1" spans="1:13">
      <c r="A67" s="793">
        <f>IF(A66=0,0,IF(A66&lt;ENTRY!$D$24,A66+1,0))</f>
        <v>0</v>
      </c>
      <c r="B67" s="794">
        <f>STUDENT!F60</f>
        <v>0</v>
      </c>
      <c r="C67" s="795">
        <f>STUDENT!E60</f>
        <v>0</v>
      </c>
      <c r="D67" s="795">
        <f>STUDENT!H60</f>
        <v>0</v>
      </c>
      <c r="E67" s="794">
        <f>IFERROR(VLOOKUP($E$7&amp;$E$8,FLNTRANSPOSE!$B$3:$DC$102,65,0),0)</f>
        <v>0</v>
      </c>
      <c r="F67" s="794">
        <f>IFERROR(VLOOKUP($E$7&amp;$F$8,FLNTRANSPOSE!$B$3:$DC$102,65,0),0)</f>
        <v>0</v>
      </c>
      <c r="G67" s="794">
        <f>IFERROR(VLOOKUP($E$7&amp;$G$8,FLNTRANSPOSE!$B$3:$DC$102,65,0),0)</f>
        <v>0</v>
      </c>
      <c r="H67" s="794">
        <f>IFERROR(VLOOKUP($H$7&amp;$H$8,FLNTRANSPOSE!$B$3:$DC$102,65,0),0)</f>
        <v>0</v>
      </c>
      <c r="I67" s="794">
        <f>IFERROR(VLOOKUP($H$7&amp;$I$8,FLNTRANSPOSE!$B$3:$DC$102,65,0),0)</f>
        <v>0</v>
      </c>
      <c r="J67" s="794">
        <f>IFERROR(VLOOKUP($H$7&amp;$J$8,FLNTRANSPOSE!$B$3:$DC$102,65,0),0)</f>
        <v>0</v>
      </c>
      <c r="K67" s="794">
        <f>IFERROR(VLOOKUP($K$7&amp;$K$8,FLNTRANSPOSE!$B$3:$DC$102,65,0),0)</f>
        <v>0</v>
      </c>
      <c r="L67" s="794">
        <f>IFERROR(VLOOKUP($K$7&amp;$L$8,FLNTRANSPOSE!$B$3:$DC$102,65,0),0)</f>
        <v>0</v>
      </c>
      <c r="M67" s="794">
        <f>IFERROR(VLOOKUP($K$7&amp;$M$8,FLNTRANSPOSE!$B$3:$DC$102,65,0),0)</f>
        <v>0</v>
      </c>
    </row>
    <row r="68" hidden="1" spans="1:13">
      <c r="A68" s="793">
        <f>IF(A67=0,0,IF(A67&lt;ENTRY!$D$24,A67+1,0))</f>
        <v>0</v>
      </c>
      <c r="B68" s="794">
        <f>STUDENT!F61</f>
        <v>0</v>
      </c>
      <c r="C68" s="795">
        <f>STUDENT!E61</f>
        <v>0</v>
      </c>
      <c r="D68" s="795">
        <f>STUDENT!H61</f>
        <v>0</v>
      </c>
      <c r="E68" s="794">
        <f>IFERROR(VLOOKUP($E$7&amp;$E$8,FLNTRANSPOSE!$B$3:$DC$102,66,0),0)</f>
        <v>0</v>
      </c>
      <c r="F68" s="794">
        <f>IFERROR(VLOOKUP($E$7&amp;$F$8,FLNTRANSPOSE!$B$3:$DC$102,66,0),0)</f>
        <v>0</v>
      </c>
      <c r="G68" s="794">
        <f>IFERROR(VLOOKUP($E$7&amp;$G$8,FLNTRANSPOSE!$B$3:$DC$102,66,0),0)</f>
        <v>0</v>
      </c>
      <c r="H68" s="794">
        <f>IFERROR(VLOOKUP($H$7&amp;$H$8,FLNTRANSPOSE!$B$3:$DC$102,66,0),0)</f>
        <v>0</v>
      </c>
      <c r="I68" s="794">
        <f>IFERROR(VLOOKUP($H$7&amp;$I$8,FLNTRANSPOSE!$B$3:$DC$102,66,0),0)</f>
        <v>0</v>
      </c>
      <c r="J68" s="794">
        <f>IFERROR(VLOOKUP($H$7&amp;$J$8,FLNTRANSPOSE!$B$3:$DC$102,66,0),0)</f>
        <v>0</v>
      </c>
      <c r="K68" s="794">
        <f>IFERROR(VLOOKUP($K$7&amp;$K$8,FLNTRANSPOSE!$B$3:$DC$102,66,0),0)</f>
        <v>0</v>
      </c>
      <c r="L68" s="794">
        <f>IFERROR(VLOOKUP($K$7&amp;$L$8,FLNTRANSPOSE!$B$3:$DC$102,66,0),0)</f>
        <v>0</v>
      </c>
      <c r="M68" s="794">
        <f>IFERROR(VLOOKUP($K$7&amp;$M$8,FLNTRANSPOSE!$B$3:$DC$102,66,0),0)</f>
        <v>0</v>
      </c>
    </row>
    <row r="69" hidden="1" spans="1:13">
      <c r="A69" s="793">
        <f>IF(A68=0,0,IF(A68&lt;ENTRY!$D$24,A68+1,0))</f>
        <v>0</v>
      </c>
      <c r="B69" s="794">
        <f>STUDENT!F62</f>
        <v>0</v>
      </c>
      <c r="C69" s="795">
        <f>STUDENT!E62</f>
        <v>0</v>
      </c>
      <c r="D69" s="795">
        <f>STUDENT!H62</f>
        <v>0</v>
      </c>
      <c r="E69" s="794">
        <f>IFERROR(VLOOKUP($E$7&amp;$E$8,FLNTRANSPOSE!$B$3:$DC$102,67,0),0)</f>
        <v>0</v>
      </c>
      <c r="F69" s="794">
        <f>IFERROR(VLOOKUP($E$7&amp;$F$8,FLNTRANSPOSE!$B$3:$DC$102,67,0),0)</f>
        <v>0</v>
      </c>
      <c r="G69" s="794">
        <f>IFERROR(VLOOKUP($E$7&amp;$G$8,FLNTRANSPOSE!$B$3:$DC$102,67,0),0)</f>
        <v>0</v>
      </c>
      <c r="H69" s="794">
        <f>IFERROR(VLOOKUP($H$7&amp;$H$8,FLNTRANSPOSE!$B$3:$DC$102,67,0),0)</f>
        <v>0</v>
      </c>
      <c r="I69" s="794">
        <f>IFERROR(VLOOKUP($H$7&amp;$I$8,FLNTRANSPOSE!$B$3:$DC$102,67,0),0)</f>
        <v>0</v>
      </c>
      <c r="J69" s="794">
        <f>IFERROR(VLOOKUP($H$7&amp;$J$8,FLNTRANSPOSE!$B$3:$DC$102,67,0),0)</f>
        <v>0</v>
      </c>
      <c r="K69" s="794">
        <f>IFERROR(VLOOKUP($K$7&amp;$K$8,FLNTRANSPOSE!$B$3:$DC$102,67,0),0)</f>
        <v>0</v>
      </c>
      <c r="L69" s="794">
        <f>IFERROR(VLOOKUP($K$7&amp;$L$8,FLNTRANSPOSE!$B$3:$DC$102,67,0),0)</f>
        <v>0</v>
      </c>
      <c r="M69" s="794">
        <f>IFERROR(VLOOKUP($K$7&amp;$M$8,FLNTRANSPOSE!$B$3:$DC$102,67,0),0)</f>
        <v>0</v>
      </c>
    </row>
    <row r="70" hidden="1" spans="1:13">
      <c r="A70" s="793">
        <f>IF(A69=0,0,IF(A69&lt;ENTRY!$D$24,A69+1,0))</f>
        <v>0</v>
      </c>
      <c r="B70" s="794">
        <f>STUDENT!F63</f>
        <v>0</v>
      </c>
      <c r="C70" s="795">
        <f>STUDENT!E63</f>
        <v>0</v>
      </c>
      <c r="D70" s="795">
        <f>STUDENT!H63</f>
        <v>0</v>
      </c>
      <c r="E70" s="794">
        <f>IFERROR(VLOOKUP($E$7&amp;$E$8,FLNTRANSPOSE!$B$3:$DC$102,68,0),0)</f>
        <v>0</v>
      </c>
      <c r="F70" s="794">
        <f>IFERROR(VLOOKUP($E$7&amp;$F$8,FLNTRANSPOSE!$B$3:$DC$102,68,0),0)</f>
        <v>0</v>
      </c>
      <c r="G70" s="794">
        <f>IFERROR(VLOOKUP($E$7&amp;$G$8,FLNTRANSPOSE!$B$3:$DC$102,68,0),0)</f>
        <v>0</v>
      </c>
      <c r="H70" s="794">
        <f>IFERROR(VLOOKUP($H$7&amp;$H$8,FLNTRANSPOSE!$B$3:$DC$102,68,0),0)</f>
        <v>0</v>
      </c>
      <c r="I70" s="794">
        <f>IFERROR(VLOOKUP($H$7&amp;$I$8,FLNTRANSPOSE!$B$3:$DC$102,68,0),0)</f>
        <v>0</v>
      </c>
      <c r="J70" s="794">
        <f>IFERROR(VLOOKUP($H$7&amp;$J$8,FLNTRANSPOSE!$B$3:$DC$102,68,0),0)</f>
        <v>0</v>
      </c>
      <c r="K70" s="794">
        <f>IFERROR(VLOOKUP($K$7&amp;$K$8,FLNTRANSPOSE!$B$3:$DC$102,68,0),0)</f>
        <v>0</v>
      </c>
      <c r="L70" s="794">
        <f>IFERROR(VLOOKUP($K$7&amp;$L$8,FLNTRANSPOSE!$B$3:$DC$102,68,0),0)</f>
        <v>0</v>
      </c>
      <c r="M70" s="794">
        <f>IFERROR(VLOOKUP($K$7&amp;$M$8,FLNTRANSPOSE!$B$3:$DC$102,68,0),0)</f>
        <v>0</v>
      </c>
    </row>
    <row r="71" hidden="1" spans="1:13">
      <c r="A71" s="793">
        <f>IF(A70=0,0,IF(A70&lt;ENTRY!$D$24,A70+1,0))</f>
        <v>0</v>
      </c>
      <c r="B71" s="794">
        <f>STUDENT!F64</f>
        <v>0</v>
      </c>
      <c r="C71" s="795">
        <f>STUDENT!E64</f>
        <v>0</v>
      </c>
      <c r="D71" s="795">
        <f>STUDENT!H64</f>
        <v>0</v>
      </c>
      <c r="E71" s="794">
        <f>IFERROR(VLOOKUP($E$7&amp;$E$8,FLNTRANSPOSE!$B$3:$DC$102,69,0),0)</f>
        <v>0</v>
      </c>
      <c r="F71" s="794">
        <f>IFERROR(VLOOKUP($E$7&amp;$F$8,FLNTRANSPOSE!$B$3:$DC$102,69,0),0)</f>
        <v>0</v>
      </c>
      <c r="G71" s="794">
        <f>IFERROR(VLOOKUP($E$7&amp;$G$8,FLNTRANSPOSE!$B$3:$DC$102,69,0),0)</f>
        <v>0</v>
      </c>
      <c r="H71" s="794">
        <f>IFERROR(VLOOKUP($H$7&amp;$H$8,FLNTRANSPOSE!$B$3:$DC$102,69,0),0)</f>
        <v>0</v>
      </c>
      <c r="I71" s="794">
        <f>IFERROR(VLOOKUP($H$7&amp;$I$8,FLNTRANSPOSE!$B$3:$DC$102,69,0),0)</f>
        <v>0</v>
      </c>
      <c r="J71" s="794">
        <f>IFERROR(VLOOKUP($H$7&amp;$J$8,FLNTRANSPOSE!$B$3:$DC$102,69,0),0)</f>
        <v>0</v>
      </c>
      <c r="K71" s="794">
        <f>IFERROR(VLOOKUP($K$7&amp;$K$8,FLNTRANSPOSE!$B$3:$DC$102,69,0),0)</f>
        <v>0</v>
      </c>
      <c r="L71" s="794">
        <f>IFERROR(VLOOKUP($K$7&amp;$L$8,FLNTRANSPOSE!$B$3:$DC$102,69,0),0)</f>
        <v>0</v>
      </c>
      <c r="M71" s="794">
        <f>IFERROR(VLOOKUP($K$7&amp;$M$8,FLNTRANSPOSE!$B$3:$DC$102,69,0),0)</f>
        <v>0</v>
      </c>
    </row>
    <row r="72" hidden="1" spans="1:13">
      <c r="A72" s="793">
        <f>IF(A71=0,0,IF(A71&lt;ENTRY!$D$24,A71+1,0))</f>
        <v>0</v>
      </c>
      <c r="B72" s="794">
        <f>STUDENT!F65</f>
        <v>0</v>
      </c>
      <c r="C72" s="795">
        <f>STUDENT!E65</f>
        <v>0</v>
      </c>
      <c r="D72" s="795">
        <f>STUDENT!H65</f>
        <v>0</v>
      </c>
      <c r="E72" s="794">
        <f>IFERROR(VLOOKUP($E$7&amp;$E$8,FLNTRANSPOSE!$B$3:$DC$102,70,0),0)</f>
        <v>0</v>
      </c>
      <c r="F72" s="794">
        <f>IFERROR(VLOOKUP($E$7&amp;$F$8,FLNTRANSPOSE!$B$3:$DC$102,70,0),0)</f>
        <v>0</v>
      </c>
      <c r="G72" s="794">
        <f>IFERROR(VLOOKUP($E$7&amp;$G$8,FLNTRANSPOSE!$B$3:$DC$102,70,0),0)</f>
        <v>0</v>
      </c>
      <c r="H72" s="794">
        <f>IFERROR(VLOOKUP($H$7&amp;$H$8,FLNTRANSPOSE!$B$3:$DC$102,70,0),0)</f>
        <v>0</v>
      </c>
      <c r="I72" s="794">
        <f>IFERROR(VLOOKUP($H$7&amp;$I$8,FLNTRANSPOSE!$B$3:$DC$102,70,0),0)</f>
        <v>0</v>
      </c>
      <c r="J72" s="794">
        <f>IFERROR(VLOOKUP($H$7&amp;$J$8,FLNTRANSPOSE!$B$3:$DC$102,70,0),0)</f>
        <v>0</v>
      </c>
      <c r="K72" s="794">
        <f>IFERROR(VLOOKUP($K$7&amp;$K$8,FLNTRANSPOSE!$B$3:$DC$102,70,0),0)</f>
        <v>0</v>
      </c>
      <c r="L72" s="794">
        <f>IFERROR(VLOOKUP($K$7&amp;$L$8,FLNTRANSPOSE!$B$3:$DC$102,70,0),0)</f>
        <v>0</v>
      </c>
      <c r="M72" s="794">
        <f>IFERROR(VLOOKUP($K$7&amp;$M$8,FLNTRANSPOSE!$B$3:$DC$102,70,0),0)</f>
        <v>0</v>
      </c>
    </row>
    <row r="73" hidden="1" spans="1:13">
      <c r="A73" s="793">
        <f>IF(A72=0,0,IF(A72&lt;ENTRY!$D$24,A72+1,0))</f>
        <v>0</v>
      </c>
      <c r="B73" s="794">
        <f>STUDENT!F66</f>
        <v>0</v>
      </c>
      <c r="C73" s="795">
        <f>STUDENT!E66</f>
        <v>0</v>
      </c>
      <c r="D73" s="795">
        <f>STUDENT!H66</f>
        <v>0</v>
      </c>
      <c r="E73" s="794">
        <f>IFERROR(VLOOKUP($E$7&amp;$E$8,FLNTRANSPOSE!$B$3:$DC$102,71,0),0)</f>
        <v>0</v>
      </c>
      <c r="F73" s="794">
        <f>IFERROR(VLOOKUP($E$7&amp;$F$8,FLNTRANSPOSE!$B$3:$DC$102,71,0),0)</f>
        <v>0</v>
      </c>
      <c r="G73" s="794">
        <f>IFERROR(VLOOKUP($E$7&amp;$G$8,FLNTRANSPOSE!$B$3:$DC$102,71,0),0)</f>
        <v>0</v>
      </c>
      <c r="H73" s="794">
        <f>IFERROR(VLOOKUP($H$7&amp;$H$8,FLNTRANSPOSE!$B$3:$DC$102,71,0),0)</f>
        <v>0</v>
      </c>
      <c r="I73" s="794">
        <f>IFERROR(VLOOKUP($H$7&amp;$I$8,FLNTRANSPOSE!$B$3:$DC$102,71,0),0)</f>
        <v>0</v>
      </c>
      <c r="J73" s="794">
        <f>IFERROR(VLOOKUP($H$7&amp;$J$8,FLNTRANSPOSE!$B$3:$DC$102,71,0),0)</f>
        <v>0</v>
      </c>
      <c r="K73" s="794">
        <f>IFERROR(VLOOKUP($K$7&amp;$K$8,FLNTRANSPOSE!$B$3:$DC$102,71,0),0)</f>
        <v>0</v>
      </c>
      <c r="L73" s="794">
        <f>IFERROR(VLOOKUP($K$7&amp;$L$8,FLNTRANSPOSE!$B$3:$DC$102,71,0),0)</f>
        <v>0</v>
      </c>
      <c r="M73" s="794">
        <f>IFERROR(VLOOKUP($K$7&amp;$M$8,FLNTRANSPOSE!$B$3:$DC$102,71,0),0)</f>
        <v>0</v>
      </c>
    </row>
    <row r="74" hidden="1" spans="1:13">
      <c r="A74" s="793">
        <f>IF(A73=0,0,IF(A73&lt;ENTRY!$D$24,A73+1,0))</f>
        <v>0</v>
      </c>
      <c r="B74" s="794">
        <f>STUDENT!F67</f>
        <v>0</v>
      </c>
      <c r="C74" s="795">
        <f>STUDENT!E67</f>
        <v>0</v>
      </c>
      <c r="D74" s="795">
        <f>STUDENT!H67</f>
        <v>0</v>
      </c>
      <c r="E74" s="794">
        <f>IFERROR(VLOOKUP($E$7&amp;$E$8,FLNTRANSPOSE!$B$3:$DC$102,72,0),0)</f>
        <v>0</v>
      </c>
      <c r="F74" s="794">
        <f>IFERROR(VLOOKUP($E$7&amp;$F$8,FLNTRANSPOSE!$B$3:$DC$102,72,0),0)</f>
        <v>0</v>
      </c>
      <c r="G74" s="794">
        <f>IFERROR(VLOOKUP($E$7&amp;$G$8,FLNTRANSPOSE!$B$3:$DC$102,72,0),0)</f>
        <v>0</v>
      </c>
      <c r="H74" s="794">
        <f>IFERROR(VLOOKUP($H$7&amp;$H$8,FLNTRANSPOSE!$B$3:$DC$102,72,0),0)</f>
        <v>0</v>
      </c>
      <c r="I74" s="794">
        <f>IFERROR(VLOOKUP($H$7&amp;$I$8,FLNTRANSPOSE!$B$3:$DC$102,72,0),0)</f>
        <v>0</v>
      </c>
      <c r="J74" s="794">
        <f>IFERROR(VLOOKUP($H$7&amp;$J$8,FLNTRANSPOSE!$B$3:$DC$102,72,0),0)</f>
        <v>0</v>
      </c>
      <c r="K74" s="794">
        <f>IFERROR(VLOOKUP($K$7&amp;$K$8,FLNTRANSPOSE!$B$3:$DC$102,72,0),0)</f>
        <v>0</v>
      </c>
      <c r="L74" s="794">
        <f>IFERROR(VLOOKUP($K$7&amp;$L$8,FLNTRANSPOSE!$B$3:$DC$102,72,0),0)</f>
        <v>0</v>
      </c>
      <c r="M74" s="794">
        <f>IFERROR(VLOOKUP($K$7&amp;$M$8,FLNTRANSPOSE!$B$3:$DC$102,72,0),0)</f>
        <v>0</v>
      </c>
    </row>
    <row r="75" hidden="1" spans="1:13">
      <c r="A75" s="793">
        <f>IF(A74=0,0,IF(A74&lt;ENTRY!$D$24,A74+1,0))</f>
        <v>0</v>
      </c>
      <c r="B75" s="794">
        <f>STUDENT!F68</f>
        <v>0</v>
      </c>
      <c r="C75" s="795">
        <f>STUDENT!E68</f>
        <v>0</v>
      </c>
      <c r="D75" s="795">
        <f>STUDENT!H68</f>
        <v>0</v>
      </c>
      <c r="E75" s="794">
        <f>IFERROR(VLOOKUP($E$7&amp;$E$8,FLNTRANSPOSE!$B$3:$DC$102,73,0),0)</f>
        <v>0</v>
      </c>
      <c r="F75" s="794">
        <f>IFERROR(VLOOKUP($E$7&amp;$F$8,FLNTRANSPOSE!$B$3:$DC$102,73,0),0)</f>
        <v>0</v>
      </c>
      <c r="G75" s="794">
        <f>IFERROR(VLOOKUP($E$7&amp;$G$8,FLNTRANSPOSE!$B$3:$DC$102,73,0),0)</f>
        <v>0</v>
      </c>
      <c r="H75" s="794">
        <f>IFERROR(VLOOKUP($H$7&amp;$H$8,FLNTRANSPOSE!$B$3:$DC$102,73,0),0)</f>
        <v>0</v>
      </c>
      <c r="I75" s="794">
        <f>IFERROR(VLOOKUP($H$7&amp;$I$8,FLNTRANSPOSE!$B$3:$DC$102,73,0),0)</f>
        <v>0</v>
      </c>
      <c r="J75" s="794">
        <f>IFERROR(VLOOKUP($H$7&amp;$J$8,FLNTRANSPOSE!$B$3:$DC$102,73,0),0)</f>
        <v>0</v>
      </c>
      <c r="K75" s="794">
        <f>IFERROR(VLOOKUP($K$7&amp;$K$8,FLNTRANSPOSE!$B$3:$DC$102,73,0),0)</f>
        <v>0</v>
      </c>
      <c r="L75" s="794">
        <f>IFERROR(VLOOKUP($K$7&amp;$L$8,FLNTRANSPOSE!$B$3:$DC$102,73,0),0)</f>
        <v>0</v>
      </c>
      <c r="M75" s="794">
        <f>IFERROR(VLOOKUP($K$7&amp;$M$8,FLNTRANSPOSE!$B$3:$DC$102,73,0),0)</f>
        <v>0</v>
      </c>
    </row>
    <row r="76" hidden="1" spans="1:13">
      <c r="A76" s="793">
        <f>IF(A75=0,0,IF(A75&lt;ENTRY!$D$24,A75+1,0))</f>
        <v>0</v>
      </c>
      <c r="B76" s="794">
        <f>STUDENT!F69</f>
        <v>0</v>
      </c>
      <c r="C76" s="795">
        <f>STUDENT!E69</f>
        <v>0</v>
      </c>
      <c r="D76" s="795">
        <f>STUDENT!H69</f>
        <v>0</v>
      </c>
      <c r="E76" s="794">
        <f>IFERROR(VLOOKUP($E$7&amp;$E$8,FLNTRANSPOSE!$B$3:$DC$102,74,0),0)</f>
        <v>0</v>
      </c>
      <c r="F76" s="794">
        <f>IFERROR(VLOOKUP($E$7&amp;$F$8,FLNTRANSPOSE!$B$3:$DC$102,74,0),0)</f>
        <v>0</v>
      </c>
      <c r="G76" s="794">
        <f>IFERROR(VLOOKUP($E$7&amp;$G$8,FLNTRANSPOSE!$B$3:$DC$102,74,0),0)</f>
        <v>0</v>
      </c>
      <c r="H76" s="794">
        <f>IFERROR(VLOOKUP($H$7&amp;$H$8,FLNTRANSPOSE!$B$3:$DC$102,74,0),0)</f>
        <v>0</v>
      </c>
      <c r="I76" s="794">
        <f>IFERROR(VLOOKUP($H$7&amp;$I$8,FLNTRANSPOSE!$B$3:$DC$102,74,0),0)</f>
        <v>0</v>
      </c>
      <c r="J76" s="794">
        <f>IFERROR(VLOOKUP($H$7&amp;$J$8,FLNTRANSPOSE!$B$3:$DC$102,74,0),0)</f>
        <v>0</v>
      </c>
      <c r="K76" s="794">
        <f>IFERROR(VLOOKUP($K$7&amp;$K$8,FLNTRANSPOSE!$B$3:$DC$102,74,0),0)</f>
        <v>0</v>
      </c>
      <c r="L76" s="794">
        <f>IFERROR(VLOOKUP($K$7&amp;$L$8,FLNTRANSPOSE!$B$3:$DC$102,74,0),0)</f>
        <v>0</v>
      </c>
      <c r="M76" s="794">
        <f>IFERROR(VLOOKUP($K$7&amp;$M$8,FLNTRANSPOSE!$B$3:$DC$102,74,0),0)</f>
        <v>0</v>
      </c>
    </row>
    <row r="77" hidden="1" spans="1:13">
      <c r="A77" s="793">
        <f>IF(A76=0,0,IF(A76&lt;ENTRY!$D$24,A76+1,0))</f>
        <v>0</v>
      </c>
      <c r="B77" s="794">
        <f>STUDENT!F70</f>
        <v>0</v>
      </c>
      <c r="C77" s="795">
        <f>STUDENT!E70</f>
        <v>0</v>
      </c>
      <c r="D77" s="795">
        <f>STUDENT!H70</f>
        <v>0</v>
      </c>
      <c r="E77" s="794">
        <f>IFERROR(VLOOKUP($E$7&amp;$E$8,FLNTRANSPOSE!$B$3:$DC$102,75,0),0)</f>
        <v>0</v>
      </c>
      <c r="F77" s="794">
        <f>IFERROR(VLOOKUP($E$7&amp;$F$8,FLNTRANSPOSE!$B$3:$DC$102,75,0),0)</f>
        <v>0</v>
      </c>
      <c r="G77" s="794">
        <f>IFERROR(VLOOKUP($E$7&amp;$G$8,FLNTRANSPOSE!$B$3:$DC$102,75,0),0)</f>
        <v>0</v>
      </c>
      <c r="H77" s="794">
        <f>IFERROR(VLOOKUP($H$7&amp;$H$8,FLNTRANSPOSE!$B$3:$DC$102,75,0),0)</f>
        <v>0</v>
      </c>
      <c r="I77" s="794">
        <f>IFERROR(VLOOKUP($H$7&amp;$I$8,FLNTRANSPOSE!$B$3:$DC$102,75,0),0)</f>
        <v>0</v>
      </c>
      <c r="J77" s="794">
        <f>IFERROR(VLOOKUP($H$7&amp;$J$8,FLNTRANSPOSE!$B$3:$DC$102,75,0),0)</f>
        <v>0</v>
      </c>
      <c r="K77" s="794">
        <f>IFERROR(VLOOKUP($K$7&amp;$K$8,FLNTRANSPOSE!$B$3:$DC$102,75,0),0)</f>
        <v>0</v>
      </c>
      <c r="L77" s="794">
        <f>IFERROR(VLOOKUP($K$7&amp;$L$8,FLNTRANSPOSE!$B$3:$DC$102,75,0),0)</f>
        <v>0</v>
      </c>
      <c r="M77" s="794">
        <f>IFERROR(VLOOKUP($K$7&amp;$M$8,FLNTRANSPOSE!$B$3:$DC$102,75,0),0)</f>
        <v>0</v>
      </c>
    </row>
    <row r="78" hidden="1" spans="1:13">
      <c r="A78" s="793">
        <f>IF(A77=0,0,IF(A77&lt;ENTRY!$D$24,A77+1,0))</f>
        <v>0</v>
      </c>
      <c r="B78" s="794">
        <f>STUDENT!F71</f>
        <v>0</v>
      </c>
      <c r="C78" s="795">
        <f>STUDENT!E71</f>
        <v>0</v>
      </c>
      <c r="D78" s="795">
        <f>STUDENT!H71</f>
        <v>0</v>
      </c>
      <c r="E78" s="794">
        <f>IFERROR(VLOOKUP($E$7&amp;$E$8,FLNTRANSPOSE!$B$3:$DC$102,76,0),0)</f>
        <v>0</v>
      </c>
      <c r="F78" s="794">
        <f>IFERROR(VLOOKUP($E$7&amp;$F$8,FLNTRANSPOSE!$B$3:$DC$102,76,0),0)</f>
        <v>0</v>
      </c>
      <c r="G78" s="794">
        <f>IFERROR(VLOOKUP($E$7&amp;$G$8,FLNTRANSPOSE!$B$3:$DC$102,76,0),0)</f>
        <v>0</v>
      </c>
      <c r="H78" s="794">
        <f>IFERROR(VLOOKUP($H$7&amp;$H$8,FLNTRANSPOSE!$B$3:$DC$102,76,0),0)</f>
        <v>0</v>
      </c>
      <c r="I78" s="794">
        <f>IFERROR(VLOOKUP($H$7&amp;$I$8,FLNTRANSPOSE!$B$3:$DC$102,76,0),0)</f>
        <v>0</v>
      </c>
      <c r="J78" s="794">
        <f>IFERROR(VLOOKUP($H$7&amp;$J$8,FLNTRANSPOSE!$B$3:$DC$102,76,0),0)</f>
        <v>0</v>
      </c>
      <c r="K78" s="794">
        <f>IFERROR(VLOOKUP($K$7&amp;$K$8,FLNTRANSPOSE!$B$3:$DC$102,76,0),0)</f>
        <v>0</v>
      </c>
      <c r="L78" s="794">
        <f>IFERROR(VLOOKUP($K$7&amp;$L$8,FLNTRANSPOSE!$B$3:$DC$102,76,0),0)</f>
        <v>0</v>
      </c>
      <c r="M78" s="794">
        <f>IFERROR(VLOOKUP($K$7&amp;$M$8,FLNTRANSPOSE!$B$3:$DC$102,76,0),0)</f>
        <v>0</v>
      </c>
    </row>
    <row r="79" hidden="1" spans="1:13">
      <c r="A79" s="793">
        <f>IF(A78=0,0,IF(A78&lt;ENTRY!$D$24,A78+1,0))</f>
        <v>0</v>
      </c>
      <c r="B79" s="794">
        <f>STUDENT!F72</f>
        <v>0</v>
      </c>
      <c r="C79" s="795">
        <f>STUDENT!E72</f>
        <v>0</v>
      </c>
      <c r="D79" s="795">
        <f>STUDENT!H72</f>
        <v>0</v>
      </c>
      <c r="E79" s="794">
        <f>IFERROR(VLOOKUP($E$7&amp;$E$8,FLNTRANSPOSE!$B$3:$DC$102,77,0),0)</f>
        <v>0</v>
      </c>
      <c r="F79" s="794">
        <f>IFERROR(VLOOKUP($E$7&amp;$F$8,FLNTRANSPOSE!$B$3:$DC$102,77,0),0)</f>
        <v>0</v>
      </c>
      <c r="G79" s="794">
        <f>IFERROR(VLOOKUP($E$7&amp;$G$8,FLNTRANSPOSE!$B$3:$DC$102,77,0),0)</f>
        <v>0</v>
      </c>
      <c r="H79" s="794">
        <f>IFERROR(VLOOKUP($H$7&amp;$H$8,FLNTRANSPOSE!$B$3:$DC$102,77,0),0)</f>
        <v>0</v>
      </c>
      <c r="I79" s="794">
        <f>IFERROR(VLOOKUP($H$7&amp;$I$8,FLNTRANSPOSE!$B$3:$DC$102,77,0),0)</f>
        <v>0</v>
      </c>
      <c r="J79" s="794">
        <f>IFERROR(VLOOKUP($H$7&amp;$J$8,FLNTRANSPOSE!$B$3:$DC$102,77,0),0)</f>
        <v>0</v>
      </c>
      <c r="K79" s="794">
        <f>IFERROR(VLOOKUP($K$7&amp;$K$8,FLNTRANSPOSE!$B$3:$DC$102,77,0),0)</f>
        <v>0</v>
      </c>
      <c r="L79" s="794">
        <f>IFERROR(VLOOKUP($K$7&amp;$L$8,FLNTRANSPOSE!$B$3:$DC$102,77,0),0)</f>
        <v>0</v>
      </c>
      <c r="M79" s="794">
        <f>IFERROR(VLOOKUP($K$7&amp;$M$8,FLNTRANSPOSE!$B$3:$DC$102,77,0),0)</f>
        <v>0</v>
      </c>
    </row>
    <row r="80" hidden="1" spans="1:13">
      <c r="A80" s="793">
        <f>IF(A79=0,0,IF(A79&lt;ENTRY!$D$24,A79+1,0))</f>
        <v>0</v>
      </c>
      <c r="B80" s="794">
        <f>STUDENT!F73</f>
        <v>0</v>
      </c>
      <c r="C80" s="795">
        <f>STUDENT!E73</f>
        <v>0</v>
      </c>
      <c r="D80" s="795">
        <f>STUDENT!H73</f>
        <v>0</v>
      </c>
      <c r="E80" s="794">
        <f>IFERROR(VLOOKUP($E$7&amp;$E$8,FLNTRANSPOSE!$B$3:$DC$102,78,0),0)</f>
        <v>0</v>
      </c>
      <c r="F80" s="794">
        <f>IFERROR(VLOOKUP($E$7&amp;$F$8,FLNTRANSPOSE!$B$3:$DC$102,78,0),0)</f>
        <v>0</v>
      </c>
      <c r="G80" s="794">
        <f>IFERROR(VLOOKUP($E$7&amp;$G$8,FLNTRANSPOSE!$B$3:$DC$102,78,0),0)</f>
        <v>0</v>
      </c>
      <c r="H80" s="794">
        <f>IFERROR(VLOOKUP($H$7&amp;$H$8,FLNTRANSPOSE!$B$3:$DC$102,78,0),0)</f>
        <v>0</v>
      </c>
      <c r="I80" s="794">
        <f>IFERROR(VLOOKUP($H$7&amp;$I$8,FLNTRANSPOSE!$B$3:$DC$102,78,0),0)</f>
        <v>0</v>
      </c>
      <c r="J80" s="794">
        <f>IFERROR(VLOOKUP($H$7&amp;$J$8,FLNTRANSPOSE!$B$3:$DC$102,78,0),0)</f>
        <v>0</v>
      </c>
      <c r="K80" s="794">
        <f>IFERROR(VLOOKUP($K$7&amp;$K$8,FLNTRANSPOSE!$B$3:$DC$102,78,0),0)</f>
        <v>0</v>
      </c>
      <c r="L80" s="794">
        <f>IFERROR(VLOOKUP($K$7&amp;$L$8,FLNTRANSPOSE!$B$3:$DC$102,78,0),0)</f>
        <v>0</v>
      </c>
      <c r="M80" s="794">
        <f>IFERROR(VLOOKUP($K$7&amp;$M$8,FLNTRANSPOSE!$B$3:$DC$102,78,0),0)</f>
        <v>0</v>
      </c>
    </row>
    <row r="81" hidden="1" spans="1:13">
      <c r="A81" s="793">
        <f>IF(A80=0,0,IF(A80&lt;ENTRY!$D$24,A80+1,0))</f>
        <v>0</v>
      </c>
      <c r="B81" s="794">
        <f>STUDENT!F74</f>
        <v>0</v>
      </c>
      <c r="C81" s="795">
        <f>STUDENT!E74</f>
        <v>0</v>
      </c>
      <c r="D81" s="795">
        <f>STUDENT!H74</f>
        <v>0</v>
      </c>
      <c r="E81" s="794">
        <f>IFERROR(VLOOKUP($E$7&amp;$E$8,FLNTRANSPOSE!$B$3:$DC$102,79,0),0)</f>
        <v>0</v>
      </c>
      <c r="F81" s="794">
        <f>IFERROR(VLOOKUP($E$7&amp;$F$8,FLNTRANSPOSE!$B$3:$DC$102,79,0),0)</f>
        <v>0</v>
      </c>
      <c r="G81" s="794">
        <f>IFERROR(VLOOKUP($E$7&amp;$G$8,FLNTRANSPOSE!$B$3:$DC$102,79,0),0)</f>
        <v>0</v>
      </c>
      <c r="H81" s="794">
        <f>IFERROR(VLOOKUP($H$7&amp;$H$8,FLNTRANSPOSE!$B$3:$DC$102,79,0),0)</f>
        <v>0</v>
      </c>
      <c r="I81" s="794">
        <f>IFERROR(VLOOKUP($H$7&amp;$I$8,FLNTRANSPOSE!$B$3:$DC$102,79,0),0)</f>
        <v>0</v>
      </c>
      <c r="J81" s="794">
        <f>IFERROR(VLOOKUP($H$7&amp;$J$8,FLNTRANSPOSE!$B$3:$DC$102,79,0),0)</f>
        <v>0</v>
      </c>
      <c r="K81" s="794">
        <f>IFERROR(VLOOKUP($K$7&amp;$K$8,FLNTRANSPOSE!$B$3:$DC$102,79,0),0)</f>
        <v>0</v>
      </c>
      <c r="L81" s="794">
        <f>IFERROR(VLOOKUP($K$7&amp;$L$8,FLNTRANSPOSE!$B$3:$DC$102,79,0),0)</f>
        <v>0</v>
      </c>
      <c r="M81" s="794">
        <f>IFERROR(VLOOKUP($K$7&amp;$M$8,FLNTRANSPOSE!$B$3:$DC$102,79,0),0)</f>
        <v>0</v>
      </c>
    </row>
    <row r="82" hidden="1" spans="1:13">
      <c r="A82" s="793">
        <f>IF(A81=0,0,IF(A81&lt;ENTRY!$D$24,A81+1,0))</f>
        <v>0</v>
      </c>
      <c r="B82" s="794">
        <f>STUDENT!F75</f>
        <v>0</v>
      </c>
      <c r="C82" s="795">
        <f>STUDENT!E75</f>
        <v>0</v>
      </c>
      <c r="D82" s="795">
        <f>STUDENT!H75</f>
        <v>0</v>
      </c>
      <c r="E82" s="794">
        <f>IFERROR(VLOOKUP($E$7&amp;$E$8,FLNTRANSPOSE!$B$3:$DC$102,80,0),0)</f>
        <v>0</v>
      </c>
      <c r="F82" s="794">
        <f>IFERROR(VLOOKUP($E$7&amp;$F$8,FLNTRANSPOSE!$B$3:$DC$102,80,0),0)</f>
        <v>0</v>
      </c>
      <c r="G82" s="794">
        <f>IFERROR(VLOOKUP($E$7&amp;$G$8,FLNTRANSPOSE!$B$3:$DC$102,80,0),0)</f>
        <v>0</v>
      </c>
      <c r="H82" s="794">
        <f>IFERROR(VLOOKUP($H$7&amp;$H$8,FLNTRANSPOSE!$B$3:$DC$102,80,0),0)</f>
        <v>0</v>
      </c>
      <c r="I82" s="794">
        <f>IFERROR(VLOOKUP($H$7&amp;$I$8,FLNTRANSPOSE!$B$3:$DC$102,80,0),0)</f>
        <v>0</v>
      </c>
      <c r="J82" s="794">
        <f>IFERROR(VLOOKUP($H$7&amp;$J$8,FLNTRANSPOSE!$B$3:$DC$102,80,0),0)</f>
        <v>0</v>
      </c>
      <c r="K82" s="794">
        <f>IFERROR(VLOOKUP($K$7&amp;$K$8,FLNTRANSPOSE!$B$3:$DC$102,80,0),0)</f>
        <v>0</v>
      </c>
      <c r="L82" s="794">
        <f>IFERROR(VLOOKUP($K$7&amp;$L$8,FLNTRANSPOSE!$B$3:$DC$102,80,0),0)</f>
        <v>0</v>
      </c>
      <c r="M82" s="794">
        <f>IFERROR(VLOOKUP($K$7&amp;$M$8,FLNTRANSPOSE!$B$3:$DC$102,80,0),0)</f>
        <v>0</v>
      </c>
    </row>
    <row r="83" hidden="1" spans="1:13">
      <c r="A83" s="793">
        <f>IF(A82=0,0,IF(A82&lt;ENTRY!$D$24,A82+1,0))</f>
        <v>0</v>
      </c>
      <c r="B83" s="794">
        <f>STUDENT!F76</f>
        <v>0</v>
      </c>
      <c r="C83" s="795">
        <f>STUDENT!E76</f>
        <v>0</v>
      </c>
      <c r="D83" s="795">
        <f>STUDENT!H76</f>
        <v>0</v>
      </c>
      <c r="E83" s="794">
        <f>IFERROR(VLOOKUP($E$7&amp;$E$8,FLNTRANSPOSE!$B$3:$DC$102,81,0),0)</f>
        <v>0</v>
      </c>
      <c r="F83" s="794">
        <f>IFERROR(VLOOKUP($E$7&amp;$F$8,FLNTRANSPOSE!$B$3:$DC$102,81,0),0)</f>
        <v>0</v>
      </c>
      <c r="G83" s="794">
        <f>IFERROR(VLOOKUP($E$7&amp;$G$8,FLNTRANSPOSE!$B$3:$DC$102,81,0),0)</f>
        <v>0</v>
      </c>
      <c r="H83" s="794">
        <f>IFERROR(VLOOKUP($H$7&amp;$H$8,FLNTRANSPOSE!$B$3:$DC$102,81,0),0)</f>
        <v>0</v>
      </c>
      <c r="I83" s="794">
        <f>IFERROR(VLOOKUP($H$7&amp;$I$8,FLNTRANSPOSE!$B$3:$DC$102,81,0),0)</f>
        <v>0</v>
      </c>
      <c r="J83" s="794">
        <f>IFERROR(VLOOKUP($H$7&amp;$J$8,FLNTRANSPOSE!$B$3:$DC$102,81,0),0)</f>
        <v>0</v>
      </c>
      <c r="K83" s="794">
        <f>IFERROR(VLOOKUP($K$7&amp;$K$8,FLNTRANSPOSE!$B$3:$DC$102,81,0),0)</f>
        <v>0</v>
      </c>
      <c r="L83" s="794">
        <f>IFERROR(VLOOKUP($K$7&amp;$L$8,FLNTRANSPOSE!$B$3:$DC$102,81,0),0)</f>
        <v>0</v>
      </c>
      <c r="M83" s="794">
        <f>IFERROR(VLOOKUP($K$7&amp;$M$8,FLNTRANSPOSE!$B$3:$DC$102,81,0),0)</f>
        <v>0</v>
      </c>
    </row>
    <row r="84" hidden="1" spans="1:13">
      <c r="A84" s="793">
        <f>IF(A83=0,0,IF(A83&lt;ENTRY!$D$24,A83+1,0))</f>
        <v>0</v>
      </c>
      <c r="B84" s="794">
        <f>STUDENT!F77</f>
        <v>0</v>
      </c>
      <c r="C84" s="795">
        <f>STUDENT!E77</f>
        <v>0</v>
      </c>
      <c r="D84" s="795">
        <f>STUDENT!H77</f>
        <v>0</v>
      </c>
      <c r="E84" s="794">
        <f>IFERROR(VLOOKUP($E$7&amp;$E$8,FLNTRANSPOSE!$B$3:$DC$102,82,0),0)</f>
        <v>0</v>
      </c>
      <c r="F84" s="794">
        <f>IFERROR(VLOOKUP($E$7&amp;$F$8,FLNTRANSPOSE!$B$3:$DC$102,82,0),0)</f>
        <v>0</v>
      </c>
      <c r="G84" s="794">
        <f>IFERROR(VLOOKUP($E$7&amp;$G$8,FLNTRANSPOSE!$B$3:$DC$102,82,0),0)</f>
        <v>0</v>
      </c>
      <c r="H84" s="794">
        <f>IFERROR(VLOOKUP($H$7&amp;$H$8,FLNTRANSPOSE!$B$3:$DC$102,82,0),0)</f>
        <v>0</v>
      </c>
      <c r="I84" s="794">
        <f>IFERROR(VLOOKUP($H$7&amp;$I$8,FLNTRANSPOSE!$B$3:$DC$102,82,0),0)</f>
        <v>0</v>
      </c>
      <c r="J84" s="794">
        <f>IFERROR(VLOOKUP($H$7&amp;$J$8,FLNTRANSPOSE!$B$3:$DC$102,82,0),0)</f>
        <v>0</v>
      </c>
      <c r="K84" s="794">
        <f>IFERROR(VLOOKUP($K$7&amp;$K$8,FLNTRANSPOSE!$B$3:$DC$102,82,0),0)</f>
        <v>0</v>
      </c>
      <c r="L84" s="794">
        <f>IFERROR(VLOOKUP($K$7&amp;$L$8,FLNTRANSPOSE!$B$3:$DC$102,82,0),0)</f>
        <v>0</v>
      </c>
      <c r="M84" s="794">
        <f>IFERROR(VLOOKUP($K$7&amp;$M$8,FLNTRANSPOSE!$B$3:$DC$102,82,0),0)</f>
        <v>0</v>
      </c>
    </row>
    <row r="85" hidden="1" spans="1:13">
      <c r="A85" s="793">
        <f>IF(A84=0,0,IF(A84&lt;ENTRY!$D$24,A84+1,0))</f>
        <v>0</v>
      </c>
      <c r="B85" s="794">
        <f>STUDENT!F78</f>
        <v>0</v>
      </c>
      <c r="C85" s="795">
        <f>STUDENT!E78</f>
        <v>0</v>
      </c>
      <c r="D85" s="795">
        <f>STUDENT!H78</f>
        <v>0</v>
      </c>
      <c r="E85" s="794">
        <f>IFERROR(VLOOKUP($E$7&amp;$E$8,FLNTRANSPOSE!$B$3:$DC$102,83,0),0)</f>
        <v>0</v>
      </c>
      <c r="F85" s="794">
        <f>IFERROR(VLOOKUP($E$7&amp;$F$8,FLNTRANSPOSE!$B$3:$DC$102,83,0),0)</f>
        <v>0</v>
      </c>
      <c r="G85" s="794">
        <f>IFERROR(VLOOKUP($E$7&amp;$G$8,FLNTRANSPOSE!$B$3:$DC$102,83,0),0)</f>
        <v>0</v>
      </c>
      <c r="H85" s="794">
        <f>IFERROR(VLOOKUP($H$7&amp;$H$8,FLNTRANSPOSE!$B$3:$DC$102,83,0),0)</f>
        <v>0</v>
      </c>
      <c r="I85" s="794">
        <f>IFERROR(VLOOKUP($H$7&amp;$I$8,FLNTRANSPOSE!$B$3:$DC$102,83,0),0)</f>
        <v>0</v>
      </c>
      <c r="J85" s="794">
        <f>IFERROR(VLOOKUP($H$7&amp;$J$8,FLNTRANSPOSE!$B$3:$DC$102,83,0),0)</f>
        <v>0</v>
      </c>
      <c r="K85" s="794">
        <f>IFERROR(VLOOKUP($K$7&amp;$K$8,FLNTRANSPOSE!$B$3:$DC$102,83,0),0)</f>
        <v>0</v>
      </c>
      <c r="L85" s="794">
        <f>IFERROR(VLOOKUP($K$7&amp;$L$8,FLNTRANSPOSE!$B$3:$DC$102,83,0),0)</f>
        <v>0</v>
      </c>
      <c r="M85" s="794">
        <f>IFERROR(VLOOKUP($K$7&amp;$M$8,FLNTRANSPOSE!$B$3:$DC$102,83,0),0)</f>
        <v>0</v>
      </c>
    </row>
    <row r="86" hidden="1" spans="1:13">
      <c r="A86" s="793">
        <f>IF(A85=0,0,IF(A85&lt;ENTRY!$D$24,A85+1,0))</f>
        <v>0</v>
      </c>
      <c r="B86" s="794">
        <f>STUDENT!F79</f>
        <v>0</v>
      </c>
      <c r="C86" s="795">
        <f>STUDENT!E79</f>
        <v>0</v>
      </c>
      <c r="D86" s="795">
        <f>STUDENT!H79</f>
        <v>0</v>
      </c>
      <c r="E86" s="794">
        <f>IFERROR(VLOOKUP($E$7&amp;$E$8,FLNTRANSPOSE!$B$3:$DC$102,84,0),0)</f>
        <v>0</v>
      </c>
      <c r="F86" s="794">
        <f>IFERROR(VLOOKUP($E$7&amp;$F$8,FLNTRANSPOSE!$B$3:$DC$102,84,0),0)</f>
        <v>0</v>
      </c>
      <c r="G86" s="794">
        <f>IFERROR(VLOOKUP($E$7&amp;$G$8,FLNTRANSPOSE!$B$3:$DC$102,84,0),0)</f>
        <v>0</v>
      </c>
      <c r="H86" s="794">
        <f>IFERROR(VLOOKUP($H$7&amp;$H$8,FLNTRANSPOSE!$B$3:$DC$102,84,0),0)</f>
        <v>0</v>
      </c>
      <c r="I86" s="794">
        <f>IFERROR(VLOOKUP($H$7&amp;$I$8,FLNTRANSPOSE!$B$3:$DC$102,84,0),0)</f>
        <v>0</v>
      </c>
      <c r="J86" s="794">
        <f>IFERROR(VLOOKUP($H$7&amp;$J$8,FLNTRANSPOSE!$B$3:$DC$102,84,0),0)</f>
        <v>0</v>
      </c>
      <c r="K86" s="794">
        <f>IFERROR(VLOOKUP($K$7&amp;$K$8,FLNTRANSPOSE!$B$3:$DC$102,84,0),0)</f>
        <v>0</v>
      </c>
      <c r="L86" s="794">
        <f>IFERROR(VLOOKUP($K$7&amp;$L$8,FLNTRANSPOSE!$B$3:$DC$102,84,0),0)</f>
        <v>0</v>
      </c>
      <c r="M86" s="794">
        <f>IFERROR(VLOOKUP($K$7&amp;$M$8,FLNTRANSPOSE!$B$3:$DC$102,84,0),0)</f>
        <v>0</v>
      </c>
    </row>
    <row r="87" hidden="1" spans="1:13">
      <c r="A87" s="793">
        <f>IF(A86=0,0,IF(A86&lt;ENTRY!$D$24,A86+1,0))</f>
        <v>0</v>
      </c>
      <c r="B87" s="794">
        <f>STUDENT!F80</f>
        <v>0</v>
      </c>
      <c r="C87" s="795">
        <f>STUDENT!E80</f>
        <v>0</v>
      </c>
      <c r="D87" s="795">
        <f>STUDENT!H80</f>
        <v>0</v>
      </c>
      <c r="E87" s="794">
        <f>IFERROR(VLOOKUP($E$7&amp;$E$8,FLNTRANSPOSE!$B$3:$DC$102,85,0),0)</f>
        <v>0</v>
      </c>
      <c r="F87" s="794">
        <f>IFERROR(VLOOKUP($E$7&amp;$F$8,FLNTRANSPOSE!$B$3:$DC$102,85,0),0)</f>
        <v>0</v>
      </c>
      <c r="G87" s="794">
        <f>IFERROR(VLOOKUP($E$7&amp;$G$8,FLNTRANSPOSE!$B$3:$DC$102,85,0),0)</f>
        <v>0</v>
      </c>
      <c r="H87" s="794">
        <f>IFERROR(VLOOKUP($H$7&amp;$H$8,FLNTRANSPOSE!$B$3:$DC$102,85,0),0)</f>
        <v>0</v>
      </c>
      <c r="I87" s="794">
        <f>IFERROR(VLOOKUP($H$7&amp;$I$8,FLNTRANSPOSE!$B$3:$DC$102,85,0),0)</f>
        <v>0</v>
      </c>
      <c r="J87" s="794">
        <f>IFERROR(VLOOKUP($H$7&amp;$J$8,FLNTRANSPOSE!$B$3:$DC$102,85,0),0)</f>
        <v>0</v>
      </c>
      <c r="K87" s="794">
        <f>IFERROR(VLOOKUP($K$7&amp;$K$8,FLNTRANSPOSE!$B$3:$DC$102,85,0),0)</f>
        <v>0</v>
      </c>
      <c r="L87" s="794">
        <f>IFERROR(VLOOKUP($K$7&amp;$L$8,FLNTRANSPOSE!$B$3:$DC$102,85,0),0)</f>
        <v>0</v>
      </c>
      <c r="M87" s="794">
        <f>IFERROR(VLOOKUP($K$7&amp;$M$8,FLNTRANSPOSE!$B$3:$DC$102,85,0),0)</f>
        <v>0</v>
      </c>
    </row>
    <row r="88" hidden="1" spans="1:13">
      <c r="A88" s="793">
        <f>IF(A87=0,0,IF(A87&lt;ENTRY!$D$24,A87+1,0))</f>
        <v>0</v>
      </c>
      <c r="B88" s="794">
        <f>STUDENT!F81</f>
        <v>0</v>
      </c>
      <c r="C88" s="795">
        <f>STUDENT!E81</f>
        <v>0</v>
      </c>
      <c r="D88" s="795">
        <f>STUDENT!H81</f>
        <v>0</v>
      </c>
      <c r="E88" s="794">
        <f>IFERROR(VLOOKUP($E$7&amp;$E$8,FLNTRANSPOSE!$B$3:$DC$102,86,0),0)</f>
        <v>0</v>
      </c>
      <c r="F88" s="794">
        <f>IFERROR(VLOOKUP($E$7&amp;$F$8,FLNTRANSPOSE!$B$3:$DC$102,86,0),0)</f>
        <v>0</v>
      </c>
      <c r="G88" s="794">
        <f>IFERROR(VLOOKUP($E$7&amp;$G$8,FLNTRANSPOSE!$B$3:$DC$102,86,0),0)</f>
        <v>0</v>
      </c>
      <c r="H88" s="794">
        <f>IFERROR(VLOOKUP($H$7&amp;$H$8,FLNTRANSPOSE!$B$3:$DC$102,86,0),0)</f>
        <v>0</v>
      </c>
      <c r="I88" s="794">
        <f>IFERROR(VLOOKUP($H$7&amp;$I$8,FLNTRANSPOSE!$B$3:$DC$102,86,0),0)</f>
        <v>0</v>
      </c>
      <c r="J88" s="794">
        <f>IFERROR(VLOOKUP($H$7&amp;$J$8,FLNTRANSPOSE!$B$3:$DC$102,86,0),0)</f>
        <v>0</v>
      </c>
      <c r="K88" s="794">
        <f>IFERROR(VLOOKUP($K$7&amp;$K$8,FLNTRANSPOSE!$B$3:$DC$102,86,0),0)</f>
        <v>0</v>
      </c>
      <c r="L88" s="794">
        <f>IFERROR(VLOOKUP($K$7&amp;$L$8,FLNTRANSPOSE!$B$3:$DC$102,86,0),0)</f>
        <v>0</v>
      </c>
      <c r="M88" s="794">
        <f>IFERROR(VLOOKUP($K$7&amp;$M$8,FLNTRANSPOSE!$B$3:$DC$102,86,0),0)</f>
        <v>0</v>
      </c>
    </row>
    <row r="89" hidden="1" spans="1:13">
      <c r="A89" s="793">
        <f>IF(A88=0,0,IF(A88&lt;ENTRY!$D$24,A88+1,0))</f>
        <v>0</v>
      </c>
      <c r="B89" s="794">
        <f>STUDENT!F82</f>
        <v>0</v>
      </c>
      <c r="C89" s="795">
        <f>STUDENT!E82</f>
        <v>0</v>
      </c>
      <c r="D89" s="795">
        <f>STUDENT!H82</f>
        <v>0</v>
      </c>
      <c r="E89" s="794">
        <f>IFERROR(VLOOKUP($E$7&amp;$E$8,FLNTRANSPOSE!$B$3:$DC$102,87,0),0)</f>
        <v>0</v>
      </c>
      <c r="F89" s="794">
        <f>IFERROR(VLOOKUP($E$7&amp;$F$8,FLNTRANSPOSE!$B$3:$DC$102,87,0),0)</f>
        <v>0</v>
      </c>
      <c r="G89" s="794">
        <f>IFERROR(VLOOKUP($E$7&amp;$G$8,FLNTRANSPOSE!$B$3:$DC$102,87,0),0)</f>
        <v>0</v>
      </c>
      <c r="H89" s="794">
        <f>IFERROR(VLOOKUP($H$7&amp;$H$8,FLNTRANSPOSE!$B$3:$DC$102,87,0),0)</f>
        <v>0</v>
      </c>
      <c r="I89" s="794">
        <f>IFERROR(VLOOKUP($H$7&amp;$I$8,FLNTRANSPOSE!$B$3:$DC$102,87,0),0)</f>
        <v>0</v>
      </c>
      <c r="J89" s="794">
        <f>IFERROR(VLOOKUP($H$7&amp;$J$8,FLNTRANSPOSE!$B$3:$DC$102,87,0),0)</f>
        <v>0</v>
      </c>
      <c r="K89" s="794">
        <f>IFERROR(VLOOKUP($K$7&amp;$K$8,FLNTRANSPOSE!$B$3:$DC$102,87,0),0)</f>
        <v>0</v>
      </c>
      <c r="L89" s="794">
        <f>IFERROR(VLOOKUP($K$7&amp;$L$8,FLNTRANSPOSE!$B$3:$DC$102,87,0),0)</f>
        <v>0</v>
      </c>
      <c r="M89" s="794">
        <f>IFERROR(VLOOKUP($K$7&amp;$M$8,FLNTRANSPOSE!$B$3:$DC$102,87,0),0)</f>
        <v>0</v>
      </c>
    </row>
    <row r="90" hidden="1" spans="1:13">
      <c r="A90" s="793">
        <f>IF(A89=0,0,IF(A89&lt;ENTRY!$D$24,A89+1,0))</f>
        <v>0</v>
      </c>
      <c r="B90" s="794">
        <f>STUDENT!F83</f>
        <v>0</v>
      </c>
      <c r="C90" s="795">
        <f>STUDENT!E83</f>
        <v>0</v>
      </c>
      <c r="D90" s="795">
        <f>STUDENT!H83</f>
        <v>0</v>
      </c>
      <c r="E90" s="794">
        <f>IFERROR(VLOOKUP($E$7&amp;$E$8,FLNTRANSPOSE!$B$3:$DC$102,88,0),0)</f>
        <v>0</v>
      </c>
      <c r="F90" s="794">
        <f>IFERROR(VLOOKUP($E$7&amp;$F$8,FLNTRANSPOSE!$B$3:$DC$102,88,0),0)</f>
        <v>0</v>
      </c>
      <c r="G90" s="794">
        <f>IFERROR(VLOOKUP($E$7&amp;$G$8,FLNTRANSPOSE!$B$3:$DC$102,88,0),0)</f>
        <v>0</v>
      </c>
      <c r="H90" s="794">
        <f>IFERROR(VLOOKUP($H$7&amp;$H$8,FLNTRANSPOSE!$B$3:$DC$102,88,0),0)</f>
        <v>0</v>
      </c>
      <c r="I90" s="794">
        <f>IFERROR(VLOOKUP($H$7&amp;$I$8,FLNTRANSPOSE!$B$3:$DC$102,88,0),0)</f>
        <v>0</v>
      </c>
      <c r="J90" s="794">
        <f>IFERROR(VLOOKUP($H$7&amp;$J$8,FLNTRANSPOSE!$B$3:$DC$102,88,0),0)</f>
        <v>0</v>
      </c>
      <c r="K90" s="794">
        <f>IFERROR(VLOOKUP($K$7&amp;$K$8,FLNTRANSPOSE!$B$3:$DC$102,88,0),0)</f>
        <v>0</v>
      </c>
      <c r="L90" s="794">
        <f>IFERROR(VLOOKUP($K$7&amp;$L$8,FLNTRANSPOSE!$B$3:$DC$102,88,0),0)</f>
        <v>0</v>
      </c>
      <c r="M90" s="794">
        <f>IFERROR(VLOOKUP($K$7&amp;$M$8,FLNTRANSPOSE!$B$3:$DC$102,88,0),0)</f>
        <v>0</v>
      </c>
    </row>
    <row r="91" hidden="1" spans="1:13">
      <c r="A91" s="793">
        <f>IF(A90=0,0,IF(A90&lt;ENTRY!$D$24,A90+1,0))</f>
        <v>0</v>
      </c>
      <c r="B91" s="794">
        <f>STUDENT!F84</f>
        <v>0</v>
      </c>
      <c r="C91" s="795">
        <f>STUDENT!E84</f>
        <v>0</v>
      </c>
      <c r="D91" s="795">
        <f>STUDENT!H84</f>
        <v>0</v>
      </c>
      <c r="E91" s="794">
        <f>IFERROR(VLOOKUP($E$7&amp;$E$8,FLNTRANSPOSE!$B$3:$DC$102,89,0),0)</f>
        <v>0</v>
      </c>
      <c r="F91" s="794">
        <f>IFERROR(VLOOKUP($E$7&amp;$F$8,FLNTRANSPOSE!$B$3:$DC$102,89,0),0)</f>
        <v>0</v>
      </c>
      <c r="G91" s="794">
        <f>IFERROR(VLOOKUP($E$7&amp;$G$8,FLNTRANSPOSE!$B$3:$DC$102,89,0),0)</f>
        <v>0</v>
      </c>
      <c r="H91" s="794">
        <f>IFERROR(VLOOKUP($H$7&amp;$H$8,FLNTRANSPOSE!$B$3:$DC$102,89,0),0)</f>
        <v>0</v>
      </c>
      <c r="I91" s="794">
        <f>IFERROR(VLOOKUP($H$7&amp;$I$8,FLNTRANSPOSE!$B$3:$DC$102,89,0),0)</f>
        <v>0</v>
      </c>
      <c r="J91" s="794">
        <f>IFERROR(VLOOKUP($H$7&amp;$J$8,FLNTRANSPOSE!$B$3:$DC$102,89,0),0)</f>
        <v>0</v>
      </c>
      <c r="K91" s="794">
        <f>IFERROR(VLOOKUP($K$7&amp;$K$8,FLNTRANSPOSE!$B$3:$DC$102,89,0),0)</f>
        <v>0</v>
      </c>
      <c r="L91" s="794">
        <f>IFERROR(VLOOKUP($K$7&amp;$L$8,FLNTRANSPOSE!$B$3:$DC$102,89,0),0)</f>
        <v>0</v>
      </c>
      <c r="M91" s="794">
        <f>IFERROR(VLOOKUP($K$7&amp;$M$8,FLNTRANSPOSE!$B$3:$DC$102,89,0),0)</f>
        <v>0</v>
      </c>
    </row>
    <row r="92" hidden="1" spans="1:13">
      <c r="A92" s="793">
        <f>IF(A91=0,0,IF(A91&lt;ENTRY!$D$24,A91+1,0))</f>
        <v>0</v>
      </c>
      <c r="B92" s="794">
        <f>STUDENT!F85</f>
        <v>0</v>
      </c>
      <c r="C92" s="795">
        <f>STUDENT!E85</f>
        <v>0</v>
      </c>
      <c r="D92" s="795">
        <f>STUDENT!H85</f>
        <v>0</v>
      </c>
      <c r="E92" s="794">
        <f>IFERROR(VLOOKUP($E$7&amp;$E$8,FLNTRANSPOSE!$B$3:$DC$102,90,0),0)</f>
        <v>0</v>
      </c>
      <c r="F92" s="794">
        <f>IFERROR(VLOOKUP($E$7&amp;$F$8,FLNTRANSPOSE!$B$3:$DC$102,90,0),0)</f>
        <v>0</v>
      </c>
      <c r="G92" s="794">
        <f>IFERROR(VLOOKUP($E$7&amp;$G$8,FLNTRANSPOSE!$B$3:$DC$102,90,0),0)</f>
        <v>0</v>
      </c>
      <c r="H92" s="794">
        <f>IFERROR(VLOOKUP($H$7&amp;$H$8,FLNTRANSPOSE!$B$3:$DC$102,90,0),0)</f>
        <v>0</v>
      </c>
      <c r="I92" s="794">
        <f>IFERROR(VLOOKUP($H$7&amp;$I$8,FLNTRANSPOSE!$B$3:$DC$102,90,0),0)</f>
        <v>0</v>
      </c>
      <c r="J92" s="794">
        <f>IFERROR(VLOOKUP($H$7&amp;$J$8,FLNTRANSPOSE!$B$3:$DC$102,90,0),0)</f>
        <v>0</v>
      </c>
      <c r="K92" s="794">
        <f>IFERROR(VLOOKUP($K$7&amp;$K$8,FLNTRANSPOSE!$B$3:$DC$102,90,0),0)</f>
        <v>0</v>
      </c>
      <c r="L92" s="794">
        <f>IFERROR(VLOOKUP($K$7&amp;$L$8,FLNTRANSPOSE!$B$3:$DC$102,90,0),0)</f>
        <v>0</v>
      </c>
      <c r="M92" s="794">
        <f>IFERROR(VLOOKUP($K$7&amp;$M$8,FLNTRANSPOSE!$B$3:$DC$102,90,0),0)</f>
        <v>0</v>
      </c>
    </row>
    <row r="93" hidden="1" spans="1:13">
      <c r="A93" s="793">
        <f>IF(A92=0,0,IF(A92&lt;ENTRY!$D$24,A92+1,0))</f>
        <v>0</v>
      </c>
      <c r="B93" s="794">
        <f>STUDENT!F86</f>
        <v>0</v>
      </c>
      <c r="C93" s="795">
        <f>STUDENT!E86</f>
        <v>0</v>
      </c>
      <c r="D93" s="795">
        <f>STUDENT!H86</f>
        <v>0</v>
      </c>
      <c r="E93" s="794">
        <f>IFERROR(VLOOKUP($E$7&amp;$E$8,FLNTRANSPOSE!$B$3:$DC$102,91,0),0)</f>
        <v>0</v>
      </c>
      <c r="F93" s="794">
        <f>IFERROR(VLOOKUP($E$7&amp;$F$8,FLNTRANSPOSE!$B$3:$DC$102,91,0),0)</f>
        <v>0</v>
      </c>
      <c r="G93" s="794">
        <f>IFERROR(VLOOKUP($E$7&amp;$G$8,FLNTRANSPOSE!$B$3:$DC$102,91,0),0)</f>
        <v>0</v>
      </c>
      <c r="H93" s="794">
        <f>IFERROR(VLOOKUP($H$7&amp;$H$8,FLNTRANSPOSE!$B$3:$DC$102,91,0),0)</f>
        <v>0</v>
      </c>
      <c r="I93" s="794">
        <f>IFERROR(VLOOKUP($H$7&amp;$I$8,FLNTRANSPOSE!$B$3:$DC$102,91,0),0)</f>
        <v>0</v>
      </c>
      <c r="J93" s="794">
        <f>IFERROR(VLOOKUP($H$7&amp;$J$8,FLNTRANSPOSE!$B$3:$DC$102,91,0),0)</f>
        <v>0</v>
      </c>
      <c r="K93" s="794">
        <f>IFERROR(VLOOKUP($K$7&amp;$K$8,FLNTRANSPOSE!$B$3:$DC$102,91,0),0)</f>
        <v>0</v>
      </c>
      <c r="L93" s="794">
        <f>IFERROR(VLOOKUP($K$7&amp;$L$8,FLNTRANSPOSE!$B$3:$DC$102,91,0),0)</f>
        <v>0</v>
      </c>
      <c r="M93" s="794">
        <f>IFERROR(VLOOKUP($K$7&amp;$M$8,FLNTRANSPOSE!$B$3:$DC$102,91,0),0)</f>
        <v>0</v>
      </c>
    </row>
    <row r="94" hidden="1" spans="1:13">
      <c r="A94" s="793">
        <f>IF(A93=0,0,IF(A93&lt;ENTRY!$D$24,A93+1,0))</f>
        <v>0</v>
      </c>
      <c r="B94" s="794">
        <f>STUDENT!F87</f>
        <v>0</v>
      </c>
      <c r="C94" s="795">
        <f>STUDENT!E87</f>
        <v>0</v>
      </c>
      <c r="D94" s="795">
        <f>STUDENT!H87</f>
        <v>0</v>
      </c>
      <c r="E94" s="794">
        <f>IFERROR(VLOOKUP($E$7&amp;$E$8,FLNTRANSPOSE!$B$3:$DC$102,92,0),0)</f>
        <v>0</v>
      </c>
      <c r="F94" s="794">
        <f>IFERROR(VLOOKUP($E$7&amp;$F$8,FLNTRANSPOSE!$B$3:$DC$102,92,0),0)</f>
        <v>0</v>
      </c>
      <c r="G94" s="794">
        <f>IFERROR(VLOOKUP($E$7&amp;$G$8,FLNTRANSPOSE!$B$3:$DC$102,92,0),0)</f>
        <v>0</v>
      </c>
      <c r="H94" s="794">
        <f>IFERROR(VLOOKUP($H$7&amp;$H$8,FLNTRANSPOSE!$B$3:$DC$102,92,0),0)</f>
        <v>0</v>
      </c>
      <c r="I94" s="794">
        <f>IFERROR(VLOOKUP($H$7&amp;$I$8,FLNTRANSPOSE!$B$3:$DC$102,92,0),0)</f>
        <v>0</v>
      </c>
      <c r="J94" s="794">
        <f>IFERROR(VLOOKUP($H$7&amp;$J$8,FLNTRANSPOSE!$B$3:$DC$102,92,0),0)</f>
        <v>0</v>
      </c>
      <c r="K94" s="794">
        <f>IFERROR(VLOOKUP($K$7&amp;$K$8,FLNTRANSPOSE!$B$3:$DC$102,92,0),0)</f>
        <v>0</v>
      </c>
      <c r="L94" s="794">
        <f>IFERROR(VLOOKUP($K$7&amp;$L$8,FLNTRANSPOSE!$B$3:$DC$102,92,0),0)</f>
        <v>0</v>
      </c>
      <c r="M94" s="794">
        <f>IFERROR(VLOOKUP($K$7&amp;$M$8,FLNTRANSPOSE!$B$3:$DC$102,92,0),0)</f>
        <v>0</v>
      </c>
    </row>
    <row r="95" hidden="1" spans="1:13">
      <c r="A95" s="793">
        <f>IF(A94=0,0,IF(A94&lt;ENTRY!$D$24,A94+1,0))</f>
        <v>0</v>
      </c>
      <c r="B95" s="794">
        <f>STUDENT!F88</f>
        <v>0</v>
      </c>
      <c r="C95" s="795">
        <f>STUDENT!E88</f>
        <v>0</v>
      </c>
      <c r="D95" s="795">
        <f>STUDENT!H88</f>
        <v>0</v>
      </c>
      <c r="E95" s="794">
        <f>IFERROR(VLOOKUP($E$7&amp;$E$8,FLNTRANSPOSE!$B$3:$DC$102,93,0),0)</f>
        <v>0</v>
      </c>
      <c r="F95" s="794">
        <f>IFERROR(VLOOKUP($E$7&amp;$F$8,FLNTRANSPOSE!$B$3:$DC$102,93,0),0)</f>
        <v>0</v>
      </c>
      <c r="G95" s="794">
        <f>IFERROR(VLOOKUP($E$7&amp;$G$8,FLNTRANSPOSE!$B$3:$DC$102,93,0),0)</f>
        <v>0</v>
      </c>
      <c r="H95" s="794">
        <f>IFERROR(VLOOKUP($H$7&amp;$H$8,FLNTRANSPOSE!$B$3:$DC$102,93,0),0)</f>
        <v>0</v>
      </c>
      <c r="I95" s="794">
        <f>IFERROR(VLOOKUP($H$7&amp;$I$8,FLNTRANSPOSE!$B$3:$DC$102,93,0),0)</f>
        <v>0</v>
      </c>
      <c r="J95" s="794">
        <f>IFERROR(VLOOKUP($H$7&amp;$J$8,FLNTRANSPOSE!$B$3:$DC$102,93,0),0)</f>
        <v>0</v>
      </c>
      <c r="K95" s="794">
        <f>IFERROR(VLOOKUP($K$7&amp;$K$8,FLNTRANSPOSE!$B$3:$DC$102,93,0),0)</f>
        <v>0</v>
      </c>
      <c r="L95" s="794">
        <f>IFERROR(VLOOKUP($K$7&amp;$L$8,FLNTRANSPOSE!$B$3:$DC$102,93,0),0)</f>
        <v>0</v>
      </c>
      <c r="M95" s="794">
        <f>IFERROR(VLOOKUP($K$7&amp;$M$8,FLNTRANSPOSE!$B$3:$DC$102,93,0),0)</f>
        <v>0</v>
      </c>
    </row>
    <row r="96" hidden="1" spans="1:13">
      <c r="A96" s="793">
        <f>IF(A95=0,0,IF(A95&lt;ENTRY!$D$24,A95+1,0))</f>
        <v>0</v>
      </c>
      <c r="B96" s="794">
        <f>STUDENT!F89</f>
        <v>0</v>
      </c>
      <c r="C96" s="795">
        <f>STUDENT!E89</f>
        <v>0</v>
      </c>
      <c r="D96" s="795">
        <f>STUDENT!H89</f>
        <v>0</v>
      </c>
      <c r="E96" s="794">
        <f>IFERROR(VLOOKUP($E$7&amp;$E$8,FLNTRANSPOSE!$B$3:$DC$102,94,0),0)</f>
        <v>0</v>
      </c>
      <c r="F96" s="794">
        <f>IFERROR(VLOOKUP($E$7&amp;$F$8,FLNTRANSPOSE!$B$3:$DC$102,94,0),0)</f>
        <v>0</v>
      </c>
      <c r="G96" s="794">
        <f>IFERROR(VLOOKUP($E$7&amp;$G$8,FLNTRANSPOSE!$B$3:$DC$102,94,0),0)</f>
        <v>0</v>
      </c>
      <c r="H96" s="794">
        <f>IFERROR(VLOOKUP($H$7&amp;$H$8,FLNTRANSPOSE!$B$3:$DC$102,94,0),0)</f>
        <v>0</v>
      </c>
      <c r="I96" s="794">
        <f>IFERROR(VLOOKUP($H$7&amp;$I$8,FLNTRANSPOSE!$B$3:$DC$102,94,0),0)</f>
        <v>0</v>
      </c>
      <c r="J96" s="794">
        <f>IFERROR(VLOOKUP($H$7&amp;$J$8,FLNTRANSPOSE!$B$3:$DC$102,94,0),0)</f>
        <v>0</v>
      </c>
      <c r="K96" s="794">
        <f>IFERROR(VLOOKUP($K$7&amp;$K$8,FLNTRANSPOSE!$B$3:$DC$102,94,0),0)</f>
        <v>0</v>
      </c>
      <c r="L96" s="794">
        <f>IFERROR(VLOOKUP($K$7&amp;$L$8,FLNTRANSPOSE!$B$3:$DC$102,94,0),0)</f>
        <v>0</v>
      </c>
      <c r="M96" s="794">
        <f>IFERROR(VLOOKUP($K$7&amp;$M$8,FLNTRANSPOSE!$B$3:$DC$102,94,0),0)</f>
        <v>0</v>
      </c>
    </row>
    <row r="97" hidden="1" spans="1:13">
      <c r="A97" s="793">
        <f>IF(A96=0,0,IF(A96&lt;ENTRY!$D$24,A96+1,0))</f>
        <v>0</v>
      </c>
      <c r="B97" s="794">
        <f>STUDENT!F90</f>
        <v>0</v>
      </c>
      <c r="C97" s="795">
        <f>STUDENT!E90</f>
        <v>0</v>
      </c>
      <c r="D97" s="795">
        <f>STUDENT!H90</f>
        <v>0</v>
      </c>
      <c r="E97" s="794">
        <f>IFERROR(VLOOKUP($E$7&amp;$E$8,FLNTRANSPOSE!$B$3:$DC$102,95,0),0)</f>
        <v>0</v>
      </c>
      <c r="F97" s="794">
        <f>IFERROR(VLOOKUP($E$7&amp;$F$8,FLNTRANSPOSE!$B$3:$DC$102,95,0),0)</f>
        <v>0</v>
      </c>
      <c r="G97" s="794">
        <f>IFERROR(VLOOKUP($E$7&amp;$G$8,FLNTRANSPOSE!$B$3:$DC$102,95,0),0)</f>
        <v>0</v>
      </c>
      <c r="H97" s="794">
        <f>IFERROR(VLOOKUP($H$7&amp;$H$8,FLNTRANSPOSE!$B$3:$DC$102,95,0),0)</f>
        <v>0</v>
      </c>
      <c r="I97" s="794">
        <f>IFERROR(VLOOKUP($H$7&amp;$I$8,FLNTRANSPOSE!$B$3:$DC$102,95,0),0)</f>
        <v>0</v>
      </c>
      <c r="J97" s="794">
        <f>IFERROR(VLOOKUP($H$7&amp;$J$8,FLNTRANSPOSE!$B$3:$DC$102,95,0),0)</f>
        <v>0</v>
      </c>
      <c r="K97" s="794">
        <f>IFERROR(VLOOKUP($K$7&amp;$K$8,FLNTRANSPOSE!$B$3:$DC$102,95,0),0)</f>
        <v>0</v>
      </c>
      <c r="L97" s="794">
        <f>IFERROR(VLOOKUP($K$7&amp;$L$8,FLNTRANSPOSE!$B$3:$DC$102,95,0),0)</f>
        <v>0</v>
      </c>
      <c r="M97" s="794">
        <f>IFERROR(VLOOKUP($K$7&amp;$M$8,FLNTRANSPOSE!$B$3:$DC$102,95,0),0)</f>
        <v>0</v>
      </c>
    </row>
    <row r="98" hidden="1" spans="1:13">
      <c r="A98" s="793">
        <f>IF(A97=0,0,IF(A97&lt;ENTRY!$D$24,A97+1,0))</f>
        <v>0</v>
      </c>
      <c r="B98" s="794">
        <f>STUDENT!F91</f>
        <v>0</v>
      </c>
      <c r="C98" s="795">
        <f>STUDENT!E91</f>
        <v>0</v>
      </c>
      <c r="D98" s="795">
        <f>STUDENT!H91</f>
        <v>0</v>
      </c>
      <c r="E98" s="794">
        <f>IFERROR(VLOOKUP($E$7&amp;$E$8,FLNTRANSPOSE!$B$3:$DC$102,96,0),0)</f>
        <v>0</v>
      </c>
      <c r="F98" s="794">
        <f>IFERROR(VLOOKUP($E$7&amp;$F$8,FLNTRANSPOSE!$B$3:$DC$102,96,0),0)</f>
        <v>0</v>
      </c>
      <c r="G98" s="794">
        <f>IFERROR(VLOOKUP($E$7&amp;$G$8,FLNTRANSPOSE!$B$3:$DC$102,96,0),0)</f>
        <v>0</v>
      </c>
      <c r="H98" s="794">
        <f>IFERROR(VLOOKUP($H$7&amp;$H$8,FLNTRANSPOSE!$B$3:$DC$102,96,0),0)</f>
        <v>0</v>
      </c>
      <c r="I98" s="794">
        <f>IFERROR(VLOOKUP($H$7&amp;$I$8,FLNTRANSPOSE!$B$3:$DC$102,96,0),0)</f>
        <v>0</v>
      </c>
      <c r="J98" s="794">
        <f>IFERROR(VLOOKUP($H$7&amp;$J$8,FLNTRANSPOSE!$B$3:$DC$102,96,0),0)</f>
        <v>0</v>
      </c>
      <c r="K98" s="794">
        <f>IFERROR(VLOOKUP($K$7&amp;$K$8,FLNTRANSPOSE!$B$3:$DC$102,96,0),0)</f>
        <v>0</v>
      </c>
      <c r="L98" s="794">
        <f>IFERROR(VLOOKUP($K$7&amp;$L$8,FLNTRANSPOSE!$B$3:$DC$102,96,0),0)</f>
        <v>0</v>
      </c>
      <c r="M98" s="794">
        <f>IFERROR(VLOOKUP($K$7&amp;$M$8,FLNTRANSPOSE!$B$3:$DC$102,96,0),0)</f>
        <v>0</v>
      </c>
    </row>
    <row r="99" hidden="1" spans="1:13">
      <c r="A99" s="793">
        <f>IF(A98=0,0,IF(A98&lt;ENTRY!$D$24,A98+1,0))</f>
        <v>0</v>
      </c>
      <c r="B99" s="794">
        <f>STUDENT!F92</f>
        <v>0</v>
      </c>
      <c r="C99" s="795">
        <f>STUDENT!E92</f>
        <v>0</v>
      </c>
      <c r="D99" s="795">
        <f>STUDENT!H92</f>
        <v>0</v>
      </c>
      <c r="E99" s="794">
        <f>IFERROR(VLOOKUP($E$7&amp;$E$8,FLNTRANSPOSE!$B$3:$DC$102,97,0),0)</f>
        <v>0</v>
      </c>
      <c r="F99" s="794">
        <f>IFERROR(VLOOKUP($E$7&amp;$F$8,FLNTRANSPOSE!$B$3:$DC$102,97,0),0)</f>
        <v>0</v>
      </c>
      <c r="G99" s="794">
        <f>IFERROR(VLOOKUP($E$7&amp;$G$8,FLNTRANSPOSE!$B$3:$DC$102,97,0),0)</f>
        <v>0</v>
      </c>
      <c r="H99" s="794">
        <f>IFERROR(VLOOKUP($H$7&amp;$H$8,FLNTRANSPOSE!$B$3:$DC$102,97,0),0)</f>
        <v>0</v>
      </c>
      <c r="I99" s="794">
        <f>IFERROR(VLOOKUP($H$7&amp;$I$8,FLNTRANSPOSE!$B$3:$DC$102,97,0),0)</f>
        <v>0</v>
      </c>
      <c r="J99" s="794">
        <f>IFERROR(VLOOKUP($H$7&amp;$J$8,FLNTRANSPOSE!$B$3:$DC$102,97,0),0)</f>
        <v>0</v>
      </c>
      <c r="K99" s="794">
        <f>IFERROR(VLOOKUP($K$7&amp;$K$8,FLNTRANSPOSE!$B$3:$DC$102,97,0),0)</f>
        <v>0</v>
      </c>
      <c r="L99" s="794">
        <f>IFERROR(VLOOKUP($K$7&amp;$L$8,FLNTRANSPOSE!$B$3:$DC$102,97,0),0)</f>
        <v>0</v>
      </c>
      <c r="M99" s="794">
        <f>IFERROR(VLOOKUP($K$7&amp;$M$8,FLNTRANSPOSE!$B$3:$DC$102,97,0),0)</f>
        <v>0</v>
      </c>
    </row>
    <row r="100" hidden="1" spans="1:13">
      <c r="A100" s="793">
        <f>IF(A99=0,0,IF(A99&lt;ENTRY!$D$24,A99+1,0))</f>
        <v>0</v>
      </c>
      <c r="B100" s="794">
        <f>STUDENT!F93</f>
        <v>0</v>
      </c>
      <c r="C100" s="795">
        <f>STUDENT!E93</f>
        <v>0</v>
      </c>
      <c r="D100" s="795">
        <f>STUDENT!H93</f>
        <v>0</v>
      </c>
      <c r="E100" s="794">
        <f>IFERROR(VLOOKUP($E$7&amp;$E$8,FLNTRANSPOSE!$B$3:$DC$102,98,0),0)</f>
        <v>0</v>
      </c>
      <c r="F100" s="794">
        <f>IFERROR(VLOOKUP($E$7&amp;$F$8,FLNTRANSPOSE!$B$3:$DC$102,98,0),0)</f>
        <v>0</v>
      </c>
      <c r="G100" s="794">
        <f>IFERROR(VLOOKUP($E$7&amp;$G$8,FLNTRANSPOSE!$B$3:$DC$102,98,0),0)</f>
        <v>0</v>
      </c>
      <c r="H100" s="794">
        <f>IFERROR(VLOOKUP($H$7&amp;$H$8,FLNTRANSPOSE!$B$3:$DC$102,98,0),0)</f>
        <v>0</v>
      </c>
      <c r="I100" s="794">
        <f>IFERROR(VLOOKUP($H$7&amp;$I$8,FLNTRANSPOSE!$B$3:$DC$102,98,0),0)</f>
        <v>0</v>
      </c>
      <c r="J100" s="794">
        <f>IFERROR(VLOOKUP($H$7&amp;$J$8,FLNTRANSPOSE!$B$3:$DC$102,98,0),0)</f>
        <v>0</v>
      </c>
      <c r="K100" s="794">
        <f>IFERROR(VLOOKUP($K$7&amp;$K$8,FLNTRANSPOSE!$B$3:$DC$102,98,0),0)</f>
        <v>0</v>
      </c>
      <c r="L100" s="794">
        <f>IFERROR(VLOOKUP($K$7&amp;$L$8,FLNTRANSPOSE!$B$3:$DC$102,98,0),0)</f>
        <v>0</v>
      </c>
      <c r="M100" s="794">
        <f>IFERROR(VLOOKUP($K$7&amp;$M$8,FLNTRANSPOSE!$B$3:$DC$102,98,0),0)</f>
        <v>0</v>
      </c>
    </row>
    <row r="101" hidden="1" spans="1:13">
      <c r="A101" s="793">
        <f>IF(A100=0,0,IF(A100&lt;ENTRY!$D$24,A100+1,0))</f>
        <v>0</v>
      </c>
      <c r="B101" s="794">
        <f>STUDENT!F94</f>
        <v>0</v>
      </c>
      <c r="C101" s="795">
        <f>STUDENT!E94</f>
        <v>0</v>
      </c>
      <c r="D101" s="795">
        <f>STUDENT!H94</f>
        <v>0</v>
      </c>
      <c r="E101" s="794">
        <f>IFERROR(VLOOKUP($E$7&amp;$E$8,FLNTRANSPOSE!$B$3:$DC$102,99,0),0)</f>
        <v>0</v>
      </c>
      <c r="F101" s="794">
        <f>IFERROR(VLOOKUP($E$7&amp;$F$8,FLNTRANSPOSE!$B$3:$DC$102,99,0),0)</f>
        <v>0</v>
      </c>
      <c r="G101" s="794">
        <f>IFERROR(VLOOKUP($E$7&amp;$G$8,FLNTRANSPOSE!$B$3:$DC$102,99,0),0)</f>
        <v>0</v>
      </c>
      <c r="H101" s="794">
        <f>IFERROR(VLOOKUP($H$7&amp;$H$8,FLNTRANSPOSE!$B$3:$DC$102,99,0),0)</f>
        <v>0</v>
      </c>
      <c r="I101" s="794">
        <f>IFERROR(VLOOKUP($H$7&amp;$I$8,FLNTRANSPOSE!$B$3:$DC$102,99,0),0)</f>
        <v>0</v>
      </c>
      <c r="J101" s="794">
        <f>IFERROR(VLOOKUP($H$7&amp;$J$8,FLNTRANSPOSE!$B$3:$DC$102,99,0),0)</f>
        <v>0</v>
      </c>
      <c r="K101" s="794">
        <f>IFERROR(VLOOKUP($K$7&amp;$K$8,FLNTRANSPOSE!$B$3:$DC$102,99,0),0)</f>
        <v>0</v>
      </c>
      <c r="L101" s="794">
        <f>IFERROR(VLOOKUP($K$7&amp;$L$8,FLNTRANSPOSE!$B$3:$DC$102,99,0),0)</f>
        <v>0</v>
      </c>
      <c r="M101" s="794">
        <f>IFERROR(VLOOKUP($K$7&amp;$M$8,FLNTRANSPOSE!$B$3:$DC$102,99,0),0)</f>
        <v>0</v>
      </c>
    </row>
    <row r="102" hidden="1" spans="1:13">
      <c r="A102" s="793">
        <f>IF(A101=0,0,IF(A101&lt;ENTRY!$D$24,A101+1,0))</f>
        <v>0</v>
      </c>
      <c r="B102" s="794">
        <f>STUDENT!F95</f>
        <v>0</v>
      </c>
      <c r="C102" s="795">
        <f>STUDENT!E95</f>
        <v>0</v>
      </c>
      <c r="D102" s="795">
        <f>STUDENT!H95</f>
        <v>0</v>
      </c>
      <c r="E102" s="794">
        <f>IFERROR(VLOOKUP($E$7&amp;$E$8,FLNTRANSPOSE!$B$3:$DC$102,100,0),0)</f>
        <v>0</v>
      </c>
      <c r="F102" s="794">
        <f>IFERROR(VLOOKUP($E$7&amp;$F$8,FLNTRANSPOSE!$B$3:$DC$102,100,0),0)</f>
        <v>0</v>
      </c>
      <c r="G102" s="794">
        <f>IFERROR(VLOOKUP($E$7&amp;$G$8,FLNTRANSPOSE!$B$3:$DC$102,100,0),0)</f>
        <v>0</v>
      </c>
      <c r="H102" s="794">
        <f>IFERROR(VLOOKUP($H$7&amp;$H$8,FLNTRANSPOSE!$B$3:$DC$102,100,0),0)</f>
        <v>0</v>
      </c>
      <c r="I102" s="794">
        <f>IFERROR(VLOOKUP($H$7&amp;$I$8,FLNTRANSPOSE!$B$3:$DC$102,100,0),0)</f>
        <v>0</v>
      </c>
      <c r="J102" s="794">
        <f>IFERROR(VLOOKUP($H$7&amp;$J$8,FLNTRANSPOSE!$B$3:$DC$102,100,0),0)</f>
        <v>0</v>
      </c>
      <c r="K102" s="794">
        <f>IFERROR(VLOOKUP($K$7&amp;$K$8,FLNTRANSPOSE!$B$3:$DC$102,100,0),0)</f>
        <v>0</v>
      </c>
      <c r="L102" s="794">
        <f>IFERROR(VLOOKUP($K$7&amp;$L$8,FLNTRANSPOSE!$B$3:$DC$102,100,0),0)</f>
        <v>0</v>
      </c>
      <c r="M102" s="794">
        <f>IFERROR(VLOOKUP($K$7&amp;$M$8,FLNTRANSPOSE!$B$3:$DC$102,100,0),0)</f>
        <v>0</v>
      </c>
    </row>
    <row r="103" hidden="1" spans="1:13">
      <c r="A103" s="793">
        <f>IF(A102=0,0,IF(A102&lt;ENTRY!$D$24,A102+1,0))</f>
        <v>0</v>
      </c>
      <c r="B103" s="794">
        <f>STUDENT!F96</f>
        <v>0</v>
      </c>
      <c r="C103" s="795">
        <f>STUDENT!E96</f>
        <v>0</v>
      </c>
      <c r="D103" s="795">
        <f>STUDENT!H96</f>
        <v>0</v>
      </c>
      <c r="E103" s="794">
        <f>IFERROR(VLOOKUP($E$7&amp;$E$8,FLNTRANSPOSE!$B$3:$DC$102,101,0),0)</f>
        <v>0</v>
      </c>
      <c r="F103" s="794">
        <f>IFERROR(VLOOKUP($E$7&amp;$F$8,FLNTRANSPOSE!$B$3:$DC$102,101,0),0)</f>
        <v>0</v>
      </c>
      <c r="G103" s="794">
        <f>IFERROR(VLOOKUP($E$7&amp;$G$8,FLNTRANSPOSE!$B$3:$DC$102,101,0),0)</f>
        <v>0</v>
      </c>
      <c r="H103" s="794">
        <f>IFERROR(VLOOKUP($H$7&amp;$H$8,FLNTRANSPOSE!$B$3:$DC$102,101,0),0)</f>
        <v>0</v>
      </c>
      <c r="I103" s="794">
        <f>IFERROR(VLOOKUP($H$7&amp;$I$8,FLNTRANSPOSE!$B$3:$DC$102,101,0),0)</f>
        <v>0</v>
      </c>
      <c r="J103" s="794">
        <f>IFERROR(VLOOKUP($H$7&amp;$J$8,FLNTRANSPOSE!$B$3:$DC$102,101,0),0)</f>
        <v>0</v>
      </c>
      <c r="K103" s="794">
        <f>IFERROR(VLOOKUP($K$7&amp;$K$8,FLNTRANSPOSE!$B$3:$DC$102,101,0),0)</f>
        <v>0</v>
      </c>
      <c r="L103" s="794">
        <f>IFERROR(VLOOKUP($K$7&amp;$L$8,FLNTRANSPOSE!$B$3:$DC$102,101,0),0)</f>
        <v>0</v>
      </c>
      <c r="M103" s="794">
        <f>IFERROR(VLOOKUP($K$7&amp;$M$8,FLNTRANSPOSE!$B$3:$DC$102,101,0),0)</f>
        <v>0</v>
      </c>
    </row>
    <row r="104" hidden="1" spans="1:13">
      <c r="A104" s="793">
        <f>IF(A103=0,0,IF(A103&lt;ENTRY!$D$24,A103+1,0))</f>
        <v>0</v>
      </c>
      <c r="B104" s="794">
        <f>STUDENT!F97</f>
        <v>0</v>
      </c>
      <c r="C104" s="795">
        <f>STUDENT!E97</f>
        <v>0</v>
      </c>
      <c r="D104" s="795">
        <f>STUDENT!H97</f>
        <v>0</v>
      </c>
      <c r="E104" s="794">
        <f>IFERROR(VLOOKUP($E$7&amp;$E$8,FLNTRANSPOSE!$B$3:$DC$102,102,0),0)</f>
        <v>0</v>
      </c>
      <c r="F104" s="794">
        <f>IFERROR(VLOOKUP($E$7&amp;$F$8,FLNTRANSPOSE!$B$3:$DC$102,102,0),0)</f>
        <v>0</v>
      </c>
      <c r="G104" s="794">
        <f>IFERROR(VLOOKUP($E$7&amp;$G$8,FLNTRANSPOSE!$B$3:$DC$102,102,0),0)</f>
        <v>0</v>
      </c>
      <c r="H104" s="794">
        <f>IFERROR(VLOOKUP($H$7&amp;$H$8,FLNTRANSPOSE!$B$3:$DC$102,102,0),0)</f>
        <v>0</v>
      </c>
      <c r="I104" s="794">
        <f>IFERROR(VLOOKUP($H$7&amp;$I$8,FLNTRANSPOSE!$B$3:$DC$102,102,0),0)</f>
        <v>0</v>
      </c>
      <c r="J104" s="794">
        <f>IFERROR(VLOOKUP($H$7&amp;$J$8,FLNTRANSPOSE!$B$3:$DC$102,102,0),0)</f>
        <v>0</v>
      </c>
      <c r="K104" s="794">
        <f>IFERROR(VLOOKUP($K$7&amp;$K$8,FLNTRANSPOSE!$B$3:$DC$102,102,0),0)</f>
        <v>0</v>
      </c>
      <c r="L104" s="794">
        <f>IFERROR(VLOOKUP($K$7&amp;$L$8,FLNTRANSPOSE!$B$3:$DC$102,102,0),0)</f>
        <v>0</v>
      </c>
      <c r="M104" s="794">
        <f>IFERROR(VLOOKUP($K$7&amp;$M$8,FLNTRANSPOSE!$B$3:$DC$102,102,0),0)</f>
        <v>0</v>
      </c>
    </row>
    <row r="105" hidden="1" spans="1:13">
      <c r="A105" s="793">
        <f>IF(A104=0,0,IF(A104&lt;ENTRY!$D$24,A104+1,0))</f>
        <v>0</v>
      </c>
      <c r="B105" s="794">
        <f>STUDENT!F98</f>
        <v>0</v>
      </c>
      <c r="C105" s="795">
        <f>STUDENT!E98</f>
        <v>0</v>
      </c>
      <c r="D105" s="795">
        <f>STUDENT!H98</f>
        <v>0</v>
      </c>
      <c r="E105" s="794">
        <f>IFERROR(VLOOKUP($E$7&amp;$E$8,FLNTRANSPOSE!$B$3:$DC$102,103,0),0)</f>
        <v>0</v>
      </c>
      <c r="F105" s="794">
        <f>IFERROR(VLOOKUP($E$7&amp;$F$8,FLNTRANSPOSE!$B$3:$DC$102,103,0),0)</f>
        <v>0</v>
      </c>
      <c r="G105" s="794">
        <f>IFERROR(VLOOKUP($E$7&amp;$G$8,FLNTRANSPOSE!$B$3:$DC$102,103,0),0)</f>
        <v>0</v>
      </c>
      <c r="H105" s="794">
        <f>IFERROR(VLOOKUP($H$7&amp;$H$8,FLNTRANSPOSE!$B$3:$DC$102,103,0),0)</f>
        <v>0</v>
      </c>
      <c r="I105" s="794">
        <f>IFERROR(VLOOKUP($H$7&amp;$I$8,FLNTRANSPOSE!$B$3:$DC$102,103,0),0)</f>
        <v>0</v>
      </c>
      <c r="J105" s="794">
        <f>IFERROR(VLOOKUP($H$7&amp;$J$8,FLNTRANSPOSE!$B$3:$DC$102,103,0),0)</f>
        <v>0</v>
      </c>
      <c r="K105" s="794">
        <f>IFERROR(VLOOKUP($K$7&amp;$K$8,FLNTRANSPOSE!$B$3:$DC$102,103,0),0)</f>
        <v>0</v>
      </c>
      <c r="L105" s="794">
        <f>IFERROR(VLOOKUP($K$7&amp;$L$8,FLNTRANSPOSE!$B$3:$DC$102,103,0),0)</f>
        <v>0</v>
      </c>
      <c r="M105" s="794">
        <f>IFERROR(VLOOKUP($K$7&amp;$M$8,FLNTRANSPOSE!$B$3:$DC$102,103,0),0)</f>
        <v>0</v>
      </c>
    </row>
    <row r="106" hidden="1" spans="1:13">
      <c r="A106" s="793">
        <f>IF(A105=0,0,IF(A105&lt;ENTRY!$D$24,A105+1,0))</f>
        <v>0</v>
      </c>
      <c r="B106" s="794">
        <f>STUDENT!F99</f>
        <v>0</v>
      </c>
      <c r="C106" s="795">
        <f>STUDENT!E99</f>
        <v>0</v>
      </c>
      <c r="D106" s="795">
        <f>STUDENT!H99</f>
        <v>0</v>
      </c>
      <c r="E106" s="794">
        <f>IFERROR(VLOOKUP($E$7&amp;$E$8,FLNTRANSPOSE!$B$3:$DC$102,104,0),0)</f>
        <v>0</v>
      </c>
      <c r="F106" s="794">
        <f>IFERROR(VLOOKUP($E$7&amp;$F$8,FLNTRANSPOSE!$B$3:$DC$102,104,0),0)</f>
        <v>0</v>
      </c>
      <c r="G106" s="794">
        <f>IFERROR(VLOOKUP($E$7&amp;$G$8,FLNTRANSPOSE!$B$3:$DC$102,104,0),0)</f>
        <v>0</v>
      </c>
      <c r="H106" s="794">
        <f>IFERROR(VLOOKUP($H$7&amp;$H$8,FLNTRANSPOSE!$B$3:$DC$102,104,0),0)</f>
        <v>0</v>
      </c>
      <c r="I106" s="794">
        <f>IFERROR(VLOOKUP($H$7&amp;$I$8,FLNTRANSPOSE!$B$3:$DC$102,104,0),0)</f>
        <v>0</v>
      </c>
      <c r="J106" s="794">
        <f>IFERROR(VLOOKUP($H$7&amp;$J$8,FLNTRANSPOSE!$B$3:$DC$102,104,0),0)</f>
        <v>0</v>
      </c>
      <c r="K106" s="794">
        <f>IFERROR(VLOOKUP($K$7&amp;$K$8,FLNTRANSPOSE!$B$3:$DC$102,104,0),0)</f>
        <v>0</v>
      </c>
      <c r="L106" s="794">
        <f>IFERROR(VLOOKUP($K$7&amp;$L$8,FLNTRANSPOSE!$B$3:$DC$102,104,0),0)</f>
        <v>0</v>
      </c>
      <c r="M106" s="794">
        <f>IFERROR(VLOOKUP($K$7&amp;$M$8,FLNTRANSPOSE!$B$3:$DC$102,104,0),0)</f>
        <v>0</v>
      </c>
    </row>
    <row r="107" hidden="1" spans="1:13">
      <c r="A107" s="793">
        <f>IF(A106=0,0,IF(A106&lt;ENTRY!$D$24,A106+1,0))</f>
        <v>0</v>
      </c>
      <c r="B107" s="794">
        <f>STUDENT!F100</f>
        <v>0</v>
      </c>
      <c r="C107" s="795">
        <f>STUDENT!E100</f>
        <v>0</v>
      </c>
      <c r="D107" s="795">
        <f>STUDENT!H100</f>
        <v>0</v>
      </c>
      <c r="E107" s="794">
        <f>IFERROR(VLOOKUP($E$7&amp;$E$8,FLNTRANSPOSE!$B$3:$DC$102,105,0),0)</f>
        <v>0</v>
      </c>
      <c r="F107" s="794">
        <f>IFERROR(VLOOKUP($E$7&amp;$F$8,FLNTRANSPOSE!$B$3:$DC$102,105,0),0)</f>
        <v>0</v>
      </c>
      <c r="G107" s="794">
        <f>IFERROR(VLOOKUP($E$7&amp;$G$8,FLNTRANSPOSE!$B$3:$DC$102,105,0),0)</f>
        <v>0</v>
      </c>
      <c r="H107" s="794">
        <f>IFERROR(VLOOKUP($H$7&amp;$H$8,FLNTRANSPOSE!$B$3:$DC$102,105,0),0)</f>
        <v>0</v>
      </c>
      <c r="I107" s="794">
        <f>IFERROR(VLOOKUP($H$7&amp;$I$8,FLNTRANSPOSE!$B$3:$DC$102,105,0),0)</f>
        <v>0</v>
      </c>
      <c r="J107" s="794">
        <f>IFERROR(VLOOKUP($H$7&amp;$J$8,FLNTRANSPOSE!$B$3:$DC$102,105,0),0)</f>
        <v>0</v>
      </c>
      <c r="K107" s="794">
        <f>IFERROR(VLOOKUP($K$7&amp;$K$8,FLNTRANSPOSE!$B$3:$DC$102,105,0),0)</f>
        <v>0</v>
      </c>
      <c r="L107" s="794">
        <f>IFERROR(VLOOKUP($K$7&amp;$L$8,FLNTRANSPOSE!$B$3:$DC$102,105,0),0)</f>
        <v>0</v>
      </c>
      <c r="M107" s="794">
        <f>IFERROR(VLOOKUP($K$7&amp;$M$8,FLNTRANSPOSE!$B$3:$DC$102,105,0),0)</f>
        <v>0</v>
      </c>
    </row>
    <row r="108" hidden="1" spans="1:13">
      <c r="A108" s="796">
        <f>IF(A107=0,0,IF(A107&lt;ENTRY!$D$24,A107+1,0))</f>
        <v>0</v>
      </c>
      <c r="B108" s="794">
        <f>STUDENT!F101</f>
        <v>0</v>
      </c>
      <c r="C108" s="795">
        <f>STUDENT!E101</f>
        <v>0</v>
      </c>
      <c r="D108" s="795">
        <f>STUDENT!H101</f>
        <v>0</v>
      </c>
      <c r="E108" s="794">
        <f>IFERROR(VLOOKUP($E$7&amp;$E$8,FLNTRANSPOSE!$B$3:$DC$102,106,0),0)</f>
        <v>0</v>
      </c>
      <c r="F108" s="794">
        <f>IFERROR(VLOOKUP($E$7&amp;$F$8,FLNTRANSPOSE!$B$3:$DC$102,106,0),0)</f>
        <v>0</v>
      </c>
      <c r="G108" s="794">
        <f>IFERROR(VLOOKUP($E$7&amp;$G$8,FLNTRANSPOSE!$B$3:$DC$102,106,0),0)</f>
        <v>0</v>
      </c>
      <c r="H108" s="794">
        <f>IFERROR(VLOOKUP($H$7&amp;$H$8,FLNTRANSPOSE!$B$3:$DC$102,106,0),0)</f>
        <v>0</v>
      </c>
      <c r="I108" s="794">
        <f>IFERROR(VLOOKUP($H$7&amp;$I$8,FLNTRANSPOSE!$B$3:$DC$102,106,0),0)</f>
        <v>0</v>
      </c>
      <c r="J108" s="794">
        <f>IFERROR(VLOOKUP($H$7&amp;$J$8,FLNTRANSPOSE!$B$3:$DC$102,106,0),0)</f>
        <v>0</v>
      </c>
      <c r="K108" s="794">
        <f>IFERROR(VLOOKUP($K$7&amp;$K$8,FLNTRANSPOSE!$B$3:$DC$102,106,0),0)</f>
        <v>0</v>
      </c>
      <c r="L108" s="794">
        <f>IFERROR(VLOOKUP($K$7&amp;$L$8,FLNTRANSPOSE!$B$3:$DC$102,106,0),0)</f>
        <v>0</v>
      </c>
      <c r="M108" s="794">
        <f>IFERROR(VLOOKUP($K$7&amp;$M$8,FLNTRANSPOSE!$B$3:$DC$102,106,0),0)</f>
        <v>0</v>
      </c>
    </row>
    <row r="109" spans="1:13">
      <c r="A109" s="797"/>
      <c r="B109" s="798"/>
      <c r="C109" s="799" t="s">
        <v>413</v>
      </c>
      <c r="D109" s="800"/>
      <c r="E109" s="780" t="str">
        <f>"L1 : "&amp;COUNTIFS(E9:E108,1)</f>
        <v>L1 : 0</v>
      </c>
      <c r="F109" s="784" t="str">
        <f t="shared" ref="F109:M109" si="0">"L1 : "&amp;COUNTIFS(F9:F108,1)</f>
        <v>L1 : 0</v>
      </c>
      <c r="G109" s="784" t="str">
        <f t="shared" si="0"/>
        <v>L1 : 0</v>
      </c>
      <c r="H109" s="784" t="str">
        <f t="shared" si="0"/>
        <v>L1 : 0</v>
      </c>
      <c r="I109" s="784" t="str">
        <f t="shared" si="0"/>
        <v>L1 : 0</v>
      </c>
      <c r="J109" s="784" t="str">
        <f t="shared" si="0"/>
        <v>L1 : 0</v>
      </c>
      <c r="K109" s="784" t="str">
        <f t="shared" si="0"/>
        <v>L1 : 0</v>
      </c>
      <c r="L109" s="784" t="str">
        <f t="shared" si="0"/>
        <v>L1 : 0</v>
      </c>
      <c r="M109" s="784" t="str">
        <f t="shared" si="0"/>
        <v>L1 : 0</v>
      </c>
    </row>
    <row r="110" spans="1:13">
      <c r="A110" s="801"/>
      <c r="B110" s="798"/>
      <c r="C110" s="802"/>
      <c r="D110" s="803"/>
      <c r="E110" s="780" t="str">
        <f>"L2 : "&amp;COUNTIFS(E9:E108,2)</f>
        <v>L2 : 28</v>
      </c>
      <c r="F110" s="784" t="str">
        <f t="shared" ref="F110:M110" si="1">"L2 : "&amp;COUNTIFS(F9:F108,2)</f>
        <v>L2 : 31</v>
      </c>
      <c r="G110" s="784" t="str">
        <f t="shared" ref="G110" si="2">"L2 : "&amp;COUNTIFS(G9:G108,2)</f>
        <v>L2 : 0</v>
      </c>
      <c r="H110" s="784" t="str">
        <f t="shared" si="1"/>
        <v>L2 : 28</v>
      </c>
      <c r="I110" s="784" t="str">
        <f t="shared" si="1"/>
        <v>L2 : 31</v>
      </c>
      <c r="J110" s="784" t="str">
        <f t="shared" si="1"/>
        <v>L2 : 0</v>
      </c>
      <c r="K110" s="784" t="str">
        <f t="shared" si="1"/>
        <v>L2 : 16</v>
      </c>
      <c r="L110" s="784" t="str">
        <f t="shared" si="1"/>
        <v>L2 : 27</v>
      </c>
      <c r="M110" s="784" t="str">
        <f t="shared" si="1"/>
        <v>L2 : 0</v>
      </c>
    </row>
    <row r="111" spans="1:13">
      <c r="A111" s="801"/>
      <c r="B111" s="798"/>
      <c r="C111" s="804" t="s">
        <v>414</v>
      </c>
      <c r="D111" s="805">
        <f>D113-D112</f>
        <v>36</v>
      </c>
      <c r="E111" s="780" t="str">
        <f>"L3 : "&amp;COUNTIFS(E9:E108,3)</f>
        <v>L3 : 5</v>
      </c>
      <c r="F111" s="784" t="str">
        <f t="shared" ref="F111:M111" si="3">"L3 : "&amp;COUNTIFS(F9:F108,3)</f>
        <v>L3 : 5</v>
      </c>
      <c r="G111" s="784" t="str">
        <f t="shared" ref="G111" si="4">"L3 : "&amp;COUNTIFS(G9:G108,3)</f>
        <v>L3 : 27</v>
      </c>
      <c r="H111" s="784" t="str">
        <f t="shared" si="3"/>
        <v>L3 : 5</v>
      </c>
      <c r="I111" s="784" t="str">
        <f t="shared" si="3"/>
        <v>L3 : 5</v>
      </c>
      <c r="J111" s="784" t="str">
        <f t="shared" si="3"/>
        <v>L3 : 27</v>
      </c>
      <c r="K111" s="784" t="str">
        <f t="shared" si="3"/>
        <v>L3 : 12</v>
      </c>
      <c r="L111" s="784" t="str">
        <f t="shared" si="3"/>
        <v>L3 : 6</v>
      </c>
      <c r="M111" s="784" t="str">
        <f t="shared" si="3"/>
        <v>L3 : 23</v>
      </c>
    </row>
    <row r="112" spans="1:13">
      <c r="A112" s="801"/>
      <c r="B112" s="798"/>
      <c r="C112" s="804" t="s">
        <v>415</v>
      </c>
      <c r="D112" s="805">
        <f>COUNTIFS(K9:K108,"Ab")</f>
        <v>3</v>
      </c>
      <c r="E112" s="780" t="str">
        <f>"L4 : "&amp;COUNTIFS(E9:E108,4)</f>
        <v>L4 : 3</v>
      </c>
      <c r="F112" s="784" t="str">
        <f t="shared" ref="F112:M112" si="5">"L4 : "&amp;COUNTIFS(F9:F108,4)</f>
        <v>L4 : 0</v>
      </c>
      <c r="G112" s="784" t="str">
        <f t="shared" ref="G112" si="6">"L4 : "&amp;COUNTIFS(G9:G108,4)</f>
        <v>L4 : 9</v>
      </c>
      <c r="H112" s="784" t="str">
        <f t="shared" si="5"/>
        <v>L4 : 3</v>
      </c>
      <c r="I112" s="784" t="str">
        <f t="shared" si="5"/>
        <v>L4 : 0</v>
      </c>
      <c r="J112" s="784" t="str">
        <f t="shared" si="5"/>
        <v>L4 : 9</v>
      </c>
      <c r="K112" s="784" t="str">
        <f t="shared" si="5"/>
        <v>L4 : 8</v>
      </c>
      <c r="L112" s="784" t="str">
        <f t="shared" si="5"/>
        <v>L4 : 3</v>
      </c>
      <c r="M112" s="784" t="str">
        <f t="shared" si="5"/>
        <v>L4 : 13</v>
      </c>
    </row>
    <row r="113" spans="1:13">
      <c r="A113" s="801"/>
      <c r="B113" s="798"/>
      <c r="C113" s="806" t="s">
        <v>416</v>
      </c>
      <c r="D113" s="807">
        <f>IFERROR(VLOOKUP($K$7,DATEWISE!$A$3:$BY$27,3,0),0)</f>
        <v>39</v>
      </c>
      <c r="E113" s="780" t="str">
        <f>"L5 : "&amp;COUNTIFS(E9:E108,5)</f>
        <v>L5 : 0</v>
      </c>
      <c r="F113" s="784" t="str">
        <f t="shared" ref="F113:M113" si="7">"L5 : "&amp;COUNTIFS(F9:F108,5)</f>
        <v>L5 : 0</v>
      </c>
      <c r="G113" s="784" t="str">
        <f t="shared" ref="G113" si="8">"L5 : "&amp;COUNTIFS(G9:G108,5)</f>
        <v>L5 : 0</v>
      </c>
      <c r="H113" s="784" t="str">
        <f t="shared" si="7"/>
        <v>L5 : 0</v>
      </c>
      <c r="I113" s="784" t="str">
        <f t="shared" si="7"/>
        <v>L5 : 0</v>
      </c>
      <c r="J113" s="784" t="str">
        <f t="shared" si="7"/>
        <v>L5 : 0</v>
      </c>
      <c r="K113" s="784" t="str">
        <f t="shared" si="7"/>
        <v>L5 : 0</v>
      </c>
      <c r="L113" s="784" t="str">
        <f t="shared" si="7"/>
        <v>L5 : 0</v>
      </c>
      <c r="M113" s="784" t="str">
        <f t="shared" si="7"/>
        <v>L5 : 0</v>
      </c>
    </row>
    <row r="114" spans="1:13">
      <c r="A114" s="801"/>
      <c r="B114" s="798"/>
      <c r="C114" s="804"/>
      <c r="D114" s="805"/>
      <c r="E114" s="780" t="str">
        <f>"Ab : "&amp;COUNTIFS(E9:E108,"Ab")</f>
        <v>Ab : 3</v>
      </c>
      <c r="F114" s="784" t="str">
        <f t="shared" ref="F114:M114" si="9">"Ab : "&amp;COUNTIFS(F9:F108,"Ab")</f>
        <v>Ab : 3</v>
      </c>
      <c r="G114" s="784" t="str">
        <f t="shared" ref="G114" si="10">"Ab : "&amp;COUNTIFS(G9:G108,"Ab")</f>
        <v>Ab : 3</v>
      </c>
      <c r="H114" s="784" t="str">
        <f t="shared" si="9"/>
        <v>Ab : 3</v>
      </c>
      <c r="I114" s="784" t="str">
        <f t="shared" si="9"/>
        <v>Ab : 3</v>
      </c>
      <c r="J114" s="784" t="str">
        <f t="shared" si="9"/>
        <v>Ab : 3</v>
      </c>
      <c r="K114" s="784" t="str">
        <f t="shared" si="9"/>
        <v>Ab : 3</v>
      </c>
      <c r="L114" s="784" t="str">
        <f t="shared" si="9"/>
        <v>Ab : 3</v>
      </c>
      <c r="M114" s="784" t="str">
        <f t="shared" si="9"/>
        <v>Ab : 3</v>
      </c>
    </row>
    <row r="115" spans="1:13">
      <c r="A115" s="808"/>
      <c r="B115" s="809"/>
      <c r="C115" s="810"/>
      <c r="D115" s="811"/>
      <c r="E115" s="780" t="str">
        <f>"Total-"&amp;VLOOKUP($E$7,DATEWISE!$A$3:$BY$27,3,0)</f>
        <v>Total-39</v>
      </c>
      <c r="F115" s="780" t="str">
        <f>"Total-"&amp;VLOOKUP($E$7,DATEWISE!$A$3:$BY$27,3,0)</f>
        <v>Total-39</v>
      </c>
      <c r="G115" s="780" t="str">
        <f>"Total-"&amp;VLOOKUP($E$7,DATEWISE!$A$3:$BY$27,3,0)</f>
        <v>Total-39</v>
      </c>
      <c r="H115" s="784" t="str">
        <f>"Total-"&amp;VLOOKUP($H$7,DATEWISE!$A$3:$BY$27,3,0)</f>
        <v>Total-39</v>
      </c>
      <c r="I115" s="784" t="str">
        <f>"Total-"&amp;VLOOKUP($H$7,DATEWISE!$A$3:$BY$27,3,0)</f>
        <v>Total-39</v>
      </c>
      <c r="J115" s="784" t="str">
        <f>"Total-"&amp;VLOOKUP($H$7,DATEWISE!$A$3:$BY$27,3,0)</f>
        <v>Total-39</v>
      </c>
      <c r="K115" s="784" t="str">
        <f>"Total-"&amp;VLOOKUP($K$7,DATEWISE!$A$3:$BY$27,3,0)</f>
        <v>Total-39</v>
      </c>
      <c r="L115" s="784" t="str">
        <f>"Total-"&amp;VLOOKUP($K$7,DATEWISE!$A$3:$BY$27,3,0)</f>
        <v>Total-39</v>
      </c>
      <c r="M115" s="784" t="str">
        <f>"Total-"&amp;VLOOKUP($K$7,DATEWISE!$A$3:$BY$27,3,0)</f>
        <v>Total-39</v>
      </c>
    </row>
  </sheetData>
  <sheetProtection password="BF6F" sheet="1" formatCells="0" formatColumns="0" formatRows="0" sort="0" autoFilter="0" objects="1" scenarios="1"/>
  <autoFilter xmlns:etc="http://www.wps.cn/officeDocument/2017/etCustomData" ref="A8:A115" etc:filterBottomFollowUsedRange="0">
    <extLst/>
  </autoFilter>
  <mergeCells count="26">
    <mergeCell ref="A1:M1"/>
    <mergeCell ref="A2:B2"/>
    <mergeCell ref="C2:G2"/>
    <mergeCell ref="H2:I2"/>
    <mergeCell ref="J2:M2"/>
    <mergeCell ref="A3:B3"/>
    <mergeCell ref="C3:G3"/>
    <mergeCell ref="H3:I3"/>
    <mergeCell ref="J3:M3"/>
    <mergeCell ref="E4:G4"/>
    <mergeCell ref="H4:J4"/>
    <mergeCell ref="K4:M4"/>
    <mergeCell ref="E5:G5"/>
    <mergeCell ref="H5:J5"/>
    <mergeCell ref="K5:M5"/>
    <mergeCell ref="E6:G6"/>
    <mergeCell ref="H6:J6"/>
    <mergeCell ref="K6:M6"/>
    <mergeCell ref="F7:G7"/>
    <mergeCell ref="I7:J7"/>
    <mergeCell ref="L7:M7"/>
    <mergeCell ref="A7:A8"/>
    <mergeCell ref="B7:B8"/>
    <mergeCell ref="C7:C8"/>
    <mergeCell ref="D7:D8"/>
    <mergeCell ref="C109:D110"/>
  </mergeCells>
  <pageMargins left="0.21" right="0.21" top="0.4" bottom="0.41" header="0.3" footer="0.3"/>
  <pageSetup paperSize="9" scale="75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workbookViewId="0">
      <selection activeCell="N3" sqref="N3"/>
    </sheetView>
  </sheetViews>
  <sheetFormatPr defaultColWidth="9.13888888888889" defaultRowHeight="15.6"/>
  <cols>
    <col min="1" max="1" width="0.574074074074074" style="668" customWidth="1"/>
    <col min="2" max="2" width="4.13888888888889" style="668" customWidth="1"/>
    <col min="3" max="3" width="21.287037037037" style="668" customWidth="1"/>
    <col min="4" max="6" width="16.712962962963" style="668" customWidth="1"/>
    <col min="7" max="7" width="28" style="668" customWidth="1"/>
    <col min="8" max="8" width="1" style="668" customWidth="1"/>
    <col min="9" max="10" width="9.71296296296296" style="668" customWidth="1"/>
    <col min="11" max="11" width="0.861111111111111" style="668" customWidth="1"/>
    <col min="12" max="16384" width="9.13888888888889" style="668"/>
  </cols>
  <sheetData>
    <row r="1" ht="24.6" spans="1:11">
      <c r="B1" s="734"/>
      <c r="C1" s="734"/>
      <c r="D1" s="669" t="str">
        <f>ENTRY!$D$3</f>
        <v>MUNICIPAL CORPORATION OF DELHI</v>
      </c>
      <c r="E1" s="669"/>
      <c r="F1" s="669"/>
      <c r="G1" s="669"/>
      <c r="H1" s="734"/>
      <c r="I1" s="669"/>
      <c r="J1" s="669"/>
    </row>
    <row r="2" ht="20.4" spans="1:11">
      <c r="B2" s="735"/>
      <c r="C2" s="735"/>
      <c r="D2" s="670" t="str">
        <f>ENTRY!$D$4</f>
        <v>EDUCATION DEPARTMENT</v>
      </c>
      <c r="E2" s="670"/>
      <c r="F2" s="670"/>
      <c r="G2" s="670"/>
      <c r="H2" s="735"/>
      <c r="I2" s="669"/>
      <c r="J2" s="669"/>
    </row>
    <row r="3" ht="22.8" spans="1:11">
      <c r="B3" s="736"/>
      <c r="C3" s="736"/>
      <c r="D3" s="664" t="s">
        <v>417</v>
      </c>
      <c r="E3" s="664"/>
      <c r="F3" s="664"/>
      <c r="G3" s="664"/>
      <c r="H3" s="736"/>
      <c r="I3" s="669"/>
      <c r="J3" s="669"/>
    </row>
    <row r="4" ht="22.8" spans="1:11">
      <c r="B4" s="736"/>
      <c r="C4" s="736"/>
      <c r="D4" s="664" t="s">
        <v>418</v>
      </c>
      <c r="E4" s="664"/>
      <c r="F4" s="664"/>
      <c r="G4" s="664"/>
      <c r="H4" s="736"/>
      <c r="I4" s="669"/>
      <c r="J4" s="669"/>
    </row>
    <row r="5" ht="24.95" customHeight="1" spans="1:11">
      <c r="B5" s="735"/>
      <c r="C5" s="735"/>
      <c r="D5" s="737" t="str">
        <f>"SESSION : "&amp;ENTRY!$D$11</f>
        <v>SESSION : 2026-27</v>
      </c>
      <c r="E5" s="737"/>
      <c r="F5" s="737"/>
      <c r="G5" s="737"/>
      <c r="H5" s="735"/>
      <c r="I5" s="738"/>
      <c r="J5" s="738"/>
    </row>
    <row r="6" ht="3.75" customHeight="1" spans="1:11">
      <c r="A6" s="672"/>
      <c r="B6" s="739"/>
      <c r="C6" s="739"/>
      <c r="D6" s="739"/>
      <c r="E6" s="739"/>
      <c r="F6" s="739"/>
      <c r="G6" s="739"/>
      <c r="H6" s="739"/>
      <c r="I6" s="739"/>
      <c r="J6" s="739"/>
      <c r="K6" s="674"/>
    </row>
    <row r="7" ht="21.95" customHeight="1" spans="1:11">
      <c r="A7" s="675"/>
      <c r="B7" s="676" t="s">
        <v>419</v>
      </c>
      <c r="C7" s="676"/>
      <c r="D7" s="740" t="str">
        <f>ENTRY!$D$6</f>
        <v>MCP NITHARI NO 1 BOYS</v>
      </c>
      <c r="E7" s="740"/>
      <c r="F7" s="740"/>
      <c r="G7" s="740"/>
      <c r="H7" s="740"/>
      <c r="I7" s="740"/>
      <c r="J7" s="740"/>
      <c r="K7" s="677"/>
    </row>
    <row r="8" ht="21.95" customHeight="1" spans="1:11">
      <c r="A8" s="675"/>
      <c r="B8" s="676" t="s">
        <v>420</v>
      </c>
      <c r="C8" s="676"/>
      <c r="D8" s="740" t="str">
        <f>IFERROR(VLOOKUP($I$11,STUDENT!$A$2:$BP$101,5,0),"")</f>
        <v>NAKSH</v>
      </c>
      <c r="E8" s="740"/>
      <c r="F8" s="740"/>
      <c r="G8" s="740"/>
      <c r="H8" s="740"/>
      <c r="I8" s="740"/>
      <c r="J8" s="740"/>
      <c r="K8" s="677"/>
    </row>
    <row r="9" ht="21.95" customHeight="1" spans="1:11">
      <c r="A9" s="675"/>
      <c r="B9" s="676" t="s">
        <v>421</v>
      </c>
      <c r="C9" s="676"/>
      <c r="D9" s="740" t="str">
        <f>IFERROR(VLOOKUP($I$11,STUDENT!$A$2:$BP$101,8,0),"")</f>
        <v>NARESH</v>
      </c>
      <c r="E9" s="740"/>
      <c r="F9" s="740"/>
      <c r="G9" s="740"/>
      <c r="H9" s="740"/>
      <c r="I9" s="740"/>
      <c r="J9" s="740"/>
      <c r="K9" s="677"/>
    </row>
    <row r="10" ht="21.95" customHeight="1" spans="1:11">
      <c r="A10" s="675"/>
      <c r="B10" s="676" t="s">
        <v>422</v>
      </c>
      <c r="C10" s="676"/>
      <c r="D10" s="740">
        <f>IFERROR(VLOOKUP($I$11,STUDENT!$A$2:$BP$101,6,0),"")</f>
        <v>14779</v>
      </c>
      <c r="E10" s="740"/>
      <c r="F10" s="740"/>
      <c r="G10" s="740"/>
      <c r="H10" s="740"/>
      <c r="I10" s="740"/>
      <c r="J10" s="740"/>
      <c r="K10" s="677"/>
    </row>
    <row r="11" ht="21.95" customHeight="1" spans="1:11">
      <c r="A11" s="675"/>
      <c r="B11" s="676" t="s">
        <v>423</v>
      </c>
      <c r="C11" s="676"/>
      <c r="D11" s="741" t="str">
        <f>IFERROR(VLOOKUP($I$11,STUDENT!$A$2:$BP$101,59,0),"")</f>
        <v/>
      </c>
      <c r="E11" s="742" t="s">
        <v>424</v>
      </c>
      <c r="F11" s="704" t="str">
        <f>IFERROR(VLOOKUP($I$11,STUDENT!$A$2:$BP$101,2,0),"")</f>
        <v>III-A</v>
      </c>
      <c r="G11" s="742" t="s">
        <v>425</v>
      </c>
      <c r="H11" s="743"/>
      <c r="I11" s="744">
        <v>1</v>
      </c>
      <c r="J11" s="683"/>
      <c r="K11" s="677"/>
    </row>
    <row r="12" ht="5.1" customHeight="1" spans="1:11">
      <c r="A12" s="675"/>
      <c r="B12" s="745"/>
      <c r="C12" s="745"/>
      <c r="D12" s="746"/>
      <c r="E12" s="747"/>
      <c r="F12" s="748"/>
      <c r="G12" s="747"/>
      <c r="H12" s="686"/>
      <c r="I12" s="686"/>
      <c r="J12" s="686"/>
      <c r="K12" s="677"/>
    </row>
    <row r="13" s="664" customFormat="1" ht="32.1" customHeight="1" spans="1:11">
      <c r="A13" s="688"/>
      <c r="B13" s="749" t="s">
        <v>426</v>
      </c>
      <c r="C13" s="750"/>
      <c r="D13" s="750"/>
      <c r="E13" s="750"/>
      <c r="F13" s="750"/>
      <c r="G13" s="750"/>
      <c r="H13" s="750"/>
      <c r="I13" s="750"/>
      <c r="J13" s="751"/>
      <c r="K13" s="690"/>
    </row>
    <row r="14" ht="51.6" spans="1:11">
      <c r="A14" s="675"/>
      <c r="B14" s="752">
        <v>21</v>
      </c>
      <c r="C14" s="753" t="s">
        <v>427</v>
      </c>
      <c r="D14" s="754" t="s">
        <v>428</v>
      </c>
      <c r="E14" s="754" t="s">
        <v>429</v>
      </c>
      <c r="F14" s="754" t="s">
        <v>430</v>
      </c>
      <c r="G14" s="753" t="s">
        <v>390</v>
      </c>
      <c r="H14" s="714"/>
      <c r="I14" s="714"/>
      <c r="J14" s="714"/>
      <c r="K14" s="677"/>
    </row>
    <row r="15" ht="20.1" customHeight="1" spans="1:11">
      <c r="A15" s="675"/>
      <c r="B15" s="755">
        <v>1</v>
      </c>
      <c r="C15" s="755" t="str">
        <f>IFERROR(VLOOKUP(B15,DATEWISE!$A$3:$BY$27,2,0),0)</f>
        <v>30.04.2026</v>
      </c>
      <c r="D15" s="755">
        <f>IF($C$15=0,NA(),VLOOKUP($I$11&amp;$B$15,FLNFIX!$L$4:$EF$103,2,0))</f>
        <v>2</v>
      </c>
      <c r="E15" s="755">
        <f>IF($C$15=0,NA(),VLOOKUP($I$11&amp;$B$15,FLNFIX!$L$4:$EF$103,4,0))</f>
        <v>3</v>
      </c>
      <c r="F15" s="755">
        <f>IF($C$15=0,NA(),VLOOKUP($I$11&amp;$B$15,FLNFIX!$L$4:$EF$103,3,0))</f>
        <v>2</v>
      </c>
      <c r="G15" s="756">
        <f>IF($C$15=0,NA(),VLOOKUP($I$11&amp;$B$15,FLNFIX!$L$4:$EF$103,5,0))</f>
        <v>0</v>
      </c>
      <c r="H15" s="757"/>
      <c r="I15" s="757"/>
      <c r="J15" s="758"/>
      <c r="K15" s="677"/>
    </row>
    <row r="16" ht="20.1" customHeight="1" spans="1:11">
      <c r="A16" s="675"/>
      <c r="B16" s="755">
        <f>IF(B15=0,0,IF(B15&lt;$B$14,B15+1,""))</f>
        <v>2</v>
      </c>
      <c r="C16" s="755" t="str">
        <f>IFERROR(VLOOKUP(B16,DATEWISE!$A$3:$BY$27,2,0),0)</f>
        <v>08.05.2026</v>
      </c>
      <c r="D16" s="755">
        <f>IF($C$16=0,NA(),VLOOKUP($I$11&amp;$B$16,FLNFIX!$Q$4:$EF$103,2,0))</f>
        <v>2</v>
      </c>
      <c r="E16" s="755">
        <f>IF($C$16=0,NA(),VLOOKUP($I$11&amp;$B$16,FLNFIX!$Q$4:$EF$103,4,0))</f>
        <v>3</v>
      </c>
      <c r="F16" s="755">
        <f>IF($C$16=0,NA(),VLOOKUP($I$11&amp;$B$16,FLNFIX!$Q$4:$EF$103,3,0))</f>
        <v>2</v>
      </c>
      <c r="G16" s="756">
        <f>IF($C$16=0,NA(),VLOOKUP($I$11&amp;$B$16,FLNFIX!$Q$4:$EF$103,5,0))</f>
        <v>0</v>
      </c>
      <c r="H16" s="757"/>
      <c r="I16" s="757"/>
      <c r="J16" s="758"/>
      <c r="K16" s="677"/>
    </row>
    <row r="17" ht="20.1" customHeight="1" spans="1:11">
      <c r="A17" s="675"/>
      <c r="B17" s="755">
        <f t="shared" ref="B17:B35" si="0">IF(B16=0,0,IF(B16&lt;$B$14,B16+1,""))</f>
        <v>3</v>
      </c>
      <c r="C17" s="755" t="str">
        <f>IFERROR(VLOOKUP(B17,DATEWISE!$A$3:$BY$27,2,0),0)</f>
        <v>15.07.2026</v>
      </c>
      <c r="D17" s="755">
        <f>IF($C$17=0,NA(),VLOOKUP($I$11&amp;$B$17,FLNFIX!$V$4:$EF$103,2,0))</f>
        <v>2</v>
      </c>
      <c r="E17" s="755">
        <f>IF($C$17=0,NA(),VLOOKUP($I$11&amp;$B$17,FLNFIX!$V$4:$EF$103,4,0))</f>
        <v>3</v>
      </c>
      <c r="F17" s="755">
        <f>IF($C$17=0,NA(),VLOOKUP($I$11&amp;$B$17,FLNFIX!$V$4:$EF$103,3,0))</f>
        <v>2</v>
      </c>
      <c r="G17" s="756">
        <f>IF($C$17=0,NA(),VLOOKUP($I$11&amp;$B$17,FLNFIX!$V$4:$EF$103,5,0))</f>
        <v>0</v>
      </c>
      <c r="H17" s="757"/>
      <c r="I17" s="757"/>
      <c r="J17" s="758"/>
      <c r="K17" s="677"/>
    </row>
    <row r="18" ht="20.1" customHeight="1" spans="1:11">
      <c r="A18" s="675"/>
      <c r="B18" s="755">
        <f t="shared" si="0"/>
        <v>4</v>
      </c>
      <c r="C18" s="755" t="str">
        <f>IFERROR(VLOOKUP(B18,DATEWISE!$A$3:$BY$27,2,0),0)</f>
        <v>31.07.2026</v>
      </c>
      <c r="D18" s="755">
        <f>IF($C$18=0,NA(),VLOOKUP($I$11&amp;$B$18,FLNFIX!$AA$4:$EF$103,2,0))</f>
        <v>2</v>
      </c>
      <c r="E18" s="755">
        <f>IF($C$18=0,NA(),VLOOKUP($I$11&amp;$B$18,FLNFIX!$AA$4:$EF$103,4,0))</f>
        <v>3</v>
      </c>
      <c r="F18" s="755">
        <f>IF($C$18=0,NA(),VLOOKUP($I$11&amp;$B$18,FLNFIX!$AA$4:$EF$103,3,0))</f>
        <v>2</v>
      </c>
      <c r="G18" s="756">
        <f>IF($C$18=0,NA(),VLOOKUP($I$11&amp;$B$18,FLNFIX!$AA$4:$EF$103,5,0))</f>
        <v>0</v>
      </c>
      <c r="H18" s="757"/>
      <c r="I18" s="757"/>
      <c r="J18" s="758"/>
      <c r="K18" s="677"/>
    </row>
    <row r="19" ht="20.1" customHeight="1" spans="1:11">
      <c r="A19" s="675"/>
      <c r="B19" s="755">
        <f t="shared" si="0"/>
        <v>5</v>
      </c>
      <c r="C19" s="755" t="str">
        <f>IFERROR(VLOOKUP(B19,DATEWISE!$A$3:$BY$27,2,0),0)</f>
        <v>17.08.2026</v>
      </c>
      <c r="D19" s="755">
        <f>IF($C$19=0,NA(),VLOOKUP($I$11&amp;$B$19,FLNFIX!$AF$4:$EF$103,2,0))</f>
        <v>2</v>
      </c>
      <c r="E19" s="755">
        <f>IF($C$19=0,NA(),VLOOKUP($I$11&amp;$B$19,FLNFIX!$AF$4:$EF$103,4,0))</f>
        <v>3</v>
      </c>
      <c r="F19" s="755">
        <f>IF($C$19=0,NA(),VLOOKUP($I$11&amp;$B$19,FLNFIX!$AF$4:$EF$103,3,0))</f>
        <v>2</v>
      </c>
      <c r="G19" s="756">
        <f>IF($C$19=0,NA(),VLOOKUP($I$11&amp;$B$19,FLNFIX!$AF$4:$EF$103,5,0))</f>
        <v>0</v>
      </c>
      <c r="H19" s="757"/>
      <c r="I19" s="757"/>
      <c r="J19" s="758"/>
      <c r="K19" s="677"/>
    </row>
    <row r="20" ht="20.1" customHeight="1" spans="1:11">
      <c r="A20" s="675"/>
      <c r="B20" s="755">
        <f t="shared" si="0"/>
        <v>6</v>
      </c>
      <c r="C20" s="755" t="str">
        <f>IFERROR(VLOOKUP(B20,DATEWISE!$A$3:$BY$27,2,0),0)</f>
        <v>31.08.2026</v>
      </c>
      <c r="D20" s="755">
        <f>IF($C$20=0,NA(),VLOOKUP($I$11&amp;$B$20,FLNFIX!$AK$4:$EF$103,2,0))</f>
        <v>2</v>
      </c>
      <c r="E20" s="755">
        <f>IF($C$20=0,NA(),VLOOKUP($I$11&amp;$B$20,FLNFIX!$AK$4:$EF$103,4,0))</f>
        <v>3</v>
      </c>
      <c r="F20" s="755">
        <f>IF($C$20=0,NA(),VLOOKUP($I$11&amp;$B$20,FLNFIX!$AK$4:$EF$103,3,0))</f>
        <v>2</v>
      </c>
      <c r="G20" s="756">
        <f>IF($C$20=0,NA(),VLOOKUP($I$11&amp;$B$20,FLNFIX!$AK$4:$EF$103,5,0))</f>
        <v>0</v>
      </c>
      <c r="H20" s="757"/>
      <c r="I20" s="757"/>
      <c r="J20" s="758"/>
      <c r="K20" s="677"/>
    </row>
    <row r="21" ht="20.1" customHeight="1" spans="1:11">
      <c r="A21" s="675"/>
      <c r="B21" s="755">
        <f t="shared" si="0"/>
        <v>7</v>
      </c>
      <c r="C21" s="755">
        <f>IFERROR(VLOOKUP(B21,DATEWISE!$A$3:$BY$27,2,0),0)</f>
        <v>0</v>
      </c>
      <c r="D21" s="755" t="e">
        <f>IF($C$21=0,NA(),VLOOKUP($I$11&amp;$B$21,FLNFIX!$AP$4:$EF$103,2,0))</f>
        <v>#N/A</v>
      </c>
      <c r="E21" s="755" t="e">
        <f>IF($C$21=0,NA(),VLOOKUP($I$11&amp;$B$21,FLNFIX!$AP$4:$EF$103,4,0))</f>
        <v>#N/A</v>
      </c>
      <c r="F21" s="755" t="e">
        <f>IF($C$21=0,NA(),VLOOKUP($I$11&amp;$B$21,FLNFIX!$AP$4:$EF$103,3,0))</f>
        <v>#N/A</v>
      </c>
      <c r="G21" s="756" t="e">
        <f>IF($C$21=0,NA(),VLOOKUP($I$11&amp;$B$21,FLNFIX!$AP$4:$EF$103,5,0))</f>
        <v>#N/A</v>
      </c>
      <c r="H21" s="757"/>
      <c r="I21" s="757"/>
      <c r="J21" s="758"/>
      <c r="K21" s="677"/>
    </row>
    <row r="22" ht="20.1" customHeight="1" spans="1:11">
      <c r="A22" s="675"/>
      <c r="B22" s="755">
        <f t="shared" si="0"/>
        <v>8</v>
      </c>
      <c r="C22" s="755">
        <f>IFERROR(VLOOKUP(B22,DATEWISE!$A$3:$BY$27,2,0),0)</f>
        <v>0</v>
      </c>
      <c r="D22" s="755" t="e">
        <f>IF($C$22=0,NA(),VLOOKUP($I$11&amp;$B$22,FLNFIX!$AU$4:$EF$103,2,0))</f>
        <v>#N/A</v>
      </c>
      <c r="E22" s="755" t="e">
        <f>IF($C$22=0,NA(),VLOOKUP($I$11&amp;$B$22,FLNFIX!$AU$4:$EF$103,4,0))</f>
        <v>#N/A</v>
      </c>
      <c r="F22" s="755" t="e">
        <f>IF($C$22=0,NA(),VLOOKUP($I$11&amp;$B$22,FLNFIX!$AU$4:$EF$103,3,0))</f>
        <v>#N/A</v>
      </c>
      <c r="G22" s="756" t="e">
        <f>IF($C$22=0,NA(),VLOOKUP($I$11&amp;$B$22,FLNFIX!$AU$4:$EF$103,5,0))</f>
        <v>#N/A</v>
      </c>
      <c r="H22" s="757"/>
      <c r="I22" s="757"/>
      <c r="J22" s="758"/>
      <c r="K22" s="677"/>
    </row>
    <row r="23" ht="20.1" customHeight="1" spans="1:11">
      <c r="A23" s="675"/>
      <c r="B23" s="755">
        <f t="shared" si="0"/>
        <v>9</v>
      </c>
      <c r="C23" s="755">
        <f>IFERROR(VLOOKUP(B23,DATEWISE!$A$3:$BY$27,2,0),0)</f>
        <v>0</v>
      </c>
      <c r="D23" s="755" t="e">
        <f>IF($C$23=0,NA(),VLOOKUP($I$11&amp;$B$23,FLNFIX!$AZ$4:$EF$103,2,0))</f>
        <v>#N/A</v>
      </c>
      <c r="E23" s="755" t="e">
        <f>IF($C$23=0,NA(),VLOOKUP($I$11&amp;$B$23,FLNFIX!$AZ$4:$EF$103,4,0))</f>
        <v>#N/A</v>
      </c>
      <c r="F23" s="755" t="e">
        <f>IF($C$23=0,NA(),VLOOKUP($I$11&amp;$B$23,FLNFIX!$AZ$4:$EF$103,3,0))</f>
        <v>#N/A</v>
      </c>
      <c r="G23" s="756" t="e">
        <f>IF($C$23=0,NA(),VLOOKUP($I$11&amp;$B$23,FLNFIX!$AZ$4:$EF$103,5,0))</f>
        <v>#N/A</v>
      </c>
      <c r="H23" s="757"/>
      <c r="I23" s="757"/>
      <c r="J23" s="758"/>
      <c r="K23" s="677"/>
    </row>
    <row r="24" ht="20.1" customHeight="1" spans="1:11">
      <c r="A24" s="675"/>
      <c r="B24" s="755">
        <f t="shared" si="0"/>
        <v>10</v>
      </c>
      <c r="C24" s="755">
        <f>IFERROR(VLOOKUP(B24,DATEWISE!$A$3:$BY$27,2,0),0)</f>
        <v>0</v>
      </c>
      <c r="D24" s="755" t="e">
        <f>IF($C$24=0,NA(),VLOOKUP($I$11&amp;$B$24,FLNFIX!$BE$4:$EF$103,2,0))</f>
        <v>#N/A</v>
      </c>
      <c r="E24" s="755" t="e">
        <f>IF($C$24=0,NA(),VLOOKUP($I$11&amp;$B$24,FLNFIX!$BE$4:$EF$103,4,0))</f>
        <v>#N/A</v>
      </c>
      <c r="F24" s="755" t="e">
        <f>IF($C$24=0,NA(),VLOOKUP($I$11&amp;$B$24,FLNFIX!$BE$4:$EF$103,3,0))</f>
        <v>#N/A</v>
      </c>
      <c r="G24" s="756" t="e">
        <f>IF($C$24=0,NA(),VLOOKUP($I$11&amp;$B$24,FLNFIX!$BE$4:$EF$103,5,0))</f>
        <v>#N/A</v>
      </c>
      <c r="H24" s="757"/>
      <c r="I24" s="757"/>
      <c r="J24" s="758"/>
      <c r="K24" s="677"/>
    </row>
    <row r="25" ht="20.1" customHeight="1" spans="1:11">
      <c r="A25" s="675"/>
      <c r="B25" s="755">
        <f t="shared" si="0"/>
        <v>11</v>
      </c>
      <c r="C25" s="755">
        <f>IFERROR(VLOOKUP(B25,DATEWISE!$A$3:$BY$27,2,0),0)</f>
        <v>0</v>
      </c>
      <c r="D25" s="755" t="e">
        <f>IF($C$25=0,NA(),VLOOKUP($I$11&amp;$B$25,FLNFIX!$BJ$4:$EF$103,2,0))</f>
        <v>#N/A</v>
      </c>
      <c r="E25" s="755" t="e">
        <f>IF($C$25=0,NA(),VLOOKUP($I$11&amp;$B$25,FLNFIX!$BJ$4:$EF$103,4,0))</f>
        <v>#N/A</v>
      </c>
      <c r="F25" s="755" t="e">
        <f>IF($C$25=0,NA(),VLOOKUP($I$11&amp;$B$25,FLNFIX!$BJ$4:$EF$103,3,0))</f>
        <v>#N/A</v>
      </c>
      <c r="G25" s="756" t="e">
        <f>IF($C$25=0,NA(),VLOOKUP($I$11&amp;$B$25,FLNFIX!$BJ$4:$EF$103,5,0))</f>
        <v>#N/A</v>
      </c>
      <c r="H25" s="757"/>
      <c r="I25" s="757"/>
      <c r="J25" s="758"/>
      <c r="K25" s="677"/>
    </row>
    <row r="26" ht="20.1" customHeight="1" spans="1:11">
      <c r="A26" s="675"/>
      <c r="B26" s="755">
        <f t="shared" si="0"/>
        <v>12</v>
      </c>
      <c r="C26" s="755">
        <f>IFERROR(VLOOKUP(B26,DATEWISE!$A$3:$BY$27,2,0),0)</f>
        <v>0</v>
      </c>
      <c r="D26" s="755" t="e">
        <f>IF($C$26=0,NA(),VLOOKUP($I$11&amp;$B$26,FLNFIX!$BO$4:$EF$103,2,0))</f>
        <v>#N/A</v>
      </c>
      <c r="E26" s="755" t="e">
        <f>IF($C$26=0,NA(),VLOOKUP($I$11&amp;$B$26,FLNFIX!$BO$4:$EF$103,4,0))</f>
        <v>#N/A</v>
      </c>
      <c r="F26" s="755" t="e">
        <f>IF($C$26=0,NA(),VLOOKUP($I$11&amp;$B$26,FLNFIX!$BO$4:$EF$103,3,0))</f>
        <v>#N/A</v>
      </c>
      <c r="G26" s="756" t="e">
        <f>IF($C$26=0,NA(),VLOOKUP($I$11&amp;$B$26,FLNFIX!$BO$4:$EF$103,5,0))</f>
        <v>#N/A</v>
      </c>
      <c r="H26" s="757"/>
      <c r="I26" s="757"/>
      <c r="J26" s="758"/>
      <c r="K26" s="677"/>
    </row>
    <row r="27" ht="20.1" customHeight="1" spans="1:11">
      <c r="A27" s="675"/>
      <c r="B27" s="755">
        <f t="shared" si="0"/>
        <v>13</v>
      </c>
      <c r="C27" s="755">
        <f>IFERROR(VLOOKUP(B27,DATEWISE!$A$3:$BY$27,2,0),0)</f>
        <v>0</v>
      </c>
      <c r="D27" s="755" t="e">
        <f>IF($C$27=0,NA(),VLOOKUP($I$11&amp;$B$27,FLNFIX!$BT$4:$EF$103,2,0))</f>
        <v>#N/A</v>
      </c>
      <c r="E27" s="755" t="e">
        <f>IF($C$27=0,NA(),VLOOKUP($I$11&amp;$B$27,FLNFIX!$BT$4:$EF$103,4,0))</f>
        <v>#N/A</v>
      </c>
      <c r="F27" s="755" t="e">
        <f>IF($C$27=0,NA(),VLOOKUP($I$11&amp;$B$27,FLNFIX!$BT$4:$EF$103,3,0))</f>
        <v>#N/A</v>
      </c>
      <c r="G27" s="756" t="e">
        <f>IF($C$27=0,NA(),VLOOKUP($I$11&amp;$B$27,FLNFIX!$BT$4:$EF$103,5,0))</f>
        <v>#N/A</v>
      </c>
      <c r="H27" s="757"/>
      <c r="I27" s="757"/>
      <c r="J27" s="758"/>
      <c r="K27" s="677"/>
    </row>
    <row r="28" ht="20.1" customHeight="1" spans="1:11">
      <c r="A28" s="675"/>
      <c r="B28" s="755">
        <f t="shared" si="0"/>
        <v>14</v>
      </c>
      <c r="C28" s="755">
        <f>IFERROR(VLOOKUP(B28,DATEWISE!$A$3:$BY$27,2,0),0)</f>
        <v>0</v>
      </c>
      <c r="D28" s="755" t="e">
        <f>IF($C$28=0,NA(),VLOOKUP($I$11&amp;$B$28,FLNFIX!$BY$4:$EF$103,2,0))</f>
        <v>#N/A</v>
      </c>
      <c r="E28" s="755" t="e">
        <f>IF($C$28=0,NA(),VLOOKUP($I$11&amp;$B$28,FLNFIX!$BY$4:$EF$103,4,0))</f>
        <v>#N/A</v>
      </c>
      <c r="F28" s="755" t="e">
        <f>IF($C$28=0,NA(),VLOOKUP($I$11&amp;$B$28,FLNFIX!$BY$4:$EF$103,3,0))</f>
        <v>#N/A</v>
      </c>
      <c r="G28" s="756" t="e">
        <f>IF($C$28=0,NA(),VLOOKUP($I$11&amp;$B$28,FLNFIX!$BY$4:$EF$103,5,0))</f>
        <v>#N/A</v>
      </c>
      <c r="H28" s="757"/>
      <c r="I28" s="757"/>
      <c r="J28" s="758"/>
      <c r="K28" s="677"/>
    </row>
    <row r="29" ht="20.1" customHeight="1" spans="1:11">
      <c r="A29" s="675"/>
      <c r="B29" s="755">
        <f t="shared" si="0"/>
        <v>15</v>
      </c>
      <c r="C29" s="755">
        <f>IFERROR(VLOOKUP(B29,DATEWISE!$A$3:$BY$27,2,0),0)</f>
        <v>0</v>
      </c>
      <c r="D29" s="755" t="e">
        <f>IF($C$29=0,NA(),VLOOKUP($I$11&amp;$B$29,FLNFIX!$CD$4:$EF$103,2,0))</f>
        <v>#N/A</v>
      </c>
      <c r="E29" s="755" t="e">
        <f>IF($C$29=0,NA(),VLOOKUP($I$11&amp;$B$29,FLNFIX!$CD$4:$EF$103,4,0))</f>
        <v>#N/A</v>
      </c>
      <c r="F29" s="755" t="e">
        <f>IF($C$29=0,NA(),VLOOKUP($I$11&amp;$B$29,FLNFIX!$CD$4:$EF$103,3,0))</f>
        <v>#N/A</v>
      </c>
      <c r="G29" s="756" t="e">
        <f>IF($C$29=0,NA(),VLOOKUP($I$11&amp;$B$29,FLNFIX!$CD$4:$EF$103,5,0))</f>
        <v>#N/A</v>
      </c>
      <c r="H29" s="757"/>
      <c r="I29" s="757"/>
      <c r="J29" s="758"/>
      <c r="K29" s="677"/>
    </row>
    <row r="30" ht="20.1" customHeight="1" spans="1:11">
      <c r="A30" s="675"/>
      <c r="B30" s="755">
        <f t="shared" si="0"/>
        <v>16</v>
      </c>
      <c r="C30" s="755">
        <f>IFERROR(VLOOKUP(B30,DATEWISE!$A$3:$BY$27,2,0),0)</f>
        <v>0</v>
      </c>
      <c r="D30" s="755" t="e">
        <f>IF($C$30=0,NA(),VLOOKUP($I$11&amp;$B$30,FLNFIX!$CI$4:$EF$103,2,0))</f>
        <v>#N/A</v>
      </c>
      <c r="E30" s="755" t="e">
        <f>IF($C$30=0,NA(),VLOOKUP($I$11&amp;$B$30,FLNFIX!$CI$4:$EF$103,4,0))</f>
        <v>#N/A</v>
      </c>
      <c r="F30" s="755" t="e">
        <f>IF($C$30=0,NA(),VLOOKUP($I$11&amp;$B$30,FLNFIX!$CI$4:$EF$103,3,0))</f>
        <v>#N/A</v>
      </c>
      <c r="G30" s="756" t="e">
        <f>IF($C$30=0,NA(),VLOOKUP($I$11&amp;$B$30,FLNFIX!$CI$4:$EF$103,5,0))</f>
        <v>#N/A</v>
      </c>
      <c r="H30" s="757"/>
      <c r="I30" s="757"/>
      <c r="J30" s="758"/>
      <c r="K30" s="677"/>
    </row>
    <row r="31" ht="20.1" customHeight="1" spans="1:11">
      <c r="A31" s="675"/>
      <c r="B31" s="755">
        <f t="shared" si="0"/>
        <v>17</v>
      </c>
      <c r="C31" s="755">
        <f>IFERROR(VLOOKUP(B31,DATEWISE!$A$3:$BY$27,2,0),0)</f>
        <v>0</v>
      </c>
      <c r="D31" s="755" t="e">
        <f>IF($C$31=0,NA(),VLOOKUP($I$11&amp;$B$31,FLNFIX!$CN$4:$EF$103,2,0))</f>
        <v>#N/A</v>
      </c>
      <c r="E31" s="755" t="e">
        <f>IF($C$31=0,NA(),VLOOKUP($I$11&amp;$B$31,FLNFIX!$CN$4:$EF$103,4,0))</f>
        <v>#N/A</v>
      </c>
      <c r="F31" s="755" t="e">
        <f>IF($C$31=0,NA(),VLOOKUP($I$11&amp;$B$31,FLNFIX!$CN$4:$EF$103,3,0))</f>
        <v>#N/A</v>
      </c>
      <c r="G31" s="756" t="e">
        <f>IF($C$31=0,NA(),VLOOKUP($I$11&amp;$B$31,FLNFIX!$CN$4:$EF$103,5,0))</f>
        <v>#N/A</v>
      </c>
      <c r="H31" s="757"/>
      <c r="I31" s="757"/>
      <c r="J31" s="758"/>
      <c r="K31" s="677"/>
    </row>
    <row r="32" ht="20.1" customHeight="1" spans="1:11">
      <c r="A32" s="675"/>
      <c r="B32" s="755">
        <f t="shared" si="0"/>
        <v>18</v>
      </c>
      <c r="C32" s="755">
        <f>IFERROR(VLOOKUP(B32,DATEWISE!$A$3:$BY$27,2,0),0)</f>
        <v>0</v>
      </c>
      <c r="D32" s="755" t="e">
        <f>IF($C$32=0,NA(),VLOOKUP($I$11&amp;$B$32,FLNFIX!$CS$4:$EF$103,2,0))</f>
        <v>#N/A</v>
      </c>
      <c r="E32" s="755" t="e">
        <f>IF($C$32=0,NA(),VLOOKUP($I$11&amp;$B$32,FLNFIX!$CS$4:$EF$103,4,0))</f>
        <v>#N/A</v>
      </c>
      <c r="F32" s="755" t="e">
        <f>IF($C$32=0,NA(),VLOOKUP($I$11&amp;$B$32,FLNFIX!$CS$4:$EF$103,3,0))</f>
        <v>#N/A</v>
      </c>
      <c r="G32" s="756" t="e">
        <f>IF($C$32=0,NA(),VLOOKUP($I$11&amp;$B$32,FLNFIX!$CS$4:$EF$103,5,0))</f>
        <v>#N/A</v>
      </c>
      <c r="H32" s="757"/>
      <c r="I32" s="757"/>
      <c r="J32" s="758"/>
      <c r="K32" s="677"/>
    </row>
    <row r="33" ht="20.1" customHeight="1" spans="1:11">
      <c r="A33" s="675"/>
      <c r="B33" s="755">
        <f t="shared" si="0"/>
        <v>19</v>
      </c>
      <c r="C33" s="755">
        <f>IFERROR(VLOOKUP(B33,DATEWISE!$A$3:$BY$27,2,0),0)</f>
        <v>0</v>
      </c>
      <c r="D33" s="755" t="e">
        <f>IF($C$33=0,NA(),VLOOKUP($I$11&amp;$B$33,FLNFIX!$CX$4:$EF$103,2,0))</f>
        <v>#N/A</v>
      </c>
      <c r="E33" s="755" t="e">
        <f>IF($C$33=0,NA(),VLOOKUP($I$11&amp;$B$33,FLNFIX!$CX$4:$EF$103,4,0))</f>
        <v>#N/A</v>
      </c>
      <c r="F33" s="755" t="e">
        <f>IF($C$33=0,NA(),VLOOKUP($I$11&amp;$B$33,FLNFIX!$CX$4:$EF$103,3,0))</f>
        <v>#N/A</v>
      </c>
      <c r="G33" s="756" t="e">
        <f>IF($C$33=0,NA(),VLOOKUP($I$11&amp;$B$33,FLNFIX!$CX$4:$EF$103,5,0))</f>
        <v>#N/A</v>
      </c>
      <c r="H33" s="757"/>
      <c r="I33" s="757"/>
      <c r="J33" s="758"/>
      <c r="K33" s="677"/>
    </row>
    <row r="34" ht="20.1" customHeight="1" spans="1:11">
      <c r="A34" s="675"/>
      <c r="B34" s="755">
        <f t="shared" si="0"/>
        <v>20</v>
      </c>
      <c r="C34" s="755">
        <f>IFERROR(VLOOKUP(B34,DATEWISE!$A$3:$BY$27,2,0),0)</f>
        <v>0</v>
      </c>
      <c r="D34" s="755" t="e">
        <f>IF($C$34=0,NA(),VLOOKUP($I$11&amp;$B$34,FLNFIX!$DC$4:$EF$103,2,0))</f>
        <v>#N/A</v>
      </c>
      <c r="E34" s="755" t="e">
        <f>IF($C$34=0,NA(),VLOOKUP($I$11&amp;$B$34,FLNFIX!$DC$4:$EF$103,4,0))</f>
        <v>#N/A</v>
      </c>
      <c r="F34" s="755" t="e">
        <f>IF($C$34=0,NA(),VLOOKUP($I$11&amp;$B$34,FLNFIX!$DC$4:$EF$103,3,0))</f>
        <v>#N/A</v>
      </c>
      <c r="G34" s="756" t="e">
        <f>IF($C$34=0,NA(),VLOOKUP($I$11&amp;$B$34,FLNFIX!$DC$4:$EF$103,5,0))</f>
        <v>#N/A</v>
      </c>
      <c r="H34" s="757"/>
      <c r="I34" s="757"/>
      <c r="J34" s="758"/>
      <c r="K34" s="677"/>
    </row>
    <row r="35" ht="20.1" customHeight="1" spans="1:11">
      <c r="A35" s="675"/>
      <c r="B35" s="755">
        <f t="shared" si="0"/>
        <v>21</v>
      </c>
      <c r="C35" s="755">
        <f>IFERROR(VLOOKUP(B35,DATEWISE!$A$3:$BY$27,2,0),0)</f>
        <v>0</v>
      </c>
      <c r="D35" s="755" t="e">
        <f>IF($C$35=0,NA(),VLOOKUP($I$11&amp;$B$35,FLNFIX!$DH$4:$EF$103,2,0))</f>
        <v>#N/A</v>
      </c>
      <c r="E35" s="755" t="e">
        <f>IF($C$35=0,NA(),VLOOKUP($I$11&amp;$B$35,FLNFIX!$DH$4:$EF$103,4,0))</f>
        <v>#N/A</v>
      </c>
      <c r="F35" s="755" t="e">
        <f>IF($C$35=0,NA(),VLOOKUP($I$11&amp;$B$35,FLNFIX!$DH$4:$EF$103,3,0))</f>
        <v>#N/A</v>
      </c>
      <c r="G35" s="756" t="e">
        <f>IF($C$35=0,NA(),VLOOKUP($I$11&amp;$B$35,FLNFIX!$DH$4:$EF$103,5,0))</f>
        <v>#N/A</v>
      </c>
      <c r="H35" s="757"/>
      <c r="I35" s="757"/>
      <c r="J35" s="758"/>
      <c r="K35" s="677"/>
    </row>
    <row r="36" ht="5.1" customHeight="1" spans="1:11">
      <c r="A36" s="675"/>
      <c r="B36" s="759"/>
      <c r="C36" s="759"/>
      <c r="D36" s="760"/>
      <c r="E36" s="760"/>
      <c r="F36" s="760"/>
      <c r="G36" s="761"/>
      <c r="H36" s="761"/>
      <c r="I36" s="761"/>
      <c r="J36" s="761"/>
      <c r="K36" s="677"/>
    </row>
    <row r="37" s="667" customFormat="1" ht="24.95" customHeight="1" spans="1:11">
      <c r="A37" s="711"/>
      <c r="B37" s="762" t="s">
        <v>431</v>
      </c>
      <c r="C37" s="763"/>
      <c r="D37" s="763"/>
      <c r="E37" s="763"/>
      <c r="F37" s="763"/>
      <c r="G37" s="763"/>
      <c r="H37" s="763"/>
      <c r="I37" s="763"/>
      <c r="J37" s="764"/>
      <c r="K37" s="713"/>
    </row>
    <row r="38" spans="1:11">
      <c r="A38" s="675"/>
      <c r="B38" s="765"/>
      <c r="C38" s="686"/>
      <c r="D38" s="686"/>
      <c r="E38" s="686"/>
      <c r="F38" s="686"/>
      <c r="G38" s="686"/>
      <c r="H38" s="686"/>
      <c r="I38" s="686"/>
      <c r="J38" s="766"/>
      <c r="K38" s="677"/>
    </row>
    <row r="39" spans="1:11">
      <c r="A39" s="675"/>
      <c r="B39" s="765"/>
      <c r="C39" s="686"/>
      <c r="D39" s="686"/>
      <c r="E39" s="686"/>
      <c r="F39" s="686"/>
      <c r="G39" s="686"/>
      <c r="H39" s="686"/>
      <c r="I39" s="686"/>
      <c r="J39" s="766"/>
      <c r="K39" s="677"/>
    </row>
    <row r="40" spans="1:11">
      <c r="A40" s="675"/>
      <c r="B40" s="765"/>
      <c r="C40" s="686"/>
      <c r="D40" s="686"/>
      <c r="E40" s="686"/>
      <c r="F40" s="686"/>
      <c r="G40" s="686"/>
      <c r="H40" s="686"/>
      <c r="I40" s="686"/>
      <c r="J40" s="766"/>
      <c r="K40" s="677"/>
    </row>
    <row r="41" spans="1:11">
      <c r="A41" s="675"/>
      <c r="B41" s="765"/>
      <c r="C41" s="686"/>
      <c r="D41" s="686"/>
      <c r="E41" s="686"/>
      <c r="F41" s="686"/>
      <c r="G41" s="686"/>
      <c r="H41" s="686"/>
      <c r="I41" s="686"/>
      <c r="J41" s="766"/>
      <c r="K41" s="677"/>
    </row>
    <row r="42" spans="1:11">
      <c r="A42" s="675"/>
      <c r="B42" s="765"/>
      <c r="C42" s="686"/>
      <c r="D42" s="686"/>
      <c r="E42" s="686"/>
      <c r="F42" s="686"/>
      <c r="G42" s="686"/>
      <c r="H42" s="686"/>
      <c r="I42" s="686"/>
      <c r="J42" s="766"/>
      <c r="K42" s="677"/>
    </row>
    <row r="43" spans="1:11">
      <c r="A43" s="675"/>
      <c r="B43" s="765"/>
      <c r="C43" s="686"/>
      <c r="D43" s="686"/>
      <c r="E43" s="686"/>
      <c r="F43" s="686"/>
      <c r="G43" s="686"/>
      <c r="H43" s="686"/>
      <c r="I43" s="686"/>
      <c r="J43" s="766"/>
      <c r="K43" s="677"/>
    </row>
    <row r="44" spans="1:11">
      <c r="A44" s="675"/>
      <c r="B44" s="765"/>
      <c r="C44" s="686"/>
      <c r="D44" s="686"/>
      <c r="E44" s="686"/>
      <c r="F44" s="686"/>
      <c r="G44" s="686"/>
      <c r="H44" s="686"/>
      <c r="I44" s="686"/>
      <c r="J44" s="766"/>
      <c r="K44" s="677"/>
    </row>
    <row r="45" spans="1:11">
      <c r="A45" s="675"/>
      <c r="B45" s="765"/>
      <c r="C45" s="686"/>
      <c r="D45" s="686"/>
      <c r="E45" s="686"/>
      <c r="F45" s="686"/>
      <c r="G45" s="686"/>
      <c r="H45" s="686"/>
      <c r="I45" s="686"/>
      <c r="J45" s="766"/>
      <c r="K45" s="677"/>
    </row>
    <row r="46" spans="1:11">
      <c r="A46" s="675"/>
      <c r="B46" s="765"/>
      <c r="C46" s="686"/>
      <c r="D46" s="686"/>
      <c r="E46" s="686"/>
      <c r="F46" s="686"/>
      <c r="G46" s="686"/>
      <c r="H46" s="686"/>
      <c r="I46" s="686"/>
      <c r="J46" s="766"/>
      <c r="K46" s="677"/>
    </row>
    <row r="47" spans="1:11">
      <c r="A47" s="675"/>
      <c r="B47" s="767"/>
      <c r="C47" s="768"/>
      <c r="D47" s="768"/>
      <c r="E47" s="768"/>
      <c r="F47" s="768"/>
      <c r="G47" s="768"/>
      <c r="H47" s="768"/>
      <c r="I47" s="768"/>
      <c r="J47" s="769"/>
      <c r="K47" s="677"/>
    </row>
    <row r="48" ht="5.1" customHeight="1" spans="1:11">
      <c r="A48" s="675"/>
      <c r="B48" s="686"/>
      <c r="C48" s="686"/>
      <c r="D48" s="686"/>
      <c r="E48" s="686"/>
      <c r="F48" s="686"/>
      <c r="G48" s="686"/>
      <c r="H48" s="686"/>
      <c r="I48" s="686"/>
      <c r="J48" s="686"/>
      <c r="K48" s="677"/>
    </row>
    <row r="49" spans="1:11">
      <c r="A49" s="675"/>
      <c r="B49" s="770" t="s">
        <v>432</v>
      </c>
      <c r="C49" s="770"/>
      <c r="D49" s="770"/>
      <c r="E49" s="770"/>
      <c r="F49" s="770"/>
      <c r="G49" s="770"/>
      <c r="H49" s="770"/>
      <c r="I49" s="770"/>
      <c r="J49" s="770"/>
      <c r="K49" s="677"/>
    </row>
    <row r="50" spans="1:11">
      <c r="A50" s="675"/>
      <c r="B50" s="771"/>
      <c r="C50" s="771"/>
      <c r="D50" s="771"/>
      <c r="E50" s="771"/>
      <c r="F50" s="771"/>
      <c r="G50" s="771"/>
      <c r="H50" s="771"/>
      <c r="I50" s="771"/>
      <c r="J50" s="771"/>
      <c r="K50" s="677"/>
    </row>
    <row r="51" spans="1:11">
      <c r="A51" s="675"/>
      <c r="B51" s="771"/>
      <c r="C51" s="771"/>
      <c r="D51" s="771"/>
      <c r="E51" s="771"/>
      <c r="F51" s="771"/>
      <c r="G51" s="771"/>
      <c r="H51" s="771"/>
      <c r="I51" s="771"/>
      <c r="J51" s="771"/>
      <c r="K51" s="677"/>
    </row>
    <row r="52" spans="1:11">
      <c r="A52" s="675"/>
      <c r="B52" s="771"/>
      <c r="C52" s="771"/>
      <c r="D52" s="771"/>
      <c r="E52" s="771"/>
      <c r="F52" s="771"/>
      <c r="G52" s="771"/>
      <c r="H52" s="771"/>
      <c r="I52" s="771"/>
      <c r="J52" s="771"/>
      <c r="K52" s="677"/>
    </row>
    <row r="53" spans="1:11">
      <c r="A53" s="675"/>
      <c r="B53" s="686"/>
      <c r="C53" s="686"/>
      <c r="D53" s="686"/>
      <c r="E53" s="686"/>
      <c r="F53" s="686"/>
      <c r="G53" s="686"/>
      <c r="H53" s="686"/>
      <c r="I53" s="686"/>
      <c r="J53" s="686"/>
      <c r="K53" s="677"/>
    </row>
    <row r="54" spans="1:11">
      <c r="A54" s="675"/>
      <c r="B54" s="686"/>
      <c r="C54" s="729" t="s">
        <v>433</v>
      </c>
      <c r="D54" s="729"/>
      <c r="E54" s="686"/>
      <c r="F54" s="686"/>
      <c r="G54" s="729" t="s">
        <v>434</v>
      </c>
      <c r="H54" s="729"/>
      <c r="I54" s="729"/>
      <c r="J54" s="729"/>
      <c r="K54" s="677"/>
    </row>
    <row r="55" ht="16.35" spans="1:11">
      <c r="A55" s="725"/>
      <c r="B55" s="726"/>
      <c r="C55" s="732" t="str">
        <f>"("&amp;PROPER(ENTRY!$D$19)&amp;")"</f>
        <v>(Indrajeet)</v>
      </c>
      <c r="D55" s="732"/>
      <c r="E55" s="726"/>
      <c r="F55" s="726"/>
      <c r="G55" s="732" t="str">
        <f>"("&amp;PROPER(ENTRY!$D$12)&amp;")"</f>
        <v>(Shambhu Dayal Meena)</v>
      </c>
      <c r="H55" s="732"/>
      <c r="I55" s="732"/>
      <c r="J55" s="732"/>
      <c r="K55" s="728"/>
    </row>
  </sheetData>
  <sheetProtection password="BF6F" sheet="1" formatCells="0" formatColumns="0" formatRows="0" objects="1" scenarios="1"/>
  <mergeCells count="44">
    <mergeCell ref="D1:G1"/>
    <mergeCell ref="D2:G2"/>
    <mergeCell ref="D3:G3"/>
    <mergeCell ref="D4:G4"/>
    <mergeCell ref="D5:G5"/>
    <mergeCell ref="B7:C7"/>
    <mergeCell ref="D7:J7"/>
    <mergeCell ref="B8:C8"/>
    <mergeCell ref="D8:J8"/>
    <mergeCell ref="B9:C9"/>
    <mergeCell ref="D9:J9"/>
    <mergeCell ref="B10:C10"/>
    <mergeCell ref="D10:J10"/>
    <mergeCell ref="B11:C11"/>
    <mergeCell ref="B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B37:J37"/>
    <mergeCell ref="B49:J49"/>
    <mergeCell ref="C54:D54"/>
    <mergeCell ref="G54:J54"/>
    <mergeCell ref="C55:D55"/>
    <mergeCell ref="G55:J55"/>
    <mergeCell ref="I1:J5"/>
  </mergeCells>
  <conditionalFormatting sqref="G36">
    <cfRule type="expression" dxfId="3" priority="2">
      <formula>ISNA(G36)</formula>
    </cfRule>
  </conditionalFormatting>
  <conditionalFormatting sqref="G15:G35">
    <cfRule type="expression" dxfId="3" priority="1">
      <formula>ISNA(G15)</formula>
    </cfRule>
  </conditionalFormatting>
  <conditionalFormatting sqref="D15:F36">
    <cfRule type="expression" dxfId="3" priority="3">
      <formula>ISNA(D15)</formula>
    </cfRule>
  </conditionalFormatting>
  <pageMargins left="0.25" right="0.21" top="0.26" bottom="0.28" header="0.15" footer="0.15"/>
  <pageSetup paperSize="9" scale="80" orientation="portrait"/>
  <headerFooter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25"/>
  <sheetViews>
    <sheetView workbookViewId="0">
      <selection activeCell="M2" sqref="M2"/>
    </sheetView>
  </sheetViews>
  <sheetFormatPr defaultColWidth="9.13888888888889" defaultRowHeight="15.6"/>
  <cols>
    <col min="1" max="1" width="0.574074074074074" style="668" customWidth="1"/>
    <col min="2" max="2" width="4.13888888888889" style="668" customWidth="1"/>
    <col min="3" max="3" width="21.287037037037" style="668" customWidth="1"/>
    <col min="4" max="6" width="16.712962962963" style="668" customWidth="1"/>
    <col min="7" max="7" width="28" style="668" customWidth="1"/>
    <col min="8" max="8" width="1" style="668" customWidth="1"/>
    <col min="9" max="10" width="9.71296296296296" style="668" customWidth="1"/>
    <col min="11" max="11" width="0.861111111111111" style="668" customWidth="1"/>
    <col min="12" max="16384" width="9.13888888888889" style="668"/>
  </cols>
  <sheetData>
    <row r="1" ht="24.6" spans="1:11">
      <c r="B1" s="734"/>
      <c r="C1" s="734"/>
      <c r="D1" s="669" t="str">
        <f>ENTRY!$D$3</f>
        <v>MUNICIPAL CORPORATION OF DELHI</v>
      </c>
      <c r="E1" s="669"/>
      <c r="F1" s="669"/>
      <c r="G1" s="669"/>
      <c r="H1" s="734"/>
      <c r="I1" s="669"/>
      <c r="J1" s="669"/>
    </row>
    <row r="2" ht="20.4" spans="1:11">
      <c r="B2" s="735"/>
      <c r="C2" s="735"/>
      <c r="D2" s="670" t="str">
        <f>ENTRY!$D$4</f>
        <v>EDUCATION DEPARTMENT</v>
      </c>
      <c r="E2" s="670"/>
      <c r="F2" s="670"/>
      <c r="G2" s="670"/>
      <c r="H2" s="735"/>
      <c r="I2" s="669"/>
      <c r="J2" s="669"/>
    </row>
    <row r="3" ht="22.8" spans="1:11">
      <c r="B3" s="736"/>
      <c r="C3" s="736"/>
      <c r="D3" s="664" t="s">
        <v>417</v>
      </c>
      <c r="E3" s="664"/>
      <c r="F3" s="664"/>
      <c r="G3" s="664"/>
      <c r="H3" s="736"/>
      <c r="I3" s="669"/>
      <c r="J3" s="669"/>
    </row>
    <row r="4" ht="22.8" spans="1:11">
      <c r="B4" s="736"/>
      <c r="C4" s="736"/>
      <c r="D4" s="664" t="s">
        <v>418</v>
      </c>
      <c r="E4" s="664"/>
      <c r="F4" s="664"/>
      <c r="G4" s="664"/>
      <c r="H4" s="736"/>
      <c r="I4" s="669"/>
      <c r="J4" s="669"/>
    </row>
    <row r="5" ht="24.95" customHeight="1" spans="1:11">
      <c r="B5" s="735"/>
      <c r="C5" s="735"/>
      <c r="D5" s="737" t="str">
        <f>"SESSION : "&amp;ENTRY!$D$11</f>
        <v>SESSION : 2026-27</v>
      </c>
      <c r="E5" s="737"/>
      <c r="F5" s="737"/>
      <c r="G5" s="737"/>
      <c r="H5" s="735"/>
      <c r="I5" s="738"/>
      <c r="J5" s="738"/>
    </row>
    <row r="6" ht="3.75" customHeight="1" spans="1:11">
      <c r="A6" s="672"/>
      <c r="B6" s="739"/>
      <c r="C6" s="739"/>
      <c r="D6" s="739"/>
      <c r="E6" s="739"/>
      <c r="F6" s="739"/>
      <c r="G6" s="739"/>
      <c r="H6" s="739"/>
      <c r="I6" s="739"/>
      <c r="J6" s="739"/>
      <c r="K6" s="674"/>
    </row>
    <row r="7" ht="21.95" customHeight="1" spans="1:11">
      <c r="A7" s="675"/>
      <c r="B7" s="676" t="s">
        <v>419</v>
      </c>
      <c r="C7" s="676"/>
      <c r="D7" s="676" t="str">
        <f>ENTRY!$D$6</f>
        <v>MCP NITHARI NO 1 BOYS</v>
      </c>
      <c r="E7" s="676"/>
      <c r="F7" s="676"/>
      <c r="G7" s="676"/>
      <c r="H7" s="676"/>
      <c r="I7" s="676"/>
      <c r="J7" s="676"/>
      <c r="K7" s="677"/>
    </row>
    <row r="8" ht="21.95" customHeight="1" spans="1:11">
      <c r="A8" s="675"/>
      <c r="B8" s="676" t="s">
        <v>420</v>
      </c>
      <c r="C8" s="676"/>
      <c r="D8" s="740" t="str">
        <f>IFERROR(VLOOKUP($I$11,STUDENT!$A$2:$BP$101,5,0),"")</f>
        <v>NAKSH</v>
      </c>
      <c r="E8" s="740"/>
      <c r="F8" s="740"/>
      <c r="G8" s="740"/>
      <c r="H8" s="740"/>
      <c r="I8" s="740"/>
      <c r="J8" s="740"/>
      <c r="K8" s="677"/>
    </row>
    <row r="9" ht="21.95" customHeight="1" spans="1:11">
      <c r="A9" s="675"/>
      <c r="B9" s="676" t="s">
        <v>421</v>
      </c>
      <c r="C9" s="676"/>
      <c r="D9" s="740" t="str">
        <f>IFERROR(VLOOKUP($I$11,STUDENT!$A$2:$BP$101,8,0),"")</f>
        <v>NARESH</v>
      </c>
      <c r="E9" s="740"/>
      <c r="F9" s="740"/>
      <c r="G9" s="740"/>
      <c r="H9" s="740"/>
      <c r="I9" s="740"/>
      <c r="J9" s="740"/>
      <c r="K9" s="677"/>
    </row>
    <row r="10" ht="21.95" customHeight="1" spans="1:11">
      <c r="A10" s="675"/>
      <c r="B10" s="676" t="s">
        <v>422</v>
      </c>
      <c r="C10" s="676"/>
      <c r="D10" s="740">
        <f>IFERROR(VLOOKUP($I$11,STUDENT!$A$2:$BP$101,6,0),"")</f>
        <v>14779</v>
      </c>
      <c r="E10" s="740"/>
      <c r="F10" s="740"/>
      <c r="G10" s="740"/>
      <c r="H10" s="740"/>
      <c r="I10" s="740"/>
      <c r="J10" s="740"/>
      <c r="K10" s="677"/>
    </row>
    <row r="11" ht="21.95" customHeight="1" spans="1:11">
      <c r="A11" s="675"/>
      <c r="B11" s="676" t="s">
        <v>423</v>
      </c>
      <c r="C11" s="676"/>
      <c r="D11" s="741" t="str">
        <f>IFERROR(VLOOKUP($I$11,STUDENT!$A$2:$BP$101,59,0),"")</f>
        <v/>
      </c>
      <c r="E11" s="742" t="s">
        <v>424</v>
      </c>
      <c r="F11" s="704" t="str">
        <f>IFERROR(VLOOKUP($I$11,STUDENT!$A$2:$BP$101,2,0),"")</f>
        <v>III-A</v>
      </c>
      <c r="G11" s="742" t="s">
        <v>425</v>
      </c>
      <c r="H11" s="743"/>
      <c r="I11" s="744">
        <v>1</v>
      </c>
      <c r="J11" s="683"/>
      <c r="K11" s="677"/>
    </row>
    <row r="12" ht="5.1" customHeight="1" spans="1:11">
      <c r="A12" s="675"/>
      <c r="B12" s="745"/>
      <c r="C12" s="745"/>
      <c r="D12" s="746"/>
      <c r="E12" s="747"/>
      <c r="F12" s="748"/>
      <c r="G12" s="747"/>
      <c r="H12" s="686"/>
      <c r="I12" s="686"/>
      <c r="J12" s="686"/>
      <c r="K12" s="677"/>
    </row>
    <row r="13" s="664" customFormat="1" ht="32.1" customHeight="1" spans="1:11">
      <c r="A13" s="688"/>
      <c r="B13" s="749" t="s">
        <v>426</v>
      </c>
      <c r="C13" s="750"/>
      <c r="D13" s="750"/>
      <c r="E13" s="750"/>
      <c r="F13" s="750"/>
      <c r="G13" s="750"/>
      <c r="H13" s="750"/>
      <c r="I13" s="750"/>
      <c r="J13" s="751"/>
      <c r="K13" s="690"/>
    </row>
    <row r="14" ht="51.6" spans="1:11">
      <c r="A14" s="675"/>
      <c r="B14" s="752">
        <v>21</v>
      </c>
      <c r="C14" s="753" t="s">
        <v>427</v>
      </c>
      <c r="D14" s="754" t="s">
        <v>428</v>
      </c>
      <c r="E14" s="754" t="s">
        <v>429</v>
      </c>
      <c r="F14" s="754" t="s">
        <v>430</v>
      </c>
      <c r="G14" s="753" t="s">
        <v>390</v>
      </c>
      <c r="H14" s="714"/>
      <c r="I14" s="714"/>
      <c r="J14" s="714"/>
      <c r="K14" s="677"/>
    </row>
    <row r="15" ht="20.1" customHeight="1" spans="1:11">
      <c r="A15" s="675"/>
      <c r="B15" s="755">
        <v>1</v>
      </c>
      <c r="C15" s="755" t="str">
        <f>IFERROR(VLOOKUP(B15,DATEWISE!$A$3:$BY$27,2,0),0)</f>
        <v>30.04.2026</v>
      </c>
      <c r="D15" s="755">
        <f>IF($C$15=0,NA(),VLOOKUP($I$11&amp;$B$15,FLNFIX!$L$4:$EF$103,2,0))</f>
        <v>2</v>
      </c>
      <c r="E15" s="755">
        <f>IF($C$15=0,NA(),VLOOKUP($I$11&amp;$B$15,FLNFIX!$L$4:$EF$103,4,0))</f>
        <v>3</v>
      </c>
      <c r="F15" s="755">
        <f>IF($C$15=0,NA(),VLOOKUP($I$11&amp;$B$15,FLNFIX!$L$4:$EF$103,3,0))</f>
        <v>2</v>
      </c>
      <c r="G15" s="756">
        <f>IF($C$15=0,NA(),VLOOKUP($I$11&amp;$B$15,FLNFIX!$L$4:$EF$103,5,0))</f>
        <v>0</v>
      </c>
      <c r="H15" s="757"/>
      <c r="I15" s="757"/>
      <c r="J15" s="758"/>
      <c r="K15" s="677"/>
    </row>
    <row r="16" ht="20.1" customHeight="1" spans="1:11">
      <c r="A16" s="675"/>
      <c r="B16" s="755">
        <f>IF(B15=0,0,IF(B15&lt;$B$14,B15+1,""))</f>
        <v>2</v>
      </c>
      <c r="C16" s="755" t="str">
        <f>IFERROR(VLOOKUP(B16,DATEWISE!$A$3:$BY$27,2,0),0)</f>
        <v>08.05.2026</v>
      </c>
      <c r="D16" s="755">
        <f>IF($C$16=0,NA(),VLOOKUP($I$11&amp;$B$16,FLNFIX!$Q$4:$EF$103,2,0))</f>
        <v>2</v>
      </c>
      <c r="E16" s="755">
        <f>IF($C$16=0,NA(),VLOOKUP($I$11&amp;$B$16,FLNFIX!$Q$4:$EF$103,4,0))</f>
        <v>3</v>
      </c>
      <c r="F16" s="755">
        <f>IF($C$16=0,NA(),VLOOKUP($I$11&amp;$B$16,FLNFIX!$Q$4:$EF$103,3,0))</f>
        <v>2</v>
      </c>
      <c r="G16" s="756">
        <f>IF($C$16=0,NA(),VLOOKUP($I$11&amp;$B$16,FLNFIX!$Q$4:$EF$103,5,0))</f>
        <v>0</v>
      </c>
      <c r="H16" s="757"/>
      <c r="I16" s="757"/>
      <c r="J16" s="758"/>
      <c r="K16" s="677"/>
    </row>
    <row r="17" ht="20.1" customHeight="1" spans="1:11">
      <c r="A17" s="675"/>
      <c r="B17" s="755">
        <f t="shared" ref="B17:B35" si="0">IF(B16=0,0,IF(B16&lt;$B$14,B16+1,""))</f>
        <v>3</v>
      </c>
      <c r="C17" s="755" t="str">
        <f>IFERROR(VLOOKUP(B17,DATEWISE!$A$3:$BY$27,2,0),0)</f>
        <v>15.07.2026</v>
      </c>
      <c r="D17" s="755">
        <f>IF($C$17=0,NA(),VLOOKUP($I$11&amp;$B$17,FLNFIX!$V$4:$EF$103,2,0))</f>
        <v>2</v>
      </c>
      <c r="E17" s="755">
        <f>IF($C$17=0,NA(),VLOOKUP($I$11&amp;$B$17,FLNFIX!$V$4:$EF$103,4,0))</f>
        <v>3</v>
      </c>
      <c r="F17" s="755">
        <f>IF($C$17=0,NA(),VLOOKUP($I$11&amp;$B$17,FLNFIX!$V$4:$EF$103,3,0))</f>
        <v>2</v>
      </c>
      <c r="G17" s="756">
        <f>IF($C$17=0,NA(),VLOOKUP($I$11&amp;$B$17,FLNFIX!$V$4:$EF$103,5,0))</f>
        <v>0</v>
      </c>
      <c r="H17" s="757"/>
      <c r="I17" s="757"/>
      <c r="J17" s="758"/>
      <c r="K17" s="677"/>
    </row>
    <row r="18" ht="20.1" customHeight="1" spans="1:11">
      <c r="A18" s="675"/>
      <c r="B18" s="755">
        <f t="shared" si="0"/>
        <v>4</v>
      </c>
      <c r="C18" s="755" t="str">
        <f>IFERROR(VLOOKUP(B18,DATEWISE!$A$3:$BY$27,2,0),0)</f>
        <v>31.07.2026</v>
      </c>
      <c r="D18" s="755">
        <f>IF($C$18=0,NA(),VLOOKUP($I$11&amp;$B$18,FLNFIX!$AA$4:$EF$103,2,0))</f>
        <v>2</v>
      </c>
      <c r="E18" s="755">
        <f>IF($C$18=0,NA(),VLOOKUP($I$11&amp;$B$18,FLNFIX!$AA$4:$EF$103,4,0))</f>
        <v>3</v>
      </c>
      <c r="F18" s="755">
        <f>IF($C$18=0,NA(),VLOOKUP($I$11&amp;$B$18,FLNFIX!$AA$4:$EF$103,3,0))</f>
        <v>2</v>
      </c>
      <c r="G18" s="756">
        <f>IF($C$18=0,NA(),VLOOKUP($I$11&amp;$B$18,FLNFIX!$AA$4:$EF$103,5,0))</f>
        <v>0</v>
      </c>
      <c r="H18" s="757"/>
      <c r="I18" s="757"/>
      <c r="J18" s="758"/>
      <c r="K18" s="677"/>
    </row>
    <row r="19" ht="20.1" customHeight="1" spans="1:11">
      <c r="A19" s="675"/>
      <c r="B19" s="755">
        <f t="shared" si="0"/>
        <v>5</v>
      </c>
      <c r="C19" s="755" t="str">
        <f>IFERROR(VLOOKUP(B19,DATEWISE!$A$3:$BY$27,2,0),0)</f>
        <v>17.08.2026</v>
      </c>
      <c r="D19" s="755">
        <f>IF($C$19=0,NA(),VLOOKUP($I$11&amp;$B$19,FLNFIX!$AF$4:$EF$103,2,0))</f>
        <v>2</v>
      </c>
      <c r="E19" s="755">
        <f>IF($C$19=0,NA(),VLOOKUP($I$11&amp;$B$19,FLNFIX!$AF$4:$EF$103,4,0))</f>
        <v>3</v>
      </c>
      <c r="F19" s="755">
        <f>IF($C$19=0,NA(),VLOOKUP($I$11&amp;$B$19,FLNFIX!$AF$4:$EF$103,3,0))</f>
        <v>2</v>
      </c>
      <c r="G19" s="756">
        <f>IF($C$19=0,NA(),VLOOKUP($I$11&amp;$B$19,FLNFIX!$AF$4:$EF$103,5,0))</f>
        <v>0</v>
      </c>
      <c r="H19" s="757"/>
      <c r="I19" s="757"/>
      <c r="J19" s="758"/>
      <c r="K19" s="677"/>
    </row>
    <row r="20" ht="20.1" customHeight="1" spans="1:11">
      <c r="A20" s="675"/>
      <c r="B20" s="755">
        <f t="shared" si="0"/>
        <v>6</v>
      </c>
      <c r="C20" s="755" t="str">
        <f>IFERROR(VLOOKUP(B20,DATEWISE!$A$3:$BY$27,2,0),0)</f>
        <v>31.08.2026</v>
      </c>
      <c r="D20" s="755">
        <f>IF($C$20=0,NA(),VLOOKUP($I$11&amp;$B$20,FLNFIX!$AK$4:$EF$103,2,0))</f>
        <v>2</v>
      </c>
      <c r="E20" s="755">
        <f>IF($C$20=0,NA(),VLOOKUP($I$11&amp;$B$20,FLNFIX!$AK$4:$EF$103,4,0))</f>
        <v>3</v>
      </c>
      <c r="F20" s="755">
        <f>IF($C$20=0,NA(),VLOOKUP($I$11&amp;$B$20,FLNFIX!$AK$4:$EF$103,3,0))</f>
        <v>2</v>
      </c>
      <c r="G20" s="756">
        <f>IF($C$20=0,NA(),VLOOKUP($I$11&amp;$B$20,FLNFIX!$AK$4:$EF$103,5,0))</f>
        <v>0</v>
      </c>
      <c r="H20" s="757"/>
      <c r="I20" s="757"/>
      <c r="J20" s="758"/>
      <c r="K20" s="677"/>
    </row>
    <row r="21" ht="20.1" customHeight="1" spans="1:11">
      <c r="A21" s="675"/>
      <c r="B21" s="755">
        <f t="shared" si="0"/>
        <v>7</v>
      </c>
      <c r="C21" s="755">
        <f>IFERROR(VLOOKUP(B21,DATEWISE!$A$3:$BY$27,2,0),0)</f>
        <v>0</v>
      </c>
      <c r="D21" s="755" t="e">
        <f>IF($C$21=0,NA(),VLOOKUP($I$11&amp;$B$21,FLNFIX!$AP$4:$EF$103,2,0))</f>
        <v>#N/A</v>
      </c>
      <c r="E21" s="755" t="e">
        <f>IF($C$21=0,NA(),VLOOKUP($I$11&amp;$B$21,FLNFIX!$AP$4:$EF$103,4,0))</f>
        <v>#N/A</v>
      </c>
      <c r="F21" s="755" t="e">
        <f>IF($C$21=0,NA(),VLOOKUP($I$11&amp;$B$21,FLNFIX!$AP$4:$EF$103,3,0))</f>
        <v>#N/A</v>
      </c>
      <c r="G21" s="756" t="e">
        <f>IF($C$21=0,NA(),VLOOKUP($I$11&amp;$B$21,FLNFIX!$AP$4:$EF$103,5,0))</f>
        <v>#N/A</v>
      </c>
      <c r="H21" s="757"/>
      <c r="I21" s="757"/>
      <c r="J21" s="758"/>
      <c r="K21" s="677"/>
    </row>
    <row r="22" ht="20.1" customHeight="1" spans="1:11">
      <c r="A22" s="675"/>
      <c r="B22" s="755">
        <f t="shared" si="0"/>
        <v>8</v>
      </c>
      <c r="C22" s="755">
        <f>IFERROR(VLOOKUP(B22,DATEWISE!$A$3:$BY$27,2,0),0)</f>
        <v>0</v>
      </c>
      <c r="D22" s="755" t="e">
        <f>IF($C$22=0,NA(),VLOOKUP($I$11&amp;$B$22,FLNFIX!$AU$4:$EF$103,2,0))</f>
        <v>#N/A</v>
      </c>
      <c r="E22" s="755" t="e">
        <f>IF($C$22=0,NA(),VLOOKUP($I$11&amp;$B$22,FLNFIX!$AU$4:$EF$103,4,0))</f>
        <v>#N/A</v>
      </c>
      <c r="F22" s="755" t="e">
        <f>IF($C$22=0,NA(),VLOOKUP($I$11&amp;$B$22,FLNFIX!$AU$4:$EF$103,3,0))</f>
        <v>#N/A</v>
      </c>
      <c r="G22" s="756" t="e">
        <f>IF($C$22=0,NA(),VLOOKUP($I$11&amp;$B$22,FLNFIX!$AU$4:$EF$103,5,0))</f>
        <v>#N/A</v>
      </c>
      <c r="H22" s="757"/>
      <c r="I22" s="757"/>
      <c r="J22" s="758"/>
      <c r="K22" s="677"/>
    </row>
    <row r="23" ht="20.1" customHeight="1" spans="1:11">
      <c r="A23" s="675"/>
      <c r="B23" s="755">
        <f t="shared" si="0"/>
        <v>9</v>
      </c>
      <c r="C23" s="755">
        <f>IFERROR(VLOOKUP(B23,DATEWISE!$A$3:$BY$27,2,0),0)</f>
        <v>0</v>
      </c>
      <c r="D23" s="755" t="e">
        <f>IF($C$23=0,NA(),VLOOKUP($I$11&amp;$B$23,FLNFIX!$AZ$4:$EF$103,2,0))</f>
        <v>#N/A</v>
      </c>
      <c r="E23" s="755" t="e">
        <f>IF($C$23=0,NA(),VLOOKUP($I$11&amp;$B$23,FLNFIX!$AZ$4:$EF$103,4,0))</f>
        <v>#N/A</v>
      </c>
      <c r="F23" s="755" t="e">
        <f>IF($C$23=0,NA(),VLOOKUP($I$11&amp;$B$23,FLNFIX!$AZ$4:$EF$103,3,0))</f>
        <v>#N/A</v>
      </c>
      <c r="G23" s="756" t="e">
        <f>IF($C$23=0,NA(),VLOOKUP($I$11&amp;$B$23,FLNFIX!$AZ$4:$EF$103,5,0))</f>
        <v>#N/A</v>
      </c>
      <c r="H23" s="757"/>
      <c r="I23" s="757"/>
      <c r="J23" s="758"/>
      <c r="K23" s="677"/>
    </row>
    <row r="24" ht="20.1" customHeight="1" spans="1:11">
      <c r="A24" s="675"/>
      <c r="B24" s="755">
        <f t="shared" si="0"/>
        <v>10</v>
      </c>
      <c r="C24" s="755">
        <f>IFERROR(VLOOKUP(B24,DATEWISE!$A$3:$BY$27,2,0),0)</f>
        <v>0</v>
      </c>
      <c r="D24" s="755" t="e">
        <f>IF($C$24=0,NA(),VLOOKUP($I$11&amp;$B$24,FLNFIX!$BE$4:$EF$103,2,0))</f>
        <v>#N/A</v>
      </c>
      <c r="E24" s="755" t="e">
        <f>IF($C$24=0,NA(),VLOOKUP($I$11&amp;$B$24,FLNFIX!$BE$4:$EF$103,4,0))</f>
        <v>#N/A</v>
      </c>
      <c r="F24" s="755" t="e">
        <f>IF($C$24=0,NA(),VLOOKUP($I$11&amp;$B$24,FLNFIX!$BE$4:$EF$103,3,0))</f>
        <v>#N/A</v>
      </c>
      <c r="G24" s="756" t="e">
        <f>IF($C$24=0,NA(),VLOOKUP($I$11&amp;$B$24,FLNFIX!$BE$4:$EF$103,5,0))</f>
        <v>#N/A</v>
      </c>
      <c r="H24" s="757"/>
      <c r="I24" s="757"/>
      <c r="J24" s="758"/>
      <c r="K24" s="677"/>
    </row>
    <row r="25" ht="20.1" customHeight="1" spans="1:11">
      <c r="A25" s="675"/>
      <c r="B25" s="755">
        <f t="shared" si="0"/>
        <v>11</v>
      </c>
      <c r="C25" s="755">
        <f>IFERROR(VLOOKUP(B25,DATEWISE!$A$3:$BY$27,2,0),0)</f>
        <v>0</v>
      </c>
      <c r="D25" s="755" t="e">
        <f>IF($C$25=0,NA(),VLOOKUP($I$11&amp;$B$25,FLNFIX!$BJ$4:$EF$103,2,0))</f>
        <v>#N/A</v>
      </c>
      <c r="E25" s="755" t="e">
        <f>IF($C$25=0,NA(),VLOOKUP($I$11&amp;$B$25,FLNFIX!$BJ$4:$EF$103,4,0))</f>
        <v>#N/A</v>
      </c>
      <c r="F25" s="755" t="e">
        <f>IF($C$25=0,NA(),VLOOKUP($I$11&amp;$B$25,FLNFIX!$BJ$4:$EF$103,3,0))</f>
        <v>#N/A</v>
      </c>
      <c r="G25" s="756" t="e">
        <f>IF($C$25=0,NA(),VLOOKUP($I$11&amp;$B$25,FLNFIX!$BJ$4:$EF$103,5,0))</f>
        <v>#N/A</v>
      </c>
      <c r="H25" s="757"/>
      <c r="I25" s="757"/>
      <c r="J25" s="758"/>
      <c r="K25" s="677"/>
    </row>
    <row r="26" ht="20.1" customHeight="1" spans="1:11">
      <c r="A26" s="675"/>
      <c r="B26" s="755">
        <f t="shared" si="0"/>
        <v>12</v>
      </c>
      <c r="C26" s="755">
        <f>IFERROR(VLOOKUP(B26,DATEWISE!$A$3:$BY$27,2,0),0)</f>
        <v>0</v>
      </c>
      <c r="D26" s="755" t="e">
        <f>IF($C$26=0,NA(),VLOOKUP($I$11&amp;$B$26,FLNFIX!$BO$4:$EF$103,2,0))</f>
        <v>#N/A</v>
      </c>
      <c r="E26" s="755" t="e">
        <f>IF($C$26=0,NA(),VLOOKUP($I$11&amp;$B$26,FLNFIX!$BO$4:$EF$103,4,0))</f>
        <v>#N/A</v>
      </c>
      <c r="F26" s="755" t="e">
        <f>IF($C$26=0,NA(),VLOOKUP($I$11&amp;$B$26,FLNFIX!$BO$4:$EF$103,3,0))</f>
        <v>#N/A</v>
      </c>
      <c r="G26" s="756" t="e">
        <f>IF($C$26=0,NA(),VLOOKUP($I$11&amp;$B$26,FLNFIX!$BO$4:$EF$103,5,0))</f>
        <v>#N/A</v>
      </c>
      <c r="H26" s="757"/>
      <c r="I26" s="757"/>
      <c r="J26" s="758"/>
      <c r="K26" s="677"/>
    </row>
    <row r="27" ht="20.1" customHeight="1" spans="1:11">
      <c r="A27" s="675"/>
      <c r="B27" s="755">
        <f t="shared" si="0"/>
        <v>13</v>
      </c>
      <c r="C27" s="755">
        <f>IFERROR(VLOOKUP(B27,DATEWISE!$A$3:$BY$27,2,0),0)</f>
        <v>0</v>
      </c>
      <c r="D27" s="755" t="e">
        <f>IF($C$27=0,NA(),VLOOKUP($I$11&amp;$B$27,FLNFIX!$BT$4:$EF$103,2,0))</f>
        <v>#N/A</v>
      </c>
      <c r="E27" s="755" t="e">
        <f>IF($C$27=0,NA(),VLOOKUP($I$11&amp;$B$27,FLNFIX!$BT$4:$EF$103,4,0))</f>
        <v>#N/A</v>
      </c>
      <c r="F27" s="755" t="e">
        <f>IF($C$27=0,NA(),VLOOKUP($I$11&amp;$B$27,FLNFIX!$BT$4:$EF$103,3,0))</f>
        <v>#N/A</v>
      </c>
      <c r="G27" s="756" t="e">
        <f>IF($C$27=0,NA(),VLOOKUP($I$11&amp;$B$27,FLNFIX!$BT$4:$EF$103,5,0))</f>
        <v>#N/A</v>
      </c>
      <c r="H27" s="757"/>
      <c r="I27" s="757"/>
      <c r="J27" s="758"/>
      <c r="K27" s="677"/>
    </row>
    <row r="28" ht="20.1" customHeight="1" spans="1:11">
      <c r="A28" s="675"/>
      <c r="B28" s="755">
        <f t="shared" si="0"/>
        <v>14</v>
      </c>
      <c r="C28" s="755">
        <f>IFERROR(VLOOKUP(B28,DATEWISE!$A$3:$BY$27,2,0),0)</f>
        <v>0</v>
      </c>
      <c r="D28" s="755" t="e">
        <f>IF($C$28=0,NA(),VLOOKUP($I$11&amp;$B$28,FLNFIX!$BY$4:$EF$103,2,0))</f>
        <v>#N/A</v>
      </c>
      <c r="E28" s="755" t="e">
        <f>IF($C$28=0,NA(),VLOOKUP($I$11&amp;$B$28,FLNFIX!$BY$4:$EF$103,4,0))</f>
        <v>#N/A</v>
      </c>
      <c r="F28" s="755" t="e">
        <f>IF($C$28=0,NA(),VLOOKUP($I$11&amp;$B$28,FLNFIX!$BY$4:$EF$103,3,0))</f>
        <v>#N/A</v>
      </c>
      <c r="G28" s="756" t="e">
        <f>IF($C$28=0,NA(),VLOOKUP($I$11&amp;$B$28,FLNFIX!$BY$4:$EF$103,5,0))</f>
        <v>#N/A</v>
      </c>
      <c r="H28" s="757"/>
      <c r="I28" s="757"/>
      <c r="J28" s="758"/>
      <c r="K28" s="677"/>
    </row>
    <row r="29" ht="20.1" customHeight="1" spans="1:11">
      <c r="A29" s="675"/>
      <c r="B29" s="755">
        <f t="shared" si="0"/>
        <v>15</v>
      </c>
      <c r="C29" s="755">
        <f>IFERROR(VLOOKUP(B29,DATEWISE!$A$3:$BY$27,2,0),0)</f>
        <v>0</v>
      </c>
      <c r="D29" s="755" t="e">
        <f>IF($C$29=0,NA(),VLOOKUP($I$11&amp;$B$29,FLNFIX!$CD$4:$EF$103,2,0))</f>
        <v>#N/A</v>
      </c>
      <c r="E29" s="755" t="e">
        <f>IF($C$29=0,NA(),VLOOKUP($I$11&amp;$B$29,FLNFIX!$CD$4:$EF$103,4,0))</f>
        <v>#N/A</v>
      </c>
      <c r="F29" s="755" t="e">
        <f>IF($C$29=0,NA(),VLOOKUP($I$11&amp;$B$29,FLNFIX!$CD$4:$EF$103,3,0))</f>
        <v>#N/A</v>
      </c>
      <c r="G29" s="756" t="e">
        <f>IF($C$29=0,NA(),VLOOKUP($I$11&amp;$B$29,FLNFIX!$CD$4:$EF$103,5,0))</f>
        <v>#N/A</v>
      </c>
      <c r="H29" s="757"/>
      <c r="I29" s="757"/>
      <c r="J29" s="758"/>
      <c r="K29" s="677"/>
    </row>
    <row r="30" ht="20.1" customHeight="1" spans="1:11">
      <c r="A30" s="675"/>
      <c r="B30" s="755">
        <f t="shared" si="0"/>
        <v>16</v>
      </c>
      <c r="C30" s="755">
        <f>IFERROR(VLOOKUP(B30,DATEWISE!$A$3:$BY$27,2,0),0)</f>
        <v>0</v>
      </c>
      <c r="D30" s="755" t="e">
        <f>IF($C$30=0,NA(),VLOOKUP($I$11&amp;$B$30,FLNFIX!$CI$4:$EF$103,2,0))</f>
        <v>#N/A</v>
      </c>
      <c r="E30" s="755" t="e">
        <f>IF($C$30=0,NA(),VLOOKUP($I$11&amp;$B$30,FLNFIX!$CI$4:$EF$103,4,0))</f>
        <v>#N/A</v>
      </c>
      <c r="F30" s="755" t="e">
        <f>IF($C$30=0,NA(),VLOOKUP($I$11&amp;$B$30,FLNFIX!$CI$4:$EF$103,3,0))</f>
        <v>#N/A</v>
      </c>
      <c r="G30" s="756" t="e">
        <f>IF($C$30=0,NA(),VLOOKUP($I$11&amp;$B$30,FLNFIX!$CI$4:$EF$103,5,0))</f>
        <v>#N/A</v>
      </c>
      <c r="H30" s="757"/>
      <c r="I30" s="757"/>
      <c r="J30" s="758"/>
      <c r="K30" s="677"/>
    </row>
    <row r="31" ht="20.1" customHeight="1" spans="1:11">
      <c r="A31" s="675"/>
      <c r="B31" s="755">
        <f t="shared" si="0"/>
        <v>17</v>
      </c>
      <c r="C31" s="755">
        <f>IFERROR(VLOOKUP(B31,DATEWISE!$A$3:$BY$27,2,0),0)</f>
        <v>0</v>
      </c>
      <c r="D31" s="755" t="e">
        <f>IF($C$31=0,NA(),VLOOKUP($I$11&amp;$B$31,FLNFIX!$CN$4:$EF$103,2,0))</f>
        <v>#N/A</v>
      </c>
      <c r="E31" s="755" t="e">
        <f>IF($C$31=0,NA(),VLOOKUP($I$11&amp;$B$31,FLNFIX!$CN$4:$EF$103,4,0))</f>
        <v>#N/A</v>
      </c>
      <c r="F31" s="755" t="e">
        <f>IF($C$31=0,NA(),VLOOKUP($I$11&amp;$B$31,FLNFIX!$CN$4:$EF$103,3,0))</f>
        <v>#N/A</v>
      </c>
      <c r="G31" s="756" t="e">
        <f>IF($C$31=0,NA(),VLOOKUP($I$11&amp;$B$31,FLNFIX!$CN$4:$EF$103,5,0))</f>
        <v>#N/A</v>
      </c>
      <c r="H31" s="757"/>
      <c r="I31" s="757"/>
      <c r="J31" s="758"/>
      <c r="K31" s="677"/>
    </row>
    <row r="32" ht="20.1" customHeight="1" spans="1:11">
      <c r="A32" s="675"/>
      <c r="B32" s="755">
        <f t="shared" si="0"/>
        <v>18</v>
      </c>
      <c r="C32" s="755">
        <f>IFERROR(VLOOKUP(B32,DATEWISE!$A$3:$BY$27,2,0),0)</f>
        <v>0</v>
      </c>
      <c r="D32" s="755" t="e">
        <f>IF($C$32=0,NA(),VLOOKUP($I$11&amp;$B$32,FLNFIX!$CS$4:$EF$103,2,0))</f>
        <v>#N/A</v>
      </c>
      <c r="E32" s="755" t="e">
        <f>IF($C$32=0,NA(),VLOOKUP($I$11&amp;$B$32,FLNFIX!$CS$4:$EF$103,4,0))</f>
        <v>#N/A</v>
      </c>
      <c r="F32" s="755" t="e">
        <f>IF($C$32=0,NA(),VLOOKUP($I$11&amp;$B$32,FLNFIX!$CS$4:$EF$103,3,0))</f>
        <v>#N/A</v>
      </c>
      <c r="G32" s="756" t="e">
        <f>IF($C$32=0,NA(),VLOOKUP($I$11&amp;$B$32,FLNFIX!$CS$4:$EF$103,5,0))</f>
        <v>#N/A</v>
      </c>
      <c r="H32" s="757"/>
      <c r="I32" s="757"/>
      <c r="J32" s="758"/>
      <c r="K32" s="677"/>
    </row>
    <row r="33" ht="20.1" customHeight="1" spans="1:11">
      <c r="A33" s="675"/>
      <c r="B33" s="755">
        <f t="shared" si="0"/>
        <v>19</v>
      </c>
      <c r="C33" s="755">
        <f>IFERROR(VLOOKUP(B33,DATEWISE!$A$3:$BY$27,2,0),0)</f>
        <v>0</v>
      </c>
      <c r="D33" s="755" t="e">
        <f>IF($C$33=0,NA(),VLOOKUP($I$11&amp;$B$33,FLNFIX!$CX$4:$EF$103,2,0))</f>
        <v>#N/A</v>
      </c>
      <c r="E33" s="755" t="e">
        <f>IF($C$33=0,NA(),VLOOKUP($I$11&amp;$B$33,FLNFIX!$CX$4:$EF$103,4,0))</f>
        <v>#N/A</v>
      </c>
      <c r="F33" s="755" t="e">
        <f>IF($C$33=0,NA(),VLOOKUP($I$11&amp;$B$33,FLNFIX!$CX$4:$EF$103,3,0))</f>
        <v>#N/A</v>
      </c>
      <c r="G33" s="756" t="e">
        <f>IF($C$33=0,NA(),VLOOKUP($I$11&amp;$B$33,FLNFIX!$CX$4:$EF$103,5,0))</f>
        <v>#N/A</v>
      </c>
      <c r="H33" s="757"/>
      <c r="I33" s="757"/>
      <c r="J33" s="758"/>
      <c r="K33" s="677"/>
    </row>
    <row r="34" ht="20.1" customHeight="1" spans="1:11">
      <c r="A34" s="675"/>
      <c r="B34" s="755">
        <f t="shared" si="0"/>
        <v>20</v>
      </c>
      <c r="C34" s="755">
        <f>IFERROR(VLOOKUP(B34,DATEWISE!$A$3:$BY$27,2,0),0)</f>
        <v>0</v>
      </c>
      <c r="D34" s="755" t="e">
        <f>IF($C$34=0,NA(),VLOOKUP($I$11&amp;$B$34,FLNFIX!$DC$4:$EF$103,2,0))</f>
        <v>#N/A</v>
      </c>
      <c r="E34" s="755" t="e">
        <f>IF($C$34=0,NA(),VLOOKUP($I$11&amp;$B$34,FLNFIX!$DC$4:$EF$103,4,0))</f>
        <v>#N/A</v>
      </c>
      <c r="F34" s="755" t="e">
        <f>IF($C$34=0,NA(),VLOOKUP($I$11&amp;$B$34,FLNFIX!$DC$4:$EF$103,3,0))</f>
        <v>#N/A</v>
      </c>
      <c r="G34" s="756" t="e">
        <f>IF($C$34=0,NA(),VLOOKUP($I$11&amp;$B$34,FLNFIX!$DC$4:$EF$103,5,0))</f>
        <v>#N/A</v>
      </c>
      <c r="H34" s="757"/>
      <c r="I34" s="757"/>
      <c r="J34" s="758"/>
      <c r="K34" s="677"/>
    </row>
    <row r="35" ht="20.1" customHeight="1" spans="1:11">
      <c r="A35" s="675"/>
      <c r="B35" s="755">
        <f t="shared" si="0"/>
        <v>21</v>
      </c>
      <c r="C35" s="755">
        <f>IFERROR(VLOOKUP(B35,DATEWISE!$A$3:$BY$27,2,0),0)</f>
        <v>0</v>
      </c>
      <c r="D35" s="755" t="e">
        <f>IF($C$35=0,NA(),VLOOKUP($I$11&amp;$B$35,FLNFIX!$DH$4:$EF$103,2,0))</f>
        <v>#N/A</v>
      </c>
      <c r="E35" s="755" t="e">
        <f>IF($C$35=0,NA(),VLOOKUP($I$11&amp;$B$35,FLNFIX!$DH$4:$EF$103,4,0))</f>
        <v>#N/A</v>
      </c>
      <c r="F35" s="755" t="e">
        <f>IF($C$35=0,NA(),VLOOKUP($I$11&amp;$B$35,FLNFIX!$DH$4:$EF$103,3,0))</f>
        <v>#N/A</v>
      </c>
      <c r="G35" s="756" t="e">
        <f>IF($C$35=0,NA(),VLOOKUP($I$11&amp;$B$35,FLNFIX!$DH$4:$EF$103,5,0))</f>
        <v>#N/A</v>
      </c>
      <c r="H35" s="757"/>
      <c r="I35" s="757"/>
      <c r="J35" s="758"/>
      <c r="K35" s="677"/>
    </row>
    <row r="36" ht="5.1" customHeight="1" spans="1:11">
      <c r="A36" s="675"/>
      <c r="B36" s="759"/>
      <c r="C36" s="759"/>
      <c r="D36" s="760"/>
      <c r="E36" s="760"/>
      <c r="F36" s="760"/>
      <c r="G36" s="761"/>
      <c r="H36" s="761"/>
      <c r="I36" s="761"/>
      <c r="J36" s="761"/>
      <c r="K36" s="677"/>
    </row>
    <row r="37" s="667" customFormat="1" ht="24.95" customHeight="1" spans="1:11">
      <c r="A37" s="711"/>
      <c r="B37" s="762" t="s">
        <v>431</v>
      </c>
      <c r="C37" s="763"/>
      <c r="D37" s="763"/>
      <c r="E37" s="763"/>
      <c r="F37" s="763"/>
      <c r="G37" s="763"/>
      <c r="H37" s="763"/>
      <c r="I37" s="763"/>
      <c r="J37" s="764"/>
      <c r="K37" s="713"/>
    </row>
    <row r="38" spans="1:11">
      <c r="A38" s="675"/>
      <c r="B38" s="765"/>
      <c r="C38" s="686"/>
      <c r="D38" s="686"/>
      <c r="E38" s="686"/>
      <c r="F38" s="686"/>
      <c r="G38" s="686"/>
      <c r="H38" s="686"/>
      <c r="I38" s="686"/>
      <c r="J38" s="766"/>
      <c r="K38" s="677"/>
    </row>
    <row r="39" spans="1:11">
      <c r="A39" s="675"/>
      <c r="B39" s="765"/>
      <c r="C39" s="686"/>
      <c r="D39" s="686"/>
      <c r="E39" s="686"/>
      <c r="F39" s="686"/>
      <c r="G39" s="686"/>
      <c r="H39" s="686"/>
      <c r="I39" s="686"/>
      <c r="J39" s="766"/>
      <c r="K39" s="677"/>
    </row>
    <row r="40" spans="1:11">
      <c r="A40" s="675"/>
      <c r="B40" s="765"/>
      <c r="C40" s="686"/>
      <c r="D40" s="686"/>
      <c r="E40" s="686"/>
      <c r="F40" s="686"/>
      <c r="G40" s="686"/>
      <c r="H40" s="686"/>
      <c r="I40" s="686"/>
      <c r="J40" s="766"/>
      <c r="K40" s="677"/>
    </row>
    <row r="41" spans="1:11">
      <c r="A41" s="675"/>
      <c r="B41" s="765"/>
      <c r="C41" s="686"/>
      <c r="D41" s="686"/>
      <c r="E41" s="686"/>
      <c r="F41" s="686"/>
      <c r="G41" s="686"/>
      <c r="H41" s="686"/>
      <c r="I41" s="686"/>
      <c r="J41" s="766"/>
      <c r="K41" s="677"/>
    </row>
    <row r="42" spans="1:11">
      <c r="A42" s="675"/>
      <c r="B42" s="765"/>
      <c r="C42" s="686"/>
      <c r="D42" s="686"/>
      <c r="E42" s="686"/>
      <c r="F42" s="686"/>
      <c r="G42" s="686"/>
      <c r="H42" s="686"/>
      <c r="I42" s="686"/>
      <c r="J42" s="766"/>
      <c r="K42" s="677"/>
    </row>
    <row r="43" spans="1:11">
      <c r="A43" s="675"/>
      <c r="B43" s="765"/>
      <c r="C43" s="686"/>
      <c r="D43" s="686"/>
      <c r="E43" s="686"/>
      <c r="F43" s="686"/>
      <c r="G43" s="686"/>
      <c r="H43" s="686"/>
      <c r="I43" s="686"/>
      <c r="J43" s="766"/>
      <c r="K43" s="677"/>
    </row>
    <row r="44" spans="1:11">
      <c r="A44" s="675"/>
      <c r="B44" s="765"/>
      <c r="C44" s="686"/>
      <c r="D44" s="686"/>
      <c r="E44" s="686"/>
      <c r="F44" s="686"/>
      <c r="G44" s="686"/>
      <c r="H44" s="686"/>
      <c r="I44" s="686"/>
      <c r="J44" s="766"/>
      <c r="K44" s="677"/>
    </row>
    <row r="45" spans="1:11">
      <c r="A45" s="675"/>
      <c r="B45" s="765"/>
      <c r="C45" s="686"/>
      <c r="D45" s="686"/>
      <c r="E45" s="686"/>
      <c r="F45" s="686"/>
      <c r="G45" s="686"/>
      <c r="H45" s="686"/>
      <c r="I45" s="686"/>
      <c r="J45" s="766"/>
      <c r="K45" s="677"/>
    </row>
    <row r="46" spans="1:11">
      <c r="A46" s="675"/>
      <c r="B46" s="765"/>
      <c r="C46" s="686"/>
      <c r="D46" s="686"/>
      <c r="E46" s="686"/>
      <c r="F46" s="686"/>
      <c r="G46" s="686"/>
      <c r="H46" s="686"/>
      <c r="I46" s="686"/>
      <c r="J46" s="766"/>
      <c r="K46" s="677"/>
    </row>
    <row r="47" spans="1:11">
      <c r="A47" s="675"/>
      <c r="B47" s="767"/>
      <c r="C47" s="768"/>
      <c r="D47" s="768"/>
      <c r="E47" s="768"/>
      <c r="F47" s="768"/>
      <c r="G47" s="768"/>
      <c r="H47" s="768"/>
      <c r="I47" s="768"/>
      <c r="J47" s="769"/>
      <c r="K47" s="677"/>
    </row>
    <row r="48" ht="5.1" customHeight="1" spans="1:11">
      <c r="A48" s="675"/>
      <c r="B48" s="686"/>
      <c r="C48" s="686"/>
      <c r="D48" s="686"/>
      <c r="E48" s="686"/>
      <c r="F48" s="686"/>
      <c r="G48" s="686"/>
      <c r="H48" s="686"/>
      <c r="I48" s="686"/>
      <c r="J48" s="686"/>
      <c r="K48" s="677"/>
    </row>
    <row r="49" spans="1:11">
      <c r="A49" s="675"/>
      <c r="B49" s="770" t="s">
        <v>432</v>
      </c>
      <c r="C49" s="770"/>
      <c r="D49" s="770"/>
      <c r="E49" s="770"/>
      <c r="F49" s="770"/>
      <c r="G49" s="770"/>
      <c r="H49" s="770"/>
      <c r="I49" s="770"/>
      <c r="J49" s="770"/>
      <c r="K49" s="677"/>
    </row>
    <row r="50" spans="1:11">
      <c r="A50" s="675"/>
      <c r="B50" s="771"/>
      <c r="C50" s="771"/>
      <c r="D50" s="771"/>
      <c r="E50" s="771"/>
      <c r="F50" s="771"/>
      <c r="G50" s="771"/>
      <c r="H50" s="771"/>
      <c r="I50" s="771"/>
      <c r="J50" s="771"/>
      <c r="K50" s="677"/>
    </row>
    <row r="51" spans="1:11">
      <c r="A51" s="675"/>
      <c r="B51" s="771"/>
      <c r="C51" s="771"/>
      <c r="D51" s="771"/>
      <c r="E51" s="771"/>
      <c r="F51" s="771"/>
      <c r="G51" s="771"/>
      <c r="H51" s="771"/>
      <c r="I51" s="771"/>
      <c r="J51" s="771"/>
      <c r="K51" s="677"/>
    </row>
    <row r="52" spans="1:11">
      <c r="A52" s="675"/>
      <c r="B52" s="771"/>
      <c r="C52" s="771"/>
      <c r="D52" s="771"/>
      <c r="E52" s="771"/>
      <c r="F52" s="771"/>
      <c r="G52" s="771"/>
      <c r="H52" s="771"/>
      <c r="I52" s="771"/>
      <c r="J52" s="771"/>
      <c r="K52" s="677"/>
    </row>
    <row r="53" spans="1:11">
      <c r="A53" s="675"/>
      <c r="B53" s="686"/>
      <c r="C53" s="686"/>
      <c r="D53" s="686"/>
      <c r="E53" s="686"/>
      <c r="F53" s="686"/>
      <c r="G53" s="686"/>
      <c r="H53" s="686"/>
      <c r="I53" s="686"/>
      <c r="J53" s="686"/>
      <c r="K53" s="677"/>
    </row>
    <row r="54" spans="1:11">
      <c r="A54" s="675"/>
      <c r="B54" s="686"/>
      <c r="C54" s="729" t="s">
        <v>433</v>
      </c>
      <c r="D54" s="729"/>
      <c r="E54" s="686"/>
      <c r="F54" s="686"/>
      <c r="G54" s="729" t="s">
        <v>434</v>
      </c>
      <c r="H54" s="729"/>
      <c r="I54" s="729"/>
      <c r="J54" s="729"/>
      <c r="K54" s="677"/>
    </row>
    <row r="55" ht="16.35" spans="1:11">
      <c r="A55" s="725"/>
      <c r="B55" s="726"/>
      <c r="C55" s="732" t="str">
        <f>"("&amp;PROPER(ENTRY!$D$19)&amp;")"</f>
        <v>(Indrajeet)</v>
      </c>
      <c r="D55" s="732"/>
      <c r="E55" s="726"/>
      <c r="F55" s="726"/>
      <c r="G55" s="732" t="str">
        <f>"("&amp;PROPER(ENTRY!$D$12)&amp;")"</f>
        <v>(Shambhu Dayal Meena)</v>
      </c>
      <c r="H55" s="732"/>
      <c r="I55" s="732"/>
      <c r="J55" s="732"/>
      <c r="K55" s="728"/>
    </row>
    <row r="56" ht="24.6" spans="1:11">
      <c r="B56" s="734"/>
      <c r="C56" s="734"/>
      <c r="D56" s="669" t="str">
        <f>ENTRY!$D$3</f>
        <v>MUNICIPAL CORPORATION OF DELHI</v>
      </c>
      <c r="E56" s="669"/>
      <c r="F56" s="669"/>
      <c r="G56" s="669"/>
      <c r="H56" s="734"/>
      <c r="I56" s="669"/>
      <c r="J56" s="669"/>
    </row>
    <row r="57" ht="20.4" spans="1:11">
      <c r="B57" s="735"/>
      <c r="C57" s="735"/>
      <c r="D57" s="670" t="str">
        <f>ENTRY!$D$4</f>
        <v>EDUCATION DEPARTMENT</v>
      </c>
      <c r="E57" s="670"/>
      <c r="F57" s="670"/>
      <c r="G57" s="670"/>
      <c r="H57" s="735"/>
      <c r="I57" s="669"/>
      <c r="J57" s="669"/>
    </row>
    <row r="58" ht="22.8" spans="1:11">
      <c r="B58" s="736"/>
      <c r="C58" s="736"/>
      <c r="D58" s="664" t="s">
        <v>417</v>
      </c>
      <c r="E58" s="664"/>
      <c r="F58" s="664"/>
      <c r="G58" s="664"/>
      <c r="H58" s="736"/>
      <c r="I58" s="669"/>
      <c r="J58" s="669"/>
    </row>
    <row r="59" ht="22.8" spans="1:11">
      <c r="B59" s="736"/>
      <c r="C59" s="736"/>
      <c r="D59" s="664" t="s">
        <v>418</v>
      </c>
      <c r="E59" s="664"/>
      <c r="F59" s="664"/>
      <c r="G59" s="664"/>
      <c r="H59" s="736"/>
      <c r="I59" s="669"/>
      <c r="J59" s="669"/>
    </row>
    <row r="60" ht="24.95" customHeight="1" spans="1:11">
      <c r="B60" s="735"/>
      <c r="C60" s="735"/>
      <c r="D60" s="737" t="str">
        <f>"SESSION : "&amp;ENTRY!$D$11</f>
        <v>SESSION : 2026-27</v>
      </c>
      <c r="E60" s="737"/>
      <c r="F60" s="737"/>
      <c r="G60" s="737"/>
      <c r="H60" s="735"/>
      <c r="I60" s="738"/>
      <c r="J60" s="738"/>
    </row>
    <row r="61" ht="3.75" customHeight="1" spans="1:11">
      <c r="A61" s="672"/>
      <c r="B61" s="739"/>
      <c r="C61" s="739"/>
      <c r="D61" s="739"/>
      <c r="E61" s="739"/>
      <c r="F61" s="739"/>
      <c r="G61" s="739"/>
      <c r="H61" s="739"/>
      <c r="I61" s="739"/>
      <c r="J61" s="739"/>
      <c r="K61" s="674"/>
    </row>
    <row r="62" ht="21.95" customHeight="1" spans="1:11">
      <c r="A62" s="675"/>
      <c r="B62" s="676" t="s">
        <v>419</v>
      </c>
      <c r="C62" s="676"/>
      <c r="D62" s="676" t="str">
        <f>ENTRY!$D$6</f>
        <v>MCP NITHARI NO 1 BOYS</v>
      </c>
      <c r="E62" s="676"/>
      <c r="F62" s="676"/>
      <c r="G62" s="676"/>
      <c r="H62" s="676"/>
      <c r="I62" s="676"/>
      <c r="J62" s="676"/>
      <c r="K62" s="677"/>
    </row>
    <row r="63" ht="21.95" customHeight="1" spans="1:11">
      <c r="A63" s="675"/>
      <c r="B63" s="676" t="s">
        <v>420</v>
      </c>
      <c r="C63" s="676"/>
      <c r="D63" s="740" t="str">
        <f>IFERROR(VLOOKUP($I$66,STUDENT!$A$2:$BP$101,5,0),"")</f>
        <v>NAVEEN</v>
      </c>
      <c r="E63" s="740"/>
      <c r="F63" s="740"/>
      <c r="G63" s="740"/>
      <c r="H63" s="740"/>
      <c r="I63" s="740"/>
      <c r="J63" s="740"/>
      <c r="K63" s="677"/>
    </row>
    <row r="64" ht="21.95" customHeight="1" spans="1:11">
      <c r="A64" s="675"/>
      <c r="B64" s="676" t="s">
        <v>421</v>
      </c>
      <c r="C64" s="676"/>
      <c r="D64" s="740" t="str">
        <f>IFERROR(VLOOKUP($I$66,STUDENT!$A$2:$BP$101,8,0),"")</f>
        <v>SANJAY</v>
      </c>
      <c r="E64" s="740"/>
      <c r="F64" s="740"/>
      <c r="G64" s="740"/>
      <c r="H64" s="740"/>
      <c r="I64" s="740"/>
      <c r="J64" s="740"/>
      <c r="K64" s="677"/>
    </row>
    <row r="65" ht="21.95" customHeight="1" spans="1:11">
      <c r="A65" s="675"/>
      <c r="B65" s="676" t="s">
        <v>422</v>
      </c>
      <c r="C65" s="676"/>
      <c r="D65" s="740">
        <f>IFERROR(VLOOKUP($I$66,STUDENT!$A$2:$BP$101,6,0),"")</f>
        <v>14733</v>
      </c>
      <c r="E65" s="740"/>
      <c r="F65" s="740"/>
      <c r="G65" s="740"/>
      <c r="H65" s="740"/>
      <c r="I65" s="740"/>
      <c r="J65" s="740"/>
      <c r="K65" s="677"/>
    </row>
    <row r="66" ht="21.95" customHeight="1" spans="1:11">
      <c r="A66" s="675"/>
      <c r="B66" s="676" t="s">
        <v>423</v>
      </c>
      <c r="C66" s="676"/>
      <c r="D66" s="741" t="str">
        <f>IFERROR(VLOOKUP($I$66,STUDENT!$A$2:$BP$101,59,0),"")</f>
        <v/>
      </c>
      <c r="E66" s="742" t="s">
        <v>424</v>
      </c>
      <c r="F66" s="704" t="str">
        <f>IFERROR(VLOOKUP($I$66,STUDENT!$A$2:$BP$101,2,0),"")</f>
        <v>III-A</v>
      </c>
      <c r="G66" s="742" t="s">
        <v>425</v>
      </c>
      <c r="H66" s="743"/>
      <c r="I66" s="733">
        <f>I11+1</f>
        <v>2</v>
      </c>
      <c r="J66" s="683"/>
      <c r="K66" s="677"/>
    </row>
    <row r="67" ht="5.1" customHeight="1" spans="1:11">
      <c r="A67" s="675"/>
      <c r="B67" s="745"/>
      <c r="C67" s="745"/>
      <c r="D67" s="746"/>
      <c r="E67" s="747"/>
      <c r="F67" s="748"/>
      <c r="G67" s="747"/>
      <c r="H67" s="686"/>
      <c r="I67" s="686"/>
      <c r="J67" s="686"/>
      <c r="K67" s="677"/>
    </row>
    <row r="68" s="664" customFormat="1" ht="32.1" customHeight="1" spans="1:11">
      <c r="A68" s="688"/>
      <c r="B68" s="749" t="s">
        <v>426</v>
      </c>
      <c r="C68" s="750"/>
      <c r="D68" s="750"/>
      <c r="E68" s="750"/>
      <c r="F68" s="750"/>
      <c r="G68" s="750"/>
      <c r="H68" s="750"/>
      <c r="I68" s="750"/>
      <c r="J68" s="751"/>
      <c r="K68" s="690"/>
    </row>
    <row r="69" ht="51.6" spans="1:11">
      <c r="A69" s="675"/>
      <c r="B69" s="752">
        <v>21</v>
      </c>
      <c r="C69" s="753" t="s">
        <v>427</v>
      </c>
      <c r="D69" s="754" t="s">
        <v>428</v>
      </c>
      <c r="E69" s="754" t="s">
        <v>429</v>
      </c>
      <c r="F69" s="754" t="s">
        <v>430</v>
      </c>
      <c r="G69" s="753" t="s">
        <v>390</v>
      </c>
      <c r="H69" s="714"/>
      <c r="I69" s="714"/>
      <c r="J69" s="714"/>
      <c r="K69" s="677"/>
    </row>
    <row r="70" ht="20.1" customHeight="1" spans="1:11">
      <c r="A70" s="675"/>
      <c r="B70" s="755">
        <v>1</v>
      </c>
      <c r="C70" s="755" t="str">
        <f>IFERROR(VLOOKUP(B70,DATEWISE!$A$3:$BY$27,2,0),0)</f>
        <v>30.04.2026</v>
      </c>
      <c r="D70" s="755">
        <f>IF($C$70=0,NA(),VLOOKUP($I$66&amp;$B$70,FLNFIX!$L$4:$EF$103,2,0))</f>
        <v>3</v>
      </c>
      <c r="E70" s="755">
        <f>IF($C$70=0,NA(),VLOOKUP($I$66&amp;$B$70,FLNFIX!$L$4:$EF$103,4,0))</f>
        <v>3</v>
      </c>
      <c r="F70" s="755">
        <f>IF($C$70=0,NA(),VLOOKUP($I$66&amp;$B$70,FLNFIX!$L$4:$EF$103,3,0))</f>
        <v>2</v>
      </c>
      <c r="G70" s="756">
        <f>IF($C$70=0,NA(),VLOOKUP($I$66&amp;$B$70,FLNFIX!$L$4:$EF$103,5,0))</f>
        <v>0</v>
      </c>
      <c r="H70" s="757"/>
      <c r="I70" s="757"/>
      <c r="J70" s="758"/>
      <c r="K70" s="677"/>
    </row>
    <row r="71" ht="20.1" customHeight="1" spans="1:11">
      <c r="A71" s="675"/>
      <c r="B71" s="755">
        <f t="shared" ref="B71:B90" si="1">IF(B70=0,0,IF(B70&lt;$B$69,B70+1,""))</f>
        <v>2</v>
      </c>
      <c r="C71" s="755" t="str">
        <f>IFERROR(VLOOKUP(B71,DATEWISE!$A$3:$BY$27,2,0),0)</f>
        <v>08.05.2026</v>
      </c>
      <c r="D71" s="755">
        <f>IF($C$71=0,NA(),VLOOKUP($I$66&amp;$B$71,FLNFIX!$Q$4:$EF$103,2,0))</f>
        <v>3</v>
      </c>
      <c r="E71" s="755">
        <f>IF($C$71=0,NA(),VLOOKUP($I$66&amp;$B$71,FLNFIX!$Q$4:$EF$103,4,0))</f>
        <v>3</v>
      </c>
      <c r="F71" s="755">
        <f>IF($C$71=0,NA(),VLOOKUP($I$66&amp;$B$71,FLNFIX!$Q$4:$EF$103,3,0))</f>
        <v>2</v>
      </c>
      <c r="G71" s="756">
        <f>IF($C$71=0,NA(),VLOOKUP($I$66&amp;$B$71,FLNFIX!$Q$4:$EF$103,5,0))</f>
        <v>0</v>
      </c>
      <c r="H71" s="757"/>
      <c r="I71" s="757"/>
      <c r="J71" s="758"/>
      <c r="K71" s="677"/>
    </row>
    <row r="72" ht="20.1" customHeight="1" spans="1:11">
      <c r="A72" s="675"/>
      <c r="B72" s="755">
        <f t="shared" si="1"/>
        <v>3</v>
      </c>
      <c r="C72" s="755" t="str">
        <f>IFERROR(VLOOKUP(B72,DATEWISE!$A$3:$BY$27,2,0),0)</f>
        <v>15.07.2026</v>
      </c>
      <c r="D72" s="755">
        <f>IF($C$72=0,NA(),VLOOKUP($I$66&amp;$B$72,FLNFIX!$V$4:$EF$103,2,0))</f>
        <v>3</v>
      </c>
      <c r="E72" s="755">
        <f>IF($C$72=0,NA(),VLOOKUP($I$66&amp;$B$72,FLNFIX!$V$4:$EF$103,4,0))</f>
        <v>3</v>
      </c>
      <c r="F72" s="755">
        <f>IF($C$72=0,NA(),VLOOKUP($I$66&amp;$B$72,FLNFIX!$V$4:$EF$103,3,0))</f>
        <v>2</v>
      </c>
      <c r="G72" s="756">
        <f>IF($C$72=0,NA(),VLOOKUP($I$66&amp;$B$72,FLNFIX!$V$4:$EF$103,5,0))</f>
        <v>0</v>
      </c>
      <c r="H72" s="757"/>
      <c r="I72" s="757"/>
      <c r="J72" s="758"/>
      <c r="K72" s="677"/>
    </row>
    <row r="73" ht="20.1" customHeight="1" spans="1:11">
      <c r="A73" s="675"/>
      <c r="B73" s="755">
        <f t="shared" si="1"/>
        <v>4</v>
      </c>
      <c r="C73" s="755" t="str">
        <f>IFERROR(VLOOKUP(B73,DATEWISE!$A$3:$BY$27,2,0),0)</f>
        <v>31.07.2026</v>
      </c>
      <c r="D73" s="755">
        <f>IF($C$73=0,NA(),VLOOKUP($I$66&amp;$B$73,FLNFIX!$AA$4:$EF$103,2,0))</f>
        <v>3</v>
      </c>
      <c r="E73" s="755">
        <f>IF($C$73=0,NA(),VLOOKUP($I$66&amp;$B$73,FLNFIX!$AA$4:$EF$103,4,0))</f>
        <v>3</v>
      </c>
      <c r="F73" s="755">
        <f>IF($C$73=0,NA(),VLOOKUP($I$66&amp;$B$73,FLNFIX!$AA$4:$EF$103,3,0))</f>
        <v>2</v>
      </c>
      <c r="G73" s="756">
        <f>IF($C$73=0,NA(),VLOOKUP($I$66&amp;$B$73,FLNFIX!$AA$4:$EF$103,5,0))</f>
        <v>0</v>
      </c>
      <c r="H73" s="757"/>
      <c r="I73" s="757"/>
      <c r="J73" s="758"/>
      <c r="K73" s="677"/>
    </row>
    <row r="74" ht="20.1" customHeight="1" spans="1:11">
      <c r="A74" s="675"/>
      <c r="B74" s="755">
        <f t="shared" si="1"/>
        <v>5</v>
      </c>
      <c r="C74" s="755" t="str">
        <f>IFERROR(VLOOKUP(B74,DATEWISE!$A$3:$BY$27,2,0),0)</f>
        <v>17.08.2026</v>
      </c>
      <c r="D74" s="755">
        <f>IF($C$74=0,NA(),VLOOKUP($I$66&amp;$B$74,FLNFIX!$AF$4:$EF$103,2,0))</f>
        <v>3</v>
      </c>
      <c r="E74" s="755">
        <f>IF($C$74=0,NA(),VLOOKUP($I$66&amp;$B$74,FLNFIX!$AF$4:$EF$103,4,0))</f>
        <v>3</v>
      </c>
      <c r="F74" s="755">
        <f>IF($C$74=0,NA(),VLOOKUP($I$66&amp;$B$74,FLNFIX!$AF$4:$EF$103,3,0))</f>
        <v>2</v>
      </c>
      <c r="G74" s="756">
        <f>IF($C$74=0,NA(),VLOOKUP($I$66&amp;$B$74,FLNFIX!$AF$4:$EF$103,5,0))</f>
        <v>0</v>
      </c>
      <c r="H74" s="757"/>
      <c r="I74" s="757"/>
      <c r="J74" s="758"/>
      <c r="K74" s="677"/>
    </row>
    <row r="75" ht="20.1" customHeight="1" spans="1:11">
      <c r="A75" s="675"/>
      <c r="B75" s="755">
        <f t="shared" si="1"/>
        <v>6</v>
      </c>
      <c r="C75" s="755" t="str">
        <f>IFERROR(VLOOKUP(B75,DATEWISE!$A$3:$BY$27,2,0),0)</f>
        <v>31.08.2026</v>
      </c>
      <c r="D75" s="755">
        <f>IF($C$75=0,NA(),VLOOKUP($I$66&amp;$B$75,FLNFIX!$AK$4:$EF$103,2,0))</f>
        <v>3</v>
      </c>
      <c r="E75" s="755">
        <f>IF($C$75=0,NA(),VLOOKUP($I$66&amp;$B$75,FLNFIX!$AK$4:$EF$103,4,0))</f>
        <v>3</v>
      </c>
      <c r="F75" s="755">
        <f>IF($C$75=0,NA(),VLOOKUP($I$66&amp;$B$75,FLNFIX!$AK$4:$EF$103,3,0))</f>
        <v>2</v>
      </c>
      <c r="G75" s="756">
        <f>IF($C$75=0,NA(),VLOOKUP($I$66&amp;$B$75,FLNFIX!$AK$4:$EF$103,5,0))</f>
        <v>0</v>
      </c>
      <c r="H75" s="757"/>
      <c r="I75" s="757"/>
      <c r="J75" s="758"/>
      <c r="K75" s="677"/>
    </row>
    <row r="76" ht="20.1" customHeight="1" spans="1:11">
      <c r="A76" s="675"/>
      <c r="B76" s="755">
        <f t="shared" si="1"/>
        <v>7</v>
      </c>
      <c r="C76" s="755">
        <f>IFERROR(VLOOKUP(B76,DATEWISE!$A$3:$BY$27,2,0),0)</f>
        <v>0</v>
      </c>
      <c r="D76" s="755" t="e">
        <f>IF($C$76=0,NA(),VLOOKUP($I$66&amp;$B$76,FLNFIX!$AP$4:$EF$103,2,0))</f>
        <v>#N/A</v>
      </c>
      <c r="E76" s="755" t="e">
        <f>IF($C$76=0,NA(),VLOOKUP($I$66&amp;$B$76,FLNFIX!$AP$4:$EF$103,4,0))</f>
        <v>#N/A</v>
      </c>
      <c r="F76" s="755" t="e">
        <f>IF($C$76=0,NA(),VLOOKUP($I$66&amp;$B$76,FLNFIX!$AP$4:$EF$103,3,0))</f>
        <v>#N/A</v>
      </c>
      <c r="G76" s="756" t="e">
        <f>IF($C$76=0,NA(),VLOOKUP($I$66&amp;$B$76,FLNFIX!$AP$4:$EF$103,5,0))</f>
        <v>#N/A</v>
      </c>
      <c r="H76" s="757"/>
      <c r="I76" s="757"/>
      <c r="J76" s="758"/>
      <c r="K76" s="677"/>
    </row>
    <row r="77" ht="20.1" customHeight="1" spans="1:11">
      <c r="A77" s="675"/>
      <c r="B77" s="755">
        <f t="shared" si="1"/>
        <v>8</v>
      </c>
      <c r="C77" s="755">
        <f>IFERROR(VLOOKUP(B77,DATEWISE!$A$3:$BY$27,2,0),0)</f>
        <v>0</v>
      </c>
      <c r="D77" s="755" t="e">
        <f>IF($C$77=0,NA(),VLOOKUP($I$66&amp;$B$77,FLNFIX!$AU$4:$EF$103,2,0))</f>
        <v>#N/A</v>
      </c>
      <c r="E77" s="755" t="e">
        <f>IF($C$77=0,NA(),VLOOKUP($I$66&amp;$B$77,FLNFIX!$AU$4:$EF$103,4,0))</f>
        <v>#N/A</v>
      </c>
      <c r="F77" s="755" t="e">
        <f>IF($C$77=0,NA(),VLOOKUP($I$66&amp;$B$77,FLNFIX!$AU$4:$EF$103,3,0))</f>
        <v>#N/A</v>
      </c>
      <c r="G77" s="756" t="e">
        <f>IF($C$77=0,NA(),VLOOKUP($I$66&amp;$B$77,FLNFIX!$AU$4:$EF$103,5,0))</f>
        <v>#N/A</v>
      </c>
      <c r="H77" s="757"/>
      <c r="I77" s="757"/>
      <c r="J77" s="758"/>
      <c r="K77" s="677"/>
    </row>
    <row r="78" ht="20.1" customHeight="1" spans="1:11">
      <c r="A78" s="675"/>
      <c r="B78" s="755">
        <f t="shared" si="1"/>
        <v>9</v>
      </c>
      <c r="C78" s="755">
        <f>IFERROR(VLOOKUP(B78,DATEWISE!$A$3:$BY$27,2,0),0)</f>
        <v>0</v>
      </c>
      <c r="D78" s="755" t="e">
        <f>IF($C$78=0,NA(),VLOOKUP($I$66&amp;$B$78,FLNFIX!$AZ$4:$EF$103,2,0))</f>
        <v>#N/A</v>
      </c>
      <c r="E78" s="755" t="e">
        <f>IF($C$78=0,NA(),VLOOKUP($I$66&amp;$B$78,FLNFIX!$AZ$4:$EF$103,4,0))</f>
        <v>#N/A</v>
      </c>
      <c r="F78" s="755" t="e">
        <f>IF($C$78=0,NA(),VLOOKUP($I$66&amp;$B$78,FLNFIX!$AZ$4:$EF$103,3,0))</f>
        <v>#N/A</v>
      </c>
      <c r="G78" s="756" t="e">
        <f>IF($C$78=0,NA(),VLOOKUP($I$66&amp;$B$78,FLNFIX!$AZ$4:$EF$103,5,0))</f>
        <v>#N/A</v>
      </c>
      <c r="H78" s="757"/>
      <c r="I78" s="757"/>
      <c r="J78" s="758"/>
      <c r="K78" s="677"/>
    </row>
    <row r="79" ht="20.1" customHeight="1" spans="1:11">
      <c r="A79" s="675"/>
      <c r="B79" s="755">
        <f t="shared" si="1"/>
        <v>10</v>
      </c>
      <c r="C79" s="755">
        <f>IFERROR(VLOOKUP(B79,DATEWISE!$A$3:$BY$27,2,0),0)</f>
        <v>0</v>
      </c>
      <c r="D79" s="755" t="e">
        <f>IF($C$79=0,NA(),VLOOKUP($I$66&amp;$B$79,FLNFIX!$BE$4:$EF$103,2,0))</f>
        <v>#N/A</v>
      </c>
      <c r="E79" s="755" t="e">
        <f>IF($C$79=0,NA(),VLOOKUP($I$66&amp;$B$79,FLNFIX!$BE$4:$EF$103,4,0))</f>
        <v>#N/A</v>
      </c>
      <c r="F79" s="755" t="e">
        <f>IF($C$79=0,NA(),VLOOKUP($I$66&amp;$B$79,FLNFIX!$BE$4:$EF$103,3,0))</f>
        <v>#N/A</v>
      </c>
      <c r="G79" s="756" t="e">
        <f>IF($C$79=0,NA(),VLOOKUP($I$66&amp;$B$79,FLNFIX!$BE$4:$EF$103,5,0))</f>
        <v>#N/A</v>
      </c>
      <c r="H79" s="757"/>
      <c r="I79" s="757"/>
      <c r="J79" s="758"/>
      <c r="K79" s="677"/>
    </row>
    <row r="80" ht="20.1" customHeight="1" spans="1:11">
      <c r="A80" s="675"/>
      <c r="B80" s="755">
        <f t="shared" si="1"/>
        <v>11</v>
      </c>
      <c r="C80" s="755">
        <f>IFERROR(VLOOKUP(B80,DATEWISE!$A$3:$BY$27,2,0),0)</f>
        <v>0</v>
      </c>
      <c r="D80" s="755" t="e">
        <f>IF($C$80=0,NA(),VLOOKUP($I$66&amp;$B$80,FLNFIX!$BJ$4:$EF$103,2,0))</f>
        <v>#N/A</v>
      </c>
      <c r="E80" s="755" t="e">
        <f>IF($C$80=0,NA(),VLOOKUP($I$66&amp;$B$80,FLNFIX!$BJ$4:$EF$103,4,0))</f>
        <v>#N/A</v>
      </c>
      <c r="F80" s="755" t="e">
        <f>IF($C$80=0,NA(),VLOOKUP($I$66&amp;$B$80,FLNFIX!$BJ$4:$EF$103,3,0))</f>
        <v>#N/A</v>
      </c>
      <c r="G80" s="756" t="e">
        <f>IF($C$80=0,NA(),VLOOKUP($I$66&amp;$B$80,FLNFIX!$BJ$4:$EF$103,5,0))</f>
        <v>#N/A</v>
      </c>
      <c r="H80" s="757"/>
      <c r="I80" s="757"/>
      <c r="J80" s="758"/>
      <c r="K80" s="677"/>
    </row>
    <row r="81" ht="20.1" customHeight="1" spans="1:11">
      <c r="A81" s="675"/>
      <c r="B81" s="755">
        <f t="shared" si="1"/>
        <v>12</v>
      </c>
      <c r="C81" s="755">
        <f>IFERROR(VLOOKUP(B81,DATEWISE!$A$3:$BY$27,2,0),0)</f>
        <v>0</v>
      </c>
      <c r="D81" s="755" t="e">
        <f>IF($C$81=0,NA(),VLOOKUP($I$66&amp;$B$81,FLNFIX!$BO$4:$EF$103,2,0))</f>
        <v>#N/A</v>
      </c>
      <c r="E81" s="755" t="e">
        <f>IF($C$81=0,NA(),VLOOKUP($I$66&amp;$B$81,FLNFIX!$BO$4:$EF$103,4,0))</f>
        <v>#N/A</v>
      </c>
      <c r="F81" s="755" t="e">
        <f>IF($C$81=0,NA(),VLOOKUP($I$66&amp;$B$81,FLNFIX!$BO$4:$EF$103,3,0))</f>
        <v>#N/A</v>
      </c>
      <c r="G81" s="756" t="e">
        <f>IF($C$81=0,NA(),VLOOKUP($I$66&amp;$B$81,FLNFIX!$BO$4:$EF$103,5,0))</f>
        <v>#N/A</v>
      </c>
      <c r="H81" s="757"/>
      <c r="I81" s="757"/>
      <c r="J81" s="758"/>
      <c r="K81" s="677"/>
    </row>
    <row r="82" ht="20.1" customHeight="1" spans="1:11">
      <c r="A82" s="675"/>
      <c r="B82" s="755">
        <f t="shared" si="1"/>
        <v>13</v>
      </c>
      <c r="C82" s="755">
        <f>IFERROR(VLOOKUP(B82,DATEWISE!$A$3:$BY$27,2,0),0)</f>
        <v>0</v>
      </c>
      <c r="D82" s="755" t="e">
        <f>IF($C$82=0,NA(),VLOOKUP($I$66&amp;$B$82,FLNFIX!$BT$4:$EF$103,2,0))</f>
        <v>#N/A</v>
      </c>
      <c r="E82" s="755" t="e">
        <f>IF($C$82=0,NA(),VLOOKUP($I$66&amp;$B$82,FLNFIX!$BT$4:$EF$103,4,0))</f>
        <v>#N/A</v>
      </c>
      <c r="F82" s="755" t="e">
        <f>IF($C$82=0,NA(),VLOOKUP($I$66&amp;$B$82,FLNFIX!$BT$4:$EF$103,3,0))</f>
        <v>#N/A</v>
      </c>
      <c r="G82" s="756" t="e">
        <f>IF($C$82=0,NA(),VLOOKUP($I$66&amp;$B$82,FLNFIX!$BT$4:$EF$103,5,0))</f>
        <v>#N/A</v>
      </c>
      <c r="H82" s="757"/>
      <c r="I82" s="757"/>
      <c r="J82" s="758"/>
      <c r="K82" s="677"/>
    </row>
    <row r="83" ht="20.1" customHeight="1" spans="1:11">
      <c r="A83" s="675"/>
      <c r="B83" s="755">
        <f t="shared" si="1"/>
        <v>14</v>
      </c>
      <c r="C83" s="755">
        <f>IFERROR(VLOOKUP(B83,DATEWISE!$A$3:$BY$27,2,0),0)</f>
        <v>0</v>
      </c>
      <c r="D83" s="755" t="e">
        <f>IF($C$83=0,NA(),VLOOKUP($I$66&amp;$B$83,FLNFIX!$BY$4:$EF$103,2,0))</f>
        <v>#N/A</v>
      </c>
      <c r="E83" s="755" t="e">
        <f>IF($C$83=0,NA(),VLOOKUP($I$66&amp;$B$83,FLNFIX!$BY$4:$EF$103,4,0))</f>
        <v>#N/A</v>
      </c>
      <c r="F83" s="755" t="e">
        <f>IF($C$83=0,NA(),VLOOKUP($I$66&amp;$B$83,FLNFIX!$BY$4:$EF$103,3,0))</f>
        <v>#N/A</v>
      </c>
      <c r="G83" s="756" t="e">
        <f>IF($C$83=0,NA(),VLOOKUP($I$66&amp;$B$83,FLNFIX!$BY$4:$EF$103,5,0))</f>
        <v>#N/A</v>
      </c>
      <c r="H83" s="757"/>
      <c r="I83" s="757"/>
      <c r="J83" s="758"/>
      <c r="K83" s="677"/>
    </row>
    <row r="84" ht="20.1" customHeight="1" spans="1:11">
      <c r="A84" s="675"/>
      <c r="B84" s="755">
        <f t="shared" si="1"/>
        <v>15</v>
      </c>
      <c r="C84" s="755">
        <f>IFERROR(VLOOKUP(B84,DATEWISE!$A$3:$BY$27,2,0),0)</f>
        <v>0</v>
      </c>
      <c r="D84" s="755" t="e">
        <f>IF($C$84=0,NA(),VLOOKUP($I$66&amp;$B$84,FLNFIX!$CD$4:$EF$103,2,0))</f>
        <v>#N/A</v>
      </c>
      <c r="E84" s="755" t="e">
        <f>IF($C$84=0,NA(),VLOOKUP($I$66&amp;$B$84,FLNFIX!$CD$4:$EF$103,4,0))</f>
        <v>#N/A</v>
      </c>
      <c r="F84" s="755" t="e">
        <f>IF($C$84=0,NA(),VLOOKUP($I$66&amp;$B$84,FLNFIX!$CD$4:$EF$103,3,0))</f>
        <v>#N/A</v>
      </c>
      <c r="G84" s="756" t="e">
        <f>IF($C$84=0,NA(),VLOOKUP($I$66&amp;$B$84,FLNFIX!$CD$4:$EF$103,5,0))</f>
        <v>#N/A</v>
      </c>
      <c r="H84" s="757"/>
      <c r="I84" s="757"/>
      <c r="J84" s="758"/>
      <c r="K84" s="677"/>
    </row>
    <row r="85" ht="20.1" customHeight="1" spans="1:11">
      <c r="A85" s="675"/>
      <c r="B85" s="755">
        <f t="shared" si="1"/>
        <v>16</v>
      </c>
      <c r="C85" s="755">
        <f>IFERROR(VLOOKUP(B85,DATEWISE!$A$3:$BY$27,2,0),0)</f>
        <v>0</v>
      </c>
      <c r="D85" s="755" t="e">
        <f>IF($C$85=0,NA(),VLOOKUP($I$66&amp;$B$85,FLNFIX!$CI$4:$EF$103,2,0))</f>
        <v>#N/A</v>
      </c>
      <c r="E85" s="755" t="e">
        <f>IF($C$85=0,NA(),VLOOKUP($I$66&amp;$B$85,FLNFIX!$CI$4:$EF$103,4,0))</f>
        <v>#N/A</v>
      </c>
      <c r="F85" s="755" t="e">
        <f>IF($C$85=0,NA(),VLOOKUP($I$66&amp;$B$85,FLNFIX!$CI$4:$EF$103,3,0))</f>
        <v>#N/A</v>
      </c>
      <c r="G85" s="756" t="e">
        <f>IF($C$85=0,NA(),VLOOKUP($I$66&amp;$B$85,FLNFIX!$CI$4:$EF$103,5,0))</f>
        <v>#N/A</v>
      </c>
      <c r="H85" s="757"/>
      <c r="I85" s="757"/>
      <c r="J85" s="758"/>
      <c r="K85" s="677"/>
    </row>
    <row r="86" ht="20.1" customHeight="1" spans="1:11">
      <c r="A86" s="675"/>
      <c r="B86" s="755">
        <f t="shared" si="1"/>
        <v>17</v>
      </c>
      <c r="C86" s="755">
        <f>IFERROR(VLOOKUP(B86,DATEWISE!$A$3:$BY$27,2,0),0)</f>
        <v>0</v>
      </c>
      <c r="D86" s="755" t="e">
        <f>IF($C$86=0,NA(),VLOOKUP($I$66&amp;$B$86,FLNFIX!$CN$4:$EF$103,2,0))</f>
        <v>#N/A</v>
      </c>
      <c r="E86" s="755" t="e">
        <f>IF($C$86=0,NA(),VLOOKUP($I$66&amp;$B$86,FLNFIX!$CN$4:$EF$103,4,0))</f>
        <v>#N/A</v>
      </c>
      <c r="F86" s="755" t="e">
        <f>IF($C$86=0,NA(),VLOOKUP($I$66&amp;$B$86,FLNFIX!$CN$4:$EF$103,3,0))</f>
        <v>#N/A</v>
      </c>
      <c r="G86" s="756" t="e">
        <f>IF($C$86=0,NA(),VLOOKUP($I$66&amp;$B$86,FLNFIX!$CN$4:$EF$103,5,0))</f>
        <v>#N/A</v>
      </c>
      <c r="H86" s="757"/>
      <c r="I86" s="757"/>
      <c r="J86" s="758"/>
      <c r="K86" s="677"/>
    </row>
    <row r="87" ht="20.1" customHeight="1" spans="1:11">
      <c r="A87" s="675"/>
      <c r="B87" s="755">
        <f t="shared" si="1"/>
        <v>18</v>
      </c>
      <c r="C87" s="755">
        <f>IFERROR(VLOOKUP(B87,DATEWISE!$A$3:$BY$27,2,0),0)</f>
        <v>0</v>
      </c>
      <c r="D87" s="755" t="e">
        <f>IF($C$87=0,NA(),VLOOKUP($I$66&amp;$B$87,FLNFIX!$CS$4:$EF$103,2,0))</f>
        <v>#N/A</v>
      </c>
      <c r="E87" s="755" t="e">
        <f>IF($C$87=0,NA(),VLOOKUP($I$66&amp;$B$87,FLNFIX!$CS$4:$EF$103,4,0))</f>
        <v>#N/A</v>
      </c>
      <c r="F87" s="755" t="e">
        <f>IF($C$87=0,NA(),VLOOKUP($I$66&amp;$B$87,FLNFIX!$CS$4:$EF$103,3,0))</f>
        <v>#N/A</v>
      </c>
      <c r="G87" s="756" t="e">
        <f>IF($C$87=0,NA(),VLOOKUP($I$66&amp;$B$87,FLNFIX!$CS$4:$EF$103,5,0))</f>
        <v>#N/A</v>
      </c>
      <c r="H87" s="757"/>
      <c r="I87" s="757"/>
      <c r="J87" s="758"/>
      <c r="K87" s="677"/>
    </row>
    <row r="88" ht="20.1" customHeight="1" spans="1:11">
      <c r="A88" s="675"/>
      <c r="B88" s="755">
        <f t="shared" si="1"/>
        <v>19</v>
      </c>
      <c r="C88" s="755">
        <f>IFERROR(VLOOKUP(B88,DATEWISE!$A$3:$BY$27,2,0),0)</f>
        <v>0</v>
      </c>
      <c r="D88" s="755" t="e">
        <f>IF($C$88=0,NA(),VLOOKUP($I$66&amp;$B$88,FLNFIX!$CX$4:$EF$103,2,0))</f>
        <v>#N/A</v>
      </c>
      <c r="E88" s="755" t="e">
        <f>IF($C$88=0,NA(),VLOOKUP($I$66&amp;$B$88,FLNFIX!$CX$4:$EF$103,4,0))</f>
        <v>#N/A</v>
      </c>
      <c r="F88" s="755" t="e">
        <f>IF($C$88=0,NA(),VLOOKUP($I$66&amp;$B$88,FLNFIX!$CX$4:$EF$103,3,0))</f>
        <v>#N/A</v>
      </c>
      <c r="G88" s="756" t="e">
        <f>IF($C$88=0,NA(),VLOOKUP($I$66&amp;$B$88,FLNFIX!$CX$4:$EF$103,5,0))</f>
        <v>#N/A</v>
      </c>
      <c r="H88" s="757"/>
      <c r="I88" s="757"/>
      <c r="J88" s="758"/>
      <c r="K88" s="677"/>
    </row>
    <row r="89" ht="20.1" customHeight="1" spans="1:11">
      <c r="A89" s="675"/>
      <c r="B89" s="755">
        <f t="shared" si="1"/>
        <v>20</v>
      </c>
      <c r="C89" s="755">
        <f>IFERROR(VLOOKUP(B89,DATEWISE!$A$3:$BY$27,2,0),0)</f>
        <v>0</v>
      </c>
      <c r="D89" s="755" t="e">
        <f>IF($C$89=0,NA(),VLOOKUP($I$66&amp;$B$89,FLNFIX!$DC$4:$EF$103,2,0))</f>
        <v>#N/A</v>
      </c>
      <c r="E89" s="755" t="e">
        <f>IF($C$89=0,NA(),VLOOKUP($I$66&amp;$B$89,FLNFIX!$DC$4:$EF$103,4,0))</f>
        <v>#N/A</v>
      </c>
      <c r="F89" s="755" t="e">
        <f>IF($C$89=0,NA(),VLOOKUP($I$66&amp;$B$89,FLNFIX!$DC$4:$EF$103,3,0))</f>
        <v>#N/A</v>
      </c>
      <c r="G89" s="756" t="e">
        <f>IF($C$89=0,NA(),VLOOKUP($I$66&amp;$B$89,FLNFIX!$DC$4:$EF$103,5,0))</f>
        <v>#N/A</v>
      </c>
      <c r="H89" s="757"/>
      <c r="I89" s="757"/>
      <c r="J89" s="758"/>
      <c r="K89" s="677"/>
    </row>
    <row r="90" ht="20.1" customHeight="1" spans="1:11">
      <c r="A90" s="675"/>
      <c r="B90" s="755">
        <f t="shared" si="1"/>
        <v>21</v>
      </c>
      <c r="C90" s="755">
        <f>IFERROR(VLOOKUP(B90,DATEWISE!$A$3:$BY$27,2,0),0)</f>
        <v>0</v>
      </c>
      <c r="D90" s="755" t="e">
        <f>IF($C$90=0,NA(),VLOOKUP($I$66&amp;$B$90,FLNFIX!$DH$4:$EF$103,2,0))</f>
        <v>#N/A</v>
      </c>
      <c r="E90" s="755" t="e">
        <f>IF($C$90=0,NA(),VLOOKUP($I$66&amp;$B$90,FLNFIX!$DH$4:$EF$103,4,0))</f>
        <v>#N/A</v>
      </c>
      <c r="F90" s="755" t="e">
        <f>IF($C$90=0,NA(),VLOOKUP($I$66&amp;$B$90,FLNFIX!$DH$4:$EF$103,3,0))</f>
        <v>#N/A</v>
      </c>
      <c r="G90" s="756" t="e">
        <f>IF($C$90=0,NA(),VLOOKUP($I$66&amp;$B$90,FLNFIX!$DH$4:$EF$103,5,0))</f>
        <v>#N/A</v>
      </c>
      <c r="H90" s="757"/>
      <c r="I90" s="757"/>
      <c r="J90" s="758"/>
      <c r="K90" s="677"/>
    </row>
    <row r="91" ht="5.1" customHeight="1" spans="1:11">
      <c r="A91" s="675"/>
      <c r="B91" s="759"/>
      <c r="C91" s="759"/>
      <c r="D91" s="760"/>
      <c r="E91" s="760"/>
      <c r="F91" s="760"/>
      <c r="G91" s="761"/>
      <c r="H91" s="761"/>
      <c r="I91" s="761"/>
      <c r="J91" s="761"/>
      <c r="K91" s="677"/>
    </row>
    <row r="92" s="667" customFormat="1" ht="24.95" customHeight="1" spans="1:11">
      <c r="A92" s="711"/>
      <c r="B92" s="762" t="s">
        <v>431</v>
      </c>
      <c r="C92" s="763"/>
      <c r="D92" s="763"/>
      <c r="E92" s="763"/>
      <c r="F92" s="763"/>
      <c r="G92" s="763"/>
      <c r="H92" s="763"/>
      <c r="I92" s="763"/>
      <c r="J92" s="764"/>
      <c r="K92" s="713"/>
    </row>
    <row r="93" spans="1:11">
      <c r="A93" s="675"/>
      <c r="B93" s="765"/>
      <c r="C93" s="686"/>
      <c r="D93" s="686"/>
      <c r="E93" s="686"/>
      <c r="F93" s="686"/>
      <c r="G93" s="686"/>
      <c r="H93" s="686"/>
      <c r="I93" s="686"/>
      <c r="J93" s="766"/>
      <c r="K93" s="677"/>
    </row>
    <row r="94" spans="1:11">
      <c r="A94" s="675"/>
      <c r="B94" s="765"/>
      <c r="C94" s="686"/>
      <c r="D94" s="686"/>
      <c r="E94" s="686"/>
      <c r="F94" s="686"/>
      <c r="G94" s="686"/>
      <c r="H94" s="686"/>
      <c r="I94" s="686"/>
      <c r="J94" s="766"/>
      <c r="K94" s="677"/>
    </row>
    <row r="95" spans="1:11">
      <c r="A95" s="675"/>
      <c r="B95" s="765"/>
      <c r="C95" s="686"/>
      <c r="D95" s="686"/>
      <c r="E95" s="686"/>
      <c r="F95" s="686"/>
      <c r="G95" s="686"/>
      <c r="H95" s="686"/>
      <c r="I95" s="686"/>
      <c r="J95" s="766"/>
      <c r="K95" s="677"/>
    </row>
    <row r="96" spans="1:11">
      <c r="A96" s="675"/>
      <c r="B96" s="765"/>
      <c r="C96" s="686"/>
      <c r="D96" s="686"/>
      <c r="E96" s="686"/>
      <c r="F96" s="686"/>
      <c r="G96" s="686"/>
      <c r="H96" s="686"/>
      <c r="I96" s="686"/>
      <c r="J96" s="766"/>
      <c r="K96" s="677"/>
    </row>
    <row r="97" spans="1:11">
      <c r="A97" s="675"/>
      <c r="B97" s="765"/>
      <c r="C97" s="686"/>
      <c r="D97" s="686"/>
      <c r="E97" s="686"/>
      <c r="F97" s="686"/>
      <c r="G97" s="686"/>
      <c r="H97" s="686"/>
      <c r="I97" s="686"/>
      <c r="J97" s="766"/>
      <c r="K97" s="677"/>
    </row>
    <row r="98" spans="1:11">
      <c r="A98" s="675"/>
      <c r="B98" s="765"/>
      <c r="C98" s="686"/>
      <c r="D98" s="686"/>
      <c r="E98" s="686"/>
      <c r="F98" s="686"/>
      <c r="G98" s="686"/>
      <c r="H98" s="686"/>
      <c r="I98" s="686"/>
      <c r="J98" s="766"/>
      <c r="K98" s="677"/>
    </row>
    <row r="99" spans="1:11">
      <c r="A99" s="675"/>
      <c r="B99" s="765"/>
      <c r="C99" s="686"/>
      <c r="D99" s="686"/>
      <c r="E99" s="686"/>
      <c r="F99" s="686"/>
      <c r="G99" s="686"/>
      <c r="H99" s="686"/>
      <c r="I99" s="686"/>
      <c r="J99" s="766"/>
      <c r="K99" s="677"/>
    </row>
    <row r="100" spans="1:11">
      <c r="A100" s="675"/>
      <c r="B100" s="765"/>
      <c r="C100" s="686"/>
      <c r="D100" s="686"/>
      <c r="E100" s="686"/>
      <c r="F100" s="686"/>
      <c r="G100" s="686"/>
      <c r="H100" s="686"/>
      <c r="I100" s="686"/>
      <c r="J100" s="766"/>
      <c r="K100" s="677"/>
    </row>
    <row r="101" spans="1:11">
      <c r="A101" s="675"/>
      <c r="B101" s="765"/>
      <c r="C101" s="686"/>
      <c r="D101" s="686"/>
      <c r="E101" s="686"/>
      <c r="F101" s="686"/>
      <c r="G101" s="686"/>
      <c r="H101" s="686"/>
      <c r="I101" s="686"/>
      <c r="J101" s="766"/>
      <c r="K101" s="677"/>
    </row>
    <row r="102" spans="1:11">
      <c r="A102" s="675"/>
      <c r="B102" s="767"/>
      <c r="C102" s="768"/>
      <c r="D102" s="768"/>
      <c r="E102" s="768"/>
      <c r="F102" s="768"/>
      <c r="G102" s="768"/>
      <c r="H102" s="768"/>
      <c r="I102" s="768"/>
      <c r="J102" s="769"/>
      <c r="K102" s="677"/>
    </row>
    <row r="103" ht="5.1" customHeight="1" spans="1:11">
      <c r="A103" s="675"/>
      <c r="B103" s="686"/>
      <c r="C103" s="686"/>
      <c r="D103" s="686"/>
      <c r="E103" s="686"/>
      <c r="F103" s="686"/>
      <c r="G103" s="686"/>
      <c r="H103" s="686"/>
      <c r="I103" s="686"/>
      <c r="J103" s="686"/>
      <c r="K103" s="677"/>
    </row>
    <row r="104" spans="1:11">
      <c r="A104" s="675"/>
      <c r="B104" s="770" t="s">
        <v>432</v>
      </c>
      <c r="C104" s="770"/>
      <c r="D104" s="770"/>
      <c r="E104" s="770"/>
      <c r="F104" s="770"/>
      <c r="G104" s="770"/>
      <c r="H104" s="770"/>
      <c r="I104" s="770"/>
      <c r="J104" s="770"/>
      <c r="K104" s="677"/>
    </row>
    <row r="105" spans="1:11">
      <c r="A105" s="675"/>
      <c r="B105" s="771"/>
      <c r="C105" s="771"/>
      <c r="D105" s="771"/>
      <c r="E105" s="771"/>
      <c r="F105" s="771"/>
      <c r="G105" s="771"/>
      <c r="H105" s="771"/>
      <c r="I105" s="771"/>
      <c r="J105" s="771"/>
      <c r="K105" s="677"/>
    </row>
    <row r="106" spans="1:11">
      <c r="A106" s="675"/>
      <c r="B106" s="771"/>
      <c r="C106" s="771"/>
      <c r="D106" s="771"/>
      <c r="E106" s="771"/>
      <c r="F106" s="771"/>
      <c r="G106" s="771"/>
      <c r="H106" s="771"/>
      <c r="I106" s="771"/>
      <c r="J106" s="771"/>
      <c r="K106" s="677"/>
    </row>
    <row r="107" spans="1:11">
      <c r="A107" s="675"/>
      <c r="B107" s="771"/>
      <c r="C107" s="771"/>
      <c r="D107" s="771"/>
      <c r="E107" s="771"/>
      <c r="F107" s="771"/>
      <c r="G107" s="771"/>
      <c r="H107" s="771"/>
      <c r="I107" s="771"/>
      <c r="J107" s="771"/>
      <c r="K107" s="677"/>
    </row>
    <row r="108" spans="1:11">
      <c r="A108" s="675"/>
      <c r="B108" s="686"/>
      <c r="C108" s="686"/>
      <c r="D108" s="686"/>
      <c r="E108" s="686"/>
      <c r="F108" s="686"/>
      <c r="G108" s="686"/>
      <c r="H108" s="686"/>
      <c r="I108" s="686"/>
      <c r="J108" s="686"/>
      <c r="K108" s="677"/>
    </row>
    <row r="109" spans="1:11">
      <c r="A109" s="675"/>
      <c r="B109" s="686"/>
      <c r="C109" s="729" t="s">
        <v>433</v>
      </c>
      <c r="D109" s="729"/>
      <c r="E109" s="686"/>
      <c r="F109" s="686"/>
      <c r="G109" s="729" t="s">
        <v>434</v>
      </c>
      <c r="H109" s="729"/>
      <c r="I109" s="729"/>
      <c r="J109" s="729"/>
      <c r="K109" s="677"/>
    </row>
    <row r="110" ht="16.35" spans="1:11">
      <c r="A110" s="725"/>
      <c r="B110" s="726"/>
      <c r="C110" s="732" t="str">
        <f>"("&amp;PROPER(ENTRY!$D$19)&amp;")"</f>
        <v>(Indrajeet)</v>
      </c>
      <c r="D110" s="732"/>
      <c r="E110" s="726"/>
      <c r="F110" s="726"/>
      <c r="G110" s="732" t="str">
        <f>"("&amp;PROPER(ENTRY!$D$12)&amp;")"</f>
        <v>(Shambhu Dayal Meena)</v>
      </c>
      <c r="H110" s="732"/>
      <c r="I110" s="732"/>
      <c r="J110" s="732"/>
      <c r="K110" s="728"/>
    </row>
    <row r="111" ht="24.6" spans="1:11">
      <c r="B111" s="734"/>
      <c r="C111" s="734"/>
      <c r="D111" s="669" t="str">
        <f>ENTRY!$D$3</f>
        <v>MUNICIPAL CORPORATION OF DELHI</v>
      </c>
      <c r="E111" s="669"/>
      <c r="F111" s="669"/>
      <c r="G111" s="669"/>
      <c r="H111" s="734"/>
      <c r="I111" s="669"/>
      <c r="J111" s="669"/>
    </row>
    <row r="112" ht="20.4" spans="1:11">
      <c r="B112" s="735"/>
      <c r="C112" s="735"/>
      <c r="D112" s="670" t="str">
        <f>ENTRY!$D$4</f>
        <v>EDUCATION DEPARTMENT</v>
      </c>
      <c r="E112" s="670"/>
      <c r="F112" s="670"/>
      <c r="G112" s="670"/>
      <c r="H112" s="735"/>
      <c r="I112" s="669"/>
      <c r="J112" s="669"/>
    </row>
    <row r="113" ht="22.8" spans="1:11">
      <c r="B113" s="736"/>
      <c r="C113" s="736"/>
      <c r="D113" s="664" t="s">
        <v>417</v>
      </c>
      <c r="E113" s="664"/>
      <c r="F113" s="664"/>
      <c r="G113" s="664"/>
      <c r="H113" s="736"/>
      <c r="I113" s="669"/>
      <c r="J113" s="669"/>
    </row>
    <row r="114" ht="22.8" spans="1:11">
      <c r="B114" s="736"/>
      <c r="C114" s="736"/>
      <c r="D114" s="664" t="s">
        <v>418</v>
      </c>
      <c r="E114" s="664"/>
      <c r="F114" s="664"/>
      <c r="G114" s="664"/>
      <c r="H114" s="736"/>
      <c r="I114" s="669"/>
      <c r="J114" s="669"/>
    </row>
    <row r="115" ht="24.95" customHeight="1" spans="1:11">
      <c r="B115" s="735"/>
      <c r="C115" s="735"/>
      <c r="D115" s="737" t="str">
        <f>"SESSION : "&amp;ENTRY!$D$11</f>
        <v>SESSION : 2026-27</v>
      </c>
      <c r="E115" s="737"/>
      <c r="F115" s="737"/>
      <c r="G115" s="737"/>
      <c r="H115" s="735"/>
      <c r="I115" s="738"/>
      <c r="J115" s="738"/>
    </row>
    <row r="116" ht="3.75" customHeight="1" spans="1:11">
      <c r="A116" s="672"/>
      <c r="B116" s="739"/>
      <c r="C116" s="739"/>
      <c r="D116" s="739"/>
      <c r="E116" s="739"/>
      <c r="F116" s="739"/>
      <c r="G116" s="739"/>
      <c r="H116" s="739"/>
      <c r="I116" s="739"/>
      <c r="J116" s="739"/>
      <c r="K116" s="674"/>
    </row>
    <row r="117" ht="21.95" customHeight="1" spans="1:11">
      <c r="A117" s="675"/>
      <c r="B117" s="676" t="s">
        <v>419</v>
      </c>
      <c r="C117" s="676"/>
      <c r="D117" s="676" t="str">
        <f>ENTRY!$D$6</f>
        <v>MCP NITHARI NO 1 BOYS</v>
      </c>
      <c r="E117" s="676"/>
      <c r="F117" s="676"/>
      <c r="G117" s="676"/>
      <c r="H117" s="676"/>
      <c r="I117" s="676"/>
      <c r="J117" s="676"/>
      <c r="K117" s="677"/>
    </row>
    <row r="118" ht="21.95" customHeight="1" spans="1:11">
      <c r="A118" s="675"/>
      <c r="B118" s="676" t="s">
        <v>420</v>
      </c>
      <c r="C118" s="676"/>
      <c r="D118" s="740" t="str">
        <f>IFERROR(VLOOKUP($I$121,STUDENT!$A$2:$BP$101,5,0),"")</f>
        <v>AADITYA KUMAR</v>
      </c>
      <c r="E118" s="740"/>
      <c r="F118" s="740"/>
      <c r="G118" s="740"/>
      <c r="H118" s="740"/>
      <c r="I118" s="740"/>
      <c r="J118" s="740"/>
      <c r="K118" s="677"/>
    </row>
    <row r="119" ht="21.95" customHeight="1" spans="1:11">
      <c r="A119" s="675"/>
      <c r="B119" s="676" t="s">
        <v>421</v>
      </c>
      <c r="C119" s="676"/>
      <c r="D119" s="740" t="str">
        <f>IFERROR(VLOOKUP($I$121,STUDENT!$A$2:$BP$101,8,0),"")</f>
        <v>DHARMENDRA KUMAR</v>
      </c>
      <c r="E119" s="740"/>
      <c r="F119" s="740"/>
      <c r="G119" s="740"/>
      <c r="H119" s="740"/>
      <c r="I119" s="740"/>
      <c r="J119" s="740"/>
      <c r="K119" s="677"/>
    </row>
    <row r="120" ht="21.95" customHeight="1" spans="1:11">
      <c r="A120" s="675"/>
      <c r="B120" s="676" t="s">
        <v>422</v>
      </c>
      <c r="C120" s="676"/>
      <c r="D120" s="740">
        <f>IFERROR(VLOOKUP($I$121,STUDENT!$A$2:$BP$101,6,0),"")</f>
        <v>14757</v>
      </c>
      <c r="E120" s="740"/>
      <c r="F120" s="740"/>
      <c r="G120" s="740"/>
      <c r="H120" s="740"/>
      <c r="I120" s="740"/>
      <c r="J120" s="740"/>
      <c r="K120" s="677"/>
    </row>
    <row r="121" ht="21.95" customHeight="1" spans="1:11">
      <c r="A121" s="675"/>
      <c r="B121" s="676" t="s">
        <v>423</v>
      </c>
      <c r="C121" s="676"/>
      <c r="D121" s="741" t="str">
        <f>IFERROR(VLOOKUP($I$121,STUDENT!$A$2:$BP$101,59,0),"")</f>
        <v/>
      </c>
      <c r="E121" s="742" t="s">
        <v>424</v>
      </c>
      <c r="F121" s="704" t="str">
        <f>IFERROR(VLOOKUP($I$121,STUDENT!$A$2:$BP$101,2,0),"")</f>
        <v>III-A</v>
      </c>
      <c r="G121" s="742" t="s">
        <v>425</v>
      </c>
      <c r="H121" s="743"/>
      <c r="I121" s="733">
        <f>I66+1</f>
        <v>3</v>
      </c>
      <c r="J121" s="683"/>
      <c r="K121" s="677"/>
    </row>
    <row r="122" ht="5.1" customHeight="1" spans="1:11">
      <c r="A122" s="675"/>
      <c r="B122" s="745"/>
      <c r="C122" s="745"/>
      <c r="D122" s="746"/>
      <c r="E122" s="747"/>
      <c r="F122" s="748"/>
      <c r="G122" s="747"/>
      <c r="H122" s="686"/>
      <c r="I122" s="686"/>
      <c r="J122" s="686"/>
      <c r="K122" s="677"/>
    </row>
    <row r="123" s="664" customFormat="1" ht="32.1" customHeight="1" spans="1:11">
      <c r="A123" s="688"/>
      <c r="B123" s="749" t="s">
        <v>426</v>
      </c>
      <c r="C123" s="750"/>
      <c r="D123" s="750"/>
      <c r="E123" s="750"/>
      <c r="F123" s="750"/>
      <c r="G123" s="750"/>
      <c r="H123" s="750"/>
      <c r="I123" s="750"/>
      <c r="J123" s="751"/>
      <c r="K123" s="690"/>
    </row>
    <row r="124" ht="51.6" spans="1:11">
      <c r="A124" s="675"/>
      <c r="B124" s="752">
        <v>21</v>
      </c>
      <c r="C124" s="753" t="s">
        <v>427</v>
      </c>
      <c r="D124" s="754" t="s">
        <v>428</v>
      </c>
      <c r="E124" s="754" t="s">
        <v>429</v>
      </c>
      <c r="F124" s="754" t="s">
        <v>430</v>
      </c>
      <c r="G124" s="753" t="s">
        <v>390</v>
      </c>
      <c r="H124" s="714"/>
      <c r="I124" s="714"/>
      <c r="J124" s="714"/>
      <c r="K124" s="677"/>
    </row>
    <row r="125" ht="20.1" customHeight="1" spans="1:11">
      <c r="A125" s="675"/>
      <c r="B125" s="755">
        <v>1</v>
      </c>
      <c r="C125" s="755" t="str">
        <f>IFERROR(VLOOKUP(B125,DATEWISE!$A$3:$BY$27,2,0),0)</f>
        <v>30.04.2026</v>
      </c>
      <c r="D125" s="755">
        <f>IF($C$125=0,NA(),VLOOKUP($I$121&amp;$B$125,FLNFIX!$L$4:$EF$103,2,0))</f>
        <v>3</v>
      </c>
      <c r="E125" s="755">
        <f>IF($C$125=0,NA(),VLOOKUP($I$121&amp;$B$125,FLNFIX!$L$4:$EF$103,4,0))</f>
        <v>4</v>
      </c>
      <c r="F125" s="755">
        <f>IF($C$125=0,NA(),VLOOKUP($I$121&amp;$B$125,FLNFIX!$L$4:$EF$103,3,0))</f>
        <v>3</v>
      </c>
      <c r="G125" s="756">
        <f>IF($C$125=0,NA(),VLOOKUP($I$121&amp;$B$125,FLNFIX!$L$4:$EF$103,5,0))</f>
        <v>0</v>
      </c>
      <c r="H125" s="757"/>
      <c r="I125" s="757"/>
      <c r="J125" s="758"/>
      <c r="K125" s="677"/>
    </row>
    <row r="126" ht="20.1" customHeight="1" spans="1:11">
      <c r="A126" s="675"/>
      <c r="B126" s="755">
        <f t="shared" ref="B126:B145" si="2">IF(B125=0,0,IF(B125&lt;$B$124,B125+1,""))</f>
        <v>2</v>
      </c>
      <c r="C126" s="755" t="str">
        <f>IFERROR(VLOOKUP(B126,DATEWISE!$A$3:$BY$27,2,0),0)</f>
        <v>08.05.2026</v>
      </c>
      <c r="D126" s="755">
        <f>IF($C$126=0,NA(),VLOOKUP($I$121&amp;$B$126,FLNFIX!$Q$4:$EF$103,2,0))</f>
        <v>3</v>
      </c>
      <c r="E126" s="755">
        <f>IF($C$126=0,NA(),VLOOKUP($I$121&amp;$B$126,FLNFIX!$Q$4:$EF$103,4,0))</f>
        <v>4</v>
      </c>
      <c r="F126" s="755">
        <f>IF($C$126=0,NA(),VLOOKUP($I$121&amp;$B$126,FLNFIX!$Q$4:$EF$103,3,0))</f>
        <v>3</v>
      </c>
      <c r="G126" s="756">
        <f>IF($C$126=0,NA(),VLOOKUP($I$121&amp;$B$126,FLNFIX!$Q$4:$EF$103,5,0))</f>
        <v>0</v>
      </c>
      <c r="H126" s="757"/>
      <c r="I126" s="757"/>
      <c r="J126" s="758"/>
      <c r="K126" s="677"/>
    </row>
    <row r="127" ht="20.1" customHeight="1" spans="1:11">
      <c r="A127" s="675"/>
      <c r="B127" s="755">
        <f t="shared" si="2"/>
        <v>3</v>
      </c>
      <c r="C127" s="755" t="str">
        <f>IFERROR(VLOOKUP(B127,DATEWISE!$A$3:$BY$27,2,0),0)</f>
        <v>15.07.2026</v>
      </c>
      <c r="D127" s="755">
        <f>IF($C$127=0,NA(),VLOOKUP($I$121&amp;$B$127,FLNFIX!$V$4:$EF$103,2,0))</f>
        <v>3</v>
      </c>
      <c r="E127" s="755">
        <f>IF($C$127=0,NA(),VLOOKUP($I$121&amp;$B$127,FLNFIX!$V$4:$EF$103,4,0))</f>
        <v>4</v>
      </c>
      <c r="F127" s="755">
        <f>IF($C$127=0,NA(),VLOOKUP($I$121&amp;$B$127,FLNFIX!$V$4:$EF$103,3,0))</f>
        <v>3</v>
      </c>
      <c r="G127" s="756">
        <f>IF($C$127=0,NA(),VLOOKUP($I$121&amp;$B$127,FLNFIX!$V$4:$EF$103,5,0))</f>
        <v>0</v>
      </c>
      <c r="H127" s="757"/>
      <c r="I127" s="757"/>
      <c r="J127" s="758"/>
      <c r="K127" s="677"/>
    </row>
    <row r="128" ht="20.1" customHeight="1" spans="1:11">
      <c r="A128" s="675"/>
      <c r="B128" s="755">
        <f t="shared" si="2"/>
        <v>4</v>
      </c>
      <c r="C128" s="755" t="str">
        <f>IFERROR(VLOOKUP(B128,DATEWISE!$A$3:$BY$27,2,0),0)</f>
        <v>31.07.2026</v>
      </c>
      <c r="D128" s="755">
        <f>IF($C$128=0,NA(),VLOOKUP($I$121&amp;$B$128,FLNFIX!$AA$4:$EF$103,2,0))</f>
        <v>3</v>
      </c>
      <c r="E128" s="755">
        <f>IF($C$128=0,NA(),VLOOKUP($I$121&amp;$B$128,FLNFIX!$AA$4:$EF$103,4,0))</f>
        <v>4</v>
      </c>
      <c r="F128" s="755">
        <f>IF($C$128=0,NA(),VLOOKUP($I$121&amp;$B$128,FLNFIX!$AA$4:$EF$103,3,0))</f>
        <v>3</v>
      </c>
      <c r="G128" s="756">
        <f>IF($C$128=0,NA(),VLOOKUP($I$121&amp;$B$128,FLNFIX!$AA$4:$EF$103,5,0))</f>
        <v>0</v>
      </c>
      <c r="H128" s="757"/>
      <c r="I128" s="757"/>
      <c r="J128" s="758"/>
      <c r="K128" s="677"/>
    </row>
    <row r="129" ht="20.1" customHeight="1" spans="1:11">
      <c r="A129" s="675"/>
      <c r="B129" s="755">
        <f t="shared" si="2"/>
        <v>5</v>
      </c>
      <c r="C129" s="755" t="str">
        <f>IFERROR(VLOOKUP(B129,DATEWISE!$A$3:$BY$27,2,0),0)</f>
        <v>17.08.2026</v>
      </c>
      <c r="D129" s="755">
        <f>IF($C$129=0,NA(),VLOOKUP($I$121&amp;$B$129,FLNFIX!$AF$4:$EF$103,2,0))</f>
        <v>3</v>
      </c>
      <c r="E129" s="755">
        <f>IF($C$129=0,NA(),VLOOKUP($I$121&amp;$B$129,FLNFIX!$AF$4:$EF$103,4,0))</f>
        <v>4</v>
      </c>
      <c r="F129" s="755">
        <f>IF($C$129=0,NA(),VLOOKUP($I$121&amp;$B$129,FLNFIX!$AF$4:$EF$103,3,0))</f>
        <v>3</v>
      </c>
      <c r="G129" s="756">
        <f>IF($C$129=0,NA(),VLOOKUP($I$121&amp;$B$129,FLNFIX!$AF$4:$EF$103,5,0))</f>
        <v>0</v>
      </c>
      <c r="H129" s="757"/>
      <c r="I129" s="757"/>
      <c r="J129" s="758"/>
      <c r="K129" s="677"/>
    </row>
    <row r="130" ht="20.1" customHeight="1" spans="1:11">
      <c r="A130" s="675"/>
      <c r="B130" s="755">
        <f t="shared" si="2"/>
        <v>6</v>
      </c>
      <c r="C130" s="755" t="str">
        <f>IFERROR(VLOOKUP(B130,DATEWISE!$A$3:$BY$27,2,0),0)</f>
        <v>31.08.2026</v>
      </c>
      <c r="D130" s="755">
        <f>IF($C$130=0,NA(),VLOOKUP($I$121&amp;$B$130,FLNFIX!$AK$4:$EF$103,2,0))</f>
        <v>3</v>
      </c>
      <c r="E130" s="755">
        <f>IF($C$130=0,NA(),VLOOKUP($I$121&amp;$B$130,FLNFIX!$AK$4:$EF$103,4,0))</f>
        <v>4</v>
      </c>
      <c r="F130" s="755">
        <f>IF($C$130=0,NA(),VLOOKUP($I$121&amp;$B$130,FLNFIX!$AK$4:$EF$103,3,0))</f>
        <v>3</v>
      </c>
      <c r="G130" s="756">
        <f>IF($C$130=0,NA(),VLOOKUP($I$121&amp;$B$130,FLNFIX!$AK$4:$EF$103,5,0))</f>
        <v>0</v>
      </c>
      <c r="H130" s="757"/>
      <c r="I130" s="757"/>
      <c r="J130" s="758"/>
      <c r="K130" s="677"/>
    </row>
    <row r="131" ht="20.1" customHeight="1" spans="1:11">
      <c r="A131" s="675"/>
      <c r="B131" s="755">
        <f t="shared" si="2"/>
        <v>7</v>
      </c>
      <c r="C131" s="755">
        <f>IFERROR(VLOOKUP(B131,DATEWISE!$A$3:$BY$27,2,0),0)</f>
        <v>0</v>
      </c>
      <c r="D131" s="755" t="e">
        <f>IF($C$131=0,NA(),VLOOKUP($I$121&amp;$B$131,FLNFIX!$AP$4:$EF$103,2,0))</f>
        <v>#N/A</v>
      </c>
      <c r="E131" s="755" t="e">
        <f>IF($C$131=0,NA(),VLOOKUP($I$121&amp;$B$131,FLNFIX!$AP$4:$EF$103,4,0))</f>
        <v>#N/A</v>
      </c>
      <c r="F131" s="755" t="e">
        <f>IF($C$131=0,NA(),VLOOKUP($I$121&amp;$B$131,FLNFIX!$AP$4:$EF$103,3,0))</f>
        <v>#N/A</v>
      </c>
      <c r="G131" s="756" t="e">
        <f>IF($C$131=0,NA(),VLOOKUP($I$121&amp;$B$131,FLNFIX!$AP$4:$EF$103,5,0))</f>
        <v>#N/A</v>
      </c>
      <c r="H131" s="757"/>
      <c r="I131" s="757"/>
      <c r="J131" s="758"/>
      <c r="K131" s="677"/>
    </row>
    <row r="132" ht="20.1" customHeight="1" spans="1:11">
      <c r="A132" s="675"/>
      <c r="B132" s="755">
        <f t="shared" si="2"/>
        <v>8</v>
      </c>
      <c r="C132" s="755">
        <f>IFERROR(VLOOKUP(B132,DATEWISE!$A$3:$BY$27,2,0),0)</f>
        <v>0</v>
      </c>
      <c r="D132" s="755" t="e">
        <f>IF($C$132=0,NA(),VLOOKUP($I$121&amp;$B$132,FLNFIX!$AU$4:$EF$103,2,0))</f>
        <v>#N/A</v>
      </c>
      <c r="E132" s="755" t="e">
        <f>IF($C$132=0,NA(),VLOOKUP($I$121&amp;$B$132,FLNFIX!$AU$4:$EF$103,4,0))</f>
        <v>#N/A</v>
      </c>
      <c r="F132" s="755" t="e">
        <f>IF($C$132=0,NA(),VLOOKUP($I$121&amp;$B$132,FLNFIX!$AU$4:$EF$103,3,0))</f>
        <v>#N/A</v>
      </c>
      <c r="G132" s="756" t="e">
        <f>IF($C$132=0,NA(),VLOOKUP($I$121&amp;$B$132,FLNFIX!$AU$4:$EF$103,5,0))</f>
        <v>#N/A</v>
      </c>
      <c r="H132" s="757"/>
      <c r="I132" s="757"/>
      <c r="J132" s="758"/>
      <c r="K132" s="677"/>
    </row>
    <row r="133" ht="20.1" customHeight="1" spans="1:11">
      <c r="A133" s="675"/>
      <c r="B133" s="755">
        <f t="shared" si="2"/>
        <v>9</v>
      </c>
      <c r="C133" s="755">
        <f>IFERROR(VLOOKUP(B133,DATEWISE!$A$3:$BY$27,2,0),0)</f>
        <v>0</v>
      </c>
      <c r="D133" s="755" t="e">
        <f>IF($C$133=0,NA(),VLOOKUP($I$121&amp;$B$133,FLNFIX!$AZ$4:$EF$103,2,0))</f>
        <v>#N/A</v>
      </c>
      <c r="E133" s="755" t="e">
        <f>IF($C$133=0,NA(),VLOOKUP($I$121&amp;$B$133,FLNFIX!$AZ$4:$EF$103,4,0))</f>
        <v>#N/A</v>
      </c>
      <c r="F133" s="755" t="e">
        <f>IF($C$133=0,NA(),VLOOKUP($I$121&amp;$B$133,FLNFIX!$AZ$4:$EF$103,3,0))</f>
        <v>#N/A</v>
      </c>
      <c r="G133" s="756" t="e">
        <f>IF($C$133=0,NA(),VLOOKUP($I$121&amp;$B$133,FLNFIX!$AZ$4:$EF$103,5,0))</f>
        <v>#N/A</v>
      </c>
      <c r="H133" s="757"/>
      <c r="I133" s="757"/>
      <c r="J133" s="758"/>
      <c r="K133" s="677"/>
    </row>
    <row r="134" ht="20.1" customHeight="1" spans="1:11">
      <c r="A134" s="675"/>
      <c r="B134" s="755">
        <f t="shared" si="2"/>
        <v>10</v>
      </c>
      <c r="C134" s="755">
        <f>IFERROR(VLOOKUP(B134,DATEWISE!$A$3:$BY$27,2,0),0)</f>
        <v>0</v>
      </c>
      <c r="D134" s="755" t="e">
        <f>IF($C$134=0,NA(),VLOOKUP($I$121&amp;$B$134,FLNFIX!$BE$4:$EF$103,2,0))</f>
        <v>#N/A</v>
      </c>
      <c r="E134" s="755" t="e">
        <f>IF($C$134=0,NA(),VLOOKUP($I$121&amp;$B$134,FLNFIX!$BE$4:$EF$103,4,0))</f>
        <v>#N/A</v>
      </c>
      <c r="F134" s="755" t="e">
        <f>IF($C$134=0,NA(),VLOOKUP($I$121&amp;$B$134,FLNFIX!$BE$4:$EF$103,3,0))</f>
        <v>#N/A</v>
      </c>
      <c r="G134" s="756" t="e">
        <f>IF($C$134=0,NA(),VLOOKUP($I$121&amp;$B$134,FLNFIX!$BE$4:$EF$103,5,0))</f>
        <v>#N/A</v>
      </c>
      <c r="H134" s="757"/>
      <c r="I134" s="757"/>
      <c r="J134" s="758"/>
      <c r="K134" s="677"/>
    </row>
    <row r="135" ht="20.1" customHeight="1" spans="1:11">
      <c r="A135" s="675"/>
      <c r="B135" s="755">
        <f t="shared" si="2"/>
        <v>11</v>
      </c>
      <c r="C135" s="755">
        <f>IFERROR(VLOOKUP(B135,DATEWISE!$A$3:$BY$27,2,0),0)</f>
        <v>0</v>
      </c>
      <c r="D135" s="755" t="e">
        <f>IF($C$135=0,NA(),VLOOKUP($I$121&amp;$B$135,FLNFIX!$BJ$4:$EF$103,2,0))</f>
        <v>#N/A</v>
      </c>
      <c r="E135" s="755" t="e">
        <f>IF($C$135=0,NA(),VLOOKUP($I$121&amp;$B$135,FLNFIX!$BJ$4:$EF$103,4,0))</f>
        <v>#N/A</v>
      </c>
      <c r="F135" s="755" t="e">
        <f>IF($C$135=0,NA(),VLOOKUP($I$121&amp;$B$135,FLNFIX!$BJ$4:$EF$103,3,0))</f>
        <v>#N/A</v>
      </c>
      <c r="G135" s="756" t="e">
        <f>IF($C$135=0,NA(),VLOOKUP($I$121&amp;$B$135,FLNFIX!$BJ$4:$EF$103,5,0))</f>
        <v>#N/A</v>
      </c>
      <c r="H135" s="757"/>
      <c r="I135" s="757"/>
      <c r="J135" s="758"/>
      <c r="K135" s="677"/>
    </row>
    <row r="136" ht="20.1" customHeight="1" spans="1:11">
      <c r="A136" s="675"/>
      <c r="B136" s="755">
        <f t="shared" si="2"/>
        <v>12</v>
      </c>
      <c r="C136" s="755">
        <f>IFERROR(VLOOKUP(B136,DATEWISE!$A$3:$BY$27,2,0),0)</f>
        <v>0</v>
      </c>
      <c r="D136" s="755" t="e">
        <f>IF($C$136=0,NA(),VLOOKUP($I$121&amp;$B$136,FLNFIX!$BO$4:$EF$103,2,0))</f>
        <v>#N/A</v>
      </c>
      <c r="E136" s="755" t="e">
        <f>IF($C$136=0,NA(),VLOOKUP($I$121&amp;$B$136,FLNFIX!$BO$4:$EF$103,4,0))</f>
        <v>#N/A</v>
      </c>
      <c r="F136" s="755" t="e">
        <f>IF($C$136=0,NA(),VLOOKUP($I$121&amp;$B$136,FLNFIX!$BO$4:$EF$103,3,0))</f>
        <v>#N/A</v>
      </c>
      <c r="G136" s="756" t="e">
        <f>IF($C$136=0,NA(),VLOOKUP($I$121&amp;$B$136,FLNFIX!$BO$4:$EF$103,5,0))</f>
        <v>#N/A</v>
      </c>
      <c r="H136" s="757"/>
      <c r="I136" s="757"/>
      <c r="J136" s="758"/>
      <c r="K136" s="677"/>
    </row>
    <row r="137" ht="20.1" customHeight="1" spans="1:11">
      <c r="A137" s="675"/>
      <c r="B137" s="755">
        <f t="shared" si="2"/>
        <v>13</v>
      </c>
      <c r="C137" s="755">
        <f>IFERROR(VLOOKUP(B137,DATEWISE!$A$3:$BY$27,2,0),0)</f>
        <v>0</v>
      </c>
      <c r="D137" s="755" t="e">
        <f>IF($C$137=0,NA(),VLOOKUP($I$121&amp;$B$137,FLNFIX!$BT$4:$EF$103,2,0))</f>
        <v>#N/A</v>
      </c>
      <c r="E137" s="755" t="e">
        <f>IF($C$137=0,NA(),VLOOKUP($I$121&amp;$B$137,FLNFIX!$BT$4:$EF$103,4,0))</f>
        <v>#N/A</v>
      </c>
      <c r="F137" s="755" t="e">
        <f>IF($C$137=0,NA(),VLOOKUP($I$121&amp;$B$137,FLNFIX!$BT$4:$EF$103,3,0))</f>
        <v>#N/A</v>
      </c>
      <c r="G137" s="756" t="e">
        <f>IF($C$137=0,NA(),VLOOKUP($I$121&amp;$B$137,FLNFIX!$BT$4:$EF$103,5,0))</f>
        <v>#N/A</v>
      </c>
      <c r="H137" s="757"/>
      <c r="I137" s="757"/>
      <c r="J137" s="758"/>
      <c r="K137" s="677"/>
    </row>
    <row r="138" ht="20.1" customHeight="1" spans="1:11">
      <c r="A138" s="675"/>
      <c r="B138" s="755">
        <f t="shared" si="2"/>
        <v>14</v>
      </c>
      <c r="C138" s="755">
        <f>IFERROR(VLOOKUP(B138,DATEWISE!$A$3:$BY$27,2,0),0)</f>
        <v>0</v>
      </c>
      <c r="D138" s="755" t="e">
        <f>IF($C$138=0,NA(),VLOOKUP($I$121&amp;$B$138,FLNFIX!$BY$4:$EF$103,2,0))</f>
        <v>#N/A</v>
      </c>
      <c r="E138" s="755" t="e">
        <f>IF($C$138=0,NA(),VLOOKUP($I$121&amp;$B$138,FLNFIX!$BY$4:$EF$103,4,0))</f>
        <v>#N/A</v>
      </c>
      <c r="F138" s="755" t="e">
        <f>IF($C$138=0,NA(),VLOOKUP($I$121&amp;$B$138,FLNFIX!$BY$4:$EF$103,3,0))</f>
        <v>#N/A</v>
      </c>
      <c r="G138" s="756" t="e">
        <f>IF($C$138=0,NA(),VLOOKUP($I$121&amp;$B$138,FLNFIX!$BY$4:$EF$103,5,0))</f>
        <v>#N/A</v>
      </c>
      <c r="H138" s="757"/>
      <c r="I138" s="757"/>
      <c r="J138" s="758"/>
      <c r="K138" s="677"/>
    </row>
    <row r="139" ht="20.1" customHeight="1" spans="1:11">
      <c r="A139" s="675"/>
      <c r="B139" s="755">
        <f t="shared" si="2"/>
        <v>15</v>
      </c>
      <c r="C139" s="755">
        <f>IFERROR(VLOOKUP(B139,DATEWISE!$A$3:$BY$27,2,0),0)</f>
        <v>0</v>
      </c>
      <c r="D139" s="755" t="e">
        <f>IF($C$139=0,NA(),VLOOKUP($I$121&amp;$B$139,FLNFIX!$CD$4:$EF$103,2,0))</f>
        <v>#N/A</v>
      </c>
      <c r="E139" s="755" t="e">
        <f>IF($C$139=0,NA(),VLOOKUP($I$121&amp;$B$139,FLNFIX!$CD$4:$EF$103,4,0))</f>
        <v>#N/A</v>
      </c>
      <c r="F139" s="755" t="e">
        <f>IF($C$139=0,NA(),VLOOKUP($I$121&amp;$B$139,FLNFIX!$CD$4:$EF$103,3,0))</f>
        <v>#N/A</v>
      </c>
      <c r="G139" s="756" t="e">
        <f>IF($C$139=0,NA(),VLOOKUP($I$121&amp;$B$139,FLNFIX!$CD$4:$EF$103,5,0))</f>
        <v>#N/A</v>
      </c>
      <c r="H139" s="757"/>
      <c r="I139" s="757"/>
      <c r="J139" s="758"/>
      <c r="K139" s="677"/>
    </row>
    <row r="140" ht="20.1" customHeight="1" spans="1:11">
      <c r="A140" s="675"/>
      <c r="B140" s="755">
        <f t="shared" si="2"/>
        <v>16</v>
      </c>
      <c r="C140" s="755">
        <f>IFERROR(VLOOKUP(B140,DATEWISE!$A$3:$BY$27,2,0),0)</f>
        <v>0</v>
      </c>
      <c r="D140" s="755" t="e">
        <f>IF($C$140=0,NA(),VLOOKUP($I$121&amp;$B$140,FLNFIX!$CI$4:$EF$103,2,0))</f>
        <v>#N/A</v>
      </c>
      <c r="E140" s="755" t="e">
        <f>IF($C$140=0,NA(),VLOOKUP($I$121&amp;$B$140,FLNFIX!$CI$4:$EF$103,4,0))</f>
        <v>#N/A</v>
      </c>
      <c r="F140" s="755" t="e">
        <f>IF($C$140=0,NA(),VLOOKUP($I$121&amp;$B$140,FLNFIX!$CI$4:$EF$103,3,0))</f>
        <v>#N/A</v>
      </c>
      <c r="G140" s="756" t="e">
        <f>IF($C$140=0,NA(),VLOOKUP($I$121&amp;$B$140,FLNFIX!$CI$4:$EF$103,5,0))</f>
        <v>#N/A</v>
      </c>
      <c r="H140" s="757"/>
      <c r="I140" s="757"/>
      <c r="J140" s="758"/>
      <c r="K140" s="677"/>
    </row>
    <row r="141" ht="20.1" customHeight="1" spans="1:11">
      <c r="A141" s="675"/>
      <c r="B141" s="755">
        <f t="shared" si="2"/>
        <v>17</v>
      </c>
      <c r="C141" s="755">
        <f>IFERROR(VLOOKUP(B141,DATEWISE!$A$3:$BY$27,2,0),0)</f>
        <v>0</v>
      </c>
      <c r="D141" s="755" t="e">
        <f>IF($C$141=0,NA(),VLOOKUP($I$121&amp;$B$141,FLNFIX!$CN$4:$EF$103,2,0))</f>
        <v>#N/A</v>
      </c>
      <c r="E141" s="755" t="e">
        <f>IF($C$141=0,NA(),VLOOKUP($I$121&amp;$B$141,FLNFIX!$CN$4:$EF$103,4,0))</f>
        <v>#N/A</v>
      </c>
      <c r="F141" s="755" t="e">
        <f>IF($C$141=0,NA(),VLOOKUP($I$121&amp;$B$141,FLNFIX!$CN$4:$EF$103,3,0))</f>
        <v>#N/A</v>
      </c>
      <c r="G141" s="756" t="e">
        <f>IF($C$141=0,NA(),VLOOKUP($I$121&amp;$B$141,FLNFIX!$CN$4:$EF$103,5,0))</f>
        <v>#N/A</v>
      </c>
      <c r="H141" s="757"/>
      <c r="I141" s="757"/>
      <c r="J141" s="758"/>
      <c r="K141" s="677"/>
    </row>
    <row r="142" ht="20.1" customHeight="1" spans="1:11">
      <c r="A142" s="675"/>
      <c r="B142" s="755">
        <f t="shared" si="2"/>
        <v>18</v>
      </c>
      <c r="C142" s="755">
        <f>IFERROR(VLOOKUP(B142,DATEWISE!$A$3:$BY$27,2,0),0)</f>
        <v>0</v>
      </c>
      <c r="D142" s="755" t="e">
        <f>IF($C$142=0,NA(),VLOOKUP($I$121&amp;$B$142,FLNFIX!$CS$4:$EF$103,2,0))</f>
        <v>#N/A</v>
      </c>
      <c r="E142" s="755" t="e">
        <f>IF($C$142=0,NA(),VLOOKUP($I$121&amp;$B$142,FLNFIX!$CS$4:$EF$103,4,0))</f>
        <v>#N/A</v>
      </c>
      <c r="F142" s="755" t="e">
        <f>IF($C$142=0,NA(),VLOOKUP($I$121&amp;$B$142,FLNFIX!$CS$4:$EF$103,3,0))</f>
        <v>#N/A</v>
      </c>
      <c r="G142" s="756" t="e">
        <f>IF($C$142=0,NA(),VLOOKUP($I$121&amp;$B$142,FLNFIX!$CS$4:$EF$103,5,0))</f>
        <v>#N/A</v>
      </c>
      <c r="H142" s="757"/>
      <c r="I142" s="757"/>
      <c r="J142" s="758"/>
      <c r="K142" s="677"/>
    </row>
    <row r="143" ht="20.1" customHeight="1" spans="1:11">
      <c r="A143" s="675"/>
      <c r="B143" s="755">
        <f t="shared" si="2"/>
        <v>19</v>
      </c>
      <c r="C143" s="755">
        <f>IFERROR(VLOOKUP(B143,DATEWISE!$A$3:$BY$27,2,0),0)</f>
        <v>0</v>
      </c>
      <c r="D143" s="755" t="e">
        <f>IF($C$143=0,NA(),VLOOKUP($I$121&amp;$B$143,FLNFIX!$CX$4:$EF$103,2,0))</f>
        <v>#N/A</v>
      </c>
      <c r="E143" s="755" t="e">
        <f>IF($C$143=0,NA(),VLOOKUP($I$121&amp;$B$143,FLNFIX!$CX$4:$EF$103,4,0))</f>
        <v>#N/A</v>
      </c>
      <c r="F143" s="755" t="e">
        <f>IF($C$143=0,NA(),VLOOKUP($I$121&amp;$B$143,FLNFIX!$CX$4:$EF$103,3,0))</f>
        <v>#N/A</v>
      </c>
      <c r="G143" s="756" t="e">
        <f>IF($C$143=0,NA(),VLOOKUP($I$121&amp;$B$143,FLNFIX!$CX$4:$EF$103,5,0))</f>
        <v>#N/A</v>
      </c>
      <c r="H143" s="757"/>
      <c r="I143" s="757"/>
      <c r="J143" s="758"/>
      <c r="K143" s="677"/>
    </row>
    <row r="144" ht="20.1" customHeight="1" spans="1:11">
      <c r="A144" s="675"/>
      <c r="B144" s="755">
        <f t="shared" si="2"/>
        <v>20</v>
      </c>
      <c r="C144" s="755">
        <f>IFERROR(VLOOKUP(B144,DATEWISE!$A$3:$BY$27,2,0),0)</f>
        <v>0</v>
      </c>
      <c r="D144" s="755" t="e">
        <f>IF($C$144=0,NA(),VLOOKUP($I$121&amp;$B$144,FLNFIX!$DC$4:$EF$103,2,0))</f>
        <v>#N/A</v>
      </c>
      <c r="E144" s="755" t="e">
        <f>IF($C$144=0,NA(),VLOOKUP($I$121&amp;$B$144,FLNFIX!$DC$4:$EF$103,4,0))</f>
        <v>#N/A</v>
      </c>
      <c r="F144" s="755" t="e">
        <f>IF($C$144=0,NA(),VLOOKUP($I$121&amp;$B$144,FLNFIX!$DC$4:$EF$103,3,0))</f>
        <v>#N/A</v>
      </c>
      <c r="G144" s="756" t="e">
        <f>IF($C$144=0,NA(),VLOOKUP($I$121&amp;$B$144,FLNFIX!$DC$4:$EF$103,5,0))</f>
        <v>#N/A</v>
      </c>
      <c r="H144" s="757"/>
      <c r="I144" s="757"/>
      <c r="J144" s="758"/>
      <c r="K144" s="677"/>
    </row>
    <row r="145" ht="20.1" customHeight="1" spans="1:11">
      <c r="A145" s="675"/>
      <c r="B145" s="755">
        <f t="shared" si="2"/>
        <v>21</v>
      </c>
      <c r="C145" s="755">
        <f>IFERROR(VLOOKUP(B145,DATEWISE!$A$3:$BY$27,2,0),0)</f>
        <v>0</v>
      </c>
      <c r="D145" s="755" t="e">
        <f>IF($C$145=0,NA(),VLOOKUP($I$121&amp;$B$145,FLNFIX!$DH$4:$EF$103,2,0))</f>
        <v>#N/A</v>
      </c>
      <c r="E145" s="755" t="e">
        <f>IF($C$145=0,NA(),VLOOKUP($I$121&amp;$B$145,FLNFIX!$DH$4:$EF$103,4,0))</f>
        <v>#N/A</v>
      </c>
      <c r="F145" s="755" t="e">
        <f>IF($C$145=0,NA(),VLOOKUP($I$121&amp;$B$145,FLNFIX!$DH$4:$EF$103,3,0))</f>
        <v>#N/A</v>
      </c>
      <c r="G145" s="756" t="e">
        <f>IF($C$145=0,NA(),VLOOKUP($I$121&amp;$B$145,FLNFIX!$DH$4:$EF$103,5,0))</f>
        <v>#N/A</v>
      </c>
      <c r="H145" s="757"/>
      <c r="I145" s="757"/>
      <c r="J145" s="758"/>
      <c r="K145" s="677"/>
    </row>
    <row r="146" ht="5.1" customHeight="1" spans="1:11">
      <c r="A146" s="675"/>
      <c r="B146" s="759"/>
      <c r="C146" s="759"/>
      <c r="D146" s="760"/>
      <c r="E146" s="760"/>
      <c r="F146" s="760"/>
      <c r="G146" s="761"/>
      <c r="H146" s="761"/>
      <c r="I146" s="761"/>
      <c r="J146" s="761"/>
      <c r="K146" s="677"/>
    </row>
    <row r="147" s="667" customFormat="1" ht="24.95" customHeight="1" spans="1:11">
      <c r="A147" s="711"/>
      <c r="B147" s="762" t="s">
        <v>431</v>
      </c>
      <c r="C147" s="763"/>
      <c r="D147" s="763"/>
      <c r="E147" s="763"/>
      <c r="F147" s="763"/>
      <c r="G147" s="763"/>
      <c r="H147" s="763"/>
      <c r="I147" s="763"/>
      <c r="J147" s="764"/>
      <c r="K147" s="713"/>
    </row>
    <row r="148" spans="1:11">
      <c r="A148" s="675"/>
      <c r="B148" s="765"/>
      <c r="C148" s="686"/>
      <c r="D148" s="686"/>
      <c r="E148" s="686"/>
      <c r="F148" s="686"/>
      <c r="G148" s="686"/>
      <c r="H148" s="686"/>
      <c r="I148" s="686"/>
      <c r="J148" s="766"/>
      <c r="K148" s="677"/>
    </row>
    <row r="149" spans="1:11">
      <c r="A149" s="675"/>
      <c r="B149" s="765"/>
      <c r="C149" s="686"/>
      <c r="D149" s="686"/>
      <c r="E149" s="686"/>
      <c r="F149" s="686"/>
      <c r="G149" s="686"/>
      <c r="H149" s="686"/>
      <c r="I149" s="686"/>
      <c r="J149" s="766"/>
      <c r="K149" s="677"/>
    </row>
    <row r="150" spans="1:11">
      <c r="A150" s="675"/>
      <c r="B150" s="765"/>
      <c r="C150" s="686"/>
      <c r="D150" s="686"/>
      <c r="E150" s="686"/>
      <c r="F150" s="686"/>
      <c r="G150" s="686"/>
      <c r="H150" s="686"/>
      <c r="I150" s="686"/>
      <c r="J150" s="766"/>
      <c r="K150" s="677"/>
    </row>
    <row r="151" spans="1:11">
      <c r="A151" s="675"/>
      <c r="B151" s="765"/>
      <c r="C151" s="686"/>
      <c r="D151" s="686"/>
      <c r="E151" s="686"/>
      <c r="F151" s="686"/>
      <c r="G151" s="686"/>
      <c r="H151" s="686"/>
      <c r="I151" s="686"/>
      <c r="J151" s="766"/>
      <c r="K151" s="677"/>
    </row>
    <row r="152" spans="1:11">
      <c r="A152" s="675"/>
      <c r="B152" s="765"/>
      <c r="C152" s="686"/>
      <c r="D152" s="686"/>
      <c r="E152" s="686"/>
      <c r="F152" s="686"/>
      <c r="G152" s="686"/>
      <c r="H152" s="686"/>
      <c r="I152" s="686"/>
      <c r="J152" s="766"/>
      <c r="K152" s="677"/>
    </row>
    <row r="153" spans="1:11">
      <c r="A153" s="675"/>
      <c r="B153" s="765"/>
      <c r="C153" s="686"/>
      <c r="D153" s="686"/>
      <c r="E153" s="686"/>
      <c r="F153" s="686"/>
      <c r="G153" s="686"/>
      <c r="H153" s="686"/>
      <c r="I153" s="686"/>
      <c r="J153" s="766"/>
      <c r="K153" s="677"/>
    </row>
    <row r="154" spans="1:11">
      <c r="A154" s="675"/>
      <c r="B154" s="765"/>
      <c r="C154" s="686"/>
      <c r="D154" s="686"/>
      <c r="E154" s="686"/>
      <c r="F154" s="686"/>
      <c r="G154" s="686"/>
      <c r="H154" s="686"/>
      <c r="I154" s="686"/>
      <c r="J154" s="766"/>
      <c r="K154" s="677"/>
    </row>
    <row r="155" spans="1:11">
      <c r="A155" s="675"/>
      <c r="B155" s="765"/>
      <c r="C155" s="686"/>
      <c r="D155" s="686"/>
      <c r="E155" s="686"/>
      <c r="F155" s="686"/>
      <c r="G155" s="686"/>
      <c r="H155" s="686"/>
      <c r="I155" s="686"/>
      <c r="J155" s="766"/>
      <c r="K155" s="677"/>
    </row>
    <row r="156" spans="1:11">
      <c r="A156" s="675"/>
      <c r="B156" s="765"/>
      <c r="C156" s="686"/>
      <c r="D156" s="686"/>
      <c r="E156" s="686"/>
      <c r="F156" s="686"/>
      <c r="G156" s="686"/>
      <c r="H156" s="686"/>
      <c r="I156" s="686"/>
      <c r="J156" s="766"/>
      <c r="K156" s="677"/>
    </row>
    <row r="157" spans="1:11">
      <c r="A157" s="675"/>
      <c r="B157" s="767"/>
      <c r="C157" s="768"/>
      <c r="D157" s="768"/>
      <c r="E157" s="768"/>
      <c r="F157" s="768"/>
      <c r="G157" s="768"/>
      <c r="H157" s="768"/>
      <c r="I157" s="768"/>
      <c r="J157" s="769"/>
      <c r="K157" s="677"/>
    </row>
    <row r="158" ht="5.1" customHeight="1" spans="1:11">
      <c r="A158" s="675"/>
      <c r="B158" s="686"/>
      <c r="C158" s="686"/>
      <c r="D158" s="686"/>
      <c r="E158" s="686"/>
      <c r="F158" s="686"/>
      <c r="G158" s="686"/>
      <c r="H158" s="686"/>
      <c r="I158" s="686"/>
      <c r="J158" s="686"/>
      <c r="K158" s="677"/>
    </row>
    <row r="159" spans="1:11">
      <c r="A159" s="675"/>
      <c r="B159" s="770" t="s">
        <v>432</v>
      </c>
      <c r="C159" s="770"/>
      <c r="D159" s="770"/>
      <c r="E159" s="770"/>
      <c r="F159" s="770"/>
      <c r="G159" s="770"/>
      <c r="H159" s="770"/>
      <c r="I159" s="770"/>
      <c r="J159" s="770"/>
      <c r="K159" s="677"/>
    </row>
    <row r="160" spans="1:11">
      <c r="A160" s="675"/>
      <c r="B160" s="771"/>
      <c r="C160" s="771"/>
      <c r="D160" s="771"/>
      <c r="E160" s="771"/>
      <c r="F160" s="771"/>
      <c r="G160" s="771"/>
      <c r="H160" s="771"/>
      <c r="I160" s="771"/>
      <c r="J160" s="771"/>
      <c r="K160" s="677"/>
    </row>
    <row r="161" spans="1:11">
      <c r="A161" s="675"/>
      <c r="B161" s="771"/>
      <c r="C161" s="771"/>
      <c r="D161" s="771"/>
      <c r="E161" s="771"/>
      <c r="F161" s="771"/>
      <c r="G161" s="771"/>
      <c r="H161" s="771"/>
      <c r="I161" s="771"/>
      <c r="J161" s="771"/>
      <c r="K161" s="677"/>
    </row>
    <row r="162" spans="1:11">
      <c r="A162" s="675"/>
      <c r="B162" s="771"/>
      <c r="C162" s="771"/>
      <c r="D162" s="771"/>
      <c r="E162" s="771"/>
      <c r="F162" s="771"/>
      <c r="G162" s="771"/>
      <c r="H162" s="771"/>
      <c r="I162" s="771"/>
      <c r="J162" s="771"/>
      <c r="K162" s="677"/>
    </row>
    <row r="163" spans="1:11">
      <c r="A163" s="675"/>
      <c r="B163" s="686"/>
      <c r="C163" s="686"/>
      <c r="D163" s="686"/>
      <c r="E163" s="686"/>
      <c r="F163" s="686"/>
      <c r="G163" s="686"/>
      <c r="H163" s="686"/>
      <c r="I163" s="686"/>
      <c r="J163" s="686"/>
      <c r="K163" s="677"/>
    </row>
    <row r="164" spans="1:11">
      <c r="A164" s="675"/>
      <c r="B164" s="686"/>
      <c r="C164" s="729" t="s">
        <v>433</v>
      </c>
      <c r="D164" s="729"/>
      <c r="E164" s="686"/>
      <c r="F164" s="686"/>
      <c r="G164" s="729" t="s">
        <v>434</v>
      </c>
      <c r="H164" s="729"/>
      <c r="I164" s="729"/>
      <c r="J164" s="729"/>
      <c r="K164" s="677"/>
    </row>
    <row r="165" ht="16.35" spans="1:11">
      <c r="A165" s="725"/>
      <c r="B165" s="726"/>
      <c r="C165" s="732" t="str">
        <f>"("&amp;PROPER(ENTRY!$D$19)&amp;")"</f>
        <v>(Indrajeet)</v>
      </c>
      <c r="D165" s="732"/>
      <c r="E165" s="726"/>
      <c r="F165" s="726"/>
      <c r="G165" s="732" t="str">
        <f>"("&amp;PROPER(ENTRY!$D$12)&amp;")"</f>
        <v>(Shambhu Dayal Meena)</v>
      </c>
      <c r="H165" s="732"/>
      <c r="I165" s="732"/>
      <c r="J165" s="732"/>
      <c r="K165" s="728"/>
    </row>
    <row r="166" ht="24.6" spans="1:11">
      <c r="B166" s="734"/>
      <c r="C166" s="734"/>
      <c r="D166" s="669" t="str">
        <f>ENTRY!$D$3</f>
        <v>MUNICIPAL CORPORATION OF DELHI</v>
      </c>
      <c r="E166" s="669"/>
      <c r="F166" s="669"/>
      <c r="G166" s="669"/>
      <c r="H166" s="734"/>
      <c r="I166" s="669"/>
      <c r="J166" s="669"/>
    </row>
    <row r="167" ht="20.4" spans="1:11">
      <c r="B167" s="735"/>
      <c r="C167" s="735"/>
      <c r="D167" s="670" t="str">
        <f>ENTRY!$D$4</f>
        <v>EDUCATION DEPARTMENT</v>
      </c>
      <c r="E167" s="670"/>
      <c r="F167" s="670"/>
      <c r="G167" s="670"/>
      <c r="H167" s="735"/>
      <c r="I167" s="669"/>
      <c r="J167" s="669"/>
    </row>
    <row r="168" ht="22.8" spans="1:11">
      <c r="B168" s="736"/>
      <c r="C168" s="736"/>
      <c r="D168" s="664" t="s">
        <v>417</v>
      </c>
      <c r="E168" s="664"/>
      <c r="F168" s="664"/>
      <c r="G168" s="664"/>
      <c r="H168" s="736"/>
      <c r="I168" s="669"/>
      <c r="J168" s="669"/>
    </row>
    <row r="169" ht="22.8" spans="1:11">
      <c r="B169" s="736"/>
      <c r="C169" s="736"/>
      <c r="D169" s="664" t="s">
        <v>418</v>
      </c>
      <c r="E169" s="664"/>
      <c r="F169" s="664"/>
      <c r="G169" s="664"/>
      <c r="H169" s="736"/>
      <c r="I169" s="669"/>
      <c r="J169" s="669"/>
    </row>
    <row r="170" ht="24.95" customHeight="1" spans="1:11">
      <c r="B170" s="735"/>
      <c r="C170" s="735"/>
      <c r="D170" s="737" t="str">
        <f>"SESSION : "&amp;ENTRY!$D$11</f>
        <v>SESSION : 2026-27</v>
      </c>
      <c r="E170" s="737"/>
      <c r="F170" s="737"/>
      <c r="G170" s="737"/>
      <c r="H170" s="735"/>
      <c r="I170" s="738"/>
      <c r="J170" s="738"/>
    </row>
    <row r="171" ht="3.75" customHeight="1" spans="1:11">
      <c r="A171" s="672"/>
      <c r="B171" s="739"/>
      <c r="C171" s="739"/>
      <c r="D171" s="739"/>
      <c r="E171" s="739"/>
      <c r="F171" s="739"/>
      <c r="G171" s="739"/>
      <c r="H171" s="739"/>
      <c r="I171" s="739"/>
      <c r="J171" s="739"/>
      <c r="K171" s="674"/>
    </row>
    <row r="172" ht="21.95" customHeight="1" spans="1:11">
      <c r="A172" s="675"/>
      <c r="B172" s="676" t="s">
        <v>419</v>
      </c>
      <c r="C172" s="676"/>
      <c r="D172" s="676" t="str">
        <f>ENTRY!$D$6</f>
        <v>MCP NITHARI NO 1 BOYS</v>
      </c>
      <c r="E172" s="676"/>
      <c r="F172" s="676"/>
      <c r="G172" s="676"/>
      <c r="H172" s="676"/>
      <c r="I172" s="676"/>
      <c r="J172" s="676"/>
      <c r="K172" s="677"/>
    </row>
    <row r="173" ht="21.95" customHeight="1" spans="1:11">
      <c r="A173" s="675"/>
      <c r="B173" s="676" t="s">
        <v>420</v>
      </c>
      <c r="C173" s="676"/>
      <c r="D173" s="740" t="str">
        <f>IFERROR(VLOOKUP($I$176,STUDENT!$A$2:$BP$101,5,0),"")</f>
        <v>PRINCE KUMAR RAY</v>
      </c>
      <c r="E173" s="740"/>
      <c r="F173" s="740"/>
      <c r="G173" s="740"/>
      <c r="H173" s="740"/>
      <c r="I173" s="740"/>
      <c r="J173" s="740"/>
      <c r="K173" s="677"/>
    </row>
    <row r="174" ht="21.95" customHeight="1" spans="1:11">
      <c r="A174" s="675"/>
      <c r="B174" s="676" t="s">
        <v>421</v>
      </c>
      <c r="C174" s="676"/>
      <c r="D174" s="740" t="str">
        <f>IFERROR(VLOOKUP($I$176,STUDENT!$A$2:$BP$101,8,0),"")</f>
        <v>RAMSHARAN RAY</v>
      </c>
      <c r="E174" s="740"/>
      <c r="F174" s="740"/>
      <c r="G174" s="740"/>
      <c r="H174" s="740"/>
      <c r="I174" s="740"/>
      <c r="J174" s="740"/>
      <c r="K174" s="677"/>
    </row>
    <row r="175" ht="21.95" customHeight="1" spans="1:11">
      <c r="A175" s="675"/>
      <c r="B175" s="676" t="s">
        <v>422</v>
      </c>
      <c r="C175" s="676"/>
      <c r="D175" s="740">
        <f>IFERROR(VLOOKUP($I$176,STUDENT!$A$2:$BP$101,6,0),"")</f>
        <v>14778</v>
      </c>
      <c r="E175" s="740"/>
      <c r="F175" s="740"/>
      <c r="G175" s="740"/>
      <c r="H175" s="740"/>
      <c r="I175" s="740"/>
      <c r="J175" s="740"/>
      <c r="K175" s="677"/>
    </row>
    <row r="176" ht="21.95" customHeight="1" spans="1:11">
      <c r="A176" s="675"/>
      <c r="B176" s="676" t="s">
        <v>423</v>
      </c>
      <c r="C176" s="676"/>
      <c r="D176" s="741" t="str">
        <f>IFERROR(VLOOKUP($I$176,STUDENT!$A$2:$BP$101,59,0),"")</f>
        <v/>
      </c>
      <c r="E176" s="742" t="s">
        <v>424</v>
      </c>
      <c r="F176" s="704" t="str">
        <f>IFERROR(VLOOKUP($I$176,STUDENT!$A$2:$BP$101,2,0),"")</f>
        <v>III-A</v>
      </c>
      <c r="G176" s="742" t="s">
        <v>425</v>
      </c>
      <c r="H176" s="743"/>
      <c r="I176" s="733">
        <f>I121+1</f>
        <v>4</v>
      </c>
      <c r="J176" s="683"/>
      <c r="K176" s="677"/>
    </row>
    <row r="177" ht="5.1" customHeight="1" spans="1:11">
      <c r="A177" s="675"/>
      <c r="B177" s="745"/>
      <c r="C177" s="745"/>
      <c r="D177" s="746"/>
      <c r="E177" s="747"/>
      <c r="F177" s="748"/>
      <c r="G177" s="747"/>
      <c r="H177" s="686"/>
      <c r="I177" s="686"/>
      <c r="J177" s="686"/>
      <c r="K177" s="677"/>
    </row>
    <row r="178" s="664" customFormat="1" ht="32.1" customHeight="1" spans="1:11">
      <c r="A178" s="688"/>
      <c r="B178" s="749" t="s">
        <v>426</v>
      </c>
      <c r="C178" s="750"/>
      <c r="D178" s="750"/>
      <c r="E178" s="750"/>
      <c r="F178" s="750"/>
      <c r="G178" s="750"/>
      <c r="H178" s="750"/>
      <c r="I178" s="750"/>
      <c r="J178" s="751"/>
      <c r="K178" s="690"/>
    </row>
    <row r="179" ht="51.6" spans="1:11">
      <c r="A179" s="675"/>
      <c r="B179" s="752">
        <v>21</v>
      </c>
      <c r="C179" s="753" t="s">
        <v>427</v>
      </c>
      <c r="D179" s="754" t="s">
        <v>428</v>
      </c>
      <c r="E179" s="754" t="s">
        <v>429</v>
      </c>
      <c r="F179" s="754" t="s">
        <v>430</v>
      </c>
      <c r="G179" s="753" t="s">
        <v>390</v>
      </c>
      <c r="H179" s="714"/>
      <c r="I179" s="714"/>
      <c r="J179" s="714"/>
      <c r="K179" s="677"/>
    </row>
    <row r="180" ht="20.1" customHeight="1" spans="1:11">
      <c r="A180" s="675"/>
      <c r="B180" s="755">
        <v>1</v>
      </c>
      <c r="C180" s="755" t="str">
        <f>IFERROR(VLOOKUP(B180,DATEWISE!$A$3:$BY$27,2,0),0)</f>
        <v>30.04.2026</v>
      </c>
      <c r="D180" s="755">
        <f>IF($C$180=0,NA(),VLOOKUP($I$176&amp;$B$180,FLNFIX!$L$4:$EF$103,2,0))</f>
        <v>3</v>
      </c>
      <c r="E180" s="755">
        <f>IF($C$180=0,NA(),VLOOKUP($I$176&amp;$B$180,FLNFIX!$L$4:$EF$103,4,0))</f>
        <v>3</v>
      </c>
      <c r="F180" s="755">
        <f>IF($C$180=0,NA(),VLOOKUP($I$176&amp;$B$180,FLNFIX!$L$4:$EF$103,3,0))</f>
        <v>2</v>
      </c>
      <c r="G180" s="756">
        <f>IF($C$180=0,NA(),VLOOKUP($I$176&amp;$B$180,FLNFIX!$L$4:$EF$103,5,0))</f>
        <v>0</v>
      </c>
      <c r="H180" s="757"/>
      <c r="I180" s="757"/>
      <c r="J180" s="758"/>
      <c r="K180" s="677"/>
    </row>
    <row r="181" ht="20.1" customHeight="1" spans="1:11">
      <c r="A181" s="675"/>
      <c r="B181" s="755">
        <f t="shared" ref="B181:B200" si="3">IF(B180=0,0,IF(B180&lt;$B$179,B180+1,""))</f>
        <v>2</v>
      </c>
      <c r="C181" s="755" t="str">
        <f>IFERROR(VLOOKUP(B181,DATEWISE!$A$3:$BY$27,2,0),0)</f>
        <v>08.05.2026</v>
      </c>
      <c r="D181" s="755">
        <f>IF($C$181=0,NA(),VLOOKUP($I$176&amp;$B$181,FLNFIX!$Q$4:$EF$103,2,0))</f>
        <v>3</v>
      </c>
      <c r="E181" s="755">
        <f>IF($C$181=0,NA(),VLOOKUP($I$176&amp;$B$181,FLNFIX!$Q$4:$EF$103,4,0))</f>
        <v>3</v>
      </c>
      <c r="F181" s="755">
        <f>IF($C$181=0,NA(),VLOOKUP($I$176&amp;$B$181,FLNFIX!$Q$4:$EF$103,3,0))</f>
        <v>2</v>
      </c>
      <c r="G181" s="756">
        <f>IF($C$181=0,NA(),VLOOKUP($I$176&amp;$B$181,FLNFIX!$Q$4:$EF$103,5,0))</f>
        <v>0</v>
      </c>
      <c r="H181" s="757"/>
      <c r="I181" s="757"/>
      <c r="J181" s="758"/>
      <c r="K181" s="677"/>
    </row>
    <row r="182" ht="20.1" customHeight="1" spans="1:11">
      <c r="A182" s="675"/>
      <c r="B182" s="755">
        <f t="shared" si="3"/>
        <v>3</v>
      </c>
      <c r="C182" s="755" t="str">
        <f>IFERROR(VLOOKUP(B182,DATEWISE!$A$3:$BY$27,2,0),0)</f>
        <v>15.07.2026</v>
      </c>
      <c r="D182" s="755">
        <f>IF($C$182=0,NA(),VLOOKUP($I$176&amp;$B$182,FLNFIX!$V$4:$EF$103,2,0))</f>
        <v>3</v>
      </c>
      <c r="E182" s="755">
        <f>IF($C$182=0,NA(),VLOOKUP($I$176&amp;$B$182,FLNFIX!$V$4:$EF$103,4,0))</f>
        <v>3</v>
      </c>
      <c r="F182" s="755">
        <f>IF($C$182=0,NA(),VLOOKUP($I$176&amp;$B$182,FLNFIX!$V$4:$EF$103,3,0))</f>
        <v>2</v>
      </c>
      <c r="G182" s="756">
        <f>IF($C$182=0,NA(),VLOOKUP($I$176&amp;$B$182,FLNFIX!$V$4:$EF$103,5,0))</f>
        <v>0</v>
      </c>
      <c r="H182" s="757"/>
      <c r="I182" s="757"/>
      <c r="J182" s="758"/>
      <c r="K182" s="677"/>
    </row>
    <row r="183" ht="20.1" customHeight="1" spans="1:11">
      <c r="A183" s="675"/>
      <c r="B183" s="755">
        <f t="shared" si="3"/>
        <v>4</v>
      </c>
      <c r="C183" s="755" t="str">
        <f>IFERROR(VLOOKUP(B183,DATEWISE!$A$3:$BY$27,2,0),0)</f>
        <v>31.07.2026</v>
      </c>
      <c r="D183" s="755">
        <f>IF($C$183=0,NA(),VLOOKUP($I$176&amp;$B$183,FLNFIX!$AA$4:$EF$103,2,0))</f>
        <v>3</v>
      </c>
      <c r="E183" s="755">
        <f>IF($C$183=0,NA(),VLOOKUP($I$176&amp;$B$183,FLNFIX!$AA$4:$EF$103,4,0))</f>
        <v>3</v>
      </c>
      <c r="F183" s="755">
        <f>IF($C$183=0,NA(),VLOOKUP($I$176&amp;$B$183,FLNFIX!$AA$4:$EF$103,3,0))</f>
        <v>2</v>
      </c>
      <c r="G183" s="756">
        <f>IF($C$183=0,NA(),VLOOKUP($I$176&amp;$B$183,FLNFIX!$AA$4:$EF$103,5,0))</f>
        <v>0</v>
      </c>
      <c r="H183" s="757"/>
      <c r="I183" s="757"/>
      <c r="J183" s="758"/>
      <c r="K183" s="677"/>
    </row>
    <row r="184" ht="20.1" customHeight="1" spans="1:11">
      <c r="A184" s="675"/>
      <c r="B184" s="755">
        <f t="shared" si="3"/>
        <v>5</v>
      </c>
      <c r="C184" s="755" t="str">
        <f>IFERROR(VLOOKUP(B184,DATEWISE!$A$3:$BY$27,2,0),0)</f>
        <v>17.08.2026</v>
      </c>
      <c r="D184" s="755">
        <f>IF($C$184=0,NA(),VLOOKUP($I$176&amp;$B$184,FLNFIX!$AF$4:$EF$103,2,0))</f>
        <v>3</v>
      </c>
      <c r="E184" s="755">
        <f>IF($C$184=0,NA(),VLOOKUP($I$176&amp;$B$184,FLNFIX!$AF$4:$EF$103,4,0))</f>
        <v>3</v>
      </c>
      <c r="F184" s="755">
        <f>IF($C$184=0,NA(),VLOOKUP($I$176&amp;$B$184,FLNFIX!$AF$4:$EF$103,3,0))</f>
        <v>2</v>
      </c>
      <c r="G184" s="756">
        <f>IF($C$184=0,NA(),VLOOKUP($I$176&amp;$B$184,FLNFIX!$AF$4:$EF$103,5,0))</f>
        <v>0</v>
      </c>
      <c r="H184" s="757"/>
      <c r="I184" s="757"/>
      <c r="J184" s="758"/>
      <c r="K184" s="677"/>
    </row>
    <row r="185" ht="20.1" customHeight="1" spans="1:11">
      <c r="A185" s="675"/>
      <c r="B185" s="755">
        <f t="shared" si="3"/>
        <v>6</v>
      </c>
      <c r="C185" s="755" t="str">
        <f>IFERROR(VLOOKUP(B185,DATEWISE!$A$3:$BY$27,2,0),0)</f>
        <v>31.08.2026</v>
      </c>
      <c r="D185" s="755">
        <f>IF($C$185=0,NA(),VLOOKUP($I$176&amp;$B$185,FLNFIX!$AK$4:$EF$103,2,0))</f>
        <v>3</v>
      </c>
      <c r="E185" s="755">
        <f>IF($C$185=0,NA(),VLOOKUP($I$176&amp;$B$185,FLNFIX!$AK$4:$EF$103,4,0))</f>
        <v>3</v>
      </c>
      <c r="F185" s="755">
        <f>IF($C$185=0,NA(),VLOOKUP($I$176&amp;$B$185,FLNFIX!$AK$4:$EF$103,3,0))</f>
        <v>2</v>
      </c>
      <c r="G185" s="756">
        <f>IF($C$185=0,NA(),VLOOKUP($I$176&amp;$B$185,FLNFIX!$AK$4:$EF$103,5,0))</f>
        <v>0</v>
      </c>
      <c r="H185" s="757"/>
      <c r="I185" s="757"/>
      <c r="J185" s="758"/>
      <c r="K185" s="677"/>
    </row>
    <row r="186" ht="20.1" customHeight="1" spans="1:11">
      <c r="A186" s="675"/>
      <c r="B186" s="755">
        <f t="shared" si="3"/>
        <v>7</v>
      </c>
      <c r="C186" s="755">
        <f>IFERROR(VLOOKUP(B186,DATEWISE!$A$3:$BY$27,2,0),0)</f>
        <v>0</v>
      </c>
      <c r="D186" s="755" t="e">
        <f>IF($C$186=0,NA(),VLOOKUP($I$176&amp;$B$186,FLNFIX!$AP$4:$EF$103,2,0))</f>
        <v>#N/A</v>
      </c>
      <c r="E186" s="755" t="e">
        <f>IF($C$186=0,NA(),VLOOKUP($I$176&amp;$B$186,FLNFIX!$AP$4:$EF$103,4,0))</f>
        <v>#N/A</v>
      </c>
      <c r="F186" s="755" t="e">
        <f>IF($C$186=0,NA(),VLOOKUP($I$176&amp;$B$186,FLNFIX!$AP$4:$EF$103,3,0))</f>
        <v>#N/A</v>
      </c>
      <c r="G186" s="756" t="e">
        <f>IF($C$186=0,NA(),VLOOKUP($I$176&amp;$B$186,FLNFIX!$AP$4:$EF$103,5,0))</f>
        <v>#N/A</v>
      </c>
      <c r="H186" s="757"/>
      <c r="I186" s="757"/>
      <c r="J186" s="758"/>
      <c r="K186" s="677"/>
    </row>
    <row r="187" ht="20.1" customHeight="1" spans="1:11">
      <c r="A187" s="675"/>
      <c r="B187" s="755">
        <f t="shared" si="3"/>
        <v>8</v>
      </c>
      <c r="C187" s="755">
        <f>IFERROR(VLOOKUP(B187,DATEWISE!$A$3:$BY$27,2,0),0)</f>
        <v>0</v>
      </c>
      <c r="D187" s="755" t="e">
        <f>IF($C$187=0,NA(),VLOOKUP($I$176&amp;$B$187,FLNFIX!$AU$4:$EF$103,2,0))</f>
        <v>#N/A</v>
      </c>
      <c r="E187" s="755" t="e">
        <f>IF($C$187=0,NA(),VLOOKUP($I$176&amp;$B$187,FLNFIX!$AU$4:$EF$103,4,0))</f>
        <v>#N/A</v>
      </c>
      <c r="F187" s="755" t="e">
        <f>IF($C$187=0,NA(),VLOOKUP($I$176&amp;$B$187,FLNFIX!$AU$4:$EF$103,3,0))</f>
        <v>#N/A</v>
      </c>
      <c r="G187" s="756" t="e">
        <f>IF($C$187=0,NA(),VLOOKUP($I$176&amp;$B$187,FLNFIX!$AU$4:$EF$103,5,0))</f>
        <v>#N/A</v>
      </c>
      <c r="H187" s="757"/>
      <c r="I187" s="757"/>
      <c r="J187" s="758"/>
      <c r="K187" s="677"/>
    </row>
    <row r="188" ht="20.1" customHeight="1" spans="1:11">
      <c r="A188" s="675"/>
      <c r="B188" s="755">
        <f t="shared" si="3"/>
        <v>9</v>
      </c>
      <c r="C188" s="755">
        <f>IFERROR(VLOOKUP(B188,DATEWISE!$A$3:$BY$27,2,0),0)</f>
        <v>0</v>
      </c>
      <c r="D188" s="755" t="e">
        <f>IF($C$188=0,NA(),VLOOKUP($I$176&amp;$B$188,FLNFIX!$AZ$4:$EF$103,2,0))</f>
        <v>#N/A</v>
      </c>
      <c r="E188" s="755" t="e">
        <f>IF($C$188=0,NA(),VLOOKUP($I$176&amp;$B$188,FLNFIX!$AZ$4:$EF$103,4,0))</f>
        <v>#N/A</v>
      </c>
      <c r="F188" s="755" t="e">
        <f>IF($C$188=0,NA(),VLOOKUP($I$176&amp;$B$188,FLNFIX!$AZ$4:$EF$103,3,0))</f>
        <v>#N/A</v>
      </c>
      <c r="G188" s="756" t="e">
        <f>IF($C$188=0,NA(),VLOOKUP($I$176&amp;$B$188,FLNFIX!$AZ$4:$EF$103,5,0))</f>
        <v>#N/A</v>
      </c>
      <c r="H188" s="757"/>
      <c r="I188" s="757"/>
      <c r="J188" s="758"/>
      <c r="K188" s="677"/>
    </row>
    <row r="189" ht="20.1" customHeight="1" spans="1:11">
      <c r="A189" s="675"/>
      <c r="B189" s="755">
        <f t="shared" si="3"/>
        <v>10</v>
      </c>
      <c r="C189" s="755">
        <f>IFERROR(VLOOKUP(B189,DATEWISE!$A$3:$BY$27,2,0),0)</f>
        <v>0</v>
      </c>
      <c r="D189" s="755" t="e">
        <f>IF($C$189=0,NA(),VLOOKUP($I$176&amp;$B$189,FLNFIX!$BE$4:$EF$103,2,0))</f>
        <v>#N/A</v>
      </c>
      <c r="E189" s="755" t="e">
        <f>IF($C$189=0,NA(),VLOOKUP($I$176&amp;$B$189,FLNFIX!$BE$4:$EF$103,4,0))</f>
        <v>#N/A</v>
      </c>
      <c r="F189" s="755" t="e">
        <f>IF($C$189=0,NA(),VLOOKUP($I$176&amp;$B$189,FLNFIX!$BE$4:$EF$103,3,0))</f>
        <v>#N/A</v>
      </c>
      <c r="G189" s="756" t="e">
        <f>IF($C$189=0,NA(),VLOOKUP($I$176&amp;$B$189,FLNFIX!$BE$4:$EF$103,5,0))</f>
        <v>#N/A</v>
      </c>
      <c r="H189" s="757"/>
      <c r="I189" s="757"/>
      <c r="J189" s="758"/>
      <c r="K189" s="677"/>
    </row>
    <row r="190" ht="20.1" customHeight="1" spans="1:11">
      <c r="A190" s="675"/>
      <c r="B190" s="755">
        <f t="shared" si="3"/>
        <v>11</v>
      </c>
      <c r="C190" s="755">
        <f>IFERROR(VLOOKUP(B190,DATEWISE!$A$3:$BY$27,2,0),0)</f>
        <v>0</v>
      </c>
      <c r="D190" s="755" t="e">
        <f>IF($C$190=0,NA(),VLOOKUP($I$176&amp;$B$190,FLNFIX!$BJ$4:$EF$103,2,0))</f>
        <v>#N/A</v>
      </c>
      <c r="E190" s="755" t="e">
        <f>IF($C$190=0,NA(),VLOOKUP($I$176&amp;$B$190,FLNFIX!$BJ$4:$EF$103,4,0))</f>
        <v>#N/A</v>
      </c>
      <c r="F190" s="755" t="e">
        <f>IF($C$190=0,NA(),VLOOKUP($I$176&amp;$B$190,FLNFIX!$BJ$4:$EF$103,3,0))</f>
        <v>#N/A</v>
      </c>
      <c r="G190" s="756" t="e">
        <f>IF($C$190=0,NA(),VLOOKUP($I$176&amp;$B$190,FLNFIX!$BJ$4:$EF$103,5,0))</f>
        <v>#N/A</v>
      </c>
      <c r="H190" s="757"/>
      <c r="I190" s="757"/>
      <c r="J190" s="758"/>
      <c r="K190" s="677"/>
    </row>
    <row r="191" ht="20.1" customHeight="1" spans="1:11">
      <c r="A191" s="675"/>
      <c r="B191" s="755">
        <f t="shared" si="3"/>
        <v>12</v>
      </c>
      <c r="C191" s="755">
        <f>IFERROR(VLOOKUP(B191,DATEWISE!$A$3:$BY$27,2,0),0)</f>
        <v>0</v>
      </c>
      <c r="D191" s="755" t="e">
        <f>IF($C$191=0,NA(),VLOOKUP($I$176&amp;$B$191,FLNFIX!$BO$4:$EF$103,2,0))</f>
        <v>#N/A</v>
      </c>
      <c r="E191" s="755" t="e">
        <f>IF($C$191=0,NA(),VLOOKUP($I$176&amp;$B$191,FLNFIX!$BO$4:$EF$103,4,0))</f>
        <v>#N/A</v>
      </c>
      <c r="F191" s="755" t="e">
        <f>IF($C$191=0,NA(),VLOOKUP($I$176&amp;$B$191,FLNFIX!$BO$4:$EF$103,3,0))</f>
        <v>#N/A</v>
      </c>
      <c r="G191" s="756" t="e">
        <f>IF($C$191=0,NA(),VLOOKUP($I$176&amp;$B$191,FLNFIX!$BO$4:$EF$103,5,0))</f>
        <v>#N/A</v>
      </c>
      <c r="H191" s="757"/>
      <c r="I191" s="757"/>
      <c r="J191" s="758"/>
      <c r="K191" s="677"/>
    </row>
    <row r="192" ht="20.1" customHeight="1" spans="1:11">
      <c r="A192" s="675"/>
      <c r="B192" s="755">
        <f t="shared" si="3"/>
        <v>13</v>
      </c>
      <c r="C192" s="755">
        <f>IFERROR(VLOOKUP(B192,DATEWISE!$A$3:$BY$27,2,0),0)</f>
        <v>0</v>
      </c>
      <c r="D192" s="755" t="e">
        <f>IF($C$192=0,NA(),VLOOKUP($I$176&amp;$B$192,FLNFIX!$BT$4:$EF$103,2,0))</f>
        <v>#N/A</v>
      </c>
      <c r="E192" s="755" t="e">
        <f>IF($C$192=0,NA(),VLOOKUP($I$176&amp;$B$192,FLNFIX!$BT$4:$EF$103,4,0))</f>
        <v>#N/A</v>
      </c>
      <c r="F192" s="755" t="e">
        <f>IF($C$192=0,NA(),VLOOKUP($I$176&amp;$B$192,FLNFIX!$BT$4:$EF$103,3,0))</f>
        <v>#N/A</v>
      </c>
      <c r="G192" s="756" t="e">
        <f>IF($C$192=0,NA(),VLOOKUP($I$176&amp;$B$192,FLNFIX!$BT$4:$EF$103,5,0))</f>
        <v>#N/A</v>
      </c>
      <c r="H192" s="757"/>
      <c r="I192" s="757"/>
      <c r="J192" s="758"/>
      <c r="K192" s="677"/>
    </row>
    <row r="193" ht="20.1" customHeight="1" spans="1:11">
      <c r="A193" s="675"/>
      <c r="B193" s="755">
        <f t="shared" si="3"/>
        <v>14</v>
      </c>
      <c r="C193" s="755">
        <f>IFERROR(VLOOKUP(B193,DATEWISE!$A$3:$BY$27,2,0),0)</f>
        <v>0</v>
      </c>
      <c r="D193" s="755" t="e">
        <f>IF($C$193=0,NA(),VLOOKUP($I$176&amp;$B$193,FLNFIX!$BY$4:$EF$103,2,0))</f>
        <v>#N/A</v>
      </c>
      <c r="E193" s="755" t="e">
        <f>IF($C$193=0,NA(),VLOOKUP($I$176&amp;$B$193,FLNFIX!$BY$4:$EF$103,4,0))</f>
        <v>#N/A</v>
      </c>
      <c r="F193" s="755" t="e">
        <f>IF($C$193=0,NA(),VLOOKUP($I$176&amp;$B$193,FLNFIX!$BY$4:$EF$103,3,0))</f>
        <v>#N/A</v>
      </c>
      <c r="G193" s="756" t="e">
        <f>IF($C$193=0,NA(),VLOOKUP($I$176&amp;$B$193,FLNFIX!$BY$4:$EF$103,5,0))</f>
        <v>#N/A</v>
      </c>
      <c r="H193" s="757"/>
      <c r="I193" s="757"/>
      <c r="J193" s="758"/>
      <c r="K193" s="677"/>
    </row>
    <row r="194" ht="20.1" customHeight="1" spans="1:11">
      <c r="A194" s="675"/>
      <c r="B194" s="755">
        <f t="shared" si="3"/>
        <v>15</v>
      </c>
      <c r="C194" s="755">
        <f>IFERROR(VLOOKUP(B194,DATEWISE!$A$3:$BY$27,2,0),0)</f>
        <v>0</v>
      </c>
      <c r="D194" s="755" t="e">
        <f>IF($C$194=0,NA(),VLOOKUP($I$176&amp;$B$194,FLNFIX!$CD$4:$EF$103,2,0))</f>
        <v>#N/A</v>
      </c>
      <c r="E194" s="755" t="e">
        <f>IF($C$194=0,NA(),VLOOKUP($I$176&amp;$B$194,FLNFIX!$CD$4:$EF$103,4,0))</f>
        <v>#N/A</v>
      </c>
      <c r="F194" s="755" t="e">
        <f>IF($C$194=0,NA(),VLOOKUP($I$176&amp;$B$194,FLNFIX!$CD$4:$EF$103,3,0))</f>
        <v>#N/A</v>
      </c>
      <c r="G194" s="756" t="e">
        <f>IF($C$194=0,NA(),VLOOKUP($I$176&amp;$B$194,FLNFIX!$CD$4:$EF$103,5,0))</f>
        <v>#N/A</v>
      </c>
      <c r="H194" s="757"/>
      <c r="I194" s="757"/>
      <c r="J194" s="758"/>
      <c r="K194" s="677"/>
    </row>
    <row r="195" ht="20.1" customHeight="1" spans="1:11">
      <c r="A195" s="675"/>
      <c r="B195" s="755">
        <f t="shared" si="3"/>
        <v>16</v>
      </c>
      <c r="C195" s="755">
        <f>IFERROR(VLOOKUP(B195,DATEWISE!$A$3:$BY$27,2,0),0)</f>
        <v>0</v>
      </c>
      <c r="D195" s="755" t="e">
        <f>IF($C$195=0,NA(),VLOOKUP($I$176&amp;$B$195,FLNFIX!$CI$4:$EF$103,2,0))</f>
        <v>#N/A</v>
      </c>
      <c r="E195" s="755" t="e">
        <f>IF($C$195=0,NA(),VLOOKUP($I$176&amp;$B$195,FLNFIX!$CI$4:$EF$103,4,0))</f>
        <v>#N/A</v>
      </c>
      <c r="F195" s="755" t="e">
        <f>IF($C$195=0,NA(),VLOOKUP($I$176&amp;$B$195,FLNFIX!$CI$4:$EF$103,3,0))</f>
        <v>#N/A</v>
      </c>
      <c r="G195" s="756" t="e">
        <f>IF($C$195=0,NA(),VLOOKUP($I$176&amp;$B$195,FLNFIX!$CI$4:$EF$103,5,0))</f>
        <v>#N/A</v>
      </c>
      <c r="H195" s="757"/>
      <c r="I195" s="757"/>
      <c r="J195" s="758"/>
      <c r="K195" s="677"/>
    </row>
    <row r="196" ht="20.1" customHeight="1" spans="1:11">
      <c r="A196" s="675"/>
      <c r="B196" s="755">
        <f t="shared" si="3"/>
        <v>17</v>
      </c>
      <c r="C196" s="755">
        <f>IFERROR(VLOOKUP(B196,DATEWISE!$A$3:$BY$27,2,0),0)</f>
        <v>0</v>
      </c>
      <c r="D196" s="755" t="e">
        <f>IF($C$196=0,NA(),VLOOKUP($I$176&amp;$B$196,FLNFIX!$CN$4:$EF$103,2,0))</f>
        <v>#N/A</v>
      </c>
      <c r="E196" s="755" t="e">
        <f>IF($C$196=0,NA(),VLOOKUP($I$176&amp;$B$196,FLNFIX!$CN$4:$EF$103,4,0))</f>
        <v>#N/A</v>
      </c>
      <c r="F196" s="755" t="e">
        <f>IF($C$196=0,NA(),VLOOKUP($I$176&amp;$B$196,FLNFIX!$CN$4:$EF$103,3,0))</f>
        <v>#N/A</v>
      </c>
      <c r="G196" s="756" t="e">
        <f>IF($C$196=0,NA(),VLOOKUP($I$176&amp;$B$196,FLNFIX!$CN$4:$EF$103,5,0))</f>
        <v>#N/A</v>
      </c>
      <c r="H196" s="757"/>
      <c r="I196" s="757"/>
      <c r="J196" s="758"/>
      <c r="K196" s="677"/>
    </row>
    <row r="197" ht="20.1" customHeight="1" spans="1:11">
      <c r="A197" s="675"/>
      <c r="B197" s="755">
        <f t="shared" si="3"/>
        <v>18</v>
      </c>
      <c r="C197" s="755">
        <f>IFERROR(VLOOKUP(B197,DATEWISE!$A$3:$BY$27,2,0),0)</f>
        <v>0</v>
      </c>
      <c r="D197" s="755" t="e">
        <f>IF($C$197=0,NA(),VLOOKUP($I$176&amp;$B$197,FLNFIX!$CS$4:$EF$103,2,0))</f>
        <v>#N/A</v>
      </c>
      <c r="E197" s="755" t="e">
        <f>IF($C$197=0,NA(),VLOOKUP($I$176&amp;$B$197,FLNFIX!$CS$4:$EF$103,4,0))</f>
        <v>#N/A</v>
      </c>
      <c r="F197" s="755" t="e">
        <f>IF($C$197=0,NA(),VLOOKUP($I$176&amp;$B$197,FLNFIX!$CS$4:$EF$103,3,0))</f>
        <v>#N/A</v>
      </c>
      <c r="G197" s="756" t="e">
        <f>IF($C$197=0,NA(),VLOOKUP($I$176&amp;$B$197,FLNFIX!$CS$4:$EF$103,5,0))</f>
        <v>#N/A</v>
      </c>
      <c r="H197" s="757"/>
      <c r="I197" s="757"/>
      <c r="J197" s="758"/>
      <c r="K197" s="677"/>
    </row>
    <row r="198" ht="20.1" customHeight="1" spans="1:11">
      <c r="A198" s="675"/>
      <c r="B198" s="755">
        <f t="shared" si="3"/>
        <v>19</v>
      </c>
      <c r="C198" s="755">
        <f>IFERROR(VLOOKUP(B198,DATEWISE!$A$3:$BY$27,2,0),0)</f>
        <v>0</v>
      </c>
      <c r="D198" s="755" t="e">
        <f>IF($C$198=0,NA(),VLOOKUP($I$176&amp;$B$198,FLNFIX!$CX$4:$EF$103,2,0))</f>
        <v>#N/A</v>
      </c>
      <c r="E198" s="755" t="e">
        <f>IF($C$198=0,NA(),VLOOKUP($I$176&amp;$B$198,FLNFIX!$CX$4:$EF$103,4,0))</f>
        <v>#N/A</v>
      </c>
      <c r="F198" s="755" t="e">
        <f>IF($C$198=0,NA(),VLOOKUP($I$176&amp;$B$198,FLNFIX!$CX$4:$EF$103,3,0))</f>
        <v>#N/A</v>
      </c>
      <c r="G198" s="756" t="e">
        <f>IF($C$198=0,NA(),VLOOKUP($I$176&amp;$B$198,FLNFIX!$CX$4:$EF$103,5,0))</f>
        <v>#N/A</v>
      </c>
      <c r="H198" s="757"/>
      <c r="I198" s="757"/>
      <c r="J198" s="758"/>
      <c r="K198" s="677"/>
    </row>
    <row r="199" ht="20.1" customHeight="1" spans="1:11">
      <c r="A199" s="675"/>
      <c r="B199" s="755">
        <f t="shared" si="3"/>
        <v>20</v>
      </c>
      <c r="C199" s="755">
        <f>IFERROR(VLOOKUP(B199,DATEWISE!$A$3:$BY$27,2,0),0)</f>
        <v>0</v>
      </c>
      <c r="D199" s="755" t="e">
        <f>IF($C$199=0,NA(),VLOOKUP($I$176&amp;$B$199,FLNFIX!$DC$4:$EF$103,2,0))</f>
        <v>#N/A</v>
      </c>
      <c r="E199" s="755" t="e">
        <f>IF($C$199=0,NA(),VLOOKUP($I$176&amp;$B$199,FLNFIX!$DC$4:$EF$103,4,0))</f>
        <v>#N/A</v>
      </c>
      <c r="F199" s="755" t="e">
        <f>IF($C$199=0,NA(),VLOOKUP($I$176&amp;$B$199,FLNFIX!$DC$4:$EF$103,3,0))</f>
        <v>#N/A</v>
      </c>
      <c r="G199" s="756" t="e">
        <f>IF($C$199=0,NA(),VLOOKUP($I$176&amp;$B$199,FLNFIX!$DC$4:$EF$103,5,0))</f>
        <v>#N/A</v>
      </c>
      <c r="H199" s="757"/>
      <c r="I199" s="757"/>
      <c r="J199" s="758"/>
      <c r="K199" s="677"/>
    </row>
    <row r="200" ht="20.1" customHeight="1" spans="1:11">
      <c r="A200" s="675"/>
      <c r="B200" s="755">
        <f t="shared" si="3"/>
        <v>21</v>
      </c>
      <c r="C200" s="755">
        <f>IFERROR(VLOOKUP(B200,DATEWISE!$A$3:$BY$27,2,0),0)</f>
        <v>0</v>
      </c>
      <c r="D200" s="755" t="e">
        <f>IF($C$200=0,NA(),VLOOKUP($I$176&amp;$B$200,FLNFIX!$DH$4:$EF$103,2,0))</f>
        <v>#N/A</v>
      </c>
      <c r="E200" s="755" t="e">
        <f>IF($C$200=0,NA(),VLOOKUP($I$176&amp;$B$200,FLNFIX!$DH$4:$EF$103,4,0))</f>
        <v>#N/A</v>
      </c>
      <c r="F200" s="755" t="e">
        <f>IF($C$200=0,NA(),VLOOKUP($I$176&amp;$B$200,FLNFIX!$DH$4:$EF$103,3,0))</f>
        <v>#N/A</v>
      </c>
      <c r="G200" s="756" t="e">
        <f>IF($C$200=0,NA(),VLOOKUP($I$176&amp;$B$200,FLNFIX!$DH$4:$EF$103,5,0))</f>
        <v>#N/A</v>
      </c>
      <c r="H200" s="757"/>
      <c r="I200" s="757"/>
      <c r="J200" s="758"/>
      <c r="K200" s="677"/>
    </row>
    <row r="201" ht="5.1" customHeight="1" spans="1:11">
      <c r="A201" s="675"/>
      <c r="B201" s="759"/>
      <c r="C201" s="759"/>
      <c r="D201" s="760"/>
      <c r="E201" s="760"/>
      <c r="F201" s="760"/>
      <c r="G201" s="761"/>
      <c r="H201" s="761"/>
      <c r="I201" s="761"/>
      <c r="J201" s="761"/>
      <c r="K201" s="677"/>
    </row>
    <row r="202" s="667" customFormat="1" ht="24.95" customHeight="1" spans="1:11">
      <c r="A202" s="711"/>
      <c r="B202" s="762" t="s">
        <v>431</v>
      </c>
      <c r="C202" s="763"/>
      <c r="D202" s="763"/>
      <c r="E202" s="763"/>
      <c r="F202" s="763"/>
      <c r="G202" s="763"/>
      <c r="H202" s="763"/>
      <c r="I202" s="763"/>
      <c r="J202" s="764"/>
      <c r="K202" s="713"/>
    </row>
    <row r="203" spans="1:11">
      <c r="A203" s="675"/>
      <c r="B203" s="765"/>
      <c r="C203" s="686"/>
      <c r="D203" s="686"/>
      <c r="E203" s="686"/>
      <c r="F203" s="686"/>
      <c r="G203" s="686"/>
      <c r="H203" s="686"/>
      <c r="I203" s="686"/>
      <c r="J203" s="766"/>
      <c r="K203" s="677"/>
    </row>
    <row r="204" spans="1:11">
      <c r="A204" s="675"/>
      <c r="B204" s="765"/>
      <c r="C204" s="686"/>
      <c r="D204" s="686"/>
      <c r="E204" s="686"/>
      <c r="F204" s="686"/>
      <c r="G204" s="686"/>
      <c r="H204" s="686"/>
      <c r="I204" s="686"/>
      <c r="J204" s="766"/>
      <c r="K204" s="677"/>
    </row>
    <row r="205" spans="1:11">
      <c r="A205" s="675"/>
      <c r="B205" s="765"/>
      <c r="C205" s="686"/>
      <c r="D205" s="686"/>
      <c r="E205" s="686"/>
      <c r="F205" s="686"/>
      <c r="G205" s="686"/>
      <c r="H205" s="686"/>
      <c r="I205" s="686"/>
      <c r="J205" s="766"/>
      <c r="K205" s="677"/>
    </row>
    <row r="206" spans="1:11">
      <c r="A206" s="675"/>
      <c r="B206" s="765"/>
      <c r="C206" s="686"/>
      <c r="D206" s="686"/>
      <c r="E206" s="686"/>
      <c r="F206" s="686"/>
      <c r="G206" s="686"/>
      <c r="H206" s="686"/>
      <c r="I206" s="686"/>
      <c r="J206" s="766"/>
      <c r="K206" s="677"/>
    </row>
    <row r="207" spans="1:11">
      <c r="A207" s="675"/>
      <c r="B207" s="765"/>
      <c r="C207" s="686"/>
      <c r="D207" s="686"/>
      <c r="E207" s="686"/>
      <c r="F207" s="686"/>
      <c r="G207" s="686"/>
      <c r="H207" s="686"/>
      <c r="I207" s="686"/>
      <c r="J207" s="766"/>
      <c r="K207" s="677"/>
    </row>
    <row r="208" spans="1:11">
      <c r="A208" s="675"/>
      <c r="B208" s="765"/>
      <c r="C208" s="686"/>
      <c r="D208" s="686"/>
      <c r="E208" s="686"/>
      <c r="F208" s="686"/>
      <c r="G208" s="686"/>
      <c r="H208" s="686"/>
      <c r="I208" s="686"/>
      <c r="J208" s="766"/>
      <c r="K208" s="677"/>
    </row>
    <row r="209" spans="1:11">
      <c r="A209" s="675"/>
      <c r="B209" s="765"/>
      <c r="C209" s="686"/>
      <c r="D209" s="686"/>
      <c r="E209" s="686"/>
      <c r="F209" s="686"/>
      <c r="G209" s="686"/>
      <c r="H209" s="686"/>
      <c r="I209" s="686"/>
      <c r="J209" s="766"/>
      <c r="K209" s="677"/>
    </row>
    <row r="210" spans="1:11">
      <c r="A210" s="675"/>
      <c r="B210" s="765"/>
      <c r="C210" s="686"/>
      <c r="D210" s="686"/>
      <c r="E210" s="686"/>
      <c r="F210" s="686"/>
      <c r="G210" s="686"/>
      <c r="H210" s="686"/>
      <c r="I210" s="686"/>
      <c r="J210" s="766"/>
      <c r="K210" s="677"/>
    </row>
    <row r="211" spans="1:11">
      <c r="A211" s="675"/>
      <c r="B211" s="765"/>
      <c r="C211" s="686"/>
      <c r="D211" s="686"/>
      <c r="E211" s="686"/>
      <c r="F211" s="686"/>
      <c r="G211" s="686"/>
      <c r="H211" s="686"/>
      <c r="I211" s="686"/>
      <c r="J211" s="766"/>
      <c r="K211" s="677"/>
    </row>
    <row r="212" spans="1:11">
      <c r="A212" s="675"/>
      <c r="B212" s="767"/>
      <c r="C212" s="768"/>
      <c r="D212" s="768"/>
      <c r="E212" s="768"/>
      <c r="F212" s="768"/>
      <c r="G212" s="768"/>
      <c r="H212" s="768"/>
      <c r="I212" s="768"/>
      <c r="J212" s="769"/>
      <c r="K212" s="677"/>
    </row>
    <row r="213" ht="5.1" customHeight="1" spans="1:11">
      <c r="A213" s="675"/>
      <c r="B213" s="686"/>
      <c r="C213" s="686"/>
      <c r="D213" s="686"/>
      <c r="E213" s="686"/>
      <c r="F213" s="686"/>
      <c r="G213" s="686"/>
      <c r="H213" s="686"/>
      <c r="I213" s="686"/>
      <c r="J213" s="686"/>
      <c r="K213" s="677"/>
    </row>
    <row r="214" spans="1:11">
      <c r="A214" s="675"/>
      <c r="B214" s="770" t="s">
        <v>432</v>
      </c>
      <c r="C214" s="770"/>
      <c r="D214" s="770"/>
      <c r="E214" s="770"/>
      <c r="F214" s="770"/>
      <c r="G214" s="770"/>
      <c r="H214" s="770"/>
      <c r="I214" s="770"/>
      <c r="J214" s="770"/>
      <c r="K214" s="677"/>
    </row>
    <row r="215" spans="1:11">
      <c r="A215" s="675"/>
      <c r="B215" s="771"/>
      <c r="C215" s="771"/>
      <c r="D215" s="771"/>
      <c r="E215" s="771"/>
      <c r="F215" s="771"/>
      <c r="G215" s="771"/>
      <c r="H215" s="771"/>
      <c r="I215" s="771"/>
      <c r="J215" s="771"/>
      <c r="K215" s="677"/>
    </row>
    <row r="216" spans="1:11">
      <c r="A216" s="675"/>
      <c r="B216" s="771"/>
      <c r="C216" s="771"/>
      <c r="D216" s="771"/>
      <c r="E216" s="771"/>
      <c r="F216" s="771"/>
      <c r="G216" s="771"/>
      <c r="H216" s="771"/>
      <c r="I216" s="771"/>
      <c r="J216" s="771"/>
      <c r="K216" s="677"/>
    </row>
    <row r="217" spans="1:11">
      <c r="A217" s="675"/>
      <c r="B217" s="771"/>
      <c r="C217" s="771"/>
      <c r="D217" s="771"/>
      <c r="E217" s="771"/>
      <c r="F217" s="771"/>
      <c r="G217" s="771"/>
      <c r="H217" s="771"/>
      <c r="I217" s="771"/>
      <c r="J217" s="771"/>
      <c r="K217" s="677"/>
    </row>
    <row r="218" spans="1:11">
      <c r="A218" s="675"/>
      <c r="B218" s="686"/>
      <c r="C218" s="686"/>
      <c r="D218" s="686"/>
      <c r="E218" s="686"/>
      <c r="F218" s="686"/>
      <c r="G218" s="686"/>
      <c r="H218" s="686"/>
      <c r="I218" s="686"/>
      <c r="J218" s="686"/>
      <c r="K218" s="677"/>
    </row>
    <row r="219" spans="1:11">
      <c r="A219" s="675"/>
      <c r="B219" s="686"/>
      <c r="C219" s="729" t="s">
        <v>433</v>
      </c>
      <c r="D219" s="729"/>
      <c r="E219" s="686"/>
      <c r="F219" s="686"/>
      <c r="G219" s="729" t="s">
        <v>434</v>
      </c>
      <c r="H219" s="729"/>
      <c r="I219" s="729"/>
      <c r="J219" s="729"/>
      <c r="K219" s="677"/>
    </row>
    <row r="220" ht="16.35" spans="1:11">
      <c r="A220" s="725"/>
      <c r="B220" s="726"/>
      <c r="C220" s="732" t="str">
        <f>"("&amp;PROPER(ENTRY!$D$19)&amp;")"</f>
        <v>(Indrajeet)</v>
      </c>
      <c r="D220" s="732"/>
      <c r="E220" s="726"/>
      <c r="F220" s="726"/>
      <c r="G220" s="732" t="str">
        <f>"("&amp;PROPER(ENTRY!$D$12)&amp;")"</f>
        <v>(Shambhu Dayal Meena)</v>
      </c>
      <c r="H220" s="732"/>
      <c r="I220" s="732"/>
      <c r="J220" s="732"/>
      <c r="K220" s="728"/>
    </row>
    <row r="221" ht="24.6" spans="1:11">
      <c r="B221" s="734"/>
      <c r="C221" s="734"/>
      <c r="D221" s="669" t="str">
        <f>ENTRY!$D$3</f>
        <v>MUNICIPAL CORPORATION OF DELHI</v>
      </c>
      <c r="E221" s="669"/>
      <c r="F221" s="669"/>
      <c r="G221" s="669"/>
      <c r="H221" s="734"/>
      <c r="I221" s="669"/>
      <c r="J221" s="669"/>
    </row>
    <row r="222" ht="20.4" spans="1:11">
      <c r="B222" s="735"/>
      <c r="C222" s="735"/>
      <c r="D222" s="670" t="str">
        <f>ENTRY!$D$4</f>
        <v>EDUCATION DEPARTMENT</v>
      </c>
      <c r="E222" s="670"/>
      <c r="F222" s="670"/>
      <c r="G222" s="670"/>
      <c r="H222" s="735"/>
      <c r="I222" s="669"/>
      <c r="J222" s="669"/>
    </row>
    <row r="223" ht="22.8" spans="1:11">
      <c r="B223" s="736"/>
      <c r="C223" s="736"/>
      <c r="D223" s="664" t="s">
        <v>417</v>
      </c>
      <c r="E223" s="664"/>
      <c r="F223" s="664"/>
      <c r="G223" s="664"/>
      <c r="H223" s="736"/>
      <c r="I223" s="669"/>
      <c r="J223" s="669"/>
    </row>
    <row r="224" ht="22.8" spans="1:11">
      <c r="B224" s="736"/>
      <c r="C224" s="736"/>
      <c r="D224" s="664" t="s">
        <v>418</v>
      </c>
      <c r="E224" s="664"/>
      <c r="F224" s="664"/>
      <c r="G224" s="664"/>
      <c r="H224" s="736"/>
      <c r="I224" s="669"/>
      <c r="J224" s="669"/>
    </row>
    <row r="225" ht="24.95" customHeight="1" spans="1:11">
      <c r="B225" s="735"/>
      <c r="C225" s="735"/>
      <c r="D225" s="737" t="str">
        <f>"SESSION : "&amp;ENTRY!$D$11</f>
        <v>SESSION : 2026-27</v>
      </c>
      <c r="E225" s="737"/>
      <c r="F225" s="737"/>
      <c r="G225" s="737"/>
      <c r="H225" s="735"/>
      <c r="I225" s="738"/>
      <c r="J225" s="738"/>
    </row>
    <row r="226" ht="3.75" customHeight="1" spans="1:11">
      <c r="A226" s="672"/>
      <c r="B226" s="739"/>
      <c r="C226" s="739"/>
      <c r="D226" s="739"/>
      <c r="E226" s="739"/>
      <c r="F226" s="739"/>
      <c r="G226" s="739"/>
      <c r="H226" s="739"/>
      <c r="I226" s="739"/>
      <c r="J226" s="739"/>
      <c r="K226" s="674"/>
    </row>
    <row r="227" ht="21.95" customHeight="1" spans="1:11">
      <c r="A227" s="675"/>
      <c r="B227" s="676" t="s">
        <v>419</v>
      </c>
      <c r="C227" s="676"/>
      <c r="D227" s="676" t="str">
        <f>ENTRY!$D$6</f>
        <v>MCP NITHARI NO 1 BOYS</v>
      </c>
      <c r="E227" s="676"/>
      <c r="F227" s="676"/>
      <c r="G227" s="676"/>
      <c r="H227" s="676"/>
      <c r="I227" s="676"/>
      <c r="J227" s="676"/>
      <c r="K227" s="677"/>
    </row>
    <row r="228" ht="21.95" customHeight="1" spans="1:11">
      <c r="A228" s="675"/>
      <c r="B228" s="676" t="s">
        <v>420</v>
      </c>
      <c r="C228" s="676"/>
      <c r="D228" s="740" t="str">
        <f>IFERROR(VLOOKUP($I$231,STUDENT!$A$2:$BP$101,5,0),"")</f>
        <v>KIRSHNA</v>
      </c>
      <c r="E228" s="740"/>
      <c r="F228" s="740"/>
      <c r="G228" s="740"/>
      <c r="H228" s="740"/>
      <c r="I228" s="740"/>
      <c r="J228" s="740"/>
      <c r="K228" s="677"/>
    </row>
    <row r="229" ht="21.95" customHeight="1" spans="1:11">
      <c r="A229" s="675"/>
      <c r="B229" s="676" t="s">
        <v>421</v>
      </c>
      <c r="C229" s="676"/>
      <c r="D229" s="740" t="str">
        <f>IFERROR(VLOOKUP($I$231,STUDENT!$A$2:$BP$101,8,0),"")</f>
        <v>VISHNU KASHYAP</v>
      </c>
      <c r="E229" s="740"/>
      <c r="F229" s="740"/>
      <c r="G229" s="740"/>
      <c r="H229" s="740"/>
      <c r="I229" s="740"/>
      <c r="J229" s="740"/>
      <c r="K229" s="677"/>
    </row>
    <row r="230" ht="21.95" customHeight="1" spans="1:11">
      <c r="A230" s="675"/>
      <c r="B230" s="676" t="s">
        <v>422</v>
      </c>
      <c r="C230" s="676"/>
      <c r="D230" s="740">
        <f>IFERROR(VLOOKUP($I$231,STUDENT!$A$2:$BP$101,6,0),"")</f>
        <v>14785</v>
      </c>
      <c r="E230" s="740"/>
      <c r="F230" s="740"/>
      <c r="G230" s="740"/>
      <c r="H230" s="740"/>
      <c r="I230" s="740"/>
      <c r="J230" s="740"/>
      <c r="K230" s="677"/>
    </row>
    <row r="231" ht="21.95" customHeight="1" spans="1:11">
      <c r="A231" s="675"/>
      <c r="B231" s="676" t="s">
        <v>423</v>
      </c>
      <c r="C231" s="676"/>
      <c r="D231" s="741" t="str">
        <f>IFERROR(VLOOKUP($I$231,STUDENT!$A$2:$BP$101,59,0),"")</f>
        <v/>
      </c>
      <c r="E231" s="742" t="s">
        <v>424</v>
      </c>
      <c r="F231" s="704" t="str">
        <f>IFERROR(VLOOKUP($I$231,STUDENT!$A$2:$BP$101,2,0),"")</f>
        <v>III-A</v>
      </c>
      <c r="G231" s="742" t="s">
        <v>425</v>
      </c>
      <c r="H231" s="743"/>
      <c r="I231" s="733">
        <f>I176+1</f>
        <v>5</v>
      </c>
      <c r="J231" s="683"/>
      <c r="K231" s="677"/>
    </row>
    <row r="232" ht="5.1" customHeight="1" spans="1:11">
      <c r="A232" s="675"/>
      <c r="B232" s="745"/>
      <c r="C232" s="745"/>
      <c r="D232" s="746"/>
      <c r="E232" s="747"/>
      <c r="F232" s="748"/>
      <c r="G232" s="747"/>
      <c r="H232" s="686"/>
      <c r="I232" s="686"/>
      <c r="J232" s="686"/>
      <c r="K232" s="677"/>
    </row>
    <row r="233" s="664" customFormat="1" ht="32.1" customHeight="1" spans="1:11">
      <c r="A233" s="688"/>
      <c r="B233" s="749" t="s">
        <v>426</v>
      </c>
      <c r="C233" s="750"/>
      <c r="D233" s="750"/>
      <c r="E233" s="750"/>
      <c r="F233" s="750"/>
      <c r="G233" s="750"/>
      <c r="H233" s="750"/>
      <c r="I233" s="750"/>
      <c r="J233" s="751"/>
      <c r="K233" s="690"/>
    </row>
    <row r="234" ht="51.6" spans="1:11">
      <c r="A234" s="675"/>
      <c r="B234" s="752">
        <v>21</v>
      </c>
      <c r="C234" s="753" t="s">
        <v>427</v>
      </c>
      <c r="D234" s="754" t="s">
        <v>428</v>
      </c>
      <c r="E234" s="754" t="s">
        <v>429</v>
      </c>
      <c r="F234" s="754" t="s">
        <v>430</v>
      </c>
      <c r="G234" s="753" t="s">
        <v>390</v>
      </c>
      <c r="H234" s="714"/>
      <c r="I234" s="714"/>
      <c r="J234" s="714"/>
      <c r="K234" s="677"/>
    </row>
    <row r="235" ht="20.1" customHeight="1" spans="1:11">
      <c r="A235" s="675"/>
      <c r="B235" s="755">
        <v>1</v>
      </c>
      <c r="C235" s="755" t="str">
        <f>IFERROR(VLOOKUP(B235,DATEWISE!$A$3:$BY$27,2,0),0)</f>
        <v>30.04.2026</v>
      </c>
      <c r="D235" s="755">
        <f>IF($C$235=0,NA(),VLOOKUP($I$231&amp;$B$235,FLNFIX!$L$4:$EF$103,2,0))</f>
        <v>2</v>
      </c>
      <c r="E235" s="755">
        <f>IF($C$235=0,NA(),VLOOKUP($I$231&amp;$B$235,FLNFIX!$L$4:$EF$103,4,0))</f>
        <v>3</v>
      </c>
      <c r="F235" s="755">
        <f>IF($C$235=0,NA(),VLOOKUP($I$231&amp;$B$235,FLNFIX!$L$4:$EF$103,3,0))</f>
        <v>2</v>
      </c>
      <c r="G235" s="756">
        <f>IF($C$235=0,NA(),VLOOKUP($I$231&amp;$B$235,FLNFIX!$L$4:$EF$103,5,0))</f>
        <v>0</v>
      </c>
      <c r="H235" s="757"/>
      <c r="I235" s="757"/>
      <c r="J235" s="758"/>
      <c r="K235" s="677"/>
    </row>
    <row r="236" ht="20.1" customHeight="1" spans="1:11">
      <c r="A236" s="675"/>
      <c r="B236" s="755">
        <f t="shared" ref="B236:B255" si="4">IF(B235=0,0,IF(B235&lt;$B$234,B235+1,""))</f>
        <v>2</v>
      </c>
      <c r="C236" s="755" t="str">
        <f>IFERROR(VLOOKUP(B236,DATEWISE!$A$3:$BY$27,2,0),0)</f>
        <v>08.05.2026</v>
      </c>
      <c r="D236" s="755">
        <f>IF($C$236=0,NA(),VLOOKUP($I$231&amp;$B$236,FLNFIX!$Q$4:$EF$103,2,0))</f>
        <v>2</v>
      </c>
      <c r="E236" s="755">
        <f>IF($C$236=0,NA(),VLOOKUP($I$231&amp;$B$236,FLNFIX!$Q$4:$EF$103,4,0))</f>
        <v>3</v>
      </c>
      <c r="F236" s="755">
        <f>IF($C$236=0,NA(),VLOOKUP($I$231&amp;$B$236,FLNFIX!$Q$4:$EF$103,3,0))</f>
        <v>2</v>
      </c>
      <c r="G236" s="756">
        <f>IF($C$236=0,NA(),VLOOKUP($I$231&amp;$B$236,FLNFIX!$Q$4:$EF$103,5,0))</f>
        <v>0</v>
      </c>
      <c r="H236" s="757"/>
      <c r="I236" s="757"/>
      <c r="J236" s="758"/>
      <c r="K236" s="677"/>
    </row>
    <row r="237" ht="20.1" customHeight="1" spans="1:11">
      <c r="A237" s="675"/>
      <c r="B237" s="755">
        <f t="shared" si="4"/>
        <v>3</v>
      </c>
      <c r="C237" s="755" t="str">
        <f>IFERROR(VLOOKUP(B237,DATEWISE!$A$3:$BY$27,2,0),0)</f>
        <v>15.07.2026</v>
      </c>
      <c r="D237" s="755">
        <f>IF($C$237=0,NA(),VLOOKUP($I$231&amp;$B$237,FLNFIX!$V$4:$EF$103,2,0))</f>
        <v>2</v>
      </c>
      <c r="E237" s="755">
        <f>IF($C$237=0,NA(),VLOOKUP($I$231&amp;$B$237,FLNFIX!$V$4:$EF$103,4,0))</f>
        <v>3</v>
      </c>
      <c r="F237" s="755">
        <f>IF($C$237=0,NA(),VLOOKUP($I$231&amp;$B$237,FLNFIX!$V$4:$EF$103,3,0))</f>
        <v>2</v>
      </c>
      <c r="G237" s="756">
        <f>IF($C$237=0,NA(),VLOOKUP($I$231&amp;$B$237,FLNFIX!$V$4:$EF$103,5,0))</f>
        <v>0</v>
      </c>
      <c r="H237" s="757"/>
      <c r="I237" s="757"/>
      <c r="J237" s="758"/>
      <c r="K237" s="677"/>
    </row>
    <row r="238" ht="20.1" customHeight="1" spans="1:11">
      <c r="A238" s="675"/>
      <c r="B238" s="755">
        <f t="shared" si="4"/>
        <v>4</v>
      </c>
      <c r="C238" s="755" t="str">
        <f>IFERROR(VLOOKUP(B238,DATEWISE!$A$3:$BY$27,2,0),0)</f>
        <v>31.07.2026</v>
      </c>
      <c r="D238" s="755">
        <f>IF($C$238=0,NA(),VLOOKUP($I$231&amp;$B$238,FLNFIX!$AA$4:$EF$103,2,0))</f>
        <v>2</v>
      </c>
      <c r="E238" s="755">
        <f>IF($C$238=0,NA(),VLOOKUP($I$231&amp;$B$238,FLNFIX!$AA$4:$EF$103,4,0))</f>
        <v>3</v>
      </c>
      <c r="F238" s="755">
        <f>IF($C$238=0,NA(),VLOOKUP($I$231&amp;$B$238,FLNFIX!$AA$4:$EF$103,3,0))</f>
        <v>2</v>
      </c>
      <c r="G238" s="756">
        <f>IF($C$238=0,NA(),VLOOKUP($I$231&amp;$B$238,FLNFIX!$AA$4:$EF$103,5,0))</f>
        <v>0</v>
      </c>
      <c r="H238" s="757"/>
      <c r="I238" s="757"/>
      <c r="J238" s="758"/>
      <c r="K238" s="677"/>
    </row>
    <row r="239" ht="20.1" customHeight="1" spans="1:11">
      <c r="A239" s="675"/>
      <c r="B239" s="755">
        <f t="shared" si="4"/>
        <v>5</v>
      </c>
      <c r="C239" s="755" t="str">
        <f>IFERROR(VLOOKUP(B239,DATEWISE!$A$3:$BY$27,2,0),0)</f>
        <v>17.08.2026</v>
      </c>
      <c r="D239" s="755">
        <f>IF($C$239=0,NA(),VLOOKUP($I$231&amp;$B$239,FLNFIX!$AF$4:$EF$103,2,0))</f>
        <v>2</v>
      </c>
      <c r="E239" s="755">
        <f>IF($C$239=0,NA(),VLOOKUP($I$231&amp;$B$239,FLNFIX!$AF$4:$EF$103,4,0))</f>
        <v>3</v>
      </c>
      <c r="F239" s="755">
        <f>IF($C$239=0,NA(),VLOOKUP($I$231&amp;$B$239,FLNFIX!$AF$4:$EF$103,3,0))</f>
        <v>2</v>
      </c>
      <c r="G239" s="756">
        <f>IF($C$239=0,NA(),VLOOKUP($I$231&amp;$B$239,FLNFIX!$AF$4:$EF$103,5,0))</f>
        <v>0</v>
      </c>
      <c r="H239" s="757"/>
      <c r="I239" s="757"/>
      <c r="J239" s="758"/>
      <c r="K239" s="677"/>
    </row>
    <row r="240" ht="20.1" customHeight="1" spans="1:11">
      <c r="A240" s="675"/>
      <c r="B240" s="755">
        <f t="shared" si="4"/>
        <v>6</v>
      </c>
      <c r="C240" s="755" t="str">
        <f>IFERROR(VLOOKUP(B240,DATEWISE!$A$3:$BY$27,2,0),0)</f>
        <v>31.08.2026</v>
      </c>
      <c r="D240" s="755">
        <f>IF($C$240=0,NA(),VLOOKUP($I$231&amp;$B$240,FLNFIX!$AK$4:$EF$103,2,0))</f>
        <v>3</v>
      </c>
      <c r="E240" s="755">
        <f>IF($C$240=0,NA(),VLOOKUP($I$231&amp;$B$240,FLNFIX!$AK$4:$EF$103,4,0))</f>
        <v>4</v>
      </c>
      <c r="F240" s="755">
        <f>IF($C$240=0,NA(),VLOOKUP($I$231&amp;$B$240,FLNFIX!$AK$4:$EF$103,3,0))</f>
        <v>2</v>
      </c>
      <c r="G240" s="756">
        <f>IF($C$240=0,NA(),VLOOKUP($I$231&amp;$B$240,FLNFIX!$AK$4:$EF$103,5,0))</f>
        <v>0</v>
      </c>
      <c r="H240" s="757"/>
      <c r="I240" s="757"/>
      <c r="J240" s="758"/>
      <c r="K240" s="677"/>
    </row>
    <row r="241" ht="20.1" customHeight="1" spans="1:11">
      <c r="A241" s="675"/>
      <c r="B241" s="755">
        <f t="shared" si="4"/>
        <v>7</v>
      </c>
      <c r="C241" s="755">
        <f>IFERROR(VLOOKUP(B241,DATEWISE!$A$3:$BY$27,2,0),0)</f>
        <v>0</v>
      </c>
      <c r="D241" s="755" t="e">
        <f>IF($C$241=0,NA(),VLOOKUP($I$231&amp;$B$241,FLNFIX!$AP$4:$EF$103,2,0))</f>
        <v>#N/A</v>
      </c>
      <c r="E241" s="755" t="e">
        <f>IF($C$241=0,NA(),VLOOKUP($I$231&amp;$B$241,FLNFIX!$AP$4:$EF$103,4,0))</f>
        <v>#N/A</v>
      </c>
      <c r="F241" s="755" t="e">
        <f>IF($C$241=0,NA(),VLOOKUP($I$231&amp;$B$241,FLNFIX!$AP$4:$EF$103,3,0))</f>
        <v>#N/A</v>
      </c>
      <c r="G241" s="756" t="e">
        <f>IF($C$241=0,NA(),VLOOKUP($I$231&amp;$B$241,FLNFIX!$AP$4:$EF$103,5,0))</f>
        <v>#N/A</v>
      </c>
      <c r="H241" s="757"/>
      <c r="I241" s="757"/>
      <c r="J241" s="758"/>
      <c r="K241" s="677"/>
    </row>
    <row r="242" ht="20.1" customHeight="1" spans="1:11">
      <c r="A242" s="675"/>
      <c r="B242" s="755">
        <f t="shared" si="4"/>
        <v>8</v>
      </c>
      <c r="C242" s="755">
        <f>IFERROR(VLOOKUP(B242,DATEWISE!$A$3:$BY$27,2,0),0)</f>
        <v>0</v>
      </c>
      <c r="D242" s="755" t="e">
        <f>IF($C$242=0,NA(),VLOOKUP($I$231&amp;$B$242,FLNFIX!$AU$4:$EF$103,2,0))</f>
        <v>#N/A</v>
      </c>
      <c r="E242" s="755" t="e">
        <f>IF($C$242=0,NA(),VLOOKUP($I$231&amp;$B$242,FLNFIX!$AU$4:$EF$103,4,0))</f>
        <v>#N/A</v>
      </c>
      <c r="F242" s="755" t="e">
        <f>IF($C$242=0,NA(),VLOOKUP($I$231&amp;$B$242,FLNFIX!$AU$4:$EF$103,3,0))</f>
        <v>#N/A</v>
      </c>
      <c r="G242" s="756" t="e">
        <f>IF($C$242=0,NA(),VLOOKUP($I$231&amp;$B$242,FLNFIX!$AU$4:$EF$103,5,0))</f>
        <v>#N/A</v>
      </c>
      <c r="H242" s="757"/>
      <c r="I242" s="757"/>
      <c r="J242" s="758"/>
      <c r="K242" s="677"/>
    </row>
    <row r="243" ht="20.1" customHeight="1" spans="1:11">
      <c r="A243" s="675"/>
      <c r="B243" s="755">
        <f t="shared" si="4"/>
        <v>9</v>
      </c>
      <c r="C243" s="755">
        <f>IFERROR(VLOOKUP(B243,DATEWISE!$A$3:$BY$27,2,0),0)</f>
        <v>0</v>
      </c>
      <c r="D243" s="755" t="e">
        <f>IF($C$243=0,NA(),VLOOKUP($I$231&amp;$B$243,FLNFIX!$AZ$4:$EF$103,2,0))</f>
        <v>#N/A</v>
      </c>
      <c r="E243" s="755" t="e">
        <f>IF($C$243=0,NA(),VLOOKUP($I$231&amp;$B$243,FLNFIX!$AZ$4:$EF$103,4,0))</f>
        <v>#N/A</v>
      </c>
      <c r="F243" s="755" t="e">
        <f>IF($C$243=0,NA(),VLOOKUP($I$231&amp;$B$243,FLNFIX!$AZ$4:$EF$103,3,0))</f>
        <v>#N/A</v>
      </c>
      <c r="G243" s="756" t="e">
        <f>IF($C$243=0,NA(),VLOOKUP($I$231&amp;$B$243,FLNFIX!$AZ$4:$EF$103,5,0))</f>
        <v>#N/A</v>
      </c>
      <c r="H243" s="757"/>
      <c r="I243" s="757"/>
      <c r="J243" s="758"/>
      <c r="K243" s="677"/>
    </row>
    <row r="244" ht="20.1" customHeight="1" spans="1:11">
      <c r="A244" s="675"/>
      <c r="B244" s="755">
        <f t="shared" si="4"/>
        <v>10</v>
      </c>
      <c r="C244" s="755">
        <f>IFERROR(VLOOKUP(B244,DATEWISE!$A$3:$BY$27,2,0),0)</f>
        <v>0</v>
      </c>
      <c r="D244" s="755" t="e">
        <f>IF($C$244=0,NA(),VLOOKUP($I$231&amp;$B$244,FLNFIX!$BE$4:$EF$103,2,0))</f>
        <v>#N/A</v>
      </c>
      <c r="E244" s="755" t="e">
        <f>IF($C$244=0,NA(),VLOOKUP($I$231&amp;$B$244,FLNFIX!$BE$4:$EF$103,4,0))</f>
        <v>#N/A</v>
      </c>
      <c r="F244" s="755" t="e">
        <f>IF($C$244=0,NA(),VLOOKUP($I$231&amp;$B$244,FLNFIX!$BE$4:$EF$103,3,0))</f>
        <v>#N/A</v>
      </c>
      <c r="G244" s="756" t="e">
        <f>IF($C$244=0,NA(),VLOOKUP($I$231&amp;$B$244,FLNFIX!$BE$4:$EF$103,5,0))</f>
        <v>#N/A</v>
      </c>
      <c r="H244" s="757"/>
      <c r="I244" s="757"/>
      <c r="J244" s="758"/>
      <c r="K244" s="677"/>
    </row>
    <row r="245" ht="20.1" customHeight="1" spans="1:11">
      <c r="A245" s="675"/>
      <c r="B245" s="755">
        <f t="shared" si="4"/>
        <v>11</v>
      </c>
      <c r="C245" s="755">
        <f>IFERROR(VLOOKUP(B245,DATEWISE!$A$3:$BY$27,2,0),0)</f>
        <v>0</v>
      </c>
      <c r="D245" s="755" t="e">
        <f>IF($C$245=0,NA(),VLOOKUP($I$231&amp;$B$245,FLNFIX!$BJ$4:$EF$103,2,0))</f>
        <v>#N/A</v>
      </c>
      <c r="E245" s="755" t="e">
        <f>IF($C$245=0,NA(),VLOOKUP($I$231&amp;$B$245,FLNFIX!$BJ$4:$EF$103,4,0))</f>
        <v>#N/A</v>
      </c>
      <c r="F245" s="755" t="e">
        <f>IF($C$245=0,NA(),VLOOKUP($I$231&amp;$B$245,FLNFIX!$BJ$4:$EF$103,3,0))</f>
        <v>#N/A</v>
      </c>
      <c r="G245" s="756" t="e">
        <f>IF($C$245=0,NA(),VLOOKUP($I$231&amp;$B$245,FLNFIX!$BJ$4:$EF$103,5,0))</f>
        <v>#N/A</v>
      </c>
      <c r="H245" s="757"/>
      <c r="I245" s="757"/>
      <c r="J245" s="758"/>
      <c r="K245" s="677"/>
    </row>
    <row r="246" ht="20.1" customHeight="1" spans="1:11">
      <c r="A246" s="675"/>
      <c r="B246" s="755">
        <f t="shared" si="4"/>
        <v>12</v>
      </c>
      <c r="C246" s="755">
        <f>IFERROR(VLOOKUP(B246,DATEWISE!$A$3:$BY$27,2,0),0)</f>
        <v>0</v>
      </c>
      <c r="D246" s="755" t="e">
        <f>IF($C$246=0,NA(),VLOOKUP($I$231&amp;$B$246,FLNFIX!$BO$4:$EF$103,2,0))</f>
        <v>#N/A</v>
      </c>
      <c r="E246" s="755" t="e">
        <f>IF($C$246=0,NA(),VLOOKUP($I$231&amp;$B$246,FLNFIX!$BO$4:$EF$103,4,0))</f>
        <v>#N/A</v>
      </c>
      <c r="F246" s="755" t="e">
        <f>IF($C$246=0,NA(),VLOOKUP($I$231&amp;$B$246,FLNFIX!$BO$4:$EF$103,3,0))</f>
        <v>#N/A</v>
      </c>
      <c r="G246" s="756" t="e">
        <f>IF($C$246=0,NA(),VLOOKUP($I$231&amp;$B$246,FLNFIX!$BO$4:$EF$103,5,0))</f>
        <v>#N/A</v>
      </c>
      <c r="H246" s="757"/>
      <c r="I246" s="757"/>
      <c r="J246" s="758"/>
      <c r="K246" s="677"/>
    </row>
    <row r="247" ht="20.1" customHeight="1" spans="1:11">
      <c r="A247" s="675"/>
      <c r="B247" s="755">
        <f t="shared" si="4"/>
        <v>13</v>
      </c>
      <c r="C247" s="755">
        <f>IFERROR(VLOOKUP(B247,DATEWISE!$A$3:$BY$27,2,0),0)</f>
        <v>0</v>
      </c>
      <c r="D247" s="755" t="e">
        <f>IF($C$247=0,NA(),VLOOKUP($I$231&amp;$B$247,FLNFIX!$BT$4:$EF$103,2,0))</f>
        <v>#N/A</v>
      </c>
      <c r="E247" s="755" t="e">
        <f>IF($C$247=0,NA(),VLOOKUP($I$231&amp;$B$247,FLNFIX!$BT$4:$EF$103,4,0))</f>
        <v>#N/A</v>
      </c>
      <c r="F247" s="755" t="e">
        <f>IF($C$247=0,NA(),VLOOKUP($I$231&amp;$B$247,FLNFIX!$BT$4:$EF$103,3,0))</f>
        <v>#N/A</v>
      </c>
      <c r="G247" s="756" t="e">
        <f>IF($C$247=0,NA(),VLOOKUP($I$231&amp;$B$247,FLNFIX!$BT$4:$EF$103,5,0))</f>
        <v>#N/A</v>
      </c>
      <c r="H247" s="757"/>
      <c r="I247" s="757"/>
      <c r="J247" s="758"/>
      <c r="K247" s="677"/>
    </row>
    <row r="248" ht="20.1" customHeight="1" spans="1:11">
      <c r="A248" s="675"/>
      <c r="B248" s="755">
        <f t="shared" si="4"/>
        <v>14</v>
      </c>
      <c r="C248" s="755">
        <f>IFERROR(VLOOKUP(B248,DATEWISE!$A$3:$BY$27,2,0),0)</f>
        <v>0</v>
      </c>
      <c r="D248" s="755" t="e">
        <f>IF($C$248=0,NA(),VLOOKUP($I$231&amp;$B$248,FLNFIX!$BY$4:$EF$103,2,0))</f>
        <v>#N/A</v>
      </c>
      <c r="E248" s="755" t="e">
        <f>IF($C$248=0,NA(),VLOOKUP($I$231&amp;$B$248,FLNFIX!$BY$4:$EF$103,4,0))</f>
        <v>#N/A</v>
      </c>
      <c r="F248" s="755" t="e">
        <f>IF($C$248=0,NA(),VLOOKUP($I$231&amp;$B$248,FLNFIX!$BY$4:$EF$103,3,0))</f>
        <v>#N/A</v>
      </c>
      <c r="G248" s="756" t="e">
        <f>IF($C$248=0,NA(),VLOOKUP($I$231&amp;$B$248,FLNFIX!$BY$4:$EF$103,5,0))</f>
        <v>#N/A</v>
      </c>
      <c r="H248" s="757"/>
      <c r="I248" s="757"/>
      <c r="J248" s="758"/>
      <c r="K248" s="677"/>
    </row>
    <row r="249" ht="20.1" customHeight="1" spans="1:11">
      <c r="A249" s="675"/>
      <c r="B249" s="755">
        <f t="shared" si="4"/>
        <v>15</v>
      </c>
      <c r="C249" s="755">
        <f>IFERROR(VLOOKUP(B249,DATEWISE!$A$3:$BY$27,2,0),0)</f>
        <v>0</v>
      </c>
      <c r="D249" s="755" t="e">
        <f>IF($C$249=0,NA(),VLOOKUP($I$231&amp;$B$249,FLNFIX!$CD$4:$EF$103,2,0))</f>
        <v>#N/A</v>
      </c>
      <c r="E249" s="755" t="e">
        <f>IF($C$249=0,NA(),VLOOKUP($I$231&amp;$B$249,FLNFIX!$CD$4:$EF$103,4,0))</f>
        <v>#N/A</v>
      </c>
      <c r="F249" s="755" t="e">
        <f>IF($C$249=0,NA(),VLOOKUP($I$231&amp;$B$249,FLNFIX!$CD$4:$EF$103,3,0))</f>
        <v>#N/A</v>
      </c>
      <c r="G249" s="756" t="e">
        <f>IF($C$249=0,NA(),VLOOKUP($I$231&amp;$B$249,FLNFIX!$CD$4:$EF$103,5,0))</f>
        <v>#N/A</v>
      </c>
      <c r="H249" s="757"/>
      <c r="I249" s="757"/>
      <c r="J249" s="758"/>
      <c r="K249" s="677"/>
    </row>
    <row r="250" ht="20.1" customHeight="1" spans="1:11">
      <c r="A250" s="675"/>
      <c r="B250" s="755">
        <f t="shared" si="4"/>
        <v>16</v>
      </c>
      <c r="C250" s="755">
        <f>IFERROR(VLOOKUP(B250,DATEWISE!$A$3:$BY$27,2,0),0)</f>
        <v>0</v>
      </c>
      <c r="D250" s="755" t="e">
        <f>IF($C$250=0,NA(),VLOOKUP($I$231&amp;$B$250,FLNFIX!$CI$4:$EF$103,2,0))</f>
        <v>#N/A</v>
      </c>
      <c r="E250" s="755" t="e">
        <f>IF($C$250=0,NA(),VLOOKUP($I$231&amp;$B$250,FLNFIX!$CI$4:$EF$103,4,0))</f>
        <v>#N/A</v>
      </c>
      <c r="F250" s="755" t="e">
        <f>IF($C$250=0,NA(),VLOOKUP($I$231&amp;$B$250,FLNFIX!$CI$4:$EF$103,3,0))</f>
        <v>#N/A</v>
      </c>
      <c r="G250" s="756" t="e">
        <f>IF($C$250=0,NA(),VLOOKUP($I$231&amp;$B$250,FLNFIX!$CI$4:$EF$103,5,0))</f>
        <v>#N/A</v>
      </c>
      <c r="H250" s="757"/>
      <c r="I250" s="757"/>
      <c r="J250" s="758"/>
      <c r="K250" s="677"/>
    </row>
    <row r="251" ht="20.1" customHeight="1" spans="1:11">
      <c r="A251" s="675"/>
      <c r="B251" s="755">
        <f t="shared" si="4"/>
        <v>17</v>
      </c>
      <c r="C251" s="755">
        <f>IFERROR(VLOOKUP(B251,DATEWISE!$A$3:$BY$27,2,0),0)</f>
        <v>0</v>
      </c>
      <c r="D251" s="755" t="e">
        <f>IF($C$251=0,NA(),VLOOKUP($I$231&amp;$B$251,FLNFIX!$CN$4:$EF$103,2,0))</f>
        <v>#N/A</v>
      </c>
      <c r="E251" s="755" t="e">
        <f>IF($C$251=0,NA(),VLOOKUP($I$231&amp;$B$251,FLNFIX!$CN$4:$EF$103,4,0))</f>
        <v>#N/A</v>
      </c>
      <c r="F251" s="755" t="e">
        <f>IF($C$251=0,NA(),VLOOKUP($I$231&amp;$B$251,FLNFIX!$CN$4:$EF$103,3,0))</f>
        <v>#N/A</v>
      </c>
      <c r="G251" s="756" t="e">
        <f>IF($C$251=0,NA(),VLOOKUP($I$231&amp;$B$251,FLNFIX!$CN$4:$EF$103,5,0))</f>
        <v>#N/A</v>
      </c>
      <c r="H251" s="757"/>
      <c r="I251" s="757"/>
      <c r="J251" s="758"/>
      <c r="K251" s="677"/>
    </row>
    <row r="252" ht="20.1" customHeight="1" spans="1:11">
      <c r="A252" s="675"/>
      <c r="B252" s="755">
        <f t="shared" si="4"/>
        <v>18</v>
      </c>
      <c r="C252" s="755">
        <f>IFERROR(VLOOKUP(B252,DATEWISE!$A$3:$BY$27,2,0),0)</f>
        <v>0</v>
      </c>
      <c r="D252" s="755" t="e">
        <f>IF($C$252=0,NA(),VLOOKUP($I$231&amp;$B$252,FLNFIX!$CS$4:$EF$103,2,0))</f>
        <v>#N/A</v>
      </c>
      <c r="E252" s="755" t="e">
        <f>IF($C$252=0,NA(),VLOOKUP($I$231&amp;$B$252,FLNFIX!$CS$4:$EF$103,4,0))</f>
        <v>#N/A</v>
      </c>
      <c r="F252" s="755" t="e">
        <f>IF($C$252=0,NA(),VLOOKUP($I$231&amp;$B$252,FLNFIX!$CS$4:$EF$103,3,0))</f>
        <v>#N/A</v>
      </c>
      <c r="G252" s="756" t="e">
        <f>IF($C$252=0,NA(),VLOOKUP($I$231&amp;$B$252,FLNFIX!$CS$4:$EF$103,5,0))</f>
        <v>#N/A</v>
      </c>
      <c r="H252" s="757"/>
      <c r="I252" s="757"/>
      <c r="J252" s="758"/>
      <c r="K252" s="677"/>
    </row>
    <row r="253" ht="20.1" customHeight="1" spans="1:11">
      <c r="A253" s="675"/>
      <c r="B253" s="755">
        <f t="shared" si="4"/>
        <v>19</v>
      </c>
      <c r="C253" s="755">
        <f>IFERROR(VLOOKUP(B253,DATEWISE!$A$3:$BY$27,2,0),0)</f>
        <v>0</v>
      </c>
      <c r="D253" s="755" t="e">
        <f>IF($C$253=0,NA(),VLOOKUP($I$231&amp;$B$253,FLNFIX!$CX$4:$EF$103,2,0))</f>
        <v>#N/A</v>
      </c>
      <c r="E253" s="755" t="e">
        <f>IF($C$253=0,NA(),VLOOKUP($I$231&amp;$B$253,FLNFIX!$CX$4:$EF$103,4,0))</f>
        <v>#N/A</v>
      </c>
      <c r="F253" s="755" t="e">
        <f>IF($C$253=0,NA(),VLOOKUP($I$231&amp;$B$253,FLNFIX!$CX$4:$EF$103,3,0))</f>
        <v>#N/A</v>
      </c>
      <c r="G253" s="756" t="e">
        <f>IF($C$253=0,NA(),VLOOKUP($I$231&amp;$B$253,FLNFIX!$CX$4:$EF$103,5,0))</f>
        <v>#N/A</v>
      </c>
      <c r="H253" s="757"/>
      <c r="I253" s="757"/>
      <c r="J253" s="758"/>
      <c r="K253" s="677"/>
    </row>
    <row r="254" ht="20.1" customHeight="1" spans="1:11">
      <c r="A254" s="675"/>
      <c r="B254" s="755">
        <f t="shared" si="4"/>
        <v>20</v>
      </c>
      <c r="C254" s="755">
        <f>IFERROR(VLOOKUP(B254,DATEWISE!$A$3:$BY$27,2,0),0)</f>
        <v>0</v>
      </c>
      <c r="D254" s="755" t="e">
        <f>IF($C$254=0,NA(),VLOOKUP($I$231&amp;$B$254,FLNFIX!$DC$4:$EF$103,2,0))</f>
        <v>#N/A</v>
      </c>
      <c r="E254" s="755" t="e">
        <f>IF($C$254=0,NA(),VLOOKUP($I$231&amp;$B$254,FLNFIX!$DC$4:$EF$103,4,0))</f>
        <v>#N/A</v>
      </c>
      <c r="F254" s="755" t="e">
        <f>IF($C$254=0,NA(),VLOOKUP($I$231&amp;$B$254,FLNFIX!$DC$4:$EF$103,3,0))</f>
        <v>#N/A</v>
      </c>
      <c r="G254" s="756" t="e">
        <f>IF($C$254=0,NA(),VLOOKUP($I$231&amp;$B$254,FLNFIX!$DC$4:$EF$103,5,0))</f>
        <v>#N/A</v>
      </c>
      <c r="H254" s="757"/>
      <c r="I254" s="757"/>
      <c r="J254" s="758"/>
      <c r="K254" s="677"/>
    </row>
    <row r="255" ht="20.1" customHeight="1" spans="1:11">
      <c r="A255" s="675"/>
      <c r="B255" s="755">
        <f t="shared" si="4"/>
        <v>21</v>
      </c>
      <c r="C255" s="755">
        <f>IFERROR(VLOOKUP(B255,DATEWISE!$A$3:$BY$27,2,0),0)</f>
        <v>0</v>
      </c>
      <c r="D255" s="755" t="e">
        <f>IF($C$255=0,NA(),VLOOKUP($I$231&amp;$B$255,FLNFIX!$DH$4:$EF$103,2,0))</f>
        <v>#N/A</v>
      </c>
      <c r="E255" s="755" t="e">
        <f>IF($C$255=0,NA(),VLOOKUP($I$231&amp;$B$255,FLNFIX!$DH$4:$EF$103,4,0))</f>
        <v>#N/A</v>
      </c>
      <c r="F255" s="755" t="e">
        <f>IF($C$255=0,NA(),VLOOKUP($I$231&amp;$B$255,FLNFIX!$DH$4:$EF$103,3,0))</f>
        <v>#N/A</v>
      </c>
      <c r="G255" s="756" t="e">
        <f>IF($C$255=0,NA(),VLOOKUP($I$231&amp;$B$255,FLNFIX!$DH$4:$EF$103,5,0))</f>
        <v>#N/A</v>
      </c>
      <c r="H255" s="757"/>
      <c r="I255" s="757"/>
      <c r="J255" s="758"/>
      <c r="K255" s="677"/>
    </row>
    <row r="256" ht="5.1" customHeight="1" spans="1:11">
      <c r="A256" s="675"/>
      <c r="B256" s="759"/>
      <c r="C256" s="759"/>
      <c r="D256" s="760"/>
      <c r="E256" s="760"/>
      <c r="F256" s="760"/>
      <c r="G256" s="761"/>
      <c r="H256" s="761"/>
      <c r="I256" s="761"/>
      <c r="J256" s="761"/>
      <c r="K256" s="677"/>
    </row>
    <row r="257" s="667" customFormat="1" ht="24.95" customHeight="1" spans="1:11">
      <c r="A257" s="711"/>
      <c r="B257" s="762" t="s">
        <v>431</v>
      </c>
      <c r="C257" s="763"/>
      <c r="D257" s="763"/>
      <c r="E257" s="763"/>
      <c r="F257" s="763"/>
      <c r="G257" s="763"/>
      <c r="H257" s="763"/>
      <c r="I257" s="763"/>
      <c r="J257" s="764"/>
      <c r="K257" s="713"/>
    </row>
    <row r="258" spans="1:11">
      <c r="A258" s="675"/>
      <c r="B258" s="765"/>
      <c r="C258" s="686"/>
      <c r="D258" s="686"/>
      <c r="E258" s="686"/>
      <c r="F258" s="686"/>
      <c r="G258" s="686"/>
      <c r="H258" s="686"/>
      <c r="I258" s="686"/>
      <c r="J258" s="766"/>
      <c r="K258" s="677"/>
    </row>
    <row r="259" spans="1:11">
      <c r="A259" s="675"/>
      <c r="B259" s="765"/>
      <c r="C259" s="686"/>
      <c r="D259" s="686"/>
      <c r="E259" s="686"/>
      <c r="F259" s="686"/>
      <c r="G259" s="686"/>
      <c r="H259" s="686"/>
      <c r="I259" s="686"/>
      <c r="J259" s="766"/>
      <c r="K259" s="677"/>
    </row>
    <row r="260" spans="1:11">
      <c r="A260" s="675"/>
      <c r="B260" s="765"/>
      <c r="C260" s="686"/>
      <c r="D260" s="686"/>
      <c r="E260" s="686"/>
      <c r="F260" s="686"/>
      <c r="G260" s="686"/>
      <c r="H260" s="686"/>
      <c r="I260" s="686"/>
      <c r="J260" s="766"/>
      <c r="K260" s="677"/>
    </row>
    <row r="261" spans="1:11">
      <c r="A261" s="675"/>
      <c r="B261" s="765"/>
      <c r="C261" s="686"/>
      <c r="D261" s="686"/>
      <c r="E261" s="686"/>
      <c r="F261" s="686"/>
      <c r="G261" s="686"/>
      <c r="H261" s="686"/>
      <c r="I261" s="686"/>
      <c r="J261" s="766"/>
      <c r="K261" s="677"/>
    </row>
    <row r="262" spans="1:11">
      <c r="A262" s="675"/>
      <c r="B262" s="765"/>
      <c r="C262" s="686"/>
      <c r="D262" s="686"/>
      <c r="E262" s="686"/>
      <c r="F262" s="686"/>
      <c r="G262" s="686"/>
      <c r="H262" s="686"/>
      <c r="I262" s="686"/>
      <c r="J262" s="766"/>
      <c r="K262" s="677"/>
    </row>
    <row r="263" spans="1:11">
      <c r="A263" s="675"/>
      <c r="B263" s="765"/>
      <c r="C263" s="686"/>
      <c r="D263" s="686"/>
      <c r="E263" s="686"/>
      <c r="F263" s="686"/>
      <c r="G263" s="686"/>
      <c r="H263" s="686"/>
      <c r="I263" s="686"/>
      <c r="J263" s="766"/>
      <c r="K263" s="677"/>
    </row>
    <row r="264" spans="1:11">
      <c r="A264" s="675"/>
      <c r="B264" s="765"/>
      <c r="C264" s="686"/>
      <c r="D264" s="686"/>
      <c r="E264" s="686"/>
      <c r="F264" s="686"/>
      <c r="G264" s="686"/>
      <c r="H264" s="686"/>
      <c r="I264" s="686"/>
      <c r="J264" s="766"/>
      <c r="K264" s="677"/>
    </row>
    <row r="265" spans="1:11">
      <c r="A265" s="675"/>
      <c r="B265" s="765"/>
      <c r="C265" s="686"/>
      <c r="D265" s="686"/>
      <c r="E265" s="686"/>
      <c r="F265" s="686"/>
      <c r="G265" s="686"/>
      <c r="H265" s="686"/>
      <c r="I265" s="686"/>
      <c r="J265" s="766"/>
      <c r="K265" s="677"/>
    </row>
    <row r="266" spans="1:11">
      <c r="A266" s="675"/>
      <c r="B266" s="765"/>
      <c r="C266" s="686"/>
      <c r="D266" s="686"/>
      <c r="E266" s="686"/>
      <c r="F266" s="686"/>
      <c r="G266" s="686"/>
      <c r="H266" s="686"/>
      <c r="I266" s="686"/>
      <c r="J266" s="766"/>
      <c r="K266" s="677"/>
    </row>
    <row r="267" spans="1:11">
      <c r="A267" s="675"/>
      <c r="B267" s="767"/>
      <c r="C267" s="768"/>
      <c r="D267" s="768"/>
      <c r="E267" s="768"/>
      <c r="F267" s="768"/>
      <c r="G267" s="768"/>
      <c r="H267" s="768"/>
      <c r="I267" s="768"/>
      <c r="J267" s="769"/>
      <c r="K267" s="677"/>
    </row>
    <row r="268" ht="5.1" customHeight="1" spans="1:11">
      <c r="A268" s="675"/>
      <c r="B268" s="686"/>
      <c r="C268" s="686"/>
      <c r="D268" s="686"/>
      <c r="E268" s="686"/>
      <c r="F268" s="686"/>
      <c r="G268" s="686"/>
      <c r="H268" s="686"/>
      <c r="I268" s="686"/>
      <c r="J268" s="686"/>
      <c r="K268" s="677"/>
    </row>
    <row r="269" spans="1:11">
      <c r="A269" s="675"/>
      <c r="B269" s="770" t="s">
        <v>432</v>
      </c>
      <c r="C269" s="770"/>
      <c r="D269" s="770"/>
      <c r="E269" s="770"/>
      <c r="F269" s="770"/>
      <c r="G269" s="770"/>
      <c r="H269" s="770"/>
      <c r="I269" s="770"/>
      <c r="J269" s="770"/>
      <c r="K269" s="677"/>
    </row>
    <row r="270" spans="1:11">
      <c r="A270" s="675"/>
      <c r="B270" s="771"/>
      <c r="C270" s="771"/>
      <c r="D270" s="771"/>
      <c r="E270" s="771"/>
      <c r="F270" s="771"/>
      <c r="G270" s="771"/>
      <c r="H270" s="771"/>
      <c r="I270" s="771"/>
      <c r="J270" s="771"/>
      <c r="K270" s="677"/>
    </row>
    <row r="271" spans="1:11">
      <c r="A271" s="675"/>
      <c r="B271" s="771"/>
      <c r="C271" s="771"/>
      <c r="D271" s="771"/>
      <c r="E271" s="771"/>
      <c r="F271" s="771"/>
      <c r="G271" s="771"/>
      <c r="H271" s="771"/>
      <c r="I271" s="771"/>
      <c r="J271" s="771"/>
      <c r="K271" s="677"/>
    </row>
    <row r="272" spans="1:11">
      <c r="A272" s="675"/>
      <c r="B272" s="771"/>
      <c r="C272" s="771"/>
      <c r="D272" s="771"/>
      <c r="E272" s="771"/>
      <c r="F272" s="771"/>
      <c r="G272" s="771"/>
      <c r="H272" s="771"/>
      <c r="I272" s="771"/>
      <c r="J272" s="771"/>
      <c r="K272" s="677"/>
    </row>
    <row r="273" spans="1:11">
      <c r="A273" s="675"/>
      <c r="B273" s="686"/>
      <c r="C273" s="686"/>
      <c r="D273" s="686"/>
      <c r="E273" s="686"/>
      <c r="F273" s="686"/>
      <c r="G273" s="686"/>
      <c r="H273" s="686"/>
      <c r="I273" s="686"/>
      <c r="J273" s="686"/>
      <c r="K273" s="677"/>
    </row>
    <row r="274" spans="1:11">
      <c r="A274" s="675"/>
      <c r="B274" s="686"/>
      <c r="C274" s="729" t="s">
        <v>433</v>
      </c>
      <c r="D274" s="729"/>
      <c r="E274" s="686"/>
      <c r="F274" s="686"/>
      <c r="G274" s="729" t="s">
        <v>434</v>
      </c>
      <c r="H274" s="729"/>
      <c r="I274" s="729"/>
      <c r="J274" s="729"/>
      <c r="K274" s="677"/>
    </row>
    <row r="275" ht="16.35" spans="1:11">
      <c r="A275" s="725"/>
      <c r="B275" s="726"/>
      <c r="C275" s="732" t="str">
        <f>"("&amp;PROPER(ENTRY!$D$19)&amp;")"</f>
        <v>(Indrajeet)</v>
      </c>
      <c r="D275" s="732"/>
      <c r="E275" s="726"/>
      <c r="F275" s="726"/>
      <c r="G275" s="732" t="str">
        <f>"("&amp;PROPER(ENTRY!$D$12)&amp;")"</f>
        <v>(Shambhu Dayal Meena)</v>
      </c>
      <c r="H275" s="732"/>
      <c r="I275" s="732"/>
      <c r="J275" s="732"/>
      <c r="K275" s="728"/>
    </row>
    <row r="276" ht="24.6" spans="1:11">
      <c r="B276" s="734"/>
      <c r="C276" s="734"/>
      <c r="D276" s="669" t="str">
        <f>ENTRY!$D$3</f>
        <v>MUNICIPAL CORPORATION OF DELHI</v>
      </c>
      <c r="E276" s="669"/>
      <c r="F276" s="669"/>
      <c r="G276" s="669"/>
      <c r="H276" s="734"/>
      <c r="I276" s="669"/>
      <c r="J276" s="669"/>
    </row>
    <row r="277" ht="20.4" spans="1:11">
      <c r="B277" s="735"/>
      <c r="C277" s="735"/>
      <c r="D277" s="670" t="str">
        <f>ENTRY!$D$4</f>
        <v>EDUCATION DEPARTMENT</v>
      </c>
      <c r="E277" s="670"/>
      <c r="F277" s="670"/>
      <c r="G277" s="670"/>
      <c r="H277" s="735"/>
      <c r="I277" s="669"/>
      <c r="J277" s="669"/>
    </row>
    <row r="278" ht="22.8" spans="1:11">
      <c r="B278" s="736"/>
      <c r="C278" s="736"/>
      <c r="D278" s="664" t="s">
        <v>417</v>
      </c>
      <c r="E278" s="664"/>
      <c r="F278" s="664"/>
      <c r="G278" s="664"/>
      <c r="H278" s="736"/>
      <c r="I278" s="669"/>
      <c r="J278" s="669"/>
    </row>
    <row r="279" ht="22.8" spans="1:11">
      <c r="B279" s="736"/>
      <c r="C279" s="736"/>
      <c r="D279" s="664" t="s">
        <v>418</v>
      </c>
      <c r="E279" s="664"/>
      <c r="F279" s="664"/>
      <c r="G279" s="664"/>
      <c r="H279" s="736"/>
      <c r="I279" s="669"/>
      <c r="J279" s="669"/>
    </row>
    <row r="280" ht="24.95" customHeight="1" spans="1:11">
      <c r="B280" s="735"/>
      <c r="C280" s="735"/>
      <c r="D280" s="737" t="str">
        <f>"SESSION : "&amp;ENTRY!$D$11</f>
        <v>SESSION : 2026-27</v>
      </c>
      <c r="E280" s="737"/>
      <c r="F280" s="737"/>
      <c r="G280" s="737"/>
      <c r="H280" s="735"/>
      <c r="I280" s="738"/>
      <c r="J280" s="738"/>
    </row>
    <row r="281" ht="3.75" customHeight="1" spans="1:11">
      <c r="A281" s="672"/>
      <c r="B281" s="739"/>
      <c r="C281" s="739"/>
      <c r="D281" s="739"/>
      <c r="E281" s="739"/>
      <c r="F281" s="739"/>
      <c r="G281" s="739"/>
      <c r="H281" s="739"/>
      <c r="I281" s="739"/>
      <c r="J281" s="739"/>
      <c r="K281" s="674"/>
    </row>
    <row r="282" ht="21.95" customHeight="1" spans="1:11">
      <c r="A282" s="675"/>
      <c r="B282" s="676" t="s">
        <v>419</v>
      </c>
      <c r="C282" s="676"/>
      <c r="D282" s="676" t="str">
        <f>ENTRY!$D$6</f>
        <v>MCP NITHARI NO 1 BOYS</v>
      </c>
      <c r="E282" s="676"/>
      <c r="F282" s="676"/>
      <c r="G282" s="676"/>
      <c r="H282" s="676"/>
      <c r="I282" s="676"/>
      <c r="J282" s="676"/>
      <c r="K282" s="677"/>
    </row>
    <row r="283" ht="21.95" customHeight="1" spans="1:11">
      <c r="A283" s="675"/>
      <c r="B283" s="676" t="s">
        <v>420</v>
      </c>
      <c r="C283" s="676"/>
      <c r="D283" s="740" t="str">
        <f>IFERROR(VLOOKUP($I$286,STUDENT!$A$2:$BP$101,5,0),"")</f>
        <v>MD SOPHIYAN ALAM</v>
      </c>
      <c r="E283" s="740"/>
      <c r="F283" s="740"/>
      <c r="G283" s="740"/>
      <c r="H283" s="740"/>
      <c r="I283" s="740"/>
      <c r="J283" s="740"/>
      <c r="K283" s="677"/>
    </row>
    <row r="284" ht="21.95" customHeight="1" spans="1:11">
      <c r="A284" s="675"/>
      <c r="B284" s="676" t="s">
        <v>421</v>
      </c>
      <c r="C284" s="676"/>
      <c r="D284" s="740" t="str">
        <f>IFERROR(VLOOKUP($I$286,STUDENT!$A$2:$BP$101,8,0),"")</f>
        <v>MD TABREJ ALAM</v>
      </c>
      <c r="E284" s="740"/>
      <c r="F284" s="740"/>
      <c r="G284" s="740"/>
      <c r="H284" s="740"/>
      <c r="I284" s="740"/>
      <c r="J284" s="740"/>
      <c r="K284" s="677"/>
    </row>
    <row r="285" ht="21.95" customHeight="1" spans="1:11">
      <c r="A285" s="675"/>
      <c r="B285" s="676" t="s">
        <v>422</v>
      </c>
      <c r="C285" s="676"/>
      <c r="D285" s="740">
        <f>IFERROR(VLOOKUP($I$286,STUDENT!$A$2:$BP$101,6,0),"")</f>
        <v>14780</v>
      </c>
      <c r="E285" s="740"/>
      <c r="F285" s="740"/>
      <c r="G285" s="740"/>
      <c r="H285" s="740"/>
      <c r="I285" s="740"/>
      <c r="J285" s="740"/>
      <c r="K285" s="677"/>
    </row>
    <row r="286" ht="21.95" customHeight="1" spans="1:11">
      <c r="A286" s="675"/>
      <c r="B286" s="676" t="s">
        <v>423</v>
      </c>
      <c r="C286" s="676"/>
      <c r="D286" s="741" t="str">
        <f>IFERROR(VLOOKUP($I$286,STUDENT!$A$2:$BP$101,59,0),"")</f>
        <v/>
      </c>
      <c r="E286" s="742" t="s">
        <v>424</v>
      </c>
      <c r="F286" s="704" t="str">
        <f>IFERROR(VLOOKUP($I$286,STUDENT!$A$2:$BP$101,2,0),"")</f>
        <v>III-A</v>
      </c>
      <c r="G286" s="742" t="s">
        <v>425</v>
      </c>
      <c r="H286" s="743"/>
      <c r="I286" s="733">
        <f>I231+1</f>
        <v>6</v>
      </c>
      <c r="J286" s="683"/>
      <c r="K286" s="677"/>
    </row>
    <row r="287" ht="5.1" customHeight="1" spans="1:11">
      <c r="A287" s="675"/>
      <c r="B287" s="745"/>
      <c r="C287" s="745"/>
      <c r="D287" s="746"/>
      <c r="E287" s="747"/>
      <c r="F287" s="748"/>
      <c r="G287" s="747"/>
      <c r="H287" s="686"/>
      <c r="I287" s="686"/>
      <c r="J287" s="686"/>
      <c r="K287" s="677"/>
    </row>
    <row r="288" s="664" customFormat="1" ht="32.1" customHeight="1" spans="1:11">
      <c r="A288" s="688"/>
      <c r="B288" s="749" t="s">
        <v>426</v>
      </c>
      <c r="C288" s="750"/>
      <c r="D288" s="750"/>
      <c r="E288" s="750"/>
      <c r="F288" s="750"/>
      <c r="G288" s="750"/>
      <c r="H288" s="750"/>
      <c r="I288" s="750"/>
      <c r="J288" s="751"/>
      <c r="K288" s="690"/>
    </row>
    <row r="289" ht="51.6" spans="1:11">
      <c r="A289" s="675"/>
      <c r="B289" s="752">
        <v>21</v>
      </c>
      <c r="C289" s="753" t="s">
        <v>427</v>
      </c>
      <c r="D289" s="754" t="s">
        <v>428</v>
      </c>
      <c r="E289" s="754" t="s">
        <v>429</v>
      </c>
      <c r="F289" s="754" t="s">
        <v>430</v>
      </c>
      <c r="G289" s="753" t="s">
        <v>390</v>
      </c>
      <c r="H289" s="714"/>
      <c r="I289" s="714"/>
      <c r="J289" s="714"/>
      <c r="K289" s="677"/>
    </row>
    <row r="290" ht="20.1" customHeight="1" spans="1:11">
      <c r="A290" s="675"/>
      <c r="B290" s="755">
        <v>1</v>
      </c>
      <c r="C290" s="755" t="str">
        <f>IFERROR(VLOOKUP(B290,DATEWISE!$A$3:$BY$27,2,0),0)</f>
        <v>30.04.2026</v>
      </c>
      <c r="D290" s="755">
        <f>IF($C$290=0,NA(),VLOOKUP($I$286&amp;$B$290,FLNFIX!$L$4:$EF$103,2,0))</f>
        <v>4</v>
      </c>
      <c r="E290" s="755">
        <f>IF($C$290=0,NA(),VLOOKUP($I$286&amp;$B$290,FLNFIX!$L$4:$EF$103,4,0))</f>
        <v>4</v>
      </c>
      <c r="F290" s="755">
        <f>IF($C$290=0,NA(),VLOOKUP($I$286&amp;$B$290,FLNFIX!$L$4:$EF$103,3,0))</f>
        <v>3</v>
      </c>
      <c r="G290" s="756">
        <f>IF($C$290=0,NA(),VLOOKUP($I$286&amp;$B$290,FLNFIX!$L$4:$EF$103,5,0))</f>
        <v>0</v>
      </c>
      <c r="H290" s="757"/>
      <c r="I290" s="757"/>
      <c r="J290" s="758"/>
      <c r="K290" s="677"/>
    </row>
    <row r="291" ht="20.1" customHeight="1" spans="1:11">
      <c r="A291" s="675"/>
      <c r="B291" s="755">
        <f t="shared" ref="B291:B310" si="5">IF(B290=0,0,IF(B290&lt;$B$289,B290+1,""))</f>
        <v>2</v>
      </c>
      <c r="C291" s="755" t="str">
        <f>IFERROR(VLOOKUP(B291,DATEWISE!$A$3:$BY$27,2,0),0)</f>
        <v>08.05.2026</v>
      </c>
      <c r="D291" s="755">
        <f>IF($C$291=0,NA(),VLOOKUP($I$286&amp;$B$291,FLNFIX!$Q$4:$EF$103,2,0))</f>
        <v>4</v>
      </c>
      <c r="E291" s="755">
        <f>IF($C$291=0,NA(),VLOOKUP($I$286&amp;$B$291,FLNFIX!$Q$4:$EF$103,4,0))</f>
        <v>4</v>
      </c>
      <c r="F291" s="755">
        <f>IF($C$291=0,NA(),VLOOKUP($I$286&amp;$B$291,FLNFIX!$Q$4:$EF$103,3,0))</f>
        <v>3</v>
      </c>
      <c r="G291" s="756">
        <f>IF($C$291=0,NA(),VLOOKUP($I$286&amp;$B$291,FLNFIX!$Q$4:$EF$103,5,0))</f>
        <v>0</v>
      </c>
      <c r="H291" s="757"/>
      <c r="I291" s="757"/>
      <c r="J291" s="758"/>
      <c r="K291" s="677"/>
    </row>
    <row r="292" ht="20.1" customHeight="1" spans="1:11">
      <c r="A292" s="675"/>
      <c r="B292" s="755">
        <f t="shared" si="5"/>
        <v>3</v>
      </c>
      <c r="C292" s="755" t="str">
        <f>IFERROR(VLOOKUP(B292,DATEWISE!$A$3:$BY$27,2,0),0)</f>
        <v>15.07.2026</v>
      </c>
      <c r="D292" s="755">
        <f>IF($C$292=0,NA(),VLOOKUP($I$286&amp;$B$292,FLNFIX!$V$4:$EF$103,2,0))</f>
        <v>4</v>
      </c>
      <c r="E292" s="755">
        <f>IF($C$292=0,NA(),VLOOKUP($I$286&amp;$B$292,FLNFIX!$V$4:$EF$103,4,0))</f>
        <v>4</v>
      </c>
      <c r="F292" s="755">
        <f>IF($C$292=0,NA(),VLOOKUP($I$286&amp;$B$292,FLNFIX!$V$4:$EF$103,3,0))</f>
        <v>3</v>
      </c>
      <c r="G292" s="756">
        <f>IF($C$292=0,NA(),VLOOKUP($I$286&amp;$B$292,FLNFIX!$V$4:$EF$103,5,0))</f>
        <v>0</v>
      </c>
      <c r="H292" s="757"/>
      <c r="I292" s="757"/>
      <c r="J292" s="758"/>
      <c r="K292" s="677"/>
    </row>
    <row r="293" ht="20.1" customHeight="1" spans="1:11">
      <c r="A293" s="675"/>
      <c r="B293" s="755">
        <f t="shared" si="5"/>
        <v>4</v>
      </c>
      <c r="C293" s="755" t="str">
        <f>IFERROR(VLOOKUP(B293,DATEWISE!$A$3:$BY$27,2,0),0)</f>
        <v>31.07.2026</v>
      </c>
      <c r="D293" s="755">
        <f>IF($C$293=0,NA(),VLOOKUP($I$286&amp;$B$293,FLNFIX!$AA$4:$EF$103,2,0))</f>
        <v>4</v>
      </c>
      <c r="E293" s="755">
        <f>IF($C$293=0,NA(),VLOOKUP($I$286&amp;$B$293,FLNFIX!$AA$4:$EF$103,4,0))</f>
        <v>4</v>
      </c>
      <c r="F293" s="755">
        <f>IF($C$293=0,NA(),VLOOKUP($I$286&amp;$B$293,FLNFIX!$AA$4:$EF$103,3,0))</f>
        <v>3</v>
      </c>
      <c r="G293" s="756">
        <f>IF($C$293=0,NA(),VLOOKUP($I$286&amp;$B$293,FLNFIX!$AA$4:$EF$103,5,0))</f>
        <v>0</v>
      </c>
      <c r="H293" s="757"/>
      <c r="I293" s="757"/>
      <c r="J293" s="758"/>
      <c r="K293" s="677"/>
    </row>
    <row r="294" ht="20.1" customHeight="1" spans="1:11">
      <c r="A294" s="675"/>
      <c r="B294" s="755">
        <f t="shared" si="5"/>
        <v>5</v>
      </c>
      <c r="C294" s="755" t="str">
        <f>IFERROR(VLOOKUP(B294,DATEWISE!$A$3:$BY$27,2,0),0)</f>
        <v>17.08.2026</v>
      </c>
      <c r="D294" s="755">
        <f>IF($C$294=0,NA(),VLOOKUP($I$286&amp;$B$294,FLNFIX!$AF$4:$EF$103,2,0))</f>
        <v>4</v>
      </c>
      <c r="E294" s="755">
        <f>IF($C$294=0,NA(),VLOOKUP($I$286&amp;$B$294,FLNFIX!$AF$4:$EF$103,4,0))</f>
        <v>4</v>
      </c>
      <c r="F294" s="755">
        <f>IF($C$294=0,NA(),VLOOKUP($I$286&amp;$B$294,FLNFIX!$AF$4:$EF$103,3,0))</f>
        <v>3</v>
      </c>
      <c r="G294" s="756">
        <f>IF($C$294=0,NA(),VLOOKUP($I$286&amp;$B$294,FLNFIX!$AF$4:$EF$103,5,0))</f>
        <v>0</v>
      </c>
      <c r="H294" s="757"/>
      <c r="I294" s="757"/>
      <c r="J294" s="758"/>
      <c r="K294" s="677"/>
    </row>
    <row r="295" ht="20.1" customHeight="1" spans="1:11">
      <c r="A295" s="675"/>
      <c r="B295" s="755">
        <f t="shared" si="5"/>
        <v>6</v>
      </c>
      <c r="C295" s="755" t="str">
        <f>IFERROR(VLOOKUP(B295,DATEWISE!$A$3:$BY$27,2,0),0)</f>
        <v>31.08.2026</v>
      </c>
      <c r="D295" s="755">
        <f>IF($C$295=0,NA(),VLOOKUP($I$286&amp;$B$295,FLNFIX!$AK$4:$EF$103,2,0))</f>
        <v>4</v>
      </c>
      <c r="E295" s="755">
        <f>IF($C$295=0,NA(),VLOOKUP($I$286&amp;$B$295,FLNFIX!$AK$4:$EF$103,4,0))</f>
        <v>4</v>
      </c>
      <c r="F295" s="755">
        <f>IF($C$295=0,NA(),VLOOKUP($I$286&amp;$B$295,FLNFIX!$AK$4:$EF$103,3,0))</f>
        <v>4</v>
      </c>
      <c r="G295" s="756">
        <f>IF($C$295=0,NA(),VLOOKUP($I$286&amp;$B$295,FLNFIX!$AK$4:$EF$103,5,0))</f>
        <v>0</v>
      </c>
      <c r="H295" s="757"/>
      <c r="I295" s="757"/>
      <c r="J295" s="758"/>
      <c r="K295" s="677"/>
    </row>
    <row r="296" ht="20.1" customHeight="1" spans="1:11">
      <c r="A296" s="675"/>
      <c r="B296" s="755">
        <f t="shared" si="5"/>
        <v>7</v>
      </c>
      <c r="C296" s="755">
        <f>IFERROR(VLOOKUP(B296,DATEWISE!$A$3:$BY$27,2,0),0)</f>
        <v>0</v>
      </c>
      <c r="D296" s="755" t="e">
        <f>IF($C$296=0,NA(),VLOOKUP($I$286&amp;$B$296,FLNFIX!$AP$4:$EF$103,2,0))</f>
        <v>#N/A</v>
      </c>
      <c r="E296" s="755" t="e">
        <f>IF($C$296=0,NA(),VLOOKUP($I$286&amp;$B$296,FLNFIX!$AP$4:$EF$103,4,0))</f>
        <v>#N/A</v>
      </c>
      <c r="F296" s="755" t="e">
        <f>IF($C$296=0,NA(),VLOOKUP($I$286&amp;$B$296,FLNFIX!$AP$4:$EF$103,3,0))</f>
        <v>#N/A</v>
      </c>
      <c r="G296" s="756" t="e">
        <f>IF($C$296=0,NA(),VLOOKUP($I$286&amp;$B$296,FLNFIX!$AP$4:$EF$103,5,0))</f>
        <v>#N/A</v>
      </c>
      <c r="H296" s="757"/>
      <c r="I296" s="757"/>
      <c r="J296" s="758"/>
      <c r="K296" s="677"/>
    </row>
    <row r="297" ht="20.1" customHeight="1" spans="1:11">
      <c r="A297" s="675"/>
      <c r="B297" s="755">
        <f t="shared" si="5"/>
        <v>8</v>
      </c>
      <c r="C297" s="755">
        <f>IFERROR(VLOOKUP(B297,DATEWISE!$A$3:$BY$27,2,0),0)</f>
        <v>0</v>
      </c>
      <c r="D297" s="755" t="e">
        <f>IF($C$297=0,NA(),VLOOKUP($I$286&amp;$B$297,FLNFIX!$AU$4:$EF$103,2,0))</f>
        <v>#N/A</v>
      </c>
      <c r="E297" s="755" t="e">
        <f>IF($C$297=0,NA(),VLOOKUP($I$286&amp;$B$297,FLNFIX!$AU$4:$EF$103,4,0))</f>
        <v>#N/A</v>
      </c>
      <c r="F297" s="755" t="e">
        <f>IF($C$297=0,NA(),VLOOKUP($I$286&amp;$B$297,FLNFIX!$AU$4:$EF$103,3,0))</f>
        <v>#N/A</v>
      </c>
      <c r="G297" s="756" t="e">
        <f>IF($C$297=0,NA(),VLOOKUP($I$286&amp;$B$297,FLNFIX!$AU$4:$EF$103,5,0))</f>
        <v>#N/A</v>
      </c>
      <c r="H297" s="757"/>
      <c r="I297" s="757"/>
      <c r="J297" s="758"/>
      <c r="K297" s="677"/>
    </row>
    <row r="298" ht="20.1" customHeight="1" spans="1:11">
      <c r="A298" s="675"/>
      <c r="B298" s="755">
        <f t="shared" si="5"/>
        <v>9</v>
      </c>
      <c r="C298" s="755">
        <f>IFERROR(VLOOKUP(B298,DATEWISE!$A$3:$BY$27,2,0),0)</f>
        <v>0</v>
      </c>
      <c r="D298" s="755" t="e">
        <f>IF($C$298=0,NA(),VLOOKUP($I$286&amp;$B$298,FLNFIX!$AZ$4:$EF$103,2,0))</f>
        <v>#N/A</v>
      </c>
      <c r="E298" s="755" t="e">
        <f>IF($C$298=0,NA(),VLOOKUP($I$286&amp;$B$298,FLNFIX!$AZ$4:$EF$103,4,0))</f>
        <v>#N/A</v>
      </c>
      <c r="F298" s="755" t="e">
        <f>IF($C$298=0,NA(),VLOOKUP($I$286&amp;$B$298,FLNFIX!$AZ$4:$EF$103,3,0))</f>
        <v>#N/A</v>
      </c>
      <c r="G298" s="756" t="e">
        <f>IF($C$298=0,NA(),VLOOKUP($I$286&amp;$B$298,FLNFIX!$AZ$4:$EF$103,5,0))</f>
        <v>#N/A</v>
      </c>
      <c r="H298" s="757"/>
      <c r="I298" s="757"/>
      <c r="J298" s="758"/>
      <c r="K298" s="677"/>
    </row>
    <row r="299" ht="20.1" customHeight="1" spans="1:11">
      <c r="A299" s="675"/>
      <c r="B299" s="755">
        <f t="shared" si="5"/>
        <v>10</v>
      </c>
      <c r="C299" s="755">
        <f>IFERROR(VLOOKUP(B299,DATEWISE!$A$3:$BY$27,2,0),0)</f>
        <v>0</v>
      </c>
      <c r="D299" s="755" t="e">
        <f>IF($C$299=0,NA(),VLOOKUP($I$286&amp;$B$299,FLNFIX!$BE$4:$EF$103,2,0))</f>
        <v>#N/A</v>
      </c>
      <c r="E299" s="755" t="e">
        <f>IF($C$299=0,NA(),VLOOKUP($I$286&amp;$B$299,FLNFIX!$BE$4:$EF$103,4,0))</f>
        <v>#N/A</v>
      </c>
      <c r="F299" s="755" t="e">
        <f>IF($C$299=0,NA(),VLOOKUP($I$286&amp;$B$299,FLNFIX!$BE$4:$EF$103,3,0))</f>
        <v>#N/A</v>
      </c>
      <c r="G299" s="756" t="e">
        <f>IF($C$299=0,NA(),VLOOKUP($I$286&amp;$B$299,FLNFIX!$BE$4:$EF$103,5,0))</f>
        <v>#N/A</v>
      </c>
      <c r="H299" s="757"/>
      <c r="I299" s="757"/>
      <c r="J299" s="758"/>
      <c r="K299" s="677"/>
    </row>
    <row r="300" ht="20.1" customHeight="1" spans="1:11">
      <c r="A300" s="675"/>
      <c r="B300" s="755">
        <f t="shared" si="5"/>
        <v>11</v>
      </c>
      <c r="C300" s="755">
        <f>IFERROR(VLOOKUP(B300,DATEWISE!$A$3:$BY$27,2,0),0)</f>
        <v>0</v>
      </c>
      <c r="D300" s="755" t="e">
        <f>IF($C$300=0,NA(),VLOOKUP($I$286&amp;$B$300,FLNFIX!$BJ$4:$EF$103,2,0))</f>
        <v>#N/A</v>
      </c>
      <c r="E300" s="755" t="e">
        <f>IF($C$300=0,NA(),VLOOKUP($I$286&amp;$B$300,FLNFIX!$BJ$4:$EF$103,4,0))</f>
        <v>#N/A</v>
      </c>
      <c r="F300" s="755" t="e">
        <f>IF($C$300=0,NA(),VLOOKUP($I$286&amp;$B$300,FLNFIX!$BJ$4:$EF$103,3,0))</f>
        <v>#N/A</v>
      </c>
      <c r="G300" s="756" t="e">
        <f>IF($C$300=0,NA(),VLOOKUP($I$286&amp;$B$300,FLNFIX!$BJ$4:$EF$103,5,0))</f>
        <v>#N/A</v>
      </c>
      <c r="H300" s="757"/>
      <c r="I300" s="757"/>
      <c r="J300" s="758"/>
      <c r="K300" s="677"/>
    </row>
    <row r="301" ht="20.1" customHeight="1" spans="1:11">
      <c r="A301" s="675"/>
      <c r="B301" s="755">
        <f t="shared" si="5"/>
        <v>12</v>
      </c>
      <c r="C301" s="755">
        <f>IFERROR(VLOOKUP(B301,DATEWISE!$A$3:$BY$27,2,0),0)</f>
        <v>0</v>
      </c>
      <c r="D301" s="755" t="e">
        <f>IF($C$301=0,NA(),VLOOKUP($I$286&amp;$B$301,FLNFIX!$BO$4:$EF$103,2,0))</f>
        <v>#N/A</v>
      </c>
      <c r="E301" s="755" t="e">
        <f>IF($C$301=0,NA(),VLOOKUP($I$286&amp;$B$301,FLNFIX!$BO$4:$EF$103,4,0))</f>
        <v>#N/A</v>
      </c>
      <c r="F301" s="755" t="e">
        <f>IF($C$301=0,NA(),VLOOKUP($I$286&amp;$B$301,FLNFIX!$BO$4:$EF$103,3,0))</f>
        <v>#N/A</v>
      </c>
      <c r="G301" s="756" t="e">
        <f>IF($C$301=0,NA(),VLOOKUP($I$286&amp;$B$301,FLNFIX!$BO$4:$EF$103,5,0))</f>
        <v>#N/A</v>
      </c>
      <c r="H301" s="757"/>
      <c r="I301" s="757"/>
      <c r="J301" s="758"/>
      <c r="K301" s="677"/>
    </row>
    <row r="302" ht="20.1" customHeight="1" spans="1:11">
      <c r="A302" s="675"/>
      <c r="B302" s="755">
        <f t="shared" si="5"/>
        <v>13</v>
      </c>
      <c r="C302" s="755">
        <f>IFERROR(VLOOKUP(B302,DATEWISE!$A$3:$BY$27,2,0),0)</f>
        <v>0</v>
      </c>
      <c r="D302" s="755" t="e">
        <f>IF($C$302=0,NA(),VLOOKUP($I$286&amp;$B$302,FLNFIX!$BT$4:$EF$103,2,0))</f>
        <v>#N/A</v>
      </c>
      <c r="E302" s="755" t="e">
        <f>IF($C$302=0,NA(),VLOOKUP($I$286&amp;$B$302,FLNFIX!$BT$4:$EF$103,4,0))</f>
        <v>#N/A</v>
      </c>
      <c r="F302" s="755" t="e">
        <f>IF($C$302=0,NA(),VLOOKUP($I$286&amp;$B$302,FLNFIX!$BT$4:$EF$103,3,0))</f>
        <v>#N/A</v>
      </c>
      <c r="G302" s="756" t="e">
        <f>IF($C$302=0,NA(),VLOOKUP($I$286&amp;$B$302,FLNFIX!$BT$4:$EF$103,5,0))</f>
        <v>#N/A</v>
      </c>
      <c r="H302" s="757"/>
      <c r="I302" s="757"/>
      <c r="J302" s="758"/>
      <c r="K302" s="677"/>
    </row>
    <row r="303" ht="20.1" customHeight="1" spans="1:11">
      <c r="A303" s="675"/>
      <c r="B303" s="755">
        <f t="shared" si="5"/>
        <v>14</v>
      </c>
      <c r="C303" s="755">
        <f>IFERROR(VLOOKUP(B303,DATEWISE!$A$3:$BY$27,2,0),0)</f>
        <v>0</v>
      </c>
      <c r="D303" s="755" t="e">
        <f>IF($C$303=0,NA(),VLOOKUP($I$286&amp;$B$303,FLNFIX!$BY$4:$EF$103,2,0))</f>
        <v>#N/A</v>
      </c>
      <c r="E303" s="755" t="e">
        <f>IF($C$303=0,NA(),VLOOKUP($I$286&amp;$B$303,FLNFIX!$BY$4:$EF$103,4,0))</f>
        <v>#N/A</v>
      </c>
      <c r="F303" s="755" t="e">
        <f>IF($C$303=0,NA(),VLOOKUP($I$286&amp;$B$303,FLNFIX!$BY$4:$EF$103,3,0))</f>
        <v>#N/A</v>
      </c>
      <c r="G303" s="756" t="e">
        <f>IF($C$303=0,NA(),VLOOKUP($I$286&amp;$B$303,FLNFIX!$BY$4:$EF$103,5,0))</f>
        <v>#N/A</v>
      </c>
      <c r="H303" s="757"/>
      <c r="I303" s="757"/>
      <c r="J303" s="758"/>
      <c r="K303" s="677"/>
    </row>
    <row r="304" ht="20.1" customHeight="1" spans="1:11">
      <c r="A304" s="675"/>
      <c r="B304" s="755">
        <f t="shared" si="5"/>
        <v>15</v>
      </c>
      <c r="C304" s="755">
        <f>IFERROR(VLOOKUP(B304,DATEWISE!$A$3:$BY$27,2,0),0)</f>
        <v>0</v>
      </c>
      <c r="D304" s="755" t="e">
        <f>IF($C$304=0,NA(),VLOOKUP($I$286&amp;$B$304,FLNFIX!$CD$4:$EF$103,2,0))</f>
        <v>#N/A</v>
      </c>
      <c r="E304" s="755" t="e">
        <f>IF($C$304=0,NA(),VLOOKUP($I$286&amp;$B$304,FLNFIX!$CD$4:$EF$103,4,0))</f>
        <v>#N/A</v>
      </c>
      <c r="F304" s="755" t="e">
        <f>IF($C$304=0,NA(),VLOOKUP($I$286&amp;$B$304,FLNFIX!$CD$4:$EF$103,3,0))</f>
        <v>#N/A</v>
      </c>
      <c r="G304" s="756" t="e">
        <f>IF($C$304=0,NA(),VLOOKUP($I$286&amp;$B$304,FLNFIX!$CD$4:$EF$103,5,0))</f>
        <v>#N/A</v>
      </c>
      <c r="H304" s="757"/>
      <c r="I304" s="757"/>
      <c r="J304" s="758"/>
      <c r="K304" s="677"/>
    </row>
    <row r="305" ht="20.1" customHeight="1" spans="1:11">
      <c r="A305" s="675"/>
      <c r="B305" s="755">
        <f t="shared" si="5"/>
        <v>16</v>
      </c>
      <c r="C305" s="755">
        <f>IFERROR(VLOOKUP(B305,DATEWISE!$A$3:$BY$27,2,0),0)</f>
        <v>0</v>
      </c>
      <c r="D305" s="755" t="e">
        <f>IF($C$305=0,NA(),VLOOKUP($I$286&amp;$B$305,FLNFIX!$CI$4:$EF$103,2,0))</f>
        <v>#N/A</v>
      </c>
      <c r="E305" s="755" t="e">
        <f>IF($C$305=0,NA(),VLOOKUP($I$286&amp;$B$305,FLNFIX!$CI$4:$EF$103,4,0))</f>
        <v>#N/A</v>
      </c>
      <c r="F305" s="755" t="e">
        <f>IF($C$305=0,NA(),VLOOKUP($I$286&amp;$B$305,FLNFIX!$CI$4:$EF$103,3,0))</f>
        <v>#N/A</v>
      </c>
      <c r="G305" s="756" t="e">
        <f>IF($C$305=0,NA(),VLOOKUP($I$286&amp;$B$305,FLNFIX!$CI$4:$EF$103,5,0))</f>
        <v>#N/A</v>
      </c>
      <c r="H305" s="757"/>
      <c r="I305" s="757"/>
      <c r="J305" s="758"/>
      <c r="K305" s="677"/>
    </row>
    <row r="306" ht="20.1" customHeight="1" spans="1:11">
      <c r="A306" s="675"/>
      <c r="B306" s="755">
        <f t="shared" si="5"/>
        <v>17</v>
      </c>
      <c r="C306" s="755">
        <f>IFERROR(VLOOKUP(B306,DATEWISE!$A$3:$BY$27,2,0),0)</f>
        <v>0</v>
      </c>
      <c r="D306" s="755" t="e">
        <f>IF($C$306=0,NA(),VLOOKUP($I$286&amp;$B$306,FLNFIX!$CN$4:$EF$103,2,0))</f>
        <v>#N/A</v>
      </c>
      <c r="E306" s="755" t="e">
        <f>IF($C$306=0,NA(),VLOOKUP($I$286&amp;$B$306,FLNFIX!$CN$4:$EF$103,4,0))</f>
        <v>#N/A</v>
      </c>
      <c r="F306" s="755" t="e">
        <f>IF($C$306=0,NA(),VLOOKUP($I$286&amp;$B$306,FLNFIX!$CN$4:$EF$103,3,0))</f>
        <v>#N/A</v>
      </c>
      <c r="G306" s="756" t="e">
        <f>IF($C$306=0,NA(),VLOOKUP($I$286&amp;$B$306,FLNFIX!$CN$4:$EF$103,5,0))</f>
        <v>#N/A</v>
      </c>
      <c r="H306" s="757"/>
      <c r="I306" s="757"/>
      <c r="J306" s="758"/>
      <c r="K306" s="677"/>
    </row>
    <row r="307" ht="20.1" customHeight="1" spans="1:11">
      <c r="A307" s="675"/>
      <c r="B307" s="755">
        <f t="shared" si="5"/>
        <v>18</v>
      </c>
      <c r="C307" s="755">
        <f>IFERROR(VLOOKUP(B307,DATEWISE!$A$3:$BY$27,2,0),0)</f>
        <v>0</v>
      </c>
      <c r="D307" s="755" t="e">
        <f>IF($C$307=0,NA(),VLOOKUP($I$286&amp;$B$307,FLNFIX!$CS$4:$EF$103,2,0))</f>
        <v>#N/A</v>
      </c>
      <c r="E307" s="755" t="e">
        <f>IF($C$307=0,NA(),VLOOKUP($I$286&amp;$B$307,FLNFIX!$CS$4:$EF$103,4,0))</f>
        <v>#N/A</v>
      </c>
      <c r="F307" s="755" t="e">
        <f>IF($C$307=0,NA(),VLOOKUP($I$286&amp;$B$307,FLNFIX!$CS$4:$EF$103,3,0))</f>
        <v>#N/A</v>
      </c>
      <c r="G307" s="756" t="e">
        <f>IF($C$307=0,NA(),VLOOKUP($I$286&amp;$B$307,FLNFIX!$CS$4:$EF$103,5,0))</f>
        <v>#N/A</v>
      </c>
      <c r="H307" s="757"/>
      <c r="I307" s="757"/>
      <c r="J307" s="758"/>
      <c r="K307" s="677"/>
    </row>
    <row r="308" ht="20.1" customHeight="1" spans="1:11">
      <c r="A308" s="675"/>
      <c r="B308" s="755">
        <f t="shared" si="5"/>
        <v>19</v>
      </c>
      <c r="C308" s="755">
        <f>IFERROR(VLOOKUP(B308,DATEWISE!$A$3:$BY$27,2,0),0)</f>
        <v>0</v>
      </c>
      <c r="D308" s="755" t="e">
        <f>IF($C$308=0,NA(),VLOOKUP($I$286&amp;$B$308,FLNFIX!$CX$4:$EF$103,2,0))</f>
        <v>#N/A</v>
      </c>
      <c r="E308" s="755" t="e">
        <f>IF($C$308=0,NA(),VLOOKUP($I$286&amp;$B$308,FLNFIX!$CX$4:$EF$103,4,0))</f>
        <v>#N/A</v>
      </c>
      <c r="F308" s="755" t="e">
        <f>IF($C$308=0,NA(),VLOOKUP($I$286&amp;$B$308,FLNFIX!$CX$4:$EF$103,3,0))</f>
        <v>#N/A</v>
      </c>
      <c r="G308" s="756" t="e">
        <f>IF($C$308=0,NA(),VLOOKUP($I$286&amp;$B$308,FLNFIX!$CX$4:$EF$103,5,0))</f>
        <v>#N/A</v>
      </c>
      <c r="H308" s="757"/>
      <c r="I308" s="757"/>
      <c r="J308" s="758"/>
      <c r="K308" s="677"/>
    </row>
    <row r="309" ht="20.1" customHeight="1" spans="1:11">
      <c r="A309" s="675"/>
      <c r="B309" s="755">
        <f t="shared" si="5"/>
        <v>20</v>
      </c>
      <c r="C309" s="755">
        <f>IFERROR(VLOOKUP(B309,DATEWISE!$A$3:$BY$27,2,0),0)</f>
        <v>0</v>
      </c>
      <c r="D309" s="755" t="e">
        <f>IF($C$309=0,NA(),VLOOKUP($I$286&amp;$B$309,FLNFIX!$DC$4:$EF$103,2,0))</f>
        <v>#N/A</v>
      </c>
      <c r="E309" s="755" t="e">
        <f>IF($C$309=0,NA(),VLOOKUP($I$286&amp;$B$309,FLNFIX!$DC$4:$EF$103,4,0))</f>
        <v>#N/A</v>
      </c>
      <c r="F309" s="755" t="e">
        <f>IF($C$309=0,NA(),VLOOKUP($I$286&amp;$B$309,FLNFIX!$DC$4:$EF$103,3,0))</f>
        <v>#N/A</v>
      </c>
      <c r="G309" s="756" t="e">
        <f>IF($C$309=0,NA(),VLOOKUP($I$286&amp;$B$309,FLNFIX!$DC$4:$EF$103,5,0))</f>
        <v>#N/A</v>
      </c>
      <c r="H309" s="757"/>
      <c r="I309" s="757"/>
      <c r="J309" s="758"/>
      <c r="K309" s="677"/>
    </row>
    <row r="310" ht="20.1" customHeight="1" spans="1:11">
      <c r="A310" s="675"/>
      <c r="B310" s="755">
        <f t="shared" si="5"/>
        <v>21</v>
      </c>
      <c r="C310" s="755">
        <f>IFERROR(VLOOKUP(B310,DATEWISE!$A$3:$BY$27,2,0),0)</f>
        <v>0</v>
      </c>
      <c r="D310" s="755" t="e">
        <f>IF($C$310=0,NA(),VLOOKUP($I$286&amp;$B$310,FLNFIX!$DH$4:$EF$103,2,0))</f>
        <v>#N/A</v>
      </c>
      <c r="E310" s="755" t="e">
        <f>IF($C$310=0,NA(),VLOOKUP($I$286&amp;$B$310,FLNFIX!$DH$4:$EF$103,4,0))</f>
        <v>#N/A</v>
      </c>
      <c r="F310" s="755" t="e">
        <f>IF($C$310=0,NA(),VLOOKUP($I$286&amp;$B$310,FLNFIX!$DH$4:$EF$103,3,0))</f>
        <v>#N/A</v>
      </c>
      <c r="G310" s="756" t="e">
        <f>IF($C$310=0,NA(),VLOOKUP($I$286&amp;$B$310,FLNFIX!$DH$4:$EF$103,5,0))</f>
        <v>#N/A</v>
      </c>
      <c r="H310" s="757"/>
      <c r="I310" s="757"/>
      <c r="J310" s="758"/>
      <c r="K310" s="677"/>
    </row>
    <row r="311" ht="5.1" customHeight="1" spans="1:11">
      <c r="A311" s="675"/>
      <c r="B311" s="759"/>
      <c r="C311" s="759"/>
      <c r="D311" s="760"/>
      <c r="E311" s="760"/>
      <c r="F311" s="760"/>
      <c r="G311" s="761"/>
      <c r="H311" s="761"/>
      <c r="I311" s="761"/>
      <c r="J311" s="761"/>
      <c r="K311" s="677"/>
    </row>
    <row r="312" s="667" customFormat="1" ht="24.95" customHeight="1" spans="1:11">
      <c r="A312" s="711"/>
      <c r="B312" s="762" t="s">
        <v>431</v>
      </c>
      <c r="C312" s="763"/>
      <c r="D312" s="763"/>
      <c r="E312" s="763"/>
      <c r="F312" s="763"/>
      <c r="G312" s="763"/>
      <c r="H312" s="763"/>
      <c r="I312" s="763"/>
      <c r="J312" s="764"/>
      <c r="K312" s="713"/>
    </row>
    <row r="313" spans="1:11">
      <c r="A313" s="675"/>
      <c r="B313" s="765"/>
      <c r="C313" s="686"/>
      <c r="D313" s="686"/>
      <c r="E313" s="686"/>
      <c r="F313" s="686"/>
      <c r="G313" s="686"/>
      <c r="H313" s="686"/>
      <c r="I313" s="686"/>
      <c r="J313" s="766"/>
      <c r="K313" s="677"/>
    </row>
    <row r="314" spans="1:11">
      <c r="A314" s="675"/>
      <c r="B314" s="765"/>
      <c r="C314" s="686"/>
      <c r="D314" s="686"/>
      <c r="E314" s="686"/>
      <c r="F314" s="686"/>
      <c r="G314" s="686"/>
      <c r="H314" s="686"/>
      <c r="I314" s="686"/>
      <c r="J314" s="766"/>
      <c r="K314" s="677"/>
    </row>
    <row r="315" spans="1:11">
      <c r="A315" s="675"/>
      <c r="B315" s="765"/>
      <c r="C315" s="686"/>
      <c r="D315" s="686"/>
      <c r="E315" s="686"/>
      <c r="F315" s="686"/>
      <c r="G315" s="686"/>
      <c r="H315" s="686"/>
      <c r="I315" s="686"/>
      <c r="J315" s="766"/>
      <c r="K315" s="677"/>
    </row>
    <row r="316" spans="1:11">
      <c r="A316" s="675"/>
      <c r="B316" s="765"/>
      <c r="C316" s="686"/>
      <c r="D316" s="686"/>
      <c r="E316" s="686"/>
      <c r="F316" s="686"/>
      <c r="G316" s="686"/>
      <c r="H316" s="686"/>
      <c r="I316" s="686"/>
      <c r="J316" s="766"/>
      <c r="K316" s="677"/>
    </row>
    <row r="317" spans="1:11">
      <c r="A317" s="675"/>
      <c r="B317" s="765"/>
      <c r="C317" s="686"/>
      <c r="D317" s="686"/>
      <c r="E317" s="686"/>
      <c r="F317" s="686"/>
      <c r="G317" s="686"/>
      <c r="H317" s="686"/>
      <c r="I317" s="686"/>
      <c r="J317" s="766"/>
      <c r="K317" s="677"/>
    </row>
    <row r="318" spans="1:11">
      <c r="A318" s="675"/>
      <c r="B318" s="765"/>
      <c r="C318" s="686"/>
      <c r="D318" s="686"/>
      <c r="E318" s="686"/>
      <c r="F318" s="686"/>
      <c r="G318" s="686"/>
      <c r="H318" s="686"/>
      <c r="I318" s="686"/>
      <c r="J318" s="766"/>
      <c r="K318" s="677"/>
    </row>
    <row r="319" spans="1:11">
      <c r="A319" s="675"/>
      <c r="B319" s="765"/>
      <c r="C319" s="686"/>
      <c r="D319" s="686"/>
      <c r="E319" s="686"/>
      <c r="F319" s="686"/>
      <c r="G319" s="686"/>
      <c r="H319" s="686"/>
      <c r="I319" s="686"/>
      <c r="J319" s="766"/>
      <c r="K319" s="677"/>
    </row>
    <row r="320" spans="1:11">
      <c r="A320" s="675"/>
      <c r="B320" s="765"/>
      <c r="C320" s="686"/>
      <c r="D320" s="686"/>
      <c r="E320" s="686"/>
      <c r="F320" s="686"/>
      <c r="G320" s="686"/>
      <c r="H320" s="686"/>
      <c r="I320" s="686"/>
      <c r="J320" s="766"/>
      <c r="K320" s="677"/>
    </row>
    <row r="321" spans="1:11">
      <c r="A321" s="675"/>
      <c r="B321" s="765"/>
      <c r="C321" s="686"/>
      <c r="D321" s="686"/>
      <c r="E321" s="686"/>
      <c r="F321" s="686"/>
      <c r="G321" s="686"/>
      <c r="H321" s="686"/>
      <c r="I321" s="686"/>
      <c r="J321" s="766"/>
      <c r="K321" s="677"/>
    </row>
    <row r="322" spans="1:11">
      <c r="A322" s="675"/>
      <c r="B322" s="767"/>
      <c r="C322" s="768"/>
      <c r="D322" s="768"/>
      <c r="E322" s="768"/>
      <c r="F322" s="768"/>
      <c r="G322" s="768"/>
      <c r="H322" s="768"/>
      <c r="I322" s="768"/>
      <c r="J322" s="769"/>
      <c r="K322" s="677"/>
    </row>
    <row r="323" ht="5.1" customHeight="1" spans="1:11">
      <c r="A323" s="675"/>
      <c r="B323" s="686"/>
      <c r="C323" s="686"/>
      <c r="D323" s="686"/>
      <c r="E323" s="686"/>
      <c r="F323" s="686"/>
      <c r="G323" s="686"/>
      <c r="H323" s="686"/>
      <c r="I323" s="686"/>
      <c r="J323" s="686"/>
      <c r="K323" s="677"/>
    </row>
    <row r="324" spans="1:11">
      <c r="A324" s="675"/>
      <c r="B324" s="770" t="s">
        <v>432</v>
      </c>
      <c r="C324" s="770"/>
      <c r="D324" s="770"/>
      <c r="E324" s="770"/>
      <c r="F324" s="770"/>
      <c r="G324" s="770"/>
      <c r="H324" s="770"/>
      <c r="I324" s="770"/>
      <c r="J324" s="770"/>
      <c r="K324" s="677"/>
    </row>
    <row r="325" spans="1:11">
      <c r="A325" s="675"/>
      <c r="B325" s="771"/>
      <c r="C325" s="771"/>
      <c r="D325" s="771"/>
      <c r="E325" s="771"/>
      <c r="F325" s="771"/>
      <c r="G325" s="771"/>
      <c r="H325" s="771"/>
      <c r="I325" s="771"/>
      <c r="J325" s="771"/>
      <c r="K325" s="677"/>
    </row>
    <row r="326" spans="1:11">
      <c r="A326" s="675"/>
      <c r="B326" s="771"/>
      <c r="C326" s="771"/>
      <c r="D326" s="771"/>
      <c r="E326" s="771"/>
      <c r="F326" s="771"/>
      <c r="G326" s="771"/>
      <c r="H326" s="771"/>
      <c r="I326" s="771"/>
      <c r="J326" s="771"/>
      <c r="K326" s="677"/>
    </row>
    <row r="327" spans="1:11">
      <c r="A327" s="675"/>
      <c r="B327" s="771"/>
      <c r="C327" s="771"/>
      <c r="D327" s="771"/>
      <c r="E327" s="771"/>
      <c r="F327" s="771"/>
      <c r="G327" s="771"/>
      <c r="H327" s="771"/>
      <c r="I327" s="771"/>
      <c r="J327" s="771"/>
      <c r="K327" s="677"/>
    </row>
    <row r="328" spans="1:11">
      <c r="A328" s="675"/>
      <c r="B328" s="686"/>
      <c r="C328" s="686"/>
      <c r="D328" s="686"/>
      <c r="E328" s="686"/>
      <c r="F328" s="686"/>
      <c r="G328" s="686"/>
      <c r="H328" s="686"/>
      <c r="I328" s="686"/>
      <c r="J328" s="686"/>
      <c r="K328" s="677"/>
    </row>
    <row r="329" spans="1:11">
      <c r="A329" s="675"/>
      <c r="B329" s="686"/>
      <c r="C329" s="729" t="s">
        <v>433</v>
      </c>
      <c r="D329" s="729"/>
      <c r="E329" s="686"/>
      <c r="F329" s="686"/>
      <c r="G329" s="729" t="s">
        <v>434</v>
      </c>
      <c r="H329" s="729"/>
      <c r="I329" s="729"/>
      <c r="J329" s="729"/>
      <c r="K329" s="677"/>
    </row>
    <row r="330" ht="16.35" spans="1:11">
      <c r="A330" s="725"/>
      <c r="B330" s="726"/>
      <c r="C330" s="732" t="str">
        <f>"("&amp;PROPER(ENTRY!$D$19)&amp;")"</f>
        <v>(Indrajeet)</v>
      </c>
      <c r="D330" s="732"/>
      <c r="E330" s="726"/>
      <c r="F330" s="726"/>
      <c r="G330" s="732" t="str">
        <f>"("&amp;PROPER(ENTRY!$D$12)&amp;")"</f>
        <v>(Shambhu Dayal Meena)</v>
      </c>
      <c r="H330" s="732"/>
      <c r="I330" s="732"/>
      <c r="J330" s="732"/>
      <c r="K330" s="728"/>
    </row>
    <row r="331" ht="24.6" spans="1:11">
      <c r="B331" s="734"/>
      <c r="C331" s="734"/>
      <c r="D331" s="669" t="str">
        <f>ENTRY!$D$3</f>
        <v>MUNICIPAL CORPORATION OF DELHI</v>
      </c>
      <c r="E331" s="669"/>
      <c r="F331" s="669"/>
      <c r="G331" s="669"/>
      <c r="H331" s="734"/>
      <c r="I331" s="669"/>
      <c r="J331" s="669"/>
    </row>
    <row r="332" ht="20.4" spans="1:11">
      <c r="B332" s="735"/>
      <c r="C332" s="735"/>
      <c r="D332" s="670" t="str">
        <f>ENTRY!$D$4</f>
        <v>EDUCATION DEPARTMENT</v>
      </c>
      <c r="E332" s="670"/>
      <c r="F332" s="670"/>
      <c r="G332" s="670"/>
      <c r="H332" s="735"/>
      <c r="I332" s="669"/>
      <c r="J332" s="669"/>
    </row>
    <row r="333" ht="22.8" spans="1:11">
      <c r="B333" s="736"/>
      <c r="C333" s="736"/>
      <c r="D333" s="664" t="s">
        <v>417</v>
      </c>
      <c r="E333" s="664"/>
      <c r="F333" s="664"/>
      <c r="G333" s="664"/>
      <c r="H333" s="736"/>
      <c r="I333" s="669"/>
      <c r="J333" s="669"/>
    </row>
    <row r="334" ht="22.8" spans="1:11">
      <c r="B334" s="736"/>
      <c r="C334" s="736"/>
      <c r="D334" s="664" t="s">
        <v>418</v>
      </c>
      <c r="E334" s="664"/>
      <c r="F334" s="664"/>
      <c r="G334" s="664"/>
      <c r="H334" s="736"/>
      <c r="I334" s="669"/>
      <c r="J334" s="669"/>
    </row>
    <row r="335" ht="24.95" customHeight="1" spans="1:11">
      <c r="B335" s="735"/>
      <c r="C335" s="735"/>
      <c r="D335" s="737" t="str">
        <f>"SESSION : "&amp;ENTRY!$D$11</f>
        <v>SESSION : 2026-27</v>
      </c>
      <c r="E335" s="737"/>
      <c r="F335" s="737"/>
      <c r="G335" s="737"/>
      <c r="H335" s="735"/>
      <c r="I335" s="738"/>
      <c r="J335" s="738"/>
    </row>
    <row r="336" ht="3.75" customHeight="1" spans="1:11">
      <c r="A336" s="672"/>
      <c r="B336" s="739"/>
      <c r="C336" s="739"/>
      <c r="D336" s="739"/>
      <c r="E336" s="739"/>
      <c r="F336" s="739"/>
      <c r="G336" s="739"/>
      <c r="H336" s="739"/>
      <c r="I336" s="739"/>
      <c r="J336" s="739"/>
      <c r="K336" s="674"/>
    </row>
    <row r="337" ht="21.95" customHeight="1" spans="1:11">
      <c r="A337" s="675"/>
      <c r="B337" s="676" t="s">
        <v>419</v>
      </c>
      <c r="C337" s="676"/>
      <c r="D337" s="676" t="str">
        <f>ENTRY!$D$6</f>
        <v>MCP NITHARI NO 1 BOYS</v>
      </c>
      <c r="E337" s="676"/>
      <c r="F337" s="676"/>
      <c r="G337" s="676"/>
      <c r="H337" s="676"/>
      <c r="I337" s="676"/>
      <c r="J337" s="676"/>
      <c r="K337" s="677"/>
    </row>
    <row r="338" ht="21.95" customHeight="1" spans="1:11">
      <c r="A338" s="675"/>
      <c r="B338" s="676" t="s">
        <v>420</v>
      </c>
      <c r="C338" s="676"/>
      <c r="D338" s="740" t="str">
        <f>IFERROR(VLOOKUP($I$341,STUDENT!$A$2:$BP$101,5,0),"")</f>
        <v>MD SAUBAN</v>
      </c>
      <c r="E338" s="740"/>
      <c r="F338" s="740"/>
      <c r="G338" s="740"/>
      <c r="H338" s="740"/>
      <c r="I338" s="740"/>
      <c r="J338" s="740"/>
      <c r="K338" s="677"/>
    </row>
    <row r="339" ht="21.95" customHeight="1" spans="1:11">
      <c r="A339" s="675"/>
      <c r="B339" s="676" t="s">
        <v>421</v>
      </c>
      <c r="C339" s="676"/>
      <c r="D339" s="740" t="str">
        <f>IFERROR(VLOOKUP($I$341,STUDENT!$A$2:$BP$101,8,0),"")</f>
        <v>MD IRSHAD</v>
      </c>
      <c r="E339" s="740"/>
      <c r="F339" s="740"/>
      <c r="G339" s="740"/>
      <c r="H339" s="740"/>
      <c r="I339" s="740"/>
      <c r="J339" s="740"/>
      <c r="K339" s="677"/>
    </row>
    <row r="340" ht="21.95" customHeight="1" spans="1:11">
      <c r="A340" s="675"/>
      <c r="B340" s="676" t="s">
        <v>422</v>
      </c>
      <c r="C340" s="676"/>
      <c r="D340" s="740">
        <f>IFERROR(VLOOKUP($I$341,STUDENT!$A$2:$BP$101,6,0),"")</f>
        <v>14773</v>
      </c>
      <c r="E340" s="740"/>
      <c r="F340" s="740"/>
      <c r="G340" s="740"/>
      <c r="H340" s="740"/>
      <c r="I340" s="740"/>
      <c r="J340" s="740"/>
      <c r="K340" s="677"/>
    </row>
    <row r="341" ht="21.95" customHeight="1" spans="1:11">
      <c r="A341" s="675"/>
      <c r="B341" s="676" t="s">
        <v>423</v>
      </c>
      <c r="C341" s="676"/>
      <c r="D341" s="741" t="str">
        <f>IFERROR(VLOOKUP($I$341,STUDENT!$A$2:$BP$101,59,0),"")</f>
        <v/>
      </c>
      <c r="E341" s="742" t="s">
        <v>424</v>
      </c>
      <c r="F341" s="704" t="str">
        <f>IFERROR(VLOOKUP($I$341,STUDENT!$A$2:$BP$101,2,0),"")</f>
        <v>III-A</v>
      </c>
      <c r="G341" s="742" t="s">
        <v>425</v>
      </c>
      <c r="H341" s="743"/>
      <c r="I341" s="733">
        <f>I286+1</f>
        <v>7</v>
      </c>
      <c r="J341" s="683"/>
      <c r="K341" s="677"/>
    </row>
    <row r="342" ht="5.1" customHeight="1" spans="1:11">
      <c r="A342" s="675"/>
      <c r="B342" s="745"/>
      <c r="C342" s="745"/>
      <c r="D342" s="746"/>
      <c r="E342" s="747"/>
      <c r="F342" s="748"/>
      <c r="G342" s="747"/>
      <c r="H342" s="686"/>
      <c r="I342" s="686"/>
      <c r="J342" s="686"/>
      <c r="K342" s="677"/>
    </row>
    <row r="343" s="664" customFormat="1" ht="32.1" customHeight="1" spans="1:11">
      <c r="A343" s="688"/>
      <c r="B343" s="749" t="s">
        <v>426</v>
      </c>
      <c r="C343" s="750"/>
      <c r="D343" s="750"/>
      <c r="E343" s="750"/>
      <c r="F343" s="750"/>
      <c r="G343" s="750"/>
      <c r="H343" s="750"/>
      <c r="I343" s="750"/>
      <c r="J343" s="751"/>
      <c r="K343" s="690"/>
    </row>
    <row r="344" ht="51.6" spans="1:11">
      <c r="A344" s="675"/>
      <c r="B344" s="752">
        <v>21</v>
      </c>
      <c r="C344" s="753" t="s">
        <v>427</v>
      </c>
      <c r="D344" s="754" t="s">
        <v>428</v>
      </c>
      <c r="E344" s="754" t="s">
        <v>429</v>
      </c>
      <c r="F344" s="754" t="s">
        <v>430</v>
      </c>
      <c r="G344" s="753" t="s">
        <v>390</v>
      </c>
      <c r="H344" s="714"/>
      <c r="I344" s="714"/>
      <c r="J344" s="714"/>
      <c r="K344" s="677"/>
    </row>
    <row r="345" ht="20.1" customHeight="1" spans="1:11">
      <c r="A345" s="675"/>
      <c r="B345" s="755">
        <v>1</v>
      </c>
      <c r="C345" s="755" t="str">
        <f>IFERROR(VLOOKUP(B345,DATEWISE!$A$3:$BY$27,2,0),0)</f>
        <v>30.04.2026</v>
      </c>
      <c r="D345" s="755">
        <f>IF($C$345=0,NA(),VLOOKUP($I$341&amp;$B$345,FLNFIX!$L$4:$EF$103,2,0))</f>
        <v>4</v>
      </c>
      <c r="E345" s="755">
        <f>IF($C$345=0,NA(),VLOOKUP($I$341&amp;$B$345,FLNFIX!$L$4:$EF$103,4,0))</f>
        <v>4</v>
      </c>
      <c r="F345" s="755">
        <f>IF($C$345=0,NA(),VLOOKUP($I$341&amp;$B$345,FLNFIX!$L$4:$EF$103,3,0))</f>
        <v>3</v>
      </c>
      <c r="G345" s="756">
        <f>IF($C$345=0,NA(),VLOOKUP($I$341&amp;$B$345,FLNFIX!$L$4:$EF$103,5,0))</f>
        <v>0</v>
      </c>
      <c r="H345" s="757"/>
      <c r="I345" s="757"/>
      <c r="J345" s="758"/>
      <c r="K345" s="677"/>
    </row>
    <row r="346" ht="20.1" customHeight="1" spans="1:11">
      <c r="A346" s="675"/>
      <c r="B346" s="755">
        <f t="shared" ref="B346:B365" si="6">IF(B345=0,0,IF(B345&lt;$B$344,B345+1,""))</f>
        <v>2</v>
      </c>
      <c r="C346" s="755" t="str">
        <f>IFERROR(VLOOKUP(B346,DATEWISE!$A$3:$BY$27,2,0),0)</f>
        <v>08.05.2026</v>
      </c>
      <c r="D346" s="755">
        <f>IF($C$346=0,NA(),VLOOKUP($I$341&amp;$B$346,FLNFIX!$Q$4:$EF$103,2,0))</f>
        <v>4</v>
      </c>
      <c r="E346" s="755">
        <f>IF($C$346=0,NA(),VLOOKUP($I$341&amp;$B$346,FLNFIX!$Q$4:$EF$103,4,0))</f>
        <v>4</v>
      </c>
      <c r="F346" s="755">
        <f>IF($C$346=0,NA(),VLOOKUP($I$341&amp;$B$346,FLNFIX!$Q$4:$EF$103,3,0))</f>
        <v>3</v>
      </c>
      <c r="G346" s="756">
        <f>IF($C$346=0,NA(),VLOOKUP($I$341&amp;$B$346,FLNFIX!$Q$4:$EF$103,5,0))</f>
        <v>0</v>
      </c>
      <c r="H346" s="757"/>
      <c r="I346" s="757"/>
      <c r="J346" s="758"/>
      <c r="K346" s="677"/>
    </row>
    <row r="347" ht="20.1" customHeight="1" spans="1:11">
      <c r="A347" s="675"/>
      <c r="B347" s="755">
        <f t="shared" si="6"/>
        <v>3</v>
      </c>
      <c r="C347" s="755" t="str">
        <f>IFERROR(VLOOKUP(B347,DATEWISE!$A$3:$BY$27,2,0),0)</f>
        <v>15.07.2026</v>
      </c>
      <c r="D347" s="755">
        <f>IF($C$347=0,NA(),VLOOKUP($I$341&amp;$B$347,FLNFIX!$V$4:$EF$103,2,0))</f>
        <v>4</v>
      </c>
      <c r="E347" s="755">
        <f>IF($C$347=0,NA(),VLOOKUP($I$341&amp;$B$347,FLNFIX!$V$4:$EF$103,4,0))</f>
        <v>4</v>
      </c>
      <c r="F347" s="755">
        <f>IF($C$347=0,NA(),VLOOKUP($I$341&amp;$B$347,FLNFIX!$V$4:$EF$103,3,0))</f>
        <v>3</v>
      </c>
      <c r="G347" s="756">
        <f>IF($C$347=0,NA(),VLOOKUP($I$341&amp;$B$347,FLNFIX!$V$4:$EF$103,5,0))</f>
        <v>0</v>
      </c>
      <c r="H347" s="757"/>
      <c r="I347" s="757"/>
      <c r="J347" s="758"/>
      <c r="K347" s="677"/>
    </row>
    <row r="348" ht="20.1" customHeight="1" spans="1:11">
      <c r="A348" s="675"/>
      <c r="B348" s="755">
        <f t="shared" si="6"/>
        <v>4</v>
      </c>
      <c r="C348" s="755" t="str">
        <f>IFERROR(VLOOKUP(B348,DATEWISE!$A$3:$BY$27,2,0),0)</f>
        <v>31.07.2026</v>
      </c>
      <c r="D348" s="755">
        <f>IF($C$348=0,NA(),VLOOKUP($I$341&amp;$B$348,FLNFIX!$AA$4:$EF$103,2,0))</f>
        <v>4</v>
      </c>
      <c r="E348" s="755">
        <f>IF($C$348=0,NA(),VLOOKUP($I$341&amp;$B$348,FLNFIX!$AA$4:$EF$103,4,0))</f>
        <v>4</v>
      </c>
      <c r="F348" s="755">
        <f>IF($C$348=0,NA(),VLOOKUP($I$341&amp;$B$348,FLNFIX!$AA$4:$EF$103,3,0))</f>
        <v>3</v>
      </c>
      <c r="G348" s="756">
        <f>IF($C$348=0,NA(),VLOOKUP($I$341&amp;$B$348,FLNFIX!$AA$4:$EF$103,5,0))</f>
        <v>0</v>
      </c>
      <c r="H348" s="757"/>
      <c r="I348" s="757"/>
      <c r="J348" s="758"/>
      <c r="K348" s="677"/>
    </row>
    <row r="349" ht="20.1" customHeight="1" spans="1:11">
      <c r="A349" s="675"/>
      <c r="B349" s="755">
        <f t="shared" si="6"/>
        <v>5</v>
      </c>
      <c r="C349" s="755" t="str">
        <f>IFERROR(VLOOKUP(B349,DATEWISE!$A$3:$BY$27,2,0),0)</f>
        <v>17.08.2026</v>
      </c>
      <c r="D349" s="755">
        <f>IF($C$349=0,NA(),VLOOKUP($I$341&amp;$B$349,FLNFIX!$AF$4:$EF$103,2,0))</f>
        <v>4</v>
      </c>
      <c r="E349" s="755">
        <f>IF($C$349=0,NA(),VLOOKUP($I$341&amp;$B$349,FLNFIX!$AF$4:$EF$103,4,0))</f>
        <v>4</v>
      </c>
      <c r="F349" s="755">
        <f>IF($C$349=0,NA(),VLOOKUP($I$341&amp;$B$349,FLNFIX!$AF$4:$EF$103,3,0))</f>
        <v>3</v>
      </c>
      <c r="G349" s="756">
        <f>IF($C$349=0,NA(),VLOOKUP($I$341&amp;$B$349,FLNFIX!$AF$4:$EF$103,5,0))</f>
        <v>0</v>
      </c>
      <c r="H349" s="757"/>
      <c r="I349" s="757"/>
      <c r="J349" s="758"/>
      <c r="K349" s="677"/>
    </row>
    <row r="350" ht="20.1" customHeight="1" spans="1:11">
      <c r="A350" s="675"/>
      <c r="B350" s="755">
        <f t="shared" si="6"/>
        <v>6</v>
      </c>
      <c r="C350" s="755" t="str">
        <f>IFERROR(VLOOKUP(B350,DATEWISE!$A$3:$BY$27,2,0),0)</f>
        <v>31.08.2026</v>
      </c>
      <c r="D350" s="755">
        <f>IF($C$350=0,NA(),VLOOKUP($I$341&amp;$B$350,FLNFIX!$AK$4:$EF$103,2,0))</f>
        <v>4</v>
      </c>
      <c r="E350" s="755">
        <f>IF($C$350=0,NA(),VLOOKUP($I$341&amp;$B$350,FLNFIX!$AK$4:$EF$103,4,0))</f>
        <v>4</v>
      </c>
      <c r="F350" s="755">
        <f>IF($C$350=0,NA(),VLOOKUP($I$341&amp;$B$350,FLNFIX!$AK$4:$EF$103,3,0))</f>
        <v>3</v>
      </c>
      <c r="G350" s="756">
        <f>IF($C$350=0,NA(),VLOOKUP($I$341&amp;$B$350,FLNFIX!$AK$4:$EF$103,5,0))</f>
        <v>0</v>
      </c>
      <c r="H350" s="757"/>
      <c r="I350" s="757"/>
      <c r="J350" s="758"/>
      <c r="K350" s="677"/>
    </row>
    <row r="351" ht="20.1" customHeight="1" spans="1:11">
      <c r="A351" s="675"/>
      <c r="B351" s="755">
        <f t="shared" si="6"/>
        <v>7</v>
      </c>
      <c r="C351" s="755">
        <f>IFERROR(VLOOKUP(B351,DATEWISE!$A$3:$BY$27,2,0),0)</f>
        <v>0</v>
      </c>
      <c r="D351" s="755" t="e">
        <f>IF($C$351=0,NA(),VLOOKUP($I$341&amp;$B$351,FLNFIX!$AP$4:$EF$103,2,0))</f>
        <v>#N/A</v>
      </c>
      <c r="E351" s="755" t="e">
        <f>IF($C$351=0,NA(),VLOOKUP($I$341&amp;$B$351,FLNFIX!$AP$4:$EF$103,4,0))</f>
        <v>#N/A</v>
      </c>
      <c r="F351" s="755" t="e">
        <f>IF($C$351=0,NA(),VLOOKUP($I$341&amp;$B$351,FLNFIX!$AP$4:$EF$103,3,0))</f>
        <v>#N/A</v>
      </c>
      <c r="G351" s="756" t="e">
        <f>IF($C$351=0,NA(),VLOOKUP($I$341&amp;$B$351,FLNFIX!$AP$4:$EF$103,5,0))</f>
        <v>#N/A</v>
      </c>
      <c r="H351" s="757"/>
      <c r="I351" s="757"/>
      <c r="J351" s="758"/>
      <c r="K351" s="677"/>
    </row>
    <row r="352" ht="20.1" customHeight="1" spans="1:11">
      <c r="A352" s="675"/>
      <c r="B352" s="755">
        <f t="shared" si="6"/>
        <v>8</v>
      </c>
      <c r="C352" s="755">
        <f>IFERROR(VLOOKUP(B352,DATEWISE!$A$3:$BY$27,2,0),0)</f>
        <v>0</v>
      </c>
      <c r="D352" s="755" t="e">
        <f>IF($C$352=0,NA(),VLOOKUP($I$341&amp;$B$352,FLNFIX!$AU$4:$EF$103,2,0))</f>
        <v>#N/A</v>
      </c>
      <c r="E352" s="755" t="e">
        <f>IF($C$352=0,NA(),VLOOKUP($I$341&amp;$B$352,FLNFIX!$AU$4:$EF$103,4,0))</f>
        <v>#N/A</v>
      </c>
      <c r="F352" s="755" t="e">
        <f>IF($C$352=0,NA(),VLOOKUP($I$341&amp;$B$352,FLNFIX!$AU$4:$EF$103,3,0))</f>
        <v>#N/A</v>
      </c>
      <c r="G352" s="756" t="e">
        <f>IF($C$352=0,NA(),VLOOKUP($I$341&amp;$B$352,FLNFIX!$AU$4:$EF$103,5,0))</f>
        <v>#N/A</v>
      </c>
      <c r="H352" s="757"/>
      <c r="I352" s="757"/>
      <c r="J352" s="758"/>
      <c r="K352" s="677"/>
    </row>
    <row r="353" ht="20.1" customHeight="1" spans="1:11">
      <c r="A353" s="675"/>
      <c r="B353" s="755">
        <f t="shared" si="6"/>
        <v>9</v>
      </c>
      <c r="C353" s="755">
        <f>IFERROR(VLOOKUP(B353,DATEWISE!$A$3:$BY$27,2,0),0)</f>
        <v>0</v>
      </c>
      <c r="D353" s="755" t="e">
        <f>IF($C$353=0,NA(),VLOOKUP($I$341&amp;$B$353,FLNFIX!$AZ$4:$EF$103,2,0))</f>
        <v>#N/A</v>
      </c>
      <c r="E353" s="755" t="e">
        <f>IF($C$353=0,NA(),VLOOKUP($I$341&amp;$B$353,FLNFIX!$AZ$4:$EF$103,4,0))</f>
        <v>#N/A</v>
      </c>
      <c r="F353" s="755" t="e">
        <f>IF($C$353=0,NA(),VLOOKUP($I$341&amp;$B$353,FLNFIX!$AZ$4:$EF$103,3,0))</f>
        <v>#N/A</v>
      </c>
      <c r="G353" s="756" t="e">
        <f>IF($C$353=0,NA(),VLOOKUP($I$341&amp;$B$353,FLNFIX!$AZ$4:$EF$103,5,0))</f>
        <v>#N/A</v>
      </c>
      <c r="H353" s="757"/>
      <c r="I353" s="757"/>
      <c r="J353" s="758"/>
      <c r="K353" s="677"/>
    </row>
    <row r="354" ht="20.1" customHeight="1" spans="1:11">
      <c r="A354" s="675"/>
      <c r="B354" s="755">
        <f t="shared" si="6"/>
        <v>10</v>
      </c>
      <c r="C354" s="755">
        <f>IFERROR(VLOOKUP(B354,DATEWISE!$A$3:$BY$27,2,0),0)</f>
        <v>0</v>
      </c>
      <c r="D354" s="755" t="e">
        <f>IF($C$354=0,NA(),VLOOKUP($I$341&amp;$B$354,FLNFIX!$BE$4:$EF$103,2,0))</f>
        <v>#N/A</v>
      </c>
      <c r="E354" s="755" t="e">
        <f>IF($C$354=0,NA(),VLOOKUP($I$341&amp;$B$354,FLNFIX!$BE$4:$EF$103,4,0))</f>
        <v>#N/A</v>
      </c>
      <c r="F354" s="755" t="e">
        <f>IF($C$354=0,NA(),VLOOKUP($I$341&amp;$B$354,FLNFIX!$BE$4:$EF$103,3,0))</f>
        <v>#N/A</v>
      </c>
      <c r="G354" s="756" t="e">
        <f>IF($C$354=0,NA(),VLOOKUP($I$341&amp;$B$354,FLNFIX!$BE$4:$EF$103,5,0))</f>
        <v>#N/A</v>
      </c>
      <c r="H354" s="757"/>
      <c r="I354" s="757"/>
      <c r="J354" s="758"/>
      <c r="K354" s="677"/>
    </row>
    <row r="355" ht="20.1" customHeight="1" spans="1:11">
      <c r="A355" s="675"/>
      <c r="B355" s="755">
        <f t="shared" si="6"/>
        <v>11</v>
      </c>
      <c r="C355" s="755">
        <f>IFERROR(VLOOKUP(B355,DATEWISE!$A$3:$BY$27,2,0),0)</f>
        <v>0</v>
      </c>
      <c r="D355" s="755" t="e">
        <f>IF($C$355=0,NA(),VLOOKUP($I$341&amp;$B$355,FLNFIX!$BJ$4:$EF$103,2,0))</f>
        <v>#N/A</v>
      </c>
      <c r="E355" s="755" t="e">
        <f>IF($C$355=0,NA(),VLOOKUP($I$341&amp;$B$355,FLNFIX!$BJ$4:$EF$103,4,0))</f>
        <v>#N/A</v>
      </c>
      <c r="F355" s="755" t="e">
        <f>IF($C$355=0,NA(),VLOOKUP($I$341&amp;$B$355,FLNFIX!$BJ$4:$EF$103,3,0))</f>
        <v>#N/A</v>
      </c>
      <c r="G355" s="756" t="e">
        <f>IF($C$355=0,NA(),VLOOKUP($I$341&amp;$B$355,FLNFIX!$BJ$4:$EF$103,5,0))</f>
        <v>#N/A</v>
      </c>
      <c r="H355" s="757"/>
      <c r="I355" s="757"/>
      <c r="J355" s="758"/>
      <c r="K355" s="677"/>
    </row>
    <row r="356" ht="20.1" customHeight="1" spans="1:11">
      <c r="A356" s="675"/>
      <c r="B356" s="755">
        <f t="shared" si="6"/>
        <v>12</v>
      </c>
      <c r="C356" s="755">
        <f>IFERROR(VLOOKUP(B356,DATEWISE!$A$3:$BY$27,2,0),0)</f>
        <v>0</v>
      </c>
      <c r="D356" s="755" t="e">
        <f>IF($C$356=0,NA(),VLOOKUP($I$341&amp;$B$356,FLNFIX!$BO$4:$EF$103,2,0))</f>
        <v>#N/A</v>
      </c>
      <c r="E356" s="755" t="e">
        <f>IF($C$356=0,NA(),VLOOKUP($I$341&amp;$B$356,FLNFIX!$BO$4:$EF$103,4,0))</f>
        <v>#N/A</v>
      </c>
      <c r="F356" s="755" t="e">
        <f>IF($C$356=0,NA(),VLOOKUP($I$341&amp;$B$356,FLNFIX!$BO$4:$EF$103,3,0))</f>
        <v>#N/A</v>
      </c>
      <c r="G356" s="756" t="e">
        <f>IF($C$356=0,NA(),VLOOKUP($I$341&amp;$B$356,FLNFIX!$BO$4:$EF$103,5,0))</f>
        <v>#N/A</v>
      </c>
      <c r="H356" s="757"/>
      <c r="I356" s="757"/>
      <c r="J356" s="758"/>
      <c r="K356" s="677"/>
    </row>
    <row r="357" ht="20.1" customHeight="1" spans="1:11">
      <c r="A357" s="675"/>
      <c r="B357" s="755">
        <f t="shared" si="6"/>
        <v>13</v>
      </c>
      <c r="C357" s="755">
        <f>IFERROR(VLOOKUP(B357,DATEWISE!$A$3:$BY$27,2,0),0)</f>
        <v>0</v>
      </c>
      <c r="D357" s="755" t="e">
        <f>IF($C$357=0,NA(),VLOOKUP($I$341&amp;$B$357,FLNFIX!$BT$4:$EF$103,2,0))</f>
        <v>#N/A</v>
      </c>
      <c r="E357" s="755" t="e">
        <f>IF($C$357=0,NA(),VLOOKUP($I$341&amp;$B$357,FLNFIX!$BT$4:$EF$103,4,0))</f>
        <v>#N/A</v>
      </c>
      <c r="F357" s="755" t="e">
        <f>IF($C$357=0,NA(),VLOOKUP($I$341&amp;$B$357,FLNFIX!$BT$4:$EF$103,3,0))</f>
        <v>#N/A</v>
      </c>
      <c r="G357" s="756" t="e">
        <f>IF($C$357=0,NA(),VLOOKUP($I$341&amp;$B$357,FLNFIX!$BT$4:$EF$103,5,0))</f>
        <v>#N/A</v>
      </c>
      <c r="H357" s="757"/>
      <c r="I357" s="757"/>
      <c r="J357" s="758"/>
      <c r="K357" s="677"/>
    </row>
    <row r="358" ht="20.1" customHeight="1" spans="1:11">
      <c r="A358" s="675"/>
      <c r="B358" s="755">
        <f t="shared" si="6"/>
        <v>14</v>
      </c>
      <c r="C358" s="755">
        <f>IFERROR(VLOOKUP(B358,DATEWISE!$A$3:$BY$27,2,0),0)</f>
        <v>0</v>
      </c>
      <c r="D358" s="755" t="e">
        <f>IF($C$358=0,NA(),VLOOKUP($I$341&amp;$B$358,FLNFIX!$BY$4:$EF$103,2,0))</f>
        <v>#N/A</v>
      </c>
      <c r="E358" s="755" t="e">
        <f>IF($C$358=0,NA(),VLOOKUP($I$341&amp;$B$358,FLNFIX!$BY$4:$EF$103,4,0))</f>
        <v>#N/A</v>
      </c>
      <c r="F358" s="755" t="e">
        <f>IF($C$358=0,NA(),VLOOKUP($I$341&amp;$B$358,FLNFIX!$BY$4:$EF$103,3,0))</f>
        <v>#N/A</v>
      </c>
      <c r="G358" s="756" t="e">
        <f>IF($C$358=0,NA(),VLOOKUP($I$341&amp;$B$358,FLNFIX!$BY$4:$EF$103,5,0))</f>
        <v>#N/A</v>
      </c>
      <c r="H358" s="757"/>
      <c r="I358" s="757"/>
      <c r="J358" s="758"/>
      <c r="K358" s="677"/>
    </row>
    <row r="359" ht="20.1" customHeight="1" spans="1:11">
      <c r="A359" s="675"/>
      <c r="B359" s="755">
        <f t="shared" si="6"/>
        <v>15</v>
      </c>
      <c r="C359" s="755">
        <f>IFERROR(VLOOKUP(B359,DATEWISE!$A$3:$BY$27,2,0),0)</f>
        <v>0</v>
      </c>
      <c r="D359" s="755" t="e">
        <f>IF($C$359=0,NA(),VLOOKUP($I$341&amp;$B$359,FLNFIX!$CD$4:$EF$103,2,0))</f>
        <v>#N/A</v>
      </c>
      <c r="E359" s="755" t="e">
        <f>IF($C$359=0,NA(),VLOOKUP($I$341&amp;$B$359,FLNFIX!$CD$4:$EF$103,4,0))</f>
        <v>#N/A</v>
      </c>
      <c r="F359" s="755" t="e">
        <f>IF($C$359=0,NA(),VLOOKUP($I$341&amp;$B$359,FLNFIX!$CD$4:$EF$103,3,0))</f>
        <v>#N/A</v>
      </c>
      <c r="G359" s="756" t="e">
        <f>IF($C$359=0,NA(),VLOOKUP($I$341&amp;$B$359,FLNFIX!$CD$4:$EF$103,5,0))</f>
        <v>#N/A</v>
      </c>
      <c r="H359" s="757"/>
      <c r="I359" s="757"/>
      <c r="J359" s="758"/>
      <c r="K359" s="677"/>
    </row>
    <row r="360" ht="20.1" customHeight="1" spans="1:11">
      <c r="A360" s="675"/>
      <c r="B360" s="755">
        <f t="shared" si="6"/>
        <v>16</v>
      </c>
      <c r="C360" s="755">
        <f>IFERROR(VLOOKUP(B360,DATEWISE!$A$3:$BY$27,2,0),0)</f>
        <v>0</v>
      </c>
      <c r="D360" s="755" t="e">
        <f>IF($C$360=0,NA(),VLOOKUP($I$341&amp;$B$360,FLNFIX!$CI$4:$EF$103,2,0))</f>
        <v>#N/A</v>
      </c>
      <c r="E360" s="755" t="e">
        <f>IF($C$360=0,NA(),VLOOKUP($I$341&amp;$B$360,FLNFIX!$CI$4:$EF$103,4,0))</f>
        <v>#N/A</v>
      </c>
      <c r="F360" s="755" t="e">
        <f>IF($C$360=0,NA(),VLOOKUP($I$341&amp;$B$360,FLNFIX!$CI$4:$EF$103,3,0))</f>
        <v>#N/A</v>
      </c>
      <c r="G360" s="756" t="e">
        <f>IF($C$360=0,NA(),VLOOKUP($I$341&amp;$B$360,FLNFIX!$CI$4:$EF$103,5,0))</f>
        <v>#N/A</v>
      </c>
      <c r="H360" s="757"/>
      <c r="I360" s="757"/>
      <c r="J360" s="758"/>
      <c r="K360" s="677"/>
    </row>
    <row r="361" ht="20.1" customHeight="1" spans="1:11">
      <c r="A361" s="675"/>
      <c r="B361" s="755">
        <f t="shared" si="6"/>
        <v>17</v>
      </c>
      <c r="C361" s="755">
        <f>IFERROR(VLOOKUP(B361,DATEWISE!$A$3:$BY$27,2,0),0)</f>
        <v>0</v>
      </c>
      <c r="D361" s="755" t="e">
        <f>IF($C$361=0,NA(),VLOOKUP($I$341&amp;$B$361,FLNFIX!$CN$4:$EF$103,2,0))</f>
        <v>#N/A</v>
      </c>
      <c r="E361" s="755" t="e">
        <f>IF($C$361=0,NA(),VLOOKUP($I$341&amp;$B$361,FLNFIX!$CN$4:$EF$103,4,0))</f>
        <v>#N/A</v>
      </c>
      <c r="F361" s="755" t="e">
        <f>IF($C$361=0,NA(),VLOOKUP($I$341&amp;$B$361,FLNFIX!$CN$4:$EF$103,3,0))</f>
        <v>#N/A</v>
      </c>
      <c r="G361" s="756" t="e">
        <f>IF($C$361=0,NA(),VLOOKUP($I$341&amp;$B$361,FLNFIX!$CN$4:$EF$103,5,0))</f>
        <v>#N/A</v>
      </c>
      <c r="H361" s="757"/>
      <c r="I361" s="757"/>
      <c r="J361" s="758"/>
      <c r="K361" s="677"/>
    </row>
    <row r="362" ht="20.1" customHeight="1" spans="1:11">
      <c r="A362" s="675"/>
      <c r="B362" s="755">
        <f t="shared" si="6"/>
        <v>18</v>
      </c>
      <c r="C362" s="755">
        <f>IFERROR(VLOOKUP(B362,DATEWISE!$A$3:$BY$27,2,0),0)</f>
        <v>0</v>
      </c>
      <c r="D362" s="755" t="e">
        <f>IF($C$362=0,NA(),VLOOKUP($I$341&amp;$B$362,FLNFIX!$CS$4:$EF$103,2,0))</f>
        <v>#N/A</v>
      </c>
      <c r="E362" s="755" t="e">
        <f>IF($C$362=0,NA(),VLOOKUP($I$341&amp;$B$362,FLNFIX!$CS$4:$EF$103,4,0))</f>
        <v>#N/A</v>
      </c>
      <c r="F362" s="755" t="e">
        <f>IF($C$362=0,NA(),VLOOKUP($I$341&amp;$B$362,FLNFIX!$CS$4:$EF$103,3,0))</f>
        <v>#N/A</v>
      </c>
      <c r="G362" s="756" t="e">
        <f>IF($C$362=0,NA(),VLOOKUP($I$341&amp;$B$362,FLNFIX!$CS$4:$EF$103,5,0))</f>
        <v>#N/A</v>
      </c>
      <c r="H362" s="757"/>
      <c r="I362" s="757"/>
      <c r="J362" s="758"/>
      <c r="K362" s="677"/>
    </row>
    <row r="363" ht="20.1" customHeight="1" spans="1:11">
      <c r="A363" s="675"/>
      <c r="B363" s="755">
        <f t="shared" si="6"/>
        <v>19</v>
      </c>
      <c r="C363" s="755">
        <f>IFERROR(VLOOKUP(B363,DATEWISE!$A$3:$BY$27,2,0),0)</f>
        <v>0</v>
      </c>
      <c r="D363" s="755" t="e">
        <f>IF($C$363=0,NA(),VLOOKUP($I$341&amp;$B$363,FLNFIX!$CX$4:$EF$103,2,0))</f>
        <v>#N/A</v>
      </c>
      <c r="E363" s="755" t="e">
        <f>IF($C$363=0,NA(),VLOOKUP($I$341&amp;$B$363,FLNFIX!$CX$4:$EF$103,4,0))</f>
        <v>#N/A</v>
      </c>
      <c r="F363" s="755" t="e">
        <f>IF($C$363=0,NA(),VLOOKUP($I$341&amp;$B$363,FLNFIX!$CX$4:$EF$103,3,0))</f>
        <v>#N/A</v>
      </c>
      <c r="G363" s="756" t="e">
        <f>IF($C$363=0,NA(),VLOOKUP($I$341&amp;$B$363,FLNFIX!$CX$4:$EF$103,5,0))</f>
        <v>#N/A</v>
      </c>
      <c r="H363" s="757"/>
      <c r="I363" s="757"/>
      <c r="J363" s="758"/>
      <c r="K363" s="677"/>
    </row>
    <row r="364" ht="20.1" customHeight="1" spans="1:11">
      <c r="A364" s="675"/>
      <c r="B364" s="755">
        <f t="shared" si="6"/>
        <v>20</v>
      </c>
      <c r="C364" s="755">
        <f>IFERROR(VLOOKUP(B364,DATEWISE!$A$3:$BY$27,2,0),0)</f>
        <v>0</v>
      </c>
      <c r="D364" s="755" t="e">
        <f>IF($C$364=0,NA(),VLOOKUP($I$341&amp;$B$364,FLNFIX!$DC$4:$EF$103,2,0))</f>
        <v>#N/A</v>
      </c>
      <c r="E364" s="755" t="e">
        <f>IF($C$364=0,NA(),VLOOKUP($I$341&amp;$B$364,FLNFIX!$DC$4:$EF$103,4,0))</f>
        <v>#N/A</v>
      </c>
      <c r="F364" s="755" t="e">
        <f>IF($C$364=0,NA(),VLOOKUP($I$341&amp;$B$364,FLNFIX!$DC$4:$EF$103,3,0))</f>
        <v>#N/A</v>
      </c>
      <c r="G364" s="756" t="e">
        <f>IF($C$364=0,NA(),VLOOKUP($I$341&amp;$B$364,FLNFIX!$DC$4:$EF$103,5,0))</f>
        <v>#N/A</v>
      </c>
      <c r="H364" s="757"/>
      <c r="I364" s="757"/>
      <c r="J364" s="758"/>
      <c r="K364" s="677"/>
    </row>
    <row r="365" ht="20.1" customHeight="1" spans="1:11">
      <c r="A365" s="675"/>
      <c r="B365" s="755">
        <f t="shared" si="6"/>
        <v>21</v>
      </c>
      <c r="C365" s="755">
        <f>IFERROR(VLOOKUP(B365,DATEWISE!$A$3:$BY$27,2,0),0)</f>
        <v>0</v>
      </c>
      <c r="D365" s="755" t="e">
        <f>IF($C$365=0,NA(),VLOOKUP($I$341&amp;$B$365,FLNFIX!$DH$4:$EF$103,2,0))</f>
        <v>#N/A</v>
      </c>
      <c r="E365" s="755" t="e">
        <f>IF($C$365=0,NA(),VLOOKUP($I$341&amp;$B$365,FLNFIX!$DH$4:$EF$103,4,0))</f>
        <v>#N/A</v>
      </c>
      <c r="F365" s="755" t="e">
        <f>IF($C$365=0,NA(),VLOOKUP($I$341&amp;$B$365,FLNFIX!$DH$4:$EF$103,3,0))</f>
        <v>#N/A</v>
      </c>
      <c r="G365" s="756" t="e">
        <f>IF($C$365=0,NA(),VLOOKUP($I$341&amp;$B$365,FLNFIX!$DH$4:$EF$103,5,0))</f>
        <v>#N/A</v>
      </c>
      <c r="H365" s="757"/>
      <c r="I365" s="757"/>
      <c r="J365" s="758"/>
      <c r="K365" s="677"/>
    </row>
    <row r="366" ht="5.1" customHeight="1" spans="1:11">
      <c r="A366" s="675"/>
      <c r="B366" s="759"/>
      <c r="C366" s="759"/>
      <c r="D366" s="760"/>
      <c r="E366" s="760"/>
      <c r="F366" s="760"/>
      <c r="G366" s="761"/>
      <c r="H366" s="761"/>
      <c r="I366" s="761"/>
      <c r="J366" s="761"/>
      <c r="K366" s="677"/>
    </row>
    <row r="367" s="667" customFormat="1" ht="24.95" customHeight="1" spans="1:11">
      <c r="A367" s="711"/>
      <c r="B367" s="762" t="s">
        <v>431</v>
      </c>
      <c r="C367" s="763"/>
      <c r="D367" s="763"/>
      <c r="E367" s="763"/>
      <c r="F367" s="763"/>
      <c r="G367" s="763"/>
      <c r="H367" s="763"/>
      <c r="I367" s="763"/>
      <c r="J367" s="764"/>
      <c r="K367" s="713"/>
    </row>
    <row r="368" spans="1:11">
      <c r="A368" s="675"/>
      <c r="B368" s="765"/>
      <c r="C368" s="686"/>
      <c r="D368" s="686"/>
      <c r="E368" s="686"/>
      <c r="F368" s="686"/>
      <c r="G368" s="686"/>
      <c r="H368" s="686"/>
      <c r="I368" s="686"/>
      <c r="J368" s="766"/>
      <c r="K368" s="677"/>
    </row>
    <row r="369" spans="1:11">
      <c r="A369" s="675"/>
      <c r="B369" s="765"/>
      <c r="C369" s="686"/>
      <c r="D369" s="686"/>
      <c r="E369" s="686"/>
      <c r="F369" s="686"/>
      <c r="G369" s="686"/>
      <c r="H369" s="686"/>
      <c r="I369" s="686"/>
      <c r="J369" s="766"/>
      <c r="K369" s="677"/>
    </row>
    <row r="370" spans="1:11">
      <c r="A370" s="675"/>
      <c r="B370" s="765"/>
      <c r="C370" s="686"/>
      <c r="D370" s="686"/>
      <c r="E370" s="686"/>
      <c r="F370" s="686"/>
      <c r="G370" s="686"/>
      <c r="H370" s="686"/>
      <c r="I370" s="686"/>
      <c r="J370" s="766"/>
      <c r="K370" s="677"/>
    </row>
    <row r="371" spans="1:11">
      <c r="A371" s="675"/>
      <c r="B371" s="765"/>
      <c r="C371" s="686"/>
      <c r="D371" s="686"/>
      <c r="E371" s="686"/>
      <c r="F371" s="686"/>
      <c r="G371" s="686"/>
      <c r="H371" s="686"/>
      <c r="I371" s="686"/>
      <c r="J371" s="766"/>
      <c r="K371" s="677"/>
    </row>
    <row r="372" spans="1:11">
      <c r="A372" s="675"/>
      <c r="B372" s="765"/>
      <c r="C372" s="686"/>
      <c r="D372" s="686"/>
      <c r="E372" s="686"/>
      <c r="F372" s="686"/>
      <c r="G372" s="686"/>
      <c r="H372" s="686"/>
      <c r="I372" s="686"/>
      <c r="J372" s="766"/>
      <c r="K372" s="677"/>
    </row>
    <row r="373" spans="1:11">
      <c r="A373" s="675"/>
      <c r="B373" s="765"/>
      <c r="C373" s="686"/>
      <c r="D373" s="686"/>
      <c r="E373" s="686"/>
      <c r="F373" s="686"/>
      <c r="G373" s="686"/>
      <c r="H373" s="686"/>
      <c r="I373" s="686"/>
      <c r="J373" s="766"/>
      <c r="K373" s="677"/>
    </row>
    <row r="374" spans="1:11">
      <c r="A374" s="675"/>
      <c r="B374" s="765"/>
      <c r="C374" s="686"/>
      <c r="D374" s="686"/>
      <c r="E374" s="686"/>
      <c r="F374" s="686"/>
      <c r="G374" s="686"/>
      <c r="H374" s="686"/>
      <c r="I374" s="686"/>
      <c r="J374" s="766"/>
      <c r="K374" s="677"/>
    </row>
    <row r="375" spans="1:11">
      <c r="A375" s="675"/>
      <c r="B375" s="765"/>
      <c r="C375" s="686"/>
      <c r="D375" s="686"/>
      <c r="E375" s="686"/>
      <c r="F375" s="686"/>
      <c r="G375" s="686"/>
      <c r="H375" s="686"/>
      <c r="I375" s="686"/>
      <c r="J375" s="766"/>
      <c r="K375" s="677"/>
    </row>
    <row r="376" spans="1:11">
      <c r="A376" s="675"/>
      <c r="B376" s="765"/>
      <c r="C376" s="686"/>
      <c r="D376" s="686"/>
      <c r="E376" s="686"/>
      <c r="F376" s="686"/>
      <c r="G376" s="686"/>
      <c r="H376" s="686"/>
      <c r="I376" s="686"/>
      <c r="J376" s="766"/>
      <c r="K376" s="677"/>
    </row>
    <row r="377" spans="1:11">
      <c r="A377" s="675"/>
      <c r="B377" s="767"/>
      <c r="C377" s="768"/>
      <c r="D377" s="768"/>
      <c r="E377" s="768"/>
      <c r="F377" s="768"/>
      <c r="G377" s="768"/>
      <c r="H377" s="768"/>
      <c r="I377" s="768"/>
      <c r="J377" s="769"/>
      <c r="K377" s="677"/>
    </row>
    <row r="378" ht="5.1" customHeight="1" spans="1:11">
      <c r="A378" s="675"/>
      <c r="B378" s="686"/>
      <c r="C378" s="686"/>
      <c r="D378" s="686"/>
      <c r="E378" s="686"/>
      <c r="F378" s="686"/>
      <c r="G378" s="686"/>
      <c r="H378" s="686"/>
      <c r="I378" s="686"/>
      <c r="J378" s="686"/>
      <c r="K378" s="677"/>
    </row>
    <row r="379" spans="1:11">
      <c r="A379" s="675"/>
      <c r="B379" s="770" t="s">
        <v>432</v>
      </c>
      <c r="C379" s="770"/>
      <c r="D379" s="770"/>
      <c r="E379" s="770"/>
      <c r="F379" s="770"/>
      <c r="G379" s="770"/>
      <c r="H379" s="770"/>
      <c r="I379" s="770"/>
      <c r="J379" s="770"/>
      <c r="K379" s="677"/>
    </row>
    <row r="380" spans="1:11">
      <c r="A380" s="675"/>
      <c r="B380" s="771"/>
      <c r="C380" s="771"/>
      <c r="D380" s="771"/>
      <c r="E380" s="771"/>
      <c r="F380" s="771"/>
      <c r="G380" s="771"/>
      <c r="H380" s="771"/>
      <c r="I380" s="771"/>
      <c r="J380" s="771"/>
      <c r="K380" s="677"/>
    </row>
    <row r="381" spans="1:11">
      <c r="A381" s="675"/>
      <c r="B381" s="771"/>
      <c r="C381" s="771"/>
      <c r="D381" s="771"/>
      <c r="E381" s="771"/>
      <c r="F381" s="771"/>
      <c r="G381" s="771"/>
      <c r="H381" s="771"/>
      <c r="I381" s="771"/>
      <c r="J381" s="771"/>
      <c r="K381" s="677"/>
    </row>
    <row r="382" spans="1:11">
      <c r="A382" s="675"/>
      <c r="B382" s="771"/>
      <c r="C382" s="771"/>
      <c r="D382" s="771"/>
      <c r="E382" s="771"/>
      <c r="F382" s="771"/>
      <c r="G382" s="771"/>
      <c r="H382" s="771"/>
      <c r="I382" s="771"/>
      <c r="J382" s="771"/>
      <c r="K382" s="677"/>
    </row>
    <row r="383" spans="1:11">
      <c r="A383" s="675"/>
      <c r="B383" s="686"/>
      <c r="C383" s="686"/>
      <c r="D383" s="686"/>
      <c r="E383" s="686"/>
      <c r="F383" s="686"/>
      <c r="G383" s="686"/>
      <c r="H383" s="686"/>
      <c r="I383" s="686"/>
      <c r="J383" s="686"/>
      <c r="K383" s="677"/>
    </row>
    <row r="384" spans="1:11">
      <c r="A384" s="675"/>
      <c r="B384" s="686"/>
      <c r="C384" s="729" t="s">
        <v>433</v>
      </c>
      <c r="D384" s="729"/>
      <c r="E384" s="686"/>
      <c r="F384" s="686"/>
      <c r="G384" s="729" t="s">
        <v>434</v>
      </c>
      <c r="H384" s="729"/>
      <c r="I384" s="729"/>
      <c r="J384" s="729"/>
      <c r="K384" s="677"/>
    </row>
    <row r="385" ht="16.35" spans="1:11">
      <c r="A385" s="725"/>
      <c r="B385" s="726"/>
      <c r="C385" s="732" t="str">
        <f>"("&amp;PROPER(ENTRY!$D$19)&amp;")"</f>
        <v>(Indrajeet)</v>
      </c>
      <c r="D385" s="732"/>
      <c r="E385" s="726"/>
      <c r="F385" s="726"/>
      <c r="G385" s="732" t="str">
        <f>"("&amp;PROPER(ENTRY!$D$12)&amp;")"</f>
        <v>(Shambhu Dayal Meena)</v>
      </c>
      <c r="H385" s="732"/>
      <c r="I385" s="732"/>
      <c r="J385" s="732"/>
      <c r="K385" s="728"/>
    </row>
    <row r="386" ht="24.6" spans="1:11">
      <c r="B386" s="734"/>
      <c r="C386" s="734"/>
      <c r="D386" s="669" t="str">
        <f>ENTRY!$D$3</f>
        <v>MUNICIPAL CORPORATION OF DELHI</v>
      </c>
      <c r="E386" s="669"/>
      <c r="F386" s="669"/>
      <c r="G386" s="669"/>
      <c r="H386" s="734"/>
      <c r="I386" s="669"/>
      <c r="J386" s="669"/>
    </row>
    <row r="387" ht="20.4" spans="1:11">
      <c r="B387" s="735"/>
      <c r="C387" s="735"/>
      <c r="D387" s="670" t="str">
        <f>ENTRY!$D$4</f>
        <v>EDUCATION DEPARTMENT</v>
      </c>
      <c r="E387" s="670"/>
      <c r="F387" s="670"/>
      <c r="G387" s="670"/>
      <c r="H387" s="735"/>
      <c r="I387" s="669"/>
      <c r="J387" s="669"/>
    </row>
    <row r="388" ht="22.8" spans="1:11">
      <c r="B388" s="736"/>
      <c r="C388" s="736"/>
      <c r="D388" s="664" t="s">
        <v>417</v>
      </c>
      <c r="E388" s="664"/>
      <c r="F388" s="664"/>
      <c r="G388" s="664"/>
      <c r="H388" s="736"/>
      <c r="I388" s="669"/>
      <c r="J388" s="669"/>
    </row>
    <row r="389" ht="22.8" spans="1:11">
      <c r="B389" s="736"/>
      <c r="C389" s="736"/>
      <c r="D389" s="664" t="s">
        <v>418</v>
      </c>
      <c r="E389" s="664"/>
      <c r="F389" s="664"/>
      <c r="G389" s="664"/>
      <c r="H389" s="736"/>
      <c r="I389" s="669"/>
      <c r="J389" s="669"/>
    </row>
    <row r="390" ht="24.95" customHeight="1" spans="1:11">
      <c r="B390" s="735"/>
      <c r="C390" s="735"/>
      <c r="D390" s="737" t="str">
        <f>"SESSION : "&amp;ENTRY!$D$11</f>
        <v>SESSION : 2026-27</v>
      </c>
      <c r="E390" s="737"/>
      <c r="F390" s="737"/>
      <c r="G390" s="737"/>
      <c r="H390" s="735"/>
      <c r="I390" s="738"/>
      <c r="J390" s="738"/>
    </row>
    <row r="391" ht="3.75" customHeight="1" spans="1:11">
      <c r="A391" s="672"/>
      <c r="B391" s="739"/>
      <c r="C391" s="739"/>
      <c r="D391" s="739"/>
      <c r="E391" s="739"/>
      <c r="F391" s="739"/>
      <c r="G391" s="739"/>
      <c r="H391" s="739"/>
      <c r="I391" s="739"/>
      <c r="J391" s="739"/>
      <c r="K391" s="674"/>
    </row>
    <row r="392" ht="21.95" customHeight="1" spans="1:11">
      <c r="A392" s="675"/>
      <c r="B392" s="676" t="s">
        <v>419</v>
      </c>
      <c r="C392" s="676"/>
      <c r="D392" s="676" t="str">
        <f>ENTRY!$D$6</f>
        <v>MCP NITHARI NO 1 BOYS</v>
      </c>
      <c r="E392" s="676"/>
      <c r="F392" s="676"/>
      <c r="G392" s="676"/>
      <c r="H392" s="676"/>
      <c r="I392" s="676"/>
      <c r="J392" s="676"/>
      <c r="K392" s="677"/>
    </row>
    <row r="393" ht="21.95" customHeight="1" spans="1:11">
      <c r="A393" s="675"/>
      <c r="B393" s="676" t="s">
        <v>420</v>
      </c>
      <c r="C393" s="676"/>
      <c r="D393" s="740" t="str">
        <f>IFERROR(VLOOKUP($I$396,STUDENT!$A$2:$BP$101,5,0),"")</f>
        <v>DEEPANSHU</v>
      </c>
      <c r="E393" s="740"/>
      <c r="F393" s="740"/>
      <c r="G393" s="740"/>
      <c r="H393" s="740"/>
      <c r="I393" s="740"/>
      <c r="J393" s="740"/>
      <c r="K393" s="677"/>
    </row>
    <row r="394" ht="21.95" customHeight="1" spans="1:11">
      <c r="A394" s="675"/>
      <c r="B394" s="676" t="s">
        <v>421</v>
      </c>
      <c r="C394" s="676"/>
      <c r="D394" s="740" t="str">
        <f>IFERROR(VLOOKUP($I$396,STUDENT!$A$2:$BP$101,8,0),"")</f>
        <v>AKHILESH KUMAR</v>
      </c>
      <c r="E394" s="740"/>
      <c r="F394" s="740"/>
      <c r="G394" s="740"/>
      <c r="H394" s="740"/>
      <c r="I394" s="740"/>
      <c r="J394" s="740"/>
      <c r="K394" s="677"/>
    </row>
    <row r="395" ht="21.95" customHeight="1" spans="1:11">
      <c r="A395" s="675"/>
      <c r="B395" s="676" t="s">
        <v>422</v>
      </c>
      <c r="C395" s="676"/>
      <c r="D395" s="740">
        <f>IFERROR(VLOOKUP($I$396,STUDENT!$A$2:$BP$101,6,0),"")</f>
        <v>14769</v>
      </c>
      <c r="E395" s="740"/>
      <c r="F395" s="740"/>
      <c r="G395" s="740"/>
      <c r="H395" s="740"/>
      <c r="I395" s="740"/>
      <c r="J395" s="740"/>
      <c r="K395" s="677"/>
    </row>
    <row r="396" ht="21.95" customHeight="1" spans="1:11">
      <c r="A396" s="675"/>
      <c r="B396" s="676" t="s">
        <v>423</v>
      </c>
      <c r="C396" s="676"/>
      <c r="D396" s="741" t="str">
        <f>IFERROR(VLOOKUP($I$396,STUDENT!$A$2:$BP$101,59,0),"")</f>
        <v/>
      </c>
      <c r="E396" s="742" t="s">
        <v>424</v>
      </c>
      <c r="F396" s="704" t="str">
        <f>IFERROR(VLOOKUP($I$396,STUDENT!$A$2:$BP$101,2,0),"")</f>
        <v>III-A</v>
      </c>
      <c r="G396" s="742" t="s">
        <v>425</v>
      </c>
      <c r="H396" s="743"/>
      <c r="I396" s="733">
        <f>I341+1</f>
        <v>8</v>
      </c>
      <c r="J396" s="683"/>
      <c r="K396" s="677"/>
    </row>
    <row r="397" ht="5.1" customHeight="1" spans="1:11">
      <c r="A397" s="675"/>
      <c r="B397" s="745"/>
      <c r="C397" s="745"/>
      <c r="D397" s="746"/>
      <c r="E397" s="747"/>
      <c r="F397" s="748"/>
      <c r="G397" s="747"/>
      <c r="H397" s="686"/>
      <c r="I397" s="686"/>
      <c r="J397" s="686"/>
      <c r="K397" s="677"/>
    </row>
    <row r="398" s="664" customFormat="1" ht="32.1" customHeight="1" spans="1:11">
      <c r="A398" s="688"/>
      <c r="B398" s="749" t="s">
        <v>426</v>
      </c>
      <c r="C398" s="750"/>
      <c r="D398" s="750"/>
      <c r="E398" s="750"/>
      <c r="F398" s="750"/>
      <c r="G398" s="750"/>
      <c r="H398" s="750"/>
      <c r="I398" s="750"/>
      <c r="J398" s="751"/>
      <c r="K398" s="690"/>
    </row>
    <row r="399" ht="51.6" spans="1:11">
      <c r="A399" s="675"/>
      <c r="B399" s="752">
        <v>21</v>
      </c>
      <c r="C399" s="753" t="s">
        <v>427</v>
      </c>
      <c r="D399" s="754" t="s">
        <v>428</v>
      </c>
      <c r="E399" s="754" t="s">
        <v>429</v>
      </c>
      <c r="F399" s="754" t="s">
        <v>430</v>
      </c>
      <c r="G399" s="753" t="s">
        <v>390</v>
      </c>
      <c r="H399" s="714"/>
      <c r="I399" s="714"/>
      <c r="J399" s="714"/>
      <c r="K399" s="677"/>
    </row>
    <row r="400" ht="20.1" customHeight="1" spans="1:11">
      <c r="A400" s="675"/>
      <c r="B400" s="755">
        <v>1</v>
      </c>
      <c r="C400" s="755" t="str">
        <f>IFERROR(VLOOKUP(B400,DATEWISE!$A$3:$BY$27,2,0),0)</f>
        <v>30.04.2026</v>
      </c>
      <c r="D400" s="755">
        <f>IF($C$400=0,NA(),VLOOKUP($I$396&amp;$B$400,FLNFIX!$L$4:$EF$103,2,0))</f>
        <v>2</v>
      </c>
      <c r="E400" s="755">
        <f>IF($C$400=0,NA(),VLOOKUP($I$396&amp;$B$400,FLNFIX!$L$4:$EF$103,4,0))</f>
        <v>3</v>
      </c>
      <c r="F400" s="755">
        <f>IF($C$400=0,NA(),VLOOKUP($I$396&amp;$B$400,FLNFIX!$L$4:$EF$103,3,0))</f>
        <v>2</v>
      </c>
      <c r="G400" s="756">
        <f>IF($C$400=0,NA(),VLOOKUP($I$396&amp;$B$400,FLNFIX!$L$4:$EF$103,5,0))</f>
        <v>0</v>
      </c>
      <c r="H400" s="757"/>
      <c r="I400" s="757"/>
      <c r="J400" s="758"/>
      <c r="K400" s="677"/>
    </row>
    <row r="401" ht="20.1" customHeight="1" spans="1:11">
      <c r="A401" s="675"/>
      <c r="B401" s="755">
        <f t="shared" ref="B401:B420" si="7">IF(B400=0,0,IF(B400&lt;$B$399,B400+1,""))</f>
        <v>2</v>
      </c>
      <c r="C401" s="755" t="str">
        <f>IFERROR(VLOOKUP(B401,DATEWISE!$A$3:$BY$27,2,0),0)</f>
        <v>08.05.2026</v>
      </c>
      <c r="D401" s="755">
        <f>IF($C$401=0,NA(),VLOOKUP($I$396&amp;$B$401,FLNFIX!$Q$4:$EF$103,2,0))</f>
        <v>2</v>
      </c>
      <c r="E401" s="755">
        <f>IF($C$401=0,NA(),VLOOKUP($I$396&amp;$B$401,FLNFIX!$Q$4:$EF$103,4,0))</f>
        <v>3</v>
      </c>
      <c r="F401" s="755">
        <f>IF($C$401=0,NA(),VLOOKUP($I$396&amp;$B$401,FLNFIX!$Q$4:$EF$103,3,0))</f>
        <v>2</v>
      </c>
      <c r="G401" s="756">
        <f>IF($C$401=0,NA(),VLOOKUP($I$396&amp;$B$401,FLNFIX!$Q$4:$EF$103,5,0))</f>
        <v>0</v>
      </c>
      <c r="H401" s="757"/>
      <c r="I401" s="757"/>
      <c r="J401" s="758"/>
      <c r="K401" s="677"/>
    </row>
    <row r="402" ht="20.1" customHeight="1" spans="1:11">
      <c r="A402" s="675"/>
      <c r="B402" s="755">
        <f t="shared" si="7"/>
        <v>3</v>
      </c>
      <c r="C402" s="755" t="str">
        <f>IFERROR(VLOOKUP(B402,DATEWISE!$A$3:$BY$27,2,0),0)</f>
        <v>15.07.2026</v>
      </c>
      <c r="D402" s="755">
        <f>IF($C$402=0,NA(),VLOOKUP($I$396&amp;$B$402,FLNFIX!$V$4:$EF$103,2,0))</f>
        <v>2</v>
      </c>
      <c r="E402" s="755">
        <f>IF($C$402=0,NA(),VLOOKUP($I$396&amp;$B$402,FLNFIX!$V$4:$EF$103,4,0))</f>
        <v>3</v>
      </c>
      <c r="F402" s="755">
        <f>IF($C$402=0,NA(),VLOOKUP($I$396&amp;$B$402,FLNFIX!$V$4:$EF$103,3,0))</f>
        <v>2</v>
      </c>
      <c r="G402" s="756">
        <f>IF($C$402=0,NA(),VLOOKUP($I$396&amp;$B$402,FLNFIX!$V$4:$EF$103,5,0))</f>
        <v>0</v>
      </c>
      <c r="H402" s="757"/>
      <c r="I402" s="757"/>
      <c r="J402" s="758"/>
      <c r="K402" s="677"/>
    </row>
    <row r="403" ht="20.1" customHeight="1" spans="1:11">
      <c r="A403" s="675"/>
      <c r="B403" s="755">
        <f t="shared" si="7"/>
        <v>4</v>
      </c>
      <c r="C403" s="755" t="str">
        <f>IFERROR(VLOOKUP(B403,DATEWISE!$A$3:$BY$27,2,0),0)</f>
        <v>31.07.2026</v>
      </c>
      <c r="D403" s="755">
        <f>IF($C$403=0,NA(),VLOOKUP($I$396&amp;$B$403,FLNFIX!$AA$4:$EF$103,2,0))</f>
        <v>2</v>
      </c>
      <c r="E403" s="755">
        <f>IF($C$403=0,NA(),VLOOKUP($I$396&amp;$B$403,FLNFIX!$AA$4:$EF$103,4,0))</f>
        <v>3</v>
      </c>
      <c r="F403" s="755">
        <f>IF($C$403=0,NA(),VLOOKUP($I$396&amp;$B$403,FLNFIX!$AA$4:$EF$103,3,0))</f>
        <v>2</v>
      </c>
      <c r="G403" s="756">
        <f>IF($C$403=0,NA(),VLOOKUP($I$396&amp;$B$403,FLNFIX!$AA$4:$EF$103,5,0))</f>
        <v>0</v>
      </c>
      <c r="H403" s="757"/>
      <c r="I403" s="757"/>
      <c r="J403" s="758"/>
      <c r="K403" s="677"/>
    </row>
    <row r="404" ht="20.1" customHeight="1" spans="1:11">
      <c r="A404" s="675"/>
      <c r="B404" s="755">
        <f t="shared" si="7"/>
        <v>5</v>
      </c>
      <c r="C404" s="755" t="str">
        <f>IFERROR(VLOOKUP(B404,DATEWISE!$A$3:$BY$27,2,0),0)</f>
        <v>17.08.2026</v>
      </c>
      <c r="D404" s="755">
        <f>IF($C$404=0,NA(),VLOOKUP($I$396&amp;$B$404,FLNFIX!$AF$4:$EF$103,2,0))</f>
        <v>2</v>
      </c>
      <c r="E404" s="755">
        <f>IF($C$404=0,NA(),VLOOKUP($I$396&amp;$B$404,FLNFIX!$AF$4:$EF$103,4,0))</f>
        <v>3</v>
      </c>
      <c r="F404" s="755">
        <f>IF($C$404=0,NA(),VLOOKUP($I$396&amp;$B$404,FLNFIX!$AF$4:$EF$103,3,0))</f>
        <v>2</v>
      </c>
      <c r="G404" s="756">
        <f>IF($C$404=0,NA(),VLOOKUP($I$396&amp;$B$404,FLNFIX!$AF$4:$EF$103,5,0))</f>
        <v>0</v>
      </c>
      <c r="H404" s="757"/>
      <c r="I404" s="757"/>
      <c r="J404" s="758"/>
      <c r="K404" s="677"/>
    </row>
    <row r="405" ht="20.1" customHeight="1" spans="1:11">
      <c r="A405" s="675"/>
      <c r="B405" s="755">
        <f t="shared" si="7"/>
        <v>6</v>
      </c>
      <c r="C405" s="755" t="str">
        <f>IFERROR(VLOOKUP(B405,DATEWISE!$A$3:$BY$27,2,0),0)</f>
        <v>31.08.2026</v>
      </c>
      <c r="D405" s="755">
        <f>IF($C$405=0,NA(),VLOOKUP($I$396&amp;$B$405,FLNFIX!$AK$4:$EF$103,2,0))</f>
        <v>4</v>
      </c>
      <c r="E405" s="755">
        <f>IF($C$405=0,NA(),VLOOKUP($I$396&amp;$B$405,FLNFIX!$AK$4:$EF$103,4,0))</f>
        <v>3</v>
      </c>
      <c r="F405" s="755">
        <f>IF($C$405=0,NA(),VLOOKUP($I$396&amp;$B$405,FLNFIX!$AK$4:$EF$103,3,0))</f>
        <v>2</v>
      </c>
      <c r="G405" s="756">
        <f>IF($C$405=0,NA(),VLOOKUP($I$396&amp;$B$405,FLNFIX!$AK$4:$EF$103,5,0))</f>
        <v>0</v>
      </c>
      <c r="H405" s="757"/>
      <c r="I405" s="757"/>
      <c r="J405" s="758"/>
      <c r="K405" s="677"/>
    </row>
    <row r="406" ht="20.1" customHeight="1" spans="1:11">
      <c r="A406" s="675"/>
      <c r="B406" s="755">
        <f t="shared" si="7"/>
        <v>7</v>
      </c>
      <c r="C406" s="755">
        <f>IFERROR(VLOOKUP(B406,DATEWISE!$A$3:$BY$27,2,0),0)</f>
        <v>0</v>
      </c>
      <c r="D406" s="755" t="e">
        <f>IF($C$406=0,NA(),VLOOKUP($I$396&amp;$B$406,FLNFIX!$AP$4:$EF$103,2,0))</f>
        <v>#N/A</v>
      </c>
      <c r="E406" s="755" t="e">
        <f>IF($C$406=0,NA(),VLOOKUP($I$396&amp;$B$406,FLNFIX!$AP$4:$EF$103,4,0))</f>
        <v>#N/A</v>
      </c>
      <c r="F406" s="755" t="e">
        <f>IF($C$406=0,NA(),VLOOKUP($I$396&amp;$B$406,FLNFIX!$AP$4:$EF$103,3,0))</f>
        <v>#N/A</v>
      </c>
      <c r="G406" s="756" t="e">
        <f>IF($C$406=0,NA(),VLOOKUP($I$396&amp;$B$406,FLNFIX!$AP$4:$EF$103,5,0))</f>
        <v>#N/A</v>
      </c>
      <c r="H406" s="757"/>
      <c r="I406" s="757"/>
      <c r="J406" s="758"/>
      <c r="K406" s="677"/>
    </row>
    <row r="407" ht="20.1" customHeight="1" spans="1:11">
      <c r="A407" s="675"/>
      <c r="B407" s="755">
        <f t="shared" si="7"/>
        <v>8</v>
      </c>
      <c r="C407" s="755">
        <f>IFERROR(VLOOKUP(B407,DATEWISE!$A$3:$BY$27,2,0),0)</f>
        <v>0</v>
      </c>
      <c r="D407" s="755" t="e">
        <f>IF($C$407=0,NA(),VLOOKUP($I$396&amp;$B$407,FLNFIX!$AU$4:$EF$103,2,0))</f>
        <v>#N/A</v>
      </c>
      <c r="E407" s="755" t="e">
        <f>IF($C$407=0,NA(),VLOOKUP($I$396&amp;$B$407,FLNFIX!$AU$4:$EF$103,4,0))</f>
        <v>#N/A</v>
      </c>
      <c r="F407" s="755" t="e">
        <f>IF($C$407=0,NA(),VLOOKUP($I$396&amp;$B$407,FLNFIX!$AU$4:$EF$103,3,0))</f>
        <v>#N/A</v>
      </c>
      <c r="G407" s="756" t="e">
        <f>IF($C$407=0,NA(),VLOOKUP($I$396&amp;$B$407,FLNFIX!$AU$4:$EF$103,5,0))</f>
        <v>#N/A</v>
      </c>
      <c r="H407" s="757"/>
      <c r="I407" s="757"/>
      <c r="J407" s="758"/>
      <c r="K407" s="677"/>
    </row>
    <row r="408" ht="20.1" customHeight="1" spans="1:11">
      <c r="A408" s="675"/>
      <c r="B408" s="755">
        <f t="shared" si="7"/>
        <v>9</v>
      </c>
      <c r="C408" s="755">
        <f>IFERROR(VLOOKUP(B408,DATEWISE!$A$3:$BY$27,2,0),0)</f>
        <v>0</v>
      </c>
      <c r="D408" s="755" t="e">
        <f>IF($C$408=0,NA(),VLOOKUP($I$396&amp;$B$408,FLNFIX!$AZ$4:$EF$103,2,0))</f>
        <v>#N/A</v>
      </c>
      <c r="E408" s="755" t="e">
        <f>IF($C$408=0,NA(),VLOOKUP($I$396&amp;$B$408,FLNFIX!$AZ$4:$EF$103,4,0))</f>
        <v>#N/A</v>
      </c>
      <c r="F408" s="755" t="e">
        <f>IF($C$408=0,NA(),VLOOKUP($I$396&amp;$B$408,FLNFIX!$AZ$4:$EF$103,3,0))</f>
        <v>#N/A</v>
      </c>
      <c r="G408" s="756" t="e">
        <f>IF($C$408=0,NA(),VLOOKUP($I$396&amp;$B$408,FLNFIX!$AZ$4:$EF$103,5,0))</f>
        <v>#N/A</v>
      </c>
      <c r="H408" s="757"/>
      <c r="I408" s="757"/>
      <c r="J408" s="758"/>
      <c r="K408" s="677"/>
    </row>
    <row r="409" ht="20.1" customHeight="1" spans="1:11">
      <c r="A409" s="675"/>
      <c r="B409" s="755">
        <f t="shared" si="7"/>
        <v>10</v>
      </c>
      <c r="C409" s="755">
        <f>IFERROR(VLOOKUP(B409,DATEWISE!$A$3:$BY$27,2,0),0)</f>
        <v>0</v>
      </c>
      <c r="D409" s="755" t="e">
        <f>IF($C$409=0,NA(),VLOOKUP($I$396&amp;$B$409,FLNFIX!$BE$4:$EF$103,2,0))</f>
        <v>#N/A</v>
      </c>
      <c r="E409" s="755" t="e">
        <f>IF($C$409=0,NA(),VLOOKUP($I$396&amp;$B$409,FLNFIX!$BE$4:$EF$103,4,0))</f>
        <v>#N/A</v>
      </c>
      <c r="F409" s="755" t="e">
        <f>IF($C$409=0,NA(),VLOOKUP($I$396&amp;$B$409,FLNFIX!$BE$4:$EF$103,3,0))</f>
        <v>#N/A</v>
      </c>
      <c r="G409" s="756" t="e">
        <f>IF($C$409=0,NA(),VLOOKUP($I$396&amp;$B$409,FLNFIX!$BE$4:$EF$103,5,0))</f>
        <v>#N/A</v>
      </c>
      <c r="H409" s="757"/>
      <c r="I409" s="757"/>
      <c r="J409" s="758"/>
      <c r="K409" s="677"/>
    </row>
    <row r="410" ht="20.1" customHeight="1" spans="1:11">
      <c r="A410" s="675"/>
      <c r="B410" s="755">
        <f t="shared" si="7"/>
        <v>11</v>
      </c>
      <c r="C410" s="755">
        <f>IFERROR(VLOOKUP(B410,DATEWISE!$A$3:$BY$27,2,0),0)</f>
        <v>0</v>
      </c>
      <c r="D410" s="755" t="e">
        <f>IF($C$410=0,NA(),VLOOKUP($I$396&amp;$B$410,FLNFIX!$BJ$4:$EF$103,2,0))</f>
        <v>#N/A</v>
      </c>
      <c r="E410" s="755" t="e">
        <f>IF($C$410=0,NA(),VLOOKUP($I$396&amp;$B$410,FLNFIX!$BJ$4:$EF$103,4,0))</f>
        <v>#N/A</v>
      </c>
      <c r="F410" s="755" t="e">
        <f>IF($C$410=0,NA(),VLOOKUP($I$396&amp;$B$410,FLNFIX!$BJ$4:$EF$103,3,0))</f>
        <v>#N/A</v>
      </c>
      <c r="G410" s="756" t="e">
        <f>IF($C$410=0,NA(),VLOOKUP($I$396&amp;$B$410,FLNFIX!$BJ$4:$EF$103,5,0))</f>
        <v>#N/A</v>
      </c>
      <c r="H410" s="757"/>
      <c r="I410" s="757"/>
      <c r="J410" s="758"/>
      <c r="K410" s="677"/>
    </row>
    <row r="411" ht="20.1" customHeight="1" spans="1:11">
      <c r="A411" s="675"/>
      <c r="B411" s="755">
        <f t="shared" si="7"/>
        <v>12</v>
      </c>
      <c r="C411" s="755">
        <f>IFERROR(VLOOKUP(B411,DATEWISE!$A$3:$BY$27,2,0),0)</f>
        <v>0</v>
      </c>
      <c r="D411" s="755" t="e">
        <f>IF($C$411=0,NA(),VLOOKUP($I$396&amp;$B$411,FLNFIX!$BO$4:$EF$103,2,0))</f>
        <v>#N/A</v>
      </c>
      <c r="E411" s="755" t="e">
        <f>IF($C$411=0,NA(),VLOOKUP($I$396&amp;$B$411,FLNFIX!$BO$4:$EF$103,4,0))</f>
        <v>#N/A</v>
      </c>
      <c r="F411" s="755" t="e">
        <f>IF($C$411=0,NA(),VLOOKUP($I$396&amp;$B$411,FLNFIX!$BO$4:$EF$103,3,0))</f>
        <v>#N/A</v>
      </c>
      <c r="G411" s="756" t="e">
        <f>IF($C$411=0,NA(),VLOOKUP($I$396&amp;$B$411,FLNFIX!$BO$4:$EF$103,5,0))</f>
        <v>#N/A</v>
      </c>
      <c r="H411" s="757"/>
      <c r="I411" s="757"/>
      <c r="J411" s="758"/>
      <c r="K411" s="677"/>
    </row>
    <row r="412" ht="20.1" customHeight="1" spans="1:11">
      <c r="A412" s="675"/>
      <c r="B412" s="755">
        <f t="shared" si="7"/>
        <v>13</v>
      </c>
      <c r="C412" s="755">
        <f>IFERROR(VLOOKUP(B412,DATEWISE!$A$3:$BY$27,2,0),0)</f>
        <v>0</v>
      </c>
      <c r="D412" s="755" t="e">
        <f>IF($C$412=0,NA(),VLOOKUP($I$396&amp;$B$412,FLNFIX!$BT$4:$EF$103,2,0))</f>
        <v>#N/A</v>
      </c>
      <c r="E412" s="755" t="e">
        <f>IF($C$412=0,NA(),VLOOKUP($I$396&amp;$B$412,FLNFIX!$BT$4:$EF$103,4,0))</f>
        <v>#N/A</v>
      </c>
      <c r="F412" s="755" t="e">
        <f>IF($C$412=0,NA(),VLOOKUP($I$396&amp;$B$412,FLNFIX!$BT$4:$EF$103,3,0))</f>
        <v>#N/A</v>
      </c>
      <c r="G412" s="756" t="e">
        <f>IF($C$412=0,NA(),VLOOKUP($I$396&amp;$B$412,FLNFIX!$BT$4:$EF$103,5,0))</f>
        <v>#N/A</v>
      </c>
      <c r="H412" s="757"/>
      <c r="I412" s="757"/>
      <c r="J412" s="758"/>
      <c r="K412" s="677"/>
    </row>
    <row r="413" ht="20.1" customHeight="1" spans="1:11">
      <c r="A413" s="675"/>
      <c r="B413" s="755">
        <f t="shared" si="7"/>
        <v>14</v>
      </c>
      <c r="C413" s="755">
        <f>IFERROR(VLOOKUP(B413,DATEWISE!$A$3:$BY$27,2,0),0)</f>
        <v>0</v>
      </c>
      <c r="D413" s="755" t="e">
        <f>IF($C$413=0,NA(),VLOOKUP($I$396&amp;$B$413,FLNFIX!$BY$4:$EF$103,2,0))</f>
        <v>#N/A</v>
      </c>
      <c r="E413" s="755" t="e">
        <f>IF($C$413=0,NA(),VLOOKUP($I$396&amp;$B$413,FLNFIX!$BY$4:$EF$103,4,0))</f>
        <v>#N/A</v>
      </c>
      <c r="F413" s="755" t="e">
        <f>IF($C$413=0,NA(),VLOOKUP($I$396&amp;$B$413,FLNFIX!$BY$4:$EF$103,3,0))</f>
        <v>#N/A</v>
      </c>
      <c r="G413" s="756" t="e">
        <f>IF($C$413=0,NA(),VLOOKUP($I$396&amp;$B$413,FLNFIX!$BY$4:$EF$103,5,0))</f>
        <v>#N/A</v>
      </c>
      <c r="H413" s="757"/>
      <c r="I413" s="757"/>
      <c r="J413" s="758"/>
      <c r="K413" s="677"/>
    </row>
    <row r="414" ht="20.1" customHeight="1" spans="1:11">
      <c r="A414" s="675"/>
      <c r="B414" s="755">
        <f t="shared" si="7"/>
        <v>15</v>
      </c>
      <c r="C414" s="755">
        <f>IFERROR(VLOOKUP(B414,DATEWISE!$A$3:$BY$27,2,0),0)</f>
        <v>0</v>
      </c>
      <c r="D414" s="755" t="e">
        <f>IF($C$414=0,NA(),VLOOKUP($I$396&amp;$B$414,FLNFIX!$CD$4:$EF$103,2,0))</f>
        <v>#N/A</v>
      </c>
      <c r="E414" s="755" t="e">
        <f>IF($C$414=0,NA(),VLOOKUP($I$396&amp;$B$414,FLNFIX!$CD$4:$EF$103,4,0))</f>
        <v>#N/A</v>
      </c>
      <c r="F414" s="755" t="e">
        <f>IF($C$414=0,NA(),VLOOKUP($I$396&amp;$B$414,FLNFIX!$CD$4:$EF$103,3,0))</f>
        <v>#N/A</v>
      </c>
      <c r="G414" s="756" t="e">
        <f>IF($C$414=0,NA(),VLOOKUP($I$396&amp;$B$414,FLNFIX!$CD$4:$EF$103,5,0))</f>
        <v>#N/A</v>
      </c>
      <c r="H414" s="757"/>
      <c r="I414" s="757"/>
      <c r="J414" s="758"/>
      <c r="K414" s="677"/>
    </row>
    <row r="415" ht="20.1" customHeight="1" spans="1:11">
      <c r="A415" s="675"/>
      <c r="B415" s="755">
        <f t="shared" si="7"/>
        <v>16</v>
      </c>
      <c r="C415" s="755">
        <f>IFERROR(VLOOKUP(B415,DATEWISE!$A$3:$BY$27,2,0),0)</f>
        <v>0</v>
      </c>
      <c r="D415" s="755" t="e">
        <f>IF($C$415=0,NA(),VLOOKUP($I$396&amp;$B$415,FLNFIX!$CI$4:$EF$103,2,0))</f>
        <v>#N/A</v>
      </c>
      <c r="E415" s="755" t="e">
        <f>IF($C$415=0,NA(),VLOOKUP($I$396&amp;$B$415,FLNFIX!$CI$4:$EF$103,4,0))</f>
        <v>#N/A</v>
      </c>
      <c r="F415" s="755" t="e">
        <f>IF($C$415=0,NA(),VLOOKUP($I$396&amp;$B$415,FLNFIX!$CI$4:$EF$103,3,0))</f>
        <v>#N/A</v>
      </c>
      <c r="G415" s="756" t="e">
        <f>IF($C$415=0,NA(),VLOOKUP($I$396&amp;$B$415,FLNFIX!$CI$4:$EF$103,5,0))</f>
        <v>#N/A</v>
      </c>
      <c r="H415" s="757"/>
      <c r="I415" s="757"/>
      <c r="J415" s="758"/>
      <c r="K415" s="677"/>
    </row>
    <row r="416" ht="20.1" customHeight="1" spans="1:11">
      <c r="A416" s="675"/>
      <c r="B416" s="755">
        <f t="shared" si="7"/>
        <v>17</v>
      </c>
      <c r="C416" s="755">
        <f>IFERROR(VLOOKUP(B416,DATEWISE!$A$3:$BY$27,2,0),0)</f>
        <v>0</v>
      </c>
      <c r="D416" s="755" t="e">
        <f>IF($C$416=0,NA(),VLOOKUP($I$396&amp;$B$416,FLNFIX!$CN$4:$EF$103,2,0))</f>
        <v>#N/A</v>
      </c>
      <c r="E416" s="755" t="e">
        <f>IF($C$416=0,NA(),VLOOKUP($I$396&amp;$B$416,FLNFIX!$CN$4:$EF$103,4,0))</f>
        <v>#N/A</v>
      </c>
      <c r="F416" s="755" t="e">
        <f>IF($C$416=0,NA(),VLOOKUP($I$396&amp;$B$416,FLNFIX!$CN$4:$EF$103,3,0))</f>
        <v>#N/A</v>
      </c>
      <c r="G416" s="756" t="e">
        <f>IF($C$416=0,NA(),VLOOKUP($I$396&amp;$B$416,FLNFIX!$CN$4:$EF$103,5,0))</f>
        <v>#N/A</v>
      </c>
      <c r="H416" s="757"/>
      <c r="I416" s="757"/>
      <c r="J416" s="758"/>
      <c r="K416" s="677"/>
    </row>
    <row r="417" ht="20.1" customHeight="1" spans="1:11">
      <c r="A417" s="675"/>
      <c r="B417" s="755">
        <f t="shared" si="7"/>
        <v>18</v>
      </c>
      <c r="C417" s="755">
        <f>IFERROR(VLOOKUP(B417,DATEWISE!$A$3:$BY$27,2,0),0)</f>
        <v>0</v>
      </c>
      <c r="D417" s="755" t="e">
        <f>IF($C$417=0,NA(),VLOOKUP($I$396&amp;$B$417,FLNFIX!$CS$4:$EF$103,2,0))</f>
        <v>#N/A</v>
      </c>
      <c r="E417" s="755" t="e">
        <f>IF($C$417=0,NA(),VLOOKUP($I$396&amp;$B$417,FLNFIX!$CS$4:$EF$103,4,0))</f>
        <v>#N/A</v>
      </c>
      <c r="F417" s="755" t="e">
        <f>IF($C$417=0,NA(),VLOOKUP($I$396&amp;$B$417,FLNFIX!$CS$4:$EF$103,3,0))</f>
        <v>#N/A</v>
      </c>
      <c r="G417" s="756" t="e">
        <f>IF($C$417=0,NA(),VLOOKUP($I$396&amp;$B$417,FLNFIX!$CS$4:$EF$103,5,0))</f>
        <v>#N/A</v>
      </c>
      <c r="H417" s="757"/>
      <c r="I417" s="757"/>
      <c r="J417" s="758"/>
      <c r="K417" s="677"/>
    </row>
    <row r="418" ht="20.1" customHeight="1" spans="1:11">
      <c r="A418" s="675"/>
      <c r="B418" s="755">
        <f t="shared" si="7"/>
        <v>19</v>
      </c>
      <c r="C418" s="755">
        <f>IFERROR(VLOOKUP(B418,DATEWISE!$A$3:$BY$27,2,0),0)</f>
        <v>0</v>
      </c>
      <c r="D418" s="755" t="e">
        <f>IF($C$418=0,NA(),VLOOKUP($I$396&amp;$B$418,FLNFIX!$CX$4:$EF$103,2,0))</f>
        <v>#N/A</v>
      </c>
      <c r="E418" s="755" t="e">
        <f>IF($C$418=0,NA(),VLOOKUP($I$396&amp;$B$418,FLNFIX!$CX$4:$EF$103,4,0))</f>
        <v>#N/A</v>
      </c>
      <c r="F418" s="755" t="e">
        <f>IF($C$418=0,NA(),VLOOKUP($I$396&amp;$B$418,FLNFIX!$CX$4:$EF$103,3,0))</f>
        <v>#N/A</v>
      </c>
      <c r="G418" s="756" t="e">
        <f>IF($C$418=0,NA(),VLOOKUP($I$396&amp;$B$418,FLNFIX!$CX$4:$EF$103,5,0))</f>
        <v>#N/A</v>
      </c>
      <c r="H418" s="757"/>
      <c r="I418" s="757"/>
      <c r="J418" s="758"/>
      <c r="K418" s="677"/>
    </row>
    <row r="419" ht="20.1" customHeight="1" spans="1:11">
      <c r="A419" s="675"/>
      <c r="B419" s="755">
        <f t="shared" si="7"/>
        <v>20</v>
      </c>
      <c r="C419" s="755">
        <f>IFERROR(VLOOKUP(B419,DATEWISE!$A$3:$BY$27,2,0),0)</f>
        <v>0</v>
      </c>
      <c r="D419" s="755" t="e">
        <f>IF($C$419=0,NA(),VLOOKUP($I$396&amp;$B$419,FLNFIX!$DC$4:$EF$103,2,0))</f>
        <v>#N/A</v>
      </c>
      <c r="E419" s="755" t="e">
        <f>IF($C$419=0,NA(),VLOOKUP($I$396&amp;$B$419,FLNFIX!$DC$4:$EF$103,4,0))</f>
        <v>#N/A</v>
      </c>
      <c r="F419" s="755" t="e">
        <f>IF($C$419=0,NA(),VLOOKUP($I$396&amp;$B$419,FLNFIX!$DC$4:$EF$103,3,0))</f>
        <v>#N/A</v>
      </c>
      <c r="G419" s="756" t="e">
        <f>IF($C$419=0,NA(),VLOOKUP($I$396&amp;$B$419,FLNFIX!$DC$4:$EF$103,5,0))</f>
        <v>#N/A</v>
      </c>
      <c r="H419" s="757"/>
      <c r="I419" s="757"/>
      <c r="J419" s="758"/>
      <c r="K419" s="677"/>
    </row>
    <row r="420" ht="20.1" customHeight="1" spans="1:11">
      <c r="A420" s="675"/>
      <c r="B420" s="755">
        <f t="shared" si="7"/>
        <v>21</v>
      </c>
      <c r="C420" s="755">
        <f>IFERROR(VLOOKUP(B420,DATEWISE!$A$3:$BY$27,2,0),0)</f>
        <v>0</v>
      </c>
      <c r="D420" s="755" t="e">
        <f>IF($C$420=0,NA(),VLOOKUP($I$396&amp;$B$420,FLNFIX!$DH$4:$EF$103,2,0))</f>
        <v>#N/A</v>
      </c>
      <c r="E420" s="755" t="e">
        <f>IF($C$420=0,NA(),VLOOKUP($I$396&amp;$B$420,FLNFIX!$DH$4:$EF$103,4,0))</f>
        <v>#N/A</v>
      </c>
      <c r="F420" s="755" t="e">
        <f>IF($C$420=0,NA(),VLOOKUP($I$396&amp;$B$420,FLNFIX!$DH$4:$EF$103,3,0))</f>
        <v>#N/A</v>
      </c>
      <c r="G420" s="756" t="e">
        <f>IF($C$420=0,NA(),VLOOKUP($I$396&amp;$B$420,FLNFIX!$DH$4:$EF$103,5,0))</f>
        <v>#N/A</v>
      </c>
      <c r="H420" s="757"/>
      <c r="I420" s="757"/>
      <c r="J420" s="758"/>
      <c r="K420" s="677"/>
    </row>
    <row r="421" ht="5.1" customHeight="1" spans="1:11">
      <c r="A421" s="675"/>
      <c r="B421" s="759"/>
      <c r="C421" s="759"/>
      <c r="D421" s="760"/>
      <c r="E421" s="760"/>
      <c r="F421" s="760"/>
      <c r="G421" s="761"/>
      <c r="H421" s="761"/>
      <c r="I421" s="761"/>
      <c r="J421" s="761"/>
      <c r="K421" s="677"/>
    </row>
    <row r="422" s="667" customFormat="1" ht="24.95" customHeight="1" spans="1:11">
      <c r="A422" s="711"/>
      <c r="B422" s="762" t="s">
        <v>431</v>
      </c>
      <c r="C422" s="763"/>
      <c r="D422" s="763"/>
      <c r="E422" s="763"/>
      <c r="F422" s="763"/>
      <c r="G422" s="763"/>
      <c r="H422" s="763"/>
      <c r="I422" s="763"/>
      <c r="J422" s="764"/>
      <c r="K422" s="713"/>
    </row>
    <row r="423" spans="1:11">
      <c r="A423" s="675"/>
      <c r="B423" s="765"/>
      <c r="C423" s="686"/>
      <c r="D423" s="686"/>
      <c r="E423" s="686"/>
      <c r="F423" s="686"/>
      <c r="G423" s="686"/>
      <c r="H423" s="686"/>
      <c r="I423" s="686"/>
      <c r="J423" s="766"/>
      <c r="K423" s="677"/>
    </row>
    <row r="424" spans="1:11">
      <c r="A424" s="675"/>
      <c r="B424" s="765"/>
      <c r="C424" s="686"/>
      <c r="D424" s="686"/>
      <c r="E424" s="686"/>
      <c r="F424" s="686"/>
      <c r="G424" s="686"/>
      <c r="H424" s="686"/>
      <c r="I424" s="686"/>
      <c r="J424" s="766"/>
      <c r="K424" s="677"/>
    </row>
    <row r="425" spans="1:11">
      <c r="A425" s="675"/>
      <c r="B425" s="765"/>
      <c r="C425" s="686"/>
      <c r="D425" s="686"/>
      <c r="E425" s="686"/>
      <c r="F425" s="686"/>
      <c r="G425" s="686"/>
      <c r="H425" s="686"/>
      <c r="I425" s="686"/>
      <c r="J425" s="766"/>
      <c r="K425" s="677"/>
    </row>
    <row r="426" spans="1:11">
      <c r="A426" s="675"/>
      <c r="B426" s="765"/>
      <c r="C426" s="686"/>
      <c r="D426" s="686"/>
      <c r="E426" s="686"/>
      <c r="F426" s="686"/>
      <c r="G426" s="686"/>
      <c r="H426" s="686"/>
      <c r="I426" s="686"/>
      <c r="J426" s="766"/>
      <c r="K426" s="677"/>
    </row>
    <row r="427" spans="1:11">
      <c r="A427" s="675"/>
      <c r="B427" s="765"/>
      <c r="C427" s="686"/>
      <c r="D427" s="686"/>
      <c r="E427" s="686"/>
      <c r="F427" s="686"/>
      <c r="G427" s="686"/>
      <c r="H427" s="686"/>
      <c r="I427" s="686"/>
      <c r="J427" s="766"/>
      <c r="K427" s="677"/>
    </row>
    <row r="428" spans="1:11">
      <c r="A428" s="675"/>
      <c r="B428" s="765"/>
      <c r="C428" s="686"/>
      <c r="D428" s="686"/>
      <c r="E428" s="686"/>
      <c r="F428" s="686"/>
      <c r="G428" s="686"/>
      <c r="H428" s="686"/>
      <c r="I428" s="686"/>
      <c r="J428" s="766"/>
      <c r="K428" s="677"/>
    </row>
    <row r="429" spans="1:11">
      <c r="A429" s="675"/>
      <c r="B429" s="765"/>
      <c r="C429" s="686"/>
      <c r="D429" s="686"/>
      <c r="E429" s="686"/>
      <c r="F429" s="686"/>
      <c r="G429" s="686"/>
      <c r="H429" s="686"/>
      <c r="I429" s="686"/>
      <c r="J429" s="766"/>
      <c r="K429" s="677"/>
    </row>
    <row r="430" spans="1:11">
      <c r="A430" s="675"/>
      <c r="B430" s="765"/>
      <c r="C430" s="686"/>
      <c r="D430" s="686"/>
      <c r="E430" s="686"/>
      <c r="F430" s="686"/>
      <c r="G430" s="686"/>
      <c r="H430" s="686"/>
      <c r="I430" s="686"/>
      <c r="J430" s="766"/>
      <c r="K430" s="677"/>
    </row>
    <row r="431" spans="1:11">
      <c r="A431" s="675"/>
      <c r="B431" s="765"/>
      <c r="C431" s="686"/>
      <c r="D431" s="686"/>
      <c r="E431" s="686"/>
      <c r="F431" s="686"/>
      <c r="G431" s="686"/>
      <c r="H431" s="686"/>
      <c r="I431" s="686"/>
      <c r="J431" s="766"/>
      <c r="K431" s="677"/>
    </row>
    <row r="432" spans="1:11">
      <c r="A432" s="675"/>
      <c r="B432" s="767"/>
      <c r="C432" s="768"/>
      <c r="D432" s="768"/>
      <c r="E432" s="768"/>
      <c r="F432" s="768"/>
      <c r="G432" s="768"/>
      <c r="H432" s="768"/>
      <c r="I432" s="768"/>
      <c r="J432" s="769"/>
      <c r="K432" s="677"/>
    </row>
    <row r="433" ht="5.1" customHeight="1" spans="1:11">
      <c r="A433" s="675"/>
      <c r="B433" s="686"/>
      <c r="C433" s="686"/>
      <c r="D433" s="686"/>
      <c r="E433" s="686"/>
      <c r="F433" s="686"/>
      <c r="G433" s="686"/>
      <c r="H433" s="686"/>
      <c r="I433" s="686"/>
      <c r="J433" s="686"/>
      <c r="K433" s="677"/>
    </row>
    <row r="434" spans="1:11">
      <c r="A434" s="675"/>
      <c r="B434" s="770" t="s">
        <v>432</v>
      </c>
      <c r="C434" s="770"/>
      <c r="D434" s="770"/>
      <c r="E434" s="770"/>
      <c r="F434" s="770"/>
      <c r="G434" s="770"/>
      <c r="H434" s="770"/>
      <c r="I434" s="770"/>
      <c r="J434" s="770"/>
      <c r="K434" s="677"/>
    </row>
    <row r="435" spans="1:11">
      <c r="A435" s="675"/>
      <c r="B435" s="771"/>
      <c r="C435" s="771"/>
      <c r="D435" s="771"/>
      <c r="E435" s="771"/>
      <c r="F435" s="771"/>
      <c r="G435" s="771"/>
      <c r="H435" s="771"/>
      <c r="I435" s="771"/>
      <c r="J435" s="771"/>
      <c r="K435" s="677"/>
    </row>
    <row r="436" spans="1:11">
      <c r="A436" s="675"/>
      <c r="B436" s="771"/>
      <c r="C436" s="771"/>
      <c r="D436" s="771"/>
      <c r="E436" s="771"/>
      <c r="F436" s="771"/>
      <c r="G436" s="771"/>
      <c r="H436" s="771"/>
      <c r="I436" s="771"/>
      <c r="J436" s="771"/>
      <c r="K436" s="677"/>
    </row>
    <row r="437" spans="1:11">
      <c r="A437" s="675"/>
      <c r="B437" s="771"/>
      <c r="C437" s="771"/>
      <c r="D437" s="771"/>
      <c r="E437" s="771"/>
      <c r="F437" s="771"/>
      <c r="G437" s="771"/>
      <c r="H437" s="771"/>
      <c r="I437" s="771"/>
      <c r="J437" s="771"/>
      <c r="K437" s="677"/>
    </row>
    <row r="438" spans="1:11">
      <c r="A438" s="675"/>
      <c r="B438" s="686"/>
      <c r="C438" s="686"/>
      <c r="D438" s="686"/>
      <c r="E438" s="686"/>
      <c r="F438" s="686"/>
      <c r="G438" s="686"/>
      <c r="H438" s="686"/>
      <c r="I438" s="686"/>
      <c r="J438" s="686"/>
      <c r="K438" s="677"/>
    </row>
    <row r="439" spans="1:11">
      <c r="A439" s="675"/>
      <c r="B439" s="686"/>
      <c r="C439" s="729" t="s">
        <v>433</v>
      </c>
      <c r="D439" s="729"/>
      <c r="E439" s="686"/>
      <c r="F439" s="686"/>
      <c r="G439" s="729" t="s">
        <v>434</v>
      </c>
      <c r="H439" s="729"/>
      <c r="I439" s="729"/>
      <c r="J439" s="729"/>
      <c r="K439" s="677"/>
    </row>
    <row r="440" ht="16.35" spans="1:11">
      <c r="A440" s="725"/>
      <c r="B440" s="726"/>
      <c r="C440" s="732" t="str">
        <f>"("&amp;PROPER(ENTRY!$D$19)&amp;")"</f>
        <v>(Indrajeet)</v>
      </c>
      <c r="D440" s="732"/>
      <c r="E440" s="726"/>
      <c r="F440" s="726"/>
      <c r="G440" s="732" t="str">
        <f>"("&amp;PROPER(ENTRY!$D$12)&amp;")"</f>
        <v>(Shambhu Dayal Meena)</v>
      </c>
      <c r="H440" s="732"/>
      <c r="I440" s="732"/>
      <c r="J440" s="732"/>
      <c r="K440" s="728"/>
    </row>
    <row r="441" ht="24.6" spans="1:11">
      <c r="B441" s="734"/>
      <c r="C441" s="734"/>
      <c r="D441" s="669" t="str">
        <f>ENTRY!$D$3</f>
        <v>MUNICIPAL CORPORATION OF DELHI</v>
      </c>
      <c r="E441" s="669"/>
      <c r="F441" s="669"/>
      <c r="G441" s="669"/>
      <c r="H441" s="734"/>
      <c r="I441" s="669"/>
      <c r="J441" s="669"/>
    </row>
    <row r="442" ht="20.4" spans="1:11">
      <c r="B442" s="735"/>
      <c r="C442" s="735"/>
      <c r="D442" s="670" t="str">
        <f>ENTRY!$D$4</f>
        <v>EDUCATION DEPARTMENT</v>
      </c>
      <c r="E442" s="670"/>
      <c r="F442" s="670"/>
      <c r="G442" s="670"/>
      <c r="H442" s="735"/>
      <c r="I442" s="669"/>
      <c r="J442" s="669"/>
    </row>
    <row r="443" ht="22.8" spans="1:11">
      <c r="B443" s="736"/>
      <c r="C443" s="736"/>
      <c r="D443" s="664" t="s">
        <v>417</v>
      </c>
      <c r="E443" s="664"/>
      <c r="F443" s="664"/>
      <c r="G443" s="664"/>
      <c r="H443" s="736"/>
      <c r="I443" s="669"/>
      <c r="J443" s="669"/>
    </row>
    <row r="444" ht="22.8" spans="1:11">
      <c r="B444" s="736"/>
      <c r="C444" s="736"/>
      <c r="D444" s="664" t="s">
        <v>418</v>
      </c>
      <c r="E444" s="664"/>
      <c r="F444" s="664"/>
      <c r="G444" s="664"/>
      <c r="H444" s="736"/>
      <c r="I444" s="669"/>
      <c r="J444" s="669"/>
    </row>
    <row r="445" ht="24.95" customHeight="1" spans="1:11">
      <c r="B445" s="735"/>
      <c r="C445" s="735"/>
      <c r="D445" s="737" t="str">
        <f>"SESSION : "&amp;ENTRY!$D$11</f>
        <v>SESSION : 2026-27</v>
      </c>
      <c r="E445" s="737"/>
      <c r="F445" s="737"/>
      <c r="G445" s="737"/>
      <c r="H445" s="735"/>
      <c r="I445" s="738"/>
      <c r="J445" s="738"/>
    </row>
    <row r="446" ht="3.75" customHeight="1" spans="1:11">
      <c r="A446" s="672"/>
      <c r="B446" s="739"/>
      <c r="C446" s="739"/>
      <c r="D446" s="739"/>
      <c r="E446" s="739"/>
      <c r="F446" s="739"/>
      <c r="G446" s="739"/>
      <c r="H446" s="739"/>
      <c r="I446" s="739"/>
      <c r="J446" s="739"/>
      <c r="K446" s="674"/>
    </row>
    <row r="447" ht="21.95" customHeight="1" spans="1:11">
      <c r="A447" s="675"/>
      <c r="B447" s="676" t="s">
        <v>419</v>
      </c>
      <c r="C447" s="676"/>
      <c r="D447" s="676" t="str">
        <f>ENTRY!$D$6</f>
        <v>MCP NITHARI NO 1 BOYS</v>
      </c>
      <c r="E447" s="676"/>
      <c r="F447" s="676"/>
      <c r="G447" s="676"/>
      <c r="H447" s="676"/>
      <c r="I447" s="676"/>
      <c r="J447" s="676"/>
      <c r="K447" s="677"/>
    </row>
    <row r="448" ht="21.95" customHeight="1" spans="1:11">
      <c r="A448" s="675"/>
      <c r="B448" s="676" t="s">
        <v>420</v>
      </c>
      <c r="C448" s="676"/>
      <c r="D448" s="740" t="str">
        <f>IFERROR(VLOOKUP($I$451,STUDENT!$A$2:$BP$101,5,0),"")</f>
        <v>ANUJ</v>
      </c>
      <c r="E448" s="740"/>
      <c r="F448" s="740"/>
      <c r="G448" s="740"/>
      <c r="H448" s="740"/>
      <c r="I448" s="740"/>
      <c r="J448" s="740"/>
      <c r="K448" s="677"/>
    </row>
    <row r="449" ht="21.95" customHeight="1" spans="1:11">
      <c r="A449" s="675"/>
      <c r="B449" s="676" t="s">
        <v>421</v>
      </c>
      <c r="C449" s="676"/>
      <c r="D449" s="740" t="str">
        <f>IFERROR(VLOOKUP($I$451,STUDENT!$A$2:$BP$101,8,0),"")</f>
        <v>RANJEET DAS</v>
      </c>
      <c r="E449" s="740"/>
      <c r="F449" s="740"/>
      <c r="G449" s="740"/>
      <c r="H449" s="740"/>
      <c r="I449" s="740"/>
      <c r="J449" s="740"/>
      <c r="K449" s="677"/>
    </row>
    <row r="450" ht="21.95" customHeight="1" spans="1:11">
      <c r="A450" s="675"/>
      <c r="B450" s="676" t="s">
        <v>422</v>
      </c>
      <c r="C450" s="676"/>
      <c r="D450" s="740">
        <f>IFERROR(VLOOKUP($I$451,STUDENT!$A$2:$BP$101,6,0),"")</f>
        <v>14754</v>
      </c>
      <c r="E450" s="740"/>
      <c r="F450" s="740"/>
      <c r="G450" s="740"/>
      <c r="H450" s="740"/>
      <c r="I450" s="740"/>
      <c r="J450" s="740"/>
      <c r="K450" s="677"/>
    </row>
    <row r="451" ht="21.95" customHeight="1" spans="1:11">
      <c r="A451" s="675"/>
      <c r="B451" s="676" t="s">
        <v>423</v>
      </c>
      <c r="C451" s="676"/>
      <c r="D451" s="741" t="str">
        <f>IFERROR(VLOOKUP($I$451,STUDENT!$A$2:$BP$101,59,0),"")</f>
        <v/>
      </c>
      <c r="E451" s="742" t="s">
        <v>424</v>
      </c>
      <c r="F451" s="704" t="str">
        <f>IFERROR(VLOOKUP($I$451,STUDENT!$A$2:$BP$101,2,0),"")</f>
        <v>III-A</v>
      </c>
      <c r="G451" s="742" t="s">
        <v>425</v>
      </c>
      <c r="H451" s="743"/>
      <c r="I451" s="733">
        <f>I396+1</f>
        <v>9</v>
      </c>
      <c r="J451" s="683"/>
      <c r="K451" s="677"/>
    </row>
    <row r="452" ht="5.1" customHeight="1" spans="1:11">
      <c r="A452" s="675"/>
      <c r="B452" s="745"/>
      <c r="C452" s="745"/>
      <c r="D452" s="746"/>
      <c r="E452" s="747"/>
      <c r="F452" s="748"/>
      <c r="G452" s="747"/>
      <c r="H452" s="686"/>
      <c r="I452" s="686"/>
      <c r="J452" s="686"/>
      <c r="K452" s="677"/>
    </row>
    <row r="453" s="664" customFormat="1" ht="32.1" customHeight="1" spans="1:11">
      <c r="A453" s="688"/>
      <c r="B453" s="749" t="s">
        <v>426</v>
      </c>
      <c r="C453" s="750"/>
      <c r="D453" s="750"/>
      <c r="E453" s="750"/>
      <c r="F453" s="750"/>
      <c r="G453" s="750"/>
      <c r="H453" s="750"/>
      <c r="I453" s="750"/>
      <c r="J453" s="751"/>
      <c r="K453" s="690"/>
    </row>
    <row r="454" ht="51.6" spans="1:11">
      <c r="A454" s="675"/>
      <c r="B454" s="752">
        <v>21</v>
      </c>
      <c r="C454" s="753" t="s">
        <v>427</v>
      </c>
      <c r="D454" s="754" t="s">
        <v>428</v>
      </c>
      <c r="E454" s="754" t="s">
        <v>429</v>
      </c>
      <c r="F454" s="754" t="s">
        <v>430</v>
      </c>
      <c r="G454" s="753" t="s">
        <v>390</v>
      </c>
      <c r="H454" s="714"/>
      <c r="I454" s="714"/>
      <c r="J454" s="714"/>
      <c r="K454" s="677"/>
    </row>
    <row r="455" ht="20.1" customHeight="1" spans="1:11">
      <c r="A455" s="675"/>
      <c r="B455" s="755">
        <v>1</v>
      </c>
      <c r="C455" s="755" t="str">
        <f>IFERROR(VLOOKUP(B455,DATEWISE!$A$3:$BY$27,2,0),0)</f>
        <v>30.04.2026</v>
      </c>
      <c r="D455" s="755">
        <f>IF($C$455=0,NA(),VLOOKUP($I$451&amp;$B$455,FLNFIX!$L$4:$EF$103,2,0))</f>
        <v>2</v>
      </c>
      <c r="E455" s="755">
        <f>IF($C$455=0,NA(),VLOOKUP($I$451&amp;$B$455,FLNFIX!$L$4:$EF$103,4,0))</f>
        <v>3</v>
      </c>
      <c r="F455" s="755">
        <f>IF($C$455=0,NA(),VLOOKUP($I$451&amp;$B$455,FLNFIX!$L$4:$EF$103,3,0))</f>
        <v>2</v>
      </c>
      <c r="G455" s="756">
        <f>IF($C$455=0,NA(),VLOOKUP($I$451&amp;$B$455,FLNFIX!$L$4:$EF$103,5,0))</f>
        <v>0</v>
      </c>
      <c r="H455" s="757"/>
      <c r="I455" s="757"/>
      <c r="J455" s="758"/>
      <c r="K455" s="677"/>
    </row>
    <row r="456" ht="20.1" customHeight="1" spans="1:11">
      <c r="A456" s="675"/>
      <c r="B456" s="755">
        <f t="shared" ref="B456:B475" si="8">IF(B455=0,0,IF(B455&lt;$B$454,B455+1,""))</f>
        <v>2</v>
      </c>
      <c r="C456" s="755" t="str">
        <f>IFERROR(VLOOKUP(B456,DATEWISE!$A$3:$BY$27,2,0),0)</f>
        <v>08.05.2026</v>
      </c>
      <c r="D456" s="755">
        <f>IF($C$456=0,NA(),VLOOKUP($I$451&amp;$B$456,FLNFIX!$Q$4:$EF$103,2,0))</f>
        <v>2</v>
      </c>
      <c r="E456" s="755">
        <f>IF($C$456=0,NA(),VLOOKUP($I$451&amp;$B$456,FLNFIX!$Q$4:$EF$103,4,0))</f>
        <v>3</v>
      </c>
      <c r="F456" s="755">
        <f>IF($C$456=0,NA(),VLOOKUP($I$451&amp;$B$456,FLNFIX!$Q$4:$EF$103,3,0))</f>
        <v>2</v>
      </c>
      <c r="G456" s="756">
        <f>IF($C$456=0,NA(),VLOOKUP($I$451&amp;$B$456,FLNFIX!$Q$4:$EF$103,5,0))</f>
        <v>0</v>
      </c>
      <c r="H456" s="757"/>
      <c r="I456" s="757"/>
      <c r="J456" s="758"/>
      <c r="K456" s="677"/>
    </row>
    <row r="457" ht="20.1" customHeight="1" spans="1:11">
      <c r="A457" s="675"/>
      <c r="B457" s="755">
        <f t="shared" si="8"/>
        <v>3</v>
      </c>
      <c r="C457" s="755" t="str">
        <f>IFERROR(VLOOKUP(B457,DATEWISE!$A$3:$BY$27,2,0),0)</f>
        <v>15.07.2026</v>
      </c>
      <c r="D457" s="755">
        <f>IF($C$457=0,NA(),VLOOKUP($I$451&amp;$B$457,FLNFIX!$V$4:$EF$103,2,0))</f>
        <v>2</v>
      </c>
      <c r="E457" s="755">
        <f>IF($C$457=0,NA(),VLOOKUP($I$451&amp;$B$457,FLNFIX!$V$4:$EF$103,4,0))</f>
        <v>3</v>
      </c>
      <c r="F457" s="755">
        <f>IF($C$457=0,NA(),VLOOKUP($I$451&amp;$B$457,FLNFIX!$V$4:$EF$103,3,0))</f>
        <v>2</v>
      </c>
      <c r="G457" s="756">
        <f>IF($C$457=0,NA(),VLOOKUP($I$451&amp;$B$457,FLNFIX!$V$4:$EF$103,5,0))</f>
        <v>0</v>
      </c>
      <c r="H457" s="757"/>
      <c r="I457" s="757"/>
      <c r="J457" s="758"/>
      <c r="K457" s="677"/>
    </row>
    <row r="458" ht="20.1" customHeight="1" spans="1:11">
      <c r="A458" s="675"/>
      <c r="B458" s="755">
        <f t="shared" si="8"/>
        <v>4</v>
      </c>
      <c r="C458" s="755" t="str">
        <f>IFERROR(VLOOKUP(B458,DATEWISE!$A$3:$BY$27,2,0),0)</f>
        <v>31.07.2026</v>
      </c>
      <c r="D458" s="755">
        <f>IF($C$458=0,NA(),VLOOKUP($I$451&amp;$B$458,FLNFIX!$AA$4:$EF$103,2,0))</f>
        <v>2</v>
      </c>
      <c r="E458" s="755">
        <f>IF($C$458=0,NA(),VLOOKUP($I$451&amp;$B$458,FLNFIX!$AA$4:$EF$103,4,0))</f>
        <v>3</v>
      </c>
      <c r="F458" s="755">
        <f>IF($C$458=0,NA(),VLOOKUP($I$451&amp;$B$458,FLNFIX!$AA$4:$EF$103,3,0))</f>
        <v>2</v>
      </c>
      <c r="G458" s="756">
        <f>IF($C$458=0,NA(),VLOOKUP($I$451&amp;$B$458,FLNFIX!$AA$4:$EF$103,5,0))</f>
        <v>0</v>
      </c>
      <c r="H458" s="757"/>
      <c r="I458" s="757"/>
      <c r="J458" s="758"/>
      <c r="K458" s="677"/>
    </row>
    <row r="459" ht="20.1" customHeight="1" spans="1:11">
      <c r="A459" s="675"/>
      <c r="B459" s="755">
        <f t="shared" si="8"/>
        <v>5</v>
      </c>
      <c r="C459" s="755" t="str">
        <f>IFERROR(VLOOKUP(B459,DATEWISE!$A$3:$BY$27,2,0),0)</f>
        <v>17.08.2026</v>
      </c>
      <c r="D459" s="755">
        <f>IF($C$459=0,NA(),VLOOKUP($I$451&amp;$B$459,FLNFIX!$AF$4:$EF$103,2,0))</f>
        <v>2</v>
      </c>
      <c r="E459" s="755">
        <f>IF($C$459=0,NA(),VLOOKUP($I$451&amp;$B$459,FLNFIX!$AF$4:$EF$103,4,0))</f>
        <v>3</v>
      </c>
      <c r="F459" s="755">
        <f>IF($C$459=0,NA(),VLOOKUP($I$451&amp;$B$459,FLNFIX!$AF$4:$EF$103,3,0))</f>
        <v>2</v>
      </c>
      <c r="G459" s="756">
        <f>IF($C$459=0,NA(),VLOOKUP($I$451&amp;$B$459,FLNFIX!$AF$4:$EF$103,5,0))</f>
        <v>0</v>
      </c>
      <c r="H459" s="757"/>
      <c r="I459" s="757"/>
      <c r="J459" s="758"/>
      <c r="K459" s="677"/>
    </row>
    <row r="460" ht="20.1" customHeight="1" spans="1:11">
      <c r="A460" s="675"/>
      <c r="B460" s="755">
        <f t="shared" si="8"/>
        <v>6</v>
      </c>
      <c r="C460" s="755" t="str">
        <f>IFERROR(VLOOKUP(B460,DATEWISE!$A$3:$BY$27,2,0),0)</f>
        <v>31.08.2026</v>
      </c>
      <c r="D460" s="755">
        <f>IF($C$460=0,NA(),VLOOKUP($I$451&amp;$B$460,FLNFIX!$AK$4:$EF$103,2,0))</f>
        <v>3</v>
      </c>
      <c r="E460" s="755">
        <f>IF($C$460=0,NA(),VLOOKUP($I$451&amp;$B$460,FLNFIX!$AK$4:$EF$103,4,0))</f>
        <v>3</v>
      </c>
      <c r="F460" s="755">
        <f>IF($C$460=0,NA(),VLOOKUP($I$451&amp;$B$460,FLNFIX!$AK$4:$EF$103,3,0))</f>
        <v>2</v>
      </c>
      <c r="G460" s="756">
        <f>IF($C$460=0,NA(),VLOOKUP($I$451&amp;$B$460,FLNFIX!$AK$4:$EF$103,5,0))</f>
        <v>0</v>
      </c>
      <c r="H460" s="757"/>
      <c r="I460" s="757"/>
      <c r="J460" s="758"/>
      <c r="K460" s="677"/>
    </row>
    <row r="461" ht="20.1" customHeight="1" spans="1:11">
      <c r="A461" s="675"/>
      <c r="B461" s="755">
        <f t="shared" si="8"/>
        <v>7</v>
      </c>
      <c r="C461" s="755">
        <f>IFERROR(VLOOKUP(B461,DATEWISE!$A$3:$BY$27,2,0),0)</f>
        <v>0</v>
      </c>
      <c r="D461" s="755" t="e">
        <f>IF($C$461=0,NA(),VLOOKUP($I$451&amp;$B$461,FLNFIX!$AP$4:$EF$103,2,0))</f>
        <v>#N/A</v>
      </c>
      <c r="E461" s="755" t="e">
        <f>IF($C$461=0,NA(),VLOOKUP($I$451&amp;$B$461,FLNFIX!$AP$4:$EF$103,4,0))</f>
        <v>#N/A</v>
      </c>
      <c r="F461" s="755" t="e">
        <f>IF($C$461=0,NA(),VLOOKUP($I$451&amp;$B$461,FLNFIX!$AP$4:$EF$103,3,0))</f>
        <v>#N/A</v>
      </c>
      <c r="G461" s="756" t="e">
        <f>IF($C$461=0,NA(),VLOOKUP($I$451&amp;$B$461,FLNFIX!$AP$4:$EF$103,5,0))</f>
        <v>#N/A</v>
      </c>
      <c r="H461" s="757"/>
      <c r="I461" s="757"/>
      <c r="J461" s="758"/>
      <c r="K461" s="677"/>
    </row>
    <row r="462" ht="20.1" customHeight="1" spans="1:11">
      <c r="A462" s="675"/>
      <c r="B462" s="755">
        <f t="shared" si="8"/>
        <v>8</v>
      </c>
      <c r="C462" s="755">
        <f>IFERROR(VLOOKUP(B462,DATEWISE!$A$3:$BY$27,2,0),0)</f>
        <v>0</v>
      </c>
      <c r="D462" s="755" t="e">
        <f>IF($C$462=0,NA(),VLOOKUP($I$451&amp;$B$462,FLNFIX!$AU$4:$EF$103,2,0))</f>
        <v>#N/A</v>
      </c>
      <c r="E462" s="755" t="e">
        <f>IF($C$462=0,NA(),VLOOKUP($I$451&amp;$B$462,FLNFIX!$AU$4:$EF$103,4,0))</f>
        <v>#N/A</v>
      </c>
      <c r="F462" s="755" t="e">
        <f>IF($C$462=0,NA(),VLOOKUP($I$451&amp;$B$462,FLNFIX!$AU$4:$EF$103,3,0))</f>
        <v>#N/A</v>
      </c>
      <c r="G462" s="756" t="e">
        <f>IF($C$462=0,NA(),VLOOKUP($I$451&amp;$B$462,FLNFIX!$AU$4:$EF$103,5,0))</f>
        <v>#N/A</v>
      </c>
      <c r="H462" s="757"/>
      <c r="I462" s="757"/>
      <c r="J462" s="758"/>
      <c r="K462" s="677"/>
    </row>
    <row r="463" ht="20.1" customHeight="1" spans="1:11">
      <c r="A463" s="675"/>
      <c r="B463" s="755">
        <f t="shared" si="8"/>
        <v>9</v>
      </c>
      <c r="C463" s="755">
        <f>IFERROR(VLOOKUP(B463,DATEWISE!$A$3:$BY$27,2,0),0)</f>
        <v>0</v>
      </c>
      <c r="D463" s="755" t="e">
        <f>IF($C$463=0,NA(),VLOOKUP($I$451&amp;$B$463,FLNFIX!$AZ$4:$EF$103,2,0))</f>
        <v>#N/A</v>
      </c>
      <c r="E463" s="755" t="e">
        <f>IF($C$463=0,NA(),VLOOKUP($I$451&amp;$B$463,FLNFIX!$AZ$4:$EF$103,4,0))</f>
        <v>#N/A</v>
      </c>
      <c r="F463" s="755" t="e">
        <f>IF($C$463=0,NA(),VLOOKUP($I$451&amp;$B$463,FLNFIX!$AZ$4:$EF$103,3,0))</f>
        <v>#N/A</v>
      </c>
      <c r="G463" s="756" t="e">
        <f>IF($C$463=0,NA(),VLOOKUP($I$451&amp;$B$463,FLNFIX!$AZ$4:$EF$103,5,0))</f>
        <v>#N/A</v>
      </c>
      <c r="H463" s="757"/>
      <c r="I463" s="757"/>
      <c r="J463" s="758"/>
      <c r="K463" s="677"/>
    </row>
    <row r="464" ht="20.1" customHeight="1" spans="1:11">
      <c r="A464" s="675"/>
      <c r="B464" s="755">
        <f t="shared" si="8"/>
        <v>10</v>
      </c>
      <c r="C464" s="755">
        <f>IFERROR(VLOOKUP(B464,DATEWISE!$A$3:$BY$27,2,0),0)</f>
        <v>0</v>
      </c>
      <c r="D464" s="755" t="e">
        <f>IF($C$464=0,NA(),VLOOKUP($I$451&amp;$B$464,FLNFIX!$BE$4:$EF$103,2,0))</f>
        <v>#N/A</v>
      </c>
      <c r="E464" s="755" t="e">
        <f>IF($C$464=0,NA(),VLOOKUP($I$451&amp;$B$464,FLNFIX!$BE$4:$EF$103,4,0))</f>
        <v>#N/A</v>
      </c>
      <c r="F464" s="755" t="e">
        <f>IF($C$464=0,NA(),VLOOKUP($I$451&amp;$B$464,FLNFIX!$BE$4:$EF$103,3,0))</f>
        <v>#N/A</v>
      </c>
      <c r="G464" s="756" t="e">
        <f>IF($C$464=0,NA(),VLOOKUP($I$451&amp;$B$464,FLNFIX!$BE$4:$EF$103,5,0))</f>
        <v>#N/A</v>
      </c>
      <c r="H464" s="757"/>
      <c r="I464" s="757"/>
      <c r="J464" s="758"/>
      <c r="K464" s="677"/>
    </row>
    <row r="465" ht="20.1" customHeight="1" spans="1:11">
      <c r="A465" s="675"/>
      <c r="B465" s="755">
        <f t="shared" si="8"/>
        <v>11</v>
      </c>
      <c r="C465" s="755">
        <f>IFERROR(VLOOKUP(B465,DATEWISE!$A$3:$BY$27,2,0),0)</f>
        <v>0</v>
      </c>
      <c r="D465" s="755" t="e">
        <f>IF($C$465=0,NA(),VLOOKUP($I$451&amp;$B$465,FLNFIX!$BJ$4:$EF$103,2,0))</f>
        <v>#N/A</v>
      </c>
      <c r="E465" s="755" t="e">
        <f>IF($C$465=0,NA(),VLOOKUP($I$451&amp;$B$465,FLNFIX!$BJ$4:$EF$103,4,0))</f>
        <v>#N/A</v>
      </c>
      <c r="F465" s="755" t="e">
        <f>IF($C$465=0,NA(),VLOOKUP($I$451&amp;$B$465,FLNFIX!$BJ$4:$EF$103,3,0))</f>
        <v>#N/A</v>
      </c>
      <c r="G465" s="756" t="e">
        <f>IF($C$465=0,NA(),VLOOKUP($I$451&amp;$B$465,FLNFIX!$BJ$4:$EF$103,5,0))</f>
        <v>#N/A</v>
      </c>
      <c r="H465" s="757"/>
      <c r="I465" s="757"/>
      <c r="J465" s="758"/>
      <c r="K465" s="677"/>
    </row>
    <row r="466" ht="20.1" customHeight="1" spans="1:11">
      <c r="A466" s="675"/>
      <c r="B466" s="755">
        <f t="shared" si="8"/>
        <v>12</v>
      </c>
      <c r="C466" s="755">
        <f>IFERROR(VLOOKUP(B466,DATEWISE!$A$3:$BY$27,2,0),0)</f>
        <v>0</v>
      </c>
      <c r="D466" s="755" t="e">
        <f>IF($C$466=0,NA(),VLOOKUP($I$451&amp;$B$466,FLNFIX!$BO$4:$EF$103,2,0))</f>
        <v>#N/A</v>
      </c>
      <c r="E466" s="755" t="e">
        <f>IF($C$466=0,NA(),VLOOKUP($I$451&amp;$B$466,FLNFIX!$BO$4:$EF$103,4,0))</f>
        <v>#N/A</v>
      </c>
      <c r="F466" s="755" t="e">
        <f>IF($C$466=0,NA(),VLOOKUP($I$451&amp;$B$466,FLNFIX!$BO$4:$EF$103,3,0))</f>
        <v>#N/A</v>
      </c>
      <c r="G466" s="756" t="e">
        <f>IF($C$466=0,NA(),VLOOKUP($I$451&amp;$B$466,FLNFIX!$BO$4:$EF$103,5,0))</f>
        <v>#N/A</v>
      </c>
      <c r="H466" s="757"/>
      <c r="I466" s="757"/>
      <c r="J466" s="758"/>
      <c r="K466" s="677"/>
    </row>
    <row r="467" ht="20.1" customHeight="1" spans="1:11">
      <c r="A467" s="675"/>
      <c r="B467" s="755">
        <f t="shared" si="8"/>
        <v>13</v>
      </c>
      <c r="C467" s="755">
        <f>IFERROR(VLOOKUP(B467,DATEWISE!$A$3:$BY$27,2,0),0)</f>
        <v>0</v>
      </c>
      <c r="D467" s="755" t="e">
        <f>IF($C$467=0,NA(),VLOOKUP($I$451&amp;$B$467,FLNFIX!$BT$4:$EF$103,2,0))</f>
        <v>#N/A</v>
      </c>
      <c r="E467" s="755" t="e">
        <f>IF($C$467=0,NA(),VLOOKUP($I$451&amp;$B$467,FLNFIX!$BT$4:$EF$103,4,0))</f>
        <v>#N/A</v>
      </c>
      <c r="F467" s="755" t="e">
        <f>IF($C$467=0,NA(),VLOOKUP($I$451&amp;$B$467,FLNFIX!$BT$4:$EF$103,3,0))</f>
        <v>#N/A</v>
      </c>
      <c r="G467" s="756" t="e">
        <f>IF($C$467=0,NA(),VLOOKUP($I$451&amp;$B$467,FLNFIX!$BT$4:$EF$103,5,0))</f>
        <v>#N/A</v>
      </c>
      <c r="H467" s="757"/>
      <c r="I467" s="757"/>
      <c r="J467" s="758"/>
      <c r="K467" s="677"/>
    </row>
    <row r="468" ht="20.1" customHeight="1" spans="1:11">
      <c r="A468" s="675"/>
      <c r="B468" s="755">
        <f t="shared" si="8"/>
        <v>14</v>
      </c>
      <c r="C468" s="755">
        <f>IFERROR(VLOOKUP(B468,DATEWISE!$A$3:$BY$27,2,0),0)</f>
        <v>0</v>
      </c>
      <c r="D468" s="755" t="e">
        <f>IF($C$468=0,NA(),VLOOKUP($I$451&amp;$B$468,FLNFIX!$BY$4:$EF$103,2,0))</f>
        <v>#N/A</v>
      </c>
      <c r="E468" s="755" t="e">
        <f>IF($C$468=0,NA(),VLOOKUP($I$451&amp;$B$468,FLNFIX!$BY$4:$EF$103,4,0))</f>
        <v>#N/A</v>
      </c>
      <c r="F468" s="755" t="e">
        <f>IF($C$468=0,NA(),VLOOKUP($I$451&amp;$B$468,FLNFIX!$BY$4:$EF$103,3,0))</f>
        <v>#N/A</v>
      </c>
      <c r="G468" s="756" t="e">
        <f>IF($C$468=0,NA(),VLOOKUP($I$451&amp;$B$468,FLNFIX!$BY$4:$EF$103,5,0))</f>
        <v>#N/A</v>
      </c>
      <c r="H468" s="757"/>
      <c r="I468" s="757"/>
      <c r="J468" s="758"/>
      <c r="K468" s="677"/>
    </row>
    <row r="469" ht="20.1" customHeight="1" spans="1:11">
      <c r="A469" s="675"/>
      <c r="B469" s="755">
        <f t="shared" si="8"/>
        <v>15</v>
      </c>
      <c r="C469" s="755">
        <f>IFERROR(VLOOKUP(B469,DATEWISE!$A$3:$BY$27,2,0),0)</f>
        <v>0</v>
      </c>
      <c r="D469" s="755" t="e">
        <f>IF($C$469=0,NA(),VLOOKUP($I$451&amp;$B$469,FLNFIX!$CD$4:$EF$103,2,0))</f>
        <v>#N/A</v>
      </c>
      <c r="E469" s="755" t="e">
        <f>IF($C$469=0,NA(),VLOOKUP($I$451&amp;$B$469,FLNFIX!$CD$4:$EF$103,4,0))</f>
        <v>#N/A</v>
      </c>
      <c r="F469" s="755" t="e">
        <f>IF($C$469=0,NA(),VLOOKUP($I$451&amp;$B$469,FLNFIX!$CD$4:$EF$103,3,0))</f>
        <v>#N/A</v>
      </c>
      <c r="G469" s="756" t="e">
        <f>IF($C$469=0,NA(),VLOOKUP($I$451&amp;$B$469,FLNFIX!$CD$4:$EF$103,5,0))</f>
        <v>#N/A</v>
      </c>
      <c r="H469" s="757"/>
      <c r="I469" s="757"/>
      <c r="J469" s="758"/>
      <c r="K469" s="677"/>
    </row>
    <row r="470" ht="20.1" customHeight="1" spans="1:11">
      <c r="A470" s="675"/>
      <c r="B470" s="755">
        <f t="shared" si="8"/>
        <v>16</v>
      </c>
      <c r="C470" s="755">
        <f>IFERROR(VLOOKUP(B470,DATEWISE!$A$3:$BY$27,2,0),0)</f>
        <v>0</v>
      </c>
      <c r="D470" s="755" t="e">
        <f>IF($C$470=0,NA(),VLOOKUP($I$451&amp;$B$470,FLNFIX!$CI$4:$EF$103,2,0))</f>
        <v>#N/A</v>
      </c>
      <c r="E470" s="755" t="e">
        <f>IF($C$470=0,NA(),VLOOKUP($I$451&amp;$B$470,FLNFIX!$CI$4:$EF$103,4,0))</f>
        <v>#N/A</v>
      </c>
      <c r="F470" s="755" t="e">
        <f>IF($C$470=0,NA(),VLOOKUP($I$451&amp;$B$470,FLNFIX!$CI$4:$EF$103,3,0))</f>
        <v>#N/A</v>
      </c>
      <c r="G470" s="756" t="e">
        <f>IF($C$470=0,NA(),VLOOKUP($I$451&amp;$B$470,FLNFIX!$CI$4:$EF$103,5,0))</f>
        <v>#N/A</v>
      </c>
      <c r="H470" s="757"/>
      <c r="I470" s="757"/>
      <c r="J470" s="758"/>
      <c r="K470" s="677"/>
    </row>
    <row r="471" ht="20.1" customHeight="1" spans="1:11">
      <c r="A471" s="675"/>
      <c r="B471" s="755">
        <f t="shared" si="8"/>
        <v>17</v>
      </c>
      <c r="C471" s="755">
        <f>IFERROR(VLOOKUP(B471,DATEWISE!$A$3:$BY$27,2,0),0)</f>
        <v>0</v>
      </c>
      <c r="D471" s="755" t="e">
        <f>IF($C$471=0,NA(),VLOOKUP($I$451&amp;$B$471,FLNFIX!$CN$4:$EF$103,2,0))</f>
        <v>#N/A</v>
      </c>
      <c r="E471" s="755" t="e">
        <f>IF($C$471=0,NA(),VLOOKUP($I$451&amp;$B$471,FLNFIX!$CN$4:$EF$103,4,0))</f>
        <v>#N/A</v>
      </c>
      <c r="F471" s="755" t="e">
        <f>IF($C$471=0,NA(),VLOOKUP($I$451&amp;$B$471,FLNFIX!$CN$4:$EF$103,3,0))</f>
        <v>#N/A</v>
      </c>
      <c r="G471" s="756" t="e">
        <f>IF($C$471=0,NA(),VLOOKUP($I$451&amp;$B$471,FLNFIX!$CN$4:$EF$103,5,0))</f>
        <v>#N/A</v>
      </c>
      <c r="H471" s="757"/>
      <c r="I471" s="757"/>
      <c r="J471" s="758"/>
      <c r="K471" s="677"/>
    </row>
    <row r="472" ht="20.1" customHeight="1" spans="1:11">
      <c r="A472" s="675"/>
      <c r="B472" s="755">
        <f t="shared" si="8"/>
        <v>18</v>
      </c>
      <c r="C472" s="755">
        <f>IFERROR(VLOOKUP(B472,DATEWISE!$A$3:$BY$27,2,0),0)</f>
        <v>0</v>
      </c>
      <c r="D472" s="755" t="e">
        <f>IF($C$472=0,NA(),VLOOKUP($I$451&amp;$B$472,FLNFIX!$CS$4:$EF$103,2,0))</f>
        <v>#N/A</v>
      </c>
      <c r="E472" s="755" t="e">
        <f>IF($C$472=0,NA(),VLOOKUP($I$451&amp;$B$472,FLNFIX!$CS$4:$EF$103,4,0))</f>
        <v>#N/A</v>
      </c>
      <c r="F472" s="755" t="e">
        <f>IF($C$472=0,NA(),VLOOKUP($I$451&amp;$B$472,FLNFIX!$CS$4:$EF$103,3,0))</f>
        <v>#N/A</v>
      </c>
      <c r="G472" s="756" t="e">
        <f>IF($C$472=0,NA(),VLOOKUP($I$451&amp;$B$472,FLNFIX!$CS$4:$EF$103,5,0))</f>
        <v>#N/A</v>
      </c>
      <c r="H472" s="757"/>
      <c r="I472" s="757"/>
      <c r="J472" s="758"/>
      <c r="K472" s="677"/>
    </row>
    <row r="473" ht="20.1" customHeight="1" spans="1:11">
      <c r="A473" s="675"/>
      <c r="B473" s="755">
        <f t="shared" si="8"/>
        <v>19</v>
      </c>
      <c r="C473" s="755">
        <f>IFERROR(VLOOKUP(B473,DATEWISE!$A$3:$BY$27,2,0),0)</f>
        <v>0</v>
      </c>
      <c r="D473" s="755" t="e">
        <f>IF($C$473=0,NA(),VLOOKUP($I$451&amp;$B$473,FLNFIX!$CX$4:$EF$103,2,0))</f>
        <v>#N/A</v>
      </c>
      <c r="E473" s="755" t="e">
        <f>IF($C$473=0,NA(),VLOOKUP($I$451&amp;$B$473,FLNFIX!$CX$4:$EF$103,4,0))</f>
        <v>#N/A</v>
      </c>
      <c r="F473" s="755" t="e">
        <f>IF($C$473=0,NA(),VLOOKUP($I$451&amp;$B$473,FLNFIX!$CX$4:$EF$103,3,0))</f>
        <v>#N/A</v>
      </c>
      <c r="G473" s="756" t="e">
        <f>IF($C$473=0,NA(),VLOOKUP($I$451&amp;$B$473,FLNFIX!$CX$4:$EF$103,5,0))</f>
        <v>#N/A</v>
      </c>
      <c r="H473" s="757"/>
      <c r="I473" s="757"/>
      <c r="J473" s="758"/>
      <c r="K473" s="677"/>
    </row>
    <row r="474" ht="20.1" customHeight="1" spans="1:11">
      <c r="A474" s="675"/>
      <c r="B474" s="755">
        <f t="shared" si="8"/>
        <v>20</v>
      </c>
      <c r="C474" s="755">
        <f>IFERROR(VLOOKUP(B474,DATEWISE!$A$3:$BY$27,2,0),0)</f>
        <v>0</v>
      </c>
      <c r="D474" s="755" t="e">
        <f>IF($C$474=0,NA(),VLOOKUP($I$451&amp;$B$474,FLNFIX!$DC$4:$EF$103,2,0))</f>
        <v>#N/A</v>
      </c>
      <c r="E474" s="755" t="e">
        <f>IF($C$474=0,NA(),VLOOKUP($I$451&amp;$B$474,FLNFIX!$DC$4:$EF$103,4,0))</f>
        <v>#N/A</v>
      </c>
      <c r="F474" s="755" t="e">
        <f>IF($C$474=0,NA(),VLOOKUP($I$451&amp;$B$474,FLNFIX!$DC$4:$EF$103,3,0))</f>
        <v>#N/A</v>
      </c>
      <c r="G474" s="756" t="e">
        <f>IF($C$474=0,NA(),VLOOKUP($I$451&amp;$B$474,FLNFIX!$DC$4:$EF$103,5,0))</f>
        <v>#N/A</v>
      </c>
      <c r="H474" s="757"/>
      <c r="I474" s="757"/>
      <c r="J474" s="758"/>
      <c r="K474" s="677"/>
    </row>
    <row r="475" ht="20.1" customHeight="1" spans="1:11">
      <c r="A475" s="675"/>
      <c r="B475" s="755">
        <f t="shared" si="8"/>
        <v>21</v>
      </c>
      <c r="C475" s="755">
        <f>IFERROR(VLOOKUP(B475,DATEWISE!$A$3:$BY$27,2,0),0)</f>
        <v>0</v>
      </c>
      <c r="D475" s="755" t="e">
        <f>IF($C$475=0,NA(),VLOOKUP($I$451&amp;$B$475,FLNFIX!$DH$4:$EF$103,2,0))</f>
        <v>#N/A</v>
      </c>
      <c r="E475" s="755" t="e">
        <f>IF($C$475=0,NA(),VLOOKUP($I$451&amp;$B$475,FLNFIX!$DH$4:$EF$103,4,0))</f>
        <v>#N/A</v>
      </c>
      <c r="F475" s="755" t="e">
        <f>IF($C$475=0,NA(),VLOOKUP($I$451&amp;$B$475,FLNFIX!$DH$4:$EF$103,3,0))</f>
        <v>#N/A</v>
      </c>
      <c r="G475" s="756" t="e">
        <f>IF($C$475=0,NA(),VLOOKUP($I$451&amp;$B$475,FLNFIX!$DH$4:$EF$103,5,0))</f>
        <v>#N/A</v>
      </c>
      <c r="H475" s="757"/>
      <c r="I475" s="757"/>
      <c r="J475" s="758"/>
      <c r="K475" s="677"/>
    </row>
    <row r="476" ht="5.1" customHeight="1" spans="1:11">
      <c r="A476" s="675"/>
      <c r="B476" s="759"/>
      <c r="C476" s="759"/>
      <c r="D476" s="760"/>
      <c r="E476" s="760"/>
      <c r="F476" s="760"/>
      <c r="G476" s="761"/>
      <c r="H476" s="761"/>
      <c r="I476" s="761"/>
      <c r="J476" s="761"/>
      <c r="K476" s="677"/>
    </row>
    <row r="477" s="667" customFormat="1" ht="24.95" customHeight="1" spans="1:11">
      <c r="A477" s="711"/>
      <c r="B477" s="762" t="s">
        <v>431</v>
      </c>
      <c r="C477" s="763"/>
      <c r="D477" s="763"/>
      <c r="E477" s="763"/>
      <c r="F477" s="763"/>
      <c r="G477" s="763"/>
      <c r="H477" s="763"/>
      <c r="I477" s="763"/>
      <c r="J477" s="764"/>
      <c r="K477" s="713"/>
    </row>
    <row r="478" spans="1:11">
      <c r="A478" s="675"/>
      <c r="B478" s="765"/>
      <c r="C478" s="686"/>
      <c r="D478" s="686"/>
      <c r="E478" s="686"/>
      <c r="F478" s="686"/>
      <c r="G478" s="686"/>
      <c r="H478" s="686"/>
      <c r="I478" s="686"/>
      <c r="J478" s="766"/>
      <c r="K478" s="677"/>
    </row>
    <row r="479" spans="1:11">
      <c r="A479" s="675"/>
      <c r="B479" s="765"/>
      <c r="C479" s="686"/>
      <c r="D479" s="686"/>
      <c r="E479" s="686"/>
      <c r="F479" s="686"/>
      <c r="G479" s="686"/>
      <c r="H479" s="686"/>
      <c r="I479" s="686"/>
      <c r="J479" s="766"/>
      <c r="K479" s="677"/>
    </row>
    <row r="480" spans="1:11">
      <c r="A480" s="675"/>
      <c r="B480" s="765"/>
      <c r="C480" s="686"/>
      <c r="D480" s="686"/>
      <c r="E480" s="686"/>
      <c r="F480" s="686"/>
      <c r="G480" s="686"/>
      <c r="H480" s="686"/>
      <c r="I480" s="686"/>
      <c r="J480" s="766"/>
      <c r="K480" s="677"/>
    </row>
    <row r="481" spans="1:11">
      <c r="A481" s="675"/>
      <c r="B481" s="765"/>
      <c r="C481" s="686"/>
      <c r="D481" s="686"/>
      <c r="E481" s="686"/>
      <c r="F481" s="686"/>
      <c r="G481" s="686"/>
      <c r="H481" s="686"/>
      <c r="I481" s="686"/>
      <c r="J481" s="766"/>
      <c r="K481" s="677"/>
    </row>
    <row r="482" spans="1:11">
      <c r="A482" s="675"/>
      <c r="B482" s="765"/>
      <c r="C482" s="686"/>
      <c r="D482" s="686"/>
      <c r="E482" s="686"/>
      <c r="F482" s="686"/>
      <c r="G482" s="686"/>
      <c r="H482" s="686"/>
      <c r="I482" s="686"/>
      <c r="J482" s="766"/>
      <c r="K482" s="677"/>
    </row>
    <row r="483" spans="1:11">
      <c r="A483" s="675"/>
      <c r="B483" s="765"/>
      <c r="C483" s="686"/>
      <c r="D483" s="686"/>
      <c r="E483" s="686"/>
      <c r="F483" s="686"/>
      <c r="G483" s="686"/>
      <c r="H483" s="686"/>
      <c r="I483" s="686"/>
      <c r="J483" s="766"/>
      <c r="K483" s="677"/>
    </row>
    <row r="484" spans="1:11">
      <c r="A484" s="675"/>
      <c r="B484" s="765"/>
      <c r="C484" s="686"/>
      <c r="D484" s="686"/>
      <c r="E484" s="686"/>
      <c r="F484" s="686"/>
      <c r="G484" s="686"/>
      <c r="H484" s="686"/>
      <c r="I484" s="686"/>
      <c r="J484" s="766"/>
      <c r="K484" s="677"/>
    </row>
    <row r="485" spans="1:11">
      <c r="A485" s="675"/>
      <c r="B485" s="765"/>
      <c r="C485" s="686"/>
      <c r="D485" s="686"/>
      <c r="E485" s="686"/>
      <c r="F485" s="686"/>
      <c r="G485" s="686"/>
      <c r="H485" s="686"/>
      <c r="I485" s="686"/>
      <c r="J485" s="766"/>
      <c r="K485" s="677"/>
    </row>
    <row r="486" spans="1:11">
      <c r="A486" s="675"/>
      <c r="B486" s="765"/>
      <c r="C486" s="686"/>
      <c r="D486" s="686"/>
      <c r="E486" s="686"/>
      <c r="F486" s="686"/>
      <c r="G486" s="686"/>
      <c r="H486" s="686"/>
      <c r="I486" s="686"/>
      <c r="J486" s="766"/>
      <c r="K486" s="677"/>
    </row>
    <row r="487" spans="1:11">
      <c r="A487" s="675"/>
      <c r="B487" s="767"/>
      <c r="C487" s="768"/>
      <c r="D487" s="768"/>
      <c r="E487" s="768"/>
      <c r="F487" s="768"/>
      <c r="G487" s="768"/>
      <c r="H487" s="768"/>
      <c r="I487" s="768"/>
      <c r="J487" s="769"/>
      <c r="K487" s="677"/>
    </row>
    <row r="488" ht="5.1" customHeight="1" spans="1:11">
      <c r="A488" s="675"/>
      <c r="B488" s="686"/>
      <c r="C488" s="686"/>
      <c r="D488" s="686"/>
      <c r="E488" s="686"/>
      <c r="F488" s="686"/>
      <c r="G488" s="686"/>
      <c r="H488" s="686"/>
      <c r="I488" s="686"/>
      <c r="J488" s="686"/>
      <c r="K488" s="677"/>
    </row>
    <row r="489" spans="1:11">
      <c r="A489" s="675"/>
      <c r="B489" s="770" t="s">
        <v>432</v>
      </c>
      <c r="C489" s="770"/>
      <c r="D489" s="770"/>
      <c r="E489" s="770"/>
      <c r="F489" s="770"/>
      <c r="G489" s="770"/>
      <c r="H489" s="770"/>
      <c r="I489" s="770"/>
      <c r="J489" s="770"/>
      <c r="K489" s="677"/>
    </row>
    <row r="490" spans="1:11">
      <c r="A490" s="675"/>
      <c r="B490" s="771"/>
      <c r="C490" s="771"/>
      <c r="D490" s="771"/>
      <c r="E490" s="771"/>
      <c r="F490" s="771"/>
      <c r="G490" s="771"/>
      <c r="H490" s="771"/>
      <c r="I490" s="771"/>
      <c r="J490" s="771"/>
      <c r="K490" s="677"/>
    </row>
    <row r="491" spans="1:11">
      <c r="A491" s="675"/>
      <c r="B491" s="771"/>
      <c r="C491" s="771"/>
      <c r="D491" s="771"/>
      <c r="E491" s="771"/>
      <c r="F491" s="771"/>
      <c r="G491" s="771"/>
      <c r="H491" s="771"/>
      <c r="I491" s="771"/>
      <c r="J491" s="771"/>
      <c r="K491" s="677"/>
    </row>
    <row r="492" spans="1:11">
      <c r="A492" s="675"/>
      <c r="B492" s="771"/>
      <c r="C492" s="771"/>
      <c r="D492" s="771"/>
      <c r="E492" s="771"/>
      <c r="F492" s="771"/>
      <c r="G492" s="771"/>
      <c r="H492" s="771"/>
      <c r="I492" s="771"/>
      <c r="J492" s="771"/>
      <c r="K492" s="677"/>
    </row>
    <row r="493" spans="1:11">
      <c r="A493" s="675"/>
      <c r="B493" s="686"/>
      <c r="C493" s="686"/>
      <c r="D493" s="686"/>
      <c r="E493" s="686"/>
      <c r="F493" s="686"/>
      <c r="G493" s="686"/>
      <c r="H493" s="686"/>
      <c r="I493" s="686"/>
      <c r="J493" s="686"/>
      <c r="K493" s="677"/>
    </row>
    <row r="494" spans="1:11">
      <c r="A494" s="675"/>
      <c r="B494" s="686"/>
      <c r="C494" s="729" t="s">
        <v>433</v>
      </c>
      <c r="D494" s="729"/>
      <c r="E494" s="686"/>
      <c r="F494" s="686"/>
      <c r="G494" s="729" t="s">
        <v>434</v>
      </c>
      <c r="H494" s="729"/>
      <c r="I494" s="729"/>
      <c r="J494" s="729"/>
      <c r="K494" s="677"/>
    </row>
    <row r="495" ht="16.35" spans="1:11">
      <c r="A495" s="725"/>
      <c r="B495" s="726"/>
      <c r="C495" s="732" t="str">
        <f>"("&amp;PROPER(ENTRY!$D$19)&amp;")"</f>
        <v>(Indrajeet)</v>
      </c>
      <c r="D495" s="732"/>
      <c r="E495" s="726"/>
      <c r="F495" s="726"/>
      <c r="G495" s="732" t="str">
        <f>"("&amp;PROPER(ENTRY!$D$12)&amp;")"</f>
        <v>(Shambhu Dayal Meena)</v>
      </c>
      <c r="H495" s="732"/>
      <c r="I495" s="732"/>
      <c r="J495" s="732"/>
      <c r="K495" s="728"/>
    </row>
    <row r="496" ht="24.6" spans="1:11">
      <c r="B496" s="734"/>
      <c r="C496" s="734"/>
      <c r="D496" s="669" t="str">
        <f>ENTRY!$D$3</f>
        <v>MUNICIPAL CORPORATION OF DELHI</v>
      </c>
      <c r="E496" s="669"/>
      <c r="F496" s="669"/>
      <c r="G496" s="669"/>
      <c r="H496" s="734"/>
      <c r="I496" s="669"/>
      <c r="J496" s="669"/>
    </row>
    <row r="497" ht="20.4" spans="1:11">
      <c r="B497" s="735"/>
      <c r="C497" s="735"/>
      <c r="D497" s="670" t="str">
        <f>ENTRY!$D$4</f>
        <v>EDUCATION DEPARTMENT</v>
      </c>
      <c r="E497" s="670"/>
      <c r="F497" s="670"/>
      <c r="G497" s="670"/>
      <c r="H497" s="735"/>
      <c r="I497" s="669"/>
      <c r="J497" s="669"/>
    </row>
    <row r="498" ht="22.8" spans="1:11">
      <c r="B498" s="736"/>
      <c r="C498" s="736"/>
      <c r="D498" s="664" t="s">
        <v>417</v>
      </c>
      <c r="E498" s="664"/>
      <c r="F498" s="664"/>
      <c r="G498" s="664"/>
      <c r="H498" s="736"/>
      <c r="I498" s="669"/>
      <c r="J498" s="669"/>
    </row>
    <row r="499" ht="22.8" spans="1:11">
      <c r="B499" s="736"/>
      <c r="C499" s="736"/>
      <c r="D499" s="664" t="s">
        <v>418</v>
      </c>
      <c r="E499" s="664"/>
      <c r="F499" s="664"/>
      <c r="G499" s="664"/>
      <c r="H499" s="736"/>
      <c r="I499" s="669"/>
      <c r="J499" s="669"/>
    </row>
    <row r="500" ht="24.95" customHeight="1" spans="1:11">
      <c r="B500" s="735"/>
      <c r="C500" s="735"/>
      <c r="D500" s="737" t="str">
        <f>"SESSION : "&amp;ENTRY!$D$11</f>
        <v>SESSION : 2026-27</v>
      </c>
      <c r="E500" s="737"/>
      <c r="F500" s="737"/>
      <c r="G500" s="737"/>
      <c r="H500" s="735"/>
      <c r="I500" s="738"/>
      <c r="J500" s="738"/>
    </row>
    <row r="501" ht="3.75" customHeight="1" spans="1:11">
      <c r="A501" s="672"/>
      <c r="B501" s="739"/>
      <c r="C501" s="739"/>
      <c r="D501" s="739"/>
      <c r="E501" s="739"/>
      <c r="F501" s="739"/>
      <c r="G501" s="739"/>
      <c r="H501" s="739"/>
      <c r="I501" s="739"/>
      <c r="J501" s="739"/>
      <c r="K501" s="674"/>
    </row>
    <row r="502" ht="21.95" customHeight="1" spans="1:11">
      <c r="A502" s="675"/>
      <c r="B502" s="676" t="s">
        <v>419</v>
      </c>
      <c r="C502" s="676"/>
      <c r="D502" s="676" t="str">
        <f>ENTRY!$D$6</f>
        <v>MCP NITHARI NO 1 BOYS</v>
      </c>
      <c r="E502" s="676"/>
      <c r="F502" s="676"/>
      <c r="G502" s="676"/>
      <c r="H502" s="676"/>
      <c r="I502" s="676"/>
      <c r="J502" s="676"/>
      <c r="K502" s="677"/>
    </row>
    <row r="503" ht="21.95" customHeight="1" spans="1:11">
      <c r="A503" s="675"/>
      <c r="B503" s="676" t="s">
        <v>420</v>
      </c>
      <c r="C503" s="676"/>
      <c r="D503" s="740" t="str">
        <f>IFERROR(VLOOKUP($I$506,STUDENT!$A$2:$BP$101,5,0),"")</f>
        <v>PIYUSH KUMAR</v>
      </c>
      <c r="E503" s="740"/>
      <c r="F503" s="740"/>
      <c r="G503" s="740"/>
      <c r="H503" s="740"/>
      <c r="I503" s="740"/>
      <c r="J503" s="740"/>
      <c r="K503" s="677"/>
    </row>
    <row r="504" ht="21.95" customHeight="1" spans="1:11">
      <c r="A504" s="675"/>
      <c r="B504" s="676" t="s">
        <v>421</v>
      </c>
      <c r="C504" s="676"/>
      <c r="D504" s="740" t="str">
        <f>IFERROR(VLOOKUP($I$506,STUDENT!$A$2:$BP$101,8,0),"")</f>
        <v>MUNNA LAL</v>
      </c>
      <c r="E504" s="740"/>
      <c r="F504" s="740"/>
      <c r="G504" s="740"/>
      <c r="H504" s="740"/>
      <c r="I504" s="740"/>
      <c r="J504" s="740"/>
      <c r="K504" s="677"/>
    </row>
    <row r="505" ht="21.95" customHeight="1" spans="1:11">
      <c r="A505" s="675"/>
      <c r="B505" s="676" t="s">
        <v>422</v>
      </c>
      <c r="C505" s="676"/>
      <c r="D505" s="740">
        <f>IFERROR(VLOOKUP($I$506,STUDENT!$A$2:$BP$101,6,0),"")</f>
        <v>14774</v>
      </c>
      <c r="E505" s="740"/>
      <c r="F505" s="740"/>
      <c r="G505" s="740"/>
      <c r="H505" s="740"/>
      <c r="I505" s="740"/>
      <c r="J505" s="740"/>
      <c r="K505" s="677"/>
    </row>
    <row r="506" ht="21.95" customHeight="1" spans="1:11">
      <c r="A506" s="675"/>
      <c r="B506" s="676" t="s">
        <v>423</v>
      </c>
      <c r="C506" s="676"/>
      <c r="D506" s="741" t="str">
        <f>IFERROR(VLOOKUP($I$506,STUDENT!$A$2:$BP$101,59,0),"")</f>
        <v/>
      </c>
      <c r="E506" s="742" t="s">
        <v>424</v>
      </c>
      <c r="F506" s="704" t="str">
        <f>IFERROR(VLOOKUP($I$506,STUDENT!$A$2:$BP$101,2,0),"")</f>
        <v>III-A</v>
      </c>
      <c r="G506" s="742" t="s">
        <v>425</v>
      </c>
      <c r="H506" s="743"/>
      <c r="I506" s="733">
        <f>I451+1</f>
        <v>10</v>
      </c>
      <c r="J506" s="683"/>
      <c r="K506" s="677"/>
    </row>
    <row r="507" ht="5.1" customHeight="1" spans="1:11">
      <c r="A507" s="675"/>
      <c r="B507" s="745"/>
      <c r="C507" s="745"/>
      <c r="D507" s="746"/>
      <c r="E507" s="747"/>
      <c r="F507" s="748"/>
      <c r="G507" s="747"/>
      <c r="H507" s="686"/>
      <c r="I507" s="686"/>
      <c r="J507" s="686"/>
      <c r="K507" s="677"/>
    </row>
    <row r="508" s="664" customFormat="1" ht="32.1" customHeight="1" spans="1:11">
      <c r="A508" s="688"/>
      <c r="B508" s="749" t="s">
        <v>426</v>
      </c>
      <c r="C508" s="750"/>
      <c r="D508" s="750"/>
      <c r="E508" s="750"/>
      <c r="F508" s="750"/>
      <c r="G508" s="750"/>
      <c r="H508" s="750"/>
      <c r="I508" s="750"/>
      <c r="J508" s="751"/>
      <c r="K508" s="690"/>
    </row>
    <row r="509" ht="51.6" spans="1:11">
      <c r="A509" s="675"/>
      <c r="B509" s="752">
        <v>21</v>
      </c>
      <c r="C509" s="753" t="s">
        <v>427</v>
      </c>
      <c r="D509" s="754" t="s">
        <v>428</v>
      </c>
      <c r="E509" s="754" t="s">
        <v>429</v>
      </c>
      <c r="F509" s="754" t="s">
        <v>430</v>
      </c>
      <c r="G509" s="753" t="s">
        <v>390</v>
      </c>
      <c r="H509" s="714"/>
      <c r="I509" s="714"/>
      <c r="J509" s="714"/>
      <c r="K509" s="677"/>
    </row>
    <row r="510" ht="20.1" customHeight="1" spans="1:11">
      <c r="A510" s="675"/>
      <c r="B510" s="755">
        <v>1</v>
      </c>
      <c r="C510" s="755" t="str">
        <f>IFERROR(VLOOKUP(B510,DATEWISE!$A$3:$BY$27,2,0),0)</f>
        <v>30.04.2026</v>
      </c>
      <c r="D510" s="755">
        <f>IF($C$510=0,NA(),VLOOKUP($I$506&amp;$B$510,FLNFIX!$L$4:$EF$103,2,0))</f>
        <v>2</v>
      </c>
      <c r="E510" s="755">
        <f>IF($C$510=0,NA(),VLOOKUP($I$506&amp;$B$510,FLNFIX!$L$4:$EF$103,4,0))</f>
        <v>3</v>
      </c>
      <c r="F510" s="755">
        <f>IF($C$510=0,NA(),VLOOKUP($I$506&amp;$B$510,FLNFIX!$L$4:$EF$103,3,0))</f>
        <v>2</v>
      </c>
      <c r="G510" s="756">
        <f>IF($C$510=0,NA(),VLOOKUP($I$506&amp;$B$510,FLNFIX!$L$4:$EF$103,5,0))</f>
        <v>0</v>
      </c>
      <c r="H510" s="757"/>
      <c r="I510" s="757"/>
      <c r="J510" s="758"/>
      <c r="K510" s="677"/>
    </row>
    <row r="511" ht="20.1" customHeight="1" spans="1:11">
      <c r="A511" s="675"/>
      <c r="B511" s="755">
        <f t="shared" ref="B511:B530" si="9">IF(B510=0,0,IF(B510&lt;$B$509,B510+1,""))</f>
        <v>2</v>
      </c>
      <c r="C511" s="755" t="str">
        <f>IFERROR(VLOOKUP(B511,DATEWISE!$A$3:$BY$27,2,0),0)</f>
        <v>08.05.2026</v>
      </c>
      <c r="D511" s="755">
        <f>IF($C$511=0,NA(),VLOOKUP($I$506&amp;$B$511,FLNFIX!$Q$4:$EF$103,2,0))</f>
        <v>2</v>
      </c>
      <c r="E511" s="755">
        <f>IF($C$511=0,NA(),VLOOKUP($I$506&amp;$B$511,FLNFIX!$Q$4:$EF$103,4,0))</f>
        <v>3</v>
      </c>
      <c r="F511" s="755">
        <f>IF($C$511=0,NA(),VLOOKUP($I$506&amp;$B$511,FLNFIX!$Q$4:$EF$103,3,0))</f>
        <v>2</v>
      </c>
      <c r="G511" s="756">
        <f>IF($C$511=0,NA(),VLOOKUP($I$506&amp;$B$511,FLNFIX!$Q$4:$EF$103,5,0))</f>
        <v>0</v>
      </c>
      <c r="H511" s="757"/>
      <c r="I511" s="757"/>
      <c r="J511" s="758"/>
      <c r="K511" s="677"/>
    </row>
    <row r="512" ht="20.1" customHeight="1" spans="1:11">
      <c r="A512" s="675"/>
      <c r="B512" s="755">
        <f t="shared" si="9"/>
        <v>3</v>
      </c>
      <c r="C512" s="755" t="str">
        <f>IFERROR(VLOOKUP(B512,DATEWISE!$A$3:$BY$27,2,0),0)</f>
        <v>15.07.2026</v>
      </c>
      <c r="D512" s="755">
        <f>IF($C$512=0,NA(),VLOOKUP($I$506&amp;$B$512,FLNFIX!$V$4:$EF$103,2,0))</f>
        <v>2</v>
      </c>
      <c r="E512" s="755">
        <f>IF($C$512=0,NA(),VLOOKUP($I$506&amp;$B$512,FLNFIX!$V$4:$EF$103,4,0))</f>
        <v>3</v>
      </c>
      <c r="F512" s="755">
        <f>IF($C$512=0,NA(),VLOOKUP($I$506&amp;$B$512,FLNFIX!$V$4:$EF$103,3,0))</f>
        <v>2</v>
      </c>
      <c r="G512" s="756">
        <f>IF($C$512=0,NA(),VLOOKUP($I$506&amp;$B$512,FLNFIX!$V$4:$EF$103,5,0))</f>
        <v>0</v>
      </c>
      <c r="H512" s="757"/>
      <c r="I512" s="757"/>
      <c r="J512" s="758"/>
      <c r="K512" s="677"/>
    </row>
    <row r="513" ht="20.1" customHeight="1" spans="1:11">
      <c r="A513" s="675"/>
      <c r="B513" s="755">
        <f t="shared" si="9"/>
        <v>4</v>
      </c>
      <c r="C513" s="755" t="str">
        <f>IFERROR(VLOOKUP(B513,DATEWISE!$A$3:$BY$27,2,0),0)</f>
        <v>31.07.2026</v>
      </c>
      <c r="D513" s="755">
        <f>IF($C$513=0,NA(),VLOOKUP($I$506&amp;$B$513,FLNFIX!$AA$4:$EF$103,2,0))</f>
        <v>2</v>
      </c>
      <c r="E513" s="755">
        <f>IF($C$513=0,NA(),VLOOKUP($I$506&amp;$B$513,FLNFIX!$AA$4:$EF$103,4,0))</f>
        <v>3</v>
      </c>
      <c r="F513" s="755">
        <f>IF($C$513=0,NA(),VLOOKUP($I$506&amp;$B$513,FLNFIX!$AA$4:$EF$103,3,0))</f>
        <v>2</v>
      </c>
      <c r="G513" s="756">
        <f>IF($C$513=0,NA(),VLOOKUP($I$506&amp;$B$513,FLNFIX!$AA$4:$EF$103,5,0))</f>
        <v>0</v>
      </c>
      <c r="H513" s="757"/>
      <c r="I513" s="757"/>
      <c r="J513" s="758"/>
      <c r="K513" s="677"/>
    </row>
    <row r="514" ht="20.1" customHeight="1" spans="1:11">
      <c r="A514" s="675"/>
      <c r="B514" s="755">
        <f t="shared" si="9"/>
        <v>5</v>
      </c>
      <c r="C514" s="755" t="str">
        <f>IFERROR(VLOOKUP(B514,DATEWISE!$A$3:$BY$27,2,0),0)</f>
        <v>17.08.2026</v>
      </c>
      <c r="D514" s="755">
        <f>IF($C$514=0,NA(),VLOOKUP($I$506&amp;$B$514,FLNFIX!$AF$4:$EF$103,2,0))</f>
        <v>2</v>
      </c>
      <c r="E514" s="755">
        <f>IF($C$514=0,NA(),VLOOKUP($I$506&amp;$B$514,FLNFIX!$AF$4:$EF$103,4,0))</f>
        <v>3</v>
      </c>
      <c r="F514" s="755">
        <f>IF($C$514=0,NA(),VLOOKUP($I$506&amp;$B$514,FLNFIX!$AF$4:$EF$103,3,0))</f>
        <v>2</v>
      </c>
      <c r="G514" s="756">
        <f>IF($C$514=0,NA(),VLOOKUP($I$506&amp;$B$514,FLNFIX!$AF$4:$EF$103,5,0))</f>
        <v>0</v>
      </c>
      <c r="H514" s="757"/>
      <c r="I514" s="757"/>
      <c r="J514" s="758"/>
      <c r="K514" s="677"/>
    </row>
    <row r="515" ht="20.1" customHeight="1" spans="1:11">
      <c r="A515" s="675"/>
      <c r="B515" s="755">
        <f t="shared" si="9"/>
        <v>6</v>
      </c>
      <c r="C515" s="755" t="str">
        <f>IFERROR(VLOOKUP(B515,DATEWISE!$A$3:$BY$27,2,0),0)</f>
        <v>31.08.2026</v>
      </c>
      <c r="D515" s="755">
        <f>IF($C$515=0,NA(),VLOOKUP($I$506&amp;$B$515,FLNFIX!$AK$4:$EF$103,2,0))</f>
        <v>3</v>
      </c>
      <c r="E515" s="755">
        <f>IF($C$515=0,NA(),VLOOKUP($I$506&amp;$B$515,FLNFIX!$AK$4:$EF$103,4,0))</f>
        <v>3</v>
      </c>
      <c r="F515" s="755">
        <f>IF($C$515=0,NA(),VLOOKUP($I$506&amp;$B$515,FLNFIX!$AK$4:$EF$103,3,0))</f>
        <v>2</v>
      </c>
      <c r="G515" s="756">
        <f>IF($C$515=0,NA(),VLOOKUP($I$506&amp;$B$515,FLNFIX!$AK$4:$EF$103,5,0))</f>
        <v>0</v>
      </c>
      <c r="H515" s="757"/>
      <c r="I515" s="757"/>
      <c r="J515" s="758"/>
      <c r="K515" s="677"/>
    </row>
    <row r="516" ht="20.1" customHeight="1" spans="1:11">
      <c r="A516" s="675"/>
      <c r="B516" s="755">
        <f t="shared" si="9"/>
        <v>7</v>
      </c>
      <c r="C516" s="755">
        <f>IFERROR(VLOOKUP(B516,DATEWISE!$A$3:$BY$27,2,0),0)</f>
        <v>0</v>
      </c>
      <c r="D516" s="755" t="e">
        <f>IF($C$516=0,NA(),VLOOKUP($I$506&amp;$B$516,FLNFIX!$AP$4:$EF$103,2,0))</f>
        <v>#N/A</v>
      </c>
      <c r="E516" s="755" t="e">
        <f>IF($C$516=0,NA(),VLOOKUP($I$506&amp;$B$516,FLNFIX!$AP$4:$EF$103,4,0))</f>
        <v>#N/A</v>
      </c>
      <c r="F516" s="755" t="e">
        <f>IF($C$516=0,NA(),VLOOKUP($I$506&amp;$B$516,FLNFIX!$AP$4:$EF$103,3,0))</f>
        <v>#N/A</v>
      </c>
      <c r="G516" s="756" t="e">
        <f>IF($C$516=0,NA(),VLOOKUP($I$506&amp;$B$516,FLNFIX!$AP$4:$EF$103,5,0))</f>
        <v>#N/A</v>
      </c>
      <c r="H516" s="757"/>
      <c r="I516" s="757"/>
      <c r="J516" s="758"/>
      <c r="K516" s="677"/>
    </row>
    <row r="517" ht="20.1" customHeight="1" spans="1:11">
      <c r="A517" s="675"/>
      <c r="B517" s="755">
        <f t="shared" si="9"/>
        <v>8</v>
      </c>
      <c r="C517" s="755">
        <f>IFERROR(VLOOKUP(B517,DATEWISE!$A$3:$BY$27,2,0),0)</f>
        <v>0</v>
      </c>
      <c r="D517" s="755" t="e">
        <f>IF($C$517=0,NA(),VLOOKUP($I$506&amp;$B$517,FLNFIX!$AU$4:$EF$103,2,0))</f>
        <v>#N/A</v>
      </c>
      <c r="E517" s="755" t="e">
        <f>IF($C$517=0,NA(),VLOOKUP($I$506&amp;$B$517,FLNFIX!$AU$4:$EF$103,4,0))</f>
        <v>#N/A</v>
      </c>
      <c r="F517" s="755" t="e">
        <f>IF($C$517=0,NA(),VLOOKUP($I$506&amp;$B$517,FLNFIX!$AU$4:$EF$103,3,0))</f>
        <v>#N/A</v>
      </c>
      <c r="G517" s="756" t="e">
        <f>IF($C$517=0,NA(),VLOOKUP($I$506&amp;$B$517,FLNFIX!$AU$4:$EF$103,5,0))</f>
        <v>#N/A</v>
      </c>
      <c r="H517" s="757"/>
      <c r="I517" s="757"/>
      <c r="J517" s="758"/>
      <c r="K517" s="677"/>
    </row>
    <row r="518" ht="20.1" customHeight="1" spans="1:11">
      <c r="A518" s="675"/>
      <c r="B518" s="755">
        <f t="shared" si="9"/>
        <v>9</v>
      </c>
      <c r="C518" s="755">
        <f>IFERROR(VLOOKUP(B518,DATEWISE!$A$3:$BY$27,2,0),0)</f>
        <v>0</v>
      </c>
      <c r="D518" s="755" t="e">
        <f>IF($C$518=0,NA(),VLOOKUP($I$506&amp;$B$518,FLNFIX!$AZ$4:$EF$103,2,0))</f>
        <v>#N/A</v>
      </c>
      <c r="E518" s="755" t="e">
        <f>IF($C$518=0,NA(),VLOOKUP($I$506&amp;$B$518,FLNFIX!$AZ$4:$EF$103,4,0))</f>
        <v>#N/A</v>
      </c>
      <c r="F518" s="755" t="e">
        <f>IF($C$518=0,NA(),VLOOKUP($I$506&amp;$B$518,FLNFIX!$AZ$4:$EF$103,3,0))</f>
        <v>#N/A</v>
      </c>
      <c r="G518" s="756" t="e">
        <f>IF($C$518=0,NA(),VLOOKUP($I$506&amp;$B$518,FLNFIX!$AZ$4:$EF$103,5,0))</f>
        <v>#N/A</v>
      </c>
      <c r="H518" s="757"/>
      <c r="I518" s="757"/>
      <c r="J518" s="758"/>
      <c r="K518" s="677"/>
    </row>
    <row r="519" ht="20.1" customHeight="1" spans="1:11">
      <c r="A519" s="675"/>
      <c r="B519" s="755">
        <f t="shared" si="9"/>
        <v>10</v>
      </c>
      <c r="C519" s="755">
        <f>IFERROR(VLOOKUP(B519,DATEWISE!$A$3:$BY$27,2,0),0)</f>
        <v>0</v>
      </c>
      <c r="D519" s="755" t="e">
        <f>IF($C$519=0,NA(),VLOOKUP($I$506&amp;$B$519,FLNFIX!$BE$4:$EF$103,2,0))</f>
        <v>#N/A</v>
      </c>
      <c r="E519" s="755" t="e">
        <f>IF($C$519=0,NA(),VLOOKUP($I$506&amp;$B$519,FLNFIX!$BE$4:$EF$103,4,0))</f>
        <v>#N/A</v>
      </c>
      <c r="F519" s="755" t="e">
        <f>IF($C$519=0,NA(),VLOOKUP($I$506&amp;$B$519,FLNFIX!$BE$4:$EF$103,3,0))</f>
        <v>#N/A</v>
      </c>
      <c r="G519" s="756" t="e">
        <f>IF($C$519=0,NA(),VLOOKUP($I$506&amp;$B$519,FLNFIX!$BE$4:$EF$103,5,0))</f>
        <v>#N/A</v>
      </c>
      <c r="H519" s="757"/>
      <c r="I519" s="757"/>
      <c r="J519" s="758"/>
      <c r="K519" s="677"/>
    </row>
    <row r="520" ht="20.1" customHeight="1" spans="1:11">
      <c r="A520" s="675"/>
      <c r="B520" s="755">
        <f t="shared" si="9"/>
        <v>11</v>
      </c>
      <c r="C520" s="755">
        <f>IFERROR(VLOOKUP(B520,DATEWISE!$A$3:$BY$27,2,0),0)</f>
        <v>0</v>
      </c>
      <c r="D520" s="755" t="e">
        <f>IF($C$520=0,NA(),VLOOKUP($I$506&amp;$B$520,FLNFIX!$BJ$4:$EF$103,2,0))</f>
        <v>#N/A</v>
      </c>
      <c r="E520" s="755" t="e">
        <f>IF($C$520=0,NA(),VLOOKUP($I$506&amp;$B$520,FLNFIX!$BJ$4:$EF$103,4,0))</f>
        <v>#N/A</v>
      </c>
      <c r="F520" s="755" t="e">
        <f>IF($C$520=0,NA(),VLOOKUP($I$506&amp;$B$520,FLNFIX!$BJ$4:$EF$103,3,0))</f>
        <v>#N/A</v>
      </c>
      <c r="G520" s="756" t="e">
        <f>IF($C$520=0,NA(),VLOOKUP($I$506&amp;$B$520,FLNFIX!$BJ$4:$EF$103,5,0))</f>
        <v>#N/A</v>
      </c>
      <c r="H520" s="757"/>
      <c r="I520" s="757"/>
      <c r="J520" s="758"/>
      <c r="K520" s="677"/>
    </row>
    <row r="521" ht="20.1" customHeight="1" spans="1:11">
      <c r="A521" s="675"/>
      <c r="B521" s="755">
        <f t="shared" si="9"/>
        <v>12</v>
      </c>
      <c r="C521" s="755">
        <f>IFERROR(VLOOKUP(B521,DATEWISE!$A$3:$BY$27,2,0),0)</f>
        <v>0</v>
      </c>
      <c r="D521" s="755" t="e">
        <f>IF($C$521=0,NA(),VLOOKUP($I$506&amp;$B$521,FLNFIX!$BO$4:$EF$103,2,0))</f>
        <v>#N/A</v>
      </c>
      <c r="E521" s="755" t="e">
        <f>IF($C$521=0,NA(),VLOOKUP($I$506&amp;$B$521,FLNFIX!$BO$4:$EF$103,4,0))</f>
        <v>#N/A</v>
      </c>
      <c r="F521" s="755" t="e">
        <f>IF($C$521=0,NA(),VLOOKUP($I$506&amp;$B$521,FLNFIX!$BO$4:$EF$103,3,0))</f>
        <v>#N/A</v>
      </c>
      <c r="G521" s="756" t="e">
        <f>IF($C$521=0,NA(),VLOOKUP($I$506&amp;$B$521,FLNFIX!$BO$4:$EF$103,5,0))</f>
        <v>#N/A</v>
      </c>
      <c r="H521" s="757"/>
      <c r="I521" s="757"/>
      <c r="J521" s="758"/>
      <c r="K521" s="677"/>
    </row>
    <row r="522" ht="20.1" customHeight="1" spans="1:11">
      <c r="A522" s="675"/>
      <c r="B522" s="755">
        <f t="shared" si="9"/>
        <v>13</v>
      </c>
      <c r="C522" s="755">
        <f>IFERROR(VLOOKUP(B522,DATEWISE!$A$3:$BY$27,2,0),0)</f>
        <v>0</v>
      </c>
      <c r="D522" s="755" t="e">
        <f>IF($C$522=0,NA(),VLOOKUP($I$506&amp;$B$522,FLNFIX!$BT$4:$EF$103,2,0))</f>
        <v>#N/A</v>
      </c>
      <c r="E522" s="755" t="e">
        <f>IF($C$522=0,NA(),VLOOKUP($I$506&amp;$B$522,FLNFIX!$BT$4:$EF$103,4,0))</f>
        <v>#N/A</v>
      </c>
      <c r="F522" s="755" t="e">
        <f>IF($C$522=0,NA(),VLOOKUP($I$506&amp;$B$522,FLNFIX!$BT$4:$EF$103,3,0))</f>
        <v>#N/A</v>
      </c>
      <c r="G522" s="756" t="e">
        <f>IF($C$522=0,NA(),VLOOKUP($I$506&amp;$B$522,FLNFIX!$BT$4:$EF$103,5,0))</f>
        <v>#N/A</v>
      </c>
      <c r="H522" s="757"/>
      <c r="I522" s="757"/>
      <c r="J522" s="758"/>
      <c r="K522" s="677"/>
    </row>
    <row r="523" ht="20.1" customHeight="1" spans="1:11">
      <c r="A523" s="675"/>
      <c r="B523" s="755">
        <f t="shared" si="9"/>
        <v>14</v>
      </c>
      <c r="C523" s="755">
        <f>IFERROR(VLOOKUP(B523,DATEWISE!$A$3:$BY$27,2,0),0)</f>
        <v>0</v>
      </c>
      <c r="D523" s="755" t="e">
        <f>IF($C$523=0,NA(),VLOOKUP($I$506&amp;$B$523,FLNFIX!$BY$4:$EF$103,2,0))</f>
        <v>#N/A</v>
      </c>
      <c r="E523" s="755" t="e">
        <f>IF($C$523=0,NA(),VLOOKUP($I$506&amp;$B$523,FLNFIX!$BY$4:$EF$103,4,0))</f>
        <v>#N/A</v>
      </c>
      <c r="F523" s="755" t="e">
        <f>IF($C$523=0,NA(),VLOOKUP($I$506&amp;$B$523,FLNFIX!$BY$4:$EF$103,3,0))</f>
        <v>#N/A</v>
      </c>
      <c r="G523" s="756" t="e">
        <f>IF($C$523=0,NA(),VLOOKUP($I$506&amp;$B$523,FLNFIX!$BY$4:$EF$103,5,0))</f>
        <v>#N/A</v>
      </c>
      <c r="H523" s="757"/>
      <c r="I523" s="757"/>
      <c r="J523" s="758"/>
      <c r="K523" s="677"/>
    </row>
    <row r="524" ht="20.1" customHeight="1" spans="1:11">
      <c r="A524" s="675"/>
      <c r="B524" s="755">
        <f t="shared" si="9"/>
        <v>15</v>
      </c>
      <c r="C524" s="755">
        <f>IFERROR(VLOOKUP(B524,DATEWISE!$A$3:$BY$27,2,0),0)</f>
        <v>0</v>
      </c>
      <c r="D524" s="755" t="e">
        <f>IF($C$524=0,NA(),VLOOKUP($I$506&amp;$B$524,FLNFIX!$CD$4:$EF$103,2,0))</f>
        <v>#N/A</v>
      </c>
      <c r="E524" s="755" t="e">
        <f>IF($C$524=0,NA(),VLOOKUP($I$506&amp;$B$524,FLNFIX!$CD$4:$EF$103,4,0))</f>
        <v>#N/A</v>
      </c>
      <c r="F524" s="755" t="e">
        <f>IF($C$524=0,NA(),VLOOKUP($I$506&amp;$B$524,FLNFIX!$CD$4:$EF$103,3,0))</f>
        <v>#N/A</v>
      </c>
      <c r="G524" s="756" t="e">
        <f>IF($C$524=0,NA(),VLOOKUP($I$506&amp;$B$524,FLNFIX!$CD$4:$EF$103,5,0))</f>
        <v>#N/A</v>
      </c>
      <c r="H524" s="757"/>
      <c r="I524" s="757"/>
      <c r="J524" s="758"/>
      <c r="K524" s="677"/>
    </row>
    <row r="525" ht="20.1" customHeight="1" spans="1:11">
      <c r="A525" s="675"/>
      <c r="B525" s="755">
        <f t="shared" si="9"/>
        <v>16</v>
      </c>
      <c r="C525" s="755">
        <f>IFERROR(VLOOKUP(B525,DATEWISE!$A$3:$BY$27,2,0),0)</f>
        <v>0</v>
      </c>
      <c r="D525" s="755" t="e">
        <f>IF($C$525=0,NA(),VLOOKUP($I$506&amp;$B$525,FLNFIX!$CI$4:$EF$103,2,0))</f>
        <v>#N/A</v>
      </c>
      <c r="E525" s="755" t="e">
        <f>IF($C$525=0,NA(),VLOOKUP($I$506&amp;$B$525,FLNFIX!$CI$4:$EF$103,4,0))</f>
        <v>#N/A</v>
      </c>
      <c r="F525" s="755" t="e">
        <f>IF($C$525=0,NA(),VLOOKUP($I$506&amp;$B$525,FLNFIX!$CI$4:$EF$103,3,0))</f>
        <v>#N/A</v>
      </c>
      <c r="G525" s="756" t="e">
        <f>IF($C$525=0,NA(),VLOOKUP($I$506&amp;$B$525,FLNFIX!$CI$4:$EF$103,5,0))</f>
        <v>#N/A</v>
      </c>
      <c r="H525" s="757"/>
      <c r="I525" s="757"/>
      <c r="J525" s="758"/>
      <c r="K525" s="677"/>
    </row>
    <row r="526" ht="20.1" customHeight="1" spans="1:11">
      <c r="A526" s="675"/>
      <c r="B526" s="755">
        <f t="shared" si="9"/>
        <v>17</v>
      </c>
      <c r="C526" s="755">
        <f>IFERROR(VLOOKUP(B526,DATEWISE!$A$3:$BY$27,2,0),0)</f>
        <v>0</v>
      </c>
      <c r="D526" s="755" t="e">
        <f>IF($C$526=0,NA(),VLOOKUP($I$506&amp;$B$526,FLNFIX!$CN$4:$EF$103,2,0))</f>
        <v>#N/A</v>
      </c>
      <c r="E526" s="755" t="e">
        <f>IF($C$526=0,NA(),VLOOKUP($I$506&amp;$B$526,FLNFIX!$CN$4:$EF$103,4,0))</f>
        <v>#N/A</v>
      </c>
      <c r="F526" s="755" t="e">
        <f>IF($C$526=0,NA(),VLOOKUP($I$506&amp;$B$526,FLNFIX!$CN$4:$EF$103,3,0))</f>
        <v>#N/A</v>
      </c>
      <c r="G526" s="756" t="e">
        <f>IF($C$526=0,NA(),VLOOKUP($I$506&amp;$B$526,FLNFIX!$CN$4:$EF$103,5,0))</f>
        <v>#N/A</v>
      </c>
      <c r="H526" s="757"/>
      <c r="I526" s="757"/>
      <c r="J526" s="758"/>
      <c r="K526" s="677"/>
    </row>
    <row r="527" ht="20.1" customHeight="1" spans="1:11">
      <c r="A527" s="675"/>
      <c r="B527" s="755">
        <f t="shared" si="9"/>
        <v>18</v>
      </c>
      <c r="C527" s="755">
        <f>IFERROR(VLOOKUP(B527,DATEWISE!$A$3:$BY$27,2,0),0)</f>
        <v>0</v>
      </c>
      <c r="D527" s="755" t="e">
        <f>IF($C$527=0,NA(),VLOOKUP($I$506&amp;$B$527,FLNFIX!$CS$4:$EF$103,2,0))</f>
        <v>#N/A</v>
      </c>
      <c r="E527" s="755" t="e">
        <f>IF($C$527=0,NA(),VLOOKUP($I$506&amp;$B$527,FLNFIX!$CS$4:$EF$103,4,0))</f>
        <v>#N/A</v>
      </c>
      <c r="F527" s="755" t="e">
        <f>IF($C$527=0,NA(),VLOOKUP($I$506&amp;$B$527,FLNFIX!$CS$4:$EF$103,3,0))</f>
        <v>#N/A</v>
      </c>
      <c r="G527" s="756" t="e">
        <f>IF($C$527=0,NA(),VLOOKUP($I$506&amp;$B$527,FLNFIX!$CS$4:$EF$103,5,0))</f>
        <v>#N/A</v>
      </c>
      <c r="H527" s="757"/>
      <c r="I527" s="757"/>
      <c r="J527" s="758"/>
      <c r="K527" s="677"/>
    </row>
    <row r="528" ht="20.1" customHeight="1" spans="1:11">
      <c r="A528" s="675"/>
      <c r="B528" s="755">
        <f t="shared" si="9"/>
        <v>19</v>
      </c>
      <c r="C528" s="755">
        <f>IFERROR(VLOOKUP(B528,DATEWISE!$A$3:$BY$27,2,0),0)</f>
        <v>0</v>
      </c>
      <c r="D528" s="755" t="e">
        <f>IF($C$528=0,NA(),VLOOKUP($I$506&amp;$B$528,FLNFIX!$CX$4:$EF$103,2,0))</f>
        <v>#N/A</v>
      </c>
      <c r="E528" s="755" t="e">
        <f>IF($C$528=0,NA(),VLOOKUP($I$506&amp;$B$528,FLNFIX!$CX$4:$EF$103,4,0))</f>
        <v>#N/A</v>
      </c>
      <c r="F528" s="755" t="e">
        <f>IF($C$528=0,NA(),VLOOKUP($I$506&amp;$B$528,FLNFIX!$CX$4:$EF$103,3,0))</f>
        <v>#N/A</v>
      </c>
      <c r="G528" s="756" t="e">
        <f>IF($C$528=0,NA(),VLOOKUP($I$506&amp;$B$528,FLNFIX!$CX$4:$EF$103,5,0))</f>
        <v>#N/A</v>
      </c>
      <c r="H528" s="757"/>
      <c r="I528" s="757"/>
      <c r="J528" s="758"/>
      <c r="K528" s="677"/>
    </row>
    <row r="529" ht="20.1" customHeight="1" spans="1:11">
      <c r="A529" s="675"/>
      <c r="B529" s="755">
        <f t="shared" si="9"/>
        <v>20</v>
      </c>
      <c r="C529" s="755">
        <f>IFERROR(VLOOKUP(B529,DATEWISE!$A$3:$BY$27,2,0),0)</f>
        <v>0</v>
      </c>
      <c r="D529" s="755" t="e">
        <f>IF($C$529=0,NA(),VLOOKUP($I$506&amp;$B$529,FLNFIX!$DC$4:$EF$103,2,0))</f>
        <v>#N/A</v>
      </c>
      <c r="E529" s="755" t="e">
        <f>IF($C$529=0,NA(),VLOOKUP($I$506&amp;$B$529,FLNFIX!$DC$4:$EF$103,4,0))</f>
        <v>#N/A</v>
      </c>
      <c r="F529" s="755" t="e">
        <f>IF($C$529=0,NA(),VLOOKUP($I$506&amp;$B$529,FLNFIX!$DC$4:$EF$103,3,0))</f>
        <v>#N/A</v>
      </c>
      <c r="G529" s="756" t="e">
        <f>IF($C$529=0,NA(),VLOOKUP($I$506&amp;$B$529,FLNFIX!$DC$4:$EF$103,5,0))</f>
        <v>#N/A</v>
      </c>
      <c r="H529" s="757"/>
      <c r="I529" s="757"/>
      <c r="J529" s="758"/>
      <c r="K529" s="677"/>
    </row>
    <row r="530" ht="20.1" customHeight="1" spans="1:11">
      <c r="A530" s="675"/>
      <c r="B530" s="755">
        <f t="shared" si="9"/>
        <v>21</v>
      </c>
      <c r="C530" s="755">
        <f>IFERROR(VLOOKUP(B530,DATEWISE!$A$3:$BY$27,2,0),0)</f>
        <v>0</v>
      </c>
      <c r="D530" s="755" t="e">
        <f>IF($C$530=0,NA(),VLOOKUP($I$506&amp;$B$530,FLNFIX!$DH$4:$EF$103,2,0))</f>
        <v>#N/A</v>
      </c>
      <c r="E530" s="755" t="e">
        <f>IF($C$530=0,NA(),VLOOKUP($I$506&amp;$B$530,FLNFIX!$DH$4:$EF$103,4,0))</f>
        <v>#N/A</v>
      </c>
      <c r="F530" s="755" t="e">
        <f>IF($C$530=0,NA(),VLOOKUP($I$506&amp;$B$530,FLNFIX!$DH$4:$EF$103,3,0))</f>
        <v>#N/A</v>
      </c>
      <c r="G530" s="756" t="e">
        <f>IF($C$530=0,NA(),VLOOKUP($I$506&amp;$B$530,FLNFIX!$DH$4:$EF$103,5,0))</f>
        <v>#N/A</v>
      </c>
      <c r="H530" s="757"/>
      <c r="I530" s="757"/>
      <c r="J530" s="758"/>
      <c r="K530" s="677"/>
    </row>
    <row r="531" ht="5.1" customHeight="1" spans="1:11">
      <c r="A531" s="675"/>
      <c r="B531" s="759"/>
      <c r="C531" s="759"/>
      <c r="D531" s="760"/>
      <c r="E531" s="760"/>
      <c r="F531" s="760"/>
      <c r="G531" s="761"/>
      <c r="H531" s="761"/>
      <c r="I531" s="761"/>
      <c r="J531" s="761"/>
      <c r="K531" s="677"/>
    </row>
    <row r="532" s="667" customFormat="1" ht="24.95" customHeight="1" spans="1:11">
      <c r="A532" s="711"/>
      <c r="B532" s="762" t="s">
        <v>431</v>
      </c>
      <c r="C532" s="763"/>
      <c r="D532" s="763"/>
      <c r="E532" s="763"/>
      <c r="F532" s="763"/>
      <c r="G532" s="763"/>
      <c r="H532" s="763"/>
      <c r="I532" s="763"/>
      <c r="J532" s="764"/>
      <c r="K532" s="713"/>
    </row>
    <row r="533" spans="1:11">
      <c r="A533" s="675"/>
      <c r="B533" s="765"/>
      <c r="C533" s="686"/>
      <c r="D533" s="686"/>
      <c r="E533" s="686"/>
      <c r="F533" s="686"/>
      <c r="G533" s="686"/>
      <c r="H533" s="686"/>
      <c r="I533" s="686"/>
      <c r="J533" s="766"/>
      <c r="K533" s="677"/>
    </row>
    <row r="534" spans="1:11">
      <c r="A534" s="675"/>
      <c r="B534" s="765"/>
      <c r="C534" s="686"/>
      <c r="D534" s="686"/>
      <c r="E534" s="686"/>
      <c r="F534" s="686"/>
      <c r="G534" s="686"/>
      <c r="H534" s="686"/>
      <c r="I534" s="686"/>
      <c r="J534" s="766"/>
      <c r="K534" s="677"/>
    </row>
    <row r="535" spans="1:11">
      <c r="A535" s="675"/>
      <c r="B535" s="765"/>
      <c r="C535" s="686"/>
      <c r="D535" s="686"/>
      <c r="E535" s="686"/>
      <c r="F535" s="686"/>
      <c r="G535" s="686"/>
      <c r="H535" s="686"/>
      <c r="I535" s="686"/>
      <c r="J535" s="766"/>
      <c r="K535" s="677"/>
    </row>
    <row r="536" spans="1:11">
      <c r="A536" s="675"/>
      <c r="B536" s="765"/>
      <c r="C536" s="686"/>
      <c r="D536" s="686"/>
      <c r="E536" s="686"/>
      <c r="F536" s="686"/>
      <c r="G536" s="686"/>
      <c r="H536" s="686"/>
      <c r="I536" s="686"/>
      <c r="J536" s="766"/>
      <c r="K536" s="677"/>
    </row>
    <row r="537" spans="1:11">
      <c r="A537" s="675"/>
      <c r="B537" s="765"/>
      <c r="C537" s="686"/>
      <c r="D537" s="686"/>
      <c r="E537" s="686"/>
      <c r="F537" s="686"/>
      <c r="G537" s="686"/>
      <c r="H537" s="686"/>
      <c r="I537" s="686"/>
      <c r="J537" s="766"/>
      <c r="K537" s="677"/>
    </row>
    <row r="538" spans="1:11">
      <c r="A538" s="675"/>
      <c r="B538" s="765"/>
      <c r="C538" s="686"/>
      <c r="D538" s="686"/>
      <c r="E538" s="686"/>
      <c r="F538" s="686"/>
      <c r="G538" s="686"/>
      <c r="H538" s="686"/>
      <c r="I538" s="686"/>
      <c r="J538" s="766"/>
      <c r="K538" s="677"/>
    </row>
    <row r="539" spans="1:11">
      <c r="A539" s="675"/>
      <c r="B539" s="765"/>
      <c r="C539" s="686"/>
      <c r="D539" s="686"/>
      <c r="E539" s="686"/>
      <c r="F539" s="686"/>
      <c r="G539" s="686"/>
      <c r="H539" s="686"/>
      <c r="I539" s="686"/>
      <c r="J539" s="766"/>
      <c r="K539" s="677"/>
    </row>
    <row r="540" spans="1:11">
      <c r="A540" s="675"/>
      <c r="B540" s="765"/>
      <c r="C540" s="686"/>
      <c r="D540" s="686"/>
      <c r="E540" s="686"/>
      <c r="F540" s="686"/>
      <c r="G540" s="686"/>
      <c r="H540" s="686"/>
      <c r="I540" s="686"/>
      <c r="J540" s="766"/>
      <c r="K540" s="677"/>
    </row>
    <row r="541" spans="1:11">
      <c r="A541" s="675"/>
      <c r="B541" s="765"/>
      <c r="C541" s="686"/>
      <c r="D541" s="686"/>
      <c r="E541" s="686"/>
      <c r="F541" s="686"/>
      <c r="G541" s="686"/>
      <c r="H541" s="686"/>
      <c r="I541" s="686"/>
      <c r="J541" s="766"/>
      <c r="K541" s="677"/>
    </row>
    <row r="542" spans="1:11">
      <c r="A542" s="675"/>
      <c r="B542" s="767"/>
      <c r="C542" s="768"/>
      <c r="D542" s="768"/>
      <c r="E542" s="768"/>
      <c r="F542" s="768"/>
      <c r="G542" s="768"/>
      <c r="H542" s="768"/>
      <c r="I542" s="768"/>
      <c r="J542" s="769"/>
      <c r="K542" s="677"/>
    </row>
    <row r="543" ht="5.1" customHeight="1" spans="1:11">
      <c r="A543" s="675"/>
      <c r="B543" s="686"/>
      <c r="C543" s="686"/>
      <c r="D543" s="686"/>
      <c r="E543" s="686"/>
      <c r="F543" s="686"/>
      <c r="G543" s="686"/>
      <c r="H543" s="686"/>
      <c r="I543" s="686"/>
      <c r="J543" s="686"/>
      <c r="K543" s="677"/>
    </row>
    <row r="544" spans="1:11">
      <c r="A544" s="675"/>
      <c r="B544" s="770" t="s">
        <v>432</v>
      </c>
      <c r="C544" s="770"/>
      <c r="D544" s="770"/>
      <c r="E544" s="770"/>
      <c r="F544" s="770"/>
      <c r="G544" s="770"/>
      <c r="H544" s="770"/>
      <c r="I544" s="770"/>
      <c r="J544" s="770"/>
      <c r="K544" s="677"/>
    </row>
    <row r="545" spans="1:11">
      <c r="A545" s="675"/>
      <c r="B545" s="771"/>
      <c r="C545" s="771"/>
      <c r="D545" s="771"/>
      <c r="E545" s="771"/>
      <c r="F545" s="771"/>
      <c r="G545" s="771"/>
      <c r="H545" s="771"/>
      <c r="I545" s="771"/>
      <c r="J545" s="771"/>
      <c r="K545" s="677"/>
    </row>
    <row r="546" spans="1:11">
      <c r="A546" s="675"/>
      <c r="B546" s="771"/>
      <c r="C546" s="771"/>
      <c r="D546" s="771"/>
      <c r="E546" s="771"/>
      <c r="F546" s="771"/>
      <c r="G546" s="771"/>
      <c r="H546" s="771"/>
      <c r="I546" s="771"/>
      <c r="J546" s="771"/>
      <c r="K546" s="677"/>
    </row>
    <row r="547" spans="1:11">
      <c r="A547" s="675"/>
      <c r="B547" s="771"/>
      <c r="C547" s="771"/>
      <c r="D547" s="771"/>
      <c r="E547" s="771"/>
      <c r="F547" s="771"/>
      <c r="G547" s="771"/>
      <c r="H547" s="771"/>
      <c r="I547" s="771"/>
      <c r="J547" s="771"/>
      <c r="K547" s="677"/>
    </row>
    <row r="548" spans="1:11">
      <c r="A548" s="675"/>
      <c r="B548" s="686"/>
      <c r="C548" s="686"/>
      <c r="D548" s="686"/>
      <c r="E548" s="686"/>
      <c r="F548" s="686"/>
      <c r="G548" s="686"/>
      <c r="H548" s="686"/>
      <c r="I548" s="686"/>
      <c r="J548" s="686"/>
      <c r="K548" s="677"/>
    </row>
    <row r="549" spans="1:11">
      <c r="A549" s="675"/>
      <c r="B549" s="686"/>
      <c r="C549" s="729" t="s">
        <v>433</v>
      </c>
      <c r="D549" s="729"/>
      <c r="E549" s="686"/>
      <c r="F549" s="686"/>
      <c r="G549" s="729" t="s">
        <v>434</v>
      </c>
      <c r="H549" s="729"/>
      <c r="I549" s="729"/>
      <c r="J549" s="729"/>
      <c r="K549" s="677"/>
    </row>
    <row r="550" ht="16.35" spans="1:11">
      <c r="A550" s="725"/>
      <c r="B550" s="726"/>
      <c r="C550" s="732" t="str">
        <f>"("&amp;PROPER(ENTRY!$D$19)&amp;")"</f>
        <v>(Indrajeet)</v>
      </c>
      <c r="D550" s="732"/>
      <c r="E550" s="726"/>
      <c r="F550" s="726"/>
      <c r="G550" s="732" t="str">
        <f>"("&amp;PROPER(ENTRY!$D$12)&amp;")"</f>
        <v>(Shambhu Dayal Meena)</v>
      </c>
      <c r="H550" s="732"/>
      <c r="I550" s="732"/>
      <c r="J550" s="732"/>
      <c r="K550" s="728"/>
    </row>
    <row r="551" ht="24.6" spans="1:11">
      <c r="B551" s="734"/>
      <c r="C551" s="734"/>
      <c r="D551" s="669" t="str">
        <f>ENTRY!$D$3</f>
        <v>MUNICIPAL CORPORATION OF DELHI</v>
      </c>
      <c r="E551" s="669"/>
      <c r="F551" s="669"/>
      <c r="G551" s="669"/>
      <c r="H551" s="734"/>
      <c r="I551" s="669"/>
      <c r="J551" s="669"/>
    </row>
    <row r="552" ht="20.4" spans="1:11">
      <c r="B552" s="735"/>
      <c r="C552" s="735"/>
      <c r="D552" s="670" t="str">
        <f>ENTRY!$D$4</f>
        <v>EDUCATION DEPARTMENT</v>
      </c>
      <c r="E552" s="670"/>
      <c r="F552" s="670"/>
      <c r="G552" s="670"/>
      <c r="H552" s="735"/>
      <c r="I552" s="669"/>
      <c r="J552" s="669"/>
    </row>
    <row r="553" ht="22.8" spans="1:11">
      <c r="B553" s="736"/>
      <c r="C553" s="736"/>
      <c r="D553" s="664" t="s">
        <v>417</v>
      </c>
      <c r="E553" s="664"/>
      <c r="F553" s="664"/>
      <c r="G553" s="664"/>
      <c r="H553" s="736"/>
      <c r="I553" s="669"/>
      <c r="J553" s="669"/>
    </row>
    <row r="554" ht="22.8" spans="1:11">
      <c r="B554" s="736"/>
      <c r="C554" s="736"/>
      <c r="D554" s="664" t="s">
        <v>418</v>
      </c>
      <c r="E554" s="664"/>
      <c r="F554" s="664"/>
      <c r="G554" s="664"/>
      <c r="H554" s="736"/>
      <c r="I554" s="669"/>
      <c r="J554" s="669"/>
    </row>
    <row r="555" ht="24.95" customHeight="1" spans="1:11">
      <c r="B555" s="735"/>
      <c r="C555" s="735"/>
      <c r="D555" s="737" t="str">
        <f>"SESSION : "&amp;ENTRY!$D$11</f>
        <v>SESSION : 2026-27</v>
      </c>
      <c r="E555" s="737"/>
      <c r="F555" s="737"/>
      <c r="G555" s="737"/>
      <c r="H555" s="735"/>
      <c r="I555" s="738"/>
      <c r="J555" s="738"/>
    </row>
    <row r="556" ht="3.75" customHeight="1" spans="1:11">
      <c r="A556" s="672"/>
      <c r="B556" s="739"/>
      <c r="C556" s="739"/>
      <c r="D556" s="739"/>
      <c r="E556" s="739"/>
      <c r="F556" s="739"/>
      <c r="G556" s="739"/>
      <c r="H556" s="739"/>
      <c r="I556" s="739"/>
      <c r="J556" s="739"/>
      <c r="K556" s="674"/>
    </row>
    <row r="557" ht="21.95" customHeight="1" spans="1:11">
      <c r="A557" s="675"/>
      <c r="B557" s="676" t="s">
        <v>419</v>
      </c>
      <c r="C557" s="676"/>
      <c r="D557" s="676" t="str">
        <f>ENTRY!$D$6</f>
        <v>MCP NITHARI NO 1 BOYS</v>
      </c>
      <c r="E557" s="676"/>
      <c r="F557" s="676"/>
      <c r="G557" s="676"/>
      <c r="H557" s="676"/>
      <c r="I557" s="676"/>
      <c r="J557" s="676"/>
      <c r="K557" s="677"/>
    </row>
    <row r="558" ht="21.95" customHeight="1" spans="1:11">
      <c r="A558" s="675"/>
      <c r="B558" s="676" t="s">
        <v>420</v>
      </c>
      <c r="C558" s="676"/>
      <c r="D558" s="740" t="str">
        <f>IFERROR(VLOOKUP($I$561,STUDENT!$A$2:$BP$101,5,0),"")</f>
        <v>MD MAHTAB</v>
      </c>
      <c r="E558" s="740"/>
      <c r="F558" s="740"/>
      <c r="G558" s="740"/>
      <c r="H558" s="740"/>
      <c r="I558" s="740"/>
      <c r="J558" s="740"/>
      <c r="K558" s="677"/>
    </row>
    <row r="559" ht="21.95" customHeight="1" spans="1:11">
      <c r="A559" s="675"/>
      <c r="B559" s="676" t="s">
        <v>421</v>
      </c>
      <c r="C559" s="676"/>
      <c r="D559" s="740" t="str">
        <f>IFERROR(VLOOKUP($I$561,STUDENT!$A$2:$BP$101,8,0),"")</f>
        <v>MD ASRAF</v>
      </c>
      <c r="E559" s="740"/>
      <c r="F559" s="740"/>
      <c r="G559" s="740"/>
      <c r="H559" s="740"/>
      <c r="I559" s="740"/>
      <c r="J559" s="740"/>
      <c r="K559" s="677"/>
    </row>
    <row r="560" ht="21.95" customHeight="1" spans="1:11">
      <c r="A560" s="675"/>
      <c r="B560" s="676" t="s">
        <v>422</v>
      </c>
      <c r="C560" s="676"/>
      <c r="D560" s="740">
        <f>IFERROR(VLOOKUP($I$561,STUDENT!$A$2:$BP$101,6,0),"")</f>
        <v>14775</v>
      </c>
      <c r="E560" s="740"/>
      <c r="F560" s="740"/>
      <c r="G560" s="740"/>
      <c r="H560" s="740"/>
      <c r="I560" s="740"/>
      <c r="J560" s="740"/>
      <c r="K560" s="677"/>
    </row>
    <row r="561" ht="21.95" customHeight="1" spans="1:11">
      <c r="A561" s="675"/>
      <c r="B561" s="676" t="s">
        <v>423</v>
      </c>
      <c r="C561" s="676"/>
      <c r="D561" s="741" t="str">
        <f>IFERROR(VLOOKUP($I$561,STUDENT!$A$2:$BP$101,59,0),"")</f>
        <v/>
      </c>
      <c r="E561" s="742" t="s">
        <v>424</v>
      </c>
      <c r="F561" s="704" t="str">
        <f>IFERROR(VLOOKUP($I$561,STUDENT!$A$2:$BP$101,2,0),"")</f>
        <v>III-A</v>
      </c>
      <c r="G561" s="742" t="s">
        <v>425</v>
      </c>
      <c r="H561" s="743"/>
      <c r="I561" s="733">
        <f>I506+1</f>
        <v>11</v>
      </c>
      <c r="J561" s="683"/>
      <c r="K561" s="677"/>
    </row>
    <row r="562" ht="5.1" customHeight="1" spans="1:11">
      <c r="A562" s="675"/>
      <c r="B562" s="745"/>
      <c r="C562" s="745"/>
      <c r="D562" s="746"/>
      <c r="E562" s="747"/>
      <c r="F562" s="748"/>
      <c r="G562" s="747"/>
      <c r="H562" s="686"/>
      <c r="I562" s="686"/>
      <c r="J562" s="686"/>
      <c r="K562" s="677"/>
    </row>
    <row r="563" s="664" customFormat="1" ht="32.1" customHeight="1" spans="1:11">
      <c r="A563" s="688"/>
      <c r="B563" s="749" t="s">
        <v>426</v>
      </c>
      <c r="C563" s="750"/>
      <c r="D563" s="750"/>
      <c r="E563" s="750"/>
      <c r="F563" s="750"/>
      <c r="G563" s="750"/>
      <c r="H563" s="750"/>
      <c r="I563" s="750"/>
      <c r="J563" s="751"/>
      <c r="K563" s="690"/>
    </row>
    <row r="564" ht="51.6" spans="1:11">
      <c r="A564" s="675"/>
      <c r="B564" s="752">
        <v>21</v>
      </c>
      <c r="C564" s="753" t="s">
        <v>427</v>
      </c>
      <c r="D564" s="754" t="s">
        <v>428</v>
      </c>
      <c r="E564" s="754" t="s">
        <v>429</v>
      </c>
      <c r="F564" s="754" t="s">
        <v>430</v>
      </c>
      <c r="G564" s="753" t="s">
        <v>390</v>
      </c>
      <c r="H564" s="714"/>
      <c r="I564" s="714"/>
      <c r="J564" s="714"/>
      <c r="K564" s="677"/>
    </row>
    <row r="565" ht="20.1" customHeight="1" spans="1:11">
      <c r="A565" s="675"/>
      <c r="B565" s="755">
        <v>1</v>
      </c>
      <c r="C565" s="755" t="str">
        <f>IFERROR(VLOOKUP(B565,DATEWISE!$A$3:$BY$27,2,0),0)</f>
        <v>30.04.2026</v>
      </c>
      <c r="D565" s="755" t="str">
        <f>IF($C$565=0,NA(),VLOOKUP($I$561&amp;$B$565,FLNFIX!$L$4:$EF$103,2,0))</f>
        <v>Ab</v>
      </c>
      <c r="E565" s="755" t="str">
        <f>IF($C$565=0,NA(),VLOOKUP($I$561&amp;$B$565,FLNFIX!$L$4:$EF$103,4,0))</f>
        <v>Ab</v>
      </c>
      <c r="F565" s="755" t="str">
        <f>IF($C$565=0,NA(),VLOOKUP($I$561&amp;$B$565,FLNFIX!$L$4:$EF$103,3,0))</f>
        <v>Ab</v>
      </c>
      <c r="G565" s="756">
        <f>IF($C$565=0,NA(),VLOOKUP($I$561&amp;$B$565,FLNFIX!$L$4:$EF$103,5,0))</f>
        <v>0</v>
      </c>
      <c r="H565" s="757"/>
      <c r="I565" s="757"/>
      <c r="J565" s="758"/>
      <c r="K565" s="677"/>
    </row>
    <row r="566" ht="20.1" customHeight="1" spans="1:11">
      <c r="A566" s="675"/>
      <c r="B566" s="755">
        <f t="shared" ref="B566:B585" si="10">IF(B565=0,0,IF(B565&lt;$B$564,B565+1,""))</f>
        <v>2</v>
      </c>
      <c r="C566" s="755" t="str">
        <f>IFERROR(VLOOKUP(B566,DATEWISE!$A$3:$BY$27,2,0),0)</f>
        <v>08.05.2026</v>
      </c>
      <c r="D566" s="755" t="str">
        <f>IF($C$566=0,NA(),VLOOKUP($I$561&amp;$B$566,FLNFIX!$Q$4:$EF$103,2,0))</f>
        <v>Ab</v>
      </c>
      <c r="E566" s="755" t="str">
        <f>IF($C$566=0,NA(),VLOOKUP($I$561&amp;$B$566,FLNFIX!$Q$4:$EF$103,4,0))</f>
        <v>Ab</v>
      </c>
      <c r="F566" s="755" t="str">
        <f>IF($C$566=0,NA(),VLOOKUP($I$561&amp;$B$566,FLNFIX!$Q$4:$EF$103,3,0))</f>
        <v>Ab</v>
      </c>
      <c r="G566" s="756">
        <f>IF($C$566=0,NA(),VLOOKUP($I$561&amp;$B$566,FLNFIX!$Q$4:$EF$103,5,0))</f>
        <v>0</v>
      </c>
      <c r="H566" s="757"/>
      <c r="I566" s="757"/>
      <c r="J566" s="758"/>
      <c r="K566" s="677"/>
    </row>
    <row r="567" ht="20.1" customHeight="1" spans="1:11">
      <c r="A567" s="675"/>
      <c r="B567" s="755">
        <f t="shared" si="10"/>
        <v>3</v>
      </c>
      <c r="C567" s="755" t="str">
        <f>IFERROR(VLOOKUP(B567,DATEWISE!$A$3:$BY$27,2,0),0)</f>
        <v>15.07.2026</v>
      </c>
      <c r="D567" s="755" t="str">
        <f>IF($C$567=0,NA(),VLOOKUP($I$561&amp;$B$567,FLNFIX!$V$4:$EF$103,2,0))</f>
        <v>Ab</v>
      </c>
      <c r="E567" s="755" t="str">
        <f>IF($C$567=0,NA(),VLOOKUP($I$561&amp;$B$567,FLNFIX!$V$4:$EF$103,4,0))</f>
        <v>Ab</v>
      </c>
      <c r="F567" s="755" t="str">
        <f>IF($C$567=0,NA(),VLOOKUP($I$561&amp;$B$567,FLNFIX!$V$4:$EF$103,3,0))</f>
        <v>Ab</v>
      </c>
      <c r="G567" s="756">
        <f>IF($C$567=0,NA(),VLOOKUP($I$561&amp;$B$567,FLNFIX!$V$4:$EF$103,5,0))</f>
        <v>0</v>
      </c>
      <c r="H567" s="757"/>
      <c r="I567" s="757"/>
      <c r="J567" s="758"/>
      <c r="K567" s="677"/>
    </row>
    <row r="568" ht="20.1" customHeight="1" spans="1:11">
      <c r="A568" s="675"/>
      <c r="B568" s="755">
        <f t="shared" si="10"/>
        <v>4</v>
      </c>
      <c r="C568" s="755" t="str">
        <f>IFERROR(VLOOKUP(B568,DATEWISE!$A$3:$BY$27,2,0),0)</f>
        <v>31.07.2026</v>
      </c>
      <c r="D568" s="755" t="str">
        <f>IF($C$568=0,NA(),VLOOKUP($I$561&amp;$B$568,FLNFIX!$AA$4:$EF$103,2,0))</f>
        <v>Ab</v>
      </c>
      <c r="E568" s="755" t="str">
        <f>IF($C$568=0,NA(),VLOOKUP($I$561&amp;$B$568,FLNFIX!$AA$4:$EF$103,4,0))</f>
        <v>Ab</v>
      </c>
      <c r="F568" s="755" t="str">
        <f>IF($C$568=0,NA(),VLOOKUP($I$561&amp;$B$568,FLNFIX!$AA$4:$EF$103,3,0))</f>
        <v>Ab</v>
      </c>
      <c r="G568" s="756">
        <f>IF($C$568=0,NA(),VLOOKUP($I$561&amp;$B$568,FLNFIX!$AA$4:$EF$103,5,0))</f>
        <v>0</v>
      </c>
      <c r="H568" s="757"/>
      <c r="I568" s="757"/>
      <c r="J568" s="758"/>
      <c r="K568" s="677"/>
    </row>
    <row r="569" ht="20.1" customHeight="1" spans="1:11">
      <c r="A569" s="675"/>
      <c r="B569" s="755">
        <f t="shared" si="10"/>
        <v>5</v>
      </c>
      <c r="C569" s="755" t="str">
        <f>IFERROR(VLOOKUP(B569,DATEWISE!$A$3:$BY$27,2,0),0)</f>
        <v>17.08.2026</v>
      </c>
      <c r="D569" s="755" t="str">
        <f>IF($C$569=0,NA(),VLOOKUP($I$561&amp;$B$569,FLNFIX!$AF$4:$EF$103,2,0))</f>
        <v>Ab</v>
      </c>
      <c r="E569" s="755" t="str">
        <f>IF($C$569=0,NA(),VLOOKUP($I$561&amp;$B$569,FLNFIX!$AF$4:$EF$103,4,0))</f>
        <v>Ab</v>
      </c>
      <c r="F569" s="755" t="str">
        <f>IF($C$569=0,NA(),VLOOKUP($I$561&amp;$B$569,FLNFIX!$AF$4:$EF$103,3,0))</f>
        <v>Ab</v>
      </c>
      <c r="G569" s="756">
        <f>IF($C$569=0,NA(),VLOOKUP($I$561&amp;$B$569,FLNFIX!$AF$4:$EF$103,5,0))</f>
        <v>0</v>
      </c>
      <c r="H569" s="757"/>
      <c r="I569" s="757"/>
      <c r="J569" s="758"/>
      <c r="K569" s="677"/>
    </row>
    <row r="570" ht="20.1" customHeight="1" spans="1:11">
      <c r="A570" s="675"/>
      <c r="B570" s="755">
        <f t="shared" si="10"/>
        <v>6</v>
      </c>
      <c r="C570" s="755" t="str">
        <f>IFERROR(VLOOKUP(B570,DATEWISE!$A$3:$BY$27,2,0),0)</f>
        <v>31.08.2026</v>
      </c>
      <c r="D570" s="755" t="str">
        <f>IF($C$570=0,NA(),VLOOKUP($I$561&amp;$B$570,FLNFIX!$AK$4:$EF$103,2,0))</f>
        <v>Ab</v>
      </c>
      <c r="E570" s="755" t="str">
        <f>IF($C$570=0,NA(),VLOOKUP($I$561&amp;$B$570,FLNFIX!$AK$4:$EF$103,4,0))</f>
        <v>Ab</v>
      </c>
      <c r="F570" s="755" t="str">
        <f>IF($C$570=0,NA(),VLOOKUP($I$561&amp;$B$570,FLNFIX!$AK$4:$EF$103,3,0))</f>
        <v>Ab</v>
      </c>
      <c r="G570" s="756">
        <f>IF($C$570=0,NA(),VLOOKUP($I$561&amp;$B$570,FLNFIX!$AK$4:$EF$103,5,0))</f>
        <v>0</v>
      </c>
      <c r="H570" s="757"/>
      <c r="I570" s="757"/>
      <c r="J570" s="758"/>
      <c r="K570" s="677"/>
    </row>
    <row r="571" ht="20.1" customHeight="1" spans="1:11">
      <c r="A571" s="675"/>
      <c r="B571" s="755">
        <f t="shared" si="10"/>
        <v>7</v>
      </c>
      <c r="C571" s="755">
        <f>IFERROR(VLOOKUP(B571,DATEWISE!$A$3:$BY$27,2,0),0)</f>
        <v>0</v>
      </c>
      <c r="D571" s="755" t="e">
        <f>IF($C$571=0,NA(),VLOOKUP($I$561&amp;$B$571,FLNFIX!$AP$4:$EF$103,2,0))</f>
        <v>#N/A</v>
      </c>
      <c r="E571" s="755" t="e">
        <f>IF($C$571=0,NA(),VLOOKUP($I$561&amp;$B$571,FLNFIX!$AP$4:$EF$103,4,0))</f>
        <v>#N/A</v>
      </c>
      <c r="F571" s="755" t="e">
        <f>IF($C$571=0,NA(),VLOOKUP($I$561&amp;$B$571,FLNFIX!$AP$4:$EF$103,3,0))</f>
        <v>#N/A</v>
      </c>
      <c r="G571" s="756" t="e">
        <f>IF($C$571=0,NA(),VLOOKUP($I$561&amp;$B$571,FLNFIX!$AP$4:$EF$103,5,0))</f>
        <v>#N/A</v>
      </c>
      <c r="H571" s="757"/>
      <c r="I571" s="757"/>
      <c r="J571" s="758"/>
      <c r="K571" s="677"/>
    </row>
    <row r="572" ht="20.1" customHeight="1" spans="1:11">
      <c r="A572" s="675"/>
      <c r="B572" s="755">
        <f t="shared" si="10"/>
        <v>8</v>
      </c>
      <c r="C572" s="755">
        <f>IFERROR(VLOOKUP(B572,DATEWISE!$A$3:$BY$27,2,0),0)</f>
        <v>0</v>
      </c>
      <c r="D572" s="755" t="e">
        <f>IF($C$572=0,NA(),VLOOKUP($I$561&amp;$B$572,FLNFIX!$AU$4:$EF$103,2,0))</f>
        <v>#N/A</v>
      </c>
      <c r="E572" s="755" t="e">
        <f>IF($C$572=0,NA(),VLOOKUP($I$561&amp;$B$572,FLNFIX!$AU$4:$EF$103,4,0))</f>
        <v>#N/A</v>
      </c>
      <c r="F572" s="755" t="e">
        <f>IF($C$572=0,NA(),VLOOKUP($I$561&amp;$B$572,FLNFIX!$AU$4:$EF$103,3,0))</f>
        <v>#N/A</v>
      </c>
      <c r="G572" s="756" t="e">
        <f>IF($C$572=0,NA(),VLOOKUP($I$561&amp;$B$572,FLNFIX!$AU$4:$EF$103,5,0))</f>
        <v>#N/A</v>
      </c>
      <c r="H572" s="757"/>
      <c r="I572" s="757"/>
      <c r="J572" s="758"/>
      <c r="K572" s="677"/>
    </row>
    <row r="573" ht="20.1" customHeight="1" spans="1:11">
      <c r="A573" s="675"/>
      <c r="B573" s="755">
        <f t="shared" si="10"/>
        <v>9</v>
      </c>
      <c r="C573" s="755">
        <f>IFERROR(VLOOKUP(B573,DATEWISE!$A$3:$BY$27,2,0),0)</f>
        <v>0</v>
      </c>
      <c r="D573" s="755" t="e">
        <f>IF($C$573=0,NA(),VLOOKUP($I$561&amp;$B$573,FLNFIX!$AZ$4:$EF$103,2,0))</f>
        <v>#N/A</v>
      </c>
      <c r="E573" s="755" t="e">
        <f>IF($C$573=0,NA(),VLOOKUP($I$561&amp;$B$573,FLNFIX!$AZ$4:$EF$103,4,0))</f>
        <v>#N/A</v>
      </c>
      <c r="F573" s="755" t="e">
        <f>IF($C$573=0,NA(),VLOOKUP($I$561&amp;$B$573,FLNFIX!$AZ$4:$EF$103,3,0))</f>
        <v>#N/A</v>
      </c>
      <c r="G573" s="756" t="e">
        <f>IF($C$573=0,NA(),VLOOKUP($I$561&amp;$B$573,FLNFIX!$AZ$4:$EF$103,5,0))</f>
        <v>#N/A</v>
      </c>
      <c r="H573" s="757"/>
      <c r="I573" s="757"/>
      <c r="J573" s="758"/>
      <c r="K573" s="677"/>
    </row>
    <row r="574" ht="20.1" customHeight="1" spans="1:11">
      <c r="A574" s="675"/>
      <c r="B574" s="755">
        <f t="shared" si="10"/>
        <v>10</v>
      </c>
      <c r="C574" s="755">
        <f>IFERROR(VLOOKUP(B574,DATEWISE!$A$3:$BY$27,2,0),0)</f>
        <v>0</v>
      </c>
      <c r="D574" s="755" t="e">
        <f>IF($C$574=0,NA(),VLOOKUP($I$561&amp;$B$574,FLNFIX!$BE$4:$EF$103,2,0))</f>
        <v>#N/A</v>
      </c>
      <c r="E574" s="755" t="e">
        <f>IF($C$574=0,NA(),VLOOKUP($I$561&amp;$B$574,FLNFIX!$BE$4:$EF$103,4,0))</f>
        <v>#N/A</v>
      </c>
      <c r="F574" s="755" t="e">
        <f>IF($C$574=0,NA(),VLOOKUP($I$561&amp;$B$574,FLNFIX!$BE$4:$EF$103,3,0))</f>
        <v>#N/A</v>
      </c>
      <c r="G574" s="756" t="e">
        <f>IF($C$574=0,NA(),VLOOKUP($I$561&amp;$B$574,FLNFIX!$BE$4:$EF$103,5,0))</f>
        <v>#N/A</v>
      </c>
      <c r="H574" s="757"/>
      <c r="I574" s="757"/>
      <c r="J574" s="758"/>
      <c r="K574" s="677"/>
    </row>
    <row r="575" ht="20.1" customHeight="1" spans="1:11">
      <c r="A575" s="675"/>
      <c r="B575" s="755">
        <f t="shared" si="10"/>
        <v>11</v>
      </c>
      <c r="C575" s="755">
        <f>IFERROR(VLOOKUP(B575,DATEWISE!$A$3:$BY$27,2,0),0)</f>
        <v>0</v>
      </c>
      <c r="D575" s="755" t="e">
        <f>IF($C$575=0,NA(),VLOOKUP($I$561&amp;$B$575,FLNFIX!$BJ$4:$EF$103,2,0))</f>
        <v>#N/A</v>
      </c>
      <c r="E575" s="755" t="e">
        <f>IF($C$575=0,NA(),VLOOKUP($I$561&amp;$B$575,FLNFIX!$BJ$4:$EF$103,4,0))</f>
        <v>#N/A</v>
      </c>
      <c r="F575" s="755" t="e">
        <f>IF($C$575=0,NA(),VLOOKUP($I$561&amp;$B$575,FLNFIX!$BJ$4:$EF$103,3,0))</f>
        <v>#N/A</v>
      </c>
      <c r="G575" s="756" t="e">
        <f>IF($C$575=0,NA(),VLOOKUP($I$561&amp;$B$575,FLNFIX!$BJ$4:$EF$103,5,0))</f>
        <v>#N/A</v>
      </c>
      <c r="H575" s="757"/>
      <c r="I575" s="757"/>
      <c r="J575" s="758"/>
      <c r="K575" s="677"/>
    </row>
    <row r="576" ht="20.1" customHeight="1" spans="1:11">
      <c r="A576" s="675"/>
      <c r="B576" s="755">
        <f t="shared" si="10"/>
        <v>12</v>
      </c>
      <c r="C576" s="755">
        <f>IFERROR(VLOOKUP(B576,DATEWISE!$A$3:$BY$27,2,0),0)</f>
        <v>0</v>
      </c>
      <c r="D576" s="755" t="e">
        <f>IF($C$576=0,NA(),VLOOKUP($I$561&amp;$B$576,FLNFIX!$BO$4:$EF$103,2,0))</f>
        <v>#N/A</v>
      </c>
      <c r="E576" s="755" t="e">
        <f>IF($C$576=0,NA(),VLOOKUP($I$561&amp;$B$576,FLNFIX!$BO$4:$EF$103,4,0))</f>
        <v>#N/A</v>
      </c>
      <c r="F576" s="755" t="e">
        <f>IF($C$576=0,NA(),VLOOKUP($I$561&amp;$B$576,FLNFIX!$BO$4:$EF$103,3,0))</f>
        <v>#N/A</v>
      </c>
      <c r="G576" s="756" t="e">
        <f>IF($C$576=0,NA(),VLOOKUP($I$561&amp;$B$576,FLNFIX!$BO$4:$EF$103,5,0))</f>
        <v>#N/A</v>
      </c>
      <c r="H576" s="757"/>
      <c r="I576" s="757"/>
      <c r="J576" s="758"/>
      <c r="K576" s="677"/>
    </row>
    <row r="577" ht="20.1" customHeight="1" spans="1:11">
      <c r="A577" s="675"/>
      <c r="B577" s="755">
        <f t="shared" si="10"/>
        <v>13</v>
      </c>
      <c r="C577" s="755">
        <f>IFERROR(VLOOKUP(B577,DATEWISE!$A$3:$BY$27,2,0),0)</f>
        <v>0</v>
      </c>
      <c r="D577" s="755" t="e">
        <f>IF($C$577=0,NA(),VLOOKUP($I$561&amp;$B$577,FLNFIX!$BT$4:$EF$103,2,0))</f>
        <v>#N/A</v>
      </c>
      <c r="E577" s="755" t="e">
        <f>IF($C$577=0,NA(),VLOOKUP($I$561&amp;$B$577,FLNFIX!$BT$4:$EF$103,4,0))</f>
        <v>#N/A</v>
      </c>
      <c r="F577" s="755" t="e">
        <f>IF($C$577=0,NA(),VLOOKUP($I$561&amp;$B$577,FLNFIX!$BT$4:$EF$103,3,0))</f>
        <v>#N/A</v>
      </c>
      <c r="G577" s="756" t="e">
        <f>IF($C$577=0,NA(),VLOOKUP($I$561&amp;$B$577,FLNFIX!$BT$4:$EF$103,5,0))</f>
        <v>#N/A</v>
      </c>
      <c r="H577" s="757"/>
      <c r="I577" s="757"/>
      <c r="J577" s="758"/>
      <c r="K577" s="677"/>
    </row>
    <row r="578" ht="20.1" customHeight="1" spans="1:11">
      <c r="A578" s="675"/>
      <c r="B578" s="755">
        <f t="shared" si="10"/>
        <v>14</v>
      </c>
      <c r="C578" s="755">
        <f>IFERROR(VLOOKUP(B578,DATEWISE!$A$3:$BY$27,2,0),0)</f>
        <v>0</v>
      </c>
      <c r="D578" s="755" t="e">
        <f>IF($C$578=0,NA(),VLOOKUP($I$561&amp;$B$578,FLNFIX!$BY$4:$EF$103,2,0))</f>
        <v>#N/A</v>
      </c>
      <c r="E578" s="755" t="e">
        <f>IF($C$578=0,NA(),VLOOKUP($I$561&amp;$B$578,FLNFIX!$BY$4:$EF$103,4,0))</f>
        <v>#N/A</v>
      </c>
      <c r="F578" s="755" t="e">
        <f>IF($C$578=0,NA(),VLOOKUP($I$561&amp;$B$578,FLNFIX!$BY$4:$EF$103,3,0))</f>
        <v>#N/A</v>
      </c>
      <c r="G578" s="756" t="e">
        <f>IF($C$578=0,NA(),VLOOKUP($I$561&amp;$B$578,FLNFIX!$BY$4:$EF$103,5,0))</f>
        <v>#N/A</v>
      </c>
      <c r="H578" s="757"/>
      <c r="I578" s="757"/>
      <c r="J578" s="758"/>
      <c r="K578" s="677"/>
    </row>
    <row r="579" ht="20.1" customHeight="1" spans="1:11">
      <c r="A579" s="675"/>
      <c r="B579" s="755">
        <f t="shared" si="10"/>
        <v>15</v>
      </c>
      <c r="C579" s="755">
        <f>IFERROR(VLOOKUP(B579,DATEWISE!$A$3:$BY$27,2,0),0)</f>
        <v>0</v>
      </c>
      <c r="D579" s="755" t="e">
        <f>IF($C$579=0,NA(),VLOOKUP($I$561&amp;$B$579,FLNFIX!$CD$4:$EF$103,2,0))</f>
        <v>#N/A</v>
      </c>
      <c r="E579" s="755" t="e">
        <f>IF($C$579=0,NA(),VLOOKUP($I$561&amp;$B$579,FLNFIX!$CD$4:$EF$103,4,0))</f>
        <v>#N/A</v>
      </c>
      <c r="F579" s="755" t="e">
        <f>IF($C$579=0,NA(),VLOOKUP($I$561&amp;$B$579,FLNFIX!$CD$4:$EF$103,3,0))</f>
        <v>#N/A</v>
      </c>
      <c r="G579" s="756" t="e">
        <f>IF($C$579=0,NA(),VLOOKUP($I$561&amp;$B$579,FLNFIX!$CD$4:$EF$103,5,0))</f>
        <v>#N/A</v>
      </c>
      <c r="H579" s="757"/>
      <c r="I579" s="757"/>
      <c r="J579" s="758"/>
      <c r="K579" s="677"/>
    </row>
    <row r="580" ht="20.1" customHeight="1" spans="1:11">
      <c r="A580" s="675"/>
      <c r="B580" s="755">
        <f t="shared" si="10"/>
        <v>16</v>
      </c>
      <c r="C580" s="755">
        <f>IFERROR(VLOOKUP(B580,DATEWISE!$A$3:$BY$27,2,0),0)</f>
        <v>0</v>
      </c>
      <c r="D580" s="755" t="e">
        <f>IF($C$580=0,NA(),VLOOKUP($I$561&amp;$B$580,FLNFIX!$CI$4:$EF$103,2,0))</f>
        <v>#N/A</v>
      </c>
      <c r="E580" s="755" t="e">
        <f>IF($C$580=0,NA(),VLOOKUP($I$561&amp;$B$580,FLNFIX!$CI$4:$EF$103,4,0))</f>
        <v>#N/A</v>
      </c>
      <c r="F580" s="755" t="e">
        <f>IF($C$580=0,NA(),VLOOKUP($I$561&amp;$B$580,FLNFIX!$CI$4:$EF$103,3,0))</f>
        <v>#N/A</v>
      </c>
      <c r="G580" s="756" t="e">
        <f>IF($C$580=0,NA(),VLOOKUP($I$561&amp;$B$580,FLNFIX!$CI$4:$EF$103,5,0))</f>
        <v>#N/A</v>
      </c>
      <c r="H580" s="757"/>
      <c r="I580" s="757"/>
      <c r="J580" s="758"/>
      <c r="K580" s="677"/>
    </row>
    <row r="581" ht="20.1" customHeight="1" spans="1:11">
      <c r="A581" s="675"/>
      <c r="B581" s="755">
        <f t="shared" si="10"/>
        <v>17</v>
      </c>
      <c r="C581" s="755">
        <f>IFERROR(VLOOKUP(B581,DATEWISE!$A$3:$BY$27,2,0),0)</f>
        <v>0</v>
      </c>
      <c r="D581" s="755" t="e">
        <f>IF($C$581=0,NA(),VLOOKUP($I$561&amp;$B$581,FLNFIX!$CN$4:$EF$103,2,0))</f>
        <v>#N/A</v>
      </c>
      <c r="E581" s="755" t="e">
        <f>IF($C$581=0,NA(),VLOOKUP($I$561&amp;$B$581,FLNFIX!$CN$4:$EF$103,4,0))</f>
        <v>#N/A</v>
      </c>
      <c r="F581" s="755" t="e">
        <f>IF($C$581=0,NA(),VLOOKUP($I$561&amp;$B$581,FLNFIX!$CN$4:$EF$103,3,0))</f>
        <v>#N/A</v>
      </c>
      <c r="G581" s="756" t="e">
        <f>IF($C$581=0,NA(),VLOOKUP($I$561&amp;$B$581,FLNFIX!$CN$4:$EF$103,5,0))</f>
        <v>#N/A</v>
      </c>
      <c r="H581" s="757"/>
      <c r="I581" s="757"/>
      <c r="J581" s="758"/>
      <c r="K581" s="677"/>
    </row>
    <row r="582" ht="20.1" customHeight="1" spans="1:11">
      <c r="A582" s="675"/>
      <c r="B582" s="755">
        <f t="shared" si="10"/>
        <v>18</v>
      </c>
      <c r="C582" s="755">
        <f>IFERROR(VLOOKUP(B582,DATEWISE!$A$3:$BY$27,2,0),0)</f>
        <v>0</v>
      </c>
      <c r="D582" s="755" t="e">
        <f>IF($C$582=0,NA(),VLOOKUP($I$561&amp;$B$582,FLNFIX!$CS$4:$EF$103,2,0))</f>
        <v>#N/A</v>
      </c>
      <c r="E582" s="755" t="e">
        <f>IF($C$582=0,NA(),VLOOKUP($I$561&amp;$B$582,FLNFIX!$CS$4:$EF$103,4,0))</f>
        <v>#N/A</v>
      </c>
      <c r="F582" s="755" t="e">
        <f>IF($C$582=0,NA(),VLOOKUP($I$561&amp;$B$582,FLNFIX!$CS$4:$EF$103,3,0))</f>
        <v>#N/A</v>
      </c>
      <c r="G582" s="756" t="e">
        <f>IF($C$582=0,NA(),VLOOKUP($I$561&amp;$B$582,FLNFIX!$CS$4:$EF$103,5,0))</f>
        <v>#N/A</v>
      </c>
      <c r="H582" s="757"/>
      <c r="I582" s="757"/>
      <c r="J582" s="758"/>
      <c r="K582" s="677"/>
    </row>
    <row r="583" ht="20.1" customHeight="1" spans="1:11">
      <c r="A583" s="675"/>
      <c r="B583" s="755">
        <f t="shared" si="10"/>
        <v>19</v>
      </c>
      <c r="C583" s="755">
        <f>IFERROR(VLOOKUP(B583,DATEWISE!$A$3:$BY$27,2,0),0)</f>
        <v>0</v>
      </c>
      <c r="D583" s="755" t="e">
        <f>IF($C$583=0,NA(),VLOOKUP($I$561&amp;$B$583,FLNFIX!$CX$4:$EF$103,2,0))</f>
        <v>#N/A</v>
      </c>
      <c r="E583" s="755" t="e">
        <f>IF($C$583=0,NA(),VLOOKUP($I$561&amp;$B$583,FLNFIX!$CX$4:$EF$103,4,0))</f>
        <v>#N/A</v>
      </c>
      <c r="F583" s="755" t="e">
        <f>IF($C$583=0,NA(),VLOOKUP($I$561&amp;$B$583,FLNFIX!$CX$4:$EF$103,3,0))</f>
        <v>#N/A</v>
      </c>
      <c r="G583" s="756" t="e">
        <f>IF($C$583=0,NA(),VLOOKUP($I$561&amp;$B$583,FLNFIX!$CX$4:$EF$103,5,0))</f>
        <v>#N/A</v>
      </c>
      <c r="H583" s="757"/>
      <c r="I583" s="757"/>
      <c r="J583" s="758"/>
      <c r="K583" s="677"/>
    </row>
    <row r="584" ht="20.1" customHeight="1" spans="1:11">
      <c r="A584" s="675"/>
      <c r="B584" s="755">
        <f t="shared" si="10"/>
        <v>20</v>
      </c>
      <c r="C584" s="755">
        <f>IFERROR(VLOOKUP(B584,DATEWISE!$A$3:$BY$27,2,0),0)</f>
        <v>0</v>
      </c>
      <c r="D584" s="755" t="e">
        <f>IF($C$584=0,NA(),VLOOKUP($I$561&amp;$B$584,FLNFIX!$DC$4:$EF$103,2,0))</f>
        <v>#N/A</v>
      </c>
      <c r="E584" s="755" t="e">
        <f>IF($C$584=0,NA(),VLOOKUP($I$561&amp;$B$584,FLNFIX!$DC$4:$EF$103,4,0))</f>
        <v>#N/A</v>
      </c>
      <c r="F584" s="755" t="e">
        <f>IF($C$584=0,NA(),VLOOKUP($I$561&amp;$B$584,FLNFIX!$DC$4:$EF$103,3,0))</f>
        <v>#N/A</v>
      </c>
      <c r="G584" s="756" t="e">
        <f>IF($C$584=0,NA(),VLOOKUP($I$561&amp;$B$584,FLNFIX!$DC$4:$EF$103,5,0))</f>
        <v>#N/A</v>
      </c>
      <c r="H584" s="757"/>
      <c r="I584" s="757"/>
      <c r="J584" s="758"/>
      <c r="K584" s="677"/>
    </row>
    <row r="585" ht="20.1" customHeight="1" spans="1:11">
      <c r="A585" s="675"/>
      <c r="B585" s="755">
        <f t="shared" si="10"/>
        <v>21</v>
      </c>
      <c r="C585" s="755">
        <f>IFERROR(VLOOKUP(B585,DATEWISE!$A$3:$BY$27,2,0),0)</f>
        <v>0</v>
      </c>
      <c r="D585" s="755" t="e">
        <f>IF($C$585=0,NA(),VLOOKUP($I$561&amp;$B$585,FLNFIX!$DH$4:$EF$103,2,0))</f>
        <v>#N/A</v>
      </c>
      <c r="E585" s="755" t="e">
        <f>IF($C$585=0,NA(),VLOOKUP($I$561&amp;$B$585,FLNFIX!$DH$4:$EF$103,4,0))</f>
        <v>#N/A</v>
      </c>
      <c r="F585" s="755" t="e">
        <f>IF($C$585=0,NA(),VLOOKUP($I$561&amp;$B$585,FLNFIX!$DH$4:$EF$103,3,0))</f>
        <v>#N/A</v>
      </c>
      <c r="G585" s="756" t="e">
        <f>IF($C$585=0,NA(),VLOOKUP($I$561&amp;$B$585,FLNFIX!$DH$4:$EF$103,5,0))</f>
        <v>#N/A</v>
      </c>
      <c r="H585" s="757"/>
      <c r="I585" s="757"/>
      <c r="J585" s="758"/>
      <c r="K585" s="677"/>
    </row>
    <row r="586" ht="5.1" customHeight="1" spans="1:11">
      <c r="A586" s="675"/>
      <c r="B586" s="759"/>
      <c r="C586" s="759"/>
      <c r="D586" s="760"/>
      <c r="E586" s="760"/>
      <c r="F586" s="760"/>
      <c r="G586" s="761"/>
      <c r="H586" s="761"/>
      <c r="I586" s="761"/>
      <c r="J586" s="761"/>
      <c r="K586" s="677"/>
    </row>
    <row r="587" s="667" customFormat="1" ht="24.95" customHeight="1" spans="1:11">
      <c r="A587" s="711"/>
      <c r="B587" s="762" t="s">
        <v>431</v>
      </c>
      <c r="C587" s="763"/>
      <c r="D587" s="763"/>
      <c r="E587" s="763"/>
      <c r="F587" s="763"/>
      <c r="G587" s="763"/>
      <c r="H587" s="763"/>
      <c r="I587" s="763"/>
      <c r="J587" s="764"/>
      <c r="K587" s="713"/>
    </row>
    <row r="588" spans="1:11">
      <c r="A588" s="675"/>
      <c r="B588" s="765"/>
      <c r="C588" s="686"/>
      <c r="D588" s="686"/>
      <c r="E588" s="686"/>
      <c r="F588" s="686"/>
      <c r="G588" s="686"/>
      <c r="H588" s="686"/>
      <c r="I588" s="686"/>
      <c r="J588" s="766"/>
      <c r="K588" s="677"/>
    </row>
    <row r="589" spans="1:11">
      <c r="A589" s="675"/>
      <c r="B589" s="765"/>
      <c r="C589" s="686"/>
      <c r="D589" s="686"/>
      <c r="E589" s="686"/>
      <c r="F589" s="686"/>
      <c r="G589" s="686"/>
      <c r="H589" s="686"/>
      <c r="I589" s="686"/>
      <c r="J589" s="766"/>
      <c r="K589" s="677"/>
    </row>
    <row r="590" spans="1:11">
      <c r="A590" s="675"/>
      <c r="B590" s="765"/>
      <c r="C590" s="686"/>
      <c r="D590" s="686"/>
      <c r="E590" s="686"/>
      <c r="F590" s="686"/>
      <c r="G590" s="686"/>
      <c r="H590" s="686"/>
      <c r="I590" s="686"/>
      <c r="J590" s="766"/>
      <c r="K590" s="677"/>
    </row>
    <row r="591" spans="1:11">
      <c r="A591" s="675"/>
      <c r="B591" s="765"/>
      <c r="C591" s="686"/>
      <c r="D591" s="686"/>
      <c r="E591" s="686"/>
      <c r="F591" s="686"/>
      <c r="G591" s="686"/>
      <c r="H591" s="686"/>
      <c r="I591" s="686"/>
      <c r="J591" s="766"/>
      <c r="K591" s="677"/>
    </row>
    <row r="592" spans="1:11">
      <c r="A592" s="675"/>
      <c r="B592" s="765"/>
      <c r="C592" s="686"/>
      <c r="D592" s="686"/>
      <c r="E592" s="686"/>
      <c r="F592" s="686"/>
      <c r="G592" s="686"/>
      <c r="H592" s="686"/>
      <c r="I592" s="686"/>
      <c r="J592" s="766"/>
      <c r="K592" s="677"/>
    </row>
    <row r="593" spans="1:11">
      <c r="A593" s="675"/>
      <c r="B593" s="765"/>
      <c r="C593" s="686"/>
      <c r="D593" s="686"/>
      <c r="E593" s="686"/>
      <c r="F593" s="686"/>
      <c r="G593" s="686"/>
      <c r="H593" s="686"/>
      <c r="I593" s="686"/>
      <c r="J593" s="766"/>
      <c r="K593" s="677"/>
    </row>
    <row r="594" spans="1:11">
      <c r="A594" s="675"/>
      <c r="B594" s="765"/>
      <c r="C594" s="686"/>
      <c r="D594" s="686"/>
      <c r="E594" s="686"/>
      <c r="F594" s="686"/>
      <c r="G594" s="686"/>
      <c r="H594" s="686"/>
      <c r="I594" s="686"/>
      <c r="J594" s="766"/>
      <c r="K594" s="677"/>
    </row>
    <row r="595" spans="1:11">
      <c r="A595" s="675"/>
      <c r="B595" s="765"/>
      <c r="C595" s="686"/>
      <c r="D595" s="686"/>
      <c r="E595" s="686"/>
      <c r="F595" s="686"/>
      <c r="G595" s="686"/>
      <c r="H595" s="686"/>
      <c r="I595" s="686"/>
      <c r="J595" s="766"/>
      <c r="K595" s="677"/>
    </row>
    <row r="596" spans="1:11">
      <c r="A596" s="675"/>
      <c r="B596" s="765"/>
      <c r="C596" s="686"/>
      <c r="D596" s="686"/>
      <c r="E596" s="686"/>
      <c r="F596" s="686"/>
      <c r="G596" s="686"/>
      <c r="H596" s="686"/>
      <c r="I596" s="686"/>
      <c r="J596" s="766"/>
      <c r="K596" s="677"/>
    </row>
    <row r="597" spans="1:11">
      <c r="A597" s="675"/>
      <c r="B597" s="767"/>
      <c r="C597" s="768"/>
      <c r="D597" s="768"/>
      <c r="E597" s="768"/>
      <c r="F597" s="768"/>
      <c r="G597" s="768"/>
      <c r="H597" s="768"/>
      <c r="I597" s="768"/>
      <c r="J597" s="769"/>
      <c r="K597" s="677"/>
    </row>
    <row r="598" ht="5.1" customHeight="1" spans="1:11">
      <c r="A598" s="675"/>
      <c r="B598" s="686"/>
      <c r="C598" s="686"/>
      <c r="D598" s="686"/>
      <c r="E598" s="686"/>
      <c r="F598" s="686"/>
      <c r="G598" s="686"/>
      <c r="H598" s="686"/>
      <c r="I598" s="686"/>
      <c r="J598" s="686"/>
      <c r="K598" s="677"/>
    </row>
    <row r="599" spans="1:11">
      <c r="A599" s="675"/>
      <c r="B599" s="770" t="s">
        <v>432</v>
      </c>
      <c r="C599" s="770"/>
      <c r="D599" s="770"/>
      <c r="E599" s="770"/>
      <c r="F599" s="770"/>
      <c r="G599" s="770"/>
      <c r="H599" s="770"/>
      <c r="I599" s="770"/>
      <c r="J599" s="770"/>
      <c r="K599" s="677"/>
    </row>
    <row r="600" spans="1:11">
      <c r="A600" s="675"/>
      <c r="B600" s="771"/>
      <c r="C600" s="771"/>
      <c r="D600" s="771"/>
      <c r="E600" s="771"/>
      <c r="F600" s="771"/>
      <c r="G600" s="771"/>
      <c r="H600" s="771"/>
      <c r="I600" s="771"/>
      <c r="J600" s="771"/>
      <c r="K600" s="677"/>
    </row>
    <row r="601" spans="1:11">
      <c r="A601" s="675"/>
      <c r="B601" s="771"/>
      <c r="C601" s="771"/>
      <c r="D601" s="771"/>
      <c r="E601" s="771"/>
      <c r="F601" s="771"/>
      <c r="G601" s="771"/>
      <c r="H601" s="771"/>
      <c r="I601" s="771"/>
      <c r="J601" s="771"/>
      <c r="K601" s="677"/>
    </row>
    <row r="602" spans="1:11">
      <c r="A602" s="675"/>
      <c r="B602" s="771"/>
      <c r="C602" s="771"/>
      <c r="D602" s="771"/>
      <c r="E602" s="771"/>
      <c r="F602" s="771"/>
      <c r="G602" s="771"/>
      <c r="H602" s="771"/>
      <c r="I602" s="771"/>
      <c r="J602" s="771"/>
      <c r="K602" s="677"/>
    </row>
    <row r="603" spans="1:11">
      <c r="A603" s="675"/>
      <c r="B603" s="686"/>
      <c r="C603" s="686"/>
      <c r="D603" s="686"/>
      <c r="E603" s="686"/>
      <c r="F603" s="686"/>
      <c r="G603" s="686"/>
      <c r="H603" s="686"/>
      <c r="I603" s="686"/>
      <c r="J603" s="686"/>
      <c r="K603" s="677"/>
    </row>
    <row r="604" spans="1:11">
      <c r="A604" s="675"/>
      <c r="B604" s="686"/>
      <c r="C604" s="729" t="s">
        <v>433</v>
      </c>
      <c r="D604" s="729"/>
      <c r="E604" s="686"/>
      <c r="F604" s="686"/>
      <c r="G604" s="729" t="s">
        <v>434</v>
      </c>
      <c r="H604" s="729"/>
      <c r="I604" s="729"/>
      <c r="J604" s="729"/>
      <c r="K604" s="677"/>
    </row>
    <row r="605" ht="16.35" spans="1:11">
      <c r="A605" s="725"/>
      <c r="B605" s="726"/>
      <c r="C605" s="732" t="str">
        <f>"("&amp;PROPER(ENTRY!$D$19)&amp;")"</f>
        <v>(Indrajeet)</v>
      </c>
      <c r="D605" s="732"/>
      <c r="E605" s="726"/>
      <c r="F605" s="726"/>
      <c r="G605" s="732" t="str">
        <f>"("&amp;PROPER(ENTRY!$D$12)&amp;")"</f>
        <v>(Shambhu Dayal Meena)</v>
      </c>
      <c r="H605" s="732"/>
      <c r="I605" s="732"/>
      <c r="J605" s="732"/>
      <c r="K605" s="728"/>
    </row>
    <row r="606" ht="24.6" spans="1:11">
      <c r="B606" s="734"/>
      <c r="C606" s="734"/>
      <c r="D606" s="669" t="str">
        <f>ENTRY!$D$3</f>
        <v>MUNICIPAL CORPORATION OF DELHI</v>
      </c>
      <c r="E606" s="669"/>
      <c r="F606" s="669"/>
      <c r="G606" s="669"/>
      <c r="H606" s="734"/>
      <c r="I606" s="669"/>
      <c r="J606" s="669"/>
    </row>
    <row r="607" ht="20.4" spans="1:11">
      <c r="B607" s="735"/>
      <c r="C607" s="735"/>
      <c r="D607" s="670" t="str">
        <f>ENTRY!$D$4</f>
        <v>EDUCATION DEPARTMENT</v>
      </c>
      <c r="E607" s="670"/>
      <c r="F607" s="670"/>
      <c r="G607" s="670"/>
      <c r="H607" s="735"/>
      <c r="I607" s="669"/>
      <c r="J607" s="669"/>
    </row>
    <row r="608" ht="22.8" spans="1:11">
      <c r="B608" s="736"/>
      <c r="C608" s="736"/>
      <c r="D608" s="664" t="s">
        <v>417</v>
      </c>
      <c r="E608" s="664"/>
      <c r="F608" s="664"/>
      <c r="G608" s="664"/>
      <c r="H608" s="736"/>
      <c r="I608" s="669"/>
      <c r="J608" s="669"/>
    </row>
    <row r="609" ht="22.8" spans="1:11">
      <c r="B609" s="736"/>
      <c r="C609" s="736"/>
      <c r="D609" s="664" t="s">
        <v>418</v>
      </c>
      <c r="E609" s="664"/>
      <c r="F609" s="664"/>
      <c r="G609" s="664"/>
      <c r="H609" s="736"/>
      <c r="I609" s="669"/>
      <c r="J609" s="669"/>
    </row>
    <row r="610" ht="24.95" customHeight="1" spans="1:11">
      <c r="B610" s="735"/>
      <c r="C610" s="735"/>
      <c r="D610" s="737" t="str">
        <f>"SESSION : "&amp;ENTRY!$D$11</f>
        <v>SESSION : 2026-27</v>
      </c>
      <c r="E610" s="737"/>
      <c r="F610" s="737"/>
      <c r="G610" s="737"/>
      <c r="H610" s="735"/>
      <c r="I610" s="738"/>
      <c r="J610" s="738"/>
    </row>
    <row r="611" ht="3.75" customHeight="1" spans="1:11">
      <c r="A611" s="672"/>
      <c r="B611" s="739"/>
      <c r="C611" s="739"/>
      <c r="D611" s="739"/>
      <c r="E611" s="739"/>
      <c r="F611" s="739"/>
      <c r="G611" s="739"/>
      <c r="H611" s="739"/>
      <c r="I611" s="739"/>
      <c r="J611" s="739"/>
      <c r="K611" s="674"/>
    </row>
    <row r="612" ht="21.95" customHeight="1" spans="1:11">
      <c r="A612" s="675"/>
      <c r="B612" s="676" t="s">
        <v>419</v>
      </c>
      <c r="C612" s="676"/>
      <c r="D612" s="676" t="str">
        <f>ENTRY!$D$6</f>
        <v>MCP NITHARI NO 1 BOYS</v>
      </c>
      <c r="E612" s="676"/>
      <c r="F612" s="676"/>
      <c r="G612" s="676"/>
      <c r="H612" s="676"/>
      <c r="I612" s="676"/>
      <c r="J612" s="676"/>
      <c r="K612" s="677"/>
    </row>
    <row r="613" ht="21.95" customHeight="1" spans="1:11">
      <c r="A613" s="675"/>
      <c r="B613" s="676" t="s">
        <v>420</v>
      </c>
      <c r="C613" s="676"/>
      <c r="D613" s="740" t="str">
        <f>IFERROR(VLOOKUP($I$616,STUDENT!$A$2:$BP$101,5,0),"")</f>
        <v>PRADEEP</v>
      </c>
      <c r="E613" s="740"/>
      <c r="F613" s="740"/>
      <c r="G613" s="740"/>
      <c r="H613" s="740"/>
      <c r="I613" s="740"/>
      <c r="J613" s="740"/>
      <c r="K613" s="677"/>
    </row>
    <row r="614" ht="21.95" customHeight="1" spans="1:11">
      <c r="A614" s="675"/>
      <c r="B614" s="676" t="s">
        <v>421</v>
      </c>
      <c r="C614" s="676"/>
      <c r="D614" s="740" t="str">
        <f>IFERROR(VLOOKUP($I$616,STUDENT!$A$2:$BP$101,8,0),"")</f>
        <v>RAM BHAWAN</v>
      </c>
      <c r="E614" s="740"/>
      <c r="F614" s="740"/>
      <c r="G614" s="740"/>
      <c r="H614" s="740"/>
      <c r="I614" s="740"/>
      <c r="J614" s="740"/>
      <c r="K614" s="677"/>
    </row>
    <row r="615" ht="21.95" customHeight="1" spans="1:11">
      <c r="A615" s="675"/>
      <c r="B615" s="676" t="s">
        <v>422</v>
      </c>
      <c r="C615" s="676"/>
      <c r="D615" s="740">
        <f>IFERROR(VLOOKUP($I$616,STUDENT!$A$2:$BP$101,6,0),"")</f>
        <v>14734</v>
      </c>
      <c r="E615" s="740"/>
      <c r="F615" s="740"/>
      <c r="G615" s="740"/>
      <c r="H615" s="740"/>
      <c r="I615" s="740"/>
      <c r="J615" s="740"/>
      <c r="K615" s="677"/>
    </row>
    <row r="616" ht="21.95" customHeight="1" spans="1:11">
      <c r="A616" s="675"/>
      <c r="B616" s="676" t="s">
        <v>423</v>
      </c>
      <c r="C616" s="676"/>
      <c r="D616" s="741" t="str">
        <f>IFERROR(VLOOKUP($I$616,STUDENT!$A$2:$BP$101,59,0),"")</f>
        <v/>
      </c>
      <c r="E616" s="742" t="s">
        <v>424</v>
      </c>
      <c r="F616" s="704" t="str">
        <f>IFERROR(VLOOKUP($I$616,STUDENT!$A$2:$BP$101,2,0),"")</f>
        <v>III-A</v>
      </c>
      <c r="G616" s="742" t="s">
        <v>425</v>
      </c>
      <c r="H616" s="743"/>
      <c r="I616" s="733">
        <f>I561+1</f>
        <v>12</v>
      </c>
      <c r="J616" s="683"/>
      <c r="K616" s="677"/>
    </row>
    <row r="617" ht="5.1" customHeight="1" spans="1:11">
      <c r="A617" s="675"/>
      <c r="B617" s="745"/>
      <c r="C617" s="745"/>
      <c r="D617" s="746"/>
      <c r="E617" s="747"/>
      <c r="F617" s="748"/>
      <c r="G617" s="747"/>
      <c r="H617" s="686"/>
      <c r="I617" s="686"/>
      <c r="J617" s="686"/>
      <c r="K617" s="677"/>
    </row>
    <row r="618" s="664" customFormat="1" ht="32.1" customHeight="1" spans="1:11">
      <c r="A618" s="688"/>
      <c r="B618" s="749" t="s">
        <v>426</v>
      </c>
      <c r="C618" s="750"/>
      <c r="D618" s="750"/>
      <c r="E618" s="750"/>
      <c r="F618" s="750"/>
      <c r="G618" s="750"/>
      <c r="H618" s="750"/>
      <c r="I618" s="750"/>
      <c r="J618" s="751"/>
      <c r="K618" s="690"/>
    </row>
    <row r="619" ht="51.6" spans="1:11">
      <c r="A619" s="675"/>
      <c r="B619" s="752">
        <v>21</v>
      </c>
      <c r="C619" s="753" t="s">
        <v>427</v>
      </c>
      <c r="D619" s="754" t="s">
        <v>428</v>
      </c>
      <c r="E619" s="754" t="s">
        <v>429</v>
      </c>
      <c r="F619" s="754" t="s">
        <v>430</v>
      </c>
      <c r="G619" s="753" t="s">
        <v>390</v>
      </c>
      <c r="H619" s="714"/>
      <c r="I619" s="714"/>
      <c r="J619" s="714"/>
      <c r="K619" s="677"/>
    </row>
    <row r="620" ht="20.1" customHeight="1" spans="1:11">
      <c r="A620" s="675"/>
      <c r="B620" s="755">
        <v>1</v>
      </c>
      <c r="C620" s="755" t="str">
        <f>IFERROR(VLOOKUP(B620,DATEWISE!$A$3:$BY$27,2,0),0)</f>
        <v>30.04.2026</v>
      </c>
      <c r="D620" s="755">
        <f>IF($C$620=0,NA(),VLOOKUP($I$616&amp;$B$620,FLNFIX!$L$4:$EF$103,2,0))</f>
        <v>2</v>
      </c>
      <c r="E620" s="755">
        <f>IF($C$620=0,NA(),VLOOKUP($I$616&amp;$B$620,FLNFIX!$L$4:$EF$103,4,0))</f>
        <v>4</v>
      </c>
      <c r="F620" s="755">
        <f>IF($C$620=0,NA(),VLOOKUP($I$616&amp;$B$620,FLNFIX!$L$4:$EF$103,3,0))</f>
        <v>2</v>
      </c>
      <c r="G620" s="756">
        <f>IF($C$620=0,NA(),VLOOKUP($I$616&amp;$B$620,FLNFIX!$L$4:$EF$103,5,0))</f>
        <v>0</v>
      </c>
      <c r="H620" s="757"/>
      <c r="I620" s="757"/>
      <c r="J620" s="758"/>
      <c r="K620" s="677"/>
    </row>
    <row r="621" ht="20.1" customHeight="1" spans="1:11">
      <c r="A621" s="675"/>
      <c r="B621" s="755">
        <f t="shared" ref="B621:B640" si="11">IF(B620=0,0,IF(B620&lt;$B$619,B620+1,""))</f>
        <v>2</v>
      </c>
      <c r="C621" s="755" t="str">
        <f>IFERROR(VLOOKUP(B621,DATEWISE!$A$3:$BY$27,2,0),0)</f>
        <v>08.05.2026</v>
      </c>
      <c r="D621" s="755">
        <f>IF($C$621=0,NA(),VLOOKUP($I$616&amp;$B$621,FLNFIX!$Q$4:$EF$103,2,0))</f>
        <v>2</v>
      </c>
      <c r="E621" s="755">
        <f>IF($C$621=0,NA(),VLOOKUP($I$616&amp;$B$621,FLNFIX!$Q$4:$EF$103,4,0))</f>
        <v>4</v>
      </c>
      <c r="F621" s="755">
        <f>IF($C$621=0,NA(),VLOOKUP($I$616&amp;$B$621,FLNFIX!$Q$4:$EF$103,3,0))</f>
        <v>2</v>
      </c>
      <c r="G621" s="756">
        <f>IF($C$621=0,NA(),VLOOKUP($I$616&amp;$B$621,FLNFIX!$Q$4:$EF$103,5,0))</f>
        <v>0</v>
      </c>
      <c r="H621" s="757"/>
      <c r="I621" s="757"/>
      <c r="J621" s="758"/>
      <c r="K621" s="677"/>
    </row>
    <row r="622" ht="20.1" customHeight="1" spans="1:11">
      <c r="A622" s="675"/>
      <c r="B622" s="755">
        <f t="shared" si="11"/>
        <v>3</v>
      </c>
      <c r="C622" s="755" t="str">
        <f>IFERROR(VLOOKUP(B622,DATEWISE!$A$3:$BY$27,2,0),0)</f>
        <v>15.07.2026</v>
      </c>
      <c r="D622" s="755">
        <f>IF($C$622=0,NA(),VLOOKUP($I$616&amp;$B$622,FLNFIX!$V$4:$EF$103,2,0))</f>
        <v>2</v>
      </c>
      <c r="E622" s="755">
        <f>IF($C$622=0,NA(),VLOOKUP($I$616&amp;$B$622,FLNFIX!$V$4:$EF$103,4,0))</f>
        <v>4</v>
      </c>
      <c r="F622" s="755">
        <f>IF($C$622=0,NA(),VLOOKUP($I$616&amp;$B$622,FLNFIX!$V$4:$EF$103,3,0))</f>
        <v>2</v>
      </c>
      <c r="G622" s="756">
        <f>IF($C$622=0,NA(),VLOOKUP($I$616&amp;$B$622,FLNFIX!$V$4:$EF$103,5,0))</f>
        <v>0</v>
      </c>
      <c r="H622" s="757"/>
      <c r="I622" s="757"/>
      <c r="J622" s="758"/>
      <c r="K622" s="677"/>
    </row>
    <row r="623" ht="20.1" customHeight="1" spans="1:11">
      <c r="A623" s="675"/>
      <c r="B623" s="755">
        <f t="shared" si="11"/>
        <v>4</v>
      </c>
      <c r="C623" s="755" t="str">
        <f>IFERROR(VLOOKUP(B623,DATEWISE!$A$3:$BY$27,2,0),0)</f>
        <v>31.07.2026</v>
      </c>
      <c r="D623" s="755">
        <f>IF($C$623=0,NA(),VLOOKUP($I$616&amp;$B$623,FLNFIX!$AA$4:$EF$103,2,0))</f>
        <v>2</v>
      </c>
      <c r="E623" s="755">
        <f>IF($C$623=0,NA(),VLOOKUP($I$616&amp;$B$623,FLNFIX!$AA$4:$EF$103,4,0))</f>
        <v>4</v>
      </c>
      <c r="F623" s="755">
        <f>IF($C$623=0,NA(),VLOOKUP($I$616&amp;$B$623,FLNFIX!$AA$4:$EF$103,3,0))</f>
        <v>2</v>
      </c>
      <c r="G623" s="756">
        <f>IF($C$623=0,NA(),VLOOKUP($I$616&amp;$B$623,FLNFIX!$AA$4:$EF$103,5,0))</f>
        <v>0</v>
      </c>
      <c r="H623" s="757"/>
      <c r="I623" s="757"/>
      <c r="J623" s="758"/>
      <c r="K623" s="677"/>
    </row>
    <row r="624" ht="20.1" customHeight="1" spans="1:11">
      <c r="A624" s="675"/>
      <c r="B624" s="755">
        <f t="shared" si="11"/>
        <v>5</v>
      </c>
      <c r="C624" s="755" t="str">
        <f>IFERROR(VLOOKUP(B624,DATEWISE!$A$3:$BY$27,2,0),0)</f>
        <v>17.08.2026</v>
      </c>
      <c r="D624" s="755">
        <f>IF($C$624=0,NA(),VLOOKUP($I$616&amp;$B$624,FLNFIX!$AF$4:$EF$103,2,0))</f>
        <v>2</v>
      </c>
      <c r="E624" s="755">
        <f>IF($C$624=0,NA(),VLOOKUP($I$616&amp;$B$624,FLNFIX!$AF$4:$EF$103,4,0))</f>
        <v>4</v>
      </c>
      <c r="F624" s="755">
        <f>IF($C$624=0,NA(),VLOOKUP($I$616&amp;$B$624,FLNFIX!$AF$4:$EF$103,3,0))</f>
        <v>2</v>
      </c>
      <c r="G624" s="756">
        <f>IF($C$624=0,NA(),VLOOKUP($I$616&amp;$B$624,FLNFIX!$AF$4:$EF$103,5,0))</f>
        <v>0</v>
      </c>
      <c r="H624" s="757"/>
      <c r="I624" s="757"/>
      <c r="J624" s="758"/>
      <c r="K624" s="677"/>
    </row>
    <row r="625" ht="20.1" customHeight="1" spans="1:11">
      <c r="A625" s="675"/>
      <c r="B625" s="755">
        <f t="shared" si="11"/>
        <v>6</v>
      </c>
      <c r="C625" s="755" t="str">
        <f>IFERROR(VLOOKUP(B625,DATEWISE!$A$3:$BY$27,2,0),0)</f>
        <v>31.08.2026</v>
      </c>
      <c r="D625" s="755">
        <f>IF($C$625=0,NA(),VLOOKUP($I$616&amp;$B$625,FLNFIX!$AK$4:$EF$103,2,0))</f>
        <v>2</v>
      </c>
      <c r="E625" s="755">
        <f>IF($C$625=0,NA(),VLOOKUP($I$616&amp;$B$625,FLNFIX!$AK$4:$EF$103,4,0))</f>
        <v>4</v>
      </c>
      <c r="F625" s="755">
        <f>IF($C$625=0,NA(),VLOOKUP($I$616&amp;$B$625,FLNFIX!$AK$4:$EF$103,3,0))</f>
        <v>2</v>
      </c>
      <c r="G625" s="756">
        <f>IF($C$625=0,NA(),VLOOKUP($I$616&amp;$B$625,FLNFIX!$AK$4:$EF$103,5,0))</f>
        <v>0</v>
      </c>
      <c r="H625" s="757"/>
      <c r="I625" s="757"/>
      <c r="J625" s="758"/>
      <c r="K625" s="677"/>
    </row>
    <row r="626" ht="20.1" customHeight="1" spans="1:11">
      <c r="A626" s="675"/>
      <c r="B626" s="755">
        <f t="shared" si="11"/>
        <v>7</v>
      </c>
      <c r="C626" s="755">
        <f>IFERROR(VLOOKUP(B626,DATEWISE!$A$3:$BY$27,2,0),0)</f>
        <v>0</v>
      </c>
      <c r="D626" s="755" t="e">
        <f>IF($C$626=0,NA(),VLOOKUP($I$616&amp;$B$626,FLNFIX!$AP$4:$EF$103,2,0))</f>
        <v>#N/A</v>
      </c>
      <c r="E626" s="755" t="e">
        <f>IF($C$626=0,NA(),VLOOKUP($I$616&amp;$B$626,FLNFIX!$AP$4:$EF$103,4,0))</f>
        <v>#N/A</v>
      </c>
      <c r="F626" s="755" t="e">
        <f>IF($C$626=0,NA(),VLOOKUP($I$616&amp;$B$626,FLNFIX!$AP$4:$EF$103,3,0))</f>
        <v>#N/A</v>
      </c>
      <c r="G626" s="756" t="e">
        <f>IF($C$626=0,NA(),VLOOKUP($I$616&amp;$B$626,FLNFIX!$AP$4:$EF$103,5,0))</f>
        <v>#N/A</v>
      </c>
      <c r="H626" s="757"/>
      <c r="I626" s="757"/>
      <c r="J626" s="758"/>
      <c r="K626" s="677"/>
    </row>
    <row r="627" ht="20.1" customHeight="1" spans="1:11">
      <c r="A627" s="675"/>
      <c r="B627" s="755">
        <f t="shared" si="11"/>
        <v>8</v>
      </c>
      <c r="C627" s="755">
        <f>IFERROR(VLOOKUP(B627,DATEWISE!$A$3:$BY$27,2,0),0)</f>
        <v>0</v>
      </c>
      <c r="D627" s="755" t="e">
        <f>IF($C$627=0,NA(),VLOOKUP($I$616&amp;$B$627,FLNFIX!$AU$4:$EF$103,2,0))</f>
        <v>#N/A</v>
      </c>
      <c r="E627" s="755" t="e">
        <f>IF($C$627=0,NA(),VLOOKUP($I$616&amp;$B$627,FLNFIX!$AU$4:$EF$103,4,0))</f>
        <v>#N/A</v>
      </c>
      <c r="F627" s="755" t="e">
        <f>IF($C$627=0,NA(),VLOOKUP($I$616&amp;$B$627,FLNFIX!$AU$4:$EF$103,3,0))</f>
        <v>#N/A</v>
      </c>
      <c r="G627" s="756" t="e">
        <f>IF($C$627=0,NA(),VLOOKUP($I$616&amp;$B$627,FLNFIX!$AU$4:$EF$103,5,0))</f>
        <v>#N/A</v>
      </c>
      <c r="H627" s="757"/>
      <c r="I627" s="757"/>
      <c r="J627" s="758"/>
      <c r="K627" s="677"/>
    </row>
    <row r="628" ht="20.1" customHeight="1" spans="1:11">
      <c r="A628" s="675"/>
      <c r="B628" s="755">
        <f t="shared" si="11"/>
        <v>9</v>
      </c>
      <c r="C628" s="755">
        <f>IFERROR(VLOOKUP(B628,DATEWISE!$A$3:$BY$27,2,0),0)</f>
        <v>0</v>
      </c>
      <c r="D628" s="755" t="e">
        <f>IF($C$628=0,NA(),VLOOKUP($I$616&amp;$B$628,FLNFIX!$AZ$4:$EF$103,2,0))</f>
        <v>#N/A</v>
      </c>
      <c r="E628" s="755" t="e">
        <f>IF($C$628=0,NA(),VLOOKUP($I$616&amp;$B$628,FLNFIX!$AZ$4:$EF$103,4,0))</f>
        <v>#N/A</v>
      </c>
      <c r="F628" s="755" t="e">
        <f>IF($C$628=0,NA(),VLOOKUP($I$616&amp;$B$628,FLNFIX!$AZ$4:$EF$103,3,0))</f>
        <v>#N/A</v>
      </c>
      <c r="G628" s="756" t="e">
        <f>IF($C$628=0,NA(),VLOOKUP($I$616&amp;$B$628,FLNFIX!$AZ$4:$EF$103,5,0))</f>
        <v>#N/A</v>
      </c>
      <c r="H628" s="757"/>
      <c r="I628" s="757"/>
      <c r="J628" s="758"/>
      <c r="K628" s="677"/>
    </row>
    <row r="629" ht="20.1" customHeight="1" spans="1:11">
      <c r="A629" s="675"/>
      <c r="B629" s="755">
        <f t="shared" si="11"/>
        <v>10</v>
      </c>
      <c r="C629" s="755">
        <f>IFERROR(VLOOKUP(B629,DATEWISE!$A$3:$BY$27,2,0),0)</f>
        <v>0</v>
      </c>
      <c r="D629" s="755" t="e">
        <f>IF($C$629=0,NA(),VLOOKUP($I$616&amp;$B$629,FLNFIX!$BE$4:$EF$103,2,0))</f>
        <v>#N/A</v>
      </c>
      <c r="E629" s="755" t="e">
        <f>IF($C$629=0,NA(),VLOOKUP($I$616&amp;$B$629,FLNFIX!$BE$4:$EF$103,4,0))</f>
        <v>#N/A</v>
      </c>
      <c r="F629" s="755" t="e">
        <f>IF($C$629=0,NA(),VLOOKUP($I$616&amp;$B$629,FLNFIX!$BE$4:$EF$103,3,0))</f>
        <v>#N/A</v>
      </c>
      <c r="G629" s="756" t="e">
        <f>IF($C$629=0,NA(),VLOOKUP($I$616&amp;$B$629,FLNFIX!$BE$4:$EF$103,5,0))</f>
        <v>#N/A</v>
      </c>
      <c r="H629" s="757"/>
      <c r="I629" s="757"/>
      <c r="J629" s="758"/>
      <c r="K629" s="677"/>
    </row>
    <row r="630" ht="20.1" customHeight="1" spans="1:11">
      <c r="A630" s="675"/>
      <c r="B630" s="755">
        <f t="shared" si="11"/>
        <v>11</v>
      </c>
      <c r="C630" s="755">
        <f>IFERROR(VLOOKUP(B630,DATEWISE!$A$3:$BY$27,2,0),0)</f>
        <v>0</v>
      </c>
      <c r="D630" s="755" t="e">
        <f>IF($C$630=0,NA(),VLOOKUP($I$616&amp;$B$630,FLNFIX!$BJ$4:$EF$103,2,0))</f>
        <v>#N/A</v>
      </c>
      <c r="E630" s="755" t="e">
        <f>IF($C$630=0,NA(),VLOOKUP($I$616&amp;$B$630,FLNFIX!$BJ$4:$EF$103,4,0))</f>
        <v>#N/A</v>
      </c>
      <c r="F630" s="755" t="e">
        <f>IF($C$630=0,NA(),VLOOKUP($I$616&amp;$B$630,FLNFIX!$BJ$4:$EF$103,3,0))</f>
        <v>#N/A</v>
      </c>
      <c r="G630" s="756" t="e">
        <f>IF($C$630=0,NA(),VLOOKUP($I$616&amp;$B$630,FLNFIX!$BJ$4:$EF$103,5,0))</f>
        <v>#N/A</v>
      </c>
      <c r="H630" s="757"/>
      <c r="I630" s="757"/>
      <c r="J630" s="758"/>
      <c r="K630" s="677"/>
    </row>
    <row r="631" ht="20.1" customHeight="1" spans="1:11">
      <c r="A631" s="675"/>
      <c r="B631" s="755">
        <f t="shared" si="11"/>
        <v>12</v>
      </c>
      <c r="C631" s="755">
        <f>IFERROR(VLOOKUP(B631,DATEWISE!$A$3:$BY$27,2,0),0)</f>
        <v>0</v>
      </c>
      <c r="D631" s="755" t="e">
        <f>IF($C$631=0,NA(),VLOOKUP($I$616&amp;$B$631,FLNFIX!$BO$4:$EF$103,2,0))</f>
        <v>#N/A</v>
      </c>
      <c r="E631" s="755" t="e">
        <f>IF($C$631=0,NA(),VLOOKUP($I$616&amp;$B$631,FLNFIX!$BO$4:$EF$103,4,0))</f>
        <v>#N/A</v>
      </c>
      <c r="F631" s="755" t="e">
        <f>IF($C$631=0,NA(),VLOOKUP($I$616&amp;$B$631,FLNFIX!$BO$4:$EF$103,3,0))</f>
        <v>#N/A</v>
      </c>
      <c r="G631" s="756" t="e">
        <f>IF($C$631=0,NA(),VLOOKUP($I$616&amp;$B$631,FLNFIX!$BO$4:$EF$103,5,0))</f>
        <v>#N/A</v>
      </c>
      <c r="H631" s="757"/>
      <c r="I631" s="757"/>
      <c r="J631" s="758"/>
      <c r="K631" s="677"/>
    </row>
    <row r="632" ht="20.1" customHeight="1" spans="1:11">
      <c r="A632" s="675"/>
      <c r="B632" s="755">
        <f t="shared" si="11"/>
        <v>13</v>
      </c>
      <c r="C632" s="755">
        <f>IFERROR(VLOOKUP(B632,DATEWISE!$A$3:$BY$27,2,0),0)</f>
        <v>0</v>
      </c>
      <c r="D632" s="755" t="e">
        <f>IF($C$632=0,NA(),VLOOKUP($I$616&amp;$B$632,FLNFIX!$BT$4:$EF$103,2,0))</f>
        <v>#N/A</v>
      </c>
      <c r="E632" s="755" t="e">
        <f>IF($C$632=0,NA(),VLOOKUP($I$616&amp;$B$632,FLNFIX!$BT$4:$EF$103,4,0))</f>
        <v>#N/A</v>
      </c>
      <c r="F632" s="755" t="e">
        <f>IF($C$632=0,NA(),VLOOKUP($I$616&amp;$B$632,FLNFIX!$BT$4:$EF$103,3,0))</f>
        <v>#N/A</v>
      </c>
      <c r="G632" s="756" t="e">
        <f>IF($C$632=0,NA(),VLOOKUP($I$616&amp;$B$632,FLNFIX!$BT$4:$EF$103,5,0))</f>
        <v>#N/A</v>
      </c>
      <c r="H632" s="757"/>
      <c r="I632" s="757"/>
      <c r="J632" s="758"/>
      <c r="K632" s="677"/>
    </row>
    <row r="633" ht="20.1" customHeight="1" spans="1:11">
      <c r="A633" s="675"/>
      <c r="B633" s="755">
        <f t="shared" si="11"/>
        <v>14</v>
      </c>
      <c r="C633" s="755">
        <f>IFERROR(VLOOKUP(B633,DATEWISE!$A$3:$BY$27,2,0),0)</f>
        <v>0</v>
      </c>
      <c r="D633" s="755" t="e">
        <f>IF($C$633=0,NA(),VLOOKUP($I$616&amp;$B$633,FLNFIX!$BY$4:$EF$103,2,0))</f>
        <v>#N/A</v>
      </c>
      <c r="E633" s="755" t="e">
        <f>IF($C$633=0,NA(),VLOOKUP($I$616&amp;$B$633,FLNFIX!$BY$4:$EF$103,4,0))</f>
        <v>#N/A</v>
      </c>
      <c r="F633" s="755" t="e">
        <f>IF($C$633=0,NA(),VLOOKUP($I$616&amp;$B$633,FLNFIX!$BY$4:$EF$103,3,0))</f>
        <v>#N/A</v>
      </c>
      <c r="G633" s="756" t="e">
        <f>IF($C$633=0,NA(),VLOOKUP($I$616&amp;$B$633,FLNFIX!$BY$4:$EF$103,5,0))</f>
        <v>#N/A</v>
      </c>
      <c r="H633" s="757"/>
      <c r="I633" s="757"/>
      <c r="J633" s="758"/>
      <c r="K633" s="677"/>
    </row>
    <row r="634" ht="20.1" customHeight="1" spans="1:11">
      <c r="A634" s="675"/>
      <c r="B634" s="755">
        <f t="shared" si="11"/>
        <v>15</v>
      </c>
      <c r="C634" s="755">
        <f>IFERROR(VLOOKUP(B634,DATEWISE!$A$3:$BY$27,2,0),0)</f>
        <v>0</v>
      </c>
      <c r="D634" s="755" t="e">
        <f>IF($C$634=0,NA(),VLOOKUP($I$616&amp;$B$634,FLNFIX!$CD$4:$EF$103,2,0))</f>
        <v>#N/A</v>
      </c>
      <c r="E634" s="755" t="e">
        <f>IF($C$634=0,NA(),VLOOKUP($I$616&amp;$B$634,FLNFIX!$CD$4:$EF$103,4,0))</f>
        <v>#N/A</v>
      </c>
      <c r="F634" s="755" t="e">
        <f>IF($C$634=0,NA(),VLOOKUP($I$616&amp;$B$634,FLNFIX!$CD$4:$EF$103,3,0))</f>
        <v>#N/A</v>
      </c>
      <c r="G634" s="756" t="e">
        <f>IF($C$634=0,NA(),VLOOKUP($I$616&amp;$B$634,FLNFIX!$CD$4:$EF$103,5,0))</f>
        <v>#N/A</v>
      </c>
      <c r="H634" s="757"/>
      <c r="I634" s="757"/>
      <c r="J634" s="758"/>
      <c r="K634" s="677"/>
    </row>
    <row r="635" ht="20.1" customHeight="1" spans="1:11">
      <c r="A635" s="675"/>
      <c r="B635" s="755">
        <f t="shared" si="11"/>
        <v>16</v>
      </c>
      <c r="C635" s="755">
        <f>IFERROR(VLOOKUP(B635,DATEWISE!$A$3:$BY$27,2,0),0)</f>
        <v>0</v>
      </c>
      <c r="D635" s="755" t="e">
        <f>IF($C$635=0,NA(),VLOOKUP($I$616&amp;$B$635,FLNFIX!$CI$4:$EF$103,2,0))</f>
        <v>#N/A</v>
      </c>
      <c r="E635" s="755" t="e">
        <f>IF($C$635=0,NA(),VLOOKUP($I$616&amp;$B$635,FLNFIX!$CI$4:$EF$103,4,0))</f>
        <v>#N/A</v>
      </c>
      <c r="F635" s="755" t="e">
        <f>IF($C$635=0,NA(),VLOOKUP($I$616&amp;$B$635,FLNFIX!$CI$4:$EF$103,3,0))</f>
        <v>#N/A</v>
      </c>
      <c r="G635" s="756" t="e">
        <f>IF($C$635=0,NA(),VLOOKUP($I$616&amp;$B$635,FLNFIX!$CI$4:$EF$103,5,0))</f>
        <v>#N/A</v>
      </c>
      <c r="H635" s="757"/>
      <c r="I635" s="757"/>
      <c r="J635" s="758"/>
      <c r="K635" s="677"/>
    </row>
    <row r="636" ht="20.1" customHeight="1" spans="1:11">
      <c r="A636" s="675"/>
      <c r="B636" s="755">
        <f t="shared" si="11"/>
        <v>17</v>
      </c>
      <c r="C636" s="755">
        <f>IFERROR(VLOOKUP(B636,DATEWISE!$A$3:$BY$27,2,0),0)</f>
        <v>0</v>
      </c>
      <c r="D636" s="755" t="e">
        <f>IF($C$636=0,NA(),VLOOKUP($I$616&amp;$B$636,FLNFIX!$CN$4:$EF$103,2,0))</f>
        <v>#N/A</v>
      </c>
      <c r="E636" s="755" t="e">
        <f>IF($C$636=0,NA(),VLOOKUP($I$616&amp;$B$636,FLNFIX!$CN$4:$EF$103,4,0))</f>
        <v>#N/A</v>
      </c>
      <c r="F636" s="755" t="e">
        <f>IF($C$636=0,NA(),VLOOKUP($I$616&amp;$B$636,FLNFIX!$CN$4:$EF$103,3,0))</f>
        <v>#N/A</v>
      </c>
      <c r="G636" s="756" t="e">
        <f>IF($C$636=0,NA(),VLOOKUP($I$616&amp;$B$636,FLNFIX!$CN$4:$EF$103,5,0))</f>
        <v>#N/A</v>
      </c>
      <c r="H636" s="757"/>
      <c r="I636" s="757"/>
      <c r="J636" s="758"/>
      <c r="K636" s="677"/>
    </row>
    <row r="637" ht="20.1" customHeight="1" spans="1:11">
      <c r="A637" s="675"/>
      <c r="B637" s="755">
        <f t="shared" si="11"/>
        <v>18</v>
      </c>
      <c r="C637" s="755">
        <f>IFERROR(VLOOKUP(B637,DATEWISE!$A$3:$BY$27,2,0),0)</f>
        <v>0</v>
      </c>
      <c r="D637" s="755" t="e">
        <f>IF($C$637=0,NA(),VLOOKUP($I$616&amp;$B$637,FLNFIX!$CS$4:$EF$103,2,0))</f>
        <v>#N/A</v>
      </c>
      <c r="E637" s="755" t="e">
        <f>IF($C$637=0,NA(),VLOOKUP($I$616&amp;$B$637,FLNFIX!$CS$4:$EF$103,4,0))</f>
        <v>#N/A</v>
      </c>
      <c r="F637" s="755" t="e">
        <f>IF($C$637=0,NA(),VLOOKUP($I$616&amp;$B$637,FLNFIX!$CS$4:$EF$103,3,0))</f>
        <v>#N/A</v>
      </c>
      <c r="G637" s="756" t="e">
        <f>IF($C$637=0,NA(),VLOOKUP($I$616&amp;$B$637,FLNFIX!$CS$4:$EF$103,5,0))</f>
        <v>#N/A</v>
      </c>
      <c r="H637" s="757"/>
      <c r="I637" s="757"/>
      <c r="J637" s="758"/>
      <c r="K637" s="677"/>
    </row>
    <row r="638" ht="20.1" customHeight="1" spans="1:11">
      <c r="A638" s="675"/>
      <c r="B638" s="755">
        <f t="shared" si="11"/>
        <v>19</v>
      </c>
      <c r="C638" s="755">
        <f>IFERROR(VLOOKUP(B638,DATEWISE!$A$3:$BY$27,2,0),0)</f>
        <v>0</v>
      </c>
      <c r="D638" s="755" t="e">
        <f>IF($C$638=0,NA(),VLOOKUP($I$616&amp;$B$638,FLNFIX!$CX$4:$EF$103,2,0))</f>
        <v>#N/A</v>
      </c>
      <c r="E638" s="755" t="e">
        <f>IF($C$638=0,NA(),VLOOKUP($I$616&amp;$B$638,FLNFIX!$CX$4:$EF$103,4,0))</f>
        <v>#N/A</v>
      </c>
      <c r="F638" s="755" t="e">
        <f>IF($C$638=0,NA(),VLOOKUP($I$616&amp;$B$638,FLNFIX!$CX$4:$EF$103,3,0))</f>
        <v>#N/A</v>
      </c>
      <c r="G638" s="756" t="e">
        <f>IF($C$638=0,NA(),VLOOKUP($I$616&amp;$B$638,FLNFIX!$CX$4:$EF$103,5,0))</f>
        <v>#N/A</v>
      </c>
      <c r="H638" s="757"/>
      <c r="I638" s="757"/>
      <c r="J638" s="758"/>
      <c r="K638" s="677"/>
    </row>
    <row r="639" ht="20.1" customHeight="1" spans="1:11">
      <c r="A639" s="675"/>
      <c r="B639" s="755">
        <f t="shared" si="11"/>
        <v>20</v>
      </c>
      <c r="C639" s="755">
        <f>IFERROR(VLOOKUP(B639,DATEWISE!$A$3:$BY$27,2,0),0)</f>
        <v>0</v>
      </c>
      <c r="D639" s="755" t="e">
        <f>IF($C$639=0,NA(),VLOOKUP($I$616&amp;$B$639,FLNFIX!$DC$4:$EF$103,2,0))</f>
        <v>#N/A</v>
      </c>
      <c r="E639" s="755" t="e">
        <f>IF($C$639=0,NA(),VLOOKUP($I$616&amp;$B$639,FLNFIX!$DC$4:$EF$103,4,0))</f>
        <v>#N/A</v>
      </c>
      <c r="F639" s="755" t="e">
        <f>IF($C$639=0,NA(),VLOOKUP($I$616&amp;$B$639,FLNFIX!$DC$4:$EF$103,3,0))</f>
        <v>#N/A</v>
      </c>
      <c r="G639" s="756" t="e">
        <f>IF($C$639=0,NA(),VLOOKUP($I$616&amp;$B$639,FLNFIX!$DC$4:$EF$103,5,0))</f>
        <v>#N/A</v>
      </c>
      <c r="H639" s="757"/>
      <c r="I639" s="757"/>
      <c r="J639" s="758"/>
      <c r="K639" s="677"/>
    </row>
    <row r="640" ht="20.1" customHeight="1" spans="1:11">
      <c r="A640" s="675"/>
      <c r="B640" s="755">
        <f t="shared" si="11"/>
        <v>21</v>
      </c>
      <c r="C640" s="755">
        <f>IFERROR(VLOOKUP(B640,DATEWISE!$A$3:$BY$27,2,0),0)</f>
        <v>0</v>
      </c>
      <c r="D640" s="755" t="e">
        <f>IF($C$640=0,NA(),VLOOKUP($I$616&amp;$B$640,FLNFIX!$DH$4:$EF$103,2,0))</f>
        <v>#N/A</v>
      </c>
      <c r="E640" s="755" t="e">
        <f>IF($C$640=0,NA(),VLOOKUP($I$616&amp;$B$640,FLNFIX!$DH$4:$EF$103,4,0))</f>
        <v>#N/A</v>
      </c>
      <c r="F640" s="755" t="e">
        <f>IF($C$640=0,NA(),VLOOKUP($I$616&amp;$B$640,FLNFIX!$DH$4:$EF$103,3,0))</f>
        <v>#N/A</v>
      </c>
      <c r="G640" s="756" t="e">
        <f>IF($C$640=0,NA(),VLOOKUP($I$616&amp;$B$640,FLNFIX!$DH$4:$EF$103,5,0))</f>
        <v>#N/A</v>
      </c>
      <c r="H640" s="757"/>
      <c r="I640" s="757"/>
      <c r="J640" s="758"/>
      <c r="K640" s="677"/>
    </row>
    <row r="641" ht="5.1" customHeight="1" spans="1:11">
      <c r="A641" s="675"/>
      <c r="B641" s="759"/>
      <c r="C641" s="759"/>
      <c r="D641" s="760"/>
      <c r="E641" s="760"/>
      <c r="F641" s="760"/>
      <c r="G641" s="761"/>
      <c r="H641" s="761"/>
      <c r="I641" s="761"/>
      <c r="J641" s="761"/>
      <c r="K641" s="677"/>
    </row>
    <row r="642" s="667" customFormat="1" ht="24.95" customHeight="1" spans="1:11">
      <c r="A642" s="711"/>
      <c r="B642" s="762" t="s">
        <v>431</v>
      </c>
      <c r="C642" s="763"/>
      <c r="D642" s="763"/>
      <c r="E642" s="763"/>
      <c r="F642" s="763"/>
      <c r="G642" s="763"/>
      <c r="H642" s="763"/>
      <c r="I642" s="763"/>
      <c r="J642" s="764"/>
      <c r="K642" s="713"/>
    </row>
    <row r="643" spans="1:11">
      <c r="A643" s="675"/>
      <c r="B643" s="765"/>
      <c r="C643" s="686"/>
      <c r="D643" s="686"/>
      <c r="E643" s="686"/>
      <c r="F643" s="686"/>
      <c r="G643" s="686"/>
      <c r="H643" s="686"/>
      <c r="I643" s="686"/>
      <c r="J643" s="766"/>
      <c r="K643" s="677"/>
    </row>
    <row r="644" spans="1:11">
      <c r="A644" s="675"/>
      <c r="B644" s="765"/>
      <c r="C644" s="686"/>
      <c r="D644" s="686"/>
      <c r="E644" s="686"/>
      <c r="F644" s="686"/>
      <c r="G644" s="686"/>
      <c r="H644" s="686"/>
      <c r="I644" s="686"/>
      <c r="J644" s="766"/>
      <c r="K644" s="677"/>
    </row>
    <row r="645" spans="1:11">
      <c r="A645" s="675"/>
      <c r="B645" s="765"/>
      <c r="C645" s="686"/>
      <c r="D645" s="686"/>
      <c r="E645" s="686"/>
      <c r="F645" s="686"/>
      <c r="G645" s="686"/>
      <c r="H645" s="686"/>
      <c r="I645" s="686"/>
      <c r="J645" s="766"/>
      <c r="K645" s="677"/>
    </row>
    <row r="646" spans="1:11">
      <c r="A646" s="675"/>
      <c r="B646" s="765"/>
      <c r="C646" s="686"/>
      <c r="D646" s="686"/>
      <c r="E646" s="686"/>
      <c r="F646" s="686"/>
      <c r="G646" s="686"/>
      <c r="H646" s="686"/>
      <c r="I646" s="686"/>
      <c r="J646" s="766"/>
      <c r="K646" s="677"/>
    </row>
    <row r="647" spans="1:11">
      <c r="A647" s="675"/>
      <c r="B647" s="765"/>
      <c r="C647" s="686"/>
      <c r="D647" s="686"/>
      <c r="E647" s="686"/>
      <c r="F647" s="686"/>
      <c r="G647" s="686"/>
      <c r="H647" s="686"/>
      <c r="I647" s="686"/>
      <c r="J647" s="766"/>
      <c r="K647" s="677"/>
    </row>
    <row r="648" spans="1:11">
      <c r="A648" s="675"/>
      <c r="B648" s="765"/>
      <c r="C648" s="686"/>
      <c r="D648" s="686"/>
      <c r="E648" s="686"/>
      <c r="F648" s="686"/>
      <c r="G648" s="686"/>
      <c r="H648" s="686"/>
      <c r="I648" s="686"/>
      <c r="J648" s="766"/>
      <c r="K648" s="677"/>
    </row>
    <row r="649" spans="1:11">
      <c r="A649" s="675"/>
      <c r="B649" s="765"/>
      <c r="C649" s="686"/>
      <c r="D649" s="686"/>
      <c r="E649" s="686"/>
      <c r="F649" s="686"/>
      <c r="G649" s="686"/>
      <c r="H649" s="686"/>
      <c r="I649" s="686"/>
      <c r="J649" s="766"/>
      <c r="K649" s="677"/>
    </row>
    <row r="650" spans="1:11">
      <c r="A650" s="675"/>
      <c r="B650" s="765"/>
      <c r="C650" s="686"/>
      <c r="D650" s="686"/>
      <c r="E650" s="686"/>
      <c r="F650" s="686"/>
      <c r="G650" s="686"/>
      <c r="H650" s="686"/>
      <c r="I650" s="686"/>
      <c r="J650" s="766"/>
      <c r="K650" s="677"/>
    </row>
    <row r="651" spans="1:11">
      <c r="A651" s="675"/>
      <c r="B651" s="765"/>
      <c r="C651" s="686"/>
      <c r="D651" s="686"/>
      <c r="E651" s="686"/>
      <c r="F651" s="686"/>
      <c r="G651" s="686"/>
      <c r="H651" s="686"/>
      <c r="I651" s="686"/>
      <c r="J651" s="766"/>
      <c r="K651" s="677"/>
    </row>
    <row r="652" spans="1:11">
      <c r="A652" s="675"/>
      <c r="B652" s="767"/>
      <c r="C652" s="768"/>
      <c r="D652" s="768"/>
      <c r="E652" s="768"/>
      <c r="F652" s="768"/>
      <c r="G652" s="768"/>
      <c r="H652" s="768"/>
      <c r="I652" s="768"/>
      <c r="J652" s="769"/>
      <c r="K652" s="677"/>
    </row>
    <row r="653" ht="5.1" customHeight="1" spans="1:11">
      <c r="A653" s="675"/>
      <c r="B653" s="686"/>
      <c r="C653" s="686"/>
      <c r="D653" s="686"/>
      <c r="E653" s="686"/>
      <c r="F653" s="686"/>
      <c r="G653" s="686"/>
      <c r="H653" s="686"/>
      <c r="I653" s="686"/>
      <c r="J653" s="686"/>
      <c r="K653" s="677"/>
    </row>
    <row r="654" spans="1:11">
      <c r="A654" s="675"/>
      <c r="B654" s="770" t="s">
        <v>432</v>
      </c>
      <c r="C654" s="770"/>
      <c r="D654" s="770"/>
      <c r="E654" s="770"/>
      <c r="F654" s="770"/>
      <c r="G654" s="770"/>
      <c r="H654" s="770"/>
      <c r="I654" s="770"/>
      <c r="J654" s="770"/>
      <c r="K654" s="677"/>
    </row>
    <row r="655" spans="1:11">
      <c r="A655" s="675"/>
      <c r="B655" s="771"/>
      <c r="C655" s="771"/>
      <c r="D655" s="771"/>
      <c r="E655" s="771"/>
      <c r="F655" s="771"/>
      <c r="G655" s="771"/>
      <c r="H655" s="771"/>
      <c r="I655" s="771"/>
      <c r="J655" s="771"/>
      <c r="K655" s="677"/>
    </row>
    <row r="656" spans="1:11">
      <c r="A656" s="675"/>
      <c r="B656" s="771"/>
      <c r="C656" s="771"/>
      <c r="D656" s="771"/>
      <c r="E656" s="771"/>
      <c r="F656" s="771"/>
      <c r="G656" s="771"/>
      <c r="H656" s="771"/>
      <c r="I656" s="771"/>
      <c r="J656" s="771"/>
      <c r="K656" s="677"/>
    </row>
    <row r="657" spans="1:11">
      <c r="A657" s="675"/>
      <c r="B657" s="771"/>
      <c r="C657" s="771"/>
      <c r="D657" s="771"/>
      <c r="E657" s="771"/>
      <c r="F657" s="771"/>
      <c r="G657" s="771"/>
      <c r="H657" s="771"/>
      <c r="I657" s="771"/>
      <c r="J657" s="771"/>
      <c r="K657" s="677"/>
    </row>
    <row r="658" spans="1:11">
      <c r="A658" s="675"/>
      <c r="B658" s="686"/>
      <c r="C658" s="686"/>
      <c r="D658" s="686"/>
      <c r="E658" s="686"/>
      <c r="F658" s="686"/>
      <c r="G658" s="686"/>
      <c r="H658" s="686"/>
      <c r="I658" s="686"/>
      <c r="J658" s="686"/>
      <c r="K658" s="677"/>
    </row>
    <row r="659" spans="1:11">
      <c r="A659" s="675"/>
      <c r="B659" s="686"/>
      <c r="C659" s="729" t="s">
        <v>433</v>
      </c>
      <c r="D659" s="729"/>
      <c r="E659" s="686"/>
      <c r="F659" s="686"/>
      <c r="G659" s="729" t="s">
        <v>434</v>
      </c>
      <c r="H659" s="729"/>
      <c r="I659" s="729"/>
      <c r="J659" s="729"/>
      <c r="K659" s="677"/>
    </row>
    <row r="660" ht="16.35" spans="1:11">
      <c r="A660" s="725"/>
      <c r="B660" s="726"/>
      <c r="C660" s="732" t="str">
        <f>"("&amp;PROPER(ENTRY!$D$19)&amp;")"</f>
        <v>(Indrajeet)</v>
      </c>
      <c r="D660" s="732"/>
      <c r="E660" s="726"/>
      <c r="F660" s="726"/>
      <c r="G660" s="732" t="str">
        <f>"("&amp;PROPER(ENTRY!$D$12)&amp;")"</f>
        <v>(Shambhu Dayal Meena)</v>
      </c>
      <c r="H660" s="732"/>
      <c r="I660" s="732"/>
      <c r="J660" s="732"/>
      <c r="K660" s="728"/>
    </row>
    <row r="661" ht="24.6" spans="1:11">
      <c r="B661" s="734"/>
      <c r="C661" s="734"/>
      <c r="D661" s="669" t="str">
        <f>ENTRY!$D$3</f>
        <v>MUNICIPAL CORPORATION OF DELHI</v>
      </c>
      <c r="E661" s="669"/>
      <c r="F661" s="669"/>
      <c r="G661" s="669"/>
      <c r="H661" s="734"/>
      <c r="I661" s="669"/>
      <c r="J661" s="669"/>
    </row>
    <row r="662" ht="20.4" spans="1:11">
      <c r="B662" s="735"/>
      <c r="C662" s="735"/>
      <c r="D662" s="670" t="str">
        <f>ENTRY!$D$4</f>
        <v>EDUCATION DEPARTMENT</v>
      </c>
      <c r="E662" s="670"/>
      <c r="F662" s="670"/>
      <c r="G662" s="670"/>
      <c r="H662" s="735"/>
      <c r="I662" s="669"/>
      <c r="J662" s="669"/>
    </row>
    <row r="663" ht="22.8" spans="1:11">
      <c r="B663" s="736"/>
      <c r="C663" s="736"/>
      <c r="D663" s="664" t="s">
        <v>417</v>
      </c>
      <c r="E663" s="664"/>
      <c r="F663" s="664"/>
      <c r="G663" s="664"/>
      <c r="H663" s="736"/>
      <c r="I663" s="669"/>
      <c r="J663" s="669"/>
    </row>
    <row r="664" ht="22.8" spans="1:11">
      <c r="B664" s="736"/>
      <c r="C664" s="736"/>
      <c r="D664" s="664" t="s">
        <v>418</v>
      </c>
      <c r="E664" s="664"/>
      <c r="F664" s="664"/>
      <c r="G664" s="664"/>
      <c r="H664" s="736"/>
      <c r="I664" s="669"/>
      <c r="J664" s="669"/>
    </row>
    <row r="665" ht="24.95" customHeight="1" spans="1:11">
      <c r="B665" s="735"/>
      <c r="C665" s="735"/>
      <c r="D665" s="737" t="str">
        <f>"SESSION : "&amp;ENTRY!$D$11</f>
        <v>SESSION : 2026-27</v>
      </c>
      <c r="E665" s="737"/>
      <c r="F665" s="737"/>
      <c r="G665" s="737"/>
      <c r="H665" s="735"/>
      <c r="I665" s="738"/>
      <c r="J665" s="738"/>
    </row>
    <row r="666" ht="3.75" customHeight="1" spans="1:11">
      <c r="A666" s="672"/>
      <c r="B666" s="739"/>
      <c r="C666" s="739"/>
      <c r="D666" s="739"/>
      <c r="E666" s="739"/>
      <c r="F666" s="739"/>
      <c r="G666" s="739"/>
      <c r="H666" s="739"/>
      <c r="I666" s="739"/>
      <c r="J666" s="739"/>
      <c r="K666" s="674"/>
    </row>
    <row r="667" ht="21.95" customHeight="1" spans="1:11">
      <c r="A667" s="675"/>
      <c r="B667" s="676" t="s">
        <v>419</v>
      </c>
      <c r="C667" s="676"/>
      <c r="D667" s="676" t="str">
        <f>ENTRY!$D$6</f>
        <v>MCP NITHARI NO 1 BOYS</v>
      </c>
      <c r="E667" s="676"/>
      <c r="F667" s="676"/>
      <c r="G667" s="676"/>
      <c r="H667" s="676"/>
      <c r="I667" s="676"/>
      <c r="J667" s="676"/>
      <c r="K667" s="677"/>
    </row>
    <row r="668" ht="21.95" customHeight="1" spans="1:11">
      <c r="A668" s="675"/>
      <c r="B668" s="676" t="s">
        <v>420</v>
      </c>
      <c r="C668" s="676"/>
      <c r="D668" s="740" t="str">
        <f>IFERROR(VLOOKUP($I$671,STUDENT!$A$2:$BP$101,5,0),"")</f>
        <v>MOHD JISAN</v>
      </c>
      <c r="E668" s="740"/>
      <c r="F668" s="740"/>
      <c r="G668" s="740"/>
      <c r="H668" s="740"/>
      <c r="I668" s="740"/>
      <c r="J668" s="740"/>
      <c r="K668" s="677"/>
    </row>
    <row r="669" ht="21.95" customHeight="1" spans="1:11">
      <c r="A669" s="675"/>
      <c r="B669" s="676" t="s">
        <v>421</v>
      </c>
      <c r="C669" s="676"/>
      <c r="D669" s="740" t="str">
        <f>IFERROR(VLOOKUP($I$671,STUDENT!$A$2:$BP$101,8,0),"")</f>
        <v>MD ZAMEEL</v>
      </c>
      <c r="E669" s="740"/>
      <c r="F669" s="740"/>
      <c r="G669" s="740"/>
      <c r="H669" s="740"/>
      <c r="I669" s="740"/>
      <c r="J669" s="740"/>
      <c r="K669" s="677"/>
    </row>
    <row r="670" ht="21.95" customHeight="1" spans="1:11">
      <c r="A670" s="675"/>
      <c r="B670" s="676" t="s">
        <v>422</v>
      </c>
      <c r="C670" s="676"/>
      <c r="D670" s="740">
        <f>IFERROR(VLOOKUP($I$671,STUDENT!$A$2:$BP$101,6,0),"")</f>
        <v>14735</v>
      </c>
      <c r="E670" s="740"/>
      <c r="F670" s="740"/>
      <c r="G670" s="740"/>
      <c r="H670" s="740"/>
      <c r="I670" s="740"/>
      <c r="J670" s="740"/>
      <c r="K670" s="677"/>
    </row>
    <row r="671" ht="21.95" customHeight="1" spans="1:11">
      <c r="A671" s="675"/>
      <c r="B671" s="676" t="s">
        <v>423</v>
      </c>
      <c r="C671" s="676"/>
      <c r="D671" s="741" t="str">
        <f>IFERROR(VLOOKUP($I$671,STUDENT!$A$2:$BP$101,59,0),"")</f>
        <v/>
      </c>
      <c r="E671" s="742" t="s">
        <v>424</v>
      </c>
      <c r="F671" s="704" t="str">
        <f>IFERROR(VLOOKUP($I$671,STUDENT!$A$2:$BP$101,2,0),"")</f>
        <v>III-A</v>
      </c>
      <c r="G671" s="742" t="s">
        <v>425</v>
      </c>
      <c r="H671" s="743"/>
      <c r="I671" s="733">
        <f>I616+1</f>
        <v>13</v>
      </c>
      <c r="J671" s="683"/>
      <c r="K671" s="677"/>
    </row>
    <row r="672" ht="5.1" customHeight="1" spans="1:11">
      <c r="A672" s="675"/>
      <c r="B672" s="745"/>
      <c r="C672" s="745"/>
      <c r="D672" s="746"/>
      <c r="E672" s="747"/>
      <c r="F672" s="748"/>
      <c r="G672" s="747"/>
      <c r="H672" s="686"/>
      <c r="I672" s="686"/>
      <c r="J672" s="686"/>
      <c r="K672" s="677"/>
    </row>
    <row r="673" s="664" customFormat="1" ht="32.1" customHeight="1" spans="1:11">
      <c r="A673" s="688"/>
      <c r="B673" s="749" t="s">
        <v>426</v>
      </c>
      <c r="C673" s="750"/>
      <c r="D673" s="750"/>
      <c r="E673" s="750"/>
      <c r="F673" s="750"/>
      <c r="G673" s="750"/>
      <c r="H673" s="750"/>
      <c r="I673" s="750"/>
      <c r="J673" s="751"/>
      <c r="K673" s="690"/>
    </row>
    <row r="674" ht="51.6" spans="1:11">
      <c r="A674" s="675"/>
      <c r="B674" s="752">
        <v>21</v>
      </c>
      <c r="C674" s="753" t="s">
        <v>427</v>
      </c>
      <c r="D674" s="754" t="s">
        <v>428</v>
      </c>
      <c r="E674" s="754" t="s">
        <v>429</v>
      </c>
      <c r="F674" s="754" t="s">
        <v>430</v>
      </c>
      <c r="G674" s="753" t="s">
        <v>390</v>
      </c>
      <c r="H674" s="714"/>
      <c r="I674" s="714"/>
      <c r="J674" s="714"/>
      <c r="K674" s="677"/>
    </row>
    <row r="675" ht="20.1" customHeight="1" spans="1:11">
      <c r="A675" s="675"/>
      <c r="B675" s="755">
        <v>1</v>
      </c>
      <c r="C675" s="755" t="str">
        <f>IFERROR(VLOOKUP(B675,DATEWISE!$A$3:$BY$27,2,0),0)</f>
        <v>30.04.2026</v>
      </c>
      <c r="D675" s="755">
        <f>IF($C$675=0,NA(),VLOOKUP($I$671&amp;$B$675,FLNFIX!$L$4:$EF$103,2,0))</f>
        <v>2</v>
      </c>
      <c r="E675" s="755">
        <f>IF($C$675=0,NA(),VLOOKUP($I$671&amp;$B$675,FLNFIX!$L$4:$EF$103,4,0))</f>
        <v>3</v>
      </c>
      <c r="F675" s="755">
        <f>IF($C$675=0,NA(),VLOOKUP($I$671&amp;$B$675,FLNFIX!$L$4:$EF$103,3,0))</f>
        <v>2</v>
      </c>
      <c r="G675" s="756">
        <f>IF($C$675=0,NA(),VLOOKUP($I$671&amp;$B$675,FLNFIX!$L$4:$EF$103,5,0))</f>
        <v>0</v>
      </c>
      <c r="H675" s="757"/>
      <c r="I675" s="757"/>
      <c r="J675" s="758"/>
      <c r="K675" s="677"/>
    </row>
    <row r="676" ht="20.1" customHeight="1" spans="1:11">
      <c r="A676" s="675"/>
      <c r="B676" s="755">
        <f t="shared" ref="B676:B695" si="12">IF(B675=0,0,IF(B675&lt;$B$674,B675+1,""))</f>
        <v>2</v>
      </c>
      <c r="C676" s="755" t="str">
        <f>IFERROR(VLOOKUP(B676,DATEWISE!$A$3:$BY$27,2,0),0)</f>
        <v>08.05.2026</v>
      </c>
      <c r="D676" s="755">
        <f>IF($C$676=0,NA(),VLOOKUP($I$671&amp;$B$676,FLNFIX!$Q$4:$EF$103,2,0))</f>
        <v>2</v>
      </c>
      <c r="E676" s="755">
        <f>IF($C$676=0,NA(),VLOOKUP($I$671&amp;$B$676,FLNFIX!$Q$4:$EF$103,4,0))</f>
        <v>3</v>
      </c>
      <c r="F676" s="755">
        <f>IF($C$676=0,NA(),VLOOKUP($I$671&amp;$B$676,FLNFIX!$Q$4:$EF$103,3,0))</f>
        <v>2</v>
      </c>
      <c r="G676" s="756">
        <f>IF($C$676=0,NA(),VLOOKUP($I$671&amp;$B$676,FLNFIX!$Q$4:$EF$103,5,0))</f>
        <v>0</v>
      </c>
      <c r="H676" s="757"/>
      <c r="I676" s="757"/>
      <c r="J676" s="758"/>
      <c r="K676" s="677"/>
    </row>
    <row r="677" ht="20.1" customHeight="1" spans="1:11">
      <c r="A677" s="675"/>
      <c r="B677" s="755">
        <f t="shared" si="12"/>
        <v>3</v>
      </c>
      <c r="C677" s="755" t="str">
        <f>IFERROR(VLOOKUP(B677,DATEWISE!$A$3:$BY$27,2,0),0)</f>
        <v>15.07.2026</v>
      </c>
      <c r="D677" s="755">
        <f>IF($C$677=0,NA(),VLOOKUP($I$671&amp;$B$677,FLNFIX!$V$4:$EF$103,2,0))</f>
        <v>2</v>
      </c>
      <c r="E677" s="755">
        <f>IF($C$677=0,NA(),VLOOKUP($I$671&amp;$B$677,FLNFIX!$V$4:$EF$103,4,0))</f>
        <v>3</v>
      </c>
      <c r="F677" s="755">
        <f>IF($C$677=0,NA(),VLOOKUP($I$671&amp;$B$677,FLNFIX!$V$4:$EF$103,3,0))</f>
        <v>2</v>
      </c>
      <c r="G677" s="756">
        <f>IF($C$677=0,NA(),VLOOKUP($I$671&amp;$B$677,FLNFIX!$V$4:$EF$103,5,0))</f>
        <v>0</v>
      </c>
      <c r="H677" s="757"/>
      <c r="I677" s="757"/>
      <c r="J677" s="758"/>
      <c r="K677" s="677"/>
    </row>
    <row r="678" ht="20.1" customHeight="1" spans="1:11">
      <c r="A678" s="675"/>
      <c r="B678" s="755">
        <f t="shared" si="12"/>
        <v>4</v>
      </c>
      <c r="C678" s="755" t="str">
        <f>IFERROR(VLOOKUP(B678,DATEWISE!$A$3:$BY$27,2,0),0)</f>
        <v>31.07.2026</v>
      </c>
      <c r="D678" s="755">
        <f>IF($C$678=0,NA(),VLOOKUP($I$671&amp;$B$678,FLNFIX!$AA$4:$EF$103,2,0))</f>
        <v>2</v>
      </c>
      <c r="E678" s="755">
        <f>IF($C$678=0,NA(),VLOOKUP($I$671&amp;$B$678,FLNFIX!$AA$4:$EF$103,4,0))</f>
        <v>3</v>
      </c>
      <c r="F678" s="755">
        <f>IF($C$678=0,NA(),VLOOKUP($I$671&amp;$B$678,FLNFIX!$AA$4:$EF$103,3,0))</f>
        <v>2</v>
      </c>
      <c r="G678" s="756">
        <f>IF($C$678=0,NA(),VLOOKUP($I$671&amp;$B$678,FLNFIX!$AA$4:$EF$103,5,0))</f>
        <v>0</v>
      </c>
      <c r="H678" s="757"/>
      <c r="I678" s="757"/>
      <c r="J678" s="758"/>
      <c r="K678" s="677"/>
    </row>
    <row r="679" ht="20.1" customHeight="1" spans="1:11">
      <c r="A679" s="675"/>
      <c r="B679" s="755">
        <f t="shared" si="12"/>
        <v>5</v>
      </c>
      <c r="C679" s="755" t="str">
        <f>IFERROR(VLOOKUP(B679,DATEWISE!$A$3:$BY$27,2,0),0)</f>
        <v>17.08.2026</v>
      </c>
      <c r="D679" s="755">
        <f>IF($C$679=0,NA(),VLOOKUP($I$671&amp;$B$679,FLNFIX!$AF$4:$EF$103,2,0))</f>
        <v>2</v>
      </c>
      <c r="E679" s="755">
        <f>IF($C$679=0,NA(),VLOOKUP($I$671&amp;$B$679,FLNFIX!$AF$4:$EF$103,4,0))</f>
        <v>3</v>
      </c>
      <c r="F679" s="755">
        <f>IF($C$679=0,NA(),VLOOKUP($I$671&amp;$B$679,FLNFIX!$AF$4:$EF$103,3,0))</f>
        <v>2</v>
      </c>
      <c r="G679" s="756">
        <f>IF($C$679=0,NA(),VLOOKUP($I$671&amp;$B$679,FLNFIX!$AF$4:$EF$103,5,0))</f>
        <v>0</v>
      </c>
      <c r="H679" s="757"/>
      <c r="I679" s="757"/>
      <c r="J679" s="758"/>
      <c r="K679" s="677"/>
    </row>
    <row r="680" ht="20.1" customHeight="1" spans="1:11">
      <c r="A680" s="675"/>
      <c r="B680" s="755">
        <f t="shared" si="12"/>
        <v>6</v>
      </c>
      <c r="C680" s="755" t="str">
        <f>IFERROR(VLOOKUP(B680,DATEWISE!$A$3:$BY$27,2,0),0)</f>
        <v>31.08.2026</v>
      </c>
      <c r="D680" s="755">
        <f>IF($C$680=0,NA(),VLOOKUP($I$671&amp;$B$680,FLNFIX!$AK$4:$EF$103,2,0))</f>
        <v>2</v>
      </c>
      <c r="E680" s="755">
        <f>IF($C$680=0,NA(),VLOOKUP($I$671&amp;$B$680,FLNFIX!$AK$4:$EF$103,4,0))</f>
        <v>3</v>
      </c>
      <c r="F680" s="755">
        <f>IF($C$680=0,NA(),VLOOKUP($I$671&amp;$B$680,FLNFIX!$AK$4:$EF$103,3,0))</f>
        <v>2</v>
      </c>
      <c r="G680" s="756">
        <f>IF($C$680=0,NA(),VLOOKUP($I$671&amp;$B$680,FLNFIX!$AK$4:$EF$103,5,0))</f>
        <v>0</v>
      </c>
      <c r="H680" s="757"/>
      <c r="I680" s="757"/>
      <c r="J680" s="758"/>
      <c r="K680" s="677"/>
    </row>
    <row r="681" ht="20.1" customHeight="1" spans="1:11">
      <c r="A681" s="675"/>
      <c r="B681" s="755">
        <f t="shared" si="12"/>
        <v>7</v>
      </c>
      <c r="C681" s="755">
        <f>IFERROR(VLOOKUP(B681,DATEWISE!$A$3:$BY$27,2,0),0)</f>
        <v>0</v>
      </c>
      <c r="D681" s="755" t="e">
        <f>IF($C$681=0,NA(),VLOOKUP($I$671&amp;$B$681,FLNFIX!$AP$4:$EF$103,2,0))</f>
        <v>#N/A</v>
      </c>
      <c r="E681" s="755" t="e">
        <f>IF($C$681=0,NA(),VLOOKUP($I$671&amp;$B$681,FLNFIX!$AP$4:$EF$103,4,0))</f>
        <v>#N/A</v>
      </c>
      <c r="F681" s="755" t="e">
        <f>IF($C$681=0,NA(),VLOOKUP($I$671&amp;$B$681,FLNFIX!$AP$4:$EF$103,3,0))</f>
        <v>#N/A</v>
      </c>
      <c r="G681" s="756" t="e">
        <f>IF($C$681=0,NA(),VLOOKUP($I$671&amp;$B$681,FLNFIX!$AP$4:$EF$103,5,0))</f>
        <v>#N/A</v>
      </c>
      <c r="H681" s="757"/>
      <c r="I681" s="757"/>
      <c r="J681" s="758"/>
      <c r="K681" s="677"/>
    </row>
    <row r="682" ht="20.1" customHeight="1" spans="1:11">
      <c r="A682" s="675"/>
      <c r="B682" s="755">
        <f t="shared" si="12"/>
        <v>8</v>
      </c>
      <c r="C682" s="755">
        <f>IFERROR(VLOOKUP(B682,DATEWISE!$A$3:$BY$27,2,0),0)</f>
        <v>0</v>
      </c>
      <c r="D682" s="755" t="e">
        <f>IF($C$682=0,NA(),VLOOKUP($I$671&amp;$B$682,FLNFIX!$AU$4:$EF$103,2,0))</f>
        <v>#N/A</v>
      </c>
      <c r="E682" s="755" t="e">
        <f>IF($C$682=0,NA(),VLOOKUP($I$671&amp;$B$682,FLNFIX!$AU$4:$EF$103,4,0))</f>
        <v>#N/A</v>
      </c>
      <c r="F682" s="755" t="e">
        <f>IF($C$682=0,NA(),VLOOKUP($I$671&amp;$B$682,FLNFIX!$AU$4:$EF$103,3,0))</f>
        <v>#N/A</v>
      </c>
      <c r="G682" s="756" t="e">
        <f>IF($C$682=0,NA(),VLOOKUP($I$671&amp;$B$682,FLNFIX!$AU$4:$EF$103,5,0))</f>
        <v>#N/A</v>
      </c>
      <c r="H682" s="757"/>
      <c r="I682" s="757"/>
      <c r="J682" s="758"/>
      <c r="K682" s="677"/>
    </row>
    <row r="683" ht="20.1" customHeight="1" spans="1:11">
      <c r="A683" s="675"/>
      <c r="B683" s="755">
        <f t="shared" si="12"/>
        <v>9</v>
      </c>
      <c r="C683" s="755">
        <f>IFERROR(VLOOKUP(B683,DATEWISE!$A$3:$BY$27,2,0),0)</f>
        <v>0</v>
      </c>
      <c r="D683" s="755" t="e">
        <f>IF($C$683=0,NA(),VLOOKUP($I$671&amp;$B$683,FLNFIX!$AZ$4:$EF$103,2,0))</f>
        <v>#N/A</v>
      </c>
      <c r="E683" s="755" t="e">
        <f>IF($C$683=0,NA(),VLOOKUP($I$671&amp;$B$683,FLNFIX!$AZ$4:$EF$103,4,0))</f>
        <v>#N/A</v>
      </c>
      <c r="F683" s="755" t="e">
        <f>IF($C$683=0,NA(),VLOOKUP($I$671&amp;$B$683,FLNFIX!$AZ$4:$EF$103,3,0))</f>
        <v>#N/A</v>
      </c>
      <c r="G683" s="756" t="e">
        <f>IF($C$683=0,NA(),VLOOKUP($I$671&amp;$B$683,FLNFIX!$AZ$4:$EF$103,5,0))</f>
        <v>#N/A</v>
      </c>
      <c r="H683" s="757"/>
      <c r="I683" s="757"/>
      <c r="J683" s="758"/>
      <c r="K683" s="677"/>
    </row>
    <row r="684" ht="20.1" customHeight="1" spans="1:11">
      <c r="A684" s="675"/>
      <c r="B684" s="755">
        <f t="shared" si="12"/>
        <v>10</v>
      </c>
      <c r="C684" s="755">
        <f>IFERROR(VLOOKUP(B684,DATEWISE!$A$3:$BY$27,2,0),0)</f>
        <v>0</v>
      </c>
      <c r="D684" s="755" t="e">
        <f>IF($C$684=0,NA(),VLOOKUP($I$671&amp;$B$684,FLNFIX!$BE$4:$EF$103,2,0))</f>
        <v>#N/A</v>
      </c>
      <c r="E684" s="755" t="e">
        <f>IF($C$684=0,NA(),VLOOKUP($I$671&amp;$B$684,FLNFIX!$BE$4:$EF$103,4,0))</f>
        <v>#N/A</v>
      </c>
      <c r="F684" s="755" t="e">
        <f>IF($C$684=0,NA(),VLOOKUP($I$671&amp;$B$684,FLNFIX!$BE$4:$EF$103,3,0))</f>
        <v>#N/A</v>
      </c>
      <c r="G684" s="756" t="e">
        <f>IF($C$684=0,NA(),VLOOKUP($I$671&amp;$B$684,FLNFIX!$BE$4:$EF$103,5,0))</f>
        <v>#N/A</v>
      </c>
      <c r="H684" s="757"/>
      <c r="I684" s="757"/>
      <c r="J684" s="758"/>
      <c r="K684" s="677"/>
    </row>
    <row r="685" ht="20.1" customHeight="1" spans="1:11">
      <c r="A685" s="675"/>
      <c r="B685" s="755">
        <f t="shared" si="12"/>
        <v>11</v>
      </c>
      <c r="C685" s="755">
        <f>IFERROR(VLOOKUP(B685,DATEWISE!$A$3:$BY$27,2,0),0)</f>
        <v>0</v>
      </c>
      <c r="D685" s="755" t="e">
        <f>IF($C$685=0,NA(),VLOOKUP($I$671&amp;$B$685,FLNFIX!$BJ$4:$EF$103,2,0))</f>
        <v>#N/A</v>
      </c>
      <c r="E685" s="755" t="e">
        <f>IF($C$685=0,NA(),VLOOKUP($I$671&amp;$B$685,FLNFIX!$BJ$4:$EF$103,4,0))</f>
        <v>#N/A</v>
      </c>
      <c r="F685" s="755" t="e">
        <f>IF($C$685=0,NA(),VLOOKUP($I$671&amp;$B$685,FLNFIX!$BJ$4:$EF$103,3,0))</f>
        <v>#N/A</v>
      </c>
      <c r="G685" s="756" t="e">
        <f>IF($C$685=0,NA(),VLOOKUP($I$671&amp;$B$685,FLNFIX!$BJ$4:$EF$103,5,0))</f>
        <v>#N/A</v>
      </c>
      <c r="H685" s="757"/>
      <c r="I685" s="757"/>
      <c r="J685" s="758"/>
      <c r="K685" s="677"/>
    </row>
    <row r="686" ht="20.1" customHeight="1" spans="1:11">
      <c r="A686" s="675"/>
      <c r="B686" s="755">
        <f t="shared" si="12"/>
        <v>12</v>
      </c>
      <c r="C686" s="755">
        <f>IFERROR(VLOOKUP(B686,DATEWISE!$A$3:$BY$27,2,0),0)</f>
        <v>0</v>
      </c>
      <c r="D686" s="755" t="e">
        <f>IF($C$686=0,NA(),VLOOKUP($I$671&amp;$B$686,FLNFIX!$BO$4:$EF$103,2,0))</f>
        <v>#N/A</v>
      </c>
      <c r="E686" s="755" t="e">
        <f>IF($C$686=0,NA(),VLOOKUP($I$671&amp;$B$686,FLNFIX!$BO$4:$EF$103,4,0))</f>
        <v>#N/A</v>
      </c>
      <c r="F686" s="755" t="e">
        <f>IF($C$686=0,NA(),VLOOKUP($I$671&amp;$B$686,FLNFIX!$BO$4:$EF$103,3,0))</f>
        <v>#N/A</v>
      </c>
      <c r="G686" s="756" t="e">
        <f>IF($C$686=0,NA(),VLOOKUP($I$671&amp;$B$686,FLNFIX!$BO$4:$EF$103,5,0))</f>
        <v>#N/A</v>
      </c>
      <c r="H686" s="757"/>
      <c r="I686" s="757"/>
      <c r="J686" s="758"/>
      <c r="K686" s="677"/>
    </row>
    <row r="687" ht="20.1" customHeight="1" spans="1:11">
      <c r="A687" s="675"/>
      <c r="B687" s="755">
        <f t="shared" si="12"/>
        <v>13</v>
      </c>
      <c r="C687" s="755">
        <f>IFERROR(VLOOKUP(B687,DATEWISE!$A$3:$BY$27,2,0),0)</f>
        <v>0</v>
      </c>
      <c r="D687" s="755" t="e">
        <f>IF($C$687=0,NA(),VLOOKUP($I$671&amp;$B$687,FLNFIX!$BT$4:$EF$103,2,0))</f>
        <v>#N/A</v>
      </c>
      <c r="E687" s="755" t="e">
        <f>IF($C$687=0,NA(),VLOOKUP($I$671&amp;$B$687,FLNFIX!$BT$4:$EF$103,4,0))</f>
        <v>#N/A</v>
      </c>
      <c r="F687" s="755" t="e">
        <f>IF($C$687=0,NA(),VLOOKUP($I$671&amp;$B$687,FLNFIX!$BT$4:$EF$103,3,0))</f>
        <v>#N/A</v>
      </c>
      <c r="G687" s="756" t="e">
        <f>IF($C$687=0,NA(),VLOOKUP($I$671&amp;$B$687,FLNFIX!$BT$4:$EF$103,5,0))</f>
        <v>#N/A</v>
      </c>
      <c r="H687" s="757"/>
      <c r="I687" s="757"/>
      <c r="J687" s="758"/>
      <c r="K687" s="677"/>
    </row>
    <row r="688" ht="20.1" customHeight="1" spans="1:11">
      <c r="A688" s="675"/>
      <c r="B688" s="755">
        <f t="shared" si="12"/>
        <v>14</v>
      </c>
      <c r="C688" s="755">
        <f>IFERROR(VLOOKUP(B688,DATEWISE!$A$3:$BY$27,2,0),0)</f>
        <v>0</v>
      </c>
      <c r="D688" s="755" t="e">
        <f>IF($C$688=0,NA(),VLOOKUP($I$671&amp;$B$688,FLNFIX!$BY$4:$EF$103,2,0))</f>
        <v>#N/A</v>
      </c>
      <c r="E688" s="755" t="e">
        <f>IF($C$688=0,NA(),VLOOKUP($I$671&amp;$B$688,FLNFIX!$BY$4:$EF$103,4,0))</f>
        <v>#N/A</v>
      </c>
      <c r="F688" s="755" t="e">
        <f>IF($C$688=0,NA(),VLOOKUP($I$671&amp;$B$688,FLNFIX!$BY$4:$EF$103,3,0))</f>
        <v>#N/A</v>
      </c>
      <c r="G688" s="756" t="e">
        <f>IF($C$688=0,NA(),VLOOKUP($I$671&amp;$B$688,FLNFIX!$BY$4:$EF$103,5,0))</f>
        <v>#N/A</v>
      </c>
      <c r="H688" s="757"/>
      <c r="I688" s="757"/>
      <c r="J688" s="758"/>
      <c r="K688" s="677"/>
    </row>
    <row r="689" ht="20.1" customHeight="1" spans="1:11">
      <c r="A689" s="675"/>
      <c r="B689" s="755">
        <f t="shared" si="12"/>
        <v>15</v>
      </c>
      <c r="C689" s="755">
        <f>IFERROR(VLOOKUP(B689,DATEWISE!$A$3:$BY$27,2,0),0)</f>
        <v>0</v>
      </c>
      <c r="D689" s="755" t="e">
        <f>IF($C$689=0,NA(),VLOOKUP($I$671&amp;$B$689,FLNFIX!$CD$4:$EF$103,2,0))</f>
        <v>#N/A</v>
      </c>
      <c r="E689" s="755" t="e">
        <f>IF($C$689=0,NA(),VLOOKUP($I$671&amp;$B$689,FLNFIX!$CD$4:$EF$103,4,0))</f>
        <v>#N/A</v>
      </c>
      <c r="F689" s="755" t="e">
        <f>IF($C$689=0,NA(),VLOOKUP($I$671&amp;$B$689,FLNFIX!$CD$4:$EF$103,3,0))</f>
        <v>#N/A</v>
      </c>
      <c r="G689" s="756" t="e">
        <f>IF($C$689=0,NA(),VLOOKUP($I$671&amp;$B$689,FLNFIX!$CD$4:$EF$103,5,0))</f>
        <v>#N/A</v>
      </c>
      <c r="H689" s="757"/>
      <c r="I689" s="757"/>
      <c r="J689" s="758"/>
      <c r="K689" s="677"/>
    </row>
    <row r="690" ht="20.1" customHeight="1" spans="1:11">
      <c r="A690" s="675"/>
      <c r="B690" s="755">
        <f t="shared" si="12"/>
        <v>16</v>
      </c>
      <c r="C690" s="755">
        <f>IFERROR(VLOOKUP(B690,DATEWISE!$A$3:$BY$27,2,0),0)</f>
        <v>0</v>
      </c>
      <c r="D690" s="755" t="e">
        <f>IF($C$690=0,NA(),VLOOKUP($I$671&amp;$B$690,FLNFIX!$CI$4:$EF$103,2,0))</f>
        <v>#N/A</v>
      </c>
      <c r="E690" s="755" t="e">
        <f>IF($C$690=0,NA(),VLOOKUP($I$671&amp;$B$690,FLNFIX!$CI$4:$EF$103,4,0))</f>
        <v>#N/A</v>
      </c>
      <c r="F690" s="755" t="e">
        <f>IF($C$690=0,NA(),VLOOKUP($I$671&amp;$B$690,FLNFIX!$CI$4:$EF$103,3,0))</f>
        <v>#N/A</v>
      </c>
      <c r="G690" s="756" t="e">
        <f>IF($C$690=0,NA(),VLOOKUP($I$671&amp;$B$690,FLNFIX!$CI$4:$EF$103,5,0))</f>
        <v>#N/A</v>
      </c>
      <c r="H690" s="757"/>
      <c r="I690" s="757"/>
      <c r="J690" s="758"/>
      <c r="K690" s="677"/>
    </row>
    <row r="691" ht="20.1" customHeight="1" spans="1:11">
      <c r="A691" s="675"/>
      <c r="B691" s="755">
        <f t="shared" si="12"/>
        <v>17</v>
      </c>
      <c r="C691" s="755">
        <f>IFERROR(VLOOKUP(B691,DATEWISE!$A$3:$BY$27,2,0),0)</f>
        <v>0</v>
      </c>
      <c r="D691" s="755" t="e">
        <f>IF($C$691=0,NA(),VLOOKUP($I$671&amp;$B$691,FLNFIX!$CN$4:$EF$103,2,0))</f>
        <v>#N/A</v>
      </c>
      <c r="E691" s="755" t="e">
        <f>IF($C$691=0,NA(),VLOOKUP($I$671&amp;$B$691,FLNFIX!$CN$4:$EF$103,4,0))</f>
        <v>#N/A</v>
      </c>
      <c r="F691" s="755" t="e">
        <f>IF($C$691=0,NA(),VLOOKUP($I$671&amp;$B$691,FLNFIX!$CN$4:$EF$103,3,0))</f>
        <v>#N/A</v>
      </c>
      <c r="G691" s="756" t="e">
        <f>IF($C$691=0,NA(),VLOOKUP($I$671&amp;$B$691,FLNFIX!$CN$4:$EF$103,5,0))</f>
        <v>#N/A</v>
      </c>
      <c r="H691" s="757"/>
      <c r="I691" s="757"/>
      <c r="J691" s="758"/>
      <c r="K691" s="677"/>
    </row>
    <row r="692" ht="20.1" customHeight="1" spans="1:11">
      <c r="A692" s="675"/>
      <c r="B692" s="755">
        <f t="shared" si="12"/>
        <v>18</v>
      </c>
      <c r="C692" s="755">
        <f>IFERROR(VLOOKUP(B692,DATEWISE!$A$3:$BY$27,2,0),0)</f>
        <v>0</v>
      </c>
      <c r="D692" s="755" t="e">
        <f>IF($C$692=0,NA(),VLOOKUP($I$671&amp;$B$692,FLNFIX!$CS$4:$EF$103,2,0))</f>
        <v>#N/A</v>
      </c>
      <c r="E692" s="755" t="e">
        <f>IF($C$692=0,NA(),VLOOKUP($I$671&amp;$B$692,FLNFIX!$CS$4:$EF$103,4,0))</f>
        <v>#N/A</v>
      </c>
      <c r="F692" s="755" t="e">
        <f>IF($C$692=0,NA(),VLOOKUP($I$671&amp;$B$692,FLNFIX!$CS$4:$EF$103,3,0))</f>
        <v>#N/A</v>
      </c>
      <c r="G692" s="756" t="e">
        <f>IF($C$692=0,NA(),VLOOKUP($I$671&amp;$B$692,FLNFIX!$CS$4:$EF$103,5,0))</f>
        <v>#N/A</v>
      </c>
      <c r="H692" s="757"/>
      <c r="I692" s="757"/>
      <c r="J692" s="758"/>
      <c r="K692" s="677"/>
    </row>
    <row r="693" ht="20.1" customHeight="1" spans="1:11">
      <c r="A693" s="675"/>
      <c r="B693" s="755">
        <f t="shared" si="12"/>
        <v>19</v>
      </c>
      <c r="C693" s="755">
        <f>IFERROR(VLOOKUP(B693,DATEWISE!$A$3:$BY$27,2,0),0)</f>
        <v>0</v>
      </c>
      <c r="D693" s="755" t="e">
        <f>IF($C$693=0,NA(),VLOOKUP($I$671&amp;$B$693,FLNFIX!$CX$4:$EF$103,2,0))</f>
        <v>#N/A</v>
      </c>
      <c r="E693" s="755" t="e">
        <f>IF($C$693=0,NA(),VLOOKUP($I$671&amp;$B$693,FLNFIX!$CX$4:$EF$103,4,0))</f>
        <v>#N/A</v>
      </c>
      <c r="F693" s="755" t="e">
        <f>IF($C$693=0,NA(),VLOOKUP($I$671&amp;$B$693,FLNFIX!$CX$4:$EF$103,3,0))</f>
        <v>#N/A</v>
      </c>
      <c r="G693" s="756" t="e">
        <f>IF($C$693=0,NA(),VLOOKUP($I$671&amp;$B$693,FLNFIX!$CX$4:$EF$103,5,0))</f>
        <v>#N/A</v>
      </c>
      <c r="H693" s="757"/>
      <c r="I693" s="757"/>
      <c r="J693" s="758"/>
      <c r="K693" s="677"/>
    </row>
    <row r="694" ht="20.1" customHeight="1" spans="1:11">
      <c r="A694" s="675"/>
      <c r="B694" s="755">
        <f t="shared" si="12"/>
        <v>20</v>
      </c>
      <c r="C694" s="755">
        <f>IFERROR(VLOOKUP(B694,DATEWISE!$A$3:$BY$27,2,0),0)</f>
        <v>0</v>
      </c>
      <c r="D694" s="755" t="e">
        <f>IF($C$694=0,NA(),VLOOKUP($I$671&amp;$B$694,FLNFIX!$DC$4:$EF$103,2,0))</f>
        <v>#N/A</v>
      </c>
      <c r="E694" s="755" t="e">
        <f>IF($C$694=0,NA(),VLOOKUP($I$671&amp;$B$694,FLNFIX!$DC$4:$EF$103,4,0))</f>
        <v>#N/A</v>
      </c>
      <c r="F694" s="755" t="e">
        <f>IF($C$694=0,NA(),VLOOKUP($I$671&amp;$B$694,FLNFIX!$DC$4:$EF$103,3,0))</f>
        <v>#N/A</v>
      </c>
      <c r="G694" s="756" t="e">
        <f>IF($C$694=0,NA(),VLOOKUP($I$671&amp;$B$694,FLNFIX!$DC$4:$EF$103,5,0))</f>
        <v>#N/A</v>
      </c>
      <c r="H694" s="757"/>
      <c r="I694" s="757"/>
      <c r="J694" s="758"/>
      <c r="K694" s="677"/>
    </row>
    <row r="695" ht="20.1" customHeight="1" spans="1:11">
      <c r="A695" s="675"/>
      <c r="B695" s="755">
        <f t="shared" si="12"/>
        <v>21</v>
      </c>
      <c r="C695" s="755">
        <f>IFERROR(VLOOKUP(B695,DATEWISE!$A$3:$BY$27,2,0),0)</f>
        <v>0</v>
      </c>
      <c r="D695" s="755" t="e">
        <f>IF($C$695=0,NA(),VLOOKUP($I$671&amp;$B$695,FLNFIX!$DH$4:$EF$103,2,0))</f>
        <v>#N/A</v>
      </c>
      <c r="E695" s="755" t="e">
        <f>IF($C$695=0,NA(),VLOOKUP($I$671&amp;$B$695,FLNFIX!$DH$4:$EF$103,4,0))</f>
        <v>#N/A</v>
      </c>
      <c r="F695" s="755" t="e">
        <f>IF($C$695=0,NA(),VLOOKUP($I$671&amp;$B$695,FLNFIX!$DH$4:$EF$103,3,0))</f>
        <v>#N/A</v>
      </c>
      <c r="G695" s="756" t="e">
        <f>IF($C$695=0,NA(),VLOOKUP($I$671&amp;$B$695,FLNFIX!$DH$4:$EF$103,5,0))</f>
        <v>#N/A</v>
      </c>
      <c r="H695" s="757"/>
      <c r="I695" s="757"/>
      <c r="J695" s="758"/>
      <c r="K695" s="677"/>
    </row>
    <row r="696" ht="5.1" customHeight="1" spans="1:11">
      <c r="A696" s="675"/>
      <c r="B696" s="759"/>
      <c r="C696" s="759"/>
      <c r="D696" s="760"/>
      <c r="E696" s="760"/>
      <c r="F696" s="760"/>
      <c r="G696" s="761"/>
      <c r="H696" s="761"/>
      <c r="I696" s="761"/>
      <c r="J696" s="761"/>
      <c r="K696" s="677"/>
    </row>
    <row r="697" s="667" customFormat="1" ht="24.95" customHeight="1" spans="1:11">
      <c r="A697" s="711"/>
      <c r="B697" s="762" t="s">
        <v>431</v>
      </c>
      <c r="C697" s="763"/>
      <c r="D697" s="763"/>
      <c r="E697" s="763"/>
      <c r="F697" s="763"/>
      <c r="G697" s="763"/>
      <c r="H697" s="763"/>
      <c r="I697" s="763"/>
      <c r="J697" s="764"/>
      <c r="K697" s="713"/>
    </row>
    <row r="698" spans="1:11">
      <c r="A698" s="675"/>
      <c r="B698" s="765"/>
      <c r="C698" s="686"/>
      <c r="D698" s="686"/>
      <c r="E698" s="686"/>
      <c r="F698" s="686"/>
      <c r="G698" s="686"/>
      <c r="H698" s="686"/>
      <c r="I698" s="686"/>
      <c r="J698" s="766"/>
      <c r="K698" s="677"/>
    </row>
    <row r="699" spans="1:11">
      <c r="A699" s="675"/>
      <c r="B699" s="765"/>
      <c r="C699" s="686"/>
      <c r="D699" s="686"/>
      <c r="E699" s="686"/>
      <c r="F699" s="686"/>
      <c r="G699" s="686"/>
      <c r="H699" s="686"/>
      <c r="I699" s="686"/>
      <c r="J699" s="766"/>
      <c r="K699" s="677"/>
    </row>
    <row r="700" spans="1:11">
      <c r="A700" s="675"/>
      <c r="B700" s="765"/>
      <c r="C700" s="686"/>
      <c r="D700" s="686"/>
      <c r="E700" s="686"/>
      <c r="F700" s="686"/>
      <c r="G700" s="686"/>
      <c r="H700" s="686"/>
      <c r="I700" s="686"/>
      <c r="J700" s="766"/>
      <c r="K700" s="677"/>
    </row>
    <row r="701" spans="1:11">
      <c r="A701" s="675"/>
      <c r="B701" s="765"/>
      <c r="C701" s="686"/>
      <c r="D701" s="686"/>
      <c r="E701" s="686"/>
      <c r="F701" s="686"/>
      <c r="G701" s="686"/>
      <c r="H701" s="686"/>
      <c r="I701" s="686"/>
      <c r="J701" s="766"/>
      <c r="K701" s="677"/>
    </row>
    <row r="702" spans="1:11">
      <c r="A702" s="675"/>
      <c r="B702" s="765"/>
      <c r="C702" s="686"/>
      <c r="D702" s="686"/>
      <c r="E702" s="686"/>
      <c r="F702" s="686"/>
      <c r="G702" s="686"/>
      <c r="H702" s="686"/>
      <c r="I702" s="686"/>
      <c r="J702" s="766"/>
      <c r="K702" s="677"/>
    </row>
    <row r="703" spans="1:11">
      <c r="A703" s="675"/>
      <c r="B703" s="765"/>
      <c r="C703" s="686"/>
      <c r="D703" s="686"/>
      <c r="E703" s="686"/>
      <c r="F703" s="686"/>
      <c r="G703" s="686"/>
      <c r="H703" s="686"/>
      <c r="I703" s="686"/>
      <c r="J703" s="766"/>
      <c r="K703" s="677"/>
    </row>
    <row r="704" spans="1:11">
      <c r="A704" s="675"/>
      <c r="B704" s="765"/>
      <c r="C704" s="686"/>
      <c r="D704" s="686"/>
      <c r="E704" s="686"/>
      <c r="F704" s="686"/>
      <c r="G704" s="686"/>
      <c r="H704" s="686"/>
      <c r="I704" s="686"/>
      <c r="J704" s="766"/>
      <c r="K704" s="677"/>
    </row>
    <row r="705" spans="1:11">
      <c r="A705" s="675"/>
      <c r="B705" s="765"/>
      <c r="C705" s="686"/>
      <c r="D705" s="686"/>
      <c r="E705" s="686"/>
      <c r="F705" s="686"/>
      <c r="G705" s="686"/>
      <c r="H705" s="686"/>
      <c r="I705" s="686"/>
      <c r="J705" s="766"/>
      <c r="K705" s="677"/>
    </row>
    <row r="706" spans="1:11">
      <c r="A706" s="675"/>
      <c r="B706" s="765"/>
      <c r="C706" s="686"/>
      <c r="D706" s="686"/>
      <c r="E706" s="686"/>
      <c r="F706" s="686"/>
      <c r="G706" s="686"/>
      <c r="H706" s="686"/>
      <c r="I706" s="686"/>
      <c r="J706" s="766"/>
      <c r="K706" s="677"/>
    </row>
    <row r="707" spans="1:11">
      <c r="A707" s="675"/>
      <c r="B707" s="767"/>
      <c r="C707" s="768"/>
      <c r="D707" s="768"/>
      <c r="E707" s="768"/>
      <c r="F707" s="768"/>
      <c r="G707" s="768"/>
      <c r="H707" s="768"/>
      <c r="I707" s="768"/>
      <c r="J707" s="769"/>
      <c r="K707" s="677"/>
    </row>
    <row r="708" ht="5.1" customHeight="1" spans="1:11">
      <c r="A708" s="675"/>
      <c r="B708" s="686"/>
      <c r="C708" s="686"/>
      <c r="D708" s="686"/>
      <c r="E708" s="686"/>
      <c r="F708" s="686"/>
      <c r="G708" s="686"/>
      <c r="H708" s="686"/>
      <c r="I708" s="686"/>
      <c r="J708" s="686"/>
      <c r="K708" s="677"/>
    </row>
    <row r="709" spans="1:11">
      <c r="A709" s="675"/>
      <c r="B709" s="770" t="s">
        <v>432</v>
      </c>
      <c r="C709" s="770"/>
      <c r="D709" s="770"/>
      <c r="E709" s="770"/>
      <c r="F709" s="770"/>
      <c r="G709" s="770"/>
      <c r="H709" s="770"/>
      <c r="I709" s="770"/>
      <c r="J709" s="770"/>
      <c r="K709" s="677"/>
    </row>
    <row r="710" spans="1:11">
      <c r="A710" s="675"/>
      <c r="B710" s="771"/>
      <c r="C710" s="771"/>
      <c r="D710" s="771"/>
      <c r="E710" s="771"/>
      <c r="F710" s="771"/>
      <c r="G710" s="771"/>
      <c r="H710" s="771"/>
      <c r="I710" s="771"/>
      <c r="J710" s="771"/>
      <c r="K710" s="677"/>
    </row>
    <row r="711" spans="1:11">
      <c r="A711" s="675"/>
      <c r="B711" s="771"/>
      <c r="C711" s="771"/>
      <c r="D711" s="771"/>
      <c r="E711" s="771"/>
      <c r="F711" s="771"/>
      <c r="G711" s="771"/>
      <c r="H711" s="771"/>
      <c r="I711" s="771"/>
      <c r="J711" s="771"/>
      <c r="K711" s="677"/>
    </row>
    <row r="712" spans="1:11">
      <c r="A712" s="675"/>
      <c r="B712" s="771"/>
      <c r="C712" s="771"/>
      <c r="D712" s="771"/>
      <c r="E712" s="771"/>
      <c r="F712" s="771"/>
      <c r="G712" s="771"/>
      <c r="H712" s="771"/>
      <c r="I712" s="771"/>
      <c r="J712" s="771"/>
      <c r="K712" s="677"/>
    </row>
    <row r="713" spans="1:11">
      <c r="A713" s="675"/>
      <c r="B713" s="686"/>
      <c r="C713" s="686"/>
      <c r="D713" s="686"/>
      <c r="E713" s="686"/>
      <c r="F713" s="686"/>
      <c r="G713" s="686"/>
      <c r="H713" s="686"/>
      <c r="I713" s="686"/>
      <c r="J713" s="686"/>
      <c r="K713" s="677"/>
    </row>
    <row r="714" spans="1:11">
      <c r="A714" s="675"/>
      <c r="B714" s="686"/>
      <c r="C714" s="729" t="s">
        <v>433</v>
      </c>
      <c r="D714" s="729"/>
      <c r="E714" s="686"/>
      <c r="F714" s="686"/>
      <c r="G714" s="729" t="s">
        <v>434</v>
      </c>
      <c r="H714" s="729"/>
      <c r="I714" s="729"/>
      <c r="J714" s="729"/>
      <c r="K714" s="677"/>
    </row>
    <row r="715" ht="16.35" spans="1:11">
      <c r="A715" s="725"/>
      <c r="B715" s="726"/>
      <c r="C715" s="732" t="str">
        <f>"("&amp;PROPER(ENTRY!$D$19)&amp;")"</f>
        <v>(Indrajeet)</v>
      </c>
      <c r="D715" s="732"/>
      <c r="E715" s="726"/>
      <c r="F715" s="726"/>
      <c r="G715" s="732" t="str">
        <f>"("&amp;PROPER(ENTRY!$D$12)&amp;")"</f>
        <v>(Shambhu Dayal Meena)</v>
      </c>
      <c r="H715" s="732"/>
      <c r="I715" s="732"/>
      <c r="J715" s="732"/>
      <c r="K715" s="728"/>
    </row>
    <row r="716" ht="24.6" spans="1:11">
      <c r="B716" s="734"/>
      <c r="C716" s="734"/>
      <c r="D716" s="669" t="str">
        <f>ENTRY!$D$3</f>
        <v>MUNICIPAL CORPORATION OF DELHI</v>
      </c>
      <c r="E716" s="669"/>
      <c r="F716" s="669"/>
      <c r="G716" s="669"/>
      <c r="H716" s="734"/>
      <c r="I716" s="669"/>
      <c r="J716" s="669"/>
    </row>
    <row r="717" ht="20.4" spans="1:11">
      <c r="B717" s="735"/>
      <c r="C717" s="735"/>
      <c r="D717" s="670" t="str">
        <f>ENTRY!$D$4</f>
        <v>EDUCATION DEPARTMENT</v>
      </c>
      <c r="E717" s="670"/>
      <c r="F717" s="670"/>
      <c r="G717" s="670"/>
      <c r="H717" s="735"/>
      <c r="I717" s="669"/>
      <c r="J717" s="669"/>
    </row>
    <row r="718" ht="22.8" spans="1:11">
      <c r="B718" s="736"/>
      <c r="C718" s="736"/>
      <c r="D718" s="664" t="s">
        <v>417</v>
      </c>
      <c r="E718" s="664"/>
      <c r="F718" s="664"/>
      <c r="G718" s="664"/>
      <c r="H718" s="736"/>
      <c r="I718" s="669"/>
      <c r="J718" s="669"/>
    </row>
    <row r="719" ht="22.8" spans="1:11">
      <c r="B719" s="736"/>
      <c r="C719" s="736"/>
      <c r="D719" s="664" t="s">
        <v>418</v>
      </c>
      <c r="E719" s="664"/>
      <c r="F719" s="664"/>
      <c r="G719" s="664"/>
      <c r="H719" s="736"/>
      <c r="I719" s="669"/>
      <c r="J719" s="669"/>
    </row>
    <row r="720" ht="24.95" customHeight="1" spans="1:11">
      <c r="B720" s="735"/>
      <c r="C720" s="735"/>
      <c r="D720" s="737" t="str">
        <f>"SESSION : "&amp;ENTRY!$D$11</f>
        <v>SESSION : 2026-27</v>
      </c>
      <c r="E720" s="737"/>
      <c r="F720" s="737"/>
      <c r="G720" s="737"/>
      <c r="H720" s="735"/>
      <c r="I720" s="738"/>
      <c r="J720" s="738"/>
    </row>
    <row r="721" ht="3.75" customHeight="1" spans="1:11">
      <c r="A721" s="672"/>
      <c r="B721" s="739"/>
      <c r="C721" s="739"/>
      <c r="D721" s="739"/>
      <c r="E721" s="739"/>
      <c r="F721" s="739"/>
      <c r="G721" s="739"/>
      <c r="H721" s="739"/>
      <c r="I721" s="739"/>
      <c r="J721" s="739"/>
      <c r="K721" s="674"/>
    </row>
    <row r="722" ht="21.95" customHeight="1" spans="1:11">
      <c r="A722" s="675"/>
      <c r="B722" s="676" t="s">
        <v>419</v>
      </c>
      <c r="C722" s="676"/>
      <c r="D722" s="676" t="str">
        <f>ENTRY!$D$6</f>
        <v>MCP NITHARI NO 1 BOYS</v>
      </c>
      <c r="E722" s="676"/>
      <c r="F722" s="676"/>
      <c r="G722" s="676"/>
      <c r="H722" s="676"/>
      <c r="I722" s="676"/>
      <c r="J722" s="676"/>
      <c r="K722" s="677"/>
    </row>
    <row r="723" ht="21.95" customHeight="1" spans="1:11">
      <c r="A723" s="675"/>
      <c r="B723" s="676" t="s">
        <v>420</v>
      </c>
      <c r="C723" s="676"/>
      <c r="D723" s="740" t="str">
        <f>IFERROR(VLOOKUP($I$726,STUDENT!$A$2:$BP$101,5,0),"")</f>
        <v>KARN KUMAR</v>
      </c>
      <c r="E723" s="740"/>
      <c r="F723" s="740"/>
      <c r="G723" s="740"/>
      <c r="H723" s="740"/>
      <c r="I723" s="740"/>
      <c r="J723" s="740"/>
      <c r="K723" s="677"/>
    </row>
    <row r="724" ht="21.95" customHeight="1" spans="1:11">
      <c r="A724" s="675"/>
      <c r="B724" s="676" t="s">
        <v>421</v>
      </c>
      <c r="C724" s="676"/>
      <c r="D724" s="740" t="str">
        <f>IFERROR(VLOOKUP($I$726,STUDENT!$A$2:$BP$101,8,0),"")</f>
        <v>MUKESH RAY</v>
      </c>
      <c r="E724" s="740"/>
      <c r="F724" s="740"/>
      <c r="G724" s="740"/>
      <c r="H724" s="740"/>
      <c r="I724" s="740"/>
      <c r="J724" s="740"/>
      <c r="K724" s="677"/>
    </row>
    <row r="725" ht="21.95" customHeight="1" spans="1:11">
      <c r="A725" s="675"/>
      <c r="B725" s="676" t="s">
        <v>422</v>
      </c>
      <c r="C725" s="676"/>
      <c r="D725" s="740">
        <f>IFERROR(VLOOKUP($I$726,STUDENT!$A$2:$BP$101,6,0),"")</f>
        <v>14745</v>
      </c>
      <c r="E725" s="740"/>
      <c r="F725" s="740"/>
      <c r="G725" s="740"/>
      <c r="H725" s="740"/>
      <c r="I725" s="740"/>
      <c r="J725" s="740"/>
      <c r="K725" s="677"/>
    </row>
    <row r="726" ht="21.95" customHeight="1" spans="1:11">
      <c r="A726" s="675"/>
      <c r="B726" s="676" t="s">
        <v>423</v>
      </c>
      <c r="C726" s="676"/>
      <c r="D726" s="741" t="str">
        <f>IFERROR(VLOOKUP($I$726,STUDENT!$A$2:$BP$101,59,0),"")</f>
        <v/>
      </c>
      <c r="E726" s="742" t="s">
        <v>424</v>
      </c>
      <c r="F726" s="704" t="str">
        <f>IFERROR(VLOOKUP($I$726,STUDENT!$A$2:$BP$101,2,0),"")</f>
        <v>III-A</v>
      </c>
      <c r="G726" s="742" t="s">
        <v>425</v>
      </c>
      <c r="H726" s="743"/>
      <c r="I726" s="733">
        <f>I671+1</f>
        <v>14</v>
      </c>
      <c r="J726" s="683"/>
      <c r="K726" s="677"/>
    </row>
    <row r="727" ht="5.1" customHeight="1" spans="1:11">
      <c r="A727" s="675"/>
      <c r="B727" s="745"/>
      <c r="C727" s="745"/>
      <c r="D727" s="746"/>
      <c r="E727" s="747"/>
      <c r="F727" s="748"/>
      <c r="G727" s="747"/>
      <c r="H727" s="686"/>
      <c r="I727" s="686"/>
      <c r="J727" s="686"/>
      <c r="K727" s="677"/>
    </row>
    <row r="728" s="664" customFormat="1" ht="32.1" customHeight="1" spans="1:11">
      <c r="A728" s="688"/>
      <c r="B728" s="749" t="s">
        <v>426</v>
      </c>
      <c r="C728" s="750"/>
      <c r="D728" s="750"/>
      <c r="E728" s="750"/>
      <c r="F728" s="750"/>
      <c r="G728" s="750"/>
      <c r="H728" s="750"/>
      <c r="I728" s="750"/>
      <c r="J728" s="751"/>
      <c r="K728" s="690"/>
    </row>
    <row r="729" ht="51.6" spans="1:11">
      <c r="A729" s="675"/>
      <c r="B729" s="752">
        <v>21</v>
      </c>
      <c r="C729" s="753" t="s">
        <v>427</v>
      </c>
      <c r="D729" s="754" t="s">
        <v>428</v>
      </c>
      <c r="E729" s="754" t="s">
        <v>429</v>
      </c>
      <c r="F729" s="754" t="s">
        <v>430</v>
      </c>
      <c r="G729" s="753" t="s">
        <v>390</v>
      </c>
      <c r="H729" s="714"/>
      <c r="I729" s="714"/>
      <c r="J729" s="714"/>
      <c r="K729" s="677"/>
    </row>
    <row r="730" ht="20.1" customHeight="1" spans="1:11">
      <c r="A730" s="675"/>
      <c r="B730" s="755">
        <v>1</v>
      </c>
      <c r="C730" s="755" t="str">
        <f>IFERROR(VLOOKUP(B730,DATEWISE!$A$3:$BY$27,2,0),0)</f>
        <v>30.04.2026</v>
      </c>
      <c r="D730" s="755">
        <f>IF($C$730=0,NA(),VLOOKUP($I$726&amp;$B$730,FLNFIX!$L$4:$EF$103,2,0))</f>
        <v>2</v>
      </c>
      <c r="E730" s="755">
        <f>IF($C$730=0,NA(),VLOOKUP($I$726&amp;$B$730,FLNFIX!$L$4:$EF$103,4,0))</f>
        <v>3</v>
      </c>
      <c r="F730" s="755">
        <f>IF($C$730=0,NA(),VLOOKUP($I$726&amp;$B$730,FLNFIX!$L$4:$EF$103,3,0))</f>
        <v>2</v>
      </c>
      <c r="G730" s="756">
        <f>IF($C$730=0,NA(),VLOOKUP($I$726&amp;$B$730,FLNFIX!$L$4:$EF$103,5,0))</f>
        <v>0</v>
      </c>
      <c r="H730" s="757"/>
      <c r="I730" s="757"/>
      <c r="J730" s="758"/>
      <c r="K730" s="677"/>
    </row>
    <row r="731" ht="20.1" customHeight="1" spans="1:11">
      <c r="A731" s="675"/>
      <c r="B731" s="755">
        <f t="shared" ref="B731:B750" si="13">IF(B730=0,0,IF(B730&lt;$B$729,B730+1,""))</f>
        <v>2</v>
      </c>
      <c r="C731" s="755" t="str">
        <f>IFERROR(VLOOKUP(B731,DATEWISE!$A$3:$BY$27,2,0),0)</f>
        <v>08.05.2026</v>
      </c>
      <c r="D731" s="755">
        <f>IF($C$731=0,NA(),VLOOKUP($I$726&amp;$B$731,FLNFIX!$Q$4:$EF$103,2,0))</f>
        <v>2</v>
      </c>
      <c r="E731" s="755">
        <f>IF($C$731=0,NA(),VLOOKUP($I$726&amp;$B$731,FLNFIX!$Q$4:$EF$103,4,0))</f>
        <v>3</v>
      </c>
      <c r="F731" s="755">
        <f>IF($C$731=0,NA(),VLOOKUP($I$726&amp;$B$731,FLNFIX!$Q$4:$EF$103,3,0))</f>
        <v>2</v>
      </c>
      <c r="G731" s="756">
        <f>IF($C$731=0,NA(),VLOOKUP($I$726&amp;$B$731,FLNFIX!$Q$4:$EF$103,5,0))</f>
        <v>0</v>
      </c>
      <c r="H731" s="757"/>
      <c r="I731" s="757"/>
      <c r="J731" s="758"/>
      <c r="K731" s="677"/>
    </row>
    <row r="732" ht="20.1" customHeight="1" spans="1:11">
      <c r="A732" s="675"/>
      <c r="B732" s="755">
        <f t="shared" si="13"/>
        <v>3</v>
      </c>
      <c r="C732" s="755" t="str">
        <f>IFERROR(VLOOKUP(B732,DATEWISE!$A$3:$BY$27,2,0),0)</f>
        <v>15.07.2026</v>
      </c>
      <c r="D732" s="755">
        <f>IF($C$732=0,NA(),VLOOKUP($I$726&amp;$B$732,FLNFIX!$V$4:$EF$103,2,0))</f>
        <v>2</v>
      </c>
      <c r="E732" s="755">
        <f>IF($C$732=0,NA(),VLOOKUP($I$726&amp;$B$732,FLNFIX!$V$4:$EF$103,4,0))</f>
        <v>3</v>
      </c>
      <c r="F732" s="755">
        <f>IF($C$732=0,NA(),VLOOKUP($I$726&amp;$B$732,FLNFIX!$V$4:$EF$103,3,0))</f>
        <v>2</v>
      </c>
      <c r="G732" s="756">
        <f>IF($C$732=0,NA(),VLOOKUP($I$726&amp;$B$732,FLNFIX!$V$4:$EF$103,5,0))</f>
        <v>0</v>
      </c>
      <c r="H732" s="757"/>
      <c r="I732" s="757"/>
      <c r="J732" s="758"/>
      <c r="K732" s="677"/>
    </row>
    <row r="733" ht="20.1" customHeight="1" spans="1:11">
      <c r="A733" s="675"/>
      <c r="B733" s="755">
        <f t="shared" si="13"/>
        <v>4</v>
      </c>
      <c r="C733" s="755" t="str">
        <f>IFERROR(VLOOKUP(B733,DATEWISE!$A$3:$BY$27,2,0),0)</f>
        <v>31.07.2026</v>
      </c>
      <c r="D733" s="755">
        <f>IF($C$733=0,NA(),VLOOKUP($I$726&amp;$B$733,FLNFIX!$AA$4:$EF$103,2,0))</f>
        <v>2</v>
      </c>
      <c r="E733" s="755">
        <f>IF($C$733=0,NA(),VLOOKUP($I$726&amp;$B$733,FLNFIX!$AA$4:$EF$103,4,0))</f>
        <v>3</v>
      </c>
      <c r="F733" s="755">
        <f>IF($C$733=0,NA(),VLOOKUP($I$726&amp;$B$733,FLNFIX!$AA$4:$EF$103,3,0))</f>
        <v>2</v>
      </c>
      <c r="G733" s="756">
        <f>IF($C$733=0,NA(),VLOOKUP($I$726&amp;$B$733,FLNFIX!$AA$4:$EF$103,5,0))</f>
        <v>0</v>
      </c>
      <c r="H733" s="757"/>
      <c r="I733" s="757"/>
      <c r="J733" s="758"/>
      <c r="K733" s="677"/>
    </row>
    <row r="734" ht="20.1" customHeight="1" spans="1:11">
      <c r="A734" s="675"/>
      <c r="B734" s="755">
        <f t="shared" si="13"/>
        <v>5</v>
      </c>
      <c r="C734" s="755" t="str">
        <f>IFERROR(VLOOKUP(B734,DATEWISE!$A$3:$BY$27,2,0),0)</f>
        <v>17.08.2026</v>
      </c>
      <c r="D734" s="755">
        <f>IF($C$734=0,NA(),VLOOKUP($I$726&amp;$B$734,FLNFIX!$AF$4:$EF$103,2,0))</f>
        <v>2</v>
      </c>
      <c r="E734" s="755">
        <f>IF($C$734=0,NA(),VLOOKUP($I$726&amp;$B$734,FLNFIX!$AF$4:$EF$103,4,0))</f>
        <v>3</v>
      </c>
      <c r="F734" s="755">
        <f>IF($C$734=0,NA(),VLOOKUP($I$726&amp;$B$734,FLNFIX!$AF$4:$EF$103,3,0))</f>
        <v>2</v>
      </c>
      <c r="G734" s="756">
        <f>IF($C$734=0,NA(),VLOOKUP($I$726&amp;$B$734,FLNFIX!$AF$4:$EF$103,5,0))</f>
        <v>0</v>
      </c>
      <c r="H734" s="757"/>
      <c r="I734" s="757"/>
      <c r="J734" s="758"/>
      <c r="K734" s="677"/>
    </row>
    <row r="735" ht="20.1" customHeight="1" spans="1:11">
      <c r="A735" s="675"/>
      <c r="B735" s="755">
        <f t="shared" si="13"/>
        <v>6</v>
      </c>
      <c r="C735" s="755" t="str">
        <f>IFERROR(VLOOKUP(B735,DATEWISE!$A$3:$BY$27,2,0),0)</f>
        <v>31.08.2026</v>
      </c>
      <c r="D735" s="755">
        <f>IF($C$735=0,NA(),VLOOKUP($I$726&amp;$B$735,FLNFIX!$AK$4:$EF$103,2,0))</f>
        <v>3</v>
      </c>
      <c r="E735" s="755">
        <f>IF($C$735=0,NA(),VLOOKUP($I$726&amp;$B$735,FLNFIX!$AK$4:$EF$103,4,0))</f>
        <v>3</v>
      </c>
      <c r="F735" s="755">
        <f>IF($C$735=0,NA(),VLOOKUP($I$726&amp;$B$735,FLNFIX!$AK$4:$EF$103,3,0))</f>
        <v>2</v>
      </c>
      <c r="G735" s="756">
        <f>IF($C$735=0,NA(),VLOOKUP($I$726&amp;$B$735,FLNFIX!$AK$4:$EF$103,5,0))</f>
        <v>0</v>
      </c>
      <c r="H735" s="757"/>
      <c r="I735" s="757"/>
      <c r="J735" s="758"/>
      <c r="K735" s="677"/>
    </row>
    <row r="736" ht="20.1" customHeight="1" spans="1:11">
      <c r="A736" s="675"/>
      <c r="B736" s="755">
        <f t="shared" si="13"/>
        <v>7</v>
      </c>
      <c r="C736" s="755">
        <f>IFERROR(VLOOKUP(B736,DATEWISE!$A$3:$BY$27,2,0),0)</f>
        <v>0</v>
      </c>
      <c r="D736" s="755" t="e">
        <f>IF($C$736=0,NA(),VLOOKUP($I$726&amp;$B$736,FLNFIX!$AP$4:$EF$103,2,0))</f>
        <v>#N/A</v>
      </c>
      <c r="E736" s="755" t="e">
        <f>IF($C$736=0,NA(),VLOOKUP($I$726&amp;$B$736,FLNFIX!$AP$4:$EF$103,4,0))</f>
        <v>#N/A</v>
      </c>
      <c r="F736" s="755" t="e">
        <f>IF($C$736=0,NA(),VLOOKUP($I$726&amp;$B$736,FLNFIX!$AP$4:$EF$103,3,0))</f>
        <v>#N/A</v>
      </c>
      <c r="G736" s="756" t="e">
        <f>IF($C$736=0,NA(),VLOOKUP($I$726&amp;$B$736,FLNFIX!$AP$4:$EF$103,5,0))</f>
        <v>#N/A</v>
      </c>
      <c r="H736" s="757"/>
      <c r="I736" s="757"/>
      <c r="J736" s="758"/>
      <c r="K736" s="677"/>
    </row>
    <row r="737" ht="20.1" customHeight="1" spans="1:11">
      <c r="A737" s="675"/>
      <c r="B737" s="755">
        <f t="shared" si="13"/>
        <v>8</v>
      </c>
      <c r="C737" s="755">
        <f>IFERROR(VLOOKUP(B737,DATEWISE!$A$3:$BY$27,2,0),0)</f>
        <v>0</v>
      </c>
      <c r="D737" s="755" t="e">
        <f>IF($C$737=0,NA(),VLOOKUP($I$726&amp;$B$737,FLNFIX!$AU$4:$EF$103,2,0))</f>
        <v>#N/A</v>
      </c>
      <c r="E737" s="755" t="e">
        <f>IF($C$737=0,NA(),VLOOKUP($I$726&amp;$B$737,FLNFIX!$AU$4:$EF$103,4,0))</f>
        <v>#N/A</v>
      </c>
      <c r="F737" s="755" t="e">
        <f>IF($C$737=0,NA(),VLOOKUP($I$726&amp;$B$737,FLNFIX!$AU$4:$EF$103,3,0))</f>
        <v>#N/A</v>
      </c>
      <c r="G737" s="756" t="e">
        <f>IF($C$737=0,NA(),VLOOKUP($I$726&amp;$B$737,FLNFIX!$AU$4:$EF$103,5,0))</f>
        <v>#N/A</v>
      </c>
      <c r="H737" s="757"/>
      <c r="I737" s="757"/>
      <c r="J737" s="758"/>
      <c r="K737" s="677"/>
    </row>
    <row r="738" ht="20.1" customHeight="1" spans="1:11">
      <c r="A738" s="675"/>
      <c r="B738" s="755">
        <f t="shared" si="13"/>
        <v>9</v>
      </c>
      <c r="C738" s="755">
        <f>IFERROR(VLOOKUP(B738,DATEWISE!$A$3:$BY$27,2,0),0)</f>
        <v>0</v>
      </c>
      <c r="D738" s="755" t="e">
        <f>IF($C$738=0,NA(),VLOOKUP($I$726&amp;$B$738,FLNFIX!$AZ$4:$EF$103,2,0))</f>
        <v>#N/A</v>
      </c>
      <c r="E738" s="755" t="e">
        <f>IF($C$738=0,NA(),VLOOKUP($I$726&amp;$B$738,FLNFIX!$AZ$4:$EF$103,4,0))</f>
        <v>#N/A</v>
      </c>
      <c r="F738" s="755" t="e">
        <f>IF($C$738=0,NA(),VLOOKUP($I$726&amp;$B$738,FLNFIX!$AZ$4:$EF$103,3,0))</f>
        <v>#N/A</v>
      </c>
      <c r="G738" s="756" t="e">
        <f>IF($C$738=0,NA(),VLOOKUP($I$726&amp;$B$738,FLNFIX!$AZ$4:$EF$103,5,0))</f>
        <v>#N/A</v>
      </c>
      <c r="H738" s="757"/>
      <c r="I738" s="757"/>
      <c r="J738" s="758"/>
      <c r="K738" s="677"/>
    </row>
    <row r="739" ht="20.1" customHeight="1" spans="1:11">
      <c r="A739" s="675"/>
      <c r="B739" s="755">
        <f t="shared" si="13"/>
        <v>10</v>
      </c>
      <c r="C739" s="755">
        <f>IFERROR(VLOOKUP(B739,DATEWISE!$A$3:$BY$27,2,0),0)</f>
        <v>0</v>
      </c>
      <c r="D739" s="755" t="e">
        <f>IF($C$739=0,NA(),VLOOKUP($I$726&amp;$B$739,FLNFIX!$BE$4:$EF$103,2,0))</f>
        <v>#N/A</v>
      </c>
      <c r="E739" s="755" t="e">
        <f>IF($C$739=0,NA(),VLOOKUP($I$726&amp;$B$739,FLNFIX!$BE$4:$EF$103,4,0))</f>
        <v>#N/A</v>
      </c>
      <c r="F739" s="755" t="e">
        <f>IF($C$739=0,NA(),VLOOKUP($I$726&amp;$B$739,FLNFIX!$BE$4:$EF$103,3,0))</f>
        <v>#N/A</v>
      </c>
      <c r="G739" s="756" t="e">
        <f>IF($C$739=0,NA(),VLOOKUP($I$726&amp;$B$739,FLNFIX!$BE$4:$EF$103,5,0))</f>
        <v>#N/A</v>
      </c>
      <c r="H739" s="757"/>
      <c r="I739" s="757"/>
      <c r="J739" s="758"/>
      <c r="K739" s="677"/>
    </row>
    <row r="740" ht="20.1" customHeight="1" spans="1:11">
      <c r="A740" s="675"/>
      <c r="B740" s="755">
        <f t="shared" si="13"/>
        <v>11</v>
      </c>
      <c r="C740" s="755">
        <f>IFERROR(VLOOKUP(B740,DATEWISE!$A$3:$BY$27,2,0),0)</f>
        <v>0</v>
      </c>
      <c r="D740" s="755" t="e">
        <f>IF($C$740=0,NA(),VLOOKUP($I$726&amp;$B$740,FLNFIX!$BJ$4:$EF$103,2,0))</f>
        <v>#N/A</v>
      </c>
      <c r="E740" s="755" t="e">
        <f>IF($C$740=0,NA(),VLOOKUP($I$726&amp;$B$740,FLNFIX!$BJ$4:$EF$103,4,0))</f>
        <v>#N/A</v>
      </c>
      <c r="F740" s="755" t="e">
        <f>IF($C$740=0,NA(),VLOOKUP($I$726&amp;$B$740,FLNFIX!$BJ$4:$EF$103,3,0))</f>
        <v>#N/A</v>
      </c>
      <c r="G740" s="756" t="e">
        <f>IF($C$740=0,NA(),VLOOKUP($I$726&amp;$B$740,FLNFIX!$BJ$4:$EF$103,5,0))</f>
        <v>#N/A</v>
      </c>
      <c r="H740" s="757"/>
      <c r="I740" s="757"/>
      <c r="J740" s="758"/>
      <c r="K740" s="677"/>
    </row>
    <row r="741" ht="20.1" customHeight="1" spans="1:11">
      <c r="A741" s="675"/>
      <c r="B741" s="755">
        <f t="shared" si="13"/>
        <v>12</v>
      </c>
      <c r="C741" s="755">
        <f>IFERROR(VLOOKUP(B741,DATEWISE!$A$3:$BY$27,2,0),0)</f>
        <v>0</v>
      </c>
      <c r="D741" s="755" t="e">
        <f>IF($C$741=0,NA(),VLOOKUP($I$726&amp;$B$741,FLNFIX!$BO$4:$EF$103,2,0))</f>
        <v>#N/A</v>
      </c>
      <c r="E741" s="755" t="e">
        <f>IF($C$741=0,NA(),VLOOKUP($I$726&amp;$B$741,FLNFIX!$BO$4:$EF$103,4,0))</f>
        <v>#N/A</v>
      </c>
      <c r="F741" s="755" t="e">
        <f>IF($C$741=0,NA(),VLOOKUP($I$726&amp;$B$741,FLNFIX!$BO$4:$EF$103,3,0))</f>
        <v>#N/A</v>
      </c>
      <c r="G741" s="756" t="e">
        <f>IF($C$741=0,NA(),VLOOKUP($I$726&amp;$B$741,FLNFIX!$BO$4:$EF$103,5,0))</f>
        <v>#N/A</v>
      </c>
      <c r="H741" s="757"/>
      <c r="I741" s="757"/>
      <c r="J741" s="758"/>
      <c r="K741" s="677"/>
    </row>
    <row r="742" ht="20.1" customHeight="1" spans="1:11">
      <c r="A742" s="675"/>
      <c r="B742" s="755">
        <f t="shared" si="13"/>
        <v>13</v>
      </c>
      <c r="C742" s="755">
        <f>IFERROR(VLOOKUP(B742,DATEWISE!$A$3:$BY$27,2,0),0)</f>
        <v>0</v>
      </c>
      <c r="D742" s="755" t="e">
        <f>IF($C$742=0,NA(),VLOOKUP($I$726&amp;$B$742,FLNFIX!$BT$4:$EF$103,2,0))</f>
        <v>#N/A</v>
      </c>
      <c r="E742" s="755" t="e">
        <f>IF($C$742=0,NA(),VLOOKUP($I$726&amp;$B$742,FLNFIX!$BT$4:$EF$103,4,0))</f>
        <v>#N/A</v>
      </c>
      <c r="F742" s="755" t="e">
        <f>IF($C$742=0,NA(),VLOOKUP($I$726&amp;$B$742,FLNFIX!$BT$4:$EF$103,3,0))</f>
        <v>#N/A</v>
      </c>
      <c r="G742" s="756" t="e">
        <f>IF($C$742=0,NA(),VLOOKUP($I$726&amp;$B$742,FLNFIX!$BT$4:$EF$103,5,0))</f>
        <v>#N/A</v>
      </c>
      <c r="H742" s="757"/>
      <c r="I742" s="757"/>
      <c r="J742" s="758"/>
      <c r="K742" s="677"/>
    </row>
    <row r="743" ht="20.1" customHeight="1" spans="1:11">
      <c r="A743" s="675"/>
      <c r="B743" s="755">
        <f t="shared" si="13"/>
        <v>14</v>
      </c>
      <c r="C743" s="755">
        <f>IFERROR(VLOOKUP(B743,DATEWISE!$A$3:$BY$27,2,0),0)</f>
        <v>0</v>
      </c>
      <c r="D743" s="755" t="e">
        <f>IF($C$743=0,NA(),VLOOKUP($I$726&amp;$B$743,FLNFIX!$BY$4:$EF$103,2,0))</f>
        <v>#N/A</v>
      </c>
      <c r="E743" s="755" t="e">
        <f>IF($C$743=0,NA(),VLOOKUP($I$726&amp;$B$743,FLNFIX!$BY$4:$EF$103,4,0))</f>
        <v>#N/A</v>
      </c>
      <c r="F743" s="755" t="e">
        <f>IF($C$743=0,NA(),VLOOKUP($I$726&amp;$B$743,FLNFIX!$BY$4:$EF$103,3,0))</f>
        <v>#N/A</v>
      </c>
      <c r="G743" s="756" t="e">
        <f>IF($C$743=0,NA(),VLOOKUP($I$726&amp;$B$743,FLNFIX!$BY$4:$EF$103,5,0))</f>
        <v>#N/A</v>
      </c>
      <c r="H743" s="757"/>
      <c r="I743" s="757"/>
      <c r="J743" s="758"/>
      <c r="K743" s="677"/>
    </row>
    <row r="744" ht="20.1" customHeight="1" spans="1:11">
      <c r="A744" s="675"/>
      <c r="B744" s="755">
        <f t="shared" si="13"/>
        <v>15</v>
      </c>
      <c r="C744" s="755">
        <f>IFERROR(VLOOKUP(B744,DATEWISE!$A$3:$BY$27,2,0),0)</f>
        <v>0</v>
      </c>
      <c r="D744" s="755" t="e">
        <f>IF($C$744=0,NA(),VLOOKUP($I$726&amp;$B$744,FLNFIX!$CD$4:$EF$103,2,0))</f>
        <v>#N/A</v>
      </c>
      <c r="E744" s="755" t="e">
        <f>IF($C$744=0,NA(),VLOOKUP($I$726&amp;$B$744,FLNFIX!$CD$4:$EF$103,4,0))</f>
        <v>#N/A</v>
      </c>
      <c r="F744" s="755" t="e">
        <f>IF($C$744=0,NA(),VLOOKUP($I$726&amp;$B$744,FLNFIX!$CD$4:$EF$103,3,0))</f>
        <v>#N/A</v>
      </c>
      <c r="G744" s="756" t="e">
        <f>IF($C$744=0,NA(),VLOOKUP($I$726&amp;$B$744,FLNFIX!$CD$4:$EF$103,5,0))</f>
        <v>#N/A</v>
      </c>
      <c r="H744" s="757"/>
      <c r="I744" s="757"/>
      <c r="J744" s="758"/>
      <c r="K744" s="677"/>
    </row>
    <row r="745" ht="20.1" customHeight="1" spans="1:11">
      <c r="A745" s="675"/>
      <c r="B745" s="755">
        <f t="shared" si="13"/>
        <v>16</v>
      </c>
      <c r="C745" s="755">
        <f>IFERROR(VLOOKUP(B745,DATEWISE!$A$3:$BY$27,2,0),0)</f>
        <v>0</v>
      </c>
      <c r="D745" s="755" t="e">
        <f>IF($C$745=0,NA(),VLOOKUP($I$726&amp;$B$745,FLNFIX!$CI$4:$EF$103,2,0))</f>
        <v>#N/A</v>
      </c>
      <c r="E745" s="755" t="e">
        <f>IF($C$745=0,NA(),VLOOKUP($I$726&amp;$B$745,FLNFIX!$CI$4:$EF$103,4,0))</f>
        <v>#N/A</v>
      </c>
      <c r="F745" s="755" t="e">
        <f>IF($C$745=0,NA(),VLOOKUP($I$726&amp;$B$745,FLNFIX!$CI$4:$EF$103,3,0))</f>
        <v>#N/A</v>
      </c>
      <c r="G745" s="756" t="e">
        <f>IF($C$745=0,NA(),VLOOKUP($I$726&amp;$B$745,FLNFIX!$CI$4:$EF$103,5,0))</f>
        <v>#N/A</v>
      </c>
      <c r="H745" s="757"/>
      <c r="I745" s="757"/>
      <c r="J745" s="758"/>
      <c r="K745" s="677"/>
    </row>
    <row r="746" ht="20.1" customHeight="1" spans="1:11">
      <c r="A746" s="675"/>
      <c r="B746" s="755">
        <f t="shared" si="13"/>
        <v>17</v>
      </c>
      <c r="C746" s="755">
        <f>IFERROR(VLOOKUP(B746,DATEWISE!$A$3:$BY$27,2,0),0)</f>
        <v>0</v>
      </c>
      <c r="D746" s="755" t="e">
        <f>IF($C$746=0,NA(),VLOOKUP($I$726&amp;$B$746,FLNFIX!$CN$4:$EF$103,2,0))</f>
        <v>#N/A</v>
      </c>
      <c r="E746" s="755" t="e">
        <f>IF($C$746=0,NA(),VLOOKUP($I$726&amp;$B$746,FLNFIX!$CN$4:$EF$103,4,0))</f>
        <v>#N/A</v>
      </c>
      <c r="F746" s="755" t="e">
        <f>IF($C$746=0,NA(),VLOOKUP($I$726&amp;$B$746,FLNFIX!$CN$4:$EF$103,3,0))</f>
        <v>#N/A</v>
      </c>
      <c r="G746" s="756" t="e">
        <f>IF($C$746=0,NA(),VLOOKUP($I$726&amp;$B$746,FLNFIX!$CN$4:$EF$103,5,0))</f>
        <v>#N/A</v>
      </c>
      <c r="H746" s="757"/>
      <c r="I746" s="757"/>
      <c r="J746" s="758"/>
      <c r="K746" s="677"/>
    </row>
    <row r="747" ht="20.1" customHeight="1" spans="1:11">
      <c r="A747" s="675"/>
      <c r="B747" s="755">
        <f t="shared" si="13"/>
        <v>18</v>
      </c>
      <c r="C747" s="755">
        <f>IFERROR(VLOOKUP(B747,DATEWISE!$A$3:$BY$27,2,0),0)</f>
        <v>0</v>
      </c>
      <c r="D747" s="755" t="e">
        <f>IF($C$747=0,NA(),VLOOKUP($I$726&amp;$B$747,FLNFIX!$CS$4:$EF$103,2,0))</f>
        <v>#N/A</v>
      </c>
      <c r="E747" s="755" t="e">
        <f>IF($C$747=0,NA(),VLOOKUP($I$726&amp;$B$747,FLNFIX!$CS$4:$EF$103,4,0))</f>
        <v>#N/A</v>
      </c>
      <c r="F747" s="755" t="e">
        <f>IF($C$747=0,NA(),VLOOKUP($I$726&amp;$B$747,FLNFIX!$CS$4:$EF$103,3,0))</f>
        <v>#N/A</v>
      </c>
      <c r="G747" s="756" t="e">
        <f>IF($C$747=0,NA(),VLOOKUP($I$726&amp;$B$747,FLNFIX!$CS$4:$EF$103,5,0))</f>
        <v>#N/A</v>
      </c>
      <c r="H747" s="757"/>
      <c r="I747" s="757"/>
      <c r="J747" s="758"/>
      <c r="K747" s="677"/>
    </row>
    <row r="748" ht="20.1" customHeight="1" spans="1:11">
      <c r="A748" s="675"/>
      <c r="B748" s="755">
        <f t="shared" si="13"/>
        <v>19</v>
      </c>
      <c r="C748" s="755">
        <f>IFERROR(VLOOKUP(B748,DATEWISE!$A$3:$BY$27,2,0),0)</f>
        <v>0</v>
      </c>
      <c r="D748" s="755" t="e">
        <f>IF($C$748=0,NA(),VLOOKUP($I$726&amp;$B$748,FLNFIX!$CX$4:$EF$103,2,0))</f>
        <v>#N/A</v>
      </c>
      <c r="E748" s="755" t="e">
        <f>IF($C$748=0,NA(),VLOOKUP($I$726&amp;$B$748,FLNFIX!$CX$4:$EF$103,4,0))</f>
        <v>#N/A</v>
      </c>
      <c r="F748" s="755" t="e">
        <f>IF($C$748=0,NA(),VLOOKUP($I$726&amp;$B$748,FLNFIX!$CX$4:$EF$103,3,0))</f>
        <v>#N/A</v>
      </c>
      <c r="G748" s="756" t="e">
        <f>IF($C$748=0,NA(),VLOOKUP($I$726&amp;$B$748,FLNFIX!$CX$4:$EF$103,5,0))</f>
        <v>#N/A</v>
      </c>
      <c r="H748" s="757"/>
      <c r="I748" s="757"/>
      <c r="J748" s="758"/>
      <c r="K748" s="677"/>
    </row>
    <row r="749" ht="20.1" customHeight="1" spans="1:11">
      <c r="A749" s="675"/>
      <c r="B749" s="755">
        <f t="shared" si="13"/>
        <v>20</v>
      </c>
      <c r="C749" s="755">
        <f>IFERROR(VLOOKUP(B749,DATEWISE!$A$3:$BY$27,2,0),0)</f>
        <v>0</v>
      </c>
      <c r="D749" s="755" t="e">
        <f>IF($C$749=0,NA(),VLOOKUP($I$726&amp;$B$749,FLNFIX!$DC$4:$EF$103,2,0))</f>
        <v>#N/A</v>
      </c>
      <c r="E749" s="755" t="e">
        <f>IF($C$749=0,NA(),VLOOKUP($I$726&amp;$B$749,FLNFIX!$DC$4:$EF$103,4,0))</f>
        <v>#N/A</v>
      </c>
      <c r="F749" s="755" t="e">
        <f>IF($C$749=0,NA(),VLOOKUP($I$726&amp;$B$749,FLNFIX!$DC$4:$EF$103,3,0))</f>
        <v>#N/A</v>
      </c>
      <c r="G749" s="756" t="e">
        <f>IF($C$749=0,NA(),VLOOKUP($I$726&amp;$B$749,FLNFIX!$DC$4:$EF$103,5,0))</f>
        <v>#N/A</v>
      </c>
      <c r="H749" s="757"/>
      <c r="I749" s="757"/>
      <c r="J749" s="758"/>
      <c r="K749" s="677"/>
    </row>
    <row r="750" ht="20.1" customHeight="1" spans="1:11">
      <c r="A750" s="675"/>
      <c r="B750" s="755">
        <f t="shared" si="13"/>
        <v>21</v>
      </c>
      <c r="C750" s="755">
        <f>IFERROR(VLOOKUP(B750,DATEWISE!$A$3:$BY$27,2,0),0)</f>
        <v>0</v>
      </c>
      <c r="D750" s="755" t="e">
        <f>IF($C$750=0,NA(),VLOOKUP($I$726&amp;$B$750,FLNFIX!$DH$4:$EF$103,2,0))</f>
        <v>#N/A</v>
      </c>
      <c r="E750" s="755" t="e">
        <f>IF($C$750=0,NA(),VLOOKUP($I$726&amp;$B$750,FLNFIX!$DH$4:$EF$103,4,0))</f>
        <v>#N/A</v>
      </c>
      <c r="F750" s="755" t="e">
        <f>IF($C$750=0,NA(),VLOOKUP($I$726&amp;$B$750,FLNFIX!$DH$4:$EF$103,3,0))</f>
        <v>#N/A</v>
      </c>
      <c r="G750" s="756" t="e">
        <f>IF($C$750=0,NA(),VLOOKUP($I$726&amp;$B$750,FLNFIX!$DH$4:$EF$103,5,0))</f>
        <v>#N/A</v>
      </c>
      <c r="H750" s="757"/>
      <c r="I750" s="757"/>
      <c r="J750" s="758"/>
      <c r="K750" s="677"/>
    </row>
    <row r="751" ht="5.1" customHeight="1" spans="1:11">
      <c r="A751" s="675"/>
      <c r="B751" s="759"/>
      <c r="C751" s="759"/>
      <c r="D751" s="760"/>
      <c r="E751" s="760"/>
      <c r="F751" s="760"/>
      <c r="G751" s="761"/>
      <c r="H751" s="761"/>
      <c r="I751" s="761"/>
      <c r="J751" s="761"/>
      <c r="K751" s="677"/>
    </row>
    <row r="752" s="667" customFormat="1" ht="24.95" customHeight="1" spans="1:11">
      <c r="A752" s="711"/>
      <c r="B752" s="762" t="s">
        <v>431</v>
      </c>
      <c r="C752" s="763"/>
      <c r="D752" s="763"/>
      <c r="E752" s="763"/>
      <c r="F752" s="763"/>
      <c r="G752" s="763"/>
      <c r="H752" s="763"/>
      <c r="I752" s="763"/>
      <c r="J752" s="764"/>
      <c r="K752" s="713"/>
    </row>
    <row r="753" spans="1:11">
      <c r="A753" s="675"/>
      <c r="B753" s="765"/>
      <c r="C753" s="686"/>
      <c r="D753" s="686"/>
      <c r="E753" s="686"/>
      <c r="F753" s="686"/>
      <c r="G753" s="686"/>
      <c r="H753" s="686"/>
      <c r="I753" s="686"/>
      <c r="J753" s="766"/>
      <c r="K753" s="677"/>
    </row>
    <row r="754" spans="1:11">
      <c r="A754" s="675"/>
      <c r="B754" s="765"/>
      <c r="C754" s="686"/>
      <c r="D754" s="686"/>
      <c r="E754" s="686"/>
      <c r="F754" s="686"/>
      <c r="G754" s="686"/>
      <c r="H754" s="686"/>
      <c r="I754" s="686"/>
      <c r="J754" s="766"/>
      <c r="K754" s="677"/>
    </row>
    <row r="755" spans="1:11">
      <c r="A755" s="675"/>
      <c r="B755" s="765"/>
      <c r="C755" s="686"/>
      <c r="D755" s="686"/>
      <c r="E755" s="686"/>
      <c r="F755" s="686"/>
      <c r="G755" s="686"/>
      <c r="H755" s="686"/>
      <c r="I755" s="686"/>
      <c r="J755" s="766"/>
      <c r="K755" s="677"/>
    </row>
    <row r="756" spans="1:11">
      <c r="A756" s="675"/>
      <c r="B756" s="765"/>
      <c r="C756" s="686"/>
      <c r="D756" s="686"/>
      <c r="E756" s="686"/>
      <c r="F756" s="686"/>
      <c r="G756" s="686"/>
      <c r="H756" s="686"/>
      <c r="I756" s="686"/>
      <c r="J756" s="766"/>
      <c r="K756" s="677"/>
    </row>
    <row r="757" spans="1:11">
      <c r="A757" s="675"/>
      <c r="B757" s="765"/>
      <c r="C757" s="686"/>
      <c r="D757" s="686"/>
      <c r="E757" s="686"/>
      <c r="F757" s="686"/>
      <c r="G757" s="686"/>
      <c r="H757" s="686"/>
      <c r="I757" s="686"/>
      <c r="J757" s="766"/>
      <c r="K757" s="677"/>
    </row>
    <row r="758" spans="1:11">
      <c r="A758" s="675"/>
      <c r="B758" s="765"/>
      <c r="C758" s="686"/>
      <c r="D758" s="686"/>
      <c r="E758" s="686"/>
      <c r="F758" s="686"/>
      <c r="G758" s="686"/>
      <c r="H758" s="686"/>
      <c r="I758" s="686"/>
      <c r="J758" s="766"/>
      <c r="K758" s="677"/>
    </row>
    <row r="759" spans="1:11">
      <c r="A759" s="675"/>
      <c r="B759" s="765"/>
      <c r="C759" s="686"/>
      <c r="D759" s="686"/>
      <c r="E759" s="686"/>
      <c r="F759" s="686"/>
      <c r="G759" s="686"/>
      <c r="H759" s="686"/>
      <c r="I759" s="686"/>
      <c r="J759" s="766"/>
      <c r="K759" s="677"/>
    </row>
    <row r="760" spans="1:11">
      <c r="A760" s="675"/>
      <c r="B760" s="765"/>
      <c r="C760" s="686"/>
      <c r="D760" s="686"/>
      <c r="E760" s="686"/>
      <c r="F760" s="686"/>
      <c r="G760" s="686"/>
      <c r="H760" s="686"/>
      <c r="I760" s="686"/>
      <c r="J760" s="766"/>
      <c r="K760" s="677"/>
    </row>
    <row r="761" spans="1:11">
      <c r="A761" s="675"/>
      <c r="B761" s="765"/>
      <c r="C761" s="686"/>
      <c r="D761" s="686"/>
      <c r="E761" s="686"/>
      <c r="F761" s="686"/>
      <c r="G761" s="686"/>
      <c r="H761" s="686"/>
      <c r="I761" s="686"/>
      <c r="J761" s="766"/>
      <c r="K761" s="677"/>
    </row>
    <row r="762" spans="1:11">
      <c r="A762" s="675"/>
      <c r="B762" s="767"/>
      <c r="C762" s="768"/>
      <c r="D762" s="768"/>
      <c r="E762" s="768"/>
      <c r="F762" s="768"/>
      <c r="G762" s="768"/>
      <c r="H762" s="768"/>
      <c r="I762" s="768"/>
      <c r="J762" s="769"/>
      <c r="K762" s="677"/>
    </row>
    <row r="763" ht="5.1" customHeight="1" spans="1:11">
      <c r="A763" s="675"/>
      <c r="B763" s="686"/>
      <c r="C763" s="686"/>
      <c r="D763" s="686"/>
      <c r="E763" s="686"/>
      <c r="F763" s="686"/>
      <c r="G763" s="686"/>
      <c r="H763" s="686"/>
      <c r="I763" s="686"/>
      <c r="J763" s="686"/>
      <c r="K763" s="677"/>
    </row>
    <row r="764" spans="1:11">
      <c r="A764" s="675"/>
      <c r="B764" s="770" t="s">
        <v>432</v>
      </c>
      <c r="C764" s="770"/>
      <c r="D764" s="770"/>
      <c r="E764" s="770"/>
      <c r="F764" s="770"/>
      <c r="G764" s="770"/>
      <c r="H764" s="770"/>
      <c r="I764" s="770"/>
      <c r="J764" s="770"/>
      <c r="K764" s="677"/>
    </row>
    <row r="765" spans="1:11">
      <c r="A765" s="675"/>
      <c r="B765" s="771"/>
      <c r="C765" s="771"/>
      <c r="D765" s="771"/>
      <c r="E765" s="771"/>
      <c r="F765" s="771"/>
      <c r="G765" s="771"/>
      <c r="H765" s="771"/>
      <c r="I765" s="771"/>
      <c r="J765" s="771"/>
      <c r="K765" s="677"/>
    </row>
    <row r="766" spans="1:11">
      <c r="A766" s="675"/>
      <c r="B766" s="771"/>
      <c r="C766" s="771"/>
      <c r="D766" s="771"/>
      <c r="E766" s="771"/>
      <c r="F766" s="771"/>
      <c r="G766" s="771"/>
      <c r="H766" s="771"/>
      <c r="I766" s="771"/>
      <c r="J766" s="771"/>
      <c r="K766" s="677"/>
    </row>
    <row r="767" spans="1:11">
      <c r="A767" s="675"/>
      <c r="B767" s="771"/>
      <c r="C767" s="771"/>
      <c r="D767" s="771"/>
      <c r="E767" s="771"/>
      <c r="F767" s="771"/>
      <c r="G767" s="771"/>
      <c r="H767" s="771"/>
      <c r="I767" s="771"/>
      <c r="J767" s="771"/>
      <c r="K767" s="677"/>
    </row>
    <row r="768" spans="1:11">
      <c r="A768" s="675"/>
      <c r="B768" s="686"/>
      <c r="C768" s="686"/>
      <c r="D768" s="686"/>
      <c r="E768" s="686"/>
      <c r="F768" s="686"/>
      <c r="G768" s="686"/>
      <c r="H768" s="686"/>
      <c r="I768" s="686"/>
      <c r="J768" s="686"/>
      <c r="K768" s="677"/>
    </row>
    <row r="769" spans="1:11">
      <c r="A769" s="675"/>
      <c r="B769" s="686"/>
      <c r="C769" s="729" t="s">
        <v>433</v>
      </c>
      <c r="D769" s="729"/>
      <c r="E769" s="686"/>
      <c r="F769" s="686"/>
      <c r="G769" s="729" t="s">
        <v>434</v>
      </c>
      <c r="H769" s="729"/>
      <c r="I769" s="729"/>
      <c r="J769" s="729"/>
      <c r="K769" s="677"/>
    </row>
    <row r="770" ht="16.35" spans="1:11">
      <c r="A770" s="725"/>
      <c r="B770" s="726"/>
      <c r="C770" s="732" t="str">
        <f>"("&amp;PROPER(ENTRY!$D$19)&amp;")"</f>
        <v>(Indrajeet)</v>
      </c>
      <c r="D770" s="732"/>
      <c r="E770" s="726"/>
      <c r="F770" s="726"/>
      <c r="G770" s="732" t="str">
        <f>"("&amp;PROPER(ENTRY!$D$12)&amp;")"</f>
        <v>(Shambhu Dayal Meena)</v>
      </c>
      <c r="H770" s="732"/>
      <c r="I770" s="732"/>
      <c r="J770" s="732"/>
      <c r="K770" s="728"/>
    </row>
    <row r="771" ht="24.6" spans="1:11">
      <c r="B771" s="734"/>
      <c r="C771" s="734"/>
      <c r="D771" s="669" t="str">
        <f>ENTRY!$D$3</f>
        <v>MUNICIPAL CORPORATION OF DELHI</v>
      </c>
      <c r="E771" s="669"/>
      <c r="F771" s="669"/>
      <c r="G771" s="669"/>
      <c r="H771" s="734"/>
      <c r="I771" s="669"/>
      <c r="J771" s="669"/>
    </row>
    <row r="772" ht="20.4" spans="1:11">
      <c r="B772" s="735"/>
      <c r="C772" s="735"/>
      <c r="D772" s="670" t="str">
        <f>ENTRY!$D$4</f>
        <v>EDUCATION DEPARTMENT</v>
      </c>
      <c r="E772" s="670"/>
      <c r="F772" s="670"/>
      <c r="G772" s="670"/>
      <c r="H772" s="735"/>
      <c r="I772" s="669"/>
      <c r="J772" s="669"/>
    </row>
    <row r="773" ht="22.8" spans="1:11">
      <c r="B773" s="736"/>
      <c r="C773" s="736"/>
      <c r="D773" s="664" t="s">
        <v>417</v>
      </c>
      <c r="E773" s="664"/>
      <c r="F773" s="664"/>
      <c r="G773" s="664"/>
      <c r="H773" s="736"/>
      <c r="I773" s="669"/>
      <c r="J773" s="669"/>
    </row>
    <row r="774" ht="22.8" spans="1:11">
      <c r="B774" s="736"/>
      <c r="C774" s="736"/>
      <c r="D774" s="664" t="s">
        <v>418</v>
      </c>
      <c r="E774" s="664"/>
      <c r="F774" s="664"/>
      <c r="G774" s="664"/>
      <c r="H774" s="736"/>
      <c r="I774" s="669"/>
      <c r="J774" s="669"/>
    </row>
    <row r="775" ht="24.95" customHeight="1" spans="1:11">
      <c r="B775" s="735"/>
      <c r="C775" s="735"/>
      <c r="D775" s="737" t="str">
        <f>"SESSION : "&amp;ENTRY!$D$11</f>
        <v>SESSION : 2026-27</v>
      </c>
      <c r="E775" s="737"/>
      <c r="F775" s="737"/>
      <c r="G775" s="737"/>
      <c r="H775" s="735"/>
      <c r="I775" s="738"/>
      <c r="J775" s="738"/>
    </row>
    <row r="776" ht="3.75" customHeight="1" spans="1:11">
      <c r="A776" s="672"/>
      <c r="B776" s="739"/>
      <c r="C776" s="739"/>
      <c r="D776" s="739"/>
      <c r="E776" s="739"/>
      <c r="F776" s="739"/>
      <c r="G776" s="739"/>
      <c r="H776" s="739"/>
      <c r="I776" s="739"/>
      <c r="J776" s="739"/>
      <c r="K776" s="674"/>
    </row>
    <row r="777" ht="21.95" customHeight="1" spans="1:11">
      <c r="A777" s="675"/>
      <c r="B777" s="676" t="s">
        <v>419</v>
      </c>
      <c r="C777" s="676"/>
      <c r="D777" s="676" t="str">
        <f>ENTRY!$D$6</f>
        <v>MCP NITHARI NO 1 BOYS</v>
      </c>
      <c r="E777" s="676"/>
      <c r="F777" s="676"/>
      <c r="G777" s="676"/>
      <c r="H777" s="676"/>
      <c r="I777" s="676"/>
      <c r="J777" s="676"/>
      <c r="K777" s="677"/>
    </row>
    <row r="778" ht="21.95" customHeight="1" spans="1:11">
      <c r="A778" s="675"/>
      <c r="B778" s="676" t="s">
        <v>420</v>
      </c>
      <c r="C778" s="676"/>
      <c r="D778" s="740" t="str">
        <f>IFERROR(VLOOKUP($I$781,STUDENT!$A$2:$BP$101,5,0),"")</f>
        <v>ROKI</v>
      </c>
      <c r="E778" s="740"/>
      <c r="F778" s="740"/>
      <c r="G778" s="740"/>
      <c r="H778" s="740"/>
      <c r="I778" s="740"/>
      <c r="J778" s="740"/>
      <c r="K778" s="677"/>
    </row>
    <row r="779" ht="21.95" customHeight="1" spans="1:11">
      <c r="A779" s="675"/>
      <c r="B779" s="676" t="s">
        <v>421</v>
      </c>
      <c r="C779" s="676"/>
      <c r="D779" s="740" t="str">
        <f>IFERROR(VLOOKUP($I$781,STUDENT!$A$2:$BP$101,8,0),"")</f>
        <v>KUAR SINGH</v>
      </c>
      <c r="E779" s="740"/>
      <c r="F779" s="740"/>
      <c r="G779" s="740"/>
      <c r="H779" s="740"/>
      <c r="I779" s="740"/>
      <c r="J779" s="740"/>
      <c r="K779" s="677"/>
    </row>
    <row r="780" ht="21.95" customHeight="1" spans="1:11">
      <c r="A780" s="675"/>
      <c r="B780" s="676" t="s">
        <v>422</v>
      </c>
      <c r="C780" s="676"/>
      <c r="D780" s="740">
        <f>IFERROR(VLOOKUP($I$781,STUDENT!$A$2:$BP$101,6,0),"")</f>
        <v>14746</v>
      </c>
      <c r="E780" s="740"/>
      <c r="F780" s="740"/>
      <c r="G780" s="740"/>
      <c r="H780" s="740"/>
      <c r="I780" s="740"/>
      <c r="J780" s="740"/>
      <c r="K780" s="677"/>
    </row>
    <row r="781" ht="21.95" customHeight="1" spans="1:11">
      <c r="A781" s="675"/>
      <c r="B781" s="676" t="s">
        <v>423</v>
      </c>
      <c r="C781" s="676"/>
      <c r="D781" s="741" t="str">
        <f>IFERROR(VLOOKUP($I$781,STUDENT!$A$2:$BP$101,59,0),"")</f>
        <v/>
      </c>
      <c r="E781" s="742" t="s">
        <v>424</v>
      </c>
      <c r="F781" s="704" t="str">
        <f>IFERROR(VLOOKUP($I$781,STUDENT!$A$2:$BP$101,2,0),"")</f>
        <v>III-A</v>
      </c>
      <c r="G781" s="742" t="s">
        <v>425</v>
      </c>
      <c r="H781" s="743"/>
      <c r="I781" s="733">
        <f>I726+1</f>
        <v>15</v>
      </c>
      <c r="J781" s="683"/>
      <c r="K781" s="677"/>
    </row>
    <row r="782" ht="5.1" customHeight="1" spans="1:11">
      <c r="A782" s="675"/>
      <c r="B782" s="745"/>
      <c r="C782" s="745"/>
      <c r="D782" s="746"/>
      <c r="E782" s="747"/>
      <c r="F782" s="748"/>
      <c r="G782" s="747"/>
      <c r="H782" s="686"/>
      <c r="I782" s="686"/>
      <c r="J782" s="686"/>
      <c r="K782" s="677"/>
    </row>
    <row r="783" s="664" customFormat="1" ht="32.1" customHeight="1" spans="1:11">
      <c r="A783" s="688"/>
      <c r="B783" s="749" t="s">
        <v>426</v>
      </c>
      <c r="C783" s="750"/>
      <c r="D783" s="750"/>
      <c r="E783" s="750"/>
      <c r="F783" s="750"/>
      <c r="G783" s="750"/>
      <c r="H783" s="750"/>
      <c r="I783" s="750"/>
      <c r="J783" s="751"/>
      <c r="K783" s="690"/>
    </row>
    <row r="784" ht="51.6" spans="1:11">
      <c r="A784" s="675"/>
      <c r="B784" s="752">
        <v>21</v>
      </c>
      <c r="C784" s="753" t="s">
        <v>427</v>
      </c>
      <c r="D784" s="754" t="s">
        <v>428</v>
      </c>
      <c r="E784" s="754" t="s">
        <v>429</v>
      </c>
      <c r="F784" s="754" t="s">
        <v>430</v>
      </c>
      <c r="G784" s="753" t="s">
        <v>390</v>
      </c>
      <c r="H784" s="714"/>
      <c r="I784" s="714"/>
      <c r="J784" s="714"/>
      <c r="K784" s="677"/>
    </row>
    <row r="785" ht="20.1" customHeight="1" spans="1:11">
      <c r="A785" s="675"/>
      <c r="B785" s="755">
        <v>1</v>
      </c>
      <c r="C785" s="755" t="str">
        <f>IFERROR(VLOOKUP(B785,DATEWISE!$A$3:$BY$27,2,0),0)</f>
        <v>30.04.2026</v>
      </c>
      <c r="D785" s="755">
        <f>IF($C$785=0,NA(),VLOOKUP($I$781&amp;$B$785,FLNFIX!$L$4:$EF$103,2,0))</f>
        <v>3</v>
      </c>
      <c r="E785" s="755">
        <f>IF($C$785=0,NA(),VLOOKUP($I$781&amp;$B$785,FLNFIX!$L$4:$EF$103,4,0))</f>
        <v>4</v>
      </c>
      <c r="F785" s="755">
        <f>IF($C$785=0,NA(),VLOOKUP($I$781&amp;$B$785,FLNFIX!$L$4:$EF$103,3,0))</f>
        <v>3</v>
      </c>
      <c r="G785" s="756">
        <f>IF($C$785=0,NA(),VLOOKUP($I$781&amp;$B$785,FLNFIX!$L$4:$EF$103,5,0))</f>
        <v>0</v>
      </c>
      <c r="H785" s="757"/>
      <c r="I785" s="757"/>
      <c r="J785" s="758"/>
      <c r="K785" s="677"/>
    </row>
    <row r="786" ht="20.1" customHeight="1" spans="1:11">
      <c r="A786" s="675"/>
      <c r="B786" s="755">
        <f t="shared" ref="B786:B805" si="14">IF(B785=0,0,IF(B785&lt;$B$784,B785+1,""))</f>
        <v>2</v>
      </c>
      <c r="C786" s="755" t="str">
        <f>IFERROR(VLOOKUP(B786,DATEWISE!$A$3:$BY$27,2,0),0)</f>
        <v>08.05.2026</v>
      </c>
      <c r="D786" s="755">
        <f>IF($C$786=0,NA(),VLOOKUP($I$781&amp;$B$786,FLNFIX!$Q$4:$EF$103,2,0))</f>
        <v>3</v>
      </c>
      <c r="E786" s="755">
        <f>IF($C$786=0,NA(),VLOOKUP($I$781&amp;$B$786,FLNFIX!$Q$4:$EF$103,4,0))</f>
        <v>4</v>
      </c>
      <c r="F786" s="755">
        <f>IF($C$786=0,NA(),VLOOKUP($I$781&amp;$B$786,FLNFIX!$Q$4:$EF$103,3,0))</f>
        <v>3</v>
      </c>
      <c r="G786" s="756">
        <f>IF($C$786=0,NA(),VLOOKUP($I$781&amp;$B$786,FLNFIX!$Q$4:$EF$103,5,0))</f>
        <v>0</v>
      </c>
      <c r="H786" s="757"/>
      <c r="I786" s="757"/>
      <c r="J786" s="758"/>
      <c r="K786" s="677"/>
    </row>
    <row r="787" ht="20.1" customHeight="1" spans="1:11">
      <c r="A787" s="675"/>
      <c r="B787" s="755">
        <f t="shared" si="14"/>
        <v>3</v>
      </c>
      <c r="C787" s="755" t="str">
        <f>IFERROR(VLOOKUP(B787,DATEWISE!$A$3:$BY$27,2,0),0)</f>
        <v>15.07.2026</v>
      </c>
      <c r="D787" s="755">
        <f>IF($C$787=0,NA(),VLOOKUP($I$781&amp;$B$787,FLNFIX!$V$4:$EF$103,2,0))</f>
        <v>3</v>
      </c>
      <c r="E787" s="755">
        <f>IF($C$787=0,NA(),VLOOKUP($I$781&amp;$B$787,FLNFIX!$V$4:$EF$103,4,0))</f>
        <v>4</v>
      </c>
      <c r="F787" s="755">
        <f>IF($C$787=0,NA(),VLOOKUP($I$781&amp;$B$787,FLNFIX!$V$4:$EF$103,3,0))</f>
        <v>3</v>
      </c>
      <c r="G787" s="756">
        <f>IF($C$787=0,NA(),VLOOKUP($I$781&amp;$B$787,FLNFIX!$V$4:$EF$103,5,0))</f>
        <v>0</v>
      </c>
      <c r="H787" s="757"/>
      <c r="I787" s="757"/>
      <c r="J787" s="758"/>
      <c r="K787" s="677"/>
    </row>
    <row r="788" ht="20.1" customHeight="1" spans="1:11">
      <c r="A788" s="675"/>
      <c r="B788" s="755">
        <f t="shared" si="14"/>
        <v>4</v>
      </c>
      <c r="C788" s="755" t="str">
        <f>IFERROR(VLOOKUP(B788,DATEWISE!$A$3:$BY$27,2,0),0)</f>
        <v>31.07.2026</v>
      </c>
      <c r="D788" s="755">
        <f>IF($C$788=0,NA(),VLOOKUP($I$781&amp;$B$788,FLNFIX!$AA$4:$EF$103,2,0))</f>
        <v>3</v>
      </c>
      <c r="E788" s="755">
        <f>IF($C$788=0,NA(),VLOOKUP($I$781&amp;$B$788,FLNFIX!$AA$4:$EF$103,4,0))</f>
        <v>4</v>
      </c>
      <c r="F788" s="755">
        <f>IF($C$788=0,NA(),VLOOKUP($I$781&amp;$B$788,FLNFIX!$AA$4:$EF$103,3,0))</f>
        <v>3</v>
      </c>
      <c r="G788" s="756">
        <f>IF($C$788=0,NA(),VLOOKUP($I$781&amp;$B$788,FLNFIX!$AA$4:$EF$103,5,0))</f>
        <v>0</v>
      </c>
      <c r="H788" s="757"/>
      <c r="I788" s="757"/>
      <c r="J788" s="758"/>
      <c r="K788" s="677"/>
    </row>
    <row r="789" ht="20.1" customHeight="1" spans="1:11">
      <c r="A789" s="675"/>
      <c r="B789" s="755">
        <f t="shared" si="14"/>
        <v>5</v>
      </c>
      <c r="C789" s="755" t="str">
        <f>IFERROR(VLOOKUP(B789,DATEWISE!$A$3:$BY$27,2,0),0)</f>
        <v>17.08.2026</v>
      </c>
      <c r="D789" s="755">
        <f>IF($C$789=0,NA(),VLOOKUP($I$781&amp;$B$789,FLNFIX!$AF$4:$EF$103,2,0))</f>
        <v>3</v>
      </c>
      <c r="E789" s="755">
        <f>IF($C$789=0,NA(),VLOOKUP($I$781&amp;$B$789,FLNFIX!$AF$4:$EF$103,4,0))</f>
        <v>4</v>
      </c>
      <c r="F789" s="755">
        <f>IF($C$789=0,NA(),VLOOKUP($I$781&amp;$B$789,FLNFIX!$AF$4:$EF$103,3,0))</f>
        <v>3</v>
      </c>
      <c r="G789" s="756">
        <f>IF($C$789=0,NA(),VLOOKUP($I$781&amp;$B$789,FLNFIX!$AF$4:$EF$103,5,0))</f>
        <v>0</v>
      </c>
      <c r="H789" s="757"/>
      <c r="I789" s="757"/>
      <c r="J789" s="758"/>
      <c r="K789" s="677"/>
    </row>
    <row r="790" ht="20.1" customHeight="1" spans="1:11">
      <c r="A790" s="675"/>
      <c r="B790" s="755">
        <f t="shared" si="14"/>
        <v>6</v>
      </c>
      <c r="C790" s="755" t="str">
        <f>IFERROR(VLOOKUP(B790,DATEWISE!$A$3:$BY$27,2,0),0)</f>
        <v>31.08.2026</v>
      </c>
      <c r="D790" s="755">
        <f>IF($C$790=0,NA(),VLOOKUP($I$781&amp;$B$790,FLNFIX!$AK$4:$EF$103,2,0))</f>
        <v>4</v>
      </c>
      <c r="E790" s="755">
        <f>IF($C$790=0,NA(),VLOOKUP($I$781&amp;$B$790,FLNFIX!$AK$4:$EF$103,4,0))</f>
        <v>4</v>
      </c>
      <c r="F790" s="755">
        <f>IF($C$790=0,NA(),VLOOKUP($I$781&amp;$B$790,FLNFIX!$AK$4:$EF$103,3,0))</f>
        <v>4</v>
      </c>
      <c r="G790" s="756">
        <f>IF($C$790=0,NA(),VLOOKUP($I$781&amp;$B$790,FLNFIX!$AK$4:$EF$103,5,0))</f>
        <v>0</v>
      </c>
      <c r="H790" s="757"/>
      <c r="I790" s="757"/>
      <c r="J790" s="758"/>
      <c r="K790" s="677"/>
    </row>
    <row r="791" ht="20.1" customHeight="1" spans="1:11">
      <c r="A791" s="675"/>
      <c r="B791" s="755">
        <f t="shared" si="14"/>
        <v>7</v>
      </c>
      <c r="C791" s="755">
        <f>IFERROR(VLOOKUP(B791,DATEWISE!$A$3:$BY$27,2,0),0)</f>
        <v>0</v>
      </c>
      <c r="D791" s="755" t="e">
        <f>IF($C$791=0,NA(),VLOOKUP($I$781&amp;$B$791,FLNFIX!$AP$4:$EF$103,2,0))</f>
        <v>#N/A</v>
      </c>
      <c r="E791" s="755" t="e">
        <f>IF($C$791=0,NA(),VLOOKUP($I$781&amp;$B$791,FLNFIX!$AP$4:$EF$103,4,0))</f>
        <v>#N/A</v>
      </c>
      <c r="F791" s="755" t="e">
        <f>IF($C$791=0,NA(),VLOOKUP($I$781&amp;$B$791,FLNFIX!$AP$4:$EF$103,3,0))</f>
        <v>#N/A</v>
      </c>
      <c r="G791" s="756" t="e">
        <f>IF($C$791=0,NA(),VLOOKUP($I$781&amp;$B$791,FLNFIX!$AP$4:$EF$103,5,0))</f>
        <v>#N/A</v>
      </c>
      <c r="H791" s="757"/>
      <c r="I791" s="757"/>
      <c r="J791" s="758"/>
      <c r="K791" s="677"/>
    </row>
    <row r="792" ht="20.1" customHeight="1" spans="1:11">
      <c r="A792" s="675"/>
      <c r="B792" s="755">
        <f t="shared" si="14"/>
        <v>8</v>
      </c>
      <c r="C792" s="755">
        <f>IFERROR(VLOOKUP(B792,DATEWISE!$A$3:$BY$27,2,0),0)</f>
        <v>0</v>
      </c>
      <c r="D792" s="755" t="e">
        <f>IF($C$792=0,NA(),VLOOKUP($I$781&amp;$B$792,FLNFIX!$AU$4:$EF$103,2,0))</f>
        <v>#N/A</v>
      </c>
      <c r="E792" s="755" t="e">
        <f>IF($C$792=0,NA(),VLOOKUP($I$781&amp;$B$792,FLNFIX!$AU$4:$EF$103,4,0))</f>
        <v>#N/A</v>
      </c>
      <c r="F792" s="755" t="e">
        <f>IF($C$792=0,NA(),VLOOKUP($I$781&amp;$B$792,FLNFIX!$AU$4:$EF$103,3,0))</f>
        <v>#N/A</v>
      </c>
      <c r="G792" s="756" t="e">
        <f>IF($C$792=0,NA(),VLOOKUP($I$781&amp;$B$792,FLNFIX!$AU$4:$EF$103,5,0))</f>
        <v>#N/A</v>
      </c>
      <c r="H792" s="757"/>
      <c r="I792" s="757"/>
      <c r="J792" s="758"/>
      <c r="K792" s="677"/>
    </row>
    <row r="793" ht="20.1" customHeight="1" spans="1:11">
      <c r="A793" s="675"/>
      <c r="B793" s="755">
        <f t="shared" si="14"/>
        <v>9</v>
      </c>
      <c r="C793" s="755">
        <f>IFERROR(VLOOKUP(B793,DATEWISE!$A$3:$BY$27,2,0),0)</f>
        <v>0</v>
      </c>
      <c r="D793" s="755" t="e">
        <f>IF($C$793=0,NA(),VLOOKUP($I$781&amp;$B$793,FLNFIX!$AZ$4:$EF$103,2,0))</f>
        <v>#N/A</v>
      </c>
      <c r="E793" s="755" t="e">
        <f>IF($C$793=0,NA(),VLOOKUP($I$781&amp;$B$793,FLNFIX!$AZ$4:$EF$103,4,0))</f>
        <v>#N/A</v>
      </c>
      <c r="F793" s="755" t="e">
        <f>IF($C$793=0,NA(),VLOOKUP($I$781&amp;$B$793,FLNFIX!$AZ$4:$EF$103,3,0))</f>
        <v>#N/A</v>
      </c>
      <c r="G793" s="756" t="e">
        <f>IF($C$793=0,NA(),VLOOKUP($I$781&amp;$B$793,FLNFIX!$AZ$4:$EF$103,5,0))</f>
        <v>#N/A</v>
      </c>
      <c r="H793" s="757"/>
      <c r="I793" s="757"/>
      <c r="J793" s="758"/>
      <c r="K793" s="677"/>
    </row>
    <row r="794" ht="20.1" customHeight="1" spans="1:11">
      <c r="A794" s="675"/>
      <c r="B794" s="755">
        <f t="shared" si="14"/>
        <v>10</v>
      </c>
      <c r="C794" s="755">
        <f>IFERROR(VLOOKUP(B794,DATEWISE!$A$3:$BY$27,2,0),0)</f>
        <v>0</v>
      </c>
      <c r="D794" s="755" t="e">
        <f>IF($C$794=0,NA(),VLOOKUP($I$781&amp;$B$794,FLNFIX!$BE$4:$EF$103,2,0))</f>
        <v>#N/A</v>
      </c>
      <c r="E794" s="755" t="e">
        <f>IF($C$794=0,NA(),VLOOKUP($I$781&amp;$B$794,FLNFIX!$BE$4:$EF$103,4,0))</f>
        <v>#N/A</v>
      </c>
      <c r="F794" s="755" t="e">
        <f>IF($C$794=0,NA(),VLOOKUP($I$781&amp;$B$794,FLNFIX!$BE$4:$EF$103,3,0))</f>
        <v>#N/A</v>
      </c>
      <c r="G794" s="756" t="e">
        <f>IF($C$794=0,NA(),VLOOKUP($I$781&amp;$B$794,FLNFIX!$BE$4:$EF$103,5,0))</f>
        <v>#N/A</v>
      </c>
      <c r="H794" s="757"/>
      <c r="I794" s="757"/>
      <c r="J794" s="758"/>
      <c r="K794" s="677"/>
    </row>
    <row r="795" ht="20.1" customHeight="1" spans="1:11">
      <c r="A795" s="675"/>
      <c r="B795" s="755">
        <f t="shared" si="14"/>
        <v>11</v>
      </c>
      <c r="C795" s="755">
        <f>IFERROR(VLOOKUP(B795,DATEWISE!$A$3:$BY$27,2,0),0)</f>
        <v>0</v>
      </c>
      <c r="D795" s="755" t="e">
        <f>IF($C$795=0,NA(),VLOOKUP($I$781&amp;$B$795,FLNFIX!$BJ$4:$EF$103,2,0))</f>
        <v>#N/A</v>
      </c>
      <c r="E795" s="755" t="e">
        <f>IF($C$795=0,NA(),VLOOKUP($I$781&amp;$B$795,FLNFIX!$BJ$4:$EF$103,4,0))</f>
        <v>#N/A</v>
      </c>
      <c r="F795" s="755" t="e">
        <f>IF($C$795=0,NA(),VLOOKUP($I$781&amp;$B$795,FLNFIX!$BJ$4:$EF$103,3,0))</f>
        <v>#N/A</v>
      </c>
      <c r="G795" s="756" t="e">
        <f>IF($C$795=0,NA(),VLOOKUP($I$781&amp;$B$795,FLNFIX!$BJ$4:$EF$103,5,0))</f>
        <v>#N/A</v>
      </c>
      <c r="H795" s="757"/>
      <c r="I795" s="757"/>
      <c r="J795" s="758"/>
      <c r="K795" s="677"/>
    </row>
    <row r="796" ht="20.1" customHeight="1" spans="1:11">
      <c r="A796" s="675"/>
      <c r="B796" s="755">
        <f t="shared" si="14"/>
        <v>12</v>
      </c>
      <c r="C796" s="755">
        <f>IFERROR(VLOOKUP(B796,DATEWISE!$A$3:$BY$27,2,0),0)</f>
        <v>0</v>
      </c>
      <c r="D796" s="755" t="e">
        <f>IF($C$796=0,NA(),VLOOKUP($I$781&amp;$B$796,FLNFIX!$BO$4:$EF$103,2,0))</f>
        <v>#N/A</v>
      </c>
      <c r="E796" s="755" t="e">
        <f>IF($C$796=0,NA(),VLOOKUP($I$781&amp;$B$796,FLNFIX!$BO$4:$EF$103,4,0))</f>
        <v>#N/A</v>
      </c>
      <c r="F796" s="755" t="e">
        <f>IF($C$796=0,NA(),VLOOKUP($I$781&amp;$B$796,FLNFIX!$BO$4:$EF$103,3,0))</f>
        <v>#N/A</v>
      </c>
      <c r="G796" s="756" t="e">
        <f>IF($C$796=0,NA(),VLOOKUP($I$781&amp;$B$796,FLNFIX!$BO$4:$EF$103,5,0))</f>
        <v>#N/A</v>
      </c>
      <c r="H796" s="757"/>
      <c r="I796" s="757"/>
      <c r="J796" s="758"/>
      <c r="K796" s="677"/>
    </row>
    <row r="797" ht="20.1" customHeight="1" spans="1:11">
      <c r="A797" s="675"/>
      <c r="B797" s="755">
        <f t="shared" si="14"/>
        <v>13</v>
      </c>
      <c r="C797" s="755">
        <f>IFERROR(VLOOKUP(B797,DATEWISE!$A$3:$BY$27,2,0),0)</f>
        <v>0</v>
      </c>
      <c r="D797" s="755" t="e">
        <f>IF($C$797=0,NA(),VLOOKUP($I$781&amp;$B$797,FLNFIX!$BT$4:$EF$103,2,0))</f>
        <v>#N/A</v>
      </c>
      <c r="E797" s="755" t="e">
        <f>IF($C$797=0,NA(),VLOOKUP($I$781&amp;$B$797,FLNFIX!$BT$4:$EF$103,4,0))</f>
        <v>#N/A</v>
      </c>
      <c r="F797" s="755" t="e">
        <f>IF($C$797=0,NA(),VLOOKUP($I$781&amp;$B$797,FLNFIX!$BT$4:$EF$103,3,0))</f>
        <v>#N/A</v>
      </c>
      <c r="G797" s="756" t="e">
        <f>IF($C$797=0,NA(),VLOOKUP($I$781&amp;$B$797,FLNFIX!$BT$4:$EF$103,5,0))</f>
        <v>#N/A</v>
      </c>
      <c r="H797" s="757"/>
      <c r="I797" s="757"/>
      <c r="J797" s="758"/>
      <c r="K797" s="677"/>
    </row>
    <row r="798" ht="20.1" customHeight="1" spans="1:11">
      <c r="A798" s="675"/>
      <c r="B798" s="755">
        <f t="shared" si="14"/>
        <v>14</v>
      </c>
      <c r="C798" s="755">
        <f>IFERROR(VLOOKUP(B798,DATEWISE!$A$3:$BY$27,2,0),0)</f>
        <v>0</v>
      </c>
      <c r="D798" s="755" t="e">
        <f>IF($C$798=0,NA(),VLOOKUP($I$781&amp;$B$798,FLNFIX!$BY$4:$EF$103,2,0))</f>
        <v>#N/A</v>
      </c>
      <c r="E798" s="755" t="e">
        <f>IF($C$798=0,NA(),VLOOKUP($I$781&amp;$B$798,FLNFIX!$BY$4:$EF$103,4,0))</f>
        <v>#N/A</v>
      </c>
      <c r="F798" s="755" t="e">
        <f>IF($C$798=0,NA(),VLOOKUP($I$781&amp;$B$798,FLNFIX!$BY$4:$EF$103,3,0))</f>
        <v>#N/A</v>
      </c>
      <c r="G798" s="756" t="e">
        <f>IF($C$798=0,NA(),VLOOKUP($I$781&amp;$B$798,FLNFIX!$BY$4:$EF$103,5,0))</f>
        <v>#N/A</v>
      </c>
      <c r="H798" s="757"/>
      <c r="I798" s="757"/>
      <c r="J798" s="758"/>
      <c r="K798" s="677"/>
    </row>
    <row r="799" ht="20.1" customHeight="1" spans="1:11">
      <c r="A799" s="675"/>
      <c r="B799" s="755">
        <f t="shared" si="14"/>
        <v>15</v>
      </c>
      <c r="C799" s="755">
        <f>IFERROR(VLOOKUP(B799,DATEWISE!$A$3:$BY$27,2,0),0)</f>
        <v>0</v>
      </c>
      <c r="D799" s="755" t="e">
        <f>IF($C$799=0,NA(),VLOOKUP($I$781&amp;$B$799,FLNFIX!$CD$4:$EF$103,2,0))</f>
        <v>#N/A</v>
      </c>
      <c r="E799" s="755" t="e">
        <f>IF($C$799=0,NA(),VLOOKUP($I$781&amp;$B$799,FLNFIX!$CD$4:$EF$103,4,0))</f>
        <v>#N/A</v>
      </c>
      <c r="F799" s="755" t="e">
        <f>IF($C$799=0,NA(),VLOOKUP($I$781&amp;$B$799,FLNFIX!$CD$4:$EF$103,3,0))</f>
        <v>#N/A</v>
      </c>
      <c r="G799" s="756" t="e">
        <f>IF($C$799=0,NA(),VLOOKUP($I$781&amp;$B$799,FLNFIX!$CD$4:$EF$103,5,0))</f>
        <v>#N/A</v>
      </c>
      <c r="H799" s="757"/>
      <c r="I799" s="757"/>
      <c r="J799" s="758"/>
      <c r="K799" s="677"/>
    </row>
    <row r="800" ht="20.1" customHeight="1" spans="1:11">
      <c r="A800" s="675"/>
      <c r="B800" s="755">
        <f t="shared" si="14"/>
        <v>16</v>
      </c>
      <c r="C800" s="755">
        <f>IFERROR(VLOOKUP(B800,DATEWISE!$A$3:$BY$27,2,0),0)</f>
        <v>0</v>
      </c>
      <c r="D800" s="755" t="e">
        <f>IF($C$800=0,NA(),VLOOKUP($I$781&amp;$B$800,FLNFIX!$CI$4:$EF$103,2,0))</f>
        <v>#N/A</v>
      </c>
      <c r="E800" s="755" t="e">
        <f>IF($C$800=0,NA(),VLOOKUP($I$781&amp;$B$800,FLNFIX!$CI$4:$EF$103,4,0))</f>
        <v>#N/A</v>
      </c>
      <c r="F800" s="755" t="e">
        <f>IF($C$800=0,NA(),VLOOKUP($I$781&amp;$B$800,FLNFIX!$CI$4:$EF$103,3,0))</f>
        <v>#N/A</v>
      </c>
      <c r="G800" s="756" t="e">
        <f>IF($C$800=0,NA(),VLOOKUP($I$781&amp;$B$800,FLNFIX!$CI$4:$EF$103,5,0))</f>
        <v>#N/A</v>
      </c>
      <c r="H800" s="757"/>
      <c r="I800" s="757"/>
      <c r="J800" s="758"/>
      <c r="K800" s="677"/>
    </row>
    <row r="801" ht="20.1" customHeight="1" spans="1:11">
      <c r="A801" s="675"/>
      <c r="B801" s="755">
        <f t="shared" si="14"/>
        <v>17</v>
      </c>
      <c r="C801" s="755">
        <f>IFERROR(VLOOKUP(B801,DATEWISE!$A$3:$BY$27,2,0),0)</f>
        <v>0</v>
      </c>
      <c r="D801" s="755" t="e">
        <f>IF($C$801=0,NA(),VLOOKUP($I$781&amp;$B$801,FLNFIX!$CN$4:$EF$103,2,0))</f>
        <v>#N/A</v>
      </c>
      <c r="E801" s="755" t="e">
        <f>IF($C$801=0,NA(),VLOOKUP($I$781&amp;$B$801,FLNFIX!$CN$4:$EF$103,4,0))</f>
        <v>#N/A</v>
      </c>
      <c r="F801" s="755" t="e">
        <f>IF($C$801=0,NA(),VLOOKUP($I$781&amp;$B$801,FLNFIX!$CN$4:$EF$103,3,0))</f>
        <v>#N/A</v>
      </c>
      <c r="G801" s="756" t="e">
        <f>IF($C$801=0,NA(),VLOOKUP($I$781&amp;$B$801,FLNFIX!$CN$4:$EF$103,5,0))</f>
        <v>#N/A</v>
      </c>
      <c r="H801" s="757"/>
      <c r="I801" s="757"/>
      <c r="J801" s="758"/>
      <c r="K801" s="677"/>
    </row>
    <row r="802" ht="20.1" customHeight="1" spans="1:11">
      <c r="A802" s="675"/>
      <c r="B802" s="755">
        <f t="shared" si="14"/>
        <v>18</v>
      </c>
      <c r="C802" s="755">
        <f>IFERROR(VLOOKUP(B802,DATEWISE!$A$3:$BY$27,2,0),0)</f>
        <v>0</v>
      </c>
      <c r="D802" s="755" t="e">
        <f>IF($C$802=0,NA(),VLOOKUP($I$781&amp;$B$802,FLNFIX!$CS$4:$EF$103,2,0))</f>
        <v>#N/A</v>
      </c>
      <c r="E802" s="755" t="e">
        <f>IF($C$802=0,NA(),VLOOKUP($I$781&amp;$B$802,FLNFIX!$CS$4:$EF$103,4,0))</f>
        <v>#N/A</v>
      </c>
      <c r="F802" s="755" t="e">
        <f>IF($C$802=0,NA(),VLOOKUP($I$781&amp;$B$802,FLNFIX!$CS$4:$EF$103,3,0))</f>
        <v>#N/A</v>
      </c>
      <c r="G802" s="756" t="e">
        <f>IF($C$802=0,NA(),VLOOKUP($I$781&amp;$B$802,FLNFIX!$CS$4:$EF$103,5,0))</f>
        <v>#N/A</v>
      </c>
      <c r="H802" s="757"/>
      <c r="I802" s="757"/>
      <c r="J802" s="758"/>
      <c r="K802" s="677"/>
    </row>
    <row r="803" ht="20.1" customHeight="1" spans="1:11">
      <c r="A803" s="675"/>
      <c r="B803" s="755">
        <f t="shared" si="14"/>
        <v>19</v>
      </c>
      <c r="C803" s="755">
        <f>IFERROR(VLOOKUP(B803,DATEWISE!$A$3:$BY$27,2,0),0)</f>
        <v>0</v>
      </c>
      <c r="D803" s="755" t="e">
        <f>IF($C$803=0,NA(),VLOOKUP($I$781&amp;$B$803,FLNFIX!$CX$4:$EF$103,2,0))</f>
        <v>#N/A</v>
      </c>
      <c r="E803" s="755" t="e">
        <f>IF($C$803=0,NA(),VLOOKUP($I$781&amp;$B$803,FLNFIX!$CX$4:$EF$103,4,0))</f>
        <v>#N/A</v>
      </c>
      <c r="F803" s="755" t="e">
        <f>IF($C$803=0,NA(),VLOOKUP($I$781&amp;$B$803,FLNFIX!$CX$4:$EF$103,3,0))</f>
        <v>#N/A</v>
      </c>
      <c r="G803" s="756" t="e">
        <f>IF($C$803=0,NA(),VLOOKUP($I$781&amp;$B$803,FLNFIX!$CX$4:$EF$103,5,0))</f>
        <v>#N/A</v>
      </c>
      <c r="H803" s="757"/>
      <c r="I803" s="757"/>
      <c r="J803" s="758"/>
      <c r="K803" s="677"/>
    </row>
    <row r="804" ht="20.1" customHeight="1" spans="1:11">
      <c r="A804" s="675"/>
      <c r="B804" s="755">
        <f t="shared" si="14"/>
        <v>20</v>
      </c>
      <c r="C804" s="755">
        <f>IFERROR(VLOOKUP(B804,DATEWISE!$A$3:$BY$27,2,0),0)</f>
        <v>0</v>
      </c>
      <c r="D804" s="755" t="e">
        <f>IF($C$804=0,NA(),VLOOKUP($I$781&amp;$B$804,FLNFIX!$DC$4:$EF$103,2,0))</f>
        <v>#N/A</v>
      </c>
      <c r="E804" s="755" t="e">
        <f>IF($C$804=0,NA(),VLOOKUP($I$781&amp;$B$804,FLNFIX!$DC$4:$EF$103,4,0))</f>
        <v>#N/A</v>
      </c>
      <c r="F804" s="755" t="e">
        <f>IF($C$804=0,NA(),VLOOKUP($I$781&amp;$B$804,FLNFIX!$DC$4:$EF$103,3,0))</f>
        <v>#N/A</v>
      </c>
      <c r="G804" s="756" t="e">
        <f>IF($C$804=0,NA(),VLOOKUP($I$781&amp;$B$804,FLNFIX!$DC$4:$EF$103,5,0))</f>
        <v>#N/A</v>
      </c>
      <c r="H804" s="757"/>
      <c r="I804" s="757"/>
      <c r="J804" s="758"/>
      <c r="K804" s="677"/>
    </row>
    <row r="805" ht="20.1" customHeight="1" spans="1:11">
      <c r="A805" s="675"/>
      <c r="B805" s="755">
        <f t="shared" si="14"/>
        <v>21</v>
      </c>
      <c r="C805" s="755">
        <f>IFERROR(VLOOKUP(B805,DATEWISE!$A$3:$BY$27,2,0),0)</f>
        <v>0</v>
      </c>
      <c r="D805" s="755" t="e">
        <f>IF($C$805=0,NA(),VLOOKUP($I$781&amp;$B$805,FLNFIX!$DH$4:$EF$103,2,0))</f>
        <v>#N/A</v>
      </c>
      <c r="E805" s="755" t="e">
        <f>IF($C$805=0,NA(),VLOOKUP($I$781&amp;$B$805,FLNFIX!$DH$4:$EF$103,4,0))</f>
        <v>#N/A</v>
      </c>
      <c r="F805" s="755" t="e">
        <f>IF($C$805=0,NA(),VLOOKUP($I$781&amp;$B$805,FLNFIX!$DH$4:$EF$103,3,0))</f>
        <v>#N/A</v>
      </c>
      <c r="G805" s="756" t="e">
        <f>IF($C$805=0,NA(),VLOOKUP($I$781&amp;$B$805,FLNFIX!$DH$4:$EF$103,5,0))</f>
        <v>#N/A</v>
      </c>
      <c r="H805" s="757"/>
      <c r="I805" s="757"/>
      <c r="J805" s="758"/>
      <c r="K805" s="677"/>
    </row>
    <row r="806" ht="5.1" customHeight="1" spans="1:11">
      <c r="A806" s="675"/>
      <c r="B806" s="759"/>
      <c r="C806" s="759"/>
      <c r="D806" s="760"/>
      <c r="E806" s="760"/>
      <c r="F806" s="760"/>
      <c r="G806" s="761"/>
      <c r="H806" s="761"/>
      <c r="I806" s="761"/>
      <c r="J806" s="761"/>
      <c r="K806" s="677"/>
    </row>
    <row r="807" s="667" customFormat="1" ht="24.95" customHeight="1" spans="1:11">
      <c r="A807" s="711"/>
      <c r="B807" s="762" t="s">
        <v>431</v>
      </c>
      <c r="C807" s="763"/>
      <c r="D807" s="763"/>
      <c r="E807" s="763"/>
      <c r="F807" s="763"/>
      <c r="G807" s="763"/>
      <c r="H807" s="763"/>
      <c r="I807" s="763"/>
      <c r="J807" s="764"/>
      <c r="K807" s="713"/>
    </row>
    <row r="808" spans="1:11">
      <c r="A808" s="675"/>
      <c r="B808" s="765"/>
      <c r="C808" s="686"/>
      <c r="D808" s="686"/>
      <c r="E808" s="686"/>
      <c r="F808" s="686"/>
      <c r="G808" s="686"/>
      <c r="H808" s="686"/>
      <c r="I808" s="686"/>
      <c r="J808" s="766"/>
      <c r="K808" s="677"/>
    </row>
    <row r="809" spans="1:11">
      <c r="A809" s="675"/>
      <c r="B809" s="765"/>
      <c r="C809" s="686"/>
      <c r="D809" s="686"/>
      <c r="E809" s="686"/>
      <c r="F809" s="686"/>
      <c r="G809" s="686"/>
      <c r="H809" s="686"/>
      <c r="I809" s="686"/>
      <c r="J809" s="766"/>
      <c r="K809" s="677"/>
    </row>
    <row r="810" spans="1:11">
      <c r="A810" s="675"/>
      <c r="B810" s="765"/>
      <c r="C810" s="686"/>
      <c r="D810" s="686"/>
      <c r="E810" s="686"/>
      <c r="F810" s="686"/>
      <c r="G810" s="686"/>
      <c r="H810" s="686"/>
      <c r="I810" s="686"/>
      <c r="J810" s="766"/>
      <c r="K810" s="677"/>
    </row>
    <row r="811" spans="1:11">
      <c r="A811" s="675"/>
      <c r="B811" s="765"/>
      <c r="C811" s="686"/>
      <c r="D811" s="686"/>
      <c r="E811" s="686"/>
      <c r="F811" s="686"/>
      <c r="G811" s="686"/>
      <c r="H811" s="686"/>
      <c r="I811" s="686"/>
      <c r="J811" s="766"/>
      <c r="K811" s="677"/>
    </row>
    <row r="812" spans="1:11">
      <c r="A812" s="675"/>
      <c r="B812" s="765"/>
      <c r="C812" s="686"/>
      <c r="D812" s="686"/>
      <c r="E812" s="686"/>
      <c r="F812" s="686"/>
      <c r="G812" s="686"/>
      <c r="H812" s="686"/>
      <c r="I812" s="686"/>
      <c r="J812" s="766"/>
      <c r="K812" s="677"/>
    </row>
    <row r="813" spans="1:11">
      <c r="A813" s="675"/>
      <c r="B813" s="765"/>
      <c r="C813" s="686"/>
      <c r="D813" s="686"/>
      <c r="E813" s="686"/>
      <c r="F813" s="686"/>
      <c r="G813" s="686"/>
      <c r="H813" s="686"/>
      <c r="I813" s="686"/>
      <c r="J813" s="766"/>
      <c r="K813" s="677"/>
    </row>
    <row r="814" spans="1:11">
      <c r="A814" s="675"/>
      <c r="B814" s="765"/>
      <c r="C814" s="686"/>
      <c r="D814" s="686"/>
      <c r="E814" s="686"/>
      <c r="F814" s="686"/>
      <c r="G814" s="686"/>
      <c r="H814" s="686"/>
      <c r="I814" s="686"/>
      <c r="J814" s="766"/>
      <c r="K814" s="677"/>
    </row>
    <row r="815" spans="1:11">
      <c r="A815" s="675"/>
      <c r="B815" s="765"/>
      <c r="C815" s="686"/>
      <c r="D815" s="686"/>
      <c r="E815" s="686"/>
      <c r="F815" s="686"/>
      <c r="G815" s="686"/>
      <c r="H815" s="686"/>
      <c r="I815" s="686"/>
      <c r="J815" s="766"/>
      <c r="K815" s="677"/>
    </row>
    <row r="816" spans="1:11">
      <c r="A816" s="675"/>
      <c r="B816" s="765"/>
      <c r="C816" s="686"/>
      <c r="D816" s="686"/>
      <c r="E816" s="686"/>
      <c r="F816" s="686"/>
      <c r="G816" s="686"/>
      <c r="H816" s="686"/>
      <c r="I816" s="686"/>
      <c r="J816" s="766"/>
      <c r="K816" s="677"/>
    </row>
    <row r="817" spans="1:11">
      <c r="A817" s="675"/>
      <c r="B817" s="767"/>
      <c r="C817" s="768"/>
      <c r="D817" s="768"/>
      <c r="E817" s="768"/>
      <c r="F817" s="768"/>
      <c r="G817" s="768"/>
      <c r="H817" s="768"/>
      <c r="I817" s="768"/>
      <c r="J817" s="769"/>
      <c r="K817" s="677"/>
    </row>
    <row r="818" ht="5.1" customHeight="1" spans="1:11">
      <c r="A818" s="675"/>
      <c r="B818" s="686"/>
      <c r="C818" s="686"/>
      <c r="D818" s="686"/>
      <c r="E818" s="686"/>
      <c r="F818" s="686"/>
      <c r="G818" s="686"/>
      <c r="H818" s="686"/>
      <c r="I818" s="686"/>
      <c r="J818" s="686"/>
      <c r="K818" s="677"/>
    </row>
    <row r="819" spans="1:11">
      <c r="A819" s="675"/>
      <c r="B819" s="770" t="s">
        <v>432</v>
      </c>
      <c r="C819" s="770"/>
      <c r="D819" s="770"/>
      <c r="E819" s="770"/>
      <c r="F819" s="770"/>
      <c r="G819" s="770"/>
      <c r="H819" s="770"/>
      <c r="I819" s="770"/>
      <c r="J819" s="770"/>
      <c r="K819" s="677"/>
    </row>
    <row r="820" spans="1:11">
      <c r="A820" s="675"/>
      <c r="B820" s="771"/>
      <c r="C820" s="771"/>
      <c r="D820" s="771"/>
      <c r="E820" s="771"/>
      <c r="F820" s="771"/>
      <c r="G820" s="771"/>
      <c r="H820" s="771"/>
      <c r="I820" s="771"/>
      <c r="J820" s="771"/>
      <c r="K820" s="677"/>
    </row>
    <row r="821" spans="1:11">
      <c r="A821" s="675"/>
      <c r="B821" s="771"/>
      <c r="C821" s="771"/>
      <c r="D821" s="771"/>
      <c r="E821" s="771"/>
      <c r="F821" s="771"/>
      <c r="G821" s="771"/>
      <c r="H821" s="771"/>
      <c r="I821" s="771"/>
      <c r="J821" s="771"/>
      <c r="K821" s="677"/>
    </row>
    <row r="822" spans="1:11">
      <c r="A822" s="675"/>
      <c r="B822" s="771"/>
      <c r="C822" s="771"/>
      <c r="D822" s="771"/>
      <c r="E822" s="771"/>
      <c r="F822" s="771"/>
      <c r="G822" s="771"/>
      <c r="H822" s="771"/>
      <c r="I822" s="771"/>
      <c r="J822" s="771"/>
      <c r="K822" s="677"/>
    </row>
    <row r="823" spans="1:11">
      <c r="A823" s="675"/>
      <c r="B823" s="686"/>
      <c r="C823" s="686"/>
      <c r="D823" s="686"/>
      <c r="E823" s="686"/>
      <c r="F823" s="686"/>
      <c r="G823" s="686"/>
      <c r="H823" s="686"/>
      <c r="I823" s="686"/>
      <c r="J823" s="686"/>
      <c r="K823" s="677"/>
    </row>
    <row r="824" spans="1:11">
      <c r="A824" s="675"/>
      <c r="B824" s="686"/>
      <c r="C824" s="729" t="s">
        <v>433</v>
      </c>
      <c r="D824" s="729"/>
      <c r="E824" s="686"/>
      <c r="F824" s="686"/>
      <c r="G824" s="729" t="s">
        <v>434</v>
      </c>
      <c r="H824" s="729"/>
      <c r="I824" s="729"/>
      <c r="J824" s="729"/>
      <c r="K824" s="677"/>
    </row>
    <row r="825" ht="16.35" spans="1:11">
      <c r="A825" s="725"/>
      <c r="B825" s="726"/>
      <c r="C825" s="732" t="str">
        <f>"("&amp;PROPER(ENTRY!$D$19)&amp;")"</f>
        <v>(Indrajeet)</v>
      </c>
      <c r="D825" s="732"/>
      <c r="E825" s="726"/>
      <c r="F825" s="726"/>
      <c r="G825" s="732" t="str">
        <f>"("&amp;PROPER(ENTRY!$D$12)&amp;")"</f>
        <v>(Shambhu Dayal Meena)</v>
      </c>
      <c r="H825" s="732"/>
      <c r="I825" s="732"/>
      <c r="J825" s="732"/>
      <c r="K825" s="728"/>
    </row>
    <row r="826" ht="24.6" spans="1:11">
      <c r="B826" s="734"/>
      <c r="C826" s="734"/>
      <c r="D826" s="669" t="str">
        <f>ENTRY!$D$3</f>
        <v>MUNICIPAL CORPORATION OF DELHI</v>
      </c>
      <c r="E826" s="669"/>
      <c r="F826" s="669"/>
      <c r="G826" s="669"/>
      <c r="H826" s="734"/>
      <c r="I826" s="669"/>
      <c r="J826" s="669"/>
    </row>
    <row r="827" ht="20.4" spans="1:11">
      <c r="B827" s="735"/>
      <c r="C827" s="735"/>
      <c r="D827" s="670" t="str">
        <f>ENTRY!$D$4</f>
        <v>EDUCATION DEPARTMENT</v>
      </c>
      <c r="E827" s="670"/>
      <c r="F827" s="670"/>
      <c r="G827" s="670"/>
      <c r="H827" s="735"/>
      <c r="I827" s="669"/>
      <c r="J827" s="669"/>
    </row>
    <row r="828" ht="22.8" spans="1:11">
      <c r="B828" s="736"/>
      <c r="C828" s="736"/>
      <c r="D828" s="664" t="s">
        <v>417</v>
      </c>
      <c r="E828" s="664"/>
      <c r="F828" s="664"/>
      <c r="G828" s="664"/>
      <c r="H828" s="736"/>
      <c r="I828" s="669"/>
      <c r="J828" s="669"/>
    </row>
    <row r="829" ht="22.8" spans="1:11">
      <c r="B829" s="736"/>
      <c r="C829" s="736"/>
      <c r="D829" s="664" t="s">
        <v>418</v>
      </c>
      <c r="E829" s="664"/>
      <c r="F829" s="664"/>
      <c r="G829" s="664"/>
      <c r="H829" s="736"/>
      <c r="I829" s="669"/>
      <c r="J829" s="669"/>
    </row>
    <row r="830" ht="24.95" customHeight="1" spans="1:11">
      <c r="B830" s="735"/>
      <c r="C830" s="735"/>
      <c r="D830" s="737" t="str">
        <f>"SESSION : "&amp;ENTRY!$D$11</f>
        <v>SESSION : 2026-27</v>
      </c>
      <c r="E830" s="737"/>
      <c r="F830" s="737"/>
      <c r="G830" s="737"/>
      <c r="H830" s="735"/>
      <c r="I830" s="738"/>
      <c r="J830" s="738"/>
    </row>
    <row r="831" ht="3.75" customHeight="1" spans="1:11">
      <c r="A831" s="672"/>
      <c r="B831" s="739"/>
      <c r="C831" s="739"/>
      <c r="D831" s="739"/>
      <c r="E831" s="739"/>
      <c r="F831" s="739"/>
      <c r="G831" s="739"/>
      <c r="H831" s="739"/>
      <c r="I831" s="739"/>
      <c r="J831" s="739"/>
      <c r="K831" s="674"/>
    </row>
    <row r="832" ht="21.95" customHeight="1" spans="1:11">
      <c r="A832" s="675"/>
      <c r="B832" s="676" t="s">
        <v>419</v>
      </c>
      <c r="C832" s="676"/>
      <c r="D832" s="676" t="str">
        <f>ENTRY!$D$6</f>
        <v>MCP NITHARI NO 1 BOYS</v>
      </c>
      <c r="E832" s="676"/>
      <c r="F832" s="676"/>
      <c r="G832" s="676"/>
      <c r="H832" s="676"/>
      <c r="I832" s="676"/>
      <c r="J832" s="676"/>
      <c r="K832" s="677"/>
    </row>
    <row r="833" ht="21.95" customHeight="1" spans="1:11">
      <c r="A833" s="675"/>
      <c r="B833" s="676" t="s">
        <v>420</v>
      </c>
      <c r="C833" s="676"/>
      <c r="D833" s="740" t="str">
        <f>IFERROR(VLOOKUP($I$836,STUDENT!$A$2:$BP$101,5,0),"")</f>
        <v>MD BILAL</v>
      </c>
      <c r="E833" s="740"/>
      <c r="F833" s="740"/>
      <c r="G833" s="740"/>
      <c r="H833" s="740"/>
      <c r="I833" s="740"/>
      <c r="J833" s="740"/>
      <c r="K833" s="677"/>
    </row>
    <row r="834" ht="21.95" customHeight="1" spans="1:11">
      <c r="A834" s="675"/>
      <c r="B834" s="676" t="s">
        <v>421</v>
      </c>
      <c r="C834" s="676"/>
      <c r="D834" s="740" t="str">
        <f>IFERROR(VLOOKUP($I$836,STUDENT!$A$2:$BP$101,8,0),"")</f>
        <v>MD AFROJ</v>
      </c>
      <c r="E834" s="740"/>
      <c r="F834" s="740"/>
      <c r="G834" s="740"/>
      <c r="H834" s="740"/>
      <c r="I834" s="740"/>
      <c r="J834" s="740"/>
      <c r="K834" s="677"/>
    </row>
    <row r="835" ht="21.95" customHeight="1" spans="1:11">
      <c r="A835" s="675"/>
      <c r="B835" s="676" t="s">
        <v>422</v>
      </c>
      <c r="C835" s="676"/>
      <c r="D835" s="740">
        <f>IFERROR(VLOOKUP($I$836,STUDENT!$A$2:$BP$101,6,0),"")</f>
        <v>14748</v>
      </c>
      <c r="E835" s="740"/>
      <c r="F835" s="740"/>
      <c r="G835" s="740"/>
      <c r="H835" s="740"/>
      <c r="I835" s="740"/>
      <c r="J835" s="740"/>
      <c r="K835" s="677"/>
    </row>
    <row r="836" ht="21.95" customHeight="1" spans="1:11">
      <c r="A836" s="675"/>
      <c r="B836" s="676" t="s">
        <v>423</v>
      </c>
      <c r="C836" s="676"/>
      <c r="D836" s="741" t="str">
        <f>IFERROR(VLOOKUP($I$836,STUDENT!$A$2:$BP$101,59,0),"")</f>
        <v/>
      </c>
      <c r="E836" s="742" t="s">
        <v>424</v>
      </c>
      <c r="F836" s="704" t="str">
        <f>IFERROR(VLOOKUP($I$836,STUDENT!$A$2:$BP$101,2,0),"")</f>
        <v>III-A</v>
      </c>
      <c r="G836" s="742" t="s">
        <v>425</v>
      </c>
      <c r="H836" s="743"/>
      <c r="I836" s="733">
        <f>I781+1</f>
        <v>16</v>
      </c>
      <c r="J836" s="683"/>
      <c r="K836" s="677"/>
    </row>
    <row r="837" ht="5.1" customHeight="1" spans="1:11">
      <c r="A837" s="675"/>
      <c r="B837" s="745"/>
      <c r="C837" s="745"/>
      <c r="D837" s="746"/>
      <c r="E837" s="747"/>
      <c r="F837" s="748"/>
      <c r="G837" s="747"/>
      <c r="H837" s="686"/>
      <c r="I837" s="686"/>
      <c r="J837" s="686"/>
      <c r="K837" s="677"/>
    </row>
    <row r="838" s="664" customFormat="1" ht="32.1" customHeight="1" spans="1:11">
      <c r="A838" s="688"/>
      <c r="B838" s="749" t="s">
        <v>426</v>
      </c>
      <c r="C838" s="750"/>
      <c r="D838" s="750"/>
      <c r="E838" s="750"/>
      <c r="F838" s="750"/>
      <c r="G838" s="750"/>
      <c r="H838" s="750"/>
      <c r="I838" s="750"/>
      <c r="J838" s="751"/>
      <c r="K838" s="690"/>
    </row>
    <row r="839" ht="51.6" spans="1:11">
      <c r="A839" s="675"/>
      <c r="B839" s="752">
        <v>21</v>
      </c>
      <c r="C839" s="753" t="s">
        <v>427</v>
      </c>
      <c r="D839" s="754" t="s">
        <v>428</v>
      </c>
      <c r="E839" s="754" t="s">
        <v>429</v>
      </c>
      <c r="F839" s="754" t="s">
        <v>430</v>
      </c>
      <c r="G839" s="753" t="s">
        <v>390</v>
      </c>
      <c r="H839" s="714"/>
      <c r="I839" s="714"/>
      <c r="J839" s="714"/>
      <c r="K839" s="677"/>
    </row>
    <row r="840" ht="20.1" customHeight="1" spans="1:11">
      <c r="A840" s="675"/>
      <c r="B840" s="755">
        <v>1</v>
      </c>
      <c r="C840" s="755" t="str">
        <f>IFERROR(VLOOKUP(B840,DATEWISE!$A$3:$BY$27,2,0),0)</f>
        <v>30.04.2026</v>
      </c>
      <c r="D840" s="755">
        <f>IF($C$840=0,NA(),VLOOKUP($I$836&amp;$B$840,FLNFIX!$L$4:$EF$103,2,0))</f>
        <v>2</v>
      </c>
      <c r="E840" s="755">
        <f>IF($C$840=0,NA(),VLOOKUP($I$836&amp;$B$840,FLNFIX!$L$4:$EF$103,4,0))</f>
        <v>3</v>
      </c>
      <c r="F840" s="755">
        <f>IF($C$840=0,NA(),VLOOKUP($I$836&amp;$B$840,FLNFIX!$L$4:$EF$103,3,0))</f>
        <v>2</v>
      </c>
      <c r="G840" s="756">
        <f>IF($C$840=0,NA(),VLOOKUP($I$836&amp;$B$840,FLNFIX!$L$4:$EF$103,5,0))</f>
        <v>0</v>
      </c>
      <c r="H840" s="757"/>
      <c r="I840" s="757"/>
      <c r="J840" s="758"/>
      <c r="K840" s="677"/>
    </row>
    <row r="841" ht="20.1" customHeight="1" spans="1:11">
      <c r="A841" s="675"/>
      <c r="B841" s="755">
        <f t="shared" ref="B841:B860" si="15">IF(B840=0,0,IF(B840&lt;$B$839,B840+1,""))</f>
        <v>2</v>
      </c>
      <c r="C841" s="755" t="str">
        <f>IFERROR(VLOOKUP(B841,DATEWISE!$A$3:$BY$27,2,0),0)</f>
        <v>08.05.2026</v>
      </c>
      <c r="D841" s="755">
        <f>IF($C$841=0,NA(),VLOOKUP($I$836&amp;$B$841,FLNFIX!$Q$4:$EF$103,2,0))</f>
        <v>2</v>
      </c>
      <c r="E841" s="755">
        <f>IF($C$841=0,NA(),VLOOKUP($I$836&amp;$B$841,FLNFIX!$Q$4:$EF$103,4,0))</f>
        <v>3</v>
      </c>
      <c r="F841" s="755">
        <f>IF($C$841=0,NA(),VLOOKUP($I$836&amp;$B$841,FLNFIX!$Q$4:$EF$103,3,0))</f>
        <v>2</v>
      </c>
      <c r="G841" s="756">
        <f>IF($C$841=0,NA(),VLOOKUP($I$836&amp;$B$841,FLNFIX!$Q$4:$EF$103,5,0))</f>
        <v>0</v>
      </c>
      <c r="H841" s="757"/>
      <c r="I841" s="757"/>
      <c r="J841" s="758"/>
      <c r="K841" s="677"/>
    </row>
    <row r="842" ht="20.1" customHeight="1" spans="1:11">
      <c r="A842" s="675"/>
      <c r="B842" s="755">
        <f t="shared" si="15"/>
        <v>3</v>
      </c>
      <c r="C842" s="755" t="str">
        <f>IFERROR(VLOOKUP(B842,DATEWISE!$A$3:$BY$27,2,0),0)</f>
        <v>15.07.2026</v>
      </c>
      <c r="D842" s="755">
        <f>IF($C$842=0,NA(),VLOOKUP($I$836&amp;$B$842,FLNFIX!$V$4:$EF$103,2,0))</f>
        <v>2</v>
      </c>
      <c r="E842" s="755">
        <f>IF($C$842=0,NA(),VLOOKUP($I$836&amp;$B$842,FLNFIX!$V$4:$EF$103,4,0))</f>
        <v>3</v>
      </c>
      <c r="F842" s="755">
        <f>IF($C$842=0,NA(),VLOOKUP($I$836&amp;$B$842,FLNFIX!$V$4:$EF$103,3,0))</f>
        <v>2</v>
      </c>
      <c r="G842" s="756">
        <f>IF($C$842=0,NA(),VLOOKUP($I$836&amp;$B$842,FLNFIX!$V$4:$EF$103,5,0))</f>
        <v>0</v>
      </c>
      <c r="H842" s="757"/>
      <c r="I842" s="757"/>
      <c r="J842" s="758"/>
      <c r="K842" s="677"/>
    </row>
    <row r="843" ht="20.1" customHeight="1" spans="1:11">
      <c r="A843" s="675"/>
      <c r="B843" s="755">
        <f t="shared" si="15"/>
        <v>4</v>
      </c>
      <c r="C843" s="755" t="str">
        <f>IFERROR(VLOOKUP(B843,DATEWISE!$A$3:$BY$27,2,0),0)</f>
        <v>31.07.2026</v>
      </c>
      <c r="D843" s="755">
        <f>IF($C$843=0,NA(),VLOOKUP($I$836&amp;$B$843,FLNFIX!$AA$4:$EF$103,2,0))</f>
        <v>2</v>
      </c>
      <c r="E843" s="755">
        <f>IF($C$843=0,NA(),VLOOKUP($I$836&amp;$B$843,FLNFIX!$AA$4:$EF$103,4,0))</f>
        <v>3</v>
      </c>
      <c r="F843" s="755">
        <f>IF($C$843=0,NA(),VLOOKUP($I$836&amp;$B$843,FLNFIX!$AA$4:$EF$103,3,0))</f>
        <v>2</v>
      </c>
      <c r="G843" s="756">
        <f>IF($C$843=0,NA(),VLOOKUP($I$836&amp;$B$843,FLNFIX!$AA$4:$EF$103,5,0))</f>
        <v>0</v>
      </c>
      <c r="H843" s="757"/>
      <c r="I843" s="757"/>
      <c r="J843" s="758"/>
      <c r="K843" s="677"/>
    </row>
    <row r="844" ht="20.1" customHeight="1" spans="1:11">
      <c r="A844" s="675"/>
      <c r="B844" s="755">
        <f t="shared" si="15"/>
        <v>5</v>
      </c>
      <c r="C844" s="755" t="str">
        <f>IFERROR(VLOOKUP(B844,DATEWISE!$A$3:$BY$27,2,0),0)</f>
        <v>17.08.2026</v>
      </c>
      <c r="D844" s="755">
        <f>IF($C$844=0,NA(),VLOOKUP($I$836&amp;$B$844,FLNFIX!$AF$4:$EF$103,2,0))</f>
        <v>2</v>
      </c>
      <c r="E844" s="755">
        <f>IF($C$844=0,NA(),VLOOKUP($I$836&amp;$B$844,FLNFIX!$AF$4:$EF$103,4,0))</f>
        <v>3</v>
      </c>
      <c r="F844" s="755">
        <f>IF($C$844=0,NA(),VLOOKUP($I$836&amp;$B$844,FLNFIX!$AF$4:$EF$103,3,0))</f>
        <v>2</v>
      </c>
      <c r="G844" s="756">
        <f>IF($C$844=0,NA(),VLOOKUP($I$836&amp;$B$844,FLNFIX!$AF$4:$EF$103,5,0))</f>
        <v>0</v>
      </c>
      <c r="H844" s="757"/>
      <c r="I844" s="757"/>
      <c r="J844" s="758"/>
      <c r="K844" s="677"/>
    </row>
    <row r="845" ht="20.1" customHeight="1" spans="1:11">
      <c r="A845" s="675"/>
      <c r="B845" s="755">
        <f t="shared" si="15"/>
        <v>6</v>
      </c>
      <c r="C845" s="755" t="str">
        <f>IFERROR(VLOOKUP(B845,DATEWISE!$A$3:$BY$27,2,0),0)</f>
        <v>31.08.2026</v>
      </c>
      <c r="D845" s="755">
        <f>IF($C$845=0,NA(),VLOOKUP($I$836&amp;$B$845,FLNFIX!$AK$4:$EF$103,2,0))</f>
        <v>3</v>
      </c>
      <c r="E845" s="755">
        <f>IF($C$845=0,NA(),VLOOKUP($I$836&amp;$B$845,FLNFIX!$AK$4:$EF$103,4,0))</f>
        <v>4</v>
      </c>
      <c r="F845" s="755">
        <f>IF($C$845=0,NA(),VLOOKUP($I$836&amp;$B$845,FLNFIX!$AK$4:$EF$103,3,0))</f>
        <v>3</v>
      </c>
      <c r="G845" s="756">
        <f>IF($C$845=0,NA(),VLOOKUP($I$836&amp;$B$845,FLNFIX!$AK$4:$EF$103,5,0))</f>
        <v>0</v>
      </c>
      <c r="H845" s="757"/>
      <c r="I845" s="757"/>
      <c r="J845" s="758"/>
      <c r="K845" s="677"/>
    </row>
    <row r="846" ht="20.1" customHeight="1" spans="1:11">
      <c r="A846" s="675"/>
      <c r="B846" s="755">
        <f t="shared" si="15"/>
        <v>7</v>
      </c>
      <c r="C846" s="755">
        <f>IFERROR(VLOOKUP(B846,DATEWISE!$A$3:$BY$27,2,0),0)</f>
        <v>0</v>
      </c>
      <c r="D846" s="755" t="e">
        <f>IF($C$846=0,NA(),VLOOKUP($I$836&amp;$B$846,FLNFIX!$AP$4:$EF$103,2,0))</f>
        <v>#N/A</v>
      </c>
      <c r="E846" s="755" t="e">
        <f>IF($C$846=0,NA(),VLOOKUP($I$836&amp;$B$846,FLNFIX!$AP$4:$EF$103,4,0))</f>
        <v>#N/A</v>
      </c>
      <c r="F846" s="755" t="e">
        <f>IF($C$846=0,NA(),VLOOKUP($I$836&amp;$B$846,FLNFIX!$AP$4:$EF$103,3,0))</f>
        <v>#N/A</v>
      </c>
      <c r="G846" s="756" t="e">
        <f>IF($C$846=0,NA(),VLOOKUP($I$836&amp;$B$846,FLNFIX!$AP$4:$EF$103,5,0))</f>
        <v>#N/A</v>
      </c>
      <c r="H846" s="757"/>
      <c r="I846" s="757"/>
      <c r="J846" s="758"/>
      <c r="K846" s="677"/>
    </row>
    <row r="847" ht="20.1" customHeight="1" spans="1:11">
      <c r="A847" s="675"/>
      <c r="B847" s="755">
        <f t="shared" si="15"/>
        <v>8</v>
      </c>
      <c r="C847" s="755">
        <f>IFERROR(VLOOKUP(B847,DATEWISE!$A$3:$BY$27,2,0),0)</f>
        <v>0</v>
      </c>
      <c r="D847" s="755" t="e">
        <f>IF($C$847=0,NA(),VLOOKUP($I$836&amp;$B$847,FLNFIX!$AU$4:$EF$103,2,0))</f>
        <v>#N/A</v>
      </c>
      <c r="E847" s="755" t="e">
        <f>IF($C$847=0,NA(),VLOOKUP($I$836&amp;$B$847,FLNFIX!$AU$4:$EF$103,4,0))</f>
        <v>#N/A</v>
      </c>
      <c r="F847" s="755" t="e">
        <f>IF($C$847=0,NA(),VLOOKUP($I$836&amp;$B$847,FLNFIX!$AU$4:$EF$103,3,0))</f>
        <v>#N/A</v>
      </c>
      <c r="G847" s="756" t="e">
        <f>IF($C$847=0,NA(),VLOOKUP($I$836&amp;$B$847,FLNFIX!$AU$4:$EF$103,5,0))</f>
        <v>#N/A</v>
      </c>
      <c r="H847" s="757"/>
      <c r="I847" s="757"/>
      <c r="J847" s="758"/>
      <c r="K847" s="677"/>
    </row>
    <row r="848" ht="20.1" customHeight="1" spans="1:11">
      <c r="A848" s="675"/>
      <c r="B848" s="755">
        <f t="shared" si="15"/>
        <v>9</v>
      </c>
      <c r="C848" s="755">
        <f>IFERROR(VLOOKUP(B848,DATEWISE!$A$3:$BY$27,2,0),0)</f>
        <v>0</v>
      </c>
      <c r="D848" s="755" t="e">
        <f>IF($C$848=0,NA(),VLOOKUP($I$836&amp;$B$848,FLNFIX!$AZ$4:$EF$103,2,0))</f>
        <v>#N/A</v>
      </c>
      <c r="E848" s="755" t="e">
        <f>IF($C$848=0,NA(),VLOOKUP($I$836&amp;$B$848,FLNFIX!$AZ$4:$EF$103,4,0))</f>
        <v>#N/A</v>
      </c>
      <c r="F848" s="755" t="e">
        <f>IF($C$848=0,NA(),VLOOKUP($I$836&amp;$B$848,FLNFIX!$AZ$4:$EF$103,3,0))</f>
        <v>#N/A</v>
      </c>
      <c r="G848" s="756" t="e">
        <f>IF($C$848=0,NA(),VLOOKUP($I$836&amp;$B$848,FLNFIX!$AZ$4:$EF$103,5,0))</f>
        <v>#N/A</v>
      </c>
      <c r="H848" s="757"/>
      <c r="I848" s="757"/>
      <c r="J848" s="758"/>
      <c r="K848" s="677"/>
    </row>
    <row r="849" ht="20.1" customHeight="1" spans="1:11">
      <c r="A849" s="675"/>
      <c r="B849" s="755">
        <f t="shared" si="15"/>
        <v>10</v>
      </c>
      <c r="C849" s="755">
        <f>IFERROR(VLOOKUP(B849,DATEWISE!$A$3:$BY$27,2,0),0)</f>
        <v>0</v>
      </c>
      <c r="D849" s="755" t="e">
        <f>IF($C$849=0,NA(),VLOOKUP($I$836&amp;$B$849,FLNFIX!$BE$4:$EF$103,2,0))</f>
        <v>#N/A</v>
      </c>
      <c r="E849" s="755" t="e">
        <f>IF($C$849=0,NA(),VLOOKUP($I$836&amp;$B$849,FLNFIX!$BE$4:$EF$103,4,0))</f>
        <v>#N/A</v>
      </c>
      <c r="F849" s="755" t="e">
        <f>IF($C$849=0,NA(),VLOOKUP($I$836&amp;$B$849,FLNFIX!$BE$4:$EF$103,3,0))</f>
        <v>#N/A</v>
      </c>
      <c r="G849" s="756" t="e">
        <f>IF($C$849=0,NA(),VLOOKUP($I$836&amp;$B$849,FLNFIX!$BE$4:$EF$103,5,0))</f>
        <v>#N/A</v>
      </c>
      <c r="H849" s="757"/>
      <c r="I849" s="757"/>
      <c r="J849" s="758"/>
      <c r="K849" s="677"/>
    </row>
    <row r="850" ht="20.1" customHeight="1" spans="1:11">
      <c r="A850" s="675"/>
      <c r="B850" s="755">
        <f t="shared" si="15"/>
        <v>11</v>
      </c>
      <c r="C850" s="755">
        <f>IFERROR(VLOOKUP(B850,DATEWISE!$A$3:$BY$27,2,0),0)</f>
        <v>0</v>
      </c>
      <c r="D850" s="755" t="e">
        <f>IF($C$850=0,NA(),VLOOKUP($I$836&amp;$B$850,FLNFIX!$BJ$4:$EF$103,2,0))</f>
        <v>#N/A</v>
      </c>
      <c r="E850" s="755" t="e">
        <f>IF($C$850=0,NA(),VLOOKUP($I$836&amp;$B$850,FLNFIX!$BJ$4:$EF$103,4,0))</f>
        <v>#N/A</v>
      </c>
      <c r="F850" s="755" t="e">
        <f>IF($C$850=0,NA(),VLOOKUP($I$836&amp;$B$850,FLNFIX!$BJ$4:$EF$103,3,0))</f>
        <v>#N/A</v>
      </c>
      <c r="G850" s="756" t="e">
        <f>IF($C$850=0,NA(),VLOOKUP($I$836&amp;$B$850,FLNFIX!$BJ$4:$EF$103,5,0))</f>
        <v>#N/A</v>
      </c>
      <c r="H850" s="757"/>
      <c r="I850" s="757"/>
      <c r="J850" s="758"/>
      <c r="K850" s="677"/>
    </row>
    <row r="851" ht="20.1" customHeight="1" spans="1:11">
      <c r="A851" s="675"/>
      <c r="B851" s="755">
        <f t="shared" si="15"/>
        <v>12</v>
      </c>
      <c r="C851" s="755">
        <f>IFERROR(VLOOKUP(B851,DATEWISE!$A$3:$BY$27,2,0),0)</f>
        <v>0</v>
      </c>
      <c r="D851" s="755" t="e">
        <f>IF($C$851=0,NA(),VLOOKUP($I$836&amp;$B$851,FLNFIX!$BO$4:$EF$103,2,0))</f>
        <v>#N/A</v>
      </c>
      <c r="E851" s="755" t="e">
        <f>IF($C$851=0,NA(),VLOOKUP($I$836&amp;$B$851,FLNFIX!$BO$4:$EF$103,4,0))</f>
        <v>#N/A</v>
      </c>
      <c r="F851" s="755" t="e">
        <f>IF($C$851=0,NA(),VLOOKUP($I$836&amp;$B$851,FLNFIX!$BO$4:$EF$103,3,0))</f>
        <v>#N/A</v>
      </c>
      <c r="G851" s="756" t="e">
        <f>IF($C$851=0,NA(),VLOOKUP($I$836&amp;$B$851,FLNFIX!$BO$4:$EF$103,5,0))</f>
        <v>#N/A</v>
      </c>
      <c r="H851" s="757"/>
      <c r="I851" s="757"/>
      <c r="J851" s="758"/>
      <c r="K851" s="677"/>
    </row>
    <row r="852" ht="20.1" customHeight="1" spans="1:11">
      <c r="A852" s="675"/>
      <c r="B852" s="755">
        <f t="shared" si="15"/>
        <v>13</v>
      </c>
      <c r="C852" s="755">
        <f>IFERROR(VLOOKUP(B852,DATEWISE!$A$3:$BY$27,2,0),0)</f>
        <v>0</v>
      </c>
      <c r="D852" s="755" t="e">
        <f>IF($C$852=0,NA(),VLOOKUP($I$836&amp;$B$852,FLNFIX!$BT$4:$EF$103,2,0))</f>
        <v>#N/A</v>
      </c>
      <c r="E852" s="755" t="e">
        <f>IF($C$852=0,NA(),VLOOKUP($I$836&amp;$B$852,FLNFIX!$BT$4:$EF$103,4,0))</f>
        <v>#N/A</v>
      </c>
      <c r="F852" s="755" t="e">
        <f>IF($C$852=0,NA(),VLOOKUP($I$836&amp;$B$852,FLNFIX!$BT$4:$EF$103,3,0))</f>
        <v>#N/A</v>
      </c>
      <c r="G852" s="756" t="e">
        <f>IF($C$852=0,NA(),VLOOKUP($I$836&amp;$B$852,FLNFIX!$BT$4:$EF$103,5,0))</f>
        <v>#N/A</v>
      </c>
      <c r="H852" s="757"/>
      <c r="I852" s="757"/>
      <c r="J852" s="758"/>
      <c r="K852" s="677"/>
    </row>
    <row r="853" ht="20.1" customHeight="1" spans="1:11">
      <c r="A853" s="675"/>
      <c r="B853" s="755">
        <f t="shared" si="15"/>
        <v>14</v>
      </c>
      <c r="C853" s="755">
        <f>IFERROR(VLOOKUP(B853,DATEWISE!$A$3:$BY$27,2,0),0)</f>
        <v>0</v>
      </c>
      <c r="D853" s="755" t="e">
        <f>IF($C$853=0,NA(),VLOOKUP($I$836&amp;$B$853,FLNFIX!$BY$4:$EF$103,2,0))</f>
        <v>#N/A</v>
      </c>
      <c r="E853" s="755" t="e">
        <f>IF($C$853=0,NA(),VLOOKUP($I$836&amp;$B$853,FLNFIX!$BY$4:$EF$103,4,0))</f>
        <v>#N/A</v>
      </c>
      <c r="F853" s="755" t="e">
        <f>IF($C$853=0,NA(),VLOOKUP($I$836&amp;$B$853,FLNFIX!$BY$4:$EF$103,3,0))</f>
        <v>#N/A</v>
      </c>
      <c r="G853" s="756" t="e">
        <f>IF($C$853=0,NA(),VLOOKUP($I$836&amp;$B$853,FLNFIX!$BY$4:$EF$103,5,0))</f>
        <v>#N/A</v>
      </c>
      <c r="H853" s="757"/>
      <c r="I853" s="757"/>
      <c r="J853" s="758"/>
      <c r="K853" s="677"/>
    </row>
    <row r="854" ht="20.1" customHeight="1" spans="1:11">
      <c r="A854" s="675"/>
      <c r="B854" s="755">
        <f t="shared" si="15"/>
        <v>15</v>
      </c>
      <c r="C854" s="755">
        <f>IFERROR(VLOOKUP(B854,DATEWISE!$A$3:$BY$27,2,0),0)</f>
        <v>0</v>
      </c>
      <c r="D854" s="755" t="e">
        <f>IF($C$854=0,NA(),VLOOKUP($I$836&amp;$B$854,FLNFIX!$CD$4:$EF$103,2,0))</f>
        <v>#N/A</v>
      </c>
      <c r="E854" s="755" t="e">
        <f>IF($C$854=0,NA(),VLOOKUP($I$836&amp;$B$854,FLNFIX!$CD$4:$EF$103,4,0))</f>
        <v>#N/A</v>
      </c>
      <c r="F854" s="755" t="e">
        <f>IF($C$854=0,NA(),VLOOKUP($I$836&amp;$B$854,FLNFIX!$CD$4:$EF$103,3,0))</f>
        <v>#N/A</v>
      </c>
      <c r="G854" s="756" t="e">
        <f>IF($C$854=0,NA(),VLOOKUP($I$836&amp;$B$854,FLNFIX!$CD$4:$EF$103,5,0))</f>
        <v>#N/A</v>
      </c>
      <c r="H854" s="757"/>
      <c r="I854" s="757"/>
      <c r="J854" s="758"/>
      <c r="K854" s="677"/>
    </row>
    <row r="855" ht="20.1" customHeight="1" spans="1:11">
      <c r="A855" s="675"/>
      <c r="B855" s="755">
        <f t="shared" si="15"/>
        <v>16</v>
      </c>
      <c r="C855" s="755">
        <f>IFERROR(VLOOKUP(B855,DATEWISE!$A$3:$BY$27,2,0),0)</f>
        <v>0</v>
      </c>
      <c r="D855" s="755" t="e">
        <f>IF($C$855=0,NA(),VLOOKUP($I$836&amp;$B$855,FLNFIX!$CI$4:$EF$103,2,0))</f>
        <v>#N/A</v>
      </c>
      <c r="E855" s="755" t="e">
        <f>IF($C$855=0,NA(),VLOOKUP($I$836&amp;$B$855,FLNFIX!$CI$4:$EF$103,4,0))</f>
        <v>#N/A</v>
      </c>
      <c r="F855" s="755" t="e">
        <f>IF($C$855=0,NA(),VLOOKUP($I$836&amp;$B$855,FLNFIX!$CI$4:$EF$103,3,0))</f>
        <v>#N/A</v>
      </c>
      <c r="G855" s="756" t="e">
        <f>IF($C$855=0,NA(),VLOOKUP($I$836&amp;$B$855,FLNFIX!$CI$4:$EF$103,5,0))</f>
        <v>#N/A</v>
      </c>
      <c r="H855" s="757"/>
      <c r="I855" s="757"/>
      <c r="J855" s="758"/>
      <c r="K855" s="677"/>
    </row>
    <row r="856" ht="20.1" customHeight="1" spans="1:11">
      <c r="A856" s="675"/>
      <c r="B856" s="755">
        <f t="shared" si="15"/>
        <v>17</v>
      </c>
      <c r="C856" s="755">
        <f>IFERROR(VLOOKUP(B856,DATEWISE!$A$3:$BY$27,2,0),0)</f>
        <v>0</v>
      </c>
      <c r="D856" s="755" t="e">
        <f>IF($C$856=0,NA(),VLOOKUP($I$836&amp;$B$856,FLNFIX!$CN$4:$EF$103,2,0))</f>
        <v>#N/A</v>
      </c>
      <c r="E856" s="755" t="e">
        <f>IF($C$856=0,NA(),VLOOKUP($I$836&amp;$B$856,FLNFIX!$CN$4:$EF$103,4,0))</f>
        <v>#N/A</v>
      </c>
      <c r="F856" s="755" t="e">
        <f>IF($C$856=0,NA(),VLOOKUP($I$836&amp;$B$856,FLNFIX!$CN$4:$EF$103,3,0))</f>
        <v>#N/A</v>
      </c>
      <c r="G856" s="756" t="e">
        <f>IF($C$856=0,NA(),VLOOKUP($I$836&amp;$B$856,FLNFIX!$CN$4:$EF$103,5,0))</f>
        <v>#N/A</v>
      </c>
      <c r="H856" s="757"/>
      <c r="I856" s="757"/>
      <c r="J856" s="758"/>
      <c r="K856" s="677"/>
    </row>
    <row r="857" ht="20.1" customHeight="1" spans="1:11">
      <c r="A857" s="675"/>
      <c r="B857" s="755">
        <f t="shared" si="15"/>
        <v>18</v>
      </c>
      <c r="C857" s="755">
        <f>IFERROR(VLOOKUP(B857,DATEWISE!$A$3:$BY$27,2,0),0)</f>
        <v>0</v>
      </c>
      <c r="D857" s="755" t="e">
        <f>IF($C$857=0,NA(),VLOOKUP($I$836&amp;$B$857,FLNFIX!$CS$4:$EF$103,2,0))</f>
        <v>#N/A</v>
      </c>
      <c r="E857" s="755" t="e">
        <f>IF($C$857=0,NA(),VLOOKUP($I$836&amp;$B$857,FLNFIX!$CS$4:$EF$103,4,0))</f>
        <v>#N/A</v>
      </c>
      <c r="F857" s="755" t="e">
        <f>IF($C$857=0,NA(),VLOOKUP($I$836&amp;$B$857,FLNFIX!$CS$4:$EF$103,3,0))</f>
        <v>#N/A</v>
      </c>
      <c r="G857" s="756" t="e">
        <f>IF($C$857=0,NA(),VLOOKUP($I$836&amp;$B$857,FLNFIX!$CS$4:$EF$103,5,0))</f>
        <v>#N/A</v>
      </c>
      <c r="H857" s="757"/>
      <c r="I857" s="757"/>
      <c r="J857" s="758"/>
      <c r="K857" s="677"/>
    </row>
    <row r="858" ht="20.1" customHeight="1" spans="1:11">
      <c r="A858" s="675"/>
      <c r="B858" s="755">
        <f t="shared" si="15"/>
        <v>19</v>
      </c>
      <c r="C858" s="755">
        <f>IFERROR(VLOOKUP(B858,DATEWISE!$A$3:$BY$27,2,0),0)</f>
        <v>0</v>
      </c>
      <c r="D858" s="755" t="e">
        <f>IF($C$858=0,NA(),VLOOKUP($I$836&amp;$B$858,FLNFIX!$CX$4:$EF$103,2,0))</f>
        <v>#N/A</v>
      </c>
      <c r="E858" s="755" t="e">
        <f>IF($C$858=0,NA(),VLOOKUP($I$836&amp;$B$858,FLNFIX!$CX$4:$EF$103,4,0))</f>
        <v>#N/A</v>
      </c>
      <c r="F858" s="755" t="e">
        <f>IF($C$858=0,NA(),VLOOKUP($I$836&amp;$B$858,FLNFIX!$CX$4:$EF$103,3,0))</f>
        <v>#N/A</v>
      </c>
      <c r="G858" s="756" t="e">
        <f>IF($C$858=0,NA(),VLOOKUP($I$836&amp;$B$858,FLNFIX!$CX$4:$EF$103,5,0))</f>
        <v>#N/A</v>
      </c>
      <c r="H858" s="757"/>
      <c r="I858" s="757"/>
      <c r="J858" s="758"/>
      <c r="K858" s="677"/>
    </row>
    <row r="859" ht="20.1" customHeight="1" spans="1:11">
      <c r="A859" s="675"/>
      <c r="B859" s="755">
        <f t="shared" si="15"/>
        <v>20</v>
      </c>
      <c r="C859" s="755">
        <f>IFERROR(VLOOKUP(B859,DATEWISE!$A$3:$BY$27,2,0),0)</f>
        <v>0</v>
      </c>
      <c r="D859" s="755" t="e">
        <f>IF($C$859=0,NA(),VLOOKUP($I$836&amp;$B$859,FLNFIX!$DC$4:$EF$103,2,0))</f>
        <v>#N/A</v>
      </c>
      <c r="E859" s="755" t="e">
        <f>IF($C$859=0,NA(),VLOOKUP($I$836&amp;$B$859,FLNFIX!$DC$4:$EF$103,4,0))</f>
        <v>#N/A</v>
      </c>
      <c r="F859" s="755" t="e">
        <f>IF($C$859=0,NA(),VLOOKUP($I$836&amp;$B$859,FLNFIX!$DC$4:$EF$103,3,0))</f>
        <v>#N/A</v>
      </c>
      <c r="G859" s="756" t="e">
        <f>IF($C$859=0,NA(),VLOOKUP($I$836&amp;$B$859,FLNFIX!$DC$4:$EF$103,5,0))</f>
        <v>#N/A</v>
      </c>
      <c r="H859" s="757"/>
      <c r="I859" s="757"/>
      <c r="J859" s="758"/>
      <c r="K859" s="677"/>
    </row>
    <row r="860" ht="20.1" customHeight="1" spans="1:11">
      <c r="A860" s="675"/>
      <c r="B860" s="755">
        <f t="shared" si="15"/>
        <v>21</v>
      </c>
      <c r="C860" s="755">
        <f>IFERROR(VLOOKUP(B860,DATEWISE!$A$3:$BY$27,2,0),0)</f>
        <v>0</v>
      </c>
      <c r="D860" s="755" t="e">
        <f>IF($C$860=0,NA(),VLOOKUP($I$836&amp;$B$860,FLNFIX!$DH$4:$EF$103,2,0))</f>
        <v>#N/A</v>
      </c>
      <c r="E860" s="755" t="e">
        <f>IF($C$860=0,NA(),VLOOKUP($I$836&amp;$B$860,FLNFIX!$DH$4:$EF$103,4,0))</f>
        <v>#N/A</v>
      </c>
      <c r="F860" s="755" t="e">
        <f>IF($C$860=0,NA(),VLOOKUP($I$836&amp;$B$860,FLNFIX!$DH$4:$EF$103,3,0))</f>
        <v>#N/A</v>
      </c>
      <c r="G860" s="756" t="e">
        <f>IF($C$860=0,NA(),VLOOKUP($I$836&amp;$B$860,FLNFIX!$DH$4:$EF$103,5,0))</f>
        <v>#N/A</v>
      </c>
      <c r="H860" s="757"/>
      <c r="I860" s="757"/>
      <c r="J860" s="758"/>
      <c r="K860" s="677"/>
    </row>
    <row r="861" ht="5.1" customHeight="1" spans="1:11">
      <c r="A861" s="675"/>
      <c r="B861" s="759"/>
      <c r="C861" s="759"/>
      <c r="D861" s="760"/>
      <c r="E861" s="760"/>
      <c r="F861" s="760"/>
      <c r="G861" s="761"/>
      <c r="H861" s="761"/>
      <c r="I861" s="761"/>
      <c r="J861" s="761"/>
      <c r="K861" s="677"/>
    </row>
    <row r="862" s="667" customFormat="1" ht="24.95" customHeight="1" spans="1:11">
      <c r="A862" s="711"/>
      <c r="B862" s="762" t="s">
        <v>431</v>
      </c>
      <c r="C862" s="763"/>
      <c r="D862" s="763"/>
      <c r="E862" s="763"/>
      <c r="F862" s="763"/>
      <c r="G862" s="763"/>
      <c r="H862" s="763"/>
      <c r="I862" s="763"/>
      <c r="J862" s="764"/>
      <c r="K862" s="713"/>
    </row>
    <row r="863" spans="1:11">
      <c r="A863" s="675"/>
      <c r="B863" s="765"/>
      <c r="C863" s="686"/>
      <c r="D863" s="686"/>
      <c r="E863" s="686"/>
      <c r="F863" s="686"/>
      <c r="G863" s="686"/>
      <c r="H863" s="686"/>
      <c r="I863" s="686"/>
      <c r="J863" s="766"/>
      <c r="K863" s="677"/>
    </row>
    <row r="864" spans="1:11">
      <c r="A864" s="675"/>
      <c r="B864" s="765"/>
      <c r="C864" s="686"/>
      <c r="D864" s="686"/>
      <c r="E864" s="686"/>
      <c r="F864" s="686"/>
      <c r="G864" s="686"/>
      <c r="H864" s="686"/>
      <c r="I864" s="686"/>
      <c r="J864" s="766"/>
      <c r="K864" s="677"/>
    </row>
    <row r="865" spans="1:11">
      <c r="A865" s="675"/>
      <c r="B865" s="765"/>
      <c r="C865" s="686"/>
      <c r="D865" s="686"/>
      <c r="E865" s="686"/>
      <c r="F865" s="686"/>
      <c r="G865" s="686"/>
      <c r="H865" s="686"/>
      <c r="I865" s="686"/>
      <c r="J865" s="766"/>
      <c r="K865" s="677"/>
    </row>
    <row r="866" spans="1:11">
      <c r="A866" s="675"/>
      <c r="B866" s="765"/>
      <c r="C866" s="686"/>
      <c r="D866" s="686"/>
      <c r="E866" s="686"/>
      <c r="F866" s="686"/>
      <c r="G866" s="686"/>
      <c r="H866" s="686"/>
      <c r="I866" s="686"/>
      <c r="J866" s="766"/>
      <c r="K866" s="677"/>
    </row>
    <row r="867" spans="1:11">
      <c r="A867" s="675"/>
      <c r="B867" s="765"/>
      <c r="C867" s="686"/>
      <c r="D867" s="686"/>
      <c r="E867" s="686"/>
      <c r="F867" s="686"/>
      <c r="G867" s="686"/>
      <c r="H867" s="686"/>
      <c r="I867" s="686"/>
      <c r="J867" s="766"/>
      <c r="K867" s="677"/>
    </row>
    <row r="868" spans="1:11">
      <c r="A868" s="675"/>
      <c r="B868" s="765"/>
      <c r="C868" s="686"/>
      <c r="D868" s="686"/>
      <c r="E868" s="686"/>
      <c r="F868" s="686"/>
      <c r="G868" s="686"/>
      <c r="H868" s="686"/>
      <c r="I868" s="686"/>
      <c r="J868" s="766"/>
      <c r="K868" s="677"/>
    </row>
    <row r="869" spans="1:11">
      <c r="A869" s="675"/>
      <c r="B869" s="765"/>
      <c r="C869" s="686"/>
      <c r="D869" s="686"/>
      <c r="E869" s="686"/>
      <c r="F869" s="686"/>
      <c r="G869" s="686"/>
      <c r="H869" s="686"/>
      <c r="I869" s="686"/>
      <c r="J869" s="766"/>
      <c r="K869" s="677"/>
    </row>
    <row r="870" spans="1:11">
      <c r="A870" s="675"/>
      <c r="B870" s="765"/>
      <c r="C870" s="686"/>
      <c r="D870" s="686"/>
      <c r="E870" s="686"/>
      <c r="F870" s="686"/>
      <c r="G870" s="686"/>
      <c r="H870" s="686"/>
      <c r="I870" s="686"/>
      <c r="J870" s="766"/>
      <c r="K870" s="677"/>
    </row>
    <row r="871" spans="1:11">
      <c r="A871" s="675"/>
      <c r="B871" s="765"/>
      <c r="C871" s="686"/>
      <c r="D871" s="686"/>
      <c r="E871" s="686"/>
      <c r="F871" s="686"/>
      <c r="G871" s="686"/>
      <c r="H871" s="686"/>
      <c r="I871" s="686"/>
      <c r="J871" s="766"/>
      <c r="K871" s="677"/>
    </row>
    <row r="872" spans="1:11">
      <c r="A872" s="675"/>
      <c r="B872" s="767"/>
      <c r="C872" s="768"/>
      <c r="D872" s="768"/>
      <c r="E872" s="768"/>
      <c r="F872" s="768"/>
      <c r="G872" s="768"/>
      <c r="H872" s="768"/>
      <c r="I872" s="768"/>
      <c r="J872" s="769"/>
      <c r="K872" s="677"/>
    </row>
    <row r="873" ht="5.1" customHeight="1" spans="1:11">
      <c r="A873" s="675"/>
      <c r="B873" s="686"/>
      <c r="C873" s="686"/>
      <c r="D873" s="686"/>
      <c r="E873" s="686"/>
      <c r="F873" s="686"/>
      <c r="G873" s="686"/>
      <c r="H873" s="686"/>
      <c r="I873" s="686"/>
      <c r="J873" s="686"/>
      <c r="K873" s="677"/>
    </row>
    <row r="874" spans="1:11">
      <c r="A874" s="675"/>
      <c r="B874" s="770" t="s">
        <v>432</v>
      </c>
      <c r="C874" s="770"/>
      <c r="D874" s="770"/>
      <c r="E874" s="770"/>
      <c r="F874" s="770"/>
      <c r="G874" s="770"/>
      <c r="H874" s="770"/>
      <c r="I874" s="770"/>
      <c r="J874" s="770"/>
      <c r="K874" s="677"/>
    </row>
    <row r="875" spans="1:11">
      <c r="A875" s="675"/>
      <c r="B875" s="771"/>
      <c r="C875" s="771"/>
      <c r="D875" s="771"/>
      <c r="E875" s="771"/>
      <c r="F875" s="771"/>
      <c r="G875" s="771"/>
      <c r="H875" s="771"/>
      <c r="I875" s="771"/>
      <c r="J875" s="771"/>
      <c r="K875" s="677"/>
    </row>
    <row r="876" spans="1:11">
      <c r="A876" s="675"/>
      <c r="B876" s="771"/>
      <c r="C876" s="771"/>
      <c r="D876" s="771"/>
      <c r="E876" s="771"/>
      <c r="F876" s="771"/>
      <c r="G876" s="771"/>
      <c r="H876" s="771"/>
      <c r="I876" s="771"/>
      <c r="J876" s="771"/>
      <c r="K876" s="677"/>
    </row>
    <row r="877" spans="1:11">
      <c r="A877" s="675"/>
      <c r="B877" s="771"/>
      <c r="C877" s="771"/>
      <c r="D877" s="771"/>
      <c r="E877" s="771"/>
      <c r="F877" s="771"/>
      <c r="G877" s="771"/>
      <c r="H877" s="771"/>
      <c r="I877" s="771"/>
      <c r="J877" s="771"/>
      <c r="K877" s="677"/>
    </row>
    <row r="878" spans="1:11">
      <c r="A878" s="675"/>
      <c r="B878" s="686"/>
      <c r="C878" s="686"/>
      <c r="D878" s="686"/>
      <c r="E878" s="686"/>
      <c r="F878" s="686"/>
      <c r="G878" s="686"/>
      <c r="H878" s="686"/>
      <c r="I878" s="686"/>
      <c r="J878" s="686"/>
      <c r="K878" s="677"/>
    </row>
    <row r="879" spans="1:11">
      <c r="A879" s="675"/>
      <c r="B879" s="686"/>
      <c r="C879" s="729" t="s">
        <v>433</v>
      </c>
      <c r="D879" s="729"/>
      <c r="E879" s="686"/>
      <c r="F879" s="686"/>
      <c r="G879" s="729" t="s">
        <v>434</v>
      </c>
      <c r="H879" s="729"/>
      <c r="I879" s="729"/>
      <c r="J879" s="729"/>
      <c r="K879" s="677"/>
    </row>
    <row r="880" ht="16.35" spans="1:11">
      <c r="A880" s="725"/>
      <c r="B880" s="726"/>
      <c r="C880" s="732" t="str">
        <f>"("&amp;PROPER(ENTRY!$D$19)&amp;")"</f>
        <v>(Indrajeet)</v>
      </c>
      <c r="D880" s="732"/>
      <c r="E880" s="726"/>
      <c r="F880" s="726"/>
      <c r="G880" s="732" t="str">
        <f>"("&amp;PROPER(ENTRY!$D$12)&amp;")"</f>
        <v>(Shambhu Dayal Meena)</v>
      </c>
      <c r="H880" s="732"/>
      <c r="I880" s="732"/>
      <c r="J880" s="732"/>
      <c r="K880" s="728"/>
    </row>
    <row r="881" ht="24.6" spans="1:11">
      <c r="B881" s="734"/>
      <c r="C881" s="734"/>
      <c r="D881" s="669" t="str">
        <f>ENTRY!$D$3</f>
        <v>MUNICIPAL CORPORATION OF DELHI</v>
      </c>
      <c r="E881" s="669"/>
      <c r="F881" s="669"/>
      <c r="G881" s="669"/>
      <c r="H881" s="734"/>
      <c r="I881" s="669"/>
      <c r="J881" s="669"/>
    </row>
    <row r="882" ht="20.4" spans="1:11">
      <c r="B882" s="735"/>
      <c r="C882" s="735"/>
      <c r="D882" s="670" t="str">
        <f>ENTRY!$D$4</f>
        <v>EDUCATION DEPARTMENT</v>
      </c>
      <c r="E882" s="670"/>
      <c r="F882" s="670"/>
      <c r="G882" s="670"/>
      <c r="H882" s="735"/>
      <c r="I882" s="669"/>
      <c r="J882" s="669"/>
    </row>
    <row r="883" ht="22.8" spans="1:11">
      <c r="B883" s="736"/>
      <c r="C883" s="736"/>
      <c r="D883" s="664" t="s">
        <v>417</v>
      </c>
      <c r="E883" s="664"/>
      <c r="F883" s="664"/>
      <c r="G883" s="664"/>
      <c r="H883" s="736"/>
      <c r="I883" s="669"/>
      <c r="J883" s="669"/>
    </row>
    <row r="884" ht="22.8" spans="1:11">
      <c r="B884" s="736"/>
      <c r="C884" s="736"/>
      <c r="D884" s="664" t="s">
        <v>418</v>
      </c>
      <c r="E884" s="664"/>
      <c r="F884" s="664"/>
      <c r="G884" s="664"/>
      <c r="H884" s="736"/>
      <c r="I884" s="669"/>
      <c r="J884" s="669"/>
    </row>
    <row r="885" ht="24.95" customHeight="1" spans="1:11">
      <c r="B885" s="735"/>
      <c r="C885" s="735"/>
      <c r="D885" s="737" t="str">
        <f>"SESSION : "&amp;ENTRY!$D$11</f>
        <v>SESSION : 2026-27</v>
      </c>
      <c r="E885" s="737"/>
      <c r="F885" s="737"/>
      <c r="G885" s="737"/>
      <c r="H885" s="735"/>
      <c r="I885" s="738"/>
      <c r="J885" s="738"/>
    </row>
    <row r="886" ht="3.75" customHeight="1" spans="1:11">
      <c r="A886" s="672"/>
      <c r="B886" s="739"/>
      <c r="C886" s="739"/>
      <c r="D886" s="739"/>
      <c r="E886" s="739"/>
      <c r="F886" s="739"/>
      <c r="G886" s="739"/>
      <c r="H886" s="739"/>
      <c r="I886" s="739"/>
      <c r="J886" s="739"/>
      <c r="K886" s="674"/>
    </row>
    <row r="887" ht="21.95" customHeight="1" spans="1:11">
      <c r="A887" s="675"/>
      <c r="B887" s="676" t="s">
        <v>419</v>
      </c>
      <c r="C887" s="676"/>
      <c r="D887" s="676" t="str">
        <f>ENTRY!$D$6</f>
        <v>MCP NITHARI NO 1 BOYS</v>
      </c>
      <c r="E887" s="676"/>
      <c r="F887" s="676"/>
      <c r="G887" s="676"/>
      <c r="H887" s="676"/>
      <c r="I887" s="676"/>
      <c r="J887" s="676"/>
      <c r="K887" s="677"/>
    </row>
    <row r="888" ht="21.95" customHeight="1" spans="1:11">
      <c r="A888" s="675"/>
      <c r="B888" s="676" t="s">
        <v>420</v>
      </c>
      <c r="C888" s="676"/>
      <c r="D888" s="740" t="str">
        <f>IFERROR(VLOOKUP($I$891,STUDENT!$A$2:$BP$101,5,0),"")</f>
        <v>GAURAV KUMAR</v>
      </c>
      <c r="E888" s="740"/>
      <c r="F888" s="740"/>
      <c r="G888" s="740"/>
      <c r="H888" s="740"/>
      <c r="I888" s="740"/>
      <c r="J888" s="740"/>
      <c r="K888" s="677"/>
    </row>
    <row r="889" ht="21.95" customHeight="1" spans="1:11">
      <c r="A889" s="675"/>
      <c r="B889" s="676" t="s">
        <v>421</v>
      </c>
      <c r="C889" s="676"/>
      <c r="D889" s="740" t="str">
        <f>IFERROR(VLOOKUP($I$891,STUDENT!$A$2:$BP$101,8,0),"")</f>
        <v>HARINDER YADAV</v>
      </c>
      <c r="E889" s="740"/>
      <c r="F889" s="740"/>
      <c r="G889" s="740"/>
      <c r="H889" s="740"/>
      <c r="I889" s="740"/>
      <c r="J889" s="740"/>
      <c r="K889" s="677"/>
    </row>
    <row r="890" ht="21.95" customHeight="1" spans="1:11">
      <c r="A890" s="675"/>
      <c r="B890" s="676" t="s">
        <v>422</v>
      </c>
      <c r="C890" s="676"/>
      <c r="D890" s="740">
        <f>IFERROR(VLOOKUP($I$891,STUDENT!$A$2:$BP$101,6,0),"")</f>
        <v>14755</v>
      </c>
      <c r="E890" s="740"/>
      <c r="F890" s="740"/>
      <c r="G890" s="740"/>
      <c r="H890" s="740"/>
      <c r="I890" s="740"/>
      <c r="J890" s="740"/>
      <c r="K890" s="677"/>
    </row>
    <row r="891" ht="21.95" customHeight="1" spans="1:11">
      <c r="A891" s="675"/>
      <c r="B891" s="676" t="s">
        <v>423</v>
      </c>
      <c r="C891" s="676"/>
      <c r="D891" s="741" t="str">
        <f>IFERROR(VLOOKUP($I$891,STUDENT!$A$2:$BP$101,59,0),"")</f>
        <v/>
      </c>
      <c r="E891" s="742" t="s">
        <v>424</v>
      </c>
      <c r="F891" s="704" t="str">
        <f>IFERROR(VLOOKUP($I$891,STUDENT!$A$2:$BP$101,2,0),"")</f>
        <v>III-A</v>
      </c>
      <c r="G891" s="742" t="s">
        <v>425</v>
      </c>
      <c r="H891" s="743"/>
      <c r="I891" s="733">
        <f>I836+1</f>
        <v>17</v>
      </c>
      <c r="J891" s="683"/>
      <c r="K891" s="677"/>
    </row>
    <row r="892" ht="5.1" customHeight="1" spans="1:11">
      <c r="A892" s="675"/>
      <c r="B892" s="745"/>
      <c r="C892" s="745"/>
      <c r="D892" s="746"/>
      <c r="E892" s="747"/>
      <c r="F892" s="748"/>
      <c r="G892" s="747"/>
      <c r="H892" s="686"/>
      <c r="I892" s="686"/>
      <c r="J892" s="686"/>
      <c r="K892" s="677"/>
    </row>
    <row r="893" s="664" customFormat="1" ht="32.1" customHeight="1" spans="1:11">
      <c r="A893" s="688"/>
      <c r="B893" s="749" t="s">
        <v>426</v>
      </c>
      <c r="C893" s="750"/>
      <c r="D893" s="750"/>
      <c r="E893" s="750"/>
      <c r="F893" s="750"/>
      <c r="G893" s="750"/>
      <c r="H893" s="750"/>
      <c r="I893" s="750"/>
      <c r="J893" s="751"/>
      <c r="K893" s="690"/>
    </row>
    <row r="894" ht="51.6" spans="1:11">
      <c r="A894" s="675"/>
      <c r="B894" s="752">
        <v>21</v>
      </c>
      <c r="C894" s="753" t="s">
        <v>427</v>
      </c>
      <c r="D894" s="754" t="s">
        <v>428</v>
      </c>
      <c r="E894" s="754" t="s">
        <v>429</v>
      </c>
      <c r="F894" s="754" t="s">
        <v>430</v>
      </c>
      <c r="G894" s="753" t="s">
        <v>390</v>
      </c>
      <c r="H894" s="714"/>
      <c r="I894" s="714"/>
      <c r="J894" s="714"/>
      <c r="K894" s="677"/>
    </row>
    <row r="895" ht="20.1" customHeight="1" spans="1:11">
      <c r="A895" s="675"/>
      <c r="B895" s="755">
        <v>1</v>
      </c>
      <c r="C895" s="755" t="str">
        <f>IFERROR(VLOOKUP(B895,DATEWISE!$A$3:$BY$27,2,0),0)</f>
        <v>30.04.2026</v>
      </c>
      <c r="D895" s="755">
        <f>IF($C$895=0,NA(),VLOOKUP($I$891&amp;$B$895,FLNFIX!$L$4:$EF$103,2,0))</f>
        <v>2</v>
      </c>
      <c r="E895" s="755">
        <f>IF($C$895=0,NA(),VLOOKUP($I$891&amp;$B$895,FLNFIX!$L$4:$EF$103,4,0))</f>
        <v>4</v>
      </c>
      <c r="F895" s="755">
        <f>IF($C$895=0,NA(),VLOOKUP($I$891&amp;$B$895,FLNFIX!$L$4:$EF$103,3,0))</f>
        <v>2</v>
      </c>
      <c r="G895" s="756">
        <f>IF($C$895=0,NA(),VLOOKUP($I$891&amp;$B$895,FLNFIX!$L$4:$EF$103,5,0))</f>
        <v>0</v>
      </c>
      <c r="H895" s="757"/>
      <c r="I895" s="757"/>
      <c r="J895" s="758"/>
      <c r="K895" s="677"/>
    </row>
    <row r="896" ht="20.1" customHeight="1" spans="1:11">
      <c r="A896" s="675"/>
      <c r="B896" s="755">
        <f t="shared" ref="B896:B915" si="16">IF(B895=0,0,IF(B895&lt;$B$894,B895+1,""))</f>
        <v>2</v>
      </c>
      <c r="C896" s="755" t="str">
        <f>IFERROR(VLOOKUP(B896,DATEWISE!$A$3:$BY$27,2,0),0)</f>
        <v>08.05.2026</v>
      </c>
      <c r="D896" s="755">
        <f>IF($C$896=0,NA(),VLOOKUP($I$891&amp;$B$896,FLNFIX!$Q$4:$EF$103,2,0))</f>
        <v>2</v>
      </c>
      <c r="E896" s="755">
        <f>IF($C$896=0,NA(),VLOOKUP($I$891&amp;$B$896,FLNFIX!$Q$4:$EF$103,4,0))</f>
        <v>4</v>
      </c>
      <c r="F896" s="755">
        <f>IF($C$896=0,NA(),VLOOKUP($I$891&amp;$B$896,FLNFIX!$Q$4:$EF$103,3,0))</f>
        <v>2</v>
      </c>
      <c r="G896" s="756">
        <f>IF($C$896=0,NA(),VLOOKUP($I$891&amp;$B$896,FLNFIX!$Q$4:$EF$103,5,0))</f>
        <v>0</v>
      </c>
      <c r="H896" s="757"/>
      <c r="I896" s="757"/>
      <c r="J896" s="758"/>
      <c r="K896" s="677"/>
    </row>
    <row r="897" ht="20.1" customHeight="1" spans="1:11">
      <c r="A897" s="675"/>
      <c r="B897" s="755">
        <f t="shared" si="16"/>
        <v>3</v>
      </c>
      <c r="C897" s="755" t="str">
        <f>IFERROR(VLOOKUP(B897,DATEWISE!$A$3:$BY$27,2,0),0)</f>
        <v>15.07.2026</v>
      </c>
      <c r="D897" s="755">
        <f>IF($C$897=0,NA(),VLOOKUP($I$891&amp;$B$897,FLNFIX!$V$4:$EF$103,2,0))</f>
        <v>2</v>
      </c>
      <c r="E897" s="755">
        <f>IF($C$897=0,NA(),VLOOKUP($I$891&amp;$B$897,FLNFIX!$V$4:$EF$103,4,0))</f>
        <v>4</v>
      </c>
      <c r="F897" s="755">
        <f>IF($C$897=0,NA(),VLOOKUP($I$891&amp;$B$897,FLNFIX!$V$4:$EF$103,3,0))</f>
        <v>2</v>
      </c>
      <c r="G897" s="756">
        <f>IF($C$897=0,NA(),VLOOKUP($I$891&amp;$B$897,FLNFIX!$V$4:$EF$103,5,0))</f>
        <v>0</v>
      </c>
      <c r="H897" s="757"/>
      <c r="I897" s="757"/>
      <c r="J897" s="758"/>
      <c r="K897" s="677"/>
    </row>
    <row r="898" ht="20.1" customHeight="1" spans="1:11">
      <c r="A898" s="675"/>
      <c r="B898" s="755">
        <f t="shared" si="16"/>
        <v>4</v>
      </c>
      <c r="C898" s="755" t="str">
        <f>IFERROR(VLOOKUP(B898,DATEWISE!$A$3:$BY$27,2,0),0)</f>
        <v>31.07.2026</v>
      </c>
      <c r="D898" s="755">
        <f>IF($C$898=0,NA(),VLOOKUP($I$891&amp;$B$898,FLNFIX!$AA$4:$EF$103,2,0))</f>
        <v>2</v>
      </c>
      <c r="E898" s="755">
        <f>IF($C$898=0,NA(),VLOOKUP($I$891&amp;$B$898,FLNFIX!$AA$4:$EF$103,4,0))</f>
        <v>4</v>
      </c>
      <c r="F898" s="755">
        <f>IF($C$898=0,NA(),VLOOKUP($I$891&amp;$B$898,FLNFIX!$AA$4:$EF$103,3,0))</f>
        <v>2</v>
      </c>
      <c r="G898" s="756">
        <f>IF($C$898=0,NA(),VLOOKUP($I$891&amp;$B$898,FLNFIX!$AA$4:$EF$103,5,0))</f>
        <v>0</v>
      </c>
      <c r="H898" s="757"/>
      <c r="I898" s="757"/>
      <c r="J898" s="758"/>
      <c r="K898" s="677"/>
    </row>
    <row r="899" ht="20.1" customHeight="1" spans="1:11">
      <c r="A899" s="675"/>
      <c r="B899" s="755">
        <f t="shared" si="16"/>
        <v>5</v>
      </c>
      <c r="C899" s="755" t="str">
        <f>IFERROR(VLOOKUP(B899,DATEWISE!$A$3:$BY$27,2,0),0)</f>
        <v>17.08.2026</v>
      </c>
      <c r="D899" s="755">
        <f>IF($C$899=0,NA(),VLOOKUP($I$891&amp;$B$899,FLNFIX!$AF$4:$EF$103,2,0))</f>
        <v>2</v>
      </c>
      <c r="E899" s="755">
        <f>IF($C$899=0,NA(),VLOOKUP($I$891&amp;$B$899,FLNFIX!$AF$4:$EF$103,4,0))</f>
        <v>4</v>
      </c>
      <c r="F899" s="755">
        <f>IF($C$899=0,NA(),VLOOKUP($I$891&amp;$B$899,FLNFIX!$AF$4:$EF$103,3,0))</f>
        <v>2</v>
      </c>
      <c r="G899" s="756">
        <f>IF($C$899=0,NA(),VLOOKUP($I$891&amp;$B$899,FLNFIX!$AF$4:$EF$103,5,0))</f>
        <v>0</v>
      </c>
      <c r="H899" s="757"/>
      <c r="I899" s="757"/>
      <c r="J899" s="758"/>
      <c r="K899" s="677"/>
    </row>
    <row r="900" ht="20.1" customHeight="1" spans="1:11">
      <c r="A900" s="675"/>
      <c r="B900" s="755">
        <f t="shared" si="16"/>
        <v>6</v>
      </c>
      <c r="C900" s="755" t="str">
        <f>IFERROR(VLOOKUP(B900,DATEWISE!$A$3:$BY$27,2,0),0)</f>
        <v>31.08.2026</v>
      </c>
      <c r="D900" s="755">
        <f>IF($C$900=0,NA(),VLOOKUP($I$891&amp;$B$900,FLNFIX!$AK$4:$EF$103,2,0))</f>
        <v>3</v>
      </c>
      <c r="E900" s="755">
        <f>IF($C$900=0,NA(),VLOOKUP($I$891&amp;$B$900,FLNFIX!$AK$4:$EF$103,4,0))</f>
        <v>4</v>
      </c>
      <c r="F900" s="755">
        <f>IF($C$900=0,NA(),VLOOKUP($I$891&amp;$B$900,FLNFIX!$AK$4:$EF$103,3,0))</f>
        <v>2</v>
      </c>
      <c r="G900" s="756">
        <f>IF($C$900=0,NA(),VLOOKUP($I$891&amp;$B$900,FLNFIX!$AK$4:$EF$103,5,0))</f>
        <v>0</v>
      </c>
      <c r="H900" s="757"/>
      <c r="I900" s="757"/>
      <c r="J900" s="758"/>
      <c r="K900" s="677"/>
    </row>
    <row r="901" ht="20.1" customHeight="1" spans="1:11">
      <c r="A901" s="675"/>
      <c r="B901" s="755">
        <f t="shared" si="16"/>
        <v>7</v>
      </c>
      <c r="C901" s="755">
        <f>IFERROR(VLOOKUP(B901,DATEWISE!$A$3:$BY$27,2,0),0)</f>
        <v>0</v>
      </c>
      <c r="D901" s="755" t="e">
        <f>IF($C$901=0,NA(),VLOOKUP($I$891&amp;$B$901,FLNFIX!$AP$4:$EF$103,2,0))</f>
        <v>#N/A</v>
      </c>
      <c r="E901" s="755" t="e">
        <f>IF($C$901=0,NA(),VLOOKUP($I$891&amp;$B$901,FLNFIX!$AP$4:$EF$103,4,0))</f>
        <v>#N/A</v>
      </c>
      <c r="F901" s="755" t="e">
        <f>IF($C$901=0,NA(),VLOOKUP($I$891&amp;$B$901,FLNFIX!$AP$4:$EF$103,3,0))</f>
        <v>#N/A</v>
      </c>
      <c r="G901" s="756" t="e">
        <f>IF($C$901=0,NA(),VLOOKUP($I$891&amp;$B$901,FLNFIX!$AP$4:$EF$103,5,0))</f>
        <v>#N/A</v>
      </c>
      <c r="H901" s="757"/>
      <c r="I901" s="757"/>
      <c r="J901" s="758"/>
      <c r="K901" s="677"/>
    </row>
    <row r="902" ht="20.1" customHeight="1" spans="1:11">
      <c r="A902" s="675"/>
      <c r="B902" s="755">
        <f t="shared" si="16"/>
        <v>8</v>
      </c>
      <c r="C902" s="755">
        <f>IFERROR(VLOOKUP(B902,DATEWISE!$A$3:$BY$27,2,0),0)</f>
        <v>0</v>
      </c>
      <c r="D902" s="755" t="e">
        <f>IF($C$902=0,NA(),VLOOKUP($I$891&amp;$B$902,FLNFIX!$AU$4:$EF$103,2,0))</f>
        <v>#N/A</v>
      </c>
      <c r="E902" s="755" t="e">
        <f>IF($C$902=0,NA(),VLOOKUP($I$891&amp;$B$902,FLNFIX!$AU$4:$EF$103,4,0))</f>
        <v>#N/A</v>
      </c>
      <c r="F902" s="755" t="e">
        <f>IF($C$902=0,NA(),VLOOKUP($I$891&amp;$B$902,FLNFIX!$AU$4:$EF$103,3,0))</f>
        <v>#N/A</v>
      </c>
      <c r="G902" s="756" t="e">
        <f>IF($C$902=0,NA(),VLOOKUP($I$891&amp;$B$902,FLNFIX!$AU$4:$EF$103,5,0))</f>
        <v>#N/A</v>
      </c>
      <c r="H902" s="757"/>
      <c r="I902" s="757"/>
      <c r="J902" s="758"/>
      <c r="K902" s="677"/>
    </row>
    <row r="903" ht="20.1" customHeight="1" spans="1:11">
      <c r="A903" s="675"/>
      <c r="B903" s="755">
        <f t="shared" si="16"/>
        <v>9</v>
      </c>
      <c r="C903" s="755">
        <f>IFERROR(VLOOKUP(B903,DATEWISE!$A$3:$BY$27,2,0),0)</f>
        <v>0</v>
      </c>
      <c r="D903" s="755" t="e">
        <f>IF($C$903=0,NA(),VLOOKUP($I$891&amp;$B$903,FLNFIX!$AZ$4:$EF$103,2,0))</f>
        <v>#N/A</v>
      </c>
      <c r="E903" s="755" t="e">
        <f>IF($C$903=0,NA(),VLOOKUP($I$891&amp;$B$903,FLNFIX!$AZ$4:$EF$103,4,0))</f>
        <v>#N/A</v>
      </c>
      <c r="F903" s="755" t="e">
        <f>IF($C$903=0,NA(),VLOOKUP($I$891&amp;$B$903,FLNFIX!$AZ$4:$EF$103,3,0))</f>
        <v>#N/A</v>
      </c>
      <c r="G903" s="756" t="e">
        <f>IF($C$903=0,NA(),VLOOKUP($I$891&amp;$B$903,FLNFIX!$AZ$4:$EF$103,5,0))</f>
        <v>#N/A</v>
      </c>
      <c r="H903" s="757"/>
      <c r="I903" s="757"/>
      <c r="J903" s="758"/>
      <c r="K903" s="677"/>
    </row>
    <row r="904" ht="20.1" customHeight="1" spans="1:11">
      <c r="A904" s="675"/>
      <c r="B904" s="755">
        <f t="shared" si="16"/>
        <v>10</v>
      </c>
      <c r="C904" s="755">
        <f>IFERROR(VLOOKUP(B904,DATEWISE!$A$3:$BY$27,2,0),0)</f>
        <v>0</v>
      </c>
      <c r="D904" s="755" t="e">
        <f>IF($C$904=0,NA(),VLOOKUP($I$891&amp;$B$904,FLNFIX!$BE$4:$EF$103,2,0))</f>
        <v>#N/A</v>
      </c>
      <c r="E904" s="755" t="e">
        <f>IF($C$904=0,NA(),VLOOKUP($I$891&amp;$B$904,FLNFIX!$BE$4:$EF$103,4,0))</f>
        <v>#N/A</v>
      </c>
      <c r="F904" s="755" t="e">
        <f>IF($C$904=0,NA(),VLOOKUP($I$891&amp;$B$904,FLNFIX!$BE$4:$EF$103,3,0))</f>
        <v>#N/A</v>
      </c>
      <c r="G904" s="756" t="e">
        <f>IF($C$904=0,NA(),VLOOKUP($I$891&amp;$B$904,FLNFIX!$BE$4:$EF$103,5,0))</f>
        <v>#N/A</v>
      </c>
      <c r="H904" s="757"/>
      <c r="I904" s="757"/>
      <c r="J904" s="758"/>
      <c r="K904" s="677"/>
    </row>
    <row r="905" ht="20.1" customHeight="1" spans="1:11">
      <c r="A905" s="675"/>
      <c r="B905" s="755">
        <f t="shared" si="16"/>
        <v>11</v>
      </c>
      <c r="C905" s="755">
        <f>IFERROR(VLOOKUP(B905,DATEWISE!$A$3:$BY$27,2,0),0)</f>
        <v>0</v>
      </c>
      <c r="D905" s="755" t="e">
        <f>IF($C$905=0,NA(),VLOOKUP($I$891&amp;$B$905,FLNFIX!$BJ$4:$EF$103,2,0))</f>
        <v>#N/A</v>
      </c>
      <c r="E905" s="755" t="e">
        <f>IF($C$905=0,NA(),VLOOKUP($I$891&amp;$B$905,FLNFIX!$BJ$4:$EF$103,4,0))</f>
        <v>#N/A</v>
      </c>
      <c r="F905" s="755" t="e">
        <f>IF($C$905=0,NA(),VLOOKUP($I$891&amp;$B$905,FLNFIX!$BJ$4:$EF$103,3,0))</f>
        <v>#N/A</v>
      </c>
      <c r="G905" s="756" t="e">
        <f>IF($C$905=0,NA(),VLOOKUP($I$891&amp;$B$905,FLNFIX!$BJ$4:$EF$103,5,0))</f>
        <v>#N/A</v>
      </c>
      <c r="H905" s="757"/>
      <c r="I905" s="757"/>
      <c r="J905" s="758"/>
      <c r="K905" s="677"/>
    </row>
    <row r="906" ht="20.1" customHeight="1" spans="1:11">
      <c r="A906" s="675"/>
      <c r="B906" s="755">
        <f t="shared" si="16"/>
        <v>12</v>
      </c>
      <c r="C906" s="755">
        <f>IFERROR(VLOOKUP(B906,DATEWISE!$A$3:$BY$27,2,0),0)</f>
        <v>0</v>
      </c>
      <c r="D906" s="755" t="e">
        <f>IF($C$906=0,NA(),VLOOKUP($I$891&amp;$B$906,FLNFIX!$BO$4:$EF$103,2,0))</f>
        <v>#N/A</v>
      </c>
      <c r="E906" s="755" t="e">
        <f>IF($C$906=0,NA(),VLOOKUP($I$891&amp;$B$906,FLNFIX!$BO$4:$EF$103,4,0))</f>
        <v>#N/A</v>
      </c>
      <c r="F906" s="755" t="e">
        <f>IF($C$906=0,NA(),VLOOKUP($I$891&amp;$B$906,FLNFIX!$BO$4:$EF$103,3,0))</f>
        <v>#N/A</v>
      </c>
      <c r="G906" s="756" t="e">
        <f>IF($C$906=0,NA(),VLOOKUP($I$891&amp;$B$906,FLNFIX!$BO$4:$EF$103,5,0))</f>
        <v>#N/A</v>
      </c>
      <c r="H906" s="757"/>
      <c r="I906" s="757"/>
      <c r="J906" s="758"/>
      <c r="K906" s="677"/>
    </row>
    <row r="907" ht="20.1" customHeight="1" spans="1:11">
      <c r="A907" s="675"/>
      <c r="B907" s="755">
        <f t="shared" si="16"/>
        <v>13</v>
      </c>
      <c r="C907" s="755">
        <f>IFERROR(VLOOKUP(B907,DATEWISE!$A$3:$BY$27,2,0),0)</f>
        <v>0</v>
      </c>
      <c r="D907" s="755" t="e">
        <f>IF($C$907=0,NA(),VLOOKUP($I$891&amp;$B$907,FLNFIX!$BT$4:$EF$103,2,0))</f>
        <v>#N/A</v>
      </c>
      <c r="E907" s="755" t="e">
        <f>IF($C$907=0,NA(),VLOOKUP($I$891&amp;$B$907,FLNFIX!$BT$4:$EF$103,4,0))</f>
        <v>#N/A</v>
      </c>
      <c r="F907" s="755" t="e">
        <f>IF($C$907=0,NA(),VLOOKUP($I$891&amp;$B$907,FLNFIX!$BT$4:$EF$103,3,0))</f>
        <v>#N/A</v>
      </c>
      <c r="G907" s="756" t="e">
        <f>IF($C$907=0,NA(),VLOOKUP($I$891&amp;$B$907,FLNFIX!$BT$4:$EF$103,5,0))</f>
        <v>#N/A</v>
      </c>
      <c r="H907" s="757"/>
      <c r="I907" s="757"/>
      <c r="J907" s="758"/>
      <c r="K907" s="677"/>
    </row>
    <row r="908" ht="20.1" customHeight="1" spans="1:11">
      <c r="A908" s="675"/>
      <c r="B908" s="755">
        <f t="shared" si="16"/>
        <v>14</v>
      </c>
      <c r="C908" s="755">
        <f>IFERROR(VLOOKUP(B908,DATEWISE!$A$3:$BY$27,2,0),0)</f>
        <v>0</v>
      </c>
      <c r="D908" s="755" t="e">
        <f>IF($C$908=0,NA(),VLOOKUP($I$891&amp;$B$908,FLNFIX!$BY$4:$EF$103,2,0))</f>
        <v>#N/A</v>
      </c>
      <c r="E908" s="755" t="e">
        <f>IF($C$908=0,NA(),VLOOKUP($I$891&amp;$B$908,FLNFIX!$BY$4:$EF$103,4,0))</f>
        <v>#N/A</v>
      </c>
      <c r="F908" s="755" t="e">
        <f>IF($C$908=0,NA(),VLOOKUP($I$891&amp;$B$908,FLNFIX!$BY$4:$EF$103,3,0))</f>
        <v>#N/A</v>
      </c>
      <c r="G908" s="756" t="e">
        <f>IF($C$908=0,NA(),VLOOKUP($I$891&amp;$B$908,FLNFIX!$BY$4:$EF$103,5,0))</f>
        <v>#N/A</v>
      </c>
      <c r="H908" s="757"/>
      <c r="I908" s="757"/>
      <c r="J908" s="758"/>
      <c r="K908" s="677"/>
    </row>
    <row r="909" ht="20.1" customHeight="1" spans="1:11">
      <c r="A909" s="675"/>
      <c r="B909" s="755">
        <f t="shared" si="16"/>
        <v>15</v>
      </c>
      <c r="C909" s="755">
        <f>IFERROR(VLOOKUP(B909,DATEWISE!$A$3:$BY$27,2,0),0)</f>
        <v>0</v>
      </c>
      <c r="D909" s="755" t="e">
        <f>IF($C$909=0,NA(),VLOOKUP($I$891&amp;$B$909,FLNFIX!$CD$4:$EF$103,2,0))</f>
        <v>#N/A</v>
      </c>
      <c r="E909" s="755" t="e">
        <f>IF($C$909=0,NA(),VLOOKUP($I$891&amp;$B$909,FLNFIX!$CD$4:$EF$103,4,0))</f>
        <v>#N/A</v>
      </c>
      <c r="F909" s="755" t="e">
        <f>IF($C$909=0,NA(),VLOOKUP($I$891&amp;$B$909,FLNFIX!$CD$4:$EF$103,3,0))</f>
        <v>#N/A</v>
      </c>
      <c r="G909" s="756" t="e">
        <f>IF($C$909=0,NA(),VLOOKUP($I$891&amp;$B$909,FLNFIX!$CD$4:$EF$103,5,0))</f>
        <v>#N/A</v>
      </c>
      <c r="H909" s="757"/>
      <c r="I909" s="757"/>
      <c r="J909" s="758"/>
      <c r="K909" s="677"/>
    </row>
    <row r="910" ht="20.1" customHeight="1" spans="1:11">
      <c r="A910" s="675"/>
      <c r="B910" s="755">
        <f t="shared" si="16"/>
        <v>16</v>
      </c>
      <c r="C910" s="755">
        <f>IFERROR(VLOOKUP(B910,DATEWISE!$A$3:$BY$27,2,0),0)</f>
        <v>0</v>
      </c>
      <c r="D910" s="755" t="e">
        <f>IF($C$910=0,NA(),VLOOKUP($I$891&amp;$B$910,FLNFIX!$CI$4:$EF$103,2,0))</f>
        <v>#N/A</v>
      </c>
      <c r="E910" s="755" t="e">
        <f>IF($C$910=0,NA(),VLOOKUP($I$891&amp;$B$910,FLNFIX!$CI$4:$EF$103,4,0))</f>
        <v>#N/A</v>
      </c>
      <c r="F910" s="755" t="e">
        <f>IF($C$910=0,NA(),VLOOKUP($I$891&amp;$B$910,FLNFIX!$CI$4:$EF$103,3,0))</f>
        <v>#N/A</v>
      </c>
      <c r="G910" s="756" t="e">
        <f>IF($C$910=0,NA(),VLOOKUP($I$891&amp;$B$910,FLNFIX!$CI$4:$EF$103,5,0))</f>
        <v>#N/A</v>
      </c>
      <c r="H910" s="757"/>
      <c r="I910" s="757"/>
      <c r="J910" s="758"/>
      <c r="K910" s="677"/>
    </row>
    <row r="911" ht="20.1" customHeight="1" spans="1:11">
      <c r="A911" s="675"/>
      <c r="B911" s="755">
        <f t="shared" si="16"/>
        <v>17</v>
      </c>
      <c r="C911" s="755">
        <f>IFERROR(VLOOKUP(B911,DATEWISE!$A$3:$BY$27,2,0),0)</f>
        <v>0</v>
      </c>
      <c r="D911" s="755" t="e">
        <f>IF($C$911=0,NA(),VLOOKUP($I$891&amp;$B$911,FLNFIX!$CN$4:$EF$103,2,0))</f>
        <v>#N/A</v>
      </c>
      <c r="E911" s="755" t="e">
        <f>IF($C$911=0,NA(),VLOOKUP($I$891&amp;$B$911,FLNFIX!$CN$4:$EF$103,4,0))</f>
        <v>#N/A</v>
      </c>
      <c r="F911" s="755" t="e">
        <f>IF($C$911=0,NA(),VLOOKUP($I$891&amp;$B$911,FLNFIX!$CN$4:$EF$103,3,0))</f>
        <v>#N/A</v>
      </c>
      <c r="G911" s="756" t="e">
        <f>IF($C$911=0,NA(),VLOOKUP($I$891&amp;$B$911,FLNFIX!$CN$4:$EF$103,5,0))</f>
        <v>#N/A</v>
      </c>
      <c r="H911" s="757"/>
      <c r="I911" s="757"/>
      <c r="J911" s="758"/>
      <c r="K911" s="677"/>
    </row>
    <row r="912" ht="20.1" customHeight="1" spans="1:11">
      <c r="A912" s="675"/>
      <c r="B912" s="755">
        <f t="shared" si="16"/>
        <v>18</v>
      </c>
      <c r="C912" s="755">
        <f>IFERROR(VLOOKUP(B912,DATEWISE!$A$3:$BY$27,2,0),0)</f>
        <v>0</v>
      </c>
      <c r="D912" s="755" t="e">
        <f>IF($C$912=0,NA(),VLOOKUP($I$891&amp;$B$912,FLNFIX!$CS$4:$EF$103,2,0))</f>
        <v>#N/A</v>
      </c>
      <c r="E912" s="755" t="e">
        <f>IF($C$912=0,NA(),VLOOKUP($I$891&amp;$B$912,FLNFIX!$CS$4:$EF$103,4,0))</f>
        <v>#N/A</v>
      </c>
      <c r="F912" s="755" t="e">
        <f>IF($C$912=0,NA(),VLOOKUP($I$891&amp;$B$912,FLNFIX!$CS$4:$EF$103,3,0))</f>
        <v>#N/A</v>
      </c>
      <c r="G912" s="756" t="e">
        <f>IF($C$912=0,NA(),VLOOKUP($I$891&amp;$B$912,FLNFIX!$CS$4:$EF$103,5,0))</f>
        <v>#N/A</v>
      </c>
      <c r="H912" s="757"/>
      <c r="I912" s="757"/>
      <c r="J912" s="758"/>
      <c r="K912" s="677"/>
    </row>
    <row r="913" ht="20.1" customHeight="1" spans="1:11">
      <c r="A913" s="675"/>
      <c r="B913" s="755">
        <f t="shared" si="16"/>
        <v>19</v>
      </c>
      <c r="C913" s="755">
        <f>IFERROR(VLOOKUP(B913,DATEWISE!$A$3:$BY$27,2,0),0)</f>
        <v>0</v>
      </c>
      <c r="D913" s="755" t="e">
        <f>IF($C$913=0,NA(),VLOOKUP($I$891&amp;$B$913,FLNFIX!$CX$4:$EF$103,2,0))</f>
        <v>#N/A</v>
      </c>
      <c r="E913" s="755" t="e">
        <f>IF($C$913=0,NA(),VLOOKUP($I$891&amp;$B$913,FLNFIX!$CX$4:$EF$103,4,0))</f>
        <v>#N/A</v>
      </c>
      <c r="F913" s="755" t="e">
        <f>IF($C$913=0,NA(),VLOOKUP($I$891&amp;$B$913,FLNFIX!$CX$4:$EF$103,3,0))</f>
        <v>#N/A</v>
      </c>
      <c r="G913" s="756" t="e">
        <f>IF($C$913=0,NA(),VLOOKUP($I$891&amp;$B$913,FLNFIX!$CX$4:$EF$103,5,0))</f>
        <v>#N/A</v>
      </c>
      <c r="H913" s="757"/>
      <c r="I913" s="757"/>
      <c r="J913" s="758"/>
      <c r="K913" s="677"/>
    </row>
    <row r="914" ht="20.1" customHeight="1" spans="1:11">
      <c r="A914" s="675"/>
      <c r="B914" s="755">
        <f t="shared" si="16"/>
        <v>20</v>
      </c>
      <c r="C914" s="755">
        <f>IFERROR(VLOOKUP(B914,DATEWISE!$A$3:$BY$27,2,0),0)</f>
        <v>0</v>
      </c>
      <c r="D914" s="755" t="e">
        <f>IF($C$914=0,NA(),VLOOKUP($I$891&amp;$B$914,FLNFIX!$DC$4:$EF$103,2,0))</f>
        <v>#N/A</v>
      </c>
      <c r="E914" s="755" t="e">
        <f>IF($C$914=0,NA(),VLOOKUP($I$891&amp;$B$914,FLNFIX!$DC$4:$EF$103,4,0))</f>
        <v>#N/A</v>
      </c>
      <c r="F914" s="755" t="e">
        <f>IF($C$914=0,NA(),VLOOKUP($I$891&amp;$B$914,FLNFIX!$DC$4:$EF$103,3,0))</f>
        <v>#N/A</v>
      </c>
      <c r="G914" s="756" t="e">
        <f>IF($C$914=0,NA(),VLOOKUP($I$891&amp;$B$914,FLNFIX!$DC$4:$EF$103,5,0))</f>
        <v>#N/A</v>
      </c>
      <c r="H914" s="757"/>
      <c r="I914" s="757"/>
      <c r="J914" s="758"/>
      <c r="K914" s="677"/>
    </row>
    <row r="915" ht="20.1" customHeight="1" spans="1:11">
      <c r="A915" s="675"/>
      <c r="B915" s="755">
        <f t="shared" si="16"/>
        <v>21</v>
      </c>
      <c r="C915" s="755">
        <f>IFERROR(VLOOKUP(B915,DATEWISE!$A$3:$BY$27,2,0),0)</f>
        <v>0</v>
      </c>
      <c r="D915" s="755" t="e">
        <f>IF($C$915=0,NA(),VLOOKUP($I$891&amp;$B$915,FLNFIX!$DH$4:$EF$103,2,0))</f>
        <v>#N/A</v>
      </c>
      <c r="E915" s="755" t="e">
        <f>IF($C$915=0,NA(),VLOOKUP($I$891&amp;$B$915,FLNFIX!$DH$4:$EF$103,4,0))</f>
        <v>#N/A</v>
      </c>
      <c r="F915" s="755" t="e">
        <f>IF($C$915=0,NA(),VLOOKUP($I$891&amp;$B$915,FLNFIX!$DH$4:$EF$103,3,0))</f>
        <v>#N/A</v>
      </c>
      <c r="G915" s="756" t="e">
        <f>IF($C$915=0,NA(),VLOOKUP($I$891&amp;$B$915,FLNFIX!$DH$4:$EF$103,5,0))</f>
        <v>#N/A</v>
      </c>
      <c r="H915" s="757"/>
      <c r="I915" s="757"/>
      <c r="J915" s="758"/>
      <c r="K915" s="677"/>
    </row>
    <row r="916" ht="5.1" customHeight="1" spans="1:11">
      <c r="A916" s="675"/>
      <c r="B916" s="759"/>
      <c r="C916" s="759"/>
      <c r="D916" s="760"/>
      <c r="E916" s="760"/>
      <c r="F916" s="760"/>
      <c r="G916" s="761"/>
      <c r="H916" s="761"/>
      <c r="I916" s="761"/>
      <c r="J916" s="761"/>
      <c r="K916" s="677"/>
    </row>
    <row r="917" s="667" customFormat="1" ht="24.95" customHeight="1" spans="1:11">
      <c r="A917" s="711"/>
      <c r="B917" s="762" t="s">
        <v>431</v>
      </c>
      <c r="C917" s="763"/>
      <c r="D917" s="763"/>
      <c r="E917" s="763"/>
      <c r="F917" s="763"/>
      <c r="G917" s="763"/>
      <c r="H917" s="763"/>
      <c r="I917" s="763"/>
      <c r="J917" s="764"/>
      <c r="K917" s="713"/>
    </row>
    <row r="918" spans="1:11">
      <c r="A918" s="675"/>
      <c r="B918" s="765"/>
      <c r="C918" s="686"/>
      <c r="D918" s="686"/>
      <c r="E918" s="686"/>
      <c r="F918" s="686"/>
      <c r="G918" s="686"/>
      <c r="H918" s="686"/>
      <c r="I918" s="686"/>
      <c r="J918" s="766"/>
      <c r="K918" s="677"/>
    </row>
    <row r="919" spans="1:11">
      <c r="A919" s="675"/>
      <c r="B919" s="765"/>
      <c r="C919" s="686"/>
      <c r="D919" s="686"/>
      <c r="E919" s="686"/>
      <c r="F919" s="686"/>
      <c r="G919" s="686"/>
      <c r="H919" s="686"/>
      <c r="I919" s="686"/>
      <c r="J919" s="766"/>
      <c r="K919" s="677"/>
    </row>
    <row r="920" spans="1:11">
      <c r="A920" s="675"/>
      <c r="B920" s="765"/>
      <c r="C920" s="686"/>
      <c r="D920" s="686"/>
      <c r="E920" s="686"/>
      <c r="F920" s="686"/>
      <c r="G920" s="686"/>
      <c r="H920" s="686"/>
      <c r="I920" s="686"/>
      <c r="J920" s="766"/>
      <c r="K920" s="677"/>
    </row>
    <row r="921" spans="1:11">
      <c r="A921" s="675"/>
      <c r="B921" s="765"/>
      <c r="C921" s="686"/>
      <c r="D921" s="686"/>
      <c r="E921" s="686"/>
      <c r="F921" s="686"/>
      <c r="G921" s="686"/>
      <c r="H921" s="686"/>
      <c r="I921" s="686"/>
      <c r="J921" s="766"/>
      <c r="K921" s="677"/>
    </row>
    <row r="922" spans="1:11">
      <c r="A922" s="675"/>
      <c r="B922" s="765"/>
      <c r="C922" s="686"/>
      <c r="D922" s="686"/>
      <c r="E922" s="686"/>
      <c r="F922" s="686"/>
      <c r="G922" s="686"/>
      <c r="H922" s="686"/>
      <c r="I922" s="686"/>
      <c r="J922" s="766"/>
      <c r="K922" s="677"/>
    </row>
    <row r="923" spans="1:11">
      <c r="A923" s="675"/>
      <c r="B923" s="765"/>
      <c r="C923" s="686"/>
      <c r="D923" s="686"/>
      <c r="E923" s="686"/>
      <c r="F923" s="686"/>
      <c r="G923" s="686"/>
      <c r="H923" s="686"/>
      <c r="I923" s="686"/>
      <c r="J923" s="766"/>
      <c r="K923" s="677"/>
    </row>
    <row r="924" spans="1:11">
      <c r="A924" s="675"/>
      <c r="B924" s="765"/>
      <c r="C924" s="686"/>
      <c r="D924" s="686"/>
      <c r="E924" s="686"/>
      <c r="F924" s="686"/>
      <c r="G924" s="686"/>
      <c r="H924" s="686"/>
      <c r="I924" s="686"/>
      <c r="J924" s="766"/>
      <c r="K924" s="677"/>
    </row>
    <row r="925" spans="1:11">
      <c r="A925" s="675"/>
      <c r="B925" s="765"/>
      <c r="C925" s="686"/>
      <c r="D925" s="686"/>
      <c r="E925" s="686"/>
      <c r="F925" s="686"/>
      <c r="G925" s="686"/>
      <c r="H925" s="686"/>
      <c r="I925" s="686"/>
      <c r="J925" s="766"/>
      <c r="K925" s="677"/>
    </row>
    <row r="926" spans="1:11">
      <c r="A926" s="675"/>
      <c r="B926" s="765"/>
      <c r="C926" s="686"/>
      <c r="D926" s="686"/>
      <c r="E926" s="686"/>
      <c r="F926" s="686"/>
      <c r="G926" s="686"/>
      <c r="H926" s="686"/>
      <c r="I926" s="686"/>
      <c r="J926" s="766"/>
      <c r="K926" s="677"/>
    </row>
    <row r="927" spans="1:11">
      <c r="A927" s="675"/>
      <c r="B927" s="767"/>
      <c r="C927" s="768"/>
      <c r="D927" s="768"/>
      <c r="E927" s="768"/>
      <c r="F927" s="768"/>
      <c r="G927" s="768"/>
      <c r="H927" s="768"/>
      <c r="I927" s="768"/>
      <c r="J927" s="769"/>
      <c r="K927" s="677"/>
    </row>
    <row r="928" ht="5.1" customHeight="1" spans="1:11">
      <c r="A928" s="675"/>
      <c r="B928" s="686"/>
      <c r="C928" s="686"/>
      <c r="D928" s="686"/>
      <c r="E928" s="686"/>
      <c r="F928" s="686"/>
      <c r="G928" s="686"/>
      <c r="H928" s="686"/>
      <c r="I928" s="686"/>
      <c r="J928" s="686"/>
      <c r="K928" s="677"/>
    </row>
    <row r="929" spans="1:11">
      <c r="A929" s="675"/>
      <c r="B929" s="770" t="s">
        <v>432</v>
      </c>
      <c r="C929" s="770"/>
      <c r="D929" s="770"/>
      <c r="E929" s="770"/>
      <c r="F929" s="770"/>
      <c r="G929" s="770"/>
      <c r="H929" s="770"/>
      <c r="I929" s="770"/>
      <c r="J929" s="770"/>
      <c r="K929" s="677"/>
    </row>
    <row r="930" spans="1:11">
      <c r="A930" s="675"/>
      <c r="B930" s="771"/>
      <c r="C930" s="771"/>
      <c r="D930" s="771"/>
      <c r="E930" s="771"/>
      <c r="F930" s="771"/>
      <c r="G930" s="771"/>
      <c r="H930" s="771"/>
      <c r="I930" s="771"/>
      <c r="J930" s="771"/>
      <c r="K930" s="677"/>
    </row>
    <row r="931" spans="1:11">
      <c r="A931" s="675"/>
      <c r="B931" s="771"/>
      <c r="C931" s="771"/>
      <c r="D931" s="771"/>
      <c r="E931" s="771"/>
      <c r="F931" s="771"/>
      <c r="G931" s="771"/>
      <c r="H931" s="771"/>
      <c r="I931" s="771"/>
      <c r="J931" s="771"/>
      <c r="K931" s="677"/>
    </row>
    <row r="932" spans="1:11">
      <c r="A932" s="675"/>
      <c r="B932" s="771"/>
      <c r="C932" s="771"/>
      <c r="D932" s="771"/>
      <c r="E932" s="771"/>
      <c r="F932" s="771"/>
      <c r="G932" s="771"/>
      <c r="H932" s="771"/>
      <c r="I932" s="771"/>
      <c r="J932" s="771"/>
      <c r="K932" s="677"/>
    </row>
    <row r="933" spans="1:11">
      <c r="A933" s="675"/>
      <c r="B933" s="686"/>
      <c r="C933" s="686"/>
      <c r="D933" s="686"/>
      <c r="E933" s="686"/>
      <c r="F933" s="686"/>
      <c r="G933" s="686"/>
      <c r="H933" s="686"/>
      <c r="I933" s="686"/>
      <c r="J933" s="686"/>
      <c r="K933" s="677"/>
    </row>
    <row r="934" spans="1:11">
      <c r="A934" s="675"/>
      <c r="B934" s="686"/>
      <c r="C934" s="729" t="s">
        <v>433</v>
      </c>
      <c r="D934" s="729"/>
      <c r="E934" s="686"/>
      <c r="F934" s="686"/>
      <c r="G934" s="729" t="s">
        <v>434</v>
      </c>
      <c r="H934" s="729"/>
      <c r="I934" s="729"/>
      <c r="J934" s="729"/>
      <c r="K934" s="677"/>
    </row>
    <row r="935" ht="16.35" spans="1:11">
      <c r="A935" s="725"/>
      <c r="B935" s="726"/>
      <c r="C935" s="732" t="str">
        <f>"("&amp;PROPER(ENTRY!$D$19)&amp;")"</f>
        <v>(Indrajeet)</v>
      </c>
      <c r="D935" s="732"/>
      <c r="E935" s="726"/>
      <c r="F935" s="726"/>
      <c r="G935" s="732" t="str">
        <f>"("&amp;PROPER(ENTRY!$D$12)&amp;")"</f>
        <v>(Shambhu Dayal Meena)</v>
      </c>
      <c r="H935" s="732"/>
      <c r="I935" s="732"/>
      <c r="J935" s="732"/>
      <c r="K935" s="728"/>
    </row>
    <row r="936" ht="24.6" spans="1:11">
      <c r="B936" s="734"/>
      <c r="C936" s="734"/>
      <c r="D936" s="669" t="str">
        <f>ENTRY!$D$3</f>
        <v>MUNICIPAL CORPORATION OF DELHI</v>
      </c>
      <c r="E936" s="669"/>
      <c r="F936" s="669"/>
      <c r="G936" s="669"/>
      <c r="H936" s="734"/>
      <c r="I936" s="669"/>
      <c r="J936" s="669"/>
    </row>
    <row r="937" ht="20.4" spans="1:11">
      <c r="B937" s="735"/>
      <c r="C937" s="735"/>
      <c r="D937" s="670" t="str">
        <f>ENTRY!$D$4</f>
        <v>EDUCATION DEPARTMENT</v>
      </c>
      <c r="E937" s="670"/>
      <c r="F937" s="670"/>
      <c r="G937" s="670"/>
      <c r="H937" s="735"/>
      <c r="I937" s="669"/>
      <c r="J937" s="669"/>
    </row>
    <row r="938" ht="22.8" spans="1:11">
      <c r="B938" s="736"/>
      <c r="C938" s="736"/>
      <c r="D938" s="664" t="s">
        <v>417</v>
      </c>
      <c r="E938" s="664"/>
      <c r="F938" s="664"/>
      <c r="G938" s="664"/>
      <c r="H938" s="736"/>
      <c r="I938" s="669"/>
      <c r="J938" s="669"/>
    </row>
    <row r="939" ht="22.8" spans="1:11">
      <c r="B939" s="736"/>
      <c r="C939" s="736"/>
      <c r="D939" s="664" t="s">
        <v>418</v>
      </c>
      <c r="E939" s="664"/>
      <c r="F939" s="664"/>
      <c r="G939" s="664"/>
      <c r="H939" s="736"/>
      <c r="I939" s="669"/>
      <c r="J939" s="669"/>
    </row>
    <row r="940" ht="24.95" customHeight="1" spans="1:11">
      <c r="B940" s="735"/>
      <c r="C940" s="735"/>
      <c r="D940" s="737" t="str">
        <f>"SESSION : "&amp;ENTRY!$D$11</f>
        <v>SESSION : 2026-27</v>
      </c>
      <c r="E940" s="737"/>
      <c r="F940" s="737"/>
      <c r="G940" s="737"/>
      <c r="H940" s="735"/>
      <c r="I940" s="738"/>
      <c r="J940" s="738"/>
    </row>
    <row r="941" ht="3.75" customHeight="1" spans="1:11">
      <c r="A941" s="672"/>
      <c r="B941" s="739"/>
      <c r="C941" s="739"/>
      <c r="D941" s="739"/>
      <c r="E941" s="739"/>
      <c r="F941" s="739"/>
      <c r="G941" s="739"/>
      <c r="H941" s="739"/>
      <c r="I941" s="739"/>
      <c r="J941" s="739"/>
      <c r="K941" s="674"/>
    </row>
    <row r="942" ht="21.95" customHeight="1" spans="1:11">
      <c r="A942" s="675"/>
      <c r="B942" s="676" t="s">
        <v>419</v>
      </c>
      <c r="C942" s="676"/>
      <c r="D942" s="676" t="str">
        <f>ENTRY!$D$6</f>
        <v>MCP NITHARI NO 1 BOYS</v>
      </c>
      <c r="E942" s="676"/>
      <c r="F942" s="676"/>
      <c r="G942" s="676"/>
      <c r="H942" s="676"/>
      <c r="I942" s="676"/>
      <c r="J942" s="676"/>
      <c r="K942" s="677"/>
    </row>
    <row r="943" ht="21.95" customHeight="1" spans="1:11">
      <c r="A943" s="675"/>
      <c r="B943" s="676" t="s">
        <v>420</v>
      </c>
      <c r="C943" s="676"/>
      <c r="D943" s="740" t="str">
        <f>IFERROR(VLOOKUP($I$946,STUDENT!$A$2:$BP$101,5,0),"")</f>
        <v>SAURAV KUMAR</v>
      </c>
      <c r="E943" s="740"/>
      <c r="F943" s="740"/>
      <c r="G943" s="740"/>
      <c r="H943" s="740"/>
      <c r="I943" s="740"/>
      <c r="J943" s="740"/>
      <c r="K943" s="677"/>
    </row>
    <row r="944" ht="21.95" customHeight="1" spans="1:11">
      <c r="A944" s="675"/>
      <c r="B944" s="676" t="s">
        <v>421</v>
      </c>
      <c r="C944" s="676"/>
      <c r="D944" s="740" t="str">
        <f>IFERROR(VLOOKUP($I$946,STUDENT!$A$2:$BP$101,8,0),"")</f>
        <v>HARINDER YADAV</v>
      </c>
      <c r="E944" s="740"/>
      <c r="F944" s="740"/>
      <c r="G944" s="740"/>
      <c r="H944" s="740"/>
      <c r="I944" s="740"/>
      <c r="J944" s="740"/>
      <c r="K944" s="677"/>
    </row>
    <row r="945" ht="21.95" customHeight="1" spans="1:11">
      <c r="A945" s="675"/>
      <c r="B945" s="676" t="s">
        <v>422</v>
      </c>
      <c r="C945" s="676"/>
      <c r="D945" s="740">
        <f>IFERROR(VLOOKUP($I$946,STUDENT!$A$2:$BP$101,6,0),"")</f>
        <v>14756</v>
      </c>
      <c r="E945" s="740"/>
      <c r="F945" s="740"/>
      <c r="G945" s="740"/>
      <c r="H945" s="740"/>
      <c r="I945" s="740"/>
      <c r="J945" s="740"/>
      <c r="K945" s="677"/>
    </row>
    <row r="946" ht="21.95" customHeight="1" spans="1:11">
      <c r="A946" s="675"/>
      <c r="B946" s="676" t="s">
        <v>423</v>
      </c>
      <c r="C946" s="676"/>
      <c r="D946" s="741" t="str">
        <f>IFERROR(VLOOKUP($I$946,STUDENT!$A$2:$BP$101,59,0),"")</f>
        <v/>
      </c>
      <c r="E946" s="742" t="s">
        <v>424</v>
      </c>
      <c r="F946" s="704" t="str">
        <f>IFERROR(VLOOKUP($I$946,STUDENT!$A$2:$BP$101,2,0),"")</f>
        <v>III-A</v>
      </c>
      <c r="G946" s="742" t="s">
        <v>425</v>
      </c>
      <c r="H946" s="743"/>
      <c r="I946" s="733">
        <f>I891+1</f>
        <v>18</v>
      </c>
      <c r="J946" s="683"/>
      <c r="K946" s="677"/>
    </row>
    <row r="947" ht="5.1" customHeight="1" spans="1:11">
      <c r="A947" s="675"/>
      <c r="B947" s="745"/>
      <c r="C947" s="745"/>
      <c r="D947" s="746"/>
      <c r="E947" s="747"/>
      <c r="F947" s="748"/>
      <c r="G947" s="747"/>
      <c r="H947" s="686"/>
      <c r="I947" s="686"/>
      <c r="J947" s="686"/>
      <c r="K947" s="677"/>
    </row>
    <row r="948" s="664" customFormat="1" ht="32.1" customHeight="1" spans="1:11">
      <c r="A948" s="688"/>
      <c r="B948" s="749" t="s">
        <v>426</v>
      </c>
      <c r="C948" s="750"/>
      <c r="D948" s="750"/>
      <c r="E948" s="750"/>
      <c r="F948" s="750"/>
      <c r="G948" s="750"/>
      <c r="H948" s="750"/>
      <c r="I948" s="750"/>
      <c r="J948" s="751"/>
      <c r="K948" s="690"/>
    </row>
    <row r="949" ht="51.6" spans="1:11">
      <c r="A949" s="675"/>
      <c r="B949" s="752">
        <v>21</v>
      </c>
      <c r="C949" s="753" t="s">
        <v>427</v>
      </c>
      <c r="D949" s="754" t="s">
        <v>428</v>
      </c>
      <c r="E949" s="754" t="s">
        <v>429</v>
      </c>
      <c r="F949" s="754" t="s">
        <v>430</v>
      </c>
      <c r="G949" s="753" t="s">
        <v>390</v>
      </c>
      <c r="H949" s="714"/>
      <c r="I949" s="714"/>
      <c r="J949" s="714"/>
      <c r="K949" s="677"/>
    </row>
    <row r="950" ht="20.1" customHeight="1" spans="1:11">
      <c r="A950" s="675"/>
      <c r="B950" s="755">
        <v>1</v>
      </c>
      <c r="C950" s="755" t="str">
        <f>IFERROR(VLOOKUP(B950,DATEWISE!$A$3:$BY$27,2,0),0)</f>
        <v>30.04.2026</v>
      </c>
      <c r="D950" s="755">
        <f>IF($C$950=0,NA(),VLOOKUP($I$946&amp;$B$950,FLNFIX!$L$4:$EF$103,2,0))</f>
        <v>2</v>
      </c>
      <c r="E950" s="755">
        <f>IF($C$950=0,NA(),VLOOKUP($I$946&amp;$B$950,FLNFIX!$L$4:$EF$103,4,0))</f>
        <v>4</v>
      </c>
      <c r="F950" s="755">
        <f>IF($C$950=0,NA(),VLOOKUP($I$946&amp;$B$950,FLNFIX!$L$4:$EF$103,3,0))</f>
        <v>2</v>
      </c>
      <c r="G950" s="756">
        <f>IF($C$950=0,NA(),VLOOKUP($I$946&amp;$B$950,FLNFIX!$L$4:$EF$103,5,0))</f>
        <v>0</v>
      </c>
      <c r="H950" s="757"/>
      <c r="I950" s="757"/>
      <c r="J950" s="758"/>
      <c r="K950" s="677"/>
    </row>
    <row r="951" ht="20.1" customHeight="1" spans="1:11">
      <c r="A951" s="675"/>
      <c r="B951" s="755">
        <f t="shared" ref="B951:B970" si="17">IF(B950=0,0,IF(B950&lt;$B$949,B950+1,""))</f>
        <v>2</v>
      </c>
      <c r="C951" s="755" t="str">
        <f>IFERROR(VLOOKUP(B951,DATEWISE!$A$3:$BY$27,2,0),0)</f>
        <v>08.05.2026</v>
      </c>
      <c r="D951" s="755">
        <f>IF($C$951=0,NA(),VLOOKUP($I$946&amp;$B$951,FLNFIX!$Q$4:$EF$103,2,0))</f>
        <v>2</v>
      </c>
      <c r="E951" s="755">
        <f>IF($C$951=0,NA(),VLOOKUP($I$946&amp;$B$951,FLNFIX!$Q$4:$EF$103,4,0))</f>
        <v>4</v>
      </c>
      <c r="F951" s="755">
        <f>IF($C$951=0,NA(),VLOOKUP($I$946&amp;$B$951,FLNFIX!$Q$4:$EF$103,3,0))</f>
        <v>2</v>
      </c>
      <c r="G951" s="756">
        <f>IF($C$951=0,NA(),VLOOKUP($I$946&amp;$B$951,FLNFIX!$Q$4:$EF$103,5,0))</f>
        <v>0</v>
      </c>
      <c r="H951" s="757"/>
      <c r="I951" s="757"/>
      <c r="J951" s="758"/>
      <c r="K951" s="677"/>
    </row>
    <row r="952" ht="20.1" customHeight="1" spans="1:11">
      <c r="A952" s="675"/>
      <c r="B952" s="755">
        <f t="shared" si="17"/>
        <v>3</v>
      </c>
      <c r="C952" s="755" t="str">
        <f>IFERROR(VLOOKUP(B952,DATEWISE!$A$3:$BY$27,2,0),0)</f>
        <v>15.07.2026</v>
      </c>
      <c r="D952" s="755">
        <f>IF($C$952=0,NA(),VLOOKUP($I$946&amp;$B$952,FLNFIX!$V$4:$EF$103,2,0))</f>
        <v>2</v>
      </c>
      <c r="E952" s="755">
        <f>IF($C$952=0,NA(),VLOOKUP($I$946&amp;$B$952,FLNFIX!$V$4:$EF$103,4,0))</f>
        <v>4</v>
      </c>
      <c r="F952" s="755">
        <f>IF($C$952=0,NA(),VLOOKUP($I$946&amp;$B$952,FLNFIX!$V$4:$EF$103,3,0))</f>
        <v>2</v>
      </c>
      <c r="G952" s="756">
        <f>IF($C$952=0,NA(),VLOOKUP($I$946&amp;$B$952,FLNFIX!$V$4:$EF$103,5,0))</f>
        <v>0</v>
      </c>
      <c r="H952" s="757"/>
      <c r="I952" s="757"/>
      <c r="J952" s="758"/>
      <c r="K952" s="677"/>
    </row>
    <row r="953" ht="20.1" customHeight="1" spans="1:11">
      <c r="A953" s="675"/>
      <c r="B953" s="755">
        <f t="shared" si="17"/>
        <v>4</v>
      </c>
      <c r="C953" s="755" t="str">
        <f>IFERROR(VLOOKUP(B953,DATEWISE!$A$3:$BY$27,2,0),0)</f>
        <v>31.07.2026</v>
      </c>
      <c r="D953" s="755">
        <f>IF($C$953=0,NA(),VLOOKUP($I$946&amp;$B$953,FLNFIX!$AA$4:$EF$103,2,0))</f>
        <v>2</v>
      </c>
      <c r="E953" s="755">
        <f>IF($C$953=0,NA(),VLOOKUP($I$946&amp;$B$953,FLNFIX!$AA$4:$EF$103,4,0))</f>
        <v>4</v>
      </c>
      <c r="F953" s="755">
        <f>IF($C$953=0,NA(),VLOOKUP($I$946&amp;$B$953,FLNFIX!$AA$4:$EF$103,3,0))</f>
        <v>2</v>
      </c>
      <c r="G953" s="756">
        <f>IF($C$953=0,NA(),VLOOKUP($I$946&amp;$B$953,FLNFIX!$AA$4:$EF$103,5,0))</f>
        <v>0</v>
      </c>
      <c r="H953" s="757"/>
      <c r="I953" s="757"/>
      <c r="J953" s="758"/>
      <c r="K953" s="677"/>
    </row>
    <row r="954" ht="20.1" customHeight="1" spans="1:11">
      <c r="A954" s="675"/>
      <c r="B954" s="755">
        <f t="shared" si="17"/>
        <v>5</v>
      </c>
      <c r="C954" s="755" t="str">
        <f>IFERROR(VLOOKUP(B954,DATEWISE!$A$3:$BY$27,2,0),0)</f>
        <v>17.08.2026</v>
      </c>
      <c r="D954" s="755">
        <f>IF($C$954=0,NA(),VLOOKUP($I$946&amp;$B$954,FLNFIX!$AF$4:$EF$103,2,0))</f>
        <v>2</v>
      </c>
      <c r="E954" s="755">
        <f>IF($C$954=0,NA(),VLOOKUP($I$946&amp;$B$954,FLNFIX!$AF$4:$EF$103,4,0))</f>
        <v>4</v>
      </c>
      <c r="F954" s="755">
        <f>IF($C$954=0,NA(),VLOOKUP($I$946&amp;$B$954,FLNFIX!$AF$4:$EF$103,3,0))</f>
        <v>2</v>
      </c>
      <c r="G954" s="756">
        <f>IF($C$954=0,NA(),VLOOKUP($I$946&amp;$B$954,FLNFIX!$AF$4:$EF$103,5,0))</f>
        <v>0</v>
      </c>
      <c r="H954" s="757"/>
      <c r="I954" s="757"/>
      <c r="J954" s="758"/>
      <c r="K954" s="677"/>
    </row>
    <row r="955" ht="20.1" customHeight="1" spans="1:11">
      <c r="A955" s="675"/>
      <c r="B955" s="755">
        <f t="shared" si="17"/>
        <v>6</v>
      </c>
      <c r="C955" s="755" t="str">
        <f>IFERROR(VLOOKUP(B955,DATEWISE!$A$3:$BY$27,2,0),0)</f>
        <v>31.08.2026</v>
      </c>
      <c r="D955" s="755">
        <f>IF($C$955=0,NA(),VLOOKUP($I$946&amp;$B$955,FLNFIX!$AK$4:$EF$103,2,0))</f>
        <v>3</v>
      </c>
      <c r="E955" s="755">
        <f>IF($C$955=0,NA(),VLOOKUP($I$946&amp;$B$955,FLNFIX!$AK$4:$EF$103,4,0))</f>
        <v>4</v>
      </c>
      <c r="F955" s="755">
        <f>IF($C$955=0,NA(),VLOOKUP($I$946&amp;$B$955,FLNFIX!$AK$4:$EF$103,3,0))</f>
        <v>2</v>
      </c>
      <c r="G955" s="756">
        <f>IF($C$955=0,NA(),VLOOKUP($I$946&amp;$B$955,FLNFIX!$AK$4:$EF$103,5,0))</f>
        <v>0</v>
      </c>
      <c r="H955" s="757"/>
      <c r="I955" s="757"/>
      <c r="J955" s="758"/>
      <c r="K955" s="677"/>
    </row>
    <row r="956" ht="20.1" customHeight="1" spans="1:11">
      <c r="A956" s="675"/>
      <c r="B956" s="755">
        <f t="shared" si="17"/>
        <v>7</v>
      </c>
      <c r="C956" s="755">
        <f>IFERROR(VLOOKUP(B956,DATEWISE!$A$3:$BY$27,2,0),0)</f>
        <v>0</v>
      </c>
      <c r="D956" s="755" t="e">
        <f>IF($C$956=0,NA(),VLOOKUP($I$946&amp;$B$956,FLNFIX!$AP$4:$EF$103,2,0))</f>
        <v>#N/A</v>
      </c>
      <c r="E956" s="755" t="e">
        <f>IF($C$956=0,NA(),VLOOKUP($I$946&amp;$B$956,FLNFIX!$AP$4:$EF$103,4,0))</f>
        <v>#N/A</v>
      </c>
      <c r="F956" s="755" t="e">
        <f>IF($C$956=0,NA(),VLOOKUP($I$946&amp;$B$956,FLNFIX!$AP$4:$EF$103,3,0))</f>
        <v>#N/A</v>
      </c>
      <c r="G956" s="756" t="e">
        <f>IF($C$956=0,NA(),VLOOKUP($I$946&amp;$B$956,FLNFIX!$AP$4:$EF$103,5,0))</f>
        <v>#N/A</v>
      </c>
      <c r="H956" s="757"/>
      <c r="I956" s="757"/>
      <c r="J956" s="758"/>
      <c r="K956" s="677"/>
    </row>
    <row r="957" ht="20.1" customHeight="1" spans="1:11">
      <c r="A957" s="675"/>
      <c r="B957" s="755">
        <f t="shared" si="17"/>
        <v>8</v>
      </c>
      <c r="C957" s="755">
        <f>IFERROR(VLOOKUP(B957,DATEWISE!$A$3:$BY$27,2,0),0)</f>
        <v>0</v>
      </c>
      <c r="D957" s="755" t="e">
        <f>IF($C$957=0,NA(),VLOOKUP($I$946&amp;$B$957,FLNFIX!$AU$4:$EF$103,2,0))</f>
        <v>#N/A</v>
      </c>
      <c r="E957" s="755" t="e">
        <f>IF($C$957=0,NA(),VLOOKUP($I$946&amp;$B$957,FLNFIX!$AU$4:$EF$103,4,0))</f>
        <v>#N/A</v>
      </c>
      <c r="F957" s="755" t="e">
        <f>IF($C$957=0,NA(),VLOOKUP($I$946&amp;$B$957,FLNFIX!$AU$4:$EF$103,3,0))</f>
        <v>#N/A</v>
      </c>
      <c r="G957" s="756" t="e">
        <f>IF($C$957=0,NA(),VLOOKUP($I$946&amp;$B$957,FLNFIX!$AU$4:$EF$103,5,0))</f>
        <v>#N/A</v>
      </c>
      <c r="H957" s="757"/>
      <c r="I957" s="757"/>
      <c r="J957" s="758"/>
      <c r="K957" s="677"/>
    </row>
    <row r="958" ht="20.1" customHeight="1" spans="1:11">
      <c r="A958" s="675"/>
      <c r="B958" s="755">
        <f t="shared" si="17"/>
        <v>9</v>
      </c>
      <c r="C958" s="755">
        <f>IFERROR(VLOOKUP(B958,DATEWISE!$A$3:$BY$27,2,0),0)</f>
        <v>0</v>
      </c>
      <c r="D958" s="755" t="e">
        <f>IF($C$958=0,NA(),VLOOKUP($I$946&amp;$B$958,FLNFIX!$AZ$4:$EF$103,2,0))</f>
        <v>#N/A</v>
      </c>
      <c r="E958" s="755" t="e">
        <f>IF($C$958=0,NA(),VLOOKUP($I$946&amp;$B$958,FLNFIX!$AZ$4:$EF$103,4,0))</f>
        <v>#N/A</v>
      </c>
      <c r="F958" s="755" t="e">
        <f>IF($C$958=0,NA(),VLOOKUP($I$946&amp;$B$958,FLNFIX!$AZ$4:$EF$103,3,0))</f>
        <v>#N/A</v>
      </c>
      <c r="G958" s="756" t="e">
        <f>IF($C$958=0,NA(),VLOOKUP($I$946&amp;$B$958,FLNFIX!$AZ$4:$EF$103,5,0))</f>
        <v>#N/A</v>
      </c>
      <c r="H958" s="757"/>
      <c r="I958" s="757"/>
      <c r="J958" s="758"/>
      <c r="K958" s="677"/>
    </row>
    <row r="959" ht="20.1" customHeight="1" spans="1:11">
      <c r="A959" s="675"/>
      <c r="B959" s="755">
        <f t="shared" si="17"/>
        <v>10</v>
      </c>
      <c r="C959" s="755">
        <f>IFERROR(VLOOKUP(B959,DATEWISE!$A$3:$BY$27,2,0),0)</f>
        <v>0</v>
      </c>
      <c r="D959" s="755" t="e">
        <f>IF($C$959=0,NA(),VLOOKUP($I$946&amp;$B$959,FLNFIX!$BE$4:$EF$103,2,0))</f>
        <v>#N/A</v>
      </c>
      <c r="E959" s="755" t="e">
        <f>IF($C$959=0,NA(),VLOOKUP($I$946&amp;$B$959,FLNFIX!$BE$4:$EF$103,4,0))</f>
        <v>#N/A</v>
      </c>
      <c r="F959" s="755" t="e">
        <f>IF($C$959=0,NA(),VLOOKUP($I$946&amp;$B$959,FLNFIX!$BE$4:$EF$103,3,0))</f>
        <v>#N/A</v>
      </c>
      <c r="G959" s="756" t="e">
        <f>IF($C$959=0,NA(),VLOOKUP($I$946&amp;$B$959,FLNFIX!$BE$4:$EF$103,5,0))</f>
        <v>#N/A</v>
      </c>
      <c r="H959" s="757"/>
      <c r="I959" s="757"/>
      <c r="J959" s="758"/>
      <c r="K959" s="677"/>
    </row>
    <row r="960" ht="20.1" customHeight="1" spans="1:11">
      <c r="A960" s="675"/>
      <c r="B960" s="755">
        <f t="shared" si="17"/>
        <v>11</v>
      </c>
      <c r="C960" s="755">
        <f>IFERROR(VLOOKUP(B960,DATEWISE!$A$3:$BY$27,2,0),0)</f>
        <v>0</v>
      </c>
      <c r="D960" s="755" t="e">
        <f>IF($C$960=0,NA(),VLOOKUP($I$946&amp;$B$960,FLNFIX!$BJ$4:$EF$103,2,0))</f>
        <v>#N/A</v>
      </c>
      <c r="E960" s="755" t="e">
        <f>IF($C$960=0,NA(),VLOOKUP($I$946&amp;$B$960,FLNFIX!$BJ$4:$EF$103,4,0))</f>
        <v>#N/A</v>
      </c>
      <c r="F960" s="755" t="e">
        <f>IF($C$960=0,NA(),VLOOKUP($I$946&amp;$B$960,FLNFIX!$BJ$4:$EF$103,3,0))</f>
        <v>#N/A</v>
      </c>
      <c r="G960" s="756" t="e">
        <f>IF($C$960=0,NA(),VLOOKUP($I$946&amp;$B$960,FLNFIX!$BJ$4:$EF$103,5,0))</f>
        <v>#N/A</v>
      </c>
      <c r="H960" s="757"/>
      <c r="I960" s="757"/>
      <c r="J960" s="758"/>
      <c r="K960" s="677"/>
    </row>
    <row r="961" ht="20.1" customHeight="1" spans="1:11">
      <c r="A961" s="675"/>
      <c r="B961" s="755">
        <f t="shared" si="17"/>
        <v>12</v>
      </c>
      <c r="C961" s="755">
        <f>IFERROR(VLOOKUP(B961,DATEWISE!$A$3:$BY$27,2,0),0)</f>
        <v>0</v>
      </c>
      <c r="D961" s="755" t="e">
        <f>IF($C$961=0,NA(),VLOOKUP($I$946&amp;$B$961,FLNFIX!$BO$4:$EF$103,2,0))</f>
        <v>#N/A</v>
      </c>
      <c r="E961" s="755" t="e">
        <f>IF($C$961=0,NA(),VLOOKUP($I$946&amp;$B$961,FLNFIX!$BO$4:$EF$103,4,0))</f>
        <v>#N/A</v>
      </c>
      <c r="F961" s="755" t="e">
        <f>IF($C$961=0,NA(),VLOOKUP($I$946&amp;$B$961,FLNFIX!$BO$4:$EF$103,3,0))</f>
        <v>#N/A</v>
      </c>
      <c r="G961" s="756" t="e">
        <f>IF($C$961=0,NA(),VLOOKUP($I$946&amp;$B$961,FLNFIX!$BO$4:$EF$103,5,0))</f>
        <v>#N/A</v>
      </c>
      <c r="H961" s="757"/>
      <c r="I961" s="757"/>
      <c r="J961" s="758"/>
      <c r="K961" s="677"/>
    </row>
    <row r="962" ht="20.1" customHeight="1" spans="1:11">
      <c r="A962" s="675"/>
      <c r="B962" s="755">
        <f t="shared" si="17"/>
        <v>13</v>
      </c>
      <c r="C962" s="755">
        <f>IFERROR(VLOOKUP(B962,DATEWISE!$A$3:$BY$27,2,0),0)</f>
        <v>0</v>
      </c>
      <c r="D962" s="755" t="e">
        <f>IF($C$962=0,NA(),VLOOKUP($I$946&amp;$B$962,FLNFIX!$BT$4:$EF$103,2,0))</f>
        <v>#N/A</v>
      </c>
      <c r="E962" s="755" t="e">
        <f>IF($C$962=0,NA(),VLOOKUP($I$946&amp;$B$962,FLNFIX!$BT$4:$EF$103,4,0))</f>
        <v>#N/A</v>
      </c>
      <c r="F962" s="755" t="e">
        <f>IF($C$962=0,NA(),VLOOKUP($I$946&amp;$B$962,FLNFIX!$BT$4:$EF$103,3,0))</f>
        <v>#N/A</v>
      </c>
      <c r="G962" s="756" t="e">
        <f>IF($C$962=0,NA(),VLOOKUP($I$946&amp;$B$962,FLNFIX!$BT$4:$EF$103,5,0))</f>
        <v>#N/A</v>
      </c>
      <c r="H962" s="757"/>
      <c r="I962" s="757"/>
      <c r="J962" s="758"/>
      <c r="K962" s="677"/>
    </row>
    <row r="963" ht="20.1" customHeight="1" spans="1:11">
      <c r="A963" s="675"/>
      <c r="B963" s="755">
        <f t="shared" si="17"/>
        <v>14</v>
      </c>
      <c r="C963" s="755">
        <f>IFERROR(VLOOKUP(B963,DATEWISE!$A$3:$BY$27,2,0),0)</f>
        <v>0</v>
      </c>
      <c r="D963" s="755" t="e">
        <f>IF($C$963=0,NA(),VLOOKUP($I$946&amp;$B$963,FLNFIX!$BY$4:$EF$103,2,0))</f>
        <v>#N/A</v>
      </c>
      <c r="E963" s="755" t="e">
        <f>IF($C$963=0,NA(),VLOOKUP($I$946&amp;$B$963,FLNFIX!$BY$4:$EF$103,4,0))</f>
        <v>#N/A</v>
      </c>
      <c r="F963" s="755" t="e">
        <f>IF($C$963=0,NA(),VLOOKUP($I$946&amp;$B$963,FLNFIX!$BY$4:$EF$103,3,0))</f>
        <v>#N/A</v>
      </c>
      <c r="G963" s="756" t="e">
        <f>IF($C$963=0,NA(),VLOOKUP($I$946&amp;$B$963,FLNFIX!$BY$4:$EF$103,5,0))</f>
        <v>#N/A</v>
      </c>
      <c r="H963" s="757"/>
      <c r="I963" s="757"/>
      <c r="J963" s="758"/>
      <c r="K963" s="677"/>
    </row>
    <row r="964" ht="20.1" customHeight="1" spans="1:11">
      <c r="A964" s="675"/>
      <c r="B964" s="755">
        <f t="shared" si="17"/>
        <v>15</v>
      </c>
      <c r="C964" s="755">
        <f>IFERROR(VLOOKUP(B964,DATEWISE!$A$3:$BY$27,2,0),0)</f>
        <v>0</v>
      </c>
      <c r="D964" s="755" t="e">
        <f>IF($C$964=0,NA(),VLOOKUP($I$946&amp;$B$964,FLNFIX!$CD$4:$EF$103,2,0))</f>
        <v>#N/A</v>
      </c>
      <c r="E964" s="755" t="e">
        <f>IF($C$964=0,NA(),VLOOKUP($I$946&amp;$B$964,FLNFIX!$CD$4:$EF$103,4,0))</f>
        <v>#N/A</v>
      </c>
      <c r="F964" s="755" t="e">
        <f>IF($C$964=0,NA(),VLOOKUP($I$946&amp;$B$964,FLNFIX!$CD$4:$EF$103,3,0))</f>
        <v>#N/A</v>
      </c>
      <c r="G964" s="756" t="e">
        <f>IF($C$964=0,NA(),VLOOKUP($I$946&amp;$B$964,FLNFIX!$CD$4:$EF$103,5,0))</f>
        <v>#N/A</v>
      </c>
      <c r="H964" s="757"/>
      <c r="I964" s="757"/>
      <c r="J964" s="758"/>
      <c r="K964" s="677"/>
    </row>
    <row r="965" ht="20.1" customHeight="1" spans="1:11">
      <c r="A965" s="675"/>
      <c r="B965" s="755">
        <f t="shared" si="17"/>
        <v>16</v>
      </c>
      <c r="C965" s="755">
        <f>IFERROR(VLOOKUP(B965,DATEWISE!$A$3:$BY$27,2,0),0)</f>
        <v>0</v>
      </c>
      <c r="D965" s="755" t="e">
        <f>IF($C$965=0,NA(),VLOOKUP($I$946&amp;$B$965,FLNFIX!$CI$4:$EF$103,2,0))</f>
        <v>#N/A</v>
      </c>
      <c r="E965" s="755" t="e">
        <f>IF($C$965=0,NA(),VLOOKUP($I$946&amp;$B$965,FLNFIX!$CI$4:$EF$103,4,0))</f>
        <v>#N/A</v>
      </c>
      <c r="F965" s="755" t="e">
        <f>IF($C$965=0,NA(),VLOOKUP($I$946&amp;$B$965,FLNFIX!$CI$4:$EF$103,3,0))</f>
        <v>#N/A</v>
      </c>
      <c r="G965" s="756" t="e">
        <f>IF($C$965=0,NA(),VLOOKUP($I$946&amp;$B$965,FLNFIX!$CI$4:$EF$103,5,0))</f>
        <v>#N/A</v>
      </c>
      <c r="H965" s="757"/>
      <c r="I965" s="757"/>
      <c r="J965" s="758"/>
      <c r="K965" s="677"/>
    </row>
    <row r="966" ht="20.1" customHeight="1" spans="1:11">
      <c r="A966" s="675"/>
      <c r="B966" s="755">
        <f t="shared" si="17"/>
        <v>17</v>
      </c>
      <c r="C966" s="755">
        <f>IFERROR(VLOOKUP(B966,DATEWISE!$A$3:$BY$27,2,0),0)</f>
        <v>0</v>
      </c>
      <c r="D966" s="755" t="e">
        <f>IF($C$966=0,NA(),VLOOKUP($I$946&amp;$B$966,FLNFIX!$CN$4:$EF$103,2,0))</f>
        <v>#N/A</v>
      </c>
      <c r="E966" s="755" t="e">
        <f>IF($C$966=0,NA(),VLOOKUP($I$946&amp;$B$966,FLNFIX!$CN$4:$EF$103,4,0))</f>
        <v>#N/A</v>
      </c>
      <c r="F966" s="755" t="e">
        <f>IF($C$966=0,NA(),VLOOKUP($I$946&amp;$B$966,FLNFIX!$CN$4:$EF$103,3,0))</f>
        <v>#N/A</v>
      </c>
      <c r="G966" s="756" t="e">
        <f>IF($C$966=0,NA(),VLOOKUP($I$946&amp;$B$966,FLNFIX!$CN$4:$EF$103,5,0))</f>
        <v>#N/A</v>
      </c>
      <c r="H966" s="757"/>
      <c r="I966" s="757"/>
      <c r="J966" s="758"/>
      <c r="K966" s="677"/>
    </row>
    <row r="967" ht="20.1" customHeight="1" spans="1:11">
      <c r="A967" s="675"/>
      <c r="B967" s="755">
        <f t="shared" si="17"/>
        <v>18</v>
      </c>
      <c r="C967" s="755">
        <f>IFERROR(VLOOKUP(B967,DATEWISE!$A$3:$BY$27,2,0),0)</f>
        <v>0</v>
      </c>
      <c r="D967" s="755" t="e">
        <f>IF($C$967=0,NA(),VLOOKUP($I$946&amp;$B$967,FLNFIX!$CS$4:$EF$103,2,0))</f>
        <v>#N/A</v>
      </c>
      <c r="E967" s="755" t="e">
        <f>IF($C$967=0,NA(),VLOOKUP($I$946&amp;$B$967,FLNFIX!$CS$4:$EF$103,4,0))</f>
        <v>#N/A</v>
      </c>
      <c r="F967" s="755" t="e">
        <f>IF($C$967=0,NA(),VLOOKUP($I$946&amp;$B$967,FLNFIX!$CS$4:$EF$103,3,0))</f>
        <v>#N/A</v>
      </c>
      <c r="G967" s="756" t="e">
        <f>IF($C$967=0,NA(),VLOOKUP($I$946&amp;$B$967,FLNFIX!$CS$4:$EF$103,5,0))</f>
        <v>#N/A</v>
      </c>
      <c r="H967" s="757"/>
      <c r="I967" s="757"/>
      <c r="J967" s="758"/>
      <c r="K967" s="677"/>
    </row>
    <row r="968" ht="20.1" customHeight="1" spans="1:11">
      <c r="A968" s="675"/>
      <c r="B968" s="755">
        <f t="shared" si="17"/>
        <v>19</v>
      </c>
      <c r="C968" s="755">
        <f>IFERROR(VLOOKUP(B968,DATEWISE!$A$3:$BY$27,2,0),0)</f>
        <v>0</v>
      </c>
      <c r="D968" s="755" t="e">
        <f>IF($C$968=0,NA(),VLOOKUP($I$946&amp;$B$968,FLNFIX!$CX$4:$EF$103,2,0))</f>
        <v>#N/A</v>
      </c>
      <c r="E968" s="755" t="e">
        <f>IF($C$968=0,NA(),VLOOKUP($I$946&amp;$B$968,FLNFIX!$CX$4:$EF$103,4,0))</f>
        <v>#N/A</v>
      </c>
      <c r="F968" s="755" t="e">
        <f>IF($C$968=0,NA(),VLOOKUP($I$946&amp;$B$968,FLNFIX!$CX$4:$EF$103,3,0))</f>
        <v>#N/A</v>
      </c>
      <c r="G968" s="756" t="e">
        <f>IF($C$968=0,NA(),VLOOKUP($I$946&amp;$B$968,FLNFIX!$CX$4:$EF$103,5,0))</f>
        <v>#N/A</v>
      </c>
      <c r="H968" s="757"/>
      <c r="I968" s="757"/>
      <c r="J968" s="758"/>
      <c r="K968" s="677"/>
    </row>
    <row r="969" ht="20.1" customHeight="1" spans="1:11">
      <c r="A969" s="675"/>
      <c r="B969" s="755">
        <f t="shared" si="17"/>
        <v>20</v>
      </c>
      <c r="C969" s="755">
        <f>IFERROR(VLOOKUP(B969,DATEWISE!$A$3:$BY$27,2,0),0)</f>
        <v>0</v>
      </c>
      <c r="D969" s="755" t="e">
        <f>IF($C$969=0,NA(),VLOOKUP($I$946&amp;$B$969,FLNFIX!$DC$4:$EF$103,2,0))</f>
        <v>#N/A</v>
      </c>
      <c r="E969" s="755" t="e">
        <f>IF($C$969=0,NA(),VLOOKUP($I$946&amp;$B$969,FLNFIX!$DC$4:$EF$103,4,0))</f>
        <v>#N/A</v>
      </c>
      <c r="F969" s="755" t="e">
        <f>IF($C$969=0,NA(),VLOOKUP($I$946&amp;$B$969,FLNFIX!$DC$4:$EF$103,3,0))</f>
        <v>#N/A</v>
      </c>
      <c r="G969" s="756" t="e">
        <f>IF($C$969=0,NA(),VLOOKUP($I$946&amp;$B$969,FLNFIX!$DC$4:$EF$103,5,0))</f>
        <v>#N/A</v>
      </c>
      <c r="H969" s="757"/>
      <c r="I969" s="757"/>
      <c r="J969" s="758"/>
      <c r="K969" s="677"/>
    </row>
    <row r="970" ht="20.1" customHeight="1" spans="1:11">
      <c r="A970" s="675"/>
      <c r="B970" s="755">
        <f t="shared" si="17"/>
        <v>21</v>
      </c>
      <c r="C970" s="755">
        <f>IFERROR(VLOOKUP(B970,DATEWISE!$A$3:$BY$27,2,0),0)</f>
        <v>0</v>
      </c>
      <c r="D970" s="755" t="e">
        <f>IF($C$970=0,NA(),VLOOKUP($I$946&amp;$B$970,FLNFIX!$DH$4:$EF$103,2,0))</f>
        <v>#N/A</v>
      </c>
      <c r="E970" s="755" t="e">
        <f>IF($C$970=0,NA(),VLOOKUP($I$946&amp;$B$970,FLNFIX!$DH$4:$EF$103,4,0))</f>
        <v>#N/A</v>
      </c>
      <c r="F970" s="755" t="e">
        <f>IF($C$970=0,NA(),VLOOKUP($I$946&amp;$B$970,FLNFIX!$DH$4:$EF$103,3,0))</f>
        <v>#N/A</v>
      </c>
      <c r="G970" s="756" t="e">
        <f>IF($C$970=0,NA(),VLOOKUP($I$946&amp;$B$970,FLNFIX!$DH$4:$EF$103,5,0))</f>
        <v>#N/A</v>
      </c>
      <c r="H970" s="757"/>
      <c r="I970" s="757"/>
      <c r="J970" s="758"/>
      <c r="K970" s="677"/>
    </row>
    <row r="971" ht="5.1" customHeight="1" spans="1:11">
      <c r="A971" s="675"/>
      <c r="B971" s="759"/>
      <c r="C971" s="759"/>
      <c r="D971" s="760"/>
      <c r="E971" s="760"/>
      <c r="F971" s="760"/>
      <c r="G971" s="761"/>
      <c r="H971" s="761"/>
      <c r="I971" s="761"/>
      <c r="J971" s="761"/>
      <c r="K971" s="677"/>
    </row>
    <row r="972" s="667" customFormat="1" ht="24.95" customHeight="1" spans="1:11">
      <c r="A972" s="711"/>
      <c r="B972" s="762" t="s">
        <v>431</v>
      </c>
      <c r="C972" s="763"/>
      <c r="D972" s="763"/>
      <c r="E972" s="763"/>
      <c r="F972" s="763"/>
      <c r="G972" s="763"/>
      <c r="H972" s="763"/>
      <c r="I972" s="763"/>
      <c r="J972" s="764"/>
      <c r="K972" s="713"/>
    </row>
    <row r="973" spans="1:11">
      <c r="A973" s="675"/>
      <c r="B973" s="765"/>
      <c r="C973" s="686"/>
      <c r="D973" s="686"/>
      <c r="E973" s="686"/>
      <c r="F973" s="686"/>
      <c r="G973" s="686"/>
      <c r="H973" s="686"/>
      <c r="I973" s="686"/>
      <c r="J973" s="766"/>
      <c r="K973" s="677"/>
    </row>
    <row r="974" spans="1:11">
      <c r="A974" s="675"/>
      <c r="B974" s="765"/>
      <c r="C974" s="686"/>
      <c r="D974" s="686"/>
      <c r="E974" s="686"/>
      <c r="F974" s="686"/>
      <c r="G974" s="686"/>
      <c r="H974" s="686"/>
      <c r="I974" s="686"/>
      <c r="J974" s="766"/>
      <c r="K974" s="677"/>
    </row>
    <row r="975" spans="1:11">
      <c r="A975" s="675"/>
      <c r="B975" s="765"/>
      <c r="C975" s="686"/>
      <c r="D975" s="686"/>
      <c r="E975" s="686"/>
      <c r="F975" s="686"/>
      <c r="G975" s="686"/>
      <c r="H975" s="686"/>
      <c r="I975" s="686"/>
      <c r="J975" s="766"/>
      <c r="K975" s="677"/>
    </row>
    <row r="976" spans="1:11">
      <c r="A976" s="675"/>
      <c r="B976" s="765"/>
      <c r="C976" s="686"/>
      <c r="D976" s="686"/>
      <c r="E976" s="686"/>
      <c r="F976" s="686"/>
      <c r="G976" s="686"/>
      <c r="H976" s="686"/>
      <c r="I976" s="686"/>
      <c r="J976" s="766"/>
      <c r="K976" s="677"/>
    </row>
    <row r="977" spans="1:11">
      <c r="A977" s="675"/>
      <c r="B977" s="765"/>
      <c r="C977" s="686"/>
      <c r="D977" s="686"/>
      <c r="E977" s="686"/>
      <c r="F977" s="686"/>
      <c r="G977" s="686"/>
      <c r="H977" s="686"/>
      <c r="I977" s="686"/>
      <c r="J977" s="766"/>
      <c r="K977" s="677"/>
    </row>
    <row r="978" spans="1:11">
      <c r="A978" s="675"/>
      <c r="B978" s="765"/>
      <c r="C978" s="686"/>
      <c r="D978" s="686"/>
      <c r="E978" s="686"/>
      <c r="F978" s="686"/>
      <c r="G978" s="686"/>
      <c r="H978" s="686"/>
      <c r="I978" s="686"/>
      <c r="J978" s="766"/>
      <c r="K978" s="677"/>
    </row>
    <row r="979" spans="1:11">
      <c r="A979" s="675"/>
      <c r="B979" s="765"/>
      <c r="C979" s="686"/>
      <c r="D979" s="686"/>
      <c r="E979" s="686"/>
      <c r="F979" s="686"/>
      <c r="G979" s="686"/>
      <c r="H979" s="686"/>
      <c r="I979" s="686"/>
      <c r="J979" s="766"/>
      <c r="K979" s="677"/>
    </row>
    <row r="980" spans="1:11">
      <c r="A980" s="675"/>
      <c r="B980" s="765"/>
      <c r="C980" s="686"/>
      <c r="D980" s="686"/>
      <c r="E980" s="686"/>
      <c r="F980" s="686"/>
      <c r="G980" s="686"/>
      <c r="H980" s="686"/>
      <c r="I980" s="686"/>
      <c r="J980" s="766"/>
      <c r="K980" s="677"/>
    </row>
    <row r="981" spans="1:11">
      <c r="A981" s="675"/>
      <c r="B981" s="765"/>
      <c r="C981" s="686"/>
      <c r="D981" s="686"/>
      <c r="E981" s="686"/>
      <c r="F981" s="686"/>
      <c r="G981" s="686"/>
      <c r="H981" s="686"/>
      <c r="I981" s="686"/>
      <c r="J981" s="766"/>
      <c r="K981" s="677"/>
    </row>
    <row r="982" spans="1:11">
      <c r="A982" s="675"/>
      <c r="B982" s="767"/>
      <c r="C982" s="768"/>
      <c r="D982" s="768"/>
      <c r="E982" s="768"/>
      <c r="F982" s="768"/>
      <c r="G982" s="768"/>
      <c r="H982" s="768"/>
      <c r="I982" s="768"/>
      <c r="J982" s="769"/>
      <c r="K982" s="677"/>
    </row>
    <row r="983" ht="5.1" customHeight="1" spans="1:11">
      <c r="A983" s="675"/>
      <c r="B983" s="686"/>
      <c r="C983" s="686"/>
      <c r="D983" s="686"/>
      <c r="E983" s="686"/>
      <c r="F983" s="686"/>
      <c r="G983" s="686"/>
      <c r="H983" s="686"/>
      <c r="I983" s="686"/>
      <c r="J983" s="686"/>
      <c r="K983" s="677"/>
    </row>
    <row r="984" spans="1:11">
      <c r="A984" s="675"/>
      <c r="B984" s="770" t="s">
        <v>432</v>
      </c>
      <c r="C984" s="770"/>
      <c r="D984" s="770"/>
      <c r="E984" s="770"/>
      <c r="F984" s="770"/>
      <c r="G984" s="770"/>
      <c r="H984" s="770"/>
      <c r="I984" s="770"/>
      <c r="J984" s="770"/>
      <c r="K984" s="677"/>
    </row>
    <row r="985" spans="1:11">
      <c r="A985" s="675"/>
      <c r="B985" s="771"/>
      <c r="C985" s="771"/>
      <c r="D985" s="771"/>
      <c r="E985" s="771"/>
      <c r="F985" s="771"/>
      <c r="G985" s="771"/>
      <c r="H985" s="771"/>
      <c r="I985" s="771"/>
      <c r="J985" s="771"/>
      <c r="K985" s="677"/>
    </row>
    <row r="986" spans="1:11">
      <c r="A986" s="675"/>
      <c r="B986" s="771"/>
      <c r="C986" s="771"/>
      <c r="D986" s="771"/>
      <c r="E986" s="771"/>
      <c r="F986" s="771"/>
      <c r="G986" s="771"/>
      <c r="H986" s="771"/>
      <c r="I986" s="771"/>
      <c r="J986" s="771"/>
      <c r="K986" s="677"/>
    </row>
    <row r="987" spans="1:11">
      <c r="A987" s="675"/>
      <c r="B987" s="771"/>
      <c r="C987" s="771"/>
      <c r="D987" s="771"/>
      <c r="E987" s="771"/>
      <c r="F987" s="771"/>
      <c r="G987" s="771"/>
      <c r="H987" s="771"/>
      <c r="I987" s="771"/>
      <c r="J987" s="771"/>
      <c r="K987" s="677"/>
    </row>
    <row r="988" spans="1:11">
      <c r="A988" s="675"/>
      <c r="B988" s="686"/>
      <c r="C988" s="686"/>
      <c r="D988" s="686"/>
      <c r="E988" s="686"/>
      <c r="F988" s="686"/>
      <c r="G988" s="686"/>
      <c r="H988" s="686"/>
      <c r="I988" s="686"/>
      <c r="J988" s="686"/>
      <c r="K988" s="677"/>
    </row>
    <row r="989" spans="1:11">
      <c r="A989" s="675"/>
      <c r="B989" s="686"/>
      <c r="C989" s="729" t="s">
        <v>433</v>
      </c>
      <c r="D989" s="729"/>
      <c r="E989" s="686"/>
      <c r="F989" s="686"/>
      <c r="G989" s="729" t="s">
        <v>434</v>
      </c>
      <c r="H989" s="729"/>
      <c r="I989" s="729"/>
      <c r="J989" s="729"/>
      <c r="K989" s="677"/>
    </row>
    <row r="990" ht="16.35" spans="1:11">
      <c r="A990" s="725"/>
      <c r="B990" s="726"/>
      <c r="C990" s="732" t="str">
        <f>"("&amp;PROPER(ENTRY!$D$19)&amp;")"</f>
        <v>(Indrajeet)</v>
      </c>
      <c r="D990" s="732"/>
      <c r="E990" s="726"/>
      <c r="F990" s="726"/>
      <c r="G990" s="732" t="str">
        <f>"("&amp;PROPER(ENTRY!$D$12)&amp;")"</f>
        <v>(Shambhu Dayal Meena)</v>
      </c>
      <c r="H990" s="732"/>
      <c r="I990" s="732"/>
      <c r="J990" s="732"/>
      <c r="K990" s="728"/>
    </row>
    <row r="991" ht="24.6" spans="1:11">
      <c r="B991" s="734"/>
      <c r="C991" s="734"/>
      <c r="D991" s="669" t="str">
        <f>ENTRY!$D$3</f>
        <v>MUNICIPAL CORPORATION OF DELHI</v>
      </c>
      <c r="E991" s="669"/>
      <c r="F991" s="669"/>
      <c r="G991" s="669"/>
      <c r="H991" s="734"/>
      <c r="I991" s="669"/>
      <c r="J991" s="669"/>
    </row>
    <row r="992" ht="20.4" spans="1:11">
      <c r="B992" s="735"/>
      <c r="C992" s="735"/>
      <c r="D992" s="670" t="str">
        <f>ENTRY!$D$4</f>
        <v>EDUCATION DEPARTMENT</v>
      </c>
      <c r="E992" s="670"/>
      <c r="F992" s="670"/>
      <c r="G992" s="670"/>
      <c r="H992" s="735"/>
      <c r="I992" s="669"/>
      <c r="J992" s="669"/>
    </row>
    <row r="993" ht="22.8" spans="1:11">
      <c r="B993" s="736"/>
      <c r="C993" s="736"/>
      <c r="D993" s="664" t="s">
        <v>417</v>
      </c>
      <c r="E993" s="664"/>
      <c r="F993" s="664"/>
      <c r="G993" s="664"/>
      <c r="H993" s="736"/>
      <c r="I993" s="669"/>
      <c r="J993" s="669"/>
    </row>
    <row r="994" ht="22.8" spans="1:11">
      <c r="B994" s="736"/>
      <c r="C994" s="736"/>
      <c r="D994" s="664" t="s">
        <v>418</v>
      </c>
      <c r="E994" s="664"/>
      <c r="F994" s="664"/>
      <c r="G994" s="664"/>
      <c r="H994" s="736"/>
      <c r="I994" s="669"/>
      <c r="J994" s="669"/>
    </row>
    <row r="995" ht="24.95" customHeight="1" spans="1:11">
      <c r="B995" s="735"/>
      <c r="C995" s="735"/>
      <c r="D995" s="737" t="str">
        <f>"SESSION : "&amp;ENTRY!$D$11</f>
        <v>SESSION : 2026-27</v>
      </c>
      <c r="E995" s="737"/>
      <c r="F995" s="737"/>
      <c r="G995" s="737"/>
      <c r="H995" s="735"/>
      <c r="I995" s="738"/>
      <c r="J995" s="738"/>
    </row>
    <row r="996" ht="3.75" customHeight="1" spans="1:11">
      <c r="A996" s="672"/>
      <c r="B996" s="739"/>
      <c r="C996" s="739"/>
      <c r="D996" s="739"/>
      <c r="E996" s="739"/>
      <c r="F996" s="739"/>
      <c r="G996" s="739"/>
      <c r="H996" s="739"/>
      <c r="I996" s="739"/>
      <c r="J996" s="739"/>
      <c r="K996" s="674"/>
    </row>
    <row r="997" ht="21.95" customHeight="1" spans="1:11">
      <c r="A997" s="675"/>
      <c r="B997" s="676" t="s">
        <v>419</v>
      </c>
      <c r="C997" s="676"/>
      <c r="D997" s="676" t="str">
        <f>ENTRY!$D$6</f>
        <v>MCP NITHARI NO 1 BOYS</v>
      </c>
      <c r="E997" s="676"/>
      <c r="F997" s="676"/>
      <c r="G997" s="676"/>
      <c r="H997" s="676"/>
      <c r="I997" s="676"/>
      <c r="J997" s="676"/>
      <c r="K997" s="677"/>
    </row>
    <row r="998" ht="21.95" customHeight="1" spans="1:11">
      <c r="A998" s="675"/>
      <c r="B998" s="676" t="s">
        <v>420</v>
      </c>
      <c r="C998" s="676"/>
      <c r="D998" s="740" t="str">
        <f>IFERROR(VLOOKUP($I$1001,STUDENT!$A$2:$BP$101,5,0),"")</f>
        <v>HANAM AYUBI</v>
      </c>
      <c r="E998" s="740"/>
      <c r="F998" s="740"/>
      <c r="G998" s="740"/>
      <c r="H998" s="740"/>
      <c r="I998" s="740"/>
      <c r="J998" s="740"/>
      <c r="K998" s="677"/>
    </row>
    <row r="999" ht="21.95" customHeight="1" spans="1:11">
      <c r="A999" s="675"/>
      <c r="B999" s="676" t="s">
        <v>421</v>
      </c>
      <c r="C999" s="676"/>
      <c r="D999" s="740" t="str">
        <f>IFERROR(VLOOKUP($I$1001,STUDENT!$A$2:$BP$101,8,0),"")</f>
        <v>MD PARWEZ</v>
      </c>
      <c r="E999" s="740"/>
      <c r="F999" s="740"/>
      <c r="G999" s="740"/>
      <c r="H999" s="740"/>
      <c r="I999" s="740"/>
      <c r="J999" s="740"/>
      <c r="K999" s="677"/>
    </row>
    <row r="1000" ht="21.95" customHeight="1" spans="1:11">
      <c r="A1000" s="675"/>
      <c r="B1000" s="676" t="s">
        <v>422</v>
      </c>
      <c r="C1000" s="676"/>
      <c r="D1000" s="740">
        <f>IFERROR(VLOOKUP($I$1001,STUDENT!$A$2:$BP$101,6,0),"")</f>
        <v>14758</v>
      </c>
      <c r="E1000" s="740"/>
      <c r="F1000" s="740"/>
      <c r="G1000" s="740"/>
      <c r="H1000" s="740"/>
      <c r="I1000" s="740"/>
      <c r="J1000" s="740"/>
      <c r="K1000" s="677"/>
    </row>
    <row r="1001" ht="21.95" customHeight="1" spans="1:11">
      <c r="A1001" s="675"/>
      <c r="B1001" s="676" t="s">
        <v>423</v>
      </c>
      <c r="C1001" s="676"/>
      <c r="D1001" s="741" t="str">
        <f>IFERROR(VLOOKUP($I$1001,STUDENT!$A$2:$BP$101,59,0),"")</f>
        <v/>
      </c>
      <c r="E1001" s="742" t="s">
        <v>424</v>
      </c>
      <c r="F1001" s="704" t="str">
        <f>IFERROR(VLOOKUP($I$1001,STUDENT!$A$2:$BP$101,2,0),"")</f>
        <v>III-A</v>
      </c>
      <c r="G1001" s="742" t="s">
        <v>425</v>
      </c>
      <c r="H1001" s="743"/>
      <c r="I1001" s="733">
        <f>I946+1</f>
        <v>19</v>
      </c>
      <c r="J1001" s="683"/>
      <c r="K1001" s="677"/>
    </row>
    <row r="1002" ht="5.1" customHeight="1" spans="1:11">
      <c r="A1002" s="675"/>
      <c r="B1002" s="745"/>
      <c r="C1002" s="745"/>
      <c r="D1002" s="746"/>
      <c r="E1002" s="747"/>
      <c r="F1002" s="748"/>
      <c r="G1002" s="747"/>
      <c r="H1002" s="686"/>
      <c r="I1002" s="686"/>
      <c r="J1002" s="686"/>
      <c r="K1002" s="677"/>
    </row>
    <row r="1003" s="664" customFormat="1" ht="32.1" customHeight="1" spans="1:11">
      <c r="A1003" s="688"/>
      <c r="B1003" s="749" t="s">
        <v>426</v>
      </c>
      <c r="C1003" s="750"/>
      <c r="D1003" s="750"/>
      <c r="E1003" s="750"/>
      <c r="F1003" s="750"/>
      <c r="G1003" s="750"/>
      <c r="H1003" s="750"/>
      <c r="I1003" s="750"/>
      <c r="J1003" s="751"/>
      <c r="K1003" s="690"/>
    </row>
    <row r="1004" ht="51.6" spans="1:11">
      <c r="A1004" s="675"/>
      <c r="B1004" s="752">
        <v>21</v>
      </c>
      <c r="C1004" s="753" t="s">
        <v>427</v>
      </c>
      <c r="D1004" s="754" t="s">
        <v>428</v>
      </c>
      <c r="E1004" s="754" t="s">
        <v>429</v>
      </c>
      <c r="F1004" s="754" t="s">
        <v>430</v>
      </c>
      <c r="G1004" s="753" t="s">
        <v>390</v>
      </c>
      <c r="H1004" s="714"/>
      <c r="I1004" s="714"/>
      <c r="J1004" s="714"/>
      <c r="K1004" s="677"/>
    </row>
    <row r="1005" ht="20.1" customHeight="1" spans="1:11">
      <c r="A1005" s="675"/>
      <c r="B1005" s="755">
        <v>1</v>
      </c>
      <c r="C1005" s="755" t="str">
        <f>IFERROR(VLOOKUP(B1005,DATEWISE!$A$3:$BY$27,2,0),0)</f>
        <v>30.04.2026</v>
      </c>
      <c r="D1005" s="755">
        <f>IF($C$1005=0,NA(),VLOOKUP($I$1001&amp;$B$1005,FLNFIX!$L$4:$EF$103,2,0))</f>
        <v>2</v>
      </c>
      <c r="E1005" s="755">
        <f>IF($C$1005=0,NA(),VLOOKUP($I$1001&amp;$B$1005,FLNFIX!$L$4:$EF$103,4,0))</f>
        <v>3</v>
      </c>
      <c r="F1005" s="755">
        <f>IF($C$1005=0,NA(),VLOOKUP($I$1001&amp;$B$1005,FLNFIX!$L$4:$EF$103,3,0))</f>
        <v>2</v>
      </c>
      <c r="G1005" s="756">
        <f>IF($C$1005=0,NA(),VLOOKUP($I$1001&amp;$B$1005,FLNFIX!$L$4:$EF$103,5,0))</f>
        <v>0</v>
      </c>
      <c r="H1005" s="757"/>
      <c r="I1005" s="757"/>
      <c r="J1005" s="758"/>
      <c r="K1005" s="677"/>
    </row>
    <row r="1006" ht="20.1" customHeight="1" spans="1:11">
      <c r="A1006" s="675"/>
      <c r="B1006" s="755">
        <f t="shared" ref="B1006:B1025" si="18">IF(B1005=0,0,IF(B1005&lt;$B$1004,B1005+1,""))</f>
        <v>2</v>
      </c>
      <c r="C1006" s="755" t="str">
        <f>IFERROR(VLOOKUP(B1006,DATEWISE!$A$3:$BY$27,2,0),0)</f>
        <v>08.05.2026</v>
      </c>
      <c r="D1006" s="755">
        <f>IF($C$1006=0,NA(),VLOOKUP($I$1001&amp;$B$1006,FLNFIX!$Q$4:$EF$103,2,0))</f>
        <v>2</v>
      </c>
      <c r="E1006" s="755">
        <f>IF($C$1006=0,NA(),VLOOKUP($I$1001&amp;$B$1006,FLNFIX!$Q$4:$EF$103,4,0))</f>
        <v>3</v>
      </c>
      <c r="F1006" s="755">
        <f>IF($C$1006=0,NA(),VLOOKUP($I$1001&amp;$B$1006,FLNFIX!$Q$4:$EF$103,3,0))</f>
        <v>2</v>
      </c>
      <c r="G1006" s="756">
        <f>IF($C$1006=0,NA(),VLOOKUP($I$1001&amp;$B$1006,FLNFIX!$Q$4:$EF$103,5,0))</f>
        <v>0</v>
      </c>
      <c r="H1006" s="757"/>
      <c r="I1006" s="757"/>
      <c r="J1006" s="758"/>
      <c r="K1006" s="677"/>
    </row>
    <row r="1007" ht="20.1" customHeight="1" spans="1:11">
      <c r="A1007" s="675"/>
      <c r="B1007" s="755">
        <f t="shared" si="18"/>
        <v>3</v>
      </c>
      <c r="C1007" s="755" t="str">
        <f>IFERROR(VLOOKUP(B1007,DATEWISE!$A$3:$BY$27,2,0),0)</f>
        <v>15.07.2026</v>
      </c>
      <c r="D1007" s="755">
        <f>IF($C$1007=0,NA(),VLOOKUP($I$1001&amp;$B$1007,FLNFIX!$V$4:$EF$103,2,0))</f>
        <v>2</v>
      </c>
      <c r="E1007" s="755">
        <f>IF($C$1007=0,NA(),VLOOKUP($I$1001&amp;$B$1007,FLNFIX!$V$4:$EF$103,4,0))</f>
        <v>3</v>
      </c>
      <c r="F1007" s="755">
        <f>IF($C$1007=0,NA(),VLOOKUP($I$1001&amp;$B$1007,FLNFIX!$V$4:$EF$103,3,0))</f>
        <v>2</v>
      </c>
      <c r="G1007" s="756">
        <f>IF($C$1007=0,NA(),VLOOKUP($I$1001&amp;$B$1007,FLNFIX!$V$4:$EF$103,5,0))</f>
        <v>0</v>
      </c>
      <c r="H1007" s="757"/>
      <c r="I1007" s="757"/>
      <c r="J1007" s="758"/>
      <c r="K1007" s="677"/>
    </row>
    <row r="1008" ht="20.1" customHeight="1" spans="1:11">
      <c r="A1008" s="675"/>
      <c r="B1008" s="755">
        <f t="shared" si="18"/>
        <v>4</v>
      </c>
      <c r="C1008" s="755" t="str">
        <f>IFERROR(VLOOKUP(B1008,DATEWISE!$A$3:$BY$27,2,0),0)</f>
        <v>31.07.2026</v>
      </c>
      <c r="D1008" s="755">
        <f>IF($C$1008=0,NA(),VLOOKUP($I$1001&amp;$B$1008,FLNFIX!$AA$4:$EF$103,2,0))</f>
        <v>2</v>
      </c>
      <c r="E1008" s="755">
        <f>IF($C$1008=0,NA(),VLOOKUP($I$1001&amp;$B$1008,FLNFIX!$AA$4:$EF$103,4,0))</f>
        <v>3</v>
      </c>
      <c r="F1008" s="755">
        <f>IF($C$1008=0,NA(),VLOOKUP($I$1001&amp;$B$1008,FLNFIX!$AA$4:$EF$103,3,0))</f>
        <v>2</v>
      </c>
      <c r="G1008" s="756">
        <f>IF($C$1008=0,NA(),VLOOKUP($I$1001&amp;$B$1008,FLNFIX!$AA$4:$EF$103,5,0))</f>
        <v>0</v>
      </c>
      <c r="H1008" s="757"/>
      <c r="I1008" s="757"/>
      <c r="J1008" s="758"/>
      <c r="K1008" s="677"/>
    </row>
    <row r="1009" ht="20.1" customHeight="1" spans="1:11">
      <c r="A1009" s="675"/>
      <c r="B1009" s="755">
        <f t="shared" si="18"/>
        <v>5</v>
      </c>
      <c r="C1009" s="755" t="str">
        <f>IFERROR(VLOOKUP(B1009,DATEWISE!$A$3:$BY$27,2,0),0)</f>
        <v>17.08.2026</v>
      </c>
      <c r="D1009" s="755">
        <f>IF($C$1009=0,NA(),VLOOKUP($I$1001&amp;$B$1009,FLNFIX!$AF$4:$EF$103,2,0))</f>
        <v>2</v>
      </c>
      <c r="E1009" s="755">
        <f>IF($C$1009=0,NA(),VLOOKUP($I$1001&amp;$B$1009,FLNFIX!$AF$4:$EF$103,4,0))</f>
        <v>3</v>
      </c>
      <c r="F1009" s="755">
        <f>IF($C$1009=0,NA(),VLOOKUP($I$1001&amp;$B$1009,FLNFIX!$AF$4:$EF$103,3,0))</f>
        <v>2</v>
      </c>
      <c r="G1009" s="756">
        <f>IF($C$1009=0,NA(),VLOOKUP($I$1001&amp;$B$1009,FLNFIX!$AF$4:$EF$103,5,0))</f>
        <v>0</v>
      </c>
      <c r="H1009" s="757"/>
      <c r="I1009" s="757"/>
      <c r="J1009" s="758"/>
      <c r="K1009" s="677"/>
    </row>
    <row r="1010" ht="20.1" customHeight="1" spans="1:11">
      <c r="A1010" s="675"/>
      <c r="B1010" s="755">
        <f t="shared" si="18"/>
        <v>6</v>
      </c>
      <c r="C1010" s="755" t="str">
        <f>IFERROR(VLOOKUP(B1010,DATEWISE!$A$3:$BY$27,2,0),0)</f>
        <v>31.08.2026</v>
      </c>
      <c r="D1010" s="755">
        <f>IF($C$1010=0,NA(),VLOOKUP($I$1001&amp;$B$1010,FLNFIX!$AK$4:$EF$103,2,0))</f>
        <v>2</v>
      </c>
      <c r="E1010" s="755">
        <f>IF($C$1010=0,NA(),VLOOKUP($I$1001&amp;$B$1010,FLNFIX!$AK$4:$EF$103,4,0))</f>
        <v>3</v>
      </c>
      <c r="F1010" s="755">
        <f>IF($C$1010=0,NA(),VLOOKUP($I$1001&amp;$B$1010,FLNFIX!$AK$4:$EF$103,3,0))</f>
        <v>2</v>
      </c>
      <c r="G1010" s="756">
        <f>IF($C$1010=0,NA(),VLOOKUP($I$1001&amp;$B$1010,FLNFIX!$AK$4:$EF$103,5,0))</f>
        <v>0</v>
      </c>
      <c r="H1010" s="757"/>
      <c r="I1010" s="757"/>
      <c r="J1010" s="758"/>
      <c r="K1010" s="677"/>
    </row>
    <row r="1011" ht="20.1" customHeight="1" spans="1:11">
      <c r="A1011" s="675"/>
      <c r="B1011" s="755">
        <f t="shared" si="18"/>
        <v>7</v>
      </c>
      <c r="C1011" s="755">
        <f>IFERROR(VLOOKUP(B1011,DATEWISE!$A$3:$BY$27,2,0),0)</f>
        <v>0</v>
      </c>
      <c r="D1011" s="755" t="e">
        <f>IF($C$1011=0,NA(),VLOOKUP($I$1001&amp;$B$1011,FLNFIX!$AP$4:$EF$103,2,0))</f>
        <v>#N/A</v>
      </c>
      <c r="E1011" s="755" t="e">
        <f>IF($C$1011=0,NA(),VLOOKUP($I$1001&amp;$B$1011,FLNFIX!$AP$4:$EF$103,4,0))</f>
        <v>#N/A</v>
      </c>
      <c r="F1011" s="755" t="e">
        <f>IF($C$1011=0,NA(),VLOOKUP($I$1001&amp;$B$1011,FLNFIX!$AP$4:$EF$103,3,0))</f>
        <v>#N/A</v>
      </c>
      <c r="G1011" s="756" t="e">
        <f>IF($C$1011=0,NA(),VLOOKUP($I$1001&amp;$B$1011,FLNFIX!$AP$4:$EF$103,5,0))</f>
        <v>#N/A</v>
      </c>
      <c r="H1011" s="757"/>
      <c r="I1011" s="757"/>
      <c r="J1011" s="758"/>
      <c r="K1011" s="677"/>
    </row>
    <row r="1012" ht="20.1" customHeight="1" spans="1:11">
      <c r="A1012" s="675"/>
      <c r="B1012" s="755">
        <f t="shared" si="18"/>
        <v>8</v>
      </c>
      <c r="C1012" s="755">
        <f>IFERROR(VLOOKUP(B1012,DATEWISE!$A$3:$BY$27,2,0),0)</f>
        <v>0</v>
      </c>
      <c r="D1012" s="755" t="e">
        <f>IF($C$1012=0,NA(),VLOOKUP($I$1001&amp;$B$1012,FLNFIX!$AU$4:$EF$103,2,0))</f>
        <v>#N/A</v>
      </c>
      <c r="E1012" s="755" t="e">
        <f>IF($C$1012=0,NA(),VLOOKUP($I$1001&amp;$B$1012,FLNFIX!$AU$4:$EF$103,4,0))</f>
        <v>#N/A</v>
      </c>
      <c r="F1012" s="755" t="e">
        <f>IF($C$1012=0,NA(),VLOOKUP($I$1001&amp;$B$1012,FLNFIX!$AU$4:$EF$103,3,0))</f>
        <v>#N/A</v>
      </c>
      <c r="G1012" s="756" t="e">
        <f>IF($C$1012=0,NA(),VLOOKUP($I$1001&amp;$B$1012,FLNFIX!$AU$4:$EF$103,5,0))</f>
        <v>#N/A</v>
      </c>
      <c r="H1012" s="757"/>
      <c r="I1012" s="757"/>
      <c r="J1012" s="758"/>
      <c r="K1012" s="677"/>
    </row>
    <row r="1013" ht="20.1" customHeight="1" spans="1:11">
      <c r="A1013" s="675"/>
      <c r="B1013" s="755">
        <f t="shared" si="18"/>
        <v>9</v>
      </c>
      <c r="C1013" s="755">
        <f>IFERROR(VLOOKUP(B1013,DATEWISE!$A$3:$BY$27,2,0),0)</f>
        <v>0</v>
      </c>
      <c r="D1013" s="755" t="e">
        <f>IF($C$1013=0,NA(),VLOOKUP($I$1001&amp;$B$1013,FLNFIX!$AZ$4:$EF$103,2,0))</f>
        <v>#N/A</v>
      </c>
      <c r="E1013" s="755" t="e">
        <f>IF($C$1013=0,NA(),VLOOKUP($I$1001&amp;$B$1013,FLNFIX!$AZ$4:$EF$103,4,0))</f>
        <v>#N/A</v>
      </c>
      <c r="F1013" s="755" t="e">
        <f>IF($C$1013=0,NA(),VLOOKUP($I$1001&amp;$B$1013,FLNFIX!$AZ$4:$EF$103,3,0))</f>
        <v>#N/A</v>
      </c>
      <c r="G1013" s="756" t="e">
        <f>IF($C$1013=0,NA(),VLOOKUP($I$1001&amp;$B$1013,FLNFIX!$AZ$4:$EF$103,5,0))</f>
        <v>#N/A</v>
      </c>
      <c r="H1013" s="757"/>
      <c r="I1013" s="757"/>
      <c r="J1013" s="758"/>
      <c r="K1013" s="677"/>
    </row>
    <row r="1014" ht="20.1" customHeight="1" spans="1:11">
      <c r="A1014" s="675"/>
      <c r="B1014" s="755">
        <f t="shared" si="18"/>
        <v>10</v>
      </c>
      <c r="C1014" s="755">
        <f>IFERROR(VLOOKUP(B1014,DATEWISE!$A$3:$BY$27,2,0),0)</f>
        <v>0</v>
      </c>
      <c r="D1014" s="755" t="e">
        <f>IF($C$1014=0,NA(),VLOOKUP($I$1001&amp;$B$1014,FLNFIX!$BE$4:$EF$103,2,0))</f>
        <v>#N/A</v>
      </c>
      <c r="E1014" s="755" t="e">
        <f>IF($C$1014=0,NA(),VLOOKUP($I$1001&amp;$B$1014,FLNFIX!$BE$4:$EF$103,4,0))</f>
        <v>#N/A</v>
      </c>
      <c r="F1014" s="755" t="e">
        <f>IF($C$1014=0,NA(),VLOOKUP($I$1001&amp;$B$1014,FLNFIX!$BE$4:$EF$103,3,0))</f>
        <v>#N/A</v>
      </c>
      <c r="G1014" s="756" t="e">
        <f>IF($C$1014=0,NA(),VLOOKUP($I$1001&amp;$B$1014,FLNFIX!$BE$4:$EF$103,5,0))</f>
        <v>#N/A</v>
      </c>
      <c r="H1014" s="757"/>
      <c r="I1014" s="757"/>
      <c r="J1014" s="758"/>
      <c r="K1014" s="677"/>
    </row>
    <row r="1015" ht="20.1" customHeight="1" spans="1:11">
      <c r="A1015" s="675"/>
      <c r="B1015" s="755">
        <f t="shared" si="18"/>
        <v>11</v>
      </c>
      <c r="C1015" s="755">
        <f>IFERROR(VLOOKUP(B1015,DATEWISE!$A$3:$BY$27,2,0),0)</f>
        <v>0</v>
      </c>
      <c r="D1015" s="755" t="e">
        <f>IF($C$1015=0,NA(),VLOOKUP($I$1001&amp;$B$1015,FLNFIX!$BJ$4:$EF$103,2,0))</f>
        <v>#N/A</v>
      </c>
      <c r="E1015" s="755" t="e">
        <f>IF($C$1015=0,NA(),VLOOKUP($I$1001&amp;$B$1015,FLNFIX!$BJ$4:$EF$103,4,0))</f>
        <v>#N/A</v>
      </c>
      <c r="F1015" s="755" t="e">
        <f>IF($C$1015=0,NA(),VLOOKUP($I$1001&amp;$B$1015,FLNFIX!$BJ$4:$EF$103,3,0))</f>
        <v>#N/A</v>
      </c>
      <c r="G1015" s="756" t="e">
        <f>IF($C$1015=0,NA(),VLOOKUP($I$1001&amp;$B$1015,FLNFIX!$BJ$4:$EF$103,5,0))</f>
        <v>#N/A</v>
      </c>
      <c r="H1015" s="757"/>
      <c r="I1015" s="757"/>
      <c r="J1015" s="758"/>
      <c r="K1015" s="677"/>
    </row>
    <row r="1016" ht="20.1" customHeight="1" spans="1:11">
      <c r="A1016" s="675"/>
      <c r="B1016" s="755">
        <f t="shared" si="18"/>
        <v>12</v>
      </c>
      <c r="C1016" s="755">
        <f>IFERROR(VLOOKUP(B1016,DATEWISE!$A$3:$BY$27,2,0),0)</f>
        <v>0</v>
      </c>
      <c r="D1016" s="755" t="e">
        <f>IF($C$1016=0,NA(),VLOOKUP($I$1001&amp;$B$1016,FLNFIX!$BO$4:$EF$103,2,0))</f>
        <v>#N/A</v>
      </c>
      <c r="E1016" s="755" t="e">
        <f>IF($C$1016=0,NA(),VLOOKUP($I$1001&amp;$B$1016,FLNFIX!$BO$4:$EF$103,4,0))</f>
        <v>#N/A</v>
      </c>
      <c r="F1016" s="755" t="e">
        <f>IF($C$1016=0,NA(),VLOOKUP($I$1001&amp;$B$1016,FLNFIX!$BO$4:$EF$103,3,0))</f>
        <v>#N/A</v>
      </c>
      <c r="G1016" s="756" t="e">
        <f>IF($C$1016=0,NA(),VLOOKUP($I$1001&amp;$B$1016,FLNFIX!$BO$4:$EF$103,5,0))</f>
        <v>#N/A</v>
      </c>
      <c r="H1016" s="757"/>
      <c r="I1016" s="757"/>
      <c r="J1016" s="758"/>
      <c r="K1016" s="677"/>
    </row>
    <row r="1017" ht="20.1" customHeight="1" spans="1:11">
      <c r="A1017" s="675"/>
      <c r="B1017" s="755">
        <f t="shared" si="18"/>
        <v>13</v>
      </c>
      <c r="C1017" s="755">
        <f>IFERROR(VLOOKUP(B1017,DATEWISE!$A$3:$BY$27,2,0),0)</f>
        <v>0</v>
      </c>
      <c r="D1017" s="755" t="e">
        <f>IF($C$1017=0,NA(),VLOOKUP($I$1001&amp;$B$1017,FLNFIX!$BT$4:$EF$103,2,0))</f>
        <v>#N/A</v>
      </c>
      <c r="E1017" s="755" t="e">
        <f>IF($C$1017=0,NA(),VLOOKUP($I$1001&amp;$B$1017,FLNFIX!$BT$4:$EF$103,4,0))</f>
        <v>#N/A</v>
      </c>
      <c r="F1017" s="755" t="e">
        <f>IF($C$1017=0,NA(),VLOOKUP($I$1001&amp;$B$1017,FLNFIX!$BT$4:$EF$103,3,0))</f>
        <v>#N/A</v>
      </c>
      <c r="G1017" s="756" t="e">
        <f>IF($C$1017=0,NA(),VLOOKUP($I$1001&amp;$B$1017,FLNFIX!$BT$4:$EF$103,5,0))</f>
        <v>#N/A</v>
      </c>
      <c r="H1017" s="757"/>
      <c r="I1017" s="757"/>
      <c r="J1017" s="758"/>
      <c r="K1017" s="677"/>
    </row>
    <row r="1018" ht="20.1" customHeight="1" spans="1:11">
      <c r="A1018" s="675"/>
      <c r="B1018" s="755">
        <f t="shared" si="18"/>
        <v>14</v>
      </c>
      <c r="C1018" s="755">
        <f>IFERROR(VLOOKUP(B1018,DATEWISE!$A$3:$BY$27,2,0),0)</f>
        <v>0</v>
      </c>
      <c r="D1018" s="755" t="e">
        <f>IF($C$1018=0,NA(),VLOOKUP($I$1001&amp;$B$1018,FLNFIX!$BY$4:$EF$103,2,0))</f>
        <v>#N/A</v>
      </c>
      <c r="E1018" s="755" t="e">
        <f>IF($C$1018=0,NA(),VLOOKUP($I$1001&amp;$B$1018,FLNFIX!$BY$4:$EF$103,4,0))</f>
        <v>#N/A</v>
      </c>
      <c r="F1018" s="755" t="e">
        <f>IF($C$1018=0,NA(),VLOOKUP($I$1001&amp;$B$1018,FLNFIX!$BY$4:$EF$103,3,0))</f>
        <v>#N/A</v>
      </c>
      <c r="G1018" s="756" t="e">
        <f>IF($C$1018=0,NA(),VLOOKUP($I$1001&amp;$B$1018,FLNFIX!$BY$4:$EF$103,5,0))</f>
        <v>#N/A</v>
      </c>
      <c r="H1018" s="757"/>
      <c r="I1018" s="757"/>
      <c r="J1018" s="758"/>
      <c r="K1018" s="677"/>
    </row>
    <row r="1019" ht="20.1" customHeight="1" spans="1:11">
      <c r="A1019" s="675"/>
      <c r="B1019" s="755">
        <f t="shared" si="18"/>
        <v>15</v>
      </c>
      <c r="C1019" s="755">
        <f>IFERROR(VLOOKUP(B1019,DATEWISE!$A$3:$BY$27,2,0),0)</f>
        <v>0</v>
      </c>
      <c r="D1019" s="755" t="e">
        <f>IF($C$1019=0,NA(),VLOOKUP($I$1001&amp;$B$1019,FLNFIX!$CD$4:$EF$103,2,0))</f>
        <v>#N/A</v>
      </c>
      <c r="E1019" s="755" t="e">
        <f>IF($C$1019=0,NA(),VLOOKUP($I$1001&amp;$B$1019,FLNFIX!$CD$4:$EF$103,4,0))</f>
        <v>#N/A</v>
      </c>
      <c r="F1019" s="755" t="e">
        <f>IF($C$1019=0,NA(),VLOOKUP($I$1001&amp;$B$1019,FLNFIX!$CD$4:$EF$103,3,0))</f>
        <v>#N/A</v>
      </c>
      <c r="G1019" s="756" t="e">
        <f>IF($C$1019=0,NA(),VLOOKUP($I$1001&amp;$B$1019,FLNFIX!$CD$4:$EF$103,5,0))</f>
        <v>#N/A</v>
      </c>
      <c r="H1019" s="757"/>
      <c r="I1019" s="757"/>
      <c r="J1019" s="758"/>
      <c r="K1019" s="677"/>
    </row>
    <row r="1020" ht="20.1" customHeight="1" spans="1:11">
      <c r="A1020" s="675"/>
      <c r="B1020" s="755">
        <f t="shared" si="18"/>
        <v>16</v>
      </c>
      <c r="C1020" s="755">
        <f>IFERROR(VLOOKUP(B1020,DATEWISE!$A$3:$BY$27,2,0),0)</f>
        <v>0</v>
      </c>
      <c r="D1020" s="755" t="e">
        <f>IF($C$1020=0,NA(),VLOOKUP($I$1001&amp;$B$1020,FLNFIX!$CI$4:$EF$103,2,0))</f>
        <v>#N/A</v>
      </c>
      <c r="E1020" s="755" t="e">
        <f>IF($C$1020=0,NA(),VLOOKUP($I$1001&amp;$B$1020,FLNFIX!$CI$4:$EF$103,4,0))</f>
        <v>#N/A</v>
      </c>
      <c r="F1020" s="755" t="e">
        <f>IF($C$1020=0,NA(),VLOOKUP($I$1001&amp;$B$1020,FLNFIX!$CI$4:$EF$103,3,0))</f>
        <v>#N/A</v>
      </c>
      <c r="G1020" s="756" t="e">
        <f>IF($C$1020=0,NA(),VLOOKUP($I$1001&amp;$B$1020,FLNFIX!$CI$4:$EF$103,5,0))</f>
        <v>#N/A</v>
      </c>
      <c r="H1020" s="757"/>
      <c r="I1020" s="757"/>
      <c r="J1020" s="758"/>
      <c r="K1020" s="677"/>
    </row>
    <row r="1021" ht="20.1" customHeight="1" spans="1:11">
      <c r="A1021" s="675"/>
      <c r="B1021" s="755">
        <f t="shared" si="18"/>
        <v>17</v>
      </c>
      <c r="C1021" s="755">
        <f>IFERROR(VLOOKUP(B1021,DATEWISE!$A$3:$BY$27,2,0),0)</f>
        <v>0</v>
      </c>
      <c r="D1021" s="755" t="e">
        <f>IF($C$1021=0,NA(),VLOOKUP($I$1001&amp;$B$1021,FLNFIX!$CN$4:$EF$103,2,0))</f>
        <v>#N/A</v>
      </c>
      <c r="E1021" s="755" t="e">
        <f>IF($C$1021=0,NA(),VLOOKUP($I$1001&amp;$B$1021,FLNFIX!$CN$4:$EF$103,4,0))</f>
        <v>#N/A</v>
      </c>
      <c r="F1021" s="755" t="e">
        <f>IF($C$1021=0,NA(),VLOOKUP($I$1001&amp;$B$1021,FLNFIX!$CN$4:$EF$103,3,0))</f>
        <v>#N/A</v>
      </c>
      <c r="G1021" s="756" t="e">
        <f>IF($C$1021=0,NA(),VLOOKUP($I$1001&amp;$B$1021,FLNFIX!$CN$4:$EF$103,5,0))</f>
        <v>#N/A</v>
      </c>
      <c r="H1021" s="757"/>
      <c r="I1021" s="757"/>
      <c r="J1021" s="758"/>
      <c r="K1021" s="677"/>
    </row>
    <row r="1022" ht="20.1" customHeight="1" spans="1:11">
      <c r="A1022" s="675"/>
      <c r="B1022" s="755">
        <f t="shared" si="18"/>
        <v>18</v>
      </c>
      <c r="C1022" s="755">
        <f>IFERROR(VLOOKUP(B1022,DATEWISE!$A$3:$BY$27,2,0),0)</f>
        <v>0</v>
      </c>
      <c r="D1022" s="755" t="e">
        <f>IF($C$1022=0,NA(),VLOOKUP($I$1001&amp;$B$1022,FLNFIX!$CS$4:$EF$103,2,0))</f>
        <v>#N/A</v>
      </c>
      <c r="E1022" s="755" t="e">
        <f>IF($C$1022=0,NA(),VLOOKUP($I$1001&amp;$B$1022,FLNFIX!$CS$4:$EF$103,4,0))</f>
        <v>#N/A</v>
      </c>
      <c r="F1022" s="755" t="e">
        <f>IF($C$1022=0,NA(),VLOOKUP($I$1001&amp;$B$1022,FLNFIX!$CS$4:$EF$103,3,0))</f>
        <v>#N/A</v>
      </c>
      <c r="G1022" s="756" t="e">
        <f>IF($C$1022=0,NA(),VLOOKUP($I$1001&amp;$B$1022,FLNFIX!$CS$4:$EF$103,5,0))</f>
        <v>#N/A</v>
      </c>
      <c r="H1022" s="757"/>
      <c r="I1022" s="757"/>
      <c r="J1022" s="758"/>
      <c r="K1022" s="677"/>
    </row>
    <row r="1023" ht="20.1" customHeight="1" spans="1:11">
      <c r="A1023" s="675"/>
      <c r="B1023" s="755">
        <f t="shared" si="18"/>
        <v>19</v>
      </c>
      <c r="C1023" s="755">
        <f>IFERROR(VLOOKUP(B1023,DATEWISE!$A$3:$BY$27,2,0),0)</f>
        <v>0</v>
      </c>
      <c r="D1023" s="755" t="e">
        <f>IF($C$1023=0,NA(),VLOOKUP($I$1001&amp;$B$1023,FLNFIX!$CX$4:$EF$103,2,0))</f>
        <v>#N/A</v>
      </c>
      <c r="E1023" s="755" t="e">
        <f>IF($C$1023=0,NA(),VLOOKUP($I$1001&amp;$B$1023,FLNFIX!$CX$4:$EF$103,4,0))</f>
        <v>#N/A</v>
      </c>
      <c r="F1023" s="755" t="e">
        <f>IF($C$1023=0,NA(),VLOOKUP($I$1001&amp;$B$1023,FLNFIX!$CX$4:$EF$103,3,0))</f>
        <v>#N/A</v>
      </c>
      <c r="G1023" s="756" t="e">
        <f>IF($C$1023=0,NA(),VLOOKUP($I$1001&amp;$B$1023,FLNFIX!$CX$4:$EF$103,5,0))</f>
        <v>#N/A</v>
      </c>
      <c r="H1023" s="757"/>
      <c r="I1023" s="757"/>
      <c r="J1023" s="758"/>
      <c r="K1023" s="677"/>
    </row>
    <row r="1024" ht="20.1" customHeight="1" spans="1:11">
      <c r="A1024" s="675"/>
      <c r="B1024" s="755">
        <f t="shared" si="18"/>
        <v>20</v>
      </c>
      <c r="C1024" s="755">
        <f>IFERROR(VLOOKUP(B1024,DATEWISE!$A$3:$BY$27,2,0),0)</f>
        <v>0</v>
      </c>
      <c r="D1024" s="755" t="e">
        <f>IF($C$1024=0,NA(),VLOOKUP($I$1001&amp;$B$1024,FLNFIX!$DC$4:$EF$103,2,0))</f>
        <v>#N/A</v>
      </c>
      <c r="E1024" s="755" t="e">
        <f>IF($C$1024=0,NA(),VLOOKUP($I$1001&amp;$B$1024,FLNFIX!$DC$4:$EF$103,4,0))</f>
        <v>#N/A</v>
      </c>
      <c r="F1024" s="755" t="e">
        <f>IF($C$1024=0,NA(),VLOOKUP($I$1001&amp;$B$1024,FLNFIX!$DC$4:$EF$103,3,0))</f>
        <v>#N/A</v>
      </c>
      <c r="G1024" s="756" t="e">
        <f>IF($C$1024=0,NA(),VLOOKUP($I$1001&amp;$B$1024,FLNFIX!$DC$4:$EF$103,5,0))</f>
        <v>#N/A</v>
      </c>
      <c r="H1024" s="757"/>
      <c r="I1024" s="757"/>
      <c r="J1024" s="758"/>
      <c r="K1024" s="677"/>
    </row>
    <row r="1025" ht="20.1" customHeight="1" spans="1:11">
      <c r="A1025" s="675"/>
      <c r="B1025" s="755">
        <f t="shared" si="18"/>
        <v>21</v>
      </c>
      <c r="C1025" s="755">
        <f>IFERROR(VLOOKUP(B1025,DATEWISE!$A$3:$BY$27,2,0),0)</f>
        <v>0</v>
      </c>
      <c r="D1025" s="755" t="e">
        <f>IF($C$1025=0,NA(),VLOOKUP($I$1001&amp;$B$1025,FLNFIX!$DH$4:$EF$103,2,0))</f>
        <v>#N/A</v>
      </c>
      <c r="E1025" s="755" t="e">
        <f>IF($C$1025=0,NA(),VLOOKUP($I$1001&amp;$B$1025,FLNFIX!$DH$4:$EF$103,4,0))</f>
        <v>#N/A</v>
      </c>
      <c r="F1025" s="755" t="e">
        <f>IF($C$1025=0,NA(),VLOOKUP($I$1001&amp;$B$1025,FLNFIX!$DH$4:$EF$103,3,0))</f>
        <v>#N/A</v>
      </c>
      <c r="G1025" s="756" t="e">
        <f>IF($C$1025=0,NA(),VLOOKUP($I$1001&amp;$B$1025,FLNFIX!$DH$4:$EF$103,5,0))</f>
        <v>#N/A</v>
      </c>
      <c r="H1025" s="757"/>
      <c r="I1025" s="757"/>
      <c r="J1025" s="758"/>
      <c r="K1025" s="677"/>
    </row>
    <row r="1026" ht="5.1" customHeight="1" spans="1:11">
      <c r="A1026" s="675"/>
      <c r="B1026" s="759"/>
      <c r="C1026" s="759"/>
      <c r="D1026" s="760"/>
      <c r="E1026" s="760"/>
      <c r="F1026" s="760"/>
      <c r="G1026" s="761"/>
      <c r="H1026" s="761"/>
      <c r="I1026" s="761"/>
      <c r="J1026" s="761"/>
      <c r="K1026" s="677"/>
    </row>
    <row r="1027" s="667" customFormat="1" ht="24.95" customHeight="1" spans="1:11">
      <c r="A1027" s="711"/>
      <c r="B1027" s="762" t="s">
        <v>431</v>
      </c>
      <c r="C1027" s="763"/>
      <c r="D1027" s="763"/>
      <c r="E1027" s="763"/>
      <c r="F1027" s="763"/>
      <c r="G1027" s="763"/>
      <c r="H1027" s="763"/>
      <c r="I1027" s="763"/>
      <c r="J1027" s="764"/>
      <c r="K1027" s="713"/>
    </row>
    <row r="1028" spans="1:11">
      <c r="A1028" s="675"/>
      <c r="B1028" s="765"/>
      <c r="C1028" s="686"/>
      <c r="D1028" s="686"/>
      <c r="E1028" s="686"/>
      <c r="F1028" s="686"/>
      <c r="G1028" s="686"/>
      <c r="H1028" s="686"/>
      <c r="I1028" s="686"/>
      <c r="J1028" s="766"/>
      <c r="K1028" s="677"/>
    </row>
    <row r="1029" spans="1:11">
      <c r="A1029" s="675"/>
      <c r="B1029" s="765"/>
      <c r="C1029" s="686"/>
      <c r="D1029" s="686"/>
      <c r="E1029" s="686"/>
      <c r="F1029" s="686"/>
      <c r="G1029" s="686"/>
      <c r="H1029" s="686"/>
      <c r="I1029" s="686"/>
      <c r="J1029" s="766"/>
      <c r="K1029" s="677"/>
    </row>
    <row r="1030" spans="1:11">
      <c r="A1030" s="675"/>
      <c r="B1030" s="765"/>
      <c r="C1030" s="686"/>
      <c r="D1030" s="686"/>
      <c r="E1030" s="686"/>
      <c r="F1030" s="686"/>
      <c r="G1030" s="686"/>
      <c r="H1030" s="686"/>
      <c r="I1030" s="686"/>
      <c r="J1030" s="766"/>
      <c r="K1030" s="677"/>
    </row>
    <row r="1031" spans="1:11">
      <c r="A1031" s="675"/>
      <c r="B1031" s="765"/>
      <c r="C1031" s="686"/>
      <c r="D1031" s="686"/>
      <c r="E1031" s="686"/>
      <c r="F1031" s="686"/>
      <c r="G1031" s="686"/>
      <c r="H1031" s="686"/>
      <c r="I1031" s="686"/>
      <c r="J1031" s="766"/>
      <c r="K1031" s="677"/>
    </row>
    <row r="1032" spans="1:11">
      <c r="A1032" s="675"/>
      <c r="B1032" s="765"/>
      <c r="C1032" s="686"/>
      <c r="D1032" s="686"/>
      <c r="E1032" s="686"/>
      <c r="F1032" s="686"/>
      <c r="G1032" s="686"/>
      <c r="H1032" s="686"/>
      <c r="I1032" s="686"/>
      <c r="J1032" s="766"/>
      <c r="K1032" s="677"/>
    </row>
    <row r="1033" spans="1:11">
      <c r="A1033" s="675"/>
      <c r="B1033" s="765"/>
      <c r="C1033" s="686"/>
      <c r="D1033" s="686"/>
      <c r="E1033" s="686"/>
      <c r="F1033" s="686"/>
      <c r="G1033" s="686"/>
      <c r="H1033" s="686"/>
      <c r="I1033" s="686"/>
      <c r="J1033" s="766"/>
      <c r="K1033" s="677"/>
    </row>
    <row r="1034" spans="1:11">
      <c r="A1034" s="675"/>
      <c r="B1034" s="765"/>
      <c r="C1034" s="686"/>
      <c r="D1034" s="686"/>
      <c r="E1034" s="686"/>
      <c r="F1034" s="686"/>
      <c r="G1034" s="686"/>
      <c r="H1034" s="686"/>
      <c r="I1034" s="686"/>
      <c r="J1034" s="766"/>
      <c r="K1034" s="677"/>
    </row>
    <row r="1035" spans="1:11">
      <c r="A1035" s="675"/>
      <c r="B1035" s="765"/>
      <c r="C1035" s="686"/>
      <c r="D1035" s="686"/>
      <c r="E1035" s="686"/>
      <c r="F1035" s="686"/>
      <c r="G1035" s="686"/>
      <c r="H1035" s="686"/>
      <c r="I1035" s="686"/>
      <c r="J1035" s="766"/>
      <c r="K1035" s="677"/>
    </row>
    <row r="1036" spans="1:11">
      <c r="A1036" s="675"/>
      <c r="B1036" s="765"/>
      <c r="C1036" s="686"/>
      <c r="D1036" s="686"/>
      <c r="E1036" s="686"/>
      <c r="F1036" s="686"/>
      <c r="G1036" s="686"/>
      <c r="H1036" s="686"/>
      <c r="I1036" s="686"/>
      <c r="J1036" s="766"/>
      <c r="K1036" s="677"/>
    </row>
    <row r="1037" spans="1:11">
      <c r="A1037" s="675"/>
      <c r="B1037" s="767"/>
      <c r="C1037" s="768"/>
      <c r="D1037" s="768"/>
      <c r="E1037" s="768"/>
      <c r="F1037" s="768"/>
      <c r="G1037" s="768"/>
      <c r="H1037" s="768"/>
      <c r="I1037" s="768"/>
      <c r="J1037" s="769"/>
      <c r="K1037" s="677"/>
    </row>
    <row r="1038" ht="5.1" customHeight="1" spans="1:11">
      <c r="A1038" s="675"/>
      <c r="B1038" s="686"/>
      <c r="C1038" s="686"/>
      <c r="D1038" s="686"/>
      <c r="E1038" s="686"/>
      <c r="F1038" s="686"/>
      <c r="G1038" s="686"/>
      <c r="H1038" s="686"/>
      <c r="I1038" s="686"/>
      <c r="J1038" s="686"/>
      <c r="K1038" s="677"/>
    </row>
    <row r="1039" spans="1:11">
      <c r="A1039" s="675"/>
      <c r="B1039" s="770" t="s">
        <v>432</v>
      </c>
      <c r="C1039" s="770"/>
      <c r="D1039" s="770"/>
      <c r="E1039" s="770"/>
      <c r="F1039" s="770"/>
      <c r="G1039" s="770"/>
      <c r="H1039" s="770"/>
      <c r="I1039" s="770"/>
      <c r="J1039" s="770"/>
      <c r="K1039" s="677"/>
    </row>
    <row r="1040" spans="1:11">
      <c r="A1040" s="675"/>
      <c r="B1040" s="771"/>
      <c r="C1040" s="771"/>
      <c r="D1040" s="771"/>
      <c r="E1040" s="771"/>
      <c r="F1040" s="771"/>
      <c r="G1040" s="771"/>
      <c r="H1040" s="771"/>
      <c r="I1040" s="771"/>
      <c r="J1040" s="771"/>
      <c r="K1040" s="677"/>
    </row>
    <row r="1041" spans="1:11">
      <c r="A1041" s="675"/>
      <c r="B1041" s="771"/>
      <c r="C1041" s="771"/>
      <c r="D1041" s="771"/>
      <c r="E1041" s="771"/>
      <c r="F1041" s="771"/>
      <c r="G1041" s="771"/>
      <c r="H1041" s="771"/>
      <c r="I1041" s="771"/>
      <c r="J1041" s="771"/>
      <c r="K1041" s="677"/>
    </row>
    <row r="1042" spans="1:11">
      <c r="A1042" s="675"/>
      <c r="B1042" s="771"/>
      <c r="C1042" s="771"/>
      <c r="D1042" s="771"/>
      <c r="E1042" s="771"/>
      <c r="F1042" s="771"/>
      <c r="G1042" s="771"/>
      <c r="H1042" s="771"/>
      <c r="I1042" s="771"/>
      <c r="J1042" s="771"/>
      <c r="K1042" s="677"/>
    </row>
    <row r="1043" spans="1:11">
      <c r="A1043" s="675"/>
      <c r="B1043" s="686"/>
      <c r="C1043" s="686"/>
      <c r="D1043" s="686"/>
      <c r="E1043" s="686"/>
      <c r="F1043" s="686"/>
      <c r="G1043" s="686"/>
      <c r="H1043" s="686"/>
      <c r="I1043" s="686"/>
      <c r="J1043" s="686"/>
      <c r="K1043" s="677"/>
    </row>
    <row r="1044" spans="1:11">
      <c r="A1044" s="675"/>
      <c r="B1044" s="686"/>
      <c r="C1044" s="729" t="s">
        <v>433</v>
      </c>
      <c r="D1044" s="729"/>
      <c r="E1044" s="686"/>
      <c r="F1044" s="686"/>
      <c r="G1044" s="729" t="s">
        <v>434</v>
      </c>
      <c r="H1044" s="729"/>
      <c r="I1044" s="729"/>
      <c r="J1044" s="729"/>
      <c r="K1044" s="677"/>
    </row>
    <row r="1045" ht="16.35" spans="1:11">
      <c r="A1045" s="725"/>
      <c r="B1045" s="726"/>
      <c r="C1045" s="732" t="str">
        <f>"("&amp;PROPER(ENTRY!$D$19)&amp;")"</f>
        <v>(Indrajeet)</v>
      </c>
      <c r="D1045" s="732"/>
      <c r="E1045" s="726"/>
      <c r="F1045" s="726"/>
      <c r="G1045" s="732" t="str">
        <f>"("&amp;PROPER(ENTRY!$D$12)&amp;")"</f>
        <v>(Shambhu Dayal Meena)</v>
      </c>
      <c r="H1045" s="732"/>
      <c r="I1045" s="732"/>
      <c r="J1045" s="732"/>
      <c r="K1045" s="728"/>
    </row>
    <row r="1046" ht="24.6" spans="1:11">
      <c r="B1046" s="734"/>
      <c r="C1046" s="734"/>
      <c r="D1046" s="669" t="str">
        <f>ENTRY!$D$3</f>
        <v>MUNICIPAL CORPORATION OF DELHI</v>
      </c>
      <c r="E1046" s="669"/>
      <c r="F1046" s="669"/>
      <c r="G1046" s="669"/>
      <c r="H1046" s="734"/>
      <c r="I1046" s="669"/>
      <c r="J1046" s="669"/>
    </row>
    <row r="1047" ht="20.4" spans="1:11">
      <c r="B1047" s="735"/>
      <c r="C1047" s="735"/>
      <c r="D1047" s="670" t="str">
        <f>ENTRY!$D$4</f>
        <v>EDUCATION DEPARTMENT</v>
      </c>
      <c r="E1047" s="670"/>
      <c r="F1047" s="670"/>
      <c r="G1047" s="670"/>
      <c r="H1047" s="735"/>
      <c r="I1047" s="669"/>
      <c r="J1047" s="669"/>
    </row>
    <row r="1048" ht="22.8" spans="1:11">
      <c r="B1048" s="736"/>
      <c r="C1048" s="736"/>
      <c r="D1048" s="664" t="s">
        <v>417</v>
      </c>
      <c r="E1048" s="664"/>
      <c r="F1048" s="664"/>
      <c r="G1048" s="664"/>
      <c r="H1048" s="736"/>
      <c r="I1048" s="669"/>
      <c r="J1048" s="669"/>
    </row>
    <row r="1049" ht="22.8" spans="1:11">
      <c r="B1049" s="736"/>
      <c r="C1049" s="736"/>
      <c r="D1049" s="664" t="s">
        <v>418</v>
      </c>
      <c r="E1049" s="664"/>
      <c r="F1049" s="664"/>
      <c r="G1049" s="664"/>
      <c r="H1049" s="736"/>
      <c r="I1049" s="669"/>
      <c r="J1049" s="669"/>
    </row>
    <row r="1050" ht="24.95" customHeight="1" spans="1:11">
      <c r="B1050" s="735"/>
      <c r="C1050" s="735"/>
      <c r="D1050" s="737" t="str">
        <f>"SESSION : "&amp;ENTRY!$D$11</f>
        <v>SESSION : 2026-27</v>
      </c>
      <c r="E1050" s="737"/>
      <c r="F1050" s="737"/>
      <c r="G1050" s="737"/>
      <c r="H1050" s="735"/>
      <c r="I1050" s="738"/>
      <c r="J1050" s="738"/>
    </row>
    <row r="1051" ht="3.75" customHeight="1" spans="1:11">
      <c r="A1051" s="672"/>
      <c r="B1051" s="739"/>
      <c r="C1051" s="739"/>
      <c r="D1051" s="739"/>
      <c r="E1051" s="739"/>
      <c r="F1051" s="739"/>
      <c r="G1051" s="739"/>
      <c r="H1051" s="739"/>
      <c r="I1051" s="739"/>
      <c r="J1051" s="739"/>
      <c r="K1051" s="674"/>
    </row>
    <row r="1052" ht="21.95" customHeight="1" spans="1:11">
      <c r="A1052" s="675"/>
      <c r="B1052" s="676" t="s">
        <v>419</v>
      </c>
      <c r="C1052" s="676"/>
      <c r="D1052" s="676" t="str">
        <f>ENTRY!$D$6</f>
        <v>MCP NITHARI NO 1 BOYS</v>
      </c>
      <c r="E1052" s="676"/>
      <c r="F1052" s="676"/>
      <c r="G1052" s="676"/>
      <c r="H1052" s="676"/>
      <c r="I1052" s="676"/>
      <c r="J1052" s="676"/>
      <c r="K1052" s="677"/>
    </row>
    <row r="1053" ht="21.95" customHeight="1" spans="1:11">
      <c r="A1053" s="675"/>
      <c r="B1053" s="676" t="s">
        <v>420</v>
      </c>
      <c r="C1053" s="676"/>
      <c r="D1053" s="740" t="str">
        <f>IFERROR(VLOOKUP($I$1056,STUDENT!$A$2:$BP$101,5,0),"")</f>
        <v>ANKUR</v>
      </c>
      <c r="E1053" s="740"/>
      <c r="F1053" s="740"/>
      <c r="G1053" s="740"/>
      <c r="H1053" s="740"/>
      <c r="I1053" s="740"/>
      <c r="J1053" s="740"/>
      <c r="K1053" s="677"/>
    </row>
    <row r="1054" ht="21.95" customHeight="1" spans="1:11">
      <c r="A1054" s="675"/>
      <c r="B1054" s="676" t="s">
        <v>421</v>
      </c>
      <c r="C1054" s="676"/>
      <c r="D1054" s="740" t="str">
        <f>IFERROR(VLOOKUP($I$1056,STUDENT!$A$2:$BP$101,8,0),"")</f>
        <v>ASHOK KUMAR GUPTA</v>
      </c>
      <c r="E1054" s="740"/>
      <c r="F1054" s="740"/>
      <c r="G1054" s="740"/>
      <c r="H1054" s="740"/>
      <c r="I1054" s="740"/>
      <c r="J1054" s="740"/>
      <c r="K1054" s="677"/>
    </row>
    <row r="1055" ht="21.95" customHeight="1" spans="1:11">
      <c r="A1055" s="675"/>
      <c r="B1055" s="676" t="s">
        <v>422</v>
      </c>
      <c r="C1055" s="676"/>
      <c r="D1055" s="740">
        <f>IFERROR(VLOOKUP($I$1056,STUDENT!$A$2:$BP$101,6,0),"")</f>
        <v>14768</v>
      </c>
      <c r="E1055" s="740"/>
      <c r="F1055" s="740"/>
      <c r="G1055" s="740"/>
      <c r="H1055" s="740"/>
      <c r="I1055" s="740"/>
      <c r="J1055" s="740"/>
      <c r="K1055" s="677"/>
    </row>
    <row r="1056" ht="21.95" customHeight="1" spans="1:11">
      <c r="A1056" s="675"/>
      <c r="B1056" s="676" t="s">
        <v>423</v>
      </c>
      <c r="C1056" s="676"/>
      <c r="D1056" s="741" t="str">
        <f>IFERROR(VLOOKUP($I$1056,STUDENT!$A$2:$BP$101,59,0),"")</f>
        <v/>
      </c>
      <c r="E1056" s="742" t="s">
        <v>424</v>
      </c>
      <c r="F1056" s="704" t="str">
        <f>IFERROR(VLOOKUP($I$1056,STUDENT!$A$2:$BP$101,2,0),"")</f>
        <v>III-A</v>
      </c>
      <c r="G1056" s="742" t="s">
        <v>425</v>
      </c>
      <c r="H1056" s="743"/>
      <c r="I1056" s="733">
        <f>I1001+1</f>
        <v>20</v>
      </c>
      <c r="J1056" s="683"/>
      <c r="K1056" s="677"/>
    </row>
    <row r="1057" ht="5.1" customHeight="1" spans="1:11">
      <c r="A1057" s="675"/>
      <c r="B1057" s="745"/>
      <c r="C1057" s="745"/>
      <c r="D1057" s="746"/>
      <c r="E1057" s="747"/>
      <c r="F1057" s="748"/>
      <c r="G1057" s="747"/>
      <c r="H1057" s="686"/>
      <c r="I1057" s="686"/>
      <c r="J1057" s="686"/>
      <c r="K1057" s="677"/>
    </row>
    <row r="1058" s="664" customFormat="1" ht="32.1" customHeight="1" spans="1:11">
      <c r="A1058" s="688"/>
      <c r="B1058" s="749" t="s">
        <v>426</v>
      </c>
      <c r="C1058" s="750"/>
      <c r="D1058" s="750"/>
      <c r="E1058" s="750"/>
      <c r="F1058" s="750"/>
      <c r="G1058" s="750"/>
      <c r="H1058" s="750"/>
      <c r="I1058" s="750"/>
      <c r="J1058" s="751"/>
      <c r="K1058" s="690"/>
    </row>
    <row r="1059" ht="51.6" spans="1:11">
      <c r="A1059" s="675"/>
      <c r="B1059" s="752">
        <v>21</v>
      </c>
      <c r="C1059" s="753" t="s">
        <v>427</v>
      </c>
      <c r="D1059" s="754" t="s">
        <v>428</v>
      </c>
      <c r="E1059" s="754" t="s">
        <v>429</v>
      </c>
      <c r="F1059" s="754" t="s">
        <v>430</v>
      </c>
      <c r="G1059" s="753" t="s">
        <v>390</v>
      </c>
      <c r="H1059" s="714"/>
      <c r="I1059" s="714"/>
      <c r="J1059" s="714"/>
      <c r="K1059" s="677"/>
    </row>
    <row r="1060" ht="20.1" customHeight="1" spans="1:11">
      <c r="A1060" s="675"/>
      <c r="B1060" s="755">
        <v>1</v>
      </c>
      <c r="C1060" s="755" t="str">
        <f>IFERROR(VLOOKUP(B1060,DATEWISE!$A$3:$BY$27,2,0),0)</f>
        <v>30.04.2026</v>
      </c>
      <c r="D1060" s="755">
        <f>IF($C$1060=0,NA(),VLOOKUP($I$1056&amp;$B$1060,FLNFIX!$L$4:$EF$103,2,0))</f>
        <v>2</v>
      </c>
      <c r="E1060" s="755">
        <f>IF($C$1060=0,NA(),VLOOKUP($I$1056&amp;$B$1060,FLNFIX!$L$4:$EF$103,4,0))</f>
        <v>3</v>
      </c>
      <c r="F1060" s="755">
        <f>IF($C$1060=0,NA(),VLOOKUP($I$1056&amp;$B$1060,FLNFIX!$L$4:$EF$103,3,0))</f>
        <v>2</v>
      </c>
      <c r="G1060" s="756">
        <f>IF($C$1060=0,NA(),VLOOKUP($I$1056&amp;$B$1060,FLNFIX!$L$4:$EF$103,5,0))</f>
        <v>0</v>
      </c>
      <c r="H1060" s="757"/>
      <c r="I1060" s="757"/>
      <c r="J1060" s="758"/>
      <c r="K1060" s="677"/>
    </row>
    <row r="1061" ht="20.1" customHeight="1" spans="1:11">
      <c r="A1061" s="675"/>
      <c r="B1061" s="755">
        <f t="shared" ref="B1061:B1080" si="19">IF(B1060=0,0,IF(B1060&lt;$B$1059,B1060+1,""))</f>
        <v>2</v>
      </c>
      <c r="C1061" s="755" t="str">
        <f>IFERROR(VLOOKUP(B1061,DATEWISE!$A$3:$BY$27,2,0),0)</f>
        <v>08.05.2026</v>
      </c>
      <c r="D1061" s="755">
        <f>IF($C$1061=0,NA(),VLOOKUP($I$1056&amp;$B$1061,FLNFIX!$Q$4:$EF$103,2,0))</f>
        <v>2</v>
      </c>
      <c r="E1061" s="755">
        <f>IF($C$1061=0,NA(),VLOOKUP($I$1056&amp;$B$1061,FLNFIX!$Q$4:$EF$103,4,0))</f>
        <v>3</v>
      </c>
      <c r="F1061" s="755">
        <f>IF($C$1061=0,NA(),VLOOKUP($I$1056&amp;$B$1061,FLNFIX!$Q$4:$EF$103,3,0))</f>
        <v>2</v>
      </c>
      <c r="G1061" s="756">
        <f>IF($C$1061=0,NA(),VLOOKUP($I$1056&amp;$B$1061,FLNFIX!$Q$4:$EF$103,5,0))</f>
        <v>0</v>
      </c>
      <c r="H1061" s="757"/>
      <c r="I1061" s="757"/>
      <c r="J1061" s="758"/>
      <c r="K1061" s="677"/>
    </row>
    <row r="1062" ht="20.1" customHeight="1" spans="1:11">
      <c r="A1062" s="675"/>
      <c r="B1062" s="755">
        <f t="shared" si="19"/>
        <v>3</v>
      </c>
      <c r="C1062" s="755" t="str">
        <f>IFERROR(VLOOKUP(B1062,DATEWISE!$A$3:$BY$27,2,0),0)</f>
        <v>15.07.2026</v>
      </c>
      <c r="D1062" s="755">
        <f>IF($C$1062=0,NA(),VLOOKUP($I$1056&amp;$B$1062,FLNFIX!$V$4:$EF$103,2,0))</f>
        <v>2</v>
      </c>
      <c r="E1062" s="755">
        <f>IF($C$1062=0,NA(),VLOOKUP($I$1056&amp;$B$1062,FLNFIX!$V$4:$EF$103,4,0))</f>
        <v>3</v>
      </c>
      <c r="F1062" s="755">
        <f>IF($C$1062=0,NA(),VLOOKUP($I$1056&amp;$B$1062,FLNFIX!$V$4:$EF$103,3,0))</f>
        <v>2</v>
      </c>
      <c r="G1062" s="756">
        <f>IF($C$1062=0,NA(),VLOOKUP($I$1056&amp;$B$1062,FLNFIX!$V$4:$EF$103,5,0))</f>
        <v>0</v>
      </c>
      <c r="H1062" s="757"/>
      <c r="I1062" s="757"/>
      <c r="J1062" s="758"/>
      <c r="K1062" s="677"/>
    </row>
    <row r="1063" ht="20.1" customHeight="1" spans="1:11">
      <c r="A1063" s="675"/>
      <c r="B1063" s="755">
        <f t="shared" si="19"/>
        <v>4</v>
      </c>
      <c r="C1063" s="755" t="str">
        <f>IFERROR(VLOOKUP(B1063,DATEWISE!$A$3:$BY$27,2,0),0)</f>
        <v>31.07.2026</v>
      </c>
      <c r="D1063" s="755">
        <f>IF($C$1063=0,NA(),VLOOKUP($I$1056&amp;$B$1063,FLNFIX!$AA$4:$EF$103,2,0))</f>
        <v>2</v>
      </c>
      <c r="E1063" s="755">
        <f>IF($C$1063=0,NA(),VLOOKUP($I$1056&amp;$B$1063,FLNFIX!$AA$4:$EF$103,4,0))</f>
        <v>3</v>
      </c>
      <c r="F1063" s="755">
        <f>IF($C$1063=0,NA(),VLOOKUP($I$1056&amp;$B$1063,FLNFIX!$AA$4:$EF$103,3,0))</f>
        <v>2</v>
      </c>
      <c r="G1063" s="756">
        <f>IF($C$1063=0,NA(),VLOOKUP($I$1056&amp;$B$1063,FLNFIX!$AA$4:$EF$103,5,0))</f>
        <v>0</v>
      </c>
      <c r="H1063" s="757"/>
      <c r="I1063" s="757"/>
      <c r="J1063" s="758"/>
      <c r="K1063" s="677"/>
    </row>
    <row r="1064" ht="20.1" customHeight="1" spans="1:11">
      <c r="A1064" s="675"/>
      <c r="B1064" s="755">
        <f t="shared" si="19"/>
        <v>5</v>
      </c>
      <c r="C1064" s="755" t="str">
        <f>IFERROR(VLOOKUP(B1064,DATEWISE!$A$3:$BY$27,2,0),0)</f>
        <v>17.08.2026</v>
      </c>
      <c r="D1064" s="755">
        <f>IF($C$1064=0,NA(),VLOOKUP($I$1056&amp;$B$1064,FLNFIX!$AF$4:$EF$103,2,0))</f>
        <v>2</v>
      </c>
      <c r="E1064" s="755">
        <f>IF($C$1064=0,NA(),VLOOKUP($I$1056&amp;$B$1064,FLNFIX!$AF$4:$EF$103,4,0))</f>
        <v>3</v>
      </c>
      <c r="F1064" s="755">
        <f>IF($C$1064=0,NA(),VLOOKUP($I$1056&amp;$B$1064,FLNFIX!$AF$4:$EF$103,3,0))</f>
        <v>2</v>
      </c>
      <c r="G1064" s="756">
        <f>IF($C$1064=0,NA(),VLOOKUP($I$1056&amp;$B$1064,FLNFIX!$AF$4:$EF$103,5,0))</f>
        <v>0</v>
      </c>
      <c r="H1064" s="757"/>
      <c r="I1064" s="757"/>
      <c r="J1064" s="758"/>
      <c r="K1064" s="677"/>
    </row>
    <row r="1065" ht="20.1" customHeight="1" spans="1:11">
      <c r="A1065" s="675"/>
      <c r="B1065" s="755">
        <f t="shared" si="19"/>
        <v>6</v>
      </c>
      <c r="C1065" s="755" t="str">
        <f>IFERROR(VLOOKUP(B1065,DATEWISE!$A$3:$BY$27,2,0),0)</f>
        <v>31.08.2026</v>
      </c>
      <c r="D1065" s="755">
        <f>IF($C$1065=0,NA(),VLOOKUP($I$1056&amp;$B$1065,FLNFIX!$AK$4:$EF$103,2,0))</f>
        <v>2</v>
      </c>
      <c r="E1065" s="755">
        <f>IF($C$1065=0,NA(),VLOOKUP($I$1056&amp;$B$1065,FLNFIX!$AK$4:$EF$103,4,0))</f>
        <v>3</v>
      </c>
      <c r="F1065" s="755">
        <f>IF($C$1065=0,NA(),VLOOKUP($I$1056&amp;$B$1065,FLNFIX!$AK$4:$EF$103,3,0))</f>
        <v>2</v>
      </c>
      <c r="G1065" s="756">
        <f>IF($C$1065=0,NA(),VLOOKUP($I$1056&amp;$B$1065,FLNFIX!$AK$4:$EF$103,5,0))</f>
        <v>0</v>
      </c>
      <c r="H1065" s="757"/>
      <c r="I1065" s="757"/>
      <c r="J1065" s="758"/>
      <c r="K1065" s="677"/>
    </row>
    <row r="1066" ht="20.1" customHeight="1" spans="1:11">
      <c r="A1066" s="675"/>
      <c r="B1066" s="755">
        <f t="shared" si="19"/>
        <v>7</v>
      </c>
      <c r="C1066" s="755">
        <f>IFERROR(VLOOKUP(B1066,DATEWISE!$A$3:$BY$27,2,0),0)</f>
        <v>0</v>
      </c>
      <c r="D1066" s="755" t="e">
        <f>IF($C$1066=0,NA(),VLOOKUP($I$1056&amp;$B$1066,FLNFIX!$AP$4:$EF$103,2,0))</f>
        <v>#N/A</v>
      </c>
      <c r="E1066" s="755" t="e">
        <f>IF($C$1066=0,NA(),VLOOKUP($I$1056&amp;$B$1066,FLNFIX!$AP$4:$EF$103,4,0))</f>
        <v>#N/A</v>
      </c>
      <c r="F1066" s="755" t="e">
        <f>IF($C$1066=0,NA(),VLOOKUP($I$1056&amp;$B$1066,FLNFIX!$AP$4:$EF$103,3,0))</f>
        <v>#N/A</v>
      </c>
      <c r="G1066" s="756" t="e">
        <f>IF($C$1066=0,NA(),VLOOKUP($I$1056&amp;$B$1066,FLNFIX!$AP$4:$EF$103,5,0))</f>
        <v>#N/A</v>
      </c>
      <c r="H1066" s="757"/>
      <c r="I1066" s="757"/>
      <c r="J1066" s="758"/>
      <c r="K1066" s="677"/>
    </row>
    <row r="1067" ht="20.1" customHeight="1" spans="1:11">
      <c r="A1067" s="675"/>
      <c r="B1067" s="755">
        <f t="shared" si="19"/>
        <v>8</v>
      </c>
      <c r="C1067" s="755">
        <f>IFERROR(VLOOKUP(B1067,DATEWISE!$A$3:$BY$27,2,0),0)</f>
        <v>0</v>
      </c>
      <c r="D1067" s="755" t="e">
        <f>IF($C$1067=0,NA(),VLOOKUP($I$1056&amp;$B$1067,FLNFIX!$AU$4:$EF$103,2,0))</f>
        <v>#N/A</v>
      </c>
      <c r="E1067" s="755" t="e">
        <f>IF($C$1067=0,NA(),VLOOKUP($I$1056&amp;$B$1067,FLNFIX!$AU$4:$EF$103,4,0))</f>
        <v>#N/A</v>
      </c>
      <c r="F1067" s="755" t="e">
        <f>IF($C$1067=0,NA(),VLOOKUP($I$1056&amp;$B$1067,FLNFIX!$AU$4:$EF$103,3,0))</f>
        <v>#N/A</v>
      </c>
      <c r="G1067" s="756" t="e">
        <f>IF($C$1067=0,NA(),VLOOKUP($I$1056&amp;$B$1067,FLNFIX!$AU$4:$EF$103,5,0))</f>
        <v>#N/A</v>
      </c>
      <c r="H1067" s="757"/>
      <c r="I1067" s="757"/>
      <c r="J1067" s="758"/>
      <c r="K1067" s="677"/>
    </row>
    <row r="1068" ht="20.1" customHeight="1" spans="1:11">
      <c r="A1068" s="675"/>
      <c r="B1068" s="755">
        <f t="shared" si="19"/>
        <v>9</v>
      </c>
      <c r="C1068" s="755">
        <f>IFERROR(VLOOKUP(B1068,DATEWISE!$A$3:$BY$27,2,0),0)</f>
        <v>0</v>
      </c>
      <c r="D1068" s="755" t="e">
        <f>IF($C$1068=0,NA(),VLOOKUP($I$1056&amp;$B$1068,FLNFIX!$AZ$4:$EF$103,2,0))</f>
        <v>#N/A</v>
      </c>
      <c r="E1068" s="755" t="e">
        <f>IF($C$1068=0,NA(),VLOOKUP($I$1056&amp;$B$1068,FLNFIX!$AZ$4:$EF$103,4,0))</f>
        <v>#N/A</v>
      </c>
      <c r="F1068" s="755" t="e">
        <f>IF($C$1068=0,NA(),VLOOKUP($I$1056&amp;$B$1068,FLNFIX!$AZ$4:$EF$103,3,0))</f>
        <v>#N/A</v>
      </c>
      <c r="G1068" s="756" t="e">
        <f>IF($C$1068=0,NA(),VLOOKUP($I$1056&amp;$B$1068,FLNFIX!$AZ$4:$EF$103,5,0))</f>
        <v>#N/A</v>
      </c>
      <c r="H1068" s="757"/>
      <c r="I1068" s="757"/>
      <c r="J1068" s="758"/>
      <c r="K1068" s="677"/>
    </row>
    <row r="1069" ht="20.1" customHeight="1" spans="1:11">
      <c r="A1069" s="675"/>
      <c r="B1069" s="755">
        <f t="shared" si="19"/>
        <v>10</v>
      </c>
      <c r="C1069" s="755">
        <f>IFERROR(VLOOKUP(B1069,DATEWISE!$A$3:$BY$27,2,0),0)</f>
        <v>0</v>
      </c>
      <c r="D1069" s="755" t="e">
        <f>IF($C$1069=0,NA(),VLOOKUP($I$1056&amp;$B$1069,FLNFIX!$BE$4:$EF$103,2,0))</f>
        <v>#N/A</v>
      </c>
      <c r="E1069" s="755" t="e">
        <f>IF($C$1069=0,NA(),VLOOKUP($I$1056&amp;$B$1069,FLNFIX!$BE$4:$EF$103,4,0))</f>
        <v>#N/A</v>
      </c>
      <c r="F1069" s="755" t="e">
        <f>IF($C$1069=0,NA(),VLOOKUP($I$1056&amp;$B$1069,FLNFIX!$BE$4:$EF$103,3,0))</f>
        <v>#N/A</v>
      </c>
      <c r="G1069" s="756" t="e">
        <f>IF($C$1069=0,NA(),VLOOKUP($I$1056&amp;$B$1069,FLNFIX!$BE$4:$EF$103,5,0))</f>
        <v>#N/A</v>
      </c>
      <c r="H1069" s="757"/>
      <c r="I1069" s="757"/>
      <c r="J1069" s="758"/>
      <c r="K1069" s="677"/>
    </row>
    <row r="1070" ht="20.1" customHeight="1" spans="1:11">
      <c r="A1070" s="675"/>
      <c r="B1070" s="755">
        <f t="shared" si="19"/>
        <v>11</v>
      </c>
      <c r="C1070" s="755">
        <f>IFERROR(VLOOKUP(B1070,DATEWISE!$A$3:$BY$27,2,0),0)</f>
        <v>0</v>
      </c>
      <c r="D1070" s="755" t="e">
        <f>IF($C$1070=0,NA(),VLOOKUP($I$1056&amp;$B$1070,FLNFIX!$BJ$4:$EF$103,2,0))</f>
        <v>#N/A</v>
      </c>
      <c r="E1070" s="755" t="e">
        <f>IF($C$1070=0,NA(),VLOOKUP($I$1056&amp;$B$1070,FLNFIX!$BJ$4:$EF$103,4,0))</f>
        <v>#N/A</v>
      </c>
      <c r="F1070" s="755" t="e">
        <f>IF($C$1070=0,NA(),VLOOKUP($I$1056&amp;$B$1070,FLNFIX!$BJ$4:$EF$103,3,0))</f>
        <v>#N/A</v>
      </c>
      <c r="G1070" s="756" t="e">
        <f>IF($C$1070=0,NA(),VLOOKUP($I$1056&amp;$B$1070,FLNFIX!$BJ$4:$EF$103,5,0))</f>
        <v>#N/A</v>
      </c>
      <c r="H1070" s="757"/>
      <c r="I1070" s="757"/>
      <c r="J1070" s="758"/>
      <c r="K1070" s="677"/>
    </row>
    <row r="1071" ht="20.1" customHeight="1" spans="1:11">
      <c r="A1071" s="675"/>
      <c r="B1071" s="755">
        <f t="shared" si="19"/>
        <v>12</v>
      </c>
      <c r="C1071" s="755">
        <f>IFERROR(VLOOKUP(B1071,DATEWISE!$A$3:$BY$27,2,0),0)</f>
        <v>0</v>
      </c>
      <c r="D1071" s="755" t="e">
        <f>IF($C$1071=0,NA(),VLOOKUP($I$1056&amp;$B$1071,FLNFIX!$BO$4:$EF$103,2,0))</f>
        <v>#N/A</v>
      </c>
      <c r="E1071" s="755" t="e">
        <f>IF($C$1071=0,NA(),VLOOKUP($I$1056&amp;$B$1071,FLNFIX!$BO$4:$EF$103,4,0))</f>
        <v>#N/A</v>
      </c>
      <c r="F1071" s="755" t="e">
        <f>IF($C$1071=0,NA(),VLOOKUP($I$1056&amp;$B$1071,FLNFIX!$BO$4:$EF$103,3,0))</f>
        <v>#N/A</v>
      </c>
      <c r="G1071" s="756" t="e">
        <f>IF($C$1071=0,NA(),VLOOKUP($I$1056&amp;$B$1071,FLNFIX!$BO$4:$EF$103,5,0))</f>
        <v>#N/A</v>
      </c>
      <c r="H1071" s="757"/>
      <c r="I1071" s="757"/>
      <c r="J1071" s="758"/>
      <c r="K1071" s="677"/>
    </row>
    <row r="1072" ht="20.1" customHeight="1" spans="1:11">
      <c r="A1072" s="675"/>
      <c r="B1072" s="755">
        <f t="shared" si="19"/>
        <v>13</v>
      </c>
      <c r="C1072" s="755">
        <f>IFERROR(VLOOKUP(B1072,DATEWISE!$A$3:$BY$27,2,0),0)</f>
        <v>0</v>
      </c>
      <c r="D1072" s="755" t="e">
        <f>IF($C$1072=0,NA(),VLOOKUP($I$1056&amp;$B$1072,FLNFIX!$BT$4:$EF$103,2,0))</f>
        <v>#N/A</v>
      </c>
      <c r="E1072" s="755" t="e">
        <f>IF($C$1072=0,NA(),VLOOKUP($I$1056&amp;$B$1072,FLNFIX!$BT$4:$EF$103,4,0))</f>
        <v>#N/A</v>
      </c>
      <c r="F1072" s="755" t="e">
        <f>IF($C$1072=0,NA(),VLOOKUP($I$1056&amp;$B$1072,FLNFIX!$BT$4:$EF$103,3,0))</f>
        <v>#N/A</v>
      </c>
      <c r="G1072" s="756" t="e">
        <f>IF($C$1072=0,NA(),VLOOKUP($I$1056&amp;$B$1072,FLNFIX!$BT$4:$EF$103,5,0))</f>
        <v>#N/A</v>
      </c>
      <c r="H1072" s="757"/>
      <c r="I1072" s="757"/>
      <c r="J1072" s="758"/>
      <c r="K1072" s="677"/>
    </row>
    <row r="1073" ht="20.1" customHeight="1" spans="1:11">
      <c r="A1073" s="675"/>
      <c r="B1073" s="755">
        <f t="shared" si="19"/>
        <v>14</v>
      </c>
      <c r="C1073" s="755">
        <f>IFERROR(VLOOKUP(B1073,DATEWISE!$A$3:$BY$27,2,0),0)</f>
        <v>0</v>
      </c>
      <c r="D1073" s="755" t="e">
        <f>IF($C$1073=0,NA(),VLOOKUP($I$1056&amp;$B$1073,FLNFIX!$BY$4:$EF$103,2,0))</f>
        <v>#N/A</v>
      </c>
      <c r="E1073" s="755" t="e">
        <f>IF($C$1073=0,NA(),VLOOKUP($I$1056&amp;$B$1073,FLNFIX!$BY$4:$EF$103,4,0))</f>
        <v>#N/A</v>
      </c>
      <c r="F1073" s="755" t="e">
        <f>IF($C$1073=0,NA(),VLOOKUP($I$1056&amp;$B$1073,FLNFIX!$BY$4:$EF$103,3,0))</f>
        <v>#N/A</v>
      </c>
      <c r="G1073" s="756" t="e">
        <f>IF($C$1073=0,NA(),VLOOKUP($I$1056&amp;$B$1073,FLNFIX!$BY$4:$EF$103,5,0))</f>
        <v>#N/A</v>
      </c>
      <c r="H1073" s="757"/>
      <c r="I1073" s="757"/>
      <c r="J1073" s="758"/>
      <c r="K1073" s="677"/>
    </row>
    <row r="1074" ht="20.1" customHeight="1" spans="1:11">
      <c r="A1074" s="675"/>
      <c r="B1074" s="755">
        <f t="shared" si="19"/>
        <v>15</v>
      </c>
      <c r="C1074" s="755">
        <f>IFERROR(VLOOKUP(B1074,DATEWISE!$A$3:$BY$27,2,0),0)</f>
        <v>0</v>
      </c>
      <c r="D1074" s="755" t="e">
        <f>IF($C$1074=0,NA(),VLOOKUP($I$1056&amp;$B$1074,FLNFIX!$CD$4:$EF$103,2,0))</f>
        <v>#N/A</v>
      </c>
      <c r="E1074" s="755" t="e">
        <f>IF($C$1074=0,NA(),VLOOKUP($I$1056&amp;$B$1074,FLNFIX!$CD$4:$EF$103,4,0))</f>
        <v>#N/A</v>
      </c>
      <c r="F1074" s="755" t="e">
        <f>IF($C$1074=0,NA(),VLOOKUP($I$1056&amp;$B$1074,FLNFIX!$CD$4:$EF$103,3,0))</f>
        <v>#N/A</v>
      </c>
      <c r="G1074" s="756" t="e">
        <f>IF($C$1074=0,NA(),VLOOKUP($I$1056&amp;$B$1074,FLNFIX!$CD$4:$EF$103,5,0))</f>
        <v>#N/A</v>
      </c>
      <c r="H1074" s="757"/>
      <c r="I1074" s="757"/>
      <c r="J1074" s="758"/>
      <c r="K1074" s="677"/>
    </row>
    <row r="1075" ht="20.1" customHeight="1" spans="1:11">
      <c r="A1075" s="675"/>
      <c r="B1075" s="755">
        <f t="shared" si="19"/>
        <v>16</v>
      </c>
      <c r="C1075" s="755">
        <f>IFERROR(VLOOKUP(B1075,DATEWISE!$A$3:$BY$27,2,0),0)</f>
        <v>0</v>
      </c>
      <c r="D1075" s="755" t="e">
        <f>IF($C$1075=0,NA(),VLOOKUP($I$1056&amp;$B$1075,FLNFIX!$CI$4:$EF$103,2,0))</f>
        <v>#N/A</v>
      </c>
      <c r="E1075" s="755" t="e">
        <f>IF($C$1075=0,NA(),VLOOKUP($I$1056&amp;$B$1075,FLNFIX!$CI$4:$EF$103,4,0))</f>
        <v>#N/A</v>
      </c>
      <c r="F1075" s="755" t="e">
        <f>IF($C$1075=0,NA(),VLOOKUP($I$1056&amp;$B$1075,FLNFIX!$CI$4:$EF$103,3,0))</f>
        <v>#N/A</v>
      </c>
      <c r="G1075" s="756" t="e">
        <f>IF($C$1075=0,NA(),VLOOKUP($I$1056&amp;$B$1075,FLNFIX!$CI$4:$EF$103,5,0))</f>
        <v>#N/A</v>
      </c>
      <c r="H1075" s="757"/>
      <c r="I1075" s="757"/>
      <c r="J1075" s="758"/>
      <c r="K1075" s="677"/>
    </row>
    <row r="1076" ht="20.1" customHeight="1" spans="1:11">
      <c r="A1076" s="675"/>
      <c r="B1076" s="755">
        <f t="shared" si="19"/>
        <v>17</v>
      </c>
      <c r="C1076" s="755">
        <f>IFERROR(VLOOKUP(B1076,DATEWISE!$A$3:$BY$27,2,0),0)</f>
        <v>0</v>
      </c>
      <c r="D1076" s="755" t="e">
        <f>IF($C$1076=0,NA(),VLOOKUP($I$1056&amp;$B$1076,FLNFIX!$CN$4:$EF$103,2,0))</f>
        <v>#N/A</v>
      </c>
      <c r="E1076" s="755" t="e">
        <f>IF($C$1076=0,NA(),VLOOKUP($I$1056&amp;$B$1076,FLNFIX!$CN$4:$EF$103,4,0))</f>
        <v>#N/A</v>
      </c>
      <c r="F1076" s="755" t="e">
        <f>IF($C$1076=0,NA(),VLOOKUP($I$1056&amp;$B$1076,FLNFIX!$CN$4:$EF$103,3,0))</f>
        <v>#N/A</v>
      </c>
      <c r="G1076" s="756" t="e">
        <f>IF($C$1076=0,NA(),VLOOKUP($I$1056&amp;$B$1076,FLNFIX!$CN$4:$EF$103,5,0))</f>
        <v>#N/A</v>
      </c>
      <c r="H1076" s="757"/>
      <c r="I1076" s="757"/>
      <c r="J1076" s="758"/>
      <c r="K1076" s="677"/>
    </row>
    <row r="1077" ht="20.1" customHeight="1" spans="1:11">
      <c r="A1077" s="675"/>
      <c r="B1077" s="755">
        <f t="shared" si="19"/>
        <v>18</v>
      </c>
      <c r="C1077" s="755">
        <f>IFERROR(VLOOKUP(B1077,DATEWISE!$A$3:$BY$27,2,0),0)</f>
        <v>0</v>
      </c>
      <c r="D1077" s="755" t="e">
        <f>IF($C$1077=0,NA(),VLOOKUP($I$1056&amp;$B$1077,FLNFIX!$CS$4:$EF$103,2,0))</f>
        <v>#N/A</v>
      </c>
      <c r="E1077" s="755" t="e">
        <f>IF($C$1077=0,NA(),VLOOKUP($I$1056&amp;$B$1077,FLNFIX!$CS$4:$EF$103,4,0))</f>
        <v>#N/A</v>
      </c>
      <c r="F1077" s="755" t="e">
        <f>IF($C$1077=0,NA(),VLOOKUP($I$1056&amp;$B$1077,FLNFIX!$CS$4:$EF$103,3,0))</f>
        <v>#N/A</v>
      </c>
      <c r="G1077" s="756" t="e">
        <f>IF($C$1077=0,NA(),VLOOKUP($I$1056&amp;$B$1077,FLNFIX!$CS$4:$EF$103,5,0))</f>
        <v>#N/A</v>
      </c>
      <c r="H1077" s="757"/>
      <c r="I1077" s="757"/>
      <c r="J1077" s="758"/>
      <c r="K1077" s="677"/>
    </row>
    <row r="1078" ht="20.1" customHeight="1" spans="1:11">
      <c r="A1078" s="675"/>
      <c r="B1078" s="755">
        <f t="shared" si="19"/>
        <v>19</v>
      </c>
      <c r="C1078" s="755">
        <f>IFERROR(VLOOKUP(B1078,DATEWISE!$A$3:$BY$27,2,0),0)</f>
        <v>0</v>
      </c>
      <c r="D1078" s="755" t="e">
        <f>IF($C$1078=0,NA(),VLOOKUP($I$1056&amp;$B$1078,FLNFIX!$CX$4:$EF$103,2,0))</f>
        <v>#N/A</v>
      </c>
      <c r="E1078" s="755" t="e">
        <f>IF($C$1078=0,NA(),VLOOKUP($I$1056&amp;$B$1078,FLNFIX!$CX$4:$EF$103,4,0))</f>
        <v>#N/A</v>
      </c>
      <c r="F1078" s="755" t="e">
        <f>IF($C$1078=0,NA(),VLOOKUP($I$1056&amp;$B$1078,FLNFIX!$CX$4:$EF$103,3,0))</f>
        <v>#N/A</v>
      </c>
      <c r="G1078" s="756" t="e">
        <f>IF($C$1078=0,NA(),VLOOKUP($I$1056&amp;$B$1078,FLNFIX!$CX$4:$EF$103,5,0))</f>
        <v>#N/A</v>
      </c>
      <c r="H1078" s="757"/>
      <c r="I1078" s="757"/>
      <c r="J1078" s="758"/>
      <c r="K1078" s="677"/>
    </row>
    <row r="1079" ht="20.1" customHeight="1" spans="1:11">
      <c r="A1079" s="675"/>
      <c r="B1079" s="755">
        <f t="shared" si="19"/>
        <v>20</v>
      </c>
      <c r="C1079" s="755">
        <f>IFERROR(VLOOKUP(B1079,DATEWISE!$A$3:$BY$27,2,0),0)</f>
        <v>0</v>
      </c>
      <c r="D1079" s="755" t="e">
        <f>IF($C$1079=0,NA(),VLOOKUP($I$1056&amp;$B$1079,FLNFIX!$DC$4:$EF$103,2,0))</f>
        <v>#N/A</v>
      </c>
      <c r="E1079" s="755" t="e">
        <f>IF($C$1079=0,NA(),VLOOKUP($I$1056&amp;$B$1079,FLNFIX!$DC$4:$EF$103,4,0))</f>
        <v>#N/A</v>
      </c>
      <c r="F1079" s="755" t="e">
        <f>IF($C$1079=0,NA(),VLOOKUP($I$1056&amp;$B$1079,FLNFIX!$DC$4:$EF$103,3,0))</f>
        <v>#N/A</v>
      </c>
      <c r="G1079" s="756" t="e">
        <f>IF($C$1079=0,NA(),VLOOKUP($I$1056&amp;$B$1079,FLNFIX!$DC$4:$EF$103,5,0))</f>
        <v>#N/A</v>
      </c>
      <c r="H1079" s="757"/>
      <c r="I1079" s="757"/>
      <c r="J1079" s="758"/>
      <c r="K1079" s="677"/>
    </row>
    <row r="1080" ht="20.1" customHeight="1" spans="1:11">
      <c r="A1080" s="675"/>
      <c r="B1080" s="755">
        <f t="shared" si="19"/>
        <v>21</v>
      </c>
      <c r="C1080" s="755">
        <f>IFERROR(VLOOKUP(B1080,DATEWISE!$A$3:$BY$27,2,0),0)</f>
        <v>0</v>
      </c>
      <c r="D1080" s="755" t="e">
        <f>IF($C$1080=0,NA(),VLOOKUP($I$1056&amp;$B$1080,FLNFIX!$DH$4:$EF$103,2,0))</f>
        <v>#N/A</v>
      </c>
      <c r="E1080" s="755" t="e">
        <f>IF($C$1080=0,NA(),VLOOKUP($I$1056&amp;$B$1080,FLNFIX!$DH$4:$EF$103,4,0))</f>
        <v>#N/A</v>
      </c>
      <c r="F1080" s="755" t="e">
        <f>IF($C$1080=0,NA(),VLOOKUP($I$1056&amp;$B$1080,FLNFIX!$DH$4:$EF$103,3,0))</f>
        <v>#N/A</v>
      </c>
      <c r="G1080" s="756" t="e">
        <f>IF($C$1080=0,NA(),VLOOKUP($I$1056&amp;$B$1080,FLNFIX!$DH$4:$EF$103,5,0))</f>
        <v>#N/A</v>
      </c>
      <c r="H1080" s="757"/>
      <c r="I1080" s="757"/>
      <c r="J1080" s="758"/>
      <c r="K1080" s="677"/>
    </row>
    <row r="1081" ht="5.1" customHeight="1" spans="1:11">
      <c r="A1081" s="675"/>
      <c r="B1081" s="759"/>
      <c r="C1081" s="759"/>
      <c r="D1081" s="760"/>
      <c r="E1081" s="760"/>
      <c r="F1081" s="760"/>
      <c r="G1081" s="761"/>
      <c r="H1081" s="761"/>
      <c r="I1081" s="761"/>
      <c r="J1081" s="761"/>
      <c r="K1081" s="677"/>
    </row>
    <row r="1082" s="667" customFormat="1" ht="24.95" customHeight="1" spans="1:11">
      <c r="A1082" s="711"/>
      <c r="B1082" s="762" t="s">
        <v>431</v>
      </c>
      <c r="C1082" s="763"/>
      <c r="D1082" s="763"/>
      <c r="E1082" s="763"/>
      <c r="F1082" s="763"/>
      <c r="G1082" s="763"/>
      <c r="H1082" s="763"/>
      <c r="I1082" s="763"/>
      <c r="J1082" s="764"/>
      <c r="K1082" s="713"/>
    </row>
    <row r="1083" spans="1:11">
      <c r="A1083" s="675"/>
      <c r="B1083" s="765"/>
      <c r="C1083" s="686"/>
      <c r="D1083" s="686"/>
      <c r="E1083" s="686"/>
      <c r="F1083" s="686"/>
      <c r="G1083" s="686"/>
      <c r="H1083" s="686"/>
      <c r="I1083" s="686"/>
      <c r="J1083" s="766"/>
      <c r="K1083" s="677"/>
    </row>
    <row r="1084" spans="1:11">
      <c r="A1084" s="675"/>
      <c r="B1084" s="765"/>
      <c r="C1084" s="686"/>
      <c r="D1084" s="686"/>
      <c r="E1084" s="686"/>
      <c r="F1084" s="686"/>
      <c r="G1084" s="686"/>
      <c r="H1084" s="686"/>
      <c r="I1084" s="686"/>
      <c r="J1084" s="766"/>
      <c r="K1084" s="677"/>
    </row>
    <row r="1085" spans="1:11">
      <c r="A1085" s="675"/>
      <c r="B1085" s="765"/>
      <c r="C1085" s="686"/>
      <c r="D1085" s="686"/>
      <c r="E1085" s="686"/>
      <c r="F1085" s="686"/>
      <c r="G1085" s="686"/>
      <c r="H1085" s="686"/>
      <c r="I1085" s="686"/>
      <c r="J1085" s="766"/>
      <c r="K1085" s="677"/>
    </row>
    <row r="1086" spans="1:11">
      <c r="A1086" s="675"/>
      <c r="B1086" s="765"/>
      <c r="C1086" s="686"/>
      <c r="D1086" s="686"/>
      <c r="E1086" s="686"/>
      <c r="F1086" s="686"/>
      <c r="G1086" s="686"/>
      <c r="H1086" s="686"/>
      <c r="I1086" s="686"/>
      <c r="J1086" s="766"/>
      <c r="K1086" s="677"/>
    </row>
    <row r="1087" spans="1:11">
      <c r="A1087" s="675"/>
      <c r="B1087" s="765"/>
      <c r="C1087" s="686"/>
      <c r="D1087" s="686"/>
      <c r="E1087" s="686"/>
      <c r="F1087" s="686"/>
      <c r="G1087" s="686"/>
      <c r="H1087" s="686"/>
      <c r="I1087" s="686"/>
      <c r="J1087" s="766"/>
      <c r="K1087" s="677"/>
    </row>
    <row r="1088" spans="1:11">
      <c r="A1088" s="675"/>
      <c r="B1088" s="765"/>
      <c r="C1088" s="686"/>
      <c r="D1088" s="686"/>
      <c r="E1088" s="686"/>
      <c r="F1088" s="686"/>
      <c r="G1088" s="686"/>
      <c r="H1088" s="686"/>
      <c r="I1088" s="686"/>
      <c r="J1088" s="766"/>
      <c r="K1088" s="677"/>
    </row>
    <row r="1089" spans="1:11">
      <c r="A1089" s="675"/>
      <c r="B1089" s="765"/>
      <c r="C1089" s="686"/>
      <c r="D1089" s="686"/>
      <c r="E1089" s="686"/>
      <c r="F1089" s="686"/>
      <c r="G1089" s="686"/>
      <c r="H1089" s="686"/>
      <c r="I1089" s="686"/>
      <c r="J1089" s="766"/>
      <c r="K1089" s="677"/>
    </row>
    <row r="1090" spans="1:11">
      <c r="A1090" s="675"/>
      <c r="B1090" s="765"/>
      <c r="C1090" s="686"/>
      <c r="D1090" s="686"/>
      <c r="E1090" s="686"/>
      <c r="F1090" s="686"/>
      <c r="G1090" s="686"/>
      <c r="H1090" s="686"/>
      <c r="I1090" s="686"/>
      <c r="J1090" s="766"/>
      <c r="K1090" s="677"/>
    </row>
    <row r="1091" spans="1:11">
      <c r="A1091" s="675"/>
      <c r="B1091" s="765"/>
      <c r="C1091" s="686"/>
      <c r="D1091" s="686"/>
      <c r="E1091" s="686"/>
      <c r="F1091" s="686"/>
      <c r="G1091" s="686"/>
      <c r="H1091" s="686"/>
      <c r="I1091" s="686"/>
      <c r="J1091" s="766"/>
      <c r="K1091" s="677"/>
    </row>
    <row r="1092" spans="1:11">
      <c r="A1092" s="675"/>
      <c r="B1092" s="767"/>
      <c r="C1092" s="768"/>
      <c r="D1092" s="768"/>
      <c r="E1092" s="768"/>
      <c r="F1092" s="768"/>
      <c r="G1092" s="768"/>
      <c r="H1092" s="768"/>
      <c r="I1092" s="768"/>
      <c r="J1092" s="769"/>
      <c r="K1092" s="677"/>
    </row>
    <row r="1093" ht="5.1" customHeight="1" spans="1:11">
      <c r="A1093" s="675"/>
      <c r="B1093" s="686"/>
      <c r="C1093" s="686"/>
      <c r="D1093" s="686"/>
      <c r="E1093" s="686"/>
      <c r="F1093" s="686"/>
      <c r="G1093" s="686"/>
      <c r="H1093" s="686"/>
      <c r="I1093" s="686"/>
      <c r="J1093" s="686"/>
      <c r="K1093" s="677"/>
    </row>
    <row r="1094" spans="1:11">
      <c r="A1094" s="675"/>
      <c r="B1094" s="770" t="s">
        <v>432</v>
      </c>
      <c r="C1094" s="770"/>
      <c r="D1094" s="770"/>
      <c r="E1094" s="770"/>
      <c r="F1094" s="770"/>
      <c r="G1094" s="770"/>
      <c r="H1094" s="770"/>
      <c r="I1094" s="770"/>
      <c r="J1094" s="770"/>
      <c r="K1094" s="677"/>
    </row>
    <row r="1095" spans="1:11">
      <c r="A1095" s="675"/>
      <c r="B1095" s="771"/>
      <c r="C1095" s="771"/>
      <c r="D1095" s="771"/>
      <c r="E1095" s="771"/>
      <c r="F1095" s="771"/>
      <c r="G1095" s="771"/>
      <c r="H1095" s="771"/>
      <c r="I1095" s="771"/>
      <c r="J1095" s="771"/>
      <c r="K1095" s="677"/>
    </row>
    <row r="1096" spans="1:11">
      <c r="A1096" s="675"/>
      <c r="B1096" s="771"/>
      <c r="C1096" s="771"/>
      <c r="D1096" s="771"/>
      <c r="E1096" s="771"/>
      <c r="F1096" s="771"/>
      <c r="G1096" s="771"/>
      <c r="H1096" s="771"/>
      <c r="I1096" s="771"/>
      <c r="J1096" s="771"/>
      <c r="K1096" s="677"/>
    </row>
    <row r="1097" spans="1:11">
      <c r="A1097" s="675"/>
      <c r="B1097" s="771"/>
      <c r="C1097" s="771"/>
      <c r="D1097" s="771"/>
      <c r="E1097" s="771"/>
      <c r="F1097" s="771"/>
      <c r="G1097" s="771"/>
      <c r="H1097" s="771"/>
      <c r="I1097" s="771"/>
      <c r="J1097" s="771"/>
      <c r="K1097" s="677"/>
    </row>
    <row r="1098" spans="1:11">
      <c r="A1098" s="675"/>
      <c r="B1098" s="686"/>
      <c r="C1098" s="686"/>
      <c r="D1098" s="686"/>
      <c r="E1098" s="686"/>
      <c r="F1098" s="686"/>
      <c r="G1098" s="686"/>
      <c r="H1098" s="686"/>
      <c r="I1098" s="686"/>
      <c r="J1098" s="686"/>
      <c r="K1098" s="677"/>
    </row>
    <row r="1099" spans="1:11">
      <c r="A1099" s="675"/>
      <c r="B1099" s="686"/>
      <c r="C1099" s="729" t="s">
        <v>433</v>
      </c>
      <c r="D1099" s="729"/>
      <c r="E1099" s="686"/>
      <c r="F1099" s="686"/>
      <c r="G1099" s="729" t="s">
        <v>434</v>
      </c>
      <c r="H1099" s="729"/>
      <c r="I1099" s="729"/>
      <c r="J1099" s="729"/>
      <c r="K1099" s="677"/>
    </row>
    <row r="1100" ht="16.35" spans="1:11">
      <c r="A1100" s="725"/>
      <c r="B1100" s="726"/>
      <c r="C1100" s="732" t="str">
        <f>"("&amp;PROPER(ENTRY!$D$19)&amp;")"</f>
        <v>(Indrajeet)</v>
      </c>
      <c r="D1100" s="732"/>
      <c r="E1100" s="726"/>
      <c r="F1100" s="726"/>
      <c r="G1100" s="732" t="str">
        <f>"("&amp;PROPER(ENTRY!$D$12)&amp;")"</f>
        <v>(Shambhu Dayal Meena)</v>
      </c>
      <c r="H1100" s="732"/>
      <c r="I1100" s="732"/>
      <c r="J1100" s="732"/>
      <c r="K1100" s="728"/>
    </row>
    <row r="1101" ht="24.6" spans="1:11">
      <c r="B1101" s="734"/>
      <c r="C1101" s="734"/>
      <c r="D1101" s="669" t="str">
        <f>ENTRY!$D$3</f>
        <v>MUNICIPAL CORPORATION OF DELHI</v>
      </c>
      <c r="E1101" s="669"/>
      <c r="F1101" s="669"/>
      <c r="G1101" s="669"/>
      <c r="H1101" s="734"/>
      <c r="I1101" s="669"/>
      <c r="J1101" s="669"/>
    </row>
    <row r="1102" ht="20.4" spans="1:11">
      <c r="B1102" s="735"/>
      <c r="C1102" s="735"/>
      <c r="D1102" s="670" t="str">
        <f>ENTRY!$D$4</f>
        <v>EDUCATION DEPARTMENT</v>
      </c>
      <c r="E1102" s="670"/>
      <c r="F1102" s="670"/>
      <c r="G1102" s="670"/>
      <c r="H1102" s="735"/>
      <c r="I1102" s="669"/>
      <c r="J1102" s="669"/>
    </row>
    <row r="1103" ht="22.8" spans="1:11">
      <c r="B1103" s="736"/>
      <c r="C1103" s="736"/>
      <c r="D1103" s="664" t="s">
        <v>417</v>
      </c>
      <c r="E1103" s="664"/>
      <c r="F1103" s="664"/>
      <c r="G1103" s="664"/>
      <c r="H1103" s="736"/>
      <c r="I1103" s="669"/>
      <c r="J1103" s="669"/>
    </row>
    <row r="1104" ht="22.8" spans="1:11">
      <c r="B1104" s="736"/>
      <c r="C1104" s="736"/>
      <c r="D1104" s="664" t="s">
        <v>418</v>
      </c>
      <c r="E1104" s="664"/>
      <c r="F1104" s="664"/>
      <c r="G1104" s="664"/>
      <c r="H1104" s="736"/>
      <c r="I1104" s="669"/>
      <c r="J1104" s="669"/>
    </row>
    <row r="1105" ht="24.95" customHeight="1" spans="1:11">
      <c r="B1105" s="735"/>
      <c r="C1105" s="735"/>
      <c r="D1105" s="737" t="str">
        <f>"SESSION : "&amp;ENTRY!$D$11</f>
        <v>SESSION : 2026-27</v>
      </c>
      <c r="E1105" s="737"/>
      <c r="F1105" s="737"/>
      <c r="G1105" s="737"/>
      <c r="H1105" s="735"/>
      <c r="I1105" s="738"/>
      <c r="J1105" s="738"/>
    </row>
    <row r="1106" ht="3.75" customHeight="1" spans="1:11">
      <c r="A1106" s="672"/>
      <c r="B1106" s="739"/>
      <c r="C1106" s="739"/>
      <c r="D1106" s="739"/>
      <c r="E1106" s="739"/>
      <c r="F1106" s="739"/>
      <c r="G1106" s="739"/>
      <c r="H1106" s="739"/>
      <c r="I1106" s="739"/>
      <c r="J1106" s="739"/>
      <c r="K1106" s="674"/>
    </row>
    <row r="1107" ht="21.95" customHeight="1" spans="1:11">
      <c r="A1107" s="675"/>
      <c r="B1107" s="676" t="s">
        <v>419</v>
      </c>
      <c r="C1107" s="676"/>
      <c r="D1107" s="676" t="str">
        <f>ENTRY!$D$6</f>
        <v>MCP NITHARI NO 1 BOYS</v>
      </c>
      <c r="E1107" s="676"/>
      <c r="F1107" s="676"/>
      <c r="G1107" s="676"/>
      <c r="H1107" s="676"/>
      <c r="I1107" s="676"/>
      <c r="J1107" s="676"/>
      <c r="K1107" s="677"/>
    </row>
    <row r="1108" ht="21.95" customHeight="1" spans="1:11">
      <c r="A1108" s="675"/>
      <c r="B1108" s="676" t="s">
        <v>420</v>
      </c>
      <c r="C1108" s="676"/>
      <c r="D1108" s="740" t="str">
        <f>IFERROR(VLOOKUP($I$1111,STUDENT!$A$2:$BP$101,5,0),"")</f>
        <v>SOBHIT PASWAN</v>
      </c>
      <c r="E1108" s="740"/>
      <c r="F1108" s="740"/>
      <c r="G1108" s="740"/>
      <c r="H1108" s="740"/>
      <c r="I1108" s="740"/>
      <c r="J1108" s="740"/>
      <c r="K1108" s="677"/>
    </row>
    <row r="1109" ht="21.95" customHeight="1" spans="1:11">
      <c r="A1109" s="675"/>
      <c r="B1109" s="676" t="s">
        <v>421</v>
      </c>
      <c r="C1109" s="676"/>
      <c r="D1109" s="740" t="str">
        <f>IFERROR(VLOOKUP($I$1111,STUDENT!$A$2:$BP$101,8,0),"")</f>
        <v>SHANKAR PASWAN</v>
      </c>
      <c r="E1109" s="740"/>
      <c r="F1109" s="740"/>
      <c r="G1109" s="740"/>
      <c r="H1109" s="740"/>
      <c r="I1109" s="740"/>
      <c r="J1109" s="740"/>
      <c r="K1109" s="677"/>
    </row>
    <row r="1110" ht="21.95" customHeight="1" spans="1:11">
      <c r="A1110" s="675"/>
      <c r="B1110" s="676" t="s">
        <v>422</v>
      </c>
      <c r="C1110" s="676"/>
      <c r="D1110" s="740">
        <f>IFERROR(VLOOKUP($I$1111,STUDENT!$A$2:$BP$101,6,0),"")</f>
        <v>14792</v>
      </c>
      <c r="E1110" s="740"/>
      <c r="F1110" s="740"/>
      <c r="G1110" s="740"/>
      <c r="H1110" s="740"/>
      <c r="I1110" s="740"/>
      <c r="J1110" s="740"/>
      <c r="K1110" s="677"/>
    </row>
    <row r="1111" ht="21.95" customHeight="1" spans="1:11">
      <c r="A1111" s="675"/>
      <c r="B1111" s="676" t="s">
        <v>423</v>
      </c>
      <c r="C1111" s="676"/>
      <c r="D1111" s="741" t="str">
        <f>IFERROR(VLOOKUP($I$1111,STUDENT!$A$2:$BP$101,59,0),"")</f>
        <v/>
      </c>
      <c r="E1111" s="742" t="s">
        <v>424</v>
      </c>
      <c r="F1111" s="704" t="str">
        <f>IFERROR(VLOOKUP($I$1111,STUDENT!$A$2:$BP$101,2,0),"")</f>
        <v>III-A</v>
      </c>
      <c r="G1111" s="742" t="s">
        <v>425</v>
      </c>
      <c r="H1111" s="743"/>
      <c r="I1111" s="733">
        <f>I1056+1</f>
        <v>21</v>
      </c>
      <c r="J1111" s="683"/>
      <c r="K1111" s="677"/>
    </row>
    <row r="1112" ht="5.1" customHeight="1" spans="1:11">
      <c r="A1112" s="675"/>
      <c r="B1112" s="745"/>
      <c r="C1112" s="745"/>
      <c r="D1112" s="746"/>
      <c r="E1112" s="747"/>
      <c r="F1112" s="748"/>
      <c r="G1112" s="747"/>
      <c r="H1112" s="686"/>
      <c r="I1112" s="686"/>
      <c r="J1112" s="686"/>
      <c r="K1112" s="677"/>
    </row>
    <row r="1113" s="664" customFormat="1" ht="32.1" customHeight="1" spans="1:11">
      <c r="A1113" s="688"/>
      <c r="B1113" s="749" t="s">
        <v>426</v>
      </c>
      <c r="C1113" s="750"/>
      <c r="D1113" s="750"/>
      <c r="E1113" s="750"/>
      <c r="F1113" s="750"/>
      <c r="G1113" s="750"/>
      <c r="H1113" s="750"/>
      <c r="I1113" s="750"/>
      <c r="J1113" s="751"/>
      <c r="K1113" s="690"/>
    </row>
    <row r="1114" ht="51.6" spans="1:11">
      <c r="A1114" s="675"/>
      <c r="B1114" s="752">
        <v>21</v>
      </c>
      <c r="C1114" s="753" t="s">
        <v>427</v>
      </c>
      <c r="D1114" s="754" t="s">
        <v>428</v>
      </c>
      <c r="E1114" s="754" t="s">
        <v>429</v>
      </c>
      <c r="F1114" s="754" t="s">
        <v>430</v>
      </c>
      <c r="G1114" s="753" t="s">
        <v>390</v>
      </c>
      <c r="H1114" s="714"/>
      <c r="I1114" s="714"/>
      <c r="J1114" s="714"/>
      <c r="K1114" s="677"/>
    </row>
    <row r="1115" ht="20.1" customHeight="1" spans="1:11">
      <c r="A1115" s="675"/>
      <c r="B1115" s="755">
        <v>1</v>
      </c>
      <c r="C1115" s="755" t="str">
        <f>IFERROR(VLOOKUP(B1115,DATEWISE!$A$3:$BY$27,2,0),0)</f>
        <v>30.04.2026</v>
      </c>
      <c r="D1115" s="755">
        <f>IF($C$1115=0,NA(),VLOOKUP($I$1111&amp;$B$1115,FLNFIX!$L$4:$EF$103,2,0))</f>
        <v>2</v>
      </c>
      <c r="E1115" s="755">
        <f>IF($C$1115=0,NA(),VLOOKUP($I$1111&amp;$B$1115,FLNFIX!$L$4:$EF$103,4,0))</f>
        <v>3</v>
      </c>
      <c r="F1115" s="755">
        <f>IF($C$1115=0,NA(),VLOOKUP($I$1111&amp;$B$1115,FLNFIX!$L$4:$EF$103,3,0))</f>
        <v>2</v>
      </c>
      <c r="G1115" s="756">
        <f>IF($C$1115=0,NA(),VLOOKUP($I$1111&amp;$B$1115,FLNFIX!$L$4:$EF$103,5,0))</f>
        <v>0</v>
      </c>
      <c r="H1115" s="757"/>
      <c r="I1115" s="757"/>
      <c r="J1115" s="758"/>
      <c r="K1115" s="677"/>
    </row>
    <row r="1116" ht="20.1" customHeight="1" spans="1:11">
      <c r="A1116" s="675"/>
      <c r="B1116" s="755">
        <f t="shared" ref="B1116:B1135" si="20">IF(B1115=0,0,IF(B1115&lt;$B$1114,B1115+1,""))</f>
        <v>2</v>
      </c>
      <c r="C1116" s="755" t="str">
        <f>IFERROR(VLOOKUP(B1116,DATEWISE!$A$3:$BY$27,2,0),0)</f>
        <v>08.05.2026</v>
      </c>
      <c r="D1116" s="755">
        <f>IF($C$1116=0,NA(),VLOOKUP($I$1111&amp;$B$1116,FLNFIX!$Q$4:$EF$103,2,0))</f>
        <v>2</v>
      </c>
      <c r="E1116" s="755">
        <f>IF($C$1116=0,NA(),VLOOKUP($I$1111&amp;$B$1116,FLNFIX!$Q$4:$EF$103,4,0))</f>
        <v>3</v>
      </c>
      <c r="F1116" s="755">
        <f>IF($C$1116=0,NA(),VLOOKUP($I$1111&amp;$B$1116,FLNFIX!$Q$4:$EF$103,3,0))</f>
        <v>2</v>
      </c>
      <c r="G1116" s="756">
        <f>IF($C$1116=0,NA(),VLOOKUP($I$1111&amp;$B$1116,FLNFIX!$Q$4:$EF$103,5,0))</f>
        <v>0</v>
      </c>
      <c r="H1116" s="757"/>
      <c r="I1116" s="757"/>
      <c r="J1116" s="758"/>
      <c r="K1116" s="677"/>
    </row>
    <row r="1117" ht="20.1" customHeight="1" spans="1:11">
      <c r="A1117" s="675"/>
      <c r="B1117" s="755">
        <f t="shared" si="20"/>
        <v>3</v>
      </c>
      <c r="C1117" s="755" t="str">
        <f>IFERROR(VLOOKUP(B1117,DATEWISE!$A$3:$BY$27,2,0),0)</f>
        <v>15.07.2026</v>
      </c>
      <c r="D1117" s="755">
        <f>IF($C$1117=0,NA(),VLOOKUP($I$1111&amp;$B$1117,FLNFIX!$V$4:$EF$103,2,0))</f>
        <v>2</v>
      </c>
      <c r="E1117" s="755">
        <f>IF($C$1117=0,NA(),VLOOKUP($I$1111&amp;$B$1117,FLNFIX!$V$4:$EF$103,4,0))</f>
        <v>3</v>
      </c>
      <c r="F1117" s="755">
        <f>IF($C$1117=0,NA(),VLOOKUP($I$1111&amp;$B$1117,FLNFIX!$V$4:$EF$103,3,0))</f>
        <v>2</v>
      </c>
      <c r="G1117" s="756">
        <f>IF($C$1117=0,NA(),VLOOKUP($I$1111&amp;$B$1117,FLNFIX!$V$4:$EF$103,5,0))</f>
        <v>0</v>
      </c>
      <c r="H1117" s="757"/>
      <c r="I1117" s="757"/>
      <c r="J1117" s="758"/>
      <c r="K1117" s="677"/>
    </row>
    <row r="1118" ht="20.1" customHeight="1" spans="1:11">
      <c r="A1118" s="675"/>
      <c r="B1118" s="755">
        <f t="shared" si="20"/>
        <v>4</v>
      </c>
      <c r="C1118" s="755" t="str">
        <f>IFERROR(VLOOKUP(B1118,DATEWISE!$A$3:$BY$27,2,0),0)</f>
        <v>31.07.2026</v>
      </c>
      <c r="D1118" s="755">
        <f>IF($C$1118=0,NA(),VLOOKUP($I$1111&amp;$B$1118,FLNFIX!$AA$4:$EF$103,2,0))</f>
        <v>2</v>
      </c>
      <c r="E1118" s="755">
        <f>IF($C$1118=0,NA(),VLOOKUP($I$1111&amp;$B$1118,FLNFIX!$AA$4:$EF$103,4,0))</f>
        <v>3</v>
      </c>
      <c r="F1118" s="755">
        <f>IF($C$1118=0,NA(),VLOOKUP($I$1111&amp;$B$1118,FLNFIX!$AA$4:$EF$103,3,0))</f>
        <v>2</v>
      </c>
      <c r="G1118" s="756">
        <f>IF($C$1118=0,NA(),VLOOKUP($I$1111&amp;$B$1118,FLNFIX!$AA$4:$EF$103,5,0))</f>
        <v>0</v>
      </c>
      <c r="H1118" s="757"/>
      <c r="I1118" s="757"/>
      <c r="J1118" s="758"/>
      <c r="K1118" s="677"/>
    </row>
    <row r="1119" ht="20.1" customHeight="1" spans="1:11">
      <c r="A1119" s="675"/>
      <c r="B1119" s="755">
        <f t="shared" si="20"/>
        <v>5</v>
      </c>
      <c r="C1119" s="755" t="str">
        <f>IFERROR(VLOOKUP(B1119,DATEWISE!$A$3:$BY$27,2,0),0)</f>
        <v>17.08.2026</v>
      </c>
      <c r="D1119" s="755">
        <f>IF($C$1119=0,NA(),VLOOKUP($I$1111&amp;$B$1119,FLNFIX!$AF$4:$EF$103,2,0))</f>
        <v>2</v>
      </c>
      <c r="E1119" s="755">
        <f>IF($C$1119=0,NA(),VLOOKUP($I$1111&amp;$B$1119,FLNFIX!$AF$4:$EF$103,4,0))</f>
        <v>3</v>
      </c>
      <c r="F1119" s="755">
        <f>IF($C$1119=0,NA(),VLOOKUP($I$1111&amp;$B$1119,FLNFIX!$AF$4:$EF$103,3,0))</f>
        <v>2</v>
      </c>
      <c r="G1119" s="756">
        <f>IF($C$1119=0,NA(),VLOOKUP($I$1111&amp;$B$1119,FLNFIX!$AF$4:$EF$103,5,0))</f>
        <v>0</v>
      </c>
      <c r="H1119" s="757"/>
      <c r="I1119" s="757"/>
      <c r="J1119" s="758"/>
      <c r="K1119" s="677"/>
    </row>
    <row r="1120" ht="20.1" customHeight="1" spans="1:11">
      <c r="A1120" s="675"/>
      <c r="B1120" s="755">
        <f t="shared" si="20"/>
        <v>6</v>
      </c>
      <c r="C1120" s="755" t="str">
        <f>IFERROR(VLOOKUP(B1120,DATEWISE!$A$3:$BY$27,2,0),0)</f>
        <v>31.08.2026</v>
      </c>
      <c r="D1120" s="755">
        <f>IF($C$1120=0,NA(),VLOOKUP($I$1111&amp;$B$1120,FLNFIX!$AK$4:$EF$103,2,0))</f>
        <v>2</v>
      </c>
      <c r="E1120" s="755">
        <f>IF($C$1120=0,NA(),VLOOKUP($I$1111&amp;$B$1120,FLNFIX!$AK$4:$EF$103,4,0))</f>
        <v>3</v>
      </c>
      <c r="F1120" s="755">
        <f>IF($C$1120=0,NA(),VLOOKUP($I$1111&amp;$B$1120,FLNFIX!$AK$4:$EF$103,3,0))</f>
        <v>2</v>
      </c>
      <c r="G1120" s="756">
        <f>IF($C$1120=0,NA(),VLOOKUP($I$1111&amp;$B$1120,FLNFIX!$AK$4:$EF$103,5,0))</f>
        <v>0</v>
      </c>
      <c r="H1120" s="757"/>
      <c r="I1120" s="757"/>
      <c r="J1120" s="758"/>
      <c r="K1120" s="677"/>
    </row>
    <row r="1121" ht="20.1" customHeight="1" spans="1:11">
      <c r="A1121" s="675"/>
      <c r="B1121" s="755">
        <f t="shared" si="20"/>
        <v>7</v>
      </c>
      <c r="C1121" s="755">
        <f>IFERROR(VLOOKUP(B1121,DATEWISE!$A$3:$BY$27,2,0),0)</f>
        <v>0</v>
      </c>
      <c r="D1121" s="755" t="e">
        <f>IF($C$1121=0,NA(),VLOOKUP($I$1111&amp;$B$1121,FLNFIX!$AP$4:$EF$103,2,0))</f>
        <v>#N/A</v>
      </c>
      <c r="E1121" s="755" t="e">
        <f>IF($C$1121=0,NA(),VLOOKUP($I$1111&amp;$B$1121,FLNFIX!$AP$4:$EF$103,4,0))</f>
        <v>#N/A</v>
      </c>
      <c r="F1121" s="755" t="e">
        <f>IF($C$1121=0,NA(),VLOOKUP($I$1111&amp;$B$1121,FLNFIX!$AP$4:$EF$103,3,0))</f>
        <v>#N/A</v>
      </c>
      <c r="G1121" s="756" t="e">
        <f>IF($C$1121=0,NA(),VLOOKUP($I$1111&amp;$B$1121,FLNFIX!$AP$4:$EF$103,5,0))</f>
        <v>#N/A</v>
      </c>
      <c r="H1121" s="757"/>
      <c r="I1121" s="757"/>
      <c r="J1121" s="758"/>
      <c r="K1121" s="677"/>
    </row>
    <row r="1122" ht="20.1" customHeight="1" spans="1:11">
      <c r="A1122" s="675"/>
      <c r="B1122" s="755">
        <f t="shared" si="20"/>
        <v>8</v>
      </c>
      <c r="C1122" s="755">
        <f>IFERROR(VLOOKUP(B1122,DATEWISE!$A$3:$BY$27,2,0),0)</f>
        <v>0</v>
      </c>
      <c r="D1122" s="755" t="e">
        <f>IF($C$1122=0,NA(),VLOOKUP($I$1111&amp;$B$1122,FLNFIX!$AU$4:$EF$103,2,0))</f>
        <v>#N/A</v>
      </c>
      <c r="E1122" s="755" t="e">
        <f>IF($C$1122=0,NA(),VLOOKUP($I$1111&amp;$B$1122,FLNFIX!$AU$4:$EF$103,4,0))</f>
        <v>#N/A</v>
      </c>
      <c r="F1122" s="755" t="e">
        <f>IF($C$1122=0,NA(),VLOOKUP($I$1111&amp;$B$1122,FLNFIX!$AU$4:$EF$103,3,0))</f>
        <v>#N/A</v>
      </c>
      <c r="G1122" s="756" t="e">
        <f>IF($C$1122=0,NA(),VLOOKUP($I$1111&amp;$B$1122,FLNFIX!$AU$4:$EF$103,5,0))</f>
        <v>#N/A</v>
      </c>
      <c r="H1122" s="757"/>
      <c r="I1122" s="757"/>
      <c r="J1122" s="758"/>
      <c r="K1122" s="677"/>
    </row>
    <row r="1123" ht="20.1" customHeight="1" spans="1:11">
      <c r="A1123" s="675"/>
      <c r="B1123" s="755">
        <f t="shared" si="20"/>
        <v>9</v>
      </c>
      <c r="C1123" s="755">
        <f>IFERROR(VLOOKUP(B1123,DATEWISE!$A$3:$BY$27,2,0),0)</f>
        <v>0</v>
      </c>
      <c r="D1123" s="755" t="e">
        <f>IF($C$1123=0,NA(),VLOOKUP($I$1111&amp;$B$1123,FLNFIX!$AZ$4:$EF$103,2,0))</f>
        <v>#N/A</v>
      </c>
      <c r="E1123" s="755" t="e">
        <f>IF($C$1123=0,NA(),VLOOKUP($I$1111&amp;$B$1123,FLNFIX!$AZ$4:$EF$103,4,0))</f>
        <v>#N/A</v>
      </c>
      <c r="F1123" s="755" t="e">
        <f>IF($C$1123=0,NA(),VLOOKUP($I$1111&amp;$B$1123,FLNFIX!$AZ$4:$EF$103,3,0))</f>
        <v>#N/A</v>
      </c>
      <c r="G1123" s="756" t="e">
        <f>IF($C$1123=0,NA(),VLOOKUP($I$1111&amp;$B$1123,FLNFIX!$AZ$4:$EF$103,5,0))</f>
        <v>#N/A</v>
      </c>
      <c r="H1123" s="757"/>
      <c r="I1123" s="757"/>
      <c r="J1123" s="758"/>
      <c r="K1123" s="677"/>
    </row>
    <row r="1124" ht="20.1" customHeight="1" spans="1:11">
      <c r="A1124" s="675"/>
      <c r="B1124" s="755">
        <f t="shared" si="20"/>
        <v>10</v>
      </c>
      <c r="C1124" s="755">
        <f>IFERROR(VLOOKUP(B1124,DATEWISE!$A$3:$BY$27,2,0),0)</f>
        <v>0</v>
      </c>
      <c r="D1124" s="755" t="e">
        <f>IF($C$1124=0,NA(),VLOOKUP($I$1111&amp;$B$1124,FLNFIX!$BE$4:$EF$103,2,0))</f>
        <v>#N/A</v>
      </c>
      <c r="E1124" s="755" t="e">
        <f>IF($C$1124=0,NA(),VLOOKUP($I$1111&amp;$B$1124,FLNFIX!$BE$4:$EF$103,4,0))</f>
        <v>#N/A</v>
      </c>
      <c r="F1124" s="755" t="e">
        <f>IF($C$1124=0,NA(),VLOOKUP($I$1111&amp;$B$1124,FLNFIX!$BE$4:$EF$103,3,0))</f>
        <v>#N/A</v>
      </c>
      <c r="G1124" s="756" t="e">
        <f>IF($C$1124=0,NA(),VLOOKUP($I$1111&amp;$B$1124,FLNFIX!$BE$4:$EF$103,5,0))</f>
        <v>#N/A</v>
      </c>
      <c r="H1124" s="757"/>
      <c r="I1124" s="757"/>
      <c r="J1124" s="758"/>
      <c r="K1124" s="677"/>
    </row>
    <row r="1125" ht="20.1" customHeight="1" spans="1:11">
      <c r="A1125" s="675"/>
      <c r="B1125" s="755">
        <f t="shared" si="20"/>
        <v>11</v>
      </c>
      <c r="C1125" s="755">
        <f>IFERROR(VLOOKUP(B1125,DATEWISE!$A$3:$BY$27,2,0),0)</f>
        <v>0</v>
      </c>
      <c r="D1125" s="755" t="e">
        <f>IF($C$1125=0,NA(),VLOOKUP($I$1111&amp;$B$1125,FLNFIX!$BJ$4:$EF$103,2,0))</f>
        <v>#N/A</v>
      </c>
      <c r="E1125" s="755" t="e">
        <f>IF($C$1125=0,NA(),VLOOKUP($I$1111&amp;$B$1125,FLNFIX!$BJ$4:$EF$103,4,0))</f>
        <v>#N/A</v>
      </c>
      <c r="F1125" s="755" t="e">
        <f>IF($C$1125=0,NA(),VLOOKUP($I$1111&amp;$B$1125,FLNFIX!$BJ$4:$EF$103,3,0))</f>
        <v>#N/A</v>
      </c>
      <c r="G1125" s="756" t="e">
        <f>IF($C$1125=0,NA(),VLOOKUP($I$1111&amp;$B$1125,FLNFIX!$BJ$4:$EF$103,5,0))</f>
        <v>#N/A</v>
      </c>
      <c r="H1125" s="757"/>
      <c r="I1125" s="757"/>
      <c r="J1125" s="758"/>
      <c r="K1125" s="677"/>
    </row>
    <row r="1126" ht="20.1" customHeight="1" spans="1:11">
      <c r="A1126" s="675"/>
      <c r="B1126" s="755">
        <f t="shared" si="20"/>
        <v>12</v>
      </c>
      <c r="C1126" s="755">
        <f>IFERROR(VLOOKUP(B1126,DATEWISE!$A$3:$BY$27,2,0),0)</f>
        <v>0</v>
      </c>
      <c r="D1126" s="755" t="e">
        <f>IF($C$1126=0,NA(),VLOOKUP($I$1111&amp;$B$1126,FLNFIX!$BO$4:$EF$103,2,0))</f>
        <v>#N/A</v>
      </c>
      <c r="E1126" s="755" t="e">
        <f>IF($C$1126=0,NA(),VLOOKUP($I$1111&amp;$B$1126,FLNFIX!$BO$4:$EF$103,4,0))</f>
        <v>#N/A</v>
      </c>
      <c r="F1126" s="755" t="e">
        <f>IF($C$1126=0,NA(),VLOOKUP($I$1111&amp;$B$1126,FLNFIX!$BO$4:$EF$103,3,0))</f>
        <v>#N/A</v>
      </c>
      <c r="G1126" s="756" t="e">
        <f>IF($C$1126=0,NA(),VLOOKUP($I$1111&amp;$B$1126,FLNFIX!$BO$4:$EF$103,5,0))</f>
        <v>#N/A</v>
      </c>
      <c r="H1126" s="757"/>
      <c r="I1126" s="757"/>
      <c r="J1126" s="758"/>
      <c r="K1126" s="677"/>
    </row>
    <row r="1127" ht="20.1" customHeight="1" spans="1:11">
      <c r="A1127" s="675"/>
      <c r="B1127" s="755">
        <f t="shared" si="20"/>
        <v>13</v>
      </c>
      <c r="C1127" s="755">
        <f>IFERROR(VLOOKUP(B1127,DATEWISE!$A$3:$BY$27,2,0),0)</f>
        <v>0</v>
      </c>
      <c r="D1127" s="755" t="e">
        <f>IF($C$1127=0,NA(),VLOOKUP($I$1111&amp;$B$1127,FLNFIX!$BT$4:$EF$103,2,0))</f>
        <v>#N/A</v>
      </c>
      <c r="E1127" s="755" t="e">
        <f>IF($C$1127=0,NA(),VLOOKUP($I$1111&amp;$B$1127,FLNFIX!$BT$4:$EF$103,4,0))</f>
        <v>#N/A</v>
      </c>
      <c r="F1127" s="755" t="e">
        <f>IF($C$1127=0,NA(),VLOOKUP($I$1111&amp;$B$1127,FLNFIX!$BT$4:$EF$103,3,0))</f>
        <v>#N/A</v>
      </c>
      <c r="G1127" s="756" t="e">
        <f>IF($C$1127=0,NA(),VLOOKUP($I$1111&amp;$B$1127,FLNFIX!$BT$4:$EF$103,5,0))</f>
        <v>#N/A</v>
      </c>
      <c r="H1127" s="757"/>
      <c r="I1127" s="757"/>
      <c r="J1127" s="758"/>
      <c r="K1127" s="677"/>
    </row>
    <row r="1128" ht="20.1" customHeight="1" spans="1:11">
      <c r="A1128" s="675"/>
      <c r="B1128" s="755">
        <f t="shared" si="20"/>
        <v>14</v>
      </c>
      <c r="C1128" s="755">
        <f>IFERROR(VLOOKUP(B1128,DATEWISE!$A$3:$BY$27,2,0),0)</f>
        <v>0</v>
      </c>
      <c r="D1128" s="755" t="e">
        <f>IF($C$1128=0,NA(),VLOOKUP($I$1111&amp;$B$1128,FLNFIX!$BY$4:$EF$103,2,0))</f>
        <v>#N/A</v>
      </c>
      <c r="E1128" s="755" t="e">
        <f>IF($C$1128=0,NA(),VLOOKUP($I$1111&amp;$B$1128,FLNFIX!$BY$4:$EF$103,4,0))</f>
        <v>#N/A</v>
      </c>
      <c r="F1128" s="755" t="e">
        <f>IF($C$1128=0,NA(),VLOOKUP($I$1111&amp;$B$1128,FLNFIX!$BY$4:$EF$103,3,0))</f>
        <v>#N/A</v>
      </c>
      <c r="G1128" s="756" t="e">
        <f>IF($C$1128=0,NA(),VLOOKUP($I$1111&amp;$B$1128,FLNFIX!$BY$4:$EF$103,5,0))</f>
        <v>#N/A</v>
      </c>
      <c r="H1128" s="757"/>
      <c r="I1128" s="757"/>
      <c r="J1128" s="758"/>
      <c r="K1128" s="677"/>
    </row>
    <row r="1129" ht="20.1" customHeight="1" spans="1:11">
      <c r="A1129" s="675"/>
      <c r="B1129" s="755">
        <f t="shared" si="20"/>
        <v>15</v>
      </c>
      <c r="C1129" s="755">
        <f>IFERROR(VLOOKUP(B1129,DATEWISE!$A$3:$BY$27,2,0),0)</f>
        <v>0</v>
      </c>
      <c r="D1129" s="755" t="e">
        <f>IF($C$1129=0,NA(),VLOOKUP($I$1111&amp;$B$1129,FLNFIX!$CD$4:$EF$103,2,0))</f>
        <v>#N/A</v>
      </c>
      <c r="E1129" s="755" t="e">
        <f>IF($C$1129=0,NA(),VLOOKUP($I$1111&amp;$B$1129,FLNFIX!$CD$4:$EF$103,4,0))</f>
        <v>#N/A</v>
      </c>
      <c r="F1129" s="755" t="e">
        <f>IF($C$1129=0,NA(),VLOOKUP($I$1111&amp;$B$1129,FLNFIX!$CD$4:$EF$103,3,0))</f>
        <v>#N/A</v>
      </c>
      <c r="G1129" s="756" t="e">
        <f>IF($C$1129=0,NA(),VLOOKUP($I$1111&amp;$B$1129,FLNFIX!$CD$4:$EF$103,5,0))</f>
        <v>#N/A</v>
      </c>
      <c r="H1129" s="757"/>
      <c r="I1129" s="757"/>
      <c r="J1129" s="758"/>
      <c r="K1129" s="677"/>
    </row>
    <row r="1130" ht="20.1" customHeight="1" spans="1:11">
      <c r="A1130" s="675"/>
      <c r="B1130" s="755">
        <f t="shared" si="20"/>
        <v>16</v>
      </c>
      <c r="C1130" s="755">
        <f>IFERROR(VLOOKUP(B1130,DATEWISE!$A$3:$BY$27,2,0),0)</f>
        <v>0</v>
      </c>
      <c r="D1130" s="755" t="e">
        <f>IF($C$1130=0,NA(),VLOOKUP($I$1111&amp;$B$1130,FLNFIX!$CI$4:$EF$103,2,0))</f>
        <v>#N/A</v>
      </c>
      <c r="E1130" s="755" t="e">
        <f>IF($C$1130=0,NA(),VLOOKUP($I$1111&amp;$B$1130,FLNFIX!$CI$4:$EF$103,4,0))</f>
        <v>#N/A</v>
      </c>
      <c r="F1130" s="755" t="e">
        <f>IF($C$1130=0,NA(),VLOOKUP($I$1111&amp;$B$1130,FLNFIX!$CI$4:$EF$103,3,0))</f>
        <v>#N/A</v>
      </c>
      <c r="G1130" s="756" t="e">
        <f>IF($C$1130=0,NA(),VLOOKUP($I$1111&amp;$B$1130,FLNFIX!$CI$4:$EF$103,5,0))</f>
        <v>#N/A</v>
      </c>
      <c r="H1130" s="757"/>
      <c r="I1130" s="757"/>
      <c r="J1130" s="758"/>
      <c r="K1130" s="677"/>
    </row>
    <row r="1131" ht="20.1" customHeight="1" spans="1:11">
      <c r="A1131" s="675"/>
      <c r="B1131" s="755">
        <f t="shared" si="20"/>
        <v>17</v>
      </c>
      <c r="C1131" s="755">
        <f>IFERROR(VLOOKUP(B1131,DATEWISE!$A$3:$BY$27,2,0),0)</f>
        <v>0</v>
      </c>
      <c r="D1131" s="755" t="e">
        <f>IF($C$1131=0,NA(),VLOOKUP($I$1111&amp;$B$1131,FLNFIX!$CN$4:$EF$103,2,0))</f>
        <v>#N/A</v>
      </c>
      <c r="E1131" s="755" t="e">
        <f>IF($C$1131=0,NA(),VLOOKUP($I$1111&amp;$B$1131,FLNFIX!$CN$4:$EF$103,4,0))</f>
        <v>#N/A</v>
      </c>
      <c r="F1131" s="755" t="e">
        <f>IF($C$1131=0,NA(),VLOOKUP($I$1111&amp;$B$1131,FLNFIX!$CN$4:$EF$103,3,0))</f>
        <v>#N/A</v>
      </c>
      <c r="G1131" s="756" t="e">
        <f>IF($C$1131=0,NA(),VLOOKUP($I$1111&amp;$B$1131,FLNFIX!$CN$4:$EF$103,5,0))</f>
        <v>#N/A</v>
      </c>
      <c r="H1131" s="757"/>
      <c r="I1131" s="757"/>
      <c r="J1131" s="758"/>
      <c r="K1131" s="677"/>
    </row>
    <row r="1132" ht="20.1" customHeight="1" spans="1:11">
      <c r="A1132" s="675"/>
      <c r="B1132" s="755">
        <f t="shared" si="20"/>
        <v>18</v>
      </c>
      <c r="C1132" s="755">
        <f>IFERROR(VLOOKUP(B1132,DATEWISE!$A$3:$BY$27,2,0),0)</f>
        <v>0</v>
      </c>
      <c r="D1132" s="755" t="e">
        <f>IF($C$1132=0,NA(),VLOOKUP($I$1111&amp;$B$1132,FLNFIX!$CS$4:$EF$103,2,0))</f>
        <v>#N/A</v>
      </c>
      <c r="E1132" s="755" t="e">
        <f>IF($C$1132=0,NA(),VLOOKUP($I$1111&amp;$B$1132,FLNFIX!$CS$4:$EF$103,4,0))</f>
        <v>#N/A</v>
      </c>
      <c r="F1132" s="755" t="e">
        <f>IF($C$1132=0,NA(),VLOOKUP($I$1111&amp;$B$1132,FLNFIX!$CS$4:$EF$103,3,0))</f>
        <v>#N/A</v>
      </c>
      <c r="G1132" s="756" t="e">
        <f>IF($C$1132=0,NA(),VLOOKUP($I$1111&amp;$B$1132,FLNFIX!$CS$4:$EF$103,5,0))</f>
        <v>#N/A</v>
      </c>
      <c r="H1132" s="757"/>
      <c r="I1132" s="757"/>
      <c r="J1132" s="758"/>
      <c r="K1132" s="677"/>
    </row>
    <row r="1133" ht="20.1" customHeight="1" spans="1:11">
      <c r="A1133" s="675"/>
      <c r="B1133" s="755">
        <f t="shared" si="20"/>
        <v>19</v>
      </c>
      <c r="C1133" s="755">
        <f>IFERROR(VLOOKUP(B1133,DATEWISE!$A$3:$BY$27,2,0),0)</f>
        <v>0</v>
      </c>
      <c r="D1133" s="755" t="e">
        <f>IF($C$1133=0,NA(),VLOOKUP($I$1111&amp;$B$1133,FLNFIX!$CX$4:$EF$103,2,0))</f>
        <v>#N/A</v>
      </c>
      <c r="E1133" s="755" t="e">
        <f>IF($C$1133=0,NA(),VLOOKUP($I$1111&amp;$B$1133,FLNFIX!$CX$4:$EF$103,4,0))</f>
        <v>#N/A</v>
      </c>
      <c r="F1133" s="755" t="e">
        <f>IF($C$1133=0,NA(),VLOOKUP($I$1111&amp;$B$1133,FLNFIX!$CX$4:$EF$103,3,0))</f>
        <v>#N/A</v>
      </c>
      <c r="G1133" s="756" t="e">
        <f>IF($C$1133=0,NA(),VLOOKUP($I$1111&amp;$B$1133,FLNFIX!$CX$4:$EF$103,5,0))</f>
        <v>#N/A</v>
      </c>
      <c r="H1133" s="757"/>
      <c r="I1133" s="757"/>
      <c r="J1133" s="758"/>
      <c r="K1133" s="677"/>
    </row>
    <row r="1134" ht="20.1" customHeight="1" spans="1:11">
      <c r="A1134" s="675"/>
      <c r="B1134" s="755">
        <f t="shared" si="20"/>
        <v>20</v>
      </c>
      <c r="C1134" s="755">
        <f>IFERROR(VLOOKUP(B1134,DATEWISE!$A$3:$BY$27,2,0),0)</f>
        <v>0</v>
      </c>
      <c r="D1134" s="755" t="e">
        <f>IF($C$1134=0,NA(),VLOOKUP($I$1111&amp;$B$1134,FLNFIX!$DC$4:$EF$103,2,0))</f>
        <v>#N/A</v>
      </c>
      <c r="E1134" s="755" t="e">
        <f>IF($C$1134=0,NA(),VLOOKUP($I$1111&amp;$B$1134,FLNFIX!$DC$4:$EF$103,4,0))</f>
        <v>#N/A</v>
      </c>
      <c r="F1134" s="755" t="e">
        <f>IF($C$1134=0,NA(),VLOOKUP($I$1111&amp;$B$1134,FLNFIX!$DC$4:$EF$103,3,0))</f>
        <v>#N/A</v>
      </c>
      <c r="G1134" s="756" t="e">
        <f>IF($C$1134=0,NA(),VLOOKUP($I$1111&amp;$B$1134,FLNFIX!$DC$4:$EF$103,5,0))</f>
        <v>#N/A</v>
      </c>
      <c r="H1134" s="757"/>
      <c r="I1134" s="757"/>
      <c r="J1134" s="758"/>
      <c r="K1134" s="677"/>
    </row>
    <row r="1135" ht="20.1" customHeight="1" spans="1:11">
      <c r="A1135" s="675"/>
      <c r="B1135" s="755">
        <f t="shared" si="20"/>
        <v>21</v>
      </c>
      <c r="C1135" s="755">
        <f>IFERROR(VLOOKUP(B1135,DATEWISE!$A$3:$BY$27,2,0),0)</f>
        <v>0</v>
      </c>
      <c r="D1135" s="755" t="e">
        <f>IF($C$1135=0,NA(),VLOOKUP($I$1111&amp;$B$1135,FLNFIX!$DH$4:$EF$103,2,0))</f>
        <v>#N/A</v>
      </c>
      <c r="E1135" s="755" t="e">
        <f>IF($C$1135=0,NA(),VLOOKUP($I$1111&amp;$B$1135,FLNFIX!$DH$4:$EF$103,4,0))</f>
        <v>#N/A</v>
      </c>
      <c r="F1135" s="755" t="e">
        <f>IF($C$1135=0,NA(),VLOOKUP($I$1111&amp;$B$1135,FLNFIX!$DH$4:$EF$103,3,0))</f>
        <v>#N/A</v>
      </c>
      <c r="G1135" s="756" t="e">
        <f>IF($C$1135=0,NA(),VLOOKUP($I$1111&amp;$B$1135,FLNFIX!$DH$4:$EF$103,5,0))</f>
        <v>#N/A</v>
      </c>
      <c r="H1135" s="757"/>
      <c r="I1135" s="757"/>
      <c r="J1135" s="758"/>
      <c r="K1135" s="677"/>
    </row>
    <row r="1136" ht="5.1" customHeight="1" spans="1:11">
      <c r="A1136" s="675"/>
      <c r="B1136" s="759"/>
      <c r="C1136" s="759"/>
      <c r="D1136" s="760"/>
      <c r="E1136" s="760"/>
      <c r="F1136" s="760"/>
      <c r="G1136" s="761"/>
      <c r="H1136" s="761"/>
      <c r="I1136" s="761"/>
      <c r="J1136" s="761"/>
      <c r="K1136" s="677"/>
    </row>
    <row r="1137" s="667" customFormat="1" ht="24.95" customHeight="1" spans="1:11">
      <c r="A1137" s="711"/>
      <c r="B1137" s="762" t="s">
        <v>431</v>
      </c>
      <c r="C1137" s="763"/>
      <c r="D1137" s="763"/>
      <c r="E1137" s="763"/>
      <c r="F1137" s="763"/>
      <c r="G1137" s="763"/>
      <c r="H1137" s="763"/>
      <c r="I1137" s="763"/>
      <c r="J1137" s="764"/>
      <c r="K1137" s="713"/>
    </row>
    <row r="1138" spans="1:11">
      <c r="A1138" s="675"/>
      <c r="B1138" s="765"/>
      <c r="C1138" s="686"/>
      <c r="D1138" s="686"/>
      <c r="E1138" s="686"/>
      <c r="F1138" s="686"/>
      <c r="G1138" s="686"/>
      <c r="H1138" s="686"/>
      <c r="I1138" s="686"/>
      <c r="J1138" s="766"/>
      <c r="K1138" s="677"/>
    </row>
    <row r="1139" spans="1:11">
      <c r="A1139" s="675"/>
      <c r="B1139" s="765"/>
      <c r="C1139" s="686"/>
      <c r="D1139" s="686"/>
      <c r="E1139" s="686"/>
      <c r="F1139" s="686"/>
      <c r="G1139" s="686"/>
      <c r="H1139" s="686"/>
      <c r="I1139" s="686"/>
      <c r="J1139" s="766"/>
      <c r="K1139" s="677"/>
    </row>
    <row r="1140" spans="1:11">
      <c r="A1140" s="675"/>
      <c r="B1140" s="765"/>
      <c r="C1140" s="686"/>
      <c r="D1140" s="686"/>
      <c r="E1140" s="686"/>
      <c r="F1140" s="686"/>
      <c r="G1140" s="686"/>
      <c r="H1140" s="686"/>
      <c r="I1140" s="686"/>
      <c r="J1140" s="766"/>
      <c r="K1140" s="677"/>
    </row>
    <row r="1141" spans="1:11">
      <c r="A1141" s="675"/>
      <c r="B1141" s="765"/>
      <c r="C1141" s="686"/>
      <c r="D1141" s="686"/>
      <c r="E1141" s="686"/>
      <c r="F1141" s="686"/>
      <c r="G1141" s="686"/>
      <c r="H1141" s="686"/>
      <c r="I1141" s="686"/>
      <c r="J1141" s="766"/>
      <c r="K1141" s="677"/>
    </row>
    <row r="1142" spans="1:11">
      <c r="A1142" s="675"/>
      <c r="B1142" s="765"/>
      <c r="C1142" s="686"/>
      <c r="D1142" s="686"/>
      <c r="E1142" s="686"/>
      <c r="F1142" s="686"/>
      <c r="G1142" s="686"/>
      <c r="H1142" s="686"/>
      <c r="I1142" s="686"/>
      <c r="J1142" s="766"/>
      <c r="K1142" s="677"/>
    </row>
    <row r="1143" spans="1:11">
      <c r="A1143" s="675"/>
      <c r="B1143" s="765"/>
      <c r="C1143" s="686"/>
      <c r="D1143" s="686"/>
      <c r="E1143" s="686"/>
      <c r="F1143" s="686"/>
      <c r="G1143" s="686"/>
      <c r="H1143" s="686"/>
      <c r="I1143" s="686"/>
      <c r="J1143" s="766"/>
      <c r="K1143" s="677"/>
    </row>
    <row r="1144" spans="1:11">
      <c r="A1144" s="675"/>
      <c r="B1144" s="765"/>
      <c r="C1144" s="686"/>
      <c r="D1144" s="686"/>
      <c r="E1144" s="686"/>
      <c r="F1144" s="686"/>
      <c r="G1144" s="686"/>
      <c r="H1144" s="686"/>
      <c r="I1144" s="686"/>
      <c r="J1144" s="766"/>
      <c r="K1144" s="677"/>
    </row>
    <row r="1145" spans="1:11">
      <c r="A1145" s="675"/>
      <c r="B1145" s="765"/>
      <c r="C1145" s="686"/>
      <c r="D1145" s="686"/>
      <c r="E1145" s="686"/>
      <c r="F1145" s="686"/>
      <c r="G1145" s="686"/>
      <c r="H1145" s="686"/>
      <c r="I1145" s="686"/>
      <c r="J1145" s="766"/>
      <c r="K1145" s="677"/>
    </row>
    <row r="1146" spans="1:11">
      <c r="A1146" s="675"/>
      <c r="B1146" s="765"/>
      <c r="C1146" s="686"/>
      <c r="D1146" s="686"/>
      <c r="E1146" s="686"/>
      <c r="F1146" s="686"/>
      <c r="G1146" s="686"/>
      <c r="H1146" s="686"/>
      <c r="I1146" s="686"/>
      <c r="J1146" s="766"/>
      <c r="K1146" s="677"/>
    </row>
    <row r="1147" spans="1:11">
      <c r="A1147" s="675"/>
      <c r="B1147" s="767"/>
      <c r="C1147" s="768"/>
      <c r="D1147" s="768"/>
      <c r="E1147" s="768"/>
      <c r="F1147" s="768"/>
      <c r="G1147" s="768"/>
      <c r="H1147" s="768"/>
      <c r="I1147" s="768"/>
      <c r="J1147" s="769"/>
      <c r="K1147" s="677"/>
    </row>
    <row r="1148" ht="5.1" customHeight="1" spans="1:11">
      <c r="A1148" s="675"/>
      <c r="B1148" s="686"/>
      <c r="C1148" s="686"/>
      <c r="D1148" s="686"/>
      <c r="E1148" s="686"/>
      <c r="F1148" s="686"/>
      <c r="G1148" s="686"/>
      <c r="H1148" s="686"/>
      <c r="I1148" s="686"/>
      <c r="J1148" s="686"/>
      <c r="K1148" s="677"/>
    </row>
    <row r="1149" spans="1:11">
      <c r="A1149" s="675"/>
      <c r="B1149" s="770" t="s">
        <v>432</v>
      </c>
      <c r="C1149" s="770"/>
      <c r="D1149" s="770"/>
      <c r="E1149" s="770"/>
      <c r="F1149" s="770"/>
      <c r="G1149" s="770"/>
      <c r="H1149" s="770"/>
      <c r="I1149" s="770"/>
      <c r="J1149" s="770"/>
      <c r="K1149" s="677"/>
    </row>
    <row r="1150" spans="1:11">
      <c r="A1150" s="675"/>
      <c r="B1150" s="771"/>
      <c r="C1150" s="771"/>
      <c r="D1150" s="771"/>
      <c r="E1150" s="771"/>
      <c r="F1150" s="771"/>
      <c r="G1150" s="771"/>
      <c r="H1150" s="771"/>
      <c r="I1150" s="771"/>
      <c r="J1150" s="771"/>
      <c r="K1150" s="677"/>
    </row>
    <row r="1151" spans="1:11">
      <c r="A1151" s="675"/>
      <c r="B1151" s="771"/>
      <c r="C1151" s="771"/>
      <c r="D1151" s="771"/>
      <c r="E1151" s="771"/>
      <c r="F1151" s="771"/>
      <c r="G1151" s="771"/>
      <c r="H1151" s="771"/>
      <c r="I1151" s="771"/>
      <c r="J1151" s="771"/>
      <c r="K1151" s="677"/>
    </row>
    <row r="1152" spans="1:11">
      <c r="A1152" s="675"/>
      <c r="B1152" s="771"/>
      <c r="C1152" s="771"/>
      <c r="D1152" s="771"/>
      <c r="E1152" s="771"/>
      <c r="F1152" s="771"/>
      <c r="G1152" s="771"/>
      <c r="H1152" s="771"/>
      <c r="I1152" s="771"/>
      <c r="J1152" s="771"/>
      <c r="K1152" s="677"/>
    </row>
    <row r="1153" spans="1:11">
      <c r="A1153" s="675"/>
      <c r="B1153" s="686"/>
      <c r="C1153" s="686"/>
      <c r="D1153" s="686"/>
      <c r="E1153" s="686"/>
      <c r="F1153" s="686"/>
      <c r="G1153" s="686"/>
      <c r="H1153" s="686"/>
      <c r="I1153" s="686"/>
      <c r="J1153" s="686"/>
      <c r="K1153" s="677"/>
    </row>
    <row r="1154" spans="1:11">
      <c r="A1154" s="675"/>
      <c r="B1154" s="686"/>
      <c r="C1154" s="729" t="s">
        <v>433</v>
      </c>
      <c r="D1154" s="729"/>
      <c r="E1154" s="686"/>
      <c r="F1154" s="686"/>
      <c r="G1154" s="729" t="s">
        <v>434</v>
      </c>
      <c r="H1154" s="729"/>
      <c r="I1154" s="729"/>
      <c r="J1154" s="729"/>
      <c r="K1154" s="677"/>
    </row>
    <row r="1155" ht="16.35" spans="1:11">
      <c r="A1155" s="725"/>
      <c r="B1155" s="726"/>
      <c r="C1155" s="732" t="str">
        <f>"("&amp;PROPER(ENTRY!$D$19)&amp;")"</f>
        <v>(Indrajeet)</v>
      </c>
      <c r="D1155" s="732"/>
      <c r="E1155" s="726"/>
      <c r="F1155" s="726"/>
      <c r="G1155" s="732" t="str">
        <f>"("&amp;PROPER(ENTRY!$D$12)&amp;")"</f>
        <v>(Shambhu Dayal Meena)</v>
      </c>
      <c r="H1155" s="732"/>
      <c r="I1155" s="732"/>
      <c r="J1155" s="732"/>
      <c r="K1155" s="728"/>
    </row>
    <row r="1156" ht="24.6" spans="1:11">
      <c r="B1156" s="734"/>
      <c r="C1156" s="734"/>
      <c r="D1156" s="669" t="str">
        <f>ENTRY!$D$3</f>
        <v>MUNICIPAL CORPORATION OF DELHI</v>
      </c>
      <c r="E1156" s="669"/>
      <c r="F1156" s="669"/>
      <c r="G1156" s="669"/>
      <c r="H1156" s="734"/>
      <c r="I1156" s="669"/>
      <c r="J1156" s="669"/>
    </row>
    <row r="1157" ht="20.4" spans="1:11">
      <c r="B1157" s="735"/>
      <c r="C1157" s="735"/>
      <c r="D1157" s="670" t="str">
        <f>ENTRY!$D$4</f>
        <v>EDUCATION DEPARTMENT</v>
      </c>
      <c r="E1157" s="670"/>
      <c r="F1157" s="670"/>
      <c r="G1157" s="670"/>
      <c r="H1157" s="735"/>
      <c r="I1157" s="669"/>
      <c r="J1157" s="669"/>
    </row>
    <row r="1158" ht="22.8" spans="1:11">
      <c r="B1158" s="736"/>
      <c r="C1158" s="736"/>
      <c r="D1158" s="664" t="s">
        <v>417</v>
      </c>
      <c r="E1158" s="664"/>
      <c r="F1158" s="664"/>
      <c r="G1158" s="664"/>
      <c r="H1158" s="736"/>
      <c r="I1158" s="669"/>
      <c r="J1158" s="669"/>
    </row>
    <row r="1159" ht="22.8" spans="1:11">
      <c r="B1159" s="736"/>
      <c r="C1159" s="736"/>
      <c r="D1159" s="664" t="s">
        <v>418</v>
      </c>
      <c r="E1159" s="664"/>
      <c r="F1159" s="664"/>
      <c r="G1159" s="664"/>
      <c r="H1159" s="736"/>
      <c r="I1159" s="669"/>
      <c r="J1159" s="669"/>
    </row>
    <row r="1160" ht="24.95" customHeight="1" spans="1:11">
      <c r="B1160" s="735"/>
      <c r="C1160" s="735"/>
      <c r="D1160" s="737" t="str">
        <f>"SESSION : "&amp;ENTRY!$D$11</f>
        <v>SESSION : 2026-27</v>
      </c>
      <c r="E1160" s="737"/>
      <c r="F1160" s="737"/>
      <c r="G1160" s="737"/>
      <c r="H1160" s="735"/>
      <c r="I1160" s="738"/>
      <c r="J1160" s="738"/>
    </row>
    <row r="1161" ht="3.75" customHeight="1" spans="1:11">
      <c r="A1161" s="672"/>
      <c r="B1161" s="739"/>
      <c r="C1161" s="739"/>
      <c r="D1161" s="739"/>
      <c r="E1161" s="739"/>
      <c r="F1161" s="739"/>
      <c r="G1161" s="739"/>
      <c r="H1161" s="739"/>
      <c r="I1161" s="739"/>
      <c r="J1161" s="739"/>
      <c r="K1161" s="674"/>
    </row>
    <row r="1162" ht="21.95" customHeight="1" spans="1:11">
      <c r="A1162" s="675"/>
      <c r="B1162" s="676" t="s">
        <v>419</v>
      </c>
      <c r="C1162" s="676"/>
      <c r="D1162" s="676" t="str">
        <f>ENTRY!$D$6</f>
        <v>MCP NITHARI NO 1 BOYS</v>
      </c>
      <c r="E1162" s="676"/>
      <c r="F1162" s="676"/>
      <c r="G1162" s="676"/>
      <c r="H1162" s="676"/>
      <c r="I1162" s="676"/>
      <c r="J1162" s="676"/>
      <c r="K1162" s="677"/>
    </row>
    <row r="1163" ht="21.95" customHeight="1" spans="1:11">
      <c r="A1163" s="675"/>
      <c r="B1163" s="676" t="s">
        <v>420</v>
      </c>
      <c r="C1163" s="676"/>
      <c r="D1163" s="740" t="str">
        <f>IFERROR(VLOOKUP($I$1166,STUDENT!$A$2:$BP$101,5,0),"")</f>
        <v>ABHISHEK MUKHIYA</v>
      </c>
      <c r="E1163" s="740"/>
      <c r="F1163" s="740"/>
      <c r="G1163" s="740"/>
      <c r="H1163" s="740"/>
      <c r="I1163" s="740"/>
      <c r="J1163" s="740"/>
      <c r="K1163" s="677"/>
    </row>
    <row r="1164" ht="21.95" customHeight="1" spans="1:11">
      <c r="A1164" s="675"/>
      <c r="B1164" s="676" t="s">
        <v>421</v>
      </c>
      <c r="C1164" s="676"/>
      <c r="D1164" s="740" t="str">
        <f>IFERROR(VLOOKUP($I$1166,STUDENT!$A$2:$BP$101,8,0),"")</f>
        <v>ARJUN MUKHIYA</v>
      </c>
      <c r="E1164" s="740"/>
      <c r="F1164" s="740"/>
      <c r="G1164" s="740"/>
      <c r="H1164" s="740"/>
      <c r="I1164" s="740"/>
      <c r="J1164" s="740"/>
      <c r="K1164" s="677"/>
    </row>
    <row r="1165" ht="21.95" customHeight="1" spans="1:11">
      <c r="A1165" s="675"/>
      <c r="B1165" s="676" t="s">
        <v>422</v>
      </c>
      <c r="C1165" s="676"/>
      <c r="D1165" s="740">
        <f>IFERROR(VLOOKUP($I$1166,STUDENT!$A$2:$BP$101,6,0),"")</f>
        <v>14804</v>
      </c>
      <c r="E1165" s="740"/>
      <c r="F1165" s="740"/>
      <c r="G1165" s="740"/>
      <c r="H1165" s="740"/>
      <c r="I1165" s="740"/>
      <c r="J1165" s="740"/>
      <c r="K1165" s="677"/>
    </row>
    <row r="1166" ht="21.95" customHeight="1" spans="1:11">
      <c r="A1166" s="675"/>
      <c r="B1166" s="676" t="s">
        <v>423</v>
      </c>
      <c r="C1166" s="676"/>
      <c r="D1166" s="741" t="str">
        <f>IFERROR(VLOOKUP($I$1166,STUDENT!$A$2:$BP$101,59,0),"")</f>
        <v/>
      </c>
      <c r="E1166" s="742" t="s">
        <v>424</v>
      </c>
      <c r="F1166" s="704" t="str">
        <f>IFERROR(VLOOKUP($I$1166,STUDENT!$A$2:$BP$101,2,0),"")</f>
        <v>III-A</v>
      </c>
      <c r="G1166" s="742" t="s">
        <v>425</v>
      </c>
      <c r="H1166" s="743"/>
      <c r="I1166" s="733">
        <f>I1111+1</f>
        <v>22</v>
      </c>
      <c r="J1166" s="683"/>
      <c r="K1166" s="677"/>
    </row>
    <row r="1167" ht="5.1" customHeight="1" spans="1:11">
      <c r="A1167" s="675"/>
      <c r="B1167" s="745"/>
      <c r="C1167" s="745"/>
      <c r="D1167" s="746"/>
      <c r="E1167" s="747"/>
      <c r="F1167" s="748"/>
      <c r="G1167" s="747"/>
      <c r="H1167" s="686"/>
      <c r="I1167" s="686"/>
      <c r="J1167" s="686"/>
      <c r="K1167" s="677"/>
    </row>
    <row r="1168" s="664" customFormat="1" ht="32.1" customHeight="1" spans="1:11">
      <c r="A1168" s="688"/>
      <c r="B1168" s="749" t="s">
        <v>426</v>
      </c>
      <c r="C1168" s="750"/>
      <c r="D1168" s="750"/>
      <c r="E1168" s="750"/>
      <c r="F1168" s="750"/>
      <c r="G1168" s="750"/>
      <c r="H1168" s="750"/>
      <c r="I1168" s="750"/>
      <c r="J1168" s="751"/>
      <c r="K1168" s="690"/>
    </row>
    <row r="1169" ht="51.6" spans="1:11">
      <c r="A1169" s="675"/>
      <c r="B1169" s="752">
        <v>21</v>
      </c>
      <c r="C1169" s="753" t="s">
        <v>427</v>
      </c>
      <c r="D1169" s="754" t="s">
        <v>428</v>
      </c>
      <c r="E1169" s="754" t="s">
        <v>429</v>
      </c>
      <c r="F1169" s="754" t="s">
        <v>430</v>
      </c>
      <c r="G1169" s="753" t="s">
        <v>390</v>
      </c>
      <c r="H1169" s="714"/>
      <c r="I1169" s="714"/>
      <c r="J1169" s="714"/>
      <c r="K1169" s="677"/>
    </row>
    <row r="1170" ht="20.1" customHeight="1" spans="1:11">
      <c r="A1170" s="675"/>
      <c r="B1170" s="755">
        <v>1</v>
      </c>
      <c r="C1170" s="755" t="str">
        <f>IFERROR(VLOOKUP(B1170,DATEWISE!$A$3:$BY$27,2,0),0)</f>
        <v>30.04.2026</v>
      </c>
      <c r="D1170" s="755">
        <f>IF($C$1170=0,NA(),VLOOKUP($I$1166&amp;$B$1170,FLNFIX!$L$4:$EF$103,2,0))</f>
        <v>2</v>
      </c>
      <c r="E1170" s="755">
        <f>IF($C$1170=0,NA(),VLOOKUP($I$1166&amp;$B$1170,FLNFIX!$L$4:$EF$103,4,0))</f>
        <v>3</v>
      </c>
      <c r="F1170" s="755">
        <f>IF($C$1170=0,NA(),VLOOKUP($I$1166&amp;$B$1170,FLNFIX!$L$4:$EF$103,3,0))</f>
        <v>2</v>
      </c>
      <c r="G1170" s="756">
        <f>IF($C$1170=0,NA(),VLOOKUP($I$1166&amp;$B$1170,FLNFIX!$L$4:$EF$103,5,0))</f>
        <v>0</v>
      </c>
      <c r="H1170" s="757"/>
      <c r="I1170" s="757"/>
      <c r="J1170" s="758"/>
      <c r="K1170" s="677"/>
    </row>
    <row r="1171" ht="20.1" customHeight="1" spans="1:11">
      <c r="A1171" s="675"/>
      <c r="B1171" s="755">
        <f t="shared" ref="B1171:B1190" si="21">IF(B1170=0,0,IF(B1170&lt;$B$1169,B1170+1,""))</f>
        <v>2</v>
      </c>
      <c r="C1171" s="755" t="str">
        <f>IFERROR(VLOOKUP(B1171,DATEWISE!$A$3:$BY$27,2,0),0)</f>
        <v>08.05.2026</v>
      </c>
      <c r="D1171" s="755">
        <f>IF($C$1171=0,NA(),VLOOKUP($I$1166&amp;$B$1171,FLNFIX!$Q$4:$EF$103,2,0))</f>
        <v>2</v>
      </c>
      <c r="E1171" s="755">
        <f>IF($C$1171=0,NA(),VLOOKUP($I$1166&amp;$B$1171,FLNFIX!$Q$4:$EF$103,4,0))</f>
        <v>3</v>
      </c>
      <c r="F1171" s="755">
        <f>IF($C$1171=0,NA(),VLOOKUP($I$1166&amp;$B$1171,FLNFIX!$Q$4:$EF$103,3,0))</f>
        <v>2</v>
      </c>
      <c r="G1171" s="756">
        <f>IF($C$1171=0,NA(),VLOOKUP($I$1166&amp;$B$1171,FLNFIX!$Q$4:$EF$103,5,0))</f>
        <v>0</v>
      </c>
      <c r="H1171" s="757"/>
      <c r="I1171" s="757"/>
      <c r="J1171" s="758"/>
      <c r="K1171" s="677"/>
    </row>
    <row r="1172" ht="20.1" customHeight="1" spans="1:11">
      <c r="A1172" s="675"/>
      <c r="B1172" s="755">
        <f t="shared" si="21"/>
        <v>3</v>
      </c>
      <c r="C1172" s="755" t="str">
        <f>IFERROR(VLOOKUP(B1172,DATEWISE!$A$3:$BY$27,2,0),0)</f>
        <v>15.07.2026</v>
      </c>
      <c r="D1172" s="755">
        <f>IF($C$1172=0,NA(),VLOOKUP($I$1166&amp;$B$1172,FLNFIX!$V$4:$EF$103,2,0))</f>
        <v>2</v>
      </c>
      <c r="E1172" s="755">
        <f>IF($C$1172=0,NA(),VLOOKUP($I$1166&amp;$B$1172,FLNFIX!$V$4:$EF$103,4,0))</f>
        <v>3</v>
      </c>
      <c r="F1172" s="755">
        <f>IF($C$1172=0,NA(),VLOOKUP($I$1166&amp;$B$1172,FLNFIX!$V$4:$EF$103,3,0))</f>
        <v>2</v>
      </c>
      <c r="G1172" s="756">
        <f>IF($C$1172=0,NA(),VLOOKUP($I$1166&amp;$B$1172,FLNFIX!$V$4:$EF$103,5,0))</f>
        <v>0</v>
      </c>
      <c r="H1172" s="757"/>
      <c r="I1172" s="757"/>
      <c r="J1172" s="758"/>
      <c r="K1172" s="677"/>
    </row>
    <row r="1173" ht="20.1" customHeight="1" spans="1:11">
      <c r="A1173" s="675"/>
      <c r="B1173" s="755">
        <f t="shared" si="21"/>
        <v>4</v>
      </c>
      <c r="C1173" s="755" t="str">
        <f>IFERROR(VLOOKUP(B1173,DATEWISE!$A$3:$BY$27,2,0),0)</f>
        <v>31.07.2026</v>
      </c>
      <c r="D1173" s="755">
        <f>IF($C$1173=0,NA(),VLOOKUP($I$1166&amp;$B$1173,FLNFIX!$AA$4:$EF$103,2,0))</f>
        <v>2</v>
      </c>
      <c r="E1173" s="755">
        <f>IF($C$1173=0,NA(),VLOOKUP($I$1166&amp;$B$1173,FLNFIX!$AA$4:$EF$103,4,0))</f>
        <v>3</v>
      </c>
      <c r="F1173" s="755">
        <f>IF($C$1173=0,NA(),VLOOKUP($I$1166&amp;$B$1173,FLNFIX!$AA$4:$EF$103,3,0))</f>
        <v>2</v>
      </c>
      <c r="G1173" s="756">
        <f>IF($C$1173=0,NA(),VLOOKUP($I$1166&amp;$B$1173,FLNFIX!$AA$4:$EF$103,5,0))</f>
        <v>0</v>
      </c>
      <c r="H1173" s="757"/>
      <c r="I1173" s="757"/>
      <c r="J1173" s="758"/>
      <c r="K1173" s="677"/>
    </row>
    <row r="1174" ht="20.1" customHeight="1" spans="1:11">
      <c r="A1174" s="675"/>
      <c r="B1174" s="755">
        <f t="shared" si="21"/>
        <v>5</v>
      </c>
      <c r="C1174" s="755" t="str">
        <f>IFERROR(VLOOKUP(B1174,DATEWISE!$A$3:$BY$27,2,0),0)</f>
        <v>17.08.2026</v>
      </c>
      <c r="D1174" s="755">
        <f>IF($C$1174=0,NA(),VLOOKUP($I$1166&amp;$B$1174,FLNFIX!$AF$4:$EF$103,2,0))</f>
        <v>2</v>
      </c>
      <c r="E1174" s="755">
        <f>IF($C$1174=0,NA(),VLOOKUP($I$1166&amp;$B$1174,FLNFIX!$AF$4:$EF$103,4,0))</f>
        <v>3</v>
      </c>
      <c r="F1174" s="755">
        <f>IF($C$1174=0,NA(),VLOOKUP($I$1166&amp;$B$1174,FLNFIX!$AF$4:$EF$103,3,0))</f>
        <v>2</v>
      </c>
      <c r="G1174" s="756">
        <f>IF($C$1174=0,NA(),VLOOKUP($I$1166&amp;$B$1174,FLNFIX!$AF$4:$EF$103,5,0))</f>
        <v>0</v>
      </c>
      <c r="H1174" s="757"/>
      <c r="I1174" s="757"/>
      <c r="J1174" s="758"/>
      <c r="K1174" s="677"/>
    </row>
    <row r="1175" ht="20.1" customHeight="1" spans="1:11">
      <c r="A1175" s="675"/>
      <c r="B1175" s="755">
        <f t="shared" si="21"/>
        <v>6</v>
      </c>
      <c r="C1175" s="755" t="str">
        <f>IFERROR(VLOOKUP(B1175,DATEWISE!$A$3:$BY$27,2,0),0)</f>
        <v>31.08.2026</v>
      </c>
      <c r="D1175" s="755">
        <f>IF($C$1175=0,NA(),VLOOKUP($I$1166&amp;$B$1175,FLNFIX!$AK$4:$EF$103,2,0))</f>
        <v>4</v>
      </c>
      <c r="E1175" s="755">
        <f>IF($C$1175=0,NA(),VLOOKUP($I$1166&amp;$B$1175,FLNFIX!$AK$4:$EF$103,4,0))</f>
        <v>4</v>
      </c>
      <c r="F1175" s="755">
        <f>IF($C$1175=0,NA(),VLOOKUP($I$1166&amp;$B$1175,FLNFIX!$AK$4:$EF$103,3,0))</f>
        <v>4</v>
      </c>
      <c r="G1175" s="756">
        <f>IF($C$1175=0,NA(),VLOOKUP($I$1166&amp;$B$1175,FLNFIX!$AK$4:$EF$103,5,0))</f>
        <v>0</v>
      </c>
      <c r="H1175" s="757"/>
      <c r="I1175" s="757"/>
      <c r="J1175" s="758"/>
      <c r="K1175" s="677"/>
    </row>
    <row r="1176" ht="20.1" customHeight="1" spans="1:11">
      <c r="A1176" s="675"/>
      <c r="B1176" s="755">
        <f t="shared" si="21"/>
        <v>7</v>
      </c>
      <c r="C1176" s="755">
        <f>IFERROR(VLOOKUP(B1176,DATEWISE!$A$3:$BY$27,2,0),0)</f>
        <v>0</v>
      </c>
      <c r="D1176" s="755" t="e">
        <f>IF($C$1176=0,NA(),VLOOKUP($I$1166&amp;$B$1176,FLNFIX!$AP$4:$EF$103,2,0))</f>
        <v>#N/A</v>
      </c>
      <c r="E1176" s="755" t="e">
        <f>IF($C$1176=0,NA(),VLOOKUP($I$1166&amp;$B$1176,FLNFIX!$AP$4:$EF$103,4,0))</f>
        <v>#N/A</v>
      </c>
      <c r="F1176" s="755" t="e">
        <f>IF($C$1176=0,NA(),VLOOKUP($I$1166&amp;$B$1176,FLNFIX!$AP$4:$EF$103,3,0))</f>
        <v>#N/A</v>
      </c>
      <c r="G1176" s="756" t="e">
        <f>IF($C$1176=0,NA(),VLOOKUP($I$1166&amp;$B$1176,FLNFIX!$AP$4:$EF$103,5,0))</f>
        <v>#N/A</v>
      </c>
      <c r="H1176" s="757"/>
      <c r="I1176" s="757"/>
      <c r="J1176" s="758"/>
      <c r="K1176" s="677"/>
    </row>
    <row r="1177" ht="20.1" customHeight="1" spans="1:11">
      <c r="A1177" s="675"/>
      <c r="B1177" s="755">
        <f t="shared" si="21"/>
        <v>8</v>
      </c>
      <c r="C1177" s="755">
        <f>IFERROR(VLOOKUP(B1177,DATEWISE!$A$3:$BY$27,2,0),0)</f>
        <v>0</v>
      </c>
      <c r="D1177" s="755" t="e">
        <f>IF($C$1177=0,NA(),VLOOKUP($I$1166&amp;$B$1177,FLNFIX!$AU$4:$EF$103,2,0))</f>
        <v>#N/A</v>
      </c>
      <c r="E1177" s="755" t="e">
        <f>IF($C$1177=0,NA(),VLOOKUP($I$1166&amp;$B$1177,FLNFIX!$AU$4:$EF$103,4,0))</f>
        <v>#N/A</v>
      </c>
      <c r="F1177" s="755" t="e">
        <f>IF($C$1177=0,NA(),VLOOKUP($I$1166&amp;$B$1177,FLNFIX!$AU$4:$EF$103,3,0))</f>
        <v>#N/A</v>
      </c>
      <c r="G1177" s="756" t="e">
        <f>IF($C$1177=0,NA(),VLOOKUP($I$1166&amp;$B$1177,FLNFIX!$AU$4:$EF$103,5,0))</f>
        <v>#N/A</v>
      </c>
      <c r="H1177" s="757"/>
      <c r="I1177" s="757"/>
      <c r="J1177" s="758"/>
      <c r="K1177" s="677"/>
    </row>
    <row r="1178" ht="20.1" customHeight="1" spans="1:11">
      <c r="A1178" s="675"/>
      <c r="B1178" s="755">
        <f t="shared" si="21"/>
        <v>9</v>
      </c>
      <c r="C1178" s="755">
        <f>IFERROR(VLOOKUP(B1178,DATEWISE!$A$3:$BY$27,2,0),0)</f>
        <v>0</v>
      </c>
      <c r="D1178" s="755" t="e">
        <f>IF($C$1178=0,NA(),VLOOKUP($I$1166&amp;$B$1178,FLNFIX!$AZ$4:$EF$103,2,0))</f>
        <v>#N/A</v>
      </c>
      <c r="E1178" s="755" t="e">
        <f>IF($C$1178=0,NA(),VLOOKUP($I$1166&amp;$B$1178,FLNFIX!$AZ$4:$EF$103,4,0))</f>
        <v>#N/A</v>
      </c>
      <c r="F1178" s="755" t="e">
        <f>IF($C$1178=0,NA(),VLOOKUP($I$1166&amp;$B$1178,FLNFIX!$AZ$4:$EF$103,3,0))</f>
        <v>#N/A</v>
      </c>
      <c r="G1178" s="756" t="e">
        <f>IF($C$1178=0,NA(),VLOOKUP($I$1166&amp;$B$1178,FLNFIX!$AZ$4:$EF$103,5,0))</f>
        <v>#N/A</v>
      </c>
      <c r="H1178" s="757"/>
      <c r="I1178" s="757"/>
      <c r="J1178" s="758"/>
      <c r="K1178" s="677"/>
    </row>
    <row r="1179" ht="20.1" customHeight="1" spans="1:11">
      <c r="A1179" s="675"/>
      <c r="B1179" s="755">
        <f t="shared" si="21"/>
        <v>10</v>
      </c>
      <c r="C1179" s="755">
        <f>IFERROR(VLOOKUP(B1179,DATEWISE!$A$3:$BY$27,2,0),0)</f>
        <v>0</v>
      </c>
      <c r="D1179" s="755" t="e">
        <f>IF($C$1179=0,NA(),VLOOKUP($I$1166&amp;$B$1179,FLNFIX!$BE$4:$EF$103,2,0))</f>
        <v>#N/A</v>
      </c>
      <c r="E1179" s="755" t="e">
        <f>IF($C$1179=0,NA(),VLOOKUP($I$1166&amp;$B$1179,FLNFIX!$BE$4:$EF$103,4,0))</f>
        <v>#N/A</v>
      </c>
      <c r="F1179" s="755" t="e">
        <f>IF($C$1179=0,NA(),VLOOKUP($I$1166&amp;$B$1179,FLNFIX!$BE$4:$EF$103,3,0))</f>
        <v>#N/A</v>
      </c>
      <c r="G1179" s="756" t="e">
        <f>IF($C$1179=0,NA(),VLOOKUP($I$1166&amp;$B$1179,FLNFIX!$BE$4:$EF$103,5,0))</f>
        <v>#N/A</v>
      </c>
      <c r="H1179" s="757"/>
      <c r="I1179" s="757"/>
      <c r="J1179" s="758"/>
      <c r="K1179" s="677"/>
    </row>
    <row r="1180" ht="20.1" customHeight="1" spans="1:11">
      <c r="A1180" s="675"/>
      <c r="B1180" s="755">
        <f t="shared" si="21"/>
        <v>11</v>
      </c>
      <c r="C1180" s="755">
        <f>IFERROR(VLOOKUP(B1180,DATEWISE!$A$3:$BY$27,2,0),0)</f>
        <v>0</v>
      </c>
      <c r="D1180" s="755" t="e">
        <f>IF($C$1180=0,NA(),VLOOKUP($I$1166&amp;$B$1180,FLNFIX!$BJ$4:$EF$103,2,0))</f>
        <v>#N/A</v>
      </c>
      <c r="E1180" s="755" t="e">
        <f>IF($C$1180=0,NA(),VLOOKUP($I$1166&amp;$B$1180,FLNFIX!$BJ$4:$EF$103,4,0))</f>
        <v>#N/A</v>
      </c>
      <c r="F1180" s="755" t="e">
        <f>IF($C$1180=0,NA(),VLOOKUP($I$1166&amp;$B$1180,FLNFIX!$BJ$4:$EF$103,3,0))</f>
        <v>#N/A</v>
      </c>
      <c r="G1180" s="756" t="e">
        <f>IF($C$1180=0,NA(),VLOOKUP($I$1166&amp;$B$1180,FLNFIX!$BJ$4:$EF$103,5,0))</f>
        <v>#N/A</v>
      </c>
      <c r="H1180" s="757"/>
      <c r="I1180" s="757"/>
      <c r="J1180" s="758"/>
      <c r="K1180" s="677"/>
    </row>
    <row r="1181" ht="20.1" customHeight="1" spans="1:11">
      <c r="A1181" s="675"/>
      <c r="B1181" s="755">
        <f t="shared" si="21"/>
        <v>12</v>
      </c>
      <c r="C1181" s="755">
        <f>IFERROR(VLOOKUP(B1181,DATEWISE!$A$3:$BY$27,2,0),0)</f>
        <v>0</v>
      </c>
      <c r="D1181" s="755" t="e">
        <f>IF($C$1181=0,NA(),VLOOKUP($I$1166&amp;$B$1181,FLNFIX!$BO$4:$EF$103,2,0))</f>
        <v>#N/A</v>
      </c>
      <c r="E1181" s="755" t="e">
        <f>IF($C$1181=0,NA(),VLOOKUP($I$1166&amp;$B$1181,FLNFIX!$BO$4:$EF$103,4,0))</f>
        <v>#N/A</v>
      </c>
      <c r="F1181" s="755" t="e">
        <f>IF($C$1181=0,NA(),VLOOKUP($I$1166&amp;$B$1181,FLNFIX!$BO$4:$EF$103,3,0))</f>
        <v>#N/A</v>
      </c>
      <c r="G1181" s="756" t="e">
        <f>IF($C$1181=0,NA(),VLOOKUP($I$1166&amp;$B$1181,FLNFIX!$BO$4:$EF$103,5,0))</f>
        <v>#N/A</v>
      </c>
      <c r="H1181" s="757"/>
      <c r="I1181" s="757"/>
      <c r="J1181" s="758"/>
      <c r="K1181" s="677"/>
    </row>
    <row r="1182" ht="20.1" customHeight="1" spans="1:11">
      <c r="A1182" s="675"/>
      <c r="B1182" s="755">
        <f t="shared" si="21"/>
        <v>13</v>
      </c>
      <c r="C1182" s="755">
        <f>IFERROR(VLOOKUP(B1182,DATEWISE!$A$3:$BY$27,2,0),0)</f>
        <v>0</v>
      </c>
      <c r="D1182" s="755" t="e">
        <f>IF($C$1182=0,NA(),VLOOKUP($I$1166&amp;$B$1182,FLNFIX!$BT$4:$EF$103,2,0))</f>
        <v>#N/A</v>
      </c>
      <c r="E1182" s="755" t="e">
        <f>IF($C$1182=0,NA(),VLOOKUP($I$1166&amp;$B$1182,FLNFIX!$BT$4:$EF$103,4,0))</f>
        <v>#N/A</v>
      </c>
      <c r="F1182" s="755" t="e">
        <f>IF($C$1182=0,NA(),VLOOKUP($I$1166&amp;$B$1182,FLNFIX!$BT$4:$EF$103,3,0))</f>
        <v>#N/A</v>
      </c>
      <c r="G1182" s="756" t="e">
        <f>IF($C$1182=0,NA(),VLOOKUP($I$1166&amp;$B$1182,FLNFIX!$BT$4:$EF$103,5,0))</f>
        <v>#N/A</v>
      </c>
      <c r="H1182" s="757"/>
      <c r="I1182" s="757"/>
      <c r="J1182" s="758"/>
      <c r="K1182" s="677"/>
    </row>
    <row r="1183" ht="20.1" customHeight="1" spans="1:11">
      <c r="A1183" s="675"/>
      <c r="B1183" s="755">
        <f t="shared" si="21"/>
        <v>14</v>
      </c>
      <c r="C1183" s="755">
        <f>IFERROR(VLOOKUP(B1183,DATEWISE!$A$3:$BY$27,2,0),0)</f>
        <v>0</v>
      </c>
      <c r="D1183" s="755" t="e">
        <f>IF($C$1183=0,NA(),VLOOKUP($I$1166&amp;$B$1183,FLNFIX!$BY$4:$EF$103,2,0))</f>
        <v>#N/A</v>
      </c>
      <c r="E1183" s="755" t="e">
        <f>IF($C$1183=0,NA(),VLOOKUP($I$1166&amp;$B$1183,FLNFIX!$BY$4:$EF$103,4,0))</f>
        <v>#N/A</v>
      </c>
      <c r="F1183" s="755" t="e">
        <f>IF($C$1183=0,NA(),VLOOKUP($I$1166&amp;$B$1183,FLNFIX!$BY$4:$EF$103,3,0))</f>
        <v>#N/A</v>
      </c>
      <c r="G1183" s="756" t="e">
        <f>IF($C$1183=0,NA(),VLOOKUP($I$1166&amp;$B$1183,FLNFIX!$BY$4:$EF$103,5,0))</f>
        <v>#N/A</v>
      </c>
      <c r="H1183" s="757"/>
      <c r="I1183" s="757"/>
      <c r="J1183" s="758"/>
      <c r="K1183" s="677"/>
    </row>
    <row r="1184" ht="20.1" customHeight="1" spans="1:11">
      <c r="A1184" s="675"/>
      <c r="B1184" s="755">
        <f t="shared" si="21"/>
        <v>15</v>
      </c>
      <c r="C1184" s="755">
        <f>IFERROR(VLOOKUP(B1184,DATEWISE!$A$3:$BY$27,2,0),0)</f>
        <v>0</v>
      </c>
      <c r="D1184" s="755" t="e">
        <f>IF($C$1184=0,NA(),VLOOKUP($I$1166&amp;$B$1184,FLNFIX!$CD$4:$EF$103,2,0))</f>
        <v>#N/A</v>
      </c>
      <c r="E1184" s="755" t="e">
        <f>IF($C$1184=0,NA(),VLOOKUP($I$1166&amp;$B$1184,FLNFIX!$CD$4:$EF$103,4,0))</f>
        <v>#N/A</v>
      </c>
      <c r="F1184" s="755" t="e">
        <f>IF($C$1184=0,NA(),VLOOKUP($I$1166&amp;$B$1184,FLNFIX!$CD$4:$EF$103,3,0))</f>
        <v>#N/A</v>
      </c>
      <c r="G1184" s="756" t="e">
        <f>IF($C$1184=0,NA(),VLOOKUP($I$1166&amp;$B$1184,FLNFIX!$CD$4:$EF$103,5,0))</f>
        <v>#N/A</v>
      </c>
      <c r="H1184" s="757"/>
      <c r="I1184" s="757"/>
      <c r="J1184" s="758"/>
      <c r="K1184" s="677"/>
    </row>
    <row r="1185" ht="20.1" customHeight="1" spans="1:11">
      <c r="A1185" s="675"/>
      <c r="B1185" s="755">
        <f t="shared" si="21"/>
        <v>16</v>
      </c>
      <c r="C1185" s="755">
        <f>IFERROR(VLOOKUP(B1185,DATEWISE!$A$3:$BY$27,2,0),0)</f>
        <v>0</v>
      </c>
      <c r="D1185" s="755" t="e">
        <f>IF($C$1185=0,NA(),VLOOKUP($I$1166&amp;$B$1185,FLNFIX!$CI$4:$EF$103,2,0))</f>
        <v>#N/A</v>
      </c>
      <c r="E1185" s="755" t="e">
        <f>IF($C$1185=0,NA(),VLOOKUP($I$1166&amp;$B$1185,FLNFIX!$CI$4:$EF$103,4,0))</f>
        <v>#N/A</v>
      </c>
      <c r="F1185" s="755" t="e">
        <f>IF($C$1185=0,NA(),VLOOKUP($I$1166&amp;$B$1185,FLNFIX!$CI$4:$EF$103,3,0))</f>
        <v>#N/A</v>
      </c>
      <c r="G1185" s="756" t="e">
        <f>IF($C$1185=0,NA(),VLOOKUP($I$1166&amp;$B$1185,FLNFIX!$CI$4:$EF$103,5,0))</f>
        <v>#N/A</v>
      </c>
      <c r="H1185" s="757"/>
      <c r="I1185" s="757"/>
      <c r="J1185" s="758"/>
      <c r="K1185" s="677"/>
    </row>
    <row r="1186" ht="20.1" customHeight="1" spans="1:11">
      <c r="A1186" s="675"/>
      <c r="B1186" s="755">
        <f t="shared" si="21"/>
        <v>17</v>
      </c>
      <c r="C1186" s="755">
        <f>IFERROR(VLOOKUP(B1186,DATEWISE!$A$3:$BY$27,2,0),0)</f>
        <v>0</v>
      </c>
      <c r="D1186" s="755" t="e">
        <f>IF($C$1186=0,NA(),VLOOKUP($I$1166&amp;$B$1186,FLNFIX!$CN$4:$EF$103,2,0))</f>
        <v>#N/A</v>
      </c>
      <c r="E1186" s="755" t="e">
        <f>IF($C$1186=0,NA(),VLOOKUP($I$1166&amp;$B$1186,FLNFIX!$CN$4:$EF$103,4,0))</f>
        <v>#N/A</v>
      </c>
      <c r="F1186" s="755" t="e">
        <f>IF($C$1186=0,NA(),VLOOKUP($I$1166&amp;$B$1186,FLNFIX!$CN$4:$EF$103,3,0))</f>
        <v>#N/A</v>
      </c>
      <c r="G1186" s="756" t="e">
        <f>IF($C$1186=0,NA(),VLOOKUP($I$1166&amp;$B$1186,FLNFIX!$CN$4:$EF$103,5,0))</f>
        <v>#N/A</v>
      </c>
      <c r="H1186" s="757"/>
      <c r="I1186" s="757"/>
      <c r="J1186" s="758"/>
      <c r="K1186" s="677"/>
    </row>
    <row r="1187" ht="20.1" customHeight="1" spans="1:11">
      <c r="A1187" s="675"/>
      <c r="B1187" s="755">
        <f t="shared" si="21"/>
        <v>18</v>
      </c>
      <c r="C1187" s="755">
        <f>IFERROR(VLOOKUP(B1187,DATEWISE!$A$3:$BY$27,2,0),0)</f>
        <v>0</v>
      </c>
      <c r="D1187" s="755" t="e">
        <f>IF($C$1187=0,NA(),VLOOKUP($I$1166&amp;$B$1187,FLNFIX!$CS$4:$EF$103,2,0))</f>
        <v>#N/A</v>
      </c>
      <c r="E1187" s="755" t="e">
        <f>IF($C$1187=0,NA(),VLOOKUP($I$1166&amp;$B$1187,FLNFIX!$CS$4:$EF$103,4,0))</f>
        <v>#N/A</v>
      </c>
      <c r="F1187" s="755" t="e">
        <f>IF($C$1187=0,NA(),VLOOKUP($I$1166&amp;$B$1187,FLNFIX!$CS$4:$EF$103,3,0))</f>
        <v>#N/A</v>
      </c>
      <c r="G1187" s="756" t="e">
        <f>IF($C$1187=0,NA(),VLOOKUP($I$1166&amp;$B$1187,FLNFIX!$CS$4:$EF$103,5,0))</f>
        <v>#N/A</v>
      </c>
      <c r="H1187" s="757"/>
      <c r="I1187" s="757"/>
      <c r="J1187" s="758"/>
      <c r="K1187" s="677"/>
    </row>
    <row r="1188" ht="20.1" customHeight="1" spans="1:11">
      <c r="A1188" s="675"/>
      <c r="B1188" s="755">
        <f t="shared" si="21"/>
        <v>19</v>
      </c>
      <c r="C1188" s="755">
        <f>IFERROR(VLOOKUP(B1188,DATEWISE!$A$3:$BY$27,2,0),0)</f>
        <v>0</v>
      </c>
      <c r="D1188" s="755" t="e">
        <f>IF($C$1188=0,NA(),VLOOKUP($I$1166&amp;$B$1188,FLNFIX!$CX$4:$EF$103,2,0))</f>
        <v>#N/A</v>
      </c>
      <c r="E1188" s="755" t="e">
        <f>IF($C$1188=0,NA(),VLOOKUP($I$1166&amp;$B$1188,FLNFIX!$CX$4:$EF$103,4,0))</f>
        <v>#N/A</v>
      </c>
      <c r="F1188" s="755" t="e">
        <f>IF($C$1188=0,NA(),VLOOKUP($I$1166&amp;$B$1188,FLNFIX!$CX$4:$EF$103,3,0))</f>
        <v>#N/A</v>
      </c>
      <c r="G1188" s="756" t="e">
        <f>IF($C$1188=0,NA(),VLOOKUP($I$1166&amp;$B$1188,FLNFIX!$CX$4:$EF$103,5,0))</f>
        <v>#N/A</v>
      </c>
      <c r="H1188" s="757"/>
      <c r="I1188" s="757"/>
      <c r="J1188" s="758"/>
      <c r="K1188" s="677"/>
    </row>
    <row r="1189" ht="20.1" customHeight="1" spans="1:11">
      <c r="A1189" s="675"/>
      <c r="B1189" s="755">
        <f t="shared" si="21"/>
        <v>20</v>
      </c>
      <c r="C1189" s="755">
        <f>IFERROR(VLOOKUP(B1189,DATEWISE!$A$3:$BY$27,2,0),0)</f>
        <v>0</v>
      </c>
      <c r="D1189" s="755" t="e">
        <f>IF($C$1189=0,NA(),VLOOKUP($I$1166&amp;$B$1189,FLNFIX!$DC$4:$EF$103,2,0))</f>
        <v>#N/A</v>
      </c>
      <c r="E1189" s="755" t="e">
        <f>IF($C$1189=0,NA(),VLOOKUP($I$1166&amp;$B$1189,FLNFIX!$DC$4:$EF$103,4,0))</f>
        <v>#N/A</v>
      </c>
      <c r="F1189" s="755" t="e">
        <f>IF($C$1189=0,NA(),VLOOKUP($I$1166&amp;$B$1189,FLNFIX!$DC$4:$EF$103,3,0))</f>
        <v>#N/A</v>
      </c>
      <c r="G1189" s="756" t="e">
        <f>IF($C$1189=0,NA(),VLOOKUP($I$1166&amp;$B$1189,FLNFIX!$DC$4:$EF$103,5,0))</f>
        <v>#N/A</v>
      </c>
      <c r="H1189" s="757"/>
      <c r="I1189" s="757"/>
      <c r="J1189" s="758"/>
      <c r="K1189" s="677"/>
    </row>
    <row r="1190" ht="20.1" customHeight="1" spans="1:11">
      <c r="A1190" s="675"/>
      <c r="B1190" s="755">
        <f t="shared" si="21"/>
        <v>21</v>
      </c>
      <c r="C1190" s="755">
        <f>IFERROR(VLOOKUP(B1190,DATEWISE!$A$3:$BY$27,2,0),0)</f>
        <v>0</v>
      </c>
      <c r="D1190" s="755" t="e">
        <f>IF($C$1190=0,NA(),VLOOKUP($I$1166&amp;$B$1190,FLNFIX!$DH$4:$EF$103,2,0))</f>
        <v>#N/A</v>
      </c>
      <c r="E1190" s="755" t="e">
        <f>IF($C$1190=0,NA(),VLOOKUP($I$1166&amp;$B$1190,FLNFIX!$DH$4:$EF$103,4,0))</f>
        <v>#N/A</v>
      </c>
      <c r="F1190" s="755" t="e">
        <f>IF($C$1190=0,NA(),VLOOKUP($I$1166&amp;$B$1190,FLNFIX!$DH$4:$EF$103,3,0))</f>
        <v>#N/A</v>
      </c>
      <c r="G1190" s="756" t="e">
        <f>IF($C$1190=0,NA(),VLOOKUP($I$1166&amp;$B$1190,FLNFIX!$DH$4:$EF$103,5,0))</f>
        <v>#N/A</v>
      </c>
      <c r="H1190" s="757"/>
      <c r="I1190" s="757"/>
      <c r="J1190" s="758"/>
      <c r="K1190" s="677"/>
    </row>
    <row r="1191" ht="5.1" customHeight="1" spans="1:11">
      <c r="A1191" s="675"/>
      <c r="B1191" s="759"/>
      <c r="C1191" s="759"/>
      <c r="D1191" s="760"/>
      <c r="E1191" s="760"/>
      <c r="F1191" s="760"/>
      <c r="G1191" s="761"/>
      <c r="H1191" s="761"/>
      <c r="I1191" s="761"/>
      <c r="J1191" s="761"/>
      <c r="K1191" s="677"/>
    </row>
    <row r="1192" s="667" customFormat="1" ht="24.95" customHeight="1" spans="1:11">
      <c r="A1192" s="711"/>
      <c r="B1192" s="762" t="s">
        <v>431</v>
      </c>
      <c r="C1192" s="763"/>
      <c r="D1192" s="763"/>
      <c r="E1192" s="763"/>
      <c r="F1192" s="763"/>
      <c r="G1192" s="763"/>
      <c r="H1192" s="763"/>
      <c r="I1192" s="763"/>
      <c r="J1192" s="764"/>
      <c r="K1192" s="713"/>
    </row>
    <row r="1193" spans="1:11">
      <c r="A1193" s="675"/>
      <c r="B1193" s="765"/>
      <c r="C1193" s="686"/>
      <c r="D1193" s="686"/>
      <c r="E1193" s="686"/>
      <c r="F1193" s="686"/>
      <c r="G1193" s="686"/>
      <c r="H1193" s="686"/>
      <c r="I1193" s="686"/>
      <c r="J1193" s="766"/>
      <c r="K1193" s="677"/>
    </row>
    <row r="1194" spans="1:11">
      <c r="A1194" s="675"/>
      <c r="B1194" s="765"/>
      <c r="C1194" s="686"/>
      <c r="D1194" s="686"/>
      <c r="E1194" s="686"/>
      <c r="F1194" s="686"/>
      <c r="G1194" s="686"/>
      <c r="H1194" s="686"/>
      <c r="I1194" s="686"/>
      <c r="J1194" s="766"/>
      <c r="K1194" s="677"/>
    </row>
    <row r="1195" spans="1:11">
      <c r="A1195" s="675"/>
      <c r="B1195" s="765"/>
      <c r="C1195" s="686"/>
      <c r="D1195" s="686"/>
      <c r="E1195" s="686"/>
      <c r="F1195" s="686"/>
      <c r="G1195" s="686"/>
      <c r="H1195" s="686"/>
      <c r="I1195" s="686"/>
      <c r="J1195" s="766"/>
      <c r="K1195" s="677"/>
    </row>
    <row r="1196" spans="1:11">
      <c r="A1196" s="675"/>
      <c r="B1196" s="765"/>
      <c r="C1196" s="686"/>
      <c r="D1196" s="686"/>
      <c r="E1196" s="686"/>
      <c r="F1196" s="686"/>
      <c r="G1196" s="686"/>
      <c r="H1196" s="686"/>
      <c r="I1196" s="686"/>
      <c r="J1196" s="766"/>
      <c r="K1196" s="677"/>
    </row>
    <row r="1197" spans="1:11">
      <c r="A1197" s="675"/>
      <c r="B1197" s="765"/>
      <c r="C1197" s="686"/>
      <c r="D1197" s="686"/>
      <c r="E1197" s="686"/>
      <c r="F1197" s="686"/>
      <c r="G1197" s="686"/>
      <c r="H1197" s="686"/>
      <c r="I1197" s="686"/>
      <c r="J1197" s="766"/>
      <c r="K1197" s="677"/>
    </row>
    <row r="1198" spans="1:11">
      <c r="A1198" s="675"/>
      <c r="B1198" s="765"/>
      <c r="C1198" s="686"/>
      <c r="D1198" s="686"/>
      <c r="E1198" s="686"/>
      <c r="F1198" s="686"/>
      <c r="G1198" s="686"/>
      <c r="H1198" s="686"/>
      <c r="I1198" s="686"/>
      <c r="J1198" s="766"/>
      <c r="K1198" s="677"/>
    </row>
    <row r="1199" spans="1:11">
      <c r="A1199" s="675"/>
      <c r="B1199" s="765"/>
      <c r="C1199" s="686"/>
      <c r="D1199" s="686"/>
      <c r="E1199" s="686"/>
      <c r="F1199" s="686"/>
      <c r="G1199" s="686"/>
      <c r="H1199" s="686"/>
      <c r="I1199" s="686"/>
      <c r="J1199" s="766"/>
      <c r="K1199" s="677"/>
    </row>
    <row r="1200" spans="1:11">
      <c r="A1200" s="675"/>
      <c r="B1200" s="765"/>
      <c r="C1200" s="686"/>
      <c r="D1200" s="686"/>
      <c r="E1200" s="686"/>
      <c r="F1200" s="686"/>
      <c r="G1200" s="686"/>
      <c r="H1200" s="686"/>
      <c r="I1200" s="686"/>
      <c r="J1200" s="766"/>
      <c r="K1200" s="677"/>
    </row>
    <row r="1201" spans="1:11">
      <c r="A1201" s="675"/>
      <c r="B1201" s="765"/>
      <c r="C1201" s="686"/>
      <c r="D1201" s="686"/>
      <c r="E1201" s="686"/>
      <c r="F1201" s="686"/>
      <c r="G1201" s="686"/>
      <c r="H1201" s="686"/>
      <c r="I1201" s="686"/>
      <c r="J1201" s="766"/>
      <c r="K1201" s="677"/>
    </row>
    <row r="1202" spans="1:11">
      <c r="A1202" s="675"/>
      <c r="B1202" s="767"/>
      <c r="C1202" s="768"/>
      <c r="D1202" s="768"/>
      <c r="E1202" s="768"/>
      <c r="F1202" s="768"/>
      <c r="G1202" s="768"/>
      <c r="H1202" s="768"/>
      <c r="I1202" s="768"/>
      <c r="J1202" s="769"/>
      <c r="K1202" s="677"/>
    </row>
    <row r="1203" ht="5.1" customHeight="1" spans="1:11">
      <c r="A1203" s="675"/>
      <c r="B1203" s="686"/>
      <c r="C1203" s="686"/>
      <c r="D1203" s="686"/>
      <c r="E1203" s="686"/>
      <c r="F1203" s="686"/>
      <c r="G1203" s="686"/>
      <c r="H1203" s="686"/>
      <c r="I1203" s="686"/>
      <c r="J1203" s="686"/>
      <c r="K1203" s="677"/>
    </row>
    <row r="1204" spans="1:11">
      <c r="A1204" s="675"/>
      <c r="B1204" s="770" t="s">
        <v>432</v>
      </c>
      <c r="C1204" s="770"/>
      <c r="D1204" s="770"/>
      <c r="E1204" s="770"/>
      <c r="F1204" s="770"/>
      <c r="G1204" s="770"/>
      <c r="H1204" s="770"/>
      <c r="I1204" s="770"/>
      <c r="J1204" s="770"/>
      <c r="K1204" s="677"/>
    </row>
    <row r="1205" spans="1:11">
      <c r="A1205" s="675"/>
      <c r="B1205" s="771"/>
      <c r="C1205" s="771"/>
      <c r="D1205" s="771"/>
      <c r="E1205" s="771"/>
      <c r="F1205" s="771"/>
      <c r="G1205" s="771"/>
      <c r="H1205" s="771"/>
      <c r="I1205" s="771"/>
      <c r="J1205" s="771"/>
      <c r="K1205" s="677"/>
    </row>
    <row r="1206" spans="1:11">
      <c r="A1206" s="675"/>
      <c r="B1206" s="771"/>
      <c r="C1206" s="771"/>
      <c r="D1206" s="771"/>
      <c r="E1206" s="771"/>
      <c r="F1206" s="771"/>
      <c r="G1206" s="771"/>
      <c r="H1206" s="771"/>
      <c r="I1206" s="771"/>
      <c r="J1206" s="771"/>
      <c r="K1206" s="677"/>
    </row>
    <row r="1207" spans="1:11">
      <c r="A1207" s="675"/>
      <c r="B1207" s="771"/>
      <c r="C1207" s="771"/>
      <c r="D1207" s="771"/>
      <c r="E1207" s="771"/>
      <c r="F1207" s="771"/>
      <c r="G1207" s="771"/>
      <c r="H1207" s="771"/>
      <c r="I1207" s="771"/>
      <c r="J1207" s="771"/>
      <c r="K1207" s="677"/>
    </row>
    <row r="1208" spans="1:11">
      <c r="A1208" s="675"/>
      <c r="B1208" s="686"/>
      <c r="C1208" s="686"/>
      <c r="D1208" s="686"/>
      <c r="E1208" s="686"/>
      <c r="F1208" s="686"/>
      <c r="G1208" s="686"/>
      <c r="H1208" s="686"/>
      <c r="I1208" s="686"/>
      <c r="J1208" s="686"/>
      <c r="K1208" s="677"/>
    </row>
    <row r="1209" spans="1:11">
      <c r="A1209" s="675"/>
      <c r="B1209" s="686"/>
      <c r="C1209" s="729" t="s">
        <v>433</v>
      </c>
      <c r="D1209" s="729"/>
      <c r="E1209" s="686"/>
      <c r="F1209" s="686"/>
      <c r="G1209" s="729" t="s">
        <v>434</v>
      </c>
      <c r="H1209" s="729"/>
      <c r="I1209" s="729"/>
      <c r="J1209" s="729"/>
      <c r="K1209" s="677"/>
    </row>
    <row r="1210" ht="16.35" spans="1:11">
      <c r="A1210" s="725"/>
      <c r="B1210" s="726"/>
      <c r="C1210" s="732" t="str">
        <f>"("&amp;PROPER(ENTRY!$D$19)&amp;")"</f>
        <v>(Indrajeet)</v>
      </c>
      <c r="D1210" s="732"/>
      <c r="E1210" s="726"/>
      <c r="F1210" s="726"/>
      <c r="G1210" s="732" t="str">
        <f>"("&amp;PROPER(ENTRY!$D$12)&amp;")"</f>
        <v>(Shambhu Dayal Meena)</v>
      </c>
      <c r="H1210" s="732"/>
      <c r="I1210" s="732"/>
      <c r="J1210" s="732"/>
      <c r="K1210" s="728"/>
    </row>
    <row r="1211" ht="24.6" spans="1:11">
      <c r="B1211" s="734"/>
      <c r="C1211" s="734"/>
      <c r="D1211" s="669" t="str">
        <f>ENTRY!$D$3</f>
        <v>MUNICIPAL CORPORATION OF DELHI</v>
      </c>
      <c r="E1211" s="669"/>
      <c r="F1211" s="669"/>
      <c r="G1211" s="669"/>
      <c r="H1211" s="734"/>
      <c r="I1211" s="669"/>
      <c r="J1211" s="669"/>
    </row>
    <row r="1212" ht="20.4" spans="1:11">
      <c r="B1212" s="735"/>
      <c r="C1212" s="735"/>
      <c r="D1212" s="670" t="str">
        <f>ENTRY!$D$4</f>
        <v>EDUCATION DEPARTMENT</v>
      </c>
      <c r="E1212" s="670"/>
      <c r="F1212" s="670"/>
      <c r="G1212" s="670"/>
      <c r="H1212" s="735"/>
      <c r="I1212" s="669"/>
      <c r="J1212" s="669"/>
    </row>
    <row r="1213" ht="22.8" spans="1:11">
      <c r="B1213" s="736"/>
      <c r="C1213" s="736"/>
      <c r="D1213" s="664" t="s">
        <v>417</v>
      </c>
      <c r="E1213" s="664"/>
      <c r="F1213" s="664"/>
      <c r="G1213" s="664"/>
      <c r="H1213" s="736"/>
      <c r="I1213" s="669"/>
      <c r="J1213" s="669"/>
    </row>
    <row r="1214" ht="22.8" spans="1:11">
      <c r="B1214" s="736"/>
      <c r="C1214" s="736"/>
      <c r="D1214" s="664" t="s">
        <v>418</v>
      </c>
      <c r="E1214" s="664"/>
      <c r="F1214" s="664"/>
      <c r="G1214" s="664"/>
      <c r="H1214" s="736"/>
      <c r="I1214" s="669"/>
      <c r="J1214" s="669"/>
    </row>
    <row r="1215" ht="24.95" customHeight="1" spans="1:11">
      <c r="B1215" s="735"/>
      <c r="C1215" s="735"/>
      <c r="D1215" s="737" t="str">
        <f>"SESSION : "&amp;ENTRY!$D$11</f>
        <v>SESSION : 2026-27</v>
      </c>
      <c r="E1215" s="737"/>
      <c r="F1215" s="737"/>
      <c r="G1215" s="737"/>
      <c r="H1215" s="735"/>
      <c r="I1215" s="738"/>
      <c r="J1215" s="738"/>
    </row>
    <row r="1216" ht="3.75" customHeight="1" spans="1:11">
      <c r="A1216" s="672"/>
      <c r="B1216" s="739"/>
      <c r="C1216" s="739"/>
      <c r="D1216" s="739"/>
      <c r="E1216" s="739"/>
      <c r="F1216" s="739"/>
      <c r="G1216" s="739"/>
      <c r="H1216" s="739"/>
      <c r="I1216" s="739"/>
      <c r="J1216" s="739"/>
      <c r="K1216" s="674"/>
    </row>
    <row r="1217" ht="21.95" customHeight="1" spans="1:11">
      <c r="A1217" s="675"/>
      <c r="B1217" s="676" t="s">
        <v>419</v>
      </c>
      <c r="C1217" s="676"/>
      <c r="D1217" s="676" t="str">
        <f>ENTRY!$D$6</f>
        <v>MCP NITHARI NO 1 BOYS</v>
      </c>
      <c r="E1217" s="676"/>
      <c r="F1217" s="676"/>
      <c r="G1217" s="676"/>
      <c r="H1217" s="676"/>
      <c r="I1217" s="676"/>
      <c r="J1217" s="676"/>
      <c r="K1217" s="677"/>
    </row>
    <row r="1218" ht="21.95" customHeight="1" spans="1:11">
      <c r="A1218" s="675"/>
      <c r="B1218" s="676" t="s">
        <v>420</v>
      </c>
      <c r="C1218" s="676"/>
      <c r="D1218" s="740" t="str">
        <f>IFERROR(VLOOKUP($I$1221,STUDENT!$A$2:$BP$101,5,0),"")</f>
        <v>NITIN</v>
      </c>
      <c r="E1218" s="740"/>
      <c r="F1218" s="740"/>
      <c r="G1218" s="740"/>
      <c r="H1218" s="740"/>
      <c r="I1218" s="740"/>
      <c r="J1218" s="740"/>
      <c r="K1218" s="677"/>
    </row>
    <row r="1219" ht="21.95" customHeight="1" spans="1:11">
      <c r="A1219" s="675"/>
      <c r="B1219" s="676" t="s">
        <v>421</v>
      </c>
      <c r="C1219" s="676"/>
      <c r="D1219" s="740" t="str">
        <f>IFERROR(VLOOKUP($I$1221,STUDENT!$A$2:$BP$101,8,0),"")</f>
        <v>AJAY</v>
      </c>
      <c r="E1219" s="740"/>
      <c r="F1219" s="740"/>
      <c r="G1219" s="740"/>
      <c r="H1219" s="740"/>
      <c r="I1219" s="740"/>
      <c r="J1219" s="740"/>
      <c r="K1219" s="677"/>
    </row>
    <row r="1220" ht="21.95" customHeight="1" spans="1:11">
      <c r="A1220" s="675"/>
      <c r="B1220" s="676" t="s">
        <v>422</v>
      </c>
      <c r="C1220" s="676"/>
      <c r="D1220" s="740">
        <f>IFERROR(VLOOKUP($I$1221,STUDENT!$A$2:$BP$101,6,0),"")</f>
        <v>14805</v>
      </c>
      <c r="E1220" s="740"/>
      <c r="F1220" s="740"/>
      <c r="G1220" s="740"/>
      <c r="H1220" s="740"/>
      <c r="I1220" s="740"/>
      <c r="J1220" s="740"/>
      <c r="K1220" s="677"/>
    </row>
    <row r="1221" ht="21.95" customHeight="1" spans="1:11">
      <c r="A1221" s="675"/>
      <c r="B1221" s="676" t="s">
        <v>423</v>
      </c>
      <c r="C1221" s="676"/>
      <c r="D1221" s="741" t="str">
        <f>IFERROR(VLOOKUP($I$1221,STUDENT!$A$2:$BP$101,59,0),"")</f>
        <v/>
      </c>
      <c r="E1221" s="742" t="s">
        <v>424</v>
      </c>
      <c r="F1221" s="704" t="str">
        <f>IFERROR(VLOOKUP($I$1221,STUDENT!$A$2:$BP$101,2,0),"")</f>
        <v>III-A</v>
      </c>
      <c r="G1221" s="742" t="s">
        <v>425</v>
      </c>
      <c r="H1221" s="743"/>
      <c r="I1221" s="733">
        <f>I1166+1</f>
        <v>23</v>
      </c>
      <c r="J1221" s="683"/>
      <c r="K1221" s="677"/>
    </row>
    <row r="1222" ht="5.1" customHeight="1" spans="1:11">
      <c r="A1222" s="675"/>
      <c r="B1222" s="745"/>
      <c r="C1222" s="745"/>
      <c r="D1222" s="746"/>
      <c r="E1222" s="747"/>
      <c r="F1222" s="748"/>
      <c r="G1222" s="747"/>
      <c r="H1222" s="686"/>
      <c r="I1222" s="686"/>
      <c r="J1222" s="686"/>
      <c r="K1222" s="677"/>
    </row>
    <row r="1223" s="664" customFormat="1" ht="32.1" customHeight="1" spans="1:11">
      <c r="A1223" s="688"/>
      <c r="B1223" s="749" t="s">
        <v>426</v>
      </c>
      <c r="C1223" s="750"/>
      <c r="D1223" s="750"/>
      <c r="E1223" s="750"/>
      <c r="F1223" s="750"/>
      <c r="G1223" s="750"/>
      <c r="H1223" s="750"/>
      <c r="I1223" s="750"/>
      <c r="J1223" s="751"/>
      <c r="K1223" s="690"/>
    </row>
    <row r="1224" ht="51.6" spans="1:11">
      <c r="A1224" s="675"/>
      <c r="B1224" s="752">
        <v>21</v>
      </c>
      <c r="C1224" s="753" t="s">
        <v>427</v>
      </c>
      <c r="D1224" s="754" t="s">
        <v>428</v>
      </c>
      <c r="E1224" s="754" t="s">
        <v>429</v>
      </c>
      <c r="F1224" s="754" t="s">
        <v>430</v>
      </c>
      <c r="G1224" s="753" t="s">
        <v>390</v>
      </c>
      <c r="H1224" s="714"/>
      <c r="I1224" s="714"/>
      <c r="J1224" s="714"/>
      <c r="K1224" s="677"/>
    </row>
    <row r="1225" ht="20.1" customHeight="1" spans="1:11">
      <c r="A1225" s="675"/>
      <c r="B1225" s="755">
        <v>1</v>
      </c>
      <c r="C1225" s="755" t="str">
        <f>IFERROR(VLOOKUP(B1225,DATEWISE!$A$3:$BY$27,2,0),0)</f>
        <v>30.04.2026</v>
      </c>
      <c r="D1225" s="755">
        <f>IF($C$1225=0,NA(),VLOOKUP($I$1221&amp;$B$1225,FLNFIX!$L$4:$EF$103,2,0))</f>
        <v>4</v>
      </c>
      <c r="E1225" s="755">
        <f>IF($C$1225=0,NA(),VLOOKUP($I$1221&amp;$B$1225,FLNFIX!$L$4:$EF$103,4,0))</f>
        <v>4</v>
      </c>
      <c r="F1225" s="755">
        <f>IF($C$1225=0,NA(),VLOOKUP($I$1221&amp;$B$1225,FLNFIX!$L$4:$EF$103,3,0))</f>
        <v>3</v>
      </c>
      <c r="G1225" s="756">
        <f>IF($C$1225=0,NA(),VLOOKUP($I$1221&amp;$B$1225,FLNFIX!$L$4:$EF$103,5,0))</f>
        <v>0</v>
      </c>
      <c r="H1225" s="757"/>
      <c r="I1225" s="757"/>
      <c r="J1225" s="758"/>
      <c r="K1225" s="677"/>
    </row>
    <row r="1226" ht="20.1" customHeight="1" spans="1:11">
      <c r="A1226" s="675"/>
      <c r="B1226" s="755">
        <f t="shared" ref="B1226:B1245" si="22">IF(B1225=0,0,IF(B1225&lt;$B$1224,B1225+1,""))</f>
        <v>2</v>
      </c>
      <c r="C1226" s="755" t="str">
        <f>IFERROR(VLOOKUP(B1226,DATEWISE!$A$3:$BY$27,2,0),0)</f>
        <v>08.05.2026</v>
      </c>
      <c r="D1226" s="755">
        <f>IF($C$1226=0,NA(),VLOOKUP($I$1221&amp;$B$1226,FLNFIX!$Q$4:$EF$103,2,0))</f>
        <v>4</v>
      </c>
      <c r="E1226" s="755">
        <f>IF($C$1226=0,NA(),VLOOKUP($I$1221&amp;$B$1226,FLNFIX!$Q$4:$EF$103,4,0))</f>
        <v>4</v>
      </c>
      <c r="F1226" s="755">
        <f>IF($C$1226=0,NA(),VLOOKUP($I$1221&amp;$B$1226,FLNFIX!$Q$4:$EF$103,3,0))</f>
        <v>3</v>
      </c>
      <c r="G1226" s="756">
        <f>IF($C$1226=0,NA(),VLOOKUP($I$1221&amp;$B$1226,FLNFIX!$Q$4:$EF$103,5,0))</f>
        <v>0</v>
      </c>
      <c r="H1226" s="757"/>
      <c r="I1226" s="757"/>
      <c r="J1226" s="758"/>
      <c r="K1226" s="677"/>
    </row>
    <row r="1227" ht="20.1" customHeight="1" spans="1:11">
      <c r="A1227" s="675"/>
      <c r="B1227" s="755">
        <f t="shared" si="22"/>
        <v>3</v>
      </c>
      <c r="C1227" s="755" t="str">
        <f>IFERROR(VLOOKUP(B1227,DATEWISE!$A$3:$BY$27,2,0),0)</f>
        <v>15.07.2026</v>
      </c>
      <c r="D1227" s="755">
        <f>IF($C$1227=0,NA(),VLOOKUP($I$1221&amp;$B$1227,FLNFIX!$V$4:$EF$103,2,0))</f>
        <v>4</v>
      </c>
      <c r="E1227" s="755">
        <f>IF($C$1227=0,NA(),VLOOKUP($I$1221&amp;$B$1227,FLNFIX!$V$4:$EF$103,4,0))</f>
        <v>4</v>
      </c>
      <c r="F1227" s="755">
        <f>IF($C$1227=0,NA(),VLOOKUP($I$1221&amp;$B$1227,FLNFIX!$V$4:$EF$103,3,0))</f>
        <v>3</v>
      </c>
      <c r="G1227" s="756">
        <f>IF($C$1227=0,NA(),VLOOKUP($I$1221&amp;$B$1227,FLNFIX!$V$4:$EF$103,5,0))</f>
        <v>0</v>
      </c>
      <c r="H1227" s="757"/>
      <c r="I1227" s="757"/>
      <c r="J1227" s="758"/>
      <c r="K1227" s="677"/>
    </row>
    <row r="1228" ht="20.1" customHeight="1" spans="1:11">
      <c r="A1228" s="675"/>
      <c r="B1228" s="755">
        <f t="shared" si="22"/>
        <v>4</v>
      </c>
      <c r="C1228" s="755" t="str">
        <f>IFERROR(VLOOKUP(B1228,DATEWISE!$A$3:$BY$27,2,0),0)</f>
        <v>31.07.2026</v>
      </c>
      <c r="D1228" s="755">
        <f>IF($C$1228=0,NA(),VLOOKUP($I$1221&amp;$B$1228,FLNFIX!$AA$4:$EF$103,2,0))</f>
        <v>4</v>
      </c>
      <c r="E1228" s="755">
        <f>IF($C$1228=0,NA(),VLOOKUP($I$1221&amp;$B$1228,FLNFIX!$AA$4:$EF$103,4,0))</f>
        <v>4</v>
      </c>
      <c r="F1228" s="755">
        <f>IF($C$1228=0,NA(),VLOOKUP($I$1221&amp;$B$1228,FLNFIX!$AA$4:$EF$103,3,0))</f>
        <v>3</v>
      </c>
      <c r="G1228" s="756">
        <f>IF($C$1228=0,NA(),VLOOKUP($I$1221&amp;$B$1228,FLNFIX!$AA$4:$EF$103,5,0))</f>
        <v>0</v>
      </c>
      <c r="H1228" s="757"/>
      <c r="I1228" s="757"/>
      <c r="J1228" s="758"/>
      <c r="K1228" s="677"/>
    </row>
    <row r="1229" ht="20.1" customHeight="1" spans="1:11">
      <c r="A1229" s="675"/>
      <c r="B1229" s="755">
        <f t="shared" si="22"/>
        <v>5</v>
      </c>
      <c r="C1229" s="755" t="str">
        <f>IFERROR(VLOOKUP(B1229,DATEWISE!$A$3:$BY$27,2,0),0)</f>
        <v>17.08.2026</v>
      </c>
      <c r="D1229" s="755">
        <f>IF($C$1229=0,NA(),VLOOKUP($I$1221&amp;$B$1229,FLNFIX!$AF$4:$EF$103,2,0))</f>
        <v>4</v>
      </c>
      <c r="E1229" s="755">
        <f>IF($C$1229=0,NA(),VLOOKUP($I$1221&amp;$B$1229,FLNFIX!$AF$4:$EF$103,4,0))</f>
        <v>4</v>
      </c>
      <c r="F1229" s="755">
        <f>IF($C$1229=0,NA(),VLOOKUP($I$1221&amp;$B$1229,FLNFIX!$AF$4:$EF$103,3,0))</f>
        <v>3</v>
      </c>
      <c r="G1229" s="756">
        <f>IF($C$1229=0,NA(),VLOOKUP($I$1221&amp;$B$1229,FLNFIX!$AF$4:$EF$103,5,0))</f>
        <v>0</v>
      </c>
      <c r="H1229" s="757"/>
      <c r="I1229" s="757"/>
      <c r="J1229" s="758"/>
      <c r="K1229" s="677"/>
    </row>
    <row r="1230" ht="20.1" customHeight="1" spans="1:11">
      <c r="A1230" s="675"/>
      <c r="B1230" s="755">
        <f t="shared" si="22"/>
        <v>6</v>
      </c>
      <c r="C1230" s="755" t="str">
        <f>IFERROR(VLOOKUP(B1230,DATEWISE!$A$3:$BY$27,2,0),0)</f>
        <v>31.08.2026</v>
      </c>
      <c r="D1230" s="755">
        <f>IF($C$1230=0,NA(),VLOOKUP($I$1221&amp;$B$1230,FLNFIX!$AK$4:$EF$103,2,0))</f>
        <v>4</v>
      </c>
      <c r="E1230" s="755">
        <f>IF($C$1230=0,NA(),VLOOKUP($I$1221&amp;$B$1230,FLNFIX!$AK$4:$EF$103,4,0))</f>
        <v>4</v>
      </c>
      <c r="F1230" s="755">
        <f>IF($C$1230=0,NA(),VLOOKUP($I$1221&amp;$B$1230,FLNFIX!$AK$4:$EF$103,3,0))</f>
        <v>3</v>
      </c>
      <c r="G1230" s="756">
        <f>IF($C$1230=0,NA(),VLOOKUP($I$1221&amp;$B$1230,FLNFIX!$AK$4:$EF$103,5,0))</f>
        <v>0</v>
      </c>
      <c r="H1230" s="757"/>
      <c r="I1230" s="757"/>
      <c r="J1230" s="758"/>
      <c r="K1230" s="677"/>
    </row>
    <row r="1231" ht="20.1" customHeight="1" spans="1:11">
      <c r="A1231" s="675"/>
      <c r="B1231" s="755">
        <f t="shared" si="22"/>
        <v>7</v>
      </c>
      <c r="C1231" s="755">
        <f>IFERROR(VLOOKUP(B1231,DATEWISE!$A$3:$BY$27,2,0),0)</f>
        <v>0</v>
      </c>
      <c r="D1231" s="755" t="e">
        <f>IF($C$1231=0,NA(),VLOOKUP($I$1221&amp;$B$1231,FLNFIX!$AP$4:$EF$103,2,0))</f>
        <v>#N/A</v>
      </c>
      <c r="E1231" s="755" t="e">
        <f>IF($C$1231=0,NA(),VLOOKUP($I$1221&amp;$B$1231,FLNFIX!$AP$4:$EF$103,4,0))</f>
        <v>#N/A</v>
      </c>
      <c r="F1231" s="755" t="e">
        <f>IF($C$1231=0,NA(),VLOOKUP($I$1221&amp;$B$1231,FLNFIX!$AP$4:$EF$103,3,0))</f>
        <v>#N/A</v>
      </c>
      <c r="G1231" s="756" t="e">
        <f>IF($C$1231=0,NA(),VLOOKUP($I$1221&amp;$B$1231,FLNFIX!$AP$4:$EF$103,5,0))</f>
        <v>#N/A</v>
      </c>
      <c r="H1231" s="757"/>
      <c r="I1231" s="757"/>
      <c r="J1231" s="758"/>
      <c r="K1231" s="677"/>
    </row>
    <row r="1232" ht="20.1" customHeight="1" spans="1:11">
      <c r="A1232" s="675"/>
      <c r="B1232" s="755">
        <f t="shared" si="22"/>
        <v>8</v>
      </c>
      <c r="C1232" s="755">
        <f>IFERROR(VLOOKUP(B1232,DATEWISE!$A$3:$BY$27,2,0),0)</f>
        <v>0</v>
      </c>
      <c r="D1232" s="755" t="e">
        <f>IF($C$1232=0,NA(),VLOOKUP($I$1221&amp;$B$1232,FLNFIX!$AU$4:$EF$103,2,0))</f>
        <v>#N/A</v>
      </c>
      <c r="E1232" s="755" t="e">
        <f>IF($C$1232=0,NA(),VLOOKUP($I$1221&amp;$B$1232,FLNFIX!$AU$4:$EF$103,4,0))</f>
        <v>#N/A</v>
      </c>
      <c r="F1232" s="755" t="e">
        <f>IF($C$1232=0,NA(),VLOOKUP($I$1221&amp;$B$1232,FLNFIX!$AU$4:$EF$103,3,0))</f>
        <v>#N/A</v>
      </c>
      <c r="G1232" s="756" t="e">
        <f>IF($C$1232=0,NA(),VLOOKUP($I$1221&amp;$B$1232,FLNFIX!$AU$4:$EF$103,5,0))</f>
        <v>#N/A</v>
      </c>
      <c r="H1232" s="757"/>
      <c r="I1232" s="757"/>
      <c r="J1232" s="758"/>
      <c r="K1232" s="677"/>
    </row>
    <row r="1233" ht="20.1" customHeight="1" spans="1:11">
      <c r="A1233" s="675"/>
      <c r="B1233" s="755">
        <f t="shared" si="22"/>
        <v>9</v>
      </c>
      <c r="C1233" s="755">
        <f>IFERROR(VLOOKUP(B1233,DATEWISE!$A$3:$BY$27,2,0),0)</f>
        <v>0</v>
      </c>
      <c r="D1233" s="755" t="e">
        <f>IF($C$1233=0,NA(),VLOOKUP($I$1221&amp;$B$1233,FLNFIX!$AZ$4:$EF$103,2,0))</f>
        <v>#N/A</v>
      </c>
      <c r="E1233" s="755" t="e">
        <f>IF($C$1233=0,NA(),VLOOKUP($I$1221&amp;$B$1233,FLNFIX!$AZ$4:$EF$103,4,0))</f>
        <v>#N/A</v>
      </c>
      <c r="F1233" s="755" t="e">
        <f>IF($C$1233=0,NA(),VLOOKUP($I$1221&amp;$B$1233,FLNFIX!$AZ$4:$EF$103,3,0))</f>
        <v>#N/A</v>
      </c>
      <c r="G1233" s="756" t="e">
        <f>IF($C$1233=0,NA(),VLOOKUP($I$1221&amp;$B$1233,FLNFIX!$AZ$4:$EF$103,5,0))</f>
        <v>#N/A</v>
      </c>
      <c r="H1233" s="757"/>
      <c r="I1233" s="757"/>
      <c r="J1233" s="758"/>
      <c r="K1233" s="677"/>
    </row>
    <row r="1234" ht="20.1" customHeight="1" spans="1:11">
      <c r="A1234" s="675"/>
      <c r="B1234" s="755">
        <f t="shared" si="22"/>
        <v>10</v>
      </c>
      <c r="C1234" s="755">
        <f>IFERROR(VLOOKUP(B1234,DATEWISE!$A$3:$BY$27,2,0),0)</f>
        <v>0</v>
      </c>
      <c r="D1234" s="755" t="e">
        <f>IF($C$1234=0,NA(),VLOOKUP($I$1221&amp;$B$1234,FLNFIX!$BE$4:$EF$103,2,0))</f>
        <v>#N/A</v>
      </c>
      <c r="E1234" s="755" t="e">
        <f>IF($C$1234=0,NA(),VLOOKUP($I$1221&amp;$B$1234,FLNFIX!$BE$4:$EF$103,4,0))</f>
        <v>#N/A</v>
      </c>
      <c r="F1234" s="755" t="e">
        <f>IF($C$1234=0,NA(),VLOOKUP($I$1221&amp;$B$1234,FLNFIX!$BE$4:$EF$103,3,0))</f>
        <v>#N/A</v>
      </c>
      <c r="G1234" s="756" t="e">
        <f>IF($C$1234=0,NA(),VLOOKUP($I$1221&amp;$B$1234,FLNFIX!$BE$4:$EF$103,5,0))</f>
        <v>#N/A</v>
      </c>
      <c r="H1234" s="757"/>
      <c r="I1234" s="757"/>
      <c r="J1234" s="758"/>
      <c r="K1234" s="677"/>
    </row>
    <row r="1235" ht="20.1" customHeight="1" spans="1:11">
      <c r="A1235" s="675"/>
      <c r="B1235" s="755">
        <f t="shared" si="22"/>
        <v>11</v>
      </c>
      <c r="C1235" s="755">
        <f>IFERROR(VLOOKUP(B1235,DATEWISE!$A$3:$BY$27,2,0),0)</f>
        <v>0</v>
      </c>
      <c r="D1235" s="755" t="e">
        <f>IF($C$1235=0,NA(),VLOOKUP($I$1221&amp;$B$1235,FLNFIX!$BJ$4:$EF$103,2,0))</f>
        <v>#N/A</v>
      </c>
      <c r="E1235" s="755" t="e">
        <f>IF($C$1235=0,NA(),VLOOKUP($I$1221&amp;$B$1235,FLNFIX!$BJ$4:$EF$103,4,0))</f>
        <v>#N/A</v>
      </c>
      <c r="F1235" s="755" t="e">
        <f>IF($C$1235=0,NA(),VLOOKUP($I$1221&amp;$B$1235,FLNFIX!$BJ$4:$EF$103,3,0))</f>
        <v>#N/A</v>
      </c>
      <c r="G1235" s="756" t="e">
        <f>IF($C$1235=0,NA(),VLOOKUP($I$1221&amp;$B$1235,FLNFIX!$BJ$4:$EF$103,5,0))</f>
        <v>#N/A</v>
      </c>
      <c r="H1235" s="757"/>
      <c r="I1235" s="757"/>
      <c r="J1235" s="758"/>
      <c r="K1235" s="677"/>
    </row>
    <row r="1236" ht="20.1" customHeight="1" spans="1:11">
      <c r="A1236" s="675"/>
      <c r="B1236" s="755">
        <f t="shared" si="22"/>
        <v>12</v>
      </c>
      <c r="C1236" s="755">
        <f>IFERROR(VLOOKUP(B1236,DATEWISE!$A$3:$BY$27,2,0),0)</f>
        <v>0</v>
      </c>
      <c r="D1236" s="755" t="e">
        <f>IF($C$1236=0,NA(),VLOOKUP($I$1221&amp;$B$1236,FLNFIX!$BO$4:$EF$103,2,0))</f>
        <v>#N/A</v>
      </c>
      <c r="E1236" s="755" t="e">
        <f>IF($C$1236=0,NA(),VLOOKUP($I$1221&amp;$B$1236,FLNFIX!$BO$4:$EF$103,4,0))</f>
        <v>#N/A</v>
      </c>
      <c r="F1236" s="755" t="e">
        <f>IF($C$1236=0,NA(),VLOOKUP($I$1221&amp;$B$1236,FLNFIX!$BO$4:$EF$103,3,0))</f>
        <v>#N/A</v>
      </c>
      <c r="G1236" s="756" t="e">
        <f>IF($C$1236=0,NA(),VLOOKUP($I$1221&amp;$B$1236,FLNFIX!$BO$4:$EF$103,5,0))</f>
        <v>#N/A</v>
      </c>
      <c r="H1236" s="757"/>
      <c r="I1236" s="757"/>
      <c r="J1236" s="758"/>
      <c r="K1236" s="677"/>
    </row>
    <row r="1237" ht="20.1" customHeight="1" spans="1:11">
      <c r="A1237" s="675"/>
      <c r="B1237" s="755">
        <f t="shared" si="22"/>
        <v>13</v>
      </c>
      <c r="C1237" s="755">
        <f>IFERROR(VLOOKUP(B1237,DATEWISE!$A$3:$BY$27,2,0),0)</f>
        <v>0</v>
      </c>
      <c r="D1237" s="755" t="e">
        <f>IF($C$1237=0,NA(),VLOOKUP($I$1221&amp;$B$1237,FLNFIX!$BT$4:$EF$103,2,0))</f>
        <v>#N/A</v>
      </c>
      <c r="E1237" s="755" t="e">
        <f>IF($C$1237=0,NA(),VLOOKUP($I$1221&amp;$B$1237,FLNFIX!$BT$4:$EF$103,4,0))</f>
        <v>#N/A</v>
      </c>
      <c r="F1237" s="755" t="e">
        <f>IF($C$1237=0,NA(),VLOOKUP($I$1221&amp;$B$1237,FLNFIX!$BT$4:$EF$103,3,0))</f>
        <v>#N/A</v>
      </c>
      <c r="G1237" s="756" t="e">
        <f>IF($C$1237=0,NA(),VLOOKUP($I$1221&amp;$B$1237,FLNFIX!$BT$4:$EF$103,5,0))</f>
        <v>#N/A</v>
      </c>
      <c r="H1237" s="757"/>
      <c r="I1237" s="757"/>
      <c r="J1237" s="758"/>
      <c r="K1237" s="677"/>
    </row>
    <row r="1238" ht="20.1" customHeight="1" spans="1:11">
      <c r="A1238" s="675"/>
      <c r="B1238" s="755">
        <f t="shared" si="22"/>
        <v>14</v>
      </c>
      <c r="C1238" s="755">
        <f>IFERROR(VLOOKUP(B1238,DATEWISE!$A$3:$BY$27,2,0),0)</f>
        <v>0</v>
      </c>
      <c r="D1238" s="755" t="e">
        <f>IF($C$1238=0,NA(),VLOOKUP($I$1221&amp;$B$1238,FLNFIX!$BY$4:$EF$103,2,0))</f>
        <v>#N/A</v>
      </c>
      <c r="E1238" s="755" t="e">
        <f>IF($C$1238=0,NA(),VLOOKUP($I$1221&amp;$B$1238,FLNFIX!$BY$4:$EF$103,4,0))</f>
        <v>#N/A</v>
      </c>
      <c r="F1238" s="755" t="e">
        <f>IF($C$1238=0,NA(),VLOOKUP($I$1221&amp;$B$1238,FLNFIX!$BY$4:$EF$103,3,0))</f>
        <v>#N/A</v>
      </c>
      <c r="G1238" s="756" t="e">
        <f>IF($C$1238=0,NA(),VLOOKUP($I$1221&amp;$B$1238,FLNFIX!$BY$4:$EF$103,5,0))</f>
        <v>#N/A</v>
      </c>
      <c r="H1238" s="757"/>
      <c r="I1238" s="757"/>
      <c r="J1238" s="758"/>
      <c r="K1238" s="677"/>
    </row>
    <row r="1239" ht="20.1" customHeight="1" spans="1:11">
      <c r="A1239" s="675"/>
      <c r="B1239" s="755">
        <f t="shared" si="22"/>
        <v>15</v>
      </c>
      <c r="C1239" s="755">
        <f>IFERROR(VLOOKUP(B1239,DATEWISE!$A$3:$BY$27,2,0),0)</f>
        <v>0</v>
      </c>
      <c r="D1239" s="755" t="e">
        <f>IF($C$1239=0,NA(),VLOOKUP($I$1221&amp;$B$1239,FLNFIX!$CD$4:$EF$103,2,0))</f>
        <v>#N/A</v>
      </c>
      <c r="E1239" s="755" t="e">
        <f>IF($C$1239=0,NA(),VLOOKUP($I$1221&amp;$B$1239,FLNFIX!$CD$4:$EF$103,4,0))</f>
        <v>#N/A</v>
      </c>
      <c r="F1239" s="755" t="e">
        <f>IF($C$1239=0,NA(),VLOOKUP($I$1221&amp;$B$1239,FLNFIX!$CD$4:$EF$103,3,0))</f>
        <v>#N/A</v>
      </c>
      <c r="G1239" s="756" t="e">
        <f>IF($C$1239=0,NA(),VLOOKUP($I$1221&amp;$B$1239,FLNFIX!$CD$4:$EF$103,5,0))</f>
        <v>#N/A</v>
      </c>
      <c r="H1239" s="757"/>
      <c r="I1239" s="757"/>
      <c r="J1239" s="758"/>
      <c r="K1239" s="677"/>
    </row>
    <row r="1240" ht="20.1" customHeight="1" spans="1:11">
      <c r="A1240" s="675"/>
      <c r="B1240" s="755">
        <f t="shared" si="22"/>
        <v>16</v>
      </c>
      <c r="C1240" s="755">
        <f>IFERROR(VLOOKUP(B1240,DATEWISE!$A$3:$BY$27,2,0),0)</f>
        <v>0</v>
      </c>
      <c r="D1240" s="755" t="e">
        <f>IF($C$1240=0,NA(),VLOOKUP($I$1221&amp;$B$1240,FLNFIX!$CI$4:$EF$103,2,0))</f>
        <v>#N/A</v>
      </c>
      <c r="E1240" s="755" t="e">
        <f>IF($C$1240=0,NA(),VLOOKUP($I$1221&amp;$B$1240,FLNFIX!$CI$4:$EF$103,4,0))</f>
        <v>#N/A</v>
      </c>
      <c r="F1240" s="755" t="e">
        <f>IF($C$1240=0,NA(),VLOOKUP($I$1221&amp;$B$1240,FLNFIX!$CI$4:$EF$103,3,0))</f>
        <v>#N/A</v>
      </c>
      <c r="G1240" s="756" t="e">
        <f>IF($C$1240=0,NA(),VLOOKUP($I$1221&amp;$B$1240,FLNFIX!$CI$4:$EF$103,5,0))</f>
        <v>#N/A</v>
      </c>
      <c r="H1240" s="757"/>
      <c r="I1240" s="757"/>
      <c r="J1240" s="758"/>
      <c r="K1240" s="677"/>
    </row>
    <row r="1241" ht="20.1" customHeight="1" spans="1:11">
      <c r="A1241" s="675"/>
      <c r="B1241" s="755">
        <f t="shared" si="22"/>
        <v>17</v>
      </c>
      <c r="C1241" s="755">
        <f>IFERROR(VLOOKUP(B1241,DATEWISE!$A$3:$BY$27,2,0),0)</f>
        <v>0</v>
      </c>
      <c r="D1241" s="755" t="e">
        <f>IF($C$1241=0,NA(),VLOOKUP($I$1221&amp;$B$1241,FLNFIX!$CN$4:$EF$103,2,0))</f>
        <v>#N/A</v>
      </c>
      <c r="E1241" s="755" t="e">
        <f>IF($C$1241=0,NA(),VLOOKUP($I$1221&amp;$B$1241,FLNFIX!$CN$4:$EF$103,4,0))</f>
        <v>#N/A</v>
      </c>
      <c r="F1241" s="755" t="e">
        <f>IF($C$1241=0,NA(),VLOOKUP($I$1221&amp;$B$1241,FLNFIX!$CN$4:$EF$103,3,0))</f>
        <v>#N/A</v>
      </c>
      <c r="G1241" s="756" t="e">
        <f>IF($C$1241=0,NA(),VLOOKUP($I$1221&amp;$B$1241,FLNFIX!$CN$4:$EF$103,5,0))</f>
        <v>#N/A</v>
      </c>
      <c r="H1241" s="757"/>
      <c r="I1241" s="757"/>
      <c r="J1241" s="758"/>
      <c r="K1241" s="677"/>
    </row>
    <row r="1242" ht="20.1" customHeight="1" spans="1:11">
      <c r="A1242" s="675"/>
      <c r="B1242" s="755">
        <f t="shared" si="22"/>
        <v>18</v>
      </c>
      <c r="C1242" s="755">
        <f>IFERROR(VLOOKUP(B1242,DATEWISE!$A$3:$BY$27,2,0),0)</f>
        <v>0</v>
      </c>
      <c r="D1242" s="755" t="e">
        <f>IF($C$1242=0,NA(),VLOOKUP($I$1221&amp;$B$1242,FLNFIX!$CS$4:$EF$103,2,0))</f>
        <v>#N/A</v>
      </c>
      <c r="E1242" s="755" t="e">
        <f>IF($C$1242=0,NA(),VLOOKUP($I$1221&amp;$B$1242,FLNFIX!$CS$4:$EF$103,4,0))</f>
        <v>#N/A</v>
      </c>
      <c r="F1242" s="755" t="e">
        <f>IF($C$1242=0,NA(),VLOOKUP($I$1221&amp;$B$1242,FLNFIX!$CS$4:$EF$103,3,0))</f>
        <v>#N/A</v>
      </c>
      <c r="G1242" s="756" t="e">
        <f>IF($C$1242=0,NA(),VLOOKUP($I$1221&amp;$B$1242,FLNFIX!$CS$4:$EF$103,5,0))</f>
        <v>#N/A</v>
      </c>
      <c r="H1242" s="757"/>
      <c r="I1242" s="757"/>
      <c r="J1242" s="758"/>
      <c r="K1242" s="677"/>
    </row>
    <row r="1243" ht="20.1" customHeight="1" spans="1:11">
      <c r="A1243" s="675"/>
      <c r="B1243" s="755">
        <f t="shared" si="22"/>
        <v>19</v>
      </c>
      <c r="C1243" s="755">
        <f>IFERROR(VLOOKUP(B1243,DATEWISE!$A$3:$BY$27,2,0),0)</f>
        <v>0</v>
      </c>
      <c r="D1243" s="755" t="e">
        <f>IF($C$1243=0,NA(),VLOOKUP($I$1221&amp;$B$1243,FLNFIX!$CX$4:$EF$103,2,0))</f>
        <v>#N/A</v>
      </c>
      <c r="E1243" s="755" t="e">
        <f>IF($C$1243=0,NA(),VLOOKUP($I$1221&amp;$B$1243,FLNFIX!$CX$4:$EF$103,4,0))</f>
        <v>#N/A</v>
      </c>
      <c r="F1243" s="755" t="e">
        <f>IF($C$1243=0,NA(),VLOOKUP($I$1221&amp;$B$1243,FLNFIX!$CX$4:$EF$103,3,0))</f>
        <v>#N/A</v>
      </c>
      <c r="G1243" s="756" t="e">
        <f>IF($C$1243=0,NA(),VLOOKUP($I$1221&amp;$B$1243,FLNFIX!$CX$4:$EF$103,5,0))</f>
        <v>#N/A</v>
      </c>
      <c r="H1243" s="757"/>
      <c r="I1243" s="757"/>
      <c r="J1243" s="758"/>
      <c r="K1243" s="677"/>
    </row>
    <row r="1244" ht="20.1" customHeight="1" spans="1:11">
      <c r="A1244" s="675"/>
      <c r="B1244" s="755">
        <f t="shared" si="22"/>
        <v>20</v>
      </c>
      <c r="C1244" s="755">
        <f>IFERROR(VLOOKUP(B1244,DATEWISE!$A$3:$BY$27,2,0),0)</f>
        <v>0</v>
      </c>
      <c r="D1244" s="755" t="e">
        <f>IF($C$1244=0,NA(),VLOOKUP($I$1221&amp;$B$1244,FLNFIX!$DC$4:$EF$103,2,0))</f>
        <v>#N/A</v>
      </c>
      <c r="E1244" s="755" t="e">
        <f>IF($C$1244=0,NA(),VLOOKUP($I$1221&amp;$B$1244,FLNFIX!$DC$4:$EF$103,4,0))</f>
        <v>#N/A</v>
      </c>
      <c r="F1244" s="755" t="e">
        <f>IF($C$1244=0,NA(),VLOOKUP($I$1221&amp;$B$1244,FLNFIX!$DC$4:$EF$103,3,0))</f>
        <v>#N/A</v>
      </c>
      <c r="G1244" s="756" t="e">
        <f>IF($C$1244=0,NA(),VLOOKUP($I$1221&amp;$B$1244,FLNFIX!$DC$4:$EF$103,5,0))</f>
        <v>#N/A</v>
      </c>
      <c r="H1244" s="757"/>
      <c r="I1244" s="757"/>
      <c r="J1244" s="758"/>
      <c r="K1244" s="677"/>
    </row>
    <row r="1245" ht="20.1" customHeight="1" spans="1:11">
      <c r="A1245" s="675"/>
      <c r="B1245" s="755">
        <f t="shared" si="22"/>
        <v>21</v>
      </c>
      <c r="C1245" s="755">
        <f>IFERROR(VLOOKUP(B1245,DATEWISE!$A$3:$BY$27,2,0),0)</f>
        <v>0</v>
      </c>
      <c r="D1245" s="755" t="e">
        <f>IF($C$1245=0,NA(),VLOOKUP($I$1221&amp;$B$1245,FLNFIX!$DH$4:$EF$103,2,0))</f>
        <v>#N/A</v>
      </c>
      <c r="E1245" s="755" t="e">
        <f>IF($C$1245=0,NA(),VLOOKUP($I$1221&amp;$B$1245,FLNFIX!$DH$4:$EF$103,4,0))</f>
        <v>#N/A</v>
      </c>
      <c r="F1245" s="755" t="e">
        <f>IF($C$1245=0,NA(),VLOOKUP($I$1221&amp;$B$1245,FLNFIX!$DH$4:$EF$103,3,0))</f>
        <v>#N/A</v>
      </c>
      <c r="G1245" s="756" t="e">
        <f>IF($C$1245=0,NA(),VLOOKUP($I$1221&amp;$B$1245,FLNFIX!$DH$4:$EF$103,5,0))</f>
        <v>#N/A</v>
      </c>
      <c r="H1245" s="757"/>
      <c r="I1245" s="757"/>
      <c r="J1245" s="758"/>
      <c r="K1245" s="677"/>
    </row>
    <row r="1246" ht="5.1" customHeight="1" spans="1:11">
      <c r="A1246" s="675"/>
      <c r="B1246" s="759"/>
      <c r="C1246" s="759"/>
      <c r="D1246" s="760"/>
      <c r="E1246" s="760"/>
      <c r="F1246" s="760"/>
      <c r="G1246" s="761"/>
      <c r="H1246" s="761"/>
      <c r="I1246" s="761"/>
      <c r="J1246" s="761"/>
      <c r="K1246" s="677"/>
    </row>
    <row r="1247" s="667" customFormat="1" ht="24.95" customHeight="1" spans="1:11">
      <c r="A1247" s="711"/>
      <c r="B1247" s="762" t="s">
        <v>431</v>
      </c>
      <c r="C1247" s="763"/>
      <c r="D1247" s="763"/>
      <c r="E1247" s="763"/>
      <c r="F1247" s="763"/>
      <c r="G1247" s="763"/>
      <c r="H1247" s="763"/>
      <c r="I1247" s="763"/>
      <c r="J1247" s="764"/>
      <c r="K1247" s="713"/>
    </row>
    <row r="1248" spans="1:11">
      <c r="A1248" s="675"/>
      <c r="B1248" s="765"/>
      <c r="C1248" s="686"/>
      <c r="D1248" s="686"/>
      <c r="E1248" s="686"/>
      <c r="F1248" s="686"/>
      <c r="G1248" s="686"/>
      <c r="H1248" s="686"/>
      <c r="I1248" s="686"/>
      <c r="J1248" s="766"/>
      <c r="K1248" s="677"/>
    </row>
    <row r="1249" spans="1:11">
      <c r="A1249" s="675"/>
      <c r="B1249" s="765"/>
      <c r="C1249" s="686"/>
      <c r="D1249" s="686"/>
      <c r="E1249" s="686"/>
      <c r="F1249" s="686"/>
      <c r="G1249" s="686"/>
      <c r="H1249" s="686"/>
      <c r="I1249" s="686"/>
      <c r="J1249" s="766"/>
      <c r="K1249" s="677"/>
    </row>
    <row r="1250" spans="1:11">
      <c r="A1250" s="675"/>
      <c r="B1250" s="765"/>
      <c r="C1250" s="686"/>
      <c r="D1250" s="686"/>
      <c r="E1250" s="686"/>
      <c r="F1250" s="686"/>
      <c r="G1250" s="686"/>
      <c r="H1250" s="686"/>
      <c r="I1250" s="686"/>
      <c r="J1250" s="766"/>
      <c r="K1250" s="677"/>
    </row>
    <row r="1251" spans="1:11">
      <c r="A1251" s="675"/>
      <c r="B1251" s="765"/>
      <c r="C1251" s="686"/>
      <c r="D1251" s="686"/>
      <c r="E1251" s="686"/>
      <c r="F1251" s="686"/>
      <c r="G1251" s="686"/>
      <c r="H1251" s="686"/>
      <c r="I1251" s="686"/>
      <c r="J1251" s="766"/>
      <c r="K1251" s="677"/>
    </row>
    <row r="1252" spans="1:11">
      <c r="A1252" s="675"/>
      <c r="B1252" s="765"/>
      <c r="C1252" s="686"/>
      <c r="D1252" s="686"/>
      <c r="E1252" s="686"/>
      <c r="F1252" s="686"/>
      <c r="G1252" s="686"/>
      <c r="H1252" s="686"/>
      <c r="I1252" s="686"/>
      <c r="J1252" s="766"/>
      <c r="K1252" s="677"/>
    </row>
    <row r="1253" spans="1:11">
      <c r="A1253" s="675"/>
      <c r="B1253" s="765"/>
      <c r="C1253" s="686"/>
      <c r="D1253" s="686"/>
      <c r="E1253" s="686"/>
      <c r="F1253" s="686"/>
      <c r="G1253" s="686"/>
      <c r="H1253" s="686"/>
      <c r="I1253" s="686"/>
      <c r="J1253" s="766"/>
      <c r="K1253" s="677"/>
    </row>
    <row r="1254" spans="1:11">
      <c r="A1254" s="675"/>
      <c r="B1254" s="765"/>
      <c r="C1254" s="686"/>
      <c r="D1254" s="686"/>
      <c r="E1254" s="686"/>
      <c r="F1254" s="686"/>
      <c r="G1254" s="686"/>
      <c r="H1254" s="686"/>
      <c r="I1254" s="686"/>
      <c r="J1254" s="766"/>
      <c r="K1254" s="677"/>
    </row>
    <row r="1255" spans="1:11">
      <c r="A1255" s="675"/>
      <c r="B1255" s="765"/>
      <c r="C1255" s="686"/>
      <c r="D1255" s="686"/>
      <c r="E1255" s="686"/>
      <c r="F1255" s="686"/>
      <c r="G1255" s="686"/>
      <c r="H1255" s="686"/>
      <c r="I1255" s="686"/>
      <c r="J1255" s="766"/>
      <c r="K1255" s="677"/>
    </row>
    <row r="1256" spans="1:11">
      <c r="A1256" s="675"/>
      <c r="B1256" s="765"/>
      <c r="C1256" s="686"/>
      <c r="D1256" s="686"/>
      <c r="E1256" s="686"/>
      <c r="F1256" s="686"/>
      <c r="G1256" s="686"/>
      <c r="H1256" s="686"/>
      <c r="I1256" s="686"/>
      <c r="J1256" s="766"/>
      <c r="K1256" s="677"/>
    </row>
    <row r="1257" spans="1:11">
      <c r="A1257" s="675"/>
      <c r="B1257" s="767"/>
      <c r="C1257" s="768"/>
      <c r="D1257" s="768"/>
      <c r="E1257" s="768"/>
      <c r="F1257" s="768"/>
      <c r="G1257" s="768"/>
      <c r="H1257" s="768"/>
      <c r="I1257" s="768"/>
      <c r="J1257" s="769"/>
      <c r="K1257" s="677"/>
    </row>
    <row r="1258" ht="5.1" customHeight="1" spans="1:11">
      <c r="A1258" s="675"/>
      <c r="B1258" s="686"/>
      <c r="C1258" s="686"/>
      <c r="D1258" s="686"/>
      <c r="E1258" s="686"/>
      <c r="F1258" s="686"/>
      <c r="G1258" s="686"/>
      <c r="H1258" s="686"/>
      <c r="I1258" s="686"/>
      <c r="J1258" s="686"/>
      <c r="K1258" s="677"/>
    </row>
    <row r="1259" spans="1:11">
      <c r="A1259" s="675"/>
      <c r="B1259" s="770" t="s">
        <v>432</v>
      </c>
      <c r="C1259" s="770"/>
      <c r="D1259" s="770"/>
      <c r="E1259" s="770"/>
      <c r="F1259" s="770"/>
      <c r="G1259" s="770"/>
      <c r="H1259" s="770"/>
      <c r="I1259" s="770"/>
      <c r="J1259" s="770"/>
      <c r="K1259" s="677"/>
    </row>
    <row r="1260" spans="1:11">
      <c r="A1260" s="675"/>
      <c r="B1260" s="771"/>
      <c r="C1260" s="771"/>
      <c r="D1260" s="771"/>
      <c r="E1260" s="771"/>
      <c r="F1260" s="771"/>
      <c r="G1260" s="771"/>
      <c r="H1260" s="771"/>
      <c r="I1260" s="771"/>
      <c r="J1260" s="771"/>
      <c r="K1260" s="677"/>
    </row>
    <row r="1261" spans="1:11">
      <c r="A1261" s="675"/>
      <c r="B1261" s="771"/>
      <c r="C1261" s="771"/>
      <c r="D1261" s="771"/>
      <c r="E1261" s="771"/>
      <c r="F1261" s="771"/>
      <c r="G1261" s="771"/>
      <c r="H1261" s="771"/>
      <c r="I1261" s="771"/>
      <c r="J1261" s="771"/>
      <c r="K1261" s="677"/>
    </row>
    <row r="1262" spans="1:11">
      <c r="A1262" s="675"/>
      <c r="B1262" s="771"/>
      <c r="C1262" s="771"/>
      <c r="D1262" s="771"/>
      <c r="E1262" s="771"/>
      <c r="F1262" s="771"/>
      <c r="G1262" s="771"/>
      <c r="H1262" s="771"/>
      <c r="I1262" s="771"/>
      <c r="J1262" s="771"/>
      <c r="K1262" s="677"/>
    </row>
    <row r="1263" spans="1:11">
      <c r="A1263" s="675"/>
      <c r="B1263" s="686"/>
      <c r="C1263" s="686"/>
      <c r="D1263" s="686"/>
      <c r="E1263" s="686"/>
      <c r="F1263" s="686"/>
      <c r="G1263" s="686"/>
      <c r="H1263" s="686"/>
      <c r="I1263" s="686"/>
      <c r="J1263" s="686"/>
      <c r="K1263" s="677"/>
    </row>
    <row r="1264" spans="1:11">
      <c r="A1264" s="675"/>
      <c r="B1264" s="686"/>
      <c r="C1264" s="729" t="s">
        <v>433</v>
      </c>
      <c r="D1264" s="729"/>
      <c r="E1264" s="686"/>
      <c r="F1264" s="686"/>
      <c r="G1264" s="729" t="s">
        <v>434</v>
      </c>
      <c r="H1264" s="729"/>
      <c r="I1264" s="729"/>
      <c r="J1264" s="729"/>
      <c r="K1264" s="677"/>
    </row>
    <row r="1265" ht="16.35" spans="1:11">
      <c r="A1265" s="725"/>
      <c r="B1265" s="726"/>
      <c r="C1265" s="732" t="str">
        <f>"("&amp;PROPER(ENTRY!$D$19)&amp;")"</f>
        <v>(Indrajeet)</v>
      </c>
      <c r="D1265" s="732"/>
      <c r="E1265" s="726"/>
      <c r="F1265" s="726"/>
      <c r="G1265" s="732" t="str">
        <f>"("&amp;PROPER(ENTRY!$D$12)&amp;")"</f>
        <v>(Shambhu Dayal Meena)</v>
      </c>
      <c r="H1265" s="732"/>
      <c r="I1265" s="732"/>
      <c r="J1265" s="732"/>
      <c r="K1265" s="728"/>
    </row>
    <row r="1266" ht="24.6" spans="1:11">
      <c r="B1266" s="734"/>
      <c r="C1266" s="734"/>
      <c r="D1266" s="669" t="str">
        <f>ENTRY!$D$3</f>
        <v>MUNICIPAL CORPORATION OF DELHI</v>
      </c>
      <c r="E1266" s="669"/>
      <c r="F1266" s="669"/>
      <c r="G1266" s="669"/>
      <c r="H1266" s="734"/>
      <c r="I1266" s="669"/>
      <c r="J1266" s="669"/>
    </row>
    <row r="1267" ht="20.4" spans="1:11">
      <c r="B1267" s="735"/>
      <c r="C1267" s="735"/>
      <c r="D1267" s="670" t="str">
        <f>ENTRY!$D$4</f>
        <v>EDUCATION DEPARTMENT</v>
      </c>
      <c r="E1267" s="670"/>
      <c r="F1267" s="670"/>
      <c r="G1267" s="670"/>
      <c r="H1267" s="735"/>
      <c r="I1267" s="669"/>
      <c r="J1267" s="669"/>
    </row>
    <row r="1268" ht="22.8" spans="1:11">
      <c r="B1268" s="736"/>
      <c r="C1268" s="736"/>
      <c r="D1268" s="664" t="s">
        <v>417</v>
      </c>
      <c r="E1268" s="664"/>
      <c r="F1268" s="664"/>
      <c r="G1268" s="664"/>
      <c r="H1268" s="736"/>
      <c r="I1268" s="669"/>
      <c r="J1268" s="669"/>
    </row>
    <row r="1269" ht="22.8" spans="1:11">
      <c r="B1269" s="736"/>
      <c r="C1269" s="736"/>
      <c r="D1269" s="664" t="s">
        <v>418</v>
      </c>
      <c r="E1269" s="664"/>
      <c r="F1269" s="664"/>
      <c r="G1269" s="664"/>
      <c r="H1269" s="736"/>
      <c r="I1269" s="669"/>
      <c r="J1269" s="669"/>
    </row>
    <row r="1270" ht="24.95" customHeight="1" spans="1:11">
      <c r="B1270" s="735"/>
      <c r="C1270" s="735"/>
      <c r="D1270" s="737" t="str">
        <f>"SESSION : "&amp;ENTRY!$D$11</f>
        <v>SESSION : 2026-27</v>
      </c>
      <c r="E1270" s="737"/>
      <c r="F1270" s="737"/>
      <c r="G1270" s="737"/>
      <c r="H1270" s="735"/>
      <c r="I1270" s="738"/>
      <c r="J1270" s="738"/>
    </row>
    <row r="1271" ht="3.75" customHeight="1" spans="1:11">
      <c r="A1271" s="672"/>
      <c r="B1271" s="739"/>
      <c r="C1271" s="739"/>
      <c r="D1271" s="739"/>
      <c r="E1271" s="739"/>
      <c r="F1271" s="739"/>
      <c r="G1271" s="739"/>
      <c r="H1271" s="739"/>
      <c r="I1271" s="739"/>
      <c r="J1271" s="739"/>
      <c r="K1271" s="674"/>
    </row>
    <row r="1272" ht="21.95" customHeight="1" spans="1:11">
      <c r="A1272" s="675"/>
      <c r="B1272" s="676" t="s">
        <v>419</v>
      </c>
      <c r="C1272" s="676"/>
      <c r="D1272" s="676" t="str">
        <f>ENTRY!$D$6</f>
        <v>MCP NITHARI NO 1 BOYS</v>
      </c>
      <c r="E1272" s="676"/>
      <c r="F1272" s="676"/>
      <c r="G1272" s="676"/>
      <c r="H1272" s="676"/>
      <c r="I1272" s="676"/>
      <c r="J1272" s="676"/>
      <c r="K1272" s="677"/>
    </row>
    <row r="1273" ht="21.95" customHeight="1" spans="1:11">
      <c r="A1273" s="675"/>
      <c r="B1273" s="676" t="s">
        <v>420</v>
      </c>
      <c r="C1273" s="676"/>
      <c r="D1273" s="740" t="str">
        <f>IFERROR(VLOOKUP($I$1276,STUDENT!$A$2:$BP$101,5,0),"")</f>
        <v>SOORYA VANSHAL</v>
      </c>
      <c r="E1273" s="740"/>
      <c r="F1273" s="740"/>
      <c r="G1273" s="740"/>
      <c r="H1273" s="740"/>
      <c r="I1273" s="740"/>
      <c r="J1273" s="740"/>
      <c r="K1273" s="677"/>
    </row>
    <row r="1274" ht="21.95" customHeight="1" spans="1:11">
      <c r="A1274" s="675"/>
      <c r="B1274" s="676" t="s">
        <v>421</v>
      </c>
      <c r="C1274" s="676"/>
      <c r="D1274" s="740" t="str">
        <f>IFERROR(VLOOKUP($I$1276,STUDENT!$A$2:$BP$101,8,0),"")</f>
        <v>KAMLESH KUMAR</v>
      </c>
      <c r="E1274" s="740"/>
      <c r="F1274" s="740"/>
      <c r="G1274" s="740"/>
      <c r="H1274" s="740"/>
      <c r="I1274" s="740"/>
      <c r="J1274" s="740"/>
      <c r="K1274" s="677"/>
    </row>
    <row r="1275" ht="21.95" customHeight="1" spans="1:11">
      <c r="A1275" s="675"/>
      <c r="B1275" s="676" t="s">
        <v>422</v>
      </c>
      <c r="C1275" s="676"/>
      <c r="D1275" s="740">
        <f>IFERROR(VLOOKUP($I$1276,STUDENT!$A$2:$BP$101,6,0),"")</f>
        <v>14806</v>
      </c>
      <c r="E1275" s="740"/>
      <c r="F1275" s="740"/>
      <c r="G1275" s="740"/>
      <c r="H1275" s="740"/>
      <c r="I1275" s="740"/>
      <c r="J1275" s="740"/>
      <c r="K1275" s="677"/>
    </row>
    <row r="1276" ht="21.95" customHeight="1" spans="1:11">
      <c r="A1276" s="675"/>
      <c r="B1276" s="676" t="s">
        <v>423</v>
      </c>
      <c r="C1276" s="676"/>
      <c r="D1276" s="741" t="str">
        <f>IFERROR(VLOOKUP($I$1276,STUDENT!$A$2:$BP$101,59,0),"")</f>
        <v/>
      </c>
      <c r="E1276" s="742" t="s">
        <v>424</v>
      </c>
      <c r="F1276" s="704" t="str">
        <f>IFERROR(VLOOKUP($I$1276,STUDENT!$A$2:$BP$101,2,0),"")</f>
        <v>III-A</v>
      </c>
      <c r="G1276" s="742" t="s">
        <v>425</v>
      </c>
      <c r="H1276" s="743"/>
      <c r="I1276" s="733">
        <f>I1221+1</f>
        <v>24</v>
      </c>
      <c r="J1276" s="683"/>
      <c r="K1276" s="677"/>
    </row>
    <row r="1277" ht="5.1" customHeight="1" spans="1:11">
      <c r="A1277" s="675"/>
      <c r="B1277" s="745"/>
      <c r="C1277" s="745"/>
      <c r="D1277" s="746"/>
      <c r="E1277" s="747"/>
      <c r="F1277" s="748"/>
      <c r="G1277" s="747"/>
      <c r="H1277" s="686"/>
      <c r="I1277" s="686"/>
      <c r="J1277" s="686"/>
      <c r="K1277" s="677"/>
    </row>
    <row r="1278" s="664" customFormat="1" ht="32.1" customHeight="1" spans="1:11">
      <c r="A1278" s="688"/>
      <c r="B1278" s="749" t="s">
        <v>426</v>
      </c>
      <c r="C1278" s="750"/>
      <c r="D1278" s="750"/>
      <c r="E1278" s="750"/>
      <c r="F1278" s="750"/>
      <c r="G1278" s="750"/>
      <c r="H1278" s="750"/>
      <c r="I1278" s="750"/>
      <c r="J1278" s="751"/>
      <c r="K1278" s="690"/>
    </row>
    <row r="1279" ht="51.6" spans="1:11">
      <c r="A1279" s="675"/>
      <c r="B1279" s="752">
        <v>21</v>
      </c>
      <c r="C1279" s="753" t="s">
        <v>427</v>
      </c>
      <c r="D1279" s="754" t="s">
        <v>428</v>
      </c>
      <c r="E1279" s="754" t="s">
        <v>429</v>
      </c>
      <c r="F1279" s="754" t="s">
        <v>430</v>
      </c>
      <c r="G1279" s="753" t="s">
        <v>390</v>
      </c>
      <c r="H1279" s="714"/>
      <c r="I1279" s="714"/>
      <c r="J1279" s="714"/>
      <c r="K1279" s="677"/>
    </row>
    <row r="1280" ht="20.1" customHeight="1" spans="1:11">
      <c r="A1280" s="675"/>
      <c r="B1280" s="755">
        <v>1</v>
      </c>
      <c r="C1280" s="755" t="str">
        <f>IFERROR(VLOOKUP(B1280,DATEWISE!$A$3:$BY$27,2,0),0)</f>
        <v>30.04.2026</v>
      </c>
      <c r="D1280" s="755">
        <f>IF($C$1280=0,NA(),VLOOKUP($I$1276&amp;$B$1280,FLNFIX!$L$4:$EF$103,2,0))</f>
        <v>2</v>
      </c>
      <c r="E1280" s="755">
        <f>IF($C$1280=0,NA(),VLOOKUP($I$1276&amp;$B$1280,FLNFIX!$L$4:$EF$103,4,0))</f>
        <v>3</v>
      </c>
      <c r="F1280" s="755">
        <f>IF($C$1280=0,NA(),VLOOKUP($I$1276&amp;$B$1280,FLNFIX!$L$4:$EF$103,3,0))</f>
        <v>2</v>
      </c>
      <c r="G1280" s="756">
        <f>IF($C$1280=0,NA(),VLOOKUP($I$1276&amp;$B$1280,FLNFIX!$L$4:$EF$103,5,0))</f>
        <v>0</v>
      </c>
      <c r="H1280" s="757"/>
      <c r="I1280" s="757"/>
      <c r="J1280" s="758"/>
      <c r="K1280" s="677"/>
    </row>
    <row r="1281" ht="20.1" customHeight="1" spans="1:11">
      <c r="A1281" s="675"/>
      <c r="B1281" s="755">
        <f t="shared" ref="B1281:B1300" si="23">IF(B1280=0,0,IF(B1280&lt;$B$1279,B1280+1,""))</f>
        <v>2</v>
      </c>
      <c r="C1281" s="755" t="str">
        <f>IFERROR(VLOOKUP(B1281,DATEWISE!$A$3:$BY$27,2,0),0)</f>
        <v>08.05.2026</v>
      </c>
      <c r="D1281" s="755">
        <f>IF($C$1281=0,NA(),VLOOKUP($I$1276&amp;$B$1281,FLNFIX!$Q$4:$EF$103,2,0))</f>
        <v>2</v>
      </c>
      <c r="E1281" s="755">
        <f>IF($C$1281=0,NA(),VLOOKUP($I$1276&amp;$B$1281,FLNFIX!$Q$4:$EF$103,4,0))</f>
        <v>3</v>
      </c>
      <c r="F1281" s="755">
        <f>IF($C$1281=0,NA(),VLOOKUP($I$1276&amp;$B$1281,FLNFIX!$Q$4:$EF$103,3,0))</f>
        <v>2</v>
      </c>
      <c r="G1281" s="756">
        <f>IF($C$1281=0,NA(),VLOOKUP($I$1276&amp;$B$1281,FLNFIX!$Q$4:$EF$103,5,0))</f>
        <v>0</v>
      </c>
      <c r="H1281" s="757"/>
      <c r="I1281" s="757"/>
      <c r="J1281" s="758"/>
      <c r="K1281" s="677"/>
    </row>
    <row r="1282" ht="20.1" customHeight="1" spans="1:11">
      <c r="A1282" s="675"/>
      <c r="B1282" s="755">
        <f t="shared" si="23"/>
        <v>3</v>
      </c>
      <c r="C1282" s="755" t="str">
        <f>IFERROR(VLOOKUP(B1282,DATEWISE!$A$3:$BY$27,2,0),0)</f>
        <v>15.07.2026</v>
      </c>
      <c r="D1282" s="755">
        <f>IF($C$1282=0,NA(),VLOOKUP($I$1276&amp;$B$1282,FLNFIX!$V$4:$EF$103,2,0))</f>
        <v>2</v>
      </c>
      <c r="E1282" s="755">
        <f>IF($C$1282=0,NA(),VLOOKUP($I$1276&amp;$B$1282,FLNFIX!$V$4:$EF$103,4,0))</f>
        <v>3</v>
      </c>
      <c r="F1282" s="755">
        <f>IF($C$1282=0,NA(),VLOOKUP($I$1276&amp;$B$1282,FLNFIX!$V$4:$EF$103,3,0))</f>
        <v>2</v>
      </c>
      <c r="G1282" s="756">
        <f>IF($C$1282=0,NA(),VLOOKUP($I$1276&amp;$B$1282,FLNFIX!$V$4:$EF$103,5,0))</f>
        <v>0</v>
      </c>
      <c r="H1282" s="757"/>
      <c r="I1282" s="757"/>
      <c r="J1282" s="758"/>
      <c r="K1282" s="677"/>
    </row>
    <row r="1283" ht="20.1" customHeight="1" spans="1:11">
      <c r="A1283" s="675"/>
      <c r="B1283" s="755">
        <f t="shared" si="23"/>
        <v>4</v>
      </c>
      <c r="C1283" s="755" t="str">
        <f>IFERROR(VLOOKUP(B1283,DATEWISE!$A$3:$BY$27,2,0),0)</f>
        <v>31.07.2026</v>
      </c>
      <c r="D1283" s="755">
        <f>IF($C$1283=0,NA(),VLOOKUP($I$1276&amp;$B$1283,FLNFIX!$AA$4:$EF$103,2,0))</f>
        <v>2</v>
      </c>
      <c r="E1283" s="755">
        <f>IF($C$1283=0,NA(),VLOOKUP($I$1276&amp;$B$1283,FLNFIX!$AA$4:$EF$103,4,0))</f>
        <v>3</v>
      </c>
      <c r="F1283" s="755">
        <f>IF($C$1283=0,NA(),VLOOKUP($I$1276&amp;$B$1283,FLNFIX!$AA$4:$EF$103,3,0))</f>
        <v>2</v>
      </c>
      <c r="G1283" s="756">
        <f>IF($C$1283=0,NA(),VLOOKUP($I$1276&amp;$B$1283,FLNFIX!$AA$4:$EF$103,5,0))</f>
        <v>0</v>
      </c>
      <c r="H1283" s="757"/>
      <c r="I1283" s="757"/>
      <c r="J1283" s="758"/>
      <c r="K1283" s="677"/>
    </row>
    <row r="1284" ht="20.1" customHeight="1" spans="1:11">
      <c r="A1284" s="675"/>
      <c r="B1284" s="755">
        <f t="shared" si="23"/>
        <v>5</v>
      </c>
      <c r="C1284" s="755" t="str">
        <f>IFERROR(VLOOKUP(B1284,DATEWISE!$A$3:$BY$27,2,0),0)</f>
        <v>17.08.2026</v>
      </c>
      <c r="D1284" s="755">
        <f>IF($C$1284=0,NA(),VLOOKUP($I$1276&amp;$B$1284,FLNFIX!$AF$4:$EF$103,2,0))</f>
        <v>2</v>
      </c>
      <c r="E1284" s="755">
        <f>IF($C$1284=0,NA(),VLOOKUP($I$1276&amp;$B$1284,FLNFIX!$AF$4:$EF$103,4,0))</f>
        <v>3</v>
      </c>
      <c r="F1284" s="755">
        <f>IF($C$1284=0,NA(),VLOOKUP($I$1276&amp;$B$1284,FLNFIX!$AF$4:$EF$103,3,0))</f>
        <v>2</v>
      </c>
      <c r="G1284" s="756">
        <f>IF($C$1284=0,NA(),VLOOKUP($I$1276&amp;$B$1284,FLNFIX!$AF$4:$EF$103,5,0))</f>
        <v>0</v>
      </c>
      <c r="H1284" s="757"/>
      <c r="I1284" s="757"/>
      <c r="J1284" s="758"/>
      <c r="K1284" s="677"/>
    </row>
    <row r="1285" ht="20.1" customHeight="1" spans="1:11">
      <c r="A1285" s="675"/>
      <c r="B1285" s="755">
        <f t="shared" si="23"/>
        <v>6</v>
      </c>
      <c r="C1285" s="755" t="str">
        <f>IFERROR(VLOOKUP(B1285,DATEWISE!$A$3:$BY$27,2,0),0)</f>
        <v>31.08.2026</v>
      </c>
      <c r="D1285" s="755">
        <f>IF($C$1285=0,NA(),VLOOKUP($I$1276&amp;$B$1285,FLNFIX!$AK$4:$EF$103,2,0))</f>
        <v>2</v>
      </c>
      <c r="E1285" s="755">
        <f>IF($C$1285=0,NA(),VLOOKUP($I$1276&amp;$B$1285,FLNFIX!$AK$4:$EF$103,4,0))</f>
        <v>3</v>
      </c>
      <c r="F1285" s="755">
        <f>IF($C$1285=0,NA(),VLOOKUP($I$1276&amp;$B$1285,FLNFIX!$AK$4:$EF$103,3,0))</f>
        <v>2</v>
      </c>
      <c r="G1285" s="756">
        <f>IF($C$1285=0,NA(),VLOOKUP($I$1276&amp;$B$1285,FLNFIX!$AK$4:$EF$103,5,0))</f>
        <v>0</v>
      </c>
      <c r="H1285" s="757"/>
      <c r="I1285" s="757"/>
      <c r="J1285" s="758"/>
      <c r="K1285" s="677"/>
    </row>
    <row r="1286" ht="20.1" customHeight="1" spans="1:11">
      <c r="A1286" s="675"/>
      <c r="B1286" s="755">
        <f t="shared" si="23"/>
        <v>7</v>
      </c>
      <c r="C1286" s="755">
        <f>IFERROR(VLOOKUP(B1286,DATEWISE!$A$3:$BY$27,2,0),0)</f>
        <v>0</v>
      </c>
      <c r="D1286" s="755" t="e">
        <f>IF($C$1286=0,NA(),VLOOKUP($I$1276&amp;$B$1286,FLNFIX!$AP$4:$EF$103,2,0))</f>
        <v>#N/A</v>
      </c>
      <c r="E1286" s="755" t="e">
        <f>IF($C$1286=0,NA(),VLOOKUP($I$1276&amp;$B$1286,FLNFIX!$AP$4:$EF$103,4,0))</f>
        <v>#N/A</v>
      </c>
      <c r="F1286" s="755" t="e">
        <f>IF($C$1286=0,NA(),VLOOKUP($I$1276&amp;$B$1286,FLNFIX!$AP$4:$EF$103,3,0))</f>
        <v>#N/A</v>
      </c>
      <c r="G1286" s="756" t="e">
        <f>IF($C$1286=0,NA(),VLOOKUP($I$1276&amp;$B$1286,FLNFIX!$AP$4:$EF$103,5,0))</f>
        <v>#N/A</v>
      </c>
      <c r="H1286" s="757"/>
      <c r="I1286" s="757"/>
      <c r="J1286" s="758"/>
      <c r="K1286" s="677"/>
    </row>
    <row r="1287" ht="20.1" customHeight="1" spans="1:11">
      <c r="A1287" s="675"/>
      <c r="B1287" s="755">
        <f t="shared" si="23"/>
        <v>8</v>
      </c>
      <c r="C1287" s="755">
        <f>IFERROR(VLOOKUP(B1287,DATEWISE!$A$3:$BY$27,2,0),0)</f>
        <v>0</v>
      </c>
      <c r="D1287" s="755" t="e">
        <f>IF($C$1287=0,NA(),VLOOKUP($I$1276&amp;$B$1287,FLNFIX!$AU$4:$EF$103,2,0))</f>
        <v>#N/A</v>
      </c>
      <c r="E1287" s="755" t="e">
        <f>IF($C$1287=0,NA(),VLOOKUP($I$1276&amp;$B$1287,FLNFIX!$AU$4:$EF$103,4,0))</f>
        <v>#N/A</v>
      </c>
      <c r="F1287" s="755" t="e">
        <f>IF($C$1287=0,NA(),VLOOKUP($I$1276&amp;$B$1287,FLNFIX!$AU$4:$EF$103,3,0))</f>
        <v>#N/A</v>
      </c>
      <c r="G1287" s="756" t="e">
        <f>IF($C$1287=0,NA(),VLOOKUP($I$1276&amp;$B$1287,FLNFIX!$AU$4:$EF$103,5,0))</f>
        <v>#N/A</v>
      </c>
      <c r="H1287" s="757"/>
      <c r="I1287" s="757"/>
      <c r="J1287" s="758"/>
      <c r="K1287" s="677"/>
    </row>
    <row r="1288" ht="20.1" customHeight="1" spans="1:11">
      <c r="A1288" s="675"/>
      <c r="B1288" s="755">
        <f t="shared" si="23"/>
        <v>9</v>
      </c>
      <c r="C1288" s="755">
        <f>IFERROR(VLOOKUP(B1288,DATEWISE!$A$3:$BY$27,2,0),0)</f>
        <v>0</v>
      </c>
      <c r="D1288" s="755" t="e">
        <f>IF($C$1288=0,NA(),VLOOKUP($I$1276&amp;$B$1288,FLNFIX!$AZ$4:$EF$103,2,0))</f>
        <v>#N/A</v>
      </c>
      <c r="E1288" s="755" t="e">
        <f>IF($C$1288=0,NA(),VLOOKUP($I$1276&amp;$B$1288,FLNFIX!$AZ$4:$EF$103,4,0))</f>
        <v>#N/A</v>
      </c>
      <c r="F1288" s="755" t="e">
        <f>IF($C$1288=0,NA(),VLOOKUP($I$1276&amp;$B$1288,FLNFIX!$AZ$4:$EF$103,3,0))</f>
        <v>#N/A</v>
      </c>
      <c r="G1288" s="756" t="e">
        <f>IF($C$1288=0,NA(),VLOOKUP($I$1276&amp;$B$1288,FLNFIX!$AZ$4:$EF$103,5,0))</f>
        <v>#N/A</v>
      </c>
      <c r="H1288" s="757"/>
      <c r="I1288" s="757"/>
      <c r="J1288" s="758"/>
      <c r="K1288" s="677"/>
    </row>
    <row r="1289" ht="20.1" customHeight="1" spans="1:11">
      <c r="A1289" s="675"/>
      <c r="B1289" s="755">
        <f t="shared" si="23"/>
        <v>10</v>
      </c>
      <c r="C1289" s="755">
        <f>IFERROR(VLOOKUP(B1289,DATEWISE!$A$3:$BY$27,2,0),0)</f>
        <v>0</v>
      </c>
      <c r="D1289" s="755" t="e">
        <f>IF($C$1289=0,NA(),VLOOKUP($I$1276&amp;$B$1289,FLNFIX!$BE$4:$EF$103,2,0))</f>
        <v>#N/A</v>
      </c>
      <c r="E1289" s="755" t="e">
        <f>IF($C$1289=0,NA(),VLOOKUP($I$1276&amp;$B$1289,FLNFIX!$BE$4:$EF$103,4,0))</f>
        <v>#N/A</v>
      </c>
      <c r="F1289" s="755" t="e">
        <f>IF($C$1289=0,NA(),VLOOKUP($I$1276&amp;$B$1289,FLNFIX!$BE$4:$EF$103,3,0))</f>
        <v>#N/A</v>
      </c>
      <c r="G1289" s="756" t="e">
        <f>IF($C$1289=0,NA(),VLOOKUP($I$1276&amp;$B$1289,FLNFIX!$BE$4:$EF$103,5,0))</f>
        <v>#N/A</v>
      </c>
      <c r="H1289" s="757"/>
      <c r="I1289" s="757"/>
      <c r="J1289" s="758"/>
      <c r="K1289" s="677"/>
    </row>
    <row r="1290" ht="20.1" customHeight="1" spans="1:11">
      <c r="A1290" s="675"/>
      <c r="B1290" s="755">
        <f t="shared" si="23"/>
        <v>11</v>
      </c>
      <c r="C1290" s="755">
        <f>IFERROR(VLOOKUP(B1290,DATEWISE!$A$3:$BY$27,2,0),0)</f>
        <v>0</v>
      </c>
      <c r="D1290" s="755" t="e">
        <f>IF($C$1290=0,NA(),VLOOKUP($I$1276&amp;$B$1290,FLNFIX!$BJ$4:$EF$103,2,0))</f>
        <v>#N/A</v>
      </c>
      <c r="E1290" s="755" t="e">
        <f>IF($C$1290=0,NA(),VLOOKUP($I$1276&amp;$B$1290,FLNFIX!$BJ$4:$EF$103,4,0))</f>
        <v>#N/A</v>
      </c>
      <c r="F1290" s="755" t="e">
        <f>IF($C$1290=0,NA(),VLOOKUP($I$1276&amp;$B$1290,FLNFIX!$BJ$4:$EF$103,3,0))</f>
        <v>#N/A</v>
      </c>
      <c r="G1290" s="756" t="e">
        <f>IF($C$1290=0,NA(),VLOOKUP($I$1276&amp;$B$1290,FLNFIX!$BJ$4:$EF$103,5,0))</f>
        <v>#N/A</v>
      </c>
      <c r="H1290" s="757"/>
      <c r="I1290" s="757"/>
      <c r="J1290" s="758"/>
      <c r="K1290" s="677"/>
    </row>
    <row r="1291" ht="20.1" customHeight="1" spans="1:11">
      <c r="A1291" s="675"/>
      <c r="B1291" s="755">
        <f t="shared" si="23"/>
        <v>12</v>
      </c>
      <c r="C1291" s="755">
        <f>IFERROR(VLOOKUP(B1291,DATEWISE!$A$3:$BY$27,2,0),0)</f>
        <v>0</v>
      </c>
      <c r="D1291" s="755" t="e">
        <f>IF($C$1291=0,NA(),VLOOKUP($I$1276&amp;$B$1291,FLNFIX!$BO$4:$EF$103,2,0))</f>
        <v>#N/A</v>
      </c>
      <c r="E1291" s="755" t="e">
        <f>IF($C$1291=0,NA(),VLOOKUP($I$1276&amp;$B$1291,FLNFIX!$BO$4:$EF$103,4,0))</f>
        <v>#N/A</v>
      </c>
      <c r="F1291" s="755" t="e">
        <f>IF($C$1291=0,NA(),VLOOKUP($I$1276&amp;$B$1291,FLNFIX!$BO$4:$EF$103,3,0))</f>
        <v>#N/A</v>
      </c>
      <c r="G1291" s="756" t="e">
        <f>IF($C$1291=0,NA(),VLOOKUP($I$1276&amp;$B$1291,FLNFIX!$BO$4:$EF$103,5,0))</f>
        <v>#N/A</v>
      </c>
      <c r="H1291" s="757"/>
      <c r="I1291" s="757"/>
      <c r="J1291" s="758"/>
      <c r="K1291" s="677"/>
    </row>
    <row r="1292" ht="20.1" customHeight="1" spans="1:11">
      <c r="A1292" s="675"/>
      <c r="B1292" s="755">
        <f t="shared" si="23"/>
        <v>13</v>
      </c>
      <c r="C1292" s="755">
        <f>IFERROR(VLOOKUP(B1292,DATEWISE!$A$3:$BY$27,2,0),0)</f>
        <v>0</v>
      </c>
      <c r="D1292" s="755" t="e">
        <f>IF($C$1292=0,NA(),VLOOKUP($I$1276&amp;$B$1292,FLNFIX!$BT$4:$EF$103,2,0))</f>
        <v>#N/A</v>
      </c>
      <c r="E1292" s="755" t="e">
        <f>IF($C$1292=0,NA(),VLOOKUP($I$1276&amp;$B$1292,FLNFIX!$BT$4:$EF$103,4,0))</f>
        <v>#N/A</v>
      </c>
      <c r="F1292" s="755" t="e">
        <f>IF($C$1292=0,NA(),VLOOKUP($I$1276&amp;$B$1292,FLNFIX!$BT$4:$EF$103,3,0))</f>
        <v>#N/A</v>
      </c>
      <c r="G1292" s="756" t="e">
        <f>IF($C$1292=0,NA(),VLOOKUP($I$1276&amp;$B$1292,FLNFIX!$BT$4:$EF$103,5,0))</f>
        <v>#N/A</v>
      </c>
      <c r="H1292" s="757"/>
      <c r="I1292" s="757"/>
      <c r="J1292" s="758"/>
      <c r="K1292" s="677"/>
    </row>
    <row r="1293" ht="20.1" customHeight="1" spans="1:11">
      <c r="A1293" s="675"/>
      <c r="B1293" s="755">
        <f t="shared" si="23"/>
        <v>14</v>
      </c>
      <c r="C1293" s="755">
        <f>IFERROR(VLOOKUP(B1293,DATEWISE!$A$3:$BY$27,2,0),0)</f>
        <v>0</v>
      </c>
      <c r="D1293" s="755" t="e">
        <f>IF($C$1293=0,NA(),VLOOKUP($I$1276&amp;$B$1293,FLNFIX!$BY$4:$EF$103,2,0))</f>
        <v>#N/A</v>
      </c>
      <c r="E1293" s="755" t="e">
        <f>IF($C$1293=0,NA(),VLOOKUP($I$1276&amp;$B$1293,FLNFIX!$BY$4:$EF$103,4,0))</f>
        <v>#N/A</v>
      </c>
      <c r="F1293" s="755" t="e">
        <f>IF($C$1293=0,NA(),VLOOKUP($I$1276&amp;$B$1293,FLNFIX!$BY$4:$EF$103,3,0))</f>
        <v>#N/A</v>
      </c>
      <c r="G1293" s="756" t="e">
        <f>IF($C$1293=0,NA(),VLOOKUP($I$1276&amp;$B$1293,FLNFIX!$BY$4:$EF$103,5,0))</f>
        <v>#N/A</v>
      </c>
      <c r="H1293" s="757"/>
      <c r="I1293" s="757"/>
      <c r="J1293" s="758"/>
      <c r="K1293" s="677"/>
    </row>
    <row r="1294" ht="20.1" customHeight="1" spans="1:11">
      <c r="A1294" s="675"/>
      <c r="B1294" s="755">
        <f t="shared" si="23"/>
        <v>15</v>
      </c>
      <c r="C1294" s="755">
        <f>IFERROR(VLOOKUP(B1294,DATEWISE!$A$3:$BY$27,2,0),0)</f>
        <v>0</v>
      </c>
      <c r="D1294" s="755" t="e">
        <f>IF($C$1294=0,NA(),VLOOKUP($I$1276&amp;$B$1294,FLNFIX!$CD$4:$EF$103,2,0))</f>
        <v>#N/A</v>
      </c>
      <c r="E1294" s="755" t="e">
        <f>IF($C$1294=0,NA(),VLOOKUP($I$1276&amp;$B$1294,FLNFIX!$CD$4:$EF$103,4,0))</f>
        <v>#N/A</v>
      </c>
      <c r="F1294" s="755" t="e">
        <f>IF($C$1294=0,NA(),VLOOKUP($I$1276&amp;$B$1294,FLNFIX!$CD$4:$EF$103,3,0))</f>
        <v>#N/A</v>
      </c>
      <c r="G1294" s="756" t="e">
        <f>IF($C$1294=0,NA(),VLOOKUP($I$1276&amp;$B$1294,FLNFIX!$CD$4:$EF$103,5,0))</f>
        <v>#N/A</v>
      </c>
      <c r="H1294" s="757"/>
      <c r="I1294" s="757"/>
      <c r="J1294" s="758"/>
      <c r="K1294" s="677"/>
    </row>
    <row r="1295" ht="20.1" customHeight="1" spans="1:11">
      <c r="A1295" s="675"/>
      <c r="B1295" s="755">
        <f t="shared" si="23"/>
        <v>16</v>
      </c>
      <c r="C1295" s="755">
        <f>IFERROR(VLOOKUP(B1295,DATEWISE!$A$3:$BY$27,2,0),0)</f>
        <v>0</v>
      </c>
      <c r="D1295" s="755" t="e">
        <f>IF($C$1295=0,NA(),VLOOKUP($I$1276&amp;$B$1295,FLNFIX!$CI$4:$EF$103,2,0))</f>
        <v>#N/A</v>
      </c>
      <c r="E1295" s="755" t="e">
        <f>IF($C$1295=0,NA(),VLOOKUP($I$1276&amp;$B$1295,FLNFIX!$CI$4:$EF$103,4,0))</f>
        <v>#N/A</v>
      </c>
      <c r="F1295" s="755" t="e">
        <f>IF($C$1295=0,NA(),VLOOKUP($I$1276&amp;$B$1295,FLNFIX!$CI$4:$EF$103,3,0))</f>
        <v>#N/A</v>
      </c>
      <c r="G1295" s="756" t="e">
        <f>IF($C$1295=0,NA(),VLOOKUP($I$1276&amp;$B$1295,FLNFIX!$CI$4:$EF$103,5,0))</f>
        <v>#N/A</v>
      </c>
      <c r="H1295" s="757"/>
      <c r="I1295" s="757"/>
      <c r="J1295" s="758"/>
      <c r="K1295" s="677"/>
    </row>
    <row r="1296" ht="20.1" customHeight="1" spans="1:11">
      <c r="A1296" s="675"/>
      <c r="B1296" s="755">
        <f t="shared" si="23"/>
        <v>17</v>
      </c>
      <c r="C1296" s="755">
        <f>IFERROR(VLOOKUP(B1296,DATEWISE!$A$3:$BY$27,2,0),0)</f>
        <v>0</v>
      </c>
      <c r="D1296" s="755" t="e">
        <f>IF($C$1296=0,NA(),VLOOKUP($I$1276&amp;$B$1296,FLNFIX!$CN$4:$EF$103,2,0))</f>
        <v>#N/A</v>
      </c>
      <c r="E1296" s="755" t="e">
        <f>IF($C$1296=0,NA(),VLOOKUP($I$1276&amp;$B$1296,FLNFIX!$CN$4:$EF$103,4,0))</f>
        <v>#N/A</v>
      </c>
      <c r="F1296" s="755" t="e">
        <f>IF($C$1296=0,NA(),VLOOKUP($I$1276&amp;$B$1296,FLNFIX!$CN$4:$EF$103,3,0))</f>
        <v>#N/A</v>
      </c>
      <c r="G1296" s="756" t="e">
        <f>IF($C$1296=0,NA(),VLOOKUP($I$1276&amp;$B$1296,FLNFIX!$CN$4:$EF$103,5,0))</f>
        <v>#N/A</v>
      </c>
      <c r="H1296" s="757"/>
      <c r="I1296" s="757"/>
      <c r="J1296" s="758"/>
      <c r="K1296" s="677"/>
    </row>
    <row r="1297" ht="20.1" customHeight="1" spans="1:11">
      <c r="A1297" s="675"/>
      <c r="B1297" s="755">
        <f t="shared" si="23"/>
        <v>18</v>
      </c>
      <c r="C1297" s="755">
        <f>IFERROR(VLOOKUP(B1297,DATEWISE!$A$3:$BY$27,2,0),0)</f>
        <v>0</v>
      </c>
      <c r="D1297" s="755" t="e">
        <f>IF($C$1297=0,NA(),VLOOKUP($I$1276&amp;$B$1297,FLNFIX!$CS$4:$EF$103,2,0))</f>
        <v>#N/A</v>
      </c>
      <c r="E1297" s="755" t="e">
        <f>IF($C$1297=0,NA(),VLOOKUP($I$1276&amp;$B$1297,FLNFIX!$CS$4:$EF$103,4,0))</f>
        <v>#N/A</v>
      </c>
      <c r="F1297" s="755" t="e">
        <f>IF($C$1297=0,NA(),VLOOKUP($I$1276&amp;$B$1297,FLNFIX!$CS$4:$EF$103,3,0))</f>
        <v>#N/A</v>
      </c>
      <c r="G1297" s="756" t="e">
        <f>IF($C$1297=0,NA(),VLOOKUP($I$1276&amp;$B$1297,FLNFIX!$CS$4:$EF$103,5,0))</f>
        <v>#N/A</v>
      </c>
      <c r="H1297" s="757"/>
      <c r="I1297" s="757"/>
      <c r="J1297" s="758"/>
      <c r="K1297" s="677"/>
    </row>
    <row r="1298" ht="20.1" customHeight="1" spans="1:11">
      <c r="A1298" s="675"/>
      <c r="B1298" s="755">
        <f t="shared" si="23"/>
        <v>19</v>
      </c>
      <c r="C1298" s="755">
        <f>IFERROR(VLOOKUP(B1298,DATEWISE!$A$3:$BY$27,2,0),0)</f>
        <v>0</v>
      </c>
      <c r="D1298" s="755" t="e">
        <f>IF($C$1298=0,NA(),VLOOKUP($I$1276&amp;$B$1298,FLNFIX!$CX$4:$EF$103,2,0))</f>
        <v>#N/A</v>
      </c>
      <c r="E1298" s="755" t="e">
        <f>IF($C$1298=0,NA(),VLOOKUP($I$1276&amp;$B$1298,FLNFIX!$CX$4:$EF$103,4,0))</f>
        <v>#N/A</v>
      </c>
      <c r="F1298" s="755" t="e">
        <f>IF($C$1298=0,NA(),VLOOKUP($I$1276&amp;$B$1298,FLNFIX!$CX$4:$EF$103,3,0))</f>
        <v>#N/A</v>
      </c>
      <c r="G1298" s="756" t="e">
        <f>IF($C$1298=0,NA(),VLOOKUP($I$1276&amp;$B$1298,FLNFIX!$CX$4:$EF$103,5,0))</f>
        <v>#N/A</v>
      </c>
      <c r="H1298" s="757"/>
      <c r="I1298" s="757"/>
      <c r="J1298" s="758"/>
      <c r="K1298" s="677"/>
    </row>
    <row r="1299" ht="20.1" customHeight="1" spans="1:11">
      <c r="A1299" s="675"/>
      <c r="B1299" s="755">
        <f t="shared" si="23"/>
        <v>20</v>
      </c>
      <c r="C1299" s="755">
        <f>IFERROR(VLOOKUP(B1299,DATEWISE!$A$3:$BY$27,2,0),0)</f>
        <v>0</v>
      </c>
      <c r="D1299" s="755" t="e">
        <f>IF($C$1299=0,NA(),VLOOKUP($I$1276&amp;$B$1299,FLNFIX!$DC$4:$EF$103,2,0))</f>
        <v>#N/A</v>
      </c>
      <c r="E1299" s="755" t="e">
        <f>IF($C$1299=0,NA(),VLOOKUP($I$1276&amp;$B$1299,FLNFIX!$DC$4:$EF$103,4,0))</f>
        <v>#N/A</v>
      </c>
      <c r="F1299" s="755" t="e">
        <f>IF($C$1299=0,NA(),VLOOKUP($I$1276&amp;$B$1299,FLNFIX!$DC$4:$EF$103,3,0))</f>
        <v>#N/A</v>
      </c>
      <c r="G1299" s="756" t="e">
        <f>IF($C$1299=0,NA(),VLOOKUP($I$1276&amp;$B$1299,FLNFIX!$DC$4:$EF$103,5,0))</f>
        <v>#N/A</v>
      </c>
      <c r="H1299" s="757"/>
      <c r="I1299" s="757"/>
      <c r="J1299" s="758"/>
      <c r="K1299" s="677"/>
    </row>
    <row r="1300" ht="20.1" customHeight="1" spans="1:11">
      <c r="A1300" s="675"/>
      <c r="B1300" s="755">
        <f t="shared" si="23"/>
        <v>21</v>
      </c>
      <c r="C1300" s="755">
        <f>IFERROR(VLOOKUP(B1300,DATEWISE!$A$3:$BY$27,2,0),0)</f>
        <v>0</v>
      </c>
      <c r="D1300" s="755" t="e">
        <f>IF($C$1300=0,NA(),VLOOKUP($I$1276&amp;$B$1300,FLNFIX!$DH$4:$EF$103,2,0))</f>
        <v>#N/A</v>
      </c>
      <c r="E1300" s="755" t="e">
        <f>IF($C$1300=0,NA(),VLOOKUP($I$1276&amp;$B$1300,FLNFIX!$DH$4:$EF$103,4,0))</f>
        <v>#N/A</v>
      </c>
      <c r="F1300" s="755" t="e">
        <f>IF($C$1300=0,NA(),VLOOKUP($I$1276&amp;$B$1300,FLNFIX!$DH$4:$EF$103,3,0))</f>
        <v>#N/A</v>
      </c>
      <c r="G1300" s="756" t="e">
        <f>IF($C$1300=0,NA(),VLOOKUP($I$1276&amp;$B$1300,FLNFIX!$DH$4:$EF$103,5,0))</f>
        <v>#N/A</v>
      </c>
      <c r="H1300" s="757"/>
      <c r="I1300" s="757"/>
      <c r="J1300" s="758"/>
      <c r="K1300" s="677"/>
    </row>
    <row r="1301" ht="5.1" customHeight="1" spans="1:11">
      <c r="A1301" s="675"/>
      <c r="B1301" s="759"/>
      <c r="C1301" s="759"/>
      <c r="D1301" s="760"/>
      <c r="E1301" s="760"/>
      <c r="F1301" s="760"/>
      <c r="G1301" s="761"/>
      <c r="H1301" s="761"/>
      <c r="I1301" s="761"/>
      <c r="J1301" s="761"/>
      <c r="K1301" s="677"/>
    </row>
    <row r="1302" s="667" customFormat="1" ht="24.95" customHeight="1" spans="1:11">
      <c r="A1302" s="711"/>
      <c r="B1302" s="762" t="s">
        <v>431</v>
      </c>
      <c r="C1302" s="763"/>
      <c r="D1302" s="763"/>
      <c r="E1302" s="763"/>
      <c r="F1302" s="763"/>
      <c r="G1302" s="763"/>
      <c r="H1302" s="763"/>
      <c r="I1302" s="763"/>
      <c r="J1302" s="764"/>
      <c r="K1302" s="713"/>
    </row>
    <row r="1303" spans="1:11">
      <c r="A1303" s="675"/>
      <c r="B1303" s="765"/>
      <c r="C1303" s="686"/>
      <c r="D1303" s="686"/>
      <c r="E1303" s="686"/>
      <c r="F1303" s="686"/>
      <c r="G1303" s="686"/>
      <c r="H1303" s="686"/>
      <c r="I1303" s="686"/>
      <c r="J1303" s="766"/>
      <c r="K1303" s="677"/>
    </row>
    <row r="1304" spans="1:11">
      <c r="A1304" s="675"/>
      <c r="B1304" s="765"/>
      <c r="C1304" s="686"/>
      <c r="D1304" s="686"/>
      <c r="E1304" s="686"/>
      <c r="F1304" s="686"/>
      <c r="G1304" s="686"/>
      <c r="H1304" s="686"/>
      <c r="I1304" s="686"/>
      <c r="J1304" s="766"/>
      <c r="K1304" s="677"/>
    </row>
    <row r="1305" spans="1:11">
      <c r="A1305" s="675"/>
      <c r="B1305" s="765"/>
      <c r="C1305" s="686"/>
      <c r="D1305" s="686"/>
      <c r="E1305" s="686"/>
      <c r="F1305" s="686"/>
      <c r="G1305" s="686"/>
      <c r="H1305" s="686"/>
      <c r="I1305" s="686"/>
      <c r="J1305" s="766"/>
      <c r="K1305" s="677"/>
    </row>
    <row r="1306" spans="1:11">
      <c r="A1306" s="675"/>
      <c r="B1306" s="765"/>
      <c r="C1306" s="686"/>
      <c r="D1306" s="686"/>
      <c r="E1306" s="686"/>
      <c r="F1306" s="686"/>
      <c r="G1306" s="686"/>
      <c r="H1306" s="686"/>
      <c r="I1306" s="686"/>
      <c r="J1306" s="766"/>
      <c r="K1306" s="677"/>
    </row>
    <row r="1307" spans="1:11">
      <c r="A1307" s="675"/>
      <c r="B1307" s="765"/>
      <c r="C1307" s="686"/>
      <c r="D1307" s="686"/>
      <c r="E1307" s="686"/>
      <c r="F1307" s="686"/>
      <c r="G1307" s="686"/>
      <c r="H1307" s="686"/>
      <c r="I1307" s="686"/>
      <c r="J1307" s="766"/>
      <c r="K1307" s="677"/>
    </row>
    <row r="1308" spans="1:11">
      <c r="A1308" s="675"/>
      <c r="B1308" s="765"/>
      <c r="C1308" s="686"/>
      <c r="D1308" s="686"/>
      <c r="E1308" s="686"/>
      <c r="F1308" s="686"/>
      <c r="G1308" s="686"/>
      <c r="H1308" s="686"/>
      <c r="I1308" s="686"/>
      <c r="J1308" s="766"/>
      <c r="K1308" s="677"/>
    </row>
    <row r="1309" spans="1:11">
      <c r="A1309" s="675"/>
      <c r="B1309" s="765"/>
      <c r="C1309" s="686"/>
      <c r="D1309" s="686"/>
      <c r="E1309" s="686"/>
      <c r="F1309" s="686"/>
      <c r="G1309" s="686"/>
      <c r="H1309" s="686"/>
      <c r="I1309" s="686"/>
      <c r="J1309" s="766"/>
      <c r="K1309" s="677"/>
    </row>
    <row r="1310" spans="1:11">
      <c r="A1310" s="675"/>
      <c r="B1310" s="765"/>
      <c r="C1310" s="686"/>
      <c r="D1310" s="686"/>
      <c r="E1310" s="686"/>
      <c r="F1310" s="686"/>
      <c r="G1310" s="686"/>
      <c r="H1310" s="686"/>
      <c r="I1310" s="686"/>
      <c r="J1310" s="766"/>
      <c r="K1310" s="677"/>
    </row>
    <row r="1311" spans="1:11">
      <c r="A1311" s="675"/>
      <c r="B1311" s="765"/>
      <c r="C1311" s="686"/>
      <c r="D1311" s="686"/>
      <c r="E1311" s="686"/>
      <c r="F1311" s="686"/>
      <c r="G1311" s="686"/>
      <c r="H1311" s="686"/>
      <c r="I1311" s="686"/>
      <c r="J1311" s="766"/>
      <c r="K1311" s="677"/>
    </row>
    <row r="1312" spans="1:11">
      <c r="A1312" s="675"/>
      <c r="B1312" s="767"/>
      <c r="C1312" s="768"/>
      <c r="D1312" s="768"/>
      <c r="E1312" s="768"/>
      <c r="F1312" s="768"/>
      <c r="G1312" s="768"/>
      <c r="H1312" s="768"/>
      <c r="I1312" s="768"/>
      <c r="J1312" s="769"/>
      <c r="K1312" s="677"/>
    </row>
    <row r="1313" ht="5.1" customHeight="1" spans="1:11">
      <c r="A1313" s="675"/>
      <c r="B1313" s="686"/>
      <c r="C1313" s="686"/>
      <c r="D1313" s="686"/>
      <c r="E1313" s="686"/>
      <c r="F1313" s="686"/>
      <c r="G1313" s="686"/>
      <c r="H1313" s="686"/>
      <c r="I1313" s="686"/>
      <c r="J1313" s="686"/>
      <c r="K1313" s="677"/>
    </row>
    <row r="1314" spans="1:11">
      <c r="A1314" s="675"/>
      <c r="B1314" s="770" t="s">
        <v>432</v>
      </c>
      <c r="C1314" s="770"/>
      <c r="D1314" s="770"/>
      <c r="E1314" s="770"/>
      <c r="F1314" s="770"/>
      <c r="G1314" s="770"/>
      <c r="H1314" s="770"/>
      <c r="I1314" s="770"/>
      <c r="J1314" s="770"/>
      <c r="K1314" s="677"/>
    </row>
    <row r="1315" spans="1:11">
      <c r="A1315" s="675"/>
      <c r="B1315" s="771"/>
      <c r="C1315" s="771"/>
      <c r="D1315" s="771"/>
      <c r="E1315" s="771"/>
      <c r="F1315" s="771"/>
      <c r="G1315" s="771"/>
      <c r="H1315" s="771"/>
      <c r="I1315" s="771"/>
      <c r="J1315" s="771"/>
      <c r="K1315" s="677"/>
    </row>
    <row r="1316" spans="1:11">
      <c r="A1316" s="675"/>
      <c r="B1316" s="771"/>
      <c r="C1316" s="771"/>
      <c r="D1316" s="771"/>
      <c r="E1316" s="771"/>
      <c r="F1316" s="771"/>
      <c r="G1316" s="771"/>
      <c r="H1316" s="771"/>
      <c r="I1316" s="771"/>
      <c r="J1316" s="771"/>
      <c r="K1316" s="677"/>
    </row>
    <row r="1317" spans="1:11">
      <c r="A1317" s="675"/>
      <c r="B1317" s="771"/>
      <c r="C1317" s="771"/>
      <c r="D1317" s="771"/>
      <c r="E1317" s="771"/>
      <c r="F1317" s="771"/>
      <c r="G1317" s="771"/>
      <c r="H1317" s="771"/>
      <c r="I1317" s="771"/>
      <c r="J1317" s="771"/>
      <c r="K1317" s="677"/>
    </row>
    <row r="1318" spans="1:11">
      <c r="A1318" s="675"/>
      <c r="B1318" s="686"/>
      <c r="C1318" s="686"/>
      <c r="D1318" s="686"/>
      <c r="E1318" s="686"/>
      <c r="F1318" s="686"/>
      <c r="G1318" s="686"/>
      <c r="H1318" s="686"/>
      <c r="I1318" s="686"/>
      <c r="J1318" s="686"/>
      <c r="K1318" s="677"/>
    </row>
    <row r="1319" spans="1:11">
      <c r="A1319" s="675"/>
      <c r="B1319" s="686"/>
      <c r="C1319" s="729" t="s">
        <v>433</v>
      </c>
      <c r="D1319" s="729"/>
      <c r="E1319" s="686"/>
      <c r="F1319" s="686"/>
      <c r="G1319" s="729" t="s">
        <v>434</v>
      </c>
      <c r="H1319" s="729"/>
      <c r="I1319" s="729"/>
      <c r="J1319" s="729"/>
      <c r="K1319" s="677"/>
    </row>
    <row r="1320" ht="16.35" spans="1:11">
      <c r="A1320" s="725"/>
      <c r="B1320" s="726"/>
      <c r="C1320" s="732" t="str">
        <f>"("&amp;PROPER(ENTRY!$D$19)&amp;")"</f>
        <v>(Indrajeet)</v>
      </c>
      <c r="D1320" s="732"/>
      <c r="E1320" s="726"/>
      <c r="F1320" s="726"/>
      <c r="G1320" s="732" t="str">
        <f>"("&amp;PROPER(ENTRY!$D$12)&amp;")"</f>
        <v>(Shambhu Dayal Meena)</v>
      </c>
      <c r="H1320" s="732"/>
      <c r="I1320" s="732"/>
      <c r="J1320" s="732"/>
      <c r="K1320" s="728"/>
    </row>
    <row r="1321" ht="24.6" spans="1:11">
      <c r="B1321" s="734"/>
      <c r="C1321" s="734"/>
      <c r="D1321" s="669" t="str">
        <f>ENTRY!$D$3</f>
        <v>MUNICIPAL CORPORATION OF DELHI</v>
      </c>
      <c r="E1321" s="669"/>
      <c r="F1321" s="669"/>
      <c r="G1321" s="669"/>
      <c r="H1321" s="734"/>
      <c r="I1321" s="669"/>
      <c r="J1321" s="669"/>
    </row>
    <row r="1322" ht="20.4" spans="1:11">
      <c r="B1322" s="735"/>
      <c r="C1322" s="735"/>
      <c r="D1322" s="670" t="str">
        <f>ENTRY!$D$4</f>
        <v>EDUCATION DEPARTMENT</v>
      </c>
      <c r="E1322" s="670"/>
      <c r="F1322" s="670"/>
      <c r="G1322" s="670"/>
      <c r="H1322" s="735"/>
      <c r="I1322" s="669"/>
      <c r="J1322" s="669"/>
    </row>
    <row r="1323" ht="22.8" spans="1:11">
      <c r="B1323" s="736"/>
      <c r="C1323" s="736"/>
      <c r="D1323" s="664" t="s">
        <v>417</v>
      </c>
      <c r="E1323" s="664"/>
      <c r="F1323" s="664"/>
      <c r="G1323" s="664"/>
      <c r="H1323" s="736"/>
      <c r="I1323" s="669"/>
      <c r="J1323" s="669"/>
    </row>
    <row r="1324" ht="22.8" spans="1:11">
      <c r="B1324" s="736"/>
      <c r="C1324" s="736"/>
      <c r="D1324" s="664" t="s">
        <v>418</v>
      </c>
      <c r="E1324" s="664"/>
      <c r="F1324" s="664"/>
      <c r="G1324" s="664"/>
      <c r="H1324" s="736"/>
      <c r="I1324" s="669"/>
      <c r="J1324" s="669"/>
    </row>
    <row r="1325" ht="24.95" customHeight="1" spans="1:11">
      <c r="B1325" s="735"/>
      <c r="C1325" s="735"/>
      <c r="D1325" s="737" t="str">
        <f>"SESSION : "&amp;ENTRY!$D$11</f>
        <v>SESSION : 2026-27</v>
      </c>
      <c r="E1325" s="737"/>
      <c r="F1325" s="737"/>
      <c r="G1325" s="737"/>
      <c r="H1325" s="735"/>
      <c r="I1325" s="738"/>
      <c r="J1325" s="738"/>
    </row>
    <row r="1326" ht="3.75" customHeight="1" spans="1:11">
      <c r="A1326" s="672"/>
      <c r="B1326" s="739"/>
      <c r="C1326" s="739"/>
      <c r="D1326" s="739"/>
      <c r="E1326" s="739"/>
      <c r="F1326" s="739"/>
      <c r="G1326" s="739"/>
      <c r="H1326" s="739"/>
      <c r="I1326" s="739"/>
      <c r="J1326" s="739"/>
      <c r="K1326" s="674"/>
    </row>
    <row r="1327" ht="21.95" customHeight="1" spans="1:11">
      <c r="A1327" s="675"/>
      <c r="B1327" s="676" t="s">
        <v>419</v>
      </c>
      <c r="C1327" s="676"/>
      <c r="D1327" s="676" t="str">
        <f>ENTRY!$D$6</f>
        <v>MCP NITHARI NO 1 BOYS</v>
      </c>
      <c r="E1327" s="676"/>
      <c r="F1327" s="676"/>
      <c r="G1327" s="676"/>
      <c r="H1327" s="676"/>
      <c r="I1327" s="676"/>
      <c r="J1327" s="676"/>
      <c r="K1327" s="677"/>
    </row>
    <row r="1328" ht="21.95" customHeight="1" spans="1:11">
      <c r="A1328" s="675"/>
      <c r="B1328" s="676" t="s">
        <v>420</v>
      </c>
      <c r="C1328" s="676"/>
      <c r="D1328" s="740" t="str">
        <f>IFERROR(VLOOKUP($I$1331,STUDENT!$A$2:$BP$101,5,0),"")</f>
        <v>ANSHU KUMAR PANDIT</v>
      </c>
      <c r="E1328" s="740"/>
      <c r="F1328" s="740"/>
      <c r="G1328" s="740"/>
      <c r="H1328" s="740"/>
      <c r="I1328" s="740"/>
      <c r="J1328" s="740"/>
      <c r="K1328" s="677"/>
    </row>
    <row r="1329" ht="21.95" customHeight="1" spans="1:11">
      <c r="A1329" s="675"/>
      <c r="B1329" s="676" t="s">
        <v>421</v>
      </c>
      <c r="C1329" s="676"/>
      <c r="D1329" s="740" t="str">
        <f>IFERROR(VLOOKUP($I$1331,STUDENT!$A$2:$BP$101,8,0),"")</f>
        <v>RAMESH KUMAR PANDIT</v>
      </c>
      <c r="E1329" s="740"/>
      <c r="F1329" s="740"/>
      <c r="G1329" s="740"/>
      <c r="H1329" s="740"/>
      <c r="I1329" s="740"/>
      <c r="J1329" s="740"/>
      <c r="K1329" s="677"/>
    </row>
    <row r="1330" ht="21.95" customHeight="1" spans="1:11">
      <c r="A1330" s="675"/>
      <c r="B1330" s="676" t="s">
        <v>422</v>
      </c>
      <c r="C1330" s="676"/>
      <c r="D1330" s="740">
        <f>IFERROR(VLOOKUP($I$1331,STUDENT!$A$2:$BP$101,6,0),"")</f>
        <v>14943</v>
      </c>
      <c r="E1330" s="740"/>
      <c r="F1330" s="740"/>
      <c r="G1330" s="740"/>
      <c r="H1330" s="740"/>
      <c r="I1330" s="740"/>
      <c r="J1330" s="740"/>
      <c r="K1330" s="677"/>
    </row>
    <row r="1331" ht="21.95" customHeight="1" spans="1:11">
      <c r="A1331" s="675"/>
      <c r="B1331" s="676" t="s">
        <v>423</v>
      </c>
      <c r="C1331" s="676"/>
      <c r="D1331" s="741" t="str">
        <f>IFERROR(VLOOKUP($I$1331,STUDENT!$A$2:$BP$101,59,0),"")</f>
        <v/>
      </c>
      <c r="E1331" s="742" t="s">
        <v>424</v>
      </c>
      <c r="F1331" s="704" t="str">
        <f>IFERROR(VLOOKUP($I$1331,STUDENT!$A$2:$BP$101,2,0),"")</f>
        <v>III-A</v>
      </c>
      <c r="G1331" s="742" t="s">
        <v>425</v>
      </c>
      <c r="H1331" s="743"/>
      <c r="I1331" s="733">
        <f>I1276+1</f>
        <v>25</v>
      </c>
      <c r="J1331" s="683"/>
      <c r="K1331" s="677"/>
    </row>
    <row r="1332" ht="5.1" customHeight="1" spans="1:11">
      <c r="A1332" s="675"/>
      <c r="B1332" s="745"/>
      <c r="C1332" s="745"/>
      <c r="D1332" s="746"/>
      <c r="E1332" s="747"/>
      <c r="F1332" s="748"/>
      <c r="G1332" s="747"/>
      <c r="H1332" s="686"/>
      <c r="I1332" s="686"/>
      <c r="J1332" s="686"/>
      <c r="K1332" s="677"/>
    </row>
    <row r="1333" s="664" customFormat="1" ht="32.1" customHeight="1" spans="1:11">
      <c r="A1333" s="688"/>
      <c r="B1333" s="749" t="s">
        <v>426</v>
      </c>
      <c r="C1333" s="750"/>
      <c r="D1333" s="750"/>
      <c r="E1333" s="750"/>
      <c r="F1333" s="750"/>
      <c r="G1333" s="750"/>
      <c r="H1333" s="750"/>
      <c r="I1333" s="750"/>
      <c r="J1333" s="751"/>
      <c r="K1333" s="690"/>
    </row>
    <row r="1334" ht="51.6" spans="1:11">
      <c r="A1334" s="675"/>
      <c r="B1334" s="752">
        <v>21</v>
      </c>
      <c r="C1334" s="753" t="s">
        <v>427</v>
      </c>
      <c r="D1334" s="754" t="s">
        <v>428</v>
      </c>
      <c r="E1334" s="754" t="s">
        <v>429</v>
      </c>
      <c r="F1334" s="754" t="s">
        <v>430</v>
      </c>
      <c r="G1334" s="753" t="s">
        <v>390</v>
      </c>
      <c r="H1334" s="714"/>
      <c r="I1334" s="714"/>
      <c r="J1334" s="714"/>
      <c r="K1334" s="677"/>
    </row>
    <row r="1335" ht="20.1" customHeight="1" spans="1:11">
      <c r="A1335" s="675"/>
      <c r="B1335" s="755">
        <v>1</v>
      </c>
      <c r="C1335" s="755" t="str">
        <f>IFERROR(VLOOKUP(B1335,DATEWISE!$A$3:$BY$27,2,0),0)</f>
        <v>30.04.2026</v>
      </c>
      <c r="D1335" s="755">
        <f>IF($C$1335=0,NA(),VLOOKUP($I$1331&amp;$B$1335,FLNFIX!$L$4:$EF$103,2,0))</f>
        <v>3</v>
      </c>
      <c r="E1335" s="755">
        <f>IF($C$1335=0,NA(),VLOOKUP($I$1331&amp;$B$1335,FLNFIX!$L$4:$EF$103,4,0))</f>
        <v>4</v>
      </c>
      <c r="F1335" s="755">
        <f>IF($C$1335=0,NA(),VLOOKUP($I$1331&amp;$B$1335,FLNFIX!$L$4:$EF$103,3,0))</f>
        <v>2</v>
      </c>
      <c r="G1335" s="756">
        <f>IF($C$1335=0,NA(),VLOOKUP($I$1331&amp;$B$1335,FLNFIX!$L$4:$EF$103,5,0))</f>
        <v>0</v>
      </c>
      <c r="H1335" s="757"/>
      <c r="I1335" s="757"/>
      <c r="J1335" s="758"/>
      <c r="K1335" s="677"/>
    </row>
    <row r="1336" ht="20.1" customHeight="1" spans="1:11">
      <c r="A1336" s="675"/>
      <c r="B1336" s="755">
        <f t="shared" ref="B1336:B1355" si="24">IF(B1335=0,0,IF(B1335&lt;$B$1334,B1335+1,""))</f>
        <v>2</v>
      </c>
      <c r="C1336" s="755" t="str">
        <f>IFERROR(VLOOKUP(B1336,DATEWISE!$A$3:$BY$27,2,0),0)</f>
        <v>08.05.2026</v>
      </c>
      <c r="D1336" s="755">
        <f>IF($C$1336=0,NA(),VLOOKUP($I$1331&amp;$B$1336,FLNFIX!$Q$4:$EF$103,2,0))</f>
        <v>3</v>
      </c>
      <c r="E1336" s="755">
        <f>IF($C$1336=0,NA(),VLOOKUP($I$1331&amp;$B$1336,FLNFIX!$Q$4:$EF$103,4,0))</f>
        <v>4</v>
      </c>
      <c r="F1336" s="755">
        <f>IF($C$1336=0,NA(),VLOOKUP($I$1331&amp;$B$1336,FLNFIX!$Q$4:$EF$103,3,0))</f>
        <v>2</v>
      </c>
      <c r="G1336" s="756">
        <f>IF($C$1336=0,NA(),VLOOKUP($I$1331&amp;$B$1336,FLNFIX!$Q$4:$EF$103,5,0))</f>
        <v>0</v>
      </c>
      <c r="H1336" s="757"/>
      <c r="I1336" s="757"/>
      <c r="J1336" s="758"/>
      <c r="K1336" s="677"/>
    </row>
    <row r="1337" ht="20.1" customHeight="1" spans="1:11">
      <c r="A1337" s="675"/>
      <c r="B1337" s="755">
        <f t="shared" si="24"/>
        <v>3</v>
      </c>
      <c r="C1337" s="755" t="str">
        <f>IFERROR(VLOOKUP(B1337,DATEWISE!$A$3:$BY$27,2,0),0)</f>
        <v>15.07.2026</v>
      </c>
      <c r="D1337" s="755">
        <f>IF($C$1337=0,NA(),VLOOKUP($I$1331&amp;$B$1337,FLNFIX!$V$4:$EF$103,2,0))</f>
        <v>3</v>
      </c>
      <c r="E1337" s="755">
        <f>IF($C$1337=0,NA(),VLOOKUP($I$1331&amp;$B$1337,FLNFIX!$V$4:$EF$103,4,0))</f>
        <v>4</v>
      </c>
      <c r="F1337" s="755">
        <f>IF($C$1337=0,NA(),VLOOKUP($I$1331&amp;$B$1337,FLNFIX!$V$4:$EF$103,3,0))</f>
        <v>2</v>
      </c>
      <c r="G1337" s="756">
        <f>IF($C$1337=0,NA(),VLOOKUP($I$1331&amp;$B$1337,FLNFIX!$V$4:$EF$103,5,0))</f>
        <v>0</v>
      </c>
      <c r="H1337" s="757"/>
      <c r="I1337" s="757"/>
      <c r="J1337" s="758"/>
      <c r="K1337" s="677"/>
    </row>
    <row r="1338" ht="20.1" customHeight="1" spans="1:11">
      <c r="A1338" s="675"/>
      <c r="B1338" s="755">
        <f t="shared" si="24"/>
        <v>4</v>
      </c>
      <c r="C1338" s="755" t="str">
        <f>IFERROR(VLOOKUP(B1338,DATEWISE!$A$3:$BY$27,2,0),0)</f>
        <v>31.07.2026</v>
      </c>
      <c r="D1338" s="755">
        <f>IF($C$1338=0,NA(),VLOOKUP($I$1331&amp;$B$1338,FLNFIX!$AA$4:$EF$103,2,0))</f>
        <v>3</v>
      </c>
      <c r="E1338" s="755">
        <f>IF($C$1338=0,NA(),VLOOKUP($I$1331&amp;$B$1338,FLNFIX!$AA$4:$EF$103,4,0))</f>
        <v>4</v>
      </c>
      <c r="F1338" s="755">
        <f>IF($C$1338=0,NA(),VLOOKUP($I$1331&amp;$B$1338,FLNFIX!$AA$4:$EF$103,3,0))</f>
        <v>2</v>
      </c>
      <c r="G1338" s="756">
        <f>IF($C$1338=0,NA(),VLOOKUP($I$1331&amp;$B$1338,FLNFIX!$AA$4:$EF$103,5,0))</f>
        <v>0</v>
      </c>
      <c r="H1338" s="757"/>
      <c r="I1338" s="757"/>
      <c r="J1338" s="758"/>
      <c r="K1338" s="677"/>
    </row>
    <row r="1339" ht="20.1" customHeight="1" spans="1:11">
      <c r="A1339" s="675"/>
      <c r="B1339" s="755">
        <f t="shared" si="24"/>
        <v>5</v>
      </c>
      <c r="C1339" s="755" t="str">
        <f>IFERROR(VLOOKUP(B1339,DATEWISE!$A$3:$BY$27,2,0),0)</f>
        <v>17.08.2026</v>
      </c>
      <c r="D1339" s="755">
        <f>IF($C$1339=0,NA(),VLOOKUP($I$1331&amp;$B$1339,FLNFIX!$AF$4:$EF$103,2,0))</f>
        <v>3</v>
      </c>
      <c r="E1339" s="755">
        <f>IF($C$1339=0,NA(),VLOOKUP($I$1331&amp;$B$1339,FLNFIX!$AF$4:$EF$103,4,0))</f>
        <v>4</v>
      </c>
      <c r="F1339" s="755">
        <f>IF($C$1339=0,NA(),VLOOKUP($I$1331&amp;$B$1339,FLNFIX!$AF$4:$EF$103,3,0))</f>
        <v>2</v>
      </c>
      <c r="G1339" s="756">
        <f>IF($C$1339=0,NA(),VLOOKUP($I$1331&amp;$B$1339,FLNFIX!$AF$4:$EF$103,5,0))</f>
        <v>0</v>
      </c>
      <c r="H1339" s="757"/>
      <c r="I1339" s="757"/>
      <c r="J1339" s="758"/>
      <c r="K1339" s="677"/>
    </row>
    <row r="1340" ht="20.1" customHeight="1" spans="1:11">
      <c r="A1340" s="675"/>
      <c r="B1340" s="755">
        <f t="shared" si="24"/>
        <v>6</v>
      </c>
      <c r="C1340" s="755" t="str">
        <f>IFERROR(VLOOKUP(B1340,DATEWISE!$A$3:$BY$27,2,0),0)</f>
        <v>31.08.2026</v>
      </c>
      <c r="D1340" s="755">
        <f>IF($C$1340=0,NA(),VLOOKUP($I$1331&amp;$B$1340,FLNFIX!$AK$4:$EF$103,2,0))</f>
        <v>4</v>
      </c>
      <c r="E1340" s="755">
        <f>IF($C$1340=0,NA(),VLOOKUP($I$1331&amp;$B$1340,FLNFIX!$AK$4:$EF$103,4,0))</f>
        <v>4</v>
      </c>
      <c r="F1340" s="755">
        <f>IF($C$1340=0,NA(),VLOOKUP($I$1331&amp;$B$1340,FLNFIX!$AK$4:$EF$103,3,0))</f>
        <v>3</v>
      </c>
      <c r="G1340" s="756">
        <f>IF($C$1340=0,NA(),VLOOKUP($I$1331&amp;$B$1340,FLNFIX!$AK$4:$EF$103,5,0))</f>
        <v>0</v>
      </c>
      <c r="H1340" s="757"/>
      <c r="I1340" s="757"/>
      <c r="J1340" s="758"/>
      <c r="K1340" s="677"/>
    </row>
    <row r="1341" ht="20.1" customHeight="1" spans="1:11">
      <c r="A1341" s="675"/>
      <c r="B1341" s="755">
        <f t="shared" si="24"/>
        <v>7</v>
      </c>
      <c r="C1341" s="755">
        <f>IFERROR(VLOOKUP(B1341,DATEWISE!$A$3:$BY$27,2,0),0)</f>
        <v>0</v>
      </c>
      <c r="D1341" s="755" t="e">
        <f>IF($C$1341=0,NA(),VLOOKUP($I$1331&amp;$B$1341,FLNFIX!$AP$4:$EF$103,2,0))</f>
        <v>#N/A</v>
      </c>
      <c r="E1341" s="755" t="e">
        <f>IF($C$1341=0,NA(),VLOOKUP($I$1331&amp;$B$1341,FLNFIX!$AP$4:$EF$103,4,0))</f>
        <v>#N/A</v>
      </c>
      <c r="F1341" s="755" t="e">
        <f>IF($C$1341=0,NA(),VLOOKUP($I$1331&amp;$B$1341,FLNFIX!$AP$4:$EF$103,3,0))</f>
        <v>#N/A</v>
      </c>
      <c r="G1341" s="756" t="e">
        <f>IF($C$1341=0,NA(),VLOOKUP($I$1331&amp;$B$1341,FLNFIX!$AP$4:$EF$103,5,0))</f>
        <v>#N/A</v>
      </c>
      <c r="H1341" s="757"/>
      <c r="I1341" s="757"/>
      <c r="J1341" s="758"/>
      <c r="K1341" s="677"/>
    </row>
    <row r="1342" ht="20.1" customHeight="1" spans="1:11">
      <c r="A1342" s="675"/>
      <c r="B1342" s="755">
        <f t="shared" si="24"/>
        <v>8</v>
      </c>
      <c r="C1342" s="755">
        <f>IFERROR(VLOOKUP(B1342,DATEWISE!$A$3:$BY$27,2,0),0)</f>
        <v>0</v>
      </c>
      <c r="D1342" s="755" t="e">
        <f>IF($C$1342=0,NA(),VLOOKUP($I$1331&amp;$B$1342,FLNFIX!$AU$4:$EF$103,2,0))</f>
        <v>#N/A</v>
      </c>
      <c r="E1342" s="755" t="e">
        <f>IF($C$1342=0,NA(),VLOOKUP($I$1331&amp;$B$1342,FLNFIX!$AU$4:$EF$103,4,0))</f>
        <v>#N/A</v>
      </c>
      <c r="F1342" s="755" t="e">
        <f>IF($C$1342=0,NA(),VLOOKUP($I$1331&amp;$B$1342,FLNFIX!$AU$4:$EF$103,3,0))</f>
        <v>#N/A</v>
      </c>
      <c r="G1342" s="756" t="e">
        <f>IF($C$1342=0,NA(),VLOOKUP($I$1331&amp;$B$1342,FLNFIX!$AU$4:$EF$103,5,0))</f>
        <v>#N/A</v>
      </c>
      <c r="H1342" s="757"/>
      <c r="I1342" s="757"/>
      <c r="J1342" s="758"/>
      <c r="K1342" s="677"/>
    </row>
    <row r="1343" ht="20.1" customHeight="1" spans="1:11">
      <c r="A1343" s="675"/>
      <c r="B1343" s="755">
        <f t="shared" si="24"/>
        <v>9</v>
      </c>
      <c r="C1343" s="755">
        <f>IFERROR(VLOOKUP(B1343,DATEWISE!$A$3:$BY$27,2,0),0)</f>
        <v>0</v>
      </c>
      <c r="D1343" s="755" t="e">
        <f>IF($C$1343=0,NA(),VLOOKUP($I$1331&amp;$B$1343,FLNFIX!$AZ$4:$EF$103,2,0))</f>
        <v>#N/A</v>
      </c>
      <c r="E1343" s="755" t="e">
        <f>IF($C$1343=0,NA(),VLOOKUP($I$1331&amp;$B$1343,FLNFIX!$AZ$4:$EF$103,4,0))</f>
        <v>#N/A</v>
      </c>
      <c r="F1343" s="755" t="e">
        <f>IF($C$1343=0,NA(),VLOOKUP($I$1331&amp;$B$1343,FLNFIX!$AZ$4:$EF$103,3,0))</f>
        <v>#N/A</v>
      </c>
      <c r="G1343" s="756" t="e">
        <f>IF($C$1343=0,NA(),VLOOKUP($I$1331&amp;$B$1343,FLNFIX!$AZ$4:$EF$103,5,0))</f>
        <v>#N/A</v>
      </c>
      <c r="H1343" s="757"/>
      <c r="I1343" s="757"/>
      <c r="J1343" s="758"/>
      <c r="K1343" s="677"/>
    </row>
    <row r="1344" ht="20.1" customHeight="1" spans="1:11">
      <c r="A1344" s="675"/>
      <c r="B1344" s="755">
        <f t="shared" si="24"/>
        <v>10</v>
      </c>
      <c r="C1344" s="755">
        <f>IFERROR(VLOOKUP(B1344,DATEWISE!$A$3:$BY$27,2,0),0)</f>
        <v>0</v>
      </c>
      <c r="D1344" s="755" t="e">
        <f>IF($C$1344=0,NA(),VLOOKUP($I$1331&amp;$B$1344,FLNFIX!$BE$4:$EF$103,2,0))</f>
        <v>#N/A</v>
      </c>
      <c r="E1344" s="755" t="e">
        <f>IF($C$1344=0,NA(),VLOOKUP($I$1331&amp;$B$1344,FLNFIX!$BE$4:$EF$103,4,0))</f>
        <v>#N/A</v>
      </c>
      <c r="F1344" s="755" t="e">
        <f>IF($C$1344=0,NA(),VLOOKUP($I$1331&amp;$B$1344,FLNFIX!$BE$4:$EF$103,3,0))</f>
        <v>#N/A</v>
      </c>
      <c r="G1344" s="756" t="e">
        <f>IF($C$1344=0,NA(),VLOOKUP($I$1331&amp;$B$1344,FLNFIX!$BE$4:$EF$103,5,0))</f>
        <v>#N/A</v>
      </c>
      <c r="H1344" s="757"/>
      <c r="I1344" s="757"/>
      <c r="J1344" s="758"/>
      <c r="K1344" s="677"/>
    </row>
    <row r="1345" ht="20.1" customHeight="1" spans="1:11">
      <c r="A1345" s="675"/>
      <c r="B1345" s="755">
        <f t="shared" si="24"/>
        <v>11</v>
      </c>
      <c r="C1345" s="755">
        <f>IFERROR(VLOOKUP(B1345,DATEWISE!$A$3:$BY$27,2,0),0)</f>
        <v>0</v>
      </c>
      <c r="D1345" s="755" t="e">
        <f>IF($C$1345=0,NA(),VLOOKUP($I$1331&amp;$B$1345,FLNFIX!$BJ$4:$EF$103,2,0))</f>
        <v>#N/A</v>
      </c>
      <c r="E1345" s="755" t="e">
        <f>IF($C$1345=0,NA(),VLOOKUP($I$1331&amp;$B$1345,FLNFIX!$BJ$4:$EF$103,4,0))</f>
        <v>#N/A</v>
      </c>
      <c r="F1345" s="755" t="e">
        <f>IF($C$1345=0,NA(),VLOOKUP($I$1331&amp;$B$1345,FLNFIX!$BJ$4:$EF$103,3,0))</f>
        <v>#N/A</v>
      </c>
      <c r="G1345" s="756" t="e">
        <f>IF($C$1345=0,NA(),VLOOKUP($I$1331&amp;$B$1345,FLNFIX!$BJ$4:$EF$103,5,0))</f>
        <v>#N/A</v>
      </c>
      <c r="H1345" s="757"/>
      <c r="I1345" s="757"/>
      <c r="J1345" s="758"/>
      <c r="K1345" s="677"/>
    </row>
    <row r="1346" ht="20.1" customHeight="1" spans="1:11">
      <c r="A1346" s="675"/>
      <c r="B1346" s="755">
        <f t="shared" si="24"/>
        <v>12</v>
      </c>
      <c r="C1346" s="755">
        <f>IFERROR(VLOOKUP(B1346,DATEWISE!$A$3:$BY$27,2,0),0)</f>
        <v>0</v>
      </c>
      <c r="D1346" s="755" t="e">
        <f>IF($C$1346=0,NA(),VLOOKUP($I$1331&amp;$B$1346,FLNFIX!$BO$4:$EF$103,2,0))</f>
        <v>#N/A</v>
      </c>
      <c r="E1346" s="755" t="e">
        <f>IF($C$1346=0,NA(),VLOOKUP($I$1331&amp;$B$1346,FLNFIX!$BO$4:$EF$103,4,0))</f>
        <v>#N/A</v>
      </c>
      <c r="F1346" s="755" t="e">
        <f>IF($C$1346=0,NA(),VLOOKUP($I$1331&amp;$B$1346,FLNFIX!$BO$4:$EF$103,3,0))</f>
        <v>#N/A</v>
      </c>
      <c r="G1346" s="756" t="e">
        <f>IF($C$1346=0,NA(),VLOOKUP($I$1331&amp;$B$1346,FLNFIX!$BO$4:$EF$103,5,0))</f>
        <v>#N/A</v>
      </c>
      <c r="H1346" s="757"/>
      <c r="I1346" s="757"/>
      <c r="J1346" s="758"/>
      <c r="K1346" s="677"/>
    </row>
    <row r="1347" ht="20.1" customHeight="1" spans="1:11">
      <c r="A1347" s="675"/>
      <c r="B1347" s="755">
        <f t="shared" si="24"/>
        <v>13</v>
      </c>
      <c r="C1347" s="755">
        <f>IFERROR(VLOOKUP(B1347,DATEWISE!$A$3:$BY$27,2,0),0)</f>
        <v>0</v>
      </c>
      <c r="D1347" s="755" t="e">
        <f>IF($C$1347=0,NA(),VLOOKUP($I$1331&amp;$B$1347,FLNFIX!$BT$4:$EF$103,2,0))</f>
        <v>#N/A</v>
      </c>
      <c r="E1347" s="755" t="e">
        <f>IF($C$1347=0,NA(),VLOOKUP($I$1331&amp;$B$1347,FLNFIX!$BT$4:$EF$103,4,0))</f>
        <v>#N/A</v>
      </c>
      <c r="F1347" s="755" t="e">
        <f>IF($C$1347=0,NA(),VLOOKUP($I$1331&amp;$B$1347,FLNFIX!$BT$4:$EF$103,3,0))</f>
        <v>#N/A</v>
      </c>
      <c r="G1347" s="756" t="e">
        <f>IF($C$1347=0,NA(),VLOOKUP($I$1331&amp;$B$1347,FLNFIX!$BT$4:$EF$103,5,0))</f>
        <v>#N/A</v>
      </c>
      <c r="H1347" s="757"/>
      <c r="I1347" s="757"/>
      <c r="J1347" s="758"/>
      <c r="K1347" s="677"/>
    </row>
    <row r="1348" ht="20.1" customHeight="1" spans="1:11">
      <c r="A1348" s="675"/>
      <c r="B1348" s="755">
        <f t="shared" si="24"/>
        <v>14</v>
      </c>
      <c r="C1348" s="755">
        <f>IFERROR(VLOOKUP(B1348,DATEWISE!$A$3:$BY$27,2,0),0)</f>
        <v>0</v>
      </c>
      <c r="D1348" s="755" t="e">
        <f>IF($C$1348=0,NA(),VLOOKUP($I$1331&amp;$B$1348,FLNFIX!$BY$4:$EF$103,2,0))</f>
        <v>#N/A</v>
      </c>
      <c r="E1348" s="755" t="e">
        <f>IF($C$1348=0,NA(),VLOOKUP($I$1331&amp;$B$1348,FLNFIX!$BY$4:$EF$103,4,0))</f>
        <v>#N/A</v>
      </c>
      <c r="F1348" s="755" t="e">
        <f>IF($C$1348=0,NA(),VLOOKUP($I$1331&amp;$B$1348,FLNFIX!$BY$4:$EF$103,3,0))</f>
        <v>#N/A</v>
      </c>
      <c r="G1348" s="756" t="e">
        <f>IF($C$1348=0,NA(),VLOOKUP($I$1331&amp;$B$1348,FLNFIX!$BY$4:$EF$103,5,0))</f>
        <v>#N/A</v>
      </c>
      <c r="H1348" s="757"/>
      <c r="I1348" s="757"/>
      <c r="J1348" s="758"/>
      <c r="K1348" s="677"/>
    </row>
    <row r="1349" ht="20.1" customHeight="1" spans="1:11">
      <c r="A1349" s="675"/>
      <c r="B1349" s="755">
        <f t="shared" si="24"/>
        <v>15</v>
      </c>
      <c r="C1349" s="755">
        <f>IFERROR(VLOOKUP(B1349,DATEWISE!$A$3:$BY$27,2,0),0)</f>
        <v>0</v>
      </c>
      <c r="D1349" s="755" t="e">
        <f>IF($C$1349=0,NA(),VLOOKUP($I$1331&amp;$B$1349,FLNFIX!$CD$4:$EF$103,2,0))</f>
        <v>#N/A</v>
      </c>
      <c r="E1349" s="755" t="e">
        <f>IF($C$1349=0,NA(),VLOOKUP($I$1331&amp;$B$1349,FLNFIX!$CD$4:$EF$103,4,0))</f>
        <v>#N/A</v>
      </c>
      <c r="F1349" s="755" t="e">
        <f>IF($C$1349=0,NA(),VLOOKUP($I$1331&amp;$B$1349,FLNFIX!$CD$4:$EF$103,3,0))</f>
        <v>#N/A</v>
      </c>
      <c r="G1349" s="756" t="e">
        <f>IF($C$1349=0,NA(),VLOOKUP($I$1331&amp;$B$1349,FLNFIX!$CD$4:$EF$103,5,0))</f>
        <v>#N/A</v>
      </c>
      <c r="H1349" s="757"/>
      <c r="I1349" s="757"/>
      <c r="J1349" s="758"/>
      <c r="K1349" s="677"/>
    </row>
    <row r="1350" ht="20.1" customHeight="1" spans="1:11">
      <c r="A1350" s="675"/>
      <c r="B1350" s="755">
        <f t="shared" si="24"/>
        <v>16</v>
      </c>
      <c r="C1350" s="755">
        <f>IFERROR(VLOOKUP(B1350,DATEWISE!$A$3:$BY$27,2,0),0)</f>
        <v>0</v>
      </c>
      <c r="D1350" s="755" t="e">
        <f>IF($C$1350=0,NA(),VLOOKUP($I$1331&amp;$B$1350,FLNFIX!$CI$4:$EF$103,2,0))</f>
        <v>#N/A</v>
      </c>
      <c r="E1350" s="755" t="e">
        <f>IF($C$1350=0,NA(),VLOOKUP($I$1331&amp;$B$1350,FLNFIX!$CI$4:$EF$103,4,0))</f>
        <v>#N/A</v>
      </c>
      <c r="F1350" s="755" t="e">
        <f>IF($C$1350=0,NA(),VLOOKUP($I$1331&amp;$B$1350,FLNFIX!$CI$4:$EF$103,3,0))</f>
        <v>#N/A</v>
      </c>
      <c r="G1350" s="756" t="e">
        <f>IF($C$1350=0,NA(),VLOOKUP($I$1331&amp;$B$1350,FLNFIX!$CI$4:$EF$103,5,0))</f>
        <v>#N/A</v>
      </c>
      <c r="H1350" s="757"/>
      <c r="I1350" s="757"/>
      <c r="J1350" s="758"/>
      <c r="K1350" s="677"/>
    </row>
    <row r="1351" ht="20.1" customHeight="1" spans="1:11">
      <c r="A1351" s="675"/>
      <c r="B1351" s="755">
        <f t="shared" si="24"/>
        <v>17</v>
      </c>
      <c r="C1351" s="755">
        <f>IFERROR(VLOOKUP(B1351,DATEWISE!$A$3:$BY$27,2,0),0)</f>
        <v>0</v>
      </c>
      <c r="D1351" s="755" t="e">
        <f>IF($C$1351=0,NA(),VLOOKUP($I$1331&amp;$B$1351,FLNFIX!$CN$4:$EF$103,2,0))</f>
        <v>#N/A</v>
      </c>
      <c r="E1351" s="755" t="e">
        <f>IF($C$1351=0,NA(),VLOOKUP($I$1331&amp;$B$1351,FLNFIX!$CN$4:$EF$103,4,0))</f>
        <v>#N/A</v>
      </c>
      <c r="F1351" s="755" t="e">
        <f>IF($C$1351=0,NA(),VLOOKUP($I$1331&amp;$B$1351,FLNFIX!$CN$4:$EF$103,3,0))</f>
        <v>#N/A</v>
      </c>
      <c r="G1351" s="756" t="e">
        <f>IF($C$1351=0,NA(),VLOOKUP($I$1331&amp;$B$1351,FLNFIX!$CN$4:$EF$103,5,0))</f>
        <v>#N/A</v>
      </c>
      <c r="H1351" s="757"/>
      <c r="I1351" s="757"/>
      <c r="J1351" s="758"/>
      <c r="K1351" s="677"/>
    </row>
    <row r="1352" ht="20.1" customHeight="1" spans="1:11">
      <c r="A1352" s="675"/>
      <c r="B1352" s="755">
        <f t="shared" si="24"/>
        <v>18</v>
      </c>
      <c r="C1352" s="755">
        <f>IFERROR(VLOOKUP(B1352,DATEWISE!$A$3:$BY$27,2,0),0)</f>
        <v>0</v>
      </c>
      <c r="D1352" s="755" t="e">
        <f>IF($C$1352=0,NA(),VLOOKUP($I$1331&amp;$B$1352,FLNFIX!$CS$4:$EF$103,2,0))</f>
        <v>#N/A</v>
      </c>
      <c r="E1352" s="755" t="e">
        <f>IF($C$1352=0,NA(),VLOOKUP($I$1331&amp;$B$1352,FLNFIX!$CS$4:$EF$103,4,0))</f>
        <v>#N/A</v>
      </c>
      <c r="F1352" s="755" t="e">
        <f>IF($C$1352=0,NA(),VLOOKUP($I$1331&amp;$B$1352,FLNFIX!$CS$4:$EF$103,3,0))</f>
        <v>#N/A</v>
      </c>
      <c r="G1352" s="756" t="e">
        <f>IF($C$1352=0,NA(),VLOOKUP($I$1331&amp;$B$1352,FLNFIX!$CS$4:$EF$103,5,0))</f>
        <v>#N/A</v>
      </c>
      <c r="H1352" s="757"/>
      <c r="I1352" s="757"/>
      <c r="J1352" s="758"/>
      <c r="K1352" s="677"/>
    </row>
    <row r="1353" ht="20.1" customHeight="1" spans="1:11">
      <c r="A1353" s="675"/>
      <c r="B1353" s="755">
        <f t="shared" si="24"/>
        <v>19</v>
      </c>
      <c r="C1353" s="755">
        <f>IFERROR(VLOOKUP(B1353,DATEWISE!$A$3:$BY$27,2,0),0)</f>
        <v>0</v>
      </c>
      <c r="D1353" s="755" t="e">
        <f>IF($C$1353=0,NA(),VLOOKUP($I$1331&amp;$B$1353,FLNFIX!$CX$4:$EF$103,2,0))</f>
        <v>#N/A</v>
      </c>
      <c r="E1353" s="755" t="e">
        <f>IF($C$1353=0,NA(),VLOOKUP($I$1331&amp;$B$1353,FLNFIX!$CX$4:$EF$103,4,0))</f>
        <v>#N/A</v>
      </c>
      <c r="F1353" s="755" t="e">
        <f>IF($C$1353=0,NA(),VLOOKUP($I$1331&amp;$B$1353,FLNFIX!$CX$4:$EF$103,3,0))</f>
        <v>#N/A</v>
      </c>
      <c r="G1353" s="756" t="e">
        <f>IF($C$1353=0,NA(),VLOOKUP($I$1331&amp;$B$1353,FLNFIX!$CX$4:$EF$103,5,0))</f>
        <v>#N/A</v>
      </c>
      <c r="H1353" s="757"/>
      <c r="I1353" s="757"/>
      <c r="J1353" s="758"/>
      <c r="K1353" s="677"/>
    </row>
    <row r="1354" ht="20.1" customHeight="1" spans="1:11">
      <c r="A1354" s="675"/>
      <c r="B1354" s="755">
        <f t="shared" si="24"/>
        <v>20</v>
      </c>
      <c r="C1354" s="755">
        <f>IFERROR(VLOOKUP(B1354,DATEWISE!$A$3:$BY$27,2,0),0)</f>
        <v>0</v>
      </c>
      <c r="D1354" s="755" t="e">
        <f>IF($C$1354=0,NA(),VLOOKUP($I$1331&amp;$B$1354,FLNFIX!$DC$4:$EF$103,2,0))</f>
        <v>#N/A</v>
      </c>
      <c r="E1354" s="755" t="e">
        <f>IF($C$1354=0,NA(),VLOOKUP($I$1331&amp;$B$1354,FLNFIX!$DC$4:$EF$103,4,0))</f>
        <v>#N/A</v>
      </c>
      <c r="F1354" s="755" t="e">
        <f>IF($C$1354=0,NA(),VLOOKUP($I$1331&amp;$B$1354,FLNFIX!$DC$4:$EF$103,3,0))</f>
        <v>#N/A</v>
      </c>
      <c r="G1354" s="756" t="e">
        <f>IF($C$1354=0,NA(),VLOOKUP($I$1331&amp;$B$1354,FLNFIX!$DC$4:$EF$103,5,0))</f>
        <v>#N/A</v>
      </c>
      <c r="H1354" s="757"/>
      <c r="I1354" s="757"/>
      <c r="J1354" s="758"/>
      <c r="K1354" s="677"/>
    </row>
    <row r="1355" ht="20.1" customHeight="1" spans="1:11">
      <c r="A1355" s="675"/>
      <c r="B1355" s="755">
        <f t="shared" si="24"/>
        <v>21</v>
      </c>
      <c r="C1355" s="755">
        <f>IFERROR(VLOOKUP(B1355,DATEWISE!$A$3:$BY$27,2,0),0)</f>
        <v>0</v>
      </c>
      <c r="D1355" s="755" t="e">
        <f>IF($C$1355=0,NA(),VLOOKUP($I$1331&amp;$B$1355,FLNFIX!$DH$4:$EF$103,2,0))</f>
        <v>#N/A</v>
      </c>
      <c r="E1355" s="755" t="e">
        <f>IF($C$1355=0,NA(),VLOOKUP($I$1331&amp;$B$1355,FLNFIX!$DH$4:$EF$103,4,0))</f>
        <v>#N/A</v>
      </c>
      <c r="F1355" s="755" t="e">
        <f>IF($C$1355=0,NA(),VLOOKUP($I$1331&amp;$B$1355,FLNFIX!$DH$4:$EF$103,3,0))</f>
        <v>#N/A</v>
      </c>
      <c r="G1355" s="756" t="e">
        <f>IF($C$1355=0,NA(),VLOOKUP($I$1331&amp;$B$1355,FLNFIX!$DH$4:$EF$103,5,0))</f>
        <v>#N/A</v>
      </c>
      <c r="H1355" s="757"/>
      <c r="I1355" s="757"/>
      <c r="J1355" s="758"/>
      <c r="K1355" s="677"/>
    </row>
    <row r="1356" ht="5.1" customHeight="1" spans="1:11">
      <c r="A1356" s="675"/>
      <c r="B1356" s="759"/>
      <c r="C1356" s="759"/>
      <c r="D1356" s="760"/>
      <c r="E1356" s="760"/>
      <c r="F1356" s="760"/>
      <c r="G1356" s="761"/>
      <c r="H1356" s="761"/>
      <c r="I1356" s="761"/>
      <c r="J1356" s="761"/>
      <c r="K1356" s="677"/>
    </row>
    <row r="1357" s="667" customFormat="1" ht="24.95" customHeight="1" spans="1:11">
      <c r="A1357" s="711"/>
      <c r="B1357" s="762" t="s">
        <v>431</v>
      </c>
      <c r="C1357" s="763"/>
      <c r="D1357" s="763"/>
      <c r="E1357" s="763"/>
      <c r="F1357" s="763"/>
      <c r="G1357" s="763"/>
      <c r="H1357" s="763"/>
      <c r="I1357" s="763"/>
      <c r="J1357" s="764"/>
      <c r="K1357" s="713"/>
    </row>
    <row r="1358" spans="1:11">
      <c r="A1358" s="675"/>
      <c r="B1358" s="765"/>
      <c r="C1358" s="686"/>
      <c r="D1358" s="686"/>
      <c r="E1358" s="686"/>
      <c r="F1358" s="686"/>
      <c r="G1358" s="686"/>
      <c r="H1358" s="686"/>
      <c r="I1358" s="686"/>
      <c r="J1358" s="766"/>
      <c r="K1358" s="677"/>
    </row>
    <row r="1359" spans="1:11">
      <c r="A1359" s="675"/>
      <c r="B1359" s="765"/>
      <c r="C1359" s="686"/>
      <c r="D1359" s="686"/>
      <c r="E1359" s="686"/>
      <c r="F1359" s="686"/>
      <c r="G1359" s="686"/>
      <c r="H1359" s="686"/>
      <c r="I1359" s="686"/>
      <c r="J1359" s="766"/>
      <c r="K1359" s="677"/>
    </row>
    <row r="1360" spans="1:11">
      <c r="A1360" s="675"/>
      <c r="B1360" s="765"/>
      <c r="C1360" s="686"/>
      <c r="D1360" s="686"/>
      <c r="E1360" s="686"/>
      <c r="F1360" s="686"/>
      <c r="G1360" s="686"/>
      <c r="H1360" s="686"/>
      <c r="I1360" s="686"/>
      <c r="J1360" s="766"/>
      <c r="K1360" s="677"/>
    </row>
    <row r="1361" spans="1:11">
      <c r="A1361" s="675"/>
      <c r="B1361" s="765"/>
      <c r="C1361" s="686"/>
      <c r="D1361" s="686"/>
      <c r="E1361" s="686"/>
      <c r="F1361" s="686"/>
      <c r="G1361" s="686"/>
      <c r="H1361" s="686"/>
      <c r="I1361" s="686"/>
      <c r="J1361" s="766"/>
      <c r="K1361" s="677"/>
    </row>
    <row r="1362" spans="1:11">
      <c r="A1362" s="675"/>
      <c r="B1362" s="765"/>
      <c r="C1362" s="686"/>
      <c r="D1362" s="686"/>
      <c r="E1362" s="686"/>
      <c r="F1362" s="686"/>
      <c r="G1362" s="686"/>
      <c r="H1362" s="686"/>
      <c r="I1362" s="686"/>
      <c r="J1362" s="766"/>
      <c r="K1362" s="677"/>
    </row>
    <row r="1363" spans="1:11">
      <c r="A1363" s="675"/>
      <c r="B1363" s="765"/>
      <c r="C1363" s="686"/>
      <c r="D1363" s="686"/>
      <c r="E1363" s="686"/>
      <c r="F1363" s="686"/>
      <c r="G1363" s="686"/>
      <c r="H1363" s="686"/>
      <c r="I1363" s="686"/>
      <c r="J1363" s="766"/>
      <c r="K1363" s="677"/>
    </row>
    <row r="1364" spans="1:11">
      <c r="A1364" s="675"/>
      <c r="B1364" s="765"/>
      <c r="C1364" s="686"/>
      <c r="D1364" s="686"/>
      <c r="E1364" s="686"/>
      <c r="F1364" s="686"/>
      <c r="G1364" s="686"/>
      <c r="H1364" s="686"/>
      <c r="I1364" s="686"/>
      <c r="J1364" s="766"/>
      <c r="K1364" s="677"/>
    </row>
    <row r="1365" spans="1:11">
      <c r="A1365" s="675"/>
      <c r="B1365" s="765"/>
      <c r="C1365" s="686"/>
      <c r="D1365" s="686"/>
      <c r="E1365" s="686"/>
      <c r="F1365" s="686"/>
      <c r="G1365" s="686"/>
      <c r="H1365" s="686"/>
      <c r="I1365" s="686"/>
      <c r="J1365" s="766"/>
      <c r="K1365" s="677"/>
    </row>
    <row r="1366" spans="1:11">
      <c r="A1366" s="675"/>
      <c r="B1366" s="765"/>
      <c r="C1366" s="686"/>
      <c r="D1366" s="686"/>
      <c r="E1366" s="686"/>
      <c r="F1366" s="686"/>
      <c r="G1366" s="686"/>
      <c r="H1366" s="686"/>
      <c r="I1366" s="686"/>
      <c r="J1366" s="766"/>
      <c r="K1366" s="677"/>
    </row>
    <row r="1367" spans="1:11">
      <c r="A1367" s="675"/>
      <c r="B1367" s="767"/>
      <c r="C1367" s="768"/>
      <c r="D1367" s="768"/>
      <c r="E1367" s="768"/>
      <c r="F1367" s="768"/>
      <c r="G1367" s="768"/>
      <c r="H1367" s="768"/>
      <c r="I1367" s="768"/>
      <c r="J1367" s="769"/>
      <c r="K1367" s="677"/>
    </row>
    <row r="1368" ht="5.1" customHeight="1" spans="1:11">
      <c r="A1368" s="675"/>
      <c r="B1368" s="686"/>
      <c r="C1368" s="686"/>
      <c r="D1368" s="686"/>
      <c r="E1368" s="686"/>
      <c r="F1368" s="686"/>
      <c r="G1368" s="686"/>
      <c r="H1368" s="686"/>
      <c r="I1368" s="686"/>
      <c r="J1368" s="686"/>
      <c r="K1368" s="677"/>
    </row>
    <row r="1369" spans="1:11">
      <c r="A1369" s="675"/>
      <c r="B1369" s="770" t="s">
        <v>432</v>
      </c>
      <c r="C1369" s="770"/>
      <c r="D1369" s="770"/>
      <c r="E1369" s="770"/>
      <c r="F1369" s="770"/>
      <c r="G1369" s="770"/>
      <c r="H1369" s="770"/>
      <c r="I1369" s="770"/>
      <c r="J1369" s="770"/>
      <c r="K1369" s="677"/>
    </row>
    <row r="1370" spans="1:11">
      <c r="A1370" s="675"/>
      <c r="B1370" s="771"/>
      <c r="C1370" s="771"/>
      <c r="D1370" s="771"/>
      <c r="E1370" s="771"/>
      <c r="F1370" s="771"/>
      <c r="G1370" s="771"/>
      <c r="H1370" s="771"/>
      <c r="I1370" s="771"/>
      <c r="J1370" s="771"/>
      <c r="K1370" s="677"/>
    </row>
    <row r="1371" spans="1:11">
      <c r="A1371" s="675"/>
      <c r="B1371" s="771"/>
      <c r="C1371" s="771"/>
      <c r="D1371" s="771"/>
      <c r="E1371" s="771"/>
      <c r="F1371" s="771"/>
      <c r="G1371" s="771"/>
      <c r="H1371" s="771"/>
      <c r="I1371" s="771"/>
      <c r="J1371" s="771"/>
      <c r="K1371" s="677"/>
    </row>
    <row r="1372" spans="1:11">
      <c r="A1372" s="675"/>
      <c r="B1372" s="771"/>
      <c r="C1372" s="771"/>
      <c r="D1372" s="771"/>
      <c r="E1372" s="771"/>
      <c r="F1372" s="771"/>
      <c r="G1372" s="771"/>
      <c r="H1372" s="771"/>
      <c r="I1372" s="771"/>
      <c r="J1372" s="771"/>
      <c r="K1372" s="677"/>
    </row>
    <row r="1373" spans="1:11">
      <c r="A1373" s="675"/>
      <c r="B1373" s="686"/>
      <c r="C1373" s="686"/>
      <c r="D1373" s="686"/>
      <c r="E1373" s="686"/>
      <c r="F1373" s="686"/>
      <c r="G1373" s="686"/>
      <c r="H1373" s="686"/>
      <c r="I1373" s="686"/>
      <c r="J1373" s="686"/>
      <c r="K1373" s="677"/>
    </row>
    <row r="1374" spans="1:11">
      <c r="A1374" s="675"/>
      <c r="B1374" s="686"/>
      <c r="C1374" s="729" t="s">
        <v>433</v>
      </c>
      <c r="D1374" s="729"/>
      <c r="E1374" s="686"/>
      <c r="F1374" s="686"/>
      <c r="G1374" s="729" t="s">
        <v>434</v>
      </c>
      <c r="H1374" s="729"/>
      <c r="I1374" s="729"/>
      <c r="J1374" s="729"/>
      <c r="K1374" s="677"/>
    </row>
    <row r="1375" ht="16.35" spans="1:11">
      <c r="A1375" s="725"/>
      <c r="B1375" s="726"/>
      <c r="C1375" s="732" t="str">
        <f>"("&amp;PROPER(ENTRY!$D$19)&amp;")"</f>
        <v>(Indrajeet)</v>
      </c>
      <c r="D1375" s="732"/>
      <c r="E1375" s="726"/>
      <c r="F1375" s="726"/>
      <c r="G1375" s="732" t="str">
        <f>"("&amp;PROPER(ENTRY!$D$12)&amp;")"</f>
        <v>(Shambhu Dayal Meena)</v>
      </c>
      <c r="H1375" s="732"/>
      <c r="I1375" s="732"/>
      <c r="J1375" s="732"/>
      <c r="K1375" s="728"/>
    </row>
    <row r="1376" ht="24.6" spans="1:11">
      <c r="B1376" s="734"/>
      <c r="C1376" s="734"/>
      <c r="D1376" s="669" t="str">
        <f>ENTRY!$D$3</f>
        <v>MUNICIPAL CORPORATION OF DELHI</v>
      </c>
      <c r="E1376" s="669"/>
      <c r="F1376" s="669"/>
      <c r="G1376" s="669"/>
      <c r="H1376" s="734"/>
      <c r="I1376" s="669"/>
      <c r="J1376" s="669"/>
    </row>
    <row r="1377" ht="20.4" spans="1:11">
      <c r="B1377" s="735"/>
      <c r="C1377" s="735"/>
      <c r="D1377" s="670" t="str">
        <f>ENTRY!$D$4</f>
        <v>EDUCATION DEPARTMENT</v>
      </c>
      <c r="E1377" s="670"/>
      <c r="F1377" s="670"/>
      <c r="G1377" s="670"/>
      <c r="H1377" s="735"/>
      <c r="I1377" s="669"/>
      <c r="J1377" s="669"/>
    </row>
    <row r="1378" ht="22.8" spans="1:11">
      <c r="B1378" s="736"/>
      <c r="C1378" s="736"/>
      <c r="D1378" s="664" t="s">
        <v>417</v>
      </c>
      <c r="E1378" s="664"/>
      <c r="F1378" s="664"/>
      <c r="G1378" s="664"/>
      <c r="H1378" s="736"/>
      <c r="I1378" s="669"/>
      <c r="J1378" s="669"/>
    </row>
    <row r="1379" ht="22.8" spans="1:11">
      <c r="B1379" s="736"/>
      <c r="C1379" s="736"/>
      <c r="D1379" s="664" t="s">
        <v>418</v>
      </c>
      <c r="E1379" s="664"/>
      <c r="F1379" s="664"/>
      <c r="G1379" s="664"/>
      <c r="H1379" s="736"/>
      <c r="I1379" s="669"/>
      <c r="J1379" s="669"/>
    </row>
    <row r="1380" ht="24.95" customHeight="1" spans="1:11">
      <c r="B1380" s="735"/>
      <c r="C1380" s="735"/>
      <c r="D1380" s="737" t="str">
        <f>"SESSION : "&amp;ENTRY!$D$11</f>
        <v>SESSION : 2026-27</v>
      </c>
      <c r="E1380" s="737"/>
      <c r="F1380" s="737"/>
      <c r="G1380" s="737"/>
      <c r="H1380" s="735"/>
      <c r="I1380" s="738"/>
      <c r="J1380" s="738"/>
    </row>
    <row r="1381" ht="3.75" customHeight="1" spans="1:11">
      <c r="A1381" s="672"/>
      <c r="B1381" s="739"/>
      <c r="C1381" s="739"/>
      <c r="D1381" s="739"/>
      <c r="E1381" s="739"/>
      <c r="F1381" s="739"/>
      <c r="G1381" s="739"/>
      <c r="H1381" s="739"/>
      <c r="I1381" s="739"/>
      <c r="J1381" s="739"/>
      <c r="K1381" s="674"/>
    </row>
    <row r="1382" ht="21.95" customHeight="1" spans="1:11">
      <c r="A1382" s="675"/>
      <c r="B1382" s="676" t="s">
        <v>419</v>
      </c>
      <c r="C1382" s="676"/>
      <c r="D1382" s="676" t="str">
        <f>ENTRY!$D$6</f>
        <v>MCP NITHARI NO 1 BOYS</v>
      </c>
      <c r="E1382" s="676"/>
      <c r="F1382" s="676"/>
      <c r="G1382" s="676"/>
      <c r="H1382" s="676"/>
      <c r="I1382" s="676"/>
      <c r="J1382" s="676"/>
      <c r="K1382" s="677"/>
    </row>
    <row r="1383" ht="21.95" customHeight="1" spans="1:11">
      <c r="A1383" s="675"/>
      <c r="B1383" s="676" t="s">
        <v>420</v>
      </c>
      <c r="C1383" s="676"/>
      <c r="D1383" s="740" t="str">
        <f>IFERROR(VLOOKUP($I$1386,STUDENT!$A$2:$BP$101,5,0),"")</f>
        <v>MD ADAN SHEKH</v>
      </c>
      <c r="E1383" s="740"/>
      <c r="F1383" s="740"/>
      <c r="G1383" s="740"/>
      <c r="H1383" s="740"/>
      <c r="I1383" s="740"/>
      <c r="J1383" s="740"/>
      <c r="K1383" s="677"/>
    </row>
    <row r="1384" ht="21.95" customHeight="1" spans="1:11">
      <c r="A1384" s="675"/>
      <c r="B1384" s="676" t="s">
        <v>421</v>
      </c>
      <c r="C1384" s="676"/>
      <c r="D1384" s="740" t="str">
        <f>IFERROR(VLOOKUP($I$1386,STUDENT!$A$2:$BP$101,8,0),"")</f>
        <v>MD ISHTIKHAR</v>
      </c>
      <c r="E1384" s="740"/>
      <c r="F1384" s="740"/>
      <c r="G1384" s="740"/>
      <c r="H1384" s="740"/>
      <c r="I1384" s="740"/>
      <c r="J1384" s="740"/>
      <c r="K1384" s="677"/>
    </row>
    <row r="1385" ht="21.95" customHeight="1" spans="1:11">
      <c r="A1385" s="675"/>
      <c r="B1385" s="676" t="s">
        <v>422</v>
      </c>
      <c r="C1385" s="676"/>
      <c r="D1385" s="740">
        <f>IFERROR(VLOOKUP($I$1386,STUDENT!$A$2:$BP$101,6,0),"")</f>
        <v>14960</v>
      </c>
      <c r="E1385" s="740"/>
      <c r="F1385" s="740"/>
      <c r="G1385" s="740"/>
      <c r="H1385" s="740"/>
      <c r="I1385" s="740"/>
      <c r="J1385" s="740"/>
      <c r="K1385" s="677"/>
    </row>
    <row r="1386" ht="21.95" customHeight="1" spans="1:11">
      <c r="A1386" s="675"/>
      <c r="B1386" s="676" t="s">
        <v>423</v>
      </c>
      <c r="C1386" s="676"/>
      <c r="D1386" s="741" t="str">
        <f>IFERROR(VLOOKUP($I$1386,STUDENT!$A$2:$BP$101,59,0),"")</f>
        <v/>
      </c>
      <c r="E1386" s="742" t="s">
        <v>424</v>
      </c>
      <c r="F1386" s="704" t="str">
        <f>IFERROR(VLOOKUP($I$1386,STUDENT!$A$2:$BP$101,2,0),"")</f>
        <v>III-A</v>
      </c>
      <c r="G1386" s="742" t="s">
        <v>425</v>
      </c>
      <c r="H1386" s="743"/>
      <c r="I1386" s="733">
        <f>I1331+1</f>
        <v>26</v>
      </c>
      <c r="J1386" s="683"/>
      <c r="K1386" s="677"/>
    </row>
    <row r="1387" ht="5.1" customHeight="1" spans="1:11">
      <c r="A1387" s="675"/>
      <c r="B1387" s="745"/>
      <c r="C1387" s="745"/>
      <c r="D1387" s="746"/>
      <c r="E1387" s="747"/>
      <c r="F1387" s="748"/>
      <c r="G1387" s="747"/>
      <c r="H1387" s="686"/>
      <c r="I1387" s="686"/>
      <c r="J1387" s="686"/>
      <c r="K1387" s="677"/>
    </row>
    <row r="1388" s="664" customFormat="1" ht="32.1" customHeight="1" spans="1:11">
      <c r="A1388" s="688"/>
      <c r="B1388" s="749" t="s">
        <v>426</v>
      </c>
      <c r="C1388" s="750"/>
      <c r="D1388" s="750"/>
      <c r="E1388" s="750"/>
      <c r="F1388" s="750"/>
      <c r="G1388" s="750"/>
      <c r="H1388" s="750"/>
      <c r="I1388" s="750"/>
      <c r="J1388" s="751"/>
      <c r="K1388" s="690"/>
    </row>
    <row r="1389" ht="51.6" spans="1:11">
      <c r="A1389" s="675"/>
      <c r="B1389" s="752">
        <v>21</v>
      </c>
      <c r="C1389" s="753" t="s">
        <v>427</v>
      </c>
      <c r="D1389" s="754" t="s">
        <v>428</v>
      </c>
      <c r="E1389" s="754" t="s">
        <v>429</v>
      </c>
      <c r="F1389" s="754" t="s">
        <v>430</v>
      </c>
      <c r="G1389" s="753" t="s">
        <v>390</v>
      </c>
      <c r="H1389" s="714"/>
      <c r="I1389" s="714"/>
      <c r="J1389" s="714"/>
      <c r="K1389" s="677"/>
    </row>
    <row r="1390" ht="20.1" customHeight="1" spans="1:11">
      <c r="A1390" s="675"/>
      <c r="B1390" s="755">
        <v>1</v>
      </c>
      <c r="C1390" s="755" t="str">
        <f>IFERROR(VLOOKUP(B1390,DATEWISE!$A$3:$BY$27,2,0),0)</f>
        <v>30.04.2026</v>
      </c>
      <c r="D1390" s="755">
        <f>IF($C$1390=0,NA(),VLOOKUP($I$1386&amp;$B$1390,FLNFIX!$L$4:$EF$103,2,0))</f>
        <v>2</v>
      </c>
      <c r="E1390" s="755">
        <f>IF($C$1390=0,NA(),VLOOKUP($I$1386&amp;$B$1390,FLNFIX!$L$4:$EF$103,4,0))</f>
        <v>3</v>
      </c>
      <c r="F1390" s="755">
        <f>IF($C$1390=0,NA(),VLOOKUP($I$1386&amp;$B$1390,FLNFIX!$L$4:$EF$103,3,0))</f>
        <v>2</v>
      </c>
      <c r="G1390" s="756">
        <f>IF($C$1390=0,NA(),VLOOKUP($I$1386&amp;$B$1390,FLNFIX!$L$4:$EF$103,5,0))</f>
        <v>0</v>
      </c>
      <c r="H1390" s="757"/>
      <c r="I1390" s="757"/>
      <c r="J1390" s="758"/>
      <c r="K1390" s="677"/>
    </row>
    <row r="1391" ht="20.1" customHeight="1" spans="1:11">
      <c r="A1391" s="675"/>
      <c r="B1391" s="755">
        <f t="shared" ref="B1391:B1410" si="25">IF(B1390=0,0,IF(B1390&lt;$B$1389,B1390+1,""))</f>
        <v>2</v>
      </c>
      <c r="C1391" s="755" t="str">
        <f>IFERROR(VLOOKUP(B1391,DATEWISE!$A$3:$BY$27,2,0),0)</f>
        <v>08.05.2026</v>
      </c>
      <c r="D1391" s="755">
        <f>IF($C$1391=0,NA(),VLOOKUP($I$1386&amp;$B$1391,FLNFIX!$Q$4:$EF$103,2,0))</f>
        <v>2</v>
      </c>
      <c r="E1391" s="755">
        <f>IF($C$1391=0,NA(),VLOOKUP($I$1386&amp;$B$1391,FLNFIX!$Q$4:$EF$103,4,0))</f>
        <v>3</v>
      </c>
      <c r="F1391" s="755">
        <f>IF($C$1391=0,NA(),VLOOKUP($I$1386&amp;$B$1391,FLNFIX!$Q$4:$EF$103,3,0))</f>
        <v>2</v>
      </c>
      <c r="G1391" s="756">
        <f>IF($C$1391=0,NA(),VLOOKUP($I$1386&amp;$B$1391,FLNFIX!$Q$4:$EF$103,5,0))</f>
        <v>0</v>
      </c>
      <c r="H1391" s="757"/>
      <c r="I1391" s="757"/>
      <c r="J1391" s="758"/>
      <c r="K1391" s="677"/>
    </row>
    <row r="1392" ht="20.1" customHeight="1" spans="1:11">
      <c r="A1392" s="675"/>
      <c r="B1392" s="755">
        <f t="shared" si="25"/>
        <v>3</v>
      </c>
      <c r="C1392" s="755" t="str">
        <f>IFERROR(VLOOKUP(B1392,DATEWISE!$A$3:$BY$27,2,0),0)</f>
        <v>15.07.2026</v>
      </c>
      <c r="D1392" s="755">
        <f>IF($C$1392=0,NA(),VLOOKUP($I$1386&amp;$B$1392,FLNFIX!$V$4:$EF$103,2,0))</f>
        <v>2</v>
      </c>
      <c r="E1392" s="755">
        <f>IF($C$1392=0,NA(),VLOOKUP($I$1386&amp;$B$1392,FLNFIX!$V$4:$EF$103,4,0))</f>
        <v>3</v>
      </c>
      <c r="F1392" s="755">
        <f>IF($C$1392=0,NA(),VLOOKUP($I$1386&amp;$B$1392,FLNFIX!$V$4:$EF$103,3,0))</f>
        <v>2</v>
      </c>
      <c r="G1392" s="756">
        <f>IF($C$1392=0,NA(),VLOOKUP($I$1386&amp;$B$1392,FLNFIX!$V$4:$EF$103,5,0))</f>
        <v>0</v>
      </c>
      <c r="H1392" s="757"/>
      <c r="I1392" s="757"/>
      <c r="J1392" s="758"/>
      <c r="K1392" s="677"/>
    </row>
    <row r="1393" ht="20.1" customHeight="1" spans="1:11">
      <c r="A1393" s="675"/>
      <c r="B1393" s="755">
        <f t="shared" si="25"/>
        <v>4</v>
      </c>
      <c r="C1393" s="755" t="str">
        <f>IFERROR(VLOOKUP(B1393,DATEWISE!$A$3:$BY$27,2,0),0)</f>
        <v>31.07.2026</v>
      </c>
      <c r="D1393" s="755">
        <f>IF($C$1393=0,NA(),VLOOKUP($I$1386&amp;$B$1393,FLNFIX!$AA$4:$EF$103,2,0))</f>
        <v>2</v>
      </c>
      <c r="E1393" s="755">
        <f>IF($C$1393=0,NA(),VLOOKUP($I$1386&amp;$B$1393,FLNFIX!$AA$4:$EF$103,4,0))</f>
        <v>3</v>
      </c>
      <c r="F1393" s="755">
        <f>IF($C$1393=0,NA(),VLOOKUP($I$1386&amp;$B$1393,FLNFIX!$AA$4:$EF$103,3,0))</f>
        <v>2</v>
      </c>
      <c r="G1393" s="756">
        <f>IF($C$1393=0,NA(),VLOOKUP($I$1386&amp;$B$1393,FLNFIX!$AA$4:$EF$103,5,0))</f>
        <v>0</v>
      </c>
      <c r="H1393" s="757"/>
      <c r="I1393" s="757"/>
      <c r="J1393" s="758"/>
      <c r="K1393" s="677"/>
    </row>
    <row r="1394" ht="20.1" customHeight="1" spans="1:11">
      <c r="A1394" s="675"/>
      <c r="B1394" s="755">
        <f t="shared" si="25"/>
        <v>5</v>
      </c>
      <c r="C1394" s="755" t="str">
        <f>IFERROR(VLOOKUP(B1394,DATEWISE!$A$3:$BY$27,2,0),0)</f>
        <v>17.08.2026</v>
      </c>
      <c r="D1394" s="755">
        <f>IF($C$1394=0,NA(),VLOOKUP($I$1386&amp;$B$1394,FLNFIX!$AF$4:$EF$103,2,0))</f>
        <v>2</v>
      </c>
      <c r="E1394" s="755">
        <f>IF($C$1394=0,NA(),VLOOKUP($I$1386&amp;$B$1394,FLNFIX!$AF$4:$EF$103,4,0))</f>
        <v>3</v>
      </c>
      <c r="F1394" s="755">
        <f>IF($C$1394=0,NA(),VLOOKUP($I$1386&amp;$B$1394,FLNFIX!$AF$4:$EF$103,3,0))</f>
        <v>2</v>
      </c>
      <c r="G1394" s="756">
        <f>IF($C$1394=0,NA(),VLOOKUP($I$1386&amp;$B$1394,FLNFIX!$AF$4:$EF$103,5,0))</f>
        <v>0</v>
      </c>
      <c r="H1394" s="757"/>
      <c r="I1394" s="757"/>
      <c r="J1394" s="758"/>
      <c r="K1394" s="677"/>
    </row>
    <row r="1395" ht="20.1" customHeight="1" spans="1:11">
      <c r="A1395" s="675"/>
      <c r="B1395" s="755">
        <f t="shared" si="25"/>
        <v>6</v>
      </c>
      <c r="C1395" s="755" t="str">
        <f>IFERROR(VLOOKUP(B1395,DATEWISE!$A$3:$BY$27,2,0),0)</f>
        <v>31.08.2026</v>
      </c>
      <c r="D1395" s="755">
        <f>IF($C$1395=0,NA(),VLOOKUP($I$1386&amp;$B$1395,FLNFIX!$AK$4:$EF$103,2,0))</f>
        <v>2</v>
      </c>
      <c r="E1395" s="755">
        <f>IF($C$1395=0,NA(),VLOOKUP($I$1386&amp;$B$1395,FLNFIX!$AK$4:$EF$103,4,0))</f>
        <v>3</v>
      </c>
      <c r="F1395" s="755">
        <f>IF($C$1395=0,NA(),VLOOKUP($I$1386&amp;$B$1395,FLNFIX!$AK$4:$EF$103,3,0))</f>
        <v>2</v>
      </c>
      <c r="G1395" s="756">
        <f>IF($C$1395=0,NA(),VLOOKUP($I$1386&amp;$B$1395,FLNFIX!$AK$4:$EF$103,5,0))</f>
        <v>0</v>
      </c>
      <c r="H1395" s="757"/>
      <c r="I1395" s="757"/>
      <c r="J1395" s="758"/>
      <c r="K1395" s="677"/>
    </row>
    <row r="1396" ht="20.1" customHeight="1" spans="1:11">
      <c r="A1396" s="675"/>
      <c r="B1396" s="755">
        <f t="shared" si="25"/>
        <v>7</v>
      </c>
      <c r="C1396" s="755">
        <f>IFERROR(VLOOKUP(B1396,DATEWISE!$A$3:$BY$27,2,0),0)</f>
        <v>0</v>
      </c>
      <c r="D1396" s="755" t="e">
        <f>IF($C$1396=0,NA(),VLOOKUP($I$1386&amp;$B$1396,FLNFIX!$AP$4:$EF$103,2,0))</f>
        <v>#N/A</v>
      </c>
      <c r="E1396" s="755" t="e">
        <f>IF($C$1396=0,NA(),VLOOKUP($I$1386&amp;$B$1396,FLNFIX!$AP$4:$EF$103,4,0))</f>
        <v>#N/A</v>
      </c>
      <c r="F1396" s="755" t="e">
        <f>IF($C$1396=0,NA(),VLOOKUP($I$1386&amp;$B$1396,FLNFIX!$AP$4:$EF$103,3,0))</f>
        <v>#N/A</v>
      </c>
      <c r="G1396" s="756" t="e">
        <f>IF($C$1396=0,NA(),VLOOKUP($I$1386&amp;$B$1396,FLNFIX!$AP$4:$EF$103,5,0))</f>
        <v>#N/A</v>
      </c>
      <c r="H1396" s="757"/>
      <c r="I1396" s="757"/>
      <c r="J1396" s="758"/>
      <c r="K1396" s="677"/>
    </row>
    <row r="1397" ht="20.1" customHeight="1" spans="1:11">
      <c r="A1397" s="675"/>
      <c r="B1397" s="755">
        <f t="shared" si="25"/>
        <v>8</v>
      </c>
      <c r="C1397" s="755">
        <f>IFERROR(VLOOKUP(B1397,DATEWISE!$A$3:$BY$27,2,0),0)</f>
        <v>0</v>
      </c>
      <c r="D1397" s="755" t="e">
        <f>IF($C$1397=0,NA(),VLOOKUP($I$1386&amp;$B$1397,FLNFIX!$AU$4:$EF$103,2,0))</f>
        <v>#N/A</v>
      </c>
      <c r="E1397" s="755" t="e">
        <f>IF($C$1397=0,NA(),VLOOKUP($I$1386&amp;$B$1397,FLNFIX!$AU$4:$EF$103,4,0))</f>
        <v>#N/A</v>
      </c>
      <c r="F1397" s="755" t="e">
        <f>IF($C$1397=0,NA(),VLOOKUP($I$1386&amp;$B$1397,FLNFIX!$AU$4:$EF$103,3,0))</f>
        <v>#N/A</v>
      </c>
      <c r="G1397" s="756" t="e">
        <f>IF($C$1397=0,NA(),VLOOKUP($I$1386&amp;$B$1397,FLNFIX!$AU$4:$EF$103,5,0))</f>
        <v>#N/A</v>
      </c>
      <c r="H1397" s="757"/>
      <c r="I1397" s="757"/>
      <c r="J1397" s="758"/>
      <c r="K1397" s="677"/>
    </row>
    <row r="1398" ht="20.1" customHeight="1" spans="1:11">
      <c r="A1398" s="675"/>
      <c r="B1398" s="755">
        <f t="shared" si="25"/>
        <v>9</v>
      </c>
      <c r="C1398" s="755">
        <f>IFERROR(VLOOKUP(B1398,DATEWISE!$A$3:$BY$27,2,0),0)</f>
        <v>0</v>
      </c>
      <c r="D1398" s="755" t="e">
        <f>IF($C$1398=0,NA(),VLOOKUP($I$1386&amp;$B$1398,FLNFIX!$AZ$4:$EF$103,2,0))</f>
        <v>#N/A</v>
      </c>
      <c r="E1398" s="755" t="e">
        <f>IF($C$1398=0,NA(),VLOOKUP($I$1386&amp;$B$1398,FLNFIX!$AZ$4:$EF$103,4,0))</f>
        <v>#N/A</v>
      </c>
      <c r="F1398" s="755" t="e">
        <f>IF($C$1398=0,NA(),VLOOKUP($I$1386&amp;$B$1398,FLNFIX!$AZ$4:$EF$103,3,0))</f>
        <v>#N/A</v>
      </c>
      <c r="G1398" s="756" t="e">
        <f>IF($C$1398=0,NA(),VLOOKUP($I$1386&amp;$B$1398,FLNFIX!$AZ$4:$EF$103,5,0))</f>
        <v>#N/A</v>
      </c>
      <c r="H1398" s="757"/>
      <c r="I1398" s="757"/>
      <c r="J1398" s="758"/>
      <c r="K1398" s="677"/>
    </row>
    <row r="1399" ht="20.1" customHeight="1" spans="1:11">
      <c r="A1399" s="675"/>
      <c r="B1399" s="755">
        <f t="shared" si="25"/>
        <v>10</v>
      </c>
      <c r="C1399" s="755">
        <f>IFERROR(VLOOKUP(B1399,DATEWISE!$A$3:$BY$27,2,0),0)</f>
        <v>0</v>
      </c>
      <c r="D1399" s="755" t="e">
        <f>IF($C$1399=0,NA(),VLOOKUP($I$1386&amp;$B$1399,FLNFIX!$BE$4:$EF$103,2,0))</f>
        <v>#N/A</v>
      </c>
      <c r="E1399" s="755" t="e">
        <f>IF($C$1399=0,NA(),VLOOKUP($I$1386&amp;$B$1399,FLNFIX!$BE$4:$EF$103,4,0))</f>
        <v>#N/A</v>
      </c>
      <c r="F1399" s="755" t="e">
        <f>IF($C$1399=0,NA(),VLOOKUP($I$1386&amp;$B$1399,FLNFIX!$BE$4:$EF$103,3,0))</f>
        <v>#N/A</v>
      </c>
      <c r="G1399" s="756" t="e">
        <f>IF($C$1399=0,NA(),VLOOKUP($I$1386&amp;$B$1399,FLNFIX!$BE$4:$EF$103,5,0))</f>
        <v>#N/A</v>
      </c>
      <c r="H1399" s="757"/>
      <c r="I1399" s="757"/>
      <c r="J1399" s="758"/>
      <c r="K1399" s="677"/>
    </row>
    <row r="1400" ht="20.1" customHeight="1" spans="1:11">
      <c r="A1400" s="675"/>
      <c r="B1400" s="755">
        <f t="shared" si="25"/>
        <v>11</v>
      </c>
      <c r="C1400" s="755">
        <f>IFERROR(VLOOKUP(B1400,DATEWISE!$A$3:$BY$27,2,0),0)</f>
        <v>0</v>
      </c>
      <c r="D1400" s="755" t="e">
        <f>IF($C$1400=0,NA(),VLOOKUP($I$1386&amp;$B$1400,FLNFIX!$BJ$4:$EF$103,2,0))</f>
        <v>#N/A</v>
      </c>
      <c r="E1400" s="755" t="e">
        <f>IF($C$1400=0,NA(),VLOOKUP($I$1386&amp;$B$1400,FLNFIX!$BJ$4:$EF$103,4,0))</f>
        <v>#N/A</v>
      </c>
      <c r="F1400" s="755" t="e">
        <f>IF($C$1400=0,NA(),VLOOKUP($I$1386&amp;$B$1400,FLNFIX!$BJ$4:$EF$103,3,0))</f>
        <v>#N/A</v>
      </c>
      <c r="G1400" s="756" t="e">
        <f>IF($C$1400=0,NA(),VLOOKUP($I$1386&amp;$B$1400,FLNFIX!$BJ$4:$EF$103,5,0))</f>
        <v>#N/A</v>
      </c>
      <c r="H1400" s="757"/>
      <c r="I1400" s="757"/>
      <c r="J1400" s="758"/>
      <c r="K1400" s="677"/>
    </row>
    <row r="1401" ht="20.1" customHeight="1" spans="1:11">
      <c r="A1401" s="675"/>
      <c r="B1401" s="755">
        <f t="shared" si="25"/>
        <v>12</v>
      </c>
      <c r="C1401" s="755">
        <f>IFERROR(VLOOKUP(B1401,DATEWISE!$A$3:$BY$27,2,0),0)</f>
        <v>0</v>
      </c>
      <c r="D1401" s="755" t="e">
        <f>IF($C$1401=0,NA(),VLOOKUP($I$1386&amp;$B$1401,FLNFIX!$BO$4:$EF$103,2,0))</f>
        <v>#N/A</v>
      </c>
      <c r="E1401" s="755" t="e">
        <f>IF($C$1401=0,NA(),VLOOKUP($I$1386&amp;$B$1401,FLNFIX!$BO$4:$EF$103,4,0))</f>
        <v>#N/A</v>
      </c>
      <c r="F1401" s="755" t="e">
        <f>IF($C$1401=0,NA(),VLOOKUP($I$1386&amp;$B$1401,FLNFIX!$BO$4:$EF$103,3,0))</f>
        <v>#N/A</v>
      </c>
      <c r="G1401" s="756" t="e">
        <f>IF($C$1401=0,NA(),VLOOKUP($I$1386&amp;$B$1401,FLNFIX!$BO$4:$EF$103,5,0))</f>
        <v>#N/A</v>
      </c>
      <c r="H1401" s="757"/>
      <c r="I1401" s="757"/>
      <c r="J1401" s="758"/>
      <c r="K1401" s="677"/>
    </row>
    <row r="1402" ht="20.1" customHeight="1" spans="1:11">
      <c r="A1402" s="675"/>
      <c r="B1402" s="755">
        <f t="shared" si="25"/>
        <v>13</v>
      </c>
      <c r="C1402" s="755">
        <f>IFERROR(VLOOKUP(B1402,DATEWISE!$A$3:$BY$27,2,0),0)</f>
        <v>0</v>
      </c>
      <c r="D1402" s="755" t="e">
        <f>IF($C$1402=0,NA(),VLOOKUP($I$1386&amp;$B$1402,FLNFIX!$BT$4:$EF$103,2,0))</f>
        <v>#N/A</v>
      </c>
      <c r="E1402" s="755" t="e">
        <f>IF($C$1402=0,NA(),VLOOKUP($I$1386&amp;$B$1402,FLNFIX!$BT$4:$EF$103,4,0))</f>
        <v>#N/A</v>
      </c>
      <c r="F1402" s="755" t="e">
        <f>IF($C$1402=0,NA(),VLOOKUP($I$1386&amp;$B$1402,FLNFIX!$BT$4:$EF$103,3,0))</f>
        <v>#N/A</v>
      </c>
      <c r="G1402" s="756" t="e">
        <f>IF($C$1402=0,NA(),VLOOKUP($I$1386&amp;$B$1402,FLNFIX!$BT$4:$EF$103,5,0))</f>
        <v>#N/A</v>
      </c>
      <c r="H1402" s="757"/>
      <c r="I1402" s="757"/>
      <c r="J1402" s="758"/>
      <c r="K1402" s="677"/>
    </row>
    <row r="1403" ht="20.1" customHeight="1" spans="1:11">
      <c r="A1403" s="675"/>
      <c r="B1403" s="755">
        <f t="shared" si="25"/>
        <v>14</v>
      </c>
      <c r="C1403" s="755">
        <f>IFERROR(VLOOKUP(B1403,DATEWISE!$A$3:$BY$27,2,0),0)</f>
        <v>0</v>
      </c>
      <c r="D1403" s="755" t="e">
        <f>IF($C$1403=0,NA(),VLOOKUP($I$1386&amp;$B$1403,FLNFIX!$BY$4:$EF$103,2,0))</f>
        <v>#N/A</v>
      </c>
      <c r="E1403" s="755" t="e">
        <f>IF($C$1403=0,NA(),VLOOKUP($I$1386&amp;$B$1403,FLNFIX!$BY$4:$EF$103,4,0))</f>
        <v>#N/A</v>
      </c>
      <c r="F1403" s="755" t="e">
        <f>IF($C$1403=0,NA(),VLOOKUP($I$1386&amp;$B$1403,FLNFIX!$BY$4:$EF$103,3,0))</f>
        <v>#N/A</v>
      </c>
      <c r="G1403" s="756" t="e">
        <f>IF($C$1403=0,NA(),VLOOKUP($I$1386&amp;$B$1403,FLNFIX!$BY$4:$EF$103,5,0))</f>
        <v>#N/A</v>
      </c>
      <c r="H1403" s="757"/>
      <c r="I1403" s="757"/>
      <c r="J1403" s="758"/>
      <c r="K1403" s="677"/>
    </row>
    <row r="1404" ht="20.1" customHeight="1" spans="1:11">
      <c r="A1404" s="675"/>
      <c r="B1404" s="755">
        <f t="shared" si="25"/>
        <v>15</v>
      </c>
      <c r="C1404" s="755">
        <f>IFERROR(VLOOKUP(B1404,DATEWISE!$A$3:$BY$27,2,0),0)</f>
        <v>0</v>
      </c>
      <c r="D1404" s="755" t="e">
        <f>IF($C$1404=0,NA(),VLOOKUP($I$1386&amp;$B$1404,FLNFIX!$CD$4:$EF$103,2,0))</f>
        <v>#N/A</v>
      </c>
      <c r="E1404" s="755" t="e">
        <f>IF($C$1404=0,NA(),VLOOKUP($I$1386&amp;$B$1404,FLNFIX!$CD$4:$EF$103,4,0))</f>
        <v>#N/A</v>
      </c>
      <c r="F1404" s="755" t="e">
        <f>IF($C$1404=0,NA(),VLOOKUP($I$1386&amp;$B$1404,FLNFIX!$CD$4:$EF$103,3,0))</f>
        <v>#N/A</v>
      </c>
      <c r="G1404" s="756" t="e">
        <f>IF($C$1404=0,NA(),VLOOKUP($I$1386&amp;$B$1404,FLNFIX!$CD$4:$EF$103,5,0))</f>
        <v>#N/A</v>
      </c>
      <c r="H1404" s="757"/>
      <c r="I1404" s="757"/>
      <c r="J1404" s="758"/>
      <c r="K1404" s="677"/>
    </row>
    <row r="1405" ht="20.1" customHeight="1" spans="1:11">
      <c r="A1405" s="675"/>
      <c r="B1405" s="755">
        <f t="shared" si="25"/>
        <v>16</v>
      </c>
      <c r="C1405" s="755">
        <f>IFERROR(VLOOKUP(B1405,DATEWISE!$A$3:$BY$27,2,0),0)</f>
        <v>0</v>
      </c>
      <c r="D1405" s="755" t="e">
        <f>IF($C$1405=0,NA(),VLOOKUP($I$1386&amp;$B$1405,FLNFIX!$CI$4:$EF$103,2,0))</f>
        <v>#N/A</v>
      </c>
      <c r="E1405" s="755" t="e">
        <f>IF($C$1405=0,NA(),VLOOKUP($I$1386&amp;$B$1405,FLNFIX!$CI$4:$EF$103,4,0))</f>
        <v>#N/A</v>
      </c>
      <c r="F1405" s="755" t="e">
        <f>IF($C$1405=0,NA(),VLOOKUP($I$1386&amp;$B$1405,FLNFIX!$CI$4:$EF$103,3,0))</f>
        <v>#N/A</v>
      </c>
      <c r="G1405" s="756" t="e">
        <f>IF($C$1405=0,NA(),VLOOKUP($I$1386&amp;$B$1405,FLNFIX!$CI$4:$EF$103,5,0))</f>
        <v>#N/A</v>
      </c>
      <c r="H1405" s="757"/>
      <c r="I1405" s="757"/>
      <c r="J1405" s="758"/>
      <c r="K1405" s="677"/>
    </row>
    <row r="1406" ht="20.1" customHeight="1" spans="1:11">
      <c r="A1406" s="675"/>
      <c r="B1406" s="755">
        <f t="shared" si="25"/>
        <v>17</v>
      </c>
      <c r="C1406" s="755">
        <f>IFERROR(VLOOKUP(B1406,DATEWISE!$A$3:$BY$27,2,0),0)</f>
        <v>0</v>
      </c>
      <c r="D1406" s="755" t="e">
        <f>IF($C$1406=0,NA(),VLOOKUP($I$1386&amp;$B$1406,FLNFIX!$CN$4:$EF$103,2,0))</f>
        <v>#N/A</v>
      </c>
      <c r="E1406" s="755" t="e">
        <f>IF($C$1406=0,NA(),VLOOKUP($I$1386&amp;$B$1406,FLNFIX!$CN$4:$EF$103,4,0))</f>
        <v>#N/A</v>
      </c>
      <c r="F1406" s="755" t="e">
        <f>IF($C$1406=0,NA(),VLOOKUP($I$1386&amp;$B$1406,FLNFIX!$CN$4:$EF$103,3,0))</f>
        <v>#N/A</v>
      </c>
      <c r="G1406" s="756" t="e">
        <f>IF($C$1406=0,NA(),VLOOKUP($I$1386&amp;$B$1406,FLNFIX!$CN$4:$EF$103,5,0))</f>
        <v>#N/A</v>
      </c>
      <c r="H1406" s="757"/>
      <c r="I1406" s="757"/>
      <c r="J1406" s="758"/>
      <c r="K1406" s="677"/>
    </row>
    <row r="1407" ht="20.1" customHeight="1" spans="1:11">
      <c r="A1407" s="675"/>
      <c r="B1407" s="755">
        <f t="shared" si="25"/>
        <v>18</v>
      </c>
      <c r="C1407" s="755">
        <f>IFERROR(VLOOKUP(B1407,DATEWISE!$A$3:$BY$27,2,0),0)</f>
        <v>0</v>
      </c>
      <c r="D1407" s="755" t="e">
        <f>IF($C$1407=0,NA(),VLOOKUP($I$1386&amp;$B$1407,FLNFIX!$CS$4:$EF$103,2,0))</f>
        <v>#N/A</v>
      </c>
      <c r="E1407" s="755" t="e">
        <f>IF($C$1407=0,NA(),VLOOKUP($I$1386&amp;$B$1407,FLNFIX!$CS$4:$EF$103,4,0))</f>
        <v>#N/A</v>
      </c>
      <c r="F1407" s="755" t="e">
        <f>IF($C$1407=0,NA(),VLOOKUP($I$1386&amp;$B$1407,FLNFIX!$CS$4:$EF$103,3,0))</f>
        <v>#N/A</v>
      </c>
      <c r="G1407" s="756" t="e">
        <f>IF($C$1407=0,NA(),VLOOKUP($I$1386&amp;$B$1407,FLNFIX!$CS$4:$EF$103,5,0))</f>
        <v>#N/A</v>
      </c>
      <c r="H1407" s="757"/>
      <c r="I1407" s="757"/>
      <c r="J1407" s="758"/>
      <c r="K1407" s="677"/>
    </row>
    <row r="1408" ht="20.1" customHeight="1" spans="1:11">
      <c r="A1408" s="675"/>
      <c r="B1408" s="755">
        <f t="shared" si="25"/>
        <v>19</v>
      </c>
      <c r="C1408" s="755">
        <f>IFERROR(VLOOKUP(B1408,DATEWISE!$A$3:$BY$27,2,0),0)</f>
        <v>0</v>
      </c>
      <c r="D1408" s="755" t="e">
        <f>IF($C$1408=0,NA(),VLOOKUP($I$1386&amp;$B$1408,FLNFIX!$CX$4:$EF$103,2,0))</f>
        <v>#N/A</v>
      </c>
      <c r="E1408" s="755" t="e">
        <f>IF($C$1408=0,NA(),VLOOKUP($I$1386&amp;$B$1408,FLNFIX!$CX$4:$EF$103,4,0))</f>
        <v>#N/A</v>
      </c>
      <c r="F1408" s="755" t="e">
        <f>IF($C$1408=0,NA(),VLOOKUP($I$1386&amp;$B$1408,FLNFIX!$CX$4:$EF$103,3,0))</f>
        <v>#N/A</v>
      </c>
      <c r="G1408" s="756" t="e">
        <f>IF($C$1408=0,NA(),VLOOKUP($I$1386&amp;$B$1408,FLNFIX!$CX$4:$EF$103,5,0))</f>
        <v>#N/A</v>
      </c>
      <c r="H1408" s="757"/>
      <c r="I1408" s="757"/>
      <c r="J1408" s="758"/>
      <c r="K1408" s="677"/>
    </row>
    <row r="1409" ht="20.1" customHeight="1" spans="1:11">
      <c r="A1409" s="675"/>
      <c r="B1409" s="755">
        <f t="shared" si="25"/>
        <v>20</v>
      </c>
      <c r="C1409" s="755">
        <f>IFERROR(VLOOKUP(B1409,DATEWISE!$A$3:$BY$27,2,0),0)</f>
        <v>0</v>
      </c>
      <c r="D1409" s="755" t="e">
        <f>IF($C$1409=0,NA(),VLOOKUP($I$1386&amp;$B$1409,FLNFIX!$DC$4:$EF$103,2,0))</f>
        <v>#N/A</v>
      </c>
      <c r="E1409" s="755" t="e">
        <f>IF($C$1409=0,NA(),VLOOKUP($I$1386&amp;$B$1409,FLNFIX!$DC$4:$EF$103,4,0))</f>
        <v>#N/A</v>
      </c>
      <c r="F1409" s="755" t="e">
        <f>IF($C$1409=0,NA(),VLOOKUP($I$1386&amp;$B$1409,FLNFIX!$DC$4:$EF$103,3,0))</f>
        <v>#N/A</v>
      </c>
      <c r="G1409" s="756" t="e">
        <f>IF($C$1409=0,NA(),VLOOKUP($I$1386&amp;$B$1409,FLNFIX!$DC$4:$EF$103,5,0))</f>
        <v>#N/A</v>
      </c>
      <c r="H1409" s="757"/>
      <c r="I1409" s="757"/>
      <c r="J1409" s="758"/>
      <c r="K1409" s="677"/>
    </row>
    <row r="1410" ht="20.1" customHeight="1" spans="1:11">
      <c r="A1410" s="675"/>
      <c r="B1410" s="755">
        <f t="shared" si="25"/>
        <v>21</v>
      </c>
      <c r="C1410" s="755">
        <f>IFERROR(VLOOKUP(B1410,DATEWISE!$A$3:$BY$27,2,0),0)</f>
        <v>0</v>
      </c>
      <c r="D1410" s="755" t="e">
        <f>IF($C$1410=0,NA(),VLOOKUP($I$1386&amp;$B$1410,FLNFIX!$DH$4:$EF$103,2,0))</f>
        <v>#N/A</v>
      </c>
      <c r="E1410" s="755" t="e">
        <f>IF($C$1410=0,NA(),VLOOKUP($I$1386&amp;$B$1410,FLNFIX!$DH$4:$EF$103,4,0))</f>
        <v>#N/A</v>
      </c>
      <c r="F1410" s="755" t="e">
        <f>IF($C$1410=0,NA(),VLOOKUP($I$1386&amp;$B$1410,FLNFIX!$DH$4:$EF$103,3,0))</f>
        <v>#N/A</v>
      </c>
      <c r="G1410" s="756" t="e">
        <f>IF($C$1410=0,NA(),VLOOKUP($I$1386&amp;$B$1410,FLNFIX!$DH$4:$EF$103,5,0))</f>
        <v>#N/A</v>
      </c>
      <c r="H1410" s="757"/>
      <c r="I1410" s="757"/>
      <c r="J1410" s="758"/>
      <c r="K1410" s="677"/>
    </row>
    <row r="1411" ht="5.1" customHeight="1" spans="1:11">
      <c r="A1411" s="675"/>
      <c r="B1411" s="759"/>
      <c r="C1411" s="759"/>
      <c r="D1411" s="760"/>
      <c r="E1411" s="760"/>
      <c r="F1411" s="760"/>
      <c r="G1411" s="761"/>
      <c r="H1411" s="761"/>
      <c r="I1411" s="761"/>
      <c r="J1411" s="761"/>
      <c r="K1411" s="677"/>
    </row>
    <row r="1412" s="667" customFormat="1" ht="24.95" customHeight="1" spans="1:11">
      <c r="A1412" s="711"/>
      <c r="B1412" s="762" t="s">
        <v>431</v>
      </c>
      <c r="C1412" s="763"/>
      <c r="D1412" s="763"/>
      <c r="E1412" s="763"/>
      <c r="F1412" s="763"/>
      <c r="G1412" s="763"/>
      <c r="H1412" s="763"/>
      <c r="I1412" s="763"/>
      <c r="J1412" s="764"/>
      <c r="K1412" s="713"/>
    </row>
    <row r="1413" spans="1:11">
      <c r="A1413" s="675"/>
      <c r="B1413" s="765"/>
      <c r="C1413" s="686"/>
      <c r="D1413" s="686"/>
      <c r="E1413" s="686"/>
      <c r="F1413" s="686"/>
      <c r="G1413" s="686"/>
      <c r="H1413" s="686"/>
      <c r="I1413" s="686"/>
      <c r="J1413" s="766"/>
      <c r="K1413" s="677"/>
    </row>
    <row r="1414" spans="1:11">
      <c r="A1414" s="675"/>
      <c r="B1414" s="765"/>
      <c r="C1414" s="686"/>
      <c r="D1414" s="686"/>
      <c r="E1414" s="686"/>
      <c r="F1414" s="686"/>
      <c r="G1414" s="686"/>
      <c r="H1414" s="686"/>
      <c r="I1414" s="686"/>
      <c r="J1414" s="766"/>
      <c r="K1414" s="677"/>
    </row>
    <row r="1415" spans="1:11">
      <c r="A1415" s="675"/>
      <c r="B1415" s="765"/>
      <c r="C1415" s="686"/>
      <c r="D1415" s="686"/>
      <c r="E1415" s="686"/>
      <c r="F1415" s="686"/>
      <c r="G1415" s="686"/>
      <c r="H1415" s="686"/>
      <c r="I1415" s="686"/>
      <c r="J1415" s="766"/>
      <c r="K1415" s="677"/>
    </row>
    <row r="1416" spans="1:11">
      <c r="A1416" s="675"/>
      <c r="B1416" s="765"/>
      <c r="C1416" s="686"/>
      <c r="D1416" s="686"/>
      <c r="E1416" s="686"/>
      <c r="F1416" s="686"/>
      <c r="G1416" s="686"/>
      <c r="H1416" s="686"/>
      <c r="I1416" s="686"/>
      <c r="J1416" s="766"/>
      <c r="K1416" s="677"/>
    </row>
    <row r="1417" spans="1:11">
      <c r="A1417" s="675"/>
      <c r="B1417" s="765"/>
      <c r="C1417" s="686"/>
      <c r="D1417" s="686"/>
      <c r="E1417" s="686"/>
      <c r="F1417" s="686"/>
      <c r="G1417" s="686"/>
      <c r="H1417" s="686"/>
      <c r="I1417" s="686"/>
      <c r="J1417" s="766"/>
      <c r="K1417" s="677"/>
    </row>
    <row r="1418" spans="1:11">
      <c r="A1418" s="675"/>
      <c r="B1418" s="765"/>
      <c r="C1418" s="686"/>
      <c r="D1418" s="686"/>
      <c r="E1418" s="686"/>
      <c r="F1418" s="686"/>
      <c r="G1418" s="686"/>
      <c r="H1418" s="686"/>
      <c r="I1418" s="686"/>
      <c r="J1418" s="766"/>
      <c r="K1418" s="677"/>
    </row>
    <row r="1419" spans="1:11">
      <c r="A1419" s="675"/>
      <c r="B1419" s="765"/>
      <c r="C1419" s="686"/>
      <c r="D1419" s="686"/>
      <c r="E1419" s="686"/>
      <c r="F1419" s="686"/>
      <c r="G1419" s="686"/>
      <c r="H1419" s="686"/>
      <c r="I1419" s="686"/>
      <c r="J1419" s="766"/>
      <c r="K1419" s="677"/>
    </row>
    <row r="1420" spans="1:11">
      <c r="A1420" s="675"/>
      <c r="B1420" s="765"/>
      <c r="C1420" s="686"/>
      <c r="D1420" s="686"/>
      <c r="E1420" s="686"/>
      <c r="F1420" s="686"/>
      <c r="G1420" s="686"/>
      <c r="H1420" s="686"/>
      <c r="I1420" s="686"/>
      <c r="J1420" s="766"/>
      <c r="K1420" s="677"/>
    </row>
    <row r="1421" spans="1:11">
      <c r="A1421" s="675"/>
      <c r="B1421" s="765"/>
      <c r="C1421" s="686"/>
      <c r="D1421" s="686"/>
      <c r="E1421" s="686"/>
      <c r="F1421" s="686"/>
      <c r="G1421" s="686"/>
      <c r="H1421" s="686"/>
      <c r="I1421" s="686"/>
      <c r="J1421" s="766"/>
      <c r="K1421" s="677"/>
    </row>
    <row r="1422" spans="1:11">
      <c r="A1422" s="675"/>
      <c r="B1422" s="767"/>
      <c r="C1422" s="768"/>
      <c r="D1422" s="768"/>
      <c r="E1422" s="768"/>
      <c r="F1422" s="768"/>
      <c r="G1422" s="768"/>
      <c r="H1422" s="768"/>
      <c r="I1422" s="768"/>
      <c r="J1422" s="769"/>
      <c r="K1422" s="677"/>
    </row>
    <row r="1423" ht="5.1" customHeight="1" spans="1:11">
      <c r="A1423" s="675"/>
      <c r="B1423" s="686"/>
      <c r="C1423" s="686"/>
      <c r="D1423" s="686"/>
      <c r="E1423" s="686"/>
      <c r="F1423" s="686"/>
      <c r="G1423" s="686"/>
      <c r="H1423" s="686"/>
      <c r="I1423" s="686"/>
      <c r="J1423" s="686"/>
      <c r="K1423" s="677"/>
    </row>
    <row r="1424" spans="1:11">
      <c r="A1424" s="675"/>
      <c r="B1424" s="770" t="s">
        <v>432</v>
      </c>
      <c r="C1424" s="770"/>
      <c r="D1424" s="770"/>
      <c r="E1424" s="770"/>
      <c r="F1424" s="770"/>
      <c r="G1424" s="770"/>
      <c r="H1424" s="770"/>
      <c r="I1424" s="770"/>
      <c r="J1424" s="770"/>
      <c r="K1424" s="677"/>
    </row>
    <row r="1425" spans="1:11">
      <c r="A1425" s="675"/>
      <c r="B1425" s="771"/>
      <c r="C1425" s="771"/>
      <c r="D1425" s="771"/>
      <c r="E1425" s="771"/>
      <c r="F1425" s="771"/>
      <c r="G1425" s="771"/>
      <c r="H1425" s="771"/>
      <c r="I1425" s="771"/>
      <c r="J1425" s="771"/>
      <c r="K1425" s="677"/>
    </row>
    <row r="1426" spans="1:11">
      <c r="A1426" s="675"/>
      <c r="B1426" s="771"/>
      <c r="C1426" s="771"/>
      <c r="D1426" s="771"/>
      <c r="E1426" s="771"/>
      <c r="F1426" s="771"/>
      <c r="G1426" s="771"/>
      <c r="H1426" s="771"/>
      <c r="I1426" s="771"/>
      <c r="J1426" s="771"/>
      <c r="K1426" s="677"/>
    </row>
    <row r="1427" spans="1:11">
      <c r="A1427" s="675"/>
      <c r="B1427" s="771"/>
      <c r="C1427" s="771"/>
      <c r="D1427" s="771"/>
      <c r="E1427" s="771"/>
      <c r="F1427" s="771"/>
      <c r="G1427" s="771"/>
      <c r="H1427" s="771"/>
      <c r="I1427" s="771"/>
      <c r="J1427" s="771"/>
      <c r="K1427" s="677"/>
    </row>
    <row r="1428" spans="1:11">
      <c r="A1428" s="675"/>
      <c r="B1428" s="686"/>
      <c r="C1428" s="686"/>
      <c r="D1428" s="686"/>
      <c r="E1428" s="686"/>
      <c r="F1428" s="686"/>
      <c r="G1428" s="686"/>
      <c r="H1428" s="686"/>
      <c r="I1428" s="686"/>
      <c r="J1428" s="686"/>
      <c r="K1428" s="677"/>
    </row>
    <row r="1429" spans="1:11">
      <c r="A1429" s="675"/>
      <c r="B1429" s="686"/>
      <c r="C1429" s="729" t="s">
        <v>433</v>
      </c>
      <c r="D1429" s="729"/>
      <c r="E1429" s="686"/>
      <c r="F1429" s="686"/>
      <c r="G1429" s="729" t="s">
        <v>434</v>
      </c>
      <c r="H1429" s="729"/>
      <c r="I1429" s="729"/>
      <c r="J1429" s="729"/>
      <c r="K1429" s="677"/>
    </row>
    <row r="1430" ht="16.35" spans="1:11">
      <c r="A1430" s="725"/>
      <c r="B1430" s="726"/>
      <c r="C1430" s="732" t="str">
        <f>"("&amp;PROPER(ENTRY!$D$19)&amp;")"</f>
        <v>(Indrajeet)</v>
      </c>
      <c r="D1430" s="732"/>
      <c r="E1430" s="726"/>
      <c r="F1430" s="726"/>
      <c r="G1430" s="732" t="str">
        <f>"("&amp;PROPER(ENTRY!$D$12)&amp;")"</f>
        <v>(Shambhu Dayal Meena)</v>
      </c>
      <c r="H1430" s="732"/>
      <c r="I1430" s="732"/>
      <c r="J1430" s="732"/>
      <c r="K1430" s="728"/>
    </row>
    <row r="1431" ht="24.6" spans="1:11">
      <c r="B1431" s="734"/>
      <c r="C1431" s="734"/>
      <c r="D1431" s="669" t="str">
        <f>ENTRY!$D$3</f>
        <v>MUNICIPAL CORPORATION OF DELHI</v>
      </c>
      <c r="E1431" s="669"/>
      <c r="F1431" s="669"/>
      <c r="G1431" s="669"/>
      <c r="H1431" s="734"/>
      <c r="I1431" s="669"/>
      <c r="J1431" s="669"/>
    </row>
    <row r="1432" ht="20.4" spans="1:11">
      <c r="B1432" s="735"/>
      <c r="C1432" s="735"/>
      <c r="D1432" s="670" t="str">
        <f>ENTRY!$D$4</f>
        <v>EDUCATION DEPARTMENT</v>
      </c>
      <c r="E1432" s="670"/>
      <c r="F1432" s="670"/>
      <c r="G1432" s="670"/>
      <c r="H1432" s="735"/>
      <c r="I1432" s="669"/>
      <c r="J1432" s="669"/>
    </row>
    <row r="1433" ht="22.8" spans="1:11">
      <c r="B1433" s="736"/>
      <c r="C1433" s="736"/>
      <c r="D1433" s="664" t="s">
        <v>417</v>
      </c>
      <c r="E1433" s="664"/>
      <c r="F1433" s="664"/>
      <c r="G1433" s="664"/>
      <c r="H1433" s="736"/>
      <c r="I1433" s="669"/>
      <c r="J1433" s="669"/>
    </row>
    <row r="1434" ht="22.8" spans="1:11">
      <c r="B1434" s="736"/>
      <c r="C1434" s="736"/>
      <c r="D1434" s="664" t="s">
        <v>418</v>
      </c>
      <c r="E1434" s="664"/>
      <c r="F1434" s="664"/>
      <c r="G1434" s="664"/>
      <c r="H1434" s="736"/>
      <c r="I1434" s="669"/>
      <c r="J1434" s="669"/>
    </row>
    <row r="1435" ht="24.95" customHeight="1" spans="1:11">
      <c r="B1435" s="735"/>
      <c r="C1435" s="735"/>
      <c r="D1435" s="737" t="str">
        <f>"SESSION : "&amp;ENTRY!$D$11</f>
        <v>SESSION : 2026-27</v>
      </c>
      <c r="E1435" s="737"/>
      <c r="F1435" s="737"/>
      <c r="G1435" s="737"/>
      <c r="H1435" s="735"/>
      <c r="I1435" s="738"/>
      <c r="J1435" s="738"/>
    </row>
    <row r="1436" ht="3.75" customHeight="1" spans="1:11">
      <c r="A1436" s="672"/>
      <c r="B1436" s="739"/>
      <c r="C1436" s="739"/>
      <c r="D1436" s="739"/>
      <c r="E1436" s="739"/>
      <c r="F1436" s="739"/>
      <c r="G1436" s="739"/>
      <c r="H1436" s="739"/>
      <c r="I1436" s="739"/>
      <c r="J1436" s="739"/>
      <c r="K1436" s="674"/>
    </row>
    <row r="1437" ht="21.95" customHeight="1" spans="1:11">
      <c r="A1437" s="675"/>
      <c r="B1437" s="676" t="s">
        <v>419</v>
      </c>
      <c r="C1437" s="676"/>
      <c r="D1437" s="676" t="str">
        <f>ENTRY!$D$6</f>
        <v>MCP NITHARI NO 1 BOYS</v>
      </c>
      <c r="E1437" s="676"/>
      <c r="F1437" s="676"/>
      <c r="G1437" s="676"/>
      <c r="H1437" s="676"/>
      <c r="I1437" s="676"/>
      <c r="J1437" s="676"/>
      <c r="K1437" s="677"/>
    </row>
    <row r="1438" ht="21.95" customHeight="1" spans="1:11">
      <c r="A1438" s="675"/>
      <c r="B1438" s="676" t="s">
        <v>420</v>
      </c>
      <c r="C1438" s="676"/>
      <c r="D1438" s="740" t="str">
        <f>IFERROR(VLOOKUP($I$1441,STUDENT!$A$2:$BP$101,5,0),"")</f>
        <v>KARTIK</v>
      </c>
      <c r="E1438" s="740"/>
      <c r="F1438" s="740"/>
      <c r="G1438" s="740"/>
      <c r="H1438" s="740"/>
      <c r="I1438" s="740"/>
      <c r="J1438" s="740"/>
      <c r="K1438" s="677"/>
    </row>
    <row r="1439" ht="21.95" customHeight="1" spans="1:11">
      <c r="A1439" s="675"/>
      <c r="B1439" s="676" t="s">
        <v>421</v>
      </c>
      <c r="C1439" s="676"/>
      <c r="D1439" s="740" t="str">
        <f>IFERROR(VLOOKUP($I$1441,STUDENT!$A$2:$BP$101,8,0),"")</f>
        <v>SUNIL</v>
      </c>
      <c r="E1439" s="740"/>
      <c r="F1439" s="740"/>
      <c r="G1439" s="740"/>
      <c r="H1439" s="740"/>
      <c r="I1439" s="740"/>
      <c r="J1439" s="740"/>
      <c r="K1439" s="677"/>
    </row>
    <row r="1440" ht="21.95" customHeight="1" spans="1:11">
      <c r="A1440" s="675"/>
      <c r="B1440" s="676" t="s">
        <v>422</v>
      </c>
      <c r="C1440" s="676"/>
      <c r="D1440" s="740">
        <f>IFERROR(VLOOKUP($I$1441,STUDENT!$A$2:$BP$101,6,0),"")</f>
        <v>14976</v>
      </c>
      <c r="E1440" s="740"/>
      <c r="F1440" s="740"/>
      <c r="G1440" s="740"/>
      <c r="H1440" s="740"/>
      <c r="I1440" s="740"/>
      <c r="J1440" s="740"/>
      <c r="K1440" s="677"/>
    </row>
    <row r="1441" ht="21.95" customHeight="1" spans="1:11">
      <c r="A1441" s="675"/>
      <c r="B1441" s="676" t="s">
        <v>423</v>
      </c>
      <c r="C1441" s="676"/>
      <c r="D1441" s="741" t="str">
        <f>IFERROR(VLOOKUP($I$1441,STUDENT!$A$2:$BP$101,59,0),"")</f>
        <v/>
      </c>
      <c r="E1441" s="742" t="s">
        <v>424</v>
      </c>
      <c r="F1441" s="704" t="str">
        <f>IFERROR(VLOOKUP($I$1441,STUDENT!$A$2:$BP$101,2,0),"")</f>
        <v>III-A</v>
      </c>
      <c r="G1441" s="742" t="s">
        <v>425</v>
      </c>
      <c r="H1441" s="743"/>
      <c r="I1441" s="733">
        <f>I1386+1</f>
        <v>27</v>
      </c>
      <c r="J1441" s="683"/>
      <c r="K1441" s="677"/>
    </row>
    <row r="1442" ht="5.1" customHeight="1" spans="1:11">
      <c r="A1442" s="675"/>
      <c r="B1442" s="745"/>
      <c r="C1442" s="745"/>
      <c r="D1442" s="746"/>
      <c r="E1442" s="747"/>
      <c r="F1442" s="748"/>
      <c r="G1442" s="747"/>
      <c r="H1442" s="686"/>
      <c r="I1442" s="686"/>
      <c r="J1442" s="686"/>
      <c r="K1442" s="677"/>
    </row>
    <row r="1443" s="664" customFormat="1" ht="32.1" customHeight="1" spans="1:11">
      <c r="A1443" s="688"/>
      <c r="B1443" s="749" t="s">
        <v>426</v>
      </c>
      <c r="C1443" s="750"/>
      <c r="D1443" s="750"/>
      <c r="E1443" s="750"/>
      <c r="F1443" s="750"/>
      <c r="G1443" s="750"/>
      <c r="H1443" s="750"/>
      <c r="I1443" s="750"/>
      <c r="J1443" s="751"/>
      <c r="K1443" s="690"/>
    </row>
    <row r="1444" ht="51.6" spans="1:11">
      <c r="A1444" s="675"/>
      <c r="B1444" s="752">
        <v>21</v>
      </c>
      <c r="C1444" s="753" t="s">
        <v>427</v>
      </c>
      <c r="D1444" s="754" t="s">
        <v>428</v>
      </c>
      <c r="E1444" s="754" t="s">
        <v>429</v>
      </c>
      <c r="F1444" s="754" t="s">
        <v>430</v>
      </c>
      <c r="G1444" s="753" t="s">
        <v>390</v>
      </c>
      <c r="H1444" s="714"/>
      <c r="I1444" s="714"/>
      <c r="J1444" s="714"/>
      <c r="K1444" s="677"/>
    </row>
    <row r="1445" ht="20.1" customHeight="1" spans="1:11">
      <c r="A1445" s="675"/>
      <c r="B1445" s="755">
        <v>1</v>
      </c>
      <c r="C1445" s="755" t="str">
        <f>IFERROR(VLOOKUP(B1445,DATEWISE!$A$3:$BY$27,2,0),0)</f>
        <v>30.04.2026</v>
      </c>
      <c r="D1445" s="755">
        <f>IF($C$1445=0,NA(),VLOOKUP($I$1441&amp;$B$1445,FLNFIX!$L$4:$EF$103,2,0))</f>
        <v>2</v>
      </c>
      <c r="E1445" s="755">
        <f>IF($C$1445=0,NA(),VLOOKUP($I$1441&amp;$B$1445,FLNFIX!$L$4:$EF$103,4,0))</f>
        <v>3</v>
      </c>
      <c r="F1445" s="755">
        <f>IF($C$1445=0,NA(),VLOOKUP($I$1441&amp;$B$1445,FLNFIX!$L$4:$EF$103,3,0))</f>
        <v>2</v>
      </c>
      <c r="G1445" s="756">
        <f>IF($C$1445=0,NA(),VLOOKUP($I$1441&amp;$B$1445,FLNFIX!$L$4:$EF$103,5,0))</f>
        <v>0</v>
      </c>
      <c r="H1445" s="757"/>
      <c r="I1445" s="757"/>
      <c r="J1445" s="758"/>
      <c r="K1445" s="677"/>
    </row>
    <row r="1446" ht="20.1" customHeight="1" spans="1:11">
      <c r="A1446" s="675"/>
      <c r="B1446" s="755">
        <f t="shared" ref="B1446:B1465" si="26">IF(B1445=0,0,IF(B1445&lt;$B$1444,B1445+1,""))</f>
        <v>2</v>
      </c>
      <c r="C1446" s="755" t="str">
        <f>IFERROR(VLOOKUP(B1446,DATEWISE!$A$3:$BY$27,2,0),0)</f>
        <v>08.05.2026</v>
      </c>
      <c r="D1446" s="755">
        <f>IF($C$1446=0,NA(),VLOOKUP($I$1441&amp;$B$1446,FLNFIX!$Q$4:$EF$103,2,0))</f>
        <v>2</v>
      </c>
      <c r="E1446" s="755">
        <f>IF($C$1446=0,NA(),VLOOKUP($I$1441&amp;$B$1446,FLNFIX!$Q$4:$EF$103,4,0))</f>
        <v>3</v>
      </c>
      <c r="F1446" s="755">
        <f>IF($C$1446=0,NA(),VLOOKUP($I$1441&amp;$B$1446,FLNFIX!$Q$4:$EF$103,3,0))</f>
        <v>2</v>
      </c>
      <c r="G1446" s="756">
        <f>IF($C$1446=0,NA(),VLOOKUP($I$1441&amp;$B$1446,FLNFIX!$Q$4:$EF$103,5,0))</f>
        <v>0</v>
      </c>
      <c r="H1446" s="757"/>
      <c r="I1446" s="757"/>
      <c r="J1446" s="758"/>
      <c r="K1446" s="677"/>
    </row>
    <row r="1447" ht="20.1" customHeight="1" spans="1:11">
      <c r="A1447" s="675"/>
      <c r="B1447" s="755">
        <f t="shared" si="26"/>
        <v>3</v>
      </c>
      <c r="C1447" s="755" t="str">
        <f>IFERROR(VLOOKUP(B1447,DATEWISE!$A$3:$BY$27,2,0),0)</f>
        <v>15.07.2026</v>
      </c>
      <c r="D1447" s="755">
        <f>IF($C$1447=0,NA(),VLOOKUP($I$1441&amp;$B$1447,FLNFIX!$V$4:$EF$103,2,0))</f>
        <v>2</v>
      </c>
      <c r="E1447" s="755">
        <f>IF($C$1447=0,NA(),VLOOKUP($I$1441&amp;$B$1447,FLNFIX!$V$4:$EF$103,4,0))</f>
        <v>3</v>
      </c>
      <c r="F1447" s="755">
        <f>IF($C$1447=0,NA(),VLOOKUP($I$1441&amp;$B$1447,FLNFIX!$V$4:$EF$103,3,0))</f>
        <v>2</v>
      </c>
      <c r="G1447" s="756">
        <f>IF($C$1447=0,NA(),VLOOKUP($I$1441&amp;$B$1447,FLNFIX!$V$4:$EF$103,5,0))</f>
        <v>0</v>
      </c>
      <c r="H1447" s="757"/>
      <c r="I1447" s="757"/>
      <c r="J1447" s="758"/>
      <c r="K1447" s="677"/>
    </row>
    <row r="1448" ht="20.1" customHeight="1" spans="1:11">
      <c r="A1448" s="675"/>
      <c r="B1448" s="755">
        <f t="shared" si="26"/>
        <v>4</v>
      </c>
      <c r="C1448" s="755" t="str">
        <f>IFERROR(VLOOKUP(B1448,DATEWISE!$A$3:$BY$27,2,0),0)</f>
        <v>31.07.2026</v>
      </c>
      <c r="D1448" s="755">
        <f>IF($C$1448=0,NA(),VLOOKUP($I$1441&amp;$B$1448,FLNFIX!$AA$4:$EF$103,2,0))</f>
        <v>2</v>
      </c>
      <c r="E1448" s="755">
        <f>IF($C$1448=0,NA(),VLOOKUP($I$1441&amp;$B$1448,FLNFIX!$AA$4:$EF$103,4,0))</f>
        <v>3</v>
      </c>
      <c r="F1448" s="755">
        <f>IF($C$1448=0,NA(),VLOOKUP($I$1441&amp;$B$1448,FLNFIX!$AA$4:$EF$103,3,0))</f>
        <v>2</v>
      </c>
      <c r="G1448" s="756">
        <f>IF($C$1448=0,NA(),VLOOKUP($I$1441&amp;$B$1448,FLNFIX!$AA$4:$EF$103,5,0))</f>
        <v>0</v>
      </c>
      <c r="H1448" s="757"/>
      <c r="I1448" s="757"/>
      <c r="J1448" s="758"/>
      <c r="K1448" s="677"/>
    </row>
    <row r="1449" ht="20.1" customHeight="1" spans="1:11">
      <c r="A1449" s="675"/>
      <c r="B1449" s="755">
        <f t="shared" si="26"/>
        <v>5</v>
      </c>
      <c r="C1449" s="755" t="str">
        <f>IFERROR(VLOOKUP(B1449,DATEWISE!$A$3:$BY$27,2,0),0)</f>
        <v>17.08.2026</v>
      </c>
      <c r="D1449" s="755">
        <f>IF($C$1449=0,NA(),VLOOKUP($I$1441&amp;$B$1449,FLNFIX!$AF$4:$EF$103,2,0))</f>
        <v>2</v>
      </c>
      <c r="E1449" s="755">
        <f>IF($C$1449=0,NA(),VLOOKUP($I$1441&amp;$B$1449,FLNFIX!$AF$4:$EF$103,4,0))</f>
        <v>3</v>
      </c>
      <c r="F1449" s="755">
        <f>IF($C$1449=0,NA(),VLOOKUP($I$1441&amp;$B$1449,FLNFIX!$AF$4:$EF$103,3,0))</f>
        <v>2</v>
      </c>
      <c r="G1449" s="756">
        <f>IF($C$1449=0,NA(),VLOOKUP($I$1441&amp;$B$1449,FLNFIX!$AF$4:$EF$103,5,0))</f>
        <v>0</v>
      </c>
      <c r="H1449" s="757"/>
      <c r="I1449" s="757"/>
      <c r="J1449" s="758"/>
      <c r="K1449" s="677"/>
    </row>
    <row r="1450" ht="20.1" customHeight="1" spans="1:11">
      <c r="A1450" s="675"/>
      <c r="B1450" s="755">
        <f t="shared" si="26"/>
        <v>6</v>
      </c>
      <c r="C1450" s="755" t="str">
        <f>IFERROR(VLOOKUP(B1450,DATEWISE!$A$3:$BY$27,2,0),0)</f>
        <v>31.08.2026</v>
      </c>
      <c r="D1450" s="755">
        <f>IF($C$1450=0,NA(),VLOOKUP($I$1441&amp;$B$1450,FLNFIX!$AK$4:$EF$103,2,0))</f>
        <v>3</v>
      </c>
      <c r="E1450" s="755">
        <f>IF($C$1450=0,NA(),VLOOKUP($I$1441&amp;$B$1450,FLNFIX!$AK$4:$EF$103,4,0))</f>
        <v>3</v>
      </c>
      <c r="F1450" s="755">
        <f>IF($C$1450=0,NA(),VLOOKUP($I$1441&amp;$B$1450,FLNFIX!$AK$4:$EF$103,3,0))</f>
        <v>2</v>
      </c>
      <c r="G1450" s="756">
        <f>IF($C$1450=0,NA(),VLOOKUP($I$1441&amp;$B$1450,FLNFIX!$AK$4:$EF$103,5,0))</f>
        <v>0</v>
      </c>
      <c r="H1450" s="757"/>
      <c r="I1450" s="757"/>
      <c r="J1450" s="758"/>
      <c r="K1450" s="677"/>
    </row>
    <row r="1451" ht="20.1" customHeight="1" spans="1:11">
      <c r="A1451" s="675"/>
      <c r="B1451" s="755">
        <f t="shared" si="26"/>
        <v>7</v>
      </c>
      <c r="C1451" s="755">
        <f>IFERROR(VLOOKUP(B1451,DATEWISE!$A$3:$BY$27,2,0),0)</f>
        <v>0</v>
      </c>
      <c r="D1451" s="755" t="e">
        <f>IF($C$1451=0,NA(),VLOOKUP($I$1441&amp;$B$1451,FLNFIX!$AP$4:$EF$103,2,0))</f>
        <v>#N/A</v>
      </c>
      <c r="E1451" s="755" t="e">
        <f>IF($C$1451=0,NA(),VLOOKUP($I$1441&amp;$B$1451,FLNFIX!$AP$4:$EF$103,4,0))</f>
        <v>#N/A</v>
      </c>
      <c r="F1451" s="755" t="e">
        <f>IF($C$1451=0,NA(),VLOOKUP($I$1441&amp;$B$1451,FLNFIX!$AP$4:$EF$103,3,0))</f>
        <v>#N/A</v>
      </c>
      <c r="G1451" s="756" t="e">
        <f>IF($C$1451=0,NA(),VLOOKUP($I$1441&amp;$B$1451,FLNFIX!$AP$4:$EF$103,5,0))</f>
        <v>#N/A</v>
      </c>
      <c r="H1451" s="757"/>
      <c r="I1451" s="757"/>
      <c r="J1451" s="758"/>
      <c r="K1451" s="677"/>
    </row>
    <row r="1452" ht="20.1" customHeight="1" spans="1:11">
      <c r="A1452" s="675"/>
      <c r="B1452" s="755">
        <f t="shared" si="26"/>
        <v>8</v>
      </c>
      <c r="C1452" s="755">
        <f>IFERROR(VLOOKUP(B1452,DATEWISE!$A$3:$BY$27,2,0),0)</f>
        <v>0</v>
      </c>
      <c r="D1452" s="755" t="e">
        <f>IF($C$1452=0,NA(),VLOOKUP($I$1441&amp;$B$1452,FLNFIX!$AU$4:$EF$103,2,0))</f>
        <v>#N/A</v>
      </c>
      <c r="E1452" s="755" t="e">
        <f>IF($C$1452=0,NA(),VLOOKUP($I$1441&amp;$B$1452,FLNFIX!$AU$4:$EF$103,4,0))</f>
        <v>#N/A</v>
      </c>
      <c r="F1452" s="755" t="e">
        <f>IF($C$1452=0,NA(),VLOOKUP($I$1441&amp;$B$1452,FLNFIX!$AU$4:$EF$103,3,0))</f>
        <v>#N/A</v>
      </c>
      <c r="G1452" s="756" t="e">
        <f>IF($C$1452=0,NA(),VLOOKUP($I$1441&amp;$B$1452,FLNFIX!$AU$4:$EF$103,5,0))</f>
        <v>#N/A</v>
      </c>
      <c r="H1452" s="757"/>
      <c r="I1452" s="757"/>
      <c r="J1452" s="758"/>
      <c r="K1452" s="677"/>
    </row>
    <row r="1453" ht="20.1" customHeight="1" spans="1:11">
      <c r="A1453" s="675"/>
      <c r="B1453" s="755">
        <f t="shared" si="26"/>
        <v>9</v>
      </c>
      <c r="C1453" s="755">
        <f>IFERROR(VLOOKUP(B1453,DATEWISE!$A$3:$BY$27,2,0),0)</f>
        <v>0</v>
      </c>
      <c r="D1453" s="755" t="e">
        <f>IF($C$1453=0,NA(),VLOOKUP($I$1441&amp;$B$1453,FLNFIX!$AZ$4:$EF$103,2,0))</f>
        <v>#N/A</v>
      </c>
      <c r="E1453" s="755" t="e">
        <f>IF($C$1453=0,NA(),VLOOKUP($I$1441&amp;$B$1453,FLNFIX!$AZ$4:$EF$103,4,0))</f>
        <v>#N/A</v>
      </c>
      <c r="F1453" s="755" t="e">
        <f>IF($C$1453=0,NA(),VLOOKUP($I$1441&amp;$B$1453,FLNFIX!$AZ$4:$EF$103,3,0))</f>
        <v>#N/A</v>
      </c>
      <c r="G1453" s="756" t="e">
        <f>IF($C$1453=0,NA(),VLOOKUP($I$1441&amp;$B$1453,FLNFIX!$AZ$4:$EF$103,5,0))</f>
        <v>#N/A</v>
      </c>
      <c r="H1453" s="757"/>
      <c r="I1453" s="757"/>
      <c r="J1453" s="758"/>
      <c r="K1453" s="677"/>
    </row>
    <row r="1454" ht="20.1" customHeight="1" spans="1:11">
      <c r="A1454" s="675"/>
      <c r="B1454" s="755">
        <f t="shared" si="26"/>
        <v>10</v>
      </c>
      <c r="C1454" s="755">
        <f>IFERROR(VLOOKUP(B1454,DATEWISE!$A$3:$BY$27,2,0),0)</f>
        <v>0</v>
      </c>
      <c r="D1454" s="755" t="e">
        <f>IF($C$1454=0,NA(),VLOOKUP($I$1441&amp;$B$1454,FLNFIX!$BE$4:$EF$103,2,0))</f>
        <v>#N/A</v>
      </c>
      <c r="E1454" s="755" t="e">
        <f>IF($C$1454=0,NA(),VLOOKUP($I$1441&amp;$B$1454,FLNFIX!$BE$4:$EF$103,4,0))</f>
        <v>#N/A</v>
      </c>
      <c r="F1454" s="755" t="e">
        <f>IF($C$1454=0,NA(),VLOOKUP($I$1441&amp;$B$1454,FLNFIX!$BE$4:$EF$103,3,0))</f>
        <v>#N/A</v>
      </c>
      <c r="G1454" s="756" t="e">
        <f>IF($C$1454=0,NA(),VLOOKUP($I$1441&amp;$B$1454,FLNFIX!$BE$4:$EF$103,5,0))</f>
        <v>#N/A</v>
      </c>
      <c r="H1454" s="757"/>
      <c r="I1454" s="757"/>
      <c r="J1454" s="758"/>
      <c r="K1454" s="677"/>
    </row>
    <row r="1455" ht="20.1" customHeight="1" spans="1:11">
      <c r="A1455" s="675"/>
      <c r="B1455" s="755">
        <f t="shared" si="26"/>
        <v>11</v>
      </c>
      <c r="C1455" s="755">
        <f>IFERROR(VLOOKUP(B1455,DATEWISE!$A$3:$BY$27,2,0),0)</f>
        <v>0</v>
      </c>
      <c r="D1455" s="755" t="e">
        <f>IF($C$1455=0,NA(),VLOOKUP($I$1441&amp;$B$1455,FLNFIX!$BJ$4:$EF$103,2,0))</f>
        <v>#N/A</v>
      </c>
      <c r="E1455" s="755" t="e">
        <f>IF($C$1455=0,NA(),VLOOKUP($I$1441&amp;$B$1455,FLNFIX!$BJ$4:$EF$103,4,0))</f>
        <v>#N/A</v>
      </c>
      <c r="F1455" s="755" t="e">
        <f>IF($C$1455=0,NA(),VLOOKUP($I$1441&amp;$B$1455,FLNFIX!$BJ$4:$EF$103,3,0))</f>
        <v>#N/A</v>
      </c>
      <c r="G1455" s="756" t="e">
        <f>IF($C$1455=0,NA(),VLOOKUP($I$1441&amp;$B$1455,FLNFIX!$BJ$4:$EF$103,5,0))</f>
        <v>#N/A</v>
      </c>
      <c r="H1455" s="757"/>
      <c r="I1455" s="757"/>
      <c r="J1455" s="758"/>
      <c r="K1455" s="677"/>
    </row>
    <row r="1456" ht="20.1" customHeight="1" spans="1:11">
      <c r="A1456" s="675"/>
      <c r="B1456" s="755">
        <f t="shared" si="26"/>
        <v>12</v>
      </c>
      <c r="C1456" s="755">
        <f>IFERROR(VLOOKUP(B1456,DATEWISE!$A$3:$BY$27,2,0),0)</f>
        <v>0</v>
      </c>
      <c r="D1456" s="755" t="e">
        <f>IF($C$1456=0,NA(),VLOOKUP($I$1441&amp;$B$1456,FLNFIX!$BO$4:$EF$103,2,0))</f>
        <v>#N/A</v>
      </c>
      <c r="E1456" s="755" t="e">
        <f>IF($C$1456=0,NA(),VLOOKUP($I$1441&amp;$B$1456,FLNFIX!$BO$4:$EF$103,4,0))</f>
        <v>#N/A</v>
      </c>
      <c r="F1456" s="755" t="e">
        <f>IF($C$1456=0,NA(),VLOOKUP($I$1441&amp;$B$1456,FLNFIX!$BO$4:$EF$103,3,0))</f>
        <v>#N/A</v>
      </c>
      <c r="G1456" s="756" t="e">
        <f>IF($C$1456=0,NA(),VLOOKUP($I$1441&amp;$B$1456,FLNFIX!$BO$4:$EF$103,5,0))</f>
        <v>#N/A</v>
      </c>
      <c r="H1456" s="757"/>
      <c r="I1456" s="757"/>
      <c r="J1456" s="758"/>
      <c r="K1456" s="677"/>
    </row>
    <row r="1457" ht="20.1" customHeight="1" spans="1:11">
      <c r="A1457" s="675"/>
      <c r="B1457" s="755">
        <f t="shared" si="26"/>
        <v>13</v>
      </c>
      <c r="C1457" s="755">
        <f>IFERROR(VLOOKUP(B1457,DATEWISE!$A$3:$BY$27,2,0),0)</f>
        <v>0</v>
      </c>
      <c r="D1457" s="755" t="e">
        <f>IF($C$1457=0,NA(),VLOOKUP($I$1441&amp;$B$1457,FLNFIX!$BT$4:$EF$103,2,0))</f>
        <v>#N/A</v>
      </c>
      <c r="E1457" s="755" t="e">
        <f>IF($C$1457=0,NA(),VLOOKUP($I$1441&amp;$B$1457,FLNFIX!$BT$4:$EF$103,4,0))</f>
        <v>#N/A</v>
      </c>
      <c r="F1457" s="755" t="e">
        <f>IF($C$1457=0,NA(),VLOOKUP($I$1441&amp;$B$1457,FLNFIX!$BT$4:$EF$103,3,0))</f>
        <v>#N/A</v>
      </c>
      <c r="G1457" s="756" t="e">
        <f>IF($C$1457=0,NA(),VLOOKUP($I$1441&amp;$B$1457,FLNFIX!$BT$4:$EF$103,5,0))</f>
        <v>#N/A</v>
      </c>
      <c r="H1457" s="757"/>
      <c r="I1457" s="757"/>
      <c r="J1457" s="758"/>
      <c r="K1457" s="677"/>
    </row>
    <row r="1458" ht="20.1" customHeight="1" spans="1:11">
      <c r="A1458" s="675"/>
      <c r="B1458" s="755">
        <f t="shared" si="26"/>
        <v>14</v>
      </c>
      <c r="C1458" s="755">
        <f>IFERROR(VLOOKUP(B1458,DATEWISE!$A$3:$BY$27,2,0),0)</f>
        <v>0</v>
      </c>
      <c r="D1458" s="755" t="e">
        <f>IF($C$1458=0,NA(),VLOOKUP($I$1441&amp;$B$1458,FLNFIX!$BY$4:$EF$103,2,0))</f>
        <v>#N/A</v>
      </c>
      <c r="E1458" s="755" t="e">
        <f>IF($C$1458=0,NA(),VLOOKUP($I$1441&amp;$B$1458,FLNFIX!$BY$4:$EF$103,4,0))</f>
        <v>#N/A</v>
      </c>
      <c r="F1458" s="755" t="e">
        <f>IF($C$1458=0,NA(),VLOOKUP($I$1441&amp;$B$1458,FLNFIX!$BY$4:$EF$103,3,0))</f>
        <v>#N/A</v>
      </c>
      <c r="G1458" s="756" t="e">
        <f>IF($C$1458=0,NA(),VLOOKUP($I$1441&amp;$B$1458,FLNFIX!$BY$4:$EF$103,5,0))</f>
        <v>#N/A</v>
      </c>
      <c r="H1458" s="757"/>
      <c r="I1458" s="757"/>
      <c r="J1458" s="758"/>
      <c r="K1458" s="677"/>
    </row>
    <row r="1459" ht="20.1" customHeight="1" spans="1:11">
      <c r="A1459" s="675"/>
      <c r="B1459" s="755">
        <f t="shared" si="26"/>
        <v>15</v>
      </c>
      <c r="C1459" s="755">
        <f>IFERROR(VLOOKUP(B1459,DATEWISE!$A$3:$BY$27,2,0),0)</f>
        <v>0</v>
      </c>
      <c r="D1459" s="755" t="e">
        <f>IF($C$1459=0,NA(),VLOOKUP($I$1441&amp;$B$1459,FLNFIX!$CD$4:$EF$103,2,0))</f>
        <v>#N/A</v>
      </c>
      <c r="E1459" s="755" t="e">
        <f>IF($C$1459=0,NA(),VLOOKUP($I$1441&amp;$B$1459,FLNFIX!$CD$4:$EF$103,4,0))</f>
        <v>#N/A</v>
      </c>
      <c r="F1459" s="755" t="e">
        <f>IF($C$1459=0,NA(),VLOOKUP($I$1441&amp;$B$1459,FLNFIX!$CD$4:$EF$103,3,0))</f>
        <v>#N/A</v>
      </c>
      <c r="G1459" s="756" t="e">
        <f>IF($C$1459=0,NA(),VLOOKUP($I$1441&amp;$B$1459,FLNFIX!$CD$4:$EF$103,5,0))</f>
        <v>#N/A</v>
      </c>
      <c r="H1459" s="757"/>
      <c r="I1459" s="757"/>
      <c r="J1459" s="758"/>
      <c r="K1459" s="677"/>
    </row>
    <row r="1460" ht="20.1" customHeight="1" spans="1:11">
      <c r="A1460" s="675"/>
      <c r="B1460" s="755">
        <f t="shared" si="26"/>
        <v>16</v>
      </c>
      <c r="C1460" s="755">
        <f>IFERROR(VLOOKUP(B1460,DATEWISE!$A$3:$BY$27,2,0),0)</f>
        <v>0</v>
      </c>
      <c r="D1460" s="755" t="e">
        <f>IF($C$1460=0,NA(),VLOOKUP($I$1441&amp;$B$1460,FLNFIX!$CI$4:$EF$103,2,0))</f>
        <v>#N/A</v>
      </c>
      <c r="E1460" s="755" t="e">
        <f>IF($C$1460=0,NA(),VLOOKUP($I$1441&amp;$B$1460,FLNFIX!$CI$4:$EF$103,4,0))</f>
        <v>#N/A</v>
      </c>
      <c r="F1460" s="755" t="e">
        <f>IF($C$1460=0,NA(),VLOOKUP($I$1441&amp;$B$1460,FLNFIX!$CI$4:$EF$103,3,0))</f>
        <v>#N/A</v>
      </c>
      <c r="G1460" s="756" t="e">
        <f>IF($C$1460=0,NA(),VLOOKUP($I$1441&amp;$B$1460,FLNFIX!$CI$4:$EF$103,5,0))</f>
        <v>#N/A</v>
      </c>
      <c r="H1460" s="757"/>
      <c r="I1460" s="757"/>
      <c r="J1460" s="758"/>
      <c r="K1460" s="677"/>
    </row>
    <row r="1461" ht="20.1" customHeight="1" spans="1:11">
      <c r="A1461" s="675"/>
      <c r="B1461" s="755">
        <f t="shared" si="26"/>
        <v>17</v>
      </c>
      <c r="C1461" s="755">
        <f>IFERROR(VLOOKUP(B1461,DATEWISE!$A$3:$BY$27,2,0),0)</f>
        <v>0</v>
      </c>
      <c r="D1461" s="755" t="e">
        <f>IF($C$1461=0,NA(),VLOOKUP($I$1441&amp;$B$1461,FLNFIX!$CN$4:$EF$103,2,0))</f>
        <v>#N/A</v>
      </c>
      <c r="E1461" s="755" t="e">
        <f>IF($C$1461=0,NA(),VLOOKUP($I$1441&amp;$B$1461,FLNFIX!$CN$4:$EF$103,4,0))</f>
        <v>#N/A</v>
      </c>
      <c r="F1461" s="755" t="e">
        <f>IF($C$1461=0,NA(),VLOOKUP($I$1441&amp;$B$1461,FLNFIX!$CN$4:$EF$103,3,0))</f>
        <v>#N/A</v>
      </c>
      <c r="G1461" s="756" t="e">
        <f>IF($C$1461=0,NA(),VLOOKUP($I$1441&amp;$B$1461,FLNFIX!$CN$4:$EF$103,5,0))</f>
        <v>#N/A</v>
      </c>
      <c r="H1461" s="757"/>
      <c r="I1461" s="757"/>
      <c r="J1461" s="758"/>
      <c r="K1461" s="677"/>
    </row>
    <row r="1462" ht="20.1" customHeight="1" spans="1:11">
      <c r="A1462" s="675"/>
      <c r="B1462" s="755">
        <f t="shared" si="26"/>
        <v>18</v>
      </c>
      <c r="C1462" s="755">
        <f>IFERROR(VLOOKUP(B1462,DATEWISE!$A$3:$BY$27,2,0),0)</f>
        <v>0</v>
      </c>
      <c r="D1462" s="755" t="e">
        <f>IF($C$1462=0,NA(),VLOOKUP($I$1441&amp;$B$1462,FLNFIX!$CS$4:$EF$103,2,0))</f>
        <v>#N/A</v>
      </c>
      <c r="E1462" s="755" t="e">
        <f>IF($C$1462=0,NA(),VLOOKUP($I$1441&amp;$B$1462,FLNFIX!$CS$4:$EF$103,4,0))</f>
        <v>#N/A</v>
      </c>
      <c r="F1462" s="755" t="e">
        <f>IF($C$1462=0,NA(),VLOOKUP($I$1441&amp;$B$1462,FLNFIX!$CS$4:$EF$103,3,0))</f>
        <v>#N/A</v>
      </c>
      <c r="G1462" s="756" t="e">
        <f>IF($C$1462=0,NA(),VLOOKUP($I$1441&amp;$B$1462,FLNFIX!$CS$4:$EF$103,5,0))</f>
        <v>#N/A</v>
      </c>
      <c r="H1462" s="757"/>
      <c r="I1462" s="757"/>
      <c r="J1462" s="758"/>
      <c r="K1462" s="677"/>
    </row>
    <row r="1463" ht="20.1" customHeight="1" spans="1:11">
      <c r="A1463" s="675"/>
      <c r="B1463" s="755">
        <f t="shared" si="26"/>
        <v>19</v>
      </c>
      <c r="C1463" s="755">
        <f>IFERROR(VLOOKUP(B1463,DATEWISE!$A$3:$BY$27,2,0),0)</f>
        <v>0</v>
      </c>
      <c r="D1463" s="755" t="e">
        <f>IF($C$1463=0,NA(),VLOOKUP($I$1441&amp;$B$1463,FLNFIX!$CX$4:$EF$103,2,0))</f>
        <v>#N/A</v>
      </c>
      <c r="E1463" s="755" t="e">
        <f>IF($C$1463=0,NA(),VLOOKUP($I$1441&amp;$B$1463,FLNFIX!$CX$4:$EF$103,4,0))</f>
        <v>#N/A</v>
      </c>
      <c r="F1463" s="755" t="e">
        <f>IF($C$1463=0,NA(),VLOOKUP($I$1441&amp;$B$1463,FLNFIX!$CX$4:$EF$103,3,0))</f>
        <v>#N/A</v>
      </c>
      <c r="G1463" s="756" t="e">
        <f>IF($C$1463=0,NA(),VLOOKUP($I$1441&amp;$B$1463,FLNFIX!$CX$4:$EF$103,5,0))</f>
        <v>#N/A</v>
      </c>
      <c r="H1463" s="757"/>
      <c r="I1463" s="757"/>
      <c r="J1463" s="758"/>
      <c r="K1463" s="677"/>
    </row>
    <row r="1464" ht="20.1" customHeight="1" spans="1:11">
      <c r="A1464" s="675"/>
      <c r="B1464" s="755">
        <f t="shared" si="26"/>
        <v>20</v>
      </c>
      <c r="C1464" s="755">
        <f>IFERROR(VLOOKUP(B1464,DATEWISE!$A$3:$BY$27,2,0),0)</f>
        <v>0</v>
      </c>
      <c r="D1464" s="755" t="e">
        <f>IF($C$1464=0,NA(),VLOOKUP($I$1441&amp;$B$1464,FLNFIX!$DC$4:$EF$103,2,0))</f>
        <v>#N/A</v>
      </c>
      <c r="E1464" s="755" t="e">
        <f>IF($C$1464=0,NA(),VLOOKUP($I$1441&amp;$B$1464,FLNFIX!$DC$4:$EF$103,4,0))</f>
        <v>#N/A</v>
      </c>
      <c r="F1464" s="755" t="e">
        <f>IF($C$1464=0,NA(),VLOOKUP($I$1441&amp;$B$1464,FLNFIX!$DC$4:$EF$103,3,0))</f>
        <v>#N/A</v>
      </c>
      <c r="G1464" s="756" t="e">
        <f>IF($C$1464=0,NA(),VLOOKUP($I$1441&amp;$B$1464,FLNFIX!$DC$4:$EF$103,5,0))</f>
        <v>#N/A</v>
      </c>
      <c r="H1464" s="757"/>
      <c r="I1464" s="757"/>
      <c r="J1464" s="758"/>
      <c r="K1464" s="677"/>
    </row>
    <row r="1465" ht="20.1" customHeight="1" spans="1:11">
      <c r="A1465" s="675"/>
      <c r="B1465" s="755">
        <f t="shared" si="26"/>
        <v>21</v>
      </c>
      <c r="C1465" s="755">
        <f>IFERROR(VLOOKUP(B1465,DATEWISE!$A$3:$BY$27,2,0),0)</f>
        <v>0</v>
      </c>
      <c r="D1465" s="755" t="e">
        <f>IF($C$1465=0,NA(),VLOOKUP($I$1441&amp;$B$1465,FLNFIX!$DH$4:$EF$103,2,0))</f>
        <v>#N/A</v>
      </c>
      <c r="E1465" s="755" t="e">
        <f>IF($C$1465=0,NA(),VLOOKUP($I$1441&amp;$B$1465,FLNFIX!$DH$4:$EF$103,4,0))</f>
        <v>#N/A</v>
      </c>
      <c r="F1465" s="755" t="e">
        <f>IF($C$1465=0,NA(),VLOOKUP($I$1441&amp;$B$1465,FLNFIX!$DH$4:$EF$103,3,0))</f>
        <v>#N/A</v>
      </c>
      <c r="G1465" s="756" t="e">
        <f>IF($C$1465=0,NA(),VLOOKUP($I$1441&amp;$B$1465,FLNFIX!$DH$4:$EF$103,5,0))</f>
        <v>#N/A</v>
      </c>
      <c r="H1465" s="757"/>
      <c r="I1465" s="757"/>
      <c r="J1465" s="758"/>
      <c r="K1465" s="677"/>
    </row>
    <row r="1466" ht="5.1" customHeight="1" spans="1:11">
      <c r="A1466" s="675"/>
      <c r="B1466" s="759"/>
      <c r="C1466" s="759"/>
      <c r="D1466" s="760"/>
      <c r="E1466" s="760"/>
      <c r="F1466" s="760"/>
      <c r="G1466" s="761"/>
      <c r="H1466" s="761"/>
      <c r="I1466" s="761"/>
      <c r="J1466" s="761"/>
      <c r="K1466" s="677"/>
    </row>
    <row r="1467" s="667" customFormat="1" ht="24.95" customHeight="1" spans="1:11">
      <c r="A1467" s="711"/>
      <c r="B1467" s="762" t="s">
        <v>431</v>
      </c>
      <c r="C1467" s="763"/>
      <c r="D1467" s="763"/>
      <c r="E1467" s="763"/>
      <c r="F1467" s="763"/>
      <c r="G1467" s="763"/>
      <c r="H1467" s="763"/>
      <c r="I1467" s="763"/>
      <c r="J1467" s="764"/>
      <c r="K1467" s="713"/>
    </row>
    <row r="1468" spans="1:11">
      <c r="A1468" s="675"/>
      <c r="B1468" s="765"/>
      <c r="C1468" s="686"/>
      <c r="D1468" s="686"/>
      <c r="E1468" s="686"/>
      <c r="F1468" s="686"/>
      <c r="G1468" s="686"/>
      <c r="H1468" s="686"/>
      <c r="I1468" s="686"/>
      <c r="J1468" s="766"/>
      <c r="K1468" s="677"/>
    </row>
    <row r="1469" spans="1:11">
      <c r="A1469" s="675"/>
      <c r="B1469" s="765"/>
      <c r="C1469" s="686"/>
      <c r="D1469" s="686"/>
      <c r="E1469" s="686"/>
      <c r="F1469" s="686"/>
      <c r="G1469" s="686"/>
      <c r="H1469" s="686"/>
      <c r="I1469" s="686"/>
      <c r="J1469" s="766"/>
      <c r="K1469" s="677"/>
    </row>
    <row r="1470" spans="1:11">
      <c r="A1470" s="675"/>
      <c r="B1470" s="765"/>
      <c r="C1470" s="686"/>
      <c r="D1470" s="686"/>
      <c r="E1470" s="686"/>
      <c r="F1470" s="686"/>
      <c r="G1470" s="686"/>
      <c r="H1470" s="686"/>
      <c r="I1470" s="686"/>
      <c r="J1470" s="766"/>
      <c r="K1470" s="677"/>
    </row>
    <row r="1471" spans="1:11">
      <c r="A1471" s="675"/>
      <c r="B1471" s="765"/>
      <c r="C1471" s="686"/>
      <c r="D1471" s="686"/>
      <c r="E1471" s="686"/>
      <c r="F1471" s="686"/>
      <c r="G1471" s="686"/>
      <c r="H1471" s="686"/>
      <c r="I1471" s="686"/>
      <c r="J1471" s="766"/>
      <c r="K1471" s="677"/>
    </row>
    <row r="1472" spans="1:11">
      <c r="A1472" s="675"/>
      <c r="B1472" s="765"/>
      <c r="C1472" s="686"/>
      <c r="D1472" s="686"/>
      <c r="E1472" s="686"/>
      <c r="F1472" s="686"/>
      <c r="G1472" s="686"/>
      <c r="H1472" s="686"/>
      <c r="I1472" s="686"/>
      <c r="J1472" s="766"/>
      <c r="K1472" s="677"/>
    </row>
    <row r="1473" spans="1:11">
      <c r="A1473" s="675"/>
      <c r="B1473" s="765"/>
      <c r="C1473" s="686"/>
      <c r="D1473" s="686"/>
      <c r="E1473" s="686"/>
      <c r="F1473" s="686"/>
      <c r="G1473" s="686"/>
      <c r="H1473" s="686"/>
      <c r="I1473" s="686"/>
      <c r="J1473" s="766"/>
      <c r="K1473" s="677"/>
    </row>
    <row r="1474" spans="1:11">
      <c r="A1474" s="675"/>
      <c r="B1474" s="765"/>
      <c r="C1474" s="686"/>
      <c r="D1474" s="686"/>
      <c r="E1474" s="686"/>
      <c r="F1474" s="686"/>
      <c r="G1474" s="686"/>
      <c r="H1474" s="686"/>
      <c r="I1474" s="686"/>
      <c r="J1474" s="766"/>
      <c r="K1474" s="677"/>
    </row>
    <row r="1475" spans="1:11">
      <c r="A1475" s="675"/>
      <c r="B1475" s="765"/>
      <c r="C1475" s="686"/>
      <c r="D1475" s="686"/>
      <c r="E1475" s="686"/>
      <c r="F1475" s="686"/>
      <c r="G1475" s="686"/>
      <c r="H1475" s="686"/>
      <c r="I1475" s="686"/>
      <c r="J1475" s="766"/>
      <c r="K1475" s="677"/>
    </row>
    <row r="1476" spans="1:11">
      <c r="A1476" s="675"/>
      <c r="B1476" s="765"/>
      <c r="C1476" s="686"/>
      <c r="D1476" s="686"/>
      <c r="E1476" s="686"/>
      <c r="F1476" s="686"/>
      <c r="G1476" s="686"/>
      <c r="H1476" s="686"/>
      <c r="I1476" s="686"/>
      <c r="J1476" s="766"/>
      <c r="K1476" s="677"/>
    </row>
    <row r="1477" spans="1:11">
      <c r="A1477" s="675"/>
      <c r="B1477" s="767"/>
      <c r="C1477" s="768"/>
      <c r="D1477" s="768"/>
      <c r="E1477" s="768"/>
      <c r="F1477" s="768"/>
      <c r="G1477" s="768"/>
      <c r="H1477" s="768"/>
      <c r="I1477" s="768"/>
      <c r="J1477" s="769"/>
      <c r="K1477" s="677"/>
    </row>
    <row r="1478" ht="5.1" customHeight="1" spans="1:11">
      <c r="A1478" s="675"/>
      <c r="B1478" s="686"/>
      <c r="C1478" s="686"/>
      <c r="D1478" s="686"/>
      <c r="E1478" s="686"/>
      <c r="F1478" s="686"/>
      <c r="G1478" s="686"/>
      <c r="H1478" s="686"/>
      <c r="I1478" s="686"/>
      <c r="J1478" s="686"/>
      <c r="K1478" s="677"/>
    </row>
    <row r="1479" spans="1:11">
      <c r="A1479" s="675"/>
      <c r="B1479" s="770" t="s">
        <v>432</v>
      </c>
      <c r="C1479" s="770"/>
      <c r="D1479" s="770"/>
      <c r="E1479" s="770"/>
      <c r="F1479" s="770"/>
      <c r="G1479" s="770"/>
      <c r="H1479" s="770"/>
      <c r="I1479" s="770"/>
      <c r="J1479" s="770"/>
      <c r="K1479" s="677"/>
    </row>
    <row r="1480" spans="1:11">
      <c r="A1480" s="675"/>
      <c r="B1480" s="771"/>
      <c r="C1480" s="771"/>
      <c r="D1480" s="771"/>
      <c r="E1480" s="771"/>
      <c r="F1480" s="771"/>
      <c r="G1480" s="771"/>
      <c r="H1480" s="771"/>
      <c r="I1480" s="771"/>
      <c r="J1480" s="771"/>
      <c r="K1480" s="677"/>
    </row>
    <row r="1481" spans="1:11">
      <c r="A1481" s="675"/>
      <c r="B1481" s="771"/>
      <c r="C1481" s="771"/>
      <c r="D1481" s="771"/>
      <c r="E1481" s="771"/>
      <c r="F1481" s="771"/>
      <c r="G1481" s="771"/>
      <c r="H1481" s="771"/>
      <c r="I1481" s="771"/>
      <c r="J1481" s="771"/>
      <c r="K1481" s="677"/>
    </row>
    <row r="1482" spans="1:11">
      <c r="A1482" s="675"/>
      <c r="B1482" s="771"/>
      <c r="C1482" s="771"/>
      <c r="D1482" s="771"/>
      <c r="E1482" s="771"/>
      <c r="F1482" s="771"/>
      <c r="G1482" s="771"/>
      <c r="H1482" s="771"/>
      <c r="I1482" s="771"/>
      <c r="J1482" s="771"/>
      <c r="K1482" s="677"/>
    </row>
    <row r="1483" spans="1:11">
      <c r="A1483" s="675"/>
      <c r="B1483" s="686"/>
      <c r="C1483" s="686"/>
      <c r="D1483" s="686"/>
      <c r="E1483" s="686"/>
      <c r="F1483" s="686"/>
      <c r="G1483" s="686"/>
      <c r="H1483" s="686"/>
      <c r="I1483" s="686"/>
      <c r="J1483" s="686"/>
      <c r="K1483" s="677"/>
    </row>
    <row r="1484" spans="1:11">
      <c r="A1484" s="675"/>
      <c r="B1484" s="686"/>
      <c r="C1484" s="729" t="s">
        <v>433</v>
      </c>
      <c r="D1484" s="729"/>
      <c r="E1484" s="686"/>
      <c r="F1484" s="686"/>
      <c r="G1484" s="729" t="s">
        <v>434</v>
      </c>
      <c r="H1484" s="729"/>
      <c r="I1484" s="729"/>
      <c r="J1484" s="729"/>
      <c r="K1484" s="677"/>
    </row>
    <row r="1485" ht="16.35" spans="1:11">
      <c r="A1485" s="725"/>
      <c r="B1485" s="726"/>
      <c r="C1485" s="732" t="str">
        <f>"("&amp;PROPER(ENTRY!$D$19)&amp;")"</f>
        <v>(Indrajeet)</v>
      </c>
      <c r="D1485" s="732"/>
      <c r="E1485" s="726"/>
      <c r="F1485" s="726"/>
      <c r="G1485" s="732" t="str">
        <f>"("&amp;PROPER(ENTRY!$D$12)&amp;")"</f>
        <v>(Shambhu Dayal Meena)</v>
      </c>
      <c r="H1485" s="732"/>
      <c r="I1485" s="732"/>
      <c r="J1485" s="732"/>
      <c r="K1485" s="728"/>
    </row>
    <row r="1486" ht="24.6" spans="1:11">
      <c r="B1486" s="734"/>
      <c r="C1486" s="734"/>
      <c r="D1486" s="669" t="str">
        <f>ENTRY!$D$3</f>
        <v>MUNICIPAL CORPORATION OF DELHI</v>
      </c>
      <c r="E1486" s="669"/>
      <c r="F1486" s="669"/>
      <c r="G1486" s="669"/>
      <c r="H1486" s="734"/>
      <c r="I1486" s="669"/>
      <c r="J1486" s="669"/>
    </row>
    <row r="1487" ht="20.4" spans="1:11">
      <c r="B1487" s="735"/>
      <c r="C1487" s="735"/>
      <c r="D1487" s="670" t="str">
        <f>ENTRY!$D$4</f>
        <v>EDUCATION DEPARTMENT</v>
      </c>
      <c r="E1487" s="670"/>
      <c r="F1487" s="670"/>
      <c r="G1487" s="670"/>
      <c r="H1487" s="735"/>
      <c r="I1487" s="669"/>
      <c r="J1487" s="669"/>
    </row>
    <row r="1488" ht="22.8" spans="1:11">
      <c r="B1488" s="736"/>
      <c r="C1488" s="736"/>
      <c r="D1488" s="664" t="s">
        <v>417</v>
      </c>
      <c r="E1488" s="664"/>
      <c r="F1488" s="664"/>
      <c r="G1488" s="664"/>
      <c r="H1488" s="736"/>
      <c r="I1488" s="669"/>
      <c r="J1488" s="669"/>
    </row>
    <row r="1489" ht="22.8" spans="1:11">
      <c r="B1489" s="736"/>
      <c r="C1489" s="736"/>
      <c r="D1489" s="664" t="s">
        <v>418</v>
      </c>
      <c r="E1489" s="664"/>
      <c r="F1489" s="664"/>
      <c r="G1489" s="664"/>
      <c r="H1489" s="736"/>
      <c r="I1489" s="669"/>
      <c r="J1489" s="669"/>
    </row>
    <row r="1490" ht="24.95" customHeight="1" spans="1:11">
      <c r="B1490" s="735"/>
      <c r="C1490" s="735"/>
      <c r="D1490" s="737" t="str">
        <f>"SESSION : "&amp;ENTRY!$D$11</f>
        <v>SESSION : 2026-27</v>
      </c>
      <c r="E1490" s="737"/>
      <c r="F1490" s="737"/>
      <c r="G1490" s="737"/>
      <c r="H1490" s="735"/>
      <c r="I1490" s="738"/>
      <c r="J1490" s="738"/>
    </row>
    <row r="1491" ht="3.75" customHeight="1" spans="1:11">
      <c r="A1491" s="672"/>
      <c r="B1491" s="739"/>
      <c r="C1491" s="739"/>
      <c r="D1491" s="739"/>
      <c r="E1491" s="739"/>
      <c r="F1491" s="739"/>
      <c r="G1491" s="739"/>
      <c r="H1491" s="739"/>
      <c r="I1491" s="739"/>
      <c r="J1491" s="739"/>
      <c r="K1491" s="674"/>
    </row>
    <row r="1492" ht="21.95" customHeight="1" spans="1:11">
      <c r="A1492" s="675"/>
      <c r="B1492" s="676" t="s">
        <v>419</v>
      </c>
      <c r="C1492" s="676"/>
      <c r="D1492" s="676" t="str">
        <f>ENTRY!$D$6</f>
        <v>MCP NITHARI NO 1 BOYS</v>
      </c>
      <c r="E1492" s="676"/>
      <c r="F1492" s="676"/>
      <c r="G1492" s="676"/>
      <c r="H1492" s="676"/>
      <c r="I1492" s="676"/>
      <c r="J1492" s="676"/>
      <c r="K1492" s="677"/>
    </row>
    <row r="1493" ht="21.95" customHeight="1" spans="1:11">
      <c r="A1493" s="675"/>
      <c r="B1493" s="676" t="s">
        <v>420</v>
      </c>
      <c r="C1493" s="676"/>
      <c r="D1493" s="740" t="str">
        <f>IFERROR(VLOOKUP($I$1496,STUDENT!$A$2:$BP$101,5,0),"")</f>
        <v>ABDUL REHMAN</v>
      </c>
      <c r="E1493" s="740"/>
      <c r="F1493" s="740"/>
      <c r="G1493" s="740"/>
      <c r="H1493" s="740"/>
      <c r="I1493" s="740"/>
      <c r="J1493" s="740"/>
      <c r="K1493" s="677"/>
    </row>
    <row r="1494" ht="21.95" customHeight="1" spans="1:11">
      <c r="A1494" s="675"/>
      <c r="B1494" s="676" t="s">
        <v>421</v>
      </c>
      <c r="C1494" s="676"/>
      <c r="D1494" s="740" t="str">
        <f>IFERROR(VLOOKUP($I$1496,STUDENT!$A$2:$BP$101,8,0),"")</f>
        <v>MD LAL BABU</v>
      </c>
      <c r="E1494" s="740"/>
      <c r="F1494" s="740"/>
      <c r="G1494" s="740"/>
      <c r="H1494" s="740"/>
      <c r="I1494" s="740"/>
      <c r="J1494" s="740"/>
      <c r="K1494" s="677"/>
    </row>
    <row r="1495" ht="21.95" customHeight="1" spans="1:11">
      <c r="A1495" s="675"/>
      <c r="B1495" s="676" t="s">
        <v>422</v>
      </c>
      <c r="C1495" s="676"/>
      <c r="D1495" s="740">
        <f>IFERROR(VLOOKUP($I$1496,STUDENT!$A$2:$BP$101,6,0),"")</f>
        <v>14999</v>
      </c>
      <c r="E1495" s="740"/>
      <c r="F1495" s="740"/>
      <c r="G1495" s="740"/>
      <c r="H1495" s="740"/>
      <c r="I1495" s="740"/>
      <c r="J1495" s="740"/>
      <c r="K1495" s="677"/>
    </row>
    <row r="1496" ht="21.95" customHeight="1" spans="1:11">
      <c r="A1496" s="675"/>
      <c r="B1496" s="676" t="s">
        <v>423</v>
      </c>
      <c r="C1496" s="676"/>
      <c r="D1496" s="741" t="str">
        <f>IFERROR(VLOOKUP($I$1496,STUDENT!$A$2:$BP$101,59,0),"")</f>
        <v/>
      </c>
      <c r="E1496" s="742" t="s">
        <v>424</v>
      </c>
      <c r="F1496" s="704" t="str">
        <f>IFERROR(VLOOKUP($I$1496,STUDENT!$A$2:$BP$101,2,0),"")</f>
        <v>III-A</v>
      </c>
      <c r="G1496" s="742" t="s">
        <v>425</v>
      </c>
      <c r="H1496" s="743"/>
      <c r="I1496" s="733">
        <f>I1441+1</f>
        <v>28</v>
      </c>
      <c r="J1496" s="683"/>
      <c r="K1496" s="677"/>
    </row>
    <row r="1497" ht="5.1" customHeight="1" spans="1:11">
      <c r="A1497" s="675"/>
      <c r="B1497" s="745"/>
      <c r="C1497" s="745"/>
      <c r="D1497" s="746"/>
      <c r="E1497" s="747"/>
      <c r="F1497" s="748"/>
      <c r="G1497" s="747"/>
      <c r="H1497" s="686"/>
      <c r="I1497" s="686"/>
      <c r="J1497" s="686"/>
      <c r="K1497" s="677"/>
    </row>
    <row r="1498" s="664" customFormat="1" ht="32.1" customHeight="1" spans="1:11">
      <c r="A1498" s="688"/>
      <c r="B1498" s="749" t="s">
        <v>426</v>
      </c>
      <c r="C1498" s="750"/>
      <c r="D1498" s="750"/>
      <c r="E1498" s="750"/>
      <c r="F1498" s="750"/>
      <c r="G1498" s="750"/>
      <c r="H1498" s="750"/>
      <c r="I1498" s="750"/>
      <c r="J1498" s="751"/>
      <c r="K1498" s="690"/>
    </row>
    <row r="1499" ht="51.6" spans="1:11">
      <c r="A1499" s="675"/>
      <c r="B1499" s="752">
        <v>21</v>
      </c>
      <c r="C1499" s="753" t="s">
        <v>427</v>
      </c>
      <c r="D1499" s="754" t="s">
        <v>428</v>
      </c>
      <c r="E1499" s="754" t="s">
        <v>429</v>
      </c>
      <c r="F1499" s="754" t="s">
        <v>430</v>
      </c>
      <c r="G1499" s="753" t="s">
        <v>390</v>
      </c>
      <c r="H1499" s="714"/>
      <c r="I1499" s="714"/>
      <c r="J1499" s="714"/>
      <c r="K1499" s="677"/>
    </row>
    <row r="1500" ht="20.1" customHeight="1" spans="1:11">
      <c r="A1500" s="675"/>
      <c r="B1500" s="755">
        <v>1</v>
      </c>
      <c r="C1500" s="755" t="str">
        <f>IFERROR(VLOOKUP(B1500,DATEWISE!$A$3:$BY$27,2,0),0)</f>
        <v>30.04.2026</v>
      </c>
      <c r="D1500" s="755">
        <f>IF($C$1500=0,NA(),VLOOKUP($I$1496&amp;$B$1500,FLNFIX!$L$4:$EF$103,2,0))</f>
        <v>2</v>
      </c>
      <c r="E1500" s="755">
        <f>IF($C$1500=0,NA(),VLOOKUP($I$1496&amp;$B$1500,FLNFIX!$L$4:$EF$103,4,0))</f>
        <v>3</v>
      </c>
      <c r="F1500" s="755">
        <f>IF($C$1500=0,NA(),VLOOKUP($I$1496&amp;$B$1500,FLNFIX!$L$4:$EF$103,3,0))</f>
        <v>2</v>
      </c>
      <c r="G1500" s="756">
        <f>IF($C$1500=0,NA(),VLOOKUP($I$1496&amp;$B$1500,FLNFIX!$L$4:$EF$103,5,0))</f>
        <v>0</v>
      </c>
      <c r="H1500" s="757"/>
      <c r="I1500" s="757"/>
      <c r="J1500" s="758"/>
      <c r="K1500" s="677"/>
    </row>
    <row r="1501" ht="20.1" customHeight="1" spans="1:11">
      <c r="A1501" s="675"/>
      <c r="B1501" s="755">
        <f t="shared" ref="B1501:B1520" si="27">IF(B1500=0,0,IF(B1500&lt;$B$1499,B1500+1,""))</f>
        <v>2</v>
      </c>
      <c r="C1501" s="755" t="str">
        <f>IFERROR(VLOOKUP(B1501,DATEWISE!$A$3:$BY$27,2,0),0)</f>
        <v>08.05.2026</v>
      </c>
      <c r="D1501" s="755">
        <f>IF($C$1501=0,NA(),VLOOKUP($I$1496&amp;$B$1501,FLNFIX!$Q$4:$EF$103,2,0))</f>
        <v>2</v>
      </c>
      <c r="E1501" s="755">
        <f>IF($C$1501=0,NA(),VLOOKUP($I$1496&amp;$B$1501,FLNFIX!$Q$4:$EF$103,4,0))</f>
        <v>3</v>
      </c>
      <c r="F1501" s="755">
        <f>IF($C$1501=0,NA(),VLOOKUP($I$1496&amp;$B$1501,FLNFIX!$Q$4:$EF$103,3,0))</f>
        <v>2</v>
      </c>
      <c r="G1501" s="756">
        <f>IF($C$1501=0,NA(),VLOOKUP($I$1496&amp;$B$1501,FLNFIX!$Q$4:$EF$103,5,0))</f>
        <v>0</v>
      </c>
      <c r="H1501" s="757"/>
      <c r="I1501" s="757"/>
      <c r="J1501" s="758"/>
      <c r="K1501" s="677"/>
    </row>
    <row r="1502" ht="20.1" customHeight="1" spans="1:11">
      <c r="A1502" s="675"/>
      <c r="B1502" s="755">
        <f t="shared" si="27"/>
        <v>3</v>
      </c>
      <c r="C1502" s="755" t="str">
        <f>IFERROR(VLOOKUP(B1502,DATEWISE!$A$3:$BY$27,2,0),0)</f>
        <v>15.07.2026</v>
      </c>
      <c r="D1502" s="755">
        <f>IF($C$1502=0,NA(),VLOOKUP($I$1496&amp;$B$1502,FLNFIX!$V$4:$EF$103,2,0))</f>
        <v>2</v>
      </c>
      <c r="E1502" s="755">
        <f>IF($C$1502=0,NA(),VLOOKUP($I$1496&amp;$B$1502,FLNFIX!$V$4:$EF$103,4,0))</f>
        <v>3</v>
      </c>
      <c r="F1502" s="755">
        <f>IF($C$1502=0,NA(),VLOOKUP($I$1496&amp;$B$1502,FLNFIX!$V$4:$EF$103,3,0))</f>
        <v>2</v>
      </c>
      <c r="G1502" s="756">
        <f>IF($C$1502=0,NA(),VLOOKUP($I$1496&amp;$B$1502,FLNFIX!$V$4:$EF$103,5,0))</f>
        <v>0</v>
      </c>
      <c r="H1502" s="757"/>
      <c r="I1502" s="757"/>
      <c r="J1502" s="758"/>
      <c r="K1502" s="677"/>
    </row>
    <row r="1503" ht="20.1" customHeight="1" spans="1:11">
      <c r="A1503" s="675"/>
      <c r="B1503" s="755">
        <f t="shared" si="27"/>
        <v>4</v>
      </c>
      <c r="C1503" s="755" t="str">
        <f>IFERROR(VLOOKUP(B1503,DATEWISE!$A$3:$BY$27,2,0),0)</f>
        <v>31.07.2026</v>
      </c>
      <c r="D1503" s="755">
        <f>IF($C$1503=0,NA(),VLOOKUP($I$1496&amp;$B$1503,FLNFIX!$AA$4:$EF$103,2,0))</f>
        <v>2</v>
      </c>
      <c r="E1503" s="755">
        <f>IF($C$1503=0,NA(),VLOOKUP($I$1496&amp;$B$1503,FLNFIX!$AA$4:$EF$103,4,0))</f>
        <v>3</v>
      </c>
      <c r="F1503" s="755">
        <f>IF($C$1503=0,NA(),VLOOKUP($I$1496&amp;$B$1503,FLNFIX!$AA$4:$EF$103,3,0))</f>
        <v>2</v>
      </c>
      <c r="G1503" s="756">
        <f>IF($C$1503=0,NA(),VLOOKUP($I$1496&amp;$B$1503,FLNFIX!$AA$4:$EF$103,5,0))</f>
        <v>0</v>
      </c>
      <c r="H1503" s="757"/>
      <c r="I1503" s="757"/>
      <c r="J1503" s="758"/>
      <c r="K1503" s="677"/>
    </row>
    <row r="1504" ht="20.1" customHeight="1" spans="1:11">
      <c r="A1504" s="675"/>
      <c r="B1504" s="755">
        <f t="shared" si="27"/>
        <v>5</v>
      </c>
      <c r="C1504" s="755" t="str">
        <f>IFERROR(VLOOKUP(B1504,DATEWISE!$A$3:$BY$27,2,0),0)</f>
        <v>17.08.2026</v>
      </c>
      <c r="D1504" s="755">
        <f>IF($C$1504=0,NA(),VLOOKUP($I$1496&amp;$B$1504,FLNFIX!$AF$4:$EF$103,2,0))</f>
        <v>2</v>
      </c>
      <c r="E1504" s="755">
        <f>IF($C$1504=0,NA(),VLOOKUP($I$1496&amp;$B$1504,FLNFIX!$AF$4:$EF$103,4,0))</f>
        <v>3</v>
      </c>
      <c r="F1504" s="755">
        <f>IF($C$1504=0,NA(),VLOOKUP($I$1496&amp;$B$1504,FLNFIX!$AF$4:$EF$103,3,0))</f>
        <v>2</v>
      </c>
      <c r="G1504" s="756">
        <f>IF($C$1504=0,NA(),VLOOKUP($I$1496&amp;$B$1504,FLNFIX!$AF$4:$EF$103,5,0))</f>
        <v>0</v>
      </c>
      <c r="H1504" s="757"/>
      <c r="I1504" s="757"/>
      <c r="J1504" s="758"/>
      <c r="K1504" s="677"/>
    </row>
    <row r="1505" ht="20.1" customHeight="1" spans="1:11">
      <c r="A1505" s="675"/>
      <c r="B1505" s="755">
        <f t="shared" si="27"/>
        <v>6</v>
      </c>
      <c r="C1505" s="755" t="str">
        <f>IFERROR(VLOOKUP(B1505,DATEWISE!$A$3:$BY$27,2,0),0)</f>
        <v>31.08.2026</v>
      </c>
      <c r="D1505" s="755">
        <f>IF($C$1505=0,NA(),VLOOKUP($I$1496&amp;$B$1505,FLNFIX!$AK$4:$EF$103,2,0))</f>
        <v>2</v>
      </c>
      <c r="E1505" s="755">
        <f>IF($C$1505=0,NA(),VLOOKUP($I$1496&amp;$B$1505,FLNFIX!$AK$4:$EF$103,4,0))</f>
        <v>3</v>
      </c>
      <c r="F1505" s="755">
        <f>IF($C$1505=0,NA(),VLOOKUP($I$1496&amp;$B$1505,FLNFIX!$AK$4:$EF$103,3,0))</f>
        <v>2</v>
      </c>
      <c r="G1505" s="756">
        <f>IF($C$1505=0,NA(),VLOOKUP($I$1496&amp;$B$1505,FLNFIX!$AK$4:$EF$103,5,0))</f>
        <v>0</v>
      </c>
      <c r="H1505" s="757"/>
      <c r="I1505" s="757"/>
      <c r="J1505" s="758"/>
      <c r="K1505" s="677"/>
    </row>
    <row r="1506" ht="20.1" customHeight="1" spans="1:11">
      <c r="A1506" s="675"/>
      <c r="B1506" s="755">
        <f t="shared" si="27"/>
        <v>7</v>
      </c>
      <c r="C1506" s="755">
        <f>IFERROR(VLOOKUP(B1506,DATEWISE!$A$3:$BY$27,2,0),0)</f>
        <v>0</v>
      </c>
      <c r="D1506" s="755" t="e">
        <f>IF($C$1506=0,NA(),VLOOKUP($I$1496&amp;$B$1506,FLNFIX!$AP$4:$EF$103,2,0))</f>
        <v>#N/A</v>
      </c>
      <c r="E1506" s="755" t="e">
        <f>IF($C$1506=0,NA(),VLOOKUP($I$1496&amp;$B$1506,FLNFIX!$AP$4:$EF$103,4,0))</f>
        <v>#N/A</v>
      </c>
      <c r="F1506" s="755" t="e">
        <f>IF($C$1506=0,NA(),VLOOKUP($I$1496&amp;$B$1506,FLNFIX!$AP$4:$EF$103,3,0))</f>
        <v>#N/A</v>
      </c>
      <c r="G1506" s="756" t="e">
        <f>IF($C$1506=0,NA(),VLOOKUP($I$1496&amp;$B$1506,FLNFIX!$AP$4:$EF$103,5,0))</f>
        <v>#N/A</v>
      </c>
      <c r="H1506" s="757"/>
      <c r="I1506" s="757"/>
      <c r="J1506" s="758"/>
      <c r="K1506" s="677"/>
    </row>
    <row r="1507" ht="20.1" customHeight="1" spans="1:11">
      <c r="A1507" s="675"/>
      <c r="B1507" s="755">
        <f t="shared" si="27"/>
        <v>8</v>
      </c>
      <c r="C1507" s="755">
        <f>IFERROR(VLOOKUP(B1507,DATEWISE!$A$3:$BY$27,2,0),0)</f>
        <v>0</v>
      </c>
      <c r="D1507" s="755" t="e">
        <f>IF($C$1507=0,NA(),VLOOKUP($I$1496&amp;$B$1507,FLNFIX!$AU$4:$EF$103,2,0))</f>
        <v>#N/A</v>
      </c>
      <c r="E1507" s="755" t="e">
        <f>IF($C$1507=0,NA(),VLOOKUP($I$1496&amp;$B$1507,FLNFIX!$AU$4:$EF$103,4,0))</f>
        <v>#N/A</v>
      </c>
      <c r="F1507" s="755" t="e">
        <f>IF($C$1507=0,NA(),VLOOKUP($I$1496&amp;$B$1507,FLNFIX!$AU$4:$EF$103,3,0))</f>
        <v>#N/A</v>
      </c>
      <c r="G1507" s="756" t="e">
        <f>IF($C$1507=0,NA(),VLOOKUP($I$1496&amp;$B$1507,FLNFIX!$AU$4:$EF$103,5,0))</f>
        <v>#N/A</v>
      </c>
      <c r="H1507" s="757"/>
      <c r="I1507" s="757"/>
      <c r="J1507" s="758"/>
      <c r="K1507" s="677"/>
    </row>
    <row r="1508" ht="20.1" customHeight="1" spans="1:11">
      <c r="A1508" s="675"/>
      <c r="B1508" s="755">
        <f t="shared" si="27"/>
        <v>9</v>
      </c>
      <c r="C1508" s="755">
        <f>IFERROR(VLOOKUP(B1508,DATEWISE!$A$3:$BY$27,2,0),0)</f>
        <v>0</v>
      </c>
      <c r="D1508" s="755" t="e">
        <f>IF($C$1508=0,NA(),VLOOKUP($I$1496&amp;$B$1508,FLNFIX!$AZ$4:$EF$103,2,0))</f>
        <v>#N/A</v>
      </c>
      <c r="E1508" s="755" t="e">
        <f>IF($C$1508=0,NA(),VLOOKUP($I$1496&amp;$B$1508,FLNFIX!$AZ$4:$EF$103,4,0))</f>
        <v>#N/A</v>
      </c>
      <c r="F1508" s="755" t="e">
        <f>IF($C$1508=0,NA(),VLOOKUP($I$1496&amp;$B$1508,FLNFIX!$AZ$4:$EF$103,3,0))</f>
        <v>#N/A</v>
      </c>
      <c r="G1508" s="756" t="e">
        <f>IF($C$1508=0,NA(),VLOOKUP($I$1496&amp;$B$1508,FLNFIX!$AZ$4:$EF$103,5,0))</f>
        <v>#N/A</v>
      </c>
      <c r="H1508" s="757"/>
      <c r="I1508" s="757"/>
      <c r="J1508" s="758"/>
      <c r="K1508" s="677"/>
    </row>
    <row r="1509" ht="20.1" customHeight="1" spans="1:11">
      <c r="A1509" s="675"/>
      <c r="B1509" s="755">
        <f t="shared" si="27"/>
        <v>10</v>
      </c>
      <c r="C1509" s="755">
        <f>IFERROR(VLOOKUP(B1509,DATEWISE!$A$3:$BY$27,2,0),0)</f>
        <v>0</v>
      </c>
      <c r="D1509" s="755" t="e">
        <f>IF($C$1509=0,NA(),VLOOKUP($I$1496&amp;$B$1509,FLNFIX!$BE$4:$EF$103,2,0))</f>
        <v>#N/A</v>
      </c>
      <c r="E1509" s="755" t="e">
        <f>IF($C$1509=0,NA(),VLOOKUP($I$1496&amp;$B$1509,FLNFIX!$BE$4:$EF$103,4,0))</f>
        <v>#N/A</v>
      </c>
      <c r="F1509" s="755" t="e">
        <f>IF($C$1509=0,NA(),VLOOKUP($I$1496&amp;$B$1509,FLNFIX!$BE$4:$EF$103,3,0))</f>
        <v>#N/A</v>
      </c>
      <c r="G1509" s="756" t="e">
        <f>IF($C$1509=0,NA(),VLOOKUP($I$1496&amp;$B$1509,FLNFIX!$BE$4:$EF$103,5,0))</f>
        <v>#N/A</v>
      </c>
      <c r="H1509" s="757"/>
      <c r="I1509" s="757"/>
      <c r="J1509" s="758"/>
      <c r="K1509" s="677"/>
    </row>
    <row r="1510" ht="20.1" customHeight="1" spans="1:11">
      <c r="A1510" s="675"/>
      <c r="B1510" s="755">
        <f t="shared" si="27"/>
        <v>11</v>
      </c>
      <c r="C1510" s="755">
        <f>IFERROR(VLOOKUP(B1510,DATEWISE!$A$3:$BY$27,2,0),0)</f>
        <v>0</v>
      </c>
      <c r="D1510" s="755" t="e">
        <f>IF($C$1510=0,NA(),VLOOKUP($I$1496&amp;$B$1510,FLNFIX!$BJ$4:$EF$103,2,0))</f>
        <v>#N/A</v>
      </c>
      <c r="E1510" s="755" t="e">
        <f>IF($C$1510=0,NA(),VLOOKUP($I$1496&amp;$B$1510,FLNFIX!$BJ$4:$EF$103,4,0))</f>
        <v>#N/A</v>
      </c>
      <c r="F1510" s="755" t="e">
        <f>IF($C$1510=0,NA(),VLOOKUP($I$1496&amp;$B$1510,FLNFIX!$BJ$4:$EF$103,3,0))</f>
        <v>#N/A</v>
      </c>
      <c r="G1510" s="756" t="e">
        <f>IF($C$1510=0,NA(),VLOOKUP($I$1496&amp;$B$1510,FLNFIX!$BJ$4:$EF$103,5,0))</f>
        <v>#N/A</v>
      </c>
      <c r="H1510" s="757"/>
      <c r="I1510" s="757"/>
      <c r="J1510" s="758"/>
      <c r="K1510" s="677"/>
    </row>
    <row r="1511" ht="20.1" customHeight="1" spans="1:11">
      <c r="A1511" s="675"/>
      <c r="B1511" s="755">
        <f t="shared" si="27"/>
        <v>12</v>
      </c>
      <c r="C1511" s="755">
        <f>IFERROR(VLOOKUP(B1511,DATEWISE!$A$3:$BY$27,2,0),0)</f>
        <v>0</v>
      </c>
      <c r="D1511" s="755" t="e">
        <f>IF($C$1511=0,NA(),VLOOKUP($I$1496&amp;$B$1511,FLNFIX!$BO$4:$EF$103,2,0))</f>
        <v>#N/A</v>
      </c>
      <c r="E1511" s="755" t="e">
        <f>IF($C$1511=0,NA(),VLOOKUP($I$1496&amp;$B$1511,FLNFIX!$BO$4:$EF$103,4,0))</f>
        <v>#N/A</v>
      </c>
      <c r="F1511" s="755" t="e">
        <f>IF($C$1511=0,NA(),VLOOKUP($I$1496&amp;$B$1511,FLNFIX!$BO$4:$EF$103,3,0))</f>
        <v>#N/A</v>
      </c>
      <c r="G1511" s="756" t="e">
        <f>IF($C$1511=0,NA(),VLOOKUP($I$1496&amp;$B$1511,FLNFIX!$BO$4:$EF$103,5,0))</f>
        <v>#N/A</v>
      </c>
      <c r="H1511" s="757"/>
      <c r="I1511" s="757"/>
      <c r="J1511" s="758"/>
      <c r="K1511" s="677"/>
    </row>
    <row r="1512" ht="20.1" customHeight="1" spans="1:11">
      <c r="A1512" s="675"/>
      <c r="B1512" s="755">
        <f t="shared" si="27"/>
        <v>13</v>
      </c>
      <c r="C1512" s="755">
        <f>IFERROR(VLOOKUP(B1512,DATEWISE!$A$3:$BY$27,2,0),0)</f>
        <v>0</v>
      </c>
      <c r="D1512" s="755" t="e">
        <f>IF($C$1512=0,NA(),VLOOKUP($I$1496&amp;$B$1512,FLNFIX!$BT$4:$EF$103,2,0))</f>
        <v>#N/A</v>
      </c>
      <c r="E1512" s="755" t="e">
        <f>IF($C$1512=0,NA(),VLOOKUP($I$1496&amp;$B$1512,FLNFIX!$BT$4:$EF$103,4,0))</f>
        <v>#N/A</v>
      </c>
      <c r="F1512" s="755" t="e">
        <f>IF($C$1512=0,NA(),VLOOKUP($I$1496&amp;$B$1512,FLNFIX!$BT$4:$EF$103,3,0))</f>
        <v>#N/A</v>
      </c>
      <c r="G1512" s="756" t="e">
        <f>IF($C$1512=0,NA(),VLOOKUP($I$1496&amp;$B$1512,FLNFIX!$BT$4:$EF$103,5,0))</f>
        <v>#N/A</v>
      </c>
      <c r="H1512" s="757"/>
      <c r="I1512" s="757"/>
      <c r="J1512" s="758"/>
      <c r="K1512" s="677"/>
    </row>
    <row r="1513" ht="20.1" customHeight="1" spans="1:11">
      <c r="A1513" s="675"/>
      <c r="B1513" s="755">
        <f t="shared" si="27"/>
        <v>14</v>
      </c>
      <c r="C1513" s="755">
        <f>IFERROR(VLOOKUP(B1513,DATEWISE!$A$3:$BY$27,2,0),0)</f>
        <v>0</v>
      </c>
      <c r="D1513" s="755" t="e">
        <f>IF($C$1513=0,NA(),VLOOKUP($I$1496&amp;$B$1513,FLNFIX!$BY$4:$EF$103,2,0))</f>
        <v>#N/A</v>
      </c>
      <c r="E1513" s="755" t="e">
        <f>IF($C$1513=0,NA(),VLOOKUP($I$1496&amp;$B$1513,FLNFIX!$BY$4:$EF$103,4,0))</f>
        <v>#N/A</v>
      </c>
      <c r="F1513" s="755" t="e">
        <f>IF($C$1513=0,NA(),VLOOKUP($I$1496&amp;$B$1513,FLNFIX!$BY$4:$EF$103,3,0))</f>
        <v>#N/A</v>
      </c>
      <c r="G1513" s="756" t="e">
        <f>IF($C$1513=0,NA(),VLOOKUP($I$1496&amp;$B$1513,FLNFIX!$BY$4:$EF$103,5,0))</f>
        <v>#N/A</v>
      </c>
      <c r="H1513" s="757"/>
      <c r="I1513" s="757"/>
      <c r="J1513" s="758"/>
      <c r="K1513" s="677"/>
    </row>
    <row r="1514" ht="20.1" customHeight="1" spans="1:11">
      <c r="A1514" s="675"/>
      <c r="B1514" s="755">
        <f t="shared" si="27"/>
        <v>15</v>
      </c>
      <c r="C1514" s="755">
        <f>IFERROR(VLOOKUP(B1514,DATEWISE!$A$3:$BY$27,2,0),0)</f>
        <v>0</v>
      </c>
      <c r="D1514" s="755" t="e">
        <f>IF($C$1514=0,NA(),VLOOKUP($I$1496&amp;$B$1514,FLNFIX!$CD$4:$EF$103,2,0))</f>
        <v>#N/A</v>
      </c>
      <c r="E1514" s="755" t="e">
        <f>IF($C$1514=0,NA(),VLOOKUP($I$1496&amp;$B$1514,FLNFIX!$CD$4:$EF$103,4,0))</f>
        <v>#N/A</v>
      </c>
      <c r="F1514" s="755" t="e">
        <f>IF($C$1514=0,NA(),VLOOKUP($I$1496&amp;$B$1514,FLNFIX!$CD$4:$EF$103,3,0))</f>
        <v>#N/A</v>
      </c>
      <c r="G1514" s="756" t="e">
        <f>IF($C$1514=0,NA(),VLOOKUP($I$1496&amp;$B$1514,FLNFIX!$CD$4:$EF$103,5,0))</f>
        <v>#N/A</v>
      </c>
      <c r="H1514" s="757"/>
      <c r="I1514" s="757"/>
      <c r="J1514" s="758"/>
      <c r="K1514" s="677"/>
    </row>
    <row r="1515" ht="20.1" customHeight="1" spans="1:11">
      <c r="A1515" s="675"/>
      <c r="B1515" s="755">
        <f t="shared" si="27"/>
        <v>16</v>
      </c>
      <c r="C1515" s="755">
        <f>IFERROR(VLOOKUP(B1515,DATEWISE!$A$3:$BY$27,2,0),0)</f>
        <v>0</v>
      </c>
      <c r="D1515" s="755" t="e">
        <f>IF($C$1515=0,NA(),VLOOKUP($I$1496&amp;$B$1515,FLNFIX!$CI$4:$EF$103,2,0))</f>
        <v>#N/A</v>
      </c>
      <c r="E1515" s="755" t="e">
        <f>IF($C$1515=0,NA(),VLOOKUP($I$1496&amp;$B$1515,FLNFIX!$CI$4:$EF$103,4,0))</f>
        <v>#N/A</v>
      </c>
      <c r="F1515" s="755" t="e">
        <f>IF($C$1515=0,NA(),VLOOKUP($I$1496&amp;$B$1515,FLNFIX!$CI$4:$EF$103,3,0))</f>
        <v>#N/A</v>
      </c>
      <c r="G1515" s="756" t="e">
        <f>IF($C$1515=0,NA(),VLOOKUP($I$1496&amp;$B$1515,FLNFIX!$CI$4:$EF$103,5,0))</f>
        <v>#N/A</v>
      </c>
      <c r="H1515" s="757"/>
      <c r="I1515" s="757"/>
      <c r="J1515" s="758"/>
      <c r="K1515" s="677"/>
    </row>
    <row r="1516" ht="20.1" customHeight="1" spans="1:11">
      <c r="A1516" s="675"/>
      <c r="B1516" s="755">
        <f t="shared" si="27"/>
        <v>17</v>
      </c>
      <c r="C1516" s="755">
        <f>IFERROR(VLOOKUP(B1516,DATEWISE!$A$3:$BY$27,2,0),0)</f>
        <v>0</v>
      </c>
      <c r="D1516" s="755" t="e">
        <f>IF($C$1516=0,NA(),VLOOKUP($I$1496&amp;$B$1516,FLNFIX!$CN$4:$EF$103,2,0))</f>
        <v>#N/A</v>
      </c>
      <c r="E1516" s="755" t="e">
        <f>IF($C$1516=0,NA(),VLOOKUP($I$1496&amp;$B$1516,FLNFIX!$CN$4:$EF$103,4,0))</f>
        <v>#N/A</v>
      </c>
      <c r="F1516" s="755" t="e">
        <f>IF($C$1516=0,NA(),VLOOKUP($I$1496&amp;$B$1516,FLNFIX!$CN$4:$EF$103,3,0))</f>
        <v>#N/A</v>
      </c>
      <c r="G1516" s="756" t="e">
        <f>IF($C$1516=0,NA(),VLOOKUP($I$1496&amp;$B$1516,FLNFIX!$CN$4:$EF$103,5,0))</f>
        <v>#N/A</v>
      </c>
      <c r="H1516" s="757"/>
      <c r="I1516" s="757"/>
      <c r="J1516" s="758"/>
      <c r="K1516" s="677"/>
    </row>
    <row r="1517" ht="20.1" customHeight="1" spans="1:11">
      <c r="A1517" s="675"/>
      <c r="B1517" s="755">
        <f t="shared" si="27"/>
        <v>18</v>
      </c>
      <c r="C1517" s="755">
        <f>IFERROR(VLOOKUP(B1517,DATEWISE!$A$3:$BY$27,2,0),0)</f>
        <v>0</v>
      </c>
      <c r="D1517" s="755" t="e">
        <f>IF($C$1517=0,NA(),VLOOKUP($I$1496&amp;$B$1517,FLNFIX!$CS$4:$EF$103,2,0))</f>
        <v>#N/A</v>
      </c>
      <c r="E1517" s="755" t="e">
        <f>IF($C$1517=0,NA(),VLOOKUP($I$1496&amp;$B$1517,FLNFIX!$CS$4:$EF$103,4,0))</f>
        <v>#N/A</v>
      </c>
      <c r="F1517" s="755" t="e">
        <f>IF($C$1517=0,NA(),VLOOKUP($I$1496&amp;$B$1517,FLNFIX!$CS$4:$EF$103,3,0))</f>
        <v>#N/A</v>
      </c>
      <c r="G1517" s="756" t="e">
        <f>IF($C$1517=0,NA(),VLOOKUP($I$1496&amp;$B$1517,FLNFIX!$CS$4:$EF$103,5,0))</f>
        <v>#N/A</v>
      </c>
      <c r="H1517" s="757"/>
      <c r="I1517" s="757"/>
      <c r="J1517" s="758"/>
      <c r="K1517" s="677"/>
    </row>
    <row r="1518" ht="20.1" customHeight="1" spans="1:11">
      <c r="A1518" s="675"/>
      <c r="B1518" s="755">
        <f t="shared" si="27"/>
        <v>19</v>
      </c>
      <c r="C1518" s="755">
        <f>IFERROR(VLOOKUP(B1518,DATEWISE!$A$3:$BY$27,2,0),0)</f>
        <v>0</v>
      </c>
      <c r="D1518" s="755" t="e">
        <f>IF($C$1518=0,NA(),VLOOKUP($I$1496&amp;$B$1518,FLNFIX!$CX$4:$EF$103,2,0))</f>
        <v>#N/A</v>
      </c>
      <c r="E1518" s="755" t="e">
        <f>IF($C$1518=0,NA(),VLOOKUP($I$1496&amp;$B$1518,FLNFIX!$CX$4:$EF$103,4,0))</f>
        <v>#N/A</v>
      </c>
      <c r="F1518" s="755" t="e">
        <f>IF($C$1518=0,NA(),VLOOKUP($I$1496&amp;$B$1518,FLNFIX!$CX$4:$EF$103,3,0))</f>
        <v>#N/A</v>
      </c>
      <c r="G1518" s="756" t="e">
        <f>IF($C$1518=0,NA(),VLOOKUP($I$1496&amp;$B$1518,FLNFIX!$CX$4:$EF$103,5,0))</f>
        <v>#N/A</v>
      </c>
      <c r="H1518" s="757"/>
      <c r="I1518" s="757"/>
      <c r="J1518" s="758"/>
      <c r="K1518" s="677"/>
    </row>
    <row r="1519" ht="20.1" customHeight="1" spans="1:11">
      <c r="A1519" s="675"/>
      <c r="B1519" s="755">
        <f t="shared" si="27"/>
        <v>20</v>
      </c>
      <c r="C1519" s="755">
        <f>IFERROR(VLOOKUP(B1519,DATEWISE!$A$3:$BY$27,2,0),0)</f>
        <v>0</v>
      </c>
      <c r="D1519" s="755" t="e">
        <f>IF($C$1519=0,NA(),VLOOKUP($I$1496&amp;$B$1519,FLNFIX!$DC$4:$EF$103,2,0))</f>
        <v>#N/A</v>
      </c>
      <c r="E1519" s="755" t="e">
        <f>IF($C$1519=0,NA(),VLOOKUP($I$1496&amp;$B$1519,FLNFIX!$DC$4:$EF$103,4,0))</f>
        <v>#N/A</v>
      </c>
      <c r="F1519" s="755" t="e">
        <f>IF($C$1519=0,NA(),VLOOKUP($I$1496&amp;$B$1519,FLNFIX!$DC$4:$EF$103,3,0))</f>
        <v>#N/A</v>
      </c>
      <c r="G1519" s="756" t="e">
        <f>IF($C$1519=0,NA(),VLOOKUP($I$1496&amp;$B$1519,FLNFIX!$DC$4:$EF$103,5,0))</f>
        <v>#N/A</v>
      </c>
      <c r="H1519" s="757"/>
      <c r="I1519" s="757"/>
      <c r="J1519" s="758"/>
      <c r="K1519" s="677"/>
    </row>
    <row r="1520" ht="20.1" customHeight="1" spans="1:11">
      <c r="A1520" s="675"/>
      <c r="B1520" s="755">
        <f t="shared" si="27"/>
        <v>21</v>
      </c>
      <c r="C1520" s="755">
        <f>IFERROR(VLOOKUP(B1520,DATEWISE!$A$3:$BY$27,2,0),0)</f>
        <v>0</v>
      </c>
      <c r="D1520" s="755" t="e">
        <f>IF($C$1520=0,NA(),VLOOKUP($I$1496&amp;$B$1520,FLNFIX!$DH$4:$EF$103,2,0))</f>
        <v>#N/A</v>
      </c>
      <c r="E1520" s="755" t="e">
        <f>IF($C$1520=0,NA(),VLOOKUP($I$1496&amp;$B$1520,FLNFIX!$DH$4:$EF$103,4,0))</f>
        <v>#N/A</v>
      </c>
      <c r="F1520" s="755" t="e">
        <f>IF($C$1520=0,NA(),VLOOKUP($I$1496&amp;$B$1520,FLNFIX!$DH$4:$EF$103,3,0))</f>
        <v>#N/A</v>
      </c>
      <c r="G1520" s="756" t="e">
        <f>IF($C$1520=0,NA(),VLOOKUP($I$1496&amp;$B$1520,FLNFIX!$DH$4:$EF$103,5,0))</f>
        <v>#N/A</v>
      </c>
      <c r="H1520" s="757"/>
      <c r="I1520" s="757"/>
      <c r="J1520" s="758"/>
      <c r="K1520" s="677"/>
    </row>
    <row r="1521" ht="5.1" customHeight="1" spans="1:11">
      <c r="A1521" s="675"/>
      <c r="B1521" s="759"/>
      <c r="C1521" s="759"/>
      <c r="D1521" s="760"/>
      <c r="E1521" s="760"/>
      <c r="F1521" s="760"/>
      <c r="G1521" s="761"/>
      <c r="H1521" s="761"/>
      <c r="I1521" s="761"/>
      <c r="J1521" s="761"/>
      <c r="K1521" s="677"/>
    </row>
    <row r="1522" s="667" customFormat="1" ht="24.95" customHeight="1" spans="1:11">
      <c r="A1522" s="711"/>
      <c r="B1522" s="762" t="s">
        <v>431</v>
      </c>
      <c r="C1522" s="763"/>
      <c r="D1522" s="763"/>
      <c r="E1522" s="763"/>
      <c r="F1522" s="763"/>
      <c r="G1522" s="763"/>
      <c r="H1522" s="763"/>
      <c r="I1522" s="763"/>
      <c r="J1522" s="764"/>
      <c r="K1522" s="713"/>
    </row>
    <row r="1523" spans="1:11">
      <c r="A1523" s="675"/>
      <c r="B1523" s="765"/>
      <c r="C1523" s="686"/>
      <c r="D1523" s="686"/>
      <c r="E1523" s="686"/>
      <c r="F1523" s="686"/>
      <c r="G1523" s="686"/>
      <c r="H1523" s="686"/>
      <c r="I1523" s="686"/>
      <c r="J1523" s="766"/>
      <c r="K1523" s="677"/>
    </row>
    <row r="1524" spans="1:11">
      <c r="A1524" s="675"/>
      <c r="B1524" s="765"/>
      <c r="C1524" s="686"/>
      <c r="D1524" s="686"/>
      <c r="E1524" s="686"/>
      <c r="F1524" s="686"/>
      <c r="G1524" s="686"/>
      <c r="H1524" s="686"/>
      <c r="I1524" s="686"/>
      <c r="J1524" s="766"/>
      <c r="K1524" s="677"/>
    </row>
    <row r="1525" spans="1:11">
      <c r="A1525" s="675"/>
      <c r="B1525" s="765"/>
      <c r="C1525" s="686"/>
      <c r="D1525" s="686"/>
      <c r="E1525" s="686"/>
      <c r="F1525" s="686"/>
      <c r="G1525" s="686"/>
      <c r="H1525" s="686"/>
      <c r="I1525" s="686"/>
      <c r="J1525" s="766"/>
      <c r="K1525" s="677"/>
    </row>
    <row r="1526" spans="1:11">
      <c r="A1526" s="675"/>
      <c r="B1526" s="765"/>
      <c r="C1526" s="686"/>
      <c r="D1526" s="686"/>
      <c r="E1526" s="686"/>
      <c r="F1526" s="686"/>
      <c r="G1526" s="686"/>
      <c r="H1526" s="686"/>
      <c r="I1526" s="686"/>
      <c r="J1526" s="766"/>
      <c r="K1526" s="677"/>
    </row>
    <row r="1527" spans="1:11">
      <c r="A1527" s="675"/>
      <c r="B1527" s="765"/>
      <c r="C1527" s="686"/>
      <c r="D1527" s="686"/>
      <c r="E1527" s="686"/>
      <c r="F1527" s="686"/>
      <c r="G1527" s="686"/>
      <c r="H1527" s="686"/>
      <c r="I1527" s="686"/>
      <c r="J1527" s="766"/>
      <c r="K1527" s="677"/>
    </row>
    <row r="1528" spans="1:11">
      <c r="A1528" s="675"/>
      <c r="B1528" s="765"/>
      <c r="C1528" s="686"/>
      <c r="D1528" s="686"/>
      <c r="E1528" s="686"/>
      <c r="F1528" s="686"/>
      <c r="G1528" s="686"/>
      <c r="H1528" s="686"/>
      <c r="I1528" s="686"/>
      <c r="J1528" s="766"/>
      <c r="K1528" s="677"/>
    </row>
    <row r="1529" spans="1:11">
      <c r="A1529" s="675"/>
      <c r="B1529" s="765"/>
      <c r="C1529" s="686"/>
      <c r="D1529" s="686"/>
      <c r="E1529" s="686"/>
      <c r="F1529" s="686"/>
      <c r="G1529" s="686"/>
      <c r="H1529" s="686"/>
      <c r="I1529" s="686"/>
      <c r="J1529" s="766"/>
      <c r="K1529" s="677"/>
    </row>
    <row r="1530" spans="1:11">
      <c r="A1530" s="675"/>
      <c r="B1530" s="765"/>
      <c r="C1530" s="686"/>
      <c r="D1530" s="686"/>
      <c r="E1530" s="686"/>
      <c r="F1530" s="686"/>
      <c r="G1530" s="686"/>
      <c r="H1530" s="686"/>
      <c r="I1530" s="686"/>
      <c r="J1530" s="766"/>
      <c r="K1530" s="677"/>
    </row>
    <row r="1531" spans="1:11">
      <c r="A1531" s="675"/>
      <c r="B1531" s="765"/>
      <c r="C1531" s="686"/>
      <c r="D1531" s="686"/>
      <c r="E1531" s="686"/>
      <c r="F1531" s="686"/>
      <c r="G1531" s="686"/>
      <c r="H1531" s="686"/>
      <c r="I1531" s="686"/>
      <c r="J1531" s="766"/>
      <c r="K1531" s="677"/>
    </row>
    <row r="1532" spans="1:11">
      <c r="A1532" s="675"/>
      <c r="B1532" s="767"/>
      <c r="C1532" s="768"/>
      <c r="D1532" s="768"/>
      <c r="E1532" s="768"/>
      <c r="F1532" s="768"/>
      <c r="G1532" s="768"/>
      <c r="H1532" s="768"/>
      <c r="I1532" s="768"/>
      <c r="J1532" s="769"/>
      <c r="K1532" s="677"/>
    </row>
    <row r="1533" ht="5.1" customHeight="1" spans="1:11">
      <c r="A1533" s="675"/>
      <c r="B1533" s="686"/>
      <c r="C1533" s="686"/>
      <c r="D1533" s="686"/>
      <c r="E1533" s="686"/>
      <c r="F1533" s="686"/>
      <c r="G1533" s="686"/>
      <c r="H1533" s="686"/>
      <c r="I1533" s="686"/>
      <c r="J1533" s="686"/>
      <c r="K1533" s="677"/>
    </row>
    <row r="1534" spans="1:11">
      <c r="A1534" s="675"/>
      <c r="B1534" s="770" t="s">
        <v>432</v>
      </c>
      <c r="C1534" s="770"/>
      <c r="D1534" s="770"/>
      <c r="E1534" s="770"/>
      <c r="F1534" s="770"/>
      <c r="G1534" s="770"/>
      <c r="H1534" s="770"/>
      <c r="I1534" s="770"/>
      <c r="J1534" s="770"/>
      <c r="K1534" s="677"/>
    </row>
    <row r="1535" spans="1:11">
      <c r="A1535" s="675"/>
      <c r="B1535" s="771"/>
      <c r="C1535" s="771"/>
      <c r="D1535" s="771"/>
      <c r="E1535" s="771"/>
      <c r="F1535" s="771"/>
      <c r="G1535" s="771"/>
      <c r="H1535" s="771"/>
      <c r="I1535" s="771"/>
      <c r="J1535" s="771"/>
      <c r="K1535" s="677"/>
    </row>
    <row r="1536" spans="1:11">
      <c r="A1536" s="675"/>
      <c r="B1536" s="771"/>
      <c r="C1536" s="771"/>
      <c r="D1536" s="771"/>
      <c r="E1536" s="771"/>
      <c r="F1536" s="771"/>
      <c r="G1536" s="771"/>
      <c r="H1536" s="771"/>
      <c r="I1536" s="771"/>
      <c r="J1536" s="771"/>
      <c r="K1536" s="677"/>
    </row>
    <row r="1537" spans="1:11">
      <c r="A1537" s="675"/>
      <c r="B1537" s="771"/>
      <c r="C1537" s="771"/>
      <c r="D1537" s="771"/>
      <c r="E1537" s="771"/>
      <c r="F1537" s="771"/>
      <c r="G1537" s="771"/>
      <c r="H1537" s="771"/>
      <c r="I1537" s="771"/>
      <c r="J1537" s="771"/>
      <c r="K1537" s="677"/>
    </row>
    <row r="1538" spans="1:11">
      <c r="A1538" s="675"/>
      <c r="B1538" s="686"/>
      <c r="C1538" s="686"/>
      <c r="D1538" s="686"/>
      <c r="E1538" s="686"/>
      <c r="F1538" s="686"/>
      <c r="G1538" s="686"/>
      <c r="H1538" s="686"/>
      <c r="I1538" s="686"/>
      <c r="J1538" s="686"/>
      <c r="K1538" s="677"/>
    </row>
    <row r="1539" spans="1:11">
      <c r="A1539" s="675"/>
      <c r="B1539" s="686"/>
      <c r="C1539" s="729" t="s">
        <v>433</v>
      </c>
      <c r="D1539" s="729"/>
      <c r="E1539" s="686"/>
      <c r="F1539" s="686"/>
      <c r="G1539" s="729" t="s">
        <v>434</v>
      </c>
      <c r="H1539" s="729"/>
      <c r="I1539" s="729"/>
      <c r="J1539" s="729"/>
      <c r="K1539" s="677"/>
    </row>
    <row r="1540" ht="16.35" spans="1:11">
      <c r="A1540" s="725"/>
      <c r="B1540" s="726"/>
      <c r="C1540" s="732" t="str">
        <f>"("&amp;PROPER(ENTRY!$D$19)&amp;")"</f>
        <v>(Indrajeet)</v>
      </c>
      <c r="D1540" s="732"/>
      <c r="E1540" s="726"/>
      <c r="F1540" s="726"/>
      <c r="G1540" s="732" t="str">
        <f>"("&amp;PROPER(ENTRY!$D$12)&amp;")"</f>
        <v>(Shambhu Dayal Meena)</v>
      </c>
      <c r="H1540" s="732"/>
      <c r="I1540" s="732"/>
      <c r="J1540" s="732"/>
      <c r="K1540" s="728"/>
    </row>
    <row r="1541" ht="24.6" spans="1:11">
      <c r="B1541" s="734"/>
      <c r="C1541" s="734"/>
      <c r="D1541" s="669" t="str">
        <f>ENTRY!$D$3</f>
        <v>MUNICIPAL CORPORATION OF DELHI</v>
      </c>
      <c r="E1541" s="669"/>
      <c r="F1541" s="669"/>
      <c r="G1541" s="669"/>
      <c r="H1541" s="734"/>
      <c r="I1541" s="669"/>
      <c r="J1541" s="669"/>
    </row>
    <row r="1542" ht="20.4" spans="1:11">
      <c r="B1542" s="735"/>
      <c r="C1542" s="735"/>
      <c r="D1542" s="670" t="str">
        <f>ENTRY!$D$4</f>
        <v>EDUCATION DEPARTMENT</v>
      </c>
      <c r="E1542" s="670"/>
      <c r="F1542" s="670"/>
      <c r="G1542" s="670"/>
      <c r="H1542" s="735"/>
      <c r="I1542" s="669"/>
      <c r="J1542" s="669"/>
    </row>
    <row r="1543" ht="22.8" spans="1:11">
      <c r="B1543" s="736"/>
      <c r="C1543" s="736"/>
      <c r="D1543" s="664" t="s">
        <v>417</v>
      </c>
      <c r="E1543" s="664"/>
      <c r="F1543" s="664"/>
      <c r="G1543" s="664"/>
      <c r="H1543" s="736"/>
      <c r="I1543" s="669"/>
      <c r="J1543" s="669"/>
    </row>
    <row r="1544" ht="22.8" spans="1:11">
      <c r="B1544" s="736"/>
      <c r="C1544" s="736"/>
      <c r="D1544" s="664" t="s">
        <v>418</v>
      </c>
      <c r="E1544" s="664"/>
      <c r="F1544" s="664"/>
      <c r="G1544" s="664"/>
      <c r="H1544" s="736"/>
      <c r="I1544" s="669"/>
      <c r="J1544" s="669"/>
    </row>
    <row r="1545" ht="24.95" customHeight="1" spans="1:11">
      <c r="B1545" s="735"/>
      <c r="C1545" s="735"/>
      <c r="D1545" s="737" t="str">
        <f>"SESSION : "&amp;ENTRY!$D$11</f>
        <v>SESSION : 2026-27</v>
      </c>
      <c r="E1545" s="737"/>
      <c r="F1545" s="737"/>
      <c r="G1545" s="737"/>
      <c r="H1545" s="735"/>
      <c r="I1545" s="738"/>
      <c r="J1545" s="738"/>
    </row>
    <row r="1546" ht="3.75" customHeight="1" spans="1:11">
      <c r="A1546" s="672"/>
      <c r="B1546" s="739"/>
      <c r="C1546" s="739"/>
      <c r="D1546" s="739"/>
      <c r="E1546" s="739"/>
      <c r="F1546" s="739"/>
      <c r="G1546" s="739"/>
      <c r="H1546" s="739"/>
      <c r="I1546" s="739"/>
      <c r="J1546" s="739"/>
      <c r="K1546" s="674"/>
    </row>
    <row r="1547" ht="21.95" customHeight="1" spans="1:11">
      <c r="A1547" s="675"/>
      <c r="B1547" s="676" t="s">
        <v>419</v>
      </c>
      <c r="C1547" s="676"/>
      <c r="D1547" s="676" t="str">
        <f>ENTRY!$D$6</f>
        <v>MCP NITHARI NO 1 BOYS</v>
      </c>
      <c r="E1547" s="676"/>
      <c r="F1547" s="676"/>
      <c r="G1547" s="676"/>
      <c r="H1547" s="676"/>
      <c r="I1547" s="676"/>
      <c r="J1547" s="676"/>
      <c r="K1547" s="677"/>
    </row>
    <row r="1548" ht="21.95" customHeight="1" spans="1:11">
      <c r="A1548" s="675"/>
      <c r="B1548" s="676" t="s">
        <v>420</v>
      </c>
      <c r="C1548" s="676"/>
      <c r="D1548" s="740" t="str">
        <f>IFERROR(VLOOKUP($I$1551,STUDENT!$A$2:$BP$101,5,0),"")</f>
        <v>KARTIK</v>
      </c>
      <c r="E1548" s="740"/>
      <c r="F1548" s="740"/>
      <c r="G1548" s="740"/>
      <c r="H1548" s="740"/>
      <c r="I1548" s="740"/>
      <c r="J1548" s="740"/>
      <c r="K1548" s="677"/>
    </row>
    <row r="1549" ht="21.95" customHeight="1" spans="1:11">
      <c r="A1549" s="675"/>
      <c r="B1549" s="676" t="s">
        <v>421</v>
      </c>
      <c r="C1549" s="676"/>
      <c r="D1549" s="740" t="str">
        <f>IFERROR(VLOOKUP($I$1551,STUDENT!$A$2:$BP$101,8,0),"")</f>
        <v>AMAN YADAV</v>
      </c>
      <c r="E1549" s="740"/>
      <c r="F1549" s="740"/>
      <c r="G1549" s="740"/>
      <c r="H1549" s="740"/>
      <c r="I1549" s="740"/>
      <c r="J1549" s="740"/>
      <c r="K1549" s="677"/>
    </row>
    <row r="1550" ht="21.95" customHeight="1" spans="1:11">
      <c r="A1550" s="675"/>
      <c r="B1550" s="676" t="s">
        <v>422</v>
      </c>
      <c r="C1550" s="676"/>
      <c r="D1550" s="740">
        <f>IFERROR(VLOOKUP($I$1551,STUDENT!$A$2:$BP$101,6,0),"")</f>
        <v>15000</v>
      </c>
      <c r="E1550" s="740"/>
      <c r="F1550" s="740"/>
      <c r="G1550" s="740"/>
      <c r="H1550" s="740"/>
      <c r="I1550" s="740"/>
      <c r="J1550" s="740"/>
      <c r="K1550" s="677"/>
    </row>
    <row r="1551" ht="21.95" customHeight="1" spans="1:11">
      <c r="A1551" s="675"/>
      <c r="B1551" s="676" t="s">
        <v>423</v>
      </c>
      <c r="C1551" s="676"/>
      <c r="D1551" s="741" t="str">
        <f>IFERROR(VLOOKUP($I$1551,STUDENT!$A$2:$BP$101,59,0),"")</f>
        <v/>
      </c>
      <c r="E1551" s="742" t="s">
        <v>424</v>
      </c>
      <c r="F1551" s="704" t="str">
        <f>IFERROR(VLOOKUP($I$1551,STUDENT!$A$2:$BP$101,2,0),"")</f>
        <v>III-A</v>
      </c>
      <c r="G1551" s="742" t="s">
        <v>425</v>
      </c>
      <c r="H1551" s="743"/>
      <c r="I1551" s="733">
        <f>I1496+1</f>
        <v>29</v>
      </c>
      <c r="J1551" s="683"/>
      <c r="K1551" s="677"/>
    </row>
    <row r="1552" ht="5.1" customHeight="1" spans="1:11">
      <c r="A1552" s="675"/>
      <c r="B1552" s="745"/>
      <c r="C1552" s="745"/>
      <c r="D1552" s="746"/>
      <c r="E1552" s="747"/>
      <c r="F1552" s="748"/>
      <c r="G1552" s="747"/>
      <c r="H1552" s="686"/>
      <c r="I1552" s="686"/>
      <c r="J1552" s="686"/>
      <c r="K1552" s="677"/>
    </row>
    <row r="1553" s="664" customFormat="1" ht="32.1" customHeight="1" spans="1:11">
      <c r="A1553" s="688"/>
      <c r="B1553" s="749" t="s">
        <v>426</v>
      </c>
      <c r="C1553" s="750"/>
      <c r="D1553" s="750"/>
      <c r="E1553" s="750"/>
      <c r="F1553" s="750"/>
      <c r="G1553" s="750"/>
      <c r="H1553" s="750"/>
      <c r="I1553" s="750"/>
      <c r="J1553" s="751"/>
      <c r="K1553" s="690"/>
    </row>
    <row r="1554" ht="51.6" spans="1:11">
      <c r="A1554" s="675"/>
      <c r="B1554" s="752">
        <v>21</v>
      </c>
      <c r="C1554" s="753" t="s">
        <v>427</v>
      </c>
      <c r="D1554" s="754" t="s">
        <v>428</v>
      </c>
      <c r="E1554" s="754" t="s">
        <v>429</v>
      </c>
      <c r="F1554" s="754" t="s">
        <v>430</v>
      </c>
      <c r="G1554" s="753" t="s">
        <v>390</v>
      </c>
      <c r="H1554" s="714"/>
      <c r="I1554" s="714"/>
      <c r="J1554" s="714"/>
      <c r="K1554" s="677"/>
    </row>
    <row r="1555" ht="20.1" customHeight="1" spans="1:11">
      <c r="A1555" s="675"/>
      <c r="B1555" s="755">
        <v>1</v>
      </c>
      <c r="C1555" s="755" t="str">
        <f>IFERROR(VLOOKUP(B1555,DATEWISE!$A$3:$BY$27,2,0),0)</f>
        <v>30.04.2026</v>
      </c>
      <c r="D1555" s="755">
        <f>IF($C$1555=0,NA(),VLOOKUP($I$1551&amp;$B$1555,FLNFIX!$L$4:$EF$103,2,0))</f>
        <v>2</v>
      </c>
      <c r="E1555" s="755">
        <f>IF($C$1555=0,NA(),VLOOKUP($I$1551&amp;$B$1555,FLNFIX!$L$4:$EF$103,4,0))</f>
        <v>3</v>
      </c>
      <c r="F1555" s="755">
        <f>IF($C$1555=0,NA(),VLOOKUP($I$1551&amp;$B$1555,FLNFIX!$L$4:$EF$103,3,0))</f>
        <v>2</v>
      </c>
      <c r="G1555" s="756">
        <f>IF($C$1555=0,NA(),VLOOKUP($I$1551&amp;$B$1555,FLNFIX!$L$4:$EF$103,5,0))</f>
        <v>0</v>
      </c>
      <c r="H1555" s="757"/>
      <c r="I1555" s="757"/>
      <c r="J1555" s="758"/>
      <c r="K1555" s="677"/>
    </row>
    <row r="1556" ht="20.1" customHeight="1" spans="1:11">
      <c r="A1556" s="675"/>
      <c r="B1556" s="755">
        <f t="shared" ref="B1556:B1575" si="28">IF(B1555=0,0,IF(B1555&lt;$B$1554,B1555+1,""))</f>
        <v>2</v>
      </c>
      <c r="C1556" s="755" t="str">
        <f>IFERROR(VLOOKUP(B1556,DATEWISE!$A$3:$BY$27,2,0),0)</f>
        <v>08.05.2026</v>
      </c>
      <c r="D1556" s="755">
        <f>IF($C$1556=0,NA(),VLOOKUP($I$1551&amp;$B$1556,FLNFIX!$Q$4:$EF$103,2,0))</f>
        <v>2</v>
      </c>
      <c r="E1556" s="755">
        <f>IF($C$1556=0,NA(),VLOOKUP($I$1551&amp;$B$1556,FLNFIX!$Q$4:$EF$103,4,0))</f>
        <v>3</v>
      </c>
      <c r="F1556" s="755">
        <f>IF($C$1556=0,NA(),VLOOKUP($I$1551&amp;$B$1556,FLNFIX!$Q$4:$EF$103,3,0))</f>
        <v>2</v>
      </c>
      <c r="G1556" s="756">
        <f>IF($C$1556=0,NA(),VLOOKUP($I$1551&amp;$B$1556,FLNFIX!$Q$4:$EF$103,5,0))</f>
        <v>0</v>
      </c>
      <c r="H1556" s="757"/>
      <c r="I1556" s="757"/>
      <c r="J1556" s="758"/>
      <c r="K1556" s="677"/>
    </row>
    <row r="1557" ht="20.1" customHeight="1" spans="1:11">
      <c r="A1557" s="675"/>
      <c r="B1557" s="755">
        <f t="shared" si="28"/>
        <v>3</v>
      </c>
      <c r="C1557" s="755" t="str">
        <f>IFERROR(VLOOKUP(B1557,DATEWISE!$A$3:$BY$27,2,0),0)</f>
        <v>15.07.2026</v>
      </c>
      <c r="D1557" s="755">
        <f>IF($C$1557=0,NA(),VLOOKUP($I$1551&amp;$B$1557,FLNFIX!$V$4:$EF$103,2,0))</f>
        <v>2</v>
      </c>
      <c r="E1557" s="755">
        <f>IF($C$1557=0,NA(),VLOOKUP($I$1551&amp;$B$1557,FLNFIX!$V$4:$EF$103,4,0))</f>
        <v>3</v>
      </c>
      <c r="F1557" s="755">
        <f>IF($C$1557=0,NA(),VLOOKUP($I$1551&amp;$B$1557,FLNFIX!$V$4:$EF$103,3,0))</f>
        <v>2</v>
      </c>
      <c r="G1557" s="756">
        <f>IF($C$1557=0,NA(),VLOOKUP($I$1551&amp;$B$1557,FLNFIX!$V$4:$EF$103,5,0))</f>
        <v>0</v>
      </c>
      <c r="H1557" s="757"/>
      <c r="I1557" s="757"/>
      <c r="J1557" s="758"/>
      <c r="K1557" s="677"/>
    </row>
    <row r="1558" ht="20.1" customHeight="1" spans="1:11">
      <c r="A1558" s="675"/>
      <c r="B1558" s="755">
        <f t="shared" si="28"/>
        <v>4</v>
      </c>
      <c r="C1558" s="755" t="str">
        <f>IFERROR(VLOOKUP(B1558,DATEWISE!$A$3:$BY$27,2,0),0)</f>
        <v>31.07.2026</v>
      </c>
      <c r="D1558" s="755">
        <f>IF($C$1558=0,NA(),VLOOKUP($I$1551&amp;$B$1558,FLNFIX!$AA$4:$EF$103,2,0))</f>
        <v>2</v>
      </c>
      <c r="E1558" s="755">
        <f>IF($C$1558=0,NA(),VLOOKUP($I$1551&amp;$B$1558,FLNFIX!$AA$4:$EF$103,4,0))</f>
        <v>3</v>
      </c>
      <c r="F1558" s="755">
        <f>IF($C$1558=0,NA(),VLOOKUP($I$1551&amp;$B$1558,FLNFIX!$AA$4:$EF$103,3,0))</f>
        <v>2</v>
      </c>
      <c r="G1558" s="756">
        <f>IF($C$1558=0,NA(),VLOOKUP($I$1551&amp;$B$1558,FLNFIX!$AA$4:$EF$103,5,0))</f>
        <v>0</v>
      </c>
      <c r="H1558" s="757"/>
      <c r="I1558" s="757"/>
      <c r="J1558" s="758"/>
      <c r="K1558" s="677"/>
    </row>
    <row r="1559" ht="20.1" customHeight="1" spans="1:11">
      <c r="A1559" s="675"/>
      <c r="B1559" s="755">
        <f t="shared" si="28"/>
        <v>5</v>
      </c>
      <c r="C1559" s="755" t="str">
        <f>IFERROR(VLOOKUP(B1559,DATEWISE!$A$3:$BY$27,2,0),0)</f>
        <v>17.08.2026</v>
      </c>
      <c r="D1559" s="755">
        <f>IF($C$1559=0,NA(),VLOOKUP($I$1551&amp;$B$1559,FLNFIX!$AF$4:$EF$103,2,0))</f>
        <v>2</v>
      </c>
      <c r="E1559" s="755">
        <f>IF($C$1559=0,NA(),VLOOKUP($I$1551&amp;$B$1559,FLNFIX!$AF$4:$EF$103,4,0))</f>
        <v>3</v>
      </c>
      <c r="F1559" s="755">
        <f>IF($C$1559=0,NA(),VLOOKUP($I$1551&amp;$B$1559,FLNFIX!$AF$4:$EF$103,3,0))</f>
        <v>2</v>
      </c>
      <c r="G1559" s="756">
        <f>IF($C$1559=0,NA(),VLOOKUP($I$1551&amp;$B$1559,FLNFIX!$AF$4:$EF$103,5,0))</f>
        <v>0</v>
      </c>
      <c r="H1559" s="757"/>
      <c r="I1559" s="757"/>
      <c r="J1559" s="758"/>
      <c r="K1559" s="677"/>
    </row>
    <row r="1560" ht="20.1" customHeight="1" spans="1:11">
      <c r="A1560" s="675"/>
      <c r="B1560" s="755">
        <f t="shared" si="28"/>
        <v>6</v>
      </c>
      <c r="C1560" s="755" t="str">
        <f>IFERROR(VLOOKUP(B1560,DATEWISE!$A$3:$BY$27,2,0),0)</f>
        <v>31.08.2026</v>
      </c>
      <c r="D1560" s="755">
        <f>IF($C$1560=0,NA(),VLOOKUP($I$1551&amp;$B$1560,FLNFIX!$AK$4:$EF$103,2,0))</f>
        <v>2</v>
      </c>
      <c r="E1560" s="755">
        <f>IF($C$1560=0,NA(),VLOOKUP($I$1551&amp;$B$1560,FLNFIX!$AK$4:$EF$103,4,0))</f>
        <v>3</v>
      </c>
      <c r="F1560" s="755">
        <f>IF($C$1560=0,NA(),VLOOKUP($I$1551&amp;$B$1560,FLNFIX!$AK$4:$EF$103,3,0))</f>
        <v>2</v>
      </c>
      <c r="G1560" s="756">
        <f>IF($C$1560=0,NA(),VLOOKUP($I$1551&amp;$B$1560,FLNFIX!$AK$4:$EF$103,5,0))</f>
        <v>0</v>
      </c>
      <c r="H1560" s="757"/>
      <c r="I1560" s="757"/>
      <c r="J1560" s="758"/>
      <c r="K1560" s="677"/>
    </row>
    <row r="1561" ht="20.1" customHeight="1" spans="1:11">
      <c r="A1561" s="675"/>
      <c r="B1561" s="755">
        <f t="shared" si="28"/>
        <v>7</v>
      </c>
      <c r="C1561" s="755">
        <f>IFERROR(VLOOKUP(B1561,DATEWISE!$A$3:$BY$27,2,0),0)</f>
        <v>0</v>
      </c>
      <c r="D1561" s="755" t="e">
        <f>IF($C$1561=0,NA(),VLOOKUP($I$1551&amp;$B$1561,FLNFIX!$AP$4:$EF$103,2,0))</f>
        <v>#N/A</v>
      </c>
      <c r="E1561" s="755" t="e">
        <f>IF($C$1561=0,NA(),VLOOKUP($I$1551&amp;$B$1561,FLNFIX!$AP$4:$EF$103,4,0))</f>
        <v>#N/A</v>
      </c>
      <c r="F1561" s="755" t="e">
        <f>IF($C$1561=0,NA(),VLOOKUP($I$1551&amp;$B$1561,FLNFIX!$AP$4:$EF$103,3,0))</f>
        <v>#N/A</v>
      </c>
      <c r="G1561" s="756" t="e">
        <f>IF($C$1561=0,NA(),VLOOKUP($I$1551&amp;$B$1561,FLNFIX!$AP$4:$EF$103,5,0))</f>
        <v>#N/A</v>
      </c>
      <c r="H1561" s="757"/>
      <c r="I1561" s="757"/>
      <c r="J1561" s="758"/>
      <c r="K1561" s="677"/>
    </row>
    <row r="1562" ht="20.1" customHeight="1" spans="1:11">
      <c r="A1562" s="675"/>
      <c r="B1562" s="755">
        <f t="shared" si="28"/>
        <v>8</v>
      </c>
      <c r="C1562" s="755">
        <f>IFERROR(VLOOKUP(B1562,DATEWISE!$A$3:$BY$27,2,0),0)</f>
        <v>0</v>
      </c>
      <c r="D1562" s="755" t="e">
        <f>IF($C$1562=0,NA(),VLOOKUP($I$1551&amp;$B$1562,FLNFIX!$AU$4:$EF$103,2,0))</f>
        <v>#N/A</v>
      </c>
      <c r="E1562" s="755" t="e">
        <f>IF($C$1562=0,NA(),VLOOKUP($I$1551&amp;$B$1562,FLNFIX!$AU$4:$EF$103,4,0))</f>
        <v>#N/A</v>
      </c>
      <c r="F1562" s="755" t="e">
        <f>IF($C$1562=0,NA(),VLOOKUP($I$1551&amp;$B$1562,FLNFIX!$AU$4:$EF$103,3,0))</f>
        <v>#N/A</v>
      </c>
      <c r="G1562" s="756" t="e">
        <f>IF($C$1562=0,NA(),VLOOKUP($I$1551&amp;$B$1562,FLNFIX!$AU$4:$EF$103,5,0))</f>
        <v>#N/A</v>
      </c>
      <c r="H1562" s="757"/>
      <c r="I1562" s="757"/>
      <c r="J1562" s="758"/>
      <c r="K1562" s="677"/>
    </row>
    <row r="1563" ht="20.1" customHeight="1" spans="1:11">
      <c r="A1563" s="675"/>
      <c r="B1563" s="755">
        <f t="shared" si="28"/>
        <v>9</v>
      </c>
      <c r="C1563" s="755">
        <f>IFERROR(VLOOKUP(B1563,DATEWISE!$A$3:$BY$27,2,0),0)</f>
        <v>0</v>
      </c>
      <c r="D1563" s="755" t="e">
        <f>IF($C$1563=0,NA(),VLOOKUP($I$1551&amp;$B$1563,FLNFIX!$AZ$4:$EF$103,2,0))</f>
        <v>#N/A</v>
      </c>
      <c r="E1563" s="755" t="e">
        <f>IF($C$1563=0,NA(),VLOOKUP($I$1551&amp;$B$1563,FLNFIX!$AZ$4:$EF$103,4,0))</f>
        <v>#N/A</v>
      </c>
      <c r="F1563" s="755" t="e">
        <f>IF($C$1563=0,NA(),VLOOKUP($I$1551&amp;$B$1563,FLNFIX!$AZ$4:$EF$103,3,0))</f>
        <v>#N/A</v>
      </c>
      <c r="G1563" s="756" t="e">
        <f>IF($C$1563=0,NA(),VLOOKUP($I$1551&amp;$B$1563,FLNFIX!$AZ$4:$EF$103,5,0))</f>
        <v>#N/A</v>
      </c>
      <c r="H1563" s="757"/>
      <c r="I1563" s="757"/>
      <c r="J1563" s="758"/>
      <c r="K1563" s="677"/>
    </row>
    <row r="1564" ht="20.1" customHeight="1" spans="1:11">
      <c r="A1564" s="675"/>
      <c r="B1564" s="755">
        <f t="shared" si="28"/>
        <v>10</v>
      </c>
      <c r="C1564" s="755">
        <f>IFERROR(VLOOKUP(B1564,DATEWISE!$A$3:$BY$27,2,0),0)</f>
        <v>0</v>
      </c>
      <c r="D1564" s="755" t="e">
        <f>IF($C$1564=0,NA(),VLOOKUP($I$1551&amp;$B$1564,FLNFIX!$BE$4:$EF$103,2,0))</f>
        <v>#N/A</v>
      </c>
      <c r="E1564" s="755" t="e">
        <f>IF($C$1564=0,NA(),VLOOKUP($I$1551&amp;$B$1564,FLNFIX!$BE$4:$EF$103,4,0))</f>
        <v>#N/A</v>
      </c>
      <c r="F1564" s="755" t="e">
        <f>IF($C$1564=0,NA(),VLOOKUP($I$1551&amp;$B$1564,FLNFIX!$BE$4:$EF$103,3,0))</f>
        <v>#N/A</v>
      </c>
      <c r="G1564" s="756" t="e">
        <f>IF($C$1564=0,NA(),VLOOKUP($I$1551&amp;$B$1564,FLNFIX!$BE$4:$EF$103,5,0))</f>
        <v>#N/A</v>
      </c>
      <c r="H1564" s="757"/>
      <c r="I1564" s="757"/>
      <c r="J1564" s="758"/>
      <c r="K1564" s="677"/>
    </row>
    <row r="1565" ht="20.1" customHeight="1" spans="1:11">
      <c r="A1565" s="675"/>
      <c r="B1565" s="755">
        <f t="shared" si="28"/>
        <v>11</v>
      </c>
      <c r="C1565" s="755">
        <f>IFERROR(VLOOKUP(B1565,DATEWISE!$A$3:$BY$27,2,0),0)</f>
        <v>0</v>
      </c>
      <c r="D1565" s="755" t="e">
        <f>IF($C$1565=0,NA(),VLOOKUP($I$1551&amp;$B$1565,FLNFIX!$BJ$4:$EF$103,2,0))</f>
        <v>#N/A</v>
      </c>
      <c r="E1565" s="755" t="e">
        <f>IF($C$1565=0,NA(),VLOOKUP($I$1551&amp;$B$1565,FLNFIX!$BJ$4:$EF$103,4,0))</f>
        <v>#N/A</v>
      </c>
      <c r="F1565" s="755" t="e">
        <f>IF($C$1565=0,NA(),VLOOKUP($I$1551&amp;$B$1565,FLNFIX!$BJ$4:$EF$103,3,0))</f>
        <v>#N/A</v>
      </c>
      <c r="G1565" s="756" t="e">
        <f>IF($C$1565=0,NA(),VLOOKUP($I$1551&amp;$B$1565,FLNFIX!$BJ$4:$EF$103,5,0))</f>
        <v>#N/A</v>
      </c>
      <c r="H1565" s="757"/>
      <c r="I1565" s="757"/>
      <c r="J1565" s="758"/>
      <c r="K1565" s="677"/>
    </row>
    <row r="1566" ht="20.1" customHeight="1" spans="1:11">
      <c r="A1566" s="675"/>
      <c r="B1566" s="755">
        <f t="shared" si="28"/>
        <v>12</v>
      </c>
      <c r="C1566" s="755">
        <f>IFERROR(VLOOKUP(B1566,DATEWISE!$A$3:$BY$27,2,0),0)</f>
        <v>0</v>
      </c>
      <c r="D1566" s="755" t="e">
        <f>IF($C$1566=0,NA(),VLOOKUP($I$1551&amp;$B$1566,FLNFIX!$BO$4:$EF$103,2,0))</f>
        <v>#N/A</v>
      </c>
      <c r="E1566" s="755" t="e">
        <f>IF($C$1566=0,NA(),VLOOKUP($I$1551&amp;$B$1566,FLNFIX!$BO$4:$EF$103,4,0))</f>
        <v>#N/A</v>
      </c>
      <c r="F1566" s="755" t="e">
        <f>IF($C$1566=0,NA(),VLOOKUP($I$1551&amp;$B$1566,FLNFIX!$BO$4:$EF$103,3,0))</f>
        <v>#N/A</v>
      </c>
      <c r="G1566" s="756" t="e">
        <f>IF($C$1566=0,NA(),VLOOKUP($I$1551&amp;$B$1566,FLNFIX!$BO$4:$EF$103,5,0))</f>
        <v>#N/A</v>
      </c>
      <c r="H1566" s="757"/>
      <c r="I1566" s="757"/>
      <c r="J1566" s="758"/>
      <c r="K1566" s="677"/>
    </row>
    <row r="1567" ht="20.1" customHeight="1" spans="1:11">
      <c r="A1567" s="675"/>
      <c r="B1567" s="755">
        <f t="shared" si="28"/>
        <v>13</v>
      </c>
      <c r="C1567" s="755">
        <f>IFERROR(VLOOKUP(B1567,DATEWISE!$A$3:$BY$27,2,0),0)</f>
        <v>0</v>
      </c>
      <c r="D1567" s="755" t="e">
        <f>IF($C$1567=0,NA(),VLOOKUP($I$1551&amp;$B$1567,FLNFIX!$BT$4:$EF$103,2,0))</f>
        <v>#N/A</v>
      </c>
      <c r="E1567" s="755" t="e">
        <f>IF($C$1567=0,NA(),VLOOKUP($I$1551&amp;$B$1567,FLNFIX!$BT$4:$EF$103,4,0))</f>
        <v>#N/A</v>
      </c>
      <c r="F1567" s="755" t="e">
        <f>IF($C$1567=0,NA(),VLOOKUP($I$1551&amp;$B$1567,FLNFIX!$BT$4:$EF$103,3,0))</f>
        <v>#N/A</v>
      </c>
      <c r="G1567" s="756" t="e">
        <f>IF($C$1567=0,NA(),VLOOKUP($I$1551&amp;$B$1567,FLNFIX!$BT$4:$EF$103,5,0))</f>
        <v>#N/A</v>
      </c>
      <c r="H1567" s="757"/>
      <c r="I1567" s="757"/>
      <c r="J1567" s="758"/>
      <c r="K1567" s="677"/>
    </row>
    <row r="1568" ht="20.1" customHeight="1" spans="1:11">
      <c r="A1568" s="675"/>
      <c r="B1568" s="755">
        <f t="shared" si="28"/>
        <v>14</v>
      </c>
      <c r="C1568" s="755">
        <f>IFERROR(VLOOKUP(B1568,DATEWISE!$A$3:$BY$27,2,0),0)</f>
        <v>0</v>
      </c>
      <c r="D1568" s="755" t="e">
        <f>IF($C$1568=0,NA(),VLOOKUP($I$1551&amp;$B$1568,FLNFIX!$BY$4:$EF$103,2,0))</f>
        <v>#N/A</v>
      </c>
      <c r="E1568" s="755" t="e">
        <f>IF($C$1568=0,NA(),VLOOKUP($I$1551&amp;$B$1568,FLNFIX!$BY$4:$EF$103,4,0))</f>
        <v>#N/A</v>
      </c>
      <c r="F1568" s="755" t="e">
        <f>IF($C$1568=0,NA(),VLOOKUP($I$1551&amp;$B$1568,FLNFIX!$BY$4:$EF$103,3,0))</f>
        <v>#N/A</v>
      </c>
      <c r="G1568" s="756" t="e">
        <f>IF($C$1568=0,NA(),VLOOKUP($I$1551&amp;$B$1568,FLNFIX!$BY$4:$EF$103,5,0))</f>
        <v>#N/A</v>
      </c>
      <c r="H1568" s="757"/>
      <c r="I1568" s="757"/>
      <c r="J1568" s="758"/>
      <c r="K1568" s="677"/>
    </row>
    <row r="1569" ht="20.1" customHeight="1" spans="1:11">
      <c r="A1569" s="675"/>
      <c r="B1569" s="755">
        <f t="shared" si="28"/>
        <v>15</v>
      </c>
      <c r="C1569" s="755">
        <f>IFERROR(VLOOKUP(B1569,DATEWISE!$A$3:$BY$27,2,0),0)</f>
        <v>0</v>
      </c>
      <c r="D1569" s="755" t="e">
        <f>IF($C$1569=0,NA(),VLOOKUP($I$1551&amp;$B$1569,FLNFIX!$CD$4:$EF$103,2,0))</f>
        <v>#N/A</v>
      </c>
      <c r="E1569" s="755" t="e">
        <f>IF($C$1569=0,NA(),VLOOKUP($I$1551&amp;$B$1569,FLNFIX!$CD$4:$EF$103,4,0))</f>
        <v>#N/A</v>
      </c>
      <c r="F1569" s="755" t="e">
        <f>IF($C$1569=0,NA(),VLOOKUP($I$1551&amp;$B$1569,FLNFIX!$CD$4:$EF$103,3,0))</f>
        <v>#N/A</v>
      </c>
      <c r="G1569" s="756" t="e">
        <f>IF($C$1569=0,NA(),VLOOKUP($I$1551&amp;$B$1569,FLNFIX!$CD$4:$EF$103,5,0))</f>
        <v>#N/A</v>
      </c>
      <c r="H1569" s="757"/>
      <c r="I1569" s="757"/>
      <c r="J1569" s="758"/>
      <c r="K1569" s="677"/>
    </row>
    <row r="1570" ht="20.1" customHeight="1" spans="1:11">
      <c r="A1570" s="675"/>
      <c r="B1570" s="755">
        <f t="shared" si="28"/>
        <v>16</v>
      </c>
      <c r="C1570" s="755">
        <f>IFERROR(VLOOKUP(B1570,DATEWISE!$A$3:$BY$27,2,0),0)</f>
        <v>0</v>
      </c>
      <c r="D1570" s="755" t="e">
        <f>IF($C$1570=0,NA(),VLOOKUP($I$1551&amp;$B$1570,FLNFIX!$CI$4:$EF$103,2,0))</f>
        <v>#N/A</v>
      </c>
      <c r="E1570" s="755" t="e">
        <f>IF($C$1570=0,NA(),VLOOKUP($I$1551&amp;$B$1570,FLNFIX!$CI$4:$EF$103,4,0))</f>
        <v>#N/A</v>
      </c>
      <c r="F1570" s="755" t="e">
        <f>IF($C$1570=0,NA(),VLOOKUP($I$1551&amp;$B$1570,FLNFIX!$CI$4:$EF$103,3,0))</f>
        <v>#N/A</v>
      </c>
      <c r="G1570" s="756" t="e">
        <f>IF($C$1570=0,NA(),VLOOKUP($I$1551&amp;$B$1570,FLNFIX!$CI$4:$EF$103,5,0))</f>
        <v>#N/A</v>
      </c>
      <c r="H1570" s="757"/>
      <c r="I1570" s="757"/>
      <c r="J1570" s="758"/>
      <c r="K1570" s="677"/>
    </row>
    <row r="1571" ht="20.1" customHeight="1" spans="1:11">
      <c r="A1571" s="675"/>
      <c r="B1571" s="755">
        <f t="shared" si="28"/>
        <v>17</v>
      </c>
      <c r="C1571" s="755">
        <f>IFERROR(VLOOKUP(B1571,DATEWISE!$A$3:$BY$27,2,0),0)</f>
        <v>0</v>
      </c>
      <c r="D1571" s="755" t="e">
        <f>IF($C$1571=0,NA(),VLOOKUP($I$1551&amp;$B$1571,FLNFIX!$CN$4:$EF$103,2,0))</f>
        <v>#N/A</v>
      </c>
      <c r="E1571" s="755" t="e">
        <f>IF($C$1571=0,NA(),VLOOKUP($I$1551&amp;$B$1571,FLNFIX!$CN$4:$EF$103,4,0))</f>
        <v>#N/A</v>
      </c>
      <c r="F1571" s="755" t="e">
        <f>IF($C$1571=0,NA(),VLOOKUP($I$1551&amp;$B$1571,FLNFIX!$CN$4:$EF$103,3,0))</f>
        <v>#N/A</v>
      </c>
      <c r="G1571" s="756" t="e">
        <f>IF($C$1571=0,NA(),VLOOKUP($I$1551&amp;$B$1571,FLNFIX!$CN$4:$EF$103,5,0))</f>
        <v>#N/A</v>
      </c>
      <c r="H1571" s="757"/>
      <c r="I1571" s="757"/>
      <c r="J1571" s="758"/>
      <c r="K1571" s="677"/>
    </row>
    <row r="1572" ht="20.1" customHeight="1" spans="1:11">
      <c r="A1572" s="675"/>
      <c r="B1572" s="755">
        <f t="shared" si="28"/>
        <v>18</v>
      </c>
      <c r="C1572" s="755">
        <f>IFERROR(VLOOKUP(B1572,DATEWISE!$A$3:$BY$27,2,0),0)</f>
        <v>0</v>
      </c>
      <c r="D1572" s="755" t="e">
        <f>IF($C$1572=0,NA(),VLOOKUP($I$1551&amp;$B$1572,FLNFIX!$CS$4:$EF$103,2,0))</f>
        <v>#N/A</v>
      </c>
      <c r="E1572" s="755" t="e">
        <f>IF($C$1572=0,NA(),VLOOKUP($I$1551&amp;$B$1572,FLNFIX!$CS$4:$EF$103,4,0))</f>
        <v>#N/A</v>
      </c>
      <c r="F1572" s="755" t="e">
        <f>IF($C$1572=0,NA(),VLOOKUP($I$1551&amp;$B$1572,FLNFIX!$CS$4:$EF$103,3,0))</f>
        <v>#N/A</v>
      </c>
      <c r="G1572" s="756" t="e">
        <f>IF($C$1572=0,NA(),VLOOKUP($I$1551&amp;$B$1572,FLNFIX!$CS$4:$EF$103,5,0))</f>
        <v>#N/A</v>
      </c>
      <c r="H1572" s="757"/>
      <c r="I1572" s="757"/>
      <c r="J1572" s="758"/>
      <c r="K1572" s="677"/>
    </row>
    <row r="1573" ht="20.1" customHeight="1" spans="1:11">
      <c r="A1573" s="675"/>
      <c r="B1573" s="755">
        <f t="shared" si="28"/>
        <v>19</v>
      </c>
      <c r="C1573" s="755">
        <f>IFERROR(VLOOKUP(B1573,DATEWISE!$A$3:$BY$27,2,0),0)</f>
        <v>0</v>
      </c>
      <c r="D1573" s="755" t="e">
        <f>IF($C$1573=0,NA(),VLOOKUP($I$1551&amp;$B$1573,FLNFIX!$CX$4:$EF$103,2,0))</f>
        <v>#N/A</v>
      </c>
      <c r="E1573" s="755" t="e">
        <f>IF($C$1573=0,NA(),VLOOKUP($I$1551&amp;$B$1573,FLNFIX!$CX$4:$EF$103,4,0))</f>
        <v>#N/A</v>
      </c>
      <c r="F1573" s="755" t="e">
        <f>IF($C$1573=0,NA(),VLOOKUP($I$1551&amp;$B$1573,FLNFIX!$CX$4:$EF$103,3,0))</f>
        <v>#N/A</v>
      </c>
      <c r="G1573" s="756" t="e">
        <f>IF($C$1573=0,NA(),VLOOKUP($I$1551&amp;$B$1573,FLNFIX!$CX$4:$EF$103,5,0))</f>
        <v>#N/A</v>
      </c>
      <c r="H1573" s="757"/>
      <c r="I1573" s="757"/>
      <c r="J1573" s="758"/>
      <c r="K1573" s="677"/>
    </row>
    <row r="1574" ht="20.1" customHeight="1" spans="1:11">
      <c r="A1574" s="675"/>
      <c r="B1574" s="755">
        <f t="shared" si="28"/>
        <v>20</v>
      </c>
      <c r="C1574" s="755">
        <f>IFERROR(VLOOKUP(B1574,DATEWISE!$A$3:$BY$27,2,0),0)</f>
        <v>0</v>
      </c>
      <c r="D1574" s="755" t="e">
        <f>IF($C$1574=0,NA(),VLOOKUP($I$1551&amp;$B$1574,FLNFIX!$DC$4:$EF$103,2,0))</f>
        <v>#N/A</v>
      </c>
      <c r="E1574" s="755" t="e">
        <f>IF($C$1574=0,NA(),VLOOKUP($I$1551&amp;$B$1574,FLNFIX!$DC$4:$EF$103,4,0))</f>
        <v>#N/A</v>
      </c>
      <c r="F1574" s="755" t="e">
        <f>IF($C$1574=0,NA(),VLOOKUP($I$1551&amp;$B$1574,FLNFIX!$DC$4:$EF$103,3,0))</f>
        <v>#N/A</v>
      </c>
      <c r="G1574" s="756" t="e">
        <f>IF($C$1574=0,NA(),VLOOKUP($I$1551&amp;$B$1574,FLNFIX!$DC$4:$EF$103,5,0))</f>
        <v>#N/A</v>
      </c>
      <c r="H1574" s="757"/>
      <c r="I1574" s="757"/>
      <c r="J1574" s="758"/>
      <c r="K1574" s="677"/>
    </row>
    <row r="1575" ht="20.1" customHeight="1" spans="1:11">
      <c r="A1575" s="675"/>
      <c r="B1575" s="755">
        <f t="shared" si="28"/>
        <v>21</v>
      </c>
      <c r="C1575" s="755">
        <f>IFERROR(VLOOKUP(B1575,DATEWISE!$A$3:$BY$27,2,0),0)</f>
        <v>0</v>
      </c>
      <c r="D1575" s="755" t="e">
        <f>IF($C$1575=0,NA(),VLOOKUP($I$1551&amp;$B$1575,FLNFIX!$DH$4:$EF$103,2,0))</f>
        <v>#N/A</v>
      </c>
      <c r="E1575" s="755" t="e">
        <f>IF($C$1575=0,NA(),VLOOKUP($I$1551&amp;$B$1575,FLNFIX!$DH$4:$EF$103,4,0))</f>
        <v>#N/A</v>
      </c>
      <c r="F1575" s="755" t="e">
        <f>IF($C$1575=0,NA(),VLOOKUP($I$1551&amp;$B$1575,FLNFIX!$DH$4:$EF$103,3,0))</f>
        <v>#N/A</v>
      </c>
      <c r="G1575" s="756" t="e">
        <f>IF($C$1575=0,NA(),VLOOKUP($I$1551&amp;$B$1575,FLNFIX!$DH$4:$EF$103,5,0))</f>
        <v>#N/A</v>
      </c>
      <c r="H1575" s="757"/>
      <c r="I1575" s="757"/>
      <c r="J1575" s="758"/>
      <c r="K1575" s="677"/>
    </row>
    <row r="1576" ht="5.1" customHeight="1" spans="1:11">
      <c r="A1576" s="675"/>
      <c r="B1576" s="759"/>
      <c r="C1576" s="759"/>
      <c r="D1576" s="760"/>
      <c r="E1576" s="760"/>
      <c r="F1576" s="760"/>
      <c r="G1576" s="761"/>
      <c r="H1576" s="761"/>
      <c r="I1576" s="761"/>
      <c r="J1576" s="761"/>
      <c r="K1576" s="677"/>
    </row>
    <row r="1577" s="667" customFormat="1" ht="24.95" customHeight="1" spans="1:11">
      <c r="A1577" s="711"/>
      <c r="B1577" s="762" t="s">
        <v>431</v>
      </c>
      <c r="C1577" s="763"/>
      <c r="D1577" s="763"/>
      <c r="E1577" s="763"/>
      <c r="F1577" s="763"/>
      <c r="G1577" s="763"/>
      <c r="H1577" s="763"/>
      <c r="I1577" s="763"/>
      <c r="J1577" s="764"/>
      <c r="K1577" s="713"/>
    </row>
    <row r="1578" spans="1:11">
      <c r="A1578" s="675"/>
      <c r="B1578" s="765"/>
      <c r="C1578" s="686"/>
      <c r="D1578" s="686"/>
      <c r="E1578" s="686"/>
      <c r="F1578" s="686"/>
      <c r="G1578" s="686"/>
      <c r="H1578" s="686"/>
      <c r="I1578" s="686"/>
      <c r="J1578" s="766"/>
      <c r="K1578" s="677"/>
    </row>
    <row r="1579" spans="1:11">
      <c r="A1579" s="675"/>
      <c r="B1579" s="765"/>
      <c r="C1579" s="686"/>
      <c r="D1579" s="686"/>
      <c r="E1579" s="686"/>
      <c r="F1579" s="686"/>
      <c r="G1579" s="686"/>
      <c r="H1579" s="686"/>
      <c r="I1579" s="686"/>
      <c r="J1579" s="766"/>
      <c r="K1579" s="677"/>
    </row>
    <row r="1580" spans="1:11">
      <c r="A1580" s="675"/>
      <c r="B1580" s="765"/>
      <c r="C1580" s="686"/>
      <c r="D1580" s="686"/>
      <c r="E1580" s="686"/>
      <c r="F1580" s="686"/>
      <c r="G1580" s="686"/>
      <c r="H1580" s="686"/>
      <c r="I1580" s="686"/>
      <c r="J1580" s="766"/>
      <c r="K1580" s="677"/>
    </row>
    <row r="1581" spans="1:11">
      <c r="A1581" s="675"/>
      <c r="B1581" s="765"/>
      <c r="C1581" s="686"/>
      <c r="D1581" s="686"/>
      <c r="E1581" s="686"/>
      <c r="F1581" s="686"/>
      <c r="G1581" s="686"/>
      <c r="H1581" s="686"/>
      <c r="I1581" s="686"/>
      <c r="J1581" s="766"/>
      <c r="K1581" s="677"/>
    </row>
    <row r="1582" spans="1:11">
      <c r="A1582" s="675"/>
      <c r="B1582" s="765"/>
      <c r="C1582" s="686"/>
      <c r="D1582" s="686"/>
      <c r="E1582" s="686"/>
      <c r="F1582" s="686"/>
      <c r="G1582" s="686"/>
      <c r="H1582" s="686"/>
      <c r="I1582" s="686"/>
      <c r="J1582" s="766"/>
      <c r="K1582" s="677"/>
    </row>
    <row r="1583" spans="1:11">
      <c r="A1583" s="675"/>
      <c r="B1583" s="765"/>
      <c r="C1583" s="686"/>
      <c r="D1583" s="686"/>
      <c r="E1583" s="686"/>
      <c r="F1583" s="686"/>
      <c r="G1583" s="686"/>
      <c r="H1583" s="686"/>
      <c r="I1583" s="686"/>
      <c r="J1583" s="766"/>
      <c r="K1583" s="677"/>
    </row>
    <row r="1584" spans="1:11">
      <c r="A1584" s="675"/>
      <c r="B1584" s="765"/>
      <c r="C1584" s="686"/>
      <c r="D1584" s="686"/>
      <c r="E1584" s="686"/>
      <c r="F1584" s="686"/>
      <c r="G1584" s="686"/>
      <c r="H1584" s="686"/>
      <c r="I1584" s="686"/>
      <c r="J1584" s="766"/>
      <c r="K1584" s="677"/>
    </row>
    <row r="1585" spans="1:11">
      <c r="A1585" s="675"/>
      <c r="B1585" s="765"/>
      <c r="C1585" s="686"/>
      <c r="D1585" s="686"/>
      <c r="E1585" s="686"/>
      <c r="F1585" s="686"/>
      <c r="G1585" s="686"/>
      <c r="H1585" s="686"/>
      <c r="I1585" s="686"/>
      <c r="J1585" s="766"/>
      <c r="K1585" s="677"/>
    </row>
    <row r="1586" spans="1:11">
      <c r="A1586" s="675"/>
      <c r="B1586" s="765"/>
      <c r="C1586" s="686"/>
      <c r="D1586" s="686"/>
      <c r="E1586" s="686"/>
      <c r="F1586" s="686"/>
      <c r="G1586" s="686"/>
      <c r="H1586" s="686"/>
      <c r="I1586" s="686"/>
      <c r="J1586" s="766"/>
      <c r="K1586" s="677"/>
    </row>
    <row r="1587" spans="1:11">
      <c r="A1587" s="675"/>
      <c r="B1587" s="767"/>
      <c r="C1587" s="768"/>
      <c r="D1587" s="768"/>
      <c r="E1587" s="768"/>
      <c r="F1587" s="768"/>
      <c r="G1587" s="768"/>
      <c r="H1587" s="768"/>
      <c r="I1587" s="768"/>
      <c r="J1587" s="769"/>
      <c r="K1587" s="677"/>
    </row>
    <row r="1588" ht="5.1" customHeight="1" spans="1:11">
      <c r="A1588" s="675"/>
      <c r="B1588" s="686"/>
      <c r="C1588" s="686"/>
      <c r="D1588" s="686"/>
      <c r="E1588" s="686"/>
      <c r="F1588" s="686"/>
      <c r="G1588" s="686"/>
      <c r="H1588" s="686"/>
      <c r="I1588" s="686"/>
      <c r="J1588" s="686"/>
      <c r="K1588" s="677"/>
    </row>
    <row r="1589" spans="1:11">
      <c r="A1589" s="675"/>
      <c r="B1589" s="770" t="s">
        <v>432</v>
      </c>
      <c r="C1589" s="770"/>
      <c r="D1589" s="770"/>
      <c r="E1589" s="770"/>
      <c r="F1589" s="770"/>
      <c r="G1589" s="770"/>
      <c r="H1589" s="770"/>
      <c r="I1589" s="770"/>
      <c r="J1589" s="770"/>
      <c r="K1589" s="677"/>
    </row>
    <row r="1590" spans="1:11">
      <c r="A1590" s="675"/>
      <c r="B1590" s="771"/>
      <c r="C1590" s="771"/>
      <c r="D1590" s="771"/>
      <c r="E1590" s="771"/>
      <c r="F1590" s="771"/>
      <c r="G1590" s="771"/>
      <c r="H1590" s="771"/>
      <c r="I1590" s="771"/>
      <c r="J1590" s="771"/>
      <c r="K1590" s="677"/>
    </row>
    <row r="1591" spans="1:11">
      <c r="A1591" s="675"/>
      <c r="B1591" s="771"/>
      <c r="C1591" s="771"/>
      <c r="D1591" s="771"/>
      <c r="E1591" s="771"/>
      <c r="F1591" s="771"/>
      <c r="G1591" s="771"/>
      <c r="H1591" s="771"/>
      <c r="I1591" s="771"/>
      <c r="J1591" s="771"/>
      <c r="K1591" s="677"/>
    </row>
    <row r="1592" spans="1:11">
      <c r="A1592" s="675"/>
      <c r="B1592" s="771"/>
      <c r="C1592" s="771"/>
      <c r="D1592" s="771"/>
      <c r="E1592" s="771"/>
      <c r="F1592" s="771"/>
      <c r="G1592" s="771"/>
      <c r="H1592" s="771"/>
      <c r="I1592" s="771"/>
      <c r="J1592" s="771"/>
      <c r="K1592" s="677"/>
    </row>
    <row r="1593" spans="1:11">
      <c r="A1593" s="675"/>
      <c r="B1593" s="686"/>
      <c r="C1593" s="686"/>
      <c r="D1593" s="686"/>
      <c r="E1593" s="686"/>
      <c r="F1593" s="686"/>
      <c r="G1593" s="686"/>
      <c r="H1593" s="686"/>
      <c r="I1593" s="686"/>
      <c r="J1593" s="686"/>
      <c r="K1593" s="677"/>
    </row>
    <row r="1594" spans="1:11">
      <c r="A1594" s="675"/>
      <c r="B1594" s="686"/>
      <c r="C1594" s="729" t="s">
        <v>433</v>
      </c>
      <c r="D1594" s="729"/>
      <c r="E1594" s="686"/>
      <c r="F1594" s="686"/>
      <c r="G1594" s="729" t="s">
        <v>434</v>
      </c>
      <c r="H1594" s="729"/>
      <c r="I1594" s="729"/>
      <c r="J1594" s="729"/>
      <c r="K1594" s="677"/>
    </row>
    <row r="1595" ht="16.35" spans="1:11">
      <c r="A1595" s="725"/>
      <c r="B1595" s="726"/>
      <c r="C1595" s="732" t="str">
        <f>"("&amp;PROPER(ENTRY!$D$19)&amp;")"</f>
        <v>(Indrajeet)</v>
      </c>
      <c r="D1595" s="732"/>
      <c r="E1595" s="726"/>
      <c r="F1595" s="726"/>
      <c r="G1595" s="732" t="str">
        <f>"("&amp;PROPER(ENTRY!$D$12)&amp;")"</f>
        <v>(Shambhu Dayal Meena)</v>
      </c>
      <c r="H1595" s="732"/>
      <c r="I1595" s="732"/>
      <c r="J1595" s="732"/>
      <c r="K1595" s="728"/>
    </row>
    <row r="1596" ht="24.6" spans="1:11">
      <c r="B1596" s="734"/>
      <c r="C1596" s="734"/>
      <c r="D1596" s="669" t="str">
        <f>ENTRY!$D$3</f>
        <v>MUNICIPAL CORPORATION OF DELHI</v>
      </c>
      <c r="E1596" s="669"/>
      <c r="F1596" s="669"/>
      <c r="G1596" s="669"/>
      <c r="H1596" s="734"/>
      <c r="I1596" s="669"/>
      <c r="J1596" s="669"/>
    </row>
    <row r="1597" ht="20.4" spans="1:11">
      <c r="B1597" s="735"/>
      <c r="C1597" s="735"/>
      <c r="D1597" s="670" t="str">
        <f>ENTRY!$D$4</f>
        <v>EDUCATION DEPARTMENT</v>
      </c>
      <c r="E1597" s="670"/>
      <c r="F1597" s="670"/>
      <c r="G1597" s="670"/>
      <c r="H1597" s="735"/>
      <c r="I1597" s="669"/>
      <c r="J1597" s="669"/>
    </row>
    <row r="1598" ht="22.8" spans="1:11">
      <c r="B1598" s="736"/>
      <c r="C1598" s="736"/>
      <c r="D1598" s="664" t="s">
        <v>417</v>
      </c>
      <c r="E1598" s="664"/>
      <c r="F1598" s="664"/>
      <c r="G1598" s="664"/>
      <c r="H1598" s="736"/>
      <c r="I1598" s="669"/>
      <c r="J1598" s="669"/>
    </row>
    <row r="1599" ht="22.8" spans="1:11">
      <c r="B1599" s="736"/>
      <c r="C1599" s="736"/>
      <c r="D1599" s="664" t="s">
        <v>418</v>
      </c>
      <c r="E1599" s="664"/>
      <c r="F1599" s="664"/>
      <c r="G1599" s="664"/>
      <c r="H1599" s="736"/>
      <c r="I1599" s="669"/>
      <c r="J1599" s="669"/>
    </row>
    <row r="1600" ht="24.95" customHeight="1" spans="1:11">
      <c r="B1600" s="735"/>
      <c r="C1600" s="735"/>
      <c r="D1600" s="737" t="str">
        <f>"SESSION : "&amp;ENTRY!$D$11</f>
        <v>SESSION : 2026-27</v>
      </c>
      <c r="E1600" s="737"/>
      <c r="F1600" s="737"/>
      <c r="G1600" s="737"/>
      <c r="H1600" s="735"/>
      <c r="I1600" s="738"/>
      <c r="J1600" s="738"/>
    </row>
    <row r="1601" ht="3.75" customHeight="1" spans="1:11">
      <c r="A1601" s="672"/>
      <c r="B1601" s="739"/>
      <c r="C1601" s="739"/>
      <c r="D1601" s="739"/>
      <c r="E1601" s="739"/>
      <c r="F1601" s="739"/>
      <c r="G1601" s="739"/>
      <c r="H1601" s="739"/>
      <c r="I1601" s="739"/>
      <c r="J1601" s="739"/>
      <c r="K1601" s="674"/>
    </row>
    <row r="1602" ht="21.95" customHeight="1" spans="1:11">
      <c r="A1602" s="675"/>
      <c r="B1602" s="676" t="s">
        <v>419</v>
      </c>
      <c r="C1602" s="676"/>
      <c r="D1602" s="676" t="str">
        <f>ENTRY!$D$6</f>
        <v>MCP NITHARI NO 1 BOYS</v>
      </c>
      <c r="E1602" s="676"/>
      <c r="F1602" s="676"/>
      <c r="G1602" s="676"/>
      <c r="H1602" s="676"/>
      <c r="I1602" s="676"/>
      <c r="J1602" s="676"/>
      <c r="K1602" s="677"/>
    </row>
    <row r="1603" ht="21.95" customHeight="1" spans="1:11">
      <c r="A1603" s="675"/>
      <c r="B1603" s="676" t="s">
        <v>420</v>
      </c>
      <c r="C1603" s="676"/>
      <c r="D1603" s="740" t="str">
        <f>IFERROR(VLOOKUP($I$1606,STUDENT!$A$2:$BP$101,5,0),"")</f>
        <v>AYAN</v>
      </c>
      <c r="E1603" s="740"/>
      <c r="F1603" s="740"/>
      <c r="G1603" s="740"/>
      <c r="H1603" s="740"/>
      <c r="I1603" s="740"/>
      <c r="J1603" s="740"/>
      <c r="K1603" s="677"/>
    </row>
    <row r="1604" ht="21.95" customHeight="1" spans="1:11">
      <c r="A1604" s="675"/>
      <c r="B1604" s="676" t="s">
        <v>421</v>
      </c>
      <c r="C1604" s="676"/>
      <c r="D1604" s="740" t="str">
        <f>IFERROR(VLOOKUP($I$1606,STUDENT!$A$2:$BP$101,8,0),"")</f>
        <v>BABU HASAN</v>
      </c>
      <c r="E1604" s="740"/>
      <c r="F1604" s="740"/>
      <c r="G1604" s="740"/>
      <c r="H1604" s="740"/>
      <c r="I1604" s="740"/>
      <c r="J1604" s="740"/>
      <c r="K1604" s="677"/>
    </row>
    <row r="1605" ht="21.95" customHeight="1" spans="1:11">
      <c r="A1605" s="675"/>
      <c r="B1605" s="676" t="s">
        <v>422</v>
      </c>
      <c r="C1605" s="676"/>
      <c r="D1605" s="740">
        <f>IFERROR(VLOOKUP($I$1606,STUDENT!$A$2:$BP$101,6,0),"")</f>
        <v>15022</v>
      </c>
      <c r="E1605" s="740"/>
      <c r="F1605" s="740"/>
      <c r="G1605" s="740"/>
      <c r="H1605" s="740"/>
      <c r="I1605" s="740"/>
      <c r="J1605" s="740"/>
      <c r="K1605" s="677"/>
    </row>
    <row r="1606" ht="21.95" customHeight="1" spans="1:11">
      <c r="A1606" s="675"/>
      <c r="B1606" s="676" t="s">
        <v>423</v>
      </c>
      <c r="C1606" s="676"/>
      <c r="D1606" s="741" t="str">
        <f>IFERROR(VLOOKUP($I$1606,STUDENT!$A$2:$BP$101,59,0),"")</f>
        <v/>
      </c>
      <c r="E1606" s="742" t="s">
        <v>424</v>
      </c>
      <c r="F1606" s="704" t="str">
        <f>IFERROR(VLOOKUP($I$1606,STUDENT!$A$2:$BP$101,2,0),"")</f>
        <v>III-A</v>
      </c>
      <c r="G1606" s="742" t="s">
        <v>425</v>
      </c>
      <c r="H1606" s="743"/>
      <c r="I1606" s="733">
        <f>I1551+1</f>
        <v>30</v>
      </c>
      <c r="J1606" s="683"/>
      <c r="K1606" s="677"/>
    </row>
    <row r="1607" ht="5.1" customHeight="1" spans="1:11">
      <c r="A1607" s="675"/>
      <c r="B1607" s="745"/>
      <c r="C1607" s="745"/>
      <c r="D1607" s="746"/>
      <c r="E1607" s="747"/>
      <c r="F1607" s="748"/>
      <c r="G1607" s="747"/>
      <c r="H1607" s="686"/>
      <c r="I1607" s="686"/>
      <c r="J1607" s="686"/>
      <c r="K1607" s="677"/>
    </row>
    <row r="1608" s="664" customFormat="1" ht="32.1" customHeight="1" spans="1:11">
      <c r="A1608" s="688"/>
      <c r="B1608" s="749" t="s">
        <v>426</v>
      </c>
      <c r="C1608" s="750"/>
      <c r="D1608" s="750"/>
      <c r="E1608" s="750"/>
      <c r="F1608" s="750"/>
      <c r="G1608" s="750"/>
      <c r="H1608" s="750"/>
      <c r="I1608" s="750"/>
      <c r="J1608" s="751"/>
      <c r="K1608" s="690"/>
    </row>
    <row r="1609" ht="51.6" spans="1:11">
      <c r="A1609" s="675"/>
      <c r="B1609" s="752">
        <v>21</v>
      </c>
      <c r="C1609" s="753" t="s">
        <v>427</v>
      </c>
      <c r="D1609" s="754" t="s">
        <v>428</v>
      </c>
      <c r="E1609" s="754" t="s">
        <v>429</v>
      </c>
      <c r="F1609" s="754" t="s">
        <v>430</v>
      </c>
      <c r="G1609" s="753" t="s">
        <v>390</v>
      </c>
      <c r="H1609" s="714"/>
      <c r="I1609" s="714"/>
      <c r="J1609" s="714"/>
      <c r="K1609" s="677"/>
    </row>
    <row r="1610" ht="20.1" customHeight="1" spans="1:11">
      <c r="A1610" s="675"/>
      <c r="B1610" s="755">
        <v>1</v>
      </c>
      <c r="C1610" s="755" t="str">
        <f>IFERROR(VLOOKUP(B1610,DATEWISE!$A$3:$BY$27,2,0),0)</f>
        <v>30.04.2026</v>
      </c>
      <c r="D1610" s="755">
        <f>IF($C$1610=0,NA(),VLOOKUP($I$1606&amp;$B$1610,FLNFIX!$L$4:$EF$103,2,0))</f>
        <v>2</v>
      </c>
      <c r="E1610" s="755">
        <f>IF($C$1610=0,NA(),VLOOKUP($I$1606&amp;$B$1610,FLNFIX!$L$4:$EF$103,4,0))</f>
        <v>3</v>
      </c>
      <c r="F1610" s="755">
        <f>IF($C$1610=0,NA(),VLOOKUP($I$1606&amp;$B$1610,FLNFIX!$L$4:$EF$103,3,0))</f>
        <v>2</v>
      </c>
      <c r="G1610" s="756">
        <f>IF($C$1610=0,NA(),VLOOKUP($I$1606&amp;$B$1610,FLNFIX!$L$4:$EF$103,5,0))</f>
        <v>0</v>
      </c>
      <c r="H1610" s="757"/>
      <c r="I1610" s="757"/>
      <c r="J1610" s="758"/>
      <c r="K1610" s="677"/>
    </row>
    <row r="1611" ht="20.1" customHeight="1" spans="1:11">
      <c r="A1611" s="675"/>
      <c r="B1611" s="755">
        <f t="shared" ref="B1611:B1630" si="29">IF(B1610=0,0,IF(B1610&lt;$B$1609,B1610+1,""))</f>
        <v>2</v>
      </c>
      <c r="C1611" s="755" t="str">
        <f>IFERROR(VLOOKUP(B1611,DATEWISE!$A$3:$BY$27,2,0),0)</f>
        <v>08.05.2026</v>
      </c>
      <c r="D1611" s="755">
        <f>IF($C$1611=0,NA(),VLOOKUP($I$1606&amp;$B$1611,FLNFIX!$Q$4:$EF$103,2,0))</f>
        <v>2</v>
      </c>
      <c r="E1611" s="755">
        <f>IF($C$1611=0,NA(),VLOOKUP($I$1606&amp;$B$1611,FLNFIX!$Q$4:$EF$103,4,0))</f>
        <v>3</v>
      </c>
      <c r="F1611" s="755">
        <f>IF($C$1611=0,NA(),VLOOKUP($I$1606&amp;$B$1611,FLNFIX!$Q$4:$EF$103,3,0))</f>
        <v>2</v>
      </c>
      <c r="G1611" s="756">
        <f>IF($C$1611=0,NA(),VLOOKUP($I$1606&amp;$B$1611,FLNFIX!$Q$4:$EF$103,5,0))</f>
        <v>0</v>
      </c>
      <c r="H1611" s="757"/>
      <c r="I1611" s="757"/>
      <c r="J1611" s="758"/>
      <c r="K1611" s="677"/>
    </row>
    <row r="1612" ht="20.1" customHeight="1" spans="1:11">
      <c r="A1612" s="675"/>
      <c r="B1612" s="755">
        <f t="shared" si="29"/>
        <v>3</v>
      </c>
      <c r="C1612" s="755" t="str">
        <f>IFERROR(VLOOKUP(B1612,DATEWISE!$A$3:$BY$27,2,0),0)</f>
        <v>15.07.2026</v>
      </c>
      <c r="D1612" s="755">
        <f>IF($C$1612=0,NA(),VLOOKUP($I$1606&amp;$B$1612,FLNFIX!$V$4:$EF$103,2,0))</f>
        <v>2</v>
      </c>
      <c r="E1612" s="755">
        <f>IF($C$1612=0,NA(),VLOOKUP($I$1606&amp;$B$1612,FLNFIX!$V$4:$EF$103,4,0))</f>
        <v>3</v>
      </c>
      <c r="F1612" s="755">
        <f>IF($C$1612=0,NA(),VLOOKUP($I$1606&amp;$B$1612,FLNFIX!$V$4:$EF$103,3,0))</f>
        <v>2</v>
      </c>
      <c r="G1612" s="756">
        <f>IF($C$1612=0,NA(),VLOOKUP($I$1606&amp;$B$1612,FLNFIX!$V$4:$EF$103,5,0))</f>
        <v>0</v>
      </c>
      <c r="H1612" s="757"/>
      <c r="I1612" s="757"/>
      <c r="J1612" s="758"/>
      <c r="K1612" s="677"/>
    </row>
    <row r="1613" ht="20.1" customHeight="1" spans="1:11">
      <c r="A1613" s="675"/>
      <c r="B1613" s="755">
        <f t="shared" si="29"/>
        <v>4</v>
      </c>
      <c r="C1613" s="755" t="str">
        <f>IFERROR(VLOOKUP(B1613,DATEWISE!$A$3:$BY$27,2,0),0)</f>
        <v>31.07.2026</v>
      </c>
      <c r="D1613" s="755">
        <f>IF($C$1613=0,NA(),VLOOKUP($I$1606&amp;$B$1613,FLNFIX!$AA$4:$EF$103,2,0))</f>
        <v>2</v>
      </c>
      <c r="E1613" s="755">
        <f>IF($C$1613=0,NA(),VLOOKUP($I$1606&amp;$B$1613,FLNFIX!$AA$4:$EF$103,4,0))</f>
        <v>3</v>
      </c>
      <c r="F1613" s="755">
        <f>IF($C$1613=0,NA(),VLOOKUP($I$1606&amp;$B$1613,FLNFIX!$AA$4:$EF$103,3,0))</f>
        <v>2</v>
      </c>
      <c r="G1613" s="756">
        <f>IF($C$1613=0,NA(),VLOOKUP($I$1606&amp;$B$1613,FLNFIX!$AA$4:$EF$103,5,0))</f>
        <v>0</v>
      </c>
      <c r="H1613" s="757"/>
      <c r="I1613" s="757"/>
      <c r="J1613" s="758"/>
      <c r="K1613" s="677"/>
    </row>
    <row r="1614" ht="20.1" customHeight="1" spans="1:11">
      <c r="A1614" s="675"/>
      <c r="B1614" s="755">
        <f t="shared" si="29"/>
        <v>5</v>
      </c>
      <c r="C1614" s="755" t="str">
        <f>IFERROR(VLOOKUP(B1614,DATEWISE!$A$3:$BY$27,2,0),0)</f>
        <v>17.08.2026</v>
      </c>
      <c r="D1614" s="755">
        <f>IF($C$1614=0,NA(),VLOOKUP($I$1606&amp;$B$1614,FLNFIX!$AF$4:$EF$103,2,0))</f>
        <v>2</v>
      </c>
      <c r="E1614" s="755">
        <f>IF($C$1614=0,NA(),VLOOKUP($I$1606&amp;$B$1614,FLNFIX!$AF$4:$EF$103,4,0))</f>
        <v>3</v>
      </c>
      <c r="F1614" s="755">
        <f>IF($C$1614=0,NA(),VLOOKUP($I$1606&amp;$B$1614,FLNFIX!$AF$4:$EF$103,3,0))</f>
        <v>2</v>
      </c>
      <c r="G1614" s="756">
        <f>IF($C$1614=0,NA(),VLOOKUP($I$1606&amp;$B$1614,FLNFIX!$AF$4:$EF$103,5,0))</f>
        <v>0</v>
      </c>
      <c r="H1614" s="757"/>
      <c r="I1614" s="757"/>
      <c r="J1614" s="758"/>
      <c r="K1614" s="677"/>
    </row>
    <row r="1615" ht="20.1" customHeight="1" spans="1:11">
      <c r="A1615" s="675"/>
      <c r="B1615" s="755">
        <f t="shared" si="29"/>
        <v>6</v>
      </c>
      <c r="C1615" s="755" t="str">
        <f>IFERROR(VLOOKUP(B1615,DATEWISE!$A$3:$BY$27,2,0),0)</f>
        <v>31.08.2026</v>
      </c>
      <c r="D1615" s="755">
        <f>IF($C$1615=0,NA(),VLOOKUP($I$1606&amp;$B$1615,FLNFIX!$AK$4:$EF$103,2,0))</f>
        <v>2</v>
      </c>
      <c r="E1615" s="755">
        <f>IF($C$1615=0,NA(),VLOOKUP($I$1606&amp;$B$1615,FLNFIX!$AK$4:$EF$103,4,0))</f>
        <v>3</v>
      </c>
      <c r="F1615" s="755">
        <f>IF($C$1615=0,NA(),VLOOKUP($I$1606&amp;$B$1615,FLNFIX!$AK$4:$EF$103,3,0))</f>
        <v>2</v>
      </c>
      <c r="G1615" s="756">
        <f>IF($C$1615=0,NA(),VLOOKUP($I$1606&amp;$B$1615,FLNFIX!$AK$4:$EF$103,5,0))</f>
        <v>0</v>
      </c>
      <c r="H1615" s="757"/>
      <c r="I1615" s="757"/>
      <c r="J1615" s="758"/>
      <c r="K1615" s="677"/>
    </row>
    <row r="1616" ht="20.1" customHeight="1" spans="1:11">
      <c r="A1616" s="675"/>
      <c r="B1616" s="755">
        <f t="shared" si="29"/>
        <v>7</v>
      </c>
      <c r="C1616" s="755">
        <f>IFERROR(VLOOKUP(B1616,DATEWISE!$A$3:$BY$27,2,0),0)</f>
        <v>0</v>
      </c>
      <c r="D1616" s="755" t="e">
        <f>IF($C$1616=0,NA(),VLOOKUP($I$1606&amp;$B$1616,FLNFIX!$AP$4:$EF$103,2,0))</f>
        <v>#N/A</v>
      </c>
      <c r="E1616" s="755" t="e">
        <f>IF($C$1616=0,NA(),VLOOKUP($I$1606&amp;$B$1616,FLNFIX!$AP$4:$EF$103,4,0))</f>
        <v>#N/A</v>
      </c>
      <c r="F1616" s="755" t="e">
        <f>IF($C$1616=0,NA(),VLOOKUP($I$1606&amp;$B$1616,FLNFIX!$AP$4:$EF$103,3,0))</f>
        <v>#N/A</v>
      </c>
      <c r="G1616" s="756" t="e">
        <f>IF($C$1616=0,NA(),VLOOKUP($I$1606&amp;$B$1616,FLNFIX!$AP$4:$EF$103,5,0))</f>
        <v>#N/A</v>
      </c>
      <c r="H1616" s="757"/>
      <c r="I1616" s="757"/>
      <c r="J1616" s="758"/>
      <c r="K1616" s="677"/>
    </row>
    <row r="1617" ht="20.1" customHeight="1" spans="1:11">
      <c r="A1617" s="675"/>
      <c r="B1617" s="755">
        <f t="shared" si="29"/>
        <v>8</v>
      </c>
      <c r="C1617" s="755">
        <f>IFERROR(VLOOKUP(B1617,DATEWISE!$A$3:$BY$27,2,0),0)</f>
        <v>0</v>
      </c>
      <c r="D1617" s="755" t="e">
        <f>IF($C$1617=0,NA(),VLOOKUP($I$1606&amp;$B$1617,FLNFIX!$AU$4:$EF$103,2,0))</f>
        <v>#N/A</v>
      </c>
      <c r="E1617" s="755" t="e">
        <f>IF($C$1617=0,NA(),VLOOKUP($I$1606&amp;$B$1617,FLNFIX!$AU$4:$EF$103,4,0))</f>
        <v>#N/A</v>
      </c>
      <c r="F1617" s="755" t="e">
        <f>IF($C$1617=0,NA(),VLOOKUP($I$1606&amp;$B$1617,FLNFIX!$AU$4:$EF$103,3,0))</f>
        <v>#N/A</v>
      </c>
      <c r="G1617" s="756" t="e">
        <f>IF($C$1617=0,NA(),VLOOKUP($I$1606&amp;$B$1617,FLNFIX!$AU$4:$EF$103,5,0))</f>
        <v>#N/A</v>
      </c>
      <c r="H1617" s="757"/>
      <c r="I1617" s="757"/>
      <c r="J1617" s="758"/>
      <c r="K1617" s="677"/>
    </row>
    <row r="1618" ht="20.1" customHeight="1" spans="1:11">
      <c r="A1618" s="675"/>
      <c r="B1618" s="755">
        <f t="shared" si="29"/>
        <v>9</v>
      </c>
      <c r="C1618" s="755">
        <f>IFERROR(VLOOKUP(B1618,DATEWISE!$A$3:$BY$27,2,0),0)</f>
        <v>0</v>
      </c>
      <c r="D1618" s="755" t="e">
        <f>IF($C$1618=0,NA(),VLOOKUP($I$1606&amp;$B$1618,FLNFIX!$AZ$4:$EF$103,2,0))</f>
        <v>#N/A</v>
      </c>
      <c r="E1618" s="755" t="e">
        <f>IF($C$1618=0,NA(),VLOOKUP($I$1606&amp;$B$1618,FLNFIX!$AZ$4:$EF$103,4,0))</f>
        <v>#N/A</v>
      </c>
      <c r="F1618" s="755" t="e">
        <f>IF($C$1618=0,NA(),VLOOKUP($I$1606&amp;$B$1618,FLNFIX!$AZ$4:$EF$103,3,0))</f>
        <v>#N/A</v>
      </c>
      <c r="G1618" s="756" t="e">
        <f>IF($C$1618=0,NA(),VLOOKUP($I$1606&amp;$B$1618,FLNFIX!$AZ$4:$EF$103,5,0))</f>
        <v>#N/A</v>
      </c>
      <c r="H1618" s="757"/>
      <c r="I1618" s="757"/>
      <c r="J1618" s="758"/>
      <c r="K1618" s="677"/>
    </row>
    <row r="1619" ht="20.1" customHeight="1" spans="1:11">
      <c r="A1619" s="675"/>
      <c r="B1619" s="755">
        <f t="shared" si="29"/>
        <v>10</v>
      </c>
      <c r="C1619" s="755">
        <f>IFERROR(VLOOKUP(B1619,DATEWISE!$A$3:$BY$27,2,0),0)</f>
        <v>0</v>
      </c>
      <c r="D1619" s="755" t="e">
        <f>IF($C$1619=0,NA(),VLOOKUP($I$1606&amp;$B$1619,FLNFIX!$BE$4:$EF$103,2,0))</f>
        <v>#N/A</v>
      </c>
      <c r="E1619" s="755" t="e">
        <f>IF($C$1619=0,NA(),VLOOKUP($I$1606&amp;$B$1619,FLNFIX!$BE$4:$EF$103,4,0))</f>
        <v>#N/A</v>
      </c>
      <c r="F1619" s="755" t="e">
        <f>IF($C$1619=0,NA(),VLOOKUP($I$1606&amp;$B$1619,FLNFIX!$BE$4:$EF$103,3,0))</f>
        <v>#N/A</v>
      </c>
      <c r="G1619" s="756" t="e">
        <f>IF($C$1619=0,NA(),VLOOKUP($I$1606&amp;$B$1619,FLNFIX!$BE$4:$EF$103,5,0))</f>
        <v>#N/A</v>
      </c>
      <c r="H1619" s="757"/>
      <c r="I1619" s="757"/>
      <c r="J1619" s="758"/>
      <c r="K1619" s="677"/>
    </row>
    <row r="1620" ht="20.1" customHeight="1" spans="1:11">
      <c r="A1620" s="675"/>
      <c r="B1620" s="755">
        <f t="shared" si="29"/>
        <v>11</v>
      </c>
      <c r="C1620" s="755">
        <f>IFERROR(VLOOKUP(B1620,DATEWISE!$A$3:$BY$27,2,0),0)</f>
        <v>0</v>
      </c>
      <c r="D1620" s="755" t="e">
        <f>IF($C$1620=0,NA(),VLOOKUP($I$1606&amp;$B$1620,FLNFIX!$BJ$4:$EF$103,2,0))</f>
        <v>#N/A</v>
      </c>
      <c r="E1620" s="755" t="e">
        <f>IF($C$1620=0,NA(),VLOOKUP($I$1606&amp;$B$1620,FLNFIX!$BJ$4:$EF$103,4,0))</f>
        <v>#N/A</v>
      </c>
      <c r="F1620" s="755" t="e">
        <f>IF($C$1620=0,NA(),VLOOKUP($I$1606&amp;$B$1620,FLNFIX!$BJ$4:$EF$103,3,0))</f>
        <v>#N/A</v>
      </c>
      <c r="G1620" s="756" t="e">
        <f>IF($C$1620=0,NA(),VLOOKUP($I$1606&amp;$B$1620,FLNFIX!$BJ$4:$EF$103,5,0))</f>
        <v>#N/A</v>
      </c>
      <c r="H1620" s="757"/>
      <c r="I1620" s="757"/>
      <c r="J1620" s="758"/>
      <c r="K1620" s="677"/>
    </row>
    <row r="1621" ht="20.1" customHeight="1" spans="1:11">
      <c r="A1621" s="675"/>
      <c r="B1621" s="755">
        <f t="shared" si="29"/>
        <v>12</v>
      </c>
      <c r="C1621" s="755">
        <f>IFERROR(VLOOKUP(B1621,DATEWISE!$A$3:$BY$27,2,0),0)</f>
        <v>0</v>
      </c>
      <c r="D1621" s="755" t="e">
        <f>IF($C$1621=0,NA(),VLOOKUP($I$1606&amp;$B$1621,FLNFIX!$BO$4:$EF$103,2,0))</f>
        <v>#N/A</v>
      </c>
      <c r="E1621" s="755" t="e">
        <f>IF($C$1621=0,NA(),VLOOKUP($I$1606&amp;$B$1621,FLNFIX!$BO$4:$EF$103,4,0))</f>
        <v>#N/A</v>
      </c>
      <c r="F1621" s="755" t="e">
        <f>IF($C$1621=0,NA(),VLOOKUP($I$1606&amp;$B$1621,FLNFIX!$BO$4:$EF$103,3,0))</f>
        <v>#N/A</v>
      </c>
      <c r="G1621" s="756" t="e">
        <f>IF($C$1621=0,NA(),VLOOKUP($I$1606&amp;$B$1621,FLNFIX!$BO$4:$EF$103,5,0))</f>
        <v>#N/A</v>
      </c>
      <c r="H1621" s="757"/>
      <c r="I1621" s="757"/>
      <c r="J1621" s="758"/>
      <c r="K1621" s="677"/>
    </row>
    <row r="1622" ht="20.1" customHeight="1" spans="1:11">
      <c r="A1622" s="675"/>
      <c r="B1622" s="755">
        <f t="shared" si="29"/>
        <v>13</v>
      </c>
      <c r="C1622" s="755">
        <f>IFERROR(VLOOKUP(B1622,DATEWISE!$A$3:$BY$27,2,0),0)</f>
        <v>0</v>
      </c>
      <c r="D1622" s="755" t="e">
        <f>IF($C$1622=0,NA(),VLOOKUP($I$1606&amp;$B$1622,FLNFIX!$BT$4:$EF$103,2,0))</f>
        <v>#N/A</v>
      </c>
      <c r="E1622" s="755" t="e">
        <f>IF($C$1622=0,NA(),VLOOKUP($I$1606&amp;$B$1622,FLNFIX!$BT$4:$EF$103,4,0))</f>
        <v>#N/A</v>
      </c>
      <c r="F1622" s="755" t="e">
        <f>IF($C$1622=0,NA(),VLOOKUP($I$1606&amp;$B$1622,FLNFIX!$BT$4:$EF$103,3,0))</f>
        <v>#N/A</v>
      </c>
      <c r="G1622" s="756" t="e">
        <f>IF($C$1622=0,NA(),VLOOKUP($I$1606&amp;$B$1622,FLNFIX!$BT$4:$EF$103,5,0))</f>
        <v>#N/A</v>
      </c>
      <c r="H1622" s="757"/>
      <c r="I1622" s="757"/>
      <c r="J1622" s="758"/>
      <c r="K1622" s="677"/>
    </row>
    <row r="1623" ht="20.1" customHeight="1" spans="1:11">
      <c r="A1623" s="675"/>
      <c r="B1623" s="755">
        <f t="shared" si="29"/>
        <v>14</v>
      </c>
      <c r="C1623" s="755">
        <f>IFERROR(VLOOKUP(B1623,DATEWISE!$A$3:$BY$27,2,0),0)</f>
        <v>0</v>
      </c>
      <c r="D1623" s="755" t="e">
        <f>IF($C$1623=0,NA(),VLOOKUP($I$1606&amp;$B$1623,FLNFIX!$BY$4:$EF$103,2,0))</f>
        <v>#N/A</v>
      </c>
      <c r="E1623" s="755" t="e">
        <f>IF($C$1623=0,NA(),VLOOKUP($I$1606&amp;$B$1623,FLNFIX!$BY$4:$EF$103,4,0))</f>
        <v>#N/A</v>
      </c>
      <c r="F1623" s="755" t="e">
        <f>IF($C$1623=0,NA(),VLOOKUP($I$1606&amp;$B$1623,FLNFIX!$BY$4:$EF$103,3,0))</f>
        <v>#N/A</v>
      </c>
      <c r="G1623" s="756" t="e">
        <f>IF($C$1623=0,NA(),VLOOKUP($I$1606&amp;$B$1623,FLNFIX!$BY$4:$EF$103,5,0))</f>
        <v>#N/A</v>
      </c>
      <c r="H1623" s="757"/>
      <c r="I1623" s="757"/>
      <c r="J1623" s="758"/>
      <c r="K1623" s="677"/>
    </row>
    <row r="1624" ht="20.1" customHeight="1" spans="1:11">
      <c r="A1624" s="675"/>
      <c r="B1624" s="755">
        <f t="shared" si="29"/>
        <v>15</v>
      </c>
      <c r="C1624" s="755">
        <f>IFERROR(VLOOKUP(B1624,DATEWISE!$A$3:$BY$27,2,0),0)</f>
        <v>0</v>
      </c>
      <c r="D1624" s="755" t="e">
        <f>IF($C$1624=0,NA(),VLOOKUP($I$1606&amp;$B$1624,FLNFIX!$CD$4:$EF$103,2,0))</f>
        <v>#N/A</v>
      </c>
      <c r="E1624" s="755" t="e">
        <f>IF($C$1624=0,NA(),VLOOKUP($I$1606&amp;$B$1624,FLNFIX!$CD$4:$EF$103,4,0))</f>
        <v>#N/A</v>
      </c>
      <c r="F1624" s="755" t="e">
        <f>IF($C$1624=0,NA(),VLOOKUP($I$1606&amp;$B$1624,FLNFIX!$CD$4:$EF$103,3,0))</f>
        <v>#N/A</v>
      </c>
      <c r="G1624" s="756" t="e">
        <f>IF($C$1624=0,NA(),VLOOKUP($I$1606&amp;$B$1624,FLNFIX!$CD$4:$EF$103,5,0))</f>
        <v>#N/A</v>
      </c>
      <c r="H1624" s="757"/>
      <c r="I1624" s="757"/>
      <c r="J1624" s="758"/>
      <c r="K1624" s="677"/>
    </row>
    <row r="1625" ht="20.1" customHeight="1" spans="1:11">
      <c r="A1625" s="675"/>
      <c r="B1625" s="755">
        <f t="shared" si="29"/>
        <v>16</v>
      </c>
      <c r="C1625" s="755">
        <f>IFERROR(VLOOKUP(B1625,DATEWISE!$A$3:$BY$27,2,0),0)</f>
        <v>0</v>
      </c>
      <c r="D1625" s="755" t="e">
        <f>IF($C$1625=0,NA(),VLOOKUP($I$1606&amp;$B$1625,FLNFIX!$CI$4:$EF$103,2,0))</f>
        <v>#N/A</v>
      </c>
      <c r="E1625" s="755" t="e">
        <f>IF($C$1625=0,NA(),VLOOKUP($I$1606&amp;$B$1625,FLNFIX!$CI$4:$EF$103,4,0))</f>
        <v>#N/A</v>
      </c>
      <c r="F1625" s="755" t="e">
        <f>IF($C$1625=0,NA(),VLOOKUP($I$1606&amp;$B$1625,FLNFIX!$CI$4:$EF$103,3,0))</f>
        <v>#N/A</v>
      </c>
      <c r="G1625" s="756" t="e">
        <f>IF($C$1625=0,NA(),VLOOKUP($I$1606&amp;$B$1625,FLNFIX!$CI$4:$EF$103,5,0))</f>
        <v>#N/A</v>
      </c>
      <c r="H1625" s="757"/>
      <c r="I1625" s="757"/>
      <c r="J1625" s="758"/>
      <c r="K1625" s="677"/>
    </row>
    <row r="1626" ht="20.1" customHeight="1" spans="1:11">
      <c r="A1626" s="675"/>
      <c r="B1626" s="755">
        <f t="shared" si="29"/>
        <v>17</v>
      </c>
      <c r="C1626" s="755">
        <f>IFERROR(VLOOKUP(B1626,DATEWISE!$A$3:$BY$27,2,0),0)</f>
        <v>0</v>
      </c>
      <c r="D1626" s="755" t="e">
        <f>IF($C$1626=0,NA(),VLOOKUP($I$1606&amp;$B$1626,FLNFIX!$CN$4:$EF$103,2,0))</f>
        <v>#N/A</v>
      </c>
      <c r="E1626" s="755" t="e">
        <f>IF($C$1626=0,NA(),VLOOKUP($I$1606&amp;$B$1626,FLNFIX!$CN$4:$EF$103,4,0))</f>
        <v>#N/A</v>
      </c>
      <c r="F1626" s="755" t="e">
        <f>IF($C$1626=0,NA(),VLOOKUP($I$1606&amp;$B$1626,FLNFIX!$CN$4:$EF$103,3,0))</f>
        <v>#N/A</v>
      </c>
      <c r="G1626" s="756" t="e">
        <f>IF($C$1626=0,NA(),VLOOKUP($I$1606&amp;$B$1626,FLNFIX!$CN$4:$EF$103,5,0))</f>
        <v>#N/A</v>
      </c>
      <c r="H1626" s="757"/>
      <c r="I1626" s="757"/>
      <c r="J1626" s="758"/>
      <c r="K1626" s="677"/>
    </row>
    <row r="1627" ht="20.1" customHeight="1" spans="1:11">
      <c r="A1627" s="675"/>
      <c r="B1627" s="755">
        <f t="shared" si="29"/>
        <v>18</v>
      </c>
      <c r="C1627" s="755">
        <f>IFERROR(VLOOKUP(B1627,DATEWISE!$A$3:$BY$27,2,0),0)</f>
        <v>0</v>
      </c>
      <c r="D1627" s="755" t="e">
        <f>IF($C$1627=0,NA(),VLOOKUP($I$1606&amp;$B$1627,FLNFIX!$CS$4:$EF$103,2,0))</f>
        <v>#N/A</v>
      </c>
      <c r="E1627" s="755" t="e">
        <f>IF($C$1627=0,NA(),VLOOKUP($I$1606&amp;$B$1627,FLNFIX!$CS$4:$EF$103,4,0))</f>
        <v>#N/A</v>
      </c>
      <c r="F1627" s="755" t="e">
        <f>IF($C$1627=0,NA(),VLOOKUP($I$1606&amp;$B$1627,FLNFIX!$CS$4:$EF$103,3,0))</f>
        <v>#N/A</v>
      </c>
      <c r="G1627" s="756" t="e">
        <f>IF($C$1627=0,NA(),VLOOKUP($I$1606&amp;$B$1627,FLNFIX!$CS$4:$EF$103,5,0))</f>
        <v>#N/A</v>
      </c>
      <c r="H1627" s="757"/>
      <c r="I1627" s="757"/>
      <c r="J1627" s="758"/>
      <c r="K1627" s="677"/>
    </row>
    <row r="1628" ht="20.1" customHeight="1" spans="1:11">
      <c r="A1628" s="675"/>
      <c r="B1628" s="755">
        <f t="shared" si="29"/>
        <v>19</v>
      </c>
      <c r="C1628" s="755">
        <f>IFERROR(VLOOKUP(B1628,DATEWISE!$A$3:$BY$27,2,0),0)</f>
        <v>0</v>
      </c>
      <c r="D1628" s="755" t="e">
        <f>IF($C$1628=0,NA(),VLOOKUP($I$1606&amp;$B$1628,FLNFIX!$CX$4:$EF$103,2,0))</f>
        <v>#N/A</v>
      </c>
      <c r="E1628" s="755" t="e">
        <f>IF($C$1628=0,NA(),VLOOKUP($I$1606&amp;$B$1628,FLNFIX!$CX$4:$EF$103,4,0))</f>
        <v>#N/A</v>
      </c>
      <c r="F1628" s="755" t="e">
        <f>IF($C$1628=0,NA(),VLOOKUP($I$1606&amp;$B$1628,FLNFIX!$CX$4:$EF$103,3,0))</f>
        <v>#N/A</v>
      </c>
      <c r="G1628" s="756" t="e">
        <f>IF($C$1628=0,NA(),VLOOKUP($I$1606&amp;$B$1628,FLNFIX!$CX$4:$EF$103,5,0))</f>
        <v>#N/A</v>
      </c>
      <c r="H1628" s="757"/>
      <c r="I1628" s="757"/>
      <c r="J1628" s="758"/>
      <c r="K1628" s="677"/>
    </row>
    <row r="1629" ht="20.1" customHeight="1" spans="1:11">
      <c r="A1629" s="675"/>
      <c r="B1629" s="755">
        <f t="shared" si="29"/>
        <v>20</v>
      </c>
      <c r="C1629" s="755">
        <f>IFERROR(VLOOKUP(B1629,DATEWISE!$A$3:$BY$27,2,0),0)</f>
        <v>0</v>
      </c>
      <c r="D1629" s="755" t="e">
        <f>IF($C$1629=0,NA(),VLOOKUP($I$1606&amp;$B$1629,FLNFIX!$DC$4:$EF$103,2,0))</f>
        <v>#N/A</v>
      </c>
      <c r="E1629" s="755" t="e">
        <f>IF($C$1629=0,NA(),VLOOKUP($I$1606&amp;$B$1629,FLNFIX!$DC$4:$EF$103,4,0))</f>
        <v>#N/A</v>
      </c>
      <c r="F1629" s="755" t="e">
        <f>IF($C$1629=0,NA(),VLOOKUP($I$1606&amp;$B$1629,FLNFIX!$DC$4:$EF$103,3,0))</f>
        <v>#N/A</v>
      </c>
      <c r="G1629" s="756" t="e">
        <f>IF($C$1629=0,NA(),VLOOKUP($I$1606&amp;$B$1629,FLNFIX!$DC$4:$EF$103,5,0))</f>
        <v>#N/A</v>
      </c>
      <c r="H1629" s="757"/>
      <c r="I1629" s="757"/>
      <c r="J1629" s="758"/>
      <c r="K1629" s="677"/>
    </row>
    <row r="1630" ht="20.1" customHeight="1" spans="1:11">
      <c r="A1630" s="675"/>
      <c r="B1630" s="755">
        <f t="shared" si="29"/>
        <v>21</v>
      </c>
      <c r="C1630" s="755">
        <f>IFERROR(VLOOKUP(B1630,DATEWISE!$A$3:$BY$27,2,0),0)</f>
        <v>0</v>
      </c>
      <c r="D1630" s="755" t="e">
        <f>IF($C$1630=0,NA(),VLOOKUP($I$1606&amp;$B$1630,FLNFIX!$DH$4:$EF$103,2,0))</f>
        <v>#N/A</v>
      </c>
      <c r="E1630" s="755" t="e">
        <f>IF($C$1630=0,NA(),VLOOKUP($I$1606&amp;$B$1630,FLNFIX!$DH$4:$EF$103,4,0))</f>
        <v>#N/A</v>
      </c>
      <c r="F1630" s="755" t="e">
        <f>IF($C$1630=0,NA(),VLOOKUP($I$1606&amp;$B$1630,FLNFIX!$DH$4:$EF$103,3,0))</f>
        <v>#N/A</v>
      </c>
      <c r="G1630" s="756" t="e">
        <f>IF($C$1630=0,NA(),VLOOKUP($I$1606&amp;$B$1630,FLNFIX!$DH$4:$EF$103,5,0))</f>
        <v>#N/A</v>
      </c>
      <c r="H1630" s="757"/>
      <c r="I1630" s="757"/>
      <c r="J1630" s="758"/>
      <c r="K1630" s="677"/>
    </row>
    <row r="1631" ht="5.1" customHeight="1" spans="1:11">
      <c r="A1631" s="675"/>
      <c r="B1631" s="759"/>
      <c r="C1631" s="759"/>
      <c r="D1631" s="760"/>
      <c r="E1631" s="760"/>
      <c r="F1631" s="760"/>
      <c r="G1631" s="761"/>
      <c r="H1631" s="761"/>
      <c r="I1631" s="761"/>
      <c r="J1631" s="761"/>
      <c r="K1631" s="677"/>
    </row>
    <row r="1632" s="667" customFormat="1" ht="24.95" customHeight="1" spans="1:11">
      <c r="A1632" s="711"/>
      <c r="B1632" s="762" t="s">
        <v>431</v>
      </c>
      <c r="C1632" s="763"/>
      <c r="D1632" s="763"/>
      <c r="E1632" s="763"/>
      <c r="F1632" s="763"/>
      <c r="G1632" s="763"/>
      <c r="H1632" s="763"/>
      <c r="I1632" s="763"/>
      <c r="J1632" s="764"/>
      <c r="K1632" s="713"/>
    </row>
    <row r="1633" spans="1:11">
      <c r="A1633" s="675"/>
      <c r="B1633" s="765"/>
      <c r="C1633" s="686"/>
      <c r="D1633" s="686"/>
      <c r="E1633" s="686"/>
      <c r="F1633" s="686"/>
      <c r="G1633" s="686"/>
      <c r="H1633" s="686"/>
      <c r="I1633" s="686"/>
      <c r="J1633" s="766"/>
      <c r="K1633" s="677"/>
    </row>
    <row r="1634" spans="1:11">
      <c r="A1634" s="675"/>
      <c r="B1634" s="765"/>
      <c r="C1634" s="686"/>
      <c r="D1634" s="686"/>
      <c r="E1634" s="686"/>
      <c r="F1634" s="686"/>
      <c r="G1634" s="686"/>
      <c r="H1634" s="686"/>
      <c r="I1634" s="686"/>
      <c r="J1634" s="766"/>
      <c r="K1634" s="677"/>
    </row>
    <row r="1635" spans="1:11">
      <c r="A1635" s="675"/>
      <c r="B1635" s="765"/>
      <c r="C1635" s="686"/>
      <c r="D1635" s="686"/>
      <c r="E1635" s="686"/>
      <c r="F1635" s="686"/>
      <c r="G1635" s="686"/>
      <c r="H1635" s="686"/>
      <c r="I1635" s="686"/>
      <c r="J1635" s="766"/>
      <c r="K1635" s="677"/>
    </row>
    <row r="1636" spans="1:11">
      <c r="A1636" s="675"/>
      <c r="B1636" s="765"/>
      <c r="C1636" s="686"/>
      <c r="D1636" s="686"/>
      <c r="E1636" s="686"/>
      <c r="F1636" s="686"/>
      <c r="G1636" s="686"/>
      <c r="H1636" s="686"/>
      <c r="I1636" s="686"/>
      <c r="J1636" s="766"/>
      <c r="K1636" s="677"/>
    </row>
    <row r="1637" spans="1:11">
      <c r="A1637" s="675"/>
      <c r="B1637" s="765"/>
      <c r="C1637" s="686"/>
      <c r="D1637" s="686"/>
      <c r="E1637" s="686"/>
      <c r="F1637" s="686"/>
      <c r="G1637" s="686"/>
      <c r="H1637" s="686"/>
      <c r="I1637" s="686"/>
      <c r="J1637" s="766"/>
      <c r="K1637" s="677"/>
    </row>
    <row r="1638" spans="1:11">
      <c r="A1638" s="675"/>
      <c r="B1638" s="765"/>
      <c r="C1638" s="686"/>
      <c r="D1638" s="686"/>
      <c r="E1638" s="686"/>
      <c r="F1638" s="686"/>
      <c r="G1638" s="686"/>
      <c r="H1638" s="686"/>
      <c r="I1638" s="686"/>
      <c r="J1638" s="766"/>
      <c r="K1638" s="677"/>
    </row>
    <row r="1639" spans="1:11">
      <c r="A1639" s="675"/>
      <c r="B1639" s="765"/>
      <c r="C1639" s="686"/>
      <c r="D1639" s="686"/>
      <c r="E1639" s="686"/>
      <c r="F1639" s="686"/>
      <c r="G1639" s="686"/>
      <c r="H1639" s="686"/>
      <c r="I1639" s="686"/>
      <c r="J1639" s="766"/>
      <c r="K1639" s="677"/>
    </row>
    <row r="1640" spans="1:11">
      <c r="A1640" s="675"/>
      <c r="B1640" s="765"/>
      <c r="C1640" s="686"/>
      <c r="D1640" s="686"/>
      <c r="E1640" s="686"/>
      <c r="F1640" s="686"/>
      <c r="G1640" s="686"/>
      <c r="H1640" s="686"/>
      <c r="I1640" s="686"/>
      <c r="J1640" s="766"/>
      <c r="K1640" s="677"/>
    </row>
    <row r="1641" spans="1:11">
      <c r="A1641" s="675"/>
      <c r="B1641" s="765"/>
      <c r="C1641" s="686"/>
      <c r="D1641" s="686"/>
      <c r="E1641" s="686"/>
      <c r="F1641" s="686"/>
      <c r="G1641" s="686"/>
      <c r="H1641" s="686"/>
      <c r="I1641" s="686"/>
      <c r="J1641" s="766"/>
      <c r="K1641" s="677"/>
    </row>
    <row r="1642" spans="1:11">
      <c r="A1642" s="675"/>
      <c r="B1642" s="767"/>
      <c r="C1642" s="768"/>
      <c r="D1642" s="768"/>
      <c r="E1642" s="768"/>
      <c r="F1642" s="768"/>
      <c r="G1642" s="768"/>
      <c r="H1642" s="768"/>
      <c r="I1642" s="768"/>
      <c r="J1642" s="769"/>
      <c r="K1642" s="677"/>
    </row>
    <row r="1643" ht="5.1" customHeight="1" spans="1:11">
      <c r="A1643" s="675"/>
      <c r="B1643" s="686"/>
      <c r="C1643" s="686"/>
      <c r="D1643" s="686"/>
      <c r="E1643" s="686"/>
      <c r="F1643" s="686"/>
      <c r="G1643" s="686"/>
      <c r="H1643" s="686"/>
      <c r="I1643" s="686"/>
      <c r="J1643" s="686"/>
      <c r="K1643" s="677"/>
    </row>
    <row r="1644" spans="1:11">
      <c r="A1644" s="675"/>
      <c r="B1644" s="770" t="s">
        <v>432</v>
      </c>
      <c r="C1644" s="770"/>
      <c r="D1644" s="770"/>
      <c r="E1644" s="770"/>
      <c r="F1644" s="770"/>
      <c r="G1644" s="770"/>
      <c r="H1644" s="770"/>
      <c r="I1644" s="770"/>
      <c r="J1644" s="770"/>
      <c r="K1644" s="677"/>
    </row>
    <row r="1645" spans="1:11">
      <c r="A1645" s="675"/>
      <c r="B1645" s="771"/>
      <c r="C1645" s="771"/>
      <c r="D1645" s="771"/>
      <c r="E1645" s="771"/>
      <c r="F1645" s="771"/>
      <c r="G1645" s="771"/>
      <c r="H1645" s="771"/>
      <c r="I1645" s="771"/>
      <c r="J1645" s="771"/>
      <c r="K1645" s="677"/>
    </row>
    <row r="1646" spans="1:11">
      <c r="A1646" s="675"/>
      <c r="B1646" s="771"/>
      <c r="C1646" s="771"/>
      <c r="D1646" s="771"/>
      <c r="E1646" s="771"/>
      <c r="F1646" s="771"/>
      <c r="G1646" s="771"/>
      <c r="H1646" s="771"/>
      <c r="I1646" s="771"/>
      <c r="J1646" s="771"/>
      <c r="K1646" s="677"/>
    </row>
    <row r="1647" spans="1:11">
      <c r="A1647" s="675"/>
      <c r="B1647" s="771"/>
      <c r="C1647" s="771"/>
      <c r="D1647" s="771"/>
      <c r="E1647" s="771"/>
      <c r="F1647" s="771"/>
      <c r="G1647" s="771"/>
      <c r="H1647" s="771"/>
      <c r="I1647" s="771"/>
      <c r="J1647" s="771"/>
      <c r="K1647" s="677"/>
    </row>
    <row r="1648" spans="1:11">
      <c r="A1648" s="675"/>
      <c r="B1648" s="686"/>
      <c r="C1648" s="686"/>
      <c r="D1648" s="686"/>
      <c r="E1648" s="686"/>
      <c r="F1648" s="686"/>
      <c r="G1648" s="686"/>
      <c r="H1648" s="686"/>
      <c r="I1648" s="686"/>
      <c r="J1648" s="686"/>
      <c r="K1648" s="677"/>
    </row>
    <row r="1649" spans="1:11">
      <c r="A1649" s="675"/>
      <c r="B1649" s="686"/>
      <c r="C1649" s="729" t="s">
        <v>433</v>
      </c>
      <c r="D1649" s="729"/>
      <c r="E1649" s="686"/>
      <c r="F1649" s="686"/>
      <c r="G1649" s="729" t="s">
        <v>434</v>
      </c>
      <c r="H1649" s="729"/>
      <c r="I1649" s="729"/>
      <c r="J1649" s="729"/>
      <c r="K1649" s="677"/>
    </row>
    <row r="1650" ht="16.35" spans="1:11">
      <c r="A1650" s="725"/>
      <c r="B1650" s="726"/>
      <c r="C1650" s="732" t="str">
        <f>"("&amp;PROPER(ENTRY!$D$19)&amp;")"</f>
        <v>(Indrajeet)</v>
      </c>
      <c r="D1650" s="732"/>
      <c r="E1650" s="726"/>
      <c r="F1650" s="726"/>
      <c r="G1650" s="732" t="str">
        <f>"("&amp;PROPER(ENTRY!$D$12)&amp;")"</f>
        <v>(Shambhu Dayal Meena)</v>
      </c>
      <c r="H1650" s="732"/>
      <c r="I1650" s="732"/>
      <c r="J1650" s="732"/>
      <c r="K1650" s="728"/>
    </row>
    <row r="1651" ht="24.6" spans="1:11">
      <c r="B1651" s="734"/>
      <c r="C1651" s="734"/>
      <c r="D1651" s="669" t="str">
        <f>ENTRY!$D$3</f>
        <v>MUNICIPAL CORPORATION OF DELHI</v>
      </c>
      <c r="E1651" s="669"/>
      <c r="F1651" s="669"/>
      <c r="G1651" s="669"/>
      <c r="H1651" s="734"/>
      <c r="I1651" s="669"/>
      <c r="J1651" s="669"/>
    </row>
    <row r="1652" ht="20.4" spans="1:11">
      <c r="B1652" s="735"/>
      <c r="C1652" s="735"/>
      <c r="D1652" s="670" t="str">
        <f>ENTRY!$D$4</f>
        <v>EDUCATION DEPARTMENT</v>
      </c>
      <c r="E1652" s="670"/>
      <c r="F1652" s="670"/>
      <c r="G1652" s="670"/>
      <c r="H1652" s="735"/>
      <c r="I1652" s="669"/>
      <c r="J1652" s="669"/>
    </row>
    <row r="1653" ht="22.8" spans="1:11">
      <c r="B1653" s="736"/>
      <c r="C1653" s="736"/>
      <c r="D1653" s="664" t="s">
        <v>417</v>
      </c>
      <c r="E1653" s="664"/>
      <c r="F1653" s="664"/>
      <c r="G1653" s="664"/>
      <c r="H1653" s="736"/>
      <c r="I1653" s="669"/>
      <c r="J1653" s="669"/>
    </row>
    <row r="1654" ht="22.8" spans="1:11">
      <c r="B1654" s="736"/>
      <c r="C1654" s="736"/>
      <c r="D1654" s="664" t="s">
        <v>418</v>
      </c>
      <c r="E1654" s="664"/>
      <c r="F1654" s="664"/>
      <c r="G1654" s="664"/>
      <c r="H1654" s="736"/>
      <c r="I1654" s="669"/>
      <c r="J1654" s="669"/>
    </row>
    <row r="1655" ht="24.95" customHeight="1" spans="1:11">
      <c r="B1655" s="735"/>
      <c r="C1655" s="735"/>
      <c r="D1655" s="737" t="str">
        <f>"SESSION : "&amp;ENTRY!$D$11</f>
        <v>SESSION : 2026-27</v>
      </c>
      <c r="E1655" s="737"/>
      <c r="F1655" s="737"/>
      <c r="G1655" s="737"/>
      <c r="H1655" s="735"/>
      <c r="I1655" s="738"/>
      <c r="J1655" s="738"/>
    </row>
    <row r="1656" ht="3.75" customHeight="1" spans="1:11">
      <c r="A1656" s="672"/>
      <c r="B1656" s="739"/>
      <c r="C1656" s="739"/>
      <c r="D1656" s="739"/>
      <c r="E1656" s="739"/>
      <c r="F1656" s="739"/>
      <c r="G1656" s="739"/>
      <c r="H1656" s="739"/>
      <c r="I1656" s="739"/>
      <c r="J1656" s="739"/>
      <c r="K1656" s="674"/>
    </row>
    <row r="1657" ht="21.95" customHeight="1" spans="1:11">
      <c r="A1657" s="675"/>
      <c r="B1657" s="676" t="s">
        <v>419</v>
      </c>
      <c r="C1657" s="676"/>
      <c r="D1657" s="676" t="str">
        <f>ENTRY!$D$6</f>
        <v>MCP NITHARI NO 1 BOYS</v>
      </c>
      <c r="E1657" s="676"/>
      <c r="F1657" s="676"/>
      <c r="G1657" s="676"/>
      <c r="H1657" s="676"/>
      <c r="I1657" s="676"/>
      <c r="J1657" s="676"/>
      <c r="K1657" s="677"/>
    </row>
    <row r="1658" ht="21.95" customHeight="1" spans="1:11">
      <c r="A1658" s="675"/>
      <c r="B1658" s="676" t="s">
        <v>420</v>
      </c>
      <c r="C1658" s="676"/>
      <c r="D1658" s="740" t="str">
        <f>IFERROR(VLOOKUP($I$1661,STUDENT!$A$2:$BP$101,5,0),"")</f>
        <v>RAM CHANDER KUMAR</v>
      </c>
      <c r="E1658" s="740"/>
      <c r="F1658" s="740"/>
      <c r="G1658" s="740"/>
      <c r="H1658" s="740"/>
      <c r="I1658" s="740"/>
      <c r="J1658" s="740"/>
      <c r="K1658" s="677"/>
    </row>
    <row r="1659" ht="21.95" customHeight="1" spans="1:11">
      <c r="A1659" s="675"/>
      <c r="B1659" s="676" t="s">
        <v>421</v>
      </c>
      <c r="C1659" s="676"/>
      <c r="D1659" s="740" t="str">
        <f>IFERROR(VLOOKUP($I$1661,STUDENT!$A$2:$BP$101,8,0),"")</f>
        <v>AKASH SHARMA</v>
      </c>
      <c r="E1659" s="740"/>
      <c r="F1659" s="740"/>
      <c r="G1659" s="740"/>
      <c r="H1659" s="740"/>
      <c r="I1659" s="740"/>
      <c r="J1659" s="740"/>
      <c r="K1659" s="677"/>
    </row>
    <row r="1660" ht="21.95" customHeight="1" spans="1:11">
      <c r="A1660" s="675"/>
      <c r="B1660" s="676" t="s">
        <v>422</v>
      </c>
      <c r="C1660" s="676"/>
      <c r="D1660" s="740">
        <f>IFERROR(VLOOKUP($I$1661,STUDENT!$A$2:$BP$101,6,0),"")</f>
        <v>15034</v>
      </c>
      <c r="E1660" s="740"/>
      <c r="F1660" s="740"/>
      <c r="G1660" s="740"/>
      <c r="H1660" s="740"/>
      <c r="I1660" s="740"/>
      <c r="J1660" s="740"/>
      <c r="K1660" s="677"/>
    </row>
    <row r="1661" ht="21.95" customHeight="1" spans="1:11">
      <c r="A1661" s="675"/>
      <c r="B1661" s="676" t="s">
        <v>423</v>
      </c>
      <c r="C1661" s="676"/>
      <c r="D1661" s="741" t="str">
        <f>IFERROR(VLOOKUP($I$1661,STUDENT!$A$2:$BP$101,59,0),"")</f>
        <v/>
      </c>
      <c r="E1661" s="742" t="s">
        <v>424</v>
      </c>
      <c r="F1661" s="704" t="str">
        <f>IFERROR(VLOOKUP($I$1661,STUDENT!$A$2:$BP$101,2,0),"")</f>
        <v>III-A</v>
      </c>
      <c r="G1661" s="742" t="s">
        <v>425</v>
      </c>
      <c r="H1661" s="743"/>
      <c r="I1661" s="733">
        <f>I1606+1</f>
        <v>31</v>
      </c>
      <c r="J1661" s="683"/>
      <c r="K1661" s="677"/>
    </row>
    <row r="1662" ht="5.1" customHeight="1" spans="1:11">
      <c r="A1662" s="675"/>
      <c r="B1662" s="745"/>
      <c r="C1662" s="745"/>
      <c r="D1662" s="746"/>
      <c r="E1662" s="747"/>
      <c r="F1662" s="748"/>
      <c r="G1662" s="747"/>
      <c r="H1662" s="686"/>
      <c r="I1662" s="686"/>
      <c r="J1662" s="686"/>
      <c r="K1662" s="677"/>
    </row>
    <row r="1663" s="664" customFormat="1" ht="32.1" customHeight="1" spans="1:11">
      <c r="A1663" s="688"/>
      <c r="B1663" s="749" t="s">
        <v>426</v>
      </c>
      <c r="C1663" s="750"/>
      <c r="D1663" s="750"/>
      <c r="E1663" s="750"/>
      <c r="F1663" s="750"/>
      <c r="G1663" s="750"/>
      <c r="H1663" s="750"/>
      <c r="I1663" s="750"/>
      <c r="J1663" s="751"/>
      <c r="K1663" s="690"/>
    </row>
    <row r="1664" ht="51.6" spans="1:11">
      <c r="A1664" s="675"/>
      <c r="B1664" s="752">
        <v>21</v>
      </c>
      <c r="C1664" s="753" t="s">
        <v>427</v>
      </c>
      <c r="D1664" s="754" t="s">
        <v>428</v>
      </c>
      <c r="E1664" s="754" t="s">
        <v>429</v>
      </c>
      <c r="F1664" s="754" t="s">
        <v>430</v>
      </c>
      <c r="G1664" s="753" t="s">
        <v>390</v>
      </c>
      <c r="H1664" s="714"/>
      <c r="I1664" s="714"/>
      <c r="J1664" s="714"/>
      <c r="K1664" s="677"/>
    </row>
    <row r="1665" ht="20.1" customHeight="1" spans="1:11">
      <c r="A1665" s="675"/>
      <c r="B1665" s="755">
        <v>1</v>
      </c>
      <c r="C1665" s="755" t="str">
        <f>IFERROR(VLOOKUP(B1665,DATEWISE!$A$3:$BY$27,2,0),0)</f>
        <v>30.04.2026</v>
      </c>
      <c r="D1665" s="755">
        <f>IF($C$1665=0,NA(),VLOOKUP($I$1661&amp;$B$1665,FLNFIX!$L$4:$EF$103,2,0))</f>
        <v>2</v>
      </c>
      <c r="E1665" s="755">
        <f>IF($C$1665=0,NA(),VLOOKUP($I$1661&amp;$B$1665,FLNFIX!$L$4:$EF$103,4,0))</f>
        <v>3</v>
      </c>
      <c r="F1665" s="755">
        <f>IF($C$1665=0,NA(),VLOOKUP($I$1661&amp;$B$1665,FLNFIX!$L$4:$EF$103,3,0))</f>
        <v>2</v>
      </c>
      <c r="G1665" s="756">
        <f>IF($C$1665=0,NA(),VLOOKUP($I$1661&amp;$B$1665,FLNFIX!$L$4:$EF$103,5,0))</f>
        <v>0</v>
      </c>
      <c r="H1665" s="757"/>
      <c r="I1665" s="757"/>
      <c r="J1665" s="758"/>
      <c r="K1665" s="677"/>
    </row>
    <row r="1666" ht="20.1" customHeight="1" spans="1:11">
      <c r="A1666" s="675"/>
      <c r="B1666" s="755">
        <f t="shared" ref="B1666:B1685" si="30">IF(B1665=0,0,IF(B1665&lt;$B$1664,B1665+1,""))</f>
        <v>2</v>
      </c>
      <c r="C1666" s="755" t="str">
        <f>IFERROR(VLOOKUP(B1666,DATEWISE!$A$3:$BY$27,2,0),0)</f>
        <v>08.05.2026</v>
      </c>
      <c r="D1666" s="755">
        <f>IF($C$1666=0,NA(),VLOOKUP($I$1661&amp;$B$1666,FLNFIX!$Q$4:$EF$103,2,0))</f>
        <v>2</v>
      </c>
      <c r="E1666" s="755">
        <f>IF($C$1666=0,NA(),VLOOKUP($I$1661&amp;$B$1666,FLNFIX!$Q$4:$EF$103,4,0))</f>
        <v>3</v>
      </c>
      <c r="F1666" s="755">
        <f>IF($C$1666=0,NA(),VLOOKUP($I$1661&amp;$B$1666,FLNFIX!$Q$4:$EF$103,3,0))</f>
        <v>2</v>
      </c>
      <c r="G1666" s="756">
        <f>IF($C$1666=0,NA(),VLOOKUP($I$1661&amp;$B$1666,FLNFIX!$Q$4:$EF$103,5,0))</f>
        <v>0</v>
      </c>
      <c r="H1666" s="757"/>
      <c r="I1666" s="757"/>
      <c r="J1666" s="758"/>
      <c r="K1666" s="677"/>
    </row>
    <row r="1667" ht="20.1" customHeight="1" spans="1:11">
      <c r="A1667" s="675"/>
      <c r="B1667" s="755">
        <f t="shared" si="30"/>
        <v>3</v>
      </c>
      <c r="C1667" s="755" t="str">
        <f>IFERROR(VLOOKUP(B1667,DATEWISE!$A$3:$BY$27,2,0),0)</f>
        <v>15.07.2026</v>
      </c>
      <c r="D1667" s="755">
        <f>IF($C$1667=0,NA(),VLOOKUP($I$1661&amp;$B$1667,FLNFIX!$V$4:$EF$103,2,0))</f>
        <v>2</v>
      </c>
      <c r="E1667" s="755">
        <f>IF($C$1667=0,NA(),VLOOKUP($I$1661&amp;$B$1667,FLNFIX!$V$4:$EF$103,4,0))</f>
        <v>3</v>
      </c>
      <c r="F1667" s="755">
        <f>IF($C$1667=0,NA(),VLOOKUP($I$1661&amp;$B$1667,FLNFIX!$V$4:$EF$103,3,0))</f>
        <v>2</v>
      </c>
      <c r="G1667" s="756">
        <f>IF($C$1667=0,NA(),VLOOKUP($I$1661&amp;$B$1667,FLNFIX!$V$4:$EF$103,5,0))</f>
        <v>0</v>
      </c>
      <c r="H1667" s="757"/>
      <c r="I1667" s="757"/>
      <c r="J1667" s="758"/>
      <c r="K1667" s="677"/>
    </row>
    <row r="1668" ht="20.1" customHeight="1" spans="1:11">
      <c r="A1668" s="675"/>
      <c r="B1668" s="755">
        <f t="shared" si="30"/>
        <v>4</v>
      </c>
      <c r="C1668" s="755" t="str">
        <f>IFERROR(VLOOKUP(B1668,DATEWISE!$A$3:$BY$27,2,0),0)</f>
        <v>31.07.2026</v>
      </c>
      <c r="D1668" s="755">
        <f>IF($C$1668=0,NA(),VLOOKUP($I$1661&amp;$B$1668,FLNFIX!$AA$4:$EF$103,2,0))</f>
        <v>2</v>
      </c>
      <c r="E1668" s="755">
        <f>IF($C$1668=0,NA(),VLOOKUP($I$1661&amp;$B$1668,FLNFIX!$AA$4:$EF$103,4,0))</f>
        <v>3</v>
      </c>
      <c r="F1668" s="755">
        <f>IF($C$1668=0,NA(),VLOOKUP($I$1661&amp;$B$1668,FLNFIX!$AA$4:$EF$103,3,0))</f>
        <v>2</v>
      </c>
      <c r="G1668" s="756">
        <f>IF($C$1668=0,NA(),VLOOKUP($I$1661&amp;$B$1668,FLNFIX!$AA$4:$EF$103,5,0))</f>
        <v>0</v>
      </c>
      <c r="H1668" s="757"/>
      <c r="I1668" s="757"/>
      <c r="J1668" s="758"/>
      <c r="K1668" s="677"/>
    </row>
    <row r="1669" ht="20.1" customHeight="1" spans="1:11">
      <c r="A1669" s="675"/>
      <c r="B1669" s="755">
        <f t="shared" si="30"/>
        <v>5</v>
      </c>
      <c r="C1669" s="755" t="str">
        <f>IFERROR(VLOOKUP(B1669,DATEWISE!$A$3:$BY$27,2,0),0)</f>
        <v>17.08.2026</v>
      </c>
      <c r="D1669" s="755">
        <f>IF($C$1669=0,NA(),VLOOKUP($I$1661&amp;$B$1669,FLNFIX!$AF$4:$EF$103,2,0))</f>
        <v>2</v>
      </c>
      <c r="E1669" s="755">
        <f>IF($C$1669=0,NA(),VLOOKUP($I$1661&amp;$B$1669,FLNFIX!$AF$4:$EF$103,4,0))</f>
        <v>3</v>
      </c>
      <c r="F1669" s="755">
        <f>IF($C$1669=0,NA(),VLOOKUP($I$1661&amp;$B$1669,FLNFIX!$AF$4:$EF$103,3,0))</f>
        <v>2</v>
      </c>
      <c r="G1669" s="756">
        <f>IF($C$1669=0,NA(),VLOOKUP($I$1661&amp;$B$1669,FLNFIX!$AF$4:$EF$103,5,0))</f>
        <v>0</v>
      </c>
      <c r="H1669" s="757"/>
      <c r="I1669" s="757"/>
      <c r="J1669" s="758"/>
      <c r="K1669" s="677"/>
    </row>
    <row r="1670" ht="20.1" customHeight="1" spans="1:11">
      <c r="A1670" s="675"/>
      <c r="B1670" s="755">
        <f t="shared" si="30"/>
        <v>6</v>
      </c>
      <c r="C1670" s="755" t="str">
        <f>IFERROR(VLOOKUP(B1670,DATEWISE!$A$3:$BY$27,2,0),0)</f>
        <v>31.08.2026</v>
      </c>
      <c r="D1670" s="755">
        <f>IF($C$1670=0,NA(),VLOOKUP($I$1661&amp;$B$1670,FLNFIX!$AK$4:$EF$103,2,0))</f>
        <v>2</v>
      </c>
      <c r="E1670" s="755">
        <f>IF($C$1670=0,NA(),VLOOKUP($I$1661&amp;$B$1670,FLNFIX!$AK$4:$EF$103,4,0))</f>
        <v>3</v>
      </c>
      <c r="F1670" s="755">
        <f>IF($C$1670=0,NA(),VLOOKUP($I$1661&amp;$B$1670,FLNFIX!$AK$4:$EF$103,3,0))</f>
        <v>2</v>
      </c>
      <c r="G1670" s="756">
        <f>IF($C$1670=0,NA(),VLOOKUP($I$1661&amp;$B$1670,FLNFIX!$AK$4:$EF$103,5,0))</f>
        <v>0</v>
      </c>
      <c r="H1670" s="757"/>
      <c r="I1670" s="757"/>
      <c r="J1670" s="758"/>
      <c r="K1670" s="677"/>
    </row>
    <row r="1671" ht="20.1" customHeight="1" spans="1:11">
      <c r="A1671" s="675"/>
      <c r="B1671" s="755">
        <f t="shared" si="30"/>
        <v>7</v>
      </c>
      <c r="C1671" s="755">
        <f>IFERROR(VLOOKUP(B1671,DATEWISE!$A$3:$BY$27,2,0),0)</f>
        <v>0</v>
      </c>
      <c r="D1671" s="755" t="e">
        <f>IF($C$1671=0,NA(),VLOOKUP($I$1661&amp;$B$1671,FLNFIX!$AP$4:$EF$103,2,0))</f>
        <v>#N/A</v>
      </c>
      <c r="E1671" s="755" t="e">
        <f>IF($C$1671=0,NA(),VLOOKUP($I$1661&amp;$B$1671,FLNFIX!$AP$4:$EF$103,4,0))</f>
        <v>#N/A</v>
      </c>
      <c r="F1671" s="755" t="e">
        <f>IF($C$1671=0,NA(),VLOOKUP($I$1661&amp;$B$1671,FLNFIX!$AP$4:$EF$103,3,0))</f>
        <v>#N/A</v>
      </c>
      <c r="G1671" s="756" t="e">
        <f>IF($C$1671=0,NA(),VLOOKUP($I$1661&amp;$B$1671,FLNFIX!$AP$4:$EF$103,5,0))</f>
        <v>#N/A</v>
      </c>
      <c r="H1671" s="757"/>
      <c r="I1671" s="757"/>
      <c r="J1671" s="758"/>
      <c r="K1671" s="677"/>
    </row>
    <row r="1672" ht="20.1" customHeight="1" spans="1:11">
      <c r="A1672" s="675"/>
      <c r="B1672" s="755">
        <f t="shared" si="30"/>
        <v>8</v>
      </c>
      <c r="C1672" s="755">
        <f>IFERROR(VLOOKUP(B1672,DATEWISE!$A$3:$BY$27,2,0),0)</f>
        <v>0</v>
      </c>
      <c r="D1672" s="755" t="e">
        <f>IF($C$1672=0,NA(),VLOOKUP($I$1661&amp;$B$1672,FLNFIX!$AU$4:$EF$103,2,0))</f>
        <v>#N/A</v>
      </c>
      <c r="E1672" s="755" t="e">
        <f>IF($C$1672=0,NA(),VLOOKUP($I$1661&amp;$B$1672,FLNFIX!$AU$4:$EF$103,4,0))</f>
        <v>#N/A</v>
      </c>
      <c r="F1672" s="755" t="e">
        <f>IF($C$1672=0,NA(),VLOOKUP($I$1661&amp;$B$1672,FLNFIX!$AU$4:$EF$103,3,0))</f>
        <v>#N/A</v>
      </c>
      <c r="G1672" s="756" t="e">
        <f>IF($C$1672=0,NA(),VLOOKUP($I$1661&amp;$B$1672,FLNFIX!$AU$4:$EF$103,5,0))</f>
        <v>#N/A</v>
      </c>
      <c r="H1672" s="757"/>
      <c r="I1672" s="757"/>
      <c r="J1672" s="758"/>
      <c r="K1672" s="677"/>
    </row>
    <row r="1673" ht="20.1" customHeight="1" spans="1:11">
      <c r="A1673" s="675"/>
      <c r="B1673" s="755">
        <f t="shared" si="30"/>
        <v>9</v>
      </c>
      <c r="C1673" s="755">
        <f>IFERROR(VLOOKUP(B1673,DATEWISE!$A$3:$BY$27,2,0),0)</f>
        <v>0</v>
      </c>
      <c r="D1673" s="755" t="e">
        <f>IF($C$1673=0,NA(),VLOOKUP($I$1661&amp;$B$1673,FLNFIX!$AZ$4:$EF$103,2,0))</f>
        <v>#N/A</v>
      </c>
      <c r="E1673" s="755" t="e">
        <f>IF($C$1673=0,NA(),VLOOKUP($I$1661&amp;$B$1673,FLNFIX!$AZ$4:$EF$103,4,0))</f>
        <v>#N/A</v>
      </c>
      <c r="F1673" s="755" t="e">
        <f>IF($C$1673=0,NA(),VLOOKUP($I$1661&amp;$B$1673,FLNFIX!$AZ$4:$EF$103,3,0))</f>
        <v>#N/A</v>
      </c>
      <c r="G1673" s="756" t="e">
        <f>IF($C$1673=0,NA(),VLOOKUP($I$1661&amp;$B$1673,FLNFIX!$AZ$4:$EF$103,5,0))</f>
        <v>#N/A</v>
      </c>
      <c r="H1673" s="757"/>
      <c r="I1673" s="757"/>
      <c r="J1673" s="758"/>
      <c r="K1673" s="677"/>
    </row>
    <row r="1674" ht="20.1" customHeight="1" spans="1:11">
      <c r="A1674" s="675"/>
      <c r="B1674" s="755">
        <f t="shared" si="30"/>
        <v>10</v>
      </c>
      <c r="C1674" s="755">
        <f>IFERROR(VLOOKUP(B1674,DATEWISE!$A$3:$BY$27,2,0),0)</f>
        <v>0</v>
      </c>
      <c r="D1674" s="755" t="e">
        <f>IF($C$1674=0,NA(),VLOOKUP($I$1661&amp;$B$1674,FLNFIX!$BE$4:$EF$103,2,0))</f>
        <v>#N/A</v>
      </c>
      <c r="E1674" s="755" t="e">
        <f>IF($C$1674=0,NA(),VLOOKUP($I$1661&amp;$B$1674,FLNFIX!$BE$4:$EF$103,4,0))</f>
        <v>#N/A</v>
      </c>
      <c r="F1674" s="755" t="e">
        <f>IF($C$1674=0,NA(),VLOOKUP($I$1661&amp;$B$1674,FLNFIX!$BE$4:$EF$103,3,0))</f>
        <v>#N/A</v>
      </c>
      <c r="G1674" s="756" t="e">
        <f>IF($C$1674=0,NA(),VLOOKUP($I$1661&amp;$B$1674,FLNFIX!$BE$4:$EF$103,5,0))</f>
        <v>#N/A</v>
      </c>
      <c r="H1674" s="757"/>
      <c r="I1674" s="757"/>
      <c r="J1674" s="758"/>
      <c r="K1674" s="677"/>
    </row>
    <row r="1675" ht="20.1" customHeight="1" spans="1:11">
      <c r="A1675" s="675"/>
      <c r="B1675" s="755">
        <f t="shared" si="30"/>
        <v>11</v>
      </c>
      <c r="C1675" s="755">
        <f>IFERROR(VLOOKUP(B1675,DATEWISE!$A$3:$BY$27,2,0),0)</f>
        <v>0</v>
      </c>
      <c r="D1675" s="755" t="e">
        <f>IF($C$1675=0,NA(),VLOOKUP($I$1661&amp;$B$1675,FLNFIX!$BJ$4:$EF$103,2,0))</f>
        <v>#N/A</v>
      </c>
      <c r="E1675" s="755" t="e">
        <f>IF($C$1675=0,NA(),VLOOKUP($I$1661&amp;$B$1675,FLNFIX!$BJ$4:$EF$103,4,0))</f>
        <v>#N/A</v>
      </c>
      <c r="F1675" s="755" t="e">
        <f>IF($C$1675=0,NA(),VLOOKUP($I$1661&amp;$B$1675,FLNFIX!$BJ$4:$EF$103,3,0))</f>
        <v>#N/A</v>
      </c>
      <c r="G1675" s="756" t="e">
        <f>IF($C$1675=0,NA(),VLOOKUP($I$1661&amp;$B$1675,FLNFIX!$BJ$4:$EF$103,5,0))</f>
        <v>#N/A</v>
      </c>
      <c r="H1675" s="757"/>
      <c r="I1675" s="757"/>
      <c r="J1675" s="758"/>
      <c r="K1675" s="677"/>
    </row>
    <row r="1676" ht="20.1" customHeight="1" spans="1:11">
      <c r="A1676" s="675"/>
      <c r="B1676" s="755">
        <f t="shared" si="30"/>
        <v>12</v>
      </c>
      <c r="C1676" s="755">
        <f>IFERROR(VLOOKUP(B1676,DATEWISE!$A$3:$BY$27,2,0),0)</f>
        <v>0</v>
      </c>
      <c r="D1676" s="755" t="e">
        <f>IF($C$1676=0,NA(),VLOOKUP($I$1661&amp;$B$1676,FLNFIX!$BO$4:$EF$103,2,0))</f>
        <v>#N/A</v>
      </c>
      <c r="E1676" s="755" t="e">
        <f>IF($C$1676=0,NA(),VLOOKUP($I$1661&amp;$B$1676,FLNFIX!$BO$4:$EF$103,4,0))</f>
        <v>#N/A</v>
      </c>
      <c r="F1676" s="755" t="e">
        <f>IF($C$1676=0,NA(),VLOOKUP($I$1661&amp;$B$1676,FLNFIX!$BO$4:$EF$103,3,0))</f>
        <v>#N/A</v>
      </c>
      <c r="G1676" s="756" t="e">
        <f>IF($C$1676=0,NA(),VLOOKUP($I$1661&amp;$B$1676,FLNFIX!$BO$4:$EF$103,5,0))</f>
        <v>#N/A</v>
      </c>
      <c r="H1676" s="757"/>
      <c r="I1676" s="757"/>
      <c r="J1676" s="758"/>
      <c r="K1676" s="677"/>
    </row>
    <row r="1677" ht="20.1" customHeight="1" spans="1:11">
      <c r="A1677" s="675"/>
      <c r="B1677" s="755">
        <f t="shared" si="30"/>
        <v>13</v>
      </c>
      <c r="C1677" s="755">
        <f>IFERROR(VLOOKUP(B1677,DATEWISE!$A$3:$BY$27,2,0),0)</f>
        <v>0</v>
      </c>
      <c r="D1677" s="755" t="e">
        <f>IF($C$1677=0,NA(),VLOOKUP($I$1661&amp;$B$1677,FLNFIX!$BT$4:$EF$103,2,0))</f>
        <v>#N/A</v>
      </c>
      <c r="E1677" s="755" t="e">
        <f>IF($C$1677=0,NA(),VLOOKUP($I$1661&amp;$B$1677,FLNFIX!$BT$4:$EF$103,4,0))</f>
        <v>#N/A</v>
      </c>
      <c r="F1677" s="755" t="e">
        <f>IF($C$1677=0,NA(),VLOOKUP($I$1661&amp;$B$1677,FLNFIX!$BT$4:$EF$103,3,0))</f>
        <v>#N/A</v>
      </c>
      <c r="G1677" s="756" t="e">
        <f>IF($C$1677=0,NA(),VLOOKUP($I$1661&amp;$B$1677,FLNFIX!$BT$4:$EF$103,5,0))</f>
        <v>#N/A</v>
      </c>
      <c r="H1677" s="757"/>
      <c r="I1677" s="757"/>
      <c r="J1677" s="758"/>
      <c r="K1677" s="677"/>
    </row>
    <row r="1678" ht="20.1" customHeight="1" spans="1:11">
      <c r="A1678" s="675"/>
      <c r="B1678" s="755">
        <f t="shared" si="30"/>
        <v>14</v>
      </c>
      <c r="C1678" s="755">
        <f>IFERROR(VLOOKUP(B1678,DATEWISE!$A$3:$BY$27,2,0),0)</f>
        <v>0</v>
      </c>
      <c r="D1678" s="755" t="e">
        <f>IF($C$1678=0,NA(),VLOOKUP($I$1661&amp;$B$1678,FLNFIX!$BY$4:$EF$103,2,0))</f>
        <v>#N/A</v>
      </c>
      <c r="E1678" s="755" t="e">
        <f>IF($C$1678=0,NA(),VLOOKUP($I$1661&amp;$B$1678,FLNFIX!$BY$4:$EF$103,4,0))</f>
        <v>#N/A</v>
      </c>
      <c r="F1678" s="755" t="e">
        <f>IF($C$1678=0,NA(),VLOOKUP($I$1661&amp;$B$1678,FLNFIX!$BY$4:$EF$103,3,0))</f>
        <v>#N/A</v>
      </c>
      <c r="G1678" s="756" t="e">
        <f>IF($C$1678=0,NA(),VLOOKUP($I$1661&amp;$B$1678,FLNFIX!$BY$4:$EF$103,5,0))</f>
        <v>#N/A</v>
      </c>
      <c r="H1678" s="757"/>
      <c r="I1678" s="757"/>
      <c r="J1678" s="758"/>
      <c r="K1678" s="677"/>
    </row>
    <row r="1679" ht="20.1" customHeight="1" spans="1:11">
      <c r="A1679" s="675"/>
      <c r="B1679" s="755">
        <f t="shared" si="30"/>
        <v>15</v>
      </c>
      <c r="C1679" s="755">
        <f>IFERROR(VLOOKUP(B1679,DATEWISE!$A$3:$BY$27,2,0),0)</f>
        <v>0</v>
      </c>
      <c r="D1679" s="755" t="e">
        <f>IF($C$1679=0,NA(),VLOOKUP($I$1661&amp;$B$1679,FLNFIX!$CD$4:$EF$103,2,0))</f>
        <v>#N/A</v>
      </c>
      <c r="E1679" s="755" t="e">
        <f>IF($C$1679=0,NA(),VLOOKUP($I$1661&amp;$B$1679,FLNFIX!$CD$4:$EF$103,4,0))</f>
        <v>#N/A</v>
      </c>
      <c r="F1679" s="755" t="e">
        <f>IF($C$1679=0,NA(),VLOOKUP($I$1661&amp;$B$1679,FLNFIX!$CD$4:$EF$103,3,0))</f>
        <v>#N/A</v>
      </c>
      <c r="G1679" s="756" t="e">
        <f>IF($C$1679=0,NA(),VLOOKUP($I$1661&amp;$B$1679,FLNFIX!$CD$4:$EF$103,5,0))</f>
        <v>#N/A</v>
      </c>
      <c r="H1679" s="757"/>
      <c r="I1679" s="757"/>
      <c r="J1679" s="758"/>
      <c r="K1679" s="677"/>
    </row>
    <row r="1680" ht="20.1" customHeight="1" spans="1:11">
      <c r="A1680" s="675"/>
      <c r="B1680" s="755">
        <f t="shared" si="30"/>
        <v>16</v>
      </c>
      <c r="C1680" s="755">
        <f>IFERROR(VLOOKUP(B1680,DATEWISE!$A$3:$BY$27,2,0),0)</f>
        <v>0</v>
      </c>
      <c r="D1680" s="755" t="e">
        <f>IF($C$1680=0,NA(),VLOOKUP($I$1661&amp;$B$1680,FLNFIX!$CI$4:$EF$103,2,0))</f>
        <v>#N/A</v>
      </c>
      <c r="E1680" s="755" t="e">
        <f>IF($C$1680=0,NA(),VLOOKUP($I$1661&amp;$B$1680,FLNFIX!$CI$4:$EF$103,4,0))</f>
        <v>#N/A</v>
      </c>
      <c r="F1680" s="755" t="e">
        <f>IF($C$1680=0,NA(),VLOOKUP($I$1661&amp;$B$1680,FLNFIX!$CI$4:$EF$103,3,0))</f>
        <v>#N/A</v>
      </c>
      <c r="G1680" s="756" t="e">
        <f>IF($C$1680=0,NA(),VLOOKUP($I$1661&amp;$B$1680,FLNFIX!$CI$4:$EF$103,5,0))</f>
        <v>#N/A</v>
      </c>
      <c r="H1680" s="757"/>
      <c r="I1680" s="757"/>
      <c r="J1680" s="758"/>
      <c r="K1680" s="677"/>
    </row>
    <row r="1681" ht="20.1" customHeight="1" spans="1:11">
      <c r="A1681" s="675"/>
      <c r="B1681" s="755">
        <f t="shared" si="30"/>
        <v>17</v>
      </c>
      <c r="C1681" s="755">
        <f>IFERROR(VLOOKUP(B1681,DATEWISE!$A$3:$BY$27,2,0),0)</f>
        <v>0</v>
      </c>
      <c r="D1681" s="755" t="e">
        <f>IF($C$1681=0,NA(),VLOOKUP($I$1661&amp;$B$1681,FLNFIX!$CN$4:$EF$103,2,0))</f>
        <v>#N/A</v>
      </c>
      <c r="E1681" s="755" t="e">
        <f>IF($C$1681=0,NA(),VLOOKUP($I$1661&amp;$B$1681,FLNFIX!$CN$4:$EF$103,4,0))</f>
        <v>#N/A</v>
      </c>
      <c r="F1681" s="755" t="e">
        <f>IF($C$1681=0,NA(),VLOOKUP($I$1661&amp;$B$1681,FLNFIX!$CN$4:$EF$103,3,0))</f>
        <v>#N/A</v>
      </c>
      <c r="G1681" s="756" t="e">
        <f>IF($C$1681=0,NA(),VLOOKUP($I$1661&amp;$B$1681,FLNFIX!$CN$4:$EF$103,5,0))</f>
        <v>#N/A</v>
      </c>
      <c r="H1681" s="757"/>
      <c r="I1681" s="757"/>
      <c r="J1681" s="758"/>
      <c r="K1681" s="677"/>
    </row>
    <row r="1682" ht="20.1" customHeight="1" spans="1:11">
      <c r="A1682" s="675"/>
      <c r="B1682" s="755">
        <f t="shared" si="30"/>
        <v>18</v>
      </c>
      <c r="C1682" s="755">
        <f>IFERROR(VLOOKUP(B1682,DATEWISE!$A$3:$BY$27,2,0),0)</f>
        <v>0</v>
      </c>
      <c r="D1682" s="755" t="e">
        <f>IF($C$1682=0,NA(),VLOOKUP($I$1661&amp;$B$1682,FLNFIX!$CS$4:$EF$103,2,0))</f>
        <v>#N/A</v>
      </c>
      <c r="E1682" s="755" t="e">
        <f>IF($C$1682=0,NA(),VLOOKUP($I$1661&amp;$B$1682,FLNFIX!$CS$4:$EF$103,4,0))</f>
        <v>#N/A</v>
      </c>
      <c r="F1682" s="755" t="e">
        <f>IF($C$1682=0,NA(),VLOOKUP($I$1661&amp;$B$1682,FLNFIX!$CS$4:$EF$103,3,0))</f>
        <v>#N/A</v>
      </c>
      <c r="G1682" s="756" t="e">
        <f>IF($C$1682=0,NA(),VLOOKUP($I$1661&amp;$B$1682,FLNFIX!$CS$4:$EF$103,5,0))</f>
        <v>#N/A</v>
      </c>
      <c r="H1682" s="757"/>
      <c r="I1682" s="757"/>
      <c r="J1682" s="758"/>
      <c r="K1682" s="677"/>
    </row>
    <row r="1683" ht="20.1" customHeight="1" spans="1:11">
      <c r="A1683" s="675"/>
      <c r="B1683" s="755">
        <f t="shared" si="30"/>
        <v>19</v>
      </c>
      <c r="C1683" s="755">
        <f>IFERROR(VLOOKUP(B1683,DATEWISE!$A$3:$BY$27,2,0),0)</f>
        <v>0</v>
      </c>
      <c r="D1683" s="755" t="e">
        <f>IF($C$1683=0,NA(),VLOOKUP($I$1661&amp;$B$1683,FLNFIX!$CX$4:$EF$103,2,0))</f>
        <v>#N/A</v>
      </c>
      <c r="E1683" s="755" t="e">
        <f>IF($C$1683=0,NA(),VLOOKUP($I$1661&amp;$B$1683,FLNFIX!$CX$4:$EF$103,4,0))</f>
        <v>#N/A</v>
      </c>
      <c r="F1683" s="755" t="e">
        <f>IF($C$1683=0,NA(),VLOOKUP($I$1661&amp;$B$1683,FLNFIX!$CX$4:$EF$103,3,0))</f>
        <v>#N/A</v>
      </c>
      <c r="G1683" s="756" t="e">
        <f>IF($C$1683=0,NA(),VLOOKUP($I$1661&amp;$B$1683,FLNFIX!$CX$4:$EF$103,5,0))</f>
        <v>#N/A</v>
      </c>
      <c r="H1683" s="757"/>
      <c r="I1683" s="757"/>
      <c r="J1683" s="758"/>
      <c r="K1683" s="677"/>
    </row>
    <row r="1684" ht="20.1" customHeight="1" spans="1:11">
      <c r="A1684" s="675"/>
      <c r="B1684" s="755">
        <f t="shared" si="30"/>
        <v>20</v>
      </c>
      <c r="C1684" s="755">
        <f>IFERROR(VLOOKUP(B1684,DATEWISE!$A$3:$BY$27,2,0),0)</f>
        <v>0</v>
      </c>
      <c r="D1684" s="755" t="e">
        <f>IF($C$1684=0,NA(),VLOOKUP($I$1661&amp;$B$1684,FLNFIX!$DC$4:$EF$103,2,0))</f>
        <v>#N/A</v>
      </c>
      <c r="E1684" s="755" t="e">
        <f>IF($C$1684=0,NA(),VLOOKUP($I$1661&amp;$B$1684,FLNFIX!$DC$4:$EF$103,4,0))</f>
        <v>#N/A</v>
      </c>
      <c r="F1684" s="755" t="e">
        <f>IF($C$1684=0,NA(),VLOOKUP($I$1661&amp;$B$1684,FLNFIX!$DC$4:$EF$103,3,0))</f>
        <v>#N/A</v>
      </c>
      <c r="G1684" s="756" t="e">
        <f>IF($C$1684=0,NA(),VLOOKUP($I$1661&amp;$B$1684,FLNFIX!$DC$4:$EF$103,5,0))</f>
        <v>#N/A</v>
      </c>
      <c r="H1684" s="757"/>
      <c r="I1684" s="757"/>
      <c r="J1684" s="758"/>
      <c r="K1684" s="677"/>
    </row>
    <row r="1685" ht="20.1" customHeight="1" spans="1:11">
      <c r="A1685" s="675"/>
      <c r="B1685" s="755">
        <f t="shared" si="30"/>
        <v>21</v>
      </c>
      <c r="C1685" s="755">
        <f>IFERROR(VLOOKUP(B1685,DATEWISE!$A$3:$BY$27,2,0),0)</f>
        <v>0</v>
      </c>
      <c r="D1685" s="755" t="e">
        <f>IF($C$1685=0,NA(),VLOOKUP($I$1661&amp;$B$1685,FLNFIX!$DH$4:$EF$103,2,0))</f>
        <v>#N/A</v>
      </c>
      <c r="E1685" s="755" t="e">
        <f>IF($C$1685=0,NA(),VLOOKUP($I$1661&amp;$B$1685,FLNFIX!$DH$4:$EF$103,4,0))</f>
        <v>#N/A</v>
      </c>
      <c r="F1685" s="755" t="e">
        <f>IF($C$1685=0,NA(),VLOOKUP($I$1661&amp;$B$1685,FLNFIX!$DH$4:$EF$103,3,0))</f>
        <v>#N/A</v>
      </c>
      <c r="G1685" s="756" t="e">
        <f>IF($C$1685=0,NA(),VLOOKUP($I$1661&amp;$B$1685,FLNFIX!$DH$4:$EF$103,5,0))</f>
        <v>#N/A</v>
      </c>
      <c r="H1685" s="757"/>
      <c r="I1685" s="757"/>
      <c r="J1685" s="758"/>
      <c r="K1685" s="677"/>
    </row>
    <row r="1686" ht="5.1" customHeight="1" spans="1:11">
      <c r="A1686" s="675"/>
      <c r="B1686" s="759"/>
      <c r="C1686" s="759"/>
      <c r="D1686" s="760"/>
      <c r="E1686" s="760"/>
      <c r="F1686" s="760"/>
      <c r="G1686" s="761"/>
      <c r="H1686" s="761"/>
      <c r="I1686" s="761"/>
      <c r="J1686" s="761"/>
      <c r="K1686" s="677"/>
    </row>
    <row r="1687" s="667" customFormat="1" ht="24.95" customHeight="1" spans="1:11">
      <c r="A1687" s="711"/>
      <c r="B1687" s="762" t="s">
        <v>431</v>
      </c>
      <c r="C1687" s="763"/>
      <c r="D1687" s="763"/>
      <c r="E1687" s="763"/>
      <c r="F1687" s="763"/>
      <c r="G1687" s="763"/>
      <c r="H1687" s="763"/>
      <c r="I1687" s="763"/>
      <c r="J1687" s="764"/>
      <c r="K1687" s="713"/>
    </row>
    <row r="1688" spans="1:11">
      <c r="A1688" s="675"/>
      <c r="B1688" s="765"/>
      <c r="C1688" s="686"/>
      <c r="D1688" s="686"/>
      <c r="E1688" s="686"/>
      <c r="F1688" s="686"/>
      <c r="G1688" s="686"/>
      <c r="H1688" s="686"/>
      <c r="I1688" s="686"/>
      <c r="J1688" s="766"/>
      <c r="K1688" s="677"/>
    </row>
    <row r="1689" spans="1:11">
      <c r="A1689" s="675"/>
      <c r="B1689" s="765"/>
      <c r="C1689" s="686"/>
      <c r="D1689" s="686"/>
      <c r="E1689" s="686"/>
      <c r="F1689" s="686"/>
      <c r="G1689" s="686"/>
      <c r="H1689" s="686"/>
      <c r="I1689" s="686"/>
      <c r="J1689" s="766"/>
      <c r="K1689" s="677"/>
    </row>
    <row r="1690" spans="1:11">
      <c r="A1690" s="675"/>
      <c r="B1690" s="765"/>
      <c r="C1690" s="686"/>
      <c r="D1690" s="686"/>
      <c r="E1690" s="686"/>
      <c r="F1690" s="686"/>
      <c r="G1690" s="686"/>
      <c r="H1690" s="686"/>
      <c r="I1690" s="686"/>
      <c r="J1690" s="766"/>
      <c r="K1690" s="677"/>
    </row>
    <row r="1691" spans="1:11">
      <c r="A1691" s="675"/>
      <c r="B1691" s="765"/>
      <c r="C1691" s="686"/>
      <c r="D1691" s="686"/>
      <c r="E1691" s="686"/>
      <c r="F1691" s="686"/>
      <c r="G1691" s="686"/>
      <c r="H1691" s="686"/>
      <c r="I1691" s="686"/>
      <c r="J1691" s="766"/>
      <c r="K1691" s="677"/>
    </row>
    <row r="1692" spans="1:11">
      <c r="A1692" s="675"/>
      <c r="B1692" s="765"/>
      <c r="C1692" s="686"/>
      <c r="D1692" s="686"/>
      <c r="E1692" s="686"/>
      <c r="F1692" s="686"/>
      <c r="G1692" s="686"/>
      <c r="H1692" s="686"/>
      <c r="I1692" s="686"/>
      <c r="J1692" s="766"/>
      <c r="K1692" s="677"/>
    </row>
    <row r="1693" spans="1:11">
      <c r="A1693" s="675"/>
      <c r="B1693" s="765"/>
      <c r="C1693" s="686"/>
      <c r="D1693" s="686"/>
      <c r="E1693" s="686"/>
      <c r="F1693" s="686"/>
      <c r="G1693" s="686"/>
      <c r="H1693" s="686"/>
      <c r="I1693" s="686"/>
      <c r="J1693" s="766"/>
      <c r="K1693" s="677"/>
    </row>
    <row r="1694" spans="1:11">
      <c r="A1694" s="675"/>
      <c r="B1694" s="765"/>
      <c r="C1694" s="686"/>
      <c r="D1694" s="686"/>
      <c r="E1694" s="686"/>
      <c r="F1694" s="686"/>
      <c r="G1694" s="686"/>
      <c r="H1694" s="686"/>
      <c r="I1694" s="686"/>
      <c r="J1694" s="766"/>
      <c r="K1694" s="677"/>
    </row>
    <row r="1695" spans="1:11">
      <c r="A1695" s="675"/>
      <c r="B1695" s="765"/>
      <c r="C1695" s="686"/>
      <c r="D1695" s="686"/>
      <c r="E1695" s="686"/>
      <c r="F1695" s="686"/>
      <c r="G1695" s="686"/>
      <c r="H1695" s="686"/>
      <c r="I1695" s="686"/>
      <c r="J1695" s="766"/>
      <c r="K1695" s="677"/>
    </row>
    <row r="1696" spans="1:11">
      <c r="A1696" s="675"/>
      <c r="B1696" s="765"/>
      <c r="C1696" s="686"/>
      <c r="D1696" s="686"/>
      <c r="E1696" s="686"/>
      <c r="F1696" s="686"/>
      <c r="G1696" s="686"/>
      <c r="H1696" s="686"/>
      <c r="I1696" s="686"/>
      <c r="J1696" s="766"/>
      <c r="K1696" s="677"/>
    </row>
    <row r="1697" spans="1:11">
      <c r="A1697" s="675"/>
      <c r="B1697" s="767"/>
      <c r="C1697" s="768"/>
      <c r="D1697" s="768"/>
      <c r="E1697" s="768"/>
      <c r="F1697" s="768"/>
      <c r="G1697" s="768"/>
      <c r="H1697" s="768"/>
      <c r="I1697" s="768"/>
      <c r="J1697" s="769"/>
      <c r="K1697" s="677"/>
    </row>
    <row r="1698" ht="5.1" customHeight="1" spans="1:11">
      <c r="A1698" s="675"/>
      <c r="B1698" s="686"/>
      <c r="C1698" s="686"/>
      <c r="D1698" s="686"/>
      <c r="E1698" s="686"/>
      <c r="F1698" s="686"/>
      <c r="G1698" s="686"/>
      <c r="H1698" s="686"/>
      <c r="I1698" s="686"/>
      <c r="J1698" s="686"/>
      <c r="K1698" s="677"/>
    </row>
    <row r="1699" spans="1:11">
      <c r="A1699" s="675"/>
      <c r="B1699" s="770" t="s">
        <v>432</v>
      </c>
      <c r="C1699" s="770"/>
      <c r="D1699" s="770"/>
      <c r="E1699" s="770"/>
      <c r="F1699" s="770"/>
      <c r="G1699" s="770"/>
      <c r="H1699" s="770"/>
      <c r="I1699" s="770"/>
      <c r="J1699" s="770"/>
      <c r="K1699" s="677"/>
    </row>
    <row r="1700" spans="1:11">
      <c r="A1700" s="675"/>
      <c r="B1700" s="771"/>
      <c r="C1700" s="771"/>
      <c r="D1700" s="771"/>
      <c r="E1700" s="771"/>
      <c r="F1700" s="771"/>
      <c r="G1700" s="771"/>
      <c r="H1700" s="771"/>
      <c r="I1700" s="771"/>
      <c r="J1700" s="771"/>
      <c r="K1700" s="677"/>
    </row>
    <row r="1701" spans="1:11">
      <c r="A1701" s="675"/>
      <c r="B1701" s="771"/>
      <c r="C1701" s="771"/>
      <c r="D1701" s="771"/>
      <c r="E1701" s="771"/>
      <c r="F1701" s="771"/>
      <c r="G1701" s="771"/>
      <c r="H1701" s="771"/>
      <c r="I1701" s="771"/>
      <c r="J1701" s="771"/>
      <c r="K1701" s="677"/>
    </row>
    <row r="1702" spans="1:11">
      <c r="A1702" s="675"/>
      <c r="B1702" s="771"/>
      <c r="C1702" s="771"/>
      <c r="D1702" s="771"/>
      <c r="E1702" s="771"/>
      <c r="F1702" s="771"/>
      <c r="G1702" s="771"/>
      <c r="H1702" s="771"/>
      <c r="I1702" s="771"/>
      <c r="J1702" s="771"/>
      <c r="K1702" s="677"/>
    </row>
    <row r="1703" spans="1:11">
      <c r="A1703" s="675"/>
      <c r="B1703" s="686"/>
      <c r="C1703" s="686"/>
      <c r="D1703" s="686"/>
      <c r="E1703" s="686"/>
      <c r="F1703" s="686"/>
      <c r="G1703" s="686"/>
      <c r="H1703" s="686"/>
      <c r="I1703" s="686"/>
      <c r="J1703" s="686"/>
      <c r="K1703" s="677"/>
    </row>
    <row r="1704" spans="1:11">
      <c r="A1704" s="675"/>
      <c r="B1704" s="686"/>
      <c r="C1704" s="729" t="s">
        <v>433</v>
      </c>
      <c r="D1704" s="729"/>
      <c r="E1704" s="686"/>
      <c r="F1704" s="686"/>
      <c r="G1704" s="729" t="s">
        <v>434</v>
      </c>
      <c r="H1704" s="729"/>
      <c r="I1704" s="729"/>
      <c r="J1704" s="729"/>
      <c r="K1704" s="677"/>
    </row>
    <row r="1705" ht="16.35" spans="1:11">
      <c r="A1705" s="725"/>
      <c r="B1705" s="726"/>
      <c r="C1705" s="732" t="str">
        <f>"("&amp;PROPER(ENTRY!$D$19)&amp;")"</f>
        <v>(Indrajeet)</v>
      </c>
      <c r="D1705" s="732"/>
      <c r="E1705" s="726"/>
      <c r="F1705" s="726"/>
      <c r="G1705" s="732" t="str">
        <f>"("&amp;PROPER(ENTRY!$D$12)&amp;")"</f>
        <v>(Shambhu Dayal Meena)</v>
      </c>
      <c r="H1705" s="732"/>
      <c r="I1705" s="732"/>
      <c r="J1705" s="732"/>
      <c r="K1705" s="728"/>
    </row>
    <row r="1706" ht="24.6" spans="1:11">
      <c r="B1706" s="734"/>
      <c r="C1706" s="734"/>
      <c r="D1706" s="669" t="str">
        <f>ENTRY!$D$3</f>
        <v>MUNICIPAL CORPORATION OF DELHI</v>
      </c>
      <c r="E1706" s="669"/>
      <c r="F1706" s="669"/>
      <c r="G1706" s="669"/>
      <c r="H1706" s="734"/>
      <c r="I1706" s="669"/>
      <c r="J1706" s="669"/>
    </row>
    <row r="1707" ht="20.4" spans="1:11">
      <c r="B1707" s="735"/>
      <c r="C1707" s="735"/>
      <c r="D1707" s="670" t="str">
        <f>ENTRY!$D$4</f>
        <v>EDUCATION DEPARTMENT</v>
      </c>
      <c r="E1707" s="670"/>
      <c r="F1707" s="670"/>
      <c r="G1707" s="670"/>
      <c r="H1707" s="735"/>
      <c r="I1707" s="669"/>
      <c r="J1707" s="669"/>
    </row>
    <row r="1708" ht="22.8" spans="1:11">
      <c r="B1708" s="736"/>
      <c r="C1708" s="736"/>
      <c r="D1708" s="664" t="s">
        <v>417</v>
      </c>
      <c r="E1708" s="664"/>
      <c r="F1708" s="664"/>
      <c r="G1708" s="664"/>
      <c r="H1708" s="736"/>
      <c r="I1708" s="669"/>
      <c r="J1708" s="669"/>
    </row>
    <row r="1709" ht="22.8" spans="1:11">
      <c r="B1709" s="736"/>
      <c r="C1709" s="736"/>
      <c r="D1709" s="664" t="s">
        <v>418</v>
      </c>
      <c r="E1709" s="664"/>
      <c r="F1709" s="664"/>
      <c r="G1709" s="664"/>
      <c r="H1709" s="736"/>
      <c r="I1709" s="669"/>
      <c r="J1709" s="669"/>
    </row>
    <row r="1710" ht="24.95" customHeight="1" spans="1:11">
      <c r="B1710" s="735"/>
      <c r="C1710" s="735"/>
      <c r="D1710" s="737" t="str">
        <f>"SESSION : "&amp;ENTRY!$D$11</f>
        <v>SESSION : 2026-27</v>
      </c>
      <c r="E1710" s="737"/>
      <c r="F1710" s="737"/>
      <c r="G1710" s="737"/>
      <c r="H1710" s="735"/>
      <c r="I1710" s="738"/>
      <c r="J1710" s="738"/>
    </row>
    <row r="1711" ht="3.75" customHeight="1" spans="1:11">
      <c r="A1711" s="672"/>
      <c r="B1711" s="739"/>
      <c r="C1711" s="739"/>
      <c r="D1711" s="739"/>
      <c r="E1711" s="739"/>
      <c r="F1711" s="739"/>
      <c r="G1711" s="739"/>
      <c r="H1711" s="739"/>
      <c r="I1711" s="739"/>
      <c r="J1711" s="739"/>
      <c r="K1711" s="674"/>
    </row>
    <row r="1712" ht="21.95" customHeight="1" spans="1:11">
      <c r="A1712" s="675"/>
      <c r="B1712" s="676" t="s">
        <v>419</v>
      </c>
      <c r="C1712" s="676"/>
      <c r="D1712" s="676" t="str">
        <f>ENTRY!$D$6</f>
        <v>MCP NITHARI NO 1 BOYS</v>
      </c>
      <c r="E1712" s="676"/>
      <c r="F1712" s="676"/>
      <c r="G1712" s="676"/>
      <c r="H1712" s="676"/>
      <c r="I1712" s="676"/>
      <c r="J1712" s="676"/>
      <c r="K1712" s="677"/>
    </row>
    <row r="1713" ht="21.95" customHeight="1" spans="1:11">
      <c r="A1713" s="675"/>
      <c r="B1713" s="676" t="s">
        <v>420</v>
      </c>
      <c r="C1713" s="676"/>
      <c r="D1713" s="740" t="str">
        <f>IFERROR(VLOOKUP($I$1716,STUDENT!$A$2:$BP$101,5,0),"")</f>
        <v>HARSHIT</v>
      </c>
      <c r="E1713" s="740"/>
      <c r="F1713" s="740"/>
      <c r="G1713" s="740"/>
      <c r="H1713" s="740"/>
      <c r="I1713" s="740"/>
      <c r="J1713" s="740"/>
      <c r="K1713" s="677"/>
    </row>
    <row r="1714" ht="21.95" customHeight="1" spans="1:11">
      <c r="A1714" s="675"/>
      <c r="B1714" s="676" t="s">
        <v>421</v>
      </c>
      <c r="C1714" s="676"/>
      <c r="D1714" s="740" t="str">
        <f>IFERROR(VLOOKUP($I$1716,STUDENT!$A$2:$BP$101,8,0),"")</f>
        <v>ANKIT SINGH</v>
      </c>
      <c r="E1714" s="740"/>
      <c r="F1714" s="740"/>
      <c r="G1714" s="740"/>
      <c r="H1714" s="740"/>
      <c r="I1714" s="740"/>
      <c r="J1714" s="740"/>
      <c r="K1714" s="677"/>
    </row>
    <row r="1715" ht="21.95" customHeight="1" spans="1:11">
      <c r="A1715" s="675"/>
      <c r="B1715" s="676" t="s">
        <v>422</v>
      </c>
      <c r="C1715" s="676"/>
      <c r="D1715" s="740">
        <f>IFERROR(VLOOKUP($I$1716,STUDENT!$A$2:$BP$101,6,0),"")</f>
        <v>15035</v>
      </c>
      <c r="E1715" s="740"/>
      <c r="F1715" s="740"/>
      <c r="G1715" s="740"/>
      <c r="H1715" s="740"/>
      <c r="I1715" s="740"/>
      <c r="J1715" s="740"/>
      <c r="K1715" s="677"/>
    </row>
    <row r="1716" ht="21.95" customHeight="1" spans="1:11">
      <c r="A1716" s="675"/>
      <c r="B1716" s="676" t="s">
        <v>423</v>
      </c>
      <c r="C1716" s="676"/>
      <c r="D1716" s="741" t="str">
        <f>IFERROR(VLOOKUP($I$1716,STUDENT!$A$2:$BP$101,59,0),"")</f>
        <v/>
      </c>
      <c r="E1716" s="742" t="s">
        <v>424</v>
      </c>
      <c r="F1716" s="704" t="str">
        <f>IFERROR(VLOOKUP($I$1716,STUDENT!$A$2:$BP$101,2,0),"")</f>
        <v>III-A</v>
      </c>
      <c r="G1716" s="742" t="s">
        <v>425</v>
      </c>
      <c r="H1716" s="743"/>
      <c r="I1716" s="733">
        <f>I1661+1</f>
        <v>32</v>
      </c>
      <c r="J1716" s="683"/>
      <c r="K1716" s="677"/>
    </row>
    <row r="1717" ht="5.1" customHeight="1" spans="1:11">
      <c r="A1717" s="675"/>
      <c r="B1717" s="745"/>
      <c r="C1717" s="745"/>
      <c r="D1717" s="746"/>
      <c r="E1717" s="747"/>
      <c r="F1717" s="748"/>
      <c r="G1717" s="747"/>
      <c r="H1717" s="686"/>
      <c r="I1717" s="686"/>
      <c r="J1717" s="686"/>
      <c r="K1717" s="677"/>
    </row>
    <row r="1718" s="664" customFormat="1" ht="32.1" customHeight="1" spans="1:11">
      <c r="A1718" s="688"/>
      <c r="B1718" s="749" t="s">
        <v>426</v>
      </c>
      <c r="C1718" s="750"/>
      <c r="D1718" s="750"/>
      <c r="E1718" s="750"/>
      <c r="F1718" s="750"/>
      <c r="G1718" s="750"/>
      <c r="H1718" s="750"/>
      <c r="I1718" s="750"/>
      <c r="J1718" s="751"/>
      <c r="K1718" s="690"/>
    </row>
    <row r="1719" ht="51.6" spans="1:11">
      <c r="A1719" s="675"/>
      <c r="B1719" s="752">
        <v>21</v>
      </c>
      <c r="C1719" s="753" t="s">
        <v>427</v>
      </c>
      <c r="D1719" s="754" t="s">
        <v>428</v>
      </c>
      <c r="E1719" s="754" t="s">
        <v>429</v>
      </c>
      <c r="F1719" s="754" t="s">
        <v>430</v>
      </c>
      <c r="G1719" s="753" t="s">
        <v>390</v>
      </c>
      <c r="H1719" s="714"/>
      <c r="I1719" s="714"/>
      <c r="J1719" s="714"/>
      <c r="K1719" s="677"/>
    </row>
    <row r="1720" ht="20.1" customHeight="1" spans="1:11">
      <c r="A1720" s="675"/>
      <c r="B1720" s="755">
        <v>1</v>
      </c>
      <c r="C1720" s="755" t="str">
        <f>IFERROR(VLOOKUP(B1720,DATEWISE!$A$3:$BY$27,2,0),0)</f>
        <v>30.04.2026</v>
      </c>
      <c r="D1720" s="755">
        <f>IF($C$1720=0,NA(),VLOOKUP($I$1716&amp;$B$1720,FLNFIX!$L$4:$EF$103,2,0))</f>
        <v>2</v>
      </c>
      <c r="E1720" s="755">
        <f>IF($C$1720=0,NA(),VLOOKUP($I$1716&amp;$B$1720,FLNFIX!$L$4:$EF$103,4,0))</f>
        <v>3</v>
      </c>
      <c r="F1720" s="755">
        <f>IF($C$1720=0,NA(),VLOOKUP($I$1716&amp;$B$1720,FLNFIX!$L$4:$EF$103,3,0))</f>
        <v>2</v>
      </c>
      <c r="G1720" s="756">
        <f>IF($C$1720=0,NA(),VLOOKUP($I$1716&amp;$B$1720,FLNFIX!$L$4:$EF$103,5,0))</f>
        <v>0</v>
      </c>
      <c r="H1720" s="757"/>
      <c r="I1720" s="757"/>
      <c r="J1720" s="758"/>
      <c r="K1720" s="677"/>
    </row>
    <row r="1721" ht="20.1" customHeight="1" spans="1:11">
      <c r="A1721" s="675"/>
      <c r="B1721" s="755">
        <f t="shared" ref="B1721:B1740" si="31">IF(B1720=0,0,IF(B1720&lt;$B$1719,B1720+1,""))</f>
        <v>2</v>
      </c>
      <c r="C1721" s="755" t="str">
        <f>IFERROR(VLOOKUP(B1721,DATEWISE!$A$3:$BY$27,2,0),0)</f>
        <v>08.05.2026</v>
      </c>
      <c r="D1721" s="755">
        <f>IF($C$1721=0,NA(),VLOOKUP($I$1716&amp;$B$1721,FLNFIX!$Q$4:$EF$103,2,0))</f>
        <v>2</v>
      </c>
      <c r="E1721" s="755">
        <f>IF($C$1721=0,NA(),VLOOKUP($I$1716&amp;$B$1721,FLNFIX!$Q$4:$EF$103,4,0))</f>
        <v>3</v>
      </c>
      <c r="F1721" s="755">
        <f>IF($C$1721=0,NA(),VLOOKUP($I$1716&amp;$B$1721,FLNFIX!$Q$4:$EF$103,3,0))</f>
        <v>2</v>
      </c>
      <c r="G1721" s="756">
        <f>IF($C$1721=0,NA(),VLOOKUP($I$1716&amp;$B$1721,FLNFIX!$Q$4:$EF$103,5,0))</f>
        <v>0</v>
      </c>
      <c r="H1721" s="757"/>
      <c r="I1721" s="757"/>
      <c r="J1721" s="758"/>
      <c r="K1721" s="677"/>
    </row>
    <row r="1722" ht="20.1" customHeight="1" spans="1:11">
      <c r="A1722" s="675"/>
      <c r="B1722" s="755">
        <f t="shared" si="31"/>
        <v>3</v>
      </c>
      <c r="C1722" s="755" t="str">
        <f>IFERROR(VLOOKUP(B1722,DATEWISE!$A$3:$BY$27,2,0),0)</f>
        <v>15.07.2026</v>
      </c>
      <c r="D1722" s="755">
        <f>IF($C$1722=0,NA(),VLOOKUP($I$1716&amp;$B$1722,FLNFIX!$V$4:$EF$103,2,0))</f>
        <v>2</v>
      </c>
      <c r="E1722" s="755">
        <f>IF($C$1722=0,NA(),VLOOKUP($I$1716&amp;$B$1722,FLNFIX!$V$4:$EF$103,4,0))</f>
        <v>3</v>
      </c>
      <c r="F1722" s="755">
        <f>IF($C$1722=0,NA(),VLOOKUP($I$1716&amp;$B$1722,FLNFIX!$V$4:$EF$103,3,0))</f>
        <v>2</v>
      </c>
      <c r="G1722" s="756">
        <f>IF($C$1722=0,NA(),VLOOKUP($I$1716&amp;$B$1722,FLNFIX!$V$4:$EF$103,5,0))</f>
        <v>0</v>
      </c>
      <c r="H1722" s="757"/>
      <c r="I1722" s="757"/>
      <c r="J1722" s="758"/>
      <c r="K1722" s="677"/>
    </row>
    <row r="1723" ht="20.1" customHeight="1" spans="1:11">
      <c r="A1723" s="675"/>
      <c r="B1723" s="755">
        <f t="shared" si="31"/>
        <v>4</v>
      </c>
      <c r="C1723" s="755" t="str">
        <f>IFERROR(VLOOKUP(B1723,DATEWISE!$A$3:$BY$27,2,0),0)</f>
        <v>31.07.2026</v>
      </c>
      <c r="D1723" s="755">
        <f>IF($C$1723=0,NA(),VLOOKUP($I$1716&amp;$B$1723,FLNFIX!$AA$4:$EF$103,2,0))</f>
        <v>2</v>
      </c>
      <c r="E1723" s="755">
        <f>IF($C$1723=0,NA(),VLOOKUP($I$1716&amp;$B$1723,FLNFIX!$AA$4:$EF$103,4,0))</f>
        <v>3</v>
      </c>
      <c r="F1723" s="755">
        <f>IF($C$1723=0,NA(),VLOOKUP($I$1716&amp;$B$1723,FLNFIX!$AA$4:$EF$103,3,0))</f>
        <v>2</v>
      </c>
      <c r="G1723" s="756">
        <f>IF($C$1723=0,NA(),VLOOKUP($I$1716&amp;$B$1723,FLNFIX!$AA$4:$EF$103,5,0))</f>
        <v>0</v>
      </c>
      <c r="H1723" s="757"/>
      <c r="I1723" s="757"/>
      <c r="J1723" s="758"/>
      <c r="K1723" s="677"/>
    </row>
    <row r="1724" ht="20.1" customHeight="1" spans="1:11">
      <c r="A1724" s="675"/>
      <c r="B1724" s="755">
        <f t="shared" si="31"/>
        <v>5</v>
      </c>
      <c r="C1724" s="755" t="str">
        <f>IFERROR(VLOOKUP(B1724,DATEWISE!$A$3:$BY$27,2,0),0)</f>
        <v>17.08.2026</v>
      </c>
      <c r="D1724" s="755">
        <f>IF($C$1724=0,NA(),VLOOKUP($I$1716&amp;$B$1724,FLNFIX!$AF$4:$EF$103,2,0))</f>
        <v>2</v>
      </c>
      <c r="E1724" s="755">
        <f>IF($C$1724=0,NA(),VLOOKUP($I$1716&amp;$B$1724,FLNFIX!$AF$4:$EF$103,4,0))</f>
        <v>3</v>
      </c>
      <c r="F1724" s="755">
        <f>IF($C$1724=0,NA(),VLOOKUP($I$1716&amp;$B$1724,FLNFIX!$AF$4:$EF$103,3,0))</f>
        <v>2</v>
      </c>
      <c r="G1724" s="756">
        <f>IF($C$1724=0,NA(),VLOOKUP($I$1716&amp;$B$1724,FLNFIX!$AF$4:$EF$103,5,0))</f>
        <v>0</v>
      </c>
      <c r="H1724" s="757"/>
      <c r="I1724" s="757"/>
      <c r="J1724" s="758"/>
      <c r="K1724" s="677"/>
    </row>
    <row r="1725" ht="20.1" customHeight="1" spans="1:11">
      <c r="A1725" s="675"/>
      <c r="B1725" s="755">
        <f t="shared" si="31"/>
        <v>6</v>
      </c>
      <c r="C1725" s="755" t="str">
        <f>IFERROR(VLOOKUP(B1725,DATEWISE!$A$3:$BY$27,2,0),0)</f>
        <v>31.08.2026</v>
      </c>
      <c r="D1725" s="755">
        <f>IF($C$1725=0,NA(),VLOOKUP($I$1716&amp;$B$1725,FLNFIX!$AK$4:$EF$103,2,0))</f>
        <v>4</v>
      </c>
      <c r="E1725" s="755">
        <f>IF($C$1725=0,NA(),VLOOKUP($I$1716&amp;$B$1725,FLNFIX!$AK$4:$EF$103,4,0))</f>
        <v>4</v>
      </c>
      <c r="F1725" s="755">
        <f>IF($C$1725=0,NA(),VLOOKUP($I$1716&amp;$B$1725,FLNFIX!$AK$4:$EF$103,3,0))</f>
        <v>3</v>
      </c>
      <c r="G1725" s="756">
        <f>IF($C$1725=0,NA(),VLOOKUP($I$1716&amp;$B$1725,FLNFIX!$AK$4:$EF$103,5,0))</f>
        <v>0</v>
      </c>
      <c r="H1725" s="757"/>
      <c r="I1725" s="757"/>
      <c r="J1725" s="758"/>
      <c r="K1725" s="677"/>
    </row>
    <row r="1726" ht="20.1" customHeight="1" spans="1:11">
      <c r="A1726" s="675"/>
      <c r="B1726" s="755">
        <f t="shared" si="31"/>
        <v>7</v>
      </c>
      <c r="C1726" s="755">
        <f>IFERROR(VLOOKUP(B1726,DATEWISE!$A$3:$BY$27,2,0),0)</f>
        <v>0</v>
      </c>
      <c r="D1726" s="755" t="e">
        <f>IF($C$1726=0,NA(),VLOOKUP($I$1716&amp;$B$1726,FLNFIX!$AP$4:$EF$103,2,0))</f>
        <v>#N/A</v>
      </c>
      <c r="E1726" s="755" t="e">
        <f>IF($C$1726=0,NA(),VLOOKUP($I$1716&amp;$B$1726,FLNFIX!$AP$4:$EF$103,4,0))</f>
        <v>#N/A</v>
      </c>
      <c r="F1726" s="755" t="e">
        <f>IF($C$1726=0,NA(),VLOOKUP($I$1716&amp;$B$1726,FLNFIX!$AP$4:$EF$103,3,0))</f>
        <v>#N/A</v>
      </c>
      <c r="G1726" s="756" t="e">
        <f>IF($C$1726=0,NA(),VLOOKUP($I$1716&amp;$B$1726,FLNFIX!$AP$4:$EF$103,5,0))</f>
        <v>#N/A</v>
      </c>
      <c r="H1726" s="757"/>
      <c r="I1726" s="757"/>
      <c r="J1726" s="758"/>
      <c r="K1726" s="677"/>
    </row>
    <row r="1727" ht="20.1" customHeight="1" spans="1:11">
      <c r="A1727" s="675"/>
      <c r="B1727" s="755">
        <f t="shared" si="31"/>
        <v>8</v>
      </c>
      <c r="C1727" s="755">
        <f>IFERROR(VLOOKUP(B1727,DATEWISE!$A$3:$BY$27,2,0),0)</f>
        <v>0</v>
      </c>
      <c r="D1727" s="755" t="e">
        <f>IF($C$1727=0,NA(),VLOOKUP($I$1716&amp;$B$1727,FLNFIX!$AU$4:$EF$103,2,0))</f>
        <v>#N/A</v>
      </c>
      <c r="E1727" s="755" t="e">
        <f>IF($C$1727=0,NA(),VLOOKUP($I$1716&amp;$B$1727,FLNFIX!$AU$4:$EF$103,4,0))</f>
        <v>#N/A</v>
      </c>
      <c r="F1727" s="755" t="e">
        <f>IF($C$1727=0,NA(),VLOOKUP($I$1716&amp;$B$1727,FLNFIX!$AU$4:$EF$103,3,0))</f>
        <v>#N/A</v>
      </c>
      <c r="G1727" s="756" t="e">
        <f>IF($C$1727=0,NA(),VLOOKUP($I$1716&amp;$B$1727,FLNFIX!$AU$4:$EF$103,5,0))</f>
        <v>#N/A</v>
      </c>
      <c r="H1727" s="757"/>
      <c r="I1727" s="757"/>
      <c r="J1727" s="758"/>
      <c r="K1727" s="677"/>
    </row>
    <row r="1728" ht="20.1" customHeight="1" spans="1:11">
      <c r="A1728" s="675"/>
      <c r="B1728" s="755">
        <f t="shared" si="31"/>
        <v>9</v>
      </c>
      <c r="C1728" s="755">
        <f>IFERROR(VLOOKUP(B1728,DATEWISE!$A$3:$BY$27,2,0),0)</f>
        <v>0</v>
      </c>
      <c r="D1728" s="755" t="e">
        <f>IF($C$1728=0,NA(),VLOOKUP($I$1716&amp;$B$1728,FLNFIX!$AZ$4:$EF$103,2,0))</f>
        <v>#N/A</v>
      </c>
      <c r="E1728" s="755" t="e">
        <f>IF($C$1728=0,NA(),VLOOKUP($I$1716&amp;$B$1728,FLNFIX!$AZ$4:$EF$103,4,0))</f>
        <v>#N/A</v>
      </c>
      <c r="F1728" s="755" t="e">
        <f>IF($C$1728=0,NA(),VLOOKUP($I$1716&amp;$B$1728,FLNFIX!$AZ$4:$EF$103,3,0))</f>
        <v>#N/A</v>
      </c>
      <c r="G1728" s="756" t="e">
        <f>IF($C$1728=0,NA(),VLOOKUP($I$1716&amp;$B$1728,FLNFIX!$AZ$4:$EF$103,5,0))</f>
        <v>#N/A</v>
      </c>
      <c r="H1728" s="757"/>
      <c r="I1728" s="757"/>
      <c r="J1728" s="758"/>
      <c r="K1728" s="677"/>
    </row>
    <row r="1729" ht="20.1" customHeight="1" spans="1:11">
      <c r="A1729" s="675"/>
      <c r="B1729" s="755">
        <f t="shared" si="31"/>
        <v>10</v>
      </c>
      <c r="C1729" s="755">
        <f>IFERROR(VLOOKUP(B1729,DATEWISE!$A$3:$BY$27,2,0),0)</f>
        <v>0</v>
      </c>
      <c r="D1729" s="755" t="e">
        <f>IF($C$1729=0,NA(),VLOOKUP($I$1716&amp;$B$1729,FLNFIX!$BE$4:$EF$103,2,0))</f>
        <v>#N/A</v>
      </c>
      <c r="E1729" s="755" t="e">
        <f>IF($C$1729=0,NA(),VLOOKUP($I$1716&amp;$B$1729,FLNFIX!$BE$4:$EF$103,4,0))</f>
        <v>#N/A</v>
      </c>
      <c r="F1729" s="755" t="e">
        <f>IF($C$1729=0,NA(),VLOOKUP($I$1716&amp;$B$1729,FLNFIX!$BE$4:$EF$103,3,0))</f>
        <v>#N/A</v>
      </c>
      <c r="G1729" s="756" t="e">
        <f>IF($C$1729=0,NA(),VLOOKUP($I$1716&amp;$B$1729,FLNFIX!$BE$4:$EF$103,5,0))</f>
        <v>#N/A</v>
      </c>
      <c r="H1729" s="757"/>
      <c r="I1729" s="757"/>
      <c r="J1729" s="758"/>
      <c r="K1729" s="677"/>
    </row>
    <row r="1730" ht="20.1" customHeight="1" spans="1:11">
      <c r="A1730" s="675"/>
      <c r="B1730" s="755">
        <f t="shared" si="31"/>
        <v>11</v>
      </c>
      <c r="C1730" s="755">
        <f>IFERROR(VLOOKUP(B1730,DATEWISE!$A$3:$BY$27,2,0),0)</f>
        <v>0</v>
      </c>
      <c r="D1730" s="755" t="e">
        <f>IF($C$1730=0,NA(),VLOOKUP($I$1716&amp;$B$1730,FLNFIX!$BJ$4:$EF$103,2,0))</f>
        <v>#N/A</v>
      </c>
      <c r="E1730" s="755" t="e">
        <f>IF($C$1730=0,NA(),VLOOKUP($I$1716&amp;$B$1730,FLNFIX!$BJ$4:$EF$103,4,0))</f>
        <v>#N/A</v>
      </c>
      <c r="F1730" s="755" t="e">
        <f>IF($C$1730=0,NA(),VLOOKUP($I$1716&amp;$B$1730,FLNFIX!$BJ$4:$EF$103,3,0))</f>
        <v>#N/A</v>
      </c>
      <c r="G1730" s="756" t="e">
        <f>IF($C$1730=0,NA(),VLOOKUP($I$1716&amp;$B$1730,FLNFIX!$BJ$4:$EF$103,5,0))</f>
        <v>#N/A</v>
      </c>
      <c r="H1730" s="757"/>
      <c r="I1730" s="757"/>
      <c r="J1730" s="758"/>
      <c r="K1730" s="677"/>
    </row>
    <row r="1731" ht="20.1" customHeight="1" spans="1:11">
      <c r="A1731" s="675"/>
      <c r="B1731" s="755">
        <f t="shared" si="31"/>
        <v>12</v>
      </c>
      <c r="C1731" s="755">
        <f>IFERROR(VLOOKUP(B1731,DATEWISE!$A$3:$BY$27,2,0),0)</f>
        <v>0</v>
      </c>
      <c r="D1731" s="755" t="e">
        <f>IF($C$1731=0,NA(),VLOOKUP($I$1716&amp;$B$1731,FLNFIX!$BO$4:$EF$103,2,0))</f>
        <v>#N/A</v>
      </c>
      <c r="E1731" s="755" t="e">
        <f>IF($C$1731=0,NA(),VLOOKUP($I$1716&amp;$B$1731,FLNFIX!$BO$4:$EF$103,4,0))</f>
        <v>#N/A</v>
      </c>
      <c r="F1731" s="755" t="e">
        <f>IF($C$1731=0,NA(),VLOOKUP($I$1716&amp;$B$1731,FLNFIX!$BO$4:$EF$103,3,0))</f>
        <v>#N/A</v>
      </c>
      <c r="G1731" s="756" t="e">
        <f>IF($C$1731=0,NA(),VLOOKUP($I$1716&amp;$B$1731,FLNFIX!$BO$4:$EF$103,5,0))</f>
        <v>#N/A</v>
      </c>
      <c r="H1731" s="757"/>
      <c r="I1731" s="757"/>
      <c r="J1731" s="758"/>
      <c r="K1731" s="677"/>
    </row>
    <row r="1732" ht="20.1" customHeight="1" spans="1:11">
      <c r="A1732" s="675"/>
      <c r="B1732" s="755">
        <f t="shared" si="31"/>
        <v>13</v>
      </c>
      <c r="C1732" s="755">
        <f>IFERROR(VLOOKUP(B1732,DATEWISE!$A$3:$BY$27,2,0),0)</f>
        <v>0</v>
      </c>
      <c r="D1732" s="755" t="e">
        <f>IF($C$1732=0,NA(),VLOOKUP($I$1716&amp;$B$1732,FLNFIX!$BT$4:$EF$103,2,0))</f>
        <v>#N/A</v>
      </c>
      <c r="E1732" s="755" t="e">
        <f>IF($C$1732=0,NA(),VLOOKUP($I$1716&amp;$B$1732,FLNFIX!$BT$4:$EF$103,4,0))</f>
        <v>#N/A</v>
      </c>
      <c r="F1732" s="755" t="e">
        <f>IF($C$1732=0,NA(),VLOOKUP($I$1716&amp;$B$1732,FLNFIX!$BT$4:$EF$103,3,0))</f>
        <v>#N/A</v>
      </c>
      <c r="G1732" s="756" t="e">
        <f>IF($C$1732=0,NA(),VLOOKUP($I$1716&amp;$B$1732,FLNFIX!$BT$4:$EF$103,5,0))</f>
        <v>#N/A</v>
      </c>
      <c r="H1732" s="757"/>
      <c r="I1732" s="757"/>
      <c r="J1732" s="758"/>
      <c r="K1732" s="677"/>
    </row>
    <row r="1733" ht="20.1" customHeight="1" spans="1:11">
      <c r="A1733" s="675"/>
      <c r="B1733" s="755">
        <f t="shared" si="31"/>
        <v>14</v>
      </c>
      <c r="C1733" s="755">
        <f>IFERROR(VLOOKUP(B1733,DATEWISE!$A$3:$BY$27,2,0),0)</f>
        <v>0</v>
      </c>
      <c r="D1733" s="755" t="e">
        <f>IF($C$1733=0,NA(),VLOOKUP($I$1716&amp;$B$1733,FLNFIX!$BY$4:$EF$103,2,0))</f>
        <v>#N/A</v>
      </c>
      <c r="E1733" s="755" t="e">
        <f>IF($C$1733=0,NA(),VLOOKUP($I$1716&amp;$B$1733,FLNFIX!$BY$4:$EF$103,4,0))</f>
        <v>#N/A</v>
      </c>
      <c r="F1733" s="755" t="e">
        <f>IF($C$1733=0,NA(),VLOOKUP($I$1716&amp;$B$1733,FLNFIX!$BY$4:$EF$103,3,0))</f>
        <v>#N/A</v>
      </c>
      <c r="G1733" s="756" t="e">
        <f>IF($C$1733=0,NA(),VLOOKUP($I$1716&amp;$B$1733,FLNFIX!$BY$4:$EF$103,5,0))</f>
        <v>#N/A</v>
      </c>
      <c r="H1733" s="757"/>
      <c r="I1733" s="757"/>
      <c r="J1733" s="758"/>
      <c r="K1733" s="677"/>
    </row>
    <row r="1734" ht="20.1" customHeight="1" spans="1:11">
      <c r="A1734" s="675"/>
      <c r="B1734" s="755">
        <f t="shared" si="31"/>
        <v>15</v>
      </c>
      <c r="C1734" s="755">
        <f>IFERROR(VLOOKUP(B1734,DATEWISE!$A$3:$BY$27,2,0),0)</f>
        <v>0</v>
      </c>
      <c r="D1734" s="755" t="e">
        <f>IF($C$1734=0,NA(),VLOOKUP($I$1716&amp;$B$1734,FLNFIX!$CD$4:$EF$103,2,0))</f>
        <v>#N/A</v>
      </c>
      <c r="E1734" s="755" t="e">
        <f>IF($C$1734=0,NA(),VLOOKUP($I$1716&amp;$B$1734,FLNFIX!$CD$4:$EF$103,4,0))</f>
        <v>#N/A</v>
      </c>
      <c r="F1734" s="755" t="e">
        <f>IF($C$1734=0,NA(),VLOOKUP($I$1716&amp;$B$1734,FLNFIX!$CD$4:$EF$103,3,0))</f>
        <v>#N/A</v>
      </c>
      <c r="G1734" s="756" t="e">
        <f>IF($C$1734=0,NA(),VLOOKUP($I$1716&amp;$B$1734,FLNFIX!$CD$4:$EF$103,5,0))</f>
        <v>#N/A</v>
      </c>
      <c r="H1734" s="757"/>
      <c r="I1734" s="757"/>
      <c r="J1734" s="758"/>
      <c r="K1734" s="677"/>
    </row>
    <row r="1735" ht="20.1" customHeight="1" spans="1:11">
      <c r="A1735" s="675"/>
      <c r="B1735" s="755">
        <f t="shared" si="31"/>
        <v>16</v>
      </c>
      <c r="C1735" s="755">
        <f>IFERROR(VLOOKUP(B1735,DATEWISE!$A$3:$BY$27,2,0),0)</f>
        <v>0</v>
      </c>
      <c r="D1735" s="755" t="e">
        <f>IF($C$1735=0,NA(),VLOOKUP($I$1716&amp;$B$1735,FLNFIX!$CI$4:$EF$103,2,0))</f>
        <v>#N/A</v>
      </c>
      <c r="E1735" s="755" t="e">
        <f>IF($C$1735=0,NA(),VLOOKUP($I$1716&amp;$B$1735,FLNFIX!$CI$4:$EF$103,4,0))</f>
        <v>#N/A</v>
      </c>
      <c r="F1735" s="755" t="e">
        <f>IF($C$1735=0,NA(),VLOOKUP($I$1716&amp;$B$1735,FLNFIX!$CI$4:$EF$103,3,0))</f>
        <v>#N/A</v>
      </c>
      <c r="G1735" s="756" t="e">
        <f>IF($C$1735=0,NA(),VLOOKUP($I$1716&amp;$B$1735,FLNFIX!$CI$4:$EF$103,5,0))</f>
        <v>#N/A</v>
      </c>
      <c r="H1735" s="757"/>
      <c r="I1735" s="757"/>
      <c r="J1735" s="758"/>
      <c r="K1735" s="677"/>
    </row>
    <row r="1736" ht="20.1" customHeight="1" spans="1:11">
      <c r="A1736" s="675"/>
      <c r="B1736" s="755">
        <f t="shared" si="31"/>
        <v>17</v>
      </c>
      <c r="C1736" s="755">
        <f>IFERROR(VLOOKUP(B1736,DATEWISE!$A$3:$BY$27,2,0),0)</f>
        <v>0</v>
      </c>
      <c r="D1736" s="755" t="e">
        <f>IF($C$1736=0,NA(),VLOOKUP($I$1716&amp;$B$1736,FLNFIX!$CN$4:$EF$103,2,0))</f>
        <v>#N/A</v>
      </c>
      <c r="E1736" s="755" t="e">
        <f>IF($C$1736=0,NA(),VLOOKUP($I$1716&amp;$B$1736,FLNFIX!$CN$4:$EF$103,4,0))</f>
        <v>#N/A</v>
      </c>
      <c r="F1736" s="755" t="e">
        <f>IF($C$1736=0,NA(),VLOOKUP($I$1716&amp;$B$1736,FLNFIX!$CN$4:$EF$103,3,0))</f>
        <v>#N/A</v>
      </c>
      <c r="G1736" s="756" t="e">
        <f>IF($C$1736=0,NA(),VLOOKUP($I$1716&amp;$B$1736,FLNFIX!$CN$4:$EF$103,5,0))</f>
        <v>#N/A</v>
      </c>
      <c r="H1736" s="757"/>
      <c r="I1736" s="757"/>
      <c r="J1736" s="758"/>
      <c r="K1736" s="677"/>
    </row>
    <row r="1737" ht="20.1" customHeight="1" spans="1:11">
      <c r="A1737" s="675"/>
      <c r="B1737" s="755">
        <f t="shared" si="31"/>
        <v>18</v>
      </c>
      <c r="C1737" s="755">
        <f>IFERROR(VLOOKUP(B1737,DATEWISE!$A$3:$BY$27,2,0),0)</f>
        <v>0</v>
      </c>
      <c r="D1737" s="755" t="e">
        <f>IF($C$1737=0,NA(),VLOOKUP($I$1716&amp;$B$1737,FLNFIX!$CS$4:$EF$103,2,0))</f>
        <v>#N/A</v>
      </c>
      <c r="E1737" s="755" t="e">
        <f>IF($C$1737=0,NA(),VLOOKUP($I$1716&amp;$B$1737,FLNFIX!$CS$4:$EF$103,4,0))</f>
        <v>#N/A</v>
      </c>
      <c r="F1737" s="755" t="e">
        <f>IF($C$1737=0,NA(),VLOOKUP($I$1716&amp;$B$1737,FLNFIX!$CS$4:$EF$103,3,0))</f>
        <v>#N/A</v>
      </c>
      <c r="G1737" s="756" t="e">
        <f>IF($C$1737=0,NA(),VLOOKUP($I$1716&amp;$B$1737,FLNFIX!$CS$4:$EF$103,5,0))</f>
        <v>#N/A</v>
      </c>
      <c r="H1737" s="757"/>
      <c r="I1737" s="757"/>
      <c r="J1737" s="758"/>
      <c r="K1737" s="677"/>
    </row>
    <row r="1738" ht="20.1" customHeight="1" spans="1:11">
      <c r="A1738" s="675"/>
      <c r="B1738" s="755">
        <f t="shared" si="31"/>
        <v>19</v>
      </c>
      <c r="C1738" s="755">
        <f>IFERROR(VLOOKUP(B1738,DATEWISE!$A$3:$BY$27,2,0),0)</f>
        <v>0</v>
      </c>
      <c r="D1738" s="755" t="e">
        <f>IF($C$1738=0,NA(),VLOOKUP($I$1716&amp;$B$1738,FLNFIX!$CX$4:$EF$103,2,0))</f>
        <v>#N/A</v>
      </c>
      <c r="E1738" s="755" t="e">
        <f>IF($C$1738=0,NA(),VLOOKUP($I$1716&amp;$B$1738,FLNFIX!$CX$4:$EF$103,4,0))</f>
        <v>#N/A</v>
      </c>
      <c r="F1738" s="755" t="e">
        <f>IF($C$1738=0,NA(),VLOOKUP($I$1716&amp;$B$1738,FLNFIX!$CX$4:$EF$103,3,0))</f>
        <v>#N/A</v>
      </c>
      <c r="G1738" s="756" t="e">
        <f>IF($C$1738=0,NA(),VLOOKUP($I$1716&amp;$B$1738,FLNFIX!$CX$4:$EF$103,5,0))</f>
        <v>#N/A</v>
      </c>
      <c r="H1738" s="757"/>
      <c r="I1738" s="757"/>
      <c r="J1738" s="758"/>
      <c r="K1738" s="677"/>
    </row>
    <row r="1739" ht="20.1" customHeight="1" spans="1:11">
      <c r="A1739" s="675"/>
      <c r="B1739" s="755">
        <f t="shared" si="31"/>
        <v>20</v>
      </c>
      <c r="C1739" s="755">
        <f>IFERROR(VLOOKUP(B1739,DATEWISE!$A$3:$BY$27,2,0),0)</f>
        <v>0</v>
      </c>
      <c r="D1739" s="755" t="e">
        <f>IF($C$1739=0,NA(),VLOOKUP($I$1716&amp;$B$1739,FLNFIX!$DC$4:$EF$103,2,0))</f>
        <v>#N/A</v>
      </c>
      <c r="E1739" s="755" t="e">
        <f>IF($C$1739=0,NA(),VLOOKUP($I$1716&amp;$B$1739,FLNFIX!$DC$4:$EF$103,4,0))</f>
        <v>#N/A</v>
      </c>
      <c r="F1739" s="755" t="e">
        <f>IF($C$1739=0,NA(),VLOOKUP($I$1716&amp;$B$1739,FLNFIX!$DC$4:$EF$103,3,0))</f>
        <v>#N/A</v>
      </c>
      <c r="G1739" s="756" t="e">
        <f>IF($C$1739=0,NA(),VLOOKUP($I$1716&amp;$B$1739,FLNFIX!$DC$4:$EF$103,5,0))</f>
        <v>#N/A</v>
      </c>
      <c r="H1739" s="757"/>
      <c r="I1739" s="757"/>
      <c r="J1739" s="758"/>
      <c r="K1739" s="677"/>
    </row>
    <row r="1740" ht="20.1" customHeight="1" spans="1:11">
      <c r="A1740" s="675"/>
      <c r="B1740" s="755">
        <f t="shared" si="31"/>
        <v>21</v>
      </c>
      <c r="C1740" s="755">
        <f>IFERROR(VLOOKUP(B1740,DATEWISE!$A$3:$BY$27,2,0),0)</f>
        <v>0</v>
      </c>
      <c r="D1740" s="755" t="e">
        <f>IF($C$1740=0,NA(),VLOOKUP($I$1716&amp;$B$1740,FLNFIX!$DH$4:$EF$103,2,0))</f>
        <v>#N/A</v>
      </c>
      <c r="E1740" s="755" t="e">
        <f>IF($C$1740=0,NA(),VLOOKUP($I$1716&amp;$B$1740,FLNFIX!$DH$4:$EF$103,4,0))</f>
        <v>#N/A</v>
      </c>
      <c r="F1740" s="755" t="e">
        <f>IF($C$1740=0,NA(),VLOOKUP($I$1716&amp;$B$1740,FLNFIX!$DH$4:$EF$103,3,0))</f>
        <v>#N/A</v>
      </c>
      <c r="G1740" s="756" t="e">
        <f>IF($C$1740=0,NA(),VLOOKUP($I$1716&amp;$B$1740,FLNFIX!$DH$4:$EF$103,5,0))</f>
        <v>#N/A</v>
      </c>
      <c r="H1740" s="757"/>
      <c r="I1740" s="757"/>
      <c r="J1740" s="758"/>
      <c r="K1740" s="677"/>
    </row>
    <row r="1741" ht="5.1" customHeight="1" spans="1:11">
      <c r="A1741" s="675"/>
      <c r="B1741" s="759"/>
      <c r="C1741" s="759"/>
      <c r="D1741" s="760"/>
      <c r="E1741" s="760"/>
      <c r="F1741" s="760"/>
      <c r="G1741" s="761"/>
      <c r="H1741" s="761"/>
      <c r="I1741" s="761"/>
      <c r="J1741" s="761"/>
      <c r="K1741" s="677"/>
    </row>
    <row r="1742" s="667" customFormat="1" ht="24.95" customHeight="1" spans="1:11">
      <c r="A1742" s="711"/>
      <c r="B1742" s="762" t="s">
        <v>431</v>
      </c>
      <c r="C1742" s="763"/>
      <c r="D1742" s="763"/>
      <c r="E1742" s="763"/>
      <c r="F1742" s="763"/>
      <c r="G1742" s="763"/>
      <c r="H1742" s="763"/>
      <c r="I1742" s="763"/>
      <c r="J1742" s="764"/>
      <c r="K1742" s="713"/>
    </row>
    <row r="1743" spans="1:11">
      <c r="A1743" s="675"/>
      <c r="B1743" s="765"/>
      <c r="C1743" s="686"/>
      <c r="D1743" s="686"/>
      <c r="E1743" s="686"/>
      <c r="F1743" s="686"/>
      <c r="G1743" s="686"/>
      <c r="H1743" s="686"/>
      <c r="I1743" s="686"/>
      <c r="J1743" s="766"/>
      <c r="K1743" s="677"/>
    </row>
    <row r="1744" spans="1:11">
      <c r="A1744" s="675"/>
      <c r="B1744" s="765"/>
      <c r="C1744" s="686"/>
      <c r="D1744" s="686"/>
      <c r="E1744" s="686"/>
      <c r="F1744" s="686"/>
      <c r="G1744" s="686"/>
      <c r="H1744" s="686"/>
      <c r="I1744" s="686"/>
      <c r="J1744" s="766"/>
      <c r="K1744" s="677"/>
    </row>
    <row r="1745" spans="1:11">
      <c r="A1745" s="675"/>
      <c r="B1745" s="765"/>
      <c r="C1745" s="686"/>
      <c r="D1745" s="686"/>
      <c r="E1745" s="686"/>
      <c r="F1745" s="686"/>
      <c r="G1745" s="686"/>
      <c r="H1745" s="686"/>
      <c r="I1745" s="686"/>
      <c r="J1745" s="766"/>
      <c r="K1745" s="677"/>
    </row>
    <row r="1746" spans="1:11">
      <c r="A1746" s="675"/>
      <c r="B1746" s="765"/>
      <c r="C1746" s="686"/>
      <c r="D1746" s="686"/>
      <c r="E1746" s="686"/>
      <c r="F1746" s="686"/>
      <c r="G1746" s="686"/>
      <c r="H1746" s="686"/>
      <c r="I1746" s="686"/>
      <c r="J1746" s="766"/>
      <c r="K1746" s="677"/>
    </row>
    <row r="1747" spans="1:11">
      <c r="A1747" s="675"/>
      <c r="B1747" s="765"/>
      <c r="C1747" s="686"/>
      <c r="D1747" s="686"/>
      <c r="E1747" s="686"/>
      <c r="F1747" s="686"/>
      <c r="G1747" s="686"/>
      <c r="H1747" s="686"/>
      <c r="I1747" s="686"/>
      <c r="J1747" s="766"/>
      <c r="K1747" s="677"/>
    </row>
    <row r="1748" spans="1:11">
      <c r="A1748" s="675"/>
      <c r="B1748" s="765"/>
      <c r="C1748" s="686"/>
      <c r="D1748" s="686"/>
      <c r="E1748" s="686"/>
      <c r="F1748" s="686"/>
      <c r="G1748" s="686"/>
      <c r="H1748" s="686"/>
      <c r="I1748" s="686"/>
      <c r="J1748" s="766"/>
      <c r="K1748" s="677"/>
    </row>
    <row r="1749" spans="1:11">
      <c r="A1749" s="675"/>
      <c r="B1749" s="765"/>
      <c r="C1749" s="686"/>
      <c r="D1749" s="686"/>
      <c r="E1749" s="686"/>
      <c r="F1749" s="686"/>
      <c r="G1749" s="686"/>
      <c r="H1749" s="686"/>
      <c r="I1749" s="686"/>
      <c r="J1749" s="766"/>
      <c r="K1749" s="677"/>
    </row>
    <row r="1750" spans="1:11">
      <c r="A1750" s="675"/>
      <c r="B1750" s="765"/>
      <c r="C1750" s="686"/>
      <c r="D1750" s="686"/>
      <c r="E1750" s="686"/>
      <c r="F1750" s="686"/>
      <c r="G1750" s="686"/>
      <c r="H1750" s="686"/>
      <c r="I1750" s="686"/>
      <c r="J1750" s="766"/>
      <c r="K1750" s="677"/>
    </row>
    <row r="1751" spans="1:11">
      <c r="A1751" s="675"/>
      <c r="B1751" s="765"/>
      <c r="C1751" s="686"/>
      <c r="D1751" s="686"/>
      <c r="E1751" s="686"/>
      <c r="F1751" s="686"/>
      <c r="G1751" s="686"/>
      <c r="H1751" s="686"/>
      <c r="I1751" s="686"/>
      <c r="J1751" s="766"/>
      <c r="K1751" s="677"/>
    </row>
    <row r="1752" spans="1:11">
      <c r="A1752" s="675"/>
      <c r="B1752" s="767"/>
      <c r="C1752" s="768"/>
      <c r="D1752" s="768"/>
      <c r="E1752" s="768"/>
      <c r="F1752" s="768"/>
      <c r="G1752" s="768"/>
      <c r="H1752" s="768"/>
      <c r="I1752" s="768"/>
      <c r="J1752" s="769"/>
      <c r="K1752" s="677"/>
    </row>
    <row r="1753" ht="5.1" customHeight="1" spans="1:11">
      <c r="A1753" s="675"/>
      <c r="B1753" s="686"/>
      <c r="C1753" s="686"/>
      <c r="D1753" s="686"/>
      <c r="E1753" s="686"/>
      <c r="F1753" s="686"/>
      <c r="G1753" s="686"/>
      <c r="H1753" s="686"/>
      <c r="I1753" s="686"/>
      <c r="J1753" s="686"/>
      <c r="K1753" s="677"/>
    </row>
    <row r="1754" spans="1:11">
      <c r="A1754" s="675"/>
      <c r="B1754" s="770" t="s">
        <v>432</v>
      </c>
      <c r="C1754" s="770"/>
      <c r="D1754" s="770"/>
      <c r="E1754" s="770"/>
      <c r="F1754" s="770"/>
      <c r="G1754" s="770"/>
      <c r="H1754" s="770"/>
      <c r="I1754" s="770"/>
      <c r="J1754" s="770"/>
      <c r="K1754" s="677"/>
    </row>
    <row r="1755" spans="1:11">
      <c r="A1755" s="675"/>
      <c r="B1755" s="771"/>
      <c r="C1755" s="771"/>
      <c r="D1755" s="771"/>
      <c r="E1755" s="771"/>
      <c r="F1755" s="771"/>
      <c r="G1755" s="771"/>
      <c r="H1755" s="771"/>
      <c r="I1755" s="771"/>
      <c r="J1755" s="771"/>
      <c r="K1755" s="677"/>
    </row>
    <row r="1756" spans="1:11">
      <c r="A1756" s="675"/>
      <c r="B1756" s="771"/>
      <c r="C1756" s="771"/>
      <c r="D1756" s="771"/>
      <c r="E1756" s="771"/>
      <c r="F1756" s="771"/>
      <c r="G1756" s="771"/>
      <c r="H1756" s="771"/>
      <c r="I1756" s="771"/>
      <c r="J1756" s="771"/>
      <c r="K1756" s="677"/>
    </row>
    <row r="1757" spans="1:11">
      <c r="A1757" s="675"/>
      <c r="B1757" s="771"/>
      <c r="C1757" s="771"/>
      <c r="D1757" s="771"/>
      <c r="E1757" s="771"/>
      <c r="F1757" s="771"/>
      <c r="G1757" s="771"/>
      <c r="H1757" s="771"/>
      <c r="I1757" s="771"/>
      <c r="J1757" s="771"/>
      <c r="K1757" s="677"/>
    </row>
    <row r="1758" spans="1:11">
      <c r="A1758" s="675"/>
      <c r="B1758" s="686"/>
      <c r="C1758" s="686"/>
      <c r="D1758" s="686"/>
      <c r="E1758" s="686"/>
      <c r="F1758" s="686"/>
      <c r="G1758" s="686"/>
      <c r="H1758" s="686"/>
      <c r="I1758" s="686"/>
      <c r="J1758" s="686"/>
      <c r="K1758" s="677"/>
    </row>
    <row r="1759" spans="1:11">
      <c r="A1759" s="675"/>
      <c r="B1759" s="686"/>
      <c r="C1759" s="729" t="s">
        <v>433</v>
      </c>
      <c r="D1759" s="729"/>
      <c r="E1759" s="686"/>
      <c r="F1759" s="686"/>
      <c r="G1759" s="729" t="s">
        <v>434</v>
      </c>
      <c r="H1759" s="729"/>
      <c r="I1759" s="729"/>
      <c r="J1759" s="729"/>
      <c r="K1759" s="677"/>
    </row>
    <row r="1760" ht="16.35" spans="1:11">
      <c r="A1760" s="725"/>
      <c r="B1760" s="726"/>
      <c r="C1760" s="732" t="str">
        <f>"("&amp;PROPER(ENTRY!$D$19)&amp;")"</f>
        <v>(Indrajeet)</v>
      </c>
      <c r="D1760" s="732"/>
      <c r="E1760" s="726"/>
      <c r="F1760" s="726"/>
      <c r="G1760" s="732" t="str">
        <f>"("&amp;PROPER(ENTRY!$D$12)&amp;")"</f>
        <v>(Shambhu Dayal Meena)</v>
      </c>
      <c r="H1760" s="732"/>
      <c r="I1760" s="732"/>
      <c r="J1760" s="732"/>
      <c r="K1760" s="728"/>
    </row>
    <row r="1761" ht="24.6" spans="1:11">
      <c r="B1761" s="734"/>
      <c r="C1761" s="734"/>
      <c r="D1761" s="669" t="str">
        <f>ENTRY!$D$3</f>
        <v>MUNICIPAL CORPORATION OF DELHI</v>
      </c>
      <c r="E1761" s="669"/>
      <c r="F1761" s="669"/>
      <c r="G1761" s="669"/>
      <c r="H1761" s="734"/>
      <c r="I1761" s="669"/>
      <c r="J1761" s="669"/>
    </row>
    <row r="1762" ht="20.4" spans="1:11">
      <c r="B1762" s="735"/>
      <c r="C1762" s="735"/>
      <c r="D1762" s="670" t="str">
        <f>ENTRY!$D$4</f>
        <v>EDUCATION DEPARTMENT</v>
      </c>
      <c r="E1762" s="670"/>
      <c r="F1762" s="670"/>
      <c r="G1762" s="670"/>
      <c r="H1762" s="735"/>
      <c r="I1762" s="669"/>
      <c r="J1762" s="669"/>
    </row>
    <row r="1763" ht="22.8" spans="1:11">
      <c r="B1763" s="736"/>
      <c r="C1763" s="736"/>
      <c r="D1763" s="664" t="s">
        <v>417</v>
      </c>
      <c r="E1763" s="664"/>
      <c r="F1763" s="664"/>
      <c r="G1763" s="664"/>
      <c r="H1763" s="736"/>
      <c r="I1763" s="669"/>
      <c r="J1763" s="669"/>
    </row>
    <row r="1764" ht="22.8" spans="1:11">
      <c r="B1764" s="736"/>
      <c r="C1764" s="736"/>
      <c r="D1764" s="664" t="s">
        <v>418</v>
      </c>
      <c r="E1764" s="664"/>
      <c r="F1764" s="664"/>
      <c r="G1764" s="664"/>
      <c r="H1764" s="736"/>
      <c r="I1764" s="669"/>
      <c r="J1764" s="669"/>
    </row>
    <row r="1765" ht="24.95" customHeight="1" spans="1:11">
      <c r="B1765" s="735"/>
      <c r="C1765" s="735"/>
      <c r="D1765" s="737" t="str">
        <f>"SESSION : "&amp;ENTRY!$D$11</f>
        <v>SESSION : 2026-27</v>
      </c>
      <c r="E1765" s="737"/>
      <c r="F1765" s="737"/>
      <c r="G1765" s="737"/>
      <c r="H1765" s="735"/>
      <c r="I1765" s="738"/>
      <c r="J1765" s="738"/>
    </row>
    <row r="1766" ht="3.75" customHeight="1" spans="1:11">
      <c r="A1766" s="672"/>
      <c r="B1766" s="739"/>
      <c r="C1766" s="739"/>
      <c r="D1766" s="739"/>
      <c r="E1766" s="739"/>
      <c r="F1766" s="739"/>
      <c r="G1766" s="739"/>
      <c r="H1766" s="739"/>
      <c r="I1766" s="739"/>
      <c r="J1766" s="739"/>
      <c r="K1766" s="674"/>
    </row>
    <row r="1767" ht="21.95" customHeight="1" spans="1:11">
      <c r="A1767" s="675"/>
      <c r="B1767" s="676" t="s">
        <v>419</v>
      </c>
      <c r="C1767" s="676"/>
      <c r="D1767" s="676" t="str">
        <f>ENTRY!$D$6</f>
        <v>MCP NITHARI NO 1 BOYS</v>
      </c>
      <c r="E1767" s="676"/>
      <c r="F1767" s="676"/>
      <c r="G1767" s="676"/>
      <c r="H1767" s="676"/>
      <c r="I1767" s="676"/>
      <c r="J1767" s="676"/>
      <c r="K1767" s="677"/>
    </row>
    <row r="1768" ht="21.95" customHeight="1" spans="1:11">
      <c r="A1768" s="675"/>
      <c r="B1768" s="676" t="s">
        <v>420</v>
      </c>
      <c r="C1768" s="676"/>
      <c r="D1768" s="740" t="str">
        <f>IFERROR(VLOOKUP($I$1771,STUDENT!$A$2:$BP$101,5,0),"")</f>
        <v>HEMANT KUMAR</v>
      </c>
      <c r="E1768" s="740"/>
      <c r="F1768" s="740"/>
      <c r="G1768" s="740"/>
      <c r="H1768" s="740"/>
      <c r="I1768" s="740"/>
      <c r="J1768" s="740"/>
      <c r="K1768" s="677"/>
    </row>
    <row r="1769" ht="21.95" customHeight="1" spans="1:11">
      <c r="A1769" s="675"/>
      <c r="B1769" s="676" t="s">
        <v>421</v>
      </c>
      <c r="C1769" s="676"/>
      <c r="D1769" s="740" t="str">
        <f>IFERROR(VLOOKUP($I$1771,STUDENT!$A$2:$BP$101,8,0),"")</f>
        <v>PRADEEP KUMAR</v>
      </c>
      <c r="E1769" s="740"/>
      <c r="F1769" s="740"/>
      <c r="G1769" s="740"/>
      <c r="H1769" s="740"/>
      <c r="I1769" s="740"/>
      <c r="J1769" s="740"/>
      <c r="K1769" s="677"/>
    </row>
    <row r="1770" ht="21.95" customHeight="1" spans="1:11">
      <c r="A1770" s="675"/>
      <c r="B1770" s="676" t="s">
        <v>422</v>
      </c>
      <c r="C1770" s="676"/>
      <c r="D1770" s="740">
        <f>IFERROR(VLOOKUP($I$1771,STUDENT!$A$2:$BP$101,6,0),"")</f>
        <v>15077</v>
      </c>
      <c r="E1770" s="740"/>
      <c r="F1770" s="740"/>
      <c r="G1770" s="740"/>
      <c r="H1770" s="740"/>
      <c r="I1770" s="740"/>
      <c r="J1770" s="740"/>
      <c r="K1770" s="677"/>
    </row>
    <row r="1771" ht="21.95" customHeight="1" spans="1:11">
      <c r="A1771" s="675"/>
      <c r="B1771" s="676" t="s">
        <v>423</v>
      </c>
      <c r="C1771" s="676"/>
      <c r="D1771" s="741" t="str">
        <f>IFERROR(VLOOKUP($I$1771,STUDENT!$A$2:$BP$101,59,0),"")</f>
        <v/>
      </c>
      <c r="E1771" s="742" t="s">
        <v>424</v>
      </c>
      <c r="F1771" s="704" t="str">
        <f>IFERROR(VLOOKUP($I$1771,STUDENT!$A$2:$BP$101,2,0),"")</f>
        <v>III-A</v>
      </c>
      <c r="G1771" s="742" t="s">
        <v>425</v>
      </c>
      <c r="H1771" s="743"/>
      <c r="I1771" s="733">
        <f>I1716+1</f>
        <v>33</v>
      </c>
      <c r="J1771" s="683"/>
      <c r="K1771" s="677"/>
    </row>
    <row r="1772" ht="5.1" customHeight="1" spans="1:11">
      <c r="A1772" s="675"/>
      <c r="B1772" s="745"/>
      <c r="C1772" s="745"/>
      <c r="D1772" s="746"/>
      <c r="E1772" s="747"/>
      <c r="F1772" s="748"/>
      <c r="G1772" s="747"/>
      <c r="H1772" s="686"/>
      <c r="I1772" s="686"/>
      <c r="J1772" s="686"/>
      <c r="K1772" s="677"/>
    </row>
    <row r="1773" s="664" customFormat="1" ht="32.1" customHeight="1" spans="1:11">
      <c r="A1773" s="688"/>
      <c r="B1773" s="749" t="s">
        <v>426</v>
      </c>
      <c r="C1773" s="750"/>
      <c r="D1773" s="750"/>
      <c r="E1773" s="750"/>
      <c r="F1773" s="750"/>
      <c r="G1773" s="750"/>
      <c r="H1773" s="750"/>
      <c r="I1773" s="750"/>
      <c r="J1773" s="751"/>
      <c r="K1773" s="690"/>
    </row>
    <row r="1774" ht="51.6" spans="1:11">
      <c r="A1774" s="675"/>
      <c r="B1774" s="752">
        <v>21</v>
      </c>
      <c r="C1774" s="753" t="s">
        <v>427</v>
      </c>
      <c r="D1774" s="754" t="s">
        <v>428</v>
      </c>
      <c r="E1774" s="754" t="s">
        <v>429</v>
      </c>
      <c r="F1774" s="754" t="s">
        <v>430</v>
      </c>
      <c r="G1774" s="753" t="s">
        <v>390</v>
      </c>
      <c r="H1774" s="714"/>
      <c r="I1774" s="714"/>
      <c r="J1774" s="714"/>
      <c r="K1774" s="677"/>
    </row>
    <row r="1775" ht="20.1" customHeight="1" spans="1:11">
      <c r="A1775" s="675"/>
      <c r="B1775" s="755">
        <v>1</v>
      </c>
      <c r="C1775" s="755" t="str">
        <f>IFERROR(VLOOKUP(B1775,DATEWISE!$A$3:$BY$27,2,0),0)</f>
        <v>30.04.2026</v>
      </c>
      <c r="D1775" s="755">
        <f>IF($C$1775=0,NA(),VLOOKUP($I$1771&amp;$B$1775,FLNFIX!$L$4:$EF$103,2,0))</f>
        <v>2</v>
      </c>
      <c r="E1775" s="755">
        <f>IF($C$1775=0,NA(),VLOOKUP($I$1771&amp;$B$1775,FLNFIX!$L$4:$EF$103,4,0))</f>
        <v>3</v>
      </c>
      <c r="F1775" s="755">
        <f>IF($C$1775=0,NA(),VLOOKUP($I$1771&amp;$B$1775,FLNFIX!$L$4:$EF$103,3,0))</f>
        <v>2</v>
      </c>
      <c r="G1775" s="756">
        <f>IF($C$1775=0,NA(),VLOOKUP($I$1771&amp;$B$1775,FLNFIX!$L$4:$EF$103,5,0))</f>
        <v>0</v>
      </c>
      <c r="H1775" s="757"/>
      <c r="I1775" s="757"/>
      <c r="J1775" s="758"/>
      <c r="K1775" s="677"/>
    </row>
    <row r="1776" ht="20.1" customHeight="1" spans="1:11">
      <c r="A1776" s="675"/>
      <c r="B1776" s="755">
        <f t="shared" ref="B1776:B1795" si="32">IF(B1775=0,0,IF(B1775&lt;$B$1774,B1775+1,""))</f>
        <v>2</v>
      </c>
      <c r="C1776" s="755" t="str">
        <f>IFERROR(VLOOKUP(B1776,DATEWISE!$A$3:$BY$27,2,0),0)</f>
        <v>08.05.2026</v>
      </c>
      <c r="D1776" s="755">
        <f>IF($C$1776=0,NA(),VLOOKUP($I$1771&amp;$B$1776,FLNFIX!$Q$4:$EF$103,2,0))</f>
        <v>2</v>
      </c>
      <c r="E1776" s="755">
        <f>IF($C$1776=0,NA(),VLOOKUP($I$1771&amp;$B$1776,FLNFIX!$Q$4:$EF$103,4,0))</f>
        <v>3</v>
      </c>
      <c r="F1776" s="755">
        <f>IF($C$1776=0,NA(),VLOOKUP($I$1771&amp;$B$1776,FLNFIX!$Q$4:$EF$103,3,0))</f>
        <v>2</v>
      </c>
      <c r="G1776" s="756" t="str">
        <f>IF($C$1776=0,NA(),VLOOKUP($I$1771&amp;$B$1776,FLNFIX!$Q$4:$EF$103,5,0))</f>
        <v>-</v>
      </c>
      <c r="H1776" s="757"/>
      <c r="I1776" s="757"/>
      <c r="J1776" s="758"/>
      <c r="K1776" s="677"/>
    </row>
    <row r="1777" ht="20.1" customHeight="1" spans="1:11">
      <c r="A1777" s="675"/>
      <c r="B1777" s="755">
        <f t="shared" si="32"/>
        <v>3</v>
      </c>
      <c r="C1777" s="755" t="str">
        <f>IFERROR(VLOOKUP(B1777,DATEWISE!$A$3:$BY$27,2,0),0)</f>
        <v>15.07.2026</v>
      </c>
      <c r="D1777" s="755">
        <f>IF($C$1777=0,NA(),VLOOKUP($I$1771&amp;$B$1777,FLNFIX!$V$4:$EF$103,2,0))</f>
        <v>2</v>
      </c>
      <c r="E1777" s="755">
        <f>IF($C$1777=0,NA(),VLOOKUP($I$1771&amp;$B$1777,FLNFIX!$V$4:$EF$103,4,0))</f>
        <v>3</v>
      </c>
      <c r="F1777" s="755">
        <f>IF($C$1777=0,NA(),VLOOKUP($I$1771&amp;$B$1777,FLNFIX!$V$4:$EF$103,3,0))</f>
        <v>2</v>
      </c>
      <c r="G1777" s="756" t="str">
        <f>IF($C$1777=0,NA(),VLOOKUP($I$1771&amp;$B$1777,FLNFIX!$V$4:$EF$103,5,0))</f>
        <v>-</v>
      </c>
      <c r="H1777" s="757"/>
      <c r="I1777" s="757"/>
      <c r="J1777" s="758"/>
      <c r="K1777" s="677"/>
    </row>
    <row r="1778" ht="20.1" customHeight="1" spans="1:11">
      <c r="A1778" s="675"/>
      <c r="B1778" s="755">
        <f t="shared" si="32"/>
        <v>4</v>
      </c>
      <c r="C1778" s="755" t="str">
        <f>IFERROR(VLOOKUP(B1778,DATEWISE!$A$3:$BY$27,2,0),0)</f>
        <v>31.07.2026</v>
      </c>
      <c r="D1778" s="755">
        <f>IF($C$1778=0,NA(),VLOOKUP($I$1771&amp;$B$1778,FLNFIX!$AA$4:$EF$103,2,0))</f>
        <v>2</v>
      </c>
      <c r="E1778" s="755">
        <f>IF($C$1778=0,NA(),VLOOKUP($I$1771&amp;$B$1778,FLNFIX!$AA$4:$EF$103,4,0))</f>
        <v>3</v>
      </c>
      <c r="F1778" s="755">
        <f>IF($C$1778=0,NA(),VLOOKUP($I$1771&amp;$B$1778,FLNFIX!$AA$4:$EF$103,3,0))</f>
        <v>2</v>
      </c>
      <c r="G1778" s="756" t="str">
        <f>IF($C$1778=0,NA(),VLOOKUP($I$1771&amp;$B$1778,FLNFIX!$AA$4:$EF$103,5,0))</f>
        <v>-</v>
      </c>
      <c r="H1778" s="757"/>
      <c r="I1778" s="757"/>
      <c r="J1778" s="758"/>
      <c r="K1778" s="677"/>
    </row>
    <row r="1779" ht="20.1" customHeight="1" spans="1:11">
      <c r="A1779" s="675"/>
      <c r="B1779" s="755">
        <f t="shared" si="32"/>
        <v>5</v>
      </c>
      <c r="C1779" s="755" t="str">
        <f>IFERROR(VLOOKUP(B1779,DATEWISE!$A$3:$BY$27,2,0),0)</f>
        <v>17.08.2026</v>
      </c>
      <c r="D1779" s="755">
        <f>IF($C$1779=0,NA(),VLOOKUP($I$1771&amp;$B$1779,FLNFIX!$AF$4:$EF$103,2,0))</f>
        <v>2</v>
      </c>
      <c r="E1779" s="755">
        <f>IF($C$1779=0,NA(),VLOOKUP($I$1771&amp;$B$1779,FLNFIX!$AF$4:$EF$103,4,0))</f>
        <v>3</v>
      </c>
      <c r="F1779" s="755">
        <f>IF($C$1779=0,NA(),VLOOKUP($I$1771&amp;$B$1779,FLNFIX!$AF$4:$EF$103,3,0))</f>
        <v>2</v>
      </c>
      <c r="G1779" s="756">
        <f>IF($C$1779=0,NA(),VLOOKUP($I$1771&amp;$B$1779,FLNFIX!$AF$4:$EF$103,5,0))</f>
        <v>0</v>
      </c>
      <c r="H1779" s="757"/>
      <c r="I1779" s="757"/>
      <c r="J1779" s="758"/>
      <c r="K1779" s="677"/>
    </row>
    <row r="1780" ht="20.1" customHeight="1" spans="1:11">
      <c r="A1780" s="675"/>
      <c r="B1780" s="755">
        <f t="shared" si="32"/>
        <v>6</v>
      </c>
      <c r="C1780" s="755" t="str">
        <f>IFERROR(VLOOKUP(B1780,DATEWISE!$A$3:$BY$27,2,0),0)</f>
        <v>31.08.2026</v>
      </c>
      <c r="D1780" s="755">
        <f>IF($C$1780=0,NA(),VLOOKUP($I$1771&amp;$B$1780,FLNFIX!$AK$4:$EF$103,2,0))</f>
        <v>2</v>
      </c>
      <c r="E1780" s="755">
        <f>IF($C$1780=0,NA(),VLOOKUP($I$1771&amp;$B$1780,FLNFIX!$AK$4:$EF$103,4,0))</f>
        <v>3</v>
      </c>
      <c r="F1780" s="755">
        <f>IF($C$1780=0,NA(),VLOOKUP($I$1771&amp;$B$1780,FLNFIX!$AK$4:$EF$103,3,0))</f>
        <v>2</v>
      </c>
      <c r="G1780" s="756">
        <f>IF($C$1780=0,NA(),VLOOKUP($I$1771&amp;$B$1780,FLNFIX!$AK$4:$EF$103,5,0))</f>
        <v>0</v>
      </c>
      <c r="H1780" s="757"/>
      <c r="I1780" s="757"/>
      <c r="J1780" s="758"/>
      <c r="K1780" s="677"/>
    </row>
    <row r="1781" ht="20.1" customHeight="1" spans="1:11">
      <c r="A1781" s="675"/>
      <c r="B1781" s="755">
        <f t="shared" si="32"/>
        <v>7</v>
      </c>
      <c r="C1781" s="755">
        <f>IFERROR(VLOOKUP(B1781,DATEWISE!$A$3:$BY$27,2,0),0)</f>
        <v>0</v>
      </c>
      <c r="D1781" s="755" t="e">
        <f>IF($C$1781=0,NA(),VLOOKUP($I$1771&amp;$B$1781,FLNFIX!$AP$4:$EF$103,2,0))</f>
        <v>#N/A</v>
      </c>
      <c r="E1781" s="755" t="e">
        <f>IF($C$1781=0,NA(),VLOOKUP($I$1771&amp;$B$1781,FLNFIX!$AP$4:$EF$103,4,0))</f>
        <v>#N/A</v>
      </c>
      <c r="F1781" s="755" t="e">
        <f>IF($C$1781=0,NA(),VLOOKUP($I$1771&amp;$B$1781,FLNFIX!$AP$4:$EF$103,3,0))</f>
        <v>#N/A</v>
      </c>
      <c r="G1781" s="756" t="e">
        <f>IF($C$1781=0,NA(),VLOOKUP($I$1771&amp;$B$1781,FLNFIX!$AP$4:$EF$103,5,0))</f>
        <v>#N/A</v>
      </c>
      <c r="H1781" s="757"/>
      <c r="I1781" s="757"/>
      <c r="J1781" s="758"/>
      <c r="K1781" s="677"/>
    </row>
    <row r="1782" ht="20.1" customHeight="1" spans="1:11">
      <c r="A1782" s="675"/>
      <c r="B1782" s="755">
        <f t="shared" si="32"/>
        <v>8</v>
      </c>
      <c r="C1782" s="755">
        <f>IFERROR(VLOOKUP(B1782,DATEWISE!$A$3:$BY$27,2,0),0)</f>
        <v>0</v>
      </c>
      <c r="D1782" s="755" t="e">
        <f>IF($C$1782=0,NA(),VLOOKUP($I$1771&amp;$B$1782,FLNFIX!$AU$4:$EF$103,2,0))</f>
        <v>#N/A</v>
      </c>
      <c r="E1782" s="755" t="e">
        <f>IF($C$1782=0,NA(),VLOOKUP($I$1771&amp;$B$1782,FLNFIX!$AU$4:$EF$103,4,0))</f>
        <v>#N/A</v>
      </c>
      <c r="F1782" s="755" t="e">
        <f>IF($C$1782=0,NA(),VLOOKUP($I$1771&amp;$B$1782,FLNFIX!$AU$4:$EF$103,3,0))</f>
        <v>#N/A</v>
      </c>
      <c r="G1782" s="756" t="e">
        <f>IF($C$1782=0,NA(),VLOOKUP($I$1771&amp;$B$1782,FLNFIX!$AU$4:$EF$103,5,0))</f>
        <v>#N/A</v>
      </c>
      <c r="H1782" s="757"/>
      <c r="I1782" s="757"/>
      <c r="J1782" s="758"/>
      <c r="K1782" s="677"/>
    </row>
    <row r="1783" ht="20.1" customHeight="1" spans="1:11">
      <c r="A1783" s="675"/>
      <c r="B1783" s="755">
        <f t="shared" si="32"/>
        <v>9</v>
      </c>
      <c r="C1783" s="755">
        <f>IFERROR(VLOOKUP(B1783,DATEWISE!$A$3:$BY$27,2,0),0)</f>
        <v>0</v>
      </c>
      <c r="D1783" s="755" t="e">
        <f>IF($C$1783=0,NA(),VLOOKUP($I$1771&amp;$B$1783,FLNFIX!$AZ$4:$EF$103,2,0))</f>
        <v>#N/A</v>
      </c>
      <c r="E1783" s="755" t="e">
        <f>IF($C$1783=0,NA(),VLOOKUP($I$1771&amp;$B$1783,FLNFIX!$AZ$4:$EF$103,4,0))</f>
        <v>#N/A</v>
      </c>
      <c r="F1783" s="755" t="e">
        <f>IF($C$1783=0,NA(),VLOOKUP($I$1771&amp;$B$1783,FLNFIX!$AZ$4:$EF$103,3,0))</f>
        <v>#N/A</v>
      </c>
      <c r="G1783" s="756" t="e">
        <f>IF($C$1783=0,NA(),VLOOKUP($I$1771&amp;$B$1783,FLNFIX!$AZ$4:$EF$103,5,0))</f>
        <v>#N/A</v>
      </c>
      <c r="H1783" s="757"/>
      <c r="I1783" s="757"/>
      <c r="J1783" s="758"/>
      <c r="K1783" s="677"/>
    </row>
    <row r="1784" ht="20.1" customHeight="1" spans="1:11">
      <c r="A1784" s="675"/>
      <c r="B1784" s="755">
        <f t="shared" si="32"/>
        <v>10</v>
      </c>
      <c r="C1784" s="755">
        <f>IFERROR(VLOOKUP(B1784,DATEWISE!$A$3:$BY$27,2,0),0)</f>
        <v>0</v>
      </c>
      <c r="D1784" s="755" t="e">
        <f>IF($C$1784=0,NA(),VLOOKUP($I$1771&amp;$B$1784,FLNFIX!$BE$4:$EF$103,2,0))</f>
        <v>#N/A</v>
      </c>
      <c r="E1784" s="755" t="e">
        <f>IF($C$1784=0,NA(),VLOOKUP($I$1771&amp;$B$1784,FLNFIX!$BE$4:$EF$103,4,0))</f>
        <v>#N/A</v>
      </c>
      <c r="F1784" s="755" t="e">
        <f>IF($C$1784=0,NA(),VLOOKUP($I$1771&amp;$B$1784,FLNFIX!$BE$4:$EF$103,3,0))</f>
        <v>#N/A</v>
      </c>
      <c r="G1784" s="756" t="e">
        <f>IF($C$1784=0,NA(),VLOOKUP($I$1771&amp;$B$1784,FLNFIX!$BE$4:$EF$103,5,0))</f>
        <v>#N/A</v>
      </c>
      <c r="H1784" s="757"/>
      <c r="I1784" s="757"/>
      <c r="J1784" s="758"/>
      <c r="K1784" s="677"/>
    </row>
    <row r="1785" ht="20.1" customHeight="1" spans="1:11">
      <c r="A1785" s="675"/>
      <c r="B1785" s="755">
        <f t="shared" si="32"/>
        <v>11</v>
      </c>
      <c r="C1785" s="755">
        <f>IFERROR(VLOOKUP(B1785,DATEWISE!$A$3:$BY$27,2,0),0)</f>
        <v>0</v>
      </c>
      <c r="D1785" s="755" t="e">
        <f>IF($C$1785=0,NA(),VLOOKUP($I$1771&amp;$B$1785,FLNFIX!$BJ$4:$EF$103,2,0))</f>
        <v>#N/A</v>
      </c>
      <c r="E1785" s="755" t="e">
        <f>IF($C$1785=0,NA(),VLOOKUP($I$1771&amp;$B$1785,FLNFIX!$BJ$4:$EF$103,4,0))</f>
        <v>#N/A</v>
      </c>
      <c r="F1785" s="755" t="e">
        <f>IF($C$1785=0,NA(),VLOOKUP($I$1771&amp;$B$1785,FLNFIX!$BJ$4:$EF$103,3,0))</f>
        <v>#N/A</v>
      </c>
      <c r="G1785" s="756" t="e">
        <f>IF($C$1785=0,NA(),VLOOKUP($I$1771&amp;$B$1785,FLNFIX!$BJ$4:$EF$103,5,0))</f>
        <v>#N/A</v>
      </c>
      <c r="H1785" s="757"/>
      <c r="I1785" s="757"/>
      <c r="J1785" s="758"/>
      <c r="K1785" s="677"/>
    </row>
    <row r="1786" ht="20.1" customHeight="1" spans="1:11">
      <c r="A1786" s="675"/>
      <c r="B1786" s="755">
        <f t="shared" si="32"/>
        <v>12</v>
      </c>
      <c r="C1786" s="755">
        <f>IFERROR(VLOOKUP(B1786,DATEWISE!$A$3:$BY$27,2,0),0)</f>
        <v>0</v>
      </c>
      <c r="D1786" s="755" t="e">
        <f>IF($C$1786=0,NA(),VLOOKUP($I$1771&amp;$B$1786,FLNFIX!$BO$4:$EF$103,2,0))</f>
        <v>#N/A</v>
      </c>
      <c r="E1786" s="755" t="e">
        <f>IF($C$1786=0,NA(),VLOOKUP($I$1771&amp;$B$1786,FLNFIX!$BO$4:$EF$103,4,0))</f>
        <v>#N/A</v>
      </c>
      <c r="F1786" s="755" t="e">
        <f>IF($C$1786=0,NA(),VLOOKUP($I$1771&amp;$B$1786,FLNFIX!$BO$4:$EF$103,3,0))</f>
        <v>#N/A</v>
      </c>
      <c r="G1786" s="756" t="e">
        <f>IF($C$1786=0,NA(),VLOOKUP($I$1771&amp;$B$1786,FLNFIX!$BO$4:$EF$103,5,0))</f>
        <v>#N/A</v>
      </c>
      <c r="H1786" s="757"/>
      <c r="I1786" s="757"/>
      <c r="J1786" s="758"/>
      <c r="K1786" s="677"/>
    </row>
    <row r="1787" ht="20.1" customHeight="1" spans="1:11">
      <c r="A1787" s="675"/>
      <c r="B1787" s="755">
        <f t="shared" si="32"/>
        <v>13</v>
      </c>
      <c r="C1787" s="755">
        <f>IFERROR(VLOOKUP(B1787,DATEWISE!$A$3:$BY$27,2,0),0)</f>
        <v>0</v>
      </c>
      <c r="D1787" s="755" t="e">
        <f>IF($C$1787=0,NA(),VLOOKUP($I$1771&amp;$B$1787,FLNFIX!$BT$4:$EF$103,2,0))</f>
        <v>#N/A</v>
      </c>
      <c r="E1787" s="755" t="e">
        <f>IF($C$1787=0,NA(),VLOOKUP($I$1771&amp;$B$1787,FLNFIX!$BT$4:$EF$103,4,0))</f>
        <v>#N/A</v>
      </c>
      <c r="F1787" s="755" t="e">
        <f>IF($C$1787=0,NA(),VLOOKUP($I$1771&amp;$B$1787,FLNFIX!$BT$4:$EF$103,3,0))</f>
        <v>#N/A</v>
      </c>
      <c r="G1787" s="756" t="e">
        <f>IF($C$1787=0,NA(),VLOOKUP($I$1771&amp;$B$1787,FLNFIX!$BT$4:$EF$103,5,0))</f>
        <v>#N/A</v>
      </c>
      <c r="H1787" s="757"/>
      <c r="I1787" s="757"/>
      <c r="J1787" s="758"/>
      <c r="K1787" s="677"/>
    </row>
    <row r="1788" ht="20.1" customHeight="1" spans="1:11">
      <c r="A1788" s="675"/>
      <c r="B1788" s="755">
        <f t="shared" si="32"/>
        <v>14</v>
      </c>
      <c r="C1788" s="755">
        <f>IFERROR(VLOOKUP(B1788,DATEWISE!$A$3:$BY$27,2,0),0)</f>
        <v>0</v>
      </c>
      <c r="D1788" s="755" t="e">
        <f>IF($C$1788=0,NA(),VLOOKUP($I$1771&amp;$B$1788,FLNFIX!$BY$4:$EF$103,2,0))</f>
        <v>#N/A</v>
      </c>
      <c r="E1788" s="755" t="e">
        <f>IF($C$1788=0,NA(),VLOOKUP($I$1771&amp;$B$1788,FLNFIX!$BY$4:$EF$103,4,0))</f>
        <v>#N/A</v>
      </c>
      <c r="F1788" s="755" t="e">
        <f>IF($C$1788=0,NA(),VLOOKUP($I$1771&amp;$B$1788,FLNFIX!$BY$4:$EF$103,3,0))</f>
        <v>#N/A</v>
      </c>
      <c r="G1788" s="756" t="e">
        <f>IF($C$1788=0,NA(),VLOOKUP($I$1771&amp;$B$1788,FLNFIX!$BY$4:$EF$103,5,0))</f>
        <v>#N/A</v>
      </c>
      <c r="H1788" s="757"/>
      <c r="I1788" s="757"/>
      <c r="J1788" s="758"/>
      <c r="K1788" s="677"/>
    </row>
    <row r="1789" ht="20.1" customHeight="1" spans="1:11">
      <c r="A1789" s="675"/>
      <c r="B1789" s="755">
        <f t="shared" si="32"/>
        <v>15</v>
      </c>
      <c r="C1789" s="755">
        <f>IFERROR(VLOOKUP(B1789,DATEWISE!$A$3:$BY$27,2,0),0)</f>
        <v>0</v>
      </c>
      <c r="D1789" s="755" t="e">
        <f>IF($C$1789=0,NA(),VLOOKUP($I$1771&amp;$B$1789,FLNFIX!$CD$4:$EF$103,2,0))</f>
        <v>#N/A</v>
      </c>
      <c r="E1789" s="755" t="e">
        <f>IF($C$1789=0,NA(),VLOOKUP($I$1771&amp;$B$1789,FLNFIX!$CD$4:$EF$103,4,0))</f>
        <v>#N/A</v>
      </c>
      <c r="F1789" s="755" t="e">
        <f>IF($C$1789=0,NA(),VLOOKUP($I$1771&amp;$B$1789,FLNFIX!$CD$4:$EF$103,3,0))</f>
        <v>#N/A</v>
      </c>
      <c r="G1789" s="756" t="e">
        <f>IF($C$1789=0,NA(),VLOOKUP($I$1771&amp;$B$1789,FLNFIX!$CD$4:$EF$103,5,0))</f>
        <v>#N/A</v>
      </c>
      <c r="H1789" s="757"/>
      <c r="I1789" s="757"/>
      <c r="J1789" s="758"/>
      <c r="K1789" s="677"/>
    </row>
    <row r="1790" ht="20.1" customHeight="1" spans="1:11">
      <c r="A1790" s="675"/>
      <c r="B1790" s="755">
        <f t="shared" si="32"/>
        <v>16</v>
      </c>
      <c r="C1790" s="755">
        <f>IFERROR(VLOOKUP(B1790,DATEWISE!$A$3:$BY$27,2,0),0)</f>
        <v>0</v>
      </c>
      <c r="D1790" s="755" t="e">
        <f>IF($C$1790=0,NA(),VLOOKUP($I$1771&amp;$B$1790,FLNFIX!$CI$4:$EF$103,2,0))</f>
        <v>#N/A</v>
      </c>
      <c r="E1790" s="755" t="e">
        <f>IF($C$1790=0,NA(),VLOOKUP($I$1771&amp;$B$1790,FLNFIX!$CI$4:$EF$103,4,0))</f>
        <v>#N/A</v>
      </c>
      <c r="F1790" s="755" t="e">
        <f>IF($C$1790=0,NA(),VLOOKUP($I$1771&amp;$B$1790,FLNFIX!$CI$4:$EF$103,3,0))</f>
        <v>#N/A</v>
      </c>
      <c r="G1790" s="756" t="e">
        <f>IF($C$1790=0,NA(),VLOOKUP($I$1771&amp;$B$1790,FLNFIX!$CI$4:$EF$103,5,0))</f>
        <v>#N/A</v>
      </c>
      <c r="H1790" s="757"/>
      <c r="I1790" s="757"/>
      <c r="J1790" s="758"/>
      <c r="K1790" s="677"/>
    </row>
    <row r="1791" ht="20.1" customHeight="1" spans="1:11">
      <c r="A1791" s="675"/>
      <c r="B1791" s="755">
        <f t="shared" si="32"/>
        <v>17</v>
      </c>
      <c r="C1791" s="755">
        <f>IFERROR(VLOOKUP(B1791,DATEWISE!$A$3:$BY$27,2,0),0)</f>
        <v>0</v>
      </c>
      <c r="D1791" s="755" t="e">
        <f>IF($C$1791=0,NA(),VLOOKUP($I$1771&amp;$B$1791,FLNFIX!$CN$4:$EF$103,2,0))</f>
        <v>#N/A</v>
      </c>
      <c r="E1791" s="755" t="e">
        <f>IF($C$1791=0,NA(),VLOOKUP($I$1771&amp;$B$1791,FLNFIX!$CN$4:$EF$103,4,0))</f>
        <v>#N/A</v>
      </c>
      <c r="F1791" s="755" t="e">
        <f>IF($C$1791=0,NA(),VLOOKUP($I$1771&amp;$B$1791,FLNFIX!$CN$4:$EF$103,3,0))</f>
        <v>#N/A</v>
      </c>
      <c r="G1791" s="756" t="e">
        <f>IF($C$1791=0,NA(),VLOOKUP($I$1771&amp;$B$1791,FLNFIX!$CN$4:$EF$103,5,0))</f>
        <v>#N/A</v>
      </c>
      <c r="H1791" s="757"/>
      <c r="I1791" s="757"/>
      <c r="J1791" s="758"/>
      <c r="K1791" s="677"/>
    </row>
    <row r="1792" ht="20.1" customHeight="1" spans="1:11">
      <c r="A1792" s="675"/>
      <c r="B1792" s="755">
        <f t="shared" si="32"/>
        <v>18</v>
      </c>
      <c r="C1792" s="755">
        <f>IFERROR(VLOOKUP(B1792,DATEWISE!$A$3:$BY$27,2,0),0)</f>
        <v>0</v>
      </c>
      <c r="D1792" s="755" t="e">
        <f>IF($C$1792=0,NA(),VLOOKUP($I$1771&amp;$B$1792,FLNFIX!$CS$4:$EF$103,2,0))</f>
        <v>#N/A</v>
      </c>
      <c r="E1792" s="755" t="e">
        <f>IF($C$1792=0,NA(),VLOOKUP($I$1771&amp;$B$1792,FLNFIX!$CS$4:$EF$103,4,0))</f>
        <v>#N/A</v>
      </c>
      <c r="F1792" s="755" t="e">
        <f>IF($C$1792=0,NA(),VLOOKUP($I$1771&amp;$B$1792,FLNFIX!$CS$4:$EF$103,3,0))</f>
        <v>#N/A</v>
      </c>
      <c r="G1792" s="756" t="e">
        <f>IF($C$1792=0,NA(),VLOOKUP($I$1771&amp;$B$1792,FLNFIX!$CS$4:$EF$103,5,0))</f>
        <v>#N/A</v>
      </c>
      <c r="H1792" s="757"/>
      <c r="I1792" s="757"/>
      <c r="J1792" s="758"/>
      <c r="K1792" s="677"/>
    </row>
    <row r="1793" ht="20.1" customHeight="1" spans="1:11">
      <c r="A1793" s="675"/>
      <c r="B1793" s="755">
        <f t="shared" si="32"/>
        <v>19</v>
      </c>
      <c r="C1793" s="755">
        <f>IFERROR(VLOOKUP(B1793,DATEWISE!$A$3:$BY$27,2,0),0)</f>
        <v>0</v>
      </c>
      <c r="D1793" s="755" t="e">
        <f>IF($C$1793=0,NA(),VLOOKUP($I$1771&amp;$B$1793,FLNFIX!$CX$4:$EF$103,2,0))</f>
        <v>#N/A</v>
      </c>
      <c r="E1793" s="755" t="e">
        <f>IF($C$1793=0,NA(),VLOOKUP($I$1771&amp;$B$1793,FLNFIX!$CX$4:$EF$103,4,0))</f>
        <v>#N/A</v>
      </c>
      <c r="F1793" s="755" t="e">
        <f>IF($C$1793=0,NA(),VLOOKUP($I$1771&amp;$B$1793,FLNFIX!$CX$4:$EF$103,3,0))</f>
        <v>#N/A</v>
      </c>
      <c r="G1793" s="756" t="e">
        <f>IF($C$1793=0,NA(),VLOOKUP($I$1771&amp;$B$1793,FLNFIX!$CX$4:$EF$103,5,0))</f>
        <v>#N/A</v>
      </c>
      <c r="H1793" s="757"/>
      <c r="I1793" s="757"/>
      <c r="J1793" s="758"/>
      <c r="K1793" s="677"/>
    </row>
    <row r="1794" ht="20.1" customHeight="1" spans="1:11">
      <c r="A1794" s="675"/>
      <c r="B1794" s="755">
        <f t="shared" si="32"/>
        <v>20</v>
      </c>
      <c r="C1794" s="755">
        <f>IFERROR(VLOOKUP(B1794,DATEWISE!$A$3:$BY$27,2,0),0)</f>
        <v>0</v>
      </c>
      <c r="D1794" s="755" t="e">
        <f>IF($C$1794=0,NA(),VLOOKUP($I$1771&amp;$B$1794,FLNFIX!$DC$4:$EF$103,2,0))</f>
        <v>#N/A</v>
      </c>
      <c r="E1794" s="755" t="e">
        <f>IF($C$1794=0,NA(),VLOOKUP($I$1771&amp;$B$1794,FLNFIX!$DC$4:$EF$103,4,0))</f>
        <v>#N/A</v>
      </c>
      <c r="F1794" s="755" t="e">
        <f>IF($C$1794=0,NA(),VLOOKUP($I$1771&amp;$B$1794,FLNFIX!$DC$4:$EF$103,3,0))</f>
        <v>#N/A</v>
      </c>
      <c r="G1794" s="756" t="e">
        <f>IF($C$1794=0,NA(),VLOOKUP($I$1771&amp;$B$1794,FLNFIX!$DC$4:$EF$103,5,0))</f>
        <v>#N/A</v>
      </c>
      <c r="H1794" s="757"/>
      <c r="I1794" s="757"/>
      <c r="J1794" s="758"/>
      <c r="K1794" s="677"/>
    </row>
    <row r="1795" ht="20.1" customHeight="1" spans="1:11">
      <c r="A1795" s="675"/>
      <c r="B1795" s="755">
        <f t="shared" si="32"/>
        <v>21</v>
      </c>
      <c r="C1795" s="755">
        <f>IFERROR(VLOOKUP(B1795,DATEWISE!$A$3:$BY$27,2,0),0)</f>
        <v>0</v>
      </c>
      <c r="D1795" s="755" t="e">
        <f>IF($C$1795=0,NA(),VLOOKUP($I$1771&amp;$B$1795,FLNFIX!$DH$4:$EF$103,2,0))</f>
        <v>#N/A</v>
      </c>
      <c r="E1795" s="755" t="e">
        <f>IF($C$1795=0,NA(),VLOOKUP($I$1771&amp;$B$1795,FLNFIX!$DH$4:$EF$103,4,0))</f>
        <v>#N/A</v>
      </c>
      <c r="F1795" s="755" t="e">
        <f>IF($C$1795=0,NA(),VLOOKUP($I$1771&amp;$B$1795,FLNFIX!$DH$4:$EF$103,3,0))</f>
        <v>#N/A</v>
      </c>
      <c r="G1795" s="756" t="e">
        <f>IF($C$1795=0,NA(),VLOOKUP($I$1771&amp;$B$1795,FLNFIX!$DH$4:$EF$103,5,0))</f>
        <v>#N/A</v>
      </c>
      <c r="H1795" s="757"/>
      <c r="I1795" s="757"/>
      <c r="J1795" s="758"/>
      <c r="K1795" s="677"/>
    </row>
    <row r="1796" ht="5.1" customHeight="1" spans="1:11">
      <c r="A1796" s="675"/>
      <c r="B1796" s="759"/>
      <c r="C1796" s="759"/>
      <c r="D1796" s="760"/>
      <c r="E1796" s="760"/>
      <c r="F1796" s="760"/>
      <c r="G1796" s="761"/>
      <c r="H1796" s="761"/>
      <c r="I1796" s="761"/>
      <c r="J1796" s="761"/>
      <c r="K1796" s="677"/>
    </row>
    <row r="1797" s="667" customFormat="1" ht="24.95" customHeight="1" spans="1:11">
      <c r="A1797" s="711"/>
      <c r="B1797" s="762" t="s">
        <v>431</v>
      </c>
      <c r="C1797" s="763"/>
      <c r="D1797" s="763"/>
      <c r="E1797" s="763"/>
      <c r="F1797" s="763"/>
      <c r="G1797" s="763"/>
      <c r="H1797" s="763"/>
      <c r="I1797" s="763"/>
      <c r="J1797" s="764"/>
      <c r="K1797" s="713"/>
    </row>
    <row r="1798" spans="1:11">
      <c r="A1798" s="675"/>
      <c r="B1798" s="765"/>
      <c r="C1798" s="686"/>
      <c r="D1798" s="686"/>
      <c r="E1798" s="686"/>
      <c r="F1798" s="686"/>
      <c r="G1798" s="686"/>
      <c r="H1798" s="686"/>
      <c r="I1798" s="686"/>
      <c r="J1798" s="766"/>
      <c r="K1798" s="677"/>
    </row>
    <row r="1799" spans="1:11">
      <c r="A1799" s="675"/>
      <c r="B1799" s="765"/>
      <c r="C1799" s="686"/>
      <c r="D1799" s="686"/>
      <c r="E1799" s="686"/>
      <c r="F1799" s="686"/>
      <c r="G1799" s="686"/>
      <c r="H1799" s="686"/>
      <c r="I1799" s="686"/>
      <c r="J1799" s="766"/>
      <c r="K1799" s="677"/>
    </row>
    <row r="1800" spans="1:11">
      <c r="A1800" s="675"/>
      <c r="B1800" s="765"/>
      <c r="C1800" s="686"/>
      <c r="D1800" s="686"/>
      <c r="E1800" s="686"/>
      <c r="F1800" s="686"/>
      <c r="G1800" s="686"/>
      <c r="H1800" s="686"/>
      <c r="I1800" s="686"/>
      <c r="J1800" s="766"/>
      <c r="K1800" s="677"/>
    </row>
    <row r="1801" spans="1:11">
      <c r="A1801" s="675"/>
      <c r="B1801" s="765"/>
      <c r="C1801" s="686"/>
      <c r="D1801" s="686"/>
      <c r="E1801" s="686"/>
      <c r="F1801" s="686"/>
      <c r="G1801" s="686"/>
      <c r="H1801" s="686"/>
      <c r="I1801" s="686"/>
      <c r="J1801" s="766"/>
      <c r="K1801" s="677"/>
    </row>
    <row r="1802" spans="1:11">
      <c r="A1802" s="675"/>
      <c r="B1802" s="765"/>
      <c r="C1802" s="686"/>
      <c r="D1802" s="686"/>
      <c r="E1802" s="686"/>
      <c r="F1802" s="686"/>
      <c r="G1802" s="686"/>
      <c r="H1802" s="686"/>
      <c r="I1802" s="686"/>
      <c r="J1802" s="766"/>
      <c r="K1802" s="677"/>
    </row>
    <row r="1803" spans="1:11">
      <c r="A1803" s="675"/>
      <c r="B1803" s="765"/>
      <c r="C1803" s="686"/>
      <c r="D1803" s="686"/>
      <c r="E1803" s="686"/>
      <c r="F1803" s="686"/>
      <c r="G1803" s="686"/>
      <c r="H1803" s="686"/>
      <c r="I1803" s="686"/>
      <c r="J1803" s="766"/>
      <c r="K1803" s="677"/>
    </row>
    <row r="1804" spans="1:11">
      <c r="A1804" s="675"/>
      <c r="B1804" s="765"/>
      <c r="C1804" s="686"/>
      <c r="D1804" s="686"/>
      <c r="E1804" s="686"/>
      <c r="F1804" s="686"/>
      <c r="G1804" s="686"/>
      <c r="H1804" s="686"/>
      <c r="I1804" s="686"/>
      <c r="J1804" s="766"/>
      <c r="K1804" s="677"/>
    </row>
    <row r="1805" spans="1:11">
      <c r="A1805" s="675"/>
      <c r="B1805" s="765"/>
      <c r="C1805" s="686"/>
      <c r="D1805" s="686"/>
      <c r="E1805" s="686"/>
      <c r="F1805" s="686"/>
      <c r="G1805" s="686"/>
      <c r="H1805" s="686"/>
      <c r="I1805" s="686"/>
      <c r="J1805" s="766"/>
      <c r="K1805" s="677"/>
    </row>
    <row r="1806" spans="1:11">
      <c r="A1806" s="675"/>
      <c r="B1806" s="765"/>
      <c r="C1806" s="686"/>
      <c r="D1806" s="686"/>
      <c r="E1806" s="686"/>
      <c r="F1806" s="686"/>
      <c r="G1806" s="686"/>
      <c r="H1806" s="686"/>
      <c r="I1806" s="686"/>
      <c r="J1806" s="766"/>
      <c r="K1806" s="677"/>
    </row>
    <row r="1807" spans="1:11">
      <c r="A1807" s="675"/>
      <c r="B1807" s="767"/>
      <c r="C1807" s="768"/>
      <c r="D1807" s="768"/>
      <c r="E1807" s="768"/>
      <c r="F1807" s="768"/>
      <c r="G1807" s="768"/>
      <c r="H1807" s="768"/>
      <c r="I1807" s="768"/>
      <c r="J1807" s="769"/>
      <c r="K1807" s="677"/>
    </row>
    <row r="1808" ht="5.1" customHeight="1" spans="1:11">
      <c r="A1808" s="675"/>
      <c r="B1808" s="686"/>
      <c r="C1808" s="686"/>
      <c r="D1808" s="686"/>
      <c r="E1808" s="686"/>
      <c r="F1808" s="686"/>
      <c r="G1808" s="686"/>
      <c r="H1808" s="686"/>
      <c r="I1808" s="686"/>
      <c r="J1808" s="686"/>
      <c r="K1808" s="677"/>
    </row>
    <row r="1809" spans="1:11">
      <c r="A1809" s="675"/>
      <c r="B1809" s="770" t="s">
        <v>432</v>
      </c>
      <c r="C1809" s="770"/>
      <c r="D1809" s="770"/>
      <c r="E1809" s="770"/>
      <c r="F1809" s="770"/>
      <c r="G1809" s="770"/>
      <c r="H1809" s="770"/>
      <c r="I1809" s="770"/>
      <c r="J1809" s="770"/>
      <c r="K1809" s="677"/>
    </row>
    <row r="1810" spans="1:11">
      <c r="A1810" s="675"/>
      <c r="B1810" s="771"/>
      <c r="C1810" s="771"/>
      <c r="D1810" s="771"/>
      <c r="E1810" s="771"/>
      <c r="F1810" s="771"/>
      <c r="G1810" s="771"/>
      <c r="H1810" s="771"/>
      <c r="I1810" s="771"/>
      <c r="J1810" s="771"/>
      <c r="K1810" s="677"/>
    </row>
    <row r="1811" spans="1:11">
      <c r="A1811" s="675"/>
      <c r="B1811" s="771"/>
      <c r="C1811" s="771"/>
      <c r="D1811" s="771"/>
      <c r="E1811" s="771"/>
      <c r="F1811" s="771"/>
      <c r="G1811" s="771"/>
      <c r="H1811" s="771"/>
      <c r="I1811" s="771"/>
      <c r="J1811" s="771"/>
      <c r="K1811" s="677"/>
    </row>
    <row r="1812" spans="1:11">
      <c r="A1812" s="675"/>
      <c r="B1812" s="771"/>
      <c r="C1812" s="771"/>
      <c r="D1812" s="771"/>
      <c r="E1812" s="771"/>
      <c r="F1812" s="771"/>
      <c r="G1812" s="771"/>
      <c r="H1812" s="771"/>
      <c r="I1812" s="771"/>
      <c r="J1812" s="771"/>
      <c r="K1812" s="677"/>
    </row>
    <row r="1813" spans="1:11">
      <c r="A1813" s="675"/>
      <c r="B1813" s="686"/>
      <c r="C1813" s="686"/>
      <c r="D1813" s="686"/>
      <c r="E1813" s="686"/>
      <c r="F1813" s="686"/>
      <c r="G1813" s="686"/>
      <c r="H1813" s="686"/>
      <c r="I1813" s="686"/>
      <c r="J1813" s="686"/>
      <c r="K1813" s="677"/>
    </row>
    <row r="1814" spans="1:11">
      <c r="A1814" s="675"/>
      <c r="B1814" s="686"/>
      <c r="C1814" s="729" t="s">
        <v>433</v>
      </c>
      <c r="D1814" s="729"/>
      <c r="E1814" s="686"/>
      <c r="F1814" s="686"/>
      <c r="G1814" s="729" t="s">
        <v>434</v>
      </c>
      <c r="H1814" s="729"/>
      <c r="I1814" s="729"/>
      <c r="J1814" s="729"/>
      <c r="K1814" s="677"/>
    </row>
    <row r="1815" ht="16.35" spans="1:11">
      <c r="A1815" s="725"/>
      <c r="B1815" s="726"/>
      <c r="C1815" s="732" t="str">
        <f>"("&amp;PROPER(ENTRY!$D$19)&amp;")"</f>
        <v>(Indrajeet)</v>
      </c>
      <c r="D1815" s="732"/>
      <c r="E1815" s="726"/>
      <c r="F1815" s="726"/>
      <c r="G1815" s="732" t="str">
        <f>"("&amp;PROPER(ENTRY!$D$12)&amp;")"</f>
        <v>(Shambhu Dayal Meena)</v>
      </c>
      <c r="H1815" s="732"/>
      <c r="I1815" s="732"/>
      <c r="J1815" s="732"/>
      <c r="K1815" s="728"/>
    </row>
    <row r="1816" ht="24.6" spans="1:11">
      <c r="B1816" s="734"/>
      <c r="C1816" s="734"/>
      <c r="D1816" s="669" t="str">
        <f>ENTRY!$D$3</f>
        <v>MUNICIPAL CORPORATION OF DELHI</v>
      </c>
      <c r="E1816" s="669"/>
      <c r="F1816" s="669"/>
      <c r="G1816" s="669"/>
      <c r="H1816" s="734"/>
      <c r="I1816" s="669"/>
      <c r="J1816" s="669"/>
    </row>
    <row r="1817" ht="20.4" spans="1:11">
      <c r="B1817" s="735"/>
      <c r="C1817" s="735"/>
      <c r="D1817" s="670" t="str">
        <f>ENTRY!$D$4</f>
        <v>EDUCATION DEPARTMENT</v>
      </c>
      <c r="E1817" s="670"/>
      <c r="F1817" s="670"/>
      <c r="G1817" s="670"/>
      <c r="H1817" s="735"/>
      <c r="I1817" s="669"/>
      <c r="J1817" s="669"/>
    </row>
    <row r="1818" ht="22.8" spans="1:11">
      <c r="B1818" s="736"/>
      <c r="C1818" s="736"/>
      <c r="D1818" s="664" t="s">
        <v>417</v>
      </c>
      <c r="E1818" s="664"/>
      <c r="F1818" s="664"/>
      <c r="G1818" s="664"/>
      <c r="H1818" s="736"/>
      <c r="I1818" s="669"/>
      <c r="J1818" s="669"/>
    </row>
    <row r="1819" ht="22.8" spans="1:11">
      <c r="B1819" s="736"/>
      <c r="C1819" s="736"/>
      <c r="D1819" s="664" t="s">
        <v>418</v>
      </c>
      <c r="E1819" s="664"/>
      <c r="F1819" s="664"/>
      <c r="G1819" s="664"/>
      <c r="H1819" s="736"/>
      <c r="I1819" s="669"/>
      <c r="J1819" s="669"/>
    </row>
    <row r="1820" ht="24.95" customHeight="1" spans="1:11">
      <c r="B1820" s="735"/>
      <c r="C1820" s="735"/>
      <c r="D1820" s="737" t="str">
        <f>"SESSION : "&amp;ENTRY!$D$11</f>
        <v>SESSION : 2026-27</v>
      </c>
      <c r="E1820" s="737"/>
      <c r="F1820" s="737"/>
      <c r="G1820" s="737"/>
      <c r="H1820" s="735"/>
      <c r="I1820" s="738"/>
      <c r="J1820" s="738"/>
    </row>
    <row r="1821" ht="3.75" customHeight="1" spans="1:11">
      <c r="A1821" s="672"/>
      <c r="B1821" s="739"/>
      <c r="C1821" s="739"/>
      <c r="D1821" s="739"/>
      <c r="E1821" s="739"/>
      <c r="F1821" s="739"/>
      <c r="G1821" s="739"/>
      <c r="H1821" s="739"/>
      <c r="I1821" s="739"/>
      <c r="J1821" s="739"/>
      <c r="K1821" s="674"/>
    </row>
    <row r="1822" ht="21.95" customHeight="1" spans="1:11">
      <c r="A1822" s="675"/>
      <c r="B1822" s="676" t="s">
        <v>419</v>
      </c>
      <c r="C1822" s="676"/>
      <c r="D1822" s="676" t="str">
        <f>ENTRY!$D$6</f>
        <v>MCP NITHARI NO 1 BOYS</v>
      </c>
      <c r="E1822" s="676"/>
      <c r="F1822" s="676"/>
      <c r="G1822" s="676"/>
      <c r="H1822" s="676"/>
      <c r="I1822" s="676"/>
      <c r="J1822" s="676"/>
      <c r="K1822" s="677"/>
    </row>
    <row r="1823" ht="21.95" customHeight="1" spans="1:11">
      <c r="A1823" s="675"/>
      <c r="B1823" s="676" t="s">
        <v>420</v>
      </c>
      <c r="C1823" s="676"/>
      <c r="D1823" s="740" t="str">
        <f>IFERROR(VLOOKUP($I$1826,STUDENT!$A$2:$BP$101,5,0),"")</f>
        <v>VEERPARTAP SINGH</v>
      </c>
      <c r="E1823" s="740"/>
      <c r="F1823" s="740"/>
      <c r="G1823" s="740"/>
      <c r="H1823" s="740"/>
      <c r="I1823" s="740"/>
      <c r="J1823" s="740"/>
      <c r="K1823" s="677"/>
    </row>
    <row r="1824" ht="21.95" customHeight="1" spans="1:11">
      <c r="A1824" s="675"/>
      <c r="B1824" s="676" t="s">
        <v>421</v>
      </c>
      <c r="C1824" s="676"/>
      <c r="D1824" s="740" t="str">
        <f>IFERROR(VLOOKUP($I$1826,STUDENT!$A$2:$BP$101,8,0),"")</f>
        <v>VIJAY SINGH</v>
      </c>
      <c r="E1824" s="740"/>
      <c r="F1824" s="740"/>
      <c r="G1824" s="740"/>
      <c r="H1824" s="740"/>
      <c r="I1824" s="740"/>
      <c r="J1824" s="740"/>
      <c r="K1824" s="677"/>
    </row>
    <row r="1825" ht="21.95" customHeight="1" spans="1:11">
      <c r="A1825" s="675"/>
      <c r="B1825" s="676" t="s">
        <v>422</v>
      </c>
      <c r="C1825" s="676"/>
      <c r="D1825" s="740">
        <f>IFERROR(VLOOKUP($I$1826,STUDENT!$A$2:$BP$101,6,0),"")</f>
        <v>15088</v>
      </c>
      <c r="E1825" s="740"/>
      <c r="F1825" s="740"/>
      <c r="G1825" s="740"/>
      <c r="H1825" s="740"/>
      <c r="I1825" s="740"/>
      <c r="J1825" s="740"/>
      <c r="K1825" s="677"/>
    </row>
    <row r="1826" ht="21.95" customHeight="1" spans="1:11">
      <c r="A1826" s="675"/>
      <c r="B1826" s="676" t="s">
        <v>423</v>
      </c>
      <c r="C1826" s="676"/>
      <c r="D1826" s="741" t="str">
        <f>IFERROR(VLOOKUP($I$1826,STUDENT!$A$2:$BP$101,59,0),"")</f>
        <v/>
      </c>
      <c r="E1826" s="742" t="s">
        <v>424</v>
      </c>
      <c r="F1826" s="704" t="str">
        <f>IFERROR(VLOOKUP($I$1826,STUDENT!$A$2:$BP$101,2,0),"")</f>
        <v>III-A</v>
      </c>
      <c r="G1826" s="742" t="s">
        <v>425</v>
      </c>
      <c r="H1826" s="743"/>
      <c r="I1826" s="733">
        <f>I1771+1</f>
        <v>34</v>
      </c>
      <c r="J1826" s="683"/>
      <c r="K1826" s="677"/>
    </row>
    <row r="1827" ht="5.1" customHeight="1" spans="1:11">
      <c r="A1827" s="675"/>
      <c r="B1827" s="745"/>
      <c r="C1827" s="745"/>
      <c r="D1827" s="746"/>
      <c r="E1827" s="747"/>
      <c r="F1827" s="748"/>
      <c r="G1827" s="747"/>
      <c r="H1827" s="686"/>
      <c r="I1827" s="686"/>
      <c r="J1827" s="686"/>
      <c r="K1827" s="677"/>
    </row>
    <row r="1828" s="664" customFormat="1" ht="32.1" customHeight="1" spans="1:11">
      <c r="A1828" s="688"/>
      <c r="B1828" s="749" t="s">
        <v>426</v>
      </c>
      <c r="C1828" s="750"/>
      <c r="D1828" s="750"/>
      <c r="E1828" s="750"/>
      <c r="F1828" s="750"/>
      <c r="G1828" s="750"/>
      <c r="H1828" s="750"/>
      <c r="I1828" s="750"/>
      <c r="J1828" s="751"/>
      <c r="K1828" s="690"/>
    </row>
    <row r="1829" ht="51.6" spans="1:11">
      <c r="A1829" s="675"/>
      <c r="B1829" s="752">
        <v>21</v>
      </c>
      <c r="C1829" s="753" t="s">
        <v>427</v>
      </c>
      <c r="D1829" s="754" t="s">
        <v>428</v>
      </c>
      <c r="E1829" s="754" t="s">
        <v>429</v>
      </c>
      <c r="F1829" s="754" t="s">
        <v>430</v>
      </c>
      <c r="G1829" s="753" t="s">
        <v>390</v>
      </c>
      <c r="H1829" s="714"/>
      <c r="I1829" s="714"/>
      <c r="J1829" s="714"/>
      <c r="K1829" s="677"/>
    </row>
    <row r="1830" ht="20.1" customHeight="1" spans="1:11">
      <c r="A1830" s="675"/>
      <c r="B1830" s="755">
        <v>1</v>
      </c>
      <c r="C1830" s="755" t="str">
        <f>IFERROR(VLOOKUP(B1830,DATEWISE!$A$3:$BY$27,2,0),0)</f>
        <v>30.04.2026</v>
      </c>
      <c r="D1830" s="755" t="str">
        <f>IF($C$1830=0,NA(),VLOOKUP($I$1826&amp;$B$1830,FLNFIX!$L$4:$EF$103,2,0))</f>
        <v>Ab</v>
      </c>
      <c r="E1830" s="755" t="str">
        <f>IF($C$1830=0,NA(),VLOOKUP($I$1826&amp;$B$1830,FLNFIX!$L$4:$EF$103,4,0))</f>
        <v>Ab</v>
      </c>
      <c r="F1830" s="755" t="str">
        <f>IF($C$1830=0,NA(),VLOOKUP($I$1826&amp;$B$1830,FLNFIX!$L$4:$EF$103,3,0))</f>
        <v>Ab</v>
      </c>
      <c r="G1830" s="756">
        <f>IF($C$1830=0,NA(),VLOOKUP($I$1826&amp;$B$1830,FLNFIX!$L$4:$EF$103,5,0))</f>
        <v>0</v>
      </c>
      <c r="H1830" s="757"/>
      <c r="I1830" s="757"/>
      <c r="J1830" s="758"/>
      <c r="K1830" s="677"/>
    </row>
    <row r="1831" ht="20.1" customHeight="1" spans="1:11">
      <c r="A1831" s="675"/>
      <c r="B1831" s="755">
        <f t="shared" ref="B1831:B1850" si="33">IF(B1830=0,0,IF(B1830&lt;$B$1829,B1830+1,""))</f>
        <v>2</v>
      </c>
      <c r="C1831" s="755" t="str">
        <f>IFERROR(VLOOKUP(B1831,DATEWISE!$A$3:$BY$27,2,0),0)</f>
        <v>08.05.2026</v>
      </c>
      <c r="D1831" s="755" t="str">
        <f>IF($C$1831=0,NA(),VLOOKUP($I$1826&amp;$B$1831,FLNFIX!$Q$4:$EF$103,2,0))</f>
        <v>Ab</v>
      </c>
      <c r="E1831" s="755" t="str">
        <f>IF($C$1831=0,NA(),VLOOKUP($I$1826&amp;$B$1831,FLNFIX!$Q$4:$EF$103,4,0))</f>
        <v>Ab</v>
      </c>
      <c r="F1831" s="755" t="str">
        <f>IF($C$1831=0,NA(),VLOOKUP($I$1826&amp;$B$1831,FLNFIX!$Q$4:$EF$103,3,0))</f>
        <v>Ab</v>
      </c>
      <c r="G1831" s="756" t="str">
        <f>IF($C$1831=0,NA(),VLOOKUP($I$1826&amp;$B$1831,FLNFIX!$Q$4:$EF$103,5,0))</f>
        <v>-</v>
      </c>
      <c r="H1831" s="757"/>
      <c r="I1831" s="757"/>
      <c r="J1831" s="758"/>
      <c r="K1831" s="677"/>
    </row>
    <row r="1832" ht="20.1" customHeight="1" spans="1:11">
      <c r="A1832" s="675"/>
      <c r="B1832" s="755">
        <f t="shared" si="33"/>
        <v>3</v>
      </c>
      <c r="C1832" s="755" t="str">
        <f>IFERROR(VLOOKUP(B1832,DATEWISE!$A$3:$BY$27,2,0),0)</f>
        <v>15.07.2026</v>
      </c>
      <c r="D1832" s="755" t="str">
        <f>IF($C$1832=0,NA(),VLOOKUP($I$1826&amp;$B$1832,FLNFIX!$V$4:$EF$103,2,0))</f>
        <v>Ab</v>
      </c>
      <c r="E1832" s="755" t="str">
        <f>IF($C$1832=0,NA(),VLOOKUP($I$1826&amp;$B$1832,FLNFIX!$V$4:$EF$103,4,0))</f>
        <v>Ab</v>
      </c>
      <c r="F1832" s="755" t="str">
        <f>IF($C$1832=0,NA(),VLOOKUP($I$1826&amp;$B$1832,FLNFIX!$V$4:$EF$103,3,0))</f>
        <v>Ab</v>
      </c>
      <c r="G1832" s="756" t="str">
        <f>IF($C$1832=0,NA(),VLOOKUP($I$1826&amp;$B$1832,FLNFIX!$V$4:$EF$103,5,0))</f>
        <v>-</v>
      </c>
      <c r="H1832" s="757"/>
      <c r="I1832" s="757"/>
      <c r="J1832" s="758"/>
      <c r="K1832" s="677"/>
    </row>
    <row r="1833" ht="20.1" customHeight="1" spans="1:11">
      <c r="A1833" s="675"/>
      <c r="B1833" s="755">
        <f t="shared" si="33"/>
        <v>4</v>
      </c>
      <c r="C1833" s="755" t="str">
        <f>IFERROR(VLOOKUP(B1833,DATEWISE!$A$3:$BY$27,2,0),0)</f>
        <v>31.07.2026</v>
      </c>
      <c r="D1833" s="755" t="str">
        <f>IF($C$1833=0,NA(),VLOOKUP($I$1826&amp;$B$1833,FLNFIX!$AA$4:$EF$103,2,0))</f>
        <v>Ab</v>
      </c>
      <c r="E1833" s="755" t="str">
        <f>IF($C$1833=0,NA(),VLOOKUP($I$1826&amp;$B$1833,FLNFIX!$AA$4:$EF$103,4,0))</f>
        <v>Ab</v>
      </c>
      <c r="F1833" s="755" t="str">
        <f>IF($C$1833=0,NA(),VLOOKUP($I$1826&amp;$B$1833,FLNFIX!$AA$4:$EF$103,3,0))</f>
        <v>Ab</v>
      </c>
      <c r="G1833" s="756" t="str">
        <f>IF($C$1833=0,NA(),VLOOKUP($I$1826&amp;$B$1833,FLNFIX!$AA$4:$EF$103,5,0))</f>
        <v>-</v>
      </c>
      <c r="H1833" s="757"/>
      <c r="I1833" s="757"/>
      <c r="J1833" s="758"/>
      <c r="K1833" s="677"/>
    </row>
    <row r="1834" ht="20.1" customHeight="1" spans="1:11">
      <c r="A1834" s="675"/>
      <c r="B1834" s="755">
        <f t="shared" si="33"/>
        <v>5</v>
      </c>
      <c r="C1834" s="755" t="str">
        <f>IFERROR(VLOOKUP(B1834,DATEWISE!$A$3:$BY$27,2,0),0)</f>
        <v>17.08.2026</v>
      </c>
      <c r="D1834" s="755" t="str">
        <f>IF($C$1834=0,NA(),VLOOKUP($I$1826&amp;$B$1834,FLNFIX!$AF$4:$EF$103,2,0))</f>
        <v>Ab</v>
      </c>
      <c r="E1834" s="755" t="str">
        <f>IF($C$1834=0,NA(),VLOOKUP($I$1826&amp;$B$1834,FLNFIX!$AF$4:$EF$103,4,0))</f>
        <v>Ab</v>
      </c>
      <c r="F1834" s="755" t="str">
        <f>IF($C$1834=0,NA(),VLOOKUP($I$1826&amp;$B$1834,FLNFIX!$AF$4:$EF$103,3,0))</f>
        <v>Ab</v>
      </c>
      <c r="G1834" s="756">
        <f>IF($C$1834=0,NA(),VLOOKUP($I$1826&amp;$B$1834,FLNFIX!$AF$4:$EF$103,5,0))</f>
        <v>0</v>
      </c>
      <c r="H1834" s="757"/>
      <c r="I1834" s="757"/>
      <c r="J1834" s="758"/>
      <c r="K1834" s="677"/>
    </row>
    <row r="1835" ht="20.1" customHeight="1" spans="1:11">
      <c r="A1835" s="675"/>
      <c r="B1835" s="755">
        <f t="shared" si="33"/>
        <v>6</v>
      </c>
      <c r="C1835" s="755" t="str">
        <f>IFERROR(VLOOKUP(B1835,DATEWISE!$A$3:$BY$27,2,0),0)</f>
        <v>31.08.2026</v>
      </c>
      <c r="D1835" s="755" t="str">
        <f>IF($C$1835=0,NA(),VLOOKUP($I$1826&amp;$B$1835,FLNFIX!$AK$4:$EF$103,2,0))</f>
        <v>Ab</v>
      </c>
      <c r="E1835" s="755" t="str">
        <f>IF($C$1835=0,NA(),VLOOKUP($I$1826&amp;$B$1835,FLNFIX!$AK$4:$EF$103,4,0))</f>
        <v>Ab</v>
      </c>
      <c r="F1835" s="755" t="str">
        <f>IF($C$1835=0,NA(),VLOOKUP($I$1826&amp;$B$1835,FLNFIX!$AK$4:$EF$103,3,0))</f>
        <v>Ab</v>
      </c>
      <c r="G1835" s="756">
        <f>IF($C$1835=0,NA(),VLOOKUP($I$1826&amp;$B$1835,FLNFIX!$AK$4:$EF$103,5,0))</f>
        <v>0</v>
      </c>
      <c r="H1835" s="757"/>
      <c r="I1835" s="757"/>
      <c r="J1835" s="758"/>
      <c r="K1835" s="677"/>
    </row>
    <row r="1836" ht="20.1" customHeight="1" spans="1:11">
      <c r="A1836" s="675"/>
      <c r="B1836" s="755">
        <f t="shared" si="33"/>
        <v>7</v>
      </c>
      <c r="C1836" s="755">
        <f>IFERROR(VLOOKUP(B1836,DATEWISE!$A$3:$BY$27,2,0),0)</f>
        <v>0</v>
      </c>
      <c r="D1836" s="755" t="e">
        <f>IF($C$1836=0,NA(),VLOOKUP($I$1826&amp;$B$1836,FLNFIX!$AP$4:$EF$103,2,0))</f>
        <v>#N/A</v>
      </c>
      <c r="E1836" s="755" t="e">
        <f>IF($C$1836=0,NA(),VLOOKUP($I$1826&amp;$B$1836,FLNFIX!$AP$4:$EF$103,4,0))</f>
        <v>#N/A</v>
      </c>
      <c r="F1836" s="755" t="e">
        <f>IF($C$1836=0,NA(),VLOOKUP($I$1826&amp;$B$1836,FLNFIX!$AP$4:$EF$103,3,0))</f>
        <v>#N/A</v>
      </c>
      <c r="G1836" s="756" t="e">
        <f>IF($C$1836=0,NA(),VLOOKUP($I$1826&amp;$B$1836,FLNFIX!$AP$4:$EF$103,5,0))</f>
        <v>#N/A</v>
      </c>
      <c r="H1836" s="757"/>
      <c r="I1836" s="757"/>
      <c r="J1836" s="758"/>
      <c r="K1836" s="677"/>
    </row>
    <row r="1837" ht="20.1" customHeight="1" spans="1:11">
      <c r="A1837" s="675"/>
      <c r="B1837" s="755">
        <f t="shared" si="33"/>
        <v>8</v>
      </c>
      <c r="C1837" s="755">
        <f>IFERROR(VLOOKUP(B1837,DATEWISE!$A$3:$BY$27,2,0),0)</f>
        <v>0</v>
      </c>
      <c r="D1837" s="755" t="e">
        <f>IF($C$1837=0,NA(),VLOOKUP($I$1826&amp;$B$1837,FLNFIX!$AU$4:$EF$103,2,0))</f>
        <v>#N/A</v>
      </c>
      <c r="E1837" s="755" t="e">
        <f>IF($C$1837=0,NA(),VLOOKUP($I$1826&amp;$B$1837,FLNFIX!$AU$4:$EF$103,4,0))</f>
        <v>#N/A</v>
      </c>
      <c r="F1837" s="755" t="e">
        <f>IF($C$1837=0,NA(),VLOOKUP($I$1826&amp;$B$1837,FLNFIX!$AU$4:$EF$103,3,0))</f>
        <v>#N/A</v>
      </c>
      <c r="G1837" s="756" t="e">
        <f>IF($C$1837=0,NA(),VLOOKUP($I$1826&amp;$B$1837,FLNFIX!$AU$4:$EF$103,5,0))</f>
        <v>#N/A</v>
      </c>
      <c r="H1837" s="757"/>
      <c r="I1837" s="757"/>
      <c r="J1837" s="758"/>
      <c r="K1837" s="677"/>
    </row>
    <row r="1838" ht="20.1" customHeight="1" spans="1:11">
      <c r="A1838" s="675"/>
      <c r="B1838" s="755">
        <f t="shared" si="33"/>
        <v>9</v>
      </c>
      <c r="C1838" s="755">
        <f>IFERROR(VLOOKUP(B1838,DATEWISE!$A$3:$BY$27,2,0),0)</f>
        <v>0</v>
      </c>
      <c r="D1838" s="755" t="e">
        <f>IF($C$1838=0,NA(),VLOOKUP($I$1826&amp;$B$1838,FLNFIX!$AZ$4:$EF$103,2,0))</f>
        <v>#N/A</v>
      </c>
      <c r="E1838" s="755" t="e">
        <f>IF($C$1838=0,NA(),VLOOKUP($I$1826&amp;$B$1838,FLNFIX!$AZ$4:$EF$103,4,0))</f>
        <v>#N/A</v>
      </c>
      <c r="F1838" s="755" t="e">
        <f>IF($C$1838=0,NA(),VLOOKUP($I$1826&amp;$B$1838,FLNFIX!$AZ$4:$EF$103,3,0))</f>
        <v>#N/A</v>
      </c>
      <c r="G1838" s="756" t="e">
        <f>IF($C$1838=0,NA(),VLOOKUP($I$1826&amp;$B$1838,FLNFIX!$AZ$4:$EF$103,5,0))</f>
        <v>#N/A</v>
      </c>
      <c r="H1838" s="757"/>
      <c r="I1838" s="757"/>
      <c r="J1838" s="758"/>
      <c r="K1838" s="677"/>
    </row>
    <row r="1839" ht="20.1" customHeight="1" spans="1:11">
      <c r="A1839" s="675"/>
      <c r="B1839" s="755">
        <f t="shared" si="33"/>
        <v>10</v>
      </c>
      <c r="C1839" s="755">
        <f>IFERROR(VLOOKUP(B1839,DATEWISE!$A$3:$BY$27,2,0),0)</f>
        <v>0</v>
      </c>
      <c r="D1839" s="755" t="e">
        <f>IF($C$1839=0,NA(),VLOOKUP($I$1826&amp;$B$1839,FLNFIX!$BE$4:$EF$103,2,0))</f>
        <v>#N/A</v>
      </c>
      <c r="E1839" s="755" t="e">
        <f>IF($C$1839=0,NA(),VLOOKUP($I$1826&amp;$B$1839,FLNFIX!$BE$4:$EF$103,4,0))</f>
        <v>#N/A</v>
      </c>
      <c r="F1839" s="755" t="e">
        <f>IF($C$1839=0,NA(),VLOOKUP($I$1826&amp;$B$1839,FLNFIX!$BE$4:$EF$103,3,0))</f>
        <v>#N/A</v>
      </c>
      <c r="G1839" s="756" t="e">
        <f>IF($C$1839=0,NA(),VLOOKUP($I$1826&amp;$B$1839,FLNFIX!$BE$4:$EF$103,5,0))</f>
        <v>#N/A</v>
      </c>
      <c r="H1839" s="757"/>
      <c r="I1839" s="757"/>
      <c r="J1839" s="758"/>
      <c r="K1839" s="677"/>
    </row>
    <row r="1840" ht="20.1" customHeight="1" spans="1:11">
      <c r="A1840" s="675"/>
      <c r="B1840" s="755">
        <f t="shared" si="33"/>
        <v>11</v>
      </c>
      <c r="C1840" s="755">
        <f>IFERROR(VLOOKUP(B1840,DATEWISE!$A$3:$BY$27,2,0),0)</f>
        <v>0</v>
      </c>
      <c r="D1840" s="755" t="e">
        <f>IF($C$1840=0,NA(),VLOOKUP($I$1826&amp;$B$1840,FLNFIX!$BJ$4:$EF$103,2,0))</f>
        <v>#N/A</v>
      </c>
      <c r="E1840" s="755" t="e">
        <f>IF($C$1840=0,NA(),VLOOKUP($I$1826&amp;$B$1840,FLNFIX!$BJ$4:$EF$103,4,0))</f>
        <v>#N/A</v>
      </c>
      <c r="F1840" s="755" t="e">
        <f>IF($C$1840=0,NA(),VLOOKUP($I$1826&amp;$B$1840,FLNFIX!$BJ$4:$EF$103,3,0))</f>
        <v>#N/A</v>
      </c>
      <c r="G1840" s="756" t="e">
        <f>IF($C$1840=0,NA(),VLOOKUP($I$1826&amp;$B$1840,FLNFIX!$BJ$4:$EF$103,5,0))</f>
        <v>#N/A</v>
      </c>
      <c r="H1840" s="757"/>
      <c r="I1840" s="757"/>
      <c r="J1840" s="758"/>
      <c r="K1840" s="677"/>
    </row>
    <row r="1841" ht="20.1" customHeight="1" spans="1:11">
      <c r="A1841" s="675"/>
      <c r="B1841" s="755">
        <f t="shared" si="33"/>
        <v>12</v>
      </c>
      <c r="C1841" s="755">
        <f>IFERROR(VLOOKUP(B1841,DATEWISE!$A$3:$BY$27,2,0),0)</f>
        <v>0</v>
      </c>
      <c r="D1841" s="755" t="e">
        <f>IF($C$1841=0,NA(),VLOOKUP($I$1826&amp;$B$1841,FLNFIX!$BO$4:$EF$103,2,0))</f>
        <v>#N/A</v>
      </c>
      <c r="E1841" s="755" t="e">
        <f>IF($C$1841=0,NA(),VLOOKUP($I$1826&amp;$B$1841,FLNFIX!$BO$4:$EF$103,4,0))</f>
        <v>#N/A</v>
      </c>
      <c r="F1841" s="755" t="e">
        <f>IF($C$1841=0,NA(),VLOOKUP($I$1826&amp;$B$1841,FLNFIX!$BO$4:$EF$103,3,0))</f>
        <v>#N/A</v>
      </c>
      <c r="G1841" s="756" t="e">
        <f>IF($C$1841=0,NA(),VLOOKUP($I$1826&amp;$B$1841,FLNFIX!$BO$4:$EF$103,5,0))</f>
        <v>#N/A</v>
      </c>
      <c r="H1841" s="757"/>
      <c r="I1841" s="757"/>
      <c r="J1841" s="758"/>
      <c r="K1841" s="677"/>
    </row>
    <row r="1842" ht="20.1" customHeight="1" spans="1:11">
      <c r="A1842" s="675"/>
      <c r="B1842" s="755">
        <f t="shared" si="33"/>
        <v>13</v>
      </c>
      <c r="C1842" s="755">
        <f>IFERROR(VLOOKUP(B1842,DATEWISE!$A$3:$BY$27,2,0),0)</f>
        <v>0</v>
      </c>
      <c r="D1842" s="755" t="e">
        <f>IF($C$1842=0,NA(),VLOOKUP($I$1826&amp;$B$1842,FLNFIX!$BT$4:$EF$103,2,0))</f>
        <v>#N/A</v>
      </c>
      <c r="E1842" s="755" t="e">
        <f>IF($C$1842=0,NA(),VLOOKUP($I$1826&amp;$B$1842,FLNFIX!$BT$4:$EF$103,4,0))</f>
        <v>#N/A</v>
      </c>
      <c r="F1842" s="755" t="e">
        <f>IF($C$1842=0,NA(),VLOOKUP($I$1826&amp;$B$1842,FLNFIX!$BT$4:$EF$103,3,0))</f>
        <v>#N/A</v>
      </c>
      <c r="G1842" s="756" t="e">
        <f>IF($C$1842=0,NA(),VLOOKUP($I$1826&amp;$B$1842,FLNFIX!$BT$4:$EF$103,5,0))</f>
        <v>#N/A</v>
      </c>
      <c r="H1842" s="757"/>
      <c r="I1842" s="757"/>
      <c r="J1842" s="758"/>
      <c r="K1842" s="677"/>
    </row>
    <row r="1843" ht="20.1" customHeight="1" spans="1:11">
      <c r="A1843" s="675"/>
      <c r="B1843" s="755">
        <f t="shared" si="33"/>
        <v>14</v>
      </c>
      <c r="C1843" s="755">
        <f>IFERROR(VLOOKUP(B1843,DATEWISE!$A$3:$BY$27,2,0),0)</f>
        <v>0</v>
      </c>
      <c r="D1843" s="755" t="e">
        <f>IF($C$1843=0,NA(),VLOOKUP($I$1826&amp;$B$1843,FLNFIX!$BY$4:$EF$103,2,0))</f>
        <v>#N/A</v>
      </c>
      <c r="E1843" s="755" t="e">
        <f>IF($C$1843=0,NA(),VLOOKUP($I$1826&amp;$B$1843,FLNFIX!$BY$4:$EF$103,4,0))</f>
        <v>#N/A</v>
      </c>
      <c r="F1843" s="755" t="e">
        <f>IF($C$1843=0,NA(),VLOOKUP($I$1826&amp;$B$1843,FLNFIX!$BY$4:$EF$103,3,0))</f>
        <v>#N/A</v>
      </c>
      <c r="G1843" s="756" t="e">
        <f>IF($C$1843=0,NA(),VLOOKUP($I$1826&amp;$B$1843,FLNFIX!$BY$4:$EF$103,5,0))</f>
        <v>#N/A</v>
      </c>
      <c r="H1843" s="757"/>
      <c r="I1843" s="757"/>
      <c r="J1843" s="758"/>
      <c r="K1843" s="677"/>
    </row>
    <row r="1844" ht="20.1" customHeight="1" spans="1:11">
      <c r="A1844" s="675"/>
      <c r="B1844" s="755">
        <f t="shared" si="33"/>
        <v>15</v>
      </c>
      <c r="C1844" s="755">
        <f>IFERROR(VLOOKUP(B1844,DATEWISE!$A$3:$BY$27,2,0),0)</f>
        <v>0</v>
      </c>
      <c r="D1844" s="755" t="e">
        <f>IF($C$1844=0,NA(),VLOOKUP($I$1826&amp;$B$1844,FLNFIX!$CD$4:$EF$103,2,0))</f>
        <v>#N/A</v>
      </c>
      <c r="E1844" s="755" t="e">
        <f>IF($C$1844=0,NA(),VLOOKUP($I$1826&amp;$B$1844,FLNFIX!$CD$4:$EF$103,4,0))</f>
        <v>#N/A</v>
      </c>
      <c r="F1844" s="755" t="e">
        <f>IF($C$1844=0,NA(),VLOOKUP($I$1826&amp;$B$1844,FLNFIX!$CD$4:$EF$103,3,0))</f>
        <v>#N/A</v>
      </c>
      <c r="G1844" s="756" t="e">
        <f>IF($C$1844=0,NA(),VLOOKUP($I$1826&amp;$B$1844,FLNFIX!$CD$4:$EF$103,5,0))</f>
        <v>#N/A</v>
      </c>
      <c r="H1844" s="757"/>
      <c r="I1844" s="757"/>
      <c r="J1844" s="758"/>
      <c r="K1844" s="677"/>
    </row>
    <row r="1845" ht="20.1" customHeight="1" spans="1:11">
      <c r="A1845" s="675"/>
      <c r="B1845" s="755">
        <f t="shared" si="33"/>
        <v>16</v>
      </c>
      <c r="C1845" s="755">
        <f>IFERROR(VLOOKUP(B1845,DATEWISE!$A$3:$BY$27,2,0),0)</f>
        <v>0</v>
      </c>
      <c r="D1845" s="755" t="e">
        <f>IF($C$1845=0,NA(),VLOOKUP($I$1826&amp;$B$1845,FLNFIX!$CI$4:$EF$103,2,0))</f>
        <v>#N/A</v>
      </c>
      <c r="E1845" s="755" t="e">
        <f>IF($C$1845=0,NA(),VLOOKUP($I$1826&amp;$B$1845,FLNFIX!$CI$4:$EF$103,4,0))</f>
        <v>#N/A</v>
      </c>
      <c r="F1845" s="755" t="e">
        <f>IF($C$1845=0,NA(),VLOOKUP($I$1826&amp;$B$1845,FLNFIX!$CI$4:$EF$103,3,0))</f>
        <v>#N/A</v>
      </c>
      <c r="G1845" s="756" t="e">
        <f>IF($C$1845=0,NA(),VLOOKUP($I$1826&amp;$B$1845,FLNFIX!$CI$4:$EF$103,5,0))</f>
        <v>#N/A</v>
      </c>
      <c r="H1845" s="757"/>
      <c r="I1845" s="757"/>
      <c r="J1845" s="758"/>
      <c r="K1845" s="677"/>
    </row>
    <row r="1846" ht="20.1" customHeight="1" spans="1:11">
      <c r="A1846" s="675"/>
      <c r="B1846" s="755">
        <f t="shared" si="33"/>
        <v>17</v>
      </c>
      <c r="C1846" s="755">
        <f>IFERROR(VLOOKUP(B1846,DATEWISE!$A$3:$BY$27,2,0),0)</f>
        <v>0</v>
      </c>
      <c r="D1846" s="755" t="e">
        <f>IF($C$1846=0,NA(),VLOOKUP($I$1826&amp;$B$1846,FLNFIX!$CN$4:$EF$103,2,0))</f>
        <v>#N/A</v>
      </c>
      <c r="E1846" s="755" t="e">
        <f>IF($C$1846=0,NA(),VLOOKUP($I$1826&amp;$B$1846,FLNFIX!$CN$4:$EF$103,4,0))</f>
        <v>#N/A</v>
      </c>
      <c r="F1846" s="755" t="e">
        <f>IF($C$1846=0,NA(),VLOOKUP($I$1826&amp;$B$1846,FLNFIX!$CN$4:$EF$103,3,0))</f>
        <v>#N/A</v>
      </c>
      <c r="G1846" s="756" t="e">
        <f>IF($C$1846=0,NA(),VLOOKUP($I$1826&amp;$B$1846,FLNFIX!$CN$4:$EF$103,5,0))</f>
        <v>#N/A</v>
      </c>
      <c r="H1846" s="757"/>
      <c r="I1846" s="757"/>
      <c r="J1846" s="758"/>
      <c r="K1846" s="677"/>
    </row>
    <row r="1847" ht="20.1" customHeight="1" spans="1:11">
      <c r="A1847" s="675"/>
      <c r="B1847" s="755">
        <f t="shared" si="33"/>
        <v>18</v>
      </c>
      <c r="C1847" s="755">
        <f>IFERROR(VLOOKUP(B1847,DATEWISE!$A$3:$BY$27,2,0),0)</f>
        <v>0</v>
      </c>
      <c r="D1847" s="755" t="e">
        <f>IF($C$1847=0,NA(),VLOOKUP($I$1826&amp;$B$1847,FLNFIX!$CS$4:$EF$103,2,0))</f>
        <v>#N/A</v>
      </c>
      <c r="E1847" s="755" t="e">
        <f>IF($C$1847=0,NA(),VLOOKUP($I$1826&amp;$B$1847,FLNFIX!$CS$4:$EF$103,4,0))</f>
        <v>#N/A</v>
      </c>
      <c r="F1847" s="755" t="e">
        <f>IF($C$1847=0,NA(),VLOOKUP($I$1826&amp;$B$1847,FLNFIX!$CS$4:$EF$103,3,0))</f>
        <v>#N/A</v>
      </c>
      <c r="G1847" s="756" t="e">
        <f>IF($C$1847=0,NA(),VLOOKUP($I$1826&amp;$B$1847,FLNFIX!$CS$4:$EF$103,5,0))</f>
        <v>#N/A</v>
      </c>
      <c r="H1847" s="757"/>
      <c r="I1847" s="757"/>
      <c r="J1847" s="758"/>
      <c r="K1847" s="677"/>
    </row>
    <row r="1848" ht="20.1" customHeight="1" spans="1:11">
      <c r="A1848" s="675"/>
      <c r="B1848" s="755">
        <f t="shared" si="33"/>
        <v>19</v>
      </c>
      <c r="C1848" s="755">
        <f>IFERROR(VLOOKUP(B1848,DATEWISE!$A$3:$BY$27,2,0),0)</f>
        <v>0</v>
      </c>
      <c r="D1848" s="755" t="e">
        <f>IF($C$1848=0,NA(),VLOOKUP($I$1826&amp;$B$1848,FLNFIX!$CX$4:$EF$103,2,0))</f>
        <v>#N/A</v>
      </c>
      <c r="E1848" s="755" t="e">
        <f>IF($C$1848=0,NA(),VLOOKUP($I$1826&amp;$B$1848,FLNFIX!$CX$4:$EF$103,4,0))</f>
        <v>#N/A</v>
      </c>
      <c r="F1848" s="755" t="e">
        <f>IF($C$1848=0,NA(),VLOOKUP($I$1826&amp;$B$1848,FLNFIX!$CX$4:$EF$103,3,0))</f>
        <v>#N/A</v>
      </c>
      <c r="G1848" s="756" t="e">
        <f>IF($C$1848=0,NA(),VLOOKUP($I$1826&amp;$B$1848,FLNFIX!$CX$4:$EF$103,5,0))</f>
        <v>#N/A</v>
      </c>
      <c r="H1848" s="757"/>
      <c r="I1848" s="757"/>
      <c r="J1848" s="758"/>
      <c r="K1848" s="677"/>
    </row>
    <row r="1849" ht="20.1" customHeight="1" spans="1:11">
      <c r="A1849" s="675"/>
      <c r="B1849" s="755">
        <f t="shared" si="33"/>
        <v>20</v>
      </c>
      <c r="C1849" s="755">
        <f>IFERROR(VLOOKUP(B1849,DATEWISE!$A$3:$BY$27,2,0),0)</f>
        <v>0</v>
      </c>
      <c r="D1849" s="755" t="e">
        <f>IF($C$1849=0,NA(),VLOOKUP($I$1826&amp;$B$1849,FLNFIX!$DC$4:$EF$103,2,0))</f>
        <v>#N/A</v>
      </c>
      <c r="E1849" s="755" t="e">
        <f>IF($C$1849=0,NA(),VLOOKUP($I$1826&amp;$B$1849,FLNFIX!$DC$4:$EF$103,4,0))</f>
        <v>#N/A</v>
      </c>
      <c r="F1849" s="755" t="e">
        <f>IF($C$1849=0,NA(),VLOOKUP($I$1826&amp;$B$1849,FLNFIX!$DC$4:$EF$103,3,0))</f>
        <v>#N/A</v>
      </c>
      <c r="G1849" s="756" t="e">
        <f>IF($C$1849=0,NA(),VLOOKUP($I$1826&amp;$B$1849,FLNFIX!$DC$4:$EF$103,5,0))</f>
        <v>#N/A</v>
      </c>
      <c r="H1849" s="757"/>
      <c r="I1849" s="757"/>
      <c r="J1849" s="758"/>
      <c r="K1849" s="677"/>
    </row>
    <row r="1850" ht="20.1" customHeight="1" spans="1:11">
      <c r="A1850" s="675"/>
      <c r="B1850" s="755">
        <f t="shared" si="33"/>
        <v>21</v>
      </c>
      <c r="C1850" s="755">
        <f>IFERROR(VLOOKUP(B1850,DATEWISE!$A$3:$BY$27,2,0),0)</f>
        <v>0</v>
      </c>
      <c r="D1850" s="755" t="e">
        <f>IF($C$1850=0,NA(),VLOOKUP($I$1826&amp;$B$1850,FLNFIX!$DH$4:$EF$103,2,0))</f>
        <v>#N/A</v>
      </c>
      <c r="E1850" s="755" t="e">
        <f>IF($C$1850=0,NA(),VLOOKUP($I$1826&amp;$B$1850,FLNFIX!$DH$4:$EF$103,4,0))</f>
        <v>#N/A</v>
      </c>
      <c r="F1850" s="755" t="e">
        <f>IF($C$1850=0,NA(),VLOOKUP($I$1826&amp;$B$1850,FLNFIX!$DH$4:$EF$103,3,0))</f>
        <v>#N/A</v>
      </c>
      <c r="G1850" s="756" t="e">
        <f>IF($C$1850=0,NA(),VLOOKUP($I$1826&amp;$B$1850,FLNFIX!$DH$4:$EF$103,5,0))</f>
        <v>#N/A</v>
      </c>
      <c r="H1850" s="757"/>
      <c r="I1850" s="757"/>
      <c r="J1850" s="758"/>
      <c r="K1850" s="677"/>
    </row>
    <row r="1851" ht="5.1" customHeight="1" spans="1:11">
      <c r="A1851" s="675"/>
      <c r="B1851" s="759"/>
      <c r="C1851" s="759"/>
      <c r="D1851" s="760"/>
      <c r="E1851" s="760"/>
      <c r="F1851" s="760"/>
      <c r="G1851" s="761"/>
      <c r="H1851" s="761"/>
      <c r="I1851" s="761"/>
      <c r="J1851" s="761"/>
      <c r="K1851" s="677"/>
    </row>
    <row r="1852" s="667" customFormat="1" ht="24.95" customHeight="1" spans="1:11">
      <c r="A1852" s="711"/>
      <c r="B1852" s="762" t="s">
        <v>431</v>
      </c>
      <c r="C1852" s="763"/>
      <c r="D1852" s="763"/>
      <c r="E1852" s="763"/>
      <c r="F1852" s="763"/>
      <c r="G1852" s="763"/>
      <c r="H1852" s="763"/>
      <c r="I1852" s="763"/>
      <c r="J1852" s="764"/>
      <c r="K1852" s="713"/>
    </row>
    <row r="1853" spans="1:11">
      <c r="A1853" s="675"/>
      <c r="B1853" s="765"/>
      <c r="C1853" s="686"/>
      <c r="D1853" s="686"/>
      <c r="E1853" s="686"/>
      <c r="F1853" s="686"/>
      <c r="G1853" s="686"/>
      <c r="H1853" s="686"/>
      <c r="I1853" s="686"/>
      <c r="J1853" s="766"/>
      <c r="K1853" s="677"/>
    </row>
    <row r="1854" spans="1:11">
      <c r="A1854" s="675"/>
      <c r="B1854" s="765"/>
      <c r="C1854" s="686"/>
      <c r="D1854" s="686"/>
      <c r="E1854" s="686"/>
      <c r="F1854" s="686"/>
      <c r="G1854" s="686"/>
      <c r="H1854" s="686"/>
      <c r="I1854" s="686"/>
      <c r="J1854" s="766"/>
      <c r="K1854" s="677"/>
    </row>
    <row r="1855" spans="1:11">
      <c r="A1855" s="675"/>
      <c r="B1855" s="765"/>
      <c r="C1855" s="686"/>
      <c r="D1855" s="686"/>
      <c r="E1855" s="686"/>
      <c r="F1855" s="686"/>
      <c r="G1855" s="686"/>
      <c r="H1855" s="686"/>
      <c r="I1855" s="686"/>
      <c r="J1855" s="766"/>
      <c r="K1855" s="677"/>
    </row>
    <row r="1856" spans="1:11">
      <c r="A1856" s="675"/>
      <c r="B1856" s="765"/>
      <c r="C1856" s="686"/>
      <c r="D1856" s="686"/>
      <c r="E1856" s="686"/>
      <c r="F1856" s="686"/>
      <c r="G1856" s="686"/>
      <c r="H1856" s="686"/>
      <c r="I1856" s="686"/>
      <c r="J1856" s="766"/>
      <c r="K1856" s="677"/>
    </row>
    <row r="1857" spans="1:11">
      <c r="A1857" s="675"/>
      <c r="B1857" s="765"/>
      <c r="C1857" s="686"/>
      <c r="D1857" s="686"/>
      <c r="E1857" s="686"/>
      <c r="F1857" s="686"/>
      <c r="G1857" s="686"/>
      <c r="H1857" s="686"/>
      <c r="I1857" s="686"/>
      <c r="J1857" s="766"/>
      <c r="K1857" s="677"/>
    </row>
    <row r="1858" spans="1:11">
      <c r="A1858" s="675"/>
      <c r="B1858" s="765"/>
      <c r="C1858" s="686"/>
      <c r="D1858" s="686"/>
      <c r="E1858" s="686"/>
      <c r="F1858" s="686"/>
      <c r="G1858" s="686"/>
      <c r="H1858" s="686"/>
      <c r="I1858" s="686"/>
      <c r="J1858" s="766"/>
      <c r="K1858" s="677"/>
    </row>
    <row r="1859" spans="1:11">
      <c r="A1859" s="675"/>
      <c r="B1859" s="765"/>
      <c r="C1859" s="686"/>
      <c r="D1859" s="686"/>
      <c r="E1859" s="686"/>
      <c r="F1859" s="686"/>
      <c r="G1859" s="686"/>
      <c r="H1859" s="686"/>
      <c r="I1859" s="686"/>
      <c r="J1859" s="766"/>
      <c r="K1859" s="677"/>
    </row>
    <row r="1860" spans="1:11">
      <c r="A1860" s="675"/>
      <c r="B1860" s="765"/>
      <c r="C1860" s="686"/>
      <c r="D1860" s="686"/>
      <c r="E1860" s="686"/>
      <c r="F1860" s="686"/>
      <c r="G1860" s="686"/>
      <c r="H1860" s="686"/>
      <c r="I1860" s="686"/>
      <c r="J1860" s="766"/>
      <c r="K1860" s="677"/>
    </row>
    <row r="1861" spans="1:11">
      <c r="A1861" s="675"/>
      <c r="B1861" s="765"/>
      <c r="C1861" s="686"/>
      <c r="D1861" s="686"/>
      <c r="E1861" s="686"/>
      <c r="F1861" s="686"/>
      <c r="G1861" s="686"/>
      <c r="H1861" s="686"/>
      <c r="I1861" s="686"/>
      <c r="J1861" s="766"/>
      <c r="K1861" s="677"/>
    </row>
    <row r="1862" spans="1:11">
      <c r="A1862" s="675"/>
      <c r="B1862" s="767"/>
      <c r="C1862" s="768"/>
      <c r="D1862" s="768"/>
      <c r="E1862" s="768"/>
      <c r="F1862" s="768"/>
      <c r="G1862" s="768"/>
      <c r="H1862" s="768"/>
      <c r="I1862" s="768"/>
      <c r="J1862" s="769"/>
      <c r="K1862" s="677"/>
    </row>
    <row r="1863" ht="5.1" customHeight="1" spans="1:11">
      <c r="A1863" s="675"/>
      <c r="B1863" s="686"/>
      <c r="C1863" s="686"/>
      <c r="D1863" s="686"/>
      <c r="E1863" s="686"/>
      <c r="F1863" s="686"/>
      <c r="G1863" s="686"/>
      <c r="H1863" s="686"/>
      <c r="I1863" s="686"/>
      <c r="J1863" s="686"/>
      <c r="K1863" s="677"/>
    </row>
    <row r="1864" spans="1:11">
      <c r="A1864" s="675"/>
      <c r="B1864" s="770" t="s">
        <v>432</v>
      </c>
      <c r="C1864" s="770"/>
      <c r="D1864" s="770"/>
      <c r="E1864" s="770"/>
      <c r="F1864" s="770"/>
      <c r="G1864" s="770"/>
      <c r="H1864" s="770"/>
      <c r="I1864" s="770"/>
      <c r="J1864" s="770"/>
      <c r="K1864" s="677"/>
    </row>
    <row r="1865" spans="1:11">
      <c r="A1865" s="675"/>
      <c r="B1865" s="771"/>
      <c r="C1865" s="771"/>
      <c r="D1865" s="771"/>
      <c r="E1865" s="771"/>
      <c r="F1865" s="771"/>
      <c r="G1865" s="771"/>
      <c r="H1865" s="771"/>
      <c r="I1865" s="771"/>
      <c r="J1865" s="771"/>
      <c r="K1865" s="677"/>
    </row>
    <row r="1866" spans="1:11">
      <c r="A1866" s="675"/>
      <c r="B1866" s="771"/>
      <c r="C1866" s="771"/>
      <c r="D1866" s="771"/>
      <c r="E1866" s="771"/>
      <c r="F1866" s="771"/>
      <c r="G1866" s="771"/>
      <c r="H1866" s="771"/>
      <c r="I1866" s="771"/>
      <c r="J1866" s="771"/>
      <c r="K1866" s="677"/>
    </row>
    <row r="1867" spans="1:11">
      <c r="A1867" s="675"/>
      <c r="B1867" s="771"/>
      <c r="C1867" s="771"/>
      <c r="D1867" s="771"/>
      <c r="E1867" s="771"/>
      <c r="F1867" s="771"/>
      <c r="G1867" s="771"/>
      <c r="H1867" s="771"/>
      <c r="I1867" s="771"/>
      <c r="J1867" s="771"/>
      <c r="K1867" s="677"/>
    </row>
    <row r="1868" spans="1:11">
      <c r="A1868" s="675"/>
      <c r="B1868" s="686"/>
      <c r="C1868" s="686"/>
      <c r="D1868" s="686"/>
      <c r="E1868" s="686"/>
      <c r="F1868" s="686"/>
      <c r="G1868" s="686"/>
      <c r="H1868" s="686"/>
      <c r="I1868" s="686"/>
      <c r="J1868" s="686"/>
      <c r="K1868" s="677"/>
    </row>
    <row r="1869" spans="1:11">
      <c r="A1869" s="675"/>
      <c r="B1869" s="686"/>
      <c r="C1869" s="729" t="s">
        <v>433</v>
      </c>
      <c r="D1869" s="729"/>
      <c r="E1869" s="686"/>
      <c r="F1869" s="686"/>
      <c r="G1869" s="729" t="s">
        <v>434</v>
      </c>
      <c r="H1869" s="729"/>
      <c r="I1869" s="729"/>
      <c r="J1869" s="729"/>
      <c r="K1869" s="677"/>
    </row>
    <row r="1870" ht="16.35" spans="1:11">
      <c r="A1870" s="725"/>
      <c r="B1870" s="726"/>
      <c r="C1870" s="732" t="str">
        <f>"("&amp;PROPER(ENTRY!$D$19)&amp;")"</f>
        <v>(Indrajeet)</v>
      </c>
      <c r="D1870" s="732"/>
      <c r="E1870" s="726"/>
      <c r="F1870" s="726"/>
      <c r="G1870" s="732" t="str">
        <f>"("&amp;PROPER(ENTRY!$D$12)&amp;")"</f>
        <v>(Shambhu Dayal Meena)</v>
      </c>
      <c r="H1870" s="732"/>
      <c r="I1870" s="732"/>
      <c r="J1870" s="732"/>
      <c r="K1870" s="728"/>
    </row>
    <row r="1871" ht="24.6" spans="1:11">
      <c r="B1871" s="734"/>
      <c r="C1871" s="734"/>
      <c r="D1871" s="669" t="str">
        <f>ENTRY!$D$3</f>
        <v>MUNICIPAL CORPORATION OF DELHI</v>
      </c>
      <c r="E1871" s="669"/>
      <c r="F1871" s="669"/>
      <c r="G1871" s="669"/>
      <c r="H1871" s="734"/>
      <c r="I1871" s="669"/>
      <c r="J1871" s="669"/>
    </row>
    <row r="1872" ht="20.4" spans="1:11">
      <c r="B1872" s="735"/>
      <c r="C1872" s="735"/>
      <c r="D1872" s="670" t="str">
        <f>ENTRY!$D$4</f>
        <v>EDUCATION DEPARTMENT</v>
      </c>
      <c r="E1872" s="670"/>
      <c r="F1872" s="670"/>
      <c r="G1872" s="670"/>
      <c r="H1872" s="735"/>
      <c r="I1872" s="669"/>
      <c r="J1872" s="669"/>
    </row>
    <row r="1873" ht="22.8" spans="1:11">
      <c r="B1873" s="736"/>
      <c r="C1873" s="736"/>
      <c r="D1873" s="664" t="s">
        <v>417</v>
      </c>
      <c r="E1873" s="664"/>
      <c r="F1873" s="664"/>
      <c r="G1873" s="664"/>
      <c r="H1873" s="736"/>
      <c r="I1873" s="669"/>
      <c r="J1873" s="669"/>
    </row>
    <row r="1874" ht="22.8" spans="1:11">
      <c r="B1874" s="736"/>
      <c r="C1874" s="736"/>
      <c r="D1874" s="664" t="s">
        <v>418</v>
      </c>
      <c r="E1874" s="664"/>
      <c r="F1874" s="664"/>
      <c r="G1874" s="664"/>
      <c r="H1874" s="736"/>
      <c r="I1874" s="669"/>
      <c r="J1874" s="669"/>
    </row>
    <row r="1875" ht="24.95" customHeight="1" spans="1:11">
      <c r="B1875" s="735"/>
      <c r="C1875" s="735"/>
      <c r="D1875" s="737" t="str">
        <f>"SESSION : "&amp;ENTRY!$D$11</f>
        <v>SESSION : 2026-27</v>
      </c>
      <c r="E1875" s="737"/>
      <c r="F1875" s="737"/>
      <c r="G1875" s="737"/>
      <c r="H1875" s="735"/>
      <c r="I1875" s="738"/>
      <c r="J1875" s="738"/>
    </row>
    <row r="1876" ht="3.75" customHeight="1" spans="1:11">
      <c r="A1876" s="672"/>
      <c r="B1876" s="739"/>
      <c r="C1876" s="739"/>
      <c r="D1876" s="739"/>
      <c r="E1876" s="739"/>
      <c r="F1876" s="739"/>
      <c r="G1876" s="739"/>
      <c r="H1876" s="739"/>
      <c r="I1876" s="739"/>
      <c r="J1876" s="739"/>
      <c r="K1876" s="674"/>
    </row>
    <row r="1877" ht="21.95" customHeight="1" spans="1:11">
      <c r="A1877" s="675"/>
      <c r="B1877" s="676" t="s">
        <v>419</v>
      </c>
      <c r="C1877" s="676"/>
      <c r="D1877" s="676" t="str">
        <f>ENTRY!$D$6</f>
        <v>MCP NITHARI NO 1 BOYS</v>
      </c>
      <c r="E1877" s="676"/>
      <c r="F1877" s="676"/>
      <c r="G1877" s="676"/>
      <c r="H1877" s="676"/>
      <c r="I1877" s="676"/>
      <c r="J1877" s="676"/>
      <c r="K1877" s="677"/>
    </row>
    <row r="1878" ht="21.95" customHeight="1" spans="1:11">
      <c r="A1878" s="675"/>
      <c r="B1878" s="676" t="s">
        <v>420</v>
      </c>
      <c r="C1878" s="676"/>
      <c r="D1878" s="740" t="str">
        <f>IFERROR(VLOOKUP($I$1881,STUDENT!$A$2:$BP$101,5,0),"")</f>
        <v>NIKHIL KUMAR</v>
      </c>
      <c r="E1878" s="740"/>
      <c r="F1878" s="740"/>
      <c r="G1878" s="740"/>
      <c r="H1878" s="740"/>
      <c r="I1878" s="740"/>
      <c r="J1878" s="740"/>
      <c r="K1878" s="677"/>
    </row>
    <row r="1879" ht="21.95" customHeight="1" spans="1:11">
      <c r="A1879" s="675"/>
      <c r="B1879" s="676" t="s">
        <v>421</v>
      </c>
      <c r="C1879" s="676"/>
      <c r="D1879" s="740" t="str">
        <f>IFERROR(VLOOKUP($I$1881,STUDENT!$A$2:$BP$101,8,0),"")</f>
        <v>SUNIL KUMAR</v>
      </c>
      <c r="E1879" s="740"/>
      <c r="F1879" s="740"/>
      <c r="G1879" s="740"/>
      <c r="H1879" s="740"/>
      <c r="I1879" s="740"/>
      <c r="J1879" s="740"/>
      <c r="K1879" s="677"/>
    </row>
    <row r="1880" ht="21.95" customHeight="1" spans="1:11">
      <c r="A1880" s="675"/>
      <c r="B1880" s="676" t="s">
        <v>422</v>
      </c>
      <c r="C1880" s="676"/>
      <c r="D1880" s="740">
        <f>IFERROR(VLOOKUP($I$1881,STUDENT!$A$2:$BP$101,6,0),"")</f>
        <v>15104</v>
      </c>
      <c r="E1880" s="740"/>
      <c r="F1880" s="740"/>
      <c r="G1880" s="740"/>
      <c r="H1880" s="740"/>
      <c r="I1880" s="740"/>
      <c r="J1880" s="740"/>
      <c r="K1880" s="677"/>
    </row>
    <row r="1881" ht="21.95" customHeight="1" spans="1:11">
      <c r="A1881" s="675"/>
      <c r="B1881" s="676" t="s">
        <v>423</v>
      </c>
      <c r="C1881" s="676"/>
      <c r="D1881" s="741" t="str">
        <f>IFERROR(VLOOKUP($I$1881,STUDENT!$A$2:$BP$101,59,0),"")</f>
        <v/>
      </c>
      <c r="E1881" s="742" t="s">
        <v>424</v>
      </c>
      <c r="F1881" s="704" t="str">
        <f>IFERROR(VLOOKUP($I$1881,STUDENT!$A$2:$BP$101,2,0),"")</f>
        <v>III-A</v>
      </c>
      <c r="G1881" s="742" t="s">
        <v>425</v>
      </c>
      <c r="H1881" s="743"/>
      <c r="I1881" s="733">
        <f>I1826+1</f>
        <v>35</v>
      </c>
      <c r="J1881" s="683"/>
      <c r="K1881" s="677"/>
    </row>
    <row r="1882" ht="5.1" customHeight="1" spans="1:11">
      <c r="A1882" s="675"/>
      <c r="B1882" s="745"/>
      <c r="C1882" s="745"/>
      <c r="D1882" s="746"/>
      <c r="E1882" s="747"/>
      <c r="F1882" s="748"/>
      <c r="G1882" s="747"/>
      <c r="H1882" s="686"/>
      <c r="I1882" s="686"/>
      <c r="J1882" s="686"/>
      <c r="K1882" s="677"/>
    </row>
    <row r="1883" s="664" customFormat="1" ht="32.1" customHeight="1" spans="1:11">
      <c r="A1883" s="688"/>
      <c r="B1883" s="749" t="s">
        <v>426</v>
      </c>
      <c r="C1883" s="750"/>
      <c r="D1883" s="750"/>
      <c r="E1883" s="750"/>
      <c r="F1883" s="750"/>
      <c r="G1883" s="750"/>
      <c r="H1883" s="750"/>
      <c r="I1883" s="750"/>
      <c r="J1883" s="751"/>
      <c r="K1883" s="690"/>
    </row>
    <row r="1884" ht="51.6" spans="1:11">
      <c r="A1884" s="675"/>
      <c r="B1884" s="752">
        <v>21</v>
      </c>
      <c r="C1884" s="753" t="s">
        <v>427</v>
      </c>
      <c r="D1884" s="754" t="s">
        <v>428</v>
      </c>
      <c r="E1884" s="754" t="s">
        <v>429</v>
      </c>
      <c r="F1884" s="754" t="s">
        <v>430</v>
      </c>
      <c r="G1884" s="753" t="s">
        <v>390</v>
      </c>
      <c r="H1884" s="714"/>
      <c r="I1884" s="714"/>
      <c r="J1884" s="714"/>
      <c r="K1884" s="677"/>
    </row>
    <row r="1885" ht="20.1" customHeight="1" spans="1:11">
      <c r="A1885" s="675"/>
      <c r="B1885" s="755">
        <v>1</v>
      </c>
      <c r="C1885" s="755" t="str">
        <f>IFERROR(VLOOKUP(B1885,DATEWISE!$A$3:$BY$27,2,0),0)</f>
        <v>30.04.2026</v>
      </c>
      <c r="D1885" s="755">
        <f>IF($C$1885=0,NA(),VLOOKUP($I$1881&amp;$B$1885,FLNFIX!$L$4:$EF$103,2,0))</f>
        <v>2</v>
      </c>
      <c r="E1885" s="755">
        <f>IF($C$1885=0,NA(),VLOOKUP($I$1881&amp;$B$1885,FLNFIX!$L$4:$EF$103,4,0))</f>
        <v>3</v>
      </c>
      <c r="F1885" s="755">
        <f>IF($C$1885=0,NA(),VLOOKUP($I$1881&amp;$B$1885,FLNFIX!$L$4:$EF$103,3,0))</f>
        <v>2</v>
      </c>
      <c r="G1885" s="756">
        <f>IF($C$1885=0,NA(),VLOOKUP($I$1881&amp;$B$1885,FLNFIX!$L$4:$EF$103,5,0))</f>
        <v>0</v>
      </c>
      <c r="H1885" s="757"/>
      <c r="I1885" s="757"/>
      <c r="J1885" s="758"/>
      <c r="K1885" s="677"/>
    </row>
    <row r="1886" ht="20.1" customHeight="1" spans="1:11">
      <c r="A1886" s="675"/>
      <c r="B1886" s="755">
        <f t="shared" ref="B1886:B1905" si="34">IF(B1885=0,0,IF(B1885&lt;$B$1884,B1885+1,""))</f>
        <v>2</v>
      </c>
      <c r="C1886" s="755" t="str">
        <f>IFERROR(VLOOKUP(B1886,DATEWISE!$A$3:$BY$27,2,0),0)</f>
        <v>08.05.2026</v>
      </c>
      <c r="D1886" s="755">
        <f>IF($C$1886=0,NA(),VLOOKUP($I$1881&amp;$B$1886,FLNFIX!$Q$4:$EF$103,2,0))</f>
        <v>2</v>
      </c>
      <c r="E1886" s="755">
        <f>IF($C$1886=0,NA(),VLOOKUP($I$1881&amp;$B$1886,FLNFIX!$Q$4:$EF$103,4,0))</f>
        <v>3</v>
      </c>
      <c r="F1886" s="755">
        <f>IF($C$1886=0,NA(),VLOOKUP($I$1881&amp;$B$1886,FLNFIX!$Q$4:$EF$103,3,0))</f>
        <v>2</v>
      </c>
      <c r="G1886" s="756" t="str">
        <f>IF($C$1886=0,NA(),VLOOKUP($I$1881&amp;$B$1886,FLNFIX!$Q$4:$EF$103,5,0))</f>
        <v>-</v>
      </c>
      <c r="H1886" s="757"/>
      <c r="I1886" s="757"/>
      <c r="J1886" s="758"/>
      <c r="K1886" s="677"/>
    </row>
    <row r="1887" ht="20.1" customHeight="1" spans="1:11">
      <c r="A1887" s="675"/>
      <c r="B1887" s="755">
        <f t="shared" si="34"/>
        <v>3</v>
      </c>
      <c r="C1887" s="755" t="str">
        <f>IFERROR(VLOOKUP(B1887,DATEWISE!$A$3:$BY$27,2,0),0)</f>
        <v>15.07.2026</v>
      </c>
      <c r="D1887" s="755">
        <f>IF($C$1887=0,NA(),VLOOKUP($I$1881&amp;$B$1887,FLNFIX!$V$4:$EF$103,2,0))</f>
        <v>2</v>
      </c>
      <c r="E1887" s="755">
        <f>IF($C$1887=0,NA(),VLOOKUP($I$1881&amp;$B$1887,FLNFIX!$V$4:$EF$103,4,0))</f>
        <v>3</v>
      </c>
      <c r="F1887" s="755">
        <f>IF($C$1887=0,NA(),VLOOKUP($I$1881&amp;$B$1887,FLNFIX!$V$4:$EF$103,3,0))</f>
        <v>2</v>
      </c>
      <c r="G1887" s="756" t="str">
        <f>IF($C$1887=0,NA(),VLOOKUP($I$1881&amp;$B$1887,FLNFIX!$V$4:$EF$103,5,0))</f>
        <v>-</v>
      </c>
      <c r="H1887" s="757"/>
      <c r="I1887" s="757"/>
      <c r="J1887" s="758"/>
      <c r="K1887" s="677"/>
    </row>
    <row r="1888" ht="20.1" customHeight="1" spans="1:11">
      <c r="A1888" s="675"/>
      <c r="B1888" s="755">
        <f t="shared" si="34"/>
        <v>4</v>
      </c>
      <c r="C1888" s="755" t="str">
        <f>IFERROR(VLOOKUP(B1888,DATEWISE!$A$3:$BY$27,2,0),0)</f>
        <v>31.07.2026</v>
      </c>
      <c r="D1888" s="755">
        <f>IF($C$1888=0,NA(),VLOOKUP($I$1881&amp;$B$1888,FLNFIX!$AA$4:$EF$103,2,0))</f>
        <v>2</v>
      </c>
      <c r="E1888" s="755">
        <f>IF($C$1888=0,NA(),VLOOKUP($I$1881&amp;$B$1888,FLNFIX!$AA$4:$EF$103,4,0))</f>
        <v>3</v>
      </c>
      <c r="F1888" s="755">
        <f>IF($C$1888=0,NA(),VLOOKUP($I$1881&amp;$B$1888,FLNFIX!$AA$4:$EF$103,3,0))</f>
        <v>2</v>
      </c>
      <c r="G1888" s="756" t="str">
        <f>IF($C$1888=0,NA(),VLOOKUP($I$1881&amp;$B$1888,FLNFIX!$AA$4:$EF$103,5,0))</f>
        <v>-</v>
      </c>
      <c r="H1888" s="757"/>
      <c r="I1888" s="757"/>
      <c r="J1888" s="758"/>
      <c r="K1888" s="677"/>
    </row>
    <row r="1889" ht="20.1" customHeight="1" spans="1:11">
      <c r="A1889" s="675"/>
      <c r="B1889" s="755">
        <f t="shared" si="34"/>
        <v>5</v>
      </c>
      <c r="C1889" s="755" t="str">
        <f>IFERROR(VLOOKUP(B1889,DATEWISE!$A$3:$BY$27,2,0),0)</f>
        <v>17.08.2026</v>
      </c>
      <c r="D1889" s="755">
        <f>IF($C$1889=0,NA(),VLOOKUP($I$1881&amp;$B$1889,FLNFIX!$AF$4:$EF$103,2,0))</f>
        <v>2</v>
      </c>
      <c r="E1889" s="755">
        <f>IF($C$1889=0,NA(),VLOOKUP($I$1881&amp;$B$1889,FLNFIX!$AF$4:$EF$103,4,0))</f>
        <v>3</v>
      </c>
      <c r="F1889" s="755">
        <f>IF($C$1889=0,NA(),VLOOKUP($I$1881&amp;$B$1889,FLNFIX!$AF$4:$EF$103,3,0))</f>
        <v>2</v>
      </c>
      <c r="G1889" s="756">
        <f>IF($C$1889=0,NA(),VLOOKUP($I$1881&amp;$B$1889,FLNFIX!$AF$4:$EF$103,5,0))</f>
        <v>0</v>
      </c>
      <c r="H1889" s="757"/>
      <c r="I1889" s="757"/>
      <c r="J1889" s="758"/>
      <c r="K1889" s="677"/>
    </row>
    <row r="1890" ht="20.1" customHeight="1" spans="1:11">
      <c r="A1890" s="675"/>
      <c r="B1890" s="755">
        <f t="shared" si="34"/>
        <v>6</v>
      </c>
      <c r="C1890" s="755" t="str">
        <f>IFERROR(VLOOKUP(B1890,DATEWISE!$A$3:$BY$27,2,0),0)</f>
        <v>31.08.2026</v>
      </c>
      <c r="D1890" s="755">
        <f>IF($C$1890=0,NA(),VLOOKUP($I$1881&amp;$B$1890,FLNFIX!$AK$4:$EF$103,2,0))</f>
        <v>2</v>
      </c>
      <c r="E1890" s="755">
        <f>IF($C$1890=0,NA(),VLOOKUP($I$1881&amp;$B$1890,FLNFIX!$AK$4:$EF$103,4,0))</f>
        <v>3</v>
      </c>
      <c r="F1890" s="755">
        <f>IF($C$1890=0,NA(),VLOOKUP($I$1881&amp;$B$1890,FLNFIX!$AK$4:$EF$103,3,0))</f>
        <v>2</v>
      </c>
      <c r="G1890" s="756">
        <f>IF($C$1890=0,NA(),VLOOKUP($I$1881&amp;$B$1890,FLNFIX!$AK$4:$EF$103,5,0))</f>
        <v>0</v>
      </c>
      <c r="H1890" s="757"/>
      <c r="I1890" s="757"/>
      <c r="J1890" s="758"/>
      <c r="K1890" s="677"/>
    </row>
    <row r="1891" ht="20.1" customHeight="1" spans="1:11">
      <c r="A1891" s="675"/>
      <c r="B1891" s="755">
        <f t="shared" si="34"/>
        <v>7</v>
      </c>
      <c r="C1891" s="755">
        <f>IFERROR(VLOOKUP(B1891,DATEWISE!$A$3:$BY$27,2,0),0)</f>
        <v>0</v>
      </c>
      <c r="D1891" s="755" t="e">
        <f>IF($C$1891=0,NA(),VLOOKUP($I$1881&amp;$B$1891,FLNFIX!$AP$4:$EF$103,2,0))</f>
        <v>#N/A</v>
      </c>
      <c r="E1891" s="755" t="e">
        <f>IF($C$1891=0,NA(),VLOOKUP($I$1881&amp;$B$1891,FLNFIX!$AP$4:$EF$103,4,0))</f>
        <v>#N/A</v>
      </c>
      <c r="F1891" s="755" t="e">
        <f>IF($C$1891=0,NA(),VLOOKUP($I$1881&amp;$B$1891,FLNFIX!$AP$4:$EF$103,3,0))</f>
        <v>#N/A</v>
      </c>
      <c r="G1891" s="756" t="e">
        <f>IF($C$1891=0,NA(),VLOOKUP($I$1881&amp;$B$1891,FLNFIX!$AP$4:$EF$103,5,0))</f>
        <v>#N/A</v>
      </c>
      <c r="H1891" s="757"/>
      <c r="I1891" s="757"/>
      <c r="J1891" s="758"/>
      <c r="K1891" s="677"/>
    </row>
    <row r="1892" ht="20.1" customHeight="1" spans="1:11">
      <c r="A1892" s="675"/>
      <c r="B1892" s="755">
        <f t="shared" si="34"/>
        <v>8</v>
      </c>
      <c r="C1892" s="755">
        <f>IFERROR(VLOOKUP(B1892,DATEWISE!$A$3:$BY$27,2,0),0)</f>
        <v>0</v>
      </c>
      <c r="D1892" s="755" t="e">
        <f>IF($C$1892=0,NA(),VLOOKUP($I$1881&amp;$B$1892,FLNFIX!$AU$4:$EF$103,2,0))</f>
        <v>#N/A</v>
      </c>
      <c r="E1892" s="755" t="e">
        <f>IF($C$1892=0,NA(),VLOOKUP($I$1881&amp;$B$1892,FLNFIX!$AU$4:$EF$103,4,0))</f>
        <v>#N/A</v>
      </c>
      <c r="F1892" s="755" t="e">
        <f>IF($C$1892=0,NA(),VLOOKUP($I$1881&amp;$B$1892,FLNFIX!$AU$4:$EF$103,3,0))</f>
        <v>#N/A</v>
      </c>
      <c r="G1892" s="756" t="e">
        <f>IF($C$1892=0,NA(),VLOOKUP($I$1881&amp;$B$1892,FLNFIX!$AU$4:$EF$103,5,0))</f>
        <v>#N/A</v>
      </c>
      <c r="H1892" s="757"/>
      <c r="I1892" s="757"/>
      <c r="J1892" s="758"/>
      <c r="K1892" s="677"/>
    </row>
    <row r="1893" ht="20.1" customHeight="1" spans="1:11">
      <c r="A1893" s="675"/>
      <c r="B1893" s="755">
        <f t="shared" si="34"/>
        <v>9</v>
      </c>
      <c r="C1893" s="755">
        <f>IFERROR(VLOOKUP(B1893,DATEWISE!$A$3:$BY$27,2,0),0)</f>
        <v>0</v>
      </c>
      <c r="D1893" s="755" t="e">
        <f>IF($C$1893=0,NA(),VLOOKUP($I$1881&amp;$B$1893,FLNFIX!$AZ$4:$EF$103,2,0))</f>
        <v>#N/A</v>
      </c>
      <c r="E1893" s="755" t="e">
        <f>IF($C$1893=0,NA(),VLOOKUP($I$1881&amp;$B$1893,FLNFIX!$AZ$4:$EF$103,4,0))</f>
        <v>#N/A</v>
      </c>
      <c r="F1893" s="755" t="e">
        <f>IF($C$1893=0,NA(),VLOOKUP($I$1881&amp;$B$1893,FLNFIX!$AZ$4:$EF$103,3,0))</f>
        <v>#N/A</v>
      </c>
      <c r="G1893" s="756" t="e">
        <f>IF($C$1893=0,NA(),VLOOKUP($I$1881&amp;$B$1893,FLNFIX!$AZ$4:$EF$103,5,0))</f>
        <v>#N/A</v>
      </c>
      <c r="H1893" s="757"/>
      <c r="I1893" s="757"/>
      <c r="J1893" s="758"/>
      <c r="K1893" s="677"/>
    </row>
    <row r="1894" ht="20.1" customHeight="1" spans="1:11">
      <c r="A1894" s="675"/>
      <c r="B1894" s="755">
        <f t="shared" si="34"/>
        <v>10</v>
      </c>
      <c r="C1894" s="755">
        <f>IFERROR(VLOOKUP(B1894,DATEWISE!$A$3:$BY$27,2,0),0)</f>
        <v>0</v>
      </c>
      <c r="D1894" s="755" t="e">
        <f>IF($C$1894=0,NA(),VLOOKUP($I$1881&amp;$B$1894,FLNFIX!$BE$4:$EF$103,2,0))</f>
        <v>#N/A</v>
      </c>
      <c r="E1894" s="755" t="e">
        <f>IF($C$1894=0,NA(),VLOOKUP($I$1881&amp;$B$1894,FLNFIX!$BE$4:$EF$103,4,0))</f>
        <v>#N/A</v>
      </c>
      <c r="F1894" s="755" t="e">
        <f>IF($C$1894=0,NA(),VLOOKUP($I$1881&amp;$B$1894,FLNFIX!$BE$4:$EF$103,3,0))</f>
        <v>#N/A</v>
      </c>
      <c r="G1894" s="756" t="e">
        <f>IF($C$1894=0,NA(),VLOOKUP($I$1881&amp;$B$1894,FLNFIX!$BE$4:$EF$103,5,0))</f>
        <v>#N/A</v>
      </c>
      <c r="H1894" s="757"/>
      <c r="I1894" s="757"/>
      <c r="J1894" s="758"/>
      <c r="K1894" s="677"/>
    </row>
    <row r="1895" ht="20.1" customHeight="1" spans="1:11">
      <c r="A1895" s="675"/>
      <c r="B1895" s="755">
        <f t="shared" si="34"/>
        <v>11</v>
      </c>
      <c r="C1895" s="755">
        <f>IFERROR(VLOOKUP(B1895,DATEWISE!$A$3:$BY$27,2,0),0)</f>
        <v>0</v>
      </c>
      <c r="D1895" s="755" t="e">
        <f>IF($C$1895=0,NA(),VLOOKUP($I$1881&amp;$B$1895,FLNFIX!$BJ$4:$EF$103,2,0))</f>
        <v>#N/A</v>
      </c>
      <c r="E1895" s="755" t="e">
        <f>IF($C$1895=0,NA(),VLOOKUP($I$1881&amp;$B$1895,FLNFIX!$BJ$4:$EF$103,4,0))</f>
        <v>#N/A</v>
      </c>
      <c r="F1895" s="755" t="e">
        <f>IF($C$1895=0,NA(),VLOOKUP($I$1881&amp;$B$1895,FLNFIX!$BJ$4:$EF$103,3,0))</f>
        <v>#N/A</v>
      </c>
      <c r="G1895" s="756" t="e">
        <f>IF($C$1895=0,NA(),VLOOKUP($I$1881&amp;$B$1895,FLNFIX!$BJ$4:$EF$103,5,0))</f>
        <v>#N/A</v>
      </c>
      <c r="H1895" s="757"/>
      <c r="I1895" s="757"/>
      <c r="J1895" s="758"/>
      <c r="K1895" s="677"/>
    </row>
    <row r="1896" ht="20.1" customHeight="1" spans="1:11">
      <c r="A1896" s="675"/>
      <c r="B1896" s="755">
        <f t="shared" si="34"/>
        <v>12</v>
      </c>
      <c r="C1896" s="755">
        <f>IFERROR(VLOOKUP(B1896,DATEWISE!$A$3:$BY$27,2,0),0)</f>
        <v>0</v>
      </c>
      <c r="D1896" s="755" t="e">
        <f>IF($C$1896=0,NA(),VLOOKUP($I$1881&amp;$B$1896,FLNFIX!$BO$4:$EF$103,2,0))</f>
        <v>#N/A</v>
      </c>
      <c r="E1896" s="755" t="e">
        <f>IF($C$1896=0,NA(),VLOOKUP($I$1881&amp;$B$1896,FLNFIX!$BO$4:$EF$103,4,0))</f>
        <v>#N/A</v>
      </c>
      <c r="F1896" s="755" t="e">
        <f>IF($C$1896=0,NA(),VLOOKUP($I$1881&amp;$B$1896,FLNFIX!$BO$4:$EF$103,3,0))</f>
        <v>#N/A</v>
      </c>
      <c r="G1896" s="756" t="e">
        <f>IF($C$1896=0,NA(),VLOOKUP($I$1881&amp;$B$1896,FLNFIX!$BO$4:$EF$103,5,0))</f>
        <v>#N/A</v>
      </c>
      <c r="H1896" s="757"/>
      <c r="I1896" s="757"/>
      <c r="J1896" s="758"/>
      <c r="K1896" s="677"/>
    </row>
    <row r="1897" ht="20.1" customHeight="1" spans="1:11">
      <c r="A1897" s="675"/>
      <c r="B1897" s="755">
        <f t="shared" si="34"/>
        <v>13</v>
      </c>
      <c r="C1897" s="755">
        <f>IFERROR(VLOOKUP(B1897,DATEWISE!$A$3:$BY$27,2,0),0)</f>
        <v>0</v>
      </c>
      <c r="D1897" s="755" t="e">
        <f>IF($C$1897=0,NA(),VLOOKUP($I$1881&amp;$B$1897,FLNFIX!$BT$4:$EF$103,2,0))</f>
        <v>#N/A</v>
      </c>
      <c r="E1897" s="755" t="e">
        <f>IF($C$1897=0,NA(),VLOOKUP($I$1881&amp;$B$1897,FLNFIX!$BT$4:$EF$103,4,0))</f>
        <v>#N/A</v>
      </c>
      <c r="F1897" s="755" t="e">
        <f>IF($C$1897=0,NA(),VLOOKUP($I$1881&amp;$B$1897,FLNFIX!$BT$4:$EF$103,3,0))</f>
        <v>#N/A</v>
      </c>
      <c r="G1897" s="756" t="e">
        <f>IF($C$1897=0,NA(),VLOOKUP($I$1881&amp;$B$1897,FLNFIX!$BT$4:$EF$103,5,0))</f>
        <v>#N/A</v>
      </c>
      <c r="H1897" s="757"/>
      <c r="I1897" s="757"/>
      <c r="J1897" s="758"/>
      <c r="K1897" s="677"/>
    </row>
    <row r="1898" ht="20.1" customHeight="1" spans="1:11">
      <c r="A1898" s="675"/>
      <c r="B1898" s="755">
        <f t="shared" si="34"/>
        <v>14</v>
      </c>
      <c r="C1898" s="755">
        <f>IFERROR(VLOOKUP(B1898,DATEWISE!$A$3:$BY$27,2,0),0)</f>
        <v>0</v>
      </c>
      <c r="D1898" s="755" t="e">
        <f>IF($C$1898=0,NA(),VLOOKUP($I$1881&amp;$B$1898,FLNFIX!$BY$4:$EF$103,2,0))</f>
        <v>#N/A</v>
      </c>
      <c r="E1898" s="755" t="e">
        <f>IF($C$1898=0,NA(),VLOOKUP($I$1881&amp;$B$1898,FLNFIX!$BY$4:$EF$103,4,0))</f>
        <v>#N/A</v>
      </c>
      <c r="F1898" s="755" t="e">
        <f>IF($C$1898=0,NA(),VLOOKUP($I$1881&amp;$B$1898,FLNFIX!$BY$4:$EF$103,3,0))</f>
        <v>#N/A</v>
      </c>
      <c r="G1898" s="756" t="e">
        <f>IF($C$1898=0,NA(),VLOOKUP($I$1881&amp;$B$1898,FLNFIX!$BY$4:$EF$103,5,0))</f>
        <v>#N/A</v>
      </c>
      <c r="H1898" s="757"/>
      <c r="I1898" s="757"/>
      <c r="J1898" s="758"/>
      <c r="K1898" s="677"/>
    </row>
    <row r="1899" ht="20.1" customHeight="1" spans="1:11">
      <c r="A1899" s="675"/>
      <c r="B1899" s="755">
        <f t="shared" si="34"/>
        <v>15</v>
      </c>
      <c r="C1899" s="755">
        <f>IFERROR(VLOOKUP(B1899,DATEWISE!$A$3:$BY$27,2,0),0)</f>
        <v>0</v>
      </c>
      <c r="D1899" s="755" t="e">
        <f>IF($C$1899=0,NA(),VLOOKUP($I$1881&amp;$B$1899,FLNFIX!$CD$4:$EF$103,2,0))</f>
        <v>#N/A</v>
      </c>
      <c r="E1899" s="755" t="e">
        <f>IF($C$1899=0,NA(),VLOOKUP($I$1881&amp;$B$1899,FLNFIX!$CD$4:$EF$103,4,0))</f>
        <v>#N/A</v>
      </c>
      <c r="F1899" s="755" t="e">
        <f>IF($C$1899=0,NA(),VLOOKUP($I$1881&amp;$B$1899,FLNFIX!$CD$4:$EF$103,3,0))</f>
        <v>#N/A</v>
      </c>
      <c r="G1899" s="756" t="e">
        <f>IF($C$1899=0,NA(),VLOOKUP($I$1881&amp;$B$1899,FLNFIX!$CD$4:$EF$103,5,0))</f>
        <v>#N/A</v>
      </c>
      <c r="H1899" s="757"/>
      <c r="I1899" s="757"/>
      <c r="J1899" s="758"/>
      <c r="K1899" s="677"/>
    </row>
    <row r="1900" ht="20.1" customHeight="1" spans="1:11">
      <c r="A1900" s="675"/>
      <c r="B1900" s="755">
        <f t="shared" si="34"/>
        <v>16</v>
      </c>
      <c r="C1900" s="755">
        <f>IFERROR(VLOOKUP(B1900,DATEWISE!$A$3:$BY$27,2,0),0)</f>
        <v>0</v>
      </c>
      <c r="D1900" s="755" t="e">
        <f>IF($C$1900=0,NA(),VLOOKUP($I$1881&amp;$B$1900,FLNFIX!$CI$4:$EF$103,2,0))</f>
        <v>#N/A</v>
      </c>
      <c r="E1900" s="755" t="e">
        <f>IF($C$1900=0,NA(),VLOOKUP($I$1881&amp;$B$1900,FLNFIX!$CI$4:$EF$103,4,0))</f>
        <v>#N/A</v>
      </c>
      <c r="F1900" s="755" t="e">
        <f>IF($C$1900=0,NA(),VLOOKUP($I$1881&amp;$B$1900,FLNFIX!$CI$4:$EF$103,3,0))</f>
        <v>#N/A</v>
      </c>
      <c r="G1900" s="756" t="e">
        <f>IF($C$1900=0,NA(),VLOOKUP($I$1881&amp;$B$1900,FLNFIX!$CI$4:$EF$103,5,0))</f>
        <v>#N/A</v>
      </c>
      <c r="H1900" s="757"/>
      <c r="I1900" s="757"/>
      <c r="J1900" s="758"/>
      <c r="K1900" s="677"/>
    </row>
    <row r="1901" ht="20.1" customHeight="1" spans="1:11">
      <c r="A1901" s="675"/>
      <c r="B1901" s="755">
        <f t="shared" si="34"/>
        <v>17</v>
      </c>
      <c r="C1901" s="755">
        <f>IFERROR(VLOOKUP(B1901,DATEWISE!$A$3:$BY$27,2,0),0)</f>
        <v>0</v>
      </c>
      <c r="D1901" s="755" t="e">
        <f>IF($C$1901=0,NA(),VLOOKUP($I$1881&amp;$B$1901,FLNFIX!$CN$4:$EF$103,2,0))</f>
        <v>#N/A</v>
      </c>
      <c r="E1901" s="755" t="e">
        <f>IF($C$1901=0,NA(),VLOOKUP($I$1881&amp;$B$1901,FLNFIX!$CN$4:$EF$103,4,0))</f>
        <v>#N/A</v>
      </c>
      <c r="F1901" s="755" t="e">
        <f>IF($C$1901=0,NA(),VLOOKUP($I$1881&amp;$B$1901,FLNFIX!$CN$4:$EF$103,3,0))</f>
        <v>#N/A</v>
      </c>
      <c r="G1901" s="756" t="e">
        <f>IF($C$1901=0,NA(),VLOOKUP($I$1881&amp;$B$1901,FLNFIX!$CN$4:$EF$103,5,0))</f>
        <v>#N/A</v>
      </c>
      <c r="H1901" s="757"/>
      <c r="I1901" s="757"/>
      <c r="J1901" s="758"/>
      <c r="K1901" s="677"/>
    </row>
    <row r="1902" ht="20.1" customHeight="1" spans="1:11">
      <c r="A1902" s="675"/>
      <c r="B1902" s="755">
        <f t="shared" si="34"/>
        <v>18</v>
      </c>
      <c r="C1902" s="755">
        <f>IFERROR(VLOOKUP(B1902,DATEWISE!$A$3:$BY$27,2,0),0)</f>
        <v>0</v>
      </c>
      <c r="D1902" s="755" t="e">
        <f>IF($C$1902=0,NA(),VLOOKUP($I$1881&amp;$B$1902,FLNFIX!$CS$4:$EF$103,2,0))</f>
        <v>#N/A</v>
      </c>
      <c r="E1902" s="755" t="e">
        <f>IF($C$1902=0,NA(),VLOOKUP($I$1881&amp;$B$1902,FLNFIX!$CS$4:$EF$103,4,0))</f>
        <v>#N/A</v>
      </c>
      <c r="F1902" s="755" t="e">
        <f>IF($C$1902=0,NA(),VLOOKUP($I$1881&amp;$B$1902,FLNFIX!$CS$4:$EF$103,3,0))</f>
        <v>#N/A</v>
      </c>
      <c r="G1902" s="756" t="e">
        <f>IF($C$1902=0,NA(),VLOOKUP($I$1881&amp;$B$1902,FLNFIX!$CS$4:$EF$103,5,0))</f>
        <v>#N/A</v>
      </c>
      <c r="H1902" s="757"/>
      <c r="I1902" s="757"/>
      <c r="J1902" s="758"/>
      <c r="K1902" s="677"/>
    </row>
    <row r="1903" ht="20.1" customHeight="1" spans="1:11">
      <c r="A1903" s="675"/>
      <c r="B1903" s="755">
        <f t="shared" si="34"/>
        <v>19</v>
      </c>
      <c r="C1903" s="755">
        <f>IFERROR(VLOOKUP(B1903,DATEWISE!$A$3:$BY$27,2,0),0)</f>
        <v>0</v>
      </c>
      <c r="D1903" s="755" t="e">
        <f>IF($C$1903=0,NA(),VLOOKUP($I$1881&amp;$B$1903,FLNFIX!$CX$4:$EF$103,2,0))</f>
        <v>#N/A</v>
      </c>
      <c r="E1903" s="755" t="e">
        <f>IF($C$1903=0,NA(),VLOOKUP($I$1881&amp;$B$1903,FLNFIX!$CX$4:$EF$103,4,0))</f>
        <v>#N/A</v>
      </c>
      <c r="F1903" s="755" t="e">
        <f>IF($C$1903=0,NA(),VLOOKUP($I$1881&amp;$B$1903,FLNFIX!$CX$4:$EF$103,3,0))</f>
        <v>#N/A</v>
      </c>
      <c r="G1903" s="756" t="e">
        <f>IF($C$1903=0,NA(),VLOOKUP($I$1881&amp;$B$1903,FLNFIX!$CX$4:$EF$103,5,0))</f>
        <v>#N/A</v>
      </c>
      <c r="H1903" s="757"/>
      <c r="I1903" s="757"/>
      <c r="J1903" s="758"/>
      <c r="K1903" s="677"/>
    </row>
    <row r="1904" ht="20.1" customHeight="1" spans="1:11">
      <c r="A1904" s="675"/>
      <c r="B1904" s="755">
        <f t="shared" si="34"/>
        <v>20</v>
      </c>
      <c r="C1904" s="755">
        <f>IFERROR(VLOOKUP(B1904,DATEWISE!$A$3:$BY$27,2,0),0)</f>
        <v>0</v>
      </c>
      <c r="D1904" s="755" t="e">
        <f>IF($C$1904=0,NA(),VLOOKUP($I$1881&amp;$B$1904,FLNFIX!$DC$4:$EF$103,2,0))</f>
        <v>#N/A</v>
      </c>
      <c r="E1904" s="755" t="e">
        <f>IF($C$1904=0,NA(),VLOOKUP($I$1881&amp;$B$1904,FLNFIX!$DC$4:$EF$103,4,0))</f>
        <v>#N/A</v>
      </c>
      <c r="F1904" s="755" t="e">
        <f>IF($C$1904=0,NA(),VLOOKUP($I$1881&amp;$B$1904,FLNFIX!$DC$4:$EF$103,3,0))</f>
        <v>#N/A</v>
      </c>
      <c r="G1904" s="756" t="e">
        <f>IF($C$1904=0,NA(),VLOOKUP($I$1881&amp;$B$1904,FLNFIX!$DC$4:$EF$103,5,0))</f>
        <v>#N/A</v>
      </c>
      <c r="H1904" s="757"/>
      <c r="I1904" s="757"/>
      <c r="J1904" s="758"/>
      <c r="K1904" s="677"/>
    </row>
    <row r="1905" ht="20.1" customHeight="1" spans="1:11">
      <c r="A1905" s="675"/>
      <c r="B1905" s="755">
        <f t="shared" si="34"/>
        <v>21</v>
      </c>
      <c r="C1905" s="755">
        <f>IFERROR(VLOOKUP(B1905,DATEWISE!$A$3:$BY$27,2,0),0)</f>
        <v>0</v>
      </c>
      <c r="D1905" s="755" t="e">
        <f>IF($C$1905=0,NA(),VLOOKUP($I$1881&amp;$B$1905,FLNFIX!$DH$4:$EF$103,2,0))</f>
        <v>#N/A</v>
      </c>
      <c r="E1905" s="755" t="e">
        <f>IF($C$1905=0,NA(),VLOOKUP($I$1881&amp;$B$1905,FLNFIX!$DH$4:$EF$103,4,0))</f>
        <v>#N/A</v>
      </c>
      <c r="F1905" s="755" t="e">
        <f>IF($C$1905=0,NA(),VLOOKUP($I$1881&amp;$B$1905,FLNFIX!$DH$4:$EF$103,3,0))</f>
        <v>#N/A</v>
      </c>
      <c r="G1905" s="756" t="e">
        <f>IF($C$1905=0,NA(),VLOOKUP($I$1881&amp;$B$1905,FLNFIX!$DH$4:$EF$103,5,0))</f>
        <v>#N/A</v>
      </c>
      <c r="H1905" s="757"/>
      <c r="I1905" s="757"/>
      <c r="J1905" s="758"/>
      <c r="K1905" s="677"/>
    </row>
    <row r="1906" ht="5.1" customHeight="1" spans="1:11">
      <c r="A1906" s="675"/>
      <c r="B1906" s="759"/>
      <c r="C1906" s="759"/>
      <c r="D1906" s="760"/>
      <c r="E1906" s="760"/>
      <c r="F1906" s="760"/>
      <c r="G1906" s="761"/>
      <c r="H1906" s="761"/>
      <c r="I1906" s="761"/>
      <c r="J1906" s="761"/>
      <c r="K1906" s="677"/>
    </row>
    <row r="1907" s="667" customFormat="1" ht="24.95" customHeight="1" spans="1:11">
      <c r="A1907" s="711"/>
      <c r="B1907" s="762" t="s">
        <v>431</v>
      </c>
      <c r="C1907" s="763"/>
      <c r="D1907" s="763"/>
      <c r="E1907" s="763"/>
      <c r="F1907" s="763"/>
      <c r="G1907" s="763"/>
      <c r="H1907" s="763"/>
      <c r="I1907" s="763"/>
      <c r="J1907" s="764"/>
      <c r="K1907" s="713"/>
    </row>
    <row r="1908" spans="1:11">
      <c r="A1908" s="675"/>
      <c r="B1908" s="765"/>
      <c r="C1908" s="686"/>
      <c r="D1908" s="686"/>
      <c r="E1908" s="686"/>
      <c r="F1908" s="686"/>
      <c r="G1908" s="686"/>
      <c r="H1908" s="686"/>
      <c r="I1908" s="686"/>
      <c r="J1908" s="766"/>
      <c r="K1908" s="677"/>
    </row>
    <row r="1909" spans="1:11">
      <c r="A1909" s="675"/>
      <c r="B1909" s="765"/>
      <c r="C1909" s="686"/>
      <c r="D1909" s="686"/>
      <c r="E1909" s="686"/>
      <c r="F1909" s="686"/>
      <c r="G1909" s="686"/>
      <c r="H1909" s="686"/>
      <c r="I1909" s="686"/>
      <c r="J1909" s="766"/>
      <c r="K1909" s="677"/>
    </row>
    <row r="1910" spans="1:11">
      <c r="A1910" s="675"/>
      <c r="B1910" s="765"/>
      <c r="C1910" s="686"/>
      <c r="D1910" s="686"/>
      <c r="E1910" s="686"/>
      <c r="F1910" s="686"/>
      <c r="G1910" s="686"/>
      <c r="H1910" s="686"/>
      <c r="I1910" s="686"/>
      <c r="J1910" s="766"/>
      <c r="K1910" s="677"/>
    </row>
    <row r="1911" spans="1:11">
      <c r="A1911" s="675"/>
      <c r="B1911" s="765"/>
      <c r="C1911" s="686"/>
      <c r="D1911" s="686"/>
      <c r="E1911" s="686"/>
      <c r="F1911" s="686"/>
      <c r="G1911" s="686"/>
      <c r="H1911" s="686"/>
      <c r="I1911" s="686"/>
      <c r="J1911" s="766"/>
      <c r="K1911" s="677"/>
    </row>
    <row r="1912" spans="1:11">
      <c r="A1912" s="675"/>
      <c r="B1912" s="765"/>
      <c r="C1912" s="686"/>
      <c r="D1912" s="686"/>
      <c r="E1912" s="686"/>
      <c r="F1912" s="686"/>
      <c r="G1912" s="686"/>
      <c r="H1912" s="686"/>
      <c r="I1912" s="686"/>
      <c r="J1912" s="766"/>
      <c r="K1912" s="677"/>
    </row>
    <row r="1913" spans="1:11">
      <c r="A1913" s="675"/>
      <c r="B1913" s="765"/>
      <c r="C1913" s="686"/>
      <c r="D1913" s="686"/>
      <c r="E1913" s="686"/>
      <c r="F1913" s="686"/>
      <c r="G1913" s="686"/>
      <c r="H1913" s="686"/>
      <c r="I1913" s="686"/>
      <c r="J1913" s="766"/>
      <c r="K1913" s="677"/>
    </row>
    <row r="1914" spans="1:11">
      <c r="A1914" s="675"/>
      <c r="B1914" s="765"/>
      <c r="C1914" s="686"/>
      <c r="D1914" s="686"/>
      <c r="E1914" s="686"/>
      <c r="F1914" s="686"/>
      <c r="G1914" s="686"/>
      <c r="H1914" s="686"/>
      <c r="I1914" s="686"/>
      <c r="J1914" s="766"/>
      <c r="K1914" s="677"/>
    </row>
    <row r="1915" spans="1:11">
      <c r="A1915" s="675"/>
      <c r="B1915" s="765"/>
      <c r="C1915" s="686"/>
      <c r="D1915" s="686"/>
      <c r="E1915" s="686"/>
      <c r="F1915" s="686"/>
      <c r="G1915" s="686"/>
      <c r="H1915" s="686"/>
      <c r="I1915" s="686"/>
      <c r="J1915" s="766"/>
      <c r="K1915" s="677"/>
    </row>
    <row r="1916" spans="1:11">
      <c r="A1916" s="675"/>
      <c r="B1916" s="765"/>
      <c r="C1916" s="686"/>
      <c r="D1916" s="686"/>
      <c r="E1916" s="686"/>
      <c r="F1916" s="686"/>
      <c r="G1916" s="686"/>
      <c r="H1916" s="686"/>
      <c r="I1916" s="686"/>
      <c r="J1916" s="766"/>
      <c r="K1916" s="677"/>
    </row>
    <row r="1917" spans="1:11">
      <c r="A1917" s="675"/>
      <c r="B1917" s="767"/>
      <c r="C1917" s="768"/>
      <c r="D1917" s="768"/>
      <c r="E1917" s="768"/>
      <c r="F1917" s="768"/>
      <c r="G1917" s="768"/>
      <c r="H1917" s="768"/>
      <c r="I1917" s="768"/>
      <c r="J1917" s="769"/>
      <c r="K1917" s="677"/>
    </row>
    <row r="1918" ht="5.1" customHeight="1" spans="1:11">
      <c r="A1918" s="675"/>
      <c r="B1918" s="686"/>
      <c r="C1918" s="686"/>
      <c r="D1918" s="686"/>
      <c r="E1918" s="686"/>
      <c r="F1918" s="686"/>
      <c r="G1918" s="686"/>
      <c r="H1918" s="686"/>
      <c r="I1918" s="686"/>
      <c r="J1918" s="686"/>
      <c r="K1918" s="677"/>
    </row>
    <row r="1919" spans="1:11">
      <c r="A1919" s="675"/>
      <c r="B1919" s="770" t="s">
        <v>432</v>
      </c>
      <c r="C1919" s="770"/>
      <c r="D1919" s="770"/>
      <c r="E1919" s="770"/>
      <c r="F1919" s="770"/>
      <c r="G1919" s="770"/>
      <c r="H1919" s="770"/>
      <c r="I1919" s="770"/>
      <c r="J1919" s="770"/>
      <c r="K1919" s="677"/>
    </row>
    <row r="1920" spans="1:11">
      <c r="A1920" s="675"/>
      <c r="B1920" s="771"/>
      <c r="C1920" s="771"/>
      <c r="D1920" s="771"/>
      <c r="E1920" s="771"/>
      <c r="F1920" s="771"/>
      <c r="G1920" s="771"/>
      <c r="H1920" s="771"/>
      <c r="I1920" s="771"/>
      <c r="J1920" s="771"/>
      <c r="K1920" s="677"/>
    </row>
    <row r="1921" spans="1:11">
      <c r="A1921" s="675"/>
      <c r="B1921" s="771"/>
      <c r="C1921" s="771"/>
      <c r="D1921" s="771"/>
      <c r="E1921" s="771"/>
      <c r="F1921" s="771"/>
      <c r="G1921" s="771"/>
      <c r="H1921" s="771"/>
      <c r="I1921" s="771"/>
      <c r="J1921" s="771"/>
      <c r="K1921" s="677"/>
    </row>
    <row r="1922" spans="1:11">
      <c r="A1922" s="675"/>
      <c r="B1922" s="771"/>
      <c r="C1922" s="771"/>
      <c r="D1922" s="771"/>
      <c r="E1922" s="771"/>
      <c r="F1922" s="771"/>
      <c r="G1922" s="771"/>
      <c r="H1922" s="771"/>
      <c r="I1922" s="771"/>
      <c r="J1922" s="771"/>
      <c r="K1922" s="677"/>
    </row>
    <row r="1923" spans="1:11">
      <c r="A1923" s="675"/>
      <c r="B1923" s="686"/>
      <c r="C1923" s="686"/>
      <c r="D1923" s="686"/>
      <c r="E1923" s="686"/>
      <c r="F1923" s="686"/>
      <c r="G1923" s="686"/>
      <c r="H1923" s="686"/>
      <c r="I1923" s="686"/>
      <c r="J1923" s="686"/>
      <c r="K1923" s="677"/>
    </row>
    <row r="1924" spans="1:11">
      <c r="A1924" s="675"/>
      <c r="B1924" s="686"/>
      <c r="C1924" s="729" t="s">
        <v>433</v>
      </c>
      <c r="D1924" s="729"/>
      <c r="E1924" s="686"/>
      <c r="F1924" s="686"/>
      <c r="G1924" s="729" t="s">
        <v>434</v>
      </c>
      <c r="H1924" s="729"/>
      <c r="I1924" s="729"/>
      <c r="J1924" s="729"/>
      <c r="K1924" s="677"/>
    </row>
    <row r="1925" ht="16.35" spans="1:11">
      <c r="A1925" s="725"/>
      <c r="B1925" s="726"/>
      <c r="C1925" s="732" t="str">
        <f>"("&amp;PROPER(ENTRY!$D$19)&amp;")"</f>
        <v>(Indrajeet)</v>
      </c>
      <c r="D1925" s="732"/>
      <c r="E1925" s="726"/>
      <c r="F1925" s="726"/>
      <c r="G1925" s="732" t="str">
        <f>"("&amp;PROPER(ENTRY!$D$12)&amp;")"</f>
        <v>(Shambhu Dayal Meena)</v>
      </c>
      <c r="H1925" s="732"/>
      <c r="I1925" s="732"/>
      <c r="J1925" s="732"/>
      <c r="K1925" s="728"/>
    </row>
    <row r="1926" ht="24.6" spans="1:11">
      <c r="B1926" s="734"/>
      <c r="C1926" s="734"/>
      <c r="D1926" s="669" t="str">
        <f>ENTRY!$D$3</f>
        <v>MUNICIPAL CORPORATION OF DELHI</v>
      </c>
      <c r="E1926" s="669"/>
      <c r="F1926" s="669"/>
      <c r="G1926" s="669"/>
      <c r="H1926" s="734"/>
      <c r="I1926" s="669"/>
      <c r="J1926" s="669"/>
    </row>
    <row r="1927" ht="20.4" spans="1:11">
      <c r="B1927" s="735"/>
      <c r="C1927" s="735"/>
      <c r="D1927" s="670" t="str">
        <f>ENTRY!$D$4</f>
        <v>EDUCATION DEPARTMENT</v>
      </c>
      <c r="E1927" s="670"/>
      <c r="F1927" s="670"/>
      <c r="G1927" s="670"/>
      <c r="H1927" s="735"/>
      <c r="I1927" s="669"/>
      <c r="J1927" s="669"/>
    </row>
    <row r="1928" ht="22.8" spans="1:11">
      <c r="B1928" s="736"/>
      <c r="C1928" s="736"/>
      <c r="D1928" s="664" t="s">
        <v>417</v>
      </c>
      <c r="E1928" s="664"/>
      <c r="F1928" s="664"/>
      <c r="G1928" s="664"/>
      <c r="H1928" s="736"/>
      <c r="I1928" s="669"/>
      <c r="J1928" s="669"/>
    </row>
    <row r="1929" ht="22.8" spans="1:11">
      <c r="B1929" s="736"/>
      <c r="C1929" s="736"/>
      <c r="D1929" s="664" t="s">
        <v>418</v>
      </c>
      <c r="E1929" s="664"/>
      <c r="F1929" s="664"/>
      <c r="G1929" s="664"/>
      <c r="H1929" s="736"/>
      <c r="I1929" s="669"/>
      <c r="J1929" s="669"/>
    </row>
    <row r="1930" ht="24.95" customHeight="1" spans="1:11">
      <c r="B1930" s="735"/>
      <c r="C1930" s="735"/>
      <c r="D1930" s="737" t="str">
        <f>"SESSION : "&amp;ENTRY!$D$11</f>
        <v>SESSION : 2026-27</v>
      </c>
      <c r="E1930" s="737"/>
      <c r="F1930" s="737"/>
      <c r="G1930" s="737"/>
      <c r="H1930" s="735"/>
      <c r="I1930" s="738"/>
      <c r="J1930" s="738"/>
    </row>
    <row r="1931" ht="3.75" customHeight="1" spans="1:11">
      <c r="A1931" s="672"/>
      <c r="B1931" s="739"/>
      <c r="C1931" s="739"/>
      <c r="D1931" s="739"/>
      <c r="E1931" s="739"/>
      <c r="F1931" s="739"/>
      <c r="G1931" s="739"/>
      <c r="H1931" s="739"/>
      <c r="I1931" s="739"/>
      <c r="J1931" s="739"/>
      <c r="K1931" s="674"/>
    </row>
    <row r="1932" ht="21.95" customHeight="1" spans="1:11">
      <c r="A1932" s="675"/>
      <c r="B1932" s="676" t="s">
        <v>419</v>
      </c>
      <c r="C1932" s="676"/>
      <c r="D1932" s="676" t="str">
        <f>ENTRY!$D$6</f>
        <v>MCP NITHARI NO 1 BOYS</v>
      </c>
      <c r="E1932" s="676"/>
      <c r="F1932" s="676"/>
      <c r="G1932" s="676"/>
      <c r="H1932" s="676"/>
      <c r="I1932" s="676"/>
      <c r="J1932" s="676"/>
      <c r="K1932" s="677"/>
    </row>
    <row r="1933" ht="21.95" customHeight="1" spans="1:11">
      <c r="A1933" s="675"/>
      <c r="B1933" s="676" t="s">
        <v>420</v>
      </c>
      <c r="C1933" s="676"/>
      <c r="D1933" s="740" t="str">
        <f>IFERROR(VLOOKUP($I$1936,STUDENT!$A$2:$BP$101,5,0),"")</f>
        <v>JITENDRA</v>
      </c>
      <c r="E1933" s="740"/>
      <c r="F1933" s="740"/>
      <c r="G1933" s="740"/>
      <c r="H1933" s="740"/>
      <c r="I1933" s="740"/>
      <c r="J1933" s="740"/>
      <c r="K1933" s="677"/>
    </row>
    <row r="1934" ht="21.95" customHeight="1" spans="1:11">
      <c r="A1934" s="675"/>
      <c r="B1934" s="676" t="s">
        <v>421</v>
      </c>
      <c r="C1934" s="676"/>
      <c r="D1934" s="740" t="str">
        <f>IFERROR(VLOOKUP($I$1936,STUDENT!$A$2:$BP$101,8,0),"")</f>
        <v>RAM SUMAR</v>
      </c>
      <c r="E1934" s="740"/>
      <c r="F1934" s="740"/>
      <c r="G1934" s="740"/>
      <c r="H1934" s="740"/>
      <c r="I1934" s="740"/>
      <c r="J1934" s="740"/>
      <c r="K1934" s="677"/>
    </row>
    <row r="1935" ht="21.95" customHeight="1" spans="1:11">
      <c r="A1935" s="675"/>
      <c r="B1935" s="676" t="s">
        <v>422</v>
      </c>
      <c r="C1935" s="676"/>
      <c r="D1935" s="740">
        <f>IFERROR(VLOOKUP($I$1936,STUDENT!$A$2:$BP$101,6,0),"")</f>
        <v>15143</v>
      </c>
      <c r="E1935" s="740"/>
      <c r="F1935" s="740"/>
      <c r="G1935" s="740"/>
      <c r="H1935" s="740"/>
      <c r="I1935" s="740"/>
      <c r="J1935" s="740"/>
      <c r="K1935" s="677"/>
    </row>
    <row r="1936" ht="21.95" customHeight="1" spans="1:11">
      <c r="A1936" s="675"/>
      <c r="B1936" s="676" t="s">
        <v>423</v>
      </c>
      <c r="C1936" s="676"/>
      <c r="D1936" s="741" t="str">
        <f>IFERROR(VLOOKUP($I$1936,STUDENT!$A$2:$BP$101,59,0),"")</f>
        <v/>
      </c>
      <c r="E1936" s="742" t="s">
        <v>424</v>
      </c>
      <c r="F1936" s="704" t="str">
        <f>IFERROR(VLOOKUP($I$1936,STUDENT!$A$2:$BP$101,2,0),"")</f>
        <v>III-A</v>
      </c>
      <c r="G1936" s="742" t="s">
        <v>425</v>
      </c>
      <c r="H1936" s="743"/>
      <c r="I1936" s="733">
        <f>I1881+1</f>
        <v>36</v>
      </c>
      <c r="J1936" s="683"/>
      <c r="K1936" s="677"/>
    </row>
    <row r="1937" ht="5.1" customHeight="1" spans="1:11">
      <c r="A1937" s="675"/>
      <c r="B1937" s="745"/>
      <c r="C1937" s="745"/>
      <c r="D1937" s="746"/>
      <c r="E1937" s="747"/>
      <c r="F1937" s="748"/>
      <c r="G1937" s="747"/>
      <c r="H1937" s="686"/>
      <c r="I1937" s="686"/>
      <c r="J1937" s="686"/>
      <c r="K1937" s="677"/>
    </row>
    <row r="1938" s="664" customFormat="1" ht="32.1" customHeight="1" spans="1:11">
      <c r="A1938" s="688"/>
      <c r="B1938" s="749" t="s">
        <v>426</v>
      </c>
      <c r="C1938" s="750"/>
      <c r="D1938" s="750"/>
      <c r="E1938" s="750"/>
      <c r="F1938" s="750"/>
      <c r="G1938" s="750"/>
      <c r="H1938" s="750"/>
      <c r="I1938" s="750"/>
      <c r="J1938" s="751"/>
      <c r="K1938" s="690"/>
    </row>
    <row r="1939" ht="51.6" spans="1:11">
      <c r="A1939" s="675"/>
      <c r="B1939" s="752">
        <v>21</v>
      </c>
      <c r="C1939" s="753" t="s">
        <v>427</v>
      </c>
      <c r="D1939" s="754" t="s">
        <v>428</v>
      </c>
      <c r="E1939" s="754" t="s">
        <v>429</v>
      </c>
      <c r="F1939" s="754" t="s">
        <v>430</v>
      </c>
      <c r="G1939" s="753" t="s">
        <v>390</v>
      </c>
      <c r="H1939" s="714"/>
      <c r="I1939" s="714"/>
      <c r="J1939" s="714"/>
      <c r="K1939" s="677"/>
    </row>
    <row r="1940" ht="20.1" customHeight="1" spans="1:11">
      <c r="A1940" s="675"/>
      <c r="B1940" s="755">
        <v>1</v>
      </c>
      <c r="C1940" s="755" t="str">
        <f>IFERROR(VLOOKUP(B1940,DATEWISE!$A$3:$BY$27,2,0),0)</f>
        <v>30.04.2026</v>
      </c>
      <c r="D1940" s="755">
        <f>IF($C$1940=0,NA(),VLOOKUP($I$1936&amp;$B$1940,FLNFIX!$L$4:$EF$103,2,0))</f>
        <v>2</v>
      </c>
      <c r="E1940" s="755">
        <f>IF($C$1940=0,NA(),VLOOKUP($I$1936&amp;$B$1940,FLNFIX!$L$4:$EF$103,4,0))</f>
        <v>3</v>
      </c>
      <c r="F1940" s="755">
        <f>IF($C$1940=0,NA(),VLOOKUP($I$1936&amp;$B$1940,FLNFIX!$L$4:$EF$103,3,0))</f>
        <v>2</v>
      </c>
      <c r="G1940" s="756">
        <f>IF($C$1940=0,NA(),VLOOKUP($I$1936&amp;$B$1940,FLNFIX!$L$4:$EF$103,5,0))</f>
        <v>0</v>
      </c>
      <c r="H1940" s="757"/>
      <c r="I1940" s="757"/>
      <c r="J1940" s="758"/>
      <c r="K1940" s="677"/>
    </row>
    <row r="1941" ht="20.1" customHeight="1" spans="1:11">
      <c r="A1941" s="675"/>
      <c r="B1941" s="755">
        <f t="shared" ref="B1941:B1960" si="35">IF(B1940=0,0,IF(B1940&lt;$B$1939,B1940+1,""))</f>
        <v>2</v>
      </c>
      <c r="C1941" s="755" t="str">
        <f>IFERROR(VLOOKUP(B1941,DATEWISE!$A$3:$BY$27,2,0),0)</f>
        <v>08.05.2026</v>
      </c>
      <c r="D1941" s="755">
        <f>IF($C$1941=0,NA(),VLOOKUP($I$1936&amp;$B$1941,FLNFIX!$Q$4:$EF$103,2,0))</f>
        <v>2</v>
      </c>
      <c r="E1941" s="755">
        <f>IF($C$1941=0,NA(),VLOOKUP($I$1936&amp;$B$1941,FLNFIX!$Q$4:$EF$103,4,0))</f>
        <v>3</v>
      </c>
      <c r="F1941" s="755">
        <f>IF($C$1941=0,NA(),VLOOKUP($I$1936&amp;$B$1941,FLNFIX!$Q$4:$EF$103,3,0))</f>
        <v>2</v>
      </c>
      <c r="G1941" s="756" t="str">
        <f>IF($C$1941=0,NA(),VLOOKUP($I$1936&amp;$B$1941,FLNFIX!$Q$4:$EF$103,5,0))</f>
        <v>-</v>
      </c>
      <c r="H1941" s="757"/>
      <c r="I1941" s="757"/>
      <c r="J1941" s="758"/>
      <c r="K1941" s="677"/>
    </row>
    <row r="1942" ht="20.1" customHeight="1" spans="1:11">
      <c r="A1942" s="675"/>
      <c r="B1942" s="755">
        <f t="shared" si="35"/>
        <v>3</v>
      </c>
      <c r="C1942" s="755" t="str">
        <f>IFERROR(VLOOKUP(B1942,DATEWISE!$A$3:$BY$27,2,0),0)</f>
        <v>15.07.2026</v>
      </c>
      <c r="D1942" s="755">
        <f>IF($C$1942=0,NA(),VLOOKUP($I$1936&amp;$B$1942,FLNFIX!$V$4:$EF$103,2,0))</f>
        <v>2</v>
      </c>
      <c r="E1942" s="755">
        <f>IF($C$1942=0,NA(),VLOOKUP($I$1936&amp;$B$1942,FLNFIX!$V$4:$EF$103,4,0))</f>
        <v>3</v>
      </c>
      <c r="F1942" s="755">
        <f>IF($C$1942=0,NA(),VLOOKUP($I$1936&amp;$B$1942,FLNFIX!$V$4:$EF$103,3,0))</f>
        <v>2</v>
      </c>
      <c r="G1942" s="756" t="str">
        <f>IF($C$1942=0,NA(),VLOOKUP($I$1936&amp;$B$1942,FLNFIX!$V$4:$EF$103,5,0))</f>
        <v>-</v>
      </c>
      <c r="H1942" s="757"/>
      <c r="I1942" s="757"/>
      <c r="J1942" s="758"/>
      <c r="K1942" s="677"/>
    </row>
    <row r="1943" ht="20.1" customHeight="1" spans="1:11">
      <c r="A1943" s="675"/>
      <c r="B1943" s="755">
        <f t="shared" si="35"/>
        <v>4</v>
      </c>
      <c r="C1943" s="755" t="str">
        <f>IFERROR(VLOOKUP(B1943,DATEWISE!$A$3:$BY$27,2,0),0)</f>
        <v>31.07.2026</v>
      </c>
      <c r="D1943" s="755">
        <f>IF($C$1943=0,NA(),VLOOKUP($I$1936&amp;$B$1943,FLNFIX!$AA$4:$EF$103,2,0))</f>
        <v>2</v>
      </c>
      <c r="E1943" s="755">
        <f>IF($C$1943=0,NA(),VLOOKUP($I$1936&amp;$B$1943,FLNFIX!$AA$4:$EF$103,4,0))</f>
        <v>3</v>
      </c>
      <c r="F1943" s="755">
        <f>IF($C$1943=0,NA(),VLOOKUP($I$1936&amp;$B$1943,FLNFIX!$AA$4:$EF$103,3,0))</f>
        <v>2</v>
      </c>
      <c r="G1943" s="756" t="str">
        <f>IF($C$1943=0,NA(),VLOOKUP($I$1936&amp;$B$1943,FLNFIX!$AA$4:$EF$103,5,0))</f>
        <v>-</v>
      </c>
      <c r="H1943" s="757"/>
      <c r="I1943" s="757"/>
      <c r="J1943" s="758"/>
      <c r="K1943" s="677"/>
    </row>
    <row r="1944" ht="20.1" customHeight="1" spans="1:11">
      <c r="A1944" s="675"/>
      <c r="B1944" s="755">
        <f t="shared" si="35"/>
        <v>5</v>
      </c>
      <c r="C1944" s="755" t="str">
        <f>IFERROR(VLOOKUP(B1944,DATEWISE!$A$3:$BY$27,2,0),0)</f>
        <v>17.08.2026</v>
      </c>
      <c r="D1944" s="755">
        <f>IF($C$1944=0,NA(),VLOOKUP($I$1936&amp;$B$1944,FLNFIX!$AF$4:$EF$103,2,0))</f>
        <v>2</v>
      </c>
      <c r="E1944" s="755">
        <f>IF($C$1944=0,NA(),VLOOKUP($I$1936&amp;$B$1944,FLNFIX!$AF$4:$EF$103,4,0))</f>
        <v>3</v>
      </c>
      <c r="F1944" s="755">
        <f>IF($C$1944=0,NA(),VLOOKUP($I$1936&amp;$B$1944,FLNFIX!$AF$4:$EF$103,3,0))</f>
        <v>2</v>
      </c>
      <c r="G1944" s="756" t="str">
        <f>IF($C$1944=0,NA(),VLOOKUP($I$1936&amp;$B$1944,FLNFIX!$AF$4:$EF$103,5,0))</f>
        <v>-</v>
      </c>
      <c r="H1944" s="757"/>
      <c r="I1944" s="757"/>
      <c r="J1944" s="758"/>
      <c r="K1944" s="677"/>
    </row>
    <row r="1945" ht="20.1" customHeight="1" spans="1:11">
      <c r="A1945" s="675"/>
      <c r="B1945" s="755">
        <f t="shared" si="35"/>
        <v>6</v>
      </c>
      <c r="C1945" s="755" t="str">
        <f>IFERROR(VLOOKUP(B1945,DATEWISE!$A$3:$BY$27,2,0),0)</f>
        <v>31.08.2026</v>
      </c>
      <c r="D1945" s="755">
        <f>IF($C$1945=0,NA(),VLOOKUP($I$1936&amp;$B$1945,FLNFIX!$AK$4:$EF$103,2,0))</f>
        <v>3</v>
      </c>
      <c r="E1945" s="755">
        <f>IF($C$1945=0,NA(),VLOOKUP($I$1936&amp;$B$1945,FLNFIX!$AK$4:$EF$103,4,0))</f>
        <v>3</v>
      </c>
      <c r="F1945" s="755">
        <f>IF($C$1945=0,NA(),VLOOKUP($I$1936&amp;$B$1945,FLNFIX!$AK$4:$EF$103,3,0))</f>
        <v>2</v>
      </c>
      <c r="G1945" s="756">
        <f>IF($C$1945=0,NA(),VLOOKUP($I$1936&amp;$B$1945,FLNFIX!$AK$4:$EF$103,5,0))</f>
        <v>0</v>
      </c>
      <c r="H1945" s="757"/>
      <c r="I1945" s="757"/>
      <c r="J1945" s="758"/>
      <c r="K1945" s="677"/>
    </row>
    <row r="1946" ht="20.1" customHeight="1" spans="1:11">
      <c r="A1946" s="675"/>
      <c r="B1946" s="755">
        <f t="shared" si="35"/>
        <v>7</v>
      </c>
      <c r="C1946" s="755">
        <f>IFERROR(VLOOKUP(B1946,DATEWISE!$A$3:$BY$27,2,0),0)</f>
        <v>0</v>
      </c>
      <c r="D1946" s="755" t="e">
        <f>IF($C$1946=0,NA(),VLOOKUP($I$1936&amp;$B$1946,FLNFIX!$AP$4:$EF$103,2,0))</f>
        <v>#N/A</v>
      </c>
      <c r="E1946" s="755" t="e">
        <f>IF($C$1946=0,NA(),VLOOKUP($I$1936&amp;$B$1946,FLNFIX!$AP$4:$EF$103,4,0))</f>
        <v>#N/A</v>
      </c>
      <c r="F1946" s="755" t="e">
        <f>IF($C$1946=0,NA(),VLOOKUP($I$1936&amp;$B$1946,FLNFIX!$AP$4:$EF$103,3,0))</f>
        <v>#N/A</v>
      </c>
      <c r="G1946" s="756" t="e">
        <f>IF($C$1946=0,NA(),VLOOKUP($I$1936&amp;$B$1946,FLNFIX!$AP$4:$EF$103,5,0))</f>
        <v>#N/A</v>
      </c>
      <c r="H1946" s="757"/>
      <c r="I1946" s="757"/>
      <c r="J1946" s="758"/>
      <c r="K1946" s="677"/>
    </row>
    <row r="1947" ht="20.1" customHeight="1" spans="1:11">
      <c r="A1947" s="675"/>
      <c r="B1947" s="755">
        <f t="shared" si="35"/>
        <v>8</v>
      </c>
      <c r="C1947" s="755">
        <f>IFERROR(VLOOKUP(B1947,DATEWISE!$A$3:$BY$27,2,0),0)</f>
        <v>0</v>
      </c>
      <c r="D1947" s="755" t="e">
        <f>IF($C$1947=0,NA(),VLOOKUP($I$1936&amp;$B$1947,FLNFIX!$AU$4:$EF$103,2,0))</f>
        <v>#N/A</v>
      </c>
      <c r="E1947" s="755" t="e">
        <f>IF($C$1947=0,NA(),VLOOKUP($I$1936&amp;$B$1947,FLNFIX!$AU$4:$EF$103,4,0))</f>
        <v>#N/A</v>
      </c>
      <c r="F1947" s="755" t="e">
        <f>IF($C$1947=0,NA(),VLOOKUP($I$1936&amp;$B$1947,FLNFIX!$AU$4:$EF$103,3,0))</f>
        <v>#N/A</v>
      </c>
      <c r="G1947" s="756" t="e">
        <f>IF($C$1947=0,NA(),VLOOKUP($I$1936&amp;$B$1947,FLNFIX!$AU$4:$EF$103,5,0))</f>
        <v>#N/A</v>
      </c>
      <c r="H1947" s="757"/>
      <c r="I1947" s="757"/>
      <c r="J1947" s="758"/>
      <c r="K1947" s="677"/>
    </row>
    <row r="1948" ht="20.1" customHeight="1" spans="1:11">
      <c r="A1948" s="675"/>
      <c r="B1948" s="755">
        <f t="shared" si="35"/>
        <v>9</v>
      </c>
      <c r="C1948" s="755">
        <f>IFERROR(VLOOKUP(B1948,DATEWISE!$A$3:$BY$27,2,0),0)</f>
        <v>0</v>
      </c>
      <c r="D1948" s="755" t="e">
        <f>IF($C$1948=0,NA(),VLOOKUP($I$1936&amp;$B$1948,FLNFIX!$AZ$4:$EF$103,2,0))</f>
        <v>#N/A</v>
      </c>
      <c r="E1948" s="755" t="e">
        <f>IF($C$1948=0,NA(),VLOOKUP($I$1936&amp;$B$1948,FLNFIX!$AZ$4:$EF$103,4,0))</f>
        <v>#N/A</v>
      </c>
      <c r="F1948" s="755" t="e">
        <f>IF($C$1948=0,NA(),VLOOKUP($I$1936&amp;$B$1948,FLNFIX!$AZ$4:$EF$103,3,0))</f>
        <v>#N/A</v>
      </c>
      <c r="G1948" s="756" t="e">
        <f>IF($C$1948=0,NA(),VLOOKUP($I$1936&amp;$B$1948,FLNFIX!$AZ$4:$EF$103,5,0))</f>
        <v>#N/A</v>
      </c>
      <c r="H1948" s="757"/>
      <c r="I1948" s="757"/>
      <c r="J1948" s="758"/>
      <c r="K1948" s="677"/>
    </row>
    <row r="1949" ht="20.1" customHeight="1" spans="1:11">
      <c r="A1949" s="675"/>
      <c r="B1949" s="755">
        <f t="shared" si="35"/>
        <v>10</v>
      </c>
      <c r="C1949" s="755">
        <f>IFERROR(VLOOKUP(B1949,DATEWISE!$A$3:$BY$27,2,0),0)</f>
        <v>0</v>
      </c>
      <c r="D1949" s="755" t="e">
        <f>IF($C$1949=0,NA(),VLOOKUP($I$1936&amp;$B$1949,FLNFIX!$BE$4:$EF$103,2,0))</f>
        <v>#N/A</v>
      </c>
      <c r="E1949" s="755" t="e">
        <f>IF($C$1949=0,NA(),VLOOKUP($I$1936&amp;$B$1949,FLNFIX!$BE$4:$EF$103,4,0))</f>
        <v>#N/A</v>
      </c>
      <c r="F1949" s="755" t="e">
        <f>IF($C$1949=0,NA(),VLOOKUP($I$1936&amp;$B$1949,FLNFIX!$BE$4:$EF$103,3,0))</f>
        <v>#N/A</v>
      </c>
      <c r="G1949" s="756" t="e">
        <f>IF($C$1949=0,NA(),VLOOKUP($I$1936&amp;$B$1949,FLNFIX!$BE$4:$EF$103,5,0))</f>
        <v>#N/A</v>
      </c>
      <c r="H1949" s="757"/>
      <c r="I1949" s="757"/>
      <c r="J1949" s="758"/>
      <c r="K1949" s="677"/>
    </row>
    <row r="1950" ht="20.1" customHeight="1" spans="1:11">
      <c r="A1950" s="675"/>
      <c r="B1950" s="755">
        <f t="shared" si="35"/>
        <v>11</v>
      </c>
      <c r="C1950" s="755">
        <f>IFERROR(VLOOKUP(B1950,DATEWISE!$A$3:$BY$27,2,0),0)</f>
        <v>0</v>
      </c>
      <c r="D1950" s="755" t="e">
        <f>IF($C$1950=0,NA(),VLOOKUP($I$1936&amp;$B$1950,FLNFIX!$BJ$4:$EF$103,2,0))</f>
        <v>#N/A</v>
      </c>
      <c r="E1950" s="755" t="e">
        <f>IF($C$1950=0,NA(),VLOOKUP($I$1936&amp;$B$1950,FLNFIX!$BJ$4:$EF$103,4,0))</f>
        <v>#N/A</v>
      </c>
      <c r="F1950" s="755" t="e">
        <f>IF($C$1950=0,NA(),VLOOKUP($I$1936&amp;$B$1950,FLNFIX!$BJ$4:$EF$103,3,0))</f>
        <v>#N/A</v>
      </c>
      <c r="G1950" s="756" t="e">
        <f>IF($C$1950=0,NA(),VLOOKUP($I$1936&amp;$B$1950,FLNFIX!$BJ$4:$EF$103,5,0))</f>
        <v>#N/A</v>
      </c>
      <c r="H1950" s="757"/>
      <c r="I1950" s="757"/>
      <c r="J1950" s="758"/>
      <c r="K1950" s="677"/>
    </row>
    <row r="1951" ht="20.1" customHeight="1" spans="1:11">
      <c r="A1951" s="675"/>
      <c r="B1951" s="755">
        <f t="shared" si="35"/>
        <v>12</v>
      </c>
      <c r="C1951" s="755">
        <f>IFERROR(VLOOKUP(B1951,DATEWISE!$A$3:$BY$27,2,0),0)</f>
        <v>0</v>
      </c>
      <c r="D1951" s="755" t="e">
        <f>IF($C$1951=0,NA(),VLOOKUP($I$1936&amp;$B$1951,FLNFIX!$BO$4:$EF$103,2,0))</f>
        <v>#N/A</v>
      </c>
      <c r="E1951" s="755" t="e">
        <f>IF($C$1951=0,NA(),VLOOKUP($I$1936&amp;$B$1951,FLNFIX!$BO$4:$EF$103,4,0))</f>
        <v>#N/A</v>
      </c>
      <c r="F1951" s="755" t="e">
        <f>IF($C$1951=0,NA(),VLOOKUP($I$1936&amp;$B$1951,FLNFIX!$BO$4:$EF$103,3,0))</f>
        <v>#N/A</v>
      </c>
      <c r="G1951" s="756" t="e">
        <f>IF($C$1951=0,NA(),VLOOKUP($I$1936&amp;$B$1951,FLNFIX!$BO$4:$EF$103,5,0))</f>
        <v>#N/A</v>
      </c>
      <c r="H1951" s="757"/>
      <c r="I1951" s="757"/>
      <c r="J1951" s="758"/>
      <c r="K1951" s="677"/>
    </row>
    <row r="1952" ht="20.1" customHeight="1" spans="1:11">
      <c r="A1952" s="675"/>
      <c r="B1952" s="755">
        <f t="shared" si="35"/>
        <v>13</v>
      </c>
      <c r="C1952" s="755">
        <f>IFERROR(VLOOKUP(B1952,DATEWISE!$A$3:$BY$27,2,0),0)</f>
        <v>0</v>
      </c>
      <c r="D1952" s="755" t="e">
        <f>IF($C$1952=0,NA(),VLOOKUP($I$1936&amp;$B$1952,FLNFIX!$BT$4:$EF$103,2,0))</f>
        <v>#N/A</v>
      </c>
      <c r="E1952" s="755" t="e">
        <f>IF($C$1952=0,NA(),VLOOKUP($I$1936&amp;$B$1952,FLNFIX!$BT$4:$EF$103,4,0))</f>
        <v>#N/A</v>
      </c>
      <c r="F1952" s="755" t="e">
        <f>IF($C$1952=0,NA(),VLOOKUP($I$1936&amp;$B$1952,FLNFIX!$BT$4:$EF$103,3,0))</f>
        <v>#N/A</v>
      </c>
      <c r="G1952" s="756" t="e">
        <f>IF($C$1952=0,NA(),VLOOKUP($I$1936&amp;$B$1952,FLNFIX!$BT$4:$EF$103,5,0))</f>
        <v>#N/A</v>
      </c>
      <c r="H1952" s="757"/>
      <c r="I1952" s="757"/>
      <c r="J1952" s="758"/>
      <c r="K1952" s="677"/>
    </row>
    <row r="1953" ht="20.1" customHeight="1" spans="1:11">
      <c r="A1953" s="675"/>
      <c r="B1953" s="755">
        <f t="shared" si="35"/>
        <v>14</v>
      </c>
      <c r="C1953" s="755">
        <f>IFERROR(VLOOKUP(B1953,DATEWISE!$A$3:$BY$27,2,0),0)</f>
        <v>0</v>
      </c>
      <c r="D1953" s="755" t="e">
        <f>IF($C$1953=0,NA(),VLOOKUP($I$1936&amp;$B$1953,FLNFIX!$BY$4:$EF$103,2,0))</f>
        <v>#N/A</v>
      </c>
      <c r="E1953" s="755" t="e">
        <f>IF($C$1953=0,NA(),VLOOKUP($I$1936&amp;$B$1953,FLNFIX!$BY$4:$EF$103,4,0))</f>
        <v>#N/A</v>
      </c>
      <c r="F1953" s="755" t="e">
        <f>IF($C$1953=0,NA(),VLOOKUP($I$1936&amp;$B$1953,FLNFIX!$BY$4:$EF$103,3,0))</f>
        <v>#N/A</v>
      </c>
      <c r="G1953" s="756" t="e">
        <f>IF($C$1953=0,NA(),VLOOKUP($I$1936&amp;$B$1953,FLNFIX!$BY$4:$EF$103,5,0))</f>
        <v>#N/A</v>
      </c>
      <c r="H1953" s="757"/>
      <c r="I1953" s="757"/>
      <c r="J1953" s="758"/>
      <c r="K1953" s="677"/>
    </row>
    <row r="1954" ht="20.1" customHeight="1" spans="1:11">
      <c r="A1954" s="675"/>
      <c r="B1954" s="755">
        <f t="shared" si="35"/>
        <v>15</v>
      </c>
      <c r="C1954" s="755">
        <f>IFERROR(VLOOKUP(B1954,DATEWISE!$A$3:$BY$27,2,0),0)</f>
        <v>0</v>
      </c>
      <c r="D1954" s="755" t="e">
        <f>IF($C$1954=0,NA(),VLOOKUP($I$1936&amp;$B$1954,FLNFIX!$CD$4:$EF$103,2,0))</f>
        <v>#N/A</v>
      </c>
      <c r="E1954" s="755" t="e">
        <f>IF($C$1954=0,NA(),VLOOKUP($I$1936&amp;$B$1954,FLNFIX!$CD$4:$EF$103,4,0))</f>
        <v>#N/A</v>
      </c>
      <c r="F1954" s="755" t="e">
        <f>IF($C$1954=0,NA(),VLOOKUP($I$1936&amp;$B$1954,FLNFIX!$CD$4:$EF$103,3,0))</f>
        <v>#N/A</v>
      </c>
      <c r="G1954" s="756" t="e">
        <f>IF($C$1954=0,NA(),VLOOKUP($I$1936&amp;$B$1954,FLNFIX!$CD$4:$EF$103,5,0))</f>
        <v>#N/A</v>
      </c>
      <c r="H1954" s="757"/>
      <c r="I1954" s="757"/>
      <c r="J1954" s="758"/>
      <c r="K1954" s="677"/>
    </row>
    <row r="1955" ht="20.1" customHeight="1" spans="1:11">
      <c r="A1955" s="675"/>
      <c r="B1955" s="755">
        <f t="shared" si="35"/>
        <v>16</v>
      </c>
      <c r="C1955" s="755">
        <f>IFERROR(VLOOKUP(B1955,DATEWISE!$A$3:$BY$27,2,0),0)</f>
        <v>0</v>
      </c>
      <c r="D1955" s="755" t="e">
        <f>IF($C$1955=0,NA(),VLOOKUP($I$1936&amp;$B$1955,FLNFIX!$CI$4:$EF$103,2,0))</f>
        <v>#N/A</v>
      </c>
      <c r="E1955" s="755" t="e">
        <f>IF($C$1955=0,NA(),VLOOKUP($I$1936&amp;$B$1955,FLNFIX!$CI$4:$EF$103,4,0))</f>
        <v>#N/A</v>
      </c>
      <c r="F1955" s="755" t="e">
        <f>IF($C$1955=0,NA(),VLOOKUP($I$1936&amp;$B$1955,FLNFIX!$CI$4:$EF$103,3,0))</f>
        <v>#N/A</v>
      </c>
      <c r="G1955" s="756" t="e">
        <f>IF($C$1955=0,NA(),VLOOKUP($I$1936&amp;$B$1955,FLNFIX!$CI$4:$EF$103,5,0))</f>
        <v>#N/A</v>
      </c>
      <c r="H1955" s="757"/>
      <c r="I1955" s="757"/>
      <c r="J1955" s="758"/>
      <c r="K1955" s="677"/>
    </row>
    <row r="1956" ht="20.1" customHeight="1" spans="1:11">
      <c r="A1956" s="675"/>
      <c r="B1956" s="755">
        <f t="shared" si="35"/>
        <v>17</v>
      </c>
      <c r="C1956" s="755">
        <f>IFERROR(VLOOKUP(B1956,DATEWISE!$A$3:$BY$27,2,0),0)</f>
        <v>0</v>
      </c>
      <c r="D1956" s="755" t="e">
        <f>IF($C$1956=0,NA(),VLOOKUP($I$1936&amp;$B$1956,FLNFIX!$CN$4:$EF$103,2,0))</f>
        <v>#N/A</v>
      </c>
      <c r="E1956" s="755" t="e">
        <f>IF($C$1956=0,NA(),VLOOKUP($I$1936&amp;$B$1956,FLNFIX!$CN$4:$EF$103,4,0))</f>
        <v>#N/A</v>
      </c>
      <c r="F1956" s="755" t="e">
        <f>IF($C$1956=0,NA(),VLOOKUP($I$1936&amp;$B$1956,FLNFIX!$CN$4:$EF$103,3,0))</f>
        <v>#N/A</v>
      </c>
      <c r="G1956" s="756" t="e">
        <f>IF($C$1956=0,NA(),VLOOKUP($I$1936&amp;$B$1956,FLNFIX!$CN$4:$EF$103,5,0))</f>
        <v>#N/A</v>
      </c>
      <c r="H1956" s="757"/>
      <c r="I1956" s="757"/>
      <c r="J1956" s="758"/>
      <c r="K1956" s="677"/>
    </row>
    <row r="1957" ht="20.1" customHeight="1" spans="1:11">
      <c r="A1957" s="675"/>
      <c r="B1957" s="755">
        <f t="shared" si="35"/>
        <v>18</v>
      </c>
      <c r="C1957" s="755">
        <f>IFERROR(VLOOKUP(B1957,DATEWISE!$A$3:$BY$27,2,0),0)</f>
        <v>0</v>
      </c>
      <c r="D1957" s="755" t="e">
        <f>IF($C$1957=0,NA(),VLOOKUP($I$1936&amp;$B$1957,FLNFIX!$CS$4:$EF$103,2,0))</f>
        <v>#N/A</v>
      </c>
      <c r="E1957" s="755" t="e">
        <f>IF($C$1957=0,NA(),VLOOKUP($I$1936&amp;$B$1957,FLNFIX!$CS$4:$EF$103,4,0))</f>
        <v>#N/A</v>
      </c>
      <c r="F1957" s="755" t="e">
        <f>IF($C$1957=0,NA(),VLOOKUP($I$1936&amp;$B$1957,FLNFIX!$CS$4:$EF$103,3,0))</f>
        <v>#N/A</v>
      </c>
      <c r="G1957" s="756" t="e">
        <f>IF($C$1957=0,NA(),VLOOKUP($I$1936&amp;$B$1957,FLNFIX!$CS$4:$EF$103,5,0))</f>
        <v>#N/A</v>
      </c>
      <c r="H1957" s="757"/>
      <c r="I1957" s="757"/>
      <c r="J1957" s="758"/>
      <c r="K1957" s="677"/>
    </row>
    <row r="1958" ht="20.1" customHeight="1" spans="1:11">
      <c r="A1958" s="675"/>
      <c r="B1958" s="755">
        <f t="shared" si="35"/>
        <v>19</v>
      </c>
      <c r="C1958" s="755">
        <f>IFERROR(VLOOKUP(B1958,DATEWISE!$A$3:$BY$27,2,0),0)</f>
        <v>0</v>
      </c>
      <c r="D1958" s="755" t="e">
        <f>IF($C$1958=0,NA(),VLOOKUP($I$1936&amp;$B$1958,FLNFIX!$CX$4:$EF$103,2,0))</f>
        <v>#N/A</v>
      </c>
      <c r="E1958" s="755" t="e">
        <f>IF($C$1958=0,NA(),VLOOKUP($I$1936&amp;$B$1958,FLNFIX!$CX$4:$EF$103,4,0))</f>
        <v>#N/A</v>
      </c>
      <c r="F1958" s="755" t="e">
        <f>IF($C$1958=0,NA(),VLOOKUP($I$1936&amp;$B$1958,FLNFIX!$CX$4:$EF$103,3,0))</f>
        <v>#N/A</v>
      </c>
      <c r="G1958" s="756" t="e">
        <f>IF($C$1958=0,NA(),VLOOKUP($I$1936&amp;$B$1958,FLNFIX!$CX$4:$EF$103,5,0))</f>
        <v>#N/A</v>
      </c>
      <c r="H1958" s="757"/>
      <c r="I1958" s="757"/>
      <c r="J1958" s="758"/>
      <c r="K1958" s="677"/>
    </row>
    <row r="1959" ht="20.1" customHeight="1" spans="1:11">
      <c r="A1959" s="675"/>
      <c r="B1959" s="755">
        <f t="shared" si="35"/>
        <v>20</v>
      </c>
      <c r="C1959" s="755">
        <f>IFERROR(VLOOKUP(B1959,DATEWISE!$A$3:$BY$27,2,0),0)</f>
        <v>0</v>
      </c>
      <c r="D1959" s="755" t="e">
        <f>IF($C$1959=0,NA(),VLOOKUP($I$1936&amp;$B$1959,FLNFIX!$DC$4:$EF$103,2,0))</f>
        <v>#N/A</v>
      </c>
      <c r="E1959" s="755" t="e">
        <f>IF($C$1959=0,NA(),VLOOKUP($I$1936&amp;$B$1959,FLNFIX!$DC$4:$EF$103,4,0))</f>
        <v>#N/A</v>
      </c>
      <c r="F1959" s="755" t="e">
        <f>IF($C$1959=0,NA(),VLOOKUP($I$1936&amp;$B$1959,FLNFIX!$DC$4:$EF$103,3,0))</f>
        <v>#N/A</v>
      </c>
      <c r="G1959" s="756" t="e">
        <f>IF($C$1959=0,NA(),VLOOKUP($I$1936&amp;$B$1959,FLNFIX!$DC$4:$EF$103,5,0))</f>
        <v>#N/A</v>
      </c>
      <c r="H1959" s="757"/>
      <c r="I1959" s="757"/>
      <c r="J1959" s="758"/>
      <c r="K1959" s="677"/>
    </row>
    <row r="1960" ht="20.1" customHeight="1" spans="1:11">
      <c r="A1960" s="675"/>
      <c r="B1960" s="755">
        <f t="shared" si="35"/>
        <v>21</v>
      </c>
      <c r="C1960" s="755">
        <f>IFERROR(VLOOKUP(B1960,DATEWISE!$A$3:$BY$27,2,0),0)</f>
        <v>0</v>
      </c>
      <c r="D1960" s="755" t="e">
        <f>IF($C$1960=0,NA(),VLOOKUP($I$1936&amp;$B$1960,FLNFIX!$DH$4:$EF$103,2,0))</f>
        <v>#N/A</v>
      </c>
      <c r="E1960" s="755" t="e">
        <f>IF($C$1960=0,NA(),VLOOKUP($I$1936&amp;$B$1960,FLNFIX!$DH$4:$EF$103,4,0))</f>
        <v>#N/A</v>
      </c>
      <c r="F1960" s="755" t="e">
        <f>IF($C$1960=0,NA(),VLOOKUP($I$1936&amp;$B$1960,FLNFIX!$DH$4:$EF$103,3,0))</f>
        <v>#N/A</v>
      </c>
      <c r="G1960" s="756" t="e">
        <f>IF($C$1960=0,NA(),VLOOKUP($I$1936&amp;$B$1960,FLNFIX!$DH$4:$EF$103,5,0))</f>
        <v>#N/A</v>
      </c>
      <c r="H1960" s="757"/>
      <c r="I1960" s="757"/>
      <c r="J1960" s="758"/>
      <c r="K1960" s="677"/>
    </row>
    <row r="1961" ht="5.1" customHeight="1" spans="1:11">
      <c r="A1961" s="675"/>
      <c r="B1961" s="759"/>
      <c r="C1961" s="759"/>
      <c r="D1961" s="760"/>
      <c r="E1961" s="760"/>
      <c r="F1961" s="760"/>
      <c r="G1961" s="761"/>
      <c r="H1961" s="761"/>
      <c r="I1961" s="761"/>
      <c r="J1961" s="761"/>
      <c r="K1961" s="677"/>
    </row>
    <row r="1962" s="667" customFormat="1" ht="24.95" customHeight="1" spans="1:11">
      <c r="A1962" s="711"/>
      <c r="B1962" s="762" t="s">
        <v>431</v>
      </c>
      <c r="C1962" s="763"/>
      <c r="D1962" s="763"/>
      <c r="E1962" s="763"/>
      <c r="F1962" s="763"/>
      <c r="G1962" s="763"/>
      <c r="H1962" s="763"/>
      <c r="I1962" s="763"/>
      <c r="J1962" s="764"/>
      <c r="K1962" s="713"/>
    </row>
    <row r="1963" spans="1:11">
      <c r="A1963" s="675"/>
      <c r="B1963" s="765"/>
      <c r="C1963" s="686"/>
      <c r="D1963" s="686"/>
      <c r="E1963" s="686"/>
      <c r="F1963" s="686"/>
      <c r="G1963" s="686"/>
      <c r="H1963" s="686"/>
      <c r="I1963" s="686"/>
      <c r="J1963" s="766"/>
      <c r="K1963" s="677"/>
    </row>
    <row r="1964" spans="1:11">
      <c r="A1964" s="675"/>
      <c r="B1964" s="765"/>
      <c r="C1964" s="686"/>
      <c r="D1964" s="686"/>
      <c r="E1964" s="686"/>
      <c r="F1964" s="686"/>
      <c r="G1964" s="686"/>
      <c r="H1964" s="686"/>
      <c r="I1964" s="686"/>
      <c r="J1964" s="766"/>
      <c r="K1964" s="677"/>
    </row>
    <row r="1965" spans="1:11">
      <c r="A1965" s="675"/>
      <c r="B1965" s="765"/>
      <c r="C1965" s="686"/>
      <c r="D1965" s="686"/>
      <c r="E1965" s="686"/>
      <c r="F1965" s="686"/>
      <c r="G1965" s="686"/>
      <c r="H1965" s="686"/>
      <c r="I1965" s="686"/>
      <c r="J1965" s="766"/>
      <c r="K1965" s="677"/>
    </row>
    <row r="1966" spans="1:11">
      <c r="A1966" s="675"/>
      <c r="B1966" s="765"/>
      <c r="C1966" s="686"/>
      <c r="D1966" s="686"/>
      <c r="E1966" s="686"/>
      <c r="F1966" s="686"/>
      <c r="G1966" s="686"/>
      <c r="H1966" s="686"/>
      <c r="I1966" s="686"/>
      <c r="J1966" s="766"/>
      <c r="K1966" s="677"/>
    </row>
    <row r="1967" spans="1:11">
      <c r="A1967" s="675"/>
      <c r="B1967" s="765"/>
      <c r="C1967" s="686"/>
      <c r="D1967" s="686"/>
      <c r="E1967" s="686"/>
      <c r="F1967" s="686"/>
      <c r="G1967" s="686"/>
      <c r="H1967" s="686"/>
      <c r="I1967" s="686"/>
      <c r="J1967" s="766"/>
      <c r="K1967" s="677"/>
    </row>
    <row r="1968" spans="1:11">
      <c r="A1968" s="675"/>
      <c r="B1968" s="765"/>
      <c r="C1968" s="686"/>
      <c r="D1968" s="686"/>
      <c r="E1968" s="686"/>
      <c r="F1968" s="686"/>
      <c r="G1968" s="686"/>
      <c r="H1968" s="686"/>
      <c r="I1968" s="686"/>
      <c r="J1968" s="766"/>
      <c r="K1968" s="677"/>
    </row>
    <row r="1969" spans="1:11">
      <c r="A1969" s="675"/>
      <c r="B1969" s="765"/>
      <c r="C1969" s="686"/>
      <c r="D1969" s="686"/>
      <c r="E1969" s="686"/>
      <c r="F1969" s="686"/>
      <c r="G1969" s="686"/>
      <c r="H1969" s="686"/>
      <c r="I1969" s="686"/>
      <c r="J1969" s="766"/>
      <c r="K1969" s="677"/>
    </row>
    <row r="1970" spans="1:11">
      <c r="A1970" s="675"/>
      <c r="B1970" s="765"/>
      <c r="C1970" s="686"/>
      <c r="D1970" s="686"/>
      <c r="E1970" s="686"/>
      <c r="F1970" s="686"/>
      <c r="G1970" s="686"/>
      <c r="H1970" s="686"/>
      <c r="I1970" s="686"/>
      <c r="J1970" s="766"/>
      <c r="K1970" s="677"/>
    </row>
    <row r="1971" spans="1:11">
      <c r="A1971" s="675"/>
      <c r="B1971" s="765"/>
      <c r="C1971" s="686"/>
      <c r="D1971" s="686"/>
      <c r="E1971" s="686"/>
      <c r="F1971" s="686"/>
      <c r="G1971" s="686"/>
      <c r="H1971" s="686"/>
      <c r="I1971" s="686"/>
      <c r="J1971" s="766"/>
      <c r="K1971" s="677"/>
    </row>
    <row r="1972" spans="1:11">
      <c r="A1972" s="675"/>
      <c r="B1972" s="767"/>
      <c r="C1972" s="768"/>
      <c r="D1972" s="768"/>
      <c r="E1972" s="768"/>
      <c r="F1972" s="768"/>
      <c r="G1972" s="768"/>
      <c r="H1972" s="768"/>
      <c r="I1972" s="768"/>
      <c r="J1972" s="769"/>
      <c r="K1972" s="677"/>
    </row>
    <row r="1973" ht="5.1" customHeight="1" spans="1:11">
      <c r="A1973" s="675"/>
      <c r="B1973" s="686"/>
      <c r="C1973" s="686"/>
      <c r="D1973" s="686"/>
      <c r="E1973" s="686"/>
      <c r="F1973" s="686"/>
      <c r="G1973" s="686"/>
      <c r="H1973" s="686"/>
      <c r="I1973" s="686"/>
      <c r="J1973" s="686"/>
      <c r="K1973" s="677"/>
    </row>
    <row r="1974" spans="1:11">
      <c r="A1974" s="675"/>
      <c r="B1974" s="770" t="s">
        <v>432</v>
      </c>
      <c r="C1974" s="770"/>
      <c r="D1974" s="770"/>
      <c r="E1974" s="770"/>
      <c r="F1974" s="770"/>
      <c r="G1974" s="770"/>
      <c r="H1974" s="770"/>
      <c r="I1974" s="770"/>
      <c r="J1974" s="770"/>
      <c r="K1974" s="677"/>
    </row>
    <row r="1975" spans="1:11">
      <c r="A1975" s="675"/>
      <c r="B1975" s="771"/>
      <c r="C1975" s="771"/>
      <c r="D1975" s="771"/>
      <c r="E1975" s="771"/>
      <c r="F1975" s="771"/>
      <c r="G1975" s="771"/>
      <c r="H1975" s="771"/>
      <c r="I1975" s="771"/>
      <c r="J1975" s="771"/>
      <c r="K1975" s="677"/>
    </row>
    <row r="1976" spans="1:11">
      <c r="A1976" s="675"/>
      <c r="B1976" s="771"/>
      <c r="C1976" s="771"/>
      <c r="D1976" s="771"/>
      <c r="E1976" s="771"/>
      <c r="F1976" s="771"/>
      <c r="G1976" s="771"/>
      <c r="H1976" s="771"/>
      <c r="I1976" s="771"/>
      <c r="J1976" s="771"/>
      <c r="K1976" s="677"/>
    </row>
    <row r="1977" spans="1:11">
      <c r="A1977" s="675"/>
      <c r="B1977" s="771"/>
      <c r="C1977" s="771"/>
      <c r="D1977" s="771"/>
      <c r="E1977" s="771"/>
      <c r="F1977" s="771"/>
      <c r="G1977" s="771"/>
      <c r="H1977" s="771"/>
      <c r="I1977" s="771"/>
      <c r="J1977" s="771"/>
      <c r="K1977" s="677"/>
    </row>
    <row r="1978" spans="1:11">
      <c r="A1978" s="675"/>
      <c r="B1978" s="686"/>
      <c r="C1978" s="686"/>
      <c r="D1978" s="686"/>
      <c r="E1978" s="686"/>
      <c r="F1978" s="686"/>
      <c r="G1978" s="686"/>
      <c r="H1978" s="686"/>
      <c r="I1978" s="686"/>
      <c r="J1978" s="686"/>
      <c r="K1978" s="677"/>
    </row>
    <row r="1979" spans="1:11">
      <c r="A1979" s="675"/>
      <c r="B1979" s="686"/>
      <c r="C1979" s="729" t="s">
        <v>433</v>
      </c>
      <c r="D1979" s="729"/>
      <c r="E1979" s="686"/>
      <c r="F1979" s="686"/>
      <c r="G1979" s="729" t="s">
        <v>434</v>
      </c>
      <c r="H1979" s="729"/>
      <c r="I1979" s="729"/>
      <c r="J1979" s="729"/>
      <c r="K1979" s="677"/>
    </row>
    <row r="1980" ht="16.35" spans="1:11">
      <c r="A1980" s="725"/>
      <c r="B1980" s="726"/>
      <c r="C1980" s="732" t="str">
        <f>"("&amp;PROPER(ENTRY!$D$19)&amp;")"</f>
        <v>(Indrajeet)</v>
      </c>
      <c r="D1980" s="732"/>
      <c r="E1980" s="726"/>
      <c r="F1980" s="726"/>
      <c r="G1980" s="732" t="str">
        <f>"("&amp;PROPER(ENTRY!$D$12)&amp;")"</f>
        <v>(Shambhu Dayal Meena)</v>
      </c>
      <c r="H1980" s="732"/>
      <c r="I1980" s="732"/>
      <c r="J1980" s="732"/>
      <c r="K1980" s="728"/>
    </row>
    <row r="1981" ht="24.6" spans="1:11">
      <c r="B1981" s="734"/>
      <c r="C1981" s="734"/>
      <c r="D1981" s="669" t="str">
        <f>ENTRY!$D$3</f>
        <v>MUNICIPAL CORPORATION OF DELHI</v>
      </c>
      <c r="E1981" s="669"/>
      <c r="F1981" s="669"/>
      <c r="G1981" s="669"/>
      <c r="H1981" s="734"/>
      <c r="I1981" s="669"/>
      <c r="J1981" s="669"/>
    </row>
    <row r="1982" ht="20.4" spans="1:11">
      <c r="B1982" s="735"/>
      <c r="C1982" s="735"/>
      <c r="D1982" s="670" t="str">
        <f>ENTRY!$D$4</f>
        <v>EDUCATION DEPARTMENT</v>
      </c>
      <c r="E1982" s="670"/>
      <c r="F1982" s="670"/>
      <c r="G1982" s="670"/>
      <c r="H1982" s="735"/>
      <c r="I1982" s="669"/>
      <c r="J1982" s="669"/>
    </row>
    <row r="1983" ht="22.8" spans="1:11">
      <c r="B1983" s="736"/>
      <c r="C1983" s="736"/>
      <c r="D1983" s="664" t="s">
        <v>417</v>
      </c>
      <c r="E1983" s="664"/>
      <c r="F1983" s="664"/>
      <c r="G1983" s="664"/>
      <c r="H1983" s="736"/>
      <c r="I1983" s="669"/>
      <c r="J1983" s="669"/>
    </row>
    <row r="1984" ht="22.8" spans="1:11">
      <c r="B1984" s="736"/>
      <c r="C1984" s="736"/>
      <c r="D1984" s="664" t="s">
        <v>418</v>
      </c>
      <c r="E1984" s="664"/>
      <c r="F1984" s="664"/>
      <c r="G1984" s="664"/>
      <c r="H1984" s="736"/>
      <c r="I1984" s="669"/>
      <c r="J1984" s="669"/>
    </row>
    <row r="1985" ht="24.95" customHeight="1" spans="1:11">
      <c r="B1985" s="735"/>
      <c r="C1985" s="735"/>
      <c r="D1985" s="737" t="str">
        <f>"SESSION : "&amp;ENTRY!$D$11</f>
        <v>SESSION : 2026-27</v>
      </c>
      <c r="E1985" s="737"/>
      <c r="F1985" s="737"/>
      <c r="G1985" s="737"/>
      <c r="H1985" s="735"/>
      <c r="I1985" s="738"/>
      <c r="J1985" s="738"/>
    </row>
    <row r="1986" ht="3.75" customHeight="1" spans="1:11">
      <c r="A1986" s="672"/>
      <c r="B1986" s="739"/>
      <c r="C1986" s="739"/>
      <c r="D1986" s="739"/>
      <c r="E1986" s="739"/>
      <c r="F1986" s="739"/>
      <c r="G1986" s="739"/>
      <c r="H1986" s="739"/>
      <c r="I1986" s="739"/>
      <c r="J1986" s="739"/>
      <c r="K1986" s="674"/>
    </row>
    <row r="1987" ht="21.95" customHeight="1" spans="1:11">
      <c r="A1987" s="675"/>
      <c r="B1987" s="676" t="s">
        <v>419</v>
      </c>
      <c r="C1987" s="676"/>
      <c r="D1987" s="676" t="str">
        <f>ENTRY!$D$6</f>
        <v>MCP NITHARI NO 1 BOYS</v>
      </c>
      <c r="E1987" s="676"/>
      <c r="F1987" s="676"/>
      <c r="G1987" s="676"/>
      <c r="H1987" s="676"/>
      <c r="I1987" s="676"/>
      <c r="J1987" s="676"/>
      <c r="K1987" s="677"/>
    </row>
    <row r="1988" ht="21.95" customHeight="1" spans="1:11">
      <c r="A1988" s="675"/>
      <c r="B1988" s="676" t="s">
        <v>420</v>
      </c>
      <c r="C1988" s="676"/>
      <c r="D1988" s="740" t="str">
        <f>IFERROR(VLOOKUP($I$1991,STUDENT!$A$2:$BP$101,5,0),"")</f>
        <v>MOHD AYAN</v>
      </c>
      <c r="E1988" s="740"/>
      <c r="F1988" s="740"/>
      <c r="G1988" s="740"/>
      <c r="H1988" s="740"/>
      <c r="I1988" s="740"/>
      <c r="J1988" s="740"/>
      <c r="K1988" s="677"/>
    </row>
    <row r="1989" ht="21.95" customHeight="1" spans="1:11">
      <c r="A1989" s="675"/>
      <c r="B1989" s="676" t="s">
        <v>421</v>
      </c>
      <c r="C1989" s="676"/>
      <c r="D1989" s="740" t="str">
        <f>IFERROR(VLOOKUP($I$1991,STUDENT!$A$2:$BP$101,8,0),"")</f>
        <v>BUDHAN MIYAN</v>
      </c>
      <c r="E1989" s="740"/>
      <c r="F1989" s="740"/>
      <c r="G1989" s="740"/>
      <c r="H1989" s="740"/>
      <c r="I1989" s="740"/>
      <c r="J1989" s="740"/>
      <c r="K1989" s="677"/>
    </row>
    <row r="1990" ht="21.95" customHeight="1" spans="1:11">
      <c r="A1990" s="675"/>
      <c r="B1990" s="676" t="s">
        <v>422</v>
      </c>
      <c r="C1990" s="676"/>
      <c r="D1990" s="740">
        <f>IFERROR(VLOOKUP($I$1991,STUDENT!$A$2:$BP$101,6,0),"")</f>
        <v>15144</v>
      </c>
      <c r="E1990" s="740"/>
      <c r="F1990" s="740"/>
      <c r="G1990" s="740"/>
      <c r="H1990" s="740"/>
      <c r="I1990" s="740"/>
      <c r="J1990" s="740"/>
      <c r="K1990" s="677"/>
    </row>
    <row r="1991" ht="21.95" customHeight="1" spans="1:11">
      <c r="A1991" s="675"/>
      <c r="B1991" s="676" t="s">
        <v>423</v>
      </c>
      <c r="C1991" s="676"/>
      <c r="D1991" s="741" t="str">
        <f>IFERROR(VLOOKUP($I$1991,STUDENT!$A$2:$BP$101,59,0),"")</f>
        <v/>
      </c>
      <c r="E1991" s="742" t="s">
        <v>424</v>
      </c>
      <c r="F1991" s="704" t="str">
        <f>IFERROR(VLOOKUP($I$1991,STUDENT!$A$2:$BP$101,2,0),"")</f>
        <v>III-A</v>
      </c>
      <c r="G1991" s="742" t="s">
        <v>425</v>
      </c>
      <c r="H1991" s="743"/>
      <c r="I1991" s="733">
        <f>I1936+1</f>
        <v>37</v>
      </c>
      <c r="J1991" s="683"/>
      <c r="K1991" s="677"/>
    </row>
    <row r="1992" ht="5.1" customHeight="1" spans="1:11">
      <c r="A1992" s="675"/>
      <c r="B1992" s="745"/>
      <c r="C1992" s="745"/>
      <c r="D1992" s="746"/>
      <c r="E1992" s="747"/>
      <c r="F1992" s="748"/>
      <c r="G1992" s="747"/>
      <c r="H1992" s="686"/>
      <c r="I1992" s="686"/>
      <c r="J1992" s="686"/>
      <c r="K1992" s="677"/>
    </row>
    <row r="1993" s="664" customFormat="1" ht="32.1" customHeight="1" spans="1:11">
      <c r="A1993" s="688"/>
      <c r="B1993" s="749" t="s">
        <v>426</v>
      </c>
      <c r="C1993" s="750"/>
      <c r="D1993" s="750"/>
      <c r="E1993" s="750"/>
      <c r="F1993" s="750"/>
      <c r="G1993" s="750"/>
      <c r="H1993" s="750"/>
      <c r="I1993" s="750"/>
      <c r="J1993" s="751"/>
      <c r="K1993" s="690"/>
    </row>
    <row r="1994" ht="51.6" spans="1:11">
      <c r="A1994" s="675"/>
      <c r="B1994" s="752">
        <v>21</v>
      </c>
      <c r="C1994" s="753" t="s">
        <v>427</v>
      </c>
      <c r="D1994" s="754" t="s">
        <v>428</v>
      </c>
      <c r="E1994" s="754" t="s">
        <v>429</v>
      </c>
      <c r="F1994" s="754" t="s">
        <v>430</v>
      </c>
      <c r="G1994" s="753" t="s">
        <v>390</v>
      </c>
      <c r="H1994" s="714"/>
      <c r="I1994" s="714"/>
      <c r="J1994" s="714"/>
      <c r="K1994" s="677"/>
    </row>
    <row r="1995" ht="20.1" customHeight="1" spans="1:11">
      <c r="A1995" s="675"/>
      <c r="B1995" s="755">
        <v>1</v>
      </c>
      <c r="C1995" s="755" t="str">
        <f>IFERROR(VLOOKUP(B1995,DATEWISE!$A$3:$BY$27,2,0),0)</f>
        <v>30.04.2026</v>
      </c>
      <c r="D1995" s="755">
        <f>IF($C$1995=0,NA(),VLOOKUP($I$1991&amp;$B$1995,FLNFIX!$L$4:$EF$103,2,0))</f>
        <v>2</v>
      </c>
      <c r="E1995" s="755">
        <f>IF($C$1995=0,NA(),VLOOKUP($I$1991&amp;$B$1995,FLNFIX!$L$4:$EF$103,4,0))</f>
        <v>3</v>
      </c>
      <c r="F1995" s="755">
        <f>IF($C$1995=0,NA(),VLOOKUP($I$1991&amp;$B$1995,FLNFIX!$L$4:$EF$103,3,0))</f>
        <v>2</v>
      </c>
      <c r="G1995" s="756">
        <f>IF($C$1995=0,NA(),VLOOKUP($I$1991&amp;$B$1995,FLNFIX!$L$4:$EF$103,5,0))</f>
        <v>0</v>
      </c>
      <c r="H1995" s="757"/>
      <c r="I1995" s="757"/>
      <c r="J1995" s="758"/>
      <c r="K1995" s="677"/>
    </row>
    <row r="1996" ht="20.1" customHeight="1" spans="1:11">
      <c r="A1996" s="675"/>
      <c r="B1996" s="755">
        <f t="shared" ref="B1996:B2015" si="36">IF(B1995=0,0,IF(B1995&lt;$B$1994,B1995+1,""))</f>
        <v>2</v>
      </c>
      <c r="C1996" s="755" t="str">
        <f>IFERROR(VLOOKUP(B1996,DATEWISE!$A$3:$BY$27,2,0),0)</f>
        <v>08.05.2026</v>
      </c>
      <c r="D1996" s="755">
        <f>IF($C$1996=0,NA(),VLOOKUP($I$1991&amp;$B$1996,FLNFIX!$Q$4:$EF$103,2,0))</f>
        <v>2</v>
      </c>
      <c r="E1996" s="755">
        <f>IF($C$1996=0,NA(),VLOOKUP($I$1991&amp;$B$1996,FLNFIX!$Q$4:$EF$103,4,0))</f>
        <v>3</v>
      </c>
      <c r="F1996" s="755">
        <f>IF($C$1996=0,NA(),VLOOKUP($I$1991&amp;$B$1996,FLNFIX!$Q$4:$EF$103,3,0))</f>
        <v>2</v>
      </c>
      <c r="G1996" s="756" t="str">
        <f>IF($C$1996=0,NA(),VLOOKUP($I$1991&amp;$B$1996,FLNFIX!$Q$4:$EF$103,5,0))</f>
        <v>-</v>
      </c>
      <c r="H1996" s="757"/>
      <c r="I1996" s="757"/>
      <c r="J1996" s="758"/>
      <c r="K1996" s="677"/>
    </row>
    <row r="1997" ht="20.1" customHeight="1" spans="1:11">
      <c r="A1997" s="675"/>
      <c r="B1997" s="755">
        <f t="shared" si="36"/>
        <v>3</v>
      </c>
      <c r="C1997" s="755" t="str">
        <f>IFERROR(VLOOKUP(B1997,DATEWISE!$A$3:$BY$27,2,0),0)</f>
        <v>15.07.2026</v>
      </c>
      <c r="D1997" s="755">
        <f>IF($C$1997=0,NA(),VLOOKUP($I$1991&amp;$B$1997,FLNFIX!$V$4:$EF$103,2,0))</f>
        <v>2</v>
      </c>
      <c r="E1997" s="755">
        <f>IF($C$1997=0,NA(),VLOOKUP($I$1991&amp;$B$1997,FLNFIX!$V$4:$EF$103,4,0))</f>
        <v>3</v>
      </c>
      <c r="F1997" s="755">
        <f>IF($C$1997=0,NA(),VLOOKUP($I$1991&amp;$B$1997,FLNFIX!$V$4:$EF$103,3,0))</f>
        <v>2</v>
      </c>
      <c r="G1997" s="756" t="str">
        <f>IF($C$1997=0,NA(),VLOOKUP($I$1991&amp;$B$1997,FLNFIX!$V$4:$EF$103,5,0))</f>
        <v>-</v>
      </c>
      <c r="H1997" s="757"/>
      <c r="I1997" s="757"/>
      <c r="J1997" s="758"/>
      <c r="K1997" s="677"/>
    </row>
    <row r="1998" ht="20.1" customHeight="1" spans="1:11">
      <c r="A1998" s="675"/>
      <c r="B1998" s="755">
        <f t="shared" si="36"/>
        <v>4</v>
      </c>
      <c r="C1998" s="755" t="str">
        <f>IFERROR(VLOOKUP(B1998,DATEWISE!$A$3:$BY$27,2,0),0)</f>
        <v>31.07.2026</v>
      </c>
      <c r="D1998" s="755">
        <f>IF($C$1998=0,NA(),VLOOKUP($I$1991&amp;$B$1998,FLNFIX!$AA$4:$EF$103,2,0))</f>
        <v>2</v>
      </c>
      <c r="E1998" s="755">
        <f>IF($C$1998=0,NA(),VLOOKUP($I$1991&amp;$B$1998,FLNFIX!$AA$4:$EF$103,4,0))</f>
        <v>3</v>
      </c>
      <c r="F1998" s="755">
        <f>IF($C$1998=0,NA(),VLOOKUP($I$1991&amp;$B$1998,FLNFIX!$AA$4:$EF$103,3,0))</f>
        <v>2</v>
      </c>
      <c r="G1998" s="756" t="str">
        <f>IF($C$1998=0,NA(),VLOOKUP($I$1991&amp;$B$1998,FLNFIX!$AA$4:$EF$103,5,0))</f>
        <v>-</v>
      </c>
      <c r="H1998" s="757"/>
      <c r="I1998" s="757"/>
      <c r="J1998" s="758"/>
      <c r="K1998" s="677"/>
    </row>
    <row r="1999" ht="20.1" customHeight="1" spans="1:11">
      <c r="A1999" s="675"/>
      <c r="B1999" s="755">
        <f t="shared" si="36"/>
        <v>5</v>
      </c>
      <c r="C1999" s="755" t="str">
        <f>IFERROR(VLOOKUP(B1999,DATEWISE!$A$3:$BY$27,2,0),0)</f>
        <v>17.08.2026</v>
      </c>
      <c r="D1999" s="755">
        <f>IF($C$1999=0,NA(),VLOOKUP($I$1991&amp;$B$1999,FLNFIX!$AF$4:$EF$103,2,0))</f>
        <v>2</v>
      </c>
      <c r="E1999" s="755">
        <f>IF($C$1999=0,NA(),VLOOKUP($I$1991&amp;$B$1999,FLNFIX!$AF$4:$EF$103,4,0))</f>
        <v>3</v>
      </c>
      <c r="F1999" s="755">
        <f>IF($C$1999=0,NA(),VLOOKUP($I$1991&amp;$B$1999,FLNFIX!$AF$4:$EF$103,3,0))</f>
        <v>2</v>
      </c>
      <c r="G1999" s="756" t="str">
        <f>IF($C$1999=0,NA(),VLOOKUP($I$1991&amp;$B$1999,FLNFIX!$AF$4:$EF$103,5,0))</f>
        <v>-</v>
      </c>
      <c r="H1999" s="757"/>
      <c r="I1999" s="757"/>
      <c r="J1999" s="758"/>
      <c r="K1999" s="677"/>
    </row>
    <row r="2000" ht="20.1" customHeight="1" spans="1:11">
      <c r="A2000" s="675"/>
      <c r="B2000" s="755">
        <f t="shared" si="36"/>
        <v>6</v>
      </c>
      <c r="C2000" s="755" t="str">
        <f>IFERROR(VLOOKUP(B2000,DATEWISE!$A$3:$BY$27,2,0),0)</f>
        <v>31.08.2026</v>
      </c>
      <c r="D2000" s="755">
        <f>IF($C$2000=0,NA(),VLOOKUP($I$1991&amp;$B$2000,FLNFIX!$AK$4:$EF$103,2,0))</f>
        <v>2</v>
      </c>
      <c r="E2000" s="755">
        <f>IF($C$2000=0,NA(),VLOOKUP($I$1991&amp;$B$2000,FLNFIX!$AK$4:$EF$103,4,0))</f>
        <v>3</v>
      </c>
      <c r="F2000" s="755">
        <f>IF($C$2000=0,NA(),VLOOKUP($I$1991&amp;$B$2000,FLNFIX!$AK$4:$EF$103,3,0))</f>
        <v>2</v>
      </c>
      <c r="G2000" s="756">
        <f>IF($C$2000=0,NA(),VLOOKUP($I$1991&amp;$B$2000,FLNFIX!$AK$4:$EF$103,5,0))</f>
        <v>0</v>
      </c>
      <c r="H2000" s="757"/>
      <c r="I2000" s="757"/>
      <c r="J2000" s="758"/>
      <c r="K2000" s="677"/>
    </row>
    <row r="2001" ht="20.1" customHeight="1" spans="1:11">
      <c r="A2001" s="675"/>
      <c r="B2001" s="755">
        <f t="shared" si="36"/>
        <v>7</v>
      </c>
      <c r="C2001" s="755">
        <f>IFERROR(VLOOKUP(B2001,DATEWISE!$A$3:$BY$27,2,0),0)</f>
        <v>0</v>
      </c>
      <c r="D2001" s="755" t="e">
        <f>IF($C$2001=0,NA(),VLOOKUP($I$1991&amp;$B$2001,FLNFIX!$AP$4:$EF$103,2,0))</f>
        <v>#N/A</v>
      </c>
      <c r="E2001" s="755" t="e">
        <f>IF($C$2001=0,NA(),VLOOKUP($I$1991&amp;$B$2001,FLNFIX!$AP$4:$EF$103,4,0))</f>
        <v>#N/A</v>
      </c>
      <c r="F2001" s="755" t="e">
        <f>IF($C$2001=0,NA(),VLOOKUP($I$1991&amp;$B$2001,FLNFIX!$AP$4:$EF$103,3,0))</f>
        <v>#N/A</v>
      </c>
      <c r="G2001" s="756" t="e">
        <f>IF($C$2001=0,NA(),VLOOKUP($I$1991&amp;$B$2001,FLNFIX!$AP$4:$EF$103,5,0))</f>
        <v>#N/A</v>
      </c>
      <c r="H2001" s="757"/>
      <c r="I2001" s="757"/>
      <c r="J2001" s="758"/>
      <c r="K2001" s="677"/>
    </row>
    <row r="2002" ht="20.1" customHeight="1" spans="1:11">
      <c r="A2002" s="675"/>
      <c r="B2002" s="755">
        <f t="shared" si="36"/>
        <v>8</v>
      </c>
      <c r="C2002" s="755">
        <f>IFERROR(VLOOKUP(B2002,DATEWISE!$A$3:$BY$27,2,0),0)</f>
        <v>0</v>
      </c>
      <c r="D2002" s="755" t="e">
        <f>IF($C$2002=0,NA(),VLOOKUP($I$1991&amp;$B$2002,FLNFIX!$AU$4:$EF$103,2,0))</f>
        <v>#N/A</v>
      </c>
      <c r="E2002" s="755" t="e">
        <f>IF($C$2002=0,NA(),VLOOKUP($I$1991&amp;$B$2002,FLNFIX!$AU$4:$EF$103,4,0))</f>
        <v>#N/A</v>
      </c>
      <c r="F2002" s="755" t="e">
        <f>IF($C$2002=0,NA(),VLOOKUP($I$1991&amp;$B$2002,FLNFIX!$AU$4:$EF$103,3,0))</f>
        <v>#N/A</v>
      </c>
      <c r="G2002" s="756" t="e">
        <f>IF($C$2002=0,NA(),VLOOKUP($I$1991&amp;$B$2002,FLNFIX!$AU$4:$EF$103,5,0))</f>
        <v>#N/A</v>
      </c>
      <c r="H2002" s="757"/>
      <c r="I2002" s="757"/>
      <c r="J2002" s="758"/>
      <c r="K2002" s="677"/>
    </row>
    <row r="2003" ht="20.1" customHeight="1" spans="1:11">
      <c r="A2003" s="675"/>
      <c r="B2003" s="755">
        <f t="shared" si="36"/>
        <v>9</v>
      </c>
      <c r="C2003" s="755">
        <f>IFERROR(VLOOKUP(B2003,DATEWISE!$A$3:$BY$27,2,0),0)</f>
        <v>0</v>
      </c>
      <c r="D2003" s="755" t="e">
        <f>IF($C$2003=0,NA(),VLOOKUP($I$1991&amp;$B$2003,FLNFIX!$AZ$4:$EF$103,2,0))</f>
        <v>#N/A</v>
      </c>
      <c r="E2003" s="755" t="e">
        <f>IF($C$2003=0,NA(),VLOOKUP($I$1991&amp;$B$2003,FLNFIX!$AZ$4:$EF$103,4,0))</f>
        <v>#N/A</v>
      </c>
      <c r="F2003" s="755" t="e">
        <f>IF($C$2003=0,NA(),VLOOKUP($I$1991&amp;$B$2003,FLNFIX!$AZ$4:$EF$103,3,0))</f>
        <v>#N/A</v>
      </c>
      <c r="G2003" s="756" t="e">
        <f>IF($C$2003=0,NA(),VLOOKUP($I$1991&amp;$B$2003,FLNFIX!$AZ$4:$EF$103,5,0))</f>
        <v>#N/A</v>
      </c>
      <c r="H2003" s="757"/>
      <c r="I2003" s="757"/>
      <c r="J2003" s="758"/>
      <c r="K2003" s="677"/>
    </row>
    <row r="2004" ht="20.1" customHeight="1" spans="1:11">
      <c r="A2004" s="675"/>
      <c r="B2004" s="755">
        <f t="shared" si="36"/>
        <v>10</v>
      </c>
      <c r="C2004" s="755">
        <f>IFERROR(VLOOKUP(B2004,DATEWISE!$A$3:$BY$27,2,0),0)</f>
        <v>0</v>
      </c>
      <c r="D2004" s="755" t="e">
        <f>IF($C$2004=0,NA(),VLOOKUP($I$1991&amp;$B$2004,FLNFIX!$BE$4:$EF$103,2,0))</f>
        <v>#N/A</v>
      </c>
      <c r="E2004" s="755" t="e">
        <f>IF($C$2004=0,NA(),VLOOKUP($I$1991&amp;$B$2004,FLNFIX!$BE$4:$EF$103,4,0))</f>
        <v>#N/A</v>
      </c>
      <c r="F2004" s="755" t="e">
        <f>IF($C$2004=0,NA(),VLOOKUP($I$1991&amp;$B$2004,FLNFIX!$BE$4:$EF$103,3,0))</f>
        <v>#N/A</v>
      </c>
      <c r="G2004" s="756" t="e">
        <f>IF($C$2004=0,NA(),VLOOKUP($I$1991&amp;$B$2004,FLNFIX!$BE$4:$EF$103,5,0))</f>
        <v>#N/A</v>
      </c>
      <c r="H2004" s="757"/>
      <c r="I2004" s="757"/>
      <c r="J2004" s="758"/>
      <c r="K2004" s="677"/>
    </row>
    <row r="2005" ht="20.1" customHeight="1" spans="1:11">
      <c r="A2005" s="675"/>
      <c r="B2005" s="755">
        <f t="shared" si="36"/>
        <v>11</v>
      </c>
      <c r="C2005" s="755">
        <f>IFERROR(VLOOKUP(B2005,DATEWISE!$A$3:$BY$27,2,0),0)</f>
        <v>0</v>
      </c>
      <c r="D2005" s="755" t="e">
        <f>IF($C$2005=0,NA(),VLOOKUP($I$1991&amp;$B$2005,FLNFIX!$BJ$4:$EF$103,2,0))</f>
        <v>#N/A</v>
      </c>
      <c r="E2005" s="755" t="e">
        <f>IF($C$2005=0,NA(),VLOOKUP($I$1991&amp;$B$2005,FLNFIX!$BJ$4:$EF$103,4,0))</f>
        <v>#N/A</v>
      </c>
      <c r="F2005" s="755" t="e">
        <f>IF($C$2005=0,NA(),VLOOKUP($I$1991&amp;$B$2005,FLNFIX!$BJ$4:$EF$103,3,0))</f>
        <v>#N/A</v>
      </c>
      <c r="G2005" s="756" t="e">
        <f>IF($C$2005=0,NA(),VLOOKUP($I$1991&amp;$B$2005,FLNFIX!$BJ$4:$EF$103,5,0))</f>
        <v>#N/A</v>
      </c>
      <c r="H2005" s="757"/>
      <c r="I2005" s="757"/>
      <c r="J2005" s="758"/>
      <c r="K2005" s="677"/>
    </row>
    <row r="2006" ht="20.1" customHeight="1" spans="1:11">
      <c r="A2006" s="675"/>
      <c r="B2006" s="755">
        <f t="shared" si="36"/>
        <v>12</v>
      </c>
      <c r="C2006" s="755">
        <f>IFERROR(VLOOKUP(B2006,DATEWISE!$A$3:$BY$27,2,0),0)</f>
        <v>0</v>
      </c>
      <c r="D2006" s="755" t="e">
        <f>IF($C$2006=0,NA(),VLOOKUP($I$1991&amp;$B$2006,FLNFIX!$BO$4:$EF$103,2,0))</f>
        <v>#N/A</v>
      </c>
      <c r="E2006" s="755" t="e">
        <f>IF($C$2006=0,NA(),VLOOKUP($I$1991&amp;$B$2006,FLNFIX!$BO$4:$EF$103,4,0))</f>
        <v>#N/A</v>
      </c>
      <c r="F2006" s="755" t="e">
        <f>IF($C$2006=0,NA(),VLOOKUP($I$1991&amp;$B$2006,FLNFIX!$BO$4:$EF$103,3,0))</f>
        <v>#N/A</v>
      </c>
      <c r="G2006" s="756" t="e">
        <f>IF($C$2006=0,NA(),VLOOKUP($I$1991&amp;$B$2006,FLNFIX!$BO$4:$EF$103,5,0))</f>
        <v>#N/A</v>
      </c>
      <c r="H2006" s="757"/>
      <c r="I2006" s="757"/>
      <c r="J2006" s="758"/>
      <c r="K2006" s="677"/>
    </row>
    <row r="2007" ht="20.1" customHeight="1" spans="1:11">
      <c r="A2007" s="675"/>
      <c r="B2007" s="755">
        <f t="shared" si="36"/>
        <v>13</v>
      </c>
      <c r="C2007" s="755">
        <f>IFERROR(VLOOKUP(B2007,DATEWISE!$A$3:$BY$27,2,0),0)</f>
        <v>0</v>
      </c>
      <c r="D2007" s="755" t="e">
        <f>IF($C$2007=0,NA(),VLOOKUP($I$1991&amp;$B$2007,FLNFIX!$BT$4:$EF$103,2,0))</f>
        <v>#N/A</v>
      </c>
      <c r="E2007" s="755" t="e">
        <f>IF($C$2007=0,NA(),VLOOKUP($I$1991&amp;$B$2007,FLNFIX!$BT$4:$EF$103,4,0))</f>
        <v>#N/A</v>
      </c>
      <c r="F2007" s="755" t="e">
        <f>IF($C$2007=0,NA(),VLOOKUP($I$1991&amp;$B$2007,FLNFIX!$BT$4:$EF$103,3,0))</f>
        <v>#N/A</v>
      </c>
      <c r="G2007" s="756" t="e">
        <f>IF($C$2007=0,NA(),VLOOKUP($I$1991&amp;$B$2007,FLNFIX!$BT$4:$EF$103,5,0))</f>
        <v>#N/A</v>
      </c>
      <c r="H2007" s="757"/>
      <c r="I2007" s="757"/>
      <c r="J2007" s="758"/>
      <c r="K2007" s="677"/>
    </row>
    <row r="2008" ht="20.1" customHeight="1" spans="1:11">
      <c r="A2008" s="675"/>
      <c r="B2008" s="755">
        <f t="shared" si="36"/>
        <v>14</v>
      </c>
      <c r="C2008" s="755">
        <f>IFERROR(VLOOKUP(B2008,DATEWISE!$A$3:$BY$27,2,0),0)</f>
        <v>0</v>
      </c>
      <c r="D2008" s="755" t="e">
        <f>IF($C$2008=0,NA(),VLOOKUP($I$1991&amp;$B$2008,FLNFIX!$BY$4:$EF$103,2,0))</f>
        <v>#N/A</v>
      </c>
      <c r="E2008" s="755" t="e">
        <f>IF($C$2008=0,NA(),VLOOKUP($I$1991&amp;$B$2008,FLNFIX!$BY$4:$EF$103,4,0))</f>
        <v>#N/A</v>
      </c>
      <c r="F2008" s="755" t="e">
        <f>IF($C$2008=0,NA(),VLOOKUP($I$1991&amp;$B$2008,FLNFIX!$BY$4:$EF$103,3,0))</f>
        <v>#N/A</v>
      </c>
      <c r="G2008" s="756" t="e">
        <f>IF($C$2008=0,NA(),VLOOKUP($I$1991&amp;$B$2008,FLNFIX!$BY$4:$EF$103,5,0))</f>
        <v>#N/A</v>
      </c>
      <c r="H2008" s="757"/>
      <c r="I2008" s="757"/>
      <c r="J2008" s="758"/>
      <c r="K2008" s="677"/>
    </row>
    <row r="2009" ht="20.1" customHeight="1" spans="1:11">
      <c r="A2009" s="675"/>
      <c r="B2009" s="755">
        <f t="shared" si="36"/>
        <v>15</v>
      </c>
      <c r="C2009" s="755">
        <f>IFERROR(VLOOKUP(B2009,DATEWISE!$A$3:$BY$27,2,0),0)</f>
        <v>0</v>
      </c>
      <c r="D2009" s="755" t="e">
        <f>IF($C$2009=0,NA(),VLOOKUP($I$1991&amp;$B$2009,FLNFIX!$CD$4:$EF$103,2,0))</f>
        <v>#N/A</v>
      </c>
      <c r="E2009" s="755" t="e">
        <f>IF($C$2009=0,NA(),VLOOKUP($I$1991&amp;$B$2009,FLNFIX!$CD$4:$EF$103,4,0))</f>
        <v>#N/A</v>
      </c>
      <c r="F2009" s="755" t="e">
        <f>IF($C$2009=0,NA(),VLOOKUP($I$1991&amp;$B$2009,FLNFIX!$CD$4:$EF$103,3,0))</f>
        <v>#N/A</v>
      </c>
      <c r="G2009" s="756" t="e">
        <f>IF($C$2009=0,NA(),VLOOKUP($I$1991&amp;$B$2009,FLNFIX!$CD$4:$EF$103,5,0))</f>
        <v>#N/A</v>
      </c>
      <c r="H2009" s="757"/>
      <c r="I2009" s="757"/>
      <c r="J2009" s="758"/>
      <c r="K2009" s="677"/>
    </row>
    <row r="2010" ht="20.1" customHeight="1" spans="1:11">
      <c r="A2010" s="675"/>
      <c r="B2010" s="755">
        <f t="shared" si="36"/>
        <v>16</v>
      </c>
      <c r="C2010" s="755">
        <f>IFERROR(VLOOKUP(B2010,DATEWISE!$A$3:$BY$27,2,0),0)</f>
        <v>0</v>
      </c>
      <c r="D2010" s="755" t="e">
        <f>IF($C$2010=0,NA(),VLOOKUP($I$1991&amp;$B$2010,FLNFIX!$CI$4:$EF$103,2,0))</f>
        <v>#N/A</v>
      </c>
      <c r="E2010" s="755" t="e">
        <f>IF($C$2010=0,NA(),VLOOKUP($I$1991&amp;$B$2010,FLNFIX!$CI$4:$EF$103,4,0))</f>
        <v>#N/A</v>
      </c>
      <c r="F2010" s="755" t="e">
        <f>IF($C$2010=0,NA(),VLOOKUP($I$1991&amp;$B$2010,FLNFIX!$CI$4:$EF$103,3,0))</f>
        <v>#N/A</v>
      </c>
      <c r="G2010" s="756" t="e">
        <f>IF($C$2010=0,NA(),VLOOKUP($I$1991&amp;$B$2010,FLNFIX!$CI$4:$EF$103,5,0))</f>
        <v>#N/A</v>
      </c>
      <c r="H2010" s="757"/>
      <c r="I2010" s="757"/>
      <c r="J2010" s="758"/>
      <c r="K2010" s="677"/>
    </row>
    <row r="2011" ht="20.1" customHeight="1" spans="1:11">
      <c r="A2011" s="675"/>
      <c r="B2011" s="755">
        <f t="shared" si="36"/>
        <v>17</v>
      </c>
      <c r="C2011" s="755">
        <f>IFERROR(VLOOKUP(B2011,DATEWISE!$A$3:$BY$27,2,0),0)</f>
        <v>0</v>
      </c>
      <c r="D2011" s="755" t="e">
        <f>IF($C$2011=0,NA(),VLOOKUP($I$1991&amp;$B$2011,FLNFIX!$CN$4:$EF$103,2,0))</f>
        <v>#N/A</v>
      </c>
      <c r="E2011" s="755" t="e">
        <f>IF($C$2011=0,NA(),VLOOKUP($I$1991&amp;$B$2011,FLNFIX!$CN$4:$EF$103,4,0))</f>
        <v>#N/A</v>
      </c>
      <c r="F2011" s="755" t="e">
        <f>IF($C$2011=0,NA(),VLOOKUP($I$1991&amp;$B$2011,FLNFIX!$CN$4:$EF$103,3,0))</f>
        <v>#N/A</v>
      </c>
      <c r="G2011" s="756" t="e">
        <f>IF($C$2011=0,NA(),VLOOKUP($I$1991&amp;$B$2011,FLNFIX!$CN$4:$EF$103,5,0))</f>
        <v>#N/A</v>
      </c>
      <c r="H2011" s="757"/>
      <c r="I2011" s="757"/>
      <c r="J2011" s="758"/>
      <c r="K2011" s="677"/>
    </row>
    <row r="2012" ht="20.1" customHeight="1" spans="1:11">
      <c r="A2012" s="675"/>
      <c r="B2012" s="755">
        <f t="shared" si="36"/>
        <v>18</v>
      </c>
      <c r="C2012" s="755">
        <f>IFERROR(VLOOKUP(B2012,DATEWISE!$A$3:$BY$27,2,0),0)</f>
        <v>0</v>
      </c>
      <c r="D2012" s="755" t="e">
        <f>IF($C$2012=0,NA(),VLOOKUP($I$1991&amp;$B$2012,FLNFIX!$CS$4:$EF$103,2,0))</f>
        <v>#N/A</v>
      </c>
      <c r="E2012" s="755" t="e">
        <f>IF($C$2012=0,NA(),VLOOKUP($I$1991&amp;$B$2012,FLNFIX!$CS$4:$EF$103,4,0))</f>
        <v>#N/A</v>
      </c>
      <c r="F2012" s="755" t="e">
        <f>IF($C$2012=0,NA(),VLOOKUP($I$1991&amp;$B$2012,FLNFIX!$CS$4:$EF$103,3,0))</f>
        <v>#N/A</v>
      </c>
      <c r="G2012" s="756" t="e">
        <f>IF($C$2012=0,NA(),VLOOKUP($I$1991&amp;$B$2012,FLNFIX!$CS$4:$EF$103,5,0))</f>
        <v>#N/A</v>
      </c>
      <c r="H2012" s="757"/>
      <c r="I2012" s="757"/>
      <c r="J2012" s="758"/>
      <c r="K2012" s="677"/>
    </row>
    <row r="2013" ht="20.1" customHeight="1" spans="1:11">
      <c r="A2013" s="675"/>
      <c r="B2013" s="755">
        <f t="shared" si="36"/>
        <v>19</v>
      </c>
      <c r="C2013" s="755">
        <f>IFERROR(VLOOKUP(B2013,DATEWISE!$A$3:$BY$27,2,0),0)</f>
        <v>0</v>
      </c>
      <c r="D2013" s="755" t="e">
        <f>IF($C$2013=0,NA(),VLOOKUP($I$1991&amp;$B$2013,FLNFIX!$CX$4:$EF$103,2,0))</f>
        <v>#N/A</v>
      </c>
      <c r="E2013" s="755" t="e">
        <f>IF($C$2013=0,NA(),VLOOKUP($I$1991&amp;$B$2013,FLNFIX!$CX$4:$EF$103,4,0))</f>
        <v>#N/A</v>
      </c>
      <c r="F2013" s="755" t="e">
        <f>IF($C$2013=0,NA(),VLOOKUP($I$1991&amp;$B$2013,FLNFIX!$CX$4:$EF$103,3,0))</f>
        <v>#N/A</v>
      </c>
      <c r="G2013" s="756" t="e">
        <f>IF($C$2013=0,NA(),VLOOKUP($I$1991&amp;$B$2013,FLNFIX!$CX$4:$EF$103,5,0))</f>
        <v>#N/A</v>
      </c>
      <c r="H2013" s="757"/>
      <c r="I2013" s="757"/>
      <c r="J2013" s="758"/>
      <c r="K2013" s="677"/>
    </row>
    <row r="2014" ht="20.1" customHeight="1" spans="1:11">
      <c r="A2014" s="675"/>
      <c r="B2014" s="755">
        <f t="shared" si="36"/>
        <v>20</v>
      </c>
      <c r="C2014" s="755">
        <f>IFERROR(VLOOKUP(B2014,DATEWISE!$A$3:$BY$27,2,0),0)</f>
        <v>0</v>
      </c>
      <c r="D2014" s="755" t="e">
        <f>IF($C$2014=0,NA(),VLOOKUP($I$1991&amp;$B$2014,FLNFIX!$DC$4:$EF$103,2,0))</f>
        <v>#N/A</v>
      </c>
      <c r="E2014" s="755" t="e">
        <f>IF($C$2014=0,NA(),VLOOKUP($I$1991&amp;$B$2014,FLNFIX!$DC$4:$EF$103,4,0))</f>
        <v>#N/A</v>
      </c>
      <c r="F2014" s="755" t="e">
        <f>IF($C$2014=0,NA(),VLOOKUP($I$1991&amp;$B$2014,FLNFIX!$DC$4:$EF$103,3,0))</f>
        <v>#N/A</v>
      </c>
      <c r="G2014" s="756" t="e">
        <f>IF($C$2014=0,NA(),VLOOKUP($I$1991&amp;$B$2014,FLNFIX!$DC$4:$EF$103,5,0))</f>
        <v>#N/A</v>
      </c>
      <c r="H2014" s="757"/>
      <c r="I2014" s="757"/>
      <c r="J2014" s="758"/>
      <c r="K2014" s="677"/>
    </row>
    <row r="2015" ht="20.1" customHeight="1" spans="1:11">
      <c r="A2015" s="675"/>
      <c r="B2015" s="755">
        <f t="shared" si="36"/>
        <v>21</v>
      </c>
      <c r="C2015" s="755">
        <f>IFERROR(VLOOKUP(B2015,DATEWISE!$A$3:$BY$27,2,0),0)</f>
        <v>0</v>
      </c>
      <c r="D2015" s="755" t="e">
        <f>IF($C$2015=0,NA(),VLOOKUP($I$1991&amp;$B$2015,FLNFIX!$DH$4:$EF$103,2,0))</f>
        <v>#N/A</v>
      </c>
      <c r="E2015" s="755" t="e">
        <f>IF($C$2015=0,NA(),VLOOKUP($I$1991&amp;$B$2015,FLNFIX!$DH$4:$EF$103,4,0))</f>
        <v>#N/A</v>
      </c>
      <c r="F2015" s="755" t="e">
        <f>IF($C$2015=0,NA(),VLOOKUP($I$1991&amp;$B$2015,FLNFIX!$DH$4:$EF$103,3,0))</f>
        <v>#N/A</v>
      </c>
      <c r="G2015" s="756" t="e">
        <f>IF($C$2015=0,NA(),VLOOKUP($I$1991&amp;$B$2015,FLNFIX!$DH$4:$EF$103,5,0))</f>
        <v>#N/A</v>
      </c>
      <c r="H2015" s="757"/>
      <c r="I2015" s="757"/>
      <c r="J2015" s="758"/>
      <c r="K2015" s="677"/>
    </row>
    <row r="2016" ht="5.1" customHeight="1" spans="1:11">
      <c r="A2016" s="675"/>
      <c r="B2016" s="759"/>
      <c r="C2016" s="759"/>
      <c r="D2016" s="760"/>
      <c r="E2016" s="760"/>
      <c r="F2016" s="760"/>
      <c r="G2016" s="761"/>
      <c r="H2016" s="761"/>
      <c r="I2016" s="761"/>
      <c r="J2016" s="761"/>
      <c r="K2016" s="677"/>
    </row>
    <row r="2017" s="667" customFormat="1" ht="24.95" customHeight="1" spans="1:11">
      <c r="A2017" s="711"/>
      <c r="B2017" s="762" t="s">
        <v>431</v>
      </c>
      <c r="C2017" s="763"/>
      <c r="D2017" s="763"/>
      <c r="E2017" s="763"/>
      <c r="F2017" s="763"/>
      <c r="G2017" s="763"/>
      <c r="H2017" s="763"/>
      <c r="I2017" s="763"/>
      <c r="J2017" s="764"/>
      <c r="K2017" s="713"/>
    </row>
    <row r="2018" spans="1:11">
      <c r="A2018" s="675"/>
      <c r="B2018" s="765"/>
      <c r="C2018" s="686"/>
      <c r="D2018" s="686"/>
      <c r="E2018" s="686"/>
      <c r="F2018" s="686"/>
      <c r="G2018" s="686"/>
      <c r="H2018" s="686"/>
      <c r="I2018" s="686"/>
      <c r="J2018" s="766"/>
      <c r="K2018" s="677"/>
    </row>
    <row r="2019" spans="1:11">
      <c r="A2019" s="675"/>
      <c r="B2019" s="765"/>
      <c r="C2019" s="686"/>
      <c r="D2019" s="686"/>
      <c r="E2019" s="686"/>
      <c r="F2019" s="686"/>
      <c r="G2019" s="686"/>
      <c r="H2019" s="686"/>
      <c r="I2019" s="686"/>
      <c r="J2019" s="766"/>
      <c r="K2019" s="677"/>
    </row>
    <row r="2020" spans="1:11">
      <c r="A2020" s="675"/>
      <c r="B2020" s="765"/>
      <c r="C2020" s="686"/>
      <c r="D2020" s="686"/>
      <c r="E2020" s="686"/>
      <c r="F2020" s="686"/>
      <c r="G2020" s="686"/>
      <c r="H2020" s="686"/>
      <c r="I2020" s="686"/>
      <c r="J2020" s="766"/>
      <c r="K2020" s="677"/>
    </row>
    <row r="2021" spans="1:11">
      <c r="A2021" s="675"/>
      <c r="B2021" s="765"/>
      <c r="C2021" s="686"/>
      <c r="D2021" s="686"/>
      <c r="E2021" s="686"/>
      <c r="F2021" s="686"/>
      <c r="G2021" s="686"/>
      <c r="H2021" s="686"/>
      <c r="I2021" s="686"/>
      <c r="J2021" s="766"/>
      <c r="K2021" s="677"/>
    </row>
    <row r="2022" spans="1:11">
      <c r="A2022" s="675"/>
      <c r="B2022" s="765"/>
      <c r="C2022" s="686"/>
      <c r="D2022" s="686"/>
      <c r="E2022" s="686"/>
      <c r="F2022" s="686"/>
      <c r="G2022" s="686"/>
      <c r="H2022" s="686"/>
      <c r="I2022" s="686"/>
      <c r="J2022" s="766"/>
      <c r="K2022" s="677"/>
    </row>
    <row r="2023" spans="1:11">
      <c r="A2023" s="675"/>
      <c r="B2023" s="765"/>
      <c r="C2023" s="686"/>
      <c r="D2023" s="686"/>
      <c r="E2023" s="686"/>
      <c r="F2023" s="686"/>
      <c r="G2023" s="686"/>
      <c r="H2023" s="686"/>
      <c r="I2023" s="686"/>
      <c r="J2023" s="766"/>
      <c r="K2023" s="677"/>
    </row>
    <row r="2024" spans="1:11">
      <c r="A2024" s="675"/>
      <c r="B2024" s="765"/>
      <c r="C2024" s="686"/>
      <c r="D2024" s="686"/>
      <c r="E2024" s="686"/>
      <c r="F2024" s="686"/>
      <c r="G2024" s="686"/>
      <c r="H2024" s="686"/>
      <c r="I2024" s="686"/>
      <c r="J2024" s="766"/>
      <c r="K2024" s="677"/>
    </row>
    <row r="2025" spans="1:11">
      <c r="A2025" s="675"/>
      <c r="B2025" s="765"/>
      <c r="C2025" s="686"/>
      <c r="D2025" s="686"/>
      <c r="E2025" s="686"/>
      <c r="F2025" s="686"/>
      <c r="G2025" s="686"/>
      <c r="H2025" s="686"/>
      <c r="I2025" s="686"/>
      <c r="J2025" s="766"/>
      <c r="K2025" s="677"/>
    </row>
    <row r="2026" spans="1:11">
      <c r="A2026" s="675"/>
      <c r="B2026" s="765"/>
      <c r="C2026" s="686"/>
      <c r="D2026" s="686"/>
      <c r="E2026" s="686"/>
      <c r="F2026" s="686"/>
      <c r="G2026" s="686"/>
      <c r="H2026" s="686"/>
      <c r="I2026" s="686"/>
      <c r="J2026" s="766"/>
      <c r="K2026" s="677"/>
    </row>
    <row r="2027" spans="1:11">
      <c r="A2027" s="675"/>
      <c r="B2027" s="767"/>
      <c r="C2027" s="768"/>
      <c r="D2027" s="768"/>
      <c r="E2027" s="768"/>
      <c r="F2027" s="768"/>
      <c r="G2027" s="768"/>
      <c r="H2027" s="768"/>
      <c r="I2027" s="768"/>
      <c r="J2027" s="769"/>
      <c r="K2027" s="677"/>
    </row>
    <row r="2028" ht="5.1" customHeight="1" spans="1:11">
      <c r="A2028" s="675"/>
      <c r="B2028" s="686"/>
      <c r="C2028" s="686"/>
      <c r="D2028" s="686"/>
      <c r="E2028" s="686"/>
      <c r="F2028" s="686"/>
      <c r="G2028" s="686"/>
      <c r="H2028" s="686"/>
      <c r="I2028" s="686"/>
      <c r="J2028" s="686"/>
      <c r="K2028" s="677"/>
    </row>
    <row r="2029" spans="1:11">
      <c r="A2029" s="675"/>
      <c r="B2029" s="770" t="s">
        <v>432</v>
      </c>
      <c r="C2029" s="770"/>
      <c r="D2029" s="770"/>
      <c r="E2029" s="770"/>
      <c r="F2029" s="770"/>
      <c r="G2029" s="770"/>
      <c r="H2029" s="770"/>
      <c r="I2029" s="770"/>
      <c r="J2029" s="770"/>
      <c r="K2029" s="677"/>
    </row>
    <row r="2030" spans="1:11">
      <c r="A2030" s="675"/>
      <c r="B2030" s="771"/>
      <c r="C2030" s="771"/>
      <c r="D2030" s="771"/>
      <c r="E2030" s="771"/>
      <c r="F2030" s="771"/>
      <c r="G2030" s="771"/>
      <c r="H2030" s="771"/>
      <c r="I2030" s="771"/>
      <c r="J2030" s="771"/>
      <c r="K2030" s="677"/>
    </row>
    <row r="2031" spans="1:11">
      <c r="A2031" s="675"/>
      <c r="B2031" s="771"/>
      <c r="C2031" s="771"/>
      <c r="D2031" s="771"/>
      <c r="E2031" s="771"/>
      <c r="F2031" s="771"/>
      <c r="G2031" s="771"/>
      <c r="H2031" s="771"/>
      <c r="I2031" s="771"/>
      <c r="J2031" s="771"/>
      <c r="K2031" s="677"/>
    </row>
    <row r="2032" spans="1:11">
      <c r="A2032" s="675"/>
      <c r="B2032" s="771"/>
      <c r="C2032" s="771"/>
      <c r="D2032" s="771"/>
      <c r="E2032" s="771"/>
      <c r="F2032" s="771"/>
      <c r="G2032" s="771"/>
      <c r="H2032" s="771"/>
      <c r="I2032" s="771"/>
      <c r="J2032" s="771"/>
      <c r="K2032" s="677"/>
    </row>
    <row r="2033" spans="1:11">
      <c r="A2033" s="675"/>
      <c r="B2033" s="686"/>
      <c r="C2033" s="686"/>
      <c r="D2033" s="686"/>
      <c r="E2033" s="686"/>
      <c r="F2033" s="686"/>
      <c r="G2033" s="686"/>
      <c r="H2033" s="686"/>
      <c r="I2033" s="686"/>
      <c r="J2033" s="686"/>
      <c r="K2033" s="677"/>
    </row>
    <row r="2034" spans="1:11">
      <c r="A2034" s="675"/>
      <c r="B2034" s="686"/>
      <c r="C2034" s="729" t="s">
        <v>433</v>
      </c>
      <c r="D2034" s="729"/>
      <c r="E2034" s="686"/>
      <c r="F2034" s="686"/>
      <c r="G2034" s="729" t="s">
        <v>434</v>
      </c>
      <c r="H2034" s="729"/>
      <c r="I2034" s="729"/>
      <c r="J2034" s="729"/>
      <c r="K2034" s="677"/>
    </row>
    <row r="2035" ht="16.35" spans="1:11">
      <c r="A2035" s="725"/>
      <c r="B2035" s="726"/>
      <c r="C2035" s="732" t="str">
        <f>"("&amp;PROPER(ENTRY!$D$19)&amp;")"</f>
        <v>(Indrajeet)</v>
      </c>
      <c r="D2035" s="732"/>
      <c r="E2035" s="726"/>
      <c r="F2035" s="726"/>
      <c r="G2035" s="732" t="str">
        <f>"("&amp;PROPER(ENTRY!$D$12)&amp;")"</f>
        <v>(Shambhu Dayal Meena)</v>
      </c>
      <c r="H2035" s="732"/>
      <c r="I2035" s="732"/>
      <c r="J2035" s="732"/>
      <c r="K2035" s="728"/>
    </row>
    <row r="2036" ht="24.6" spans="1:11">
      <c r="B2036" s="734"/>
      <c r="C2036" s="734"/>
      <c r="D2036" s="669" t="str">
        <f>ENTRY!$D$3</f>
        <v>MUNICIPAL CORPORATION OF DELHI</v>
      </c>
      <c r="E2036" s="669"/>
      <c r="F2036" s="669"/>
      <c r="G2036" s="669"/>
      <c r="H2036" s="734"/>
      <c r="I2036" s="669"/>
      <c r="J2036" s="669"/>
    </row>
    <row r="2037" ht="20.4" spans="1:11">
      <c r="B2037" s="735"/>
      <c r="C2037" s="735"/>
      <c r="D2037" s="670" t="str">
        <f>ENTRY!$D$4</f>
        <v>EDUCATION DEPARTMENT</v>
      </c>
      <c r="E2037" s="670"/>
      <c r="F2037" s="670"/>
      <c r="G2037" s="670"/>
      <c r="H2037" s="735"/>
      <c r="I2037" s="669"/>
      <c r="J2037" s="669"/>
    </row>
    <row r="2038" ht="22.8" spans="1:11">
      <c r="B2038" s="736"/>
      <c r="C2038" s="736"/>
      <c r="D2038" s="664" t="s">
        <v>417</v>
      </c>
      <c r="E2038" s="664"/>
      <c r="F2038" s="664"/>
      <c r="G2038" s="664"/>
      <c r="H2038" s="736"/>
      <c r="I2038" s="669"/>
      <c r="J2038" s="669"/>
    </row>
    <row r="2039" ht="22.8" spans="1:11">
      <c r="B2039" s="736"/>
      <c r="C2039" s="736"/>
      <c r="D2039" s="664" t="s">
        <v>418</v>
      </c>
      <c r="E2039" s="664"/>
      <c r="F2039" s="664"/>
      <c r="G2039" s="664"/>
      <c r="H2039" s="736"/>
      <c r="I2039" s="669"/>
      <c r="J2039" s="669"/>
    </row>
    <row r="2040" ht="24.95" customHeight="1" spans="1:11">
      <c r="B2040" s="735"/>
      <c r="C2040" s="735"/>
      <c r="D2040" s="737" t="str">
        <f>"SESSION : "&amp;ENTRY!$D$11</f>
        <v>SESSION : 2026-27</v>
      </c>
      <c r="E2040" s="737"/>
      <c r="F2040" s="737"/>
      <c r="G2040" s="737"/>
      <c r="H2040" s="735"/>
      <c r="I2040" s="738"/>
      <c r="J2040" s="738"/>
    </row>
    <row r="2041" ht="3.75" customHeight="1" spans="1:11">
      <c r="A2041" s="672"/>
      <c r="B2041" s="739"/>
      <c r="C2041" s="739"/>
      <c r="D2041" s="739"/>
      <c r="E2041" s="739"/>
      <c r="F2041" s="739"/>
      <c r="G2041" s="739"/>
      <c r="H2041" s="739"/>
      <c r="I2041" s="739"/>
      <c r="J2041" s="739"/>
      <c r="K2041" s="674"/>
    </row>
    <row r="2042" ht="21.95" customHeight="1" spans="1:11">
      <c r="A2042" s="675"/>
      <c r="B2042" s="676" t="s">
        <v>419</v>
      </c>
      <c r="C2042" s="676"/>
      <c r="D2042" s="676" t="str">
        <f>ENTRY!$D$6</f>
        <v>MCP NITHARI NO 1 BOYS</v>
      </c>
      <c r="E2042" s="676"/>
      <c r="F2042" s="676"/>
      <c r="G2042" s="676"/>
      <c r="H2042" s="676"/>
      <c r="I2042" s="676"/>
      <c r="J2042" s="676"/>
      <c r="K2042" s="677"/>
    </row>
    <row r="2043" ht="21.95" customHeight="1" spans="1:11">
      <c r="A2043" s="675"/>
      <c r="B2043" s="676" t="s">
        <v>420</v>
      </c>
      <c r="C2043" s="676"/>
      <c r="D2043" s="740" t="str">
        <f>IFERROR(VLOOKUP($I$2046,STUDENT!$A$2:$BP$101,5,0),"")</f>
        <v>RAJA KUMAR</v>
      </c>
      <c r="E2043" s="740"/>
      <c r="F2043" s="740"/>
      <c r="G2043" s="740"/>
      <c r="H2043" s="740"/>
      <c r="I2043" s="740"/>
      <c r="J2043" s="740"/>
      <c r="K2043" s="677"/>
    </row>
    <row r="2044" ht="21.95" customHeight="1" spans="1:11">
      <c r="A2044" s="675"/>
      <c r="B2044" s="676" t="s">
        <v>421</v>
      </c>
      <c r="C2044" s="676"/>
      <c r="D2044" s="740" t="str">
        <f>IFERROR(VLOOKUP($I$2046,STUDENT!$A$2:$BP$101,8,0),"")</f>
        <v>AMAR PODDAR</v>
      </c>
      <c r="E2044" s="740"/>
      <c r="F2044" s="740"/>
      <c r="G2044" s="740"/>
      <c r="H2044" s="740"/>
      <c r="I2044" s="740"/>
      <c r="J2044" s="740"/>
      <c r="K2044" s="677"/>
    </row>
    <row r="2045" ht="21.95" customHeight="1" spans="1:11">
      <c r="A2045" s="675"/>
      <c r="B2045" s="676" t="s">
        <v>422</v>
      </c>
      <c r="C2045" s="676"/>
      <c r="D2045" s="740">
        <f>IFERROR(VLOOKUP($I$2046,STUDENT!$A$2:$BP$101,6,0),"")</f>
        <v>15145</v>
      </c>
      <c r="E2045" s="740"/>
      <c r="F2045" s="740"/>
      <c r="G2045" s="740"/>
      <c r="H2045" s="740"/>
      <c r="I2045" s="740"/>
      <c r="J2045" s="740"/>
      <c r="K2045" s="677"/>
    </row>
    <row r="2046" ht="21.95" customHeight="1" spans="1:11">
      <c r="A2046" s="675"/>
      <c r="B2046" s="676" t="s">
        <v>423</v>
      </c>
      <c r="C2046" s="676"/>
      <c r="D2046" s="741" t="str">
        <f>IFERROR(VLOOKUP($I$2046,STUDENT!$A$2:$BP$101,59,0),"")</f>
        <v/>
      </c>
      <c r="E2046" s="742" t="s">
        <v>424</v>
      </c>
      <c r="F2046" s="704" t="str">
        <f>IFERROR(VLOOKUP($I$2046,STUDENT!$A$2:$BP$101,2,0),"")</f>
        <v>III-A</v>
      </c>
      <c r="G2046" s="742" t="s">
        <v>425</v>
      </c>
      <c r="H2046" s="743"/>
      <c r="I2046" s="733">
        <f>I1991+1</f>
        <v>38</v>
      </c>
      <c r="J2046" s="683"/>
      <c r="K2046" s="677"/>
    </row>
    <row r="2047" ht="5.1" customHeight="1" spans="1:11">
      <c r="A2047" s="675"/>
      <c r="B2047" s="745"/>
      <c r="C2047" s="745"/>
      <c r="D2047" s="746"/>
      <c r="E2047" s="747"/>
      <c r="F2047" s="748"/>
      <c r="G2047" s="747"/>
      <c r="H2047" s="686"/>
      <c r="I2047" s="686"/>
      <c r="J2047" s="686"/>
      <c r="K2047" s="677"/>
    </row>
    <row r="2048" s="664" customFormat="1" ht="32.1" customHeight="1" spans="1:11">
      <c r="A2048" s="688"/>
      <c r="B2048" s="749" t="s">
        <v>426</v>
      </c>
      <c r="C2048" s="750"/>
      <c r="D2048" s="750"/>
      <c r="E2048" s="750"/>
      <c r="F2048" s="750"/>
      <c r="G2048" s="750"/>
      <c r="H2048" s="750"/>
      <c r="I2048" s="750"/>
      <c r="J2048" s="751"/>
      <c r="K2048" s="690"/>
    </row>
    <row r="2049" ht="51.6" spans="1:11">
      <c r="A2049" s="675"/>
      <c r="B2049" s="752">
        <v>21</v>
      </c>
      <c r="C2049" s="753" t="s">
        <v>427</v>
      </c>
      <c r="D2049" s="754" t="s">
        <v>428</v>
      </c>
      <c r="E2049" s="754" t="s">
        <v>429</v>
      </c>
      <c r="F2049" s="754" t="s">
        <v>430</v>
      </c>
      <c r="G2049" s="753" t="s">
        <v>390</v>
      </c>
      <c r="H2049" s="714"/>
      <c r="I2049" s="714"/>
      <c r="J2049" s="714"/>
      <c r="K2049" s="677"/>
    </row>
    <row r="2050" ht="20.1" customHeight="1" spans="1:11">
      <c r="A2050" s="675"/>
      <c r="B2050" s="755">
        <v>1</v>
      </c>
      <c r="C2050" s="755" t="str">
        <f>IFERROR(VLOOKUP(B2050,DATEWISE!$A$3:$BY$27,2,0),0)</f>
        <v>30.04.2026</v>
      </c>
      <c r="D2050" s="755">
        <f>IF($C$2050=0,NA(),VLOOKUP($I$2046&amp;$B$2050,FLNFIX!$L$4:$EF$103,2,0))</f>
        <v>2</v>
      </c>
      <c r="E2050" s="755">
        <f>IF($C$2050=0,NA(),VLOOKUP($I$2046&amp;$B$2050,FLNFIX!$L$4:$EF$103,4,0))</f>
        <v>3</v>
      </c>
      <c r="F2050" s="755">
        <f>IF($C$2050=0,NA(),VLOOKUP($I$2046&amp;$B$2050,FLNFIX!$L$4:$EF$103,3,0))</f>
        <v>2</v>
      </c>
      <c r="G2050" s="756">
        <f>IF($C$2050=0,NA(),VLOOKUP($I$2046&amp;$B$2050,FLNFIX!$L$4:$EF$103,5,0))</f>
        <v>0</v>
      </c>
      <c r="H2050" s="757"/>
      <c r="I2050" s="757"/>
      <c r="J2050" s="758"/>
      <c r="K2050" s="677"/>
    </row>
    <row r="2051" ht="20.1" customHeight="1" spans="1:11">
      <c r="A2051" s="675"/>
      <c r="B2051" s="755">
        <f t="shared" ref="B2051:B2070" si="37">IF(B2050=0,0,IF(B2050&lt;$B$2049,B2050+1,""))</f>
        <v>2</v>
      </c>
      <c r="C2051" s="755" t="str">
        <f>IFERROR(VLOOKUP(B2051,DATEWISE!$A$3:$BY$27,2,0),0)</f>
        <v>08.05.2026</v>
      </c>
      <c r="D2051" s="755">
        <f>IF($C$2051=0,NA(),VLOOKUP($I$2046&amp;$B$2051,FLNFIX!$Q$4:$EF$103,2,0))</f>
        <v>2</v>
      </c>
      <c r="E2051" s="755">
        <f>IF($C$2051=0,NA(),VLOOKUP($I$2046&amp;$B$2051,FLNFIX!$Q$4:$EF$103,4,0))</f>
        <v>3</v>
      </c>
      <c r="F2051" s="755">
        <f>IF($C$2051=0,NA(),VLOOKUP($I$2046&amp;$B$2051,FLNFIX!$Q$4:$EF$103,3,0))</f>
        <v>2</v>
      </c>
      <c r="G2051" s="756" t="str">
        <f>IF($C$2051=0,NA(),VLOOKUP($I$2046&amp;$B$2051,FLNFIX!$Q$4:$EF$103,5,0))</f>
        <v>-</v>
      </c>
      <c r="H2051" s="757"/>
      <c r="I2051" s="757"/>
      <c r="J2051" s="758"/>
      <c r="K2051" s="677"/>
    </row>
    <row r="2052" ht="20.1" customHeight="1" spans="1:11">
      <c r="A2052" s="675"/>
      <c r="B2052" s="755">
        <f t="shared" si="37"/>
        <v>3</v>
      </c>
      <c r="C2052" s="755" t="str">
        <f>IFERROR(VLOOKUP(B2052,DATEWISE!$A$3:$BY$27,2,0),0)</f>
        <v>15.07.2026</v>
      </c>
      <c r="D2052" s="755">
        <f>IF($C$2052=0,NA(),VLOOKUP($I$2046&amp;$B$2052,FLNFIX!$V$4:$EF$103,2,0))</f>
        <v>2</v>
      </c>
      <c r="E2052" s="755">
        <f>IF($C$2052=0,NA(),VLOOKUP($I$2046&amp;$B$2052,FLNFIX!$V$4:$EF$103,4,0))</f>
        <v>3</v>
      </c>
      <c r="F2052" s="755">
        <f>IF($C$2052=0,NA(),VLOOKUP($I$2046&amp;$B$2052,FLNFIX!$V$4:$EF$103,3,0))</f>
        <v>2</v>
      </c>
      <c r="G2052" s="756" t="str">
        <f>IF($C$2052=0,NA(),VLOOKUP($I$2046&amp;$B$2052,FLNFIX!$V$4:$EF$103,5,0))</f>
        <v>-</v>
      </c>
      <c r="H2052" s="757"/>
      <c r="I2052" s="757"/>
      <c r="J2052" s="758"/>
      <c r="K2052" s="677"/>
    </row>
    <row r="2053" ht="20.1" customHeight="1" spans="1:11">
      <c r="A2053" s="675"/>
      <c r="B2053" s="755">
        <f t="shared" si="37"/>
        <v>4</v>
      </c>
      <c r="C2053" s="755" t="str">
        <f>IFERROR(VLOOKUP(B2053,DATEWISE!$A$3:$BY$27,2,0),0)</f>
        <v>31.07.2026</v>
      </c>
      <c r="D2053" s="755">
        <f>IF($C$2053=0,NA(),VLOOKUP($I$2046&amp;$B$2053,FLNFIX!$AA$4:$EF$103,2,0))</f>
        <v>2</v>
      </c>
      <c r="E2053" s="755">
        <f>IF($C$2053=0,NA(),VLOOKUP($I$2046&amp;$B$2053,FLNFIX!$AA$4:$EF$103,4,0))</f>
        <v>3</v>
      </c>
      <c r="F2053" s="755">
        <f>IF($C$2053=0,NA(),VLOOKUP($I$2046&amp;$B$2053,FLNFIX!$AA$4:$EF$103,3,0))</f>
        <v>2</v>
      </c>
      <c r="G2053" s="756" t="str">
        <f>IF($C$2053=0,NA(),VLOOKUP($I$2046&amp;$B$2053,FLNFIX!$AA$4:$EF$103,5,0))</f>
        <v>-</v>
      </c>
      <c r="H2053" s="757"/>
      <c r="I2053" s="757"/>
      <c r="J2053" s="758"/>
      <c r="K2053" s="677"/>
    </row>
    <row r="2054" ht="20.1" customHeight="1" spans="1:11">
      <c r="A2054" s="675"/>
      <c r="B2054" s="755">
        <f t="shared" si="37"/>
        <v>5</v>
      </c>
      <c r="C2054" s="755" t="str">
        <f>IFERROR(VLOOKUP(B2054,DATEWISE!$A$3:$BY$27,2,0),0)</f>
        <v>17.08.2026</v>
      </c>
      <c r="D2054" s="755">
        <f>IF($C$2054=0,NA(),VLOOKUP($I$2046&amp;$B$2054,FLNFIX!$AF$4:$EF$103,2,0))</f>
        <v>2</v>
      </c>
      <c r="E2054" s="755">
        <f>IF($C$2054=0,NA(),VLOOKUP($I$2046&amp;$B$2054,FLNFIX!$AF$4:$EF$103,4,0))</f>
        <v>3</v>
      </c>
      <c r="F2054" s="755">
        <f>IF($C$2054=0,NA(),VLOOKUP($I$2046&amp;$B$2054,FLNFIX!$AF$4:$EF$103,3,0))</f>
        <v>2</v>
      </c>
      <c r="G2054" s="756" t="str">
        <f>IF($C$2054=0,NA(),VLOOKUP($I$2046&amp;$B$2054,FLNFIX!$AF$4:$EF$103,5,0))</f>
        <v>-</v>
      </c>
      <c r="H2054" s="757"/>
      <c r="I2054" s="757"/>
      <c r="J2054" s="758"/>
      <c r="K2054" s="677"/>
    </row>
    <row r="2055" ht="20.1" customHeight="1" spans="1:11">
      <c r="A2055" s="675"/>
      <c r="B2055" s="755">
        <f t="shared" si="37"/>
        <v>6</v>
      </c>
      <c r="C2055" s="755" t="str">
        <f>IFERROR(VLOOKUP(B2055,DATEWISE!$A$3:$BY$27,2,0),0)</f>
        <v>31.08.2026</v>
      </c>
      <c r="D2055" s="755">
        <f>IF($C$2055=0,NA(),VLOOKUP($I$2046&amp;$B$2055,FLNFIX!$AK$4:$EF$103,2,0))</f>
        <v>2</v>
      </c>
      <c r="E2055" s="755">
        <f>IF($C$2055=0,NA(),VLOOKUP($I$2046&amp;$B$2055,FLNFIX!$AK$4:$EF$103,4,0))</f>
        <v>3</v>
      </c>
      <c r="F2055" s="755">
        <f>IF($C$2055=0,NA(),VLOOKUP($I$2046&amp;$B$2055,FLNFIX!$AK$4:$EF$103,3,0))</f>
        <v>2</v>
      </c>
      <c r="G2055" s="756">
        <f>IF($C$2055=0,NA(),VLOOKUP($I$2046&amp;$B$2055,FLNFIX!$AK$4:$EF$103,5,0))</f>
        <v>0</v>
      </c>
      <c r="H2055" s="757"/>
      <c r="I2055" s="757"/>
      <c r="J2055" s="758"/>
      <c r="K2055" s="677"/>
    </row>
    <row r="2056" ht="20.1" customHeight="1" spans="1:11">
      <c r="A2056" s="675"/>
      <c r="B2056" s="755">
        <f t="shared" si="37"/>
        <v>7</v>
      </c>
      <c r="C2056" s="755">
        <f>IFERROR(VLOOKUP(B2056,DATEWISE!$A$3:$BY$27,2,0),0)</f>
        <v>0</v>
      </c>
      <c r="D2056" s="755" t="e">
        <f>IF($C$2056=0,NA(),VLOOKUP($I$2046&amp;$B$2056,FLNFIX!$AP$4:$EF$103,2,0))</f>
        <v>#N/A</v>
      </c>
      <c r="E2056" s="755" t="e">
        <f>IF($C$2056=0,NA(),VLOOKUP($I$2046&amp;$B$2056,FLNFIX!$AP$4:$EF$103,4,0))</f>
        <v>#N/A</v>
      </c>
      <c r="F2056" s="755" t="e">
        <f>IF($C$2056=0,NA(),VLOOKUP($I$2046&amp;$B$2056,FLNFIX!$AP$4:$EF$103,3,0))</f>
        <v>#N/A</v>
      </c>
      <c r="G2056" s="756" t="e">
        <f>IF($C$2056=0,NA(),VLOOKUP($I$2046&amp;$B$2056,FLNFIX!$AP$4:$EF$103,5,0))</f>
        <v>#N/A</v>
      </c>
      <c r="H2056" s="757"/>
      <c r="I2056" s="757"/>
      <c r="J2056" s="758"/>
      <c r="K2056" s="677"/>
    </row>
    <row r="2057" ht="20.1" customHeight="1" spans="1:11">
      <c r="A2057" s="675"/>
      <c r="B2057" s="755">
        <f t="shared" si="37"/>
        <v>8</v>
      </c>
      <c r="C2057" s="755">
        <f>IFERROR(VLOOKUP(B2057,DATEWISE!$A$3:$BY$27,2,0),0)</f>
        <v>0</v>
      </c>
      <c r="D2057" s="755" t="e">
        <f>IF($C$2057=0,NA(),VLOOKUP($I$2046&amp;$B$2057,FLNFIX!$AU$4:$EF$103,2,0))</f>
        <v>#N/A</v>
      </c>
      <c r="E2057" s="755" t="e">
        <f>IF($C$2057=0,NA(),VLOOKUP($I$2046&amp;$B$2057,FLNFIX!$AU$4:$EF$103,4,0))</f>
        <v>#N/A</v>
      </c>
      <c r="F2057" s="755" t="e">
        <f>IF($C$2057=0,NA(),VLOOKUP($I$2046&amp;$B$2057,FLNFIX!$AU$4:$EF$103,3,0))</f>
        <v>#N/A</v>
      </c>
      <c r="G2057" s="756" t="e">
        <f>IF($C$2057=0,NA(),VLOOKUP($I$2046&amp;$B$2057,FLNFIX!$AU$4:$EF$103,5,0))</f>
        <v>#N/A</v>
      </c>
      <c r="H2057" s="757"/>
      <c r="I2057" s="757"/>
      <c r="J2057" s="758"/>
      <c r="K2057" s="677"/>
    </row>
    <row r="2058" ht="20.1" customHeight="1" spans="1:11">
      <c r="A2058" s="675"/>
      <c r="B2058" s="755">
        <f t="shared" si="37"/>
        <v>9</v>
      </c>
      <c r="C2058" s="755">
        <f>IFERROR(VLOOKUP(B2058,DATEWISE!$A$3:$BY$27,2,0),0)</f>
        <v>0</v>
      </c>
      <c r="D2058" s="755" t="e">
        <f>IF($C$2058=0,NA(),VLOOKUP($I$2046&amp;$B$2058,FLNFIX!$AZ$4:$EF$103,2,0))</f>
        <v>#N/A</v>
      </c>
      <c r="E2058" s="755" t="e">
        <f>IF($C$2058=0,NA(),VLOOKUP($I$2046&amp;$B$2058,FLNFIX!$AZ$4:$EF$103,4,0))</f>
        <v>#N/A</v>
      </c>
      <c r="F2058" s="755" t="e">
        <f>IF($C$2058=0,NA(),VLOOKUP($I$2046&amp;$B$2058,FLNFIX!$AZ$4:$EF$103,3,0))</f>
        <v>#N/A</v>
      </c>
      <c r="G2058" s="756" t="e">
        <f>IF($C$2058=0,NA(),VLOOKUP($I$2046&amp;$B$2058,FLNFIX!$AZ$4:$EF$103,5,0))</f>
        <v>#N/A</v>
      </c>
      <c r="H2058" s="757"/>
      <c r="I2058" s="757"/>
      <c r="J2058" s="758"/>
      <c r="K2058" s="677"/>
    </row>
    <row r="2059" ht="20.1" customHeight="1" spans="1:11">
      <c r="A2059" s="675"/>
      <c r="B2059" s="755">
        <f t="shared" si="37"/>
        <v>10</v>
      </c>
      <c r="C2059" s="755">
        <f>IFERROR(VLOOKUP(B2059,DATEWISE!$A$3:$BY$27,2,0),0)</f>
        <v>0</v>
      </c>
      <c r="D2059" s="755" t="e">
        <f>IF($C$2059=0,NA(),VLOOKUP($I$2046&amp;$B$2059,FLNFIX!$BE$4:$EF$103,2,0))</f>
        <v>#N/A</v>
      </c>
      <c r="E2059" s="755" t="e">
        <f>IF($C$2059=0,NA(),VLOOKUP($I$2046&amp;$B$2059,FLNFIX!$BE$4:$EF$103,4,0))</f>
        <v>#N/A</v>
      </c>
      <c r="F2059" s="755" t="e">
        <f>IF($C$2059=0,NA(),VLOOKUP($I$2046&amp;$B$2059,FLNFIX!$BE$4:$EF$103,3,0))</f>
        <v>#N/A</v>
      </c>
      <c r="G2059" s="756" t="e">
        <f>IF($C$2059=0,NA(),VLOOKUP($I$2046&amp;$B$2059,FLNFIX!$BE$4:$EF$103,5,0))</f>
        <v>#N/A</v>
      </c>
      <c r="H2059" s="757"/>
      <c r="I2059" s="757"/>
      <c r="J2059" s="758"/>
      <c r="K2059" s="677"/>
    </row>
    <row r="2060" ht="20.1" customHeight="1" spans="1:11">
      <c r="A2060" s="675"/>
      <c r="B2060" s="755">
        <f t="shared" si="37"/>
        <v>11</v>
      </c>
      <c r="C2060" s="755">
        <f>IFERROR(VLOOKUP(B2060,DATEWISE!$A$3:$BY$27,2,0),0)</f>
        <v>0</v>
      </c>
      <c r="D2060" s="755" t="e">
        <f>IF($C$2060=0,NA(),VLOOKUP($I$2046&amp;$B$2060,FLNFIX!$BJ$4:$EF$103,2,0))</f>
        <v>#N/A</v>
      </c>
      <c r="E2060" s="755" t="e">
        <f>IF($C$2060=0,NA(),VLOOKUP($I$2046&amp;$B$2060,FLNFIX!$BJ$4:$EF$103,4,0))</f>
        <v>#N/A</v>
      </c>
      <c r="F2060" s="755" t="e">
        <f>IF($C$2060=0,NA(),VLOOKUP($I$2046&amp;$B$2060,FLNFIX!$BJ$4:$EF$103,3,0))</f>
        <v>#N/A</v>
      </c>
      <c r="G2060" s="756" t="e">
        <f>IF($C$2060=0,NA(),VLOOKUP($I$2046&amp;$B$2060,FLNFIX!$BJ$4:$EF$103,5,0))</f>
        <v>#N/A</v>
      </c>
      <c r="H2060" s="757"/>
      <c r="I2060" s="757"/>
      <c r="J2060" s="758"/>
      <c r="K2060" s="677"/>
    </row>
    <row r="2061" ht="20.1" customHeight="1" spans="1:11">
      <c r="A2061" s="675"/>
      <c r="B2061" s="755">
        <f t="shared" si="37"/>
        <v>12</v>
      </c>
      <c r="C2061" s="755">
        <f>IFERROR(VLOOKUP(B2061,DATEWISE!$A$3:$BY$27,2,0),0)</f>
        <v>0</v>
      </c>
      <c r="D2061" s="755" t="e">
        <f>IF($C$2061=0,NA(),VLOOKUP($I$2046&amp;$B$2061,FLNFIX!$BO$4:$EF$103,2,0))</f>
        <v>#N/A</v>
      </c>
      <c r="E2061" s="755" t="e">
        <f>IF($C$2061=0,NA(),VLOOKUP($I$2046&amp;$B$2061,FLNFIX!$BO$4:$EF$103,4,0))</f>
        <v>#N/A</v>
      </c>
      <c r="F2061" s="755" t="e">
        <f>IF($C$2061=0,NA(),VLOOKUP($I$2046&amp;$B$2061,FLNFIX!$BO$4:$EF$103,3,0))</f>
        <v>#N/A</v>
      </c>
      <c r="G2061" s="756" t="e">
        <f>IF($C$2061=0,NA(),VLOOKUP($I$2046&amp;$B$2061,FLNFIX!$BO$4:$EF$103,5,0))</f>
        <v>#N/A</v>
      </c>
      <c r="H2061" s="757"/>
      <c r="I2061" s="757"/>
      <c r="J2061" s="758"/>
      <c r="K2061" s="677"/>
    </row>
    <row r="2062" ht="20.1" customHeight="1" spans="1:11">
      <c r="A2062" s="675"/>
      <c r="B2062" s="755">
        <f t="shared" si="37"/>
        <v>13</v>
      </c>
      <c r="C2062" s="755">
        <f>IFERROR(VLOOKUP(B2062,DATEWISE!$A$3:$BY$27,2,0),0)</f>
        <v>0</v>
      </c>
      <c r="D2062" s="755" t="e">
        <f>IF($C$2062=0,NA(),VLOOKUP($I$2046&amp;$B$2062,FLNFIX!$BT$4:$EF$103,2,0))</f>
        <v>#N/A</v>
      </c>
      <c r="E2062" s="755" t="e">
        <f>IF($C$2062=0,NA(),VLOOKUP($I$2046&amp;$B$2062,FLNFIX!$BT$4:$EF$103,4,0))</f>
        <v>#N/A</v>
      </c>
      <c r="F2062" s="755" t="e">
        <f>IF($C$2062=0,NA(),VLOOKUP($I$2046&amp;$B$2062,FLNFIX!$BT$4:$EF$103,3,0))</f>
        <v>#N/A</v>
      </c>
      <c r="G2062" s="756" t="e">
        <f>IF($C$2062=0,NA(),VLOOKUP($I$2046&amp;$B$2062,FLNFIX!$BT$4:$EF$103,5,0))</f>
        <v>#N/A</v>
      </c>
      <c r="H2062" s="757"/>
      <c r="I2062" s="757"/>
      <c r="J2062" s="758"/>
      <c r="K2062" s="677"/>
    </row>
    <row r="2063" ht="20.1" customHeight="1" spans="1:11">
      <c r="A2063" s="675"/>
      <c r="B2063" s="755">
        <f t="shared" si="37"/>
        <v>14</v>
      </c>
      <c r="C2063" s="755">
        <f>IFERROR(VLOOKUP(B2063,DATEWISE!$A$3:$BY$27,2,0),0)</f>
        <v>0</v>
      </c>
      <c r="D2063" s="755" t="e">
        <f>IF($C$2063=0,NA(),VLOOKUP($I$2046&amp;$B$2063,FLNFIX!$BY$4:$EF$103,2,0))</f>
        <v>#N/A</v>
      </c>
      <c r="E2063" s="755" t="e">
        <f>IF($C$2063=0,NA(),VLOOKUP($I$2046&amp;$B$2063,FLNFIX!$BY$4:$EF$103,4,0))</f>
        <v>#N/A</v>
      </c>
      <c r="F2063" s="755" t="e">
        <f>IF($C$2063=0,NA(),VLOOKUP($I$2046&amp;$B$2063,FLNFIX!$BY$4:$EF$103,3,0))</f>
        <v>#N/A</v>
      </c>
      <c r="G2063" s="756" t="e">
        <f>IF($C$2063=0,NA(),VLOOKUP($I$2046&amp;$B$2063,FLNFIX!$BY$4:$EF$103,5,0))</f>
        <v>#N/A</v>
      </c>
      <c r="H2063" s="757"/>
      <c r="I2063" s="757"/>
      <c r="J2063" s="758"/>
      <c r="K2063" s="677"/>
    </row>
    <row r="2064" ht="20.1" customHeight="1" spans="1:11">
      <c r="A2064" s="675"/>
      <c r="B2064" s="755">
        <f t="shared" si="37"/>
        <v>15</v>
      </c>
      <c r="C2064" s="755">
        <f>IFERROR(VLOOKUP(B2064,DATEWISE!$A$3:$BY$27,2,0),0)</f>
        <v>0</v>
      </c>
      <c r="D2064" s="755" t="e">
        <f>IF($C$2064=0,NA(),VLOOKUP($I$2046&amp;$B$2064,FLNFIX!$CD$4:$EF$103,2,0))</f>
        <v>#N/A</v>
      </c>
      <c r="E2064" s="755" t="e">
        <f>IF($C$2064=0,NA(),VLOOKUP($I$2046&amp;$B$2064,FLNFIX!$CD$4:$EF$103,4,0))</f>
        <v>#N/A</v>
      </c>
      <c r="F2064" s="755" t="e">
        <f>IF($C$2064=0,NA(),VLOOKUP($I$2046&amp;$B$2064,FLNFIX!$CD$4:$EF$103,3,0))</f>
        <v>#N/A</v>
      </c>
      <c r="G2064" s="756" t="e">
        <f>IF($C$2064=0,NA(),VLOOKUP($I$2046&amp;$B$2064,FLNFIX!$CD$4:$EF$103,5,0))</f>
        <v>#N/A</v>
      </c>
      <c r="H2064" s="757"/>
      <c r="I2064" s="757"/>
      <c r="J2064" s="758"/>
      <c r="K2064" s="677"/>
    </row>
    <row r="2065" ht="20.1" customHeight="1" spans="1:11">
      <c r="A2065" s="675"/>
      <c r="B2065" s="755">
        <f t="shared" si="37"/>
        <v>16</v>
      </c>
      <c r="C2065" s="755">
        <f>IFERROR(VLOOKUP(B2065,DATEWISE!$A$3:$BY$27,2,0),0)</f>
        <v>0</v>
      </c>
      <c r="D2065" s="755" t="e">
        <f>IF($C$2065=0,NA(),VLOOKUP($I$2046&amp;$B$2065,FLNFIX!$CI$4:$EF$103,2,0))</f>
        <v>#N/A</v>
      </c>
      <c r="E2065" s="755" t="e">
        <f>IF($C$2065=0,NA(),VLOOKUP($I$2046&amp;$B$2065,FLNFIX!$CI$4:$EF$103,4,0))</f>
        <v>#N/A</v>
      </c>
      <c r="F2065" s="755" t="e">
        <f>IF($C$2065=0,NA(),VLOOKUP($I$2046&amp;$B$2065,FLNFIX!$CI$4:$EF$103,3,0))</f>
        <v>#N/A</v>
      </c>
      <c r="G2065" s="756" t="e">
        <f>IF($C$2065=0,NA(),VLOOKUP($I$2046&amp;$B$2065,FLNFIX!$CI$4:$EF$103,5,0))</f>
        <v>#N/A</v>
      </c>
      <c r="H2065" s="757"/>
      <c r="I2065" s="757"/>
      <c r="J2065" s="758"/>
      <c r="K2065" s="677"/>
    </row>
    <row r="2066" ht="20.1" customHeight="1" spans="1:11">
      <c r="A2066" s="675"/>
      <c r="B2066" s="755">
        <f t="shared" si="37"/>
        <v>17</v>
      </c>
      <c r="C2066" s="755">
        <f>IFERROR(VLOOKUP(B2066,DATEWISE!$A$3:$BY$27,2,0),0)</f>
        <v>0</v>
      </c>
      <c r="D2066" s="755" t="e">
        <f>IF($C$2066=0,NA(),VLOOKUP($I$2046&amp;$B$2066,FLNFIX!$CN$4:$EF$103,2,0))</f>
        <v>#N/A</v>
      </c>
      <c r="E2066" s="755" t="e">
        <f>IF($C$2066=0,NA(),VLOOKUP($I$2046&amp;$B$2066,FLNFIX!$CN$4:$EF$103,4,0))</f>
        <v>#N/A</v>
      </c>
      <c r="F2066" s="755" t="e">
        <f>IF($C$2066=0,NA(),VLOOKUP($I$2046&amp;$B$2066,FLNFIX!$CN$4:$EF$103,3,0))</f>
        <v>#N/A</v>
      </c>
      <c r="G2066" s="756" t="e">
        <f>IF($C$2066=0,NA(),VLOOKUP($I$2046&amp;$B$2066,FLNFIX!$CN$4:$EF$103,5,0))</f>
        <v>#N/A</v>
      </c>
      <c r="H2066" s="757"/>
      <c r="I2066" s="757"/>
      <c r="J2066" s="758"/>
      <c r="K2066" s="677"/>
    </row>
    <row r="2067" ht="20.1" customHeight="1" spans="1:11">
      <c r="A2067" s="675"/>
      <c r="B2067" s="755">
        <f t="shared" si="37"/>
        <v>18</v>
      </c>
      <c r="C2067" s="755">
        <f>IFERROR(VLOOKUP(B2067,DATEWISE!$A$3:$BY$27,2,0),0)</f>
        <v>0</v>
      </c>
      <c r="D2067" s="755" t="e">
        <f>IF($C$2067=0,NA(),VLOOKUP($I$2046&amp;$B$2067,FLNFIX!$CS$4:$EF$103,2,0))</f>
        <v>#N/A</v>
      </c>
      <c r="E2067" s="755" t="e">
        <f>IF($C$2067=0,NA(),VLOOKUP($I$2046&amp;$B$2067,FLNFIX!$CS$4:$EF$103,4,0))</f>
        <v>#N/A</v>
      </c>
      <c r="F2067" s="755" t="e">
        <f>IF($C$2067=0,NA(),VLOOKUP($I$2046&amp;$B$2067,FLNFIX!$CS$4:$EF$103,3,0))</f>
        <v>#N/A</v>
      </c>
      <c r="G2067" s="756" t="e">
        <f>IF($C$2067=0,NA(),VLOOKUP($I$2046&amp;$B$2067,FLNFIX!$CS$4:$EF$103,5,0))</f>
        <v>#N/A</v>
      </c>
      <c r="H2067" s="757"/>
      <c r="I2067" s="757"/>
      <c r="J2067" s="758"/>
      <c r="K2067" s="677"/>
    </row>
    <row r="2068" ht="20.1" customHeight="1" spans="1:11">
      <c r="A2068" s="675"/>
      <c r="B2068" s="755">
        <f t="shared" si="37"/>
        <v>19</v>
      </c>
      <c r="C2068" s="755">
        <f>IFERROR(VLOOKUP(B2068,DATEWISE!$A$3:$BY$27,2,0),0)</f>
        <v>0</v>
      </c>
      <c r="D2068" s="755" t="e">
        <f>IF($C$2068=0,NA(),VLOOKUP($I$2046&amp;$B$2068,FLNFIX!$CX$4:$EF$103,2,0))</f>
        <v>#N/A</v>
      </c>
      <c r="E2068" s="755" t="e">
        <f>IF($C$2068=0,NA(),VLOOKUP($I$2046&amp;$B$2068,FLNFIX!$CX$4:$EF$103,4,0))</f>
        <v>#N/A</v>
      </c>
      <c r="F2068" s="755" t="e">
        <f>IF($C$2068=0,NA(),VLOOKUP($I$2046&amp;$B$2068,FLNFIX!$CX$4:$EF$103,3,0))</f>
        <v>#N/A</v>
      </c>
      <c r="G2068" s="756" t="e">
        <f>IF($C$2068=0,NA(),VLOOKUP($I$2046&amp;$B$2068,FLNFIX!$CX$4:$EF$103,5,0))</f>
        <v>#N/A</v>
      </c>
      <c r="H2068" s="757"/>
      <c r="I2068" s="757"/>
      <c r="J2068" s="758"/>
      <c r="K2068" s="677"/>
    </row>
    <row r="2069" ht="20.1" customHeight="1" spans="1:11">
      <c r="A2069" s="675"/>
      <c r="B2069" s="755">
        <f t="shared" si="37"/>
        <v>20</v>
      </c>
      <c r="C2069" s="755">
        <f>IFERROR(VLOOKUP(B2069,DATEWISE!$A$3:$BY$27,2,0),0)</f>
        <v>0</v>
      </c>
      <c r="D2069" s="755" t="e">
        <f>IF($C$2069=0,NA(),VLOOKUP($I$2046&amp;$B$2069,FLNFIX!$DC$4:$EF$103,2,0))</f>
        <v>#N/A</v>
      </c>
      <c r="E2069" s="755" t="e">
        <f>IF($C$2069=0,NA(),VLOOKUP($I$2046&amp;$B$2069,FLNFIX!$DC$4:$EF$103,4,0))</f>
        <v>#N/A</v>
      </c>
      <c r="F2069" s="755" t="e">
        <f>IF($C$2069=0,NA(),VLOOKUP($I$2046&amp;$B$2069,FLNFIX!$DC$4:$EF$103,3,0))</f>
        <v>#N/A</v>
      </c>
      <c r="G2069" s="756" t="e">
        <f>IF($C$2069=0,NA(),VLOOKUP($I$2046&amp;$B$2069,FLNFIX!$DC$4:$EF$103,5,0))</f>
        <v>#N/A</v>
      </c>
      <c r="H2069" s="757"/>
      <c r="I2069" s="757"/>
      <c r="J2069" s="758"/>
      <c r="K2069" s="677"/>
    </row>
    <row r="2070" ht="20.1" customHeight="1" spans="1:11">
      <c r="A2070" s="675"/>
      <c r="B2070" s="755">
        <f t="shared" si="37"/>
        <v>21</v>
      </c>
      <c r="C2070" s="755">
        <f>IFERROR(VLOOKUP(B2070,DATEWISE!$A$3:$BY$27,2,0),0)</f>
        <v>0</v>
      </c>
      <c r="D2070" s="755" t="e">
        <f>IF($C$2070=0,NA(),VLOOKUP($I$2046&amp;$B$2070,FLNFIX!$DH$4:$EF$103,2,0))</f>
        <v>#N/A</v>
      </c>
      <c r="E2070" s="755" t="e">
        <f>IF($C$2070=0,NA(),VLOOKUP($I$2046&amp;$B$2070,FLNFIX!$DH$4:$EF$103,4,0))</f>
        <v>#N/A</v>
      </c>
      <c r="F2070" s="755" t="e">
        <f>IF($C$2070=0,NA(),VLOOKUP($I$2046&amp;$B$2070,FLNFIX!$DH$4:$EF$103,3,0))</f>
        <v>#N/A</v>
      </c>
      <c r="G2070" s="756" t="e">
        <f>IF($C$2070=0,NA(),VLOOKUP($I$2046&amp;$B$2070,FLNFIX!$DH$4:$EF$103,5,0))</f>
        <v>#N/A</v>
      </c>
      <c r="H2070" s="757"/>
      <c r="I2070" s="757"/>
      <c r="J2070" s="758"/>
      <c r="K2070" s="677"/>
    </row>
    <row r="2071" ht="5.1" customHeight="1" spans="1:11">
      <c r="A2071" s="675"/>
      <c r="B2071" s="759"/>
      <c r="C2071" s="759"/>
      <c r="D2071" s="760"/>
      <c r="E2071" s="760"/>
      <c r="F2071" s="760"/>
      <c r="G2071" s="761"/>
      <c r="H2071" s="761"/>
      <c r="I2071" s="761"/>
      <c r="J2071" s="761"/>
      <c r="K2071" s="677"/>
    </row>
    <row r="2072" s="667" customFormat="1" ht="24.95" customHeight="1" spans="1:11">
      <c r="A2072" s="711"/>
      <c r="B2072" s="762" t="s">
        <v>431</v>
      </c>
      <c r="C2072" s="763"/>
      <c r="D2072" s="763"/>
      <c r="E2072" s="763"/>
      <c r="F2072" s="763"/>
      <c r="G2072" s="763"/>
      <c r="H2072" s="763"/>
      <c r="I2072" s="763"/>
      <c r="J2072" s="764"/>
      <c r="K2072" s="713"/>
    </row>
    <row r="2073" spans="1:11">
      <c r="A2073" s="675"/>
      <c r="B2073" s="765"/>
      <c r="C2073" s="686"/>
      <c r="D2073" s="686"/>
      <c r="E2073" s="686"/>
      <c r="F2073" s="686"/>
      <c r="G2073" s="686"/>
      <c r="H2073" s="686"/>
      <c r="I2073" s="686"/>
      <c r="J2073" s="766"/>
      <c r="K2073" s="677"/>
    </row>
    <row r="2074" spans="1:11">
      <c r="A2074" s="675"/>
      <c r="B2074" s="765"/>
      <c r="C2074" s="686"/>
      <c r="D2074" s="686"/>
      <c r="E2074" s="686"/>
      <c r="F2074" s="686"/>
      <c r="G2074" s="686"/>
      <c r="H2074" s="686"/>
      <c r="I2074" s="686"/>
      <c r="J2074" s="766"/>
      <c r="K2074" s="677"/>
    </row>
    <row r="2075" spans="1:11">
      <c r="A2075" s="675"/>
      <c r="B2075" s="765"/>
      <c r="C2075" s="686"/>
      <c r="D2075" s="686"/>
      <c r="E2075" s="686"/>
      <c r="F2075" s="686"/>
      <c r="G2075" s="686"/>
      <c r="H2075" s="686"/>
      <c r="I2075" s="686"/>
      <c r="J2075" s="766"/>
      <c r="K2075" s="677"/>
    </row>
    <row r="2076" spans="1:11">
      <c r="A2076" s="675"/>
      <c r="B2076" s="765"/>
      <c r="C2076" s="686"/>
      <c r="D2076" s="686"/>
      <c r="E2076" s="686"/>
      <c r="F2076" s="686"/>
      <c r="G2076" s="686"/>
      <c r="H2076" s="686"/>
      <c r="I2076" s="686"/>
      <c r="J2076" s="766"/>
      <c r="K2076" s="677"/>
    </row>
    <row r="2077" spans="1:11">
      <c r="A2077" s="675"/>
      <c r="B2077" s="765"/>
      <c r="C2077" s="686"/>
      <c r="D2077" s="686"/>
      <c r="E2077" s="686"/>
      <c r="F2077" s="686"/>
      <c r="G2077" s="686"/>
      <c r="H2077" s="686"/>
      <c r="I2077" s="686"/>
      <c r="J2077" s="766"/>
      <c r="K2077" s="677"/>
    </row>
    <row r="2078" spans="1:11">
      <c r="A2078" s="675"/>
      <c r="B2078" s="765"/>
      <c r="C2078" s="686"/>
      <c r="D2078" s="686"/>
      <c r="E2078" s="686"/>
      <c r="F2078" s="686"/>
      <c r="G2078" s="686"/>
      <c r="H2078" s="686"/>
      <c r="I2078" s="686"/>
      <c r="J2078" s="766"/>
      <c r="K2078" s="677"/>
    </row>
    <row r="2079" spans="1:11">
      <c r="A2079" s="675"/>
      <c r="B2079" s="765"/>
      <c r="C2079" s="686"/>
      <c r="D2079" s="686"/>
      <c r="E2079" s="686"/>
      <c r="F2079" s="686"/>
      <c r="G2079" s="686"/>
      <c r="H2079" s="686"/>
      <c r="I2079" s="686"/>
      <c r="J2079" s="766"/>
      <c r="K2079" s="677"/>
    </row>
    <row r="2080" spans="1:11">
      <c r="A2080" s="675"/>
      <c r="B2080" s="765"/>
      <c r="C2080" s="686"/>
      <c r="D2080" s="686"/>
      <c r="E2080" s="686"/>
      <c r="F2080" s="686"/>
      <c r="G2080" s="686"/>
      <c r="H2080" s="686"/>
      <c r="I2080" s="686"/>
      <c r="J2080" s="766"/>
      <c r="K2080" s="677"/>
    </row>
    <row r="2081" spans="1:11">
      <c r="A2081" s="675"/>
      <c r="B2081" s="765"/>
      <c r="C2081" s="686"/>
      <c r="D2081" s="686"/>
      <c r="E2081" s="686"/>
      <c r="F2081" s="686"/>
      <c r="G2081" s="686"/>
      <c r="H2081" s="686"/>
      <c r="I2081" s="686"/>
      <c r="J2081" s="766"/>
      <c r="K2081" s="677"/>
    </row>
    <row r="2082" spans="1:11">
      <c r="A2082" s="675"/>
      <c r="B2082" s="767"/>
      <c r="C2082" s="768"/>
      <c r="D2082" s="768"/>
      <c r="E2082" s="768"/>
      <c r="F2082" s="768"/>
      <c r="G2082" s="768"/>
      <c r="H2082" s="768"/>
      <c r="I2082" s="768"/>
      <c r="J2082" s="769"/>
      <c r="K2082" s="677"/>
    </row>
    <row r="2083" ht="5.1" customHeight="1" spans="1:11">
      <c r="A2083" s="675"/>
      <c r="B2083" s="686"/>
      <c r="C2083" s="686"/>
      <c r="D2083" s="686"/>
      <c r="E2083" s="686"/>
      <c r="F2083" s="686"/>
      <c r="G2083" s="686"/>
      <c r="H2083" s="686"/>
      <c r="I2083" s="686"/>
      <c r="J2083" s="686"/>
      <c r="K2083" s="677"/>
    </row>
    <row r="2084" spans="1:11">
      <c r="A2084" s="675"/>
      <c r="B2084" s="770" t="s">
        <v>432</v>
      </c>
      <c r="C2084" s="770"/>
      <c r="D2084" s="770"/>
      <c r="E2084" s="770"/>
      <c r="F2084" s="770"/>
      <c r="G2084" s="770"/>
      <c r="H2084" s="770"/>
      <c r="I2084" s="770"/>
      <c r="J2084" s="770"/>
      <c r="K2084" s="677"/>
    </row>
    <row r="2085" spans="1:11">
      <c r="A2085" s="675"/>
      <c r="B2085" s="771"/>
      <c r="C2085" s="771"/>
      <c r="D2085" s="771"/>
      <c r="E2085" s="771"/>
      <c r="F2085" s="771"/>
      <c r="G2085" s="771"/>
      <c r="H2085" s="771"/>
      <c r="I2085" s="771"/>
      <c r="J2085" s="771"/>
      <c r="K2085" s="677"/>
    </row>
    <row r="2086" spans="1:11">
      <c r="A2086" s="675"/>
      <c r="B2086" s="771"/>
      <c r="C2086" s="771"/>
      <c r="D2086" s="771"/>
      <c r="E2086" s="771"/>
      <c r="F2086" s="771"/>
      <c r="G2086" s="771"/>
      <c r="H2086" s="771"/>
      <c r="I2086" s="771"/>
      <c r="J2086" s="771"/>
      <c r="K2086" s="677"/>
    </row>
    <row r="2087" spans="1:11">
      <c r="A2087" s="675"/>
      <c r="B2087" s="771"/>
      <c r="C2087" s="771"/>
      <c r="D2087" s="771"/>
      <c r="E2087" s="771"/>
      <c r="F2087" s="771"/>
      <c r="G2087" s="771"/>
      <c r="H2087" s="771"/>
      <c r="I2087" s="771"/>
      <c r="J2087" s="771"/>
      <c r="K2087" s="677"/>
    </row>
    <row r="2088" spans="1:11">
      <c r="A2088" s="675"/>
      <c r="B2088" s="686"/>
      <c r="C2088" s="686"/>
      <c r="D2088" s="686"/>
      <c r="E2088" s="686"/>
      <c r="F2088" s="686"/>
      <c r="G2088" s="686"/>
      <c r="H2088" s="686"/>
      <c r="I2088" s="686"/>
      <c r="J2088" s="686"/>
      <c r="K2088" s="677"/>
    </row>
    <row r="2089" spans="1:11">
      <c r="A2089" s="675"/>
      <c r="B2089" s="686"/>
      <c r="C2089" s="729" t="s">
        <v>433</v>
      </c>
      <c r="D2089" s="729"/>
      <c r="E2089" s="686"/>
      <c r="F2089" s="686"/>
      <c r="G2089" s="729" t="s">
        <v>434</v>
      </c>
      <c r="H2089" s="729"/>
      <c r="I2089" s="729"/>
      <c r="J2089" s="729"/>
      <c r="K2089" s="677"/>
    </row>
    <row r="2090" ht="16.35" spans="1:11">
      <c r="A2090" s="725"/>
      <c r="B2090" s="726"/>
      <c r="C2090" s="732" t="str">
        <f>"("&amp;PROPER(ENTRY!$D$19)&amp;")"</f>
        <v>(Indrajeet)</v>
      </c>
      <c r="D2090" s="732"/>
      <c r="E2090" s="726"/>
      <c r="F2090" s="726"/>
      <c r="G2090" s="732" t="str">
        <f>"("&amp;PROPER(ENTRY!$D$12)&amp;")"</f>
        <v>(Shambhu Dayal Meena)</v>
      </c>
      <c r="H2090" s="732"/>
      <c r="I2090" s="732"/>
      <c r="J2090" s="732"/>
      <c r="K2090" s="728"/>
    </row>
    <row r="2091" ht="24.6" spans="1:11">
      <c r="B2091" s="734"/>
      <c r="C2091" s="734"/>
      <c r="D2091" s="669" t="str">
        <f>ENTRY!$D$3</f>
        <v>MUNICIPAL CORPORATION OF DELHI</v>
      </c>
      <c r="E2091" s="669"/>
      <c r="F2091" s="669"/>
      <c r="G2091" s="669"/>
      <c r="H2091" s="734"/>
      <c r="I2091" s="669"/>
      <c r="J2091" s="669"/>
    </row>
    <row r="2092" ht="20.4" spans="1:11">
      <c r="B2092" s="735"/>
      <c r="C2092" s="735"/>
      <c r="D2092" s="670" t="str">
        <f>ENTRY!$D$4</f>
        <v>EDUCATION DEPARTMENT</v>
      </c>
      <c r="E2092" s="670"/>
      <c r="F2092" s="670"/>
      <c r="G2092" s="670"/>
      <c r="H2092" s="735"/>
      <c r="I2092" s="669"/>
      <c r="J2092" s="669"/>
    </row>
    <row r="2093" ht="22.8" spans="1:11">
      <c r="B2093" s="736"/>
      <c r="C2093" s="736"/>
      <c r="D2093" s="664" t="s">
        <v>417</v>
      </c>
      <c r="E2093" s="664"/>
      <c r="F2093" s="664"/>
      <c r="G2093" s="664"/>
      <c r="H2093" s="736"/>
      <c r="I2093" s="669"/>
      <c r="J2093" s="669"/>
    </row>
    <row r="2094" ht="22.8" spans="1:11">
      <c r="B2094" s="736"/>
      <c r="C2094" s="736"/>
      <c r="D2094" s="664" t="s">
        <v>418</v>
      </c>
      <c r="E2094" s="664"/>
      <c r="F2094" s="664"/>
      <c r="G2094" s="664"/>
      <c r="H2094" s="736"/>
      <c r="I2094" s="669"/>
      <c r="J2094" s="669"/>
    </row>
    <row r="2095" ht="24.95" customHeight="1" spans="1:11">
      <c r="B2095" s="735"/>
      <c r="C2095" s="735"/>
      <c r="D2095" s="737" t="str">
        <f>"SESSION : "&amp;ENTRY!$D$11</f>
        <v>SESSION : 2026-27</v>
      </c>
      <c r="E2095" s="737"/>
      <c r="F2095" s="737"/>
      <c r="G2095" s="737"/>
      <c r="H2095" s="735"/>
      <c r="I2095" s="738"/>
      <c r="J2095" s="738"/>
    </row>
    <row r="2096" ht="3.75" customHeight="1" spans="1:11">
      <c r="A2096" s="672"/>
      <c r="B2096" s="739"/>
      <c r="C2096" s="739"/>
      <c r="D2096" s="739"/>
      <c r="E2096" s="739"/>
      <c r="F2096" s="739"/>
      <c r="G2096" s="739"/>
      <c r="H2096" s="739"/>
      <c r="I2096" s="739"/>
      <c r="J2096" s="739"/>
      <c r="K2096" s="674"/>
    </row>
    <row r="2097" ht="21.95" customHeight="1" spans="1:11">
      <c r="A2097" s="675"/>
      <c r="B2097" s="676" t="s">
        <v>419</v>
      </c>
      <c r="C2097" s="676"/>
      <c r="D2097" s="676" t="str">
        <f>ENTRY!$D$6</f>
        <v>MCP NITHARI NO 1 BOYS</v>
      </c>
      <c r="E2097" s="676"/>
      <c r="F2097" s="676"/>
      <c r="G2097" s="676"/>
      <c r="H2097" s="676"/>
      <c r="I2097" s="676"/>
      <c r="J2097" s="676"/>
      <c r="K2097" s="677"/>
    </row>
    <row r="2098" ht="21.95" customHeight="1" spans="1:11">
      <c r="A2098" s="675"/>
      <c r="B2098" s="676" t="s">
        <v>420</v>
      </c>
      <c r="C2098" s="676"/>
      <c r="D2098" s="740" t="str">
        <f>IFERROR(VLOOKUP($I$2101,STUDENT!$A$2:$BP$101,5,0),"")</f>
        <v>LOVECESH KUMAR</v>
      </c>
      <c r="E2098" s="740"/>
      <c r="F2098" s="740"/>
      <c r="G2098" s="740"/>
      <c r="H2098" s="740"/>
      <c r="I2098" s="740"/>
      <c r="J2098" s="740"/>
      <c r="K2098" s="677"/>
    </row>
    <row r="2099" ht="21.95" customHeight="1" spans="1:11">
      <c r="A2099" s="675"/>
      <c r="B2099" s="676" t="s">
        <v>421</v>
      </c>
      <c r="C2099" s="676"/>
      <c r="D2099" s="740" t="str">
        <f>IFERROR(VLOOKUP($I$2101,STUDENT!$A$2:$BP$101,8,0),"")</f>
        <v>SANDEEP KUMAR</v>
      </c>
      <c r="E2099" s="740"/>
      <c r="F2099" s="740"/>
      <c r="G2099" s="740"/>
      <c r="H2099" s="740"/>
      <c r="I2099" s="740"/>
      <c r="J2099" s="740"/>
      <c r="K2099" s="677"/>
    </row>
    <row r="2100" ht="21.95" customHeight="1" spans="1:11">
      <c r="A2100" s="675"/>
      <c r="B2100" s="676" t="s">
        <v>422</v>
      </c>
      <c r="C2100" s="676"/>
      <c r="D2100" s="740">
        <f>IFERROR(VLOOKUP($I$2101,STUDENT!$A$2:$BP$101,6,0),"")</f>
        <v>15149</v>
      </c>
      <c r="E2100" s="740"/>
      <c r="F2100" s="740"/>
      <c r="G2100" s="740"/>
      <c r="H2100" s="740"/>
      <c r="I2100" s="740"/>
      <c r="J2100" s="740"/>
      <c r="K2100" s="677"/>
    </row>
    <row r="2101" ht="21.95" customHeight="1" spans="1:11">
      <c r="A2101" s="675"/>
      <c r="B2101" s="676" t="s">
        <v>423</v>
      </c>
      <c r="C2101" s="676"/>
      <c r="D2101" s="741" t="str">
        <f>IFERROR(VLOOKUP($I$2101,STUDENT!$A$2:$BP$101,59,0),"")</f>
        <v/>
      </c>
      <c r="E2101" s="742" t="s">
        <v>424</v>
      </c>
      <c r="F2101" s="704" t="str">
        <f>IFERROR(VLOOKUP($I$2101,STUDENT!$A$2:$BP$101,2,0),"")</f>
        <v>III-A</v>
      </c>
      <c r="G2101" s="742" t="s">
        <v>425</v>
      </c>
      <c r="H2101" s="743"/>
      <c r="I2101" s="733">
        <f>I2046+1</f>
        <v>39</v>
      </c>
      <c r="J2101" s="683"/>
      <c r="K2101" s="677"/>
    </row>
    <row r="2102" ht="5.1" customHeight="1" spans="1:11">
      <c r="A2102" s="675"/>
      <c r="B2102" s="745"/>
      <c r="C2102" s="745"/>
      <c r="D2102" s="746"/>
      <c r="E2102" s="747"/>
      <c r="F2102" s="748"/>
      <c r="G2102" s="747"/>
      <c r="H2102" s="686"/>
      <c r="I2102" s="686"/>
      <c r="J2102" s="686"/>
      <c r="K2102" s="677"/>
    </row>
    <row r="2103" s="664" customFormat="1" ht="32.1" customHeight="1" spans="1:11">
      <c r="A2103" s="688"/>
      <c r="B2103" s="749" t="s">
        <v>426</v>
      </c>
      <c r="C2103" s="750"/>
      <c r="D2103" s="750"/>
      <c r="E2103" s="750"/>
      <c r="F2103" s="750"/>
      <c r="G2103" s="750"/>
      <c r="H2103" s="750"/>
      <c r="I2103" s="750"/>
      <c r="J2103" s="751"/>
      <c r="K2103" s="690"/>
    </row>
    <row r="2104" ht="51.6" spans="1:11">
      <c r="A2104" s="675"/>
      <c r="B2104" s="752">
        <v>21</v>
      </c>
      <c r="C2104" s="753" t="s">
        <v>427</v>
      </c>
      <c r="D2104" s="754" t="s">
        <v>428</v>
      </c>
      <c r="E2104" s="754" t="s">
        <v>429</v>
      </c>
      <c r="F2104" s="754" t="s">
        <v>430</v>
      </c>
      <c r="G2104" s="753" t="s">
        <v>390</v>
      </c>
      <c r="H2104" s="714"/>
      <c r="I2104" s="714"/>
      <c r="J2104" s="714"/>
      <c r="K2104" s="677"/>
    </row>
    <row r="2105" ht="20.1" customHeight="1" spans="1:11">
      <c r="A2105" s="675"/>
      <c r="B2105" s="755">
        <v>1</v>
      </c>
      <c r="C2105" s="755" t="str">
        <f>IFERROR(VLOOKUP(B2105,DATEWISE!$A$3:$BY$27,2,0),0)</f>
        <v>30.04.2026</v>
      </c>
      <c r="D2105" s="755" t="str">
        <f>IF($C$2105=0,NA(),VLOOKUP($I$2101&amp;$B$2105,FLNFIX!$L$4:$EF$103,2,0))</f>
        <v>Ab</v>
      </c>
      <c r="E2105" s="755" t="str">
        <f>IF($C$2105=0,NA(),VLOOKUP($I$2101&amp;$B$2105,FLNFIX!$L$4:$EF$103,4,0))</f>
        <v>Ab</v>
      </c>
      <c r="F2105" s="755" t="str">
        <f>IF($C$2105=0,NA(),VLOOKUP($I$2101&amp;$B$2105,FLNFIX!$L$4:$EF$103,3,0))</f>
        <v>Ab</v>
      </c>
      <c r="G2105" s="756">
        <f>IF($C$2105=0,NA(),VLOOKUP($I$2101&amp;$B$2105,FLNFIX!$L$4:$EF$103,5,0))</f>
        <v>0</v>
      </c>
      <c r="H2105" s="757"/>
      <c r="I2105" s="757"/>
      <c r="J2105" s="758"/>
      <c r="K2105" s="677"/>
    </row>
    <row r="2106" ht="20.1" customHeight="1" spans="1:11">
      <c r="A2106" s="675"/>
      <c r="B2106" s="755">
        <f t="shared" ref="B2106:B2125" si="38">IF(B2105=0,0,IF(B2105&lt;$B$2104,B2105+1,""))</f>
        <v>2</v>
      </c>
      <c r="C2106" s="755" t="str">
        <f>IFERROR(VLOOKUP(B2106,DATEWISE!$A$3:$BY$27,2,0),0)</f>
        <v>08.05.2026</v>
      </c>
      <c r="D2106" s="755" t="str">
        <f>IF($C$2106=0,NA(),VLOOKUP($I$2101&amp;$B$2106,FLNFIX!$Q$4:$EF$103,2,0))</f>
        <v>Ab</v>
      </c>
      <c r="E2106" s="755" t="str">
        <f>IF($C$2106=0,NA(),VLOOKUP($I$2101&amp;$B$2106,FLNFIX!$Q$4:$EF$103,4,0))</f>
        <v>Ab</v>
      </c>
      <c r="F2106" s="755" t="str">
        <f>IF($C$2106=0,NA(),VLOOKUP($I$2101&amp;$B$2106,FLNFIX!$Q$4:$EF$103,3,0))</f>
        <v>Ab</v>
      </c>
      <c r="G2106" s="756" t="str">
        <f>IF($C$2106=0,NA(),VLOOKUP($I$2101&amp;$B$2106,FLNFIX!$Q$4:$EF$103,5,0))</f>
        <v>-</v>
      </c>
      <c r="H2106" s="757"/>
      <c r="I2106" s="757"/>
      <c r="J2106" s="758"/>
      <c r="K2106" s="677"/>
    </row>
    <row r="2107" ht="20.1" customHeight="1" spans="1:11">
      <c r="A2107" s="675"/>
      <c r="B2107" s="755">
        <f t="shared" si="38"/>
        <v>3</v>
      </c>
      <c r="C2107" s="755" t="str">
        <f>IFERROR(VLOOKUP(B2107,DATEWISE!$A$3:$BY$27,2,0),0)</f>
        <v>15.07.2026</v>
      </c>
      <c r="D2107" s="755" t="str">
        <f>IF($C$2107=0,NA(),VLOOKUP($I$2101&amp;$B$2107,FLNFIX!$V$4:$EF$103,2,0))</f>
        <v>Ab</v>
      </c>
      <c r="E2107" s="755" t="str">
        <f>IF($C$2107=0,NA(),VLOOKUP($I$2101&amp;$B$2107,FLNFIX!$V$4:$EF$103,4,0))</f>
        <v>Ab</v>
      </c>
      <c r="F2107" s="755" t="str">
        <f>IF($C$2107=0,NA(),VLOOKUP($I$2101&amp;$B$2107,FLNFIX!$V$4:$EF$103,3,0))</f>
        <v>Ab</v>
      </c>
      <c r="G2107" s="756" t="str">
        <f>IF($C$2107=0,NA(),VLOOKUP($I$2101&amp;$B$2107,FLNFIX!$V$4:$EF$103,5,0))</f>
        <v>-</v>
      </c>
      <c r="H2107" s="757"/>
      <c r="I2107" s="757"/>
      <c r="J2107" s="758"/>
      <c r="K2107" s="677"/>
    </row>
    <row r="2108" ht="20.1" customHeight="1" spans="1:11">
      <c r="A2108" s="675"/>
      <c r="B2108" s="755">
        <f t="shared" si="38"/>
        <v>4</v>
      </c>
      <c r="C2108" s="755" t="str">
        <f>IFERROR(VLOOKUP(B2108,DATEWISE!$A$3:$BY$27,2,0),0)</f>
        <v>31.07.2026</v>
      </c>
      <c r="D2108" s="755" t="str">
        <f>IF($C$2108=0,NA(),VLOOKUP($I$2101&amp;$B$2108,FLNFIX!$AA$4:$EF$103,2,0))</f>
        <v>Ab</v>
      </c>
      <c r="E2108" s="755" t="str">
        <f>IF($C$2108=0,NA(),VLOOKUP($I$2101&amp;$B$2108,FLNFIX!$AA$4:$EF$103,4,0))</f>
        <v>Ab</v>
      </c>
      <c r="F2108" s="755" t="str">
        <f>IF($C$2108=0,NA(),VLOOKUP($I$2101&amp;$B$2108,FLNFIX!$AA$4:$EF$103,3,0))</f>
        <v>Ab</v>
      </c>
      <c r="G2108" s="756" t="str">
        <f>IF($C$2108=0,NA(),VLOOKUP($I$2101&amp;$B$2108,FLNFIX!$AA$4:$EF$103,5,0))</f>
        <v>-</v>
      </c>
      <c r="H2108" s="757"/>
      <c r="I2108" s="757"/>
      <c r="J2108" s="758"/>
      <c r="K2108" s="677"/>
    </row>
    <row r="2109" ht="20.1" customHeight="1" spans="1:11">
      <c r="A2109" s="675"/>
      <c r="B2109" s="755">
        <f t="shared" si="38"/>
        <v>5</v>
      </c>
      <c r="C2109" s="755" t="str">
        <f>IFERROR(VLOOKUP(B2109,DATEWISE!$A$3:$BY$27,2,0),0)</f>
        <v>17.08.2026</v>
      </c>
      <c r="D2109" s="755" t="str">
        <f>IF($C$2109=0,NA(),VLOOKUP($I$2101&amp;$B$2109,FLNFIX!$AF$4:$EF$103,2,0))</f>
        <v>Ab</v>
      </c>
      <c r="E2109" s="755" t="str">
        <f>IF($C$2109=0,NA(),VLOOKUP($I$2101&amp;$B$2109,FLNFIX!$AF$4:$EF$103,4,0))</f>
        <v>Ab</v>
      </c>
      <c r="F2109" s="755" t="str">
        <f>IF($C$2109=0,NA(),VLOOKUP($I$2101&amp;$B$2109,FLNFIX!$AF$4:$EF$103,3,0))</f>
        <v>Ab</v>
      </c>
      <c r="G2109" s="756" t="str">
        <f>IF($C$2109=0,NA(),VLOOKUP($I$2101&amp;$B$2109,FLNFIX!$AF$4:$EF$103,5,0))</f>
        <v>-</v>
      </c>
      <c r="H2109" s="757"/>
      <c r="I2109" s="757"/>
      <c r="J2109" s="758"/>
      <c r="K2109" s="677"/>
    </row>
    <row r="2110" ht="20.1" customHeight="1" spans="1:11">
      <c r="A2110" s="675"/>
      <c r="B2110" s="755">
        <f t="shared" si="38"/>
        <v>6</v>
      </c>
      <c r="C2110" s="755" t="str">
        <f>IFERROR(VLOOKUP(B2110,DATEWISE!$A$3:$BY$27,2,0),0)</f>
        <v>31.08.2026</v>
      </c>
      <c r="D2110" s="755" t="str">
        <f>IF($C$2110=0,NA(),VLOOKUP($I$2101&amp;$B$2110,FLNFIX!$AK$4:$EF$103,2,0))</f>
        <v>Ab</v>
      </c>
      <c r="E2110" s="755" t="str">
        <f>IF($C$2110=0,NA(),VLOOKUP($I$2101&amp;$B$2110,FLNFIX!$AK$4:$EF$103,4,0))</f>
        <v>Ab</v>
      </c>
      <c r="F2110" s="755" t="str">
        <f>IF($C$2110=0,NA(),VLOOKUP($I$2101&amp;$B$2110,FLNFIX!$AK$4:$EF$103,3,0))</f>
        <v>Ab</v>
      </c>
      <c r="G2110" s="756">
        <f>IF($C$2110=0,NA(),VLOOKUP($I$2101&amp;$B$2110,FLNFIX!$AK$4:$EF$103,5,0))</f>
        <v>0</v>
      </c>
      <c r="H2110" s="757"/>
      <c r="I2110" s="757"/>
      <c r="J2110" s="758"/>
      <c r="K2110" s="677"/>
    </row>
    <row r="2111" ht="20.1" customHeight="1" spans="1:11">
      <c r="A2111" s="675"/>
      <c r="B2111" s="755">
        <f t="shared" si="38"/>
        <v>7</v>
      </c>
      <c r="C2111" s="755">
        <f>IFERROR(VLOOKUP(B2111,DATEWISE!$A$3:$BY$27,2,0),0)</f>
        <v>0</v>
      </c>
      <c r="D2111" s="755" t="e">
        <f>IF($C$2111=0,NA(),VLOOKUP($I$2101&amp;$B$2111,FLNFIX!$AP$4:$EF$103,2,0))</f>
        <v>#N/A</v>
      </c>
      <c r="E2111" s="755" t="e">
        <f>IF($C$2111=0,NA(),VLOOKUP($I$2101&amp;$B$2111,FLNFIX!$AP$4:$EF$103,4,0))</f>
        <v>#N/A</v>
      </c>
      <c r="F2111" s="755" t="e">
        <f>IF($C$2111=0,NA(),VLOOKUP($I$2101&amp;$B$2111,FLNFIX!$AP$4:$EF$103,3,0))</f>
        <v>#N/A</v>
      </c>
      <c r="G2111" s="756" t="e">
        <f>IF($C$2111=0,NA(),VLOOKUP($I$2101&amp;$B$2111,FLNFIX!$AP$4:$EF$103,5,0))</f>
        <v>#N/A</v>
      </c>
      <c r="H2111" s="757"/>
      <c r="I2111" s="757"/>
      <c r="J2111" s="758"/>
      <c r="K2111" s="677"/>
    </row>
    <row r="2112" ht="20.1" customHeight="1" spans="1:11">
      <c r="A2112" s="675"/>
      <c r="B2112" s="755">
        <f t="shared" si="38"/>
        <v>8</v>
      </c>
      <c r="C2112" s="755">
        <f>IFERROR(VLOOKUP(B2112,DATEWISE!$A$3:$BY$27,2,0),0)</f>
        <v>0</v>
      </c>
      <c r="D2112" s="755" t="e">
        <f>IF($C$2112=0,NA(),VLOOKUP($I$2101&amp;$B$2112,FLNFIX!$AU$4:$EF$103,2,0))</f>
        <v>#N/A</v>
      </c>
      <c r="E2112" s="755" t="e">
        <f>IF($C$2112=0,NA(),VLOOKUP($I$2101&amp;$B$2112,FLNFIX!$AU$4:$EF$103,4,0))</f>
        <v>#N/A</v>
      </c>
      <c r="F2112" s="755" t="e">
        <f>IF($C$2112=0,NA(),VLOOKUP($I$2101&amp;$B$2112,FLNFIX!$AU$4:$EF$103,3,0))</f>
        <v>#N/A</v>
      </c>
      <c r="G2112" s="756" t="e">
        <f>IF($C$2112=0,NA(),VLOOKUP($I$2101&amp;$B$2112,FLNFIX!$AU$4:$EF$103,5,0))</f>
        <v>#N/A</v>
      </c>
      <c r="H2112" s="757"/>
      <c r="I2112" s="757"/>
      <c r="J2112" s="758"/>
      <c r="K2112" s="677"/>
    </row>
    <row r="2113" ht="20.1" customHeight="1" spans="1:11">
      <c r="A2113" s="675"/>
      <c r="B2113" s="755">
        <f t="shared" si="38"/>
        <v>9</v>
      </c>
      <c r="C2113" s="755">
        <f>IFERROR(VLOOKUP(B2113,DATEWISE!$A$3:$BY$27,2,0),0)</f>
        <v>0</v>
      </c>
      <c r="D2113" s="755" t="e">
        <f>IF($C$2113=0,NA(),VLOOKUP($I$2101&amp;$B$2113,FLNFIX!$AZ$4:$EF$103,2,0))</f>
        <v>#N/A</v>
      </c>
      <c r="E2113" s="755" t="e">
        <f>IF($C$2113=0,NA(),VLOOKUP($I$2101&amp;$B$2113,FLNFIX!$AZ$4:$EF$103,4,0))</f>
        <v>#N/A</v>
      </c>
      <c r="F2113" s="755" t="e">
        <f>IF($C$2113=0,NA(),VLOOKUP($I$2101&amp;$B$2113,FLNFIX!$AZ$4:$EF$103,3,0))</f>
        <v>#N/A</v>
      </c>
      <c r="G2113" s="756" t="e">
        <f>IF($C$2113=0,NA(),VLOOKUP($I$2101&amp;$B$2113,FLNFIX!$AZ$4:$EF$103,5,0))</f>
        <v>#N/A</v>
      </c>
      <c r="H2113" s="757"/>
      <c r="I2113" s="757"/>
      <c r="J2113" s="758"/>
      <c r="K2113" s="677"/>
    </row>
    <row r="2114" ht="20.1" customHeight="1" spans="1:11">
      <c r="A2114" s="675"/>
      <c r="B2114" s="755">
        <f t="shared" si="38"/>
        <v>10</v>
      </c>
      <c r="C2114" s="755">
        <f>IFERROR(VLOOKUP(B2114,DATEWISE!$A$3:$BY$27,2,0),0)</f>
        <v>0</v>
      </c>
      <c r="D2114" s="755" t="e">
        <f>IF($C$2114=0,NA(),VLOOKUP($I$2101&amp;$B$2114,FLNFIX!$BE$4:$EF$103,2,0))</f>
        <v>#N/A</v>
      </c>
      <c r="E2114" s="755" t="e">
        <f>IF($C$2114=0,NA(),VLOOKUP($I$2101&amp;$B$2114,FLNFIX!$BE$4:$EF$103,4,0))</f>
        <v>#N/A</v>
      </c>
      <c r="F2114" s="755" t="e">
        <f>IF($C$2114=0,NA(),VLOOKUP($I$2101&amp;$B$2114,FLNFIX!$BE$4:$EF$103,3,0))</f>
        <v>#N/A</v>
      </c>
      <c r="G2114" s="756" t="e">
        <f>IF($C$2114=0,NA(),VLOOKUP($I$2101&amp;$B$2114,FLNFIX!$BE$4:$EF$103,5,0))</f>
        <v>#N/A</v>
      </c>
      <c r="H2114" s="757"/>
      <c r="I2114" s="757"/>
      <c r="J2114" s="758"/>
      <c r="K2114" s="677"/>
    </row>
    <row r="2115" ht="20.1" customHeight="1" spans="1:11">
      <c r="A2115" s="675"/>
      <c r="B2115" s="755">
        <f t="shared" si="38"/>
        <v>11</v>
      </c>
      <c r="C2115" s="755">
        <f>IFERROR(VLOOKUP(B2115,DATEWISE!$A$3:$BY$27,2,0),0)</f>
        <v>0</v>
      </c>
      <c r="D2115" s="755" t="e">
        <f>IF($C$2115=0,NA(),VLOOKUP($I$2101&amp;$B$2115,FLNFIX!$BJ$4:$EF$103,2,0))</f>
        <v>#N/A</v>
      </c>
      <c r="E2115" s="755" t="e">
        <f>IF($C$2115=0,NA(),VLOOKUP($I$2101&amp;$B$2115,FLNFIX!$BJ$4:$EF$103,4,0))</f>
        <v>#N/A</v>
      </c>
      <c r="F2115" s="755" t="e">
        <f>IF($C$2115=0,NA(),VLOOKUP($I$2101&amp;$B$2115,FLNFIX!$BJ$4:$EF$103,3,0))</f>
        <v>#N/A</v>
      </c>
      <c r="G2115" s="756" t="e">
        <f>IF($C$2115=0,NA(),VLOOKUP($I$2101&amp;$B$2115,FLNFIX!$BJ$4:$EF$103,5,0))</f>
        <v>#N/A</v>
      </c>
      <c r="H2115" s="757"/>
      <c r="I2115" s="757"/>
      <c r="J2115" s="758"/>
      <c r="K2115" s="677"/>
    </row>
    <row r="2116" ht="20.1" customHeight="1" spans="1:11">
      <c r="A2116" s="675"/>
      <c r="B2116" s="755">
        <f t="shared" si="38"/>
        <v>12</v>
      </c>
      <c r="C2116" s="755">
        <f>IFERROR(VLOOKUP(B2116,DATEWISE!$A$3:$BY$27,2,0),0)</f>
        <v>0</v>
      </c>
      <c r="D2116" s="755" t="e">
        <f>IF($C$2116=0,NA(),VLOOKUP($I$2101&amp;$B$2116,FLNFIX!$BO$4:$EF$103,2,0))</f>
        <v>#N/A</v>
      </c>
      <c r="E2116" s="755" t="e">
        <f>IF($C$2116=0,NA(),VLOOKUP($I$2101&amp;$B$2116,FLNFIX!$BO$4:$EF$103,4,0))</f>
        <v>#N/A</v>
      </c>
      <c r="F2116" s="755" t="e">
        <f>IF($C$2116=0,NA(),VLOOKUP($I$2101&amp;$B$2116,FLNFIX!$BO$4:$EF$103,3,0))</f>
        <v>#N/A</v>
      </c>
      <c r="G2116" s="756" t="e">
        <f>IF($C$2116=0,NA(),VLOOKUP($I$2101&amp;$B$2116,FLNFIX!$BO$4:$EF$103,5,0))</f>
        <v>#N/A</v>
      </c>
      <c r="H2116" s="757"/>
      <c r="I2116" s="757"/>
      <c r="J2116" s="758"/>
      <c r="K2116" s="677"/>
    </row>
    <row r="2117" ht="20.1" customHeight="1" spans="1:11">
      <c r="A2117" s="675"/>
      <c r="B2117" s="755">
        <f t="shared" si="38"/>
        <v>13</v>
      </c>
      <c r="C2117" s="755">
        <f>IFERROR(VLOOKUP(B2117,DATEWISE!$A$3:$BY$27,2,0),0)</f>
        <v>0</v>
      </c>
      <c r="D2117" s="755" t="e">
        <f>IF($C$2117=0,NA(),VLOOKUP($I$2101&amp;$B$2117,FLNFIX!$BT$4:$EF$103,2,0))</f>
        <v>#N/A</v>
      </c>
      <c r="E2117" s="755" t="e">
        <f>IF($C$2117=0,NA(),VLOOKUP($I$2101&amp;$B$2117,FLNFIX!$BT$4:$EF$103,4,0))</f>
        <v>#N/A</v>
      </c>
      <c r="F2117" s="755" t="e">
        <f>IF($C$2117=0,NA(),VLOOKUP($I$2101&amp;$B$2117,FLNFIX!$BT$4:$EF$103,3,0))</f>
        <v>#N/A</v>
      </c>
      <c r="G2117" s="756" t="e">
        <f>IF($C$2117=0,NA(),VLOOKUP($I$2101&amp;$B$2117,FLNFIX!$BT$4:$EF$103,5,0))</f>
        <v>#N/A</v>
      </c>
      <c r="H2117" s="757"/>
      <c r="I2117" s="757"/>
      <c r="J2117" s="758"/>
      <c r="K2117" s="677"/>
    </row>
    <row r="2118" ht="20.1" customHeight="1" spans="1:11">
      <c r="A2118" s="675"/>
      <c r="B2118" s="755">
        <f t="shared" si="38"/>
        <v>14</v>
      </c>
      <c r="C2118" s="755">
        <f>IFERROR(VLOOKUP(B2118,DATEWISE!$A$3:$BY$27,2,0),0)</f>
        <v>0</v>
      </c>
      <c r="D2118" s="755" t="e">
        <f>IF($C$2118=0,NA(),VLOOKUP($I$2101&amp;$B$2118,FLNFIX!$BY$4:$EF$103,2,0))</f>
        <v>#N/A</v>
      </c>
      <c r="E2118" s="755" t="e">
        <f>IF($C$2118=0,NA(),VLOOKUP($I$2101&amp;$B$2118,FLNFIX!$BY$4:$EF$103,4,0))</f>
        <v>#N/A</v>
      </c>
      <c r="F2118" s="755" t="e">
        <f>IF($C$2118=0,NA(),VLOOKUP($I$2101&amp;$B$2118,FLNFIX!$BY$4:$EF$103,3,0))</f>
        <v>#N/A</v>
      </c>
      <c r="G2118" s="756" t="e">
        <f>IF($C$2118=0,NA(),VLOOKUP($I$2101&amp;$B$2118,FLNFIX!$BY$4:$EF$103,5,0))</f>
        <v>#N/A</v>
      </c>
      <c r="H2118" s="757"/>
      <c r="I2118" s="757"/>
      <c r="J2118" s="758"/>
      <c r="K2118" s="677"/>
    </row>
    <row r="2119" ht="20.1" customHeight="1" spans="1:11">
      <c r="A2119" s="675"/>
      <c r="B2119" s="755">
        <f t="shared" si="38"/>
        <v>15</v>
      </c>
      <c r="C2119" s="755">
        <f>IFERROR(VLOOKUP(B2119,DATEWISE!$A$3:$BY$27,2,0),0)</f>
        <v>0</v>
      </c>
      <c r="D2119" s="755" t="e">
        <f>IF($C$2119=0,NA(),VLOOKUP($I$2101&amp;$B$2119,FLNFIX!$CD$4:$EF$103,2,0))</f>
        <v>#N/A</v>
      </c>
      <c r="E2119" s="755" t="e">
        <f>IF($C$2119=0,NA(),VLOOKUP($I$2101&amp;$B$2119,FLNFIX!$CD$4:$EF$103,4,0))</f>
        <v>#N/A</v>
      </c>
      <c r="F2119" s="755" t="e">
        <f>IF($C$2119=0,NA(),VLOOKUP($I$2101&amp;$B$2119,FLNFIX!$CD$4:$EF$103,3,0))</f>
        <v>#N/A</v>
      </c>
      <c r="G2119" s="756" t="e">
        <f>IF($C$2119=0,NA(),VLOOKUP($I$2101&amp;$B$2119,FLNFIX!$CD$4:$EF$103,5,0))</f>
        <v>#N/A</v>
      </c>
      <c r="H2119" s="757"/>
      <c r="I2119" s="757"/>
      <c r="J2119" s="758"/>
      <c r="K2119" s="677"/>
    </row>
    <row r="2120" ht="20.1" customHeight="1" spans="1:11">
      <c r="A2120" s="675"/>
      <c r="B2120" s="755">
        <f t="shared" si="38"/>
        <v>16</v>
      </c>
      <c r="C2120" s="755">
        <f>IFERROR(VLOOKUP(B2120,DATEWISE!$A$3:$BY$27,2,0),0)</f>
        <v>0</v>
      </c>
      <c r="D2120" s="755" t="e">
        <f>IF($C$2120=0,NA(),VLOOKUP($I$2101&amp;$B$2120,FLNFIX!$CI$4:$EF$103,2,0))</f>
        <v>#N/A</v>
      </c>
      <c r="E2120" s="755" t="e">
        <f>IF($C$2120=0,NA(),VLOOKUP($I$2101&amp;$B$2120,FLNFIX!$CI$4:$EF$103,4,0))</f>
        <v>#N/A</v>
      </c>
      <c r="F2120" s="755" t="e">
        <f>IF($C$2120=0,NA(),VLOOKUP($I$2101&amp;$B$2120,FLNFIX!$CI$4:$EF$103,3,0))</f>
        <v>#N/A</v>
      </c>
      <c r="G2120" s="756" t="e">
        <f>IF($C$2120=0,NA(),VLOOKUP($I$2101&amp;$B$2120,FLNFIX!$CI$4:$EF$103,5,0))</f>
        <v>#N/A</v>
      </c>
      <c r="H2120" s="757"/>
      <c r="I2120" s="757"/>
      <c r="J2120" s="758"/>
      <c r="K2120" s="677"/>
    </row>
    <row r="2121" ht="20.1" customHeight="1" spans="1:11">
      <c r="A2121" s="675"/>
      <c r="B2121" s="755">
        <f t="shared" si="38"/>
        <v>17</v>
      </c>
      <c r="C2121" s="755">
        <f>IFERROR(VLOOKUP(B2121,DATEWISE!$A$3:$BY$27,2,0),0)</f>
        <v>0</v>
      </c>
      <c r="D2121" s="755" t="e">
        <f>IF($C$2121=0,NA(),VLOOKUP($I$2101&amp;$B$2121,FLNFIX!$CN$4:$EF$103,2,0))</f>
        <v>#N/A</v>
      </c>
      <c r="E2121" s="755" t="e">
        <f>IF($C$2121=0,NA(),VLOOKUP($I$2101&amp;$B$2121,FLNFIX!$CN$4:$EF$103,4,0))</f>
        <v>#N/A</v>
      </c>
      <c r="F2121" s="755" t="e">
        <f>IF($C$2121=0,NA(),VLOOKUP($I$2101&amp;$B$2121,FLNFIX!$CN$4:$EF$103,3,0))</f>
        <v>#N/A</v>
      </c>
      <c r="G2121" s="756" t="e">
        <f>IF($C$2121=0,NA(),VLOOKUP($I$2101&amp;$B$2121,FLNFIX!$CN$4:$EF$103,5,0))</f>
        <v>#N/A</v>
      </c>
      <c r="H2121" s="757"/>
      <c r="I2121" s="757"/>
      <c r="J2121" s="758"/>
      <c r="K2121" s="677"/>
    </row>
    <row r="2122" ht="20.1" customHeight="1" spans="1:11">
      <c r="A2122" s="675"/>
      <c r="B2122" s="755">
        <f t="shared" si="38"/>
        <v>18</v>
      </c>
      <c r="C2122" s="755">
        <f>IFERROR(VLOOKUP(B2122,DATEWISE!$A$3:$BY$27,2,0),0)</f>
        <v>0</v>
      </c>
      <c r="D2122" s="755" t="e">
        <f>IF($C$2122=0,NA(),VLOOKUP($I$2101&amp;$B$2122,FLNFIX!$CS$4:$EF$103,2,0))</f>
        <v>#N/A</v>
      </c>
      <c r="E2122" s="755" t="e">
        <f>IF($C$2122=0,NA(),VLOOKUP($I$2101&amp;$B$2122,FLNFIX!$CS$4:$EF$103,4,0))</f>
        <v>#N/A</v>
      </c>
      <c r="F2122" s="755" t="e">
        <f>IF($C$2122=0,NA(),VLOOKUP($I$2101&amp;$B$2122,FLNFIX!$CS$4:$EF$103,3,0))</f>
        <v>#N/A</v>
      </c>
      <c r="G2122" s="756" t="e">
        <f>IF($C$2122=0,NA(),VLOOKUP($I$2101&amp;$B$2122,FLNFIX!$CS$4:$EF$103,5,0))</f>
        <v>#N/A</v>
      </c>
      <c r="H2122" s="757"/>
      <c r="I2122" s="757"/>
      <c r="J2122" s="758"/>
      <c r="K2122" s="677"/>
    </row>
    <row r="2123" ht="20.1" customHeight="1" spans="1:11">
      <c r="A2123" s="675"/>
      <c r="B2123" s="755">
        <f t="shared" si="38"/>
        <v>19</v>
      </c>
      <c r="C2123" s="755">
        <f>IFERROR(VLOOKUP(B2123,DATEWISE!$A$3:$BY$27,2,0),0)</f>
        <v>0</v>
      </c>
      <c r="D2123" s="755" t="e">
        <f>IF($C$2123=0,NA(),VLOOKUP($I$2101&amp;$B$2123,FLNFIX!$CX$4:$EF$103,2,0))</f>
        <v>#N/A</v>
      </c>
      <c r="E2123" s="755" t="e">
        <f>IF($C$2123=0,NA(),VLOOKUP($I$2101&amp;$B$2123,FLNFIX!$CX$4:$EF$103,4,0))</f>
        <v>#N/A</v>
      </c>
      <c r="F2123" s="755" t="e">
        <f>IF($C$2123=0,NA(),VLOOKUP($I$2101&amp;$B$2123,FLNFIX!$CX$4:$EF$103,3,0))</f>
        <v>#N/A</v>
      </c>
      <c r="G2123" s="756" t="e">
        <f>IF($C$2123=0,NA(),VLOOKUP($I$2101&amp;$B$2123,FLNFIX!$CX$4:$EF$103,5,0))</f>
        <v>#N/A</v>
      </c>
      <c r="H2123" s="757"/>
      <c r="I2123" s="757"/>
      <c r="J2123" s="758"/>
      <c r="K2123" s="677"/>
    </row>
    <row r="2124" ht="20.1" customHeight="1" spans="1:11">
      <c r="A2124" s="675"/>
      <c r="B2124" s="755">
        <f t="shared" si="38"/>
        <v>20</v>
      </c>
      <c r="C2124" s="755">
        <f>IFERROR(VLOOKUP(B2124,DATEWISE!$A$3:$BY$27,2,0),0)</f>
        <v>0</v>
      </c>
      <c r="D2124" s="755" t="e">
        <f>IF($C$2124=0,NA(),VLOOKUP($I$2101&amp;$B$2124,FLNFIX!$DC$4:$EF$103,2,0))</f>
        <v>#N/A</v>
      </c>
      <c r="E2124" s="755" t="e">
        <f>IF($C$2124=0,NA(),VLOOKUP($I$2101&amp;$B$2124,FLNFIX!$DC$4:$EF$103,4,0))</f>
        <v>#N/A</v>
      </c>
      <c r="F2124" s="755" t="e">
        <f>IF($C$2124=0,NA(),VLOOKUP($I$2101&amp;$B$2124,FLNFIX!$DC$4:$EF$103,3,0))</f>
        <v>#N/A</v>
      </c>
      <c r="G2124" s="756" t="e">
        <f>IF($C$2124=0,NA(),VLOOKUP($I$2101&amp;$B$2124,FLNFIX!$DC$4:$EF$103,5,0))</f>
        <v>#N/A</v>
      </c>
      <c r="H2124" s="757"/>
      <c r="I2124" s="757"/>
      <c r="J2124" s="758"/>
      <c r="K2124" s="677"/>
    </row>
    <row r="2125" ht="20.1" customHeight="1" spans="1:11">
      <c r="A2125" s="675"/>
      <c r="B2125" s="755">
        <f t="shared" si="38"/>
        <v>21</v>
      </c>
      <c r="C2125" s="755">
        <f>IFERROR(VLOOKUP(B2125,DATEWISE!$A$3:$BY$27,2,0),0)</f>
        <v>0</v>
      </c>
      <c r="D2125" s="755" t="e">
        <f>IF($C$2125=0,NA(),VLOOKUP($I$2101&amp;$B$2125,FLNFIX!$DH$4:$EF$103,2,0))</f>
        <v>#N/A</v>
      </c>
      <c r="E2125" s="755" t="e">
        <f>IF($C$2125=0,NA(),VLOOKUP($I$2101&amp;$B$2125,FLNFIX!$DH$4:$EF$103,4,0))</f>
        <v>#N/A</v>
      </c>
      <c r="F2125" s="755" t="e">
        <f>IF($C$2125=0,NA(),VLOOKUP($I$2101&amp;$B$2125,FLNFIX!$DH$4:$EF$103,3,0))</f>
        <v>#N/A</v>
      </c>
      <c r="G2125" s="756" t="e">
        <f>IF($C$2125=0,NA(),VLOOKUP($I$2101&amp;$B$2125,FLNFIX!$DH$4:$EF$103,5,0))</f>
        <v>#N/A</v>
      </c>
      <c r="H2125" s="757"/>
      <c r="I2125" s="757"/>
      <c r="J2125" s="758"/>
      <c r="K2125" s="677"/>
    </row>
    <row r="2126" ht="5.1" customHeight="1" spans="1:11">
      <c r="A2126" s="675"/>
      <c r="B2126" s="759"/>
      <c r="C2126" s="759"/>
      <c r="D2126" s="760"/>
      <c r="E2126" s="760"/>
      <c r="F2126" s="760"/>
      <c r="G2126" s="761"/>
      <c r="H2126" s="761"/>
      <c r="I2126" s="761"/>
      <c r="J2126" s="761"/>
      <c r="K2126" s="677"/>
    </row>
    <row r="2127" s="667" customFormat="1" ht="24.95" customHeight="1" spans="1:11">
      <c r="A2127" s="711"/>
      <c r="B2127" s="762" t="s">
        <v>431</v>
      </c>
      <c r="C2127" s="763"/>
      <c r="D2127" s="763"/>
      <c r="E2127" s="763"/>
      <c r="F2127" s="763"/>
      <c r="G2127" s="763"/>
      <c r="H2127" s="763"/>
      <c r="I2127" s="763"/>
      <c r="J2127" s="764"/>
      <c r="K2127" s="713"/>
    </row>
    <row r="2128" spans="1:11">
      <c r="A2128" s="675"/>
      <c r="B2128" s="765"/>
      <c r="C2128" s="686"/>
      <c r="D2128" s="686"/>
      <c r="E2128" s="686"/>
      <c r="F2128" s="686"/>
      <c r="G2128" s="686"/>
      <c r="H2128" s="686"/>
      <c r="I2128" s="686"/>
      <c r="J2128" s="766"/>
      <c r="K2128" s="677"/>
    </row>
    <row r="2129" spans="1:11">
      <c r="A2129" s="675"/>
      <c r="B2129" s="765"/>
      <c r="C2129" s="686"/>
      <c r="D2129" s="686"/>
      <c r="E2129" s="686"/>
      <c r="F2129" s="686"/>
      <c r="G2129" s="686"/>
      <c r="H2129" s="686"/>
      <c r="I2129" s="686"/>
      <c r="J2129" s="766"/>
      <c r="K2129" s="677"/>
    </row>
    <row r="2130" spans="1:11">
      <c r="A2130" s="675"/>
      <c r="B2130" s="765"/>
      <c r="C2130" s="686"/>
      <c r="D2130" s="686"/>
      <c r="E2130" s="686"/>
      <c r="F2130" s="686"/>
      <c r="G2130" s="686"/>
      <c r="H2130" s="686"/>
      <c r="I2130" s="686"/>
      <c r="J2130" s="766"/>
      <c r="K2130" s="677"/>
    </row>
    <row r="2131" spans="1:11">
      <c r="A2131" s="675"/>
      <c r="B2131" s="765"/>
      <c r="C2131" s="686"/>
      <c r="D2131" s="686"/>
      <c r="E2131" s="686"/>
      <c r="F2131" s="686"/>
      <c r="G2131" s="686"/>
      <c r="H2131" s="686"/>
      <c r="I2131" s="686"/>
      <c r="J2131" s="766"/>
      <c r="K2131" s="677"/>
    </row>
    <row r="2132" spans="1:11">
      <c r="A2132" s="675"/>
      <c r="B2132" s="765"/>
      <c r="C2132" s="686"/>
      <c r="D2132" s="686"/>
      <c r="E2132" s="686"/>
      <c r="F2132" s="686"/>
      <c r="G2132" s="686"/>
      <c r="H2132" s="686"/>
      <c r="I2132" s="686"/>
      <c r="J2132" s="766"/>
      <c r="K2132" s="677"/>
    </row>
    <row r="2133" spans="1:11">
      <c r="A2133" s="675"/>
      <c r="B2133" s="765"/>
      <c r="C2133" s="686"/>
      <c r="D2133" s="686"/>
      <c r="E2133" s="686"/>
      <c r="F2133" s="686"/>
      <c r="G2133" s="686"/>
      <c r="H2133" s="686"/>
      <c r="I2133" s="686"/>
      <c r="J2133" s="766"/>
      <c r="K2133" s="677"/>
    </row>
    <row r="2134" spans="1:11">
      <c r="A2134" s="675"/>
      <c r="B2134" s="765"/>
      <c r="C2134" s="686"/>
      <c r="D2134" s="686"/>
      <c r="E2134" s="686"/>
      <c r="F2134" s="686"/>
      <c r="G2134" s="686"/>
      <c r="H2134" s="686"/>
      <c r="I2134" s="686"/>
      <c r="J2134" s="766"/>
      <c r="K2134" s="677"/>
    </row>
    <row r="2135" spans="1:11">
      <c r="A2135" s="675"/>
      <c r="B2135" s="765"/>
      <c r="C2135" s="686"/>
      <c r="D2135" s="686"/>
      <c r="E2135" s="686"/>
      <c r="F2135" s="686"/>
      <c r="G2135" s="686"/>
      <c r="H2135" s="686"/>
      <c r="I2135" s="686"/>
      <c r="J2135" s="766"/>
      <c r="K2135" s="677"/>
    </row>
    <row r="2136" spans="1:11">
      <c r="A2136" s="675"/>
      <c r="B2136" s="765"/>
      <c r="C2136" s="686"/>
      <c r="D2136" s="686"/>
      <c r="E2136" s="686"/>
      <c r="F2136" s="686"/>
      <c r="G2136" s="686"/>
      <c r="H2136" s="686"/>
      <c r="I2136" s="686"/>
      <c r="J2136" s="766"/>
      <c r="K2136" s="677"/>
    </row>
    <row r="2137" spans="1:11">
      <c r="A2137" s="675"/>
      <c r="B2137" s="767"/>
      <c r="C2137" s="768"/>
      <c r="D2137" s="768"/>
      <c r="E2137" s="768"/>
      <c r="F2137" s="768"/>
      <c r="G2137" s="768"/>
      <c r="H2137" s="768"/>
      <c r="I2137" s="768"/>
      <c r="J2137" s="769"/>
      <c r="K2137" s="677"/>
    </row>
    <row r="2138" ht="5.1" customHeight="1" spans="1:11">
      <c r="A2138" s="675"/>
      <c r="B2138" s="686"/>
      <c r="C2138" s="686"/>
      <c r="D2138" s="686"/>
      <c r="E2138" s="686"/>
      <c r="F2138" s="686"/>
      <c r="G2138" s="686"/>
      <c r="H2138" s="686"/>
      <c r="I2138" s="686"/>
      <c r="J2138" s="686"/>
      <c r="K2138" s="677"/>
    </row>
    <row r="2139" spans="1:11">
      <c r="A2139" s="675"/>
      <c r="B2139" s="770" t="s">
        <v>432</v>
      </c>
      <c r="C2139" s="770"/>
      <c r="D2139" s="770"/>
      <c r="E2139" s="770"/>
      <c r="F2139" s="770"/>
      <c r="G2139" s="770"/>
      <c r="H2139" s="770"/>
      <c r="I2139" s="770"/>
      <c r="J2139" s="770"/>
      <c r="K2139" s="677"/>
    </row>
    <row r="2140" spans="1:11">
      <c r="A2140" s="675"/>
      <c r="B2140" s="771"/>
      <c r="C2140" s="771"/>
      <c r="D2140" s="771"/>
      <c r="E2140" s="771"/>
      <c r="F2140" s="771"/>
      <c r="G2140" s="771"/>
      <c r="H2140" s="771"/>
      <c r="I2140" s="771"/>
      <c r="J2140" s="771"/>
      <c r="K2140" s="677"/>
    </row>
    <row r="2141" spans="1:11">
      <c r="A2141" s="675"/>
      <c r="B2141" s="771"/>
      <c r="C2141" s="771"/>
      <c r="D2141" s="771"/>
      <c r="E2141" s="771"/>
      <c r="F2141" s="771"/>
      <c r="G2141" s="771"/>
      <c r="H2141" s="771"/>
      <c r="I2141" s="771"/>
      <c r="J2141" s="771"/>
      <c r="K2141" s="677"/>
    </row>
    <row r="2142" spans="1:11">
      <c r="A2142" s="675"/>
      <c r="B2142" s="771"/>
      <c r="C2142" s="771"/>
      <c r="D2142" s="771"/>
      <c r="E2142" s="771"/>
      <c r="F2142" s="771"/>
      <c r="G2142" s="771"/>
      <c r="H2142" s="771"/>
      <c r="I2142" s="771"/>
      <c r="J2142" s="771"/>
      <c r="K2142" s="677"/>
    </row>
    <row r="2143" spans="1:11">
      <c r="A2143" s="675"/>
      <c r="B2143" s="686"/>
      <c r="C2143" s="686"/>
      <c r="D2143" s="686"/>
      <c r="E2143" s="686"/>
      <c r="F2143" s="686"/>
      <c r="G2143" s="686"/>
      <c r="H2143" s="686"/>
      <c r="I2143" s="686"/>
      <c r="J2143" s="686"/>
      <c r="K2143" s="677"/>
    </row>
    <row r="2144" spans="1:11">
      <c r="A2144" s="675"/>
      <c r="B2144" s="686"/>
      <c r="C2144" s="729" t="s">
        <v>433</v>
      </c>
      <c r="D2144" s="729"/>
      <c r="E2144" s="686"/>
      <c r="F2144" s="686"/>
      <c r="G2144" s="729" t="s">
        <v>434</v>
      </c>
      <c r="H2144" s="729"/>
      <c r="I2144" s="729"/>
      <c r="J2144" s="729"/>
      <c r="K2144" s="677"/>
    </row>
    <row r="2145" ht="16.35" spans="1:11">
      <c r="A2145" s="725"/>
      <c r="B2145" s="726"/>
      <c r="C2145" s="732" t="str">
        <f>"("&amp;PROPER(ENTRY!$D$19)&amp;")"</f>
        <v>(Indrajeet)</v>
      </c>
      <c r="D2145" s="732"/>
      <c r="E2145" s="726"/>
      <c r="F2145" s="726"/>
      <c r="G2145" s="732" t="str">
        <f>"("&amp;PROPER(ENTRY!$D$12)&amp;")"</f>
        <v>(Shambhu Dayal Meena)</v>
      </c>
      <c r="H2145" s="732"/>
      <c r="I2145" s="732"/>
      <c r="J2145" s="732"/>
      <c r="K2145" s="728"/>
    </row>
    <row r="2146" ht="24.6" spans="1:11">
      <c r="B2146" s="734"/>
      <c r="C2146" s="734"/>
      <c r="D2146" s="669" t="str">
        <f>ENTRY!$D$3</f>
        <v>MUNICIPAL CORPORATION OF DELHI</v>
      </c>
      <c r="E2146" s="669"/>
      <c r="F2146" s="669"/>
      <c r="G2146" s="669"/>
      <c r="H2146" s="734"/>
      <c r="I2146" s="669"/>
      <c r="J2146" s="669"/>
    </row>
    <row r="2147" ht="20.4" spans="1:11">
      <c r="B2147" s="735"/>
      <c r="C2147" s="735"/>
      <c r="D2147" s="670" t="str">
        <f>ENTRY!$D$4</f>
        <v>EDUCATION DEPARTMENT</v>
      </c>
      <c r="E2147" s="670"/>
      <c r="F2147" s="670"/>
      <c r="G2147" s="670"/>
      <c r="H2147" s="735"/>
      <c r="I2147" s="669"/>
      <c r="J2147" s="669"/>
    </row>
    <row r="2148" ht="22.8" spans="1:11">
      <c r="B2148" s="736"/>
      <c r="C2148" s="736"/>
      <c r="D2148" s="664" t="s">
        <v>417</v>
      </c>
      <c r="E2148" s="664"/>
      <c r="F2148" s="664"/>
      <c r="G2148" s="664"/>
      <c r="H2148" s="736"/>
      <c r="I2148" s="669"/>
      <c r="J2148" s="669"/>
    </row>
    <row r="2149" ht="22.8" spans="1:11">
      <c r="B2149" s="736"/>
      <c r="C2149" s="736"/>
      <c r="D2149" s="664" t="s">
        <v>418</v>
      </c>
      <c r="E2149" s="664"/>
      <c r="F2149" s="664"/>
      <c r="G2149" s="664"/>
      <c r="H2149" s="736"/>
      <c r="I2149" s="669"/>
      <c r="J2149" s="669"/>
    </row>
    <row r="2150" ht="24.95" customHeight="1" spans="1:11">
      <c r="B2150" s="735"/>
      <c r="C2150" s="735"/>
      <c r="D2150" s="737" t="str">
        <f>"SESSION : "&amp;ENTRY!$D$11</f>
        <v>SESSION : 2026-27</v>
      </c>
      <c r="E2150" s="737"/>
      <c r="F2150" s="737"/>
      <c r="G2150" s="737"/>
      <c r="H2150" s="735"/>
      <c r="I2150" s="738"/>
      <c r="J2150" s="738"/>
    </row>
    <row r="2151" ht="3.75" customHeight="1" spans="1:11">
      <c r="A2151" s="672"/>
      <c r="B2151" s="739"/>
      <c r="C2151" s="739"/>
      <c r="D2151" s="739"/>
      <c r="E2151" s="739"/>
      <c r="F2151" s="739"/>
      <c r="G2151" s="739"/>
      <c r="H2151" s="739"/>
      <c r="I2151" s="739"/>
      <c r="J2151" s="739"/>
      <c r="K2151" s="674"/>
    </row>
    <row r="2152" ht="21.95" customHeight="1" spans="1:11">
      <c r="A2152" s="675"/>
      <c r="B2152" s="676" t="s">
        <v>419</v>
      </c>
      <c r="C2152" s="676"/>
      <c r="D2152" s="676" t="str">
        <f>ENTRY!$D$6</f>
        <v>MCP NITHARI NO 1 BOYS</v>
      </c>
      <c r="E2152" s="676"/>
      <c r="F2152" s="676"/>
      <c r="G2152" s="676"/>
      <c r="H2152" s="676"/>
      <c r="I2152" s="676"/>
      <c r="J2152" s="676"/>
      <c r="K2152" s="677"/>
    </row>
    <row r="2153" ht="21.95" customHeight="1" spans="1:11">
      <c r="A2153" s="675"/>
      <c r="B2153" s="676" t="s">
        <v>420</v>
      </c>
      <c r="C2153" s="676"/>
      <c r="D2153" s="740">
        <f>IFERROR(VLOOKUP($I$2156,STUDENT!$A$2:$BP$101,5,0),"")</f>
        <v>0</v>
      </c>
      <c r="E2153" s="740"/>
      <c r="F2153" s="740"/>
      <c r="G2153" s="740"/>
      <c r="H2153" s="740"/>
      <c r="I2153" s="740"/>
      <c r="J2153" s="740"/>
      <c r="K2153" s="677"/>
    </row>
    <row r="2154" ht="21.95" customHeight="1" spans="1:11">
      <c r="A2154" s="675"/>
      <c r="B2154" s="676" t="s">
        <v>421</v>
      </c>
      <c r="C2154" s="676"/>
      <c r="D2154" s="740">
        <f>IFERROR(VLOOKUP($I$2156,STUDENT!$A$2:$BP$101,8,0),"")</f>
        <v>0</v>
      </c>
      <c r="E2154" s="740"/>
      <c r="F2154" s="740"/>
      <c r="G2154" s="740"/>
      <c r="H2154" s="740"/>
      <c r="I2154" s="740"/>
      <c r="J2154" s="740"/>
      <c r="K2154" s="677"/>
    </row>
    <row r="2155" ht="21.95" customHeight="1" spans="1:11">
      <c r="A2155" s="675"/>
      <c r="B2155" s="676" t="s">
        <v>422</v>
      </c>
      <c r="C2155" s="676"/>
      <c r="D2155" s="740">
        <f>IFERROR(VLOOKUP($I$2156,STUDENT!$A$2:$BP$101,6,0),"")</f>
        <v>0</v>
      </c>
      <c r="E2155" s="740"/>
      <c r="F2155" s="740"/>
      <c r="G2155" s="740"/>
      <c r="H2155" s="740"/>
      <c r="I2155" s="740"/>
      <c r="J2155" s="740"/>
      <c r="K2155" s="677"/>
    </row>
    <row r="2156" ht="21.95" customHeight="1" spans="1:11">
      <c r="A2156" s="675"/>
      <c r="B2156" s="676" t="s">
        <v>423</v>
      </c>
      <c r="C2156" s="676"/>
      <c r="D2156" s="741" t="str">
        <f>IFERROR(VLOOKUP($I$2156,STUDENT!$A$2:$BP$101,59,0),"")</f>
        <v/>
      </c>
      <c r="E2156" s="742" t="s">
        <v>424</v>
      </c>
      <c r="F2156" s="704" t="str">
        <f>IFERROR(VLOOKUP($I$2156,STUDENT!$A$2:$BP$101,2,0),"")</f>
        <v>III-A</v>
      </c>
      <c r="G2156" s="742" t="s">
        <v>425</v>
      </c>
      <c r="H2156" s="743"/>
      <c r="I2156" s="733">
        <f>I2101+1</f>
        <v>40</v>
      </c>
      <c r="J2156" s="683"/>
      <c r="K2156" s="677"/>
    </row>
    <row r="2157" ht="5.1" customHeight="1" spans="1:11">
      <c r="A2157" s="675"/>
      <c r="B2157" s="745"/>
      <c r="C2157" s="745"/>
      <c r="D2157" s="746"/>
      <c r="E2157" s="747"/>
      <c r="F2157" s="748"/>
      <c r="G2157" s="747"/>
      <c r="H2157" s="686"/>
      <c r="I2157" s="686"/>
      <c r="J2157" s="686"/>
      <c r="K2157" s="677"/>
    </row>
    <row r="2158" s="664" customFormat="1" ht="32.1" customHeight="1" spans="1:11">
      <c r="A2158" s="688"/>
      <c r="B2158" s="749" t="s">
        <v>426</v>
      </c>
      <c r="C2158" s="750"/>
      <c r="D2158" s="750"/>
      <c r="E2158" s="750"/>
      <c r="F2158" s="750"/>
      <c r="G2158" s="750"/>
      <c r="H2158" s="750"/>
      <c r="I2158" s="750"/>
      <c r="J2158" s="751"/>
      <c r="K2158" s="690"/>
    </row>
    <row r="2159" ht="51.6" spans="1:11">
      <c r="A2159" s="675"/>
      <c r="B2159" s="752">
        <v>21</v>
      </c>
      <c r="C2159" s="753" t="s">
        <v>427</v>
      </c>
      <c r="D2159" s="754" t="s">
        <v>428</v>
      </c>
      <c r="E2159" s="754" t="s">
        <v>429</v>
      </c>
      <c r="F2159" s="754" t="s">
        <v>430</v>
      </c>
      <c r="G2159" s="753" t="s">
        <v>390</v>
      </c>
      <c r="H2159" s="714"/>
      <c r="I2159" s="714"/>
      <c r="J2159" s="714"/>
      <c r="K2159" s="677"/>
    </row>
    <row r="2160" ht="20.1" customHeight="1" spans="1:11">
      <c r="A2160" s="675"/>
      <c r="B2160" s="755">
        <v>1</v>
      </c>
      <c r="C2160" s="755" t="str">
        <f>IFERROR(VLOOKUP(B2160,DATEWISE!$A$3:$BY$27,2,0),0)</f>
        <v>30.04.2026</v>
      </c>
      <c r="D2160" s="755" t="str">
        <f>IF($C$2160=0,NA(),VLOOKUP($I$2156&amp;$B$2160,FLNFIX!$L$4:$EF$103,2,0))</f>
        <v>-</v>
      </c>
      <c r="E2160" s="755" t="str">
        <f>IF($C$2160=0,NA(),VLOOKUP($I$2156&amp;$B$2160,FLNFIX!$L$4:$EF$103,4,0))</f>
        <v>-</v>
      </c>
      <c r="F2160" s="755" t="str">
        <f>IF($C$2160=0,NA(),VLOOKUP($I$2156&amp;$B$2160,FLNFIX!$L$4:$EF$103,3,0))</f>
        <v>-</v>
      </c>
      <c r="G2160" s="756">
        <f>IF($C$2160=0,NA(),VLOOKUP($I$2156&amp;$B$2160,FLNFIX!$L$4:$EF$103,5,0))</f>
        <v>0</v>
      </c>
      <c r="H2160" s="757"/>
      <c r="I2160" s="757"/>
      <c r="J2160" s="758"/>
      <c r="K2160" s="677"/>
    </row>
    <row r="2161" ht="20.1" customHeight="1" spans="1:11">
      <c r="A2161" s="675"/>
      <c r="B2161" s="755">
        <f t="shared" ref="B2161:B2180" si="39">IF(B2160=0,0,IF(B2160&lt;$B$2159,B2160+1,""))</f>
        <v>2</v>
      </c>
      <c r="C2161" s="755" t="str">
        <f>IFERROR(VLOOKUP(B2161,DATEWISE!$A$3:$BY$27,2,0),0)</f>
        <v>08.05.2026</v>
      </c>
      <c r="D2161" s="755" t="str">
        <f>IF($C$2161=0,NA(),VLOOKUP($I$2156&amp;$B$2161,FLNFIX!$Q$4:$EF$103,2,0))</f>
        <v>-</v>
      </c>
      <c r="E2161" s="755" t="str">
        <f>IF($C$2161=0,NA(),VLOOKUP($I$2156&amp;$B$2161,FLNFIX!$Q$4:$EF$103,4,0))</f>
        <v>-</v>
      </c>
      <c r="F2161" s="755" t="str">
        <f>IF($C$2161=0,NA(),VLOOKUP($I$2156&amp;$B$2161,FLNFIX!$Q$4:$EF$103,3,0))</f>
        <v>-</v>
      </c>
      <c r="G2161" s="756" t="str">
        <f>IF($C$2161=0,NA(),VLOOKUP($I$2156&amp;$B$2161,FLNFIX!$Q$4:$EF$103,5,0))</f>
        <v>-</v>
      </c>
      <c r="H2161" s="757"/>
      <c r="I2161" s="757"/>
      <c r="J2161" s="758"/>
      <c r="K2161" s="677"/>
    </row>
    <row r="2162" ht="20.1" customHeight="1" spans="1:11">
      <c r="A2162" s="675"/>
      <c r="B2162" s="755">
        <f t="shared" si="39"/>
        <v>3</v>
      </c>
      <c r="C2162" s="755" t="str">
        <f>IFERROR(VLOOKUP(B2162,DATEWISE!$A$3:$BY$27,2,0),0)</f>
        <v>15.07.2026</v>
      </c>
      <c r="D2162" s="755" t="str">
        <f>IF($C$2162=0,NA(),VLOOKUP($I$2156&amp;$B$2162,FLNFIX!$V$4:$EF$103,2,0))</f>
        <v>-</v>
      </c>
      <c r="E2162" s="755" t="str">
        <f>IF($C$2162=0,NA(),VLOOKUP($I$2156&amp;$B$2162,FLNFIX!$V$4:$EF$103,4,0))</f>
        <v>-</v>
      </c>
      <c r="F2162" s="755" t="str">
        <f>IF($C$2162=0,NA(),VLOOKUP($I$2156&amp;$B$2162,FLNFIX!$V$4:$EF$103,3,0))</f>
        <v>-</v>
      </c>
      <c r="G2162" s="756" t="str">
        <f>IF($C$2162=0,NA(),VLOOKUP($I$2156&amp;$B$2162,FLNFIX!$V$4:$EF$103,5,0))</f>
        <v>-</v>
      </c>
      <c r="H2162" s="757"/>
      <c r="I2162" s="757"/>
      <c r="J2162" s="758"/>
      <c r="K2162" s="677"/>
    </row>
    <row r="2163" ht="20.1" customHeight="1" spans="1:11">
      <c r="A2163" s="675"/>
      <c r="B2163" s="755">
        <f t="shared" si="39"/>
        <v>4</v>
      </c>
      <c r="C2163" s="755" t="str">
        <f>IFERROR(VLOOKUP(B2163,DATEWISE!$A$3:$BY$27,2,0),0)</f>
        <v>31.07.2026</v>
      </c>
      <c r="D2163" s="755" t="str">
        <f>IF($C$2163=0,NA(),VLOOKUP($I$2156&amp;$B$2163,FLNFIX!$AA$4:$EF$103,2,0))</f>
        <v>-</v>
      </c>
      <c r="E2163" s="755" t="str">
        <f>IF($C$2163=0,NA(),VLOOKUP($I$2156&amp;$B$2163,FLNFIX!$AA$4:$EF$103,4,0))</f>
        <v>-</v>
      </c>
      <c r="F2163" s="755" t="str">
        <f>IF($C$2163=0,NA(),VLOOKUP($I$2156&amp;$B$2163,FLNFIX!$AA$4:$EF$103,3,0))</f>
        <v>-</v>
      </c>
      <c r="G2163" s="756" t="str">
        <f>IF($C$2163=0,NA(),VLOOKUP($I$2156&amp;$B$2163,FLNFIX!$AA$4:$EF$103,5,0))</f>
        <v>-</v>
      </c>
      <c r="H2163" s="757"/>
      <c r="I2163" s="757"/>
      <c r="J2163" s="758"/>
      <c r="K2163" s="677"/>
    </row>
    <row r="2164" ht="20.1" customHeight="1" spans="1:11">
      <c r="A2164" s="675"/>
      <c r="B2164" s="755">
        <f t="shared" si="39"/>
        <v>5</v>
      </c>
      <c r="C2164" s="755" t="str">
        <f>IFERROR(VLOOKUP(B2164,DATEWISE!$A$3:$BY$27,2,0),0)</f>
        <v>17.08.2026</v>
      </c>
      <c r="D2164" s="755" t="str">
        <f>IF($C$2164=0,NA(),VLOOKUP($I$2156&amp;$B$2164,FLNFIX!$AF$4:$EF$103,2,0))</f>
        <v>-</v>
      </c>
      <c r="E2164" s="755" t="str">
        <f>IF($C$2164=0,NA(),VLOOKUP($I$2156&amp;$B$2164,FLNFIX!$AF$4:$EF$103,4,0))</f>
        <v>-</v>
      </c>
      <c r="F2164" s="755" t="str">
        <f>IF($C$2164=0,NA(),VLOOKUP($I$2156&amp;$B$2164,FLNFIX!$AF$4:$EF$103,3,0))</f>
        <v>-</v>
      </c>
      <c r="G2164" s="756" t="str">
        <f>IF($C$2164=0,NA(),VLOOKUP($I$2156&amp;$B$2164,FLNFIX!$AF$4:$EF$103,5,0))</f>
        <v>-</v>
      </c>
      <c r="H2164" s="757"/>
      <c r="I2164" s="757"/>
      <c r="J2164" s="758"/>
      <c r="K2164" s="677"/>
    </row>
    <row r="2165" ht="20.1" customHeight="1" spans="1:11">
      <c r="A2165" s="675"/>
      <c r="B2165" s="755">
        <f t="shared" si="39"/>
        <v>6</v>
      </c>
      <c r="C2165" s="755" t="str">
        <f>IFERROR(VLOOKUP(B2165,DATEWISE!$A$3:$BY$27,2,0),0)</f>
        <v>31.08.2026</v>
      </c>
      <c r="D2165" s="755" t="str">
        <f>IF($C$2165=0,NA(),VLOOKUP($I$2156&amp;$B$2165,FLNFIX!$AK$4:$EF$103,2,0))</f>
        <v>-</v>
      </c>
      <c r="E2165" s="755" t="str">
        <f>IF($C$2165=0,NA(),VLOOKUP($I$2156&amp;$B$2165,FLNFIX!$AK$4:$EF$103,4,0))</f>
        <v>-</v>
      </c>
      <c r="F2165" s="755" t="str">
        <f>IF($C$2165=0,NA(),VLOOKUP($I$2156&amp;$B$2165,FLNFIX!$AK$4:$EF$103,3,0))</f>
        <v>-</v>
      </c>
      <c r="G2165" s="756">
        <f>IF($C$2165=0,NA(),VLOOKUP($I$2156&amp;$B$2165,FLNFIX!$AK$4:$EF$103,5,0))</f>
        <v>0</v>
      </c>
      <c r="H2165" s="757"/>
      <c r="I2165" s="757"/>
      <c r="J2165" s="758"/>
      <c r="K2165" s="677"/>
    </row>
    <row r="2166" ht="20.1" customHeight="1" spans="1:11">
      <c r="A2166" s="675"/>
      <c r="B2166" s="755">
        <f t="shared" si="39"/>
        <v>7</v>
      </c>
      <c r="C2166" s="755">
        <f>IFERROR(VLOOKUP(B2166,DATEWISE!$A$3:$BY$27,2,0),0)</f>
        <v>0</v>
      </c>
      <c r="D2166" s="755" t="e">
        <f>IF($C$2166=0,NA(),VLOOKUP($I$2156&amp;$B$2166,FLNFIX!$AP$4:$EF$103,2,0))</f>
        <v>#N/A</v>
      </c>
      <c r="E2166" s="755" t="e">
        <f>IF($C$2166=0,NA(),VLOOKUP($I$2156&amp;$B$2166,FLNFIX!$AP$4:$EF$103,4,0))</f>
        <v>#N/A</v>
      </c>
      <c r="F2166" s="755" t="e">
        <f>IF($C$2166=0,NA(),VLOOKUP($I$2156&amp;$B$2166,FLNFIX!$AP$4:$EF$103,3,0))</f>
        <v>#N/A</v>
      </c>
      <c r="G2166" s="756" t="e">
        <f>IF($C$2166=0,NA(),VLOOKUP($I$2156&amp;$B$2166,FLNFIX!$AP$4:$EF$103,5,0))</f>
        <v>#N/A</v>
      </c>
      <c r="H2166" s="757"/>
      <c r="I2166" s="757"/>
      <c r="J2166" s="758"/>
      <c r="K2166" s="677"/>
    </row>
    <row r="2167" ht="20.1" customHeight="1" spans="1:11">
      <c r="A2167" s="675"/>
      <c r="B2167" s="755">
        <f t="shared" si="39"/>
        <v>8</v>
      </c>
      <c r="C2167" s="755">
        <f>IFERROR(VLOOKUP(B2167,DATEWISE!$A$3:$BY$27,2,0),0)</f>
        <v>0</v>
      </c>
      <c r="D2167" s="755" t="e">
        <f>IF($C$2167=0,NA(),VLOOKUP($I$2156&amp;$B$2167,FLNFIX!$AU$4:$EF$103,2,0))</f>
        <v>#N/A</v>
      </c>
      <c r="E2167" s="755" t="e">
        <f>IF($C$2167=0,NA(),VLOOKUP($I$2156&amp;$B$2167,FLNFIX!$AU$4:$EF$103,4,0))</f>
        <v>#N/A</v>
      </c>
      <c r="F2167" s="755" t="e">
        <f>IF($C$2167=0,NA(),VLOOKUP($I$2156&amp;$B$2167,FLNFIX!$AU$4:$EF$103,3,0))</f>
        <v>#N/A</v>
      </c>
      <c r="G2167" s="756" t="e">
        <f>IF($C$2167=0,NA(),VLOOKUP($I$2156&amp;$B$2167,FLNFIX!$AU$4:$EF$103,5,0))</f>
        <v>#N/A</v>
      </c>
      <c r="H2167" s="757"/>
      <c r="I2167" s="757"/>
      <c r="J2167" s="758"/>
      <c r="K2167" s="677"/>
    </row>
    <row r="2168" ht="20.1" customHeight="1" spans="1:11">
      <c r="A2168" s="675"/>
      <c r="B2168" s="755">
        <f t="shared" si="39"/>
        <v>9</v>
      </c>
      <c r="C2168" s="755">
        <f>IFERROR(VLOOKUP(B2168,DATEWISE!$A$3:$BY$27,2,0),0)</f>
        <v>0</v>
      </c>
      <c r="D2168" s="755" t="e">
        <f>IF($C$2168=0,NA(),VLOOKUP($I$2156&amp;$B$2168,FLNFIX!$AZ$4:$EF$103,2,0))</f>
        <v>#N/A</v>
      </c>
      <c r="E2168" s="755" t="e">
        <f>IF($C$2168=0,NA(),VLOOKUP($I$2156&amp;$B$2168,FLNFIX!$AZ$4:$EF$103,4,0))</f>
        <v>#N/A</v>
      </c>
      <c r="F2168" s="755" t="e">
        <f>IF($C$2168=0,NA(),VLOOKUP($I$2156&amp;$B$2168,FLNFIX!$AZ$4:$EF$103,3,0))</f>
        <v>#N/A</v>
      </c>
      <c r="G2168" s="756" t="e">
        <f>IF($C$2168=0,NA(),VLOOKUP($I$2156&amp;$B$2168,FLNFIX!$AZ$4:$EF$103,5,0))</f>
        <v>#N/A</v>
      </c>
      <c r="H2168" s="757"/>
      <c r="I2168" s="757"/>
      <c r="J2168" s="758"/>
      <c r="K2168" s="677"/>
    </row>
    <row r="2169" ht="20.1" customHeight="1" spans="1:11">
      <c r="A2169" s="675"/>
      <c r="B2169" s="755">
        <f t="shared" si="39"/>
        <v>10</v>
      </c>
      <c r="C2169" s="755">
        <f>IFERROR(VLOOKUP(B2169,DATEWISE!$A$3:$BY$27,2,0),0)</f>
        <v>0</v>
      </c>
      <c r="D2169" s="755" t="e">
        <f>IF($C$2169=0,NA(),VLOOKUP($I$2156&amp;$B$2169,FLNFIX!$BE$4:$EF$103,2,0))</f>
        <v>#N/A</v>
      </c>
      <c r="E2169" s="755" t="e">
        <f>IF($C$2169=0,NA(),VLOOKUP($I$2156&amp;$B$2169,FLNFIX!$BE$4:$EF$103,4,0))</f>
        <v>#N/A</v>
      </c>
      <c r="F2169" s="755" t="e">
        <f>IF($C$2169=0,NA(),VLOOKUP($I$2156&amp;$B$2169,FLNFIX!$BE$4:$EF$103,3,0))</f>
        <v>#N/A</v>
      </c>
      <c r="G2169" s="756" t="e">
        <f>IF($C$2169=0,NA(),VLOOKUP($I$2156&amp;$B$2169,FLNFIX!$BE$4:$EF$103,5,0))</f>
        <v>#N/A</v>
      </c>
      <c r="H2169" s="757"/>
      <c r="I2169" s="757"/>
      <c r="J2169" s="758"/>
      <c r="K2169" s="677"/>
    </row>
    <row r="2170" ht="20.1" customHeight="1" spans="1:11">
      <c r="A2170" s="675"/>
      <c r="B2170" s="755">
        <f t="shared" si="39"/>
        <v>11</v>
      </c>
      <c r="C2170" s="755">
        <f>IFERROR(VLOOKUP(B2170,DATEWISE!$A$3:$BY$27,2,0),0)</f>
        <v>0</v>
      </c>
      <c r="D2170" s="755" t="e">
        <f>IF($C$2170=0,NA(),VLOOKUP($I$2156&amp;$B$2170,FLNFIX!$BJ$4:$EF$103,2,0))</f>
        <v>#N/A</v>
      </c>
      <c r="E2170" s="755" t="e">
        <f>IF($C$2170=0,NA(),VLOOKUP($I$2156&amp;$B$2170,FLNFIX!$BJ$4:$EF$103,4,0))</f>
        <v>#N/A</v>
      </c>
      <c r="F2170" s="755" t="e">
        <f>IF($C$2170=0,NA(),VLOOKUP($I$2156&amp;$B$2170,FLNFIX!$BJ$4:$EF$103,3,0))</f>
        <v>#N/A</v>
      </c>
      <c r="G2170" s="756" t="e">
        <f>IF($C$2170=0,NA(),VLOOKUP($I$2156&amp;$B$2170,FLNFIX!$BJ$4:$EF$103,5,0))</f>
        <v>#N/A</v>
      </c>
      <c r="H2170" s="757"/>
      <c r="I2170" s="757"/>
      <c r="J2170" s="758"/>
      <c r="K2170" s="677"/>
    </row>
    <row r="2171" ht="20.1" customHeight="1" spans="1:11">
      <c r="A2171" s="675"/>
      <c r="B2171" s="755">
        <f t="shared" si="39"/>
        <v>12</v>
      </c>
      <c r="C2171" s="755">
        <f>IFERROR(VLOOKUP(B2171,DATEWISE!$A$3:$BY$27,2,0),0)</f>
        <v>0</v>
      </c>
      <c r="D2171" s="755" t="e">
        <f>IF($C$2171=0,NA(),VLOOKUP($I$2156&amp;$B$2171,FLNFIX!$BO$4:$EF$103,2,0))</f>
        <v>#N/A</v>
      </c>
      <c r="E2171" s="755" t="e">
        <f>IF($C$2171=0,NA(),VLOOKUP($I$2156&amp;$B$2171,FLNFIX!$BO$4:$EF$103,4,0))</f>
        <v>#N/A</v>
      </c>
      <c r="F2171" s="755" t="e">
        <f>IF($C$2171=0,NA(),VLOOKUP($I$2156&amp;$B$2171,FLNFIX!$BO$4:$EF$103,3,0))</f>
        <v>#N/A</v>
      </c>
      <c r="G2171" s="756" t="e">
        <f>IF($C$2171=0,NA(),VLOOKUP($I$2156&amp;$B$2171,FLNFIX!$BO$4:$EF$103,5,0))</f>
        <v>#N/A</v>
      </c>
      <c r="H2171" s="757"/>
      <c r="I2171" s="757"/>
      <c r="J2171" s="758"/>
      <c r="K2171" s="677"/>
    </row>
    <row r="2172" ht="20.1" customHeight="1" spans="1:11">
      <c r="A2172" s="675"/>
      <c r="B2172" s="755">
        <f t="shared" si="39"/>
        <v>13</v>
      </c>
      <c r="C2172" s="755">
        <f>IFERROR(VLOOKUP(B2172,DATEWISE!$A$3:$BY$27,2,0),0)</f>
        <v>0</v>
      </c>
      <c r="D2172" s="755" t="e">
        <f>IF($C$2172=0,NA(),VLOOKUP($I$2156&amp;$B$2172,FLNFIX!$BT$4:$EF$103,2,0))</f>
        <v>#N/A</v>
      </c>
      <c r="E2172" s="755" t="e">
        <f>IF($C$2172=0,NA(),VLOOKUP($I$2156&amp;$B$2172,FLNFIX!$BT$4:$EF$103,4,0))</f>
        <v>#N/A</v>
      </c>
      <c r="F2172" s="755" t="e">
        <f>IF($C$2172=0,NA(),VLOOKUP($I$2156&amp;$B$2172,FLNFIX!$BT$4:$EF$103,3,0))</f>
        <v>#N/A</v>
      </c>
      <c r="G2172" s="756" t="e">
        <f>IF($C$2172=0,NA(),VLOOKUP($I$2156&amp;$B$2172,FLNFIX!$BT$4:$EF$103,5,0))</f>
        <v>#N/A</v>
      </c>
      <c r="H2172" s="757"/>
      <c r="I2172" s="757"/>
      <c r="J2172" s="758"/>
      <c r="K2172" s="677"/>
    </row>
    <row r="2173" ht="20.1" customHeight="1" spans="1:11">
      <c r="A2173" s="675"/>
      <c r="B2173" s="755">
        <f t="shared" si="39"/>
        <v>14</v>
      </c>
      <c r="C2173" s="755">
        <f>IFERROR(VLOOKUP(B2173,DATEWISE!$A$3:$BY$27,2,0),0)</f>
        <v>0</v>
      </c>
      <c r="D2173" s="755" t="e">
        <f>IF($C$2173=0,NA(),VLOOKUP($I$2156&amp;$B$2173,FLNFIX!$BY$4:$EF$103,2,0))</f>
        <v>#N/A</v>
      </c>
      <c r="E2173" s="755" t="e">
        <f>IF($C$2173=0,NA(),VLOOKUP($I$2156&amp;$B$2173,FLNFIX!$BY$4:$EF$103,4,0))</f>
        <v>#N/A</v>
      </c>
      <c r="F2173" s="755" t="e">
        <f>IF($C$2173=0,NA(),VLOOKUP($I$2156&amp;$B$2173,FLNFIX!$BY$4:$EF$103,3,0))</f>
        <v>#N/A</v>
      </c>
      <c r="G2173" s="756" t="e">
        <f>IF($C$2173=0,NA(),VLOOKUP($I$2156&amp;$B$2173,FLNFIX!$BY$4:$EF$103,5,0))</f>
        <v>#N/A</v>
      </c>
      <c r="H2173" s="757"/>
      <c r="I2173" s="757"/>
      <c r="J2173" s="758"/>
      <c r="K2173" s="677"/>
    </row>
    <row r="2174" ht="20.1" customHeight="1" spans="1:11">
      <c r="A2174" s="675"/>
      <c r="B2174" s="755">
        <f t="shared" si="39"/>
        <v>15</v>
      </c>
      <c r="C2174" s="755">
        <f>IFERROR(VLOOKUP(B2174,DATEWISE!$A$3:$BY$27,2,0),0)</f>
        <v>0</v>
      </c>
      <c r="D2174" s="755" t="e">
        <f>IF($C$2174=0,NA(),VLOOKUP($I$2156&amp;$B$2174,FLNFIX!$CD$4:$EF$103,2,0))</f>
        <v>#N/A</v>
      </c>
      <c r="E2174" s="755" t="e">
        <f>IF($C$2174=0,NA(),VLOOKUP($I$2156&amp;$B$2174,FLNFIX!$CD$4:$EF$103,4,0))</f>
        <v>#N/A</v>
      </c>
      <c r="F2174" s="755" t="e">
        <f>IF($C$2174=0,NA(),VLOOKUP($I$2156&amp;$B$2174,FLNFIX!$CD$4:$EF$103,3,0))</f>
        <v>#N/A</v>
      </c>
      <c r="G2174" s="756" t="e">
        <f>IF($C$2174=0,NA(),VLOOKUP($I$2156&amp;$B$2174,FLNFIX!$CD$4:$EF$103,5,0))</f>
        <v>#N/A</v>
      </c>
      <c r="H2174" s="757"/>
      <c r="I2174" s="757"/>
      <c r="J2174" s="758"/>
      <c r="K2174" s="677"/>
    </row>
    <row r="2175" ht="20.1" customHeight="1" spans="1:11">
      <c r="A2175" s="675"/>
      <c r="B2175" s="755">
        <f t="shared" si="39"/>
        <v>16</v>
      </c>
      <c r="C2175" s="755">
        <f>IFERROR(VLOOKUP(B2175,DATEWISE!$A$3:$BY$27,2,0),0)</f>
        <v>0</v>
      </c>
      <c r="D2175" s="755" t="e">
        <f>IF($C$2175=0,NA(),VLOOKUP($I$2156&amp;$B$2175,FLNFIX!$CI$4:$EF$103,2,0))</f>
        <v>#N/A</v>
      </c>
      <c r="E2175" s="755" t="e">
        <f>IF($C$2175=0,NA(),VLOOKUP($I$2156&amp;$B$2175,FLNFIX!$CI$4:$EF$103,4,0))</f>
        <v>#N/A</v>
      </c>
      <c r="F2175" s="755" t="e">
        <f>IF($C$2175=0,NA(),VLOOKUP($I$2156&amp;$B$2175,FLNFIX!$CI$4:$EF$103,3,0))</f>
        <v>#N/A</v>
      </c>
      <c r="G2175" s="756" t="e">
        <f>IF($C$2175=0,NA(),VLOOKUP($I$2156&amp;$B$2175,FLNFIX!$CI$4:$EF$103,5,0))</f>
        <v>#N/A</v>
      </c>
      <c r="H2175" s="757"/>
      <c r="I2175" s="757"/>
      <c r="J2175" s="758"/>
      <c r="K2175" s="677"/>
    </row>
    <row r="2176" ht="20.1" customHeight="1" spans="1:11">
      <c r="A2176" s="675"/>
      <c r="B2176" s="755">
        <f t="shared" si="39"/>
        <v>17</v>
      </c>
      <c r="C2176" s="755">
        <f>IFERROR(VLOOKUP(B2176,DATEWISE!$A$3:$BY$27,2,0),0)</f>
        <v>0</v>
      </c>
      <c r="D2176" s="755" t="e">
        <f>IF($C$2176=0,NA(),VLOOKUP($I$2156&amp;$B$2176,FLNFIX!$CN$4:$EF$103,2,0))</f>
        <v>#N/A</v>
      </c>
      <c r="E2176" s="755" t="e">
        <f>IF($C$2176=0,NA(),VLOOKUP($I$2156&amp;$B$2176,FLNFIX!$CN$4:$EF$103,4,0))</f>
        <v>#N/A</v>
      </c>
      <c r="F2176" s="755" t="e">
        <f>IF($C$2176=0,NA(),VLOOKUP($I$2156&amp;$B$2176,FLNFIX!$CN$4:$EF$103,3,0))</f>
        <v>#N/A</v>
      </c>
      <c r="G2176" s="756" t="e">
        <f>IF($C$2176=0,NA(),VLOOKUP($I$2156&amp;$B$2176,FLNFIX!$CN$4:$EF$103,5,0))</f>
        <v>#N/A</v>
      </c>
      <c r="H2176" s="757"/>
      <c r="I2176" s="757"/>
      <c r="J2176" s="758"/>
      <c r="K2176" s="677"/>
    </row>
    <row r="2177" ht="20.1" customHeight="1" spans="1:11">
      <c r="A2177" s="675"/>
      <c r="B2177" s="755">
        <f t="shared" si="39"/>
        <v>18</v>
      </c>
      <c r="C2177" s="755">
        <f>IFERROR(VLOOKUP(B2177,DATEWISE!$A$3:$BY$27,2,0),0)</f>
        <v>0</v>
      </c>
      <c r="D2177" s="755" t="e">
        <f>IF($C$2177=0,NA(),VLOOKUP($I$2156&amp;$B$2177,FLNFIX!$CS$4:$EF$103,2,0))</f>
        <v>#N/A</v>
      </c>
      <c r="E2177" s="755" t="e">
        <f>IF($C$2177=0,NA(),VLOOKUP($I$2156&amp;$B$2177,FLNFIX!$CS$4:$EF$103,4,0))</f>
        <v>#N/A</v>
      </c>
      <c r="F2177" s="755" t="e">
        <f>IF($C$2177=0,NA(),VLOOKUP($I$2156&amp;$B$2177,FLNFIX!$CS$4:$EF$103,3,0))</f>
        <v>#N/A</v>
      </c>
      <c r="G2177" s="756" t="e">
        <f>IF($C$2177=0,NA(),VLOOKUP($I$2156&amp;$B$2177,FLNFIX!$CS$4:$EF$103,5,0))</f>
        <v>#N/A</v>
      </c>
      <c r="H2177" s="757"/>
      <c r="I2177" s="757"/>
      <c r="J2177" s="758"/>
      <c r="K2177" s="677"/>
    </row>
    <row r="2178" ht="20.1" customHeight="1" spans="1:11">
      <c r="A2178" s="675"/>
      <c r="B2178" s="755">
        <f t="shared" si="39"/>
        <v>19</v>
      </c>
      <c r="C2178" s="755">
        <f>IFERROR(VLOOKUP(B2178,DATEWISE!$A$3:$BY$27,2,0),0)</f>
        <v>0</v>
      </c>
      <c r="D2178" s="755" t="e">
        <f>IF($C$2178=0,NA(),VLOOKUP($I$2156&amp;$B$2178,FLNFIX!$CX$4:$EF$103,2,0))</f>
        <v>#N/A</v>
      </c>
      <c r="E2178" s="755" t="e">
        <f>IF($C$2178=0,NA(),VLOOKUP($I$2156&amp;$B$2178,FLNFIX!$CX$4:$EF$103,4,0))</f>
        <v>#N/A</v>
      </c>
      <c r="F2178" s="755" t="e">
        <f>IF($C$2178=0,NA(),VLOOKUP($I$2156&amp;$B$2178,FLNFIX!$CX$4:$EF$103,3,0))</f>
        <v>#N/A</v>
      </c>
      <c r="G2178" s="756" t="e">
        <f>IF($C$2178=0,NA(),VLOOKUP($I$2156&amp;$B$2178,FLNFIX!$CX$4:$EF$103,5,0))</f>
        <v>#N/A</v>
      </c>
      <c r="H2178" s="757"/>
      <c r="I2178" s="757"/>
      <c r="J2178" s="758"/>
      <c r="K2178" s="677"/>
    </row>
    <row r="2179" ht="20.1" customHeight="1" spans="1:11">
      <c r="A2179" s="675"/>
      <c r="B2179" s="755">
        <f t="shared" si="39"/>
        <v>20</v>
      </c>
      <c r="C2179" s="755">
        <f>IFERROR(VLOOKUP(B2179,DATEWISE!$A$3:$BY$27,2,0),0)</f>
        <v>0</v>
      </c>
      <c r="D2179" s="755" t="e">
        <f>IF($C$2179=0,NA(),VLOOKUP($I$2156&amp;$B$2179,FLNFIX!$DC$4:$EF$103,2,0))</f>
        <v>#N/A</v>
      </c>
      <c r="E2179" s="755" t="e">
        <f>IF($C$2179=0,NA(),VLOOKUP($I$2156&amp;$B$2179,FLNFIX!$DC$4:$EF$103,4,0))</f>
        <v>#N/A</v>
      </c>
      <c r="F2179" s="755" t="e">
        <f>IF($C$2179=0,NA(),VLOOKUP($I$2156&amp;$B$2179,FLNFIX!$DC$4:$EF$103,3,0))</f>
        <v>#N/A</v>
      </c>
      <c r="G2179" s="756" t="e">
        <f>IF($C$2179=0,NA(),VLOOKUP($I$2156&amp;$B$2179,FLNFIX!$DC$4:$EF$103,5,0))</f>
        <v>#N/A</v>
      </c>
      <c r="H2179" s="757"/>
      <c r="I2179" s="757"/>
      <c r="J2179" s="758"/>
      <c r="K2179" s="677"/>
    </row>
    <row r="2180" ht="20.1" customHeight="1" spans="1:11">
      <c r="A2180" s="675"/>
      <c r="B2180" s="755">
        <f t="shared" si="39"/>
        <v>21</v>
      </c>
      <c r="C2180" s="755">
        <f>IFERROR(VLOOKUP(B2180,DATEWISE!$A$3:$BY$27,2,0),0)</f>
        <v>0</v>
      </c>
      <c r="D2180" s="755" t="e">
        <f>IF($C$2180=0,NA(),VLOOKUP($I$2156&amp;$B$2180,FLNFIX!$DH$4:$EF$103,2,0))</f>
        <v>#N/A</v>
      </c>
      <c r="E2180" s="755" t="e">
        <f>IF($C$2180=0,NA(),VLOOKUP($I$2156&amp;$B$2180,FLNFIX!$DH$4:$EF$103,4,0))</f>
        <v>#N/A</v>
      </c>
      <c r="F2180" s="755" t="e">
        <f>IF($C$2180=0,NA(),VLOOKUP($I$2156&amp;$B$2180,FLNFIX!$DH$4:$EF$103,3,0))</f>
        <v>#N/A</v>
      </c>
      <c r="G2180" s="756" t="e">
        <f>IF($C$2180=0,NA(),VLOOKUP($I$2156&amp;$B$2180,FLNFIX!$DH$4:$EF$103,5,0))</f>
        <v>#N/A</v>
      </c>
      <c r="H2180" s="757"/>
      <c r="I2180" s="757"/>
      <c r="J2180" s="758"/>
      <c r="K2180" s="677"/>
    </row>
    <row r="2181" ht="5.1" customHeight="1" spans="1:11">
      <c r="A2181" s="675"/>
      <c r="B2181" s="759"/>
      <c r="C2181" s="759"/>
      <c r="D2181" s="760"/>
      <c r="E2181" s="760"/>
      <c r="F2181" s="760"/>
      <c r="G2181" s="761"/>
      <c r="H2181" s="761"/>
      <c r="I2181" s="761"/>
      <c r="J2181" s="761"/>
      <c r="K2181" s="677"/>
    </row>
    <row r="2182" s="667" customFormat="1" ht="24.95" customHeight="1" spans="1:11">
      <c r="A2182" s="711"/>
      <c r="B2182" s="762" t="s">
        <v>431</v>
      </c>
      <c r="C2182" s="763"/>
      <c r="D2182" s="763"/>
      <c r="E2182" s="763"/>
      <c r="F2182" s="763"/>
      <c r="G2182" s="763"/>
      <c r="H2182" s="763"/>
      <c r="I2182" s="763"/>
      <c r="J2182" s="764"/>
      <c r="K2182" s="713"/>
    </row>
    <row r="2183" spans="1:11">
      <c r="A2183" s="675"/>
      <c r="B2183" s="765"/>
      <c r="C2183" s="686"/>
      <c r="D2183" s="686"/>
      <c r="E2183" s="686"/>
      <c r="F2183" s="686"/>
      <c r="G2183" s="686"/>
      <c r="H2183" s="686"/>
      <c r="I2183" s="686"/>
      <c r="J2183" s="766"/>
      <c r="K2183" s="677"/>
    </row>
    <row r="2184" spans="1:11">
      <c r="A2184" s="675"/>
      <c r="B2184" s="765"/>
      <c r="C2184" s="686"/>
      <c r="D2184" s="686"/>
      <c r="E2184" s="686"/>
      <c r="F2184" s="686"/>
      <c r="G2184" s="686"/>
      <c r="H2184" s="686"/>
      <c r="I2184" s="686"/>
      <c r="J2184" s="766"/>
      <c r="K2184" s="677"/>
    </row>
    <row r="2185" spans="1:11">
      <c r="A2185" s="675"/>
      <c r="B2185" s="765"/>
      <c r="C2185" s="686"/>
      <c r="D2185" s="686"/>
      <c r="E2185" s="686"/>
      <c r="F2185" s="686"/>
      <c r="G2185" s="686"/>
      <c r="H2185" s="686"/>
      <c r="I2185" s="686"/>
      <c r="J2185" s="766"/>
      <c r="K2185" s="677"/>
    </row>
    <row r="2186" spans="1:11">
      <c r="A2186" s="675"/>
      <c r="B2186" s="765"/>
      <c r="C2186" s="686"/>
      <c r="D2186" s="686"/>
      <c r="E2186" s="686"/>
      <c r="F2186" s="686"/>
      <c r="G2186" s="686"/>
      <c r="H2186" s="686"/>
      <c r="I2186" s="686"/>
      <c r="J2186" s="766"/>
      <c r="K2186" s="677"/>
    </row>
    <row r="2187" spans="1:11">
      <c r="A2187" s="675"/>
      <c r="B2187" s="765"/>
      <c r="C2187" s="686"/>
      <c r="D2187" s="686"/>
      <c r="E2187" s="686"/>
      <c r="F2187" s="686"/>
      <c r="G2187" s="686"/>
      <c r="H2187" s="686"/>
      <c r="I2187" s="686"/>
      <c r="J2187" s="766"/>
      <c r="K2187" s="677"/>
    </row>
    <row r="2188" spans="1:11">
      <c r="A2188" s="675"/>
      <c r="B2188" s="765"/>
      <c r="C2188" s="686"/>
      <c r="D2188" s="686"/>
      <c r="E2188" s="686"/>
      <c r="F2188" s="686"/>
      <c r="G2188" s="686"/>
      <c r="H2188" s="686"/>
      <c r="I2188" s="686"/>
      <c r="J2188" s="766"/>
      <c r="K2188" s="677"/>
    </row>
    <row r="2189" spans="1:11">
      <c r="A2189" s="675"/>
      <c r="B2189" s="765"/>
      <c r="C2189" s="686"/>
      <c r="D2189" s="686"/>
      <c r="E2189" s="686"/>
      <c r="F2189" s="686"/>
      <c r="G2189" s="686"/>
      <c r="H2189" s="686"/>
      <c r="I2189" s="686"/>
      <c r="J2189" s="766"/>
      <c r="K2189" s="677"/>
    </row>
    <row r="2190" spans="1:11">
      <c r="A2190" s="675"/>
      <c r="B2190" s="765"/>
      <c r="C2190" s="686"/>
      <c r="D2190" s="686"/>
      <c r="E2190" s="686"/>
      <c r="F2190" s="686"/>
      <c r="G2190" s="686"/>
      <c r="H2190" s="686"/>
      <c r="I2190" s="686"/>
      <c r="J2190" s="766"/>
      <c r="K2190" s="677"/>
    </row>
    <row r="2191" spans="1:11">
      <c r="A2191" s="675"/>
      <c r="B2191" s="765"/>
      <c r="C2191" s="686"/>
      <c r="D2191" s="686"/>
      <c r="E2191" s="686"/>
      <c r="F2191" s="686"/>
      <c r="G2191" s="686"/>
      <c r="H2191" s="686"/>
      <c r="I2191" s="686"/>
      <c r="J2191" s="766"/>
      <c r="K2191" s="677"/>
    </row>
    <row r="2192" spans="1:11">
      <c r="A2192" s="675"/>
      <c r="B2192" s="767"/>
      <c r="C2192" s="768"/>
      <c r="D2192" s="768"/>
      <c r="E2192" s="768"/>
      <c r="F2192" s="768"/>
      <c r="G2192" s="768"/>
      <c r="H2192" s="768"/>
      <c r="I2192" s="768"/>
      <c r="J2192" s="769"/>
      <c r="K2192" s="677"/>
    </row>
    <row r="2193" ht="5.1" customHeight="1" spans="1:11">
      <c r="A2193" s="675"/>
      <c r="B2193" s="686"/>
      <c r="C2193" s="686"/>
      <c r="D2193" s="686"/>
      <c r="E2193" s="686"/>
      <c r="F2193" s="686"/>
      <c r="G2193" s="686"/>
      <c r="H2193" s="686"/>
      <c r="I2193" s="686"/>
      <c r="J2193" s="686"/>
      <c r="K2193" s="677"/>
    </row>
    <row r="2194" spans="1:11">
      <c r="A2194" s="675"/>
      <c r="B2194" s="770" t="s">
        <v>432</v>
      </c>
      <c r="C2194" s="770"/>
      <c r="D2194" s="770"/>
      <c r="E2194" s="770"/>
      <c r="F2194" s="770"/>
      <c r="G2194" s="770"/>
      <c r="H2194" s="770"/>
      <c r="I2194" s="770"/>
      <c r="J2194" s="770"/>
      <c r="K2194" s="677"/>
    </row>
    <row r="2195" spans="1:11">
      <c r="A2195" s="675"/>
      <c r="B2195" s="771"/>
      <c r="C2195" s="771"/>
      <c r="D2195" s="771"/>
      <c r="E2195" s="771"/>
      <c r="F2195" s="771"/>
      <c r="G2195" s="771"/>
      <c r="H2195" s="771"/>
      <c r="I2195" s="771"/>
      <c r="J2195" s="771"/>
      <c r="K2195" s="677"/>
    </row>
    <row r="2196" spans="1:11">
      <c r="A2196" s="675"/>
      <c r="B2196" s="771"/>
      <c r="C2196" s="771"/>
      <c r="D2196" s="771"/>
      <c r="E2196" s="771"/>
      <c r="F2196" s="771"/>
      <c r="G2196" s="771"/>
      <c r="H2196" s="771"/>
      <c r="I2196" s="771"/>
      <c r="J2196" s="771"/>
      <c r="K2196" s="677"/>
    </row>
    <row r="2197" spans="1:11">
      <c r="A2197" s="675"/>
      <c r="B2197" s="771"/>
      <c r="C2197" s="771"/>
      <c r="D2197" s="771"/>
      <c r="E2197" s="771"/>
      <c r="F2197" s="771"/>
      <c r="G2197" s="771"/>
      <c r="H2197" s="771"/>
      <c r="I2197" s="771"/>
      <c r="J2197" s="771"/>
      <c r="K2197" s="677"/>
    </row>
    <row r="2198" spans="1:11">
      <c r="A2198" s="675"/>
      <c r="B2198" s="686"/>
      <c r="C2198" s="686"/>
      <c r="D2198" s="686"/>
      <c r="E2198" s="686"/>
      <c r="F2198" s="686"/>
      <c r="G2198" s="686"/>
      <c r="H2198" s="686"/>
      <c r="I2198" s="686"/>
      <c r="J2198" s="686"/>
      <c r="K2198" s="677"/>
    </row>
    <row r="2199" spans="1:11">
      <c r="A2199" s="675"/>
      <c r="B2199" s="686"/>
      <c r="C2199" s="729" t="s">
        <v>433</v>
      </c>
      <c r="D2199" s="729"/>
      <c r="E2199" s="686"/>
      <c r="F2199" s="686"/>
      <c r="G2199" s="729" t="s">
        <v>434</v>
      </c>
      <c r="H2199" s="729"/>
      <c r="I2199" s="729"/>
      <c r="J2199" s="729"/>
      <c r="K2199" s="677"/>
    </row>
    <row r="2200" ht="16.35" spans="1:11">
      <c r="A2200" s="725"/>
      <c r="B2200" s="726"/>
      <c r="C2200" s="732" t="str">
        <f>"("&amp;PROPER(ENTRY!$D$19)&amp;")"</f>
        <v>(Indrajeet)</v>
      </c>
      <c r="D2200" s="732"/>
      <c r="E2200" s="726"/>
      <c r="F2200" s="726"/>
      <c r="G2200" s="732" t="str">
        <f>"("&amp;PROPER(ENTRY!$D$12)&amp;")"</f>
        <v>(Shambhu Dayal Meena)</v>
      </c>
      <c r="H2200" s="732"/>
      <c r="I2200" s="732"/>
      <c r="J2200" s="732"/>
      <c r="K2200" s="728"/>
    </row>
    <row r="2201" ht="24.6" spans="1:11">
      <c r="B2201" s="734"/>
      <c r="C2201" s="734"/>
      <c r="D2201" s="669" t="str">
        <f>ENTRY!$D$3</f>
        <v>MUNICIPAL CORPORATION OF DELHI</v>
      </c>
      <c r="E2201" s="669"/>
      <c r="F2201" s="669"/>
      <c r="G2201" s="669"/>
      <c r="H2201" s="734"/>
      <c r="I2201" s="669"/>
      <c r="J2201" s="669"/>
    </row>
    <row r="2202" ht="20.4" spans="1:11">
      <c r="B2202" s="735"/>
      <c r="C2202" s="735"/>
      <c r="D2202" s="670" t="str">
        <f>ENTRY!$D$4</f>
        <v>EDUCATION DEPARTMENT</v>
      </c>
      <c r="E2202" s="670"/>
      <c r="F2202" s="670"/>
      <c r="G2202" s="670"/>
      <c r="H2202" s="735"/>
      <c r="I2202" s="669"/>
      <c r="J2202" s="669"/>
    </row>
    <row r="2203" ht="22.8" spans="1:11">
      <c r="B2203" s="736"/>
      <c r="C2203" s="736"/>
      <c r="D2203" s="664" t="s">
        <v>417</v>
      </c>
      <c r="E2203" s="664"/>
      <c r="F2203" s="664"/>
      <c r="G2203" s="664"/>
      <c r="H2203" s="736"/>
      <c r="I2203" s="669"/>
      <c r="J2203" s="669"/>
    </row>
    <row r="2204" ht="22.8" spans="1:11">
      <c r="B2204" s="736"/>
      <c r="C2204" s="736"/>
      <c r="D2204" s="664" t="s">
        <v>418</v>
      </c>
      <c r="E2204" s="664"/>
      <c r="F2204" s="664"/>
      <c r="G2204" s="664"/>
      <c r="H2204" s="736"/>
      <c r="I2204" s="669"/>
      <c r="J2204" s="669"/>
    </row>
    <row r="2205" ht="24.95" customHeight="1" spans="1:11">
      <c r="B2205" s="735"/>
      <c r="C2205" s="735"/>
      <c r="D2205" s="737" t="str">
        <f>"SESSION : "&amp;ENTRY!$D$11</f>
        <v>SESSION : 2026-27</v>
      </c>
      <c r="E2205" s="737"/>
      <c r="F2205" s="737"/>
      <c r="G2205" s="737"/>
      <c r="H2205" s="735"/>
      <c r="I2205" s="738"/>
      <c r="J2205" s="738"/>
    </row>
    <row r="2206" ht="3.75" customHeight="1" spans="1:11">
      <c r="A2206" s="672"/>
      <c r="B2206" s="739"/>
      <c r="C2206" s="739"/>
      <c r="D2206" s="739"/>
      <c r="E2206" s="739"/>
      <c r="F2206" s="739"/>
      <c r="G2206" s="739"/>
      <c r="H2206" s="739"/>
      <c r="I2206" s="739"/>
      <c r="J2206" s="739"/>
      <c r="K2206" s="674"/>
    </row>
    <row r="2207" ht="21.95" customHeight="1" spans="1:11">
      <c r="A2207" s="675"/>
      <c r="B2207" s="676" t="s">
        <v>419</v>
      </c>
      <c r="C2207" s="676"/>
      <c r="D2207" s="676" t="str">
        <f>ENTRY!$D$6</f>
        <v>MCP NITHARI NO 1 BOYS</v>
      </c>
      <c r="E2207" s="676"/>
      <c r="F2207" s="676"/>
      <c r="G2207" s="676"/>
      <c r="H2207" s="676"/>
      <c r="I2207" s="676"/>
      <c r="J2207" s="676"/>
      <c r="K2207" s="677"/>
    </row>
    <row r="2208" ht="21.95" customHeight="1" spans="1:11">
      <c r="A2208" s="675"/>
      <c r="B2208" s="676" t="s">
        <v>420</v>
      </c>
      <c r="C2208" s="676"/>
      <c r="D2208" s="740">
        <f>IFERROR(VLOOKUP($I$2211,STUDENT!$A$2:$BP$101,5,0),"")</f>
        <v>0</v>
      </c>
      <c r="E2208" s="740"/>
      <c r="F2208" s="740"/>
      <c r="G2208" s="740"/>
      <c r="H2208" s="740"/>
      <c r="I2208" s="740"/>
      <c r="J2208" s="740"/>
      <c r="K2208" s="677"/>
    </row>
    <row r="2209" ht="21.95" customHeight="1" spans="1:11">
      <c r="A2209" s="675"/>
      <c r="B2209" s="676" t="s">
        <v>421</v>
      </c>
      <c r="C2209" s="676"/>
      <c r="D2209" s="740">
        <f>IFERROR(VLOOKUP($I$2211,STUDENT!$A$2:$BP$101,8,0),"")</f>
        <v>0</v>
      </c>
      <c r="E2209" s="740"/>
      <c r="F2209" s="740"/>
      <c r="G2209" s="740"/>
      <c r="H2209" s="740"/>
      <c r="I2209" s="740"/>
      <c r="J2209" s="740"/>
      <c r="K2209" s="677"/>
    </row>
    <row r="2210" ht="21.95" customHeight="1" spans="1:11">
      <c r="A2210" s="675"/>
      <c r="B2210" s="676" t="s">
        <v>422</v>
      </c>
      <c r="C2210" s="676"/>
      <c r="D2210" s="740">
        <f>IFERROR(VLOOKUP($I$2211,STUDENT!$A$2:$BP$101,6,0),"")</f>
        <v>0</v>
      </c>
      <c r="E2210" s="740"/>
      <c r="F2210" s="740"/>
      <c r="G2210" s="740"/>
      <c r="H2210" s="740"/>
      <c r="I2210" s="740"/>
      <c r="J2210" s="740"/>
      <c r="K2210" s="677"/>
    </row>
    <row r="2211" ht="21.95" customHeight="1" spans="1:11">
      <c r="A2211" s="675"/>
      <c r="B2211" s="676" t="s">
        <v>423</v>
      </c>
      <c r="C2211" s="676"/>
      <c r="D2211" s="741" t="str">
        <f>IFERROR(VLOOKUP($I$2211,STUDENT!$A$2:$BP$101,59,0),"")</f>
        <v/>
      </c>
      <c r="E2211" s="742" t="s">
        <v>424</v>
      </c>
      <c r="F2211" s="704" t="str">
        <f>IFERROR(VLOOKUP($I$2211,STUDENT!$A$2:$BP$101,2,0),"")</f>
        <v>III-A</v>
      </c>
      <c r="G2211" s="742" t="s">
        <v>425</v>
      </c>
      <c r="H2211" s="743"/>
      <c r="I2211" s="733">
        <f>I2156+1</f>
        <v>41</v>
      </c>
      <c r="J2211" s="683"/>
      <c r="K2211" s="677"/>
    </row>
    <row r="2212" ht="5.1" customHeight="1" spans="1:11">
      <c r="A2212" s="675"/>
      <c r="B2212" s="745"/>
      <c r="C2212" s="745"/>
      <c r="D2212" s="746"/>
      <c r="E2212" s="747"/>
      <c r="F2212" s="748"/>
      <c r="G2212" s="747"/>
      <c r="H2212" s="686"/>
      <c r="I2212" s="686"/>
      <c r="J2212" s="686"/>
      <c r="K2212" s="677"/>
    </row>
    <row r="2213" s="664" customFormat="1" ht="32.1" customHeight="1" spans="1:11">
      <c r="A2213" s="688"/>
      <c r="B2213" s="749" t="s">
        <v>426</v>
      </c>
      <c r="C2213" s="750"/>
      <c r="D2213" s="750"/>
      <c r="E2213" s="750"/>
      <c r="F2213" s="750"/>
      <c r="G2213" s="750"/>
      <c r="H2213" s="750"/>
      <c r="I2213" s="750"/>
      <c r="J2213" s="751"/>
      <c r="K2213" s="690"/>
    </row>
    <row r="2214" ht="51.6" spans="1:11">
      <c r="A2214" s="675"/>
      <c r="B2214" s="752">
        <v>21</v>
      </c>
      <c r="C2214" s="753" t="s">
        <v>427</v>
      </c>
      <c r="D2214" s="754" t="s">
        <v>428</v>
      </c>
      <c r="E2214" s="754" t="s">
        <v>429</v>
      </c>
      <c r="F2214" s="754" t="s">
        <v>430</v>
      </c>
      <c r="G2214" s="753" t="s">
        <v>390</v>
      </c>
      <c r="H2214" s="714"/>
      <c r="I2214" s="714"/>
      <c r="J2214" s="714"/>
      <c r="K2214" s="677"/>
    </row>
    <row r="2215" ht="20.1" customHeight="1" spans="1:11">
      <c r="A2215" s="675"/>
      <c r="B2215" s="755">
        <v>1</v>
      </c>
      <c r="C2215" s="755" t="str">
        <f>IFERROR(VLOOKUP(B2215,DATEWISE!$A$3:$BY$27,2,0),0)</f>
        <v>30.04.2026</v>
      </c>
      <c r="D2215" s="755" t="str">
        <f>IF($C$2215=0,NA(),VLOOKUP($I$2211&amp;$B$2215,FLNFIX!$L$4:$EF$103,2,0))</f>
        <v>-</v>
      </c>
      <c r="E2215" s="755" t="str">
        <f>IF($C$2215=0,NA(),VLOOKUP($I$2211&amp;$B$2215,FLNFIX!$L$4:$EF$103,4,0))</f>
        <v>-</v>
      </c>
      <c r="F2215" s="755" t="str">
        <f>IF($C$2215=0,NA(),VLOOKUP($I$2211&amp;$B$2215,FLNFIX!$L$4:$EF$103,3,0))</f>
        <v>-</v>
      </c>
      <c r="G2215" s="756">
        <f>IF($C$2215=0,NA(),VLOOKUP($I$2211&amp;$B$2215,FLNFIX!$L$4:$EF$103,5,0))</f>
        <v>0</v>
      </c>
      <c r="H2215" s="757"/>
      <c r="I2215" s="757"/>
      <c r="J2215" s="758"/>
      <c r="K2215" s="677"/>
    </row>
    <row r="2216" ht="20.1" customHeight="1" spans="1:11">
      <c r="A2216" s="675"/>
      <c r="B2216" s="755">
        <f t="shared" ref="B2216:B2235" si="40">IF(B2215=0,0,IF(B2215&lt;$B$2214,B2215+1,""))</f>
        <v>2</v>
      </c>
      <c r="C2216" s="755" t="str">
        <f>IFERROR(VLOOKUP(B2216,DATEWISE!$A$3:$BY$27,2,0),0)</f>
        <v>08.05.2026</v>
      </c>
      <c r="D2216" s="755" t="str">
        <f>IF($C$2216=0,NA(),VLOOKUP($I$2211&amp;$B$2216,FLNFIX!$Q$4:$EF$103,2,0))</f>
        <v>-</v>
      </c>
      <c r="E2216" s="755" t="str">
        <f>IF($C$2216=0,NA(),VLOOKUP($I$2211&amp;$B$2216,FLNFIX!$Q$4:$EF$103,4,0))</f>
        <v>-</v>
      </c>
      <c r="F2216" s="755" t="str">
        <f>IF($C$2216=0,NA(),VLOOKUP($I$2211&amp;$B$2216,FLNFIX!$Q$4:$EF$103,3,0))</f>
        <v>-</v>
      </c>
      <c r="G2216" s="756" t="str">
        <f>IF($C$2216=0,NA(),VLOOKUP($I$2211&amp;$B$2216,FLNFIX!$Q$4:$EF$103,5,0))</f>
        <v>-</v>
      </c>
      <c r="H2216" s="757"/>
      <c r="I2216" s="757"/>
      <c r="J2216" s="758"/>
      <c r="K2216" s="677"/>
    </row>
    <row r="2217" ht="20.1" customHeight="1" spans="1:11">
      <c r="A2217" s="675"/>
      <c r="B2217" s="755">
        <f t="shared" si="40"/>
        <v>3</v>
      </c>
      <c r="C2217" s="755" t="str">
        <f>IFERROR(VLOOKUP(B2217,DATEWISE!$A$3:$BY$27,2,0),0)</f>
        <v>15.07.2026</v>
      </c>
      <c r="D2217" s="755" t="str">
        <f>IF($C$2217=0,NA(),VLOOKUP($I$2211&amp;$B$2217,FLNFIX!$V$4:$EF$103,2,0))</f>
        <v>-</v>
      </c>
      <c r="E2217" s="755" t="str">
        <f>IF($C$2217=0,NA(),VLOOKUP($I$2211&amp;$B$2217,FLNFIX!$V$4:$EF$103,4,0))</f>
        <v>-</v>
      </c>
      <c r="F2217" s="755" t="str">
        <f>IF($C$2217=0,NA(),VLOOKUP($I$2211&amp;$B$2217,FLNFIX!$V$4:$EF$103,3,0))</f>
        <v>-</v>
      </c>
      <c r="G2217" s="756" t="str">
        <f>IF($C$2217=0,NA(),VLOOKUP($I$2211&amp;$B$2217,FLNFIX!$V$4:$EF$103,5,0))</f>
        <v>-</v>
      </c>
      <c r="H2217" s="757"/>
      <c r="I2217" s="757"/>
      <c r="J2217" s="758"/>
      <c r="K2217" s="677"/>
    </row>
    <row r="2218" ht="20.1" customHeight="1" spans="1:11">
      <c r="A2218" s="675"/>
      <c r="B2218" s="755">
        <f t="shared" si="40"/>
        <v>4</v>
      </c>
      <c r="C2218" s="755" t="str">
        <f>IFERROR(VLOOKUP(B2218,DATEWISE!$A$3:$BY$27,2,0),0)</f>
        <v>31.07.2026</v>
      </c>
      <c r="D2218" s="755" t="str">
        <f>IF($C$2218=0,NA(),VLOOKUP($I$2211&amp;$B$2218,FLNFIX!$AA$4:$EF$103,2,0))</f>
        <v>-</v>
      </c>
      <c r="E2218" s="755" t="str">
        <f>IF($C$2218=0,NA(),VLOOKUP($I$2211&amp;$B$2218,FLNFIX!$AA$4:$EF$103,4,0))</f>
        <v>-</v>
      </c>
      <c r="F2218" s="755" t="str">
        <f>IF($C$2218=0,NA(),VLOOKUP($I$2211&amp;$B$2218,FLNFIX!$AA$4:$EF$103,3,0))</f>
        <v>-</v>
      </c>
      <c r="G2218" s="756" t="str">
        <f>IF($C$2218=0,NA(),VLOOKUP($I$2211&amp;$B$2218,FLNFIX!$AA$4:$EF$103,5,0))</f>
        <v>-</v>
      </c>
      <c r="H2218" s="757"/>
      <c r="I2218" s="757"/>
      <c r="J2218" s="758"/>
      <c r="K2218" s="677"/>
    </row>
    <row r="2219" ht="20.1" customHeight="1" spans="1:11">
      <c r="A2219" s="675"/>
      <c r="B2219" s="755">
        <f t="shared" si="40"/>
        <v>5</v>
      </c>
      <c r="C2219" s="755" t="str">
        <f>IFERROR(VLOOKUP(B2219,DATEWISE!$A$3:$BY$27,2,0),0)</f>
        <v>17.08.2026</v>
      </c>
      <c r="D2219" s="755" t="str">
        <f>IF($C$2219=0,NA(),VLOOKUP($I$2211&amp;$B$2219,FLNFIX!$AF$4:$EF$103,2,0))</f>
        <v>-</v>
      </c>
      <c r="E2219" s="755" t="str">
        <f>IF($C$2219=0,NA(),VLOOKUP($I$2211&amp;$B$2219,FLNFIX!$AF$4:$EF$103,4,0))</f>
        <v>-</v>
      </c>
      <c r="F2219" s="755" t="str">
        <f>IF($C$2219=0,NA(),VLOOKUP($I$2211&amp;$B$2219,FLNFIX!$AF$4:$EF$103,3,0))</f>
        <v>-</v>
      </c>
      <c r="G2219" s="756" t="str">
        <f>IF($C$2219=0,NA(),VLOOKUP($I$2211&amp;$B$2219,FLNFIX!$AF$4:$EF$103,5,0))</f>
        <v>-</v>
      </c>
      <c r="H2219" s="757"/>
      <c r="I2219" s="757"/>
      <c r="J2219" s="758"/>
      <c r="K2219" s="677"/>
    </row>
    <row r="2220" ht="20.1" customHeight="1" spans="1:11">
      <c r="A2220" s="675"/>
      <c r="B2220" s="755">
        <f t="shared" si="40"/>
        <v>6</v>
      </c>
      <c r="C2220" s="755" t="str">
        <f>IFERROR(VLOOKUP(B2220,DATEWISE!$A$3:$BY$27,2,0),0)</f>
        <v>31.08.2026</v>
      </c>
      <c r="D2220" s="755" t="str">
        <f>IF($C$2220=0,NA(),VLOOKUP($I$2211&amp;$B$2220,FLNFIX!$AK$4:$EF$103,2,0))</f>
        <v>-</v>
      </c>
      <c r="E2220" s="755" t="str">
        <f>IF($C$2220=0,NA(),VLOOKUP($I$2211&amp;$B$2220,FLNFIX!$AK$4:$EF$103,4,0))</f>
        <v>-</v>
      </c>
      <c r="F2220" s="755" t="str">
        <f>IF($C$2220=0,NA(),VLOOKUP($I$2211&amp;$B$2220,FLNFIX!$AK$4:$EF$103,3,0))</f>
        <v>-</v>
      </c>
      <c r="G2220" s="756">
        <f>IF($C$2220=0,NA(),VLOOKUP($I$2211&amp;$B$2220,FLNFIX!$AK$4:$EF$103,5,0))</f>
        <v>0</v>
      </c>
      <c r="H2220" s="757"/>
      <c r="I2220" s="757"/>
      <c r="J2220" s="758"/>
      <c r="K2220" s="677"/>
    </row>
    <row r="2221" ht="20.1" customHeight="1" spans="1:11">
      <c r="A2221" s="675"/>
      <c r="B2221" s="755">
        <f t="shared" si="40"/>
        <v>7</v>
      </c>
      <c r="C2221" s="755">
        <f>IFERROR(VLOOKUP(B2221,DATEWISE!$A$3:$BY$27,2,0),0)</f>
        <v>0</v>
      </c>
      <c r="D2221" s="755" t="e">
        <f>IF($C$2221=0,NA(),VLOOKUP($I$2211&amp;$B$2221,FLNFIX!$AP$4:$EF$103,2,0))</f>
        <v>#N/A</v>
      </c>
      <c r="E2221" s="755" t="e">
        <f>IF($C$2221=0,NA(),VLOOKUP($I$2211&amp;$B$2221,FLNFIX!$AP$4:$EF$103,4,0))</f>
        <v>#N/A</v>
      </c>
      <c r="F2221" s="755" t="e">
        <f>IF($C$2221=0,NA(),VLOOKUP($I$2211&amp;$B$2221,FLNFIX!$AP$4:$EF$103,3,0))</f>
        <v>#N/A</v>
      </c>
      <c r="G2221" s="756" t="e">
        <f>IF($C$2221=0,NA(),VLOOKUP($I$2211&amp;$B$2221,FLNFIX!$AP$4:$EF$103,5,0))</f>
        <v>#N/A</v>
      </c>
      <c r="H2221" s="757"/>
      <c r="I2221" s="757"/>
      <c r="J2221" s="758"/>
      <c r="K2221" s="677"/>
    </row>
    <row r="2222" ht="20.1" customHeight="1" spans="1:11">
      <c r="A2222" s="675"/>
      <c r="B2222" s="755">
        <f t="shared" si="40"/>
        <v>8</v>
      </c>
      <c r="C2222" s="755">
        <f>IFERROR(VLOOKUP(B2222,DATEWISE!$A$3:$BY$27,2,0),0)</f>
        <v>0</v>
      </c>
      <c r="D2222" s="755" t="e">
        <f>IF($C$2222=0,NA(),VLOOKUP($I$2211&amp;$B$2222,FLNFIX!$AU$4:$EF$103,2,0))</f>
        <v>#N/A</v>
      </c>
      <c r="E2222" s="755" t="e">
        <f>IF($C$2222=0,NA(),VLOOKUP($I$2211&amp;$B$2222,FLNFIX!$AU$4:$EF$103,4,0))</f>
        <v>#N/A</v>
      </c>
      <c r="F2222" s="755" t="e">
        <f>IF($C$2222=0,NA(),VLOOKUP($I$2211&amp;$B$2222,FLNFIX!$AU$4:$EF$103,3,0))</f>
        <v>#N/A</v>
      </c>
      <c r="G2222" s="756" t="e">
        <f>IF($C$2222=0,NA(),VLOOKUP($I$2211&amp;$B$2222,FLNFIX!$AU$4:$EF$103,5,0))</f>
        <v>#N/A</v>
      </c>
      <c r="H2222" s="757"/>
      <c r="I2222" s="757"/>
      <c r="J2222" s="758"/>
      <c r="K2222" s="677"/>
    </row>
    <row r="2223" ht="20.1" customHeight="1" spans="1:11">
      <c r="A2223" s="675"/>
      <c r="B2223" s="755">
        <f t="shared" si="40"/>
        <v>9</v>
      </c>
      <c r="C2223" s="755">
        <f>IFERROR(VLOOKUP(B2223,DATEWISE!$A$3:$BY$27,2,0),0)</f>
        <v>0</v>
      </c>
      <c r="D2223" s="755" t="e">
        <f>IF($C$2223=0,NA(),VLOOKUP($I$2211&amp;$B$2223,FLNFIX!$AZ$4:$EF$103,2,0))</f>
        <v>#N/A</v>
      </c>
      <c r="E2223" s="755" t="e">
        <f>IF($C$2223=0,NA(),VLOOKUP($I$2211&amp;$B$2223,FLNFIX!$AZ$4:$EF$103,4,0))</f>
        <v>#N/A</v>
      </c>
      <c r="F2223" s="755" t="e">
        <f>IF($C$2223=0,NA(),VLOOKUP($I$2211&amp;$B$2223,FLNFIX!$AZ$4:$EF$103,3,0))</f>
        <v>#N/A</v>
      </c>
      <c r="G2223" s="756" t="e">
        <f>IF($C$2223=0,NA(),VLOOKUP($I$2211&amp;$B$2223,FLNFIX!$AZ$4:$EF$103,5,0))</f>
        <v>#N/A</v>
      </c>
      <c r="H2223" s="757"/>
      <c r="I2223" s="757"/>
      <c r="J2223" s="758"/>
      <c r="K2223" s="677"/>
    </row>
    <row r="2224" ht="20.1" customHeight="1" spans="1:11">
      <c r="A2224" s="675"/>
      <c r="B2224" s="755">
        <f t="shared" si="40"/>
        <v>10</v>
      </c>
      <c r="C2224" s="755">
        <f>IFERROR(VLOOKUP(B2224,DATEWISE!$A$3:$BY$27,2,0),0)</f>
        <v>0</v>
      </c>
      <c r="D2224" s="755" t="e">
        <f>IF($C$2224=0,NA(),VLOOKUP($I$2211&amp;$B$2224,FLNFIX!$BE$4:$EF$103,2,0))</f>
        <v>#N/A</v>
      </c>
      <c r="E2224" s="755" t="e">
        <f>IF($C$2224=0,NA(),VLOOKUP($I$2211&amp;$B$2224,FLNFIX!$BE$4:$EF$103,4,0))</f>
        <v>#N/A</v>
      </c>
      <c r="F2224" s="755" t="e">
        <f>IF($C$2224=0,NA(),VLOOKUP($I$2211&amp;$B$2224,FLNFIX!$BE$4:$EF$103,3,0))</f>
        <v>#N/A</v>
      </c>
      <c r="G2224" s="756" t="e">
        <f>IF($C$2224=0,NA(),VLOOKUP($I$2211&amp;$B$2224,FLNFIX!$BE$4:$EF$103,5,0))</f>
        <v>#N/A</v>
      </c>
      <c r="H2224" s="757"/>
      <c r="I2224" s="757"/>
      <c r="J2224" s="758"/>
      <c r="K2224" s="677"/>
    </row>
    <row r="2225" ht="20.1" customHeight="1" spans="1:11">
      <c r="A2225" s="675"/>
      <c r="B2225" s="755">
        <f t="shared" si="40"/>
        <v>11</v>
      </c>
      <c r="C2225" s="755">
        <f>IFERROR(VLOOKUP(B2225,DATEWISE!$A$3:$BY$27,2,0),0)</f>
        <v>0</v>
      </c>
      <c r="D2225" s="755" t="e">
        <f>IF($C$2225=0,NA(),VLOOKUP($I$2211&amp;$B$2225,FLNFIX!$BJ$4:$EF$103,2,0))</f>
        <v>#N/A</v>
      </c>
      <c r="E2225" s="755" t="e">
        <f>IF($C$2225=0,NA(),VLOOKUP($I$2211&amp;$B$2225,FLNFIX!$BJ$4:$EF$103,4,0))</f>
        <v>#N/A</v>
      </c>
      <c r="F2225" s="755" t="e">
        <f>IF($C$2225=0,NA(),VLOOKUP($I$2211&amp;$B$2225,FLNFIX!$BJ$4:$EF$103,3,0))</f>
        <v>#N/A</v>
      </c>
      <c r="G2225" s="756" t="e">
        <f>IF($C$2225=0,NA(),VLOOKUP($I$2211&amp;$B$2225,FLNFIX!$BJ$4:$EF$103,5,0))</f>
        <v>#N/A</v>
      </c>
      <c r="H2225" s="757"/>
      <c r="I2225" s="757"/>
      <c r="J2225" s="758"/>
      <c r="K2225" s="677"/>
    </row>
    <row r="2226" ht="20.1" customHeight="1" spans="1:11">
      <c r="A2226" s="675"/>
      <c r="B2226" s="755">
        <f t="shared" si="40"/>
        <v>12</v>
      </c>
      <c r="C2226" s="755">
        <f>IFERROR(VLOOKUP(B2226,DATEWISE!$A$3:$BY$27,2,0),0)</f>
        <v>0</v>
      </c>
      <c r="D2226" s="755" t="e">
        <f>IF($C$2226=0,NA(),VLOOKUP($I$2211&amp;$B$2226,FLNFIX!$BO$4:$EF$103,2,0))</f>
        <v>#N/A</v>
      </c>
      <c r="E2226" s="755" t="e">
        <f>IF($C$2226=0,NA(),VLOOKUP($I$2211&amp;$B$2226,FLNFIX!$BO$4:$EF$103,4,0))</f>
        <v>#N/A</v>
      </c>
      <c r="F2226" s="755" t="e">
        <f>IF($C$2226=0,NA(),VLOOKUP($I$2211&amp;$B$2226,FLNFIX!$BO$4:$EF$103,3,0))</f>
        <v>#N/A</v>
      </c>
      <c r="G2226" s="756" t="e">
        <f>IF($C$2226=0,NA(),VLOOKUP($I$2211&amp;$B$2226,FLNFIX!$BO$4:$EF$103,5,0))</f>
        <v>#N/A</v>
      </c>
      <c r="H2226" s="757"/>
      <c r="I2226" s="757"/>
      <c r="J2226" s="758"/>
      <c r="K2226" s="677"/>
    </row>
    <row r="2227" ht="20.1" customHeight="1" spans="1:11">
      <c r="A2227" s="675"/>
      <c r="B2227" s="755">
        <f t="shared" si="40"/>
        <v>13</v>
      </c>
      <c r="C2227" s="755">
        <f>IFERROR(VLOOKUP(B2227,DATEWISE!$A$3:$BY$27,2,0),0)</f>
        <v>0</v>
      </c>
      <c r="D2227" s="755" t="e">
        <f>IF($C$2227=0,NA(),VLOOKUP($I$2211&amp;$B$2227,FLNFIX!$BT$4:$EF$103,2,0))</f>
        <v>#N/A</v>
      </c>
      <c r="E2227" s="755" t="e">
        <f>IF($C$2227=0,NA(),VLOOKUP($I$2211&amp;$B$2227,FLNFIX!$BT$4:$EF$103,4,0))</f>
        <v>#N/A</v>
      </c>
      <c r="F2227" s="755" t="e">
        <f>IF($C$2227=0,NA(),VLOOKUP($I$2211&amp;$B$2227,FLNFIX!$BT$4:$EF$103,3,0))</f>
        <v>#N/A</v>
      </c>
      <c r="G2227" s="756" t="e">
        <f>IF($C$2227=0,NA(),VLOOKUP($I$2211&amp;$B$2227,FLNFIX!$BT$4:$EF$103,5,0))</f>
        <v>#N/A</v>
      </c>
      <c r="H2227" s="757"/>
      <c r="I2227" s="757"/>
      <c r="J2227" s="758"/>
      <c r="K2227" s="677"/>
    </row>
    <row r="2228" ht="20.1" customHeight="1" spans="1:11">
      <c r="A2228" s="675"/>
      <c r="B2228" s="755">
        <f t="shared" si="40"/>
        <v>14</v>
      </c>
      <c r="C2228" s="755">
        <f>IFERROR(VLOOKUP(B2228,DATEWISE!$A$3:$BY$27,2,0),0)</f>
        <v>0</v>
      </c>
      <c r="D2228" s="755" t="e">
        <f>IF($C$2228=0,NA(),VLOOKUP($I$2211&amp;$B$2228,FLNFIX!$BY$4:$EF$103,2,0))</f>
        <v>#N/A</v>
      </c>
      <c r="E2228" s="755" t="e">
        <f>IF($C$2228=0,NA(),VLOOKUP($I$2211&amp;$B$2228,FLNFIX!$BY$4:$EF$103,4,0))</f>
        <v>#N/A</v>
      </c>
      <c r="F2228" s="755" t="e">
        <f>IF($C$2228=0,NA(),VLOOKUP($I$2211&amp;$B$2228,FLNFIX!$BY$4:$EF$103,3,0))</f>
        <v>#N/A</v>
      </c>
      <c r="G2228" s="756" t="e">
        <f>IF($C$2228=0,NA(),VLOOKUP($I$2211&amp;$B$2228,FLNFIX!$BY$4:$EF$103,5,0))</f>
        <v>#N/A</v>
      </c>
      <c r="H2228" s="757"/>
      <c r="I2228" s="757"/>
      <c r="J2228" s="758"/>
      <c r="K2228" s="677"/>
    </row>
    <row r="2229" ht="20.1" customHeight="1" spans="1:11">
      <c r="A2229" s="675"/>
      <c r="B2229" s="755">
        <f t="shared" si="40"/>
        <v>15</v>
      </c>
      <c r="C2229" s="755">
        <f>IFERROR(VLOOKUP(B2229,DATEWISE!$A$3:$BY$27,2,0),0)</f>
        <v>0</v>
      </c>
      <c r="D2229" s="755" t="e">
        <f>IF($C$2229=0,NA(),VLOOKUP($I$2211&amp;$B$2229,FLNFIX!$CD$4:$EF$103,2,0))</f>
        <v>#N/A</v>
      </c>
      <c r="E2229" s="755" t="e">
        <f>IF($C$2229=0,NA(),VLOOKUP($I$2211&amp;$B$2229,FLNFIX!$CD$4:$EF$103,4,0))</f>
        <v>#N/A</v>
      </c>
      <c r="F2229" s="755" t="e">
        <f>IF($C$2229=0,NA(),VLOOKUP($I$2211&amp;$B$2229,FLNFIX!$CD$4:$EF$103,3,0))</f>
        <v>#N/A</v>
      </c>
      <c r="G2229" s="756" t="e">
        <f>IF($C$2229=0,NA(),VLOOKUP($I$2211&amp;$B$2229,FLNFIX!$CD$4:$EF$103,5,0))</f>
        <v>#N/A</v>
      </c>
      <c r="H2229" s="757"/>
      <c r="I2229" s="757"/>
      <c r="J2229" s="758"/>
      <c r="K2229" s="677"/>
    </row>
    <row r="2230" ht="20.1" customHeight="1" spans="1:11">
      <c r="A2230" s="675"/>
      <c r="B2230" s="755">
        <f t="shared" si="40"/>
        <v>16</v>
      </c>
      <c r="C2230" s="755">
        <f>IFERROR(VLOOKUP(B2230,DATEWISE!$A$3:$BY$27,2,0),0)</f>
        <v>0</v>
      </c>
      <c r="D2230" s="755" t="e">
        <f>IF($C$2230=0,NA(),VLOOKUP($I$2211&amp;$B$2230,FLNFIX!$CI$4:$EF$103,2,0))</f>
        <v>#N/A</v>
      </c>
      <c r="E2230" s="755" t="e">
        <f>IF($C$2230=0,NA(),VLOOKUP($I$2211&amp;$B$2230,FLNFIX!$CI$4:$EF$103,4,0))</f>
        <v>#N/A</v>
      </c>
      <c r="F2230" s="755" t="e">
        <f>IF($C$2230=0,NA(),VLOOKUP($I$2211&amp;$B$2230,FLNFIX!$CI$4:$EF$103,3,0))</f>
        <v>#N/A</v>
      </c>
      <c r="G2230" s="756" t="e">
        <f>IF($C$2230=0,NA(),VLOOKUP($I$2211&amp;$B$2230,FLNFIX!$CI$4:$EF$103,5,0))</f>
        <v>#N/A</v>
      </c>
      <c r="H2230" s="757"/>
      <c r="I2230" s="757"/>
      <c r="J2230" s="758"/>
      <c r="K2230" s="677"/>
    </row>
    <row r="2231" ht="20.1" customHeight="1" spans="1:11">
      <c r="A2231" s="675"/>
      <c r="B2231" s="755">
        <f t="shared" si="40"/>
        <v>17</v>
      </c>
      <c r="C2231" s="755">
        <f>IFERROR(VLOOKUP(B2231,DATEWISE!$A$3:$BY$27,2,0),0)</f>
        <v>0</v>
      </c>
      <c r="D2231" s="755" t="e">
        <f>IF($C$2231=0,NA(),VLOOKUP($I$2211&amp;$B$2231,FLNFIX!$CN$4:$EF$103,2,0))</f>
        <v>#N/A</v>
      </c>
      <c r="E2231" s="755" t="e">
        <f>IF($C$2231=0,NA(),VLOOKUP($I$2211&amp;$B$2231,FLNFIX!$CN$4:$EF$103,4,0))</f>
        <v>#N/A</v>
      </c>
      <c r="F2231" s="755" t="e">
        <f>IF($C$2231=0,NA(),VLOOKUP($I$2211&amp;$B$2231,FLNFIX!$CN$4:$EF$103,3,0))</f>
        <v>#N/A</v>
      </c>
      <c r="G2231" s="756" t="e">
        <f>IF($C$2231=0,NA(),VLOOKUP($I$2211&amp;$B$2231,FLNFIX!$CN$4:$EF$103,5,0))</f>
        <v>#N/A</v>
      </c>
      <c r="H2231" s="757"/>
      <c r="I2231" s="757"/>
      <c r="J2231" s="758"/>
      <c r="K2231" s="677"/>
    </row>
    <row r="2232" ht="20.1" customHeight="1" spans="1:11">
      <c r="A2232" s="675"/>
      <c r="B2232" s="755">
        <f t="shared" si="40"/>
        <v>18</v>
      </c>
      <c r="C2232" s="755">
        <f>IFERROR(VLOOKUP(B2232,DATEWISE!$A$3:$BY$27,2,0),0)</f>
        <v>0</v>
      </c>
      <c r="D2232" s="755" t="e">
        <f>IF($C$2232=0,NA(),VLOOKUP($I$2211&amp;$B$2232,FLNFIX!$CS$4:$EF$103,2,0))</f>
        <v>#N/A</v>
      </c>
      <c r="E2232" s="755" t="e">
        <f>IF($C$2232=0,NA(),VLOOKUP($I$2211&amp;$B$2232,FLNFIX!$CS$4:$EF$103,4,0))</f>
        <v>#N/A</v>
      </c>
      <c r="F2232" s="755" t="e">
        <f>IF($C$2232=0,NA(),VLOOKUP($I$2211&amp;$B$2232,FLNFIX!$CS$4:$EF$103,3,0))</f>
        <v>#N/A</v>
      </c>
      <c r="G2232" s="756" t="e">
        <f>IF($C$2232=0,NA(),VLOOKUP($I$2211&amp;$B$2232,FLNFIX!$CS$4:$EF$103,5,0))</f>
        <v>#N/A</v>
      </c>
      <c r="H2232" s="757"/>
      <c r="I2232" s="757"/>
      <c r="J2232" s="758"/>
      <c r="K2232" s="677"/>
    </row>
    <row r="2233" ht="20.1" customHeight="1" spans="1:11">
      <c r="A2233" s="675"/>
      <c r="B2233" s="755">
        <f t="shared" si="40"/>
        <v>19</v>
      </c>
      <c r="C2233" s="755">
        <f>IFERROR(VLOOKUP(B2233,DATEWISE!$A$3:$BY$27,2,0),0)</f>
        <v>0</v>
      </c>
      <c r="D2233" s="755" t="e">
        <f>IF($C$2233=0,NA(),VLOOKUP($I$2211&amp;$B$2233,FLNFIX!$CX$4:$EF$103,2,0))</f>
        <v>#N/A</v>
      </c>
      <c r="E2233" s="755" t="e">
        <f>IF($C$2233=0,NA(),VLOOKUP($I$2211&amp;$B$2233,FLNFIX!$CX$4:$EF$103,4,0))</f>
        <v>#N/A</v>
      </c>
      <c r="F2233" s="755" t="e">
        <f>IF($C$2233=0,NA(),VLOOKUP($I$2211&amp;$B$2233,FLNFIX!$CX$4:$EF$103,3,0))</f>
        <v>#N/A</v>
      </c>
      <c r="G2233" s="756" t="e">
        <f>IF($C$2233=0,NA(),VLOOKUP($I$2211&amp;$B$2233,FLNFIX!$CX$4:$EF$103,5,0))</f>
        <v>#N/A</v>
      </c>
      <c r="H2233" s="757"/>
      <c r="I2233" s="757"/>
      <c r="J2233" s="758"/>
      <c r="K2233" s="677"/>
    </row>
    <row r="2234" ht="20.1" customHeight="1" spans="1:11">
      <c r="A2234" s="675"/>
      <c r="B2234" s="755">
        <f t="shared" si="40"/>
        <v>20</v>
      </c>
      <c r="C2234" s="755">
        <f>IFERROR(VLOOKUP(B2234,DATEWISE!$A$3:$BY$27,2,0),0)</f>
        <v>0</v>
      </c>
      <c r="D2234" s="755" t="e">
        <f>IF($C$2234=0,NA(),VLOOKUP($I$2211&amp;$B$2234,FLNFIX!$DC$4:$EF$103,2,0))</f>
        <v>#N/A</v>
      </c>
      <c r="E2234" s="755" t="e">
        <f>IF($C$2234=0,NA(),VLOOKUP($I$2211&amp;$B$2234,FLNFIX!$DC$4:$EF$103,4,0))</f>
        <v>#N/A</v>
      </c>
      <c r="F2234" s="755" t="e">
        <f>IF($C$2234=0,NA(),VLOOKUP($I$2211&amp;$B$2234,FLNFIX!$DC$4:$EF$103,3,0))</f>
        <v>#N/A</v>
      </c>
      <c r="G2234" s="756" t="e">
        <f>IF($C$2234=0,NA(),VLOOKUP($I$2211&amp;$B$2234,FLNFIX!$DC$4:$EF$103,5,0))</f>
        <v>#N/A</v>
      </c>
      <c r="H2234" s="757"/>
      <c r="I2234" s="757"/>
      <c r="J2234" s="758"/>
      <c r="K2234" s="677"/>
    </row>
    <row r="2235" ht="20.1" customHeight="1" spans="1:11">
      <c r="A2235" s="675"/>
      <c r="B2235" s="755">
        <f t="shared" si="40"/>
        <v>21</v>
      </c>
      <c r="C2235" s="755">
        <f>IFERROR(VLOOKUP(B2235,DATEWISE!$A$3:$BY$27,2,0),0)</f>
        <v>0</v>
      </c>
      <c r="D2235" s="755" t="e">
        <f>IF($C$2235=0,NA(),VLOOKUP($I$2211&amp;$B$2235,FLNFIX!$DH$4:$EF$103,2,0))</f>
        <v>#N/A</v>
      </c>
      <c r="E2235" s="755" t="e">
        <f>IF($C$2235=0,NA(),VLOOKUP($I$2211&amp;$B$2235,FLNFIX!$DH$4:$EF$103,4,0))</f>
        <v>#N/A</v>
      </c>
      <c r="F2235" s="755" t="e">
        <f>IF($C$2235=0,NA(),VLOOKUP($I$2211&amp;$B$2235,FLNFIX!$DH$4:$EF$103,3,0))</f>
        <v>#N/A</v>
      </c>
      <c r="G2235" s="756" t="e">
        <f>IF($C$2235=0,NA(),VLOOKUP($I$2211&amp;$B$2235,FLNFIX!$DH$4:$EF$103,5,0))</f>
        <v>#N/A</v>
      </c>
      <c r="H2235" s="757"/>
      <c r="I2235" s="757"/>
      <c r="J2235" s="758"/>
      <c r="K2235" s="677"/>
    </row>
    <row r="2236" ht="5.1" customHeight="1" spans="1:11">
      <c r="A2236" s="675"/>
      <c r="B2236" s="759"/>
      <c r="C2236" s="759"/>
      <c r="D2236" s="760"/>
      <c r="E2236" s="760"/>
      <c r="F2236" s="760"/>
      <c r="G2236" s="761"/>
      <c r="H2236" s="761"/>
      <c r="I2236" s="761"/>
      <c r="J2236" s="761"/>
      <c r="K2236" s="677"/>
    </row>
    <row r="2237" s="667" customFormat="1" ht="24.95" customHeight="1" spans="1:11">
      <c r="A2237" s="711"/>
      <c r="B2237" s="762" t="s">
        <v>431</v>
      </c>
      <c r="C2237" s="763"/>
      <c r="D2237" s="763"/>
      <c r="E2237" s="763"/>
      <c r="F2237" s="763"/>
      <c r="G2237" s="763"/>
      <c r="H2237" s="763"/>
      <c r="I2237" s="763"/>
      <c r="J2237" s="764"/>
      <c r="K2237" s="713"/>
    </row>
    <row r="2238" spans="1:11">
      <c r="A2238" s="675"/>
      <c r="B2238" s="765"/>
      <c r="C2238" s="686"/>
      <c r="D2238" s="686"/>
      <c r="E2238" s="686"/>
      <c r="F2238" s="686"/>
      <c r="G2238" s="686"/>
      <c r="H2238" s="686"/>
      <c r="I2238" s="686"/>
      <c r="J2238" s="766"/>
      <c r="K2238" s="677"/>
    </row>
    <row r="2239" spans="1:11">
      <c r="A2239" s="675"/>
      <c r="B2239" s="765"/>
      <c r="C2239" s="686"/>
      <c r="D2239" s="686"/>
      <c r="E2239" s="686"/>
      <c r="F2239" s="686"/>
      <c r="G2239" s="686"/>
      <c r="H2239" s="686"/>
      <c r="I2239" s="686"/>
      <c r="J2239" s="766"/>
      <c r="K2239" s="677"/>
    </row>
    <row r="2240" spans="1:11">
      <c r="A2240" s="675"/>
      <c r="B2240" s="765"/>
      <c r="C2240" s="686"/>
      <c r="D2240" s="686"/>
      <c r="E2240" s="686"/>
      <c r="F2240" s="686"/>
      <c r="G2240" s="686"/>
      <c r="H2240" s="686"/>
      <c r="I2240" s="686"/>
      <c r="J2240" s="766"/>
      <c r="K2240" s="677"/>
    </row>
    <row r="2241" spans="1:11">
      <c r="A2241" s="675"/>
      <c r="B2241" s="765"/>
      <c r="C2241" s="686"/>
      <c r="D2241" s="686"/>
      <c r="E2241" s="686"/>
      <c r="F2241" s="686"/>
      <c r="G2241" s="686"/>
      <c r="H2241" s="686"/>
      <c r="I2241" s="686"/>
      <c r="J2241" s="766"/>
      <c r="K2241" s="677"/>
    </row>
    <row r="2242" spans="1:11">
      <c r="A2242" s="675"/>
      <c r="B2242" s="765"/>
      <c r="C2242" s="686"/>
      <c r="D2242" s="686"/>
      <c r="E2242" s="686"/>
      <c r="F2242" s="686"/>
      <c r="G2242" s="686"/>
      <c r="H2242" s="686"/>
      <c r="I2242" s="686"/>
      <c r="J2242" s="766"/>
      <c r="K2242" s="677"/>
    </row>
    <row r="2243" spans="1:11">
      <c r="A2243" s="675"/>
      <c r="B2243" s="765"/>
      <c r="C2243" s="686"/>
      <c r="D2243" s="686"/>
      <c r="E2243" s="686"/>
      <c r="F2243" s="686"/>
      <c r="G2243" s="686"/>
      <c r="H2243" s="686"/>
      <c r="I2243" s="686"/>
      <c r="J2243" s="766"/>
      <c r="K2243" s="677"/>
    </row>
    <row r="2244" spans="1:11">
      <c r="A2244" s="675"/>
      <c r="B2244" s="765"/>
      <c r="C2244" s="686"/>
      <c r="D2244" s="686"/>
      <c r="E2244" s="686"/>
      <c r="F2244" s="686"/>
      <c r="G2244" s="686"/>
      <c r="H2244" s="686"/>
      <c r="I2244" s="686"/>
      <c r="J2244" s="766"/>
      <c r="K2244" s="677"/>
    </row>
    <row r="2245" spans="1:11">
      <c r="A2245" s="675"/>
      <c r="B2245" s="765"/>
      <c r="C2245" s="686"/>
      <c r="D2245" s="686"/>
      <c r="E2245" s="686"/>
      <c r="F2245" s="686"/>
      <c r="G2245" s="686"/>
      <c r="H2245" s="686"/>
      <c r="I2245" s="686"/>
      <c r="J2245" s="766"/>
      <c r="K2245" s="677"/>
    </row>
    <row r="2246" spans="1:11">
      <c r="A2246" s="675"/>
      <c r="B2246" s="765"/>
      <c r="C2246" s="686"/>
      <c r="D2246" s="686"/>
      <c r="E2246" s="686"/>
      <c r="F2246" s="686"/>
      <c r="G2246" s="686"/>
      <c r="H2246" s="686"/>
      <c r="I2246" s="686"/>
      <c r="J2246" s="766"/>
      <c r="K2246" s="677"/>
    </row>
    <row r="2247" spans="1:11">
      <c r="A2247" s="675"/>
      <c r="B2247" s="767"/>
      <c r="C2247" s="768"/>
      <c r="D2247" s="768"/>
      <c r="E2247" s="768"/>
      <c r="F2247" s="768"/>
      <c r="G2247" s="768"/>
      <c r="H2247" s="768"/>
      <c r="I2247" s="768"/>
      <c r="J2247" s="769"/>
      <c r="K2247" s="677"/>
    </row>
    <row r="2248" ht="5.1" customHeight="1" spans="1:11">
      <c r="A2248" s="675"/>
      <c r="B2248" s="686"/>
      <c r="C2248" s="686"/>
      <c r="D2248" s="686"/>
      <c r="E2248" s="686"/>
      <c r="F2248" s="686"/>
      <c r="G2248" s="686"/>
      <c r="H2248" s="686"/>
      <c r="I2248" s="686"/>
      <c r="J2248" s="686"/>
      <c r="K2248" s="677"/>
    </row>
    <row r="2249" spans="1:11">
      <c r="A2249" s="675"/>
      <c r="B2249" s="770" t="s">
        <v>432</v>
      </c>
      <c r="C2249" s="770"/>
      <c r="D2249" s="770"/>
      <c r="E2249" s="770"/>
      <c r="F2249" s="770"/>
      <c r="G2249" s="770"/>
      <c r="H2249" s="770"/>
      <c r="I2249" s="770"/>
      <c r="J2249" s="770"/>
      <c r="K2249" s="677"/>
    </row>
    <row r="2250" spans="1:11">
      <c r="A2250" s="675"/>
      <c r="B2250" s="771"/>
      <c r="C2250" s="771"/>
      <c r="D2250" s="771"/>
      <c r="E2250" s="771"/>
      <c r="F2250" s="771"/>
      <c r="G2250" s="771"/>
      <c r="H2250" s="771"/>
      <c r="I2250" s="771"/>
      <c r="J2250" s="771"/>
      <c r="K2250" s="677"/>
    </row>
    <row r="2251" spans="1:11">
      <c r="A2251" s="675"/>
      <c r="B2251" s="771"/>
      <c r="C2251" s="771"/>
      <c r="D2251" s="771"/>
      <c r="E2251" s="771"/>
      <c r="F2251" s="771"/>
      <c r="G2251" s="771"/>
      <c r="H2251" s="771"/>
      <c r="I2251" s="771"/>
      <c r="J2251" s="771"/>
      <c r="K2251" s="677"/>
    </row>
    <row r="2252" spans="1:11">
      <c r="A2252" s="675"/>
      <c r="B2252" s="771"/>
      <c r="C2252" s="771"/>
      <c r="D2252" s="771"/>
      <c r="E2252" s="771"/>
      <c r="F2252" s="771"/>
      <c r="G2252" s="771"/>
      <c r="H2252" s="771"/>
      <c r="I2252" s="771"/>
      <c r="J2252" s="771"/>
      <c r="K2252" s="677"/>
    </row>
    <row r="2253" spans="1:11">
      <c r="A2253" s="675"/>
      <c r="B2253" s="686"/>
      <c r="C2253" s="686"/>
      <c r="D2253" s="686"/>
      <c r="E2253" s="686"/>
      <c r="F2253" s="686"/>
      <c r="G2253" s="686"/>
      <c r="H2253" s="686"/>
      <c r="I2253" s="686"/>
      <c r="J2253" s="686"/>
      <c r="K2253" s="677"/>
    </row>
    <row r="2254" spans="1:11">
      <c r="A2254" s="675"/>
      <c r="B2254" s="686"/>
      <c r="C2254" s="729" t="s">
        <v>433</v>
      </c>
      <c r="D2254" s="729"/>
      <c r="E2254" s="686"/>
      <c r="F2254" s="686"/>
      <c r="G2254" s="729" t="s">
        <v>434</v>
      </c>
      <c r="H2254" s="729"/>
      <c r="I2254" s="729"/>
      <c r="J2254" s="729"/>
      <c r="K2254" s="677"/>
    </row>
    <row r="2255" ht="16.35" spans="1:11">
      <c r="A2255" s="725"/>
      <c r="B2255" s="726"/>
      <c r="C2255" s="732" t="str">
        <f>"("&amp;PROPER(ENTRY!$D$19)&amp;")"</f>
        <v>(Indrajeet)</v>
      </c>
      <c r="D2255" s="732"/>
      <c r="E2255" s="726"/>
      <c r="F2255" s="726"/>
      <c r="G2255" s="732" t="str">
        <f>"("&amp;PROPER(ENTRY!$D$12)&amp;")"</f>
        <v>(Shambhu Dayal Meena)</v>
      </c>
      <c r="H2255" s="732"/>
      <c r="I2255" s="732"/>
      <c r="J2255" s="732"/>
      <c r="K2255" s="728"/>
    </row>
    <row r="2256" ht="24.6" spans="1:11">
      <c r="B2256" s="734"/>
      <c r="C2256" s="734"/>
      <c r="D2256" s="669" t="str">
        <f>ENTRY!$D$3</f>
        <v>MUNICIPAL CORPORATION OF DELHI</v>
      </c>
      <c r="E2256" s="669"/>
      <c r="F2256" s="669"/>
      <c r="G2256" s="669"/>
      <c r="H2256" s="734"/>
      <c r="I2256" s="669"/>
      <c r="J2256" s="669"/>
    </row>
    <row r="2257" ht="20.4" spans="1:11">
      <c r="B2257" s="735"/>
      <c r="C2257" s="735"/>
      <c r="D2257" s="670" t="str">
        <f>ENTRY!$D$4</f>
        <v>EDUCATION DEPARTMENT</v>
      </c>
      <c r="E2257" s="670"/>
      <c r="F2257" s="670"/>
      <c r="G2257" s="670"/>
      <c r="H2257" s="735"/>
      <c r="I2257" s="669"/>
      <c r="J2257" s="669"/>
    </row>
    <row r="2258" ht="22.8" spans="1:11">
      <c r="B2258" s="736"/>
      <c r="C2258" s="736"/>
      <c r="D2258" s="664" t="s">
        <v>417</v>
      </c>
      <c r="E2258" s="664"/>
      <c r="F2258" s="664"/>
      <c r="G2258" s="664"/>
      <c r="H2258" s="736"/>
      <c r="I2258" s="669"/>
      <c r="J2258" s="669"/>
    </row>
    <row r="2259" ht="22.8" spans="1:11">
      <c r="B2259" s="736"/>
      <c r="C2259" s="736"/>
      <c r="D2259" s="664" t="s">
        <v>418</v>
      </c>
      <c r="E2259" s="664"/>
      <c r="F2259" s="664"/>
      <c r="G2259" s="664"/>
      <c r="H2259" s="736"/>
      <c r="I2259" s="669"/>
      <c r="J2259" s="669"/>
    </row>
    <row r="2260" ht="24.95" customHeight="1" spans="1:11">
      <c r="B2260" s="735"/>
      <c r="C2260" s="735"/>
      <c r="D2260" s="737" t="str">
        <f>"SESSION : "&amp;ENTRY!$D$11</f>
        <v>SESSION : 2026-27</v>
      </c>
      <c r="E2260" s="737"/>
      <c r="F2260" s="737"/>
      <c r="G2260" s="737"/>
      <c r="H2260" s="735"/>
      <c r="I2260" s="738"/>
      <c r="J2260" s="738"/>
    </row>
    <row r="2261" ht="3.75" customHeight="1" spans="1:11">
      <c r="A2261" s="672"/>
      <c r="B2261" s="739"/>
      <c r="C2261" s="739"/>
      <c r="D2261" s="739"/>
      <c r="E2261" s="739"/>
      <c r="F2261" s="739"/>
      <c r="G2261" s="739"/>
      <c r="H2261" s="739"/>
      <c r="I2261" s="739"/>
      <c r="J2261" s="739"/>
      <c r="K2261" s="674"/>
    </row>
    <row r="2262" ht="21.95" customHeight="1" spans="1:11">
      <c r="A2262" s="675"/>
      <c r="B2262" s="676" t="s">
        <v>419</v>
      </c>
      <c r="C2262" s="676"/>
      <c r="D2262" s="676" t="str">
        <f>ENTRY!$D$6</f>
        <v>MCP NITHARI NO 1 BOYS</v>
      </c>
      <c r="E2262" s="676"/>
      <c r="F2262" s="676"/>
      <c r="G2262" s="676"/>
      <c r="H2262" s="676"/>
      <c r="I2262" s="676"/>
      <c r="J2262" s="676"/>
      <c r="K2262" s="677"/>
    </row>
    <row r="2263" ht="21.95" customHeight="1" spans="1:11">
      <c r="A2263" s="675"/>
      <c r="B2263" s="676" t="s">
        <v>420</v>
      </c>
      <c r="C2263" s="676"/>
      <c r="D2263" s="740">
        <f>IFERROR(VLOOKUP($I$2266,STUDENT!$A$2:$BP$101,5,0),"")</f>
        <v>0</v>
      </c>
      <c r="E2263" s="740"/>
      <c r="F2263" s="740"/>
      <c r="G2263" s="740"/>
      <c r="H2263" s="740"/>
      <c r="I2263" s="740"/>
      <c r="J2263" s="740"/>
      <c r="K2263" s="677"/>
    </row>
    <row r="2264" ht="21.95" customHeight="1" spans="1:11">
      <c r="A2264" s="675"/>
      <c r="B2264" s="676" t="s">
        <v>421</v>
      </c>
      <c r="C2264" s="676"/>
      <c r="D2264" s="740">
        <f>IFERROR(VLOOKUP($I$2266,STUDENT!$A$2:$BP$101,8,0),"")</f>
        <v>0</v>
      </c>
      <c r="E2264" s="740"/>
      <c r="F2264" s="740"/>
      <c r="G2264" s="740"/>
      <c r="H2264" s="740"/>
      <c r="I2264" s="740"/>
      <c r="J2264" s="740"/>
      <c r="K2264" s="677"/>
    </row>
    <row r="2265" ht="21.95" customHeight="1" spans="1:11">
      <c r="A2265" s="675"/>
      <c r="B2265" s="676" t="s">
        <v>422</v>
      </c>
      <c r="C2265" s="676"/>
      <c r="D2265" s="740">
        <f>IFERROR(VLOOKUP($I$2266,STUDENT!$A$2:$BP$101,6,0),"")</f>
        <v>0</v>
      </c>
      <c r="E2265" s="740"/>
      <c r="F2265" s="740"/>
      <c r="G2265" s="740"/>
      <c r="H2265" s="740"/>
      <c r="I2265" s="740"/>
      <c r="J2265" s="740"/>
      <c r="K2265" s="677"/>
    </row>
    <row r="2266" ht="21.95" customHeight="1" spans="1:11">
      <c r="A2266" s="675"/>
      <c r="B2266" s="676" t="s">
        <v>423</v>
      </c>
      <c r="C2266" s="676"/>
      <c r="D2266" s="741" t="str">
        <f>IFERROR(VLOOKUP($I$2266,STUDENT!$A$2:$BP$101,59,0),"")</f>
        <v/>
      </c>
      <c r="E2266" s="742" t="s">
        <v>424</v>
      </c>
      <c r="F2266" s="704" t="str">
        <f>IFERROR(VLOOKUP($I$2266,STUDENT!$A$2:$BP$101,2,0),"")</f>
        <v>III-A</v>
      </c>
      <c r="G2266" s="742" t="s">
        <v>425</v>
      </c>
      <c r="H2266" s="743"/>
      <c r="I2266" s="733">
        <f>I2211+1</f>
        <v>42</v>
      </c>
      <c r="J2266" s="683"/>
      <c r="K2266" s="677"/>
    </row>
    <row r="2267" ht="5.1" customHeight="1" spans="1:11">
      <c r="A2267" s="675"/>
      <c r="B2267" s="745"/>
      <c r="C2267" s="745"/>
      <c r="D2267" s="746"/>
      <c r="E2267" s="747"/>
      <c r="F2267" s="748"/>
      <c r="G2267" s="747"/>
      <c r="H2267" s="686"/>
      <c r="I2267" s="686"/>
      <c r="J2267" s="686"/>
      <c r="K2267" s="677"/>
    </row>
    <row r="2268" s="664" customFormat="1" ht="32.1" customHeight="1" spans="1:11">
      <c r="A2268" s="688"/>
      <c r="B2268" s="749" t="s">
        <v>426</v>
      </c>
      <c r="C2268" s="750"/>
      <c r="D2268" s="750"/>
      <c r="E2268" s="750"/>
      <c r="F2268" s="750"/>
      <c r="G2268" s="750"/>
      <c r="H2268" s="750"/>
      <c r="I2268" s="750"/>
      <c r="J2268" s="751"/>
      <c r="K2268" s="690"/>
    </row>
    <row r="2269" ht="51.6" spans="1:11">
      <c r="A2269" s="675"/>
      <c r="B2269" s="752">
        <v>21</v>
      </c>
      <c r="C2269" s="753" t="s">
        <v>427</v>
      </c>
      <c r="D2269" s="754" t="s">
        <v>428</v>
      </c>
      <c r="E2269" s="754" t="s">
        <v>429</v>
      </c>
      <c r="F2269" s="754" t="s">
        <v>430</v>
      </c>
      <c r="G2269" s="753" t="s">
        <v>390</v>
      </c>
      <c r="H2269" s="714"/>
      <c r="I2269" s="714"/>
      <c r="J2269" s="714"/>
      <c r="K2269" s="677"/>
    </row>
    <row r="2270" ht="20.1" customHeight="1" spans="1:11">
      <c r="A2270" s="675"/>
      <c r="B2270" s="755">
        <v>1</v>
      </c>
      <c r="C2270" s="755" t="str">
        <f>IFERROR(VLOOKUP(B2270,DATEWISE!$A$3:$BY$27,2,0),0)</f>
        <v>30.04.2026</v>
      </c>
      <c r="D2270" s="755" t="str">
        <f>IF($C$2270=0,NA(),VLOOKUP($I$2266&amp;$B$2270,FLNFIX!$L$4:$EF$103,2,0))</f>
        <v>-</v>
      </c>
      <c r="E2270" s="755" t="str">
        <f>IF($C$2270=0,NA(),VLOOKUP($I$2266&amp;$B$2270,FLNFIX!$L$4:$EF$103,4,0))</f>
        <v>-</v>
      </c>
      <c r="F2270" s="755" t="str">
        <f>IF($C$2270=0,NA(),VLOOKUP($I$2266&amp;$B$2270,FLNFIX!$L$4:$EF$103,3,0))</f>
        <v>-</v>
      </c>
      <c r="G2270" s="756">
        <f>IF($C$2270=0,NA(),VLOOKUP($I$2266&amp;$B$2270,FLNFIX!$L$4:$EF$103,5,0))</f>
        <v>0</v>
      </c>
      <c r="H2270" s="757"/>
      <c r="I2270" s="757"/>
      <c r="J2270" s="758"/>
      <c r="K2270" s="677"/>
    </row>
    <row r="2271" ht="20.1" customHeight="1" spans="1:11">
      <c r="A2271" s="675"/>
      <c r="B2271" s="755">
        <f t="shared" ref="B2271:B2290" si="41">IF(B2270=0,0,IF(B2270&lt;$B$2269,B2270+1,""))</f>
        <v>2</v>
      </c>
      <c r="C2271" s="755" t="str">
        <f>IFERROR(VLOOKUP(B2271,DATEWISE!$A$3:$BY$27,2,0),0)</f>
        <v>08.05.2026</v>
      </c>
      <c r="D2271" s="755" t="str">
        <f>IF($C$2271=0,NA(),VLOOKUP($I$2266&amp;$B$2271,FLNFIX!$Q$4:$EF$103,2,0))</f>
        <v>-</v>
      </c>
      <c r="E2271" s="755" t="str">
        <f>IF($C$2271=0,NA(),VLOOKUP($I$2266&amp;$B$2271,FLNFIX!$Q$4:$EF$103,4,0))</f>
        <v>-</v>
      </c>
      <c r="F2271" s="755" t="str">
        <f>IF($C$2271=0,NA(),VLOOKUP($I$2266&amp;$B$2271,FLNFIX!$Q$4:$EF$103,3,0))</f>
        <v>-</v>
      </c>
      <c r="G2271" s="756" t="str">
        <f>IF($C$2271=0,NA(),VLOOKUP($I$2266&amp;$B$2271,FLNFIX!$Q$4:$EF$103,5,0))</f>
        <v>-</v>
      </c>
      <c r="H2271" s="757"/>
      <c r="I2271" s="757"/>
      <c r="J2271" s="758"/>
      <c r="K2271" s="677"/>
    </row>
    <row r="2272" ht="20.1" customHeight="1" spans="1:11">
      <c r="A2272" s="675"/>
      <c r="B2272" s="755">
        <f t="shared" si="41"/>
        <v>3</v>
      </c>
      <c r="C2272" s="755" t="str">
        <f>IFERROR(VLOOKUP(B2272,DATEWISE!$A$3:$BY$27,2,0),0)</f>
        <v>15.07.2026</v>
      </c>
      <c r="D2272" s="755" t="str">
        <f>IF($C$2272=0,NA(),VLOOKUP($I$2266&amp;$B$2272,FLNFIX!$V$4:$EF$103,2,0))</f>
        <v>-</v>
      </c>
      <c r="E2272" s="755" t="str">
        <f>IF($C$2272=0,NA(),VLOOKUP($I$2266&amp;$B$2272,FLNFIX!$V$4:$EF$103,4,0))</f>
        <v>-</v>
      </c>
      <c r="F2272" s="755" t="str">
        <f>IF($C$2272=0,NA(),VLOOKUP($I$2266&amp;$B$2272,FLNFIX!$V$4:$EF$103,3,0))</f>
        <v>-</v>
      </c>
      <c r="G2272" s="756" t="str">
        <f>IF($C$2272=0,NA(),VLOOKUP($I$2266&amp;$B$2272,FLNFIX!$V$4:$EF$103,5,0))</f>
        <v>-</v>
      </c>
      <c r="H2272" s="757"/>
      <c r="I2272" s="757"/>
      <c r="J2272" s="758"/>
      <c r="K2272" s="677"/>
    </row>
    <row r="2273" ht="20.1" customHeight="1" spans="1:11">
      <c r="A2273" s="675"/>
      <c r="B2273" s="755">
        <f t="shared" si="41"/>
        <v>4</v>
      </c>
      <c r="C2273" s="755" t="str">
        <f>IFERROR(VLOOKUP(B2273,DATEWISE!$A$3:$BY$27,2,0),0)</f>
        <v>31.07.2026</v>
      </c>
      <c r="D2273" s="755" t="str">
        <f>IF($C$2273=0,NA(),VLOOKUP($I$2266&amp;$B$2273,FLNFIX!$AA$4:$EF$103,2,0))</f>
        <v>-</v>
      </c>
      <c r="E2273" s="755" t="str">
        <f>IF($C$2273=0,NA(),VLOOKUP($I$2266&amp;$B$2273,FLNFIX!$AA$4:$EF$103,4,0))</f>
        <v>-</v>
      </c>
      <c r="F2273" s="755" t="str">
        <f>IF($C$2273=0,NA(),VLOOKUP($I$2266&amp;$B$2273,FLNFIX!$AA$4:$EF$103,3,0))</f>
        <v>-</v>
      </c>
      <c r="G2273" s="756" t="str">
        <f>IF($C$2273=0,NA(),VLOOKUP($I$2266&amp;$B$2273,FLNFIX!$AA$4:$EF$103,5,0))</f>
        <v>-</v>
      </c>
      <c r="H2273" s="757"/>
      <c r="I2273" s="757"/>
      <c r="J2273" s="758"/>
      <c r="K2273" s="677"/>
    </row>
    <row r="2274" ht="20.1" customHeight="1" spans="1:11">
      <c r="A2274" s="675"/>
      <c r="B2274" s="755">
        <f t="shared" si="41"/>
        <v>5</v>
      </c>
      <c r="C2274" s="755" t="str">
        <f>IFERROR(VLOOKUP(B2274,DATEWISE!$A$3:$BY$27,2,0),0)</f>
        <v>17.08.2026</v>
      </c>
      <c r="D2274" s="755" t="str">
        <f>IF($C$2274=0,NA(),VLOOKUP($I$2266&amp;$B$2274,FLNFIX!$AF$4:$EF$103,2,0))</f>
        <v>-</v>
      </c>
      <c r="E2274" s="755" t="str">
        <f>IF($C$2274=0,NA(),VLOOKUP($I$2266&amp;$B$2274,FLNFIX!$AF$4:$EF$103,4,0))</f>
        <v>-</v>
      </c>
      <c r="F2274" s="755" t="str">
        <f>IF($C$2274=0,NA(),VLOOKUP($I$2266&amp;$B$2274,FLNFIX!$AF$4:$EF$103,3,0))</f>
        <v>-</v>
      </c>
      <c r="G2274" s="756" t="str">
        <f>IF($C$2274=0,NA(),VLOOKUP($I$2266&amp;$B$2274,FLNFIX!$AF$4:$EF$103,5,0))</f>
        <v>-</v>
      </c>
      <c r="H2274" s="757"/>
      <c r="I2274" s="757"/>
      <c r="J2274" s="758"/>
      <c r="K2274" s="677"/>
    </row>
    <row r="2275" ht="20.1" customHeight="1" spans="1:11">
      <c r="A2275" s="675"/>
      <c r="B2275" s="755">
        <f t="shared" si="41"/>
        <v>6</v>
      </c>
      <c r="C2275" s="755" t="str">
        <f>IFERROR(VLOOKUP(B2275,DATEWISE!$A$3:$BY$27,2,0),0)</f>
        <v>31.08.2026</v>
      </c>
      <c r="D2275" s="755" t="str">
        <f>IF($C$2275=0,NA(),VLOOKUP($I$2266&amp;$B$2275,FLNFIX!$AK$4:$EF$103,2,0))</f>
        <v>-</v>
      </c>
      <c r="E2275" s="755" t="str">
        <f>IF($C$2275=0,NA(),VLOOKUP($I$2266&amp;$B$2275,FLNFIX!$AK$4:$EF$103,4,0))</f>
        <v>-</v>
      </c>
      <c r="F2275" s="755" t="str">
        <f>IF($C$2275=0,NA(),VLOOKUP($I$2266&amp;$B$2275,FLNFIX!$AK$4:$EF$103,3,0))</f>
        <v>-</v>
      </c>
      <c r="G2275" s="756">
        <f>IF($C$2275=0,NA(),VLOOKUP($I$2266&amp;$B$2275,FLNFIX!$AK$4:$EF$103,5,0))</f>
        <v>0</v>
      </c>
      <c r="H2275" s="757"/>
      <c r="I2275" s="757"/>
      <c r="J2275" s="758"/>
      <c r="K2275" s="677"/>
    </row>
    <row r="2276" ht="20.1" customHeight="1" spans="1:11">
      <c r="A2276" s="675"/>
      <c r="B2276" s="755">
        <f t="shared" si="41"/>
        <v>7</v>
      </c>
      <c r="C2276" s="755">
        <f>IFERROR(VLOOKUP(B2276,DATEWISE!$A$3:$BY$27,2,0),0)</f>
        <v>0</v>
      </c>
      <c r="D2276" s="755" t="e">
        <f>IF($C$2276=0,NA(),VLOOKUP($I$2266&amp;$B$2276,FLNFIX!$AP$4:$EF$103,2,0))</f>
        <v>#N/A</v>
      </c>
      <c r="E2276" s="755" t="e">
        <f>IF($C$2276=0,NA(),VLOOKUP($I$2266&amp;$B$2276,FLNFIX!$AP$4:$EF$103,4,0))</f>
        <v>#N/A</v>
      </c>
      <c r="F2276" s="755" t="e">
        <f>IF($C$2276=0,NA(),VLOOKUP($I$2266&amp;$B$2276,FLNFIX!$AP$4:$EF$103,3,0))</f>
        <v>#N/A</v>
      </c>
      <c r="G2276" s="756" t="e">
        <f>IF($C$2276=0,NA(),VLOOKUP($I$2266&amp;$B$2276,FLNFIX!$AP$4:$EF$103,5,0))</f>
        <v>#N/A</v>
      </c>
      <c r="H2276" s="757"/>
      <c r="I2276" s="757"/>
      <c r="J2276" s="758"/>
      <c r="K2276" s="677"/>
    </row>
    <row r="2277" ht="20.1" customHeight="1" spans="1:11">
      <c r="A2277" s="675"/>
      <c r="B2277" s="755">
        <f t="shared" si="41"/>
        <v>8</v>
      </c>
      <c r="C2277" s="755">
        <f>IFERROR(VLOOKUP(B2277,DATEWISE!$A$3:$BY$27,2,0),0)</f>
        <v>0</v>
      </c>
      <c r="D2277" s="755" t="e">
        <f>IF($C$2277=0,NA(),VLOOKUP($I$2266&amp;$B$2277,FLNFIX!$AU$4:$EF$103,2,0))</f>
        <v>#N/A</v>
      </c>
      <c r="E2277" s="755" t="e">
        <f>IF($C$2277=0,NA(),VLOOKUP($I$2266&amp;$B$2277,FLNFIX!$AU$4:$EF$103,4,0))</f>
        <v>#N/A</v>
      </c>
      <c r="F2277" s="755" t="e">
        <f>IF($C$2277=0,NA(),VLOOKUP($I$2266&amp;$B$2277,FLNFIX!$AU$4:$EF$103,3,0))</f>
        <v>#N/A</v>
      </c>
      <c r="G2277" s="756" t="e">
        <f>IF($C$2277=0,NA(),VLOOKUP($I$2266&amp;$B$2277,FLNFIX!$AU$4:$EF$103,5,0))</f>
        <v>#N/A</v>
      </c>
      <c r="H2277" s="757"/>
      <c r="I2277" s="757"/>
      <c r="J2277" s="758"/>
      <c r="K2277" s="677"/>
    </row>
    <row r="2278" ht="20.1" customHeight="1" spans="1:11">
      <c r="A2278" s="675"/>
      <c r="B2278" s="755">
        <f t="shared" si="41"/>
        <v>9</v>
      </c>
      <c r="C2278" s="755">
        <f>IFERROR(VLOOKUP(B2278,DATEWISE!$A$3:$BY$27,2,0),0)</f>
        <v>0</v>
      </c>
      <c r="D2278" s="755" t="e">
        <f>IF($C$2278=0,NA(),VLOOKUP($I$2266&amp;$B$2278,FLNFIX!$AZ$4:$EF$103,2,0))</f>
        <v>#N/A</v>
      </c>
      <c r="E2278" s="755" t="e">
        <f>IF($C$2278=0,NA(),VLOOKUP($I$2266&amp;$B$2278,FLNFIX!$AZ$4:$EF$103,4,0))</f>
        <v>#N/A</v>
      </c>
      <c r="F2278" s="755" t="e">
        <f>IF($C$2278=0,NA(),VLOOKUP($I$2266&amp;$B$2278,FLNFIX!$AZ$4:$EF$103,3,0))</f>
        <v>#N/A</v>
      </c>
      <c r="G2278" s="756" t="e">
        <f>IF($C$2278=0,NA(),VLOOKUP($I$2266&amp;$B$2278,FLNFIX!$AZ$4:$EF$103,5,0))</f>
        <v>#N/A</v>
      </c>
      <c r="H2278" s="757"/>
      <c r="I2278" s="757"/>
      <c r="J2278" s="758"/>
      <c r="K2278" s="677"/>
    </row>
    <row r="2279" ht="20.1" customHeight="1" spans="1:11">
      <c r="A2279" s="675"/>
      <c r="B2279" s="755">
        <f t="shared" si="41"/>
        <v>10</v>
      </c>
      <c r="C2279" s="755">
        <f>IFERROR(VLOOKUP(B2279,DATEWISE!$A$3:$BY$27,2,0),0)</f>
        <v>0</v>
      </c>
      <c r="D2279" s="755" t="e">
        <f>IF($C$2279=0,NA(),VLOOKUP($I$2266&amp;$B$2279,FLNFIX!$BE$4:$EF$103,2,0))</f>
        <v>#N/A</v>
      </c>
      <c r="E2279" s="755" t="e">
        <f>IF($C$2279=0,NA(),VLOOKUP($I$2266&amp;$B$2279,FLNFIX!$BE$4:$EF$103,4,0))</f>
        <v>#N/A</v>
      </c>
      <c r="F2279" s="755" t="e">
        <f>IF($C$2279=0,NA(),VLOOKUP($I$2266&amp;$B$2279,FLNFIX!$BE$4:$EF$103,3,0))</f>
        <v>#N/A</v>
      </c>
      <c r="G2279" s="756" t="e">
        <f>IF($C$2279=0,NA(),VLOOKUP($I$2266&amp;$B$2279,FLNFIX!$BE$4:$EF$103,5,0))</f>
        <v>#N/A</v>
      </c>
      <c r="H2279" s="757"/>
      <c r="I2279" s="757"/>
      <c r="J2279" s="758"/>
      <c r="K2279" s="677"/>
    </row>
    <row r="2280" ht="20.1" customHeight="1" spans="1:11">
      <c r="A2280" s="675"/>
      <c r="B2280" s="755">
        <f t="shared" si="41"/>
        <v>11</v>
      </c>
      <c r="C2280" s="755">
        <f>IFERROR(VLOOKUP(B2280,DATEWISE!$A$3:$BY$27,2,0),0)</f>
        <v>0</v>
      </c>
      <c r="D2280" s="755" t="e">
        <f>IF($C$2280=0,NA(),VLOOKUP($I$2266&amp;$B$2280,FLNFIX!$BJ$4:$EF$103,2,0))</f>
        <v>#N/A</v>
      </c>
      <c r="E2280" s="755" t="e">
        <f>IF($C$2280=0,NA(),VLOOKUP($I$2266&amp;$B$2280,FLNFIX!$BJ$4:$EF$103,4,0))</f>
        <v>#N/A</v>
      </c>
      <c r="F2280" s="755" t="e">
        <f>IF($C$2280=0,NA(),VLOOKUP($I$2266&amp;$B$2280,FLNFIX!$BJ$4:$EF$103,3,0))</f>
        <v>#N/A</v>
      </c>
      <c r="G2280" s="756" t="e">
        <f>IF($C$2280=0,NA(),VLOOKUP($I$2266&amp;$B$2280,FLNFIX!$BJ$4:$EF$103,5,0))</f>
        <v>#N/A</v>
      </c>
      <c r="H2280" s="757"/>
      <c r="I2280" s="757"/>
      <c r="J2280" s="758"/>
      <c r="K2280" s="677"/>
    </row>
    <row r="2281" ht="20.1" customHeight="1" spans="1:11">
      <c r="A2281" s="675"/>
      <c r="B2281" s="755">
        <f t="shared" si="41"/>
        <v>12</v>
      </c>
      <c r="C2281" s="755">
        <f>IFERROR(VLOOKUP(B2281,DATEWISE!$A$3:$BY$27,2,0),0)</f>
        <v>0</v>
      </c>
      <c r="D2281" s="755" t="e">
        <f>IF($C$2281=0,NA(),VLOOKUP($I$2266&amp;$B$2281,FLNFIX!$BO$4:$EF$103,2,0))</f>
        <v>#N/A</v>
      </c>
      <c r="E2281" s="755" t="e">
        <f>IF($C$2281=0,NA(),VLOOKUP($I$2266&amp;$B$2281,FLNFIX!$BO$4:$EF$103,4,0))</f>
        <v>#N/A</v>
      </c>
      <c r="F2281" s="755" t="e">
        <f>IF($C$2281=0,NA(),VLOOKUP($I$2266&amp;$B$2281,FLNFIX!$BO$4:$EF$103,3,0))</f>
        <v>#N/A</v>
      </c>
      <c r="G2281" s="756" t="e">
        <f>IF($C$2281=0,NA(),VLOOKUP($I$2266&amp;$B$2281,FLNFIX!$BO$4:$EF$103,5,0))</f>
        <v>#N/A</v>
      </c>
      <c r="H2281" s="757"/>
      <c r="I2281" s="757"/>
      <c r="J2281" s="758"/>
      <c r="K2281" s="677"/>
    </row>
    <row r="2282" ht="20.1" customHeight="1" spans="1:11">
      <c r="A2282" s="675"/>
      <c r="B2282" s="755">
        <f t="shared" si="41"/>
        <v>13</v>
      </c>
      <c r="C2282" s="755">
        <f>IFERROR(VLOOKUP(B2282,DATEWISE!$A$3:$BY$27,2,0),0)</f>
        <v>0</v>
      </c>
      <c r="D2282" s="755" t="e">
        <f>IF($C$2282=0,NA(),VLOOKUP($I$2266&amp;$B$2282,FLNFIX!$BT$4:$EF$103,2,0))</f>
        <v>#N/A</v>
      </c>
      <c r="E2282" s="755" t="e">
        <f>IF($C$2282=0,NA(),VLOOKUP($I$2266&amp;$B$2282,FLNFIX!$BT$4:$EF$103,4,0))</f>
        <v>#N/A</v>
      </c>
      <c r="F2282" s="755" t="e">
        <f>IF($C$2282=0,NA(),VLOOKUP($I$2266&amp;$B$2282,FLNFIX!$BT$4:$EF$103,3,0))</f>
        <v>#N/A</v>
      </c>
      <c r="G2282" s="756" t="e">
        <f>IF($C$2282=0,NA(),VLOOKUP($I$2266&amp;$B$2282,FLNFIX!$BT$4:$EF$103,5,0))</f>
        <v>#N/A</v>
      </c>
      <c r="H2282" s="757"/>
      <c r="I2282" s="757"/>
      <c r="J2282" s="758"/>
      <c r="K2282" s="677"/>
    </row>
    <row r="2283" ht="20.1" customHeight="1" spans="1:11">
      <c r="A2283" s="675"/>
      <c r="B2283" s="755">
        <f t="shared" si="41"/>
        <v>14</v>
      </c>
      <c r="C2283" s="755">
        <f>IFERROR(VLOOKUP(B2283,DATEWISE!$A$3:$BY$27,2,0),0)</f>
        <v>0</v>
      </c>
      <c r="D2283" s="755" t="e">
        <f>IF($C$2283=0,NA(),VLOOKUP($I$2266&amp;$B$2283,FLNFIX!$BY$4:$EF$103,2,0))</f>
        <v>#N/A</v>
      </c>
      <c r="E2283" s="755" t="e">
        <f>IF($C$2283=0,NA(),VLOOKUP($I$2266&amp;$B$2283,FLNFIX!$BY$4:$EF$103,4,0))</f>
        <v>#N/A</v>
      </c>
      <c r="F2283" s="755" t="e">
        <f>IF($C$2283=0,NA(),VLOOKUP($I$2266&amp;$B$2283,FLNFIX!$BY$4:$EF$103,3,0))</f>
        <v>#N/A</v>
      </c>
      <c r="G2283" s="756" t="e">
        <f>IF($C$2283=0,NA(),VLOOKUP($I$2266&amp;$B$2283,FLNFIX!$BY$4:$EF$103,5,0))</f>
        <v>#N/A</v>
      </c>
      <c r="H2283" s="757"/>
      <c r="I2283" s="757"/>
      <c r="J2283" s="758"/>
      <c r="K2283" s="677"/>
    </row>
    <row r="2284" ht="20.1" customHeight="1" spans="1:11">
      <c r="A2284" s="675"/>
      <c r="B2284" s="755">
        <f t="shared" si="41"/>
        <v>15</v>
      </c>
      <c r="C2284" s="755">
        <f>IFERROR(VLOOKUP(B2284,DATEWISE!$A$3:$BY$27,2,0),0)</f>
        <v>0</v>
      </c>
      <c r="D2284" s="755" t="e">
        <f>IF($C$2284=0,NA(),VLOOKUP($I$2266&amp;$B$2284,FLNFIX!$CD$4:$EF$103,2,0))</f>
        <v>#N/A</v>
      </c>
      <c r="E2284" s="755" t="e">
        <f>IF($C$2284=0,NA(),VLOOKUP($I$2266&amp;$B$2284,FLNFIX!$CD$4:$EF$103,4,0))</f>
        <v>#N/A</v>
      </c>
      <c r="F2284" s="755" t="e">
        <f>IF($C$2284=0,NA(),VLOOKUP($I$2266&amp;$B$2284,FLNFIX!$CD$4:$EF$103,3,0))</f>
        <v>#N/A</v>
      </c>
      <c r="G2284" s="756" t="e">
        <f>IF($C$2284=0,NA(),VLOOKUP($I$2266&amp;$B$2284,FLNFIX!$CD$4:$EF$103,5,0))</f>
        <v>#N/A</v>
      </c>
      <c r="H2284" s="757"/>
      <c r="I2284" s="757"/>
      <c r="J2284" s="758"/>
      <c r="K2284" s="677"/>
    </row>
    <row r="2285" ht="20.1" customHeight="1" spans="1:11">
      <c r="A2285" s="675"/>
      <c r="B2285" s="755">
        <f t="shared" si="41"/>
        <v>16</v>
      </c>
      <c r="C2285" s="755">
        <f>IFERROR(VLOOKUP(B2285,DATEWISE!$A$3:$BY$27,2,0),0)</f>
        <v>0</v>
      </c>
      <c r="D2285" s="755" t="e">
        <f>IF($C$2285=0,NA(),VLOOKUP($I$2266&amp;$B$2285,FLNFIX!$CI$4:$EF$103,2,0))</f>
        <v>#N/A</v>
      </c>
      <c r="E2285" s="755" t="e">
        <f>IF($C$2285=0,NA(),VLOOKUP($I$2266&amp;$B$2285,FLNFIX!$CI$4:$EF$103,4,0))</f>
        <v>#N/A</v>
      </c>
      <c r="F2285" s="755" t="e">
        <f>IF($C$2285=0,NA(),VLOOKUP($I$2266&amp;$B$2285,FLNFIX!$CI$4:$EF$103,3,0))</f>
        <v>#N/A</v>
      </c>
      <c r="G2285" s="756" t="e">
        <f>IF($C$2285=0,NA(),VLOOKUP($I$2266&amp;$B$2285,FLNFIX!$CI$4:$EF$103,5,0))</f>
        <v>#N/A</v>
      </c>
      <c r="H2285" s="757"/>
      <c r="I2285" s="757"/>
      <c r="J2285" s="758"/>
      <c r="K2285" s="677"/>
    </row>
    <row r="2286" ht="20.1" customHeight="1" spans="1:11">
      <c r="A2286" s="675"/>
      <c r="B2286" s="755">
        <f t="shared" si="41"/>
        <v>17</v>
      </c>
      <c r="C2286" s="755">
        <f>IFERROR(VLOOKUP(B2286,DATEWISE!$A$3:$BY$27,2,0),0)</f>
        <v>0</v>
      </c>
      <c r="D2286" s="755" t="e">
        <f>IF($C$2286=0,NA(),VLOOKUP($I$2266&amp;$B$2286,FLNFIX!$CN$4:$EF$103,2,0))</f>
        <v>#N/A</v>
      </c>
      <c r="E2286" s="755" t="e">
        <f>IF($C$2286=0,NA(),VLOOKUP($I$2266&amp;$B$2286,FLNFIX!$CN$4:$EF$103,4,0))</f>
        <v>#N/A</v>
      </c>
      <c r="F2286" s="755" t="e">
        <f>IF($C$2286=0,NA(),VLOOKUP($I$2266&amp;$B$2286,FLNFIX!$CN$4:$EF$103,3,0))</f>
        <v>#N/A</v>
      </c>
      <c r="G2286" s="756" t="e">
        <f>IF($C$2286=0,NA(),VLOOKUP($I$2266&amp;$B$2286,FLNFIX!$CN$4:$EF$103,5,0))</f>
        <v>#N/A</v>
      </c>
      <c r="H2286" s="757"/>
      <c r="I2286" s="757"/>
      <c r="J2286" s="758"/>
      <c r="K2286" s="677"/>
    </row>
    <row r="2287" ht="20.1" customHeight="1" spans="1:11">
      <c r="A2287" s="675"/>
      <c r="B2287" s="755">
        <f t="shared" si="41"/>
        <v>18</v>
      </c>
      <c r="C2287" s="755">
        <f>IFERROR(VLOOKUP(B2287,DATEWISE!$A$3:$BY$27,2,0),0)</f>
        <v>0</v>
      </c>
      <c r="D2287" s="755" t="e">
        <f>IF($C$2287=0,NA(),VLOOKUP($I$2266&amp;$B$2287,FLNFIX!$CS$4:$EF$103,2,0))</f>
        <v>#N/A</v>
      </c>
      <c r="E2287" s="755" t="e">
        <f>IF($C$2287=0,NA(),VLOOKUP($I$2266&amp;$B$2287,FLNFIX!$CS$4:$EF$103,4,0))</f>
        <v>#N/A</v>
      </c>
      <c r="F2287" s="755" t="e">
        <f>IF($C$2287=0,NA(),VLOOKUP($I$2266&amp;$B$2287,FLNFIX!$CS$4:$EF$103,3,0))</f>
        <v>#N/A</v>
      </c>
      <c r="G2287" s="756" t="e">
        <f>IF($C$2287=0,NA(),VLOOKUP($I$2266&amp;$B$2287,FLNFIX!$CS$4:$EF$103,5,0))</f>
        <v>#N/A</v>
      </c>
      <c r="H2287" s="757"/>
      <c r="I2287" s="757"/>
      <c r="J2287" s="758"/>
      <c r="K2287" s="677"/>
    </row>
    <row r="2288" ht="20.1" customHeight="1" spans="1:11">
      <c r="A2288" s="675"/>
      <c r="B2288" s="755">
        <f t="shared" si="41"/>
        <v>19</v>
      </c>
      <c r="C2288" s="755">
        <f>IFERROR(VLOOKUP(B2288,DATEWISE!$A$3:$BY$27,2,0),0)</f>
        <v>0</v>
      </c>
      <c r="D2288" s="755" t="e">
        <f>IF($C$2288=0,NA(),VLOOKUP($I$2266&amp;$B$2288,FLNFIX!$CX$4:$EF$103,2,0))</f>
        <v>#N/A</v>
      </c>
      <c r="E2288" s="755" t="e">
        <f>IF($C$2288=0,NA(),VLOOKUP($I$2266&amp;$B$2288,FLNFIX!$CX$4:$EF$103,4,0))</f>
        <v>#N/A</v>
      </c>
      <c r="F2288" s="755" t="e">
        <f>IF($C$2288=0,NA(),VLOOKUP($I$2266&amp;$B$2288,FLNFIX!$CX$4:$EF$103,3,0))</f>
        <v>#N/A</v>
      </c>
      <c r="G2288" s="756" t="e">
        <f>IF($C$2288=0,NA(),VLOOKUP($I$2266&amp;$B$2288,FLNFIX!$CX$4:$EF$103,5,0))</f>
        <v>#N/A</v>
      </c>
      <c r="H2288" s="757"/>
      <c r="I2288" s="757"/>
      <c r="J2288" s="758"/>
      <c r="K2288" s="677"/>
    </row>
    <row r="2289" ht="20.1" customHeight="1" spans="1:11">
      <c r="A2289" s="675"/>
      <c r="B2289" s="755">
        <f t="shared" si="41"/>
        <v>20</v>
      </c>
      <c r="C2289" s="755">
        <f>IFERROR(VLOOKUP(B2289,DATEWISE!$A$3:$BY$27,2,0),0)</f>
        <v>0</v>
      </c>
      <c r="D2289" s="755" t="e">
        <f>IF($C$2289=0,NA(),VLOOKUP($I$2266&amp;$B$2289,FLNFIX!$DC$4:$EF$103,2,0))</f>
        <v>#N/A</v>
      </c>
      <c r="E2289" s="755" t="e">
        <f>IF($C$2289=0,NA(),VLOOKUP($I$2266&amp;$B$2289,FLNFIX!$DC$4:$EF$103,4,0))</f>
        <v>#N/A</v>
      </c>
      <c r="F2289" s="755" t="e">
        <f>IF($C$2289=0,NA(),VLOOKUP($I$2266&amp;$B$2289,FLNFIX!$DC$4:$EF$103,3,0))</f>
        <v>#N/A</v>
      </c>
      <c r="G2289" s="756" t="e">
        <f>IF($C$2289=0,NA(),VLOOKUP($I$2266&amp;$B$2289,FLNFIX!$DC$4:$EF$103,5,0))</f>
        <v>#N/A</v>
      </c>
      <c r="H2289" s="757"/>
      <c r="I2289" s="757"/>
      <c r="J2289" s="758"/>
      <c r="K2289" s="677"/>
    </row>
    <row r="2290" ht="20.1" customHeight="1" spans="1:11">
      <c r="A2290" s="675"/>
      <c r="B2290" s="755">
        <f t="shared" si="41"/>
        <v>21</v>
      </c>
      <c r="C2290" s="755">
        <f>IFERROR(VLOOKUP(B2290,DATEWISE!$A$3:$BY$27,2,0),0)</f>
        <v>0</v>
      </c>
      <c r="D2290" s="755" t="e">
        <f>IF($C$2290=0,NA(),VLOOKUP($I$2266&amp;$B$2290,FLNFIX!$DH$4:$EF$103,2,0))</f>
        <v>#N/A</v>
      </c>
      <c r="E2290" s="755" t="e">
        <f>IF($C$2290=0,NA(),VLOOKUP($I$2266&amp;$B$2290,FLNFIX!$DH$4:$EF$103,4,0))</f>
        <v>#N/A</v>
      </c>
      <c r="F2290" s="755" t="e">
        <f>IF($C$2290=0,NA(),VLOOKUP($I$2266&amp;$B$2290,FLNFIX!$DH$4:$EF$103,3,0))</f>
        <v>#N/A</v>
      </c>
      <c r="G2290" s="756" t="e">
        <f>IF($C$2290=0,NA(),VLOOKUP($I$2266&amp;$B$2290,FLNFIX!$DH$4:$EF$103,5,0))</f>
        <v>#N/A</v>
      </c>
      <c r="H2290" s="757"/>
      <c r="I2290" s="757"/>
      <c r="J2290" s="758"/>
      <c r="K2290" s="677"/>
    </row>
    <row r="2291" ht="5.1" customHeight="1" spans="1:11">
      <c r="A2291" s="675"/>
      <c r="B2291" s="759"/>
      <c r="C2291" s="759"/>
      <c r="D2291" s="760"/>
      <c r="E2291" s="760"/>
      <c r="F2291" s="760"/>
      <c r="G2291" s="761"/>
      <c r="H2291" s="761"/>
      <c r="I2291" s="761"/>
      <c r="J2291" s="761"/>
      <c r="K2291" s="677"/>
    </row>
    <row r="2292" s="667" customFormat="1" ht="24.95" customHeight="1" spans="1:11">
      <c r="A2292" s="711"/>
      <c r="B2292" s="762" t="s">
        <v>431</v>
      </c>
      <c r="C2292" s="763"/>
      <c r="D2292" s="763"/>
      <c r="E2292" s="763"/>
      <c r="F2292" s="763"/>
      <c r="G2292" s="763"/>
      <c r="H2292" s="763"/>
      <c r="I2292" s="763"/>
      <c r="J2292" s="764"/>
      <c r="K2292" s="713"/>
    </row>
    <row r="2293" spans="1:11">
      <c r="A2293" s="675"/>
      <c r="B2293" s="765"/>
      <c r="C2293" s="686"/>
      <c r="D2293" s="686"/>
      <c r="E2293" s="686"/>
      <c r="F2293" s="686"/>
      <c r="G2293" s="686"/>
      <c r="H2293" s="686"/>
      <c r="I2293" s="686"/>
      <c r="J2293" s="766"/>
      <c r="K2293" s="677"/>
    </row>
    <row r="2294" spans="1:11">
      <c r="A2294" s="675"/>
      <c r="B2294" s="765"/>
      <c r="C2294" s="686"/>
      <c r="D2294" s="686"/>
      <c r="E2294" s="686"/>
      <c r="F2294" s="686"/>
      <c r="G2294" s="686"/>
      <c r="H2294" s="686"/>
      <c r="I2294" s="686"/>
      <c r="J2294" s="766"/>
      <c r="K2294" s="677"/>
    </row>
    <row r="2295" spans="1:11">
      <c r="A2295" s="675"/>
      <c r="B2295" s="765"/>
      <c r="C2295" s="686"/>
      <c r="D2295" s="686"/>
      <c r="E2295" s="686"/>
      <c r="F2295" s="686"/>
      <c r="G2295" s="686"/>
      <c r="H2295" s="686"/>
      <c r="I2295" s="686"/>
      <c r="J2295" s="766"/>
      <c r="K2295" s="677"/>
    </row>
    <row r="2296" spans="1:11">
      <c r="A2296" s="675"/>
      <c r="B2296" s="765"/>
      <c r="C2296" s="686"/>
      <c r="D2296" s="686"/>
      <c r="E2296" s="686"/>
      <c r="F2296" s="686"/>
      <c r="G2296" s="686"/>
      <c r="H2296" s="686"/>
      <c r="I2296" s="686"/>
      <c r="J2296" s="766"/>
      <c r="K2296" s="677"/>
    </row>
    <row r="2297" spans="1:11">
      <c r="A2297" s="675"/>
      <c r="B2297" s="765"/>
      <c r="C2297" s="686"/>
      <c r="D2297" s="686"/>
      <c r="E2297" s="686"/>
      <c r="F2297" s="686"/>
      <c r="G2297" s="686"/>
      <c r="H2297" s="686"/>
      <c r="I2297" s="686"/>
      <c r="J2297" s="766"/>
      <c r="K2297" s="677"/>
    </row>
    <row r="2298" spans="1:11">
      <c r="A2298" s="675"/>
      <c r="B2298" s="765"/>
      <c r="C2298" s="686"/>
      <c r="D2298" s="686"/>
      <c r="E2298" s="686"/>
      <c r="F2298" s="686"/>
      <c r="G2298" s="686"/>
      <c r="H2298" s="686"/>
      <c r="I2298" s="686"/>
      <c r="J2298" s="766"/>
      <c r="K2298" s="677"/>
    </row>
    <row r="2299" spans="1:11">
      <c r="A2299" s="675"/>
      <c r="B2299" s="765"/>
      <c r="C2299" s="686"/>
      <c r="D2299" s="686"/>
      <c r="E2299" s="686"/>
      <c r="F2299" s="686"/>
      <c r="G2299" s="686"/>
      <c r="H2299" s="686"/>
      <c r="I2299" s="686"/>
      <c r="J2299" s="766"/>
      <c r="K2299" s="677"/>
    </row>
    <row r="2300" spans="1:11">
      <c r="A2300" s="675"/>
      <c r="B2300" s="765"/>
      <c r="C2300" s="686"/>
      <c r="D2300" s="686"/>
      <c r="E2300" s="686"/>
      <c r="F2300" s="686"/>
      <c r="G2300" s="686"/>
      <c r="H2300" s="686"/>
      <c r="I2300" s="686"/>
      <c r="J2300" s="766"/>
      <c r="K2300" s="677"/>
    </row>
    <row r="2301" spans="1:11">
      <c r="A2301" s="675"/>
      <c r="B2301" s="765"/>
      <c r="C2301" s="686"/>
      <c r="D2301" s="686"/>
      <c r="E2301" s="686"/>
      <c r="F2301" s="686"/>
      <c r="G2301" s="686"/>
      <c r="H2301" s="686"/>
      <c r="I2301" s="686"/>
      <c r="J2301" s="766"/>
      <c r="K2301" s="677"/>
    </row>
    <row r="2302" spans="1:11">
      <c r="A2302" s="675"/>
      <c r="B2302" s="767"/>
      <c r="C2302" s="768"/>
      <c r="D2302" s="768"/>
      <c r="E2302" s="768"/>
      <c r="F2302" s="768"/>
      <c r="G2302" s="768"/>
      <c r="H2302" s="768"/>
      <c r="I2302" s="768"/>
      <c r="J2302" s="769"/>
      <c r="K2302" s="677"/>
    </row>
    <row r="2303" ht="5.1" customHeight="1" spans="1:11">
      <c r="A2303" s="675"/>
      <c r="B2303" s="686"/>
      <c r="C2303" s="686"/>
      <c r="D2303" s="686"/>
      <c r="E2303" s="686"/>
      <c r="F2303" s="686"/>
      <c r="G2303" s="686"/>
      <c r="H2303" s="686"/>
      <c r="I2303" s="686"/>
      <c r="J2303" s="686"/>
      <c r="K2303" s="677"/>
    </row>
    <row r="2304" spans="1:11">
      <c r="A2304" s="675"/>
      <c r="B2304" s="770" t="s">
        <v>432</v>
      </c>
      <c r="C2304" s="770"/>
      <c r="D2304" s="770"/>
      <c r="E2304" s="770"/>
      <c r="F2304" s="770"/>
      <c r="G2304" s="770"/>
      <c r="H2304" s="770"/>
      <c r="I2304" s="770"/>
      <c r="J2304" s="770"/>
      <c r="K2304" s="677"/>
    </row>
    <row r="2305" spans="1:11">
      <c r="A2305" s="675"/>
      <c r="B2305" s="771"/>
      <c r="C2305" s="771"/>
      <c r="D2305" s="771"/>
      <c r="E2305" s="771"/>
      <c r="F2305" s="771"/>
      <c r="G2305" s="771"/>
      <c r="H2305" s="771"/>
      <c r="I2305" s="771"/>
      <c r="J2305" s="771"/>
      <c r="K2305" s="677"/>
    </row>
    <row r="2306" spans="1:11">
      <c r="A2306" s="675"/>
      <c r="B2306" s="771"/>
      <c r="C2306" s="771"/>
      <c r="D2306" s="771"/>
      <c r="E2306" s="771"/>
      <c r="F2306" s="771"/>
      <c r="G2306" s="771"/>
      <c r="H2306" s="771"/>
      <c r="I2306" s="771"/>
      <c r="J2306" s="771"/>
      <c r="K2306" s="677"/>
    </row>
    <row r="2307" spans="1:11">
      <c r="A2307" s="675"/>
      <c r="B2307" s="771"/>
      <c r="C2307" s="771"/>
      <c r="D2307" s="771"/>
      <c r="E2307" s="771"/>
      <c r="F2307" s="771"/>
      <c r="G2307" s="771"/>
      <c r="H2307" s="771"/>
      <c r="I2307" s="771"/>
      <c r="J2307" s="771"/>
      <c r="K2307" s="677"/>
    </row>
    <row r="2308" spans="1:11">
      <c r="A2308" s="675"/>
      <c r="B2308" s="686"/>
      <c r="C2308" s="686"/>
      <c r="D2308" s="686"/>
      <c r="E2308" s="686"/>
      <c r="F2308" s="686"/>
      <c r="G2308" s="686"/>
      <c r="H2308" s="686"/>
      <c r="I2308" s="686"/>
      <c r="J2308" s="686"/>
      <c r="K2308" s="677"/>
    </row>
    <row r="2309" spans="1:11">
      <c r="A2309" s="675"/>
      <c r="B2309" s="686"/>
      <c r="C2309" s="729" t="s">
        <v>433</v>
      </c>
      <c r="D2309" s="729"/>
      <c r="E2309" s="686"/>
      <c r="F2309" s="686"/>
      <c r="G2309" s="729" t="s">
        <v>434</v>
      </c>
      <c r="H2309" s="729"/>
      <c r="I2309" s="729"/>
      <c r="J2309" s="729"/>
      <c r="K2309" s="677"/>
    </row>
    <row r="2310" ht="16.35" spans="1:11">
      <c r="A2310" s="725"/>
      <c r="B2310" s="726"/>
      <c r="C2310" s="732" t="str">
        <f>"("&amp;PROPER(ENTRY!$D$19)&amp;")"</f>
        <v>(Indrajeet)</v>
      </c>
      <c r="D2310" s="732"/>
      <c r="E2310" s="726"/>
      <c r="F2310" s="726"/>
      <c r="G2310" s="732" t="str">
        <f>"("&amp;PROPER(ENTRY!$D$12)&amp;")"</f>
        <v>(Shambhu Dayal Meena)</v>
      </c>
      <c r="H2310" s="732"/>
      <c r="I2310" s="732"/>
      <c r="J2310" s="732"/>
      <c r="K2310" s="728"/>
    </row>
    <row r="2311" ht="24.6" spans="1:11">
      <c r="B2311" s="734"/>
      <c r="C2311" s="734"/>
      <c r="D2311" s="669" t="str">
        <f>ENTRY!$D$3</f>
        <v>MUNICIPAL CORPORATION OF DELHI</v>
      </c>
      <c r="E2311" s="669"/>
      <c r="F2311" s="669"/>
      <c r="G2311" s="669"/>
      <c r="H2311" s="734"/>
      <c r="I2311" s="669"/>
      <c r="J2311" s="669"/>
    </row>
    <row r="2312" ht="20.4" spans="1:11">
      <c r="B2312" s="735"/>
      <c r="C2312" s="735"/>
      <c r="D2312" s="670" t="str">
        <f>ENTRY!$D$4</f>
        <v>EDUCATION DEPARTMENT</v>
      </c>
      <c r="E2312" s="670"/>
      <c r="F2312" s="670"/>
      <c r="G2312" s="670"/>
      <c r="H2312" s="735"/>
      <c r="I2312" s="669"/>
      <c r="J2312" s="669"/>
    </row>
    <row r="2313" ht="22.8" spans="1:11">
      <c r="B2313" s="736"/>
      <c r="C2313" s="736"/>
      <c r="D2313" s="664" t="s">
        <v>417</v>
      </c>
      <c r="E2313" s="664"/>
      <c r="F2313" s="664"/>
      <c r="G2313" s="664"/>
      <c r="H2313" s="736"/>
      <c r="I2313" s="669"/>
      <c r="J2313" s="669"/>
    </row>
    <row r="2314" ht="22.8" spans="1:11">
      <c r="B2314" s="736"/>
      <c r="C2314" s="736"/>
      <c r="D2314" s="664" t="s">
        <v>418</v>
      </c>
      <c r="E2314" s="664"/>
      <c r="F2314" s="664"/>
      <c r="G2314" s="664"/>
      <c r="H2314" s="736"/>
      <c r="I2314" s="669"/>
      <c r="J2314" s="669"/>
    </row>
    <row r="2315" ht="24.95" customHeight="1" spans="1:11">
      <c r="B2315" s="735"/>
      <c r="C2315" s="735"/>
      <c r="D2315" s="737" t="str">
        <f>"SESSION : "&amp;ENTRY!$D$11</f>
        <v>SESSION : 2026-27</v>
      </c>
      <c r="E2315" s="737"/>
      <c r="F2315" s="737"/>
      <c r="G2315" s="737"/>
      <c r="H2315" s="735"/>
      <c r="I2315" s="738"/>
      <c r="J2315" s="738"/>
    </row>
    <row r="2316" ht="3.75" customHeight="1" spans="1:11">
      <c r="A2316" s="672"/>
      <c r="B2316" s="739"/>
      <c r="C2316" s="739"/>
      <c r="D2316" s="739"/>
      <c r="E2316" s="739"/>
      <c r="F2316" s="739"/>
      <c r="G2316" s="739"/>
      <c r="H2316" s="739"/>
      <c r="I2316" s="739"/>
      <c r="J2316" s="739"/>
      <c r="K2316" s="674"/>
    </row>
    <row r="2317" ht="21.95" customHeight="1" spans="1:11">
      <c r="A2317" s="675"/>
      <c r="B2317" s="676" t="s">
        <v>419</v>
      </c>
      <c r="C2317" s="676"/>
      <c r="D2317" s="676" t="str">
        <f>ENTRY!$D$6</f>
        <v>MCP NITHARI NO 1 BOYS</v>
      </c>
      <c r="E2317" s="676"/>
      <c r="F2317" s="676"/>
      <c r="G2317" s="676"/>
      <c r="H2317" s="676"/>
      <c r="I2317" s="676"/>
      <c r="J2317" s="676"/>
      <c r="K2317" s="677"/>
    </row>
    <row r="2318" ht="21.95" customHeight="1" spans="1:11">
      <c r="A2318" s="675"/>
      <c r="B2318" s="676" t="s">
        <v>420</v>
      </c>
      <c r="C2318" s="676"/>
      <c r="D2318" s="740">
        <f>IFERROR(VLOOKUP($I$2321,STUDENT!$A$2:$BP$101,5,0),"")</f>
        <v>0</v>
      </c>
      <c r="E2318" s="740"/>
      <c r="F2318" s="740"/>
      <c r="G2318" s="740"/>
      <c r="H2318" s="740"/>
      <c r="I2318" s="740"/>
      <c r="J2318" s="740"/>
      <c r="K2318" s="677"/>
    </row>
    <row r="2319" ht="21.95" customHeight="1" spans="1:11">
      <c r="A2319" s="675"/>
      <c r="B2319" s="676" t="s">
        <v>421</v>
      </c>
      <c r="C2319" s="676"/>
      <c r="D2319" s="740">
        <f>IFERROR(VLOOKUP($I$2321,STUDENT!$A$2:$BP$101,8,0),"")</f>
        <v>0</v>
      </c>
      <c r="E2319" s="740"/>
      <c r="F2319" s="740"/>
      <c r="G2319" s="740"/>
      <c r="H2319" s="740"/>
      <c r="I2319" s="740"/>
      <c r="J2319" s="740"/>
      <c r="K2319" s="677"/>
    </row>
    <row r="2320" ht="21.95" customHeight="1" spans="1:11">
      <c r="A2320" s="675"/>
      <c r="B2320" s="676" t="s">
        <v>422</v>
      </c>
      <c r="C2320" s="676"/>
      <c r="D2320" s="740">
        <f>IFERROR(VLOOKUP($I$2321,STUDENT!$A$2:$BP$101,6,0),"")</f>
        <v>0</v>
      </c>
      <c r="E2320" s="740"/>
      <c r="F2320" s="740"/>
      <c r="G2320" s="740"/>
      <c r="H2320" s="740"/>
      <c r="I2320" s="740"/>
      <c r="J2320" s="740"/>
      <c r="K2320" s="677"/>
    </row>
    <row r="2321" ht="21.95" customHeight="1" spans="1:11">
      <c r="A2321" s="675"/>
      <c r="B2321" s="676" t="s">
        <v>423</v>
      </c>
      <c r="C2321" s="676"/>
      <c r="D2321" s="741" t="str">
        <f>IFERROR(VLOOKUP($I$2321,STUDENT!$A$2:$BP$101,59,0),"")</f>
        <v/>
      </c>
      <c r="E2321" s="742" t="s">
        <v>424</v>
      </c>
      <c r="F2321" s="704" t="str">
        <f>IFERROR(VLOOKUP($I$2321,STUDENT!$A$2:$BP$101,2,0),"")</f>
        <v>III-A</v>
      </c>
      <c r="G2321" s="742" t="s">
        <v>425</v>
      </c>
      <c r="H2321" s="743"/>
      <c r="I2321" s="733">
        <f>I2266+1</f>
        <v>43</v>
      </c>
      <c r="J2321" s="683"/>
      <c r="K2321" s="677"/>
    </row>
    <row r="2322" ht="5.1" customHeight="1" spans="1:11">
      <c r="A2322" s="675"/>
      <c r="B2322" s="745"/>
      <c r="C2322" s="745"/>
      <c r="D2322" s="746"/>
      <c r="E2322" s="747"/>
      <c r="F2322" s="748"/>
      <c r="G2322" s="747"/>
      <c r="H2322" s="686"/>
      <c r="I2322" s="686"/>
      <c r="J2322" s="686"/>
      <c r="K2322" s="677"/>
    </row>
    <row r="2323" s="664" customFormat="1" ht="32.1" customHeight="1" spans="1:11">
      <c r="A2323" s="688"/>
      <c r="B2323" s="749" t="s">
        <v>426</v>
      </c>
      <c r="C2323" s="750"/>
      <c r="D2323" s="750"/>
      <c r="E2323" s="750"/>
      <c r="F2323" s="750"/>
      <c r="G2323" s="750"/>
      <c r="H2323" s="750"/>
      <c r="I2323" s="750"/>
      <c r="J2323" s="751"/>
      <c r="K2323" s="690"/>
    </row>
    <row r="2324" ht="51.6" spans="1:11">
      <c r="A2324" s="675"/>
      <c r="B2324" s="752">
        <v>21</v>
      </c>
      <c r="C2324" s="753" t="s">
        <v>427</v>
      </c>
      <c r="D2324" s="754" t="s">
        <v>428</v>
      </c>
      <c r="E2324" s="754" t="s">
        <v>429</v>
      </c>
      <c r="F2324" s="754" t="s">
        <v>430</v>
      </c>
      <c r="G2324" s="753" t="s">
        <v>390</v>
      </c>
      <c r="H2324" s="714"/>
      <c r="I2324" s="714"/>
      <c r="J2324" s="714"/>
      <c r="K2324" s="677"/>
    </row>
    <row r="2325" ht="20.1" customHeight="1" spans="1:11">
      <c r="A2325" s="675"/>
      <c r="B2325" s="755">
        <v>1</v>
      </c>
      <c r="C2325" s="755" t="str">
        <f>IFERROR(VLOOKUP(B2325,DATEWISE!$A$3:$BY$27,2,0),0)</f>
        <v>30.04.2026</v>
      </c>
      <c r="D2325" s="755" t="str">
        <f>IF($C$2325=0,NA(),VLOOKUP($I$2321&amp;$B$2325,FLNFIX!$L$4:$EF$103,2,0))</f>
        <v>-</v>
      </c>
      <c r="E2325" s="755" t="str">
        <f>IF($C$2325=0,NA(),VLOOKUP($I$2321&amp;$B$2325,FLNFIX!$L$4:$EF$103,4,0))</f>
        <v>-</v>
      </c>
      <c r="F2325" s="755" t="str">
        <f>IF($C$2325=0,NA(),VLOOKUP($I$2321&amp;$B$2325,FLNFIX!$L$4:$EF$103,3,0))</f>
        <v>-</v>
      </c>
      <c r="G2325" s="756">
        <f>IF($C$2325=0,NA(),VLOOKUP($I$2321&amp;$B$2325,FLNFIX!$L$4:$EF$103,5,0))</f>
        <v>0</v>
      </c>
      <c r="H2325" s="757"/>
      <c r="I2325" s="757"/>
      <c r="J2325" s="758"/>
      <c r="K2325" s="677"/>
    </row>
    <row r="2326" ht="20.1" customHeight="1" spans="1:11">
      <c r="A2326" s="675"/>
      <c r="B2326" s="755">
        <f t="shared" ref="B2326:B2345" si="42">IF(B2325=0,0,IF(B2325&lt;$B$2324,B2325+1,""))</f>
        <v>2</v>
      </c>
      <c r="C2326" s="755" t="str">
        <f>IFERROR(VLOOKUP(B2326,DATEWISE!$A$3:$BY$27,2,0),0)</f>
        <v>08.05.2026</v>
      </c>
      <c r="D2326" s="755">
        <f>IF($C$2326=0,NA(),VLOOKUP($I$2321&amp;$B$2326,FLNFIX!$Q$4:$EF$103,2,0))</f>
        <v>0</v>
      </c>
      <c r="E2326" s="755">
        <f>IF($C$2326=0,NA(),VLOOKUP($I$2321&amp;$B$2326,FLNFIX!$Q$4:$EF$103,4,0))</f>
        <v>0</v>
      </c>
      <c r="F2326" s="755">
        <f>IF($C$2326=0,NA(),VLOOKUP($I$2321&amp;$B$2326,FLNFIX!$Q$4:$EF$103,3,0))</f>
        <v>0</v>
      </c>
      <c r="G2326" s="756">
        <f>IF($C$2326=0,NA(),VLOOKUP($I$2321&amp;$B$2326,FLNFIX!$Q$4:$EF$103,5,0))</f>
        <v>0</v>
      </c>
      <c r="H2326" s="757"/>
      <c r="I2326" s="757"/>
      <c r="J2326" s="758"/>
      <c r="K2326" s="677"/>
    </row>
    <row r="2327" ht="20.1" customHeight="1" spans="1:11">
      <c r="A2327" s="675"/>
      <c r="B2327" s="755">
        <f t="shared" si="42"/>
        <v>3</v>
      </c>
      <c r="C2327" s="755" t="str">
        <f>IFERROR(VLOOKUP(B2327,DATEWISE!$A$3:$BY$27,2,0),0)</f>
        <v>15.07.2026</v>
      </c>
      <c r="D2327" s="755">
        <f>IF($C$2327=0,NA(),VLOOKUP($I$2321&amp;$B$2327,FLNFIX!$V$4:$EF$103,2,0))</f>
        <v>0</v>
      </c>
      <c r="E2327" s="755">
        <f>IF($C$2327=0,NA(),VLOOKUP($I$2321&amp;$B$2327,FLNFIX!$V$4:$EF$103,4,0))</f>
        <v>0</v>
      </c>
      <c r="F2327" s="755">
        <f>IF($C$2327=0,NA(),VLOOKUP($I$2321&amp;$B$2327,FLNFIX!$V$4:$EF$103,3,0))</f>
        <v>0</v>
      </c>
      <c r="G2327" s="756">
        <f>IF($C$2327=0,NA(),VLOOKUP($I$2321&amp;$B$2327,FLNFIX!$V$4:$EF$103,5,0))</f>
        <v>0</v>
      </c>
      <c r="H2327" s="757"/>
      <c r="I2327" s="757"/>
      <c r="J2327" s="758"/>
      <c r="K2327" s="677"/>
    </row>
    <row r="2328" ht="20.1" customHeight="1" spans="1:11">
      <c r="A2328" s="675"/>
      <c r="B2328" s="755">
        <f t="shared" si="42"/>
        <v>4</v>
      </c>
      <c r="C2328" s="755" t="str">
        <f>IFERROR(VLOOKUP(B2328,DATEWISE!$A$3:$BY$27,2,0),0)</f>
        <v>31.07.2026</v>
      </c>
      <c r="D2328" s="755">
        <f>IF($C$2328=0,NA(),VLOOKUP($I$2321&amp;$B$2328,FLNFIX!$AA$4:$EF$103,2,0))</f>
        <v>0</v>
      </c>
      <c r="E2328" s="755">
        <f>IF($C$2328=0,NA(),VLOOKUP($I$2321&amp;$B$2328,FLNFIX!$AA$4:$EF$103,4,0))</f>
        <v>0</v>
      </c>
      <c r="F2328" s="755">
        <f>IF($C$2328=0,NA(),VLOOKUP($I$2321&amp;$B$2328,FLNFIX!$AA$4:$EF$103,3,0))</f>
        <v>0</v>
      </c>
      <c r="G2328" s="756">
        <f>IF($C$2328=0,NA(),VLOOKUP($I$2321&amp;$B$2328,FLNFIX!$AA$4:$EF$103,5,0))</f>
        <v>0</v>
      </c>
      <c r="H2328" s="757"/>
      <c r="I2328" s="757"/>
      <c r="J2328" s="758"/>
      <c r="K2328" s="677"/>
    </row>
    <row r="2329" ht="20.1" customHeight="1" spans="1:11">
      <c r="A2329" s="675"/>
      <c r="B2329" s="755">
        <f t="shared" si="42"/>
        <v>5</v>
      </c>
      <c r="C2329" s="755" t="str">
        <f>IFERROR(VLOOKUP(B2329,DATEWISE!$A$3:$BY$27,2,0),0)</f>
        <v>17.08.2026</v>
      </c>
      <c r="D2329" s="755">
        <f>IF($C$2329=0,NA(),VLOOKUP($I$2321&amp;$B$2329,FLNFIX!$AF$4:$EF$103,2,0))</f>
        <v>0</v>
      </c>
      <c r="E2329" s="755">
        <f>IF($C$2329=0,NA(),VLOOKUP($I$2321&amp;$B$2329,FLNFIX!$AF$4:$EF$103,4,0))</f>
        <v>0</v>
      </c>
      <c r="F2329" s="755">
        <f>IF($C$2329=0,NA(),VLOOKUP($I$2321&amp;$B$2329,FLNFIX!$AF$4:$EF$103,3,0))</f>
        <v>0</v>
      </c>
      <c r="G2329" s="756">
        <f>IF($C$2329=0,NA(),VLOOKUP($I$2321&amp;$B$2329,FLNFIX!$AF$4:$EF$103,5,0))</f>
        <v>0</v>
      </c>
      <c r="H2329" s="757"/>
      <c r="I2329" s="757"/>
      <c r="J2329" s="758"/>
      <c r="K2329" s="677"/>
    </row>
    <row r="2330" ht="20.1" customHeight="1" spans="1:11">
      <c r="A2330" s="675"/>
      <c r="B2330" s="755">
        <f t="shared" si="42"/>
        <v>6</v>
      </c>
      <c r="C2330" s="755" t="str">
        <f>IFERROR(VLOOKUP(B2330,DATEWISE!$A$3:$BY$27,2,0),0)</f>
        <v>31.08.2026</v>
      </c>
      <c r="D2330" s="755">
        <f>IF($C$2330=0,NA(),VLOOKUP($I$2321&amp;$B$2330,FLNFIX!$AK$4:$EF$103,2,0))</f>
        <v>0</v>
      </c>
      <c r="E2330" s="755">
        <f>IF($C$2330=0,NA(),VLOOKUP($I$2321&amp;$B$2330,FLNFIX!$AK$4:$EF$103,4,0))</f>
        <v>0</v>
      </c>
      <c r="F2330" s="755">
        <f>IF($C$2330=0,NA(),VLOOKUP($I$2321&amp;$B$2330,FLNFIX!$AK$4:$EF$103,3,0))</f>
        <v>0</v>
      </c>
      <c r="G2330" s="756">
        <f>IF($C$2330=0,NA(),VLOOKUP($I$2321&amp;$B$2330,FLNFIX!$AK$4:$EF$103,5,0))</f>
        <v>0</v>
      </c>
      <c r="H2330" s="757"/>
      <c r="I2330" s="757"/>
      <c r="J2330" s="758"/>
      <c r="K2330" s="677"/>
    </row>
    <row r="2331" ht="20.1" customHeight="1" spans="1:11">
      <c r="A2331" s="675"/>
      <c r="B2331" s="755">
        <f t="shared" si="42"/>
        <v>7</v>
      </c>
      <c r="C2331" s="755">
        <f>IFERROR(VLOOKUP(B2331,DATEWISE!$A$3:$BY$27,2,0),0)</f>
        <v>0</v>
      </c>
      <c r="D2331" s="755" t="e">
        <f>IF($C$2331=0,NA(),VLOOKUP($I$2321&amp;$B$2331,FLNFIX!$AP$4:$EF$103,2,0))</f>
        <v>#N/A</v>
      </c>
      <c r="E2331" s="755" t="e">
        <f>IF($C$2331=0,NA(),VLOOKUP($I$2321&amp;$B$2331,FLNFIX!$AP$4:$EF$103,4,0))</f>
        <v>#N/A</v>
      </c>
      <c r="F2331" s="755" t="e">
        <f>IF($C$2331=0,NA(),VLOOKUP($I$2321&amp;$B$2331,FLNFIX!$AP$4:$EF$103,3,0))</f>
        <v>#N/A</v>
      </c>
      <c r="G2331" s="756" t="e">
        <f>IF($C$2331=0,NA(),VLOOKUP($I$2321&amp;$B$2331,FLNFIX!$AP$4:$EF$103,5,0))</f>
        <v>#N/A</v>
      </c>
      <c r="H2331" s="757"/>
      <c r="I2331" s="757"/>
      <c r="J2331" s="758"/>
      <c r="K2331" s="677"/>
    </row>
    <row r="2332" ht="20.1" customHeight="1" spans="1:11">
      <c r="A2332" s="675"/>
      <c r="B2332" s="755">
        <f t="shared" si="42"/>
        <v>8</v>
      </c>
      <c r="C2332" s="755">
        <f>IFERROR(VLOOKUP(B2332,DATEWISE!$A$3:$BY$27,2,0),0)</f>
        <v>0</v>
      </c>
      <c r="D2332" s="755" t="e">
        <f>IF($C$2332=0,NA(),VLOOKUP($I$2321&amp;$B$2332,FLNFIX!$AU$4:$EF$103,2,0))</f>
        <v>#N/A</v>
      </c>
      <c r="E2332" s="755" t="e">
        <f>IF($C$2332=0,NA(),VLOOKUP($I$2321&amp;$B$2332,FLNFIX!$AU$4:$EF$103,4,0))</f>
        <v>#N/A</v>
      </c>
      <c r="F2332" s="755" t="e">
        <f>IF($C$2332=0,NA(),VLOOKUP($I$2321&amp;$B$2332,FLNFIX!$AU$4:$EF$103,3,0))</f>
        <v>#N/A</v>
      </c>
      <c r="G2332" s="756" t="e">
        <f>IF($C$2332=0,NA(),VLOOKUP($I$2321&amp;$B$2332,FLNFIX!$AU$4:$EF$103,5,0))</f>
        <v>#N/A</v>
      </c>
      <c r="H2332" s="757"/>
      <c r="I2332" s="757"/>
      <c r="J2332" s="758"/>
      <c r="K2332" s="677"/>
    </row>
    <row r="2333" ht="20.1" customHeight="1" spans="1:11">
      <c r="A2333" s="675"/>
      <c r="B2333" s="755">
        <f t="shared" si="42"/>
        <v>9</v>
      </c>
      <c r="C2333" s="755">
        <f>IFERROR(VLOOKUP(B2333,DATEWISE!$A$3:$BY$27,2,0),0)</f>
        <v>0</v>
      </c>
      <c r="D2333" s="755" t="e">
        <f>IF($C$2333=0,NA(),VLOOKUP($I$2321&amp;$B$2333,FLNFIX!$AZ$4:$EF$103,2,0))</f>
        <v>#N/A</v>
      </c>
      <c r="E2333" s="755" t="e">
        <f>IF($C$2333=0,NA(),VLOOKUP($I$2321&amp;$B$2333,FLNFIX!$AZ$4:$EF$103,4,0))</f>
        <v>#N/A</v>
      </c>
      <c r="F2333" s="755" t="e">
        <f>IF($C$2333=0,NA(),VLOOKUP($I$2321&amp;$B$2333,FLNFIX!$AZ$4:$EF$103,3,0))</f>
        <v>#N/A</v>
      </c>
      <c r="G2333" s="756" t="e">
        <f>IF($C$2333=0,NA(),VLOOKUP($I$2321&amp;$B$2333,FLNFIX!$AZ$4:$EF$103,5,0))</f>
        <v>#N/A</v>
      </c>
      <c r="H2333" s="757"/>
      <c r="I2333" s="757"/>
      <c r="J2333" s="758"/>
      <c r="K2333" s="677"/>
    </row>
    <row r="2334" ht="20.1" customHeight="1" spans="1:11">
      <c r="A2334" s="675"/>
      <c r="B2334" s="755">
        <f t="shared" si="42"/>
        <v>10</v>
      </c>
      <c r="C2334" s="755">
        <f>IFERROR(VLOOKUP(B2334,DATEWISE!$A$3:$BY$27,2,0),0)</f>
        <v>0</v>
      </c>
      <c r="D2334" s="755" t="e">
        <f>IF($C$2334=0,NA(),VLOOKUP($I$2321&amp;$B$2334,FLNFIX!$BE$4:$EF$103,2,0))</f>
        <v>#N/A</v>
      </c>
      <c r="E2334" s="755" t="e">
        <f>IF($C$2334=0,NA(),VLOOKUP($I$2321&amp;$B$2334,FLNFIX!$BE$4:$EF$103,4,0))</f>
        <v>#N/A</v>
      </c>
      <c r="F2334" s="755" t="e">
        <f>IF($C$2334=0,NA(),VLOOKUP($I$2321&amp;$B$2334,FLNFIX!$BE$4:$EF$103,3,0))</f>
        <v>#N/A</v>
      </c>
      <c r="G2334" s="756" t="e">
        <f>IF($C$2334=0,NA(),VLOOKUP($I$2321&amp;$B$2334,FLNFIX!$BE$4:$EF$103,5,0))</f>
        <v>#N/A</v>
      </c>
      <c r="H2334" s="757"/>
      <c r="I2334" s="757"/>
      <c r="J2334" s="758"/>
      <c r="K2334" s="677"/>
    </row>
    <row r="2335" ht="20.1" customHeight="1" spans="1:11">
      <c r="A2335" s="675"/>
      <c r="B2335" s="755">
        <f t="shared" si="42"/>
        <v>11</v>
      </c>
      <c r="C2335" s="755">
        <f>IFERROR(VLOOKUP(B2335,DATEWISE!$A$3:$BY$27,2,0),0)</f>
        <v>0</v>
      </c>
      <c r="D2335" s="755" t="e">
        <f>IF($C$2335=0,NA(),VLOOKUP($I$2321&amp;$B$2335,FLNFIX!$BJ$4:$EF$103,2,0))</f>
        <v>#N/A</v>
      </c>
      <c r="E2335" s="755" t="e">
        <f>IF($C$2335=0,NA(),VLOOKUP($I$2321&amp;$B$2335,FLNFIX!$BJ$4:$EF$103,4,0))</f>
        <v>#N/A</v>
      </c>
      <c r="F2335" s="755" t="e">
        <f>IF($C$2335=0,NA(),VLOOKUP($I$2321&amp;$B$2335,FLNFIX!$BJ$4:$EF$103,3,0))</f>
        <v>#N/A</v>
      </c>
      <c r="G2335" s="756" t="e">
        <f>IF($C$2335=0,NA(),VLOOKUP($I$2321&amp;$B$2335,FLNFIX!$BJ$4:$EF$103,5,0))</f>
        <v>#N/A</v>
      </c>
      <c r="H2335" s="757"/>
      <c r="I2335" s="757"/>
      <c r="J2335" s="758"/>
      <c r="K2335" s="677"/>
    </row>
    <row r="2336" ht="20.1" customHeight="1" spans="1:11">
      <c r="A2336" s="675"/>
      <c r="B2336" s="755">
        <f t="shared" si="42"/>
        <v>12</v>
      </c>
      <c r="C2336" s="755">
        <f>IFERROR(VLOOKUP(B2336,DATEWISE!$A$3:$BY$27,2,0),0)</f>
        <v>0</v>
      </c>
      <c r="D2336" s="755" t="e">
        <f>IF($C$2336=0,NA(),VLOOKUP($I$2321&amp;$B$2336,FLNFIX!$BO$4:$EF$103,2,0))</f>
        <v>#N/A</v>
      </c>
      <c r="E2336" s="755" t="e">
        <f>IF($C$2336=0,NA(),VLOOKUP($I$2321&amp;$B$2336,FLNFIX!$BO$4:$EF$103,4,0))</f>
        <v>#N/A</v>
      </c>
      <c r="F2336" s="755" t="e">
        <f>IF($C$2336=0,NA(),VLOOKUP($I$2321&amp;$B$2336,FLNFIX!$BO$4:$EF$103,3,0))</f>
        <v>#N/A</v>
      </c>
      <c r="G2336" s="756" t="e">
        <f>IF($C$2336=0,NA(),VLOOKUP($I$2321&amp;$B$2336,FLNFIX!$BO$4:$EF$103,5,0))</f>
        <v>#N/A</v>
      </c>
      <c r="H2336" s="757"/>
      <c r="I2336" s="757"/>
      <c r="J2336" s="758"/>
      <c r="K2336" s="677"/>
    </row>
    <row r="2337" ht="20.1" customHeight="1" spans="1:11">
      <c r="A2337" s="675"/>
      <c r="B2337" s="755">
        <f t="shared" si="42"/>
        <v>13</v>
      </c>
      <c r="C2337" s="755">
        <f>IFERROR(VLOOKUP(B2337,DATEWISE!$A$3:$BY$27,2,0),0)</f>
        <v>0</v>
      </c>
      <c r="D2337" s="755" t="e">
        <f>IF($C$2337=0,NA(),VLOOKUP($I$2321&amp;$B$2337,FLNFIX!$BT$4:$EF$103,2,0))</f>
        <v>#N/A</v>
      </c>
      <c r="E2337" s="755" t="e">
        <f>IF($C$2337=0,NA(),VLOOKUP($I$2321&amp;$B$2337,FLNFIX!$BT$4:$EF$103,4,0))</f>
        <v>#N/A</v>
      </c>
      <c r="F2337" s="755" t="e">
        <f>IF($C$2337=0,NA(),VLOOKUP($I$2321&amp;$B$2337,FLNFIX!$BT$4:$EF$103,3,0))</f>
        <v>#N/A</v>
      </c>
      <c r="G2337" s="756" t="e">
        <f>IF($C$2337=0,NA(),VLOOKUP($I$2321&amp;$B$2337,FLNFIX!$BT$4:$EF$103,5,0))</f>
        <v>#N/A</v>
      </c>
      <c r="H2337" s="757"/>
      <c r="I2337" s="757"/>
      <c r="J2337" s="758"/>
      <c r="K2337" s="677"/>
    </row>
    <row r="2338" ht="20.1" customHeight="1" spans="1:11">
      <c r="A2338" s="675"/>
      <c r="B2338" s="755">
        <f t="shared" si="42"/>
        <v>14</v>
      </c>
      <c r="C2338" s="755">
        <f>IFERROR(VLOOKUP(B2338,DATEWISE!$A$3:$BY$27,2,0),0)</f>
        <v>0</v>
      </c>
      <c r="D2338" s="755" t="e">
        <f>IF($C$2338=0,NA(),VLOOKUP($I$2321&amp;$B$2338,FLNFIX!$BY$4:$EF$103,2,0))</f>
        <v>#N/A</v>
      </c>
      <c r="E2338" s="755" t="e">
        <f>IF($C$2338=0,NA(),VLOOKUP($I$2321&amp;$B$2338,FLNFIX!$BY$4:$EF$103,4,0))</f>
        <v>#N/A</v>
      </c>
      <c r="F2338" s="755" t="e">
        <f>IF($C$2338=0,NA(),VLOOKUP($I$2321&amp;$B$2338,FLNFIX!$BY$4:$EF$103,3,0))</f>
        <v>#N/A</v>
      </c>
      <c r="G2338" s="756" t="e">
        <f>IF($C$2338=0,NA(),VLOOKUP($I$2321&amp;$B$2338,FLNFIX!$BY$4:$EF$103,5,0))</f>
        <v>#N/A</v>
      </c>
      <c r="H2338" s="757"/>
      <c r="I2338" s="757"/>
      <c r="J2338" s="758"/>
      <c r="K2338" s="677"/>
    </row>
    <row r="2339" ht="20.1" customHeight="1" spans="1:11">
      <c r="A2339" s="675"/>
      <c r="B2339" s="755">
        <f t="shared" si="42"/>
        <v>15</v>
      </c>
      <c r="C2339" s="755">
        <f>IFERROR(VLOOKUP(B2339,DATEWISE!$A$3:$BY$27,2,0),0)</f>
        <v>0</v>
      </c>
      <c r="D2339" s="755" t="e">
        <f>IF($C$2339=0,NA(),VLOOKUP($I$2321&amp;$B$2339,FLNFIX!$CD$4:$EF$103,2,0))</f>
        <v>#N/A</v>
      </c>
      <c r="E2339" s="755" t="e">
        <f>IF($C$2339=0,NA(),VLOOKUP($I$2321&amp;$B$2339,FLNFIX!$CD$4:$EF$103,4,0))</f>
        <v>#N/A</v>
      </c>
      <c r="F2339" s="755" t="e">
        <f>IF($C$2339=0,NA(),VLOOKUP($I$2321&amp;$B$2339,FLNFIX!$CD$4:$EF$103,3,0))</f>
        <v>#N/A</v>
      </c>
      <c r="G2339" s="756" t="e">
        <f>IF($C$2339=0,NA(),VLOOKUP($I$2321&amp;$B$2339,FLNFIX!$CD$4:$EF$103,5,0))</f>
        <v>#N/A</v>
      </c>
      <c r="H2339" s="757"/>
      <c r="I2339" s="757"/>
      <c r="J2339" s="758"/>
      <c r="K2339" s="677"/>
    </row>
    <row r="2340" ht="20.1" customHeight="1" spans="1:11">
      <c r="A2340" s="675"/>
      <c r="B2340" s="755">
        <f t="shared" si="42"/>
        <v>16</v>
      </c>
      <c r="C2340" s="755">
        <f>IFERROR(VLOOKUP(B2340,DATEWISE!$A$3:$BY$27,2,0),0)</f>
        <v>0</v>
      </c>
      <c r="D2340" s="755" t="e">
        <f>IF($C$2340=0,NA(),VLOOKUP($I$2321&amp;$B$2340,FLNFIX!$CI$4:$EF$103,2,0))</f>
        <v>#N/A</v>
      </c>
      <c r="E2340" s="755" t="e">
        <f>IF($C$2340=0,NA(),VLOOKUP($I$2321&amp;$B$2340,FLNFIX!$CI$4:$EF$103,4,0))</f>
        <v>#N/A</v>
      </c>
      <c r="F2340" s="755" t="e">
        <f>IF($C$2340=0,NA(),VLOOKUP($I$2321&amp;$B$2340,FLNFIX!$CI$4:$EF$103,3,0))</f>
        <v>#N/A</v>
      </c>
      <c r="G2340" s="756" t="e">
        <f>IF($C$2340=0,NA(),VLOOKUP($I$2321&amp;$B$2340,FLNFIX!$CI$4:$EF$103,5,0))</f>
        <v>#N/A</v>
      </c>
      <c r="H2340" s="757"/>
      <c r="I2340" s="757"/>
      <c r="J2340" s="758"/>
      <c r="K2340" s="677"/>
    </row>
    <row r="2341" ht="20.1" customHeight="1" spans="1:11">
      <c r="A2341" s="675"/>
      <c r="B2341" s="755">
        <f t="shared" si="42"/>
        <v>17</v>
      </c>
      <c r="C2341" s="755">
        <f>IFERROR(VLOOKUP(B2341,DATEWISE!$A$3:$BY$27,2,0),0)</f>
        <v>0</v>
      </c>
      <c r="D2341" s="755" t="e">
        <f>IF($C$2341=0,NA(),VLOOKUP($I$2321&amp;$B$2341,FLNFIX!$CN$4:$EF$103,2,0))</f>
        <v>#N/A</v>
      </c>
      <c r="E2341" s="755" t="e">
        <f>IF($C$2341=0,NA(),VLOOKUP($I$2321&amp;$B$2341,FLNFIX!$CN$4:$EF$103,4,0))</f>
        <v>#N/A</v>
      </c>
      <c r="F2341" s="755" t="e">
        <f>IF($C$2341=0,NA(),VLOOKUP($I$2321&amp;$B$2341,FLNFIX!$CN$4:$EF$103,3,0))</f>
        <v>#N/A</v>
      </c>
      <c r="G2341" s="756" t="e">
        <f>IF($C$2341=0,NA(),VLOOKUP($I$2321&amp;$B$2341,FLNFIX!$CN$4:$EF$103,5,0))</f>
        <v>#N/A</v>
      </c>
      <c r="H2341" s="757"/>
      <c r="I2341" s="757"/>
      <c r="J2341" s="758"/>
      <c r="K2341" s="677"/>
    </row>
    <row r="2342" ht="20.1" customHeight="1" spans="1:11">
      <c r="A2342" s="675"/>
      <c r="B2342" s="755">
        <f t="shared" si="42"/>
        <v>18</v>
      </c>
      <c r="C2342" s="755">
        <f>IFERROR(VLOOKUP(B2342,DATEWISE!$A$3:$BY$27,2,0),0)</f>
        <v>0</v>
      </c>
      <c r="D2342" s="755" t="e">
        <f>IF($C$2342=0,NA(),VLOOKUP($I$2321&amp;$B$2342,FLNFIX!$CS$4:$EF$103,2,0))</f>
        <v>#N/A</v>
      </c>
      <c r="E2342" s="755" t="e">
        <f>IF($C$2342=0,NA(),VLOOKUP($I$2321&amp;$B$2342,FLNFIX!$CS$4:$EF$103,4,0))</f>
        <v>#N/A</v>
      </c>
      <c r="F2342" s="755" t="e">
        <f>IF($C$2342=0,NA(),VLOOKUP($I$2321&amp;$B$2342,FLNFIX!$CS$4:$EF$103,3,0))</f>
        <v>#N/A</v>
      </c>
      <c r="G2342" s="756" t="e">
        <f>IF($C$2342=0,NA(),VLOOKUP($I$2321&amp;$B$2342,FLNFIX!$CS$4:$EF$103,5,0))</f>
        <v>#N/A</v>
      </c>
      <c r="H2342" s="757"/>
      <c r="I2342" s="757"/>
      <c r="J2342" s="758"/>
      <c r="K2342" s="677"/>
    </row>
    <row r="2343" ht="20.1" customHeight="1" spans="1:11">
      <c r="A2343" s="675"/>
      <c r="B2343" s="755">
        <f t="shared" si="42"/>
        <v>19</v>
      </c>
      <c r="C2343" s="755">
        <f>IFERROR(VLOOKUP(B2343,DATEWISE!$A$3:$BY$27,2,0),0)</f>
        <v>0</v>
      </c>
      <c r="D2343" s="755" t="e">
        <f>IF($C$2343=0,NA(),VLOOKUP($I$2321&amp;$B$2343,FLNFIX!$CX$4:$EF$103,2,0))</f>
        <v>#N/A</v>
      </c>
      <c r="E2343" s="755" t="e">
        <f>IF($C$2343=0,NA(),VLOOKUP($I$2321&amp;$B$2343,FLNFIX!$CX$4:$EF$103,4,0))</f>
        <v>#N/A</v>
      </c>
      <c r="F2343" s="755" t="e">
        <f>IF($C$2343=0,NA(),VLOOKUP($I$2321&amp;$B$2343,FLNFIX!$CX$4:$EF$103,3,0))</f>
        <v>#N/A</v>
      </c>
      <c r="G2343" s="756" t="e">
        <f>IF($C$2343=0,NA(),VLOOKUP($I$2321&amp;$B$2343,FLNFIX!$CX$4:$EF$103,5,0))</f>
        <v>#N/A</v>
      </c>
      <c r="H2343" s="757"/>
      <c r="I2343" s="757"/>
      <c r="J2343" s="758"/>
      <c r="K2343" s="677"/>
    </row>
    <row r="2344" ht="20.1" customHeight="1" spans="1:11">
      <c r="A2344" s="675"/>
      <c r="B2344" s="755">
        <f t="shared" si="42"/>
        <v>20</v>
      </c>
      <c r="C2344" s="755">
        <f>IFERROR(VLOOKUP(B2344,DATEWISE!$A$3:$BY$27,2,0),0)</f>
        <v>0</v>
      </c>
      <c r="D2344" s="755" t="e">
        <f>IF($C$2344=0,NA(),VLOOKUP($I$2321&amp;$B$2344,FLNFIX!$DC$4:$EF$103,2,0))</f>
        <v>#N/A</v>
      </c>
      <c r="E2344" s="755" t="e">
        <f>IF($C$2344=0,NA(),VLOOKUP($I$2321&amp;$B$2344,FLNFIX!$DC$4:$EF$103,4,0))</f>
        <v>#N/A</v>
      </c>
      <c r="F2344" s="755" t="e">
        <f>IF($C$2344=0,NA(),VLOOKUP($I$2321&amp;$B$2344,FLNFIX!$DC$4:$EF$103,3,0))</f>
        <v>#N/A</v>
      </c>
      <c r="G2344" s="756" t="e">
        <f>IF($C$2344=0,NA(),VLOOKUP($I$2321&amp;$B$2344,FLNFIX!$DC$4:$EF$103,5,0))</f>
        <v>#N/A</v>
      </c>
      <c r="H2344" s="757"/>
      <c r="I2344" s="757"/>
      <c r="J2344" s="758"/>
      <c r="K2344" s="677"/>
    </row>
    <row r="2345" ht="20.1" customHeight="1" spans="1:11">
      <c r="A2345" s="675"/>
      <c r="B2345" s="755">
        <f t="shared" si="42"/>
        <v>21</v>
      </c>
      <c r="C2345" s="755">
        <f>IFERROR(VLOOKUP(B2345,DATEWISE!$A$3:$BY$27,2,0),0)</f>
        <v>0</v>
      </c>
      <c r="D2345" s="755" t="e">
        <f>IF($C$2345=0,NA(),VLOOKUP($I$2321&amp;$B$2345,FLNFIX!$DH$4:$EF$103,2,0))</f>
        <v>#N/A</v>
      </c>
      <c r="E2345" s="755" t="e">
        <f>IF($C$2345=0,NA(),VLOOKUP($I$2321&amp;$B$2345,FLNFIX!$DH$4:$EF$103,4,0))</f>
        <v>#N/A</v>
      </c>
      <c r="F2345" s="755" t="e">
        <f>IF($C$2345=0,NA(),VLOOKUP($I$2321&amp;$B$2345,FLNFIX!$DH$4:$EF$103,3,0))</f>
        <v>#N/A</v>
      </c>
      <c r="G2345" s="756" t="e">
        <f>IF($C$2345=0,NA(),VLOOKUP($I$2321&amp;$B$2345,FLNFIX!$DH$4:$EF$103,5,0))</f>
        <v>#N/A</v>
      </c>
      <c r="H2345" s="757"/>
      <c r="I2345" s="757"/>
      <c r="J2345" s="758"/>
      <c r="K2345" s="677"/>
    </row>
    <row r="2346" ht="5.1" customHeight="1" spans="1:11">
      <c r="A2346" s="675"/>
      <c r="B2346" s="759"/>
      <c r="C2346" s="759"/>
      <c r="D2346" s="760"/>
      <c r="E2346" s="760"/>
      <c r="F2346" s="760"/>
      <c r="G2346" s="761"/>
      <c r="H2346" s="761"/>
      <c r="I2346" s="761"/>
      <c r="J2346" s="761"/>
      <c r="K2346" s="677"/>
    </row>
    <row r="2347" s="667" customFormat="1" ht="24.95" customHeight="1" spans="1:11">
      <c r="A2347" s="711"/>
      <c r="B2347" s="762" t="s">
        <v>431</v>
      </c>
      <c r="C2347" s="763"/>
      <c r="D2347" s="763"/>
      <c r="E2347" s="763"/>
      <c r="F2347" s="763"/>
      <c r="G2347" s="763"/>
      <c r="H2347" s="763"/>
      <c r="I2347" s="763"/>
      <c r="J2347" s="764"/>
      <c r="K2347" s="713"/>
    </row>
    <row r="2348" spans="1:11">
      <c r="A2348" s="675"/>
      <c r="B2348" s="765"/>
      <c r="C2348" s="686"/>
      <c r="D2348" s="686"/>
      <c r="E2348" s="686"/>
      <c r="F2348" s="686"/>
      <c r="G2348" s="686"/>
      <c r="H2348" s="686"/>
      <c r="I2348" s="686"/>
      <c r="J2348" s="766"/>
      <c r="K2348" s="677"/>
    </row>
    <row r="2349" spans="1:11">
      <c r="A2349" s="675"/>
      <c r="B2349" s="765"/>
      <c r="C2349" s="686"/>
      <c r="D2349" s="686"/>
      <c r="E2349" s="686"/>
      <c r="F2349" s="686"/>
      <c r="G2349" s="686"/>
      <c r="H2349" s="686"/>
      <c r="I2349" s="686"/>
      <c r="J2349" s="766"/>
      <c r="K2349" s="677"/>
    </row>
    <row r="2350" spans="1:11">
      <c r="A2350" s="675"/>
      <c r="B2350" s="765"/>
      <c r="C2350" s="686"/>
      <c r="D2350" s="686"/>
      <c r="E2350" s="686"/>
      <c r="F2350" s="686"/>
      <c r="G2350" s="686"/>
      <c r="H2350" s="686"/>
      <c r="I2350" s="686"/>
      <c r="J2350" s="766"/>
      <c r="K2350" s="677"/>
    </row>
    <row r="2351" spans="1:11">
      <c r="A2351" s="675"/>
      <c r="B2351" s="765"/>
      <c r="C2351" s="686"/>
      <c r="D2351" s="686"/>
      <c r="E2351" s="686"/>
      <c r="F2351" s="686"/>
      <c r="G2351" s="686"/>
      <c r="H2351" s="686"/>
      <c r="I2351" s="686"/>
      <c r="J2351" s="766"/>
      <c r="K2351" s="677"/>
    </row>
    <row r="2352" spans="1:11">
      <c r="A2352" s="675"/>
      <c r="B2352" s="765"/>
      <c r="C2352" s="686"/>
      <c r="D2352" s="686"/>
      <c r="E2352" s="686"/>
      <c r="F2352" s="686"/>
      <c r="G2352" s="686"/>
      <c r="H2352" s="686"/>
      <c r="I2352" s="686"/>
      <c r="J2352" s="766"/>
      <c r="K2352" s="677"/>
    </row>
    <row r="2353" spans="1:11">
      <c r="A2353" s="675"/>
      <c r="B2353" s="765"/>
      <c r="C2353" s="686"/>
      <c r="D2353" s="686"/>
      <c r="E2353" s="686"/>
      <c r="F2353" s="686"/>
      <c r="G2353" s="686"/>
      <c r="H2353" s="686"/>
      <c r="I2353" s="686"/>
      <c r="J2353" s="766"/>
      <c r="K2353" s="677"/>
    </row>
    <row r="2354" spans="1:11">
      <c r="A2354" s="675"/>
      <c r="B2354" s="765"/>
      <c r="C2354" s="686"/>
      <c r="D2354" s="686"/>
      <c r="E2354" s="686"/>
      <c r="F2354" s="686"/>
      <c r="G2354" s="686"/>
      <c r="H2354" s="686"/>
      <c r="I2354" s="686"/>
      <c r="J2354" s="766"/>
      <c r="K2354" s="677"/>
    </row>
    <row r="2355" spans="1:11">
      <c r="A2355" s="675"/>
      <c r="B2355" s="765"/>
      <c r="C2355" s="686"/>
      <c r="D2355" s="686"/>
      <c r="E2355" s="686"/>
      <c r="F2355" s="686"/>
      <c r="G2355" s="686"/>
      <c r="H2355" s="686"/>
      <c r="I2355" s="686"/>
      <c r="J2355" s="766"/>
      <c r="K2355" s="677"/>
    </row>
    <row r="2356" spans="1:11">
      <c r="A2356" s="675"/>
      <c r="B2356" s="765"/>
      <c r="C2356" s="686"/>
      <c r="D2356" s="686"/>
      <c r="E2356" s="686"/>
      <c r="F2356" s="686"/>
      <c r="G2356" s="686"/>
      <c r="H2356" s="686"/>
      <c r="I2356" s="686"/>
      <c r="J2356" s="766"/>
      <c r="K2356" s="677"/>
    </row>
    <row r="2357" spans="1:11">
      <c r="A2357" s="675"/>
      <c r="B2357" s="767"/>
      <c r="C2357" s="768"/>
      <c r="D2357" s="768"/>
      <c r="E2357" s="768"/>
      <c r="F2357" s="768"/>
      <c r="G2357" s="768"/>
      <c r="H2357" s="768"/>
      <c r="I2357" s="768"/>
      <c r="J2357" s="769"/>
      <c r="K2357" s="677"/>
    </row>
    <row r="2358" ht="5.1" customHeight="1" spans="1:11">
      <c r="A2358" s="675"/>
      <c r="B2358" s="686"/>
      <c r="C2358" s="686"/>
      <c r="D2358" s="686"/>
      <c r="E2358" s="686"/>
      <c r="F2358" s="686"/>
      <c r="G2358" s="686"/>
      <c r="H2358" s="686"/>
      <c r="I2358" s="686"/>
      <c r="J2358" s="686"/>
      <c r="K2358" s="677"/>
    </row>
    <row r="2359" spans="1:11">
      <c r="A2359" s="675"/>
      <c r="B2359" s="770" t="s">
        <v>432</v>
      </c>
      <c r="C2359" s="770"/>
      <c r="D2359" s="770"/>
      <c r="E2359" s="770"/>
      <c r="F2359" s="770"/>
      <c r="G2359" s="770"/>
      <c r="H2359" s="770"/>
      <c r="I2359" s="770"/>
      <c r="J2359" s="770"/>
      <c r="K2359" s="677"/>
    </row>
    <row r="2360" spans="1:11">
      <c r="A2360" s="675"/>
      <c r="B2360" s="771"/>
      <c r="C2360" s="771"/>
      <c r="D2360" s="771"/>
      <c r="E2360" s="771"/>
      <c r="F2360" s="771"/>
      <c r="G2360" s="771"/>
      <c r="H2360" s="771"/>
      <c r="I2360" s="771"/>
      <c r="J2360" s="771"/>
      <c r="K2360" s="677"/>
    </row>
    <row r="2361" spans="1:11">
      <c r="A2361" s="675"/>
      <c r="B2361" s="771"/>
      <c r="C2361" s="771"/>
      <c r="D2361" s="771"/>
      <c r="E2361" s="771"/>
      <c r="F2361" s="771"/>
      <c r="G2361" s="771"/>
      <c r="H2361" s="771"/>
      <c r="I2361" s="771"/>
      <c r="J2361" s="771"/>
      <c r="K2361" s="677"/>
    </row>
    <row r="2362" spans="1:11">
      <c r="A2362" s="675"/>
      <c r="B2362" s="771"/>
      <c r="C2362" s="771"/>
      <c r="D2362" s="771"/>
      <c r="E2362" s="771"/>
      <c r="F2362" s="771"/>
      <c r="G2362" s="771"/>
      <c r="H2362" s="771"/>
      <c r="I2362" s="771"/>
      <c r="J2362" s="771"/>
      <c r="K2362" s="677"/>
    </row>
    <row r="2363" spans="1:11">
      <c r="A2363" s="675"/>
      <c r="B2363" s="686"/>
      <c r="C2363" s="686"/>
      <c r="D2363" s="686"/>
      <c r="E2363" s="686"/>
      <c r="F2363" s="686"/>
      <c r="G2363" s="686"/>
      <c r="H2363" s="686"/>
      <c r="I2363" s="686"/>
      <c r="J2363" s="686"/>
      <c r="K2363" s="677"/>
    </row>
    <row r="2364" spans="1:11">
      <c r="A2364" s="675"/>
      <c r="B2364" s="686"/>
      <c r="C2364" s="729" t="s">
        <v>433</v>
      </c>
      <c r="D2364" s="729"/>
      <c r="E2364" s="686"/>
      <c r="F2364" s="686"/>
      <c r="G2364" s="729" t="s">
        <v>434</v>
      </c>
      <c r="H2364" s="729"/>
      <c r="I2364" s="729"/>
      <c r="J2364" s="729"/>
      <c r="K2364" s="677"/>
    </row>
    <row r="2365" ht="16.35" spans="1:11">
      <c r="A2365" s="725"/>
      <c r="B2365" s="726"/>
      <c r="C2365" s="732" t="str">
        <f>"("&amp;PROPER(ENTRY!$D$19)&amp;")"</f>
        <v>(Indrajeet)</v>
      </c>
      <c r="D2365" s="732"/>
      <c r="E2365" s="726"/>
      <c r="F2365" s="726"/>
      <c r="G2365" s="732" t="str">
        <f>"("&amp;PROPER(ENTRY!$D$12)&amp;")"</f>
        <v>(Shambhu Dayal Meena)</v>
      </c>
      <c r="H2365" s="732"/>
      <c r="I2365" s="732"/>
      <c r="J2365" s="732"/>
      <c r="K2365" s="728"/>
    </row>
    <row r="2366" ht="24.6" spans="1:11">
      <c r="B2366" s="734"/>
      <c r="C2366" s="734"/>
      <c r="D2366" s="669" t="str">
        <f>ENTRY!$D$3</f>
        <v>MUNICIPAL CORPORATION OF DELHI</v>
      </c>
      <c r="E2366" s="669"/>
      <c r="F2366" s="669"/>
      <c r="G2366" s="669"/>
      <c r="H2366" s="734"/>
      <c r="I2366" s="669"/>
      <c r="J2366" s="669"/>
    </row>
    <row r="2367" ht="20.4" spans="1:11">
      <c r="B2367" s="735"/>
      <c r="C2367" s="735"/>
      <c r="D2367" s="670" t="str">
        <f>ENTRY!$D$4</f>
        <v>EDUCATION DEPARTMENT</v>
      </c>
      <c r="E2367" s="670"/>
      <c r="F2367" s="670"/>
      <c r="G2367" s="670"/>
      <c r="H2367" s="735"/>
      <c r="I2367" s="669"/>
      <c r="J2367" s="669"/>
    </row>
    <row r="2368" ht="22.8" spans="1:11">
      <c r="B2368" s="736"/>
      <c r="C2368" s="736"/>
      <c r="D2368" s="664" t="s">
        <v>417</v>
      </c>
      <c r="E2368" s="664"/>
      <c r="F2368" s="664"/>
      <c r="G2368" s="664"/>
      <c r="H2368" s="736"/>
      <c r="I2368" s="669"/>
      <c r="J2368" s="669"/>
    </row>
    <row r="2369" ht="22.8" spans="1:11">
      <c r="B2369" s="736"/>
      <c r="C2369" s="736"/>
      <c r="D2369" s="664" t="s">
        <v>418</v>
      </c>
      <c r="E2369" s="664"/>
      <c r="F2369" s="664"/>
      <c r="G2369" s="664"/>
      <c r="H2369" s="736"/>
      <c r="I2369" s="669"/>
      <c r="J2369" s="669"/>
    </row>
    <row r="2370" ht="24.95" customHeight="1" spans="1:11">
      <c r="B2370" s="735"/>
      <c r="C2370" s="735"/>
      <c r="D2370" s="737" t="str">
        <f>"SESSION : "&amp;ENTRY!$D$11</f>
        <v>SESSION : 2026-27</v>
      </c>
      <c r="E2370" s="737"/>
      <c r="F2370" s="737"/>
      <c r="G2370" s="737"/>
      <c r="H2370" s="735"/>
      <c r="I2370" s="738"/>
      <c r="J2370" s="738"/>
    </row>
    <row r="2371" ht="3.75" customHeight="1" spans="1:11">
      <c r="A2371" s="672"/>
      <c r="B2371" s="739"/>
      <c r="C2371" s="739"/>
      <c r="D2371" s="739"/>
      <c r="E2371" s="739"/>
      <c r="F2371" s="739"/>
      <c r="G2371" s="739"/>
      <c r="H2371" s="739"/>
      <c r="I2371" s="739"/>
      <c r="J2371" s="739"/>
      <c r="K2371" s="674"/>
    </row>
    <row r="2372" ht="21.95" customHeight="1" spans="1:11">
      <c r="A2372" s="675"/>
      <c r="B2372" s="676" t="s">
        <v>419</v>
      </c>
      <c r="C2372" s="676"/>
      <c r="D2372" s="676" t="str">
        <f>ENTRY!$D$6</f>
        <v>MCP NITHARI NO 1 BOYS</v>
      </c>
      <c r="E2372" s="676"/>
      <c r="F2372" s="676"/>
      <c r="G2372" s="676"/>
      <c r="H2372" s="676"/>
      <c r="I2372" s="676"/>
      <c r="J2372" s="676"/>
      <c r="K2372" s="677"/>
    </row>
    <row r="2373" ht="21.95" customHeight="1" spans="1:11">
      <c r="A2373" s="675"/>
      <c r="B2373" s="676" t="s">
        <v>420</v>
      </c>
      <c r="C2373" s="676"/>
      <c r="D2373" s="740">
        <f>IFERROR(VLOOKUP($I$2376,STUDENT!$A$2:$BP$101,5,0),"")</f>
        <v>0</v>
      </c>
      <c r="E2373" s="740"/>
      <c r="F2373" s="740"/>
      <c r="G2373" s="740"/>
      <c r="H2373" s="740"/>
      <c r="I2373" s="740"/>
      <c r="J2373" s="740"/>
      <c r="K2373" s="677"/>
    </row>
    <row r="2374" ht="21.95" customHeight="1" spans="1:11">
      <c r="A2374" s="675"/>
      <c r="B2374" s="676" t="s">
        <v>421</v>
      </c>
      <c r="C2374" s="676"/>
      <c r="D2374" s="740">
        <f>IFERROR(VLOOKUP($I$2376,STUDENT!$A$2:$BP$101,8,0),"")</f>
        <v>0</v>
      </c>
      <c r="E2374" s="740"/>
      <c r="F2374" s="740"/>
      <c r="G2374" s="740"/>
      <c r="H2374" s="740"/>
      <c r="I2374" s="740"/>
      <c r="J2374" s="740"/>
      <c r="K2374" s="677"/>
    </row>
    <row r="2375" ht="21.95" customHeight="1" spans="1:11">
      <c r="A2375" s="675"/>
      <c r="B2375" s="676" t="s">
        <v>422</v>
      </c>
      <c r="C2375" s="676"/>
      <c r="D2375" s="740">
        <f>IFERROR(VLOOKUP($I$2376,STUDENT!$A$2:$BP$101,6,0),"")</f>
        <v>0</v>
      </c>
      <c r="E2375" s="740"/>
      <c r="F2375" s="740"/>
      <c r="G2375" s="740"/>
      <c r="H2375" s="740"/>
      <c r="I2375" s="740"/>
      <c r="J2375" s="740"/>
      <c r="K2375" s="677"/>
    </row>
    <row r="2376" ht="21.95" customHeight="1" spans="1:11">
      <c r="A2376" s="675"/>
      <c r="B2376" s="676" t="s">
        <v>423</v>
      </c>
      <c r="C2376" s="676"/>
      <c r="D2376" s="741" t="str">
        <f>IFERROR(VLOOKUP($I$2376,STUDENT!$A$2:$BP$101,59,0),"")</f>
        <v/>
      </c>
      <c r="E2376" s="742" t="s">
        <v>424</v>
      </c>
      <c r="F2376" s="704" t="str">
        <f>IFERROR(VLOOKUP($I$2376,STUDENT!$A$2:$BP$101,2,0),"")</f>
        <v>III-A</v>
      </c>
      <c r="G2376" s="742" t="s">
        <v>425</v>
      </c>
      <c r="H2376" s="743"/>
      <c r="I2376" s="733">
        <f>I2321+1</f>
        <v>44</v>
      </c>
      <c r="J2376" s="683"/>
      <c r="K2376" s="677"/>
    </row>
    <row r="2377" ht="5.1" customHeight="1" spans="1:11">
      <c r="A2377" s="675"/>
      <c r="B2377" s="745"/>
      <c r="C2377" s="745"/>
      <c r="D2377" s="746"/>
      <c r="E2377" s="747"/>
      <c r="F2377" s="748"/>
      <c r="G2377" s="747"/>
      <c r="H2377" s="686"/>
      <c r="I2377" s="686"/>
      <c r="J2377" s="686"/>
      <c r="K2377" s="677"/>
    </row>
    <row r="2378" s="664" customFormat="1" ht="32.1" customHeight="1" spans="1:11">
      <c r="A2378" s="688"/>
      <c r="B2378" s="749" t="s">
        <v>426</v>
      </c>
      <c r="C2378" s="750"/>
      <c r="D2378" s="750"/>
      <c r="E2378" s="750"/>
      <c r="F2378" s="750"/>
      <c r="G2378" s="750"/>
      <c r="H2378" s="750"/>
      <c r="I2378" s="750"/>
      <c r="J2378" s="751"/>
      <c r="K2378" s="690"/>
    </row>
    <row r="2379" ht="51.6" spans="1:11">
      <c r="A2379" s="675"/>
      <c r="B2379" s="752">
        <v>21</v>
      </c>
      <c r="C2379" s="753" t="s">
        <v>427</v>
      </c>
      <c r="D2379" s="754" t="s">
        <v>428</v>
      </c>
      <c r="E2379" s="754" t="s">
        <v>429</v>
      </c>
      <c r="F2379" s="754" t="s">
        <v>430</v>
      </c>
      <c r="G2379" s="753" t="s">
        <v>390</v>
      </c>
      <c r="H2379" s="714"/>
      <c r="I2379" s="714"/>
      <c r="J2379" s="714"/>
      <c r="K2379" s="677"/>
    </row>
    <row r="2380" ht="20.1" customHeight="1" spans="1:11">
      <c r="A2380" s="675"/>
      <c r="B2380" s="755">
        <v>1</v>
      </c>
      <c r="C2380" s="755" t="str">
        <f>IFERROR(VLOOKUP(B2380,DATEWISE!$A$3:$BY$27,2,0),0)</f>
        <v>30.04.2026</v>
      </c>
      <c r="D2380" s="755" t="str">
        <f>IF($C$2380=0,NA(),VLOOKUP($I$2376&amp;$B$2380,FLNFIX!$L$4:$EF$103,2,0))</f>
        <v>-</v>
      </c>
      <c r="E2380" s="755" t="str">
        <f>IF($C$2380=0,NA(),VLOOKUP($I$2376&amp;$B$2380,FLNFIX!$L$4:$EF$103,4,0))</f>
        <v>-</v>
      </c>
      <c r="F2380" s="755" t="str">
        <f>IF($C$2380=0,NA(),VLOOKUP($I$2376&amp;$B$2380,FLNFIX!$L$4:$EF$103,3,0))</f>
        <v>-</v>
      </c>
      <c r="G2380" s="756">
        <f>IF($C$2380=0,NA(),VLOOKUP($I$2376&amp;$B$2380,FLNFIX!$L$4:$EF$103,5,0))</f>
        <v>0</v>
      </c>
      <c r="H2380" s="757"/>
      <c r="I2380" s="757"/>
      <c r="J2380" s="758"/>
      <c r="K2380" s="677"/>
    </row>
    <row r="2381" ht="20.1" customHeight="1" spans="1:11">
      <c r="A2381" s="675"/>
      <c r="B2381" s="755">
        <f t="shared" ref="B2381:B2400" si="43">IF(B2380=0,0,IF(B2380&lt;$B$2379,B2380+1,""))</f>
        <v>2</v>
      </c>
      <c r="C2381" s="755" t="str">
        <f>IFERROR(VLOOKUP(B2381,DATEWISE!$A$3:$BY$27,2,0),0)</f>
        <v>08.05.2026</v>
      </c>
      <c r="D2381" s="755">
        <f>IF($C$2381=0,NA(),VLOOKUP($I$2376&amp;$B$2381,FLNFIX!$Q$4:$EF$103,2,0))</f>
        <v>0</v>
      </c>
      <c r="E2381" s="755">
        <f>IF($C$2381=0,NA(),VLOOKUP($I$2376&amp;$B$2381,FLNFIX!$Q$4:$EF$103,4,0))</f>
        <v>0</v>
      </c>
      <c r="F2381" s="755">
        <f>IF($C$2381=0,NA(),VLOOKUP($I$2376&amp;$B$2381,FLNFIX!$Q$4:$EF$103,3,0))</f>
        <v>0</v>
      </c>
      <c r="G2381" s="756">
        <f>IF($C$2381=0,NA(),VLOOKUP($I$2376&amp;$B$2381,FLNFIX!$Q$4:$EF$103,5,0))</f>
        <v>0</v>
      </c>
      <c r="H2381" s="757"/>
      <c r="I2381" s="757"/>
      <c r="J2381" s="758"/>
      <c r="K2381" s="677"/>
    </row>
    <row r="2382" ht="20.1" customHeight="1" spans="1:11">
      <c r="A2382" s="675"/>
      <c r="B2382" s="755">
        <f t="shared" si="43"/>
        <v>3</v>
      </c>
      <c r="C2382" s="755" t="str">
        <f>IFERROR(VLOOKUP(B2382,DATEWISE!$A$3:$BY$27,2,0),0)</f>
        <v>15.07.2026</v>
      </c>
      <c r="D2382" s="755">
        <f>IF($C$2382=0,NA(),VLOOKUP($I$2376&amp;$B$2382,FLNFIX!$V$4:$EF$103,2,0))</f>
        <v>0</v>
      </c>
      <c r="E2382" s="755">
        <f>IF($C$2382=0,NA(),VLOOKUP($I$2376&amp;$B$2382,FLNFIX!$V$4:$EF$103,4,0))</f>
        <v>0</v>
      </c>
      <c r="F2382" s="755">
        <f>IF($C$2382=0,NA(),VLOOKUP($I$2376&amp;$B$2382,FLNFIX!$V$4:$EF$103,3,0))</f>
        <v>0</v>
      </c>
      <c r="G2382" s="756">
        <f>IF($C$2382=0,NA(),VLOOKUP($I$2376&amp;$B$2382,FLNFIX!$V$4:$EF$103,5,0))</f>
        <v>0</v>
      </c>
      <c r="H2382" s="757"/>
      <c r="I2382" s="757"/>
      <c r="J2382" s="758"/>
      <c r="K2382" s="677"/>
    </row>
    <row r="2383" ht="20.1" customHeight="1" spans="1:11">
      <c r="A2383" s="675"/>
      <c r="B2383" s="755">
        <f t="shared" si="43"/>
        <v>4</v>
      </c>
      <c r="C2383" s="755" t="str">
        <f>IFERROR(VLOOKUP(B2383,DATEWISE!$A$3:$BY$27,2,0),0)</f>
        <v>31.07.2026</v>
      </c>
      <c r="D2383" s="755">
        <f>IF($C$2383=0,NA(),VLOOKUP($I$2376&amp;$B$2383,FLNFIX!$AA$4:$EF$103,2,0))</f>
        <v>0</v>
      </c>
      <c r="E2383" s="755">
        <f>IF($C$2383=0,NA(),VLOOKUP($I$2376&amp;$B$2383,FLNFIX!$AA$4:$EF$103,4,0))</f>
        <v>0</v>
      </c>
      <c r="F2383" s="755">
        <f>IF($C$2383=0,NA(),VLOOKUP($I$2376&amp;$B$2383,FLNFIX!$AA$4:$EF$103,3,0))</f>
        <v>0</v>
      </c>
      <c r="G2383" s="756">
        <f>IF($C$2383=0,NA(),VLOOKUP($I$2376&amp;$B$2383,FLNFIX!$AA$4:$EF$103,5,0))</f>
        <v>0</v>
      </c>
      <c r="H2383" s="757"/>
      <c r="I2383" s="757"/>
      <c r="J2383" s="758"/>
      <c r="K2383" s="677"/>
    </row>
    <row r="2384" ht="20.1" customHeight="1" spans="1:11">
      <c r="A2384" s="675"/>
      <c r="B2384" s="755">
        <f t="shared" si="43"/>
        <v>5</v>
      </c>
      <c r="C2384" s="755" t="str">
        <f>IFERROR(VLOOKUP(B2384,DATEWISE!$A$3:$BY$27,2,0),0)</f>
        <v>17.08.2026</v>
      </c>
      <c r="D2384" s="755">
        <f>IF($C$2384=0,NA(),VLOOKUP($I$2376&amp;$B$2384,FLNFIX!$AF$4:$EF$103,2,0))</f>
        <v>0</v>
      </c>
      <c r="E2384" s="755">
        <f>IF($C$2384=0,NA(),VLOOKUP($I$2376&amp;$B$2384,FLNFIX!$AF$4:$EF$103,4,0))</f>
        <v>0</v>
      </c>
      <c r="F2384" s="755">
        <f>IF($C$2384=0,NA(),VLOOKUP($I$2376&amp;$B$2384,FLNFIX!$AF$4:$EF$103,3,0))</f>
        <v>0</v>
      </c>
      <c r="G2384" s="756">
        <f>IF($C$2384=0,NA(),VLOOKUP($I$2376&amp;$B$2384,FLNFIX!$AF$4:$EF$103,5,0))</f>
        <v>0</v>
      </c>
      <c r="H2384" s="757"/>
      <c r="I2384" s="757"/>
      <c r="J2384" s="758"/>
      <c r="K2384" s="677"/>
    </row>
    <row r="2385" ht="20.1" customHeight="1" spans="1:11">
      <c r="A2385" s="675"/>
      <c r="B2385" s="755">
        <f t="shared" si="43"/>
        <v>6</v>
      </c>
      <c r="C2385" s="755" t="str">
        <f>IFERROR(VLOOKUP(B2385,DATEWISE!$A$3:$BY$27,2,0),0)</f>
        <v>31.08.2026</v>
      </c>
      <c r="D2385" s="755">
        <f>IF($C$2385=0,NA(),VLOOKUP($I$2376&amp;$B$2385,FLNFIX!$AK$4:$EF$103,2,0))</f>
        <v>0</v>
      </c>
      <c r="E2385" s="755">
        <f>IF($C$2385=0,NA(),VLOOKUP($I$2376&amp;$B$2385,FLNFIX!$AK$4:$EF$103,4,0))</f>
        <v>0</v>
      </c>
      <c r="F2385" s="755">
        <f>IF($C$2385=0,NA(),VLOOKUP($I$2376&amp;$B$2385,FLNFIX!$AK$4:$EF$103,3,0))</f>
        <v>0</v>
      </c>
      <c r="G2385" s="756">
        <f>IF($C$2385=0,NA(),VLOOKUP($I$2376&amp;$B$2385,FLNFIX!$AK$4:$EF$103,5,0))</f>
        <v>0</v>
      </c>
      <c r="H2385" s="757"/>
      <c r="I2385" s="757"/>
      <c r="J2385" s="758"/>
      <c r="K2385" s="677"/>
    </row>
    <row r="2386" ht="20.1" customHeight="1" spans="1:11">
      <c r="A2386" s="675"/>
      <c r="B2386" s="755">
        <f t="shared" si="43"/>
        <v>7</v>
      </c>
      <c r="C2386" s="755">
        <f>IFERROR(VLOOKUP(B2386,DATEWISE!$A$3:$BY$27,2,0),0)</f>
        <v>0</v>
      </c>
      <c r="D2386" s="755" t="e">
        <f>IF($C$2386=0,NA(),VLOOKUP($I$2376&amp;$B$2386,FLNFIX!$AP$4:$EF$103,2,0))</f>
        <v>#N/A</v>
      </c>
      <c r="E2386" s="755" t="e">
        <f>IF($C$2386=0,NA(),VLOOKUP($I$2376&amp;$B$2386,FLNFIX!$AP$4:$EF$103,4,0))</f>
        <v>#N/A</v>
      </c>
      <c r="F2386" s="755" t="e">
        <f>IF($C$2386=0,NA(),VLOOKUP($I$2376&amp;$B$2386,FLNFIX!$AP$4:$EF$103,3,0))</f>
        <v>#N/A</v>
      </c>
      <c r="G2386" s="756" t="e">
        <f>IF($C$2386=0,NA(),VLOOKUP($I$2376&amp;$B$2386,FLNFIX!$AP$4:$EF$103,5,0))</f>
        <v>#N/A</v>
      </c>
      <c r="H2386" s="757"/>
      <c r="I2386" s="757"/>
      <c r="J2386" s="758"/>
      <c r="K2386" s="677"/>
    </row>
    <row r="2387" ht="20.1" customHeight="1" spans="1:11">
      <c r="A2387" s="675"/>
      <c r="B2387" s="755">
        <f t="shared" si="43"/>
        <v>8</v>
      </c>
      <c r="C2387" s="755">
        <f>IFERROR(VLOOKUP(B2387,DATEWISE!$A$3:$BY$27,2,0),0)</f>
        <v>0</v>
      </c>
      <c r="D2387" s="755" t="e">
        <f>IF($C$2387=0,NA(),VLOOKUP($I$2376&amp;$B$2387,FLNFIX!$AU$4:$EF$103,2,0))</f>
        <v>#N/A</v>
      </c>
      <c r="E2387" s="755" t="e">
        <f>IF($C$2387=0,NA(),VLOOKUP($I$2376&amp;$B$2387,FLNFIX!$AU$4:$EF$103,4,0))</f>
        <v>#N/A</v>
      </c>
      <c r="F2387" s="755" t="e">
        <f>IF($C$2387=0,NA(),VLOOKUP($I$2376&amp;$B$2387,FLNFIX!$AU$4:$EF$103,3,0))</f>
        <v>#N/A</v>
      </c>
      <c r="G2387" s="756" t="e">
        <f>IF($C$2387=0,NA(),VLOOKUP($I$2376&amp;$B$2387,FLNFIX!$AU$4:$EF$103,5,0))</f>
        <v>#N/A</v>
      </c>
      <c r="H2387" s="757"/>
      <c r="I2387" s="757"/>
      <c r="J2387" s="758"/>
      <c r="K2387" s="677"/>
    </row>
    <row r="2388" ht="20.1" customHeight="1" spans="1:11">
      <c r="A2388" s="675"/>
      <c r="B2388" s="755">
        <f t="shared" si="43"/>
        <v>9</v>
      </c>
      <c r="C2388" s="755">
        <f>IFERROR(VLOOKUP(B2388,DATEWISE!$A$3:$BY$27,2,0),0)</f>
        <v>0</v>
      </c>
      <c r="D2388" s="755" t="e">
        <f>IF($C$2388=0,NA(),VLOOKUP($I$2376&amp;$B$2388,FLNFIX!$AZ$4:$EF$103,2,0))</f>
        <v>#N/A</v>
      </c>
      <c r="E2388" s="755" t="e">
        <f>IF($C$2388=0,NA(),VLOOKUP($I$2376&amp;$B$2388,FLNFIX!$AZ$4:$EF$103,4,0))</f>
        <v>#N/A</v>
      </c>
      <c r="F2388" s="755" t="e">
        <f>IF($C$2388=0,NA(),VLOOKUP($I$2376&amp;$B$2388,FLNFIX!$AZ$4:$EF$103,3,0))</f>
        <v>#N/A</v>
      </c>
      <c r="G2388" s="756" t="e">
        <f>IF($C$2388=0,NA(),VLOOKUP($I$2376&amp;$B$2388,FLNFIX!$AZ$4:$EF$103,5,0))</f>
        <v>#N/A</v>
      </c>
      <c r="H2388" s="757"/>
      <c r="I2388" s="757"/>
      <c r="J2388" s="758"/>
      <c r="K2388" s="677"/>
    </row>
    <row r="2389" ht="20.1" customHeight="1" spans="1:11">
      <c r="A2389" s="675"/>
      <c r="B2389" s="755">
        <f t="shared" si="43"/>
        <v>10</v>
      </c>
      <c r="C2389" s="755">
        <f>IFERROR(VLOOKUP(B2389,DATEWISE!$A$3:$BY$27,2,0),0)</f>
        <v>0</v>
      </c>
      <c r="D2389" s="755" t="e">
        <f>IF($C$2389=0,NA(),VLOOKUP($I$2376&amp;$B$2389,FLNFIX!$BE$4:$EF$103,2,0))</f>
        <v>#N/A</v>
      </c>
      <c r="E2389" s="755" t="e">
        <f>IF($C$2389=0,NA(),VLOOKUP($I$2376&amp;$B$2389,FLNFIX!$BE$4:$EF$103,4,0))</f>
        <v>#N/A</v>
      </c>
      <c r="F2389" s="755" t="e">
        <f>IF($C$2389=0,NA(),VLOOKUP($I$2376&amp;$B$2389,FLNFIX!$BE$4:$EF$103,3,0))</f>
        <v>#N/A</v>
      </c>
      <c r="G2389" s="756" t="e">
        <f>IF($C$2389=0,NA(),VLOOKUP($I$2376&amp;$B$2389,FLNFIX!$BE$4:$EF$103,5,0))</f>
        <v>#N/A</v>
      </c>
      <c r="H2389" s="757"/>
      <c r="I2389" s="757"/>
      <c r="J2389" s="758"/>
      <c r="K2389" s="677"/>
    </row>
    <row r="2390" ht="20.1" customHeight="1" spans="1:11">
      <c r="A2390" s="675"/>
      <c r="B2390" s="755">
        <f t="shared" si="43"/>
        <v>11</v>
      </c>
      <c r="C2390" s="755">
        <f>IFERROR(VLOOKUP(B2390,DATEWISE!$A$3:$BY$27,2,0),0)</f>
        <v>0</v>
      </c>
      <c r="D2390" s="755" t="e">
        <f>IF($C$2390=0,NA(),VLOOKUP($I$2376&amp;$B$2390,FLNFIX!$BJ$4:$EF$103,2,0))</f>
        <v>#N/A</v>
      </c>
      <c r="E2390" s="755" t="e">
        <f>IF($C$2390=0,NA(),VLOOKUP($I$2376&amp;$B$2390,FLNFIX!$BJ$4:$EF$103,4,0))</f>
        <v>#N/A</v>
      </c>
      <c r="F2390" s="755" t="e">
        <f>IF($C$2390=0,NA(),VLOOKUP($I$2376&amp;$B$2390,FLNFIX!$BJ$4:$EF$103,3,0))</f>
        <v>#N/A</v>
      </c>
      <c r="G2390" s="756" t="e">
        <f>IF($C$2390=0,NA(),VLOOKUP($I$2376&amp;$B$2390,FLNFIX!$BJ$4:$EF$103,5,0))</f>
        <v>#N/A</v>
      </c>
      <c r="H2390" s="757"/>
      <c r="I2390" s="757"/>
      <c r="J2390" s="758"/>
      <c r="K2390" s="677"/>
    </row>
    <row r="2391" ht="20.1" customHeight="1" spans="1:11">
      <c r="A2391" s="675"/>
      <c r="B2391" s="755">
        <f t="shared" si="43"/>
        <v>12</v>
      </c>
      <c r="C2391" s="755">
        <f>IFERROR(VLOOKUP(B2391,DATEWISE!$A$3:$BY$27,2,0),0)</f>
        <v>0</v>
      </c>
      <c r="D2391" s="755" t="e">
        <f>IF($C$2391=0,NA(),VLOOKUP($I$2376&amp;$B$2391,FLNFIX!$BO$4:$EF$103,2,0))</f>
        <v>#N/A</v>
      </c>
      <c r="E2391" s="755" t="e">
        <f>IF($C$2391=0,NA(),VLOOKUP($I$2376&amp;$B$2391,FLNFIX!$BO$4:$EF$103,4,0))</f>
        <v>#N/A</v>
      </c>
      <c r="F2391" s="755" t="e">
        <f>IF($C$2391=0,NA(),VLOOKUP($I$2376&amp;$B$2391,FLNFIX!$BO$4:$EF$103,3,0))</f>
        <v>#N/A</v>
      </c>
      <c r="G2391" s="756" t="e">
        <f>IF($C$2391=0,NA(),VLOOKUP($I$2376&amp;$B$2391,FLNFIX!$BO$4:$EF$103,5,0))</f>
        <v>#N/A</v>
      </c>
      <c r="H2391" s="757"/>
      <c r="I2391" s="757"/>
      <c r="J2391" s="758"/>
      <c r="K2391" s="677"/>
    </row>
    <row r="2392" ht="20.1" customHeight="1" spans="1:11">
      <c r="A2392" s="675"/>
      <c r="B2392" s="755">
        <f t="shared" si="43"/>
        <v>13</v>
      </c>
      <c r="C2392" s="755">
        <f>IFERROR(VLOOKUP(B2392,DATEWISE!$A$3:$BY$27,2,0),0)</f>
        <v>0</v>
      </c>
      <c r="D2392" s="755" t="e">
        <f>IF($C$2392=0,NA(),VLOOKUP($I$2376&amp;$B$2392,FLNFIX!$BT$4:$EF$103,2,0))</f>
        <v>#N/A</v>
      </c>
      <c r="E2392" s="755" t="e">
        <f>IF($C$2392=0,NA(),VLOOKUP($I$2376&amp;$B$2392,FLNFIX!$BT$4:$EF$103,4,0))</f>
        <v>#N/A</v>
      </c>
      <c r="F2392" s="755" t="e">
        <f>IF($C$2392=0,NA(),VLOOKUP($I$2376&amp;$B$2392,FLNFIX!$BT$4:$EF$103,3,0))</f>
        <v>#N/A</v>
      </c>
      <c r="G2392" s="756" t="e">
        <f>IF($C$2392=0,NA(),VLOOKUP($I$2376&amp;$B$2392,FLNFIX!$BT$4:$EF$103,5,0))</f>
        <v>#N/A</v>
      </c>
      <c r="H2392" s="757"/>
      <c r="I2392" s="757"/>
      <c r="J2392" s="758"/>
      <c r="K2392" s="677"/>
    </row>
    <row r="2393" ht="20.1" customHeight="1" spans="1:11">
      <c r="A2393" s="675"/>
      <c r="B2393" s="755">
        <f t="shared" si="43"/>
        <v>14</v>
      </c>
      <c r="C2393" s="755">
        <f>IFERROR(VLOOKUP(B2393,DATEWISE!$A$3:$BY$27,2,0),0)</f>
        <v>0</v>
      </c>
      <c r="D2393" s="755" t="e">
        <f>IF($C$2393=0,NA(),VLOOKUP($I$2376&amp;$B$2393,FLNFIX!$BY$4:$EF$103,2,0))</f>
        <v>#N/A</v>
      </c>
      <c r="E2393" s="755" t="e">
        <f>IF($C$2393=0,NA(),VLOOKUP($I$2376&amp;$B$2393,FLNFIX!$BY$4:$EF$103,4,0))</f>
        <v>#N/A</v>
      </c>
      <c r="F2393" s="755" t="e">
        <f>IF($C$2393=0,NA(),VLOOKUP($I$2376&amp;$B$2393,FLNFIX!$BY$4:$EF$103,3,0))</f>
        <v>#N/A</v>
      </c>
      <c r="G2393" s="756" t="e">
        <f>IF($C$2393=0,NA(),VLOOKUP($I$2376&amp;$B$2393,FLNFIX!$BY$4:$EF$103,5,0))</f>
        <v>#N/A</v>
      </c>
      <c r="H2393" s="757"/>
      <c r="I2393" s="757"/>
      <c r="J2393" s="758"/>
      <c r="K2393" s="677"/>
    </row>
    <row r="2394" ht="20.1" customHeight="1" spans="1:11">
      <c r="A2394" s="675"/>
      <c r="B2394" s="755">
        <f t="shared" si="43"/>
        <v>15</v>
      </c>
      <c r="C2394" s="755">
        <f>IFERROR(VLOOKUP(B2394,DATEWISE!$A$3:$BY$27,2,0),0)</f>
        <v>0</v>
      </c>
      <c r="D2394" s="755" t="e">
        <f>IF($C$2394=0,NA(),VLOOKUP($I$2376&amp;$B$2394,FLNFIX!$CD$4:$EF$103,2,0))</f>
        <v>#N/A</v>
      </c>
      <c r="E2394" s="755" t="e">
        <f>IF($C$2394=0,NA(),VLOOKUP($I$2376&amp;$B$2394,FLNFIX!$CD$4:$EF$103,4,0))</f>
        <v>#N/A</v>
      </c>
      <c r="F2394" s="755" t="e">
        <f>IF($C$2394=0,NA(),VLOOKUP($I$2376&amp;$B$2394,FLNFIX!$CD$4:$EF$103,3,0))</f>
        <v>#N/A</v>
      </c>
      <c r="G2394" s="756" t="e">
        <f>IF($C$2394=0,NA(),VLOOKUP($I$2376&amp;$B$2394,FLNFIX!$CD$4:$EF$103,5,0))</f>
        <v>#N/A</v>
      </c>
      <c r="H2394" s="757"/>
      <c r="I2394" s="757"/>
      <c r="J2394" s="758"/>
      <c r="K2394" s="677"/>
    </row>
    <row r="2395" ht="20.1" customHeight="1" spans="1:11">
      <c r="A2395" s="675"/>
      <c r="B2395" s="755">
        <f t="shared" si="43"/>
        <v>16</v>
      </c>
      <c r="C2395" s="755">
        <f>IFERROR(VLOOKUP(B2395,DATEWISE!$A$3:$BY$27,2,0),0)</f>
        <v>0</v>
      </c>
      <c r="D2395" s="755" t="e">
        <f>IF($C$2395=0,NA(),VLOOKUP($I$2376&amp;$B$2395,FLNFIX!$CI$4:$EF$103,2,0))</f>
        <v>#N/A</v>
      </c>
      <c r="E2395" s="755" t="e">
        <f>IF($C$2395=0,NA(),VLOOKUP($I$2376&amp;$B$2395,FLNFIX!$CI$4:$EF$103,4,0))</f>
        <v>#N/A</v>
      </c>
      <c r="F2395" s="755" t="e">
        <f>IF($C$2395=0,NA(),VLOOKUP($I$2376&amp;$B$2395,FLNFIX!$CI$4:$EF$103,3,0))</f>
        <v>#N/A</v>
      </c>
      <c r="G2395" s="756" t="e">
        <f>IF($C$2395=0,NA(),VLOOKUP($I$2376&amp;$B$2395,FLNFIX!$CI$4:$EF$103,5,0))</f>
        <v>#N/A</v>
      </c>
      <c r="H2395" s="757"/>
      <c r="I2395" s="757"/>
      <c r="J2395" s="758"/>
      <c r="K2395" s="677"/>
    </row>
    <row r="2396" ht="20.1" customHeight="1" spans="1:11">
      <c r="A2396" s="675"/>
      <c r="B2396" s="755">
        <f t="shared" si="43"/>
        <v>17</v>
      </c>
      <c r="C2396" s="755">
        <f>IFERROR(VLOOKUP(B2396,DATEWISE!$A$3:$BY$27,2,0),0)</f>
        <v>0</v>
      </c>
      <c r="D2396" s="755" t="e">
        <f>IF($C$2396=0,NA(),VLOOKUP($I$2376&amp;$B$2396,FLNFIX!$CN$4:$EF$103,2,0))</f>
        <v>#N/A</v>
      </c>
      <c r="E2396" s="755" t="e">
        <f>IF($C$2396=0,NA(),VLOOKUP($I$2376&amp;$B$2396,FLNFIX!$CN$4:$EF$103,4,0))</f>
        <v>#N/A</v>
      </c>
      <c r="F2396" s="755" t="e">
        <f>IF($C$2396=0,NA(),VLOOKUP($I$2376&amp;$B$2396,FLNFIX!$CN$4:$EF$103,3,0))</f>
        <v>#N/A</v>
      </c>
      <c r="G2396" s="756" t="e">
        <f>IF($C$2396=0,NA(),VLOOKUP($I$2376&amp;$B$2396,FLNFIX!$CN$4:$EF$103,5,0))</f>
        <v>#N/A</v>
      </c>
      <c r="H2396" s="757"/>
      <c r="I2396" s="757"/>
      <c r="J2396" s="758"/>
      <c r="K2396" s="677"/>
    </row>
    <row r="2397" ht="20.1" customHeight="1" spans="1:11">
      <c r="A2397" s="675"/>
      <c r="B2397" s="755">
        <f t="shared" si="43"/>
        <v>18</v>
      </c>
      <c r="C2397" s="755">
        <f>IFERROR(VLOOKUP(B2397,DATEWISE!$A$3:$BY$27,2,0),0)</f>
        <v>0</v>
      </c>
      <c r="D2397" s="755" t="e">
        <f>IF($C$2397=0,NA(),VLOOKUP($I$2376&amp;$B$2397,FLNFIX!$CS$4:$EF$103,2,0))</f>
        <v>#N/A</v>
      </c>
      <c r="E2397" s="755" t="e">
        <f>IF($C$2397=0,NA(),VLOOKUP($I$2376&amp;$B$2397,FLNFIX!$CS$4:$EF$103,4,0))</f>
        <v>#N/A</v>
      </c>
      <c r="F2397" s="755" t="e">
        <f>IF($C$2397=0,NA(),VLOOKUP($I$2376&amp;$B$2397,FLNFIX!$CS$4:$EF$103,3,0))</f>
        <v>#N/A</v>
      </c>
      <c r="G2397" s="756" t="e">
        <f>IF($C$2397=0,NA(),VLOOKUP($I$2376&amp;$B$2397,FLNFIX!$CS$4:$EF$103,5,0))</f>
        <v>#N/A</v>
      </c>
      <c r="H2397" s="757"/>
      <c r="I2397" s="757"/>
      <c r="J2397" s="758"/>
      <c r="K2397" s="677"/>
    </row>
    <row r="2398" ht="20.1" customHeight="1" spans="1:11">
      <c r="A2398" s="675"/>
      <c r="B2398" s="755">
        <f t="shared" si="43"/>
        <v>19</v>
      </c>
      <c r="C2398" s="755">
        <f>IFERROR(VLOOKUP(B2398,DATEWISE!$A$3:$BY$27,2,0),0)</f>
        <v>0</v>
      </c>
      <c r="D2398" s="755" t="e">
        <f>IF($C$2398=0,NA(),VLOOKUP($I$2376&amp;$B$2398,FLNFIX!$CX$4:$EF$103,2,0))</f>
        <v>#N/A</v>
      </c>
      <c r="E2398" s="755" t="e">
        <f>IF($C$2398=0,NA(),VLOOKUP($I$2376&amp;$B$2398,FLNFIX!$CX$4:$EF$103,4,0))</f>
        <v>#N/A</v>
      </c>
      <c r="F2398" s="755" t="e">
        <f>IF($C$2398=0,NA(),VLOOKUP($I$2376&amp;$B$2398,FLNFIX!$CX$4:$EF$103,3,0))</f>
        <v>#N/A</v>
      </c>
      <c r="G2398" s="756" t="e">
        <f>IF($C$2398=0,NA(),VLOOKUP($I$2376&amp;$B$2398,FLNFIX!$CX$4:$EF$103,5,0))</f>
        <v>#N/A</v>
      </c>
      <c r="H2398" s="757"/>
      <c r="I2398" s="757"/>
      <c r="J2398" s="758"/>
      <c r="K2398" s="677"/>
    </row>
    <row r="2399" ht="20.1" customHeight="1" spans="1:11">
      <c r="A2399" s="675"/>
      <c r="B2399" s="755">
        <f t="shared" si="43"/>
        <v>20</v>
      </c>
      <c r="C2399" s="755">
        <f>IFERROR(VLOOKUP(B2399,DATEWISE!$A$3:$BY$27,2,0),0)</f>
        <v>0</v>
      </c>
      <c r="D2399" s="755" t="e">
        <f>IF($C$2399=0,NA(),VLOOKUP($I$2376&amp;$B$2399,FLNFIX!$DC$4:$EF$103,2,0))</f>
        <v>#N/A</v>
      </c>
      <c r="E2399" s="755" t="e">
        <f>IF($C$2399=0,NA(),VLOOKUP($I$2376&amp;$B$2399,FLNFIX!$DC$4:$EF$103,4,0))</f>
        <v>#N/A</v>
      </c>
      <c r="F2399" s="755" t="e">
        <f>IF($C$2399=0,NA(),VLOOKUP($I$2376&amp;$B$2399,FLNFIX!$DC$4:$EF$103,3,0))</f>
        <v>#N/A</v>
      </c>
      <c r="G2399" s="756" t="e">
        <f>IF($C$2399=0,NA(),VLOOKUP($I$2376&amp;$B$2399,FLNFIX!$DC$4:$EF$103,5,0))</f>
        <v>#N/A</v>
      </c>
      <c r="H2399" s="757"/>
      <c r="I2399" s="757"/>
      <c r="J2399" s="758"/>
      <c r="K2399" s="677"/>
    </row>
    <row r="2400" ht="20.1" customHeight="1" spans="1:11">
      <c r="A2400" s="675"/>
      <c r="B2400" s="755">
        <f t="shared" si="43"/>
        <v>21</v>
      </c>
      <c r="C2400" s="755">
        <f>IFERROR(VLOOKUP(B2400,DATEWISE!$A$3:$BY$27,2,0),0)</f>
        <v>0</v>
      </c>
      <c r="D2400" s="755" t="e">
        <f>IF($C$2400=0,NA(),VLOOKUP($I$2376&amp;$B$2400,FLNFIX!$DH$4:$EF$103,2,0))</f>
        <v>#N/A</v>
      </c>
      <c r="E2400" s="755" t="e">
        <f>IF($C$2400=0,NA(),VLOOKUP($I$2376&amp;$B$2400,FLNFIX!$DH$4:$EF$103,4,0))</f>
        <v>#N/A</v>
      </c>
      <c r="F2400" s="755" t="e">
        <f>IF($C$2400=0,NA(),VLOOKUP($I$2376&amp;$B$2400,FLNFIX!$DH$4:$EF$103,3,0))</f>
        <v>#N/A</v>
      </c>
      <c r="G2400" s="756" t="e">
        <f>IF($C$2400=0,NA(),VLOOKUP($I$2376&amp;$B$2400,FLNFIX!$DH$4:$EF$103,5,0))</f>
        <v>#N/A</v>
      </c>
      <c r="H2400" s="757"/>
      <c r="I2400" s="757"/>
      <c r="J2400" s="758"/>
      <c r="K2400" s="677"/>
    </row>
    <row r="2401" ht="5.1" customHeight="1" spans="1:11">
      <c r="A2401" s="675"/>
      <c r="B2401" s="759"/>
      <c r="C2401" s="759"/>
      <c r="D2401" s="760"/>
      <c r="E2401" s="760"/>
      <c r="F2401" s="760"/>
      <c r="G2401" s="761"/>
      <c r="H2401" s="761"/>
      <c r="I2401" s="761"/>
      <c r="J2401" s="761"/>
      <c r="K2401" s="677"/>
    </row>
    <row r="2402" s="667" customFormat="1" ht="24.95" customHeight="1" spans="1:11">
      <c r="A2402" s="711"/>
      <c r="B2402" s="762" t="s">
        <v>431</v>
      </c>
      <c r="C2402" s="763"/>
      <c r="D2402" s="763"/>
      <c r="E2402" s="763"/>
      <c r="F2402" s="763"/>
      <c r="G2402" s="763"/>
      <c r="H2402" s="763"/>
      <c r="I2402" s="763"/>
      <c r="J2402" s="764"/>
      <c r="K2402" s="713"/>
    </row>
    <row r="2403" spans="1:11">
      <c r="A2403" s="675"/>
      <c r="B2403" s="765"/>
      <c r="C2403" s="686"/>
      <c r="D2403" s="686"/>
      <c r="E2403" s="686"/>
      <c r="F2403" s="686"/>
      <c r="G2403" s="686"/>
      <c r="H2403" s="686"/>
      <c r="I2403" s="686"/>
      <c r="J2403" s="766"/>
      <c r="K2403" s="677"/>
    </row>
    <row r="2404" spans="1:11">
      <c r="A2404" s="675"/>
      <c r="B2404" s="765"/>
      <c r="C2404" s="686"/>
      <c r="D2404" s="686"/>
      <c r="E2404" s="686"/>
      <c r="F2404" s="686"/>
      <c r="G2404" s="686"/>
      <c r="H2404" s="686"/>
      <c r="I2404" s="686"/>
      <c r="J2404" s="766"/>
      <c r="K2404" s="677"/>
    </row>
    <row r="2405" spans="1:11">
      <c r="A2405" s="675"/>
      <c r="B2405" s="765"/>
      <c r="C2405" s="686"/>
      <c r="D2405" s="686"/>
      <c r="E2405" s="686"/>
      <c r="F2405" s="686"/>
      <c r="G2405" s="686"/>
      <c r="H2405" s="686"/>
      <c r="I2405" s="686"/>
      <c r="J2405" s="766"/>
      <c r="K2405" s="677"/>
    </row>
    <row r="2406" spans="1:11">
      <c r="A2406" s="675"/>
      <c r="B2406" s="765"/>
      <c r="C2406" s="686"/>
      <c r="D2406" s="686"/>
      <c r="E2406" s="686"/>
      <c r="F2406" s="686"/>
      <c r="G2406" s="686"/>
      <c r="H2406" s="686"/>
      <c r="I2406" s="686"/>
      <c r="J2406" s="766"/>
      <c r="K2406" s="677"/>
    </row>
    <row r="2407" spans="1:11">
      <c r="A2407" s="675"/>
      <c r="B2407" s="765"/>
      <c r="C2407" s="686"/>
      <c r="D2407" s="686"/>
      <c r="E2407" s="686"/>
      <c r="F2407" s="686"/>
      <c r="G2407" s="686"/>
      <c r="H2407" s="686"/>
      <c r="I2407" s="686"/>
      <c r="J2407" s="766"/>
      <c r="K2407" s="677"/>
    </row>
    <row r="2408" spans="1:11">
      <c r="A2408" s="675"/>
      <c r="B2408" s="765"/>
      <c r="C2408" s="686"/>
      <c r="D2408" s="686"/>
      <c r="E2408" s="686"/>
      <c r="F2408" s="686"/>
      <c r="G2408" s="686"/>
      <c r="H2408" s="686"/>
      <c r="I2408" s="686"/>
      <c r="J2408" s="766"/>
      <c r="K2408" s="677"/>
    </row>
    <row r="2409" spans="1:11">
      <c r="A2409" s="675"/>
      <c r="B2409" s="765"/>
      <c r="C2409" s="686"/>
      <c r="D2409" s="686"/>
      <c r="E2409" s="686"/>
      <c r="F2409" s="686"/>
      <c r="G2409" s="686"/>
      <c r="H2409" s="686"/>
      <c r="I2409" s="686"/>
      <c r="J2409" s="766"/>
      <c r="K2409" s="677"/>
    </row>
    <row r="2410" spans="1:11">
      <c r="A2410" s="675"/>
      <c r="B2410" s="765"/>
      <c r="C2410" s="686"/>
      <c r="D2410" s="686"/>
      <c r="E2410" s="686"/>
      <c r="F2410" s="686"/>
      <c r="G2410" s="686"/>
      <c r="H2410" s="686"/>
      <c r="I2410" s="686"/>
      <c r="J2410" s="766"/>
      <c r="K2410" s="677"/>
    </row>
    <row r="2411" spans="1:11">
      <c r="A2411" s="675"/>
      <c r="B2411" s="765"/>
      <c r="C2411" s="686"/>
      <c r="D2411" s="686"/>
      <c r="E2411" s="686"/>
      <c r="F2411" s="686"/>
      <c r="G2411" s="686"/>
      <c r="H2411" s="686"/>
      <c r="I2411" s="686"/>
      <c r="J2411" s="766"/>
      <c r="K2411" s="677"/>
    </row>
    <row r="2412" spans="1:11">
      <c r="A2412" s="675"/>
      <c r="B2412" s="767"/>
      <c r="C2412" s="768"/>
      <c r="D2412" s="768"/>
      <c r="E2412" s="768"/>
      <c r="F2412" s="768"/>
      <c r="G2412" s="768"/>
      <c r="H2412" s="768"/>
      <c r="I2412" s="768"/>
      <c r="J2412" s="769"/>
      <c r="K2412" s="677"/>
    </row>
    <row r="2413" ht="5.1" customHeight="1" spans="1:11">
      <c r="A2413" s="675"/>
      <c r="B2413" s="686"/>
      <c r="C2413" s="686"/>
      <c r="D2413" s="686"/>
      <c r="E2413" s="686"/>
      <c r="F2413" s="686"/>
      <c r="G2413" s="686"/>
      <c r="H2413" s="686"/>
      <c r="I2413" s="686"/>
      <c r="J2413" s="686"/>
      <c r="K2413" s="677"/>
    </row>
    <row r="2414" spans="1:11">
      <c r="A2414" s="675"/>
      <c r="B2414" s="770" t="s">
        <v>432</v>
      </c>
      <c r="C2414" s="770"/>
      <c r="D2414" s="770"/>
      <c r="E2414" s="770"/>
      <c r="F2414" s="770"/>
      <c r="G2414" s="770"/>
      <c r="H2414" s="770"/>
      <c r="I2414" s="770"/>
      <c r="J2414" s="770"/>
      <c r="K2414" s="677"/>
    </row>
    <row r="2415" spans="1:11">
      <c r="A2415" s="675"/>
      <c r="B2415" s="771"/>
      <c r="C2415" s="771"/>
      <c r="D2415" s="771"/>
      <c r="E2415" s="771"/>
      <c r="F2415" s="771"/>
      <c r="G2415" s="771"/>
      <c r="H2415" s="771"/>
      <c r="I2415" s="771"/>
      <c r="J2415" s="771"/>
      <c r="K2415" s="677"/>
    </row>
    <row r="2416" spans="1:11">
      <c r="A2416" s="675"/>
      <c r="B2416" s="771"/>
      <c r="C2416" s="771"/>
      <c r="D2416" s="771"/>
      <c r="E2416" s="771"/>
      <c r="F2416" s="771"/>
      <c r="G2416" s="771"/>
      <c r="H2416" s="771"/>
      <c r="I2416" s="771"/>
      <c r="J2416" s="771"/>
      <c r="K2416" s="677"/>
    </row>
    <row r="2417" spans="1:11">
      <c r="A2417" s="675"/>
      <c r="B2417" s="771"/>
      <c r="C2417" s="771"/>
      <c r="D2417" s="771"/>
      <c r="E2417" s="771"/>
      <c r="F2417" s="771"/>
      <c r="G2417" s="771"/>
      <c r="H2417" s="771"/>
      <c r="I2417" s="771"/>
      <c r="J2417" s="771"/>
      <c r="K2417" s="677"/>
    </row>
    <row r="2418" spans="1:11">
      <c r="A2418" s="675"/>
      <c r="B2418" s="686"/>
      <c r="C2418" s="686"/>
      <c r="D2418" s="686"/>
      <c r="E2418" s="686"/>
      <c r="F2418" s="686"/>
      <c r="G2418" s="686"/>
      <c r="H2418" s="686"/>
      <c r="I2418" s="686"/>
      <c r="J2418" s="686"/>
      <c r="K2418" s="677"/>
    </row>
    <row r="2419" spans="1:11">
      <c r="A2419" s="675"/>
      <c r="B2419" s="686"/>
      <c r="C2419" s="729" t="s">
        <v>433</v>
      </c>
      <c r="D2419" s="729"/>
      <c r="E2419" s="686"/>
      <c r="F2419" s="686"/>
      <c r="G2419" s="729" t="s">
        <v>434</v>
      </c>
      <c r="H2419" s="729"/>
      <c r="I2419" s="729"/>
      <c r="J2419" s="729"/>
      <c r="K2419" s="677"/>
    </row>
    <row r="2420" ht="16.35" spans="1:11">
      <c r="A2420" s="725"/>
      <c r="B2420" s="726"/>
      <c r="C2420" s="732" t="str">
        <f>"("&amp;PROPER(ENTRY!$D$19)&amp;")"</f>
        <v>(Indrajeet)</v>
      </c>
      <c r="D2420" s="732"/>
      <c r="E2420" s="726"/>
      <c r="F2420" s="726"/>
      <c r="G2420" s="732" t="str">
        <f>"("&amp;PROPER(ENTRY!$D$12)&amp;")"</f>
        <v>(Shambhu Dayal Meena)</v>
      </c>
      <c r="H2420" s="732"/>
      <c r="I2420" s="732"/>
      <c r="J2420" s="732"/>
      <c r="K2420" s="728"/>
    </row>
    <row r="2421" ht="24.6" spans="1:11">
      <c r="B2421" s="734"/>
      <c r="C2421" s="734"/>
      <c r="D2421" s="669" t="str">
        <f>ENTRY!$D$3</f>
        <v>MUNICIPAL CORPORATION OF DELHI</v>
      </c>
      <c r="E2421" s="669"/>
      <c r="F2421" s="669"/>
      <c r="G2421" s="669"/>
      <c r="H2421" s="734"/>
      <c r="I2421" s="669"/>
      <c r="J2421" s="669"/>
    </row>
    <row r="2422" ht="20.4" spans="1:11">
      <c r="B2422" s="735"/>
      <c r="C2422" s="735"/>
      <c r="D2422" s="670" t="str">
        <f>ENTRY!$D$4</f>
        <v>EDUCATION DEPARTMENT</v>
      </c>
      <c r="E2422" s="670"/>
      <c r="F2422" s="670"/>
      <c r="G2422" s="670"/>
      <c r="H2422" s="735"/>
      <c r="I2422" s="669"/>
      <c r="J2422" s="669"/>
    </row>
    <row r="2423" ht="22.8" spans="1:11">
      <c r="B2423" s="736"/>
      <c r="C2423" s="736"/>
      <c r="D2423" s="664" t="s">
        <v>417</v>
      </c>
      <c r="E2423" s="664"/>
      <c r="F2423" s="664"/>
      <c r="G2423" s="664"/>
      <c r="H2423" s="736"/>
      <c r="I2423" s="669"/>
      <c r="J2423" s="669"/>
    </row>
    <row r="2424" ht="22.8" spans="1:11">
      <c r="B2424" s="736"/>
      <c r="C2424" s="736"/>
      <c r="D2424" s="664" t="s">
        <v>418</v>
      </c>
      <c r="E2424" s="664"/>
      <c r="F2424" s="664"/>
      <c r="G2424" s="664"/>
      <c r="H2424" s="736"/>
      <c r="I2424" s="669"/>
      <c r="J2424" s="669"/>
    </row>
    <row r="2425" ht="24.95" customHeight="1" spans="1:11">
      <c r="B2425" s="735"/>
      <c r="C2425" s="735"/>
      <c r="D2425" s="737" t="str">
        <f>"SESSION : "&amp;ENTRY!$D$11</f>
        <v>SESSION : 2026-27</v>
      </c>
      <c r="E2425" s="737"/>
      <c r="F2425" s="737"/>
      <c r="G2425" s="737"/>
      <c r="H2425" s="735"/>
      <c r="I2425" s="738"/>
      <c r="J2425" s="738"/>
    </row>
    <row r="2426" ht="3.75" customHeight="1" spans="1:11">
      <c r="A2426" s="672"/>
      <c r="B2426" s="739"/>
      <c r="C2426" s="739"/>
      <c r="D2426" s="739"/>
      <c r="E2426" s="739"/>
      <c r="F2426" s="739"/>
      <c r="G2426" s="739"/>
      <c r="H2426" s="739"/>
      <c r="I2426" s="739"/>
      <c r="J2426" s="739"/>
      <c r="K2426" s="674"/>
    </row>
    <row r="2427" ht="21.95" customHeight="1" spans="1:11">
      <c r="A2427" s="675"/>
      <c r="B2427" s="676" t="s">
        <v>419</v>
      </c>
      <c r="C2427" s="676"/>
      <c r="D2427" s="676" t="str">
        <f>ENTRY!$D$6</f>
        <v>MCP NITHARI NO 1 BOYS</v>
      </c>
      <c r="E2427" s="676"/>
      <c r="F2427" s="676"/>
      <c r="G2427" s="676"/>
      <c r="H2427" s="676"/>
      <c r="I2427" s="676"/>
      <c r="J2427" s="676"/>
      <c r="K2427" s="677"/>
    </row>
    <row r="2428" ht="21.95" customHeight="1" spans="1:11">
      <c r="A2428" s="675"/>
      <c r="B2428" s="676" t="s">
        <v>420</v>
      </c>
      <c r="C2428" s="676"/>
      <c r="D2428" s="740">
        <f>IFERROR(VLOOKUP($I$2431,STUDENT!$A$2:$BP$101,5,0),"")</f>
        <v>0</v>
      </c>
      <c r="E2428" s="740"/>
      <c r="F2428" s="740"/>
      <c r="G2428" s="740"/>
      <c r="H2428" s="740"/>
      <c r="I2428" s="740"/>
      <c r="J2428" s="740"/>
      <c r="K2428" s="677"/>
    </row>
    <row r="2429" ht="21.95" customHeight="1" spans="1:11">
      <c r="A2429" s="675"/>
      <c r="B2429" s="676" t="s">
        <v>421</v>
      </c>
      <c r="C2429" s="676"/>
      <c r="D2429" s="740">
        <f>IFERROR(VLOOKUP($I$2431,STUDENT!$A$2:$BP$101,8,0),"")</f>
        <v>0</v>
      </c>
      <c r="E2429" s="740"/>
      <c r="F2429" s="740"/>
      <c r="G2429" s="740"/>
      <c r="H2429" s="740"/>
      <c r="I2429" s="740"/>
      <c r="J2429" s="740"/>
      <c r="K2429" s="677"/>
    </row>
    <row r="2430" ht="21.95" customHeight="1" spans="1:11">
      <c r="A2430" s="675"/>
      <c r="B2430" s="676" t="s">
        <v>422</v>
      </c>
      <c r="C2430" s="676"/>
      <c r="D2430" s="740">
        <f>IFERROR(VLOOKUP($I$2431,STUDENT!$A$2:$BP$101,6,0),"")</f>
        <v>0</v>
      </c>
      <c r="E2430" s="740"/>
      <c r="F2430" s="740"/>
      <c r="G2430" s="740"/>
      <c r="H2430" s="740"/>
      <c r="I2430" s="740"/>
      <c r="J2430" s="740"/>
      <c r="K2430" s="677"/>
    </row>
    <row r="2431" ht="21.95" customHeight="1" spans="1:11">
      <c r="A2431" s="675"/>
      <c r="B2431" s="676" t="s">
        <v>423</v>
      </c>
      <c r="C2431" s="676"/>
      <c r="D2431" s="741" t="str">
        <f>IFERROR(VLOOKUP($I$2431,STUDENT!$A$2:$BP$101,59,0),"")</f>
        <v/>
      </c>
      <c r="E2431" s="742" t="s">
        <v>424</v>
      </c>
      <c r="F2431" s="704" t="str">
        <f>IFERROR(VLOOKUP($I$2431,STUDENT!$A$2:$BP$101,2,0),"")</f>
        <v>III-A</v>
      </c>
      <c r="G2431" s="742" t="s">
        <v>425</v>
      </c>
      <c r="H2431" s="743"/>
      <c r="I2431" s="733">
        <f>I2376+1</f>
        <v>45</v>
      </c>
      <c r="J2431" s="683"/>
      <c r="K2431" s="677"/>
    </row>
    <row r="2432" ht="5.1" customHeight="1" spans="1:11">
      <c r="A2432" s="675"/>
      <c r="B2432" s="745"/>
      <c r="C2432" s="745"/>
      <c r="D2432" s="746"/>
      <c r="E2432" s="747"/>
      <c r="F2432" s="748"/>
      <c r="G2432" s="747"/>
      <c r="H2432" s="686"/>
      <c r="I2432" s="686"/>
      <c r="J2432" s="686"/>
      <c r="K2432" s="677"/>
    </row>
    <row r="2433" s="664" customFormat="1" ht="32.1" customHeight="1" spans="1:11">
      <c r="A2433" s="688"/>
      <c r="B2433" s="749" t="s">
        <v>426</v>
      </c>
      <c r="C2433" s="750"/>
      <c r="D2433" s="750"/>
      <c r="E2433" s="750"/>
      <c r="F2433" s="750"/>
      <c r="G2433" s="750"/>
      <c r="H2433" s="750"/>
      <c r="I2433" s="750"/>
      <c r="J2433" s="751"/>
      <c r="K2433" s="690"/>
    </row>
    <row r="2434" ht="51.6" spans="1:11">
      <c r="A2434" s="675"/>
      <c r="B2434" s="752">
        <v>21</v>
      </c>
      <c r="C2434" s="753" t="s">
        <v>427</v>
      </c>
      <c r="D2434" s="754" t="s">
        <v>428</v>
      </c>
      <c r="E2434" s="754" t="s">
        <v>429</v>
      </c>
      <c r="F2434" s="754" t="s">
        <v>430</v>
      </c>
      <c r="G2434" s="753" t="s">
        <v>390</v>
      </c>
      <c r="H2434" s="714"/>
      <c r="I2434" s="714"/>
      <c r="J2434" s="714"/>
      <c r="K2434" s="677"/>
    </row>
    <row r="2435" ht="20.1" customHeight="1" spans="1:11">
      <c r="A2435" s="675"/>
      <c r="B2435" s="755">
        <v>1</v>
      </c>
      <c r="C2435" s="755" t="str">
        <f>IFERROR(VLOOKUP(B2435,DATEWISE!$A$3:$BY$27,2,0),0)</f>
        <v>30.04.2026</v>
      </c>
      <c r="D2435" s="755" t="str">
        <f>IF($C$2435=0,NA(),VLOOKUP($I$2431&amp;$B$2435,FLNFIX!$L$4:$EF$103,2,0))</f>
        <v>-</v>
      </c>
      <c r="E2435" s="755" t="str">
        <f>IF($C$2435=0,NA(),VLOOKUP($I$2431&amp;$B$2435,FLNFIX!$L$4:$EF$103,4,0))</f>
        <v>-</v>
      </c>
      <c r="F2435" s="755" t="str">
        <f>IF($C$2435=0,NA(),VLOOKUP($I$2431&amp;$B$2435,FLNFIX!$L$4:$EF$103,3,0))</f>
        <v>-</v>
      </c>
      <c r="G2435" s="756">
        <f>IF($C$2435=0,NA(),VLOOKUP($I$2431&amp;$B$2435,FLNFIX!$L$4:$EF$103,5,0))</f>
        <v>0</v>
      </c>
      <c r="H2435" s="757"/>
      <c r="I2435" s="757"/>
      <c r="J2435" s="758"/>
      <c r="K2435" s="677"/>
    </row>
    <row r="2436" ht="20.1" customHeight="1" spans="1:11">
      <c r="A2436" s="675"/>
      <c r="B2436" s="755">
        <f t="shared" ref="B2436:B2455" si="44">IF(B2435=0,0,IF(B2435&lt;$B$2434,B2435+1,""))</f>
        <v>2</v>
      </c>
      <c r="C2436" s="755" t="str">
        <f>IFERROR(VLOOKUP(B2436,DATEWISE!$A$3:$BY$27,2,0),0)</f>
        <v>08.05.2026</v>
      </c>
      <c r="D2436" s="755">
        <f>IF($C$2436=0,NA(),VLOOKUP($I$2431&amp;$B$2436,FLNFIX!$Q$4:$EF$103,2,0))</f>
        <v>0</v>
      </c>
      <c r="E2436" s="755">
        <f>IF($C$2436=0,NA(),VLOOKUP($I$2431&amp;$B$2436,FLNFIX!$Q$4:$EF$103,4,0))</f>
        <v>0</v>
      </c>
      <c r="F2436" s="755">
        <f>IF($C$2436=0,NA(),VLOOKUP($I$2431&amp;$B$2436,FLNFIX!$Q$4:$EF$103,3,0))</f>
        <v>0</v>
      </c>
      <c r="G2436" s="756">
        <f>IF($C$2436=0,NA(),VLOOKUP($I$2431&amp;$B$2436,FLNFIX!$Q$4:$EF$103,5,0))</f>
        <v>0</v>
      </c>
      <c r="H2436" s="757"/>
      <c r="I2436" s="757"/>
      <c r="J2436" s="758"/>
      <c r="K2436" s="677"/>
    </row>
    <row r="2437" ht="20.1" customHeight="1" spans="1:11">
      <c r="A2437" s="675"/>
      <c r="B2437" s="755">
        <f t="shared" si="44"/>
        <v>3</v>
      </c>
      <c r="C2437" s="755" t="str">
        <f>IFERROR(VLOOKUP(B2437,DATEWISE!$A$3:$BY$27,2,0),0)</f>
        <v>15.07.2026</v>
      </c>
      <c r="D2437" s="755">
        <f>IF($C$2437=0,NA(),VLOOKUP($I$2431&amp;$B$2437,FLNFIX!$V$4:$EF$103,2,0))</f>
        <v>0</v>
      </c>
      <c r="E2437" s="755">
        <f>IF($C$2437=0,NA(),VLOOKUP($I$2431&amp;$B$2437,FLNFIX!$V$4:$EF$103,4,0))</f>
        <v>0</v>
      </c>
      <c r="F2437" s="755">
        <f>IF($C$2437=0,NA(),VLOOKUP($I$2431&amp;$B$2437,FLNFIX!$V$4:$EF$103,3,0))</f>
        <v>0</v>
      </c>
      <c r="G2437" s="756">
        <f>IF($C$2437=0,NA(),VLOOKUP($I$2431&amp;$B$2437,FLNFIX!$V$4:$EF$103,5,0))</f>
        <v>0</v>
      </c>
      <c r="H2437" s="757"/>
      <c r="I2437" s="757"/>
      <c r="J2437" s="758"/>
      <c r="K2437" s="677"/>
    </row>
    <row r="2438" ht="20.1" customHeight="1" spans="1:11">
      <c r="A2438" s="675"/>
      <c r="B2438" s="755">
        <f t="shared" si="44"/>
        <v>4</v>
      </c>
      <c r="C2438" s="755" t="str">
        <f>IFERROR(VLOOKUP(B2438,DATEWISE!$A$3:$BY$27,2,0),0)</f>
        <v>31.07.2026</v>
      </c>
      <c r="D2438" s="755">
        <f>IF($C$2438=0,NA(),VLOOKUP($I$2431&amp;$B$2438,FLNFIX!$AA$4:$EF$103,2,0))</f>
        <v>0</v>
      </c>
      <c r="E2438" s="755">
        <f>IF($C$2438=0,NA(),VLOOKUP($I$2431&amp;$B$2438,FLNFIX!$AA$4:$EF$103,4,0))</f>
        <v>0</v>
      </c>
      <c r="F2438" s="755">
        <f>IF($C$2438=0,NA(),VLOOKUP($I$2431&amp;$B$2438,FLNFIX!$AA$4:$EF$103,3,0))</f>
        <v>0</v>
      </c>
      <c r="G2438" s="756">
        <f>IF($C$2438=0,NA(),VLOOKUP($I$2431&amp;$B$2438,FLNFIX!$AA$4:$EF$103,5,0))</f>
        <v>0</v>
      </c>
      <c r="H2438" s="757"/>
      <c r="I2438" s="757"/>
      <c r="J2438" s="758"/>
      <c r="K2438" s="677"/>
    </row>
    <row r="2439" ht="20.1" customHeight="1" spans="1:11">
      <c r="A2439" s="675"/>
      <c r="B2439" s="755">
        <f t="shared" si="44"/>
        <v>5</v>
      </c>
      <c r="C2439" s="755" t="str">
        <f>IFERROR(VLOOKUP(B2439,DATEWISE!$A$3:$BY$27,2,0),0)</f>
        <v>17.08.2026</v>
      </c>
      <c r="D2439" s="755">
        <f>IF($C$2439=0,NA(),VLOOKUP($I$2431&amp;$B$2439,FLNFIX!$AF$4:$EF$103,2,0))</f>
        <v>0</v>
      </c>
      <c r="E2439" s="755">
        <f>IF($C$2439=0,NA(),VLOOKUP($I$2431&amp;$B$2439,FLNFIX!$AF$4:$EF$103,4,0))</f>
        <v>0</v>
      </c>
      <c r="F2439" s="755">
        <f>IF($C$2439=0,NA(),VLOOKUP($I$2431&amp;$B$2439,FLNFIX!$AF$4:$EF$103,3,0))</f>
        <v>0</v>
      </c>
      <c r="G2439" s="756">
        <f>IF($C$2439=0,NA(),VLOOKUP($I$2431&amp;$B$2439,FLNFIX!$AF$4:$EF$103,5,0))</f>
        <v>0</v>
      </c>
      <c r="H2439" s="757"/>
      <c r="I2439" s="757"/>
      <c r="J2439" s="758"/>
      <c r="K2439" s="677"/>
    </row>
    <row r="2440" ht="20.1" customHeight="1" spans="1:11">
      <c r="A2440" s="675"/>
      <c r="B2440" s="755">
        <f t="shared" si="44"/>
        <v>6</v>
      </c>
      <c r="C2440" s="755" t="str">
        <f>IFERROR(VLOOKUP(B2440,DATEWISE!$A$3:$BY$27,2,0),0)</f>
        <v>31.08.2026</v>
      </c>
      <c r="D2440" s="755">
        <f>IF($C$2440=0,NA(),VLOOKUP($I$2431&amp;$B$2440,FLNFIX!$AK$4:$EF$103,2,0))</f>
        <v>0</v>
      </c>
      <c r="E2440" s="755">
        <f>IF($C$2440=0,NA(),VLOOKUP($I$2431&amp;$B$2440,FLNFIX!$AK$4:$EF$103,4,0))</f>
        <v>0</v>
      </c>
      <c r="F2440" s="755">
        <f>IF($C$2440=0,NA(),VLOOKUP($I$2431&amp;$B$2440,FLNFIX!$AK$4:$EF$103,3,0))</f>
        <v>0</v>
      </c>
      <c r="G2440" s="756">
        <f>IF($C$2440=0,NA(),VLOOKUP($I$2431&amp;$B$2440,FLNFIX!$AK$4:$EF$103,5,0))</f>
        <v>0</v>
      </c>
      <c r="H2440" s="757"/>
      <c r="I2440" s="757"/>
      <c r="J2440" s="758"/>
      <c r="K2440" s="677"/>
    </row>
    <row r="2441" ht="20.1" customHeight="1" spans="1:11">
      <c r="A2441" s="675"/>
      <c r="B2441" s="755">
        <f t="shared" si="44"/>
        <v>7</v>
      </c>
      <c r="C2441" s="755">
        <f>IFERROR(VLOOKUP(B2441,DATEWISE!$A$3:$BY$27,2,0),0)</f>
        <v>0</v>
      </c>
      <c r="D2441" s="755" t="e">
        <f>IF($C$2441=0,NA(),VLOOKUP($I$2431&amp;$B$2441,FLNFIX!$AP$4:$EF$103,2,0))</f>
        <v>#N/A</v>
      </c>
      <c r="E2441" s="755" t="e">
        <f>IF($C$2441=0,NA(),VLOOKUP($I$2431&amp;$B$2441,FLNFIX!$AP$4:$EF$103,4,0))</f>
        <v>#N/A</v>
      </c>
      <c r="F2441" s="755" t="e">
        <f>IF($C$2441=0,NA(),VLOOKUP($I$2431&amp;$B$2441,FLNFIX!$AP$4:$EF$103,3,0))</f>
        <v>#N/A</v>
      </c>
      <c r="G2441" s="756" t="e">
        <f>IF($C$2441=0,NA(),VLOOKUP($I$2431&amp;$B$2441,FLNFIX!$AP$4:$EF$103,5,0))</f>
        <v>#N/A</v>
      </c>
      <c r="H2441" s="757"/>
      <c r="I2441" s="757"/>
      <c r="J2441" s="758"/>
      <c r="K2441" s="677"/>
    </row>
    <row r="2442" ht="20.1" customHeight="1" spans="1:11">
      <c r="A2442" s="675"/>
      <c r="B2442" s="755">
        <f t="shared" si="44"/>
        <v>8</v>
      </c>
      <c r="C2442" s="755">
        <f>IFERROR(VLOOKUP(B2442,DATEWISE!$A$3:$BY$27,2,0),0)</f>
        <v>0</v>
      </c>
      <c r="D2442" s="755" t="e">
        <f>IF($C$2442=0,NA(),VLOOKUP($I$2431&amp;$B$2442,FLNFIX!$AU$4:$EF$103,2,0))</f>
        <v>#N/A</v>
      </c>
      <c r="E2442" s="755" t="e">
        <f>IF($C$2442=0,NA(),VLOOKUP($I$2431&amp;$B$2442,FLNFIX!$AU$4:$EF$103,4,0))</f>
        <v>#N/A</v>
      </c>
      <c r="F2442" s="755" t="e">
        <f>IF($C$2442=0,NA(),VLOOKUP($I$2431&amp;$B$2442,FLNFIX!$AU$4:$EF$103,3,0))</f>
        <v>#N/A</v>
      </c>
      <c r="G2442" s="756" t="e">
        <f>IF($C$2442=0,NA(),VLOOKUP($I$2431&amp;$B$2442,FLNFIX!$AU$4:$EF$103,5,0))</f>
        <v>#N/A</v>
      </c>
      <c r="H2442" s="757"/>
      <c r="I2442" s="757"/>
      <c r="J2442" s="758"/>
      <c r="K2442" s="677"/>
    </row>
    <row r="2443" ht="20.1" customHeight="1" spans="1:11">
      <c r="A2443" s="675"/>
      <c r="B2443" s="755">
        <f t="shared" si="44"/>
        <v>9</v>
      </c>
      <c r="C2443" s="755">
        <f>IFERROR(VLOOKUP(B2443,DATEWISE!$A$3:$BY$27,2,0),0)</f>
        <v>0</v>
      </c>
      <c r="D2443" s="755" t="e">
        <f>IF($C$2443=0,NA(),VLOOKUP($I$2431&amp;$B$2443,FLNFIX!$AZ$4:$EF$103,2,0))</f>
        <v>#N/A</v>
      </c>
      <c r="E2443" s="755" t="e">
        <f>IF($C$2443=0,NA(),VLOOKUP($I$2431&amp;$B$2443,FLNFIX!$AZ$4:$EF$103,4,0))</f>
        <v>#N/A</v>
      </c>
      <c r="F2443" s="755" t="e">
        <f>IF($C$2443=0,NA(),VLOOKUP($I$2431&amp;$B$2443,FLNFIX!$AZ$4:$EF$103,3,0))</f>
        <v>#N/A</v>
      </c>
      <c r="G2443" s="756" t="e">
        <f>IF($C$2443=0,NA(),VLOOKUP($I$2431&amp;$B$2443,FLNFIX!$AZ$4:$EF$103,5,0))</f>
        <v>#N/A</v>
      </c>
      <c r="H2443" s="757"/>
      <c r="I2443" s="757"/>
      <c r="J2443" s="758"/>
      <c r="K2443" s="677"/>
    </row>
    <row r="2444" ht="20.1" customHeight="1" spans="1:11">
      <c r="A2444" s="675"/>
      <c r="B2444" s="755">
        <f t="shared" si="44"/>
        <v>10</v>
      </c>
      <c r="C2444" s="755">
        <f>IFERROR(VLOOKUP(B2444,DATEWISE!$A$3:$BY$27,2,0),0)</f>
        <v>0</v>
      </c>
      <c r="D2444" s="755" t="e">
        <f>IF($C$2444=0,NA(),VLOOKUP($I$2431&amp;$B$2444,FLNFIX!$BE$4:$EF$103,2,0))</f>
        <v>#N/A</v>
      </c>
      <c r="E2444" s="755" t="e">
        <f>IF($C$2444=0,NA(),VLOOKUP($I$2431&amp;$B$2444,FLNFIX!$BE$4:$EF$103,4,0))</f>
        <v>#N/A</v>
      </c>
      <c r="F2444" s="755" t="e">
        <f>IF($C$2444=0,NA(),VLOOKUP($I$2431&amp;$B$2444,FLNFIX!$BE$4:$EF$103,3,0))</f>
        <v>#N/A</v>
      </c>
      <c r="G2444" s="756" t="e">
        <f>IF($C$2444=0,NA(),VLOOKUP($I$2431&amp;$B$2444,FLNFIX!$BE$4:$EF$103,5,0))</f>
        <v>#N/A</v>
      </c>
      <c r="H2444" s="757"/>
      <c r="I2444" s="757"/>
      <c r="J2444" s="758"/>
      <c r="K2444" s="677"/>
    </row>
    <row r="2445" ht="20.1" customHeight="1" spans="1:11">
      <c r="A2445" s="675"/>
      <c r="B2445" s="755">
        <f t="shared" si="44"/>
        <v>11</v>
      </c>
      <c r="C2445" s="755">
        <f>IFERROR(VLOOKUP(B2445,DATEWISE!$A$3:$BY$27,2,0),0)</f>
        <v>0</v>
      </c>
      <c r="D2445" s="755" t="e">
        <f>IF($C$2445=0,NA(),VLOOKUP($I$2431&amp;$B$2445,FLNFIX!$BJ$4:$EF$103,2,0))</f>
        <v>#N/A</v>
      </c>
      <c r="E2445" s="755" t="e">
        <f>IF($C$2445=0,NA(),VLOOKUP($I$2431&amp;$B$2445,FLNFIX!$BJ$4:$EF$103,4,0))</f>
        <v>#N/A</v>
      </c>
      <c r="F2445" s="755" t="e">
        <f>IF($C$2445=0,NA(),VLOOKUP($I$2431&amp;$B$2445,FLNFIX!$BJ$4:$EF$103,3,0))</f>
        <v>#N/A</v>
      </c>
      <c r="G2445" s="756" t="e">
        <f>IF($C$2445=0,NA(),VLOOKUP($I$2431&amp;$B$2445,FLNFIX!$BJ$4:$EF$103,5,0))</f>
        <v>#N/A</v>
      </c>
      <c r="H2445" s="757"/>
      <c r="I2445" s="757"/>
      <c r="J2445" s="758"/>
      <c r="K2445" s="677"/>
    </row>
    <row r="2446" ht="20.1" customHeight="1" spans="1:11">
      <c r="A2446" s="675"/>
      <c r="B2446" s="755">
        <f t="shared" si="44"/>
        <v>12</v>
      </c>
      <c r="C2446" s="755">
        <f>IFERROR(VLOOKUP(B2446,DATEWISE!$A$3:$BY$27,2,0),0)</f>
        <v>0</v>
      </c>
      <c r="D2446" s="755" t="e">
        <f>IF($C$2446=0,NA(),VLOOKUP($I$2431&amp;$B$2446,FLNFIX!$BO$4:$EF$103,2,0))</f>
        <v>#N/A</v>
      </c>
      <c r="E2446" s="755" t="e">
        <f>IF($C$2446=0,NA(),VLOOKUP($I$2431&amp;$B$2446,FLNFIX!$BO$4:$EF$103,4,0))</f>
        <v>#N/A</v>
      </c>
      <c r="F2446" s="755" t="e">
        <f>IF($C$2446=0,NA(),VLOOKUP($I$2431&amp;$B$2446,FLNFIX!$BO$4:$EF$103,3,0))</f>
        <v>#N/A</v>
      </c>
      <c r="G2446" s="756" t="e">
        <f>IF($C$2446=0,NA(),VLOOKUP($I$2431&amp;$B$2446,FLNFIX!$BO$4:$EF$103,5,0))</f>
        <v>#N/A</v>
      </c>
      <c r="H2446" s="757"/>
      <c r="I2446" s="757"/>
      <c r="J2446" s="758"/>
      <c r="K2446" s="677"/>
    </row>
    <row r="2447" ht="20.1" customHeight="1" spans="1:11">
      <c r="A2447" s="675"/>
      <c r="B2447" s="755">
        <f t="shared" si="44"/>
        <v>13</v>
      </c>
      <c r="C2447" s="755">
        <f>IFERROR(VLOOKUP(B2447,DATEWISE!$A$3:$BY$27,2,0),0)</f>
        <v>0</v>
      </c>
      <c r="D2447" s="755" t="e">
        <f>IF($C$2447=0,NA(),VLOOKUP($I$2431&amp;$B$2447,FLNFIX!$BT$4:$EF$103,2,0))</f>
        <v>#N/A</v>
      </c>
      <c r="E2447" s="755" t="e">
        <f>IF($C$2447=0,NA(),VLOOKUP($I$2431&amp;$B$2447,FLNFIX!$BT$4:$EF$103,4,0))</f>
        <v>#N/A</v>
      </c>
      <c r="F2447" s="755" t="e">
        <f>IF($C$2447=0,NA(),VLOOKUP($I$2431&amp;$B$2447,FLNFIX!$BT$4:$EF$103,3,0))</f>
        <v>#N/A</v>
      </c>
      <c r="G2447" s="756" t="e">
        <f>IF($C$2447=0,NA(),VLOOKUP($I$2431&amp;$B$2447,FLNFIX!$BT$4:$EF$103,5,0))</f>
        <v>#N/A</v>
      </c>
      <c r="H2447" s="757"/>
      <c r="I2447" s="757"/>
      <c r="J2447" s="758"/>
      <c r="K2447" s="677"/>
    </row>
    <row r="2448" ht="20.1" customHeight="1" spans="1:11">
      <c r="A2448" s="675"/>
      <c r="B2448" s="755">
        <f t="shared" si="44"/>
        <v>14</v>
      </c>
      <c r="C2448" s="755">
        <f>IFERROR(VLOOKUP(B2448,DATEWISE!$A$3:$BY$27,2,0),0)</f>
        <v>0</v>
      </c>
      <c r="D2448" s="755" t="e">
        <f>IF($C$2448=0,NA(),VLOOKUP($I$2431&amp;$B$2448,FLNFIX!$BY$4:$EF$103,2,0))</f>
        <v>#N/A</v>
      </c>
      <c r="E2448" s="755" t="e">
        <f>IF($C$2448=0,NA(),VLOOKUP($I$2431&amp;$B$2448,FLNFIX!$BY$4:$EF$103,4,0))</f>
        <v>#N/A</v>
      </c>
      <c r="F2448" s="755" t="e">
        <f>IF($C$2448=0,NA(),VLOOKUP($I$2431&amp;$B$2448,FLNFIX!$BY$4:$EF$103,3,0))</f>
        <v>#N/A</v>
      </c>
      <c r="G2448" s="756" t="e">
        <f>IF($C$2448=0,NA(),VLOOKUP($I$2431&amp;$B$2448,FLNFIX!$BY$4:$EF$103,5,0))</f>
        <v>#N/A</v>
      </c>
      <c r="H2448" s="757"/>
      <c r="I2448" s="757"/>
      <c r="J2448" s="758"/>
      <c r="K2448" s="677"/>
    </row>
    <row r="2449" ht="20.1" customHeight="1" spans="1:11">
      <c r="A2449" s="675"/>
      <c r="B2449" s="755">
        <f t="shared" si="44"/>
        <v>15</v>
      </c>
      <c r="C2449" s="755">
        <f>IFERROR(VLOOKUP(B2449,DATEWISE!$A$3:$BY$27,2,0),0)</f>
        <v>0</v>
      </c>
      <c r="D2449" s="755" t="e">
        <f>IF($C$2449=0,NA(),VLOOKUP($I$2431&amp;$B$2449,FLNFIX!$CD$4:$EF$103,2,0))</f>
        <v>#N/A</v>
      </c>
      <c r="E2449" s="755" t="e">
        <f>IF($C$2449=0,NA(),VLOOKUP($I$2431&amp;$B$2449,FLNFIX!$CD$4:$EF$103,4,0))</f>
        <v>#N/A</v>
      </c>
      <c r="F2449" s="755" t="e">
        <f>IF($C$2449=0,NA(),VLOOKUP($I$2431&amp;$B$2449,FLNFIX!$CD$4:$EF$103,3,0))</f>
        <v>#N/A</v>
      </c>
      <c r="G2449" s="756" t="e">
        <f>IF($C$2449=0,NA(),VLOOKUP($I$2431&amp;$B$2449,FLNFIX!$CD$4:$EF$103,5,0))</f>
        <v>#N/A</v>
      </c>
      <c r="H2449" s="757"/>
      <c r="I2449" s="757"/>
      <c r="J2449" s="758"/>
      <c r="K2449" s="677"/>
    </row>
    <row r="2450" ht="20.1" customHeight="1" spans="1:11">
      <c r="A2450" s="675"/>
      <c r="B2450" s="755">
        <f t="shared" si="44"/>
        <v>16</v>
      </c>
      <c r="C2450" s="755">
        <f>IFERROR(VLOOKUP(B2450,DATEWISE!$A$3:$BY$27,2,0),0)</f>
        <v>0</v>
      </c>
      <c r="D2450" s="755" t="e">
        <f>IF($C$2450=0,NA(),VLOOKUP($I$2431&amp;$B$2450,FLNFIX!$CI$4:$EF$103,2,0))</f>
        <v>#N/A</v>
      </c>
      <c r="E2450" s="755" t="e">
        <f>IF($C$2450=0,NA(),VLOOKUP($I$2431&amp;$B$2450,FLNFIX!$CI$4:$EF$103,4,0))</f>
        <v>#N/A</v>
      </c>
      <c r="F2450" s="755" t="e">
        <f>IF($C$2450=0,NA(),VLOOKUP($I$2431&amp;$B$2450,FLNFIX!$CI$4:$EF$103,3,0))</f>
        <v>#N/A</v>
      </c>
      <c r="G2450" s="756" t="e">
        <f>IF($C$2450=0,NA(),VLOOKUP($I$2431&amp;$B$2450,FLNFIX!$CI$4:$EF$103,5,0))</f>
        <v>#N/A</v>
      </c>
      <c r="H2450" s="757"/>
      <c r="I2450" s="757"/>
      <c r="J2450" s="758"/>
      <c r="K2450" s="677"/>
    </row>
    <row r="2451" ht="20.1" customHeight="1" spans="1:11">
      <c r="A2451" s="675"/>
      <c r="B2451" s="755">
        <f t="shared" si="44"/>
        <v>17</v>
      </c>
      <c r="C2451" s="755">
        <f>IFERROR(VLOOKUP(B2451,DATEWISE!$A$3:$BY$27,2,0),0)</f>
        <v>0</v>
      </c>
      <c r="D2451" s="755" t="e">
        <f>IF($C$2451=0,NA(),VLOOKUP($I$2431&amp;$B$2451,FLNFIX!$CN$4:$EF$103,2,0))</f>
        <v>#N/A</v>
      </c>
      <c r="E2451" s="755" t="e">
        <f>IF($C$2451=0,NA(),VLOOKUP($I$2431&amp;$B$2451,FLNFIX!$CN$4:$EF$103,4,0))</f>
        <v>#N/A</v>
      </c>
      <c r="F2451" s="755" t="e">
        <f>IF($C$2451=0,NA(),VLOOKUP($I$2431&amp;$B$2451,FLNFIX!$CN$4:$EF$103,3,0))</f>
        <v>#N/A</v>
      </c>
      <c r="G2451" s="756" t="e">
        <f>IF($C$2451=0,NA(),VLOOKUP($I$2431&amp;$B$2451,FLNFIX!$CN$4:$EF$103,5,0))</f>
        <v>#N/A</v>
      </c>
      <c r="H2451" s="757"/>
      <c r="I2451" s="757"/>
      <c r="J2451" s="758"/>
      <c r="K2451" s="677"/>
    </row>
    <row r="2452" ht="20.1" customHeight="1" spans="1:11">
      <c r="A2452" s="675"/>
      <c r="B2452" s="755">
        <f t="shared" si="44"/>
        <v>18</v>
      </c>
      <c r="C2452" s="755">
        <f>IFERROR(VLOOKUP(B2452,DATEWISE!$A$3:$BY$27,2,0),0)</f>
        <v>0</v>
      </c>
      <c r="D2452" s="755" t="e">
        <f>IF($C$2452=0,NA(),VLOOKUP($I$2431&amp;$B$2452,FLNFIX!$CS$4:$EF$103,2,0))</f>
        <v>#N/A</v>
      </c>
      <c r="E2452" s="755" t="e">
        <f>IF($C$2452=0,NA(),VLOOKUP($I$2431&amp;$B$2452,FLNFIX!$CS$4:$EF$103,4,0))</f>
        <v>#N/A</v>
      </c>
      <c r="F2452" s="755" t="e">
        <f>IF($C$2452=0,NA(),VLOOKUP($I$2431&amp;$B$2452,FLNFIX!$CS$4:$EF$103,3,0))</f>
        <v>#N/A</v>
      </c>
      <c r="G2452" s="756" t="e">
        <f>IF($C$2452=0,NA(),VLOOKUP($I$2431&amp;$B$2452,FLNFIX!$CS$4:$EF$103,5,0))</f>
        <v>#N/A</v>
      </c>
      <c r="H2452" s="757"/>
      <c r="I2452" s="757"/>
      <c r="J2452" s="758"/>
      <c r="K2452" s="677"/>
    </row>
    <row r="2453" ht="20.1" customHeight="1" spans="1:11">
      <c r="A2453" s="675"/>
      <c r="B2453" s="755">
        <f t="shared" si="44"/>
        <v>19</v>
      </c>
      <c r="C2453" s="755">
        <f>IFERROR(VLOOKUP(B2453,DATEWISE!$A$3:$BY$27,2,0),0)</f>
        <v>0</v>
      </c>
      <c r="D2453" s="755" t="e">
        <f>IF($C$2453=0,NA(),VLOOKUP($I$2431&amp;$B$2453,FLNFIX!$CX$4:$EF$103,2,0))</f>
        <v>#N/A</v>
      </c>
      <c r="E2453" s="755" t="e">
        <f>IF($C$2453=0,NA(),VLOOKUP($I$2431&amp;$B$2453,FLNFIX!$CX$4:$EF$103,4,0))</f>
        <v>#N/A</v>
      </c>
      <c r="F2453" s="755" t="e">
        <f>IF($C$2453=0,NA(),VLOOKUP($I$2431&amp;$B$2453,FLNFIX!$CX$4:$EF$103,3,0))</f>
        <v>#N/A</v>
      </c>
      <c r="G2453" s="756" t="e">
        <f>IF($C$2453=0,NA(),VLOOKUP($I$2431&amp;$B$2453,FLNFIX!$CX$4:$EF$103,5,0))</f>
        <v>#N/A</v>
      </c>
      <c r="H2453" s="757"/>
      <c r="I2453" s="757"/>
      <c r="J2453" s="758"/>
      <c r="K2453" s="677"/>
    </row>
    <row r="2454" ht="20.1" customHeight="1" spans="1:11">
      <c r="A2454" s="675"/>
      <c r="B2454" s="755">
        <f t="shared" si="44"/>
        <v>20</v>
      </c>
      <c r="C2454" s="755">
        <f>IFERROR(VLOOKUP(B2454,DATEWISE!$A$3:$BY$27,2,0),0)</f>
        <v>0</v>
      </c>
      <c r="D2454" s="755" t="e">
        <f>IF($C$2454=0,NA(),VLOOKUP($I$2431&amp;$B$2454,FLNFIX!$DC$4:$EF$103,2,0))</f>
        <v>#N/A</v>
      </c>
      <c r="E2454" s="755" t="e">
        <f>IF($C$2454=0,NA(),VLOOKUP($I$2431&amp;$B$2454,FLNFIX!$DC$4:$EF$103,4,0))</f>
        <v>#N/A</v>
      </c>
      <c r="F2454" s="755" t="e">
        <f>IF($C$2454=0,NA(),VLOOKUP($I$2431&amp;$B$2454,FLNFIX!$DC$4:$EF$103,3,0))</f>
        <v>#N/A</v>
      </c>
      <c r="G2454" s="756" t="e">
        <f>IF($C$2454=0,NA(),VLOOKUP($I$2431&amp;$B$2454,FLNFIX!$DC$4:$EF$103,5,0))</f>
        <v>#N/A</v>
      </c>
      <c r="H2454" s="757"/>
      <c r="I2454" s="757"/>
      <c r="J2454" s="758"/>
      <c r="K2454" s="677"/>
    </row>
    <row r="2455" ht="20.1" customHeight="1" spans="1:11">
      <c r="A2455" s="675"/>
      <c r="B2455" s="755">
        <f t="shared" si="44"/>
        <v>21</v>
      </c>
      <c r="C2455" s="755">
        <f>IFERROR(VLOOKUP(B2455,DATEWISE!$A$3:$BY$27,2,0),0)</f>
        <v>0</v>
      </c>
      <c r="D2455" s="755" t="e">
        <f>IF($C$2455=0,NA(),VLOOKUP($I$2431&amp;$B$2455,FLNFIX!$DH$4:$EF$103,2,0))</f>
        <v>#N/A</v>
      </c>
      <c r="E2455" s="755" t="e">
        <f>IF($C$2455=0,NA(),VLOOKUP($I$2431&amp;$B$2455,FLNFIX!$DH$4:$EF$103,4,0))</f>
        <v>#N/A</v>
      </c>
      <c r="F2455" s="755" t="e">
        <f>IF($C$2455=0,NA(),VLOOKUP($I$2431&amp;$B$2455,FLNFIX!$DH$4:$EF$103,3,0))</f>
        <v>#N/A</v>
      </c>
      <c r="G2455" s="756" t="e">
        <f>IF($C$2455=0,NA(),VLOOKUP($I$2431&amp;$B$2455,FLNFIX!$DH$4:$EF$103,5,0))</f>
        <v>#N/A</v>
      </c>
      <c r="H2455" s="757"/>
      <c r="I2455" s="757"/>
      <c r="J2455" s="758"/>
      <c r="K2455" s="677"/>
    </row>
    <row r="2456" ht="5.1" customHeight="1" spans="1:11">
      <c r="A2456" s="675"/>
      <c r="B2456" s="759"/>
      <c r="C2456" s="759"/>
      <c r="D2456" s="760"/>
      <c r="E2456" s="760"/>
      <c r="F2456" s="760"/>
      <c r="G2456" s="761"/>
      <c r="H2456" s="761"/>
      <c r="I2456" s="761"/>
      <c r="J2456" s="761"/>
      <c r="K2456" s="677"/>
    </row>
    <row r="2457" s="667" customFormat="1" ht="24.95" customHeight="1" spans="1:11">
      <c r="A2457" s="711"/>
      <c r="B2457" s="762" t="s">
        <v>431</v>
      </c>
      <c r="C2457" s="763"/>
      <c r="D2457" s="763"/>
      <c r="E2457" s="763"/>
      <c r="F2457" s="763"/>
      <c r="G2457" s="763"/>
      <c r="H2457" s="763"/>
      <c r="I2457" s="763"/>
      <c r="J2457" s="764"/>
      <c r="K2457" s="713"/>
    </row>
    <row r="2458" spans="1:11">
      <c r="A2458" s="675"/>
      <c r="B2458" s="765"/>
      <c r="C2458" s="686"/>
      <c r="D2458" s="686"/>
      <c r="E2458" s="686"/>
      <c r="F2458" s="686"/>
      <c r="G2458" s="686"/>
      <c r="H2458" s="686"/>
      <c r="I2458" s="686"/>
      <c r="J2458" s="766"/>
      <c r="K2458" s="677"/>
    </row>
    <row r="2459" spans="1:11">
      <c r="A2459" s="675"/>
      <c r="B2459" s="765"/>
      <c r="C2459" s="686"/>
      <c r="D2459" s="686"/>
      <c r="E2459" s="686"/>
      <c r="F2459" s="686"/>
      <c r="G2459" s="686"/>
      <c r="H2459" s="686"/>
      <c r="I2459" s="686"/>
      <c r="J2459" s="766"/>
      <c r="K2459" s="677"/>
    </row>
    <row r="2460" spans="1:11">
      <c r="A2460" s="675"/>
      <c r="B2460" s="765"/>
      <c r="C2460" s="686"/>
      <c r="D2460" s="686"/>
      <c r="E2460" s="686"/>
      <c r="F2460" s="686"/>
      <c r="G2460" s="686"/>
      <c r="H2460" s="686"/>
      <c r="I2460" s="686"/>
      <c r="J2460" s="766"/>
      <c r="K2460" s="677"/>
    </row>
    <row r="2461" spans="1:11">
      <c r="A2461" s="675"/>
      <c r="B2461" s="765"/>
      <c r="C2461" s="686"/>
      <c r="D2461" s="686"/>
      <c r="E2461" s="686"/>
      <c r="F2461" s="686"/>
      <c r="G2461" s="686"/>
      <c r="H2461" s="686"/>
      <c r="I2461" s="686"/>
      <c r="J2461" s="766"/>
      <c r="K2461" s="677"/>
    </row>
    <row r="2462" spans="1:11">
      <c r="A2462" s="675"/>
      <c r="B2462" s="765"/>
      <c r="C2462" s="686"/>
      <c r="D2462" s="686"/>
      <c r="E2462" s="686"/>
      <c r="F2462" s="686"/>
      <c r="G2462" s="686"/>
      <c r="H2462" s="686"/>
      <c r="I2462" s="686"/>
      <c r="J2462" s="766"/>
      <c r="K2462" s="677"/>
    </row>
    <row r="2463" spans="1:11">
      <c r="A2463" s="675"/>
      <c r="B2463" s="765"/>
      <c r="C2463" s="686"/>
      <c r="D2463" s="686"/>
      <c r="E2463" s="686"/>
      <c r="F2463" s="686"/>
      <c r="G2463" s="686"/>
      <c r="H2463" s="686"/>
      <c r="I2463" s="686"/>
      <c r="J2463" s="766"/>
      <c r="K2463" s="677"/>
    </row>
    <row r="2464" spans="1:11">
      <c r="A2464" s="675"/>
      <c r="B2464" s="765"/>
      <c r="C2464" s="686"/>
      <c r="D2464" s="686"/>
      <c r="E2464" s="686"/>
      <c r="F2464" s="686"/>
      <c r="G2464" s="686"/>
      <c r="H2464" s="686"/>
      <c r="I2464" s="686"/>
      <c r="J2464" s="766"/>
      <c r="K2464" s="677"/>
    </row>
    <row r="2465" spans="1:11">
      <c r="A2465" s="675"/>
      <c r="B2465" s="765"/>
      <c r="C2465" s="686"/>
      <c r="D2465" s="686"/>
      <c r="E2465" s="686"/>
      <c r="F2465" s="686"/>
      <c r="G2465" s="686"/>
      <c r="H2465" s="686"/>
      <c r="I2465" s="686"/>
      <c r="J2465" s="766"/>
      <c r="K2465" s="677"/>
    </row>
    <row r="2466" spans="1:11">
      <c r="A2466" s="675"/>
      <c r="B2466" s="765"/>
      <c r="C2466" s="686"/>
      <c r="D2466" s="686"/>
      <c r="E2466" s="686"/>
      <c r="F2466" s="686"/>
      <c r="G2466" s="686"/>
      <c r="H2466" s="686"/>
      <c r="I2466" s="686"/>
      <c r="J2466" s="766"/>
      <c r="K2466" s="677"/>
    </row>
    <row r="2467" spans="1:11">
      <c r="A2467" s="675"/>
      <c r="B2467" s="767"/>
      <c r="C2467" s="768"/>
      <c r="D2467" s="768"/>
      <c r="E2467" s="768"/>
      <c r="F2467" s="768"/>
      <c r="G2467" s="768"/>
      <c r="H2467" s="768"/>
      <c r="I2467" s="768"/>
      <c r="J2467" s="769"/>
      <c r="K2467" s="677"/>
    </row>
    <row r="2468" ht="5.1" customHeight="1" spans="1:11">
      <c r="A2468" s="675"/>
      <c r="B2468" s="686"/>
      <c r="C2468" s="686"/>
      <c r="D2468" s="686"/>
      <c r="E2468" s="686"/>
      <c r="F2468" s="686"/>
      <c r="G2468" s="686"/>
      <c r="H2468" s="686"/>
      <c r="I2468" s="686"/>
      <c r="J2468" s="686"/>
      <c r="K2468" s="677"/>
    </row>
    <row r="2469" spans="1:11">
      <c r="A2469" s="675"/>
      <c r="B2469" s="770" t="s">
        <v>432</v>
      </c>
      <c r="C2469" s="770"/>
      <c r="D2469" s="770"/>
      <c r="E2469" s="770"/>
      <c r="F2469" s="770"/>
      <c r="G2469" s="770"/>
      <c r="H2469" s="770"/>
      <c r="I2469" s="770"/>
      <c r="J2469" s="770"/>
      <c r="K2469" s="677"/>
    </row>
    <row r="2470" spans="1:11">
      <c r="A2470" s="675"/>
      <c r="B2470" s="771"/>
      <c r="C2470" s="771"/>
      <c r="D2470" s="771"/>
      <c r="E2470" s="771"/>
      <c r="F2470" s="771"/>
      <c r="G2470" s="771"/>
      <c r="H2470" s="771"/>
      <c r="I2470" s="771"/>
      <c r="J2470" s="771"/>
      <c r="K2470" s="677"/>
    </row>
    <row r="2471" spans="1:11">
      <c r="A2471" s="675"/>
      <c r="B2471" s="771"/>
      <c r="C2471" s="771"/>
      <c r="D2471" s="771"/>
      <c r="E2471" s="771"/>
      <c r="F2471" s="771"/>
      <c r="G2471" s="771"/>
      <c r="H2471" s="771"/>
      <c r="I2471" s="771"/>
      <c r="J2471" s="771"/>
      <c r="K2471" s="677"/>
    </row>
    <row r="2472" spans="1:11">
      <c r="A2472" s="675"/>
      <c r="B2472" s="771"/>
      <c r="C2472" s="771"/>
      <c r="D2472" s="771"/>
      <c r="E2472" s="771"/>
      <c r="F2472" s="771"/>
      <c r="G2472" s="771"/>
      <c r="H2472" s="771"/>
      <c r="I2472" s="771"/>
      <c r="J2472" s="771"/>
      <c r="K2472" s="677"/>
    </row>
    <row r="2473" spans="1:11">
      <c r="A2473" s="675"/>
      <c r="B2473" s="686"/>
      <c r="C2473" s="686"/>
      <c r="D2473" s="686"/>
      <c r="E2473" s="686"/>
      <c r="F2473" s="686"/>
      <c r="G2473" s="686"/>
      <c r="H2473" s="686"/>
      <c r="I2473" s="686"/>
      <c r="J2473" s="686"/>
      <c r="K2473" s="677"/>
    </row>
    <row r="2474" spans="1:11">
      <c r="A2474" s="675"/>
      <c r="B2474" s="686"/>
      <c r="C2474" s="729" t="s">
        <v>433</v>
      </c>
      <c r="D2474" s="729"/>
      <c r="E2474" s="686"/>
      <c r="F2474" s="686"/>
      <c r="G2474" s="729" t="s">
        <v>434</v>
      </c>
      <c r="H2474" s="729"/>
      <c r="I2474" s="729"/>
      <c r="J2474" s="729"/>
      <c r="K2474" s="677"/>
    </row>
    <row r="2475" ht="16.35" spans="1:11">
      <c r="A2475" s="725"/>
      <c r="B2475" s="726"/>
      <c r="C2475" s="732" t="str">
        <f>"("&amp;PROPER(ENTRY!$D$19)&amp;")"</f>
        <v>(Indrajeet)</v>
      </c>
      <c r="D2475" s="732"/>
      <c r="E2475" s="726"/>
      <c r="F2475" s="726"/>
      <c r="G2475" s="732" t="str">
        <f>"("&amp;PROPER(ENTRY!$D$12)&amp;")"</f>
        <v>(Shambhu Dayal Meena)</v>
      </c>
      <c r="H2475" s="732"/>
      <c r="I2475" s="732"/>
      <c r="J2475" s="732"/>
      <c r="K2475" s="728"/>
    </row>
    <row r="2476" ht="24.6" spans="1:11">
      <c r="B2476" s="734"/>
      <c r="C2476" s="734"/>
      <c r="D2476" s="669" t="str">
        <f>ENTRY!$D$3</f>
        <v>MUNICIPAL CORPORATION OF DELHI</v>
      </c>
      <c r="E2476" s="669"/>
      <c r="F2476" s="669"/>
      <c r="G2476" s="669"/>
      <c r="H2476" s="734"/>
      <c r="I2476" s="669"/>
      <c r="J2476" s="669"/>
    </row>
    <row r="2477" ht="20.4" spans="1:11">
      <c r="B2477" s="735"/>
      <c r="C2477" s="735"/>
      <c r="D2477" s="670" t="str">
        <f>ENTRY!$D$4</f>
        <v>EDUCATION DEPARTMENT</v>
      </c>
      <c r="E2477" s="670"/>
      <c r="F2477" s="670"/>
      <c r="G2477" s="670"/>
      <c r="H2477" s="735"/>
      <c r="I2477" s="669"/>
      <c r="J2477" s="669"/>
    </row>
    <row r="2478" ht="22.8" spans="1:11">
      <c r="B2478" s="736"/>
      <c r="C2478" s="736"/>
      <c r="D2478" s="664" t="s">
        <v>417</v>
      </c>
      <c r="E2478" s="664"/>
      <c r="F2478" s="664"/>
      <c r="G2478" s="664"/>
      <c r="H2478" s="736"/>
      <c r="I2478" s="669"/>
      <c r="J2478" s="669"/>
    </row>
    <row r="2479" ht="22.8" spans="1:11">
      <c r="B2479" s="736"/>
      <c r="C2479" s="736"/>
      <c r="D2479" s="664" t="s">
        <v>418</v>
      </c>
      <c r="E2479" s="664"/>
      <c r="F2479" s="664"/>
      <c r="G2479" s="664"/>
      <c r="H2479" s="736"/>
      <c r="I2479" s="669"/>
      <c r="J2479" s="669"/>
    </row>
    <row r="2480" ht="24.95" customHeight="1" spans="1:11">
      <c r="B2480" s="735"/>
      <c r="C2480" s="735"/>
      <c r="D2480" s="737" t="str">
        <f>"SESSION : "&amp;ENTRY!$D$11</f>
        <v>SESSION : 2026-27</v>
      </c>
      <c r="E2480" s="737"/>
      <c r="F2480" s="737"/>
      <c r="G2480" s="737"/>
      <c r="H2480" s="735"/>
      <c r="I2480" s="738"/>
      <c r="J2480" s="738"/>
    </row>
    <row r="2481" ht="3.75" customHeight="1" spans="1:11">
      <c r="A2481" s="672"/>
      <c r="B2481" s="739"/>
      <c r="C2481" s="739"/>
      <c r="D2481" s="739"/>
      <c r="E2481" s="739"/>
      <c r="F2481" s="739"/>
      <c r="G2481" s="739"/>
      <c r="H2481" s="739"/>
      <c r="I2481" s="739"/>
      <c r="J2481" s="739"/>
      <c r="K2481" s="674"/>
    </row>
    <row r="2482" ht="21.95" customHeight="1" spans="1:11">
      <c r="A2482" s="675"/>
      <c r="B2482" s="676" t="s">
        <v>419</v>
      </c>
      <c r="C2482" s="676"/>
      <c r="D2482" s="676" t="str">
        <f>ENTRY!$D$6</f>
        <v>MCP NITHARI NO 1 BOYS</v>
      </c>
      <c r="E2482" s="676"/>
      <c r="F2482" s="676"/>
      <c r="G2482" s="676"/>
      <c r="H2482" s="676"/>
      <c r="I2482" s="676"/>
      <c r="J2482" s="676"/>
      <c r="K2482" s="677"/>
    </row>
    <row r="2483" ht="21.95" customHeight="1" spans="1:11">
      <c r="A2483" s="675"/>
      <c r="B2483" s="676" t="s">
        <v>420</v>
      </c>
      <c r="C2483" s="676"/>
      <c r="D2483" s="740">
        <f>IFERROR(VLOOKUP($I$2486,STUDENT!$A$2:$BP$101,5,0),"")</f>
        <v>0</v>
      </c>
      <c r="E2483" s="740"/>
      <c r="F2483" s="740"/>
      <c r="G2483" s="740"/>
      <c r="H2483" s="740"/>
      <c r="I2483" s="740"/>
      <c r="J2483" s="740"/>
      <c r="K2483" s="677"/>
    </row>
    <row r="2484" ht="21.95" customHeight="1" spans="1:11">
      <c r="A2484" s="675"/>
      <c r="B2484" s="676" t="s">
        <v>421</v>
      </c>
      <c r="C2484" s="676"/>
      <c r="D2484" s="740">
        <f>IFERROR(VLOOKUP($I$2486,STUDENT!$A$2:$BP$101,8,0),"")</f>
        <v>0</v>
      </c>
      <c r="E2484" s="740"/>
      <c r="F2484" s="740"/>
      <c r="G2484" s="740"/>
      <c r="H2484" s="740"/>
      <c r="I2484" s="740"/>
      <c r="J2484" s="740"/>
      <c r="K2484" s="677"/>
    </row>
    <row r="2485" ht="21.95" customHeight="1" spans="1:11">
      <c r="A2485" s="675"/>
      <c r="B2485" s="676" t="s">
        <v>422</v>
      </c>
      <c r="C2485" s="676"/>
      <c r="D2485" s="740">
        <f>IFERROR(VLOOKUP($I$2486,STUDENT!$A$2:$BP$101,6,0),"")</f>
        <v>0</v>
      </c>
      <c r="E2485" s="740"/>
      <c r="F2485" s="740"/>
      <c r="G2485" s="740"/>
      <c r="H2485" s="740"/>
      <c r="I2485" s="740"/>
      <c r="J2485" s="740"/>
      <c r="K2485" s="677"/>
    </row>
    <row r="2486" ht="21.95" customHeight="1" spans="1:11">
      <c r="A2486" s="675"/>
      <c r="B2486" s="676" t="s">
        <v>423</v>
      </c>
      <c r="C2486" s="676"/>
      <c r="D2486" s="741" t="str">
        <f>IFERROR(VLOOKUP($I$2486,STUDENT!$A$2:$BP$101,59,0),"")</f>
        <v/>
      </c>
      <c r="E2486" s="742" t="s">
        <v>424</v>
      </c>
      <c r="F2486" s="704" t="str">
        <f>IFERROR(VLOOKUP($I$2486,STUDENT!$A$2:$BP$101,2,0),"")</f>
        <v>III-A</v>
      </c>
      <c r="G2486" s="742" t="s">
        <v>425</v>
      </c>
      <c r="H2486" s="743"/>
      <c r="I2486" s="733">
        <f>I2431+1</f>
        <v>46</v>
      </c>
      <c r="J2486" s="683"/>
      <c r="K2486" s="677"/>
    </row>
    <row r="2487" ht="5.1" customHeight="1" spans="1:11">
      <c r="A2487" s="675"/>
      <c r="B2487" s="745"/>
      <c r="C2487" s="745"/>
      <c r="D2487" s="746"/>
      <c r="E2487" s="747"/>
      <c r="F2487" s="748"/>
      <c r="G2487" s="747"/>
      <c r="H2487" s="686"/>
      <c r="I2487" s="686"/>
      <c r="J2487" s="686"/>
      <c r="K2487" s="677"/>
    </row>
    <row r="2488" s="664" customFormat="1" ht="32.1" customHeight="1" spans="1:11">
      <c r="A2488" s="688"/>
      <c r="B2488" s="749" t="s">
        <v>426</v>
      </c>
      <c r="C2488" s="750"/>
      <c r="D2488" s="750"/>
      <c r="E2488" s="750"/>
      <c r="F2488" s="750"/>
      <c r="G2488" s="750"/>
      <c r="H2488" s="750"/>
      <c r="I2488" s="750"/>
      <c r="J2488" s="751"/>
      <c r="K2488" s="690"/>
    </row>
    <row r="2489" ht="51.6" spans="1:11">
      <c r="A2489" s="675"/>
      <c r="B2489" s="752">
        <v>21</v>
      </c>
      <c r="C2489" s="753" t="s">
        <v>427</v>
      </c>
      <c r="D2489" s="754" t="s">
        <v>428</v>
      </c>
      <c r="E2489" s="754" t="s">
        <v>429</v>
      </c>
      <c r="F2489" s="754" t="s">
        <v>430</v>
      </c>
      <c r="G2489" s="753" t="s">
        <v>390</v>
      </c>
      <c r="H2489" s="714"/>
      <c r="I2489" s="714"/>
      <c r="J2489" s="714"/>
      <c r="K2489" s="677"/>
    </row>
    <row r="2490" ht="20.1" customHeight="1" spans="1:11">
      <c r="A2490" s="675"/>
      <c r="B2490" s="755">
        <v>1</v>
      </c>
      <c r="C2490" s="755" t="str">
        <f>IFERROR(VLOOKUP(B2490,DATEWISE!$A$3:$BY$27,2,0),0)</f>
        <v>30.04.2026</v>
      </c>
      <c r="D2490" s="755" t="str">
        <f>IF($C$2490=0,NA(),VLOOKUP($I$2486&amp;$B$2490,FLNFIX!$L$4:$EF$103,2,0))</f>
        <v>-</v>
      </c>
      <c r="E2490" s="755" t="str">
        <f>IF($C$2490=0,NA(),VLOOKUP($I$2486&amp;$B$2490,FLNFIX!$L$4:$EF$103,4,0))</f>
        <v>-</v>
      </c>
      <c r="F2490" s="755" t="str">
        <f>IF($C$2490=0,NA(),VLOOKUP($I$2486&amp;$B$2490,FLNFIX!$L$4:$EF$103,3,0))</f>
        <v>-</v>
      </c>
      <c r="G2490" s="756">
        <f>IF($C$2490=0,NA(),VLOOKUP($I$2486&amp;$B$2490,FLNFIX!$L$4:$EF$103,5,0))</f>
        <v>0</v>
      </c>
      <c r="H2490" s="757"/>
      <c r="I2490" s="757"/>
      <c r="J2490" s="758"/>
      <c r="K2490" s="677"/>
    </row>
    <row r="2491" ht="20.1" customHeight="1" spans="1:11">
      <c r="A2491" s="675"/>
      <c r="B2491" s="755">
        <f t="shared" ref="B2491:B2510" si="45">IF(B2490=0,0,IF(B2490&lt;$B$2489,B2490+1,""))</f>
        <v>2</v>
      </c>
      <c r="C2491" s="755" t="str">
        <f>IFERROR(VLOOKUP(B2491,DATEWISE!$A$3:$BY$27,2,0),0)</f>
        <v>08.05.2026</v>
      </c>
      <c r="D2491" s="755">
        <f>IF($C$2491=0,NA(),VLOOKUP($I$2486&amp;$B$2491,FLNFIX!$Q$4:$EF$103,2,0))</f>
        <v>0</v>
      </c>
      <c r="E2491" s="755">
        <f>IF($C$2491=0,NA(),VLOOKUP($I$2486&amp;$B$2491,FLNFIX!$Q$4:$EF$103,4,0))</f>
        <v>0</v>
      </c>
      <c r="F2491" s="755">
        <f>IF($C$2491=0,NA(),VLOOKUP($I$2486&amp;$B$2491,FLNFIX!$Q$4:$EF$103,3,0))</f>
        <v>0</v>
      </c>
      <c r="G2491" s="756">
        <f>IF($C$2491=0,NA(),VLOOKUP($I$2486&amp;$B$2491,FLNFIX!$Q$4:$EF$103,5,0))</f>
        <v>0</v>
      </c>
      <c r="H2491" s="757"/>
      <c r="I2491" s="757"/>
      <c r="J2491" s="758"/>
      <c r="K2491" s="677"/>
    </row>
    <row r="2492" ht="20.1" customHeight="1" spans="1:11">
      <c r="A2492" s="675"/>
      <c r="B2492" s="755">
        <f t="shared" si="45"/>
        <v>3</v>
      </c>
      <c r="C2492" s="755" t="str">
        <f>IFERROR(VLOOKUP(B2492,DATEWISE!$A$3:$BY$27,2,0),0)</f>
        <v>15.07.2026</v>
      </c>
      <c r="D2492" s="755">
        <f>IF($C$2492=0,NA(),VLOOKUP($I$2486&amp;$B$2492,FLNFIX!$V$4:$EF$103,2,0))</f>
        <v>0</v>
      </c>
      <c r="E2492" s="755">
        <f>IF($C$2492=0,NA(),VLOOKUP($I$2486&amp;$B$2492,FLNFIX!$V$4:$EF$103,4,0))</f>
        <v>0</v>
      </c>
      <c r="F2492" s="755">
        <f>IF($C$2492=0,NA(),VLOOKUP($I$2486&amp;$B$2492,FLNFIX!$V$4:$EF$103,3,0))</f>
        <v>0</v>
      </c>
      <c r="G2492" s="756">
        <f>IF($C$2492=0,NA(),VLOOKUP($I$2486&amp;$B$2492,FLNFIX!$V$4:$EF$103,5,0))</f>
        <v>0</v>
      </c>
      <c r="H2492" s="757"/>
      <c r="I2492" s="757"/>
      <c r="J2492" s="758"/>
      <c r="K2492" s="677"/>
    </row>
    <row r="2493" ht="20.1" customHeight="1" spans="1:11">
      <c r="A2493" s="675"/>
      <c r="B2493" s="755">
        <f t="shared" si="45"/>
        <v>4</v>
      </c>
      <c r="C2493" s="755" t="str">
        <f>IFERROR(VLOOKUP(B2493,DATEWISE!$A$3:$BY$27,2,0),0)</f>
        <v>31.07.2026</v>
      </c>
      <c r="D2493" s="755">
        <f>IF($C$2493=0,NA(),VLOOKUP($I$2486&amp;$B$2493,FLNFIX!$AA$4:$EF$103,2,0))</f>
        <v>0</v>
      </c>
      <c r="E2493" s="755">
        <f>IF($C$2493=0,NA(),VLOOKUP($I$2486&amp;$B$2493,FLNFIX!$AA$4:$EF$103,4,0))</f>
        <v>0</v>
      </c>
      <c r="F2493" s="755">
        <f>IF($C$2493=0,NA(),VLOOKUP($I$2486&amp;$B$2493,FLNFIX!$AA$4:$EF$103,3,0))</f>
        <v>0</v>
      </c>
      <c r="G2493" s="756">
        <f>IF($C$2493=0,NA(),VLOOKUP($I$2486&amp;$B$2493,FLNFIX!$AA$4:$EF$103,5,0))</f>
        <v>0</v>
      </c>
      <c r="H2493" s="757"/>
      <c r="I2493" s="757"/>
      <c r="J2493" s="758"/>
      <c r="K2493" s="677"/>
    </row>
    <row r="2494" ht="20.1" customHeight="1" spans="1:11">
      <c r="A2494" s="675"/>
      <c r="B2494" s="755">
        <f t="shared" si="45"/>
        <v>5</v>
      </c>
      <c r="C2494" s="755" t="str">
        <f>IFERROR(VLOOKUP(B2494,DATEWISE!$A$3:$BY$27,2,0),0)</f>
        <v>17.08.2026</v>
      </c>
      <c r="D2494" s="755">
        <f>IF($C$2494=0,NA(),VLOOKUP($I$2486&amp;$B$2494,FLNFIX!$AF$4:$EF$103,2,0))</f>
        <v>0</v>
      </c>
      <c r="E2494" s="755">
        <f>IF($C$2494=0,NA(),VLOOKUP($I$2486&amp;$B$2494,FLNFIX!$AF$4:$EF$103,4,0))</f>
        <v>0</v>
      </c>
      <c r="F2494" s="755">
        <f>IF($C$2494=0,NA(),VLOOKUP($I$2486&amp;$B$2494,FLNFIX!$AF$4:$EF$103,3,0))</f>
        <v>0</v>
      </c>
      <c r="G2494" s="756">
        <f>IF($C$2494=0,NA(),VLOOKUP($I$2486&amp;$B$2494,FLNFIX!$AF$4:$EF$103,5,0))</f>
        <v>0</v>
      </c>
      <c r="H2494" s="757"/>
      <c r="I2494" s="757"/>
      <c r="J2494" s="758"/>
      <c r="K2494" s="677"/>
    </row>
    <row r="2495" ht="20.1" customHeight="1" spans="1:11">
      <c r="A2495" s="675"/>
      <c r="B2495" s="755">
        <f t="shared" si="45"/>
        <v>6</v>
      </c>
      <c r="C2495" s="755" t="str">
        <f>IFERROR(VLOOKUP(B2495,DATEWISE!$A$3:$BY$27,2,0),0)</f>
        <v>31.08.2026</v>
      </c>
      <c r="D2495" s="755">
        <f>IF($C$2495=0,NA(),VLOOKUP($I$2486&amp;$B$2495,FLNFIX!$AK$4:$EF$103,2,0))</f>
        <v>0</v>
      </c>
      <c r="E2495" s="755">
        <f>IF($C$2495=0,NA(),VLOOKUP($I$2486&amp;$B$2495,FLNFIX!$AK$4:$EF$103,4,0))</f>
        <v>0</v>
      </c>
      <c r="F2495" s="755">
        <f>IF($C$2495=0,NA(),VLOOKUP($I$2486&amp;$B$2495,FLNFIX!$AK$4:$EF$103,3,0))</f>
        <v>0</v>
      </c>
      <c r="G2495" s="756">
        <f>IF($C$2495=0,NA(),VLOOKUP($I$2486&amp;$B$2495,FLNFIX!$AK$4:$EF$103,5,0))</f>
        <v>0</v>
      </c>
      <c r="H2495" s="757"/>
      <c r="I2495" s="757"/>
      <c r="J2495" s="758"/>
      <c r="K2495" s="677"/>
    </row>
    <row r="2496" ht="20.1" customHeight="1" spans="1:11">
      <c r="A2496" s="675"/>
      <c r="B2496" s="755">
        <f t="shared" si="45"/>
        <v>7</v>
      </c>
      <c r="C2496" s="755">
        <f>IFERROR(VLOOKUP(B2496,DATEWISE!$A$3:$BY$27,2,0),0)</f>
        <v>0</v>
      </c>
      <c r="D2496" s="755" t="e">
        <f>IF($C$2496=0,NA(),VLOOKUP($I$2486&amp;$B$2496,FLNFIX!$AP$4:$EF$103,2,0))</f>
        <v>#N/A</v>
      </c>
      <c r="E2496" s="755" t="e">
        <f>IF($C$2496=0,NA(),VLOOKUP($I$2486&amp;$B$2496,FLNFIX!$AP$4:$EF$103,4,0))</f>
        <v>#N/A</v>
      </c>
      <c r="F2496" s="755" t="e">
        <f>IF($C$2496=0,NA(),VLOOKUP($I$2486&amp;$B$2496,FLNFIX!$AP$4:$EF$103,3,0))</f>
        <v>#N/A</v>
      </c>
      <c r="G2496" s="756" t="e">
        <f>IF($C$2496=0,NA(),VLOOKUP($I$2486&amp;$B$2496,FLNFIX!$AP$4:$EF$103,5,0))</f>
        <v>#N/A</v>
      </c>
      <c r="H2496" s="757"/>
      <c r="I2496" s="757"/>
      <c r="J2496" s="758"/>
      <c r="K2496" s="677"/>
    </row>
    <row r="2497" ht="20.1" customHeight="1" spans="1:11">
      <c r="A2497" s="675"/>
      <c r="B2497" s="755">
        <f t="shared" si="45"/>
        <v>8</v>
      </c>
      <c r="C2497" s="755">
        <f>IFERROR(VLOOKUP(B2497,DATEWISE!$A$3:$BY$27,2,0),0)</f>
        <v>0</v>
      </c>
      <c r="D2497" s="755" t="e">
        <f>IF($C$2497=0,NA(),VLOOKUP($I$2486&amp;$B$2497,FLNFIX!$AU$4:$EF$103,2,0))</f>
        <v>#N/A</v>
      </c>
      <c r="E2497" s="755" t="e">
        <f>IF($C$2497=0,NA(),VLOOKUP($I$2486&amp;$B$2497,FLNFIX!$AU$4:$EF$103,4,0))</f>
        <v>#N/A</v>
      </c>
      <c r="F2497" s="755" t="e">
        <f>IF($C$2497=0,NA(),VLOOKUP($I$2486&amp;$B$2497,FLNFIX!$AU$4:$EF$103,3,0))</f>
        <v>#N/A</v>
      </c>
      <c r="G2497" s="756" t="e">
        <f>IF($C$2497=0,NA(),VLOOKUP($I$2486&amp;$B$2497,FLNFIX!$AU$4:$EF$103,5,0))</f>
        <v>#N/A</v>
      </c>
      <c r="H2497" s="757"/>
      <c r="I2497" s="757"/>
      <c r="J2497" s="758"/>
      <c r="K2497" s="677"/>
    </row>
    <row r="2498" ht="20.1" customHeight="1" spans="1:11">
      <c r="A2498" s="675"/>
      <c r="B2498" s="755">
        <f t="shared" si="45"/>
        <v>9</v>
      </c>
      <c r="C2498" s="755">
        <f>IFERROR(VLOOKUP(B2498,DATEWISE!$A$3:$BY$27,2,0),0)</f>
        <v>0</v>
      </c>
      <c r="D2498" s="755" t="e">
        <f>IF($C$2498=0,NA(),VLOOKUP($I$2486&amp;$B$2498,FLNFIX!$AZ$4:$EF$103,2,0))</f>
        <v>#N/A</v>
      </c>
      <c r="E2498" s="755" t="e">
        <f>IF($C$2498=0,NA(),VLOOKUP($I$2486&amp;$B$2498,FLNFIX!$AZ$4:$EF$103,4,0))</f>
        <v>#N/A</v>
      </c>
      <c r="F2498" s="755" t="e">
        <f>IF($C$2498=0,NA(),VLOOKUP($I$2486&amp;$B$2498,FLNFIX!$AZ$4:$EF$103,3,0))</f>
        <v>#N/A</v>
      </c>
      <c r="G2498" s="756" t="e">
        <f>IF($C$2498=0,NA(),VLOOKUP($I$2486&amp;$B$2498,FLNFIX!$AZ$4:$EF$103,5,0))</f>
        <v>#N/A</v>
      </c>
      <c r="H2498" s="757"/>
      <c r="I2498" s="757"/>
      <c r="J2498" s="758"/>
      <c r="K2498" s="677"/>
    </row>
    <row r="2499" ht="20.1" customHeight="1" spans="1:11">
      <c r="A2499" s="675"/>
      <c r="B2499" s="755">
        <f t="shared" si="45"/>
        <v>10</v>
      </c>
      <c r="C2499" s="755">
        <f>IFERROR(VLOOKUP(B2499,DATEWISE!$A$3:$BY$27,2,0),0)</f>
        <v>0</v>
      </c>
      <c r="D2499" s="755" t="e">
        <f>IF($C$2499=0,NA(),VLOOKUP($I$2486&amp;$B$2499,FLNFIX!$BE$4:$EF$103,2,0))</f>
        <v>#N/A</v>
      </c>
      <c r="E2499" s="755" t="e">
        <f>IF($C$2499=0,NA(),VLOOKUP($I$2486&amp;$B$2499,FLNFIX!$BE$4:$EF$103,4,0))</f>
        <v>#N/A</v>
      </c>
      <c r="F2499" s="755" t="e">
        <f>IF($C$2499=0,NA(),VLOOKUP($I$2486&amp;$B$2499,FLNFIX!$BE$4:$EF$103,3,0))</f>
        <v>#N/A</v>
      </c>
      <c r="G2499" s="756" t="e">
        <f>IF($C$2499=0,NA(),VLOOKUP($I$2486&amp;$B$2499,FLNFIX!$BE$4:$EF$103,5,0))</f>
        <v>#N/A</v>
      </c>
      <c r="H2499" s="757"/>
      <c r="I2499" s="757"/>
      <c r="J2499" s="758"/>
      <c r="K2499" s="677"/>
    </row>
    <row r="2500" ht="20.1" customHeight="1" spans="1:11">
      <c r="A2500" s="675"/>
      <c r="B2500" s="755">
        <f t="shared" si="45"/>
        <v>11</v>
      </c>
      <c r="C2500" s="755">
        <f>IFERROR(VLOOKUP(B2500,DATEWISE!$A$3:$BY$27,2,0),0)</f>
        <v>0</v>
      </c>
      <c r="D2500" s="755" t="e">
        <f>IF($C$2500=0,NA(),VLOOKUP($I$2486&amp;$B$2500,FLNFIX!$BJ$4:$EF$103,2,0))</f>
        <v>#N/A</v>
      </c>
      <c r="E2500" s="755" t="e">
        <f>IF($C$2500=0,NA(),VLOOKUP($I$2486&amp;$B$2500,FLNFIX!$BJ$4:$EF$103,4,0))</f>
        <v>#N/A</v>
      </c>
      <c r="F2500" s="755" t="e">
        <f>IF($C$2500=0,NA(),VLOOKUP($I$2486&amp;$B$2500,FLNFIX!$BJ$4:$EF$103,3,0))</f>
        <v>#N/A</v>
      </c>
      <c r="G2500" s="756" t="e">
        <f>IF($C$2500=0,NA(),VLOOKUP($I$2486&amp;$B$2500,FLNFIX!$BJ$4:$EF$103,5,0))</f>
        <v>#N/A</v>
      </c>
      <c r="H2500" s="757"/>
      <c r="I2500" s="757"/>
      <c r="J2500" s="758"/>
      <c r="K2500" s="677"/>
    </row>
    <row r="2501" ht="20.1" customHeight="1" spans="1:11">
      <c r="A2501" s="675"/>
      <c r="B2501" s="755">
        <f t="shared" si="45"/>
        <v>12</v>
      </c>
      <c r="C2501" s="755">
        <f>IFERROR(VLOOKUP(B2501,DATEWISE!$A$3:$BY$27,2,0),0)</f>
        <v>0</v>
      </c>
      <c r="D2501" s="755" t="e">
        <f>IF($C$2501=0,NA(),VLOOKUP($I$2486&amp;$B$2501,FLNFIX!$BO$4:$EF$103,2,0))</f>
        <v>#N/A</v>
      </c>
      <c r="E2501" s="755" t="e">
        <f>IF($C$2501=0,NA(),VLOOKUP($I$2486&amp;$B$2501,FLNFIX!$BO$4:$EF$103,4,0))</f>
        <v>#N/A</v>
      </c>
      <c r="F2501" s="755" t="e">
        <f>IF($C$2501=0,NA(),VLOOKUP($I$2486&amp;$B$2501,FLNFIX!$BO$4:$EF$103,3,0))</f>
        <v>#N/A</v>
      </c>
      <c r="G2501" s="756" t="e">
        <f>IF($C$2501=0,NA(),VLOOKUP($I$2486&amp;$B$2501,FLNFIX!$BO$4:$EF$103,5,0))</f>
        <v>#N/A</v>
      </c>
      <c r="H2501" s="757"/>
      <c r="I2501" s="757"/>
      <c r="J2501" s="758"/>
      <c r="K2501" s="677"/>
    </row>
    <row r="2502" ht="20.1" customHeight="1" spans="1:11">
      <c r="A2502" s="675"/>
      <c r="B2502" s="755">
        <f t="shared" si="45"/>
        <v>13</v>
      </c>
      <c r="C2502" s="755">
        <f>IFERROR(VLOOKUP(B2502,DATEWISE!$A$3:$BY$27,2,0),0)</f>
        <v>0</v>
      </c>
      <c r="D2502" s="755" t="e">
        <f>IF($C$2502=0,NA(),VLOOKUP($I$2486&amp;$B$2502,FLNFIX!$BT$4:$EF$103,2,0))</f>
        <v>#N/A</v>
      </c>
      <c r="E2502" s="755" t="e">
        <f>IF($C$2502=0,NA(),VLOOKUP($I$2486&amp;$B$2502,FLNFIX!$BT$4:$EF$103,4,0))</f>
        <v>#N/A</v>
      </c>
      <c r="F2502" s="755" t="e">
        <f>IF($C$2502=0,NA(),VLOOKUP($I$2486&amp;$B$2502,FLNFIX!$BT$4:$EF$103,3,0))</f>
        <v>#N/A</v>
      </c>
      <c r="G2502" s="756" t="e">
        <f>IF($C$2502=0,NA(),VLOOKUP($I$2486&amp;$B$2502,FLNFIX!$BT$4:$EF$103,5,0))</f>
        <v>#N/A</v>
      </c>
      <c r="H2502" s="757"/>
      <c r="I2502" s="757"/>
      <c r="J2502" s="758"/>
      <c r="K2502" s="677"/>
    </row>
    <row r="2503" ht="20.1" customHeight="1" spans="1:11">
      <c r="A2503" s="675"/>
      <c r="B2503" s="755">
        <f t="shared" si="45"/>
        <v>14</v>
      </c>
      <c r="C2503" s="755">
        <f>IFERROR(VLOOKUP(B2503,DATEWISE!$A$3:$BY$27,2,0),0)</f>
        <v>0</v>
      </c>
      <c r="D2503" s="755" t="e">
        <f>IF($C$2503=0,NA(),VLOOKUP($I$2486&amp;$B$2503,FLNFIX!$BY$4:$EF$103,2,0))</f>
        <v>#N/A</v>
      </c>
      <c r="E2503" s="755" t="e">
        <f>IF($C$2503=0,NA(),VLOOKUP($I$2486&amp;$B$2503,FLNFIX!$BY$4:$EF$103,4,0))</f>
        <v>#N/A</v>
      </c>
      <c r="F2503" s="755" t="e">
        <f>IF($C$2503=0,NA(),VLOOKUP($I$2486&amp;$B$2503,FLNFIX!$BY$4:$EF$103,3,0))</f>
        <v>#N/A</v>
      </c>
      <c r="G2503" s="756" t="e">
        <f>IF($C$2503=0,NA(),VLOOKUP($I$2486&amp;$B$2503,FLNFIX!$BY$4:$EF$103,5,0))</f>
        <v>#N/A</v>
      </c>
      <c r="H2503" s="757"/>
      <c r="I2503" s="757"/>
      <c r="J2503" s="758"/>
      <c r="K2503" s="677"/>
    </row>
    <row r="2504" ht="20.1" customHeight="1" spans="1:11">
      <c r="A2504" s="675"/>
      <c r="B2504" s="755">
        <f t="shared" si="45"/>
        <v>15</v>
      </c>
      <c r="C2504" s="755">
        <f>IFERROR(VLOOKUP(B2504,DATEWISE!$A$3:$BY$27,2,0),0)</f>
        <v>0</v>
      </c>
      <c r="D2504" s="755" t="e">
        <f>IF($C$2504=0,NA(),VLOOKUP($I$2486&amp;$B$2504,FLNFIX!$CD$4:$EF$103,2,0))</f>
        <v>#N/A</v>
      </c>
      <c r="E2504" s="755" t="e">
        <f>IF($C$2504=0,NA(),VLOOKUP($I$2486&amp;$B$2504,FLNFIX!$CD$4:$EF$103,4,0))</f>
        <v>#N/A</v>
      </c>
      <c r="F2504" s="755" t="e">
        <f>IF($C$2504=0,NA(),VLOOKUP($I$2486&amp;$B$2504,FLNFIX!$CD$4:$EF$103,3,0))</f>
        <v>#N/A</v>
      </c>
      <c r="G2504" s="756" t="e">
        <f>IF($C$2504=0,NA(),VLOOKUP($I$2486&amp;$B$2504,FLNFIX!$CD$4:$EF$103,5,0))</f>
        <v>#N/A</v>
      </c>
      <c r="H2504" s="757"/>
      <c r="I2504" s="757"/>
      <c r="J2504" s="758"/>
      <c r="K2504" s="677"/>
    </row>
    <row r="2505" ht="20.1" customHeight="1" spans="1:11">
      <c r="A2505" s="675"/>
      <c r="B2505" s="755">
        <f t="shared" si="45"/>
        <v>16</v>
      </c>
      <c r="C2505" s="755">
        <f>IFERROR(VLOOKUP(B2505,DATEWISE!$A$3:$BY$27,2,0),0)</f>
        <v>0</v>
      </c>
      <c r="D2505" s="755" t="e">
        <f>IF($C$2505=0,NA(),VLOOKUP($I$2486&amp;$B$2505,FLNFIX!$CI$4:$EF$103,2,0))</f>
        <v>#N/A</v>
      </c>
      <c r="E2505" s="755" t="e">
        <f>IF($C$2505=0,NA(),VLOOKUP($I$2486&amp;$B$2505,FLNFIX!$CI$4:$EF$103,4,0))</f>
        <v>#N/A</v>
      </c>
      <c r="F2505" s="755" t="e">
        <f>IF($C$2505=0,NA(),VLOOKUP($I$2486&amp;$B$2505,FLNFIX!$CI$4:$EF$103,3,0))</f>
        <v>#N/A</v>
      </c>
      <c r="G2505" s="756" t="e">
        <f>IF($C$2505=0,NA(),VLOOKUP($I$2486&amp;$B$2505,FLNFIX!$CI$4:$EF$103,5,0))</f>
        <v>#N/A</v>
      </c>
      <c r="H2505" s="757"/>
      <c r="I2505" s="757"/>
      <c r="J2505" s="758"/>
      <c r="K2505" s="677"/>
    </row>
    <row r="2506" ht="20.1" customHeight="1" spans="1:11">
      <c r="A2506" s="675"/>
      <c r="B2506" s="755">
        <f t="shared" si="45"/>
        <v>17</v>
      </c>
      <c r="C2506" s="755">
        <f>IFERROR(VLOOKUP(B2506,DATEWISE!$A$3:$BY$27,2,0),0)</f>
        <v>0</v>
      </c>
      <c r="D2506" s="755" t="e">
        <f>IF($C$2506=0,NA(),VLOOKUP($I$2486&amp;$B$2506,FLNFIX!$CN$4:$EF$103,2,0))</f>
        <v>#N/A</v>
      </c>
      <c r="E2506" s="755" t="e">
        <f>IF($C$2506=0,NA(),VLOOKUP($I$2486&amp;$B$2506,FLNFIX!$CN$4:$EF$103,4,0))</f>
        <v>#N/A</v>
      </c>
      <c r="F2506" s="755" t="e">
        <f>IF($C$2506=0,NA(),VLOOKUP($I$2486&amp;$B$2506,FLNFIX!$CN$4:$EF$103,3,0))</f>
        <v>#N/A</v>
      </c>
      <c r="G2506" s="756" t="e">
        <f>IF($C$2506=0,NA(),VLOOKUP($I$2486&amp;$B$2506,FLNFIX!$CN$4:$EF$103,5,0))</f>
        <v>#N/A</v>
      </c>
      <c r="H2506" s="757"/>
      <c r="I2506" s="757"/>
      <c r="J2506" s="758"/>
      <c r="K2506" s="677"/>
    </row>
    <row r="2507" ht="20.1" customHeight="1" spans="1:11">
      <c r="A2507" s="675"/>
      <c r="B2507" s="755">
        <f t="shared" si="45"/>
        <v>18</v>
      </c>
      <c r="C2507" s="755">
        <f>IFERROR(VLOOKUP(B2507,DATEWISE!$A$3:$BY$27,2,0),0)</f>
        <v>0</v>
      </c>
      <c r="D2507" s="755" t="e">
        <f>IF($C$2507=0,NA(),VLOOKUP($I$2486&amp;$B$2507,FLNFIX!$CS$4:$EF$103,2,0))</f>
        <v>#N/A</v>
      </c>
      <c r="E2507" s="755" t="e">
        <f>IF($C$2507=0,NA(),VLOOKUP($I$2486&amp;$B$2507,FLNFIX!$CS$4:$EF$103,4,0))</f>
        <v>#N/A</v>
      </c>
      <c r="F2507" s="755" t="e">
        <f>IF($C$2507=0,NA(),VLOOKUP($I$2486&amp;$B$2507,FLNFIX!$CS$4:$EF$103,3,0))</f>
        <v>#N/A</v>
      </c>
      <c r="G2507" s="756" t="e">
        <f>IF($C$2507=0,NA(),VLOOKUP($I$2486&amp;$B$2507,FLNFIX!$CS$4:$EF$103,5,0))</f>
        <v>#N/A</v>
      </c>
      <c r="H2507" s="757"/>
      <c r="I2507" s="757"/>
      <c r="J2507" s="758"/>
      <c r="K2507" s="677"/>
    </row>
    <row r="2508" ht="20.1" customHeight="1" spans="1:11">
      <c r="A2508" s="675"/>
      <c r="B2508" s="755">
        <f t="shared" si="45"/>
        <v>19</v>
      </c>
      <c r="C2508" s="755">
        <f>IFERROR(VLOOKUP(B2508,DATEWISE!$A$3:$BY$27,2,0),0)</f>
        <v>0</v>
      </c>
      <c r="D2508" s="755" t="e">
        <f>IF($C$2508=0,NA(),VLOOKUP($I$2486&amp;$B$2508,FLNFIX!$CX$4:$EF$103,2,0))</f>
        <v>#N/A</v>
      </c>
      <c r="E2508" s="755" t="e">
        <f>IF($C$2508=0,NA(),VLOOKUP($I$2486&amp;$B$2508,FLNFIX!$CX$4:$EF$103,4,0))</f>
        <v>#N/A</v>
      </c>
      <c r="F2508" s="755" t="e">
        <f>IF($C$2508=0,NA(),VLOOKUP($I$2486&amp;$B$2508,FLNFIX!$CX$4:$EF$103,3,0))</f>
        <v>#N/A</v>
      </c>
      <c r="G2508" s="756" t="e">
        <f>IF($C$2508=0,NA(),VLOOKUP($I$2486&amp;$B$2508,FLNFIX!$CX$4:$EF$103,5,0))</f>
        <v>#N/A</v>
      </c>
      <c r="H2508" s="757"/>
      <c r="I2508" s="757"/>
      <c r="J2508" s="758"/>
      <c r="K2508" s="677"/>
    </row>
    <row r="2509" ht="20.1" customHeight="1" spans="1:11">
      <c r="A2509" s="675"/>
      <c r="B2509" s="755">
        <f t="shared" si="45"/>
        <v>20</v>
      </c>
      <c r="C2509" s="755">
        <f>IFERROR(VLOOKUP(B2509,DATEWISE!$A$3:$BY$27,2,0),0)</f>
        <v>0</v>
      </c>
      <c r="D2509" s="755" t="e">
        <f>IF($C$2509=0,NA(),VLOOKUP($I$2486&amp;$B$2509,FLNFIX!$DC$4:$EF$103,2,0))</f>
        <v>#N/A</v>
      </c>
      <c r="E2509" s="755" t="e">
        <f>IF($C$2509=0,NA(),VLOOKUP($I$2486&amp;$B$2509,FLNFIX!$DC$4:$EF$103,4,0))</f>
        <v>#N/A</v>
      </c>
      <c r="F2509" s="755" t="e">
        <f>IF($C$2509=0,NA(),VLOOKUP($I$2486&amp;$B$2509,FLNFIX!$DC$4:$EF$103,3,0))</f>
        <v>#N/A</v>
      </c>
      <c r="G2509" s="756" t="e">
        <f>IF($C$2509=0,NA(),VLOOKUP($I$2486&amp;$B$2509,FLNFIX!$DC$4:$EF$103,5,0))</f>
        <v>#N/A</v>
      </c>
      <c r="H2509" s="757"/>
      <c r="I2509" s="757"/>
      <c r="J2509" s="758"/>
      <c r="K2509" s="677"/>
    </row>
    <row r="2510" ht="20.1" customHeight="1" spans="1:11">
      <c r="A2510" s="675"/>
      <c r="B2510" s="755">
        <f t="shared" si="45"/>
        <v>21</v>
      </c>
      <c r="C2510" s="755">
        <f>IFERROR(VLOOKUP(B2510,DATEWISE!$A$3:$BY$27,2,0),0)</f>
        <v>0</v>
      </c>
      <c r="D2510" s="755" t="e">
        <f>IF($C$2510=0,NA(),VLOOKUP($I$2486&amp;$B$2510,FLNFIX!$DH$4:$EF$103,2,0))</f>
        <v>#N/A</v>
      </c>
      <c r="E2510" s="755" t="e">
        <f>IF($C$2510=0,NA(),VLOOKUP($I$2486&amp;$B$2510,FLNFIX!$DH$4:$EF$103,4,0))</f>
        <v>#N/A</v>
      </c>
      <c r="F2510" s="755" t="e">
        <f>IF($C$2510=0,NA(),VLOOKUP($I$2486&amp;$B$2510,FLNFIX!$DH$4:$EF$103,3,0))</f>
        <v>#N/A</v>
      </c>
      <c r="G2510" s="756" t="e">
        <f>IF($C$2510=0,NA(),VLOOKUP($I$2486&amp;$B$2510,FLNFIX!$DH$4:$EF$103,5,0))</f>
        <v>#N/A</v>
      </c>
      <c r="H2510" s="757"/>
      <c r="I2510" s="757"/>
      <c r="J2510" s="758"/>
      <c r="K2510" s="677"/>
    </row>
    <row r="2511" ht="5.1" customHeight="1" spans="1:11">
      <c r="A2511" s="675"/>
      <c r="B2511" s="759"/>
      <c r="C2511" s="759"/>
      <c r="D2511" s="760"/>
      <c r="E2511" s="760"/>
      <c r="F2511" s="760"/>
      <c r="G2511" s="761"/>
      <c r="H2511" s="761"/>
      <c r="I2511" s="761"/>
      <c r="J2511" s="761"/>
      <c r="K2511" s="677"/>
    </row>
    <row r="2512" s="667" customFormat="1" ht="24.95" customHeight="1" spans="1:11">
      <c r="A2512" s="711"/>
      <c r="B2512" s="762" t="s">
        <v>431</v>
      </c>
      <c r="C2512" s="763"/>
      <c r="D2512" s="763"/>
      <c r="E2512" s="763"/>
      <c r="F2512" s="763"/>
      <c r="G2512" s="763"/>
      <c r="H2512" s="763"/>
      <c r="I2512" s="763"/>
      <c r="J2512" s="764"/>
      <c r="K2512" s="713"/>
    </row>
    <row r="2513" spans="1:11">
      <c r="A2513" s="675"/>
      <c r="B2513" s="765"/>
      <c r="C2513" s="686"/>
      <c r="D2513" s="686"/>
      <c r="E2513" s="686"/>
      <c r="F2513" s="686"/>
      <c r="G2513" s="686"/>
      <c r="H2513" s="686"/>
      <c r="I2513" s="686"/>
      <c r="J2513" s="766"/>
      <c r="K2513" s="677"/>
    </row>
    <row r="2514" spans="1:11">
      <c r="A2514" s="675"/>
      <c r="B2514" s="765"/>
      <c r="C2514" s="686"/>
      <c r="D2514" s="686"/>
      <c r="E2514" s="686"/>
      <c r="F2514" s="686"/>
      <c r="G2514" s="686"/>
      <c r="H2514" s="686"/>
      <c r="I2514" s="686"/>
      <c r="J2514" s="766"/>
      <c r="K2514" s="677"/>
    </row>
    <row r="2515" spans="1:11">
      <c r="A2515" s="675"/>
      <c r="B2515" s="765"/>
      <c r="C2515" s="686"/>
      <c r="D2515" s="686"/>
      <c r="E2515" s="686"/>
      <c r="F2515" s="686"/>
      <c r="G2515" s="686"/>
      <c r="H2515" s="686"/>
      <c r="I2515" s="686"/>
      <c r="J2515" s="766"/>
      <c r="K2515" s="677"/>
    </row>
    <row r="2516" spans="1:11">
      <c r="A2516" s="675"/>
      <c r="B2516" s="765"/>
      <c r="C2516" s="686"/>
      <c r="D2516" s="686"/>
      <c r="E2516" s="686"/>
      <c r="F2516" s="686"/>
      <c r="G2516" s="686"/>
      <c r="H2516" s="686"/>
      <c r="I2516" s="686"/>
      <c r="J2516" s="766"/>
      <c r="K2516" s="677"/>
    </row>
    <row r="2517" spans="1:11">
      <c r="A2517" s="675"/>
      <c r="B2517" s="765"/>
      <c r="C2517" s="686"/>
      <c r="D2517" s="686"/>
      <c r="E2517" s="686"/>
      <c r="F2517" s="686"/>
      <c r="G2517" s="686"/>
      <c r="H2517" s="686"/>
      <c r="I2517" s="686"/>
      <c r="J2517" s="766"/>
      <c r="K2517" s="677"/>
    </row>
    <row r="2518" spans="1:11">
      <c r="A2518" s="675"/>
      <c r="B2518" s="765"/>
      <c r="C2518" s="686"/>
      <c r="D2518" s="686"/>
      <c r="E2518" s="686"/>
      <c r="F2518" s="686"/>
      <c r="G2518" s="686"/>
      <c r="H2518" s="686"/>
      <c r="I2518" s="686"/>
      <c r="J2518" s="766"/>
      <c r="K2518" s="677"/>
    </row>
    <row r="2519" spans="1:11">
      <c r="A2519" s="675"/>
      <c r="B2519" s="765"/>
      <c r="C2519" s="686"/>
      <c r="D2519" s="686"/>
      <c r="E2519" s="686"/>
      <c r="F2519" s="686"/>
      <c r="G2519" s="686"/>
      <c r="H2519" s="686"/>
      <c r="I2519" s="686"/>
      <c r="J2519" s="766"/>
      <c r="K2519" s="677"/>
    </row>
    <row r="2520" spans="1:11">
      <c r="A2520" s="675"/>
      <c r="B2520" s="765"/>
      <c r="C2520" s="686"/>
      <c r="D2520" s="686"/>
      <c r="E2520" s="686"/>
      <c r="F2520" s="686"/>
      <c r="G2520" s="686"/>
      <c r="H2520" s="686"/>
      <c r="I2520" s="686"/>
      <c r="J2520" s="766"/>
      <c r="K2520" s="677"/>
    </row>
    <row r="2521" spans="1:11">
      <c r="A2521" s="675"/>
      <c r="B2521" s="765"/>
      <c r="C2521" s="686"/>
      <c r="D2521" s="686"/>
      <c r="E2521" s="686"/>
      <c r="F2521" s="686"/>
      <c r="G2521" s="686"/>
      <c r="H2521" s="686"/>
      <c r="I2521" s="686"/>
      <c r="J2521" s="766"/>
      <c r="K2521" s="677"/>
    </row>
    <row r="2522" spans="1:11">
      <c r="A2522" s="675"/>
      <c r="B2522" s="767"/>
      <c r="C2522" s="768"/>
      <c r="D2522" s="768"/>
      <c r="E2522" s="768"/>
      <c r="F2522" s="768"/>
      <c r="G2522" s="768"/>
      <c r="H2522" s="768"/>
      <c r="I2522" s="768"/>
      <c r="J2522" s="769"/>
      <c r="K2522" s="677"/>
    </row>
    <row r="2523" ht="5.1" customHeight="1" spans="1:11">
      <c r="A2523" s="675"/>
      <c r="B2523" s="686"/>
      <c r="C2523" s="686"/>
      <c r="D2523" s="686"/>
      <c r="E2523" s="686"/>
      <c r="F2523" s="686"/>
      <c r="G2523" s="686"/>
      <c r="H2523" s="686"/>
      <c r="I2523" s="686"/>
      <c r="J2523" s="686"/>
      <c r="K2523" s="677"/>
    </row>
    <row r="2524" spans="1:11">
      <c r="A2524" s="675"/>
      <c r="B2524" s="770" t="s">
        <v>432</v>
      </c>
      <c r="C2524" s="770"/>
      <c r="D2524" s="770"/>
      <c r="E2524" s="770"/>
      <c r="F2524" s="770"/>
      <c r="G2524" s="770"/>
      <c r="H2524" s="770"/>
      <c r="I2524" s="770"/>
      <c r="J2524" s="770"/>
      <c r="K2524" s="677"/>
    </row>
    <row r="2525" spans="1:11">
      <c r="A2525" s="675"/>
      <c r="B2525" s="771"/>
      <c r="C2525" s="771"/>
      <c r="D2525" s="771"/>
      <c r="E2525" s="771"/>
      <c r="F2525" s="771"/>
      <c r="G2525" s="771"/>
      <c r="H2525" s="771"/>
      <c r="I2525" s="771"/>
      <c r="J2525" s="771"/>
      <c r="K2525" s="677"/>
    </row>
    <row r="2526" spans="1:11">
      <c r="A2526" s="675"/>
      <c r="B2526" s="771"/>
      <c r="C2526" s="771"/>
      <c r="D2526" s="771"/>
      <c r="E2526" s="771"/>
      <c r="F2526" s="771"/>
      <c r="G2526" s="771"/>
      <c r="H2526" s="771"/>
      <c r="I2526" s="771"/>
      <c r="J2526" s="771"/>
      <c r="K2526" s="677"/>
    </row>
    <row r="2527" spans="1:11">
      <c r="A2527" s="675"/>
      <c r="B2527" s="771"/>
      <c r="C2527" s="771"/>
      <c r="D2527" s="771"/>
      <c r="E2527" s="771"/>
      <c r="F2527" s="771"/>
      <c r="G2527" s="771"/>
      <c r="H2527" s="771"/>
      <c r="I2527" s="771"/>
      <c r="J2527" s="771"/>
      <c r="K2527" s="677"/>
    </row>
    <row r="2528" spans="1:11">
      <c r="A2528" s="675"/>
      <c r="B2528" s="686"/>
      <c r="C2528" s="686"/>
      <c r="D2528" s="686"/>
      <c r="E2528" s="686"/>
      <c r="F2528" s="686"/>
      <c r="G2528" s="686"/>
      <c r="H2528" s="686"/>
      <c r="I2528" s="686"/>
      <c r="J2528" s="686"/>
      <c r="K2528" s="677"/>
    </row>
    <row r="2529" spans="1:11">
      <c r="A2529" s="675"/>
      <c r="B2529" s="686"/>
      <c r="C2529" s="729" t="s">
        <v>433</v>
      </c>
      <c r="D2529" s="729"/>
      <c r="E2529" s="686"/>
      <c r="F2529" s="686"/>
      <c r="G2529" s="729" t="s">
        <v>434</v>
      </c>
      <c r="H2529" s="729"/>
      <c r="I2529" s="729"/>
      <c r="J2529" s="729"/>
      <c r="K2529" s="677"/>
    </row>
    <row r="2530" ht="16.35" spans="1:11">
      <c r="A2530" s="725"/>
      <c r="B2530" s="726"/>
      <c r="C2530" s="732" t="str">
        <f>"("&amp;PROPER(ENTRY!$D$19)&amp;")"</f>
        <v>(Indrajeet)</v>
      </c>
      <c r="D2530" s="732"/>
      <c r="E2530" s="726"/>
      <c r="F2530" s="726"/>
      <c r="G2530" s="732" t="str">
        <f>"("&amp;PROPER(ENTRY!$D$12)&amp;")"</f>
        <v>(Shambhu Dayal Meena)</v>
      </c>
      <c r="H2530" s="732"/>
      <c r="I2530" s="732"/>
      <c r="J2530" s="732"/>
      <c r="K2530" s="728"/>
    </row>
    <row r="2531" ht="24.6" spans="1:11">
      <c r="B2531" s="734"/>
      <c r="C2531" s="734"/>
      <c r="D2531" s="669" t="str">
        <f>ENTRY!$D$3</f>
        <v>MUNICIPAL CORPORATION OF DELHI</v>
      </c>
      <c r="E2531" s="669"/>
      <c r="F2531" s="669"/>
      <c r="G2531" s="669"/>
      <c r="H2531" s="734"/>
      <c r="I2531" s="669"/>
      <c r="J2531" s="669"/>
    </row>
    <row r="2532" ht="20.4" spans="1:11">
      <c r="B2532" s="735"/>
      <c r="C2532" s="735"/>
      <c r="D2532" s="670" t="str">
        <f>ENTRY!$D$4</f>
        <v>EDUCATION DEPARTMENT</v>
      </c>
      <c r="E2532" s="670"/>
      <c r="F2532" s="670"/>
      <c r="G2532" s="670"/>
      <c r="H2532" s="735"/>
      <c r="I2532" s="669"/>
      <c r="J2532" s="669"/>
    </row>
    <row r="2533" ht="22.8" spans="1:11">
      <c r="B2533" s="736"/>
      <c r="C2533" s="736"/>
      <c r="D2533" s="664" t="s">
        <v>417</v>
      </c>
      <c r="E2533" s="664"/>
      <c r="F2533" s="664"/>
      <c r="G2533" s="664"/>
      <c r="H2533" s="736"/>
      <c r="I2533" s="669"/>
      <c r="J2533" s="669"/>
    </row>
    <row r="2534" ht="22.8" spans="1:11">
      <c r="B2534" s="736"/>
      <c r="C2534" s="736"/>
      <c r="D2534" s="664" t="s">
        <v>418</v>
      </c>
      <c r="E2534" s="664"/>
      <c r="F2534" s="664"/>
      <c r="G2534" s="664"/>
      <c r="H2534" s="736"/>
      <c r="I2534" s="669"/>
      <c r="J2534" s="669"/>
    </row>
    <row r="2535" ht="24.95" customHeight="1" spans="1:11">
      <c r="B2535" s="735"/>
      <c r="C2535" s="735"/>
      <c r="D2535" s="737" t="str">
        <f>"SESSION : "&amp;ENTRY!$D$11</f>
        <v>SESSION : 2026-27</v>
      </c>
      <c r="E2535" s="737"/>
      <c r="F2535" s="737"/>
      <c r="G2535" s="737"/>
      <c r="H2535" s="735"/>
      <c r="I2535" s="738"/>
      <c r="J2535" s="738"/>
    </row>
    <row r="2536" ht="3.75" customHeight="1" spans="1:11">
      <c r="A2536" s="672"/>
      <c r="B2536" s="739"/>
      <c r="C2536" s="739"/>
      <c r="D2536" s="739"/>
      <c r="E2536" s="739"/>
      <c r="F2536" s="739"/>
      <c r="G2536" s="739"/>
      <c r="H2536" s="739"/>
      <c r="I2536" s="739"/>
      <c r="J2536" s="739"/>
      <c r="K2536" s="674"/>
    </row>
    <row r="2537" ht="21.95" customHeight="1" spans="1:11">
      <c r="A2537" s="675"/>
      <c r="B2537" s="676" t="s">
        <v>419</v>
      </c>
      <c r="C2537" s="676"/>
      <c r="D2537" s="676" t="str">
        <f>ENTRY!$D$6</f>
        <v>MCP NITHARI NO 1 BOYS</v>
      </c>
      <c r="E2537" s="676"/>
      <c r="F2537" s="676"/>
      <c r="G2537" s="676"/>
      <c r="H2537" s="676"/>
      <c r="I2537" s="676"/>
      <c r="J2537" s="676"/>
      <c r="K2537" s="677"/>
    </row>
    <row r="2538" ht="21.95" customHeight="1" spans="1:11">
      <c r="A2538" s="675"/>
      <c r="B2538" s="676" t="s">
        <v>420</v>
      </c>
      <c r="C2538" s="676"/>
      <c r="D2538" s="740">
        <f>IFERROR(VLOOKUP($I$2541,STUDENT!$A$2:$BP$101,5,0),"")</f>
        <v>0</v>
      </c>
      <c r="E2538" s="740"/>
      <c r="F2538" s="740"/>
      <c r="G2538" s="740"/>
      <c r="H2538" s="740"/>
      <c r="I2538" s="740"/>
      <c r="J2538" s="740"/>
      <c r="K2538" s="677"/>
    </row>
    <row r="2539" ht="21.95" customHeight="1" spans="1:11">
      <c r="A2539" s="675"/>
      <c r="B2539" s="676" t="s">
        <v>421</v>
      </c>
      <c r="C2539" s="676"/>
      <c r="D2539" s="740">
        <f>IFERROR(VLOOKUP($I$2541,STUDENT!$A$2:$BP$101,8,0),"")</f>
        <v>0</v>
      </c>
      <c r="E2539" s="740"/>
      <c r="F2539" s="740"/>
      <c r="G2539" s="740"/>
      <c r="H2539" s="740"/>
      <c r="I2539" s="740"/>
      <c r="J2539" s="740"/>
      <c r="K2539" s="677"/>
    </row>
    <row r="2540" ht="21.95" customHeight="1" spans="1:11">
      <c r="A2540" s="675"/>
      <c r="B2540" s="676" t="s">
        <v>422</v>
      </c>
      <c r="C2540" s="676"/>
      <c r="D2540" s="740">
        <f>IFERROR(VLOOKUP($I$2541,STUDENT!$A$2:$BP$101,6,0),"")</f>
        <v>0</v>
      </c>
      <c r="E2540" s="740"/>
      <c r="F2540" s="740"/>
      <c r="G2540" s="740"/>
      <c r="H2540" s="740"/>
      <c r="I2540" s="740"/>
      <c r="J2540" s="740"/>
      <c r="K2540" s="677"/>
    </row>
    <row r="2541" ht="21.95" customHeight="1" spans="1:11">
      <c r="A2541" s="675"/>
      <c r="B2541" s="676" t="s">
        <v>423</v>
      </c>
      <c r="C2541" s="676"/>
      <c r="D2541" s="741" t="str">
        <f>IFERROR(VLOOKUP($I$2541,STUDENT!$A$2:$BP$101,59,0),"")</f>
        <v/>
      </c>
      <c r="E2541" s="742" t="s">
        <v>424</v>
      </c>
      <c r="F2541" s="704" t="str">
        <f>IFERROR(VLOOKUP($I$2541,STUDENT!$A$2:$BP$101,2,0),"")</f>
        <v>III-A</v>
      </c>
      <c r="G2541" s="742" t="s">
        <v>425</v>
      </c>
      <c r="H2541" s="743"/>
      <c r="I2541" s="733">
        <f>I2486+1</f>
        <v>47</v>
      </c>
      <c r="J2541" s="683"/>
      <c r="K2541" s="677"/>
    </row>
    <row r="2542" ht="5.1" customHeight="1" spans="1:11">
      <c r="A2542" s="675"/>
      <c r="B2542" s="745"/>
      <c r="C2542" s="745"/>
      <c r="D2542" s="746"/>
      <c r="E2542" s="747"/>
      <c r="F2542" s="748"/>
      <c r="G2542" s="747"/>
      <c r="H2542" s="686"/>
      <c r="I2542" s="686"/>
      <c r="J2542" s="686"/>
      <c r="K2542" s="677"/>
    </row>
    <row r="2543" s="664" customFormat="1" ht="32.1" customHeight="1" spans="1:11">
      <c r="A2543" s="688"/>
      <c r="B2543" s="749" t="s">
        <v>426</v>
      </c>
      <c r="C2543" s="750"/>
      <c r="D2543" s="750"/>
      <c r="E2543" s="750"/>
      <c r="F2543" s="750"/>
      <c r="G2543" s="750"/>
      <c r="H2543" s="750"/>
      <c r="I2543" s="750"/>
      <c r="J2543" s="751"/>
      <c r="K2543" s="690"/>
    </row>
    <row r="2544" ht="51.6" spans="1:11">
      <c r="A2544" s="675"/>
      <c r="B2544" s="752">
        <v>21</v>
      </c>
      <c r="C2544" s="753" t="s">
        <v>427</v>
      </c>
      <c r="D2544" s="754" t="s">
        <v>428</v>
      </c>
      <c r="E2544" s="754" t="s">
        <v>429</v>
      </c>
      <c r="F2544" s="754" t="s">
        <v>430</v>
      </c>
      <c r="G2544" s="753" t="s">
        <v>390</v>
      </c>
      <c r="H2544" s="714"/>
      <c r="I2544" s="714"/>
      <c r="J2544" s="714"/>
      <c r="K2544" s="677"/>
    </row>
    <row r="2545" ht="20.1" customHeight="1" spans="1:11">
      <c r="A2545" s="675"/>
      <c r="B2545" s="755">
        <v>1</v>
      </c>
      <c r="C2545" s="755" t="str">
        <f>IFERROR(VLOOKUP(B2545,DATEWISE!$A$3:$BY$27,2,0),0)</f>
        <v>30.04.2026</v>
      </c>
      <c r="D2545" s="755">
        <f>IF($C$2545=0,NA(),VLOOKUP($I$2541&amp;$B$2545,FLNFIX!$L$4:$EF$103,2,0))</f>
        <v>0</v>
      </c>
      <c r="E2545" s="755">
        <f>IF($C$2545=0,NA(),VLOOKUP($I$2541&amp;$B$2545,FLNFIX!$L$4:$EF$103,4,0))</f>
        <v>0</v>
      </c>
      <c r="F2545" s="755">
        <f>IF($C$2545=0,NA(),VLOOKUP($I$2541&amp;$B$2545,FLNFIX!$L$4:$EF$103,3,0))</f>
        <v>0</v>
      </c>
      <c r="G2545" s="756">
        <f>IF($C$2545=0,NA(),VLOOKUP($I$2541&amp;$B$2545,FLNFIX!$L$4:$EF$103,5,0))</f>
        <v>0</v>
      </c>
      <c r="H2545" s="757"/>
      <c r="I2545" s="757"/>
      <c r="J2545" s="758"/>
      <c r="K2545" s="677"/>
    </row>
    <row r="2546" ht="20.1" customHeight="1" spans="1:11">
      <c r="A2546" s="675"/>
      <c r="B2546" s="755">
        <f t="shared" ref="B2546:B2565" si="46">IF(B2545=0,0,IF(B2545&lt;$B$2544,B2545+1,""))</f>
        <v>2</v>
      </c>
      <c r="C2546" s="755" t="str">
        <f>IFERROR(VLOOKUP(B2546,DATEWISE!$A$3:$BY$27,2,0),0)</f>
        <v>08.05.2026</v>
      </c>
      <c r="D2546" s="755">
        <f>IF($C$2546=0,NA(),VLOOKUP($I$2541&amp;$B$2546,FLNFIX!$Q$4:$EF$103,2,0))</f>
        <v>0</v>
      </c>
      <c r="E2546" s="755">
        <f>IF($C$2546=0,NA(),VLOOKUP($I$2541&amp;$B$2546,FLNFIX!$Q$4:$EF$103,4,0))</f>
        <v>0</v>
      </c>
      <c r="F2546" s="755">
        <f>IF($C$2546=0,NA(),VLOOKUP($I$2541&amp;$B$2546,FLNFIX!$Q$4:$EF$103,3,0))</f>
        <v>0</v>
      </c>
      <c r="G2546" s="756">
        <f>IF($C$2546=0,NA(),VLOOKUP($I$2541&amp;$B$2546,FLNFIX!$Q$4:$EF$103,5,0))</f>
        <v>0</v>
      </c>
      <c r="H2546" s="757"/>
      <c r="I2546" s="757"/>
      <c r="J2546" s="758"/>
      <c r="K2546" s="677"/>
    </row>
    <row r="2547" ht="20.1" customHeight="1" spans="1:11">
      <c r="A2547" s="675"/>
      <c r="B2547" s="755">
        <f t="shared" si="46"/>
        <v>3</v>
      </c>
      <c r="C2547" s="755" t="str">
        <f>IFERROR(VLOOKUP(B2547,DATEWISE!$A$3:$BY$27,2,0),0)</f>
        <v>15.07.2026</v>
      </c>
      <c r="D2547" s="755">
        <f>IF($C$2547=0,NA(),VLOOKUP($I$2541&amp;$B$2547,FLNFIX!$V$4:$EF$103,2,0))</f>
        <v>0</v>
      </c>
      <c r="E2547" s="755">
        <f>IF($C$2547=0,NA(),VLOOKUP($I$2541&amp;$B$2547,FLNFIX!$V$4:$EF$103,4,0))</f>
        <v>0</v>
      </c>
      <c r="F2547" s="755">
        <f>IF($C$2547=0,NA(),VLOOKUP($I$2541&amp;$B$2547,FLNFIX!$V$4:$EF$103,3,0))</f>
        <v>0</v>
      </c>
      <c r="G2547" s="756">
        <f>IF($C$2547=0,NA(),VLOOKUP($I$2541&amp;$B$2547,FLNFIX!$V$4:$EF$103,5,0))</f>
        <v>0</v>
      </c>
      <c r="H2547" s="757"/>
      <c r="I2547" s="757"/>
      <c r="J2547" s="758"/>
      <c r="K2547" s="677"/>
    </row>
    <row r="2548" ht="20.1" customHeight="1" spans="1:11">
      <c r="A2548" s="675"/>
      <c r="B2548" s="755">
        <f t="shared" si="46"/>
        <v>4</v>
      </c>
      <c r="C2548" s="755" t="str">
        <f>IFERROR(VLOOKUP(B2548,DATEWISE!$A$3:$BY$27,2,0),0)</f>
        <v>31.07.2026</v>
      </c>
      <c r="D2548" s="755">
        <f>IF($C$2548=0,NA(),VLOOKUP($I$2541&amp;$B$2548,FLNFIX!$AA$4:$EF$103,2,0))</f>
        <v>0</v>
      </c>
      <c r="E2548" s="755">
        <f>IF($C$2548=0,NA(),VLOOKUP($I$2541&amp;$B$2548,FLNFIX!$AA$4:$EF$103,4,0))</f>
        <v>0</v>
      </c>
      <c r="F2548" s="755">
        <f>IF($C$2548=0,NA(),VLOOKUP($I$2541&amp;$B$2548,FLNFIX!$AA$4:$EF$103,3,0))</f>
        <v>0</v>
      </c>
      <c r="G2548" s="756">
        <f>IF($C$2548=0,NA(),VLOOKUP($I$2541&amp;$B$2548,FLNFIX!$AA$4:$EF$103,5,0))</f>
        <v>0</v>
      </c>
      <c r="H2548" s="757"/>
      <c r="I2548" s="757"/>
      <c r="J2548" s="758"/>
      <c r="K2548" s="677"/>
    </row>
    <row r="2549" ht="20.1" customHeight="1" spans="1:11">
      <c r="A2549" s="675"/>
      <c r="B2549" s="755">
        <f t="shared" si="46"/>
        <v>5</v>
      </c>
      <c r="C2549" s="755" t="str">
        <f>IFERROR(VLOOKUP(B2549,DATEWISE!$A$3:$BY$27,2,0),0)</f>
        <v>17.08.2026</v>
      </c>
      <c r="D2549" s="755">
        <f>IF($C$2549=0,NA(),VLOOKUP($I$2541&amp;$B$2549,FLNFIX!$AF$4:$EF$103,2,0))</f>
        <v>0</v>
      </c>
      <c r="E2549" s="755">
        <f>IF($C$2549=0,NA(),VLOOKUP($I$2541&amp;$B$2549,FLNFIX!$AF$4:$EF$103,4,0))</f>
        <v>0</v>
      </c>
      <c r="F2549" s="755">
        <f>IF($C$2549=0,NA(),VLOOKUP($I$2541&amp;$B$2549,FLNFIX!$AF$4:$EF$103,3,0))</f>
        <v>0</v>
      </c>
      <c r="G2549" s="756">
        <f>IF($C$2549=0,NA(),VLOOKUP($I$2541&amp;$B$2549,FLNFIX!$AF$4:$EF$103,5,0))</f>
        <v>0</v>
      </c>
      <c r="H2549" s="757"/>
      <c r="I2549" s="757"/>
      <c r="J2549" s="758"/>
      <c r="K2549" s="677"/>
    </row>
    <row r="2550" ht="20.1" customHeight="1" spans="1:11">
      <c r="A2550" s="675"/>
      <c r="B2550" s="755">
        <f t="shared" si="46"/>
        <v>6</v>
      </c>
      <c r="C2550" s="755" t="str">
        <f>IFERROR(VLOOKUP(B2550,DATEWISE!$A$3:$BY$27,2,0),0)</f>
        <v>31.08.2026</v>
      </c>
      <c r="D2550" s="755">
        <f>IF($C$2550=0,NA(),VLOOKUP($I$2541&amp;$B$2550,FLNFIX!$AK$4:$EF$103,2,0))</f>
        <v>0</v>
      </c>
      <c r="E2550" s="755">
        <f>IF($C$2550=0,NA(),VLOOKUP($I$2541&amp;$B$2550,FLNFIX!$AK$4:$EF$103,4,0))</f>
        <v>0</v>
      </c>
      <c r="F2550" s="755">
        <f>IF($C$2550=0,NA(),VLOOKUP($I$2541&amp;$B$2550,FLNFIX!$AK$4:$EF$103,3,0))</f>
        <v>0</v>
      </c>
      <c r="G2550" s="756">
        <f>IF($C$2550=0,NA(),VLOOKUP($I$2541&amp;$B$2550,FLNFIX!$AK$4:$EF$103,5,0))</f>
        <v>0</v>
      </c>
      <c r="H2550" s="757"/>
      <c r="I2550" s="757"/>
      <c r="J2550" s="758"/>
      <c r="K2550" s="677"/>
    </row>
    <row r="2551" ht="20.1" customHeight="1" spans="1:11">
      <c r="A2551" s="675"/>
      <c r="B2551" s="755">
        <f t="shared" si="46"/>
        <v>7</v>
      </c>
      <c r="C2551" s="755">
        <f>IFERROR(VLOOKUP(B2551,DATEWISE!$A$3:$BY$27,2,0),0)</f>
        <v>0</v>
      </c>
      <c r="D2551" s="755" t="e">
        <f>IF($C$2551=0,NA(),VLOOKUP($I$2541&amp;$B$2551,FLNFIX!$AP$4:$EF$103,2,0))</f>
        <v>#N/A</v>
      </c>
      <c r="E2551" s="755" t="e">
        <f>IF($C$2551=0,NA(),VLOOKUP($I$2541&amp;$B$2551,FLNFIX!$AP$4:$EF$103,4,0))</f>
        <v>#N/A</v>
      </c>
      <c r="F2551" s="755" t="e">
        <f>IF($C$2551=0,NA(),VLOOKUP($I$2541&amp;$B$2551,FLNFIX!$AP$4:$EF$103,3,0))</f>
        <v>#N/A</v>
      </c>
      <c r="G2551" s="756" t="e">
        <f>IF($C$2551=0,NA(),VLOOKUP($I$2541&amp;$B$2551,FLNFIX!$AP$4:$EF$103,5,0))</f>
        <v>#N/A</v>
      </c>
      <c r="H2551" s="757"/>
      <c r="I2551" s="757"/>
      <c r="J2551" s="758"/>
      <c r="K2551" s="677"/>
    </row>
    <row r="2552" ht="20.1" customHeight="1" spans="1:11">
      <c r="A2552" s="675"/>
      <c r="B2552" s="755">
        <f t="shared" si="46"/>
        <v>8</v>
      </c>
      <c r="C2552" s="755">
        <f>IFERROR(VLOOKUP(B2552,DATEWISE!$A$3:$BY$27,2,0),0)</f>
        <v>0</v>
      </c>
      <c r="D2552" s="755" t="e">
        <f>IF($C$2552=0,NA(),VLOOKUP($I$2541&amp;$B$2552,FLNFIX!$AU$4:$EF$103,2,0))</f>
        <v>#N/A</v>
      </c>
      <c r="E2552" s="755" t="e">
        <f>IF($C$2552=0,NA(),VLOOKUP($I$2541&amp;$B$2552,FLNFIX!$AU$4:$EF$103,4,0))</f>
        <v>#N/A</v>
      </c>
      <c r="F2552" s="755" t="e">
        <f>IF($C$2552=0,NA(),VLOOKUP($I$2541&amp;$B$2552,FLNFIX!$AU$4:$EF$103,3,0))</f>
        <v>#N/A</v>
      </c>
      <c r="G2552" s="756" t="e">
        <f>IF($C$2552=0,NA(),VLOOKUP($I$2541&amp;$B$2552,FLNFIX!$AU$4:$EF$103,5,0))</f>
        <v>#N/A</v>
      </c>
      <c r="H2552" s="757"/>
      <c r="I2552" s="757"/>
      <c r="J2552" s="758"/>
      <c r="K2552" s="677"/>
    </row>
    <row r="2553" ht="20.1" customHeight="1" spans="1:11">
      <c r="A2553" s="675"/>
      <c r="B2553" s="755">
        <f t="shared" si="46"/>
        <v>9</v>
      </c>
      <c r="C2553" s="755">
        <f>IFERROR(VLOOKUP(B2553,DATEWISE!$A$3:$BY$27,2,0),0)</f>
        <v>0</v>
      </c>
      <c r="D2553" s="755" t="e">
        <f>IF($C$2553=0,NA(),VLOOKUP($I$2541&amp;$B$2553,FLNFIX!$AZ$4:$EF$103,2,0))</f>
        <v>#N/A</v>
      </c>
      <c r="E2553" s="755" t="e">
        <f>IF($C$2553=0,NA(),VLOOKUP($I$2541&amp;$B$2553,FLNFIX!$AZ$4:$EF$103,4,0))</f>
        <v>#N/A</v>
      </c>
      <c r="F2553" s="755" t="e">
        <f>IF($C$2553=0,NA(),VLOOKUP($I$2541&amp;$B$2553,FLNFIX!$AZ$4:$EF$103,3,0))</f>
        <v>#N/A</v>
      </c>
      <c r="G2553" s="756" t="e">
        <f>IF($C$2553=0,NA(),VLOOKUP($I$2541&amp;$B$2553,FLNFIX!$AZ$4:$EF$103,5,0))</f>
        <v>#N/A</v>
      </c>
      <c r="H2553" s="757"/>
      <c r="I2553" s="757"/>
      <c r="J2553" s="758"/>
      <c r="K2553" s="677"/>
    </row>
    <row r="2554" ht="20.1" customHeight="1" spans="1:11">
      <c r="A2554" s="675"/>
      <c r="B2554" s="755">
        <f t="shared" si="46"/>
        <v>10</v>
      </c>
      <c r="C2554" s="755">
        <f>IFERROR(VLOOKUP(B2554,DATEWISE!$A$3:$BY$27,2,0),0)</f>
        <v>0</v>
      </c>
      <c r="D2554" s="755" t="e">
        <f>IF($C$2554=0,NA(),VLOOKUP($I$2541&amp;$B$2554,FLNFIX!$BE$4:$EF$103,2,0))</f>
        <v>#N/A</v>
      </c>
      <c r="E2554" s="755" t="e">
        <f>IF($C$2554=0,NA(),VLOOKUP($I$2541&amp;$B$2554,FLNFIX!$BE$4:$EF$103,4,0))</f>
        <v>#N/A</v>
      </c>
      <c r="F2554" s="755" t="e">
        <f>IF($C$2554=0,NA(),VLOOKUP($I$2541&amp;$B$2554,FLNFIX!$BE$4:$EF$103,3,0))</f>
        <v>#N/A</v>
      </c>
      <c r="G2554" s="756" t="e">
        <f>IF($C$2554=0,NA(),VLOOKUP($I$2541&amp;$B$2554,FLNFIX!$BE$4:$EF$103,5,0))</f>
        <v>#N/A</v>
      </c>
      <c r="H2554" s="757"/>
      <c r="I2554" s="757"/>
      <c r="J2554" s="758"/>
      <c r="K2554" s="677"/>
    </row>
    <row r="2555" ht="20.1" customHeight="1" spans="1:11">
      <c r="A2555" s="675"/>
      <c r="B2555" s="755">
        <f t="shared" si="46"/>
        <v>11</v>
      </c>
      <c r="C2555" s="755">
        <f>IFERROR(VLOOKUP(B2555,DATEWISE!$A$3:$BY$27,2,0),0)</f>
        <v>0</v>
      </c>
      <c r="D2555" s="755" t="e">
        <f>IF($C$2555=0,NA(),VLOOKUP($I$2541&amp;$B$2555,FLNFIX!$BJ$4:$EF$103,2,0))</f>
        <v>#N/A</v>
      </c>
      <c r="E2555" s="755" t="e">
        <f>IF($C$2555=0,NA(),VLOOKUP($I$2541&amp;$B$2555,FLNFIX!$BJ$4:$EF$103,4,0))</f>
        <v>#N/A</v>
      </c>
      <c r="F2555" s="755" t="e">
        <f>IF($C$2555=0,NA(),VLOOKUP($I$2541&amp;$B$2555,FLNFIX!$BJ$4:$EF$103,3,0))</f>
        <v>#N/A</v>
      </c>
      <c r="G2555" s="756" t="e">
        <f>IF($C$2555=0,NA(),VLOOKUP($I$2541&amp;$B$2555,FLNFIX!$BJ$4:$EF$103,5,0))</f>
        <v>#N/A</v>
      </c>
      <c r="H2555" s="757"/>
      <c r="I2555" s="757"/>
      <c r="J2555" s="758"/>
      <c r="K2555" s="677"/>
    </row>
    <row r="2556" ht="20.1" customHeight="1" spans="1:11">
      <c r="A2556" s="675"/>
      <c r="B2556" s="755">
        <f t="shared" si="46"/>
        <v>12</v>
      </c>
      <c r="C2556" s="755">
        <f>IFERROR(VLOOKUP(B2556,DATEWISE!$A$3:$BY$27,2,0),0)</f>
        <v>0</v>
      </c>
      <c r="D2556" s="755" t="e">
        <f>IF($C$2556=0,NA(),VLOOKUP($I$2541&amp;$B$2556,FLNFIX!$BO$4:$EF$103,2,0))</f>
        <v>#N/A</v>
      </c>
      <c r="E2556" s="755" t="e">
        <f>IF($C$2556=0,NA(),VLOOKUP($I$2541&amp;$B$2556,FLNFIX!$BO$4:$EF$103,4,0))</f>
        <v>#N/A</v>
      </c>
      <c r="F2556" s="755" t="e">
        <f>IF($C$2556=0,NA(),VLOOKUP($I$2541&amp;$B$2556,FLNFIX!$BO$4:$EF$103,3,0))</f>
        <v>#N/A</v>
      </c>
      <c r="G2556" s="756" t="e">
        <f>IF($C$2556=0,NA(),VLOOKUP($I$2541&amp;$B$2556,FLNFIX!$BO$4:$EF$103,5,0))</f>
        <v>#N/A</v>
      </c>
      <c r="H2556" s="757"/>
      <c r="I2556" s="757"/>
      <c r="J2556" s="758"/>
      <c r="K2556" s="677"/>
    </row>
    <row r="2557" ht="20.1" customHeight="1" spans="1:11">
      <c r="A2557" s="675"/>
      <c r="B2557" s="755">
        <f t="shared" si="46"/>
        <v>13</v>
      </c>
      <c r="C2557" s="755">
        <f>IFERROR(VLOOKUP(B2557,DATEWISE!$A$3:$BY$27,2,0),0)</f>
        <v>0</v>
      </c>
      <c r="D2557" s="755" t="e">
        <f>IF($C$2557=0,NA(),VLOOKUP($I$2541&amp;$B$2557,FLNFIX!$BT$4:$EF$103,2,0))</f>
        <v>#N/A</v>
      </c>
      <c r="E2557" s="755" t="e">
        <f>IF($C$2557=0,NA(),VLOOKUP($I$2541&amp;$B$2557,FLNFIX!$BT$4:$EF$103,4,0))</f>
        <v>#N/A</v>
      </c>
      <c r="F2557" s="755" t="e">
        <f>IF($C$2557=0,NA(),VLOOKUP($I$2541&amp;$B$2557,FLNFIX!$BT$4:$EF$103,3,0))</f>
        <v>#N/A</v>
      </c>
      <c r="G2557" s="756" t="e">
        <f>IF($C$2557=0,NA(),VLOOKUP($I$2541&amp;$B$2557,FLNFIX!$BT$4:$EF$103,5,0))</f>
        <v>#N/A</v>
      </c>
      <c r="H2557" s="757"/>
      <c r="I2557" s="757"/>
      <c r="J2557" s="758"/>
      <c r="K2557" s="677"/>
    </row>
    <row r="2558" ht="20.1" customHeight="1" spans="1:11">
      <c r="A2558" s="675"/>
      <c r="B2558" s="755">
        <f t="shared" si="46"/>
        <v>14</v>
      </c>
      <c r="C2558" s="755">
        <f>IFERROR(VLOOKUP(B2558,DATEWISE!$A$3:$BY$27,2,0),0)</f>
        <v>0</v>
      </c>
      <c r="D2558" s="755" t="e">
        <f>IF($C$2558=0,NA(),VLOOKUP($I$2541&amp;$B$2558,FLNFIX!$BY$4:$EF$103,2,0))</f>
        <v>#N/A</v>
      </c>
      <c r="E2558" s="755" t="e">
        <f>IF($C$2558=0,NA(),VLOOKUP($I$2541&amp;$B$2558,FLNFIX!$BY$4:$EF$103,4,0))</f>
        <v>#N/A</v>
      </c>
      <c r="F2558" s="755" t="e">
        <f>IF($C$2558=0,NA(),VLOOKUP($I$2541&amp;$B$2558,FLNFIX!$BY$4:$EF$103,3,0))</f>
        <v>#N/A</v>
      </c>
      <c r="G2558" s="756" t="e">
        <f>IF($C$2558=0,NA(),VLOOKUP($I$2541&amp;$B$2558,FLNFIX!$BY$4:$EF$103,5,0))</f>
        <v>#N/A</v>
      </c>
      <c r="H2558" s="757"/>
      <c r="I2558" s="757"/>
      <c r="J2558" s="758"/>
      <c r="K2558" s="677"/>
    </row>
    <row r="2559" ht="20.1" customHeight="1" spans="1:11">
      <c r="A2559" s="675"/>
      <c r="B2559" s="755">
        <f t="shared" si="46"/>
        <v>15</v>
      </c>
      <c r="C2559" s="755">
        <f>IFERROR(VLOOKUP(B2559,DATEWISE!$A$3:$BY$27,2,0),0)</f>
        <v>0</v>
      </c>
      <c r="D2559" s="755" t="e">
        <f>IF($C$2559=0,NA(),VLOOKUP($I$2541&amp;$B$2559,FLNFIX!$CD$4:$EF$103,2,0))</f>
        <v>#N/A</v>
      </c>
      <c r="E2559" s="755" t="e">
        <f>IF($C$2559=0,NA(),VLOOKUP($I$2541&amp;$B$2559,FLNFIX!$CD$4:$EF$103,4,0))</f>
        <v>#N/A</v>
      </c>
      <c r="F2559" s="755" t="e">
        <f>IF($C$2559=0,NA(),VLOOKUP($I$2541&amp;$B$2559,FLNFIX!$CD$4:$EF$103,3,0))</f>
        <v>#N/A</v>
      </c>
      <c r="G2559" s="756" t="e">
        <f>IF($C$2559=0,NA(),VLOOKUP($I$2541&amp;$B$2559,FLNFIX!$CD$4:$EF$103,5,0))</f>
        <v>#N/A</v>
      </c>
      <c r="H2559" s="757"/>
      <c r="I2559" s="757"/>
      <c r="J2559" s="758"/>
      <c r="K2559" s="677"/>
    </row>
    <row r="2560" ht="20.1" customHeight="1" spans="1:11">
      <c r="A2560" s="675"/>
      <c r="B2560" s="755">
        <f t="shared" si="46"/>
        <v>16</v>
      </c>
      <c r="C2560" s="755">
        <f>IFERROR(VLOOKUP(B2560,DATEWISE!$A$3:$BY$27,2,0),0)</f>
        <v>0</v>
      </c>
      <c r="D2560" s="755" t="e">
        <f>IF($C$2560=0,NA(),VLOOKUP($I$2541&amp;$B$2560,FLNFIX!$CI$4:$EF$103,2,0))</f>
        <v>#N/A</v>
      </c>
      <c r="E2560" s="755" t="e">
        <f>IF($C$2560=0,NA(),VLOOKUP($I$2541&amp;$B$2560,FLNFIX!$CI$4:$EF$103,4,0))</f>
        <v>#N/A</v>
      </c>
      <c r="F2560" s="755" t="e">
        <f>IF($C$2560=0,NA(),VLOOKUP($I$2541&amp;$B$2560,FLNFIX!$CI$4:$EF$103,3,0))</f>
        <v>#N/A</v>
      </c>
      <c r="G2560" s="756" t="e">
        <f>IF($C$2560=0,NA(),VLOOKUP($I$2541&amp;$B$2560,FLNFIX!$CI$4:$EF$103,5,0))</f>
        <v>#N/A</v>
      </c>
      <c r="H2560" s="757"/>
      <c r="I2560" s="757"/>
      <c r="J2560" s="758"/>
      <c r="K2560" s="677"/>
    </row>
    <row r="2561" ht="20.1" customHeight="1" spans="1:11">
      <c r="A2561" s="675"/>
      <c r="B2561" s="755">
        <f t="shared" si="46"/>
        <v>17</v>
      </c>
      <c r="C2561" s="755">
        <f>IFERROR(VLOOKUP(B2561,DATEWISE!$A$3:$BY$27,2,0),0)</f>
        <v>0</v>
      </c>
      <c r="D2561" s="755" t="e">
        <f>IF($C$2561=0,NA(),VLOOKUP($I$2541&amp;$B$2561,FLNFIX!$CN$4:$EF$103,2,0))</f>
        <v>#N/A</v>
      </c>
      <c r="E2561" s="755" t="e">
        <f>IF($C$2561=0,NA(),VLOOKUP($I$2541&amp;$B$2561,FLNFIX!$CN$4:$EF$103,4,0))</f>
        <v>#N/A</v>
      </c>
      <c r="F2561" s="755" t="e">
        <f>IF($C$2561=0,NA(),VLOOKUP($I$2541&amp;$B$2561,FLNFIX!$CN$4:$EF$103,3,0))</f>
        <v>#N/A</v>
      </c>
      <c r="G2561" s="756" t="e">
        <f>IF($C$2561=0,NA(),VLOOKUP($I$2541&amp;$B$2561,FLNFIX!$CN$4:$EF$103,5,0))</f>
        <v>#N/A</v>
      </c>
      <c r="H2561" s="757"/>
      <c r="I2561" s="757"/>
      <c r="J2561" s="758"/>
      <c r="K2561" s="677"/>
    </row>
    <row r="2562" ht="20.1" customHeight="1" spans="1:11">
      <c r="A2562" s="675"/>
      <c r="B2562" s="755">
        <f t="shared" si="46"/>
        <v>18</v>
      </c>
      <c r="C2562" s="755">
        <f>IFERROR(VLOOKUP(B2562,DATEWISE!$A$3:$BY$27,2,0),0)</f>
        <v>0</v>
      </c>
      <c r="D2562" s="755" t="e">
        <f>IF($C$2562=0,NA(),VLOOKUP($I$2541&amp;$B$2562,FLNFIX!$CS$4:$EF$103,2,0))</f>
        <v>#N/A</v>
      </c>
      <c r="E2562" s="755" t="e">
        <f>IF($C$2562=0,NA(),VLOOKUP($I$2541&amp;$B$2562,FLNFIX!$CS$4:$EF$103,4,0))</f>
        <v>#N/A</v>
      </c>
      <c r="F2562" s="755" t="e">
        <f>IF($C$2562=0,NA(),VLOOKUP($I$2541&amp;$B$2562,FLNFIX!$CS$4:$EF$103,3,0))</f>
        <v>#N/A</v>
      </c>
      <c r="G2562" s="756" t="e">
        <f>IF($C$2562=0,NA(),VLOOKUP($I$2541&amp;$B$2562,FLNFIX!$CS$4:$EF$103,5,0))</f>
        <v>#N/A</v>
      </c>
      <c r="H2562" s="757"/>
      <c r="I2562" s="757"/>
      <c r="J2562" s="758"/>
      <c r="K2562" s="677"/>
    </row>
    <row r="2563" ht="20.1" customHeight="1" spans="1:11">
      <c r="A2563" s="675"/>
      <c r="B2563" s="755">
        <f t="shared" si="46"/>
        <v>19</v>
      </c>
      <c r="C2563" s="755">
        <f>IFERROR(VLOOKUP(B2563,DATEWISE!$A$3:$BY$27,2,0),0)</f>
        <v>0</v>
      </c>
      <c r="D2563" s="755" t="e">
        <f>IF($C$2563=0,NA(),VLOOKUP($I$2541&amp;$B$2563,FLNFIX!$CX$4:$EF$103,2,0))</f>
        <v>#N/A</v>
      </c>
      <c r="E2563" s="755" t="e">
        <f>IF($C$2563=0,NA(),VLOOKUP($I$2541&amp;$B$2563,FLNFIX!$CX$4:$EF$103,4,0))</f>
        <v>#N/A</v>
      </c>
      <c r="F2563" s="755" t="e">
        <f>IF($C$2563=0,NA(),VLOOKUP($I$2541&amp;$B$2563,FLNFIX!$CX$4:$EF$103,3,0))</f>
        <v>#N/A</v>
      </c>
      <c r="G2563" s="756" t="e">
        <f>IF($C$2563=0,NA(),VLOOKUP($I$2541&amp;$B$2563,FLNFIX!$CX$4:$EF$103,5,0))</f>
        <v>#N/A</v>
      </c>
      <c r="H2563" s="757"/>
      <c r="I2563" s="757"/>
      <c r="J2563" s="758"/>
      <c r="K2563" s="677"/>
    </row>
    <row r="2564" ht="20.1" customHeight="1" spans="1:11">
      <c r="A2564" s="675"/>
      <c r="B2564" s="755">
        <f t="shared" si="46"/>
        <v>20</v>
      </c>
      <c r="C2564" s="755">
        <f>IFERROR(VLOOKUP(B2564,DATEWISE!$A$3:$BY$27,2,0),0)</f>
        <v>0</v>
      </c>
      <c r="D2564" s="755" t="e">
        <f>IF($C$2564=0,NA(),VLOOKUP($I$2541&amp;$B$2564,FLNFIX!$DC$4:$EF$103,2,0))</f>
        <v>#N/A</v>
      </c>
      <c r="E2564" s="755" t="e">
        <f>IF($C$2564=0,NA(),VLOOKUP($I$2541&amp;$B$2564,FLNFIX!$DC$4:$EF$103,4,0))</f>
        <v>#N/A</v>
      </c>
      <c r="F2564" s="755" t="e">
        <f>IF($C$2564=0,NA(),VLOOKUP($I$2541&amp;$B$2564,FLNFIX!$DC$4:$EF$103,3,0))</f>
        <v>#N/A</v>
      </c>
      <c r="G2564" s="756" t="e">
        <f>IF($C$2564=0,NA(),VLOOKUP($I$2541&amp;$B$2564,FLNFIX!$DC$4:$EF$103,5,0))</f>
        <v>#N/A</v>
      </c>
      <c r="H2564" s="757"/>
      <c r="I2564" s="757"/>
      <c r="J2564" s="758"/>
      <c r="K2564" s="677"/>
    </row>
    <row r="2565" ht="20.1" customHeight="1" spans="1:11">
      <c r="A2565" s="675"/>
      <c r="B2565" s="755">
        <f t="shared" si="46"/>
        <v>21</v>
      </c>
      <c r="C2565" s="755">
        <f>IFERROR(VLOOKUP(B2565,DATEWISE!$A$3:$BY$27,2,0),0)</f>
        <v>0</v>
      </c>
      <c r="D2565" s="755" t="e">
        <f>IF($C$2565=0,NA(),VLOOKUP($I$2541&amp;$B$2565,FLNFIX!$DH$4:$EF$103,2,0))</f>
        <v>#N/A</v>
      </c>
      <c r="E2565" s="755" t="e">
        <f>IF($C$2565=0,NA(),VLOOKUP($I$2541&amp;$B$2565,FLNFIX!$DH$4:$EF$103,4,0))</f>
        <v>#N/A</v>
      </c>
      <c r="F2565" s="755" t="e">
        <f>IF($C$2565=0,NA(),VLOOKUP($I$2541&amp;$B$2565,FLNFIX!$DH$4:$EF$103,3,0))</f>
        <v>#N/A</v>
      </c>
      <c r="G2565" s="756" t="e">
        <f>IF($C$2565=0,NA(),VLOOKUP($I$2541&amp;$B$2565,FLNFIX!$DH$4:$EF$103,5,0))</f>
        <v>#N/A</v>
      </c>
      <c r="H2565" s="757"/>
      <c r="I2565" s="757"/>
      <c r="J2565" s="758"/>
      <c r="K2565" s="677"/>
    </row>
    <row r="2566" ht="5.1" customHeight="1" spans="1:11">
      <c r="A2566" s="675"/>
      <c r="B2566" s="759"/>
      <c r="C2566" s="759"/>
      <c r="D2566" s="760"/>
      <c r="E2566" s="760"/>
      <c r="F2566" s="760"/>
      <c r="G2566" s="761"/>
      <c r="H2566" s="761"/>
      <c r="I2566" s="761"/>
      <c r="J2566" s="761"/>
      <c r="K2566" s="677"/>
    </row>
    <row r="2567" s="667" customFormat="1" ht="24.95" customHeight="1" spans="1:11">
      <c r="A2567" s="711"/>
      <c r="B2567" s="762" t="s">
        <v>431</v>
      </c>
      <c r="C2567" s="763"/>
      <c r="D2567" s="763"/>
      <c r="E2567" s="763"/>
      <c r="F2567" s="763"/>
      <c r="G2567" s="763"/>
      <c r="H2567" s="763"/>
      <c r="I2567" s="763"/>
      <c r="J2567" s="764"/>
      <c r="K2567" s="713"/>
    </row>
    <row r="2568" spans="1:11">
      <c r="A2568" s="675"/>
      <c r="B2568" s="765"/>
      <c r="C2568" s="686"/>
      <c r="D2568" s="686"/>
      <c r="E2568" s="686"/>
      <c r="F2568" s="686"/>
      <c r="G2568" s="686"/>
      <c r="H2568" s="686"/>
      <c r="I2568" s="686"/>
      <c r="J2568" s="766"/>
      <c r="K2568" s="677"/>
    </row>
    <row r="2569" spans="1:11">
      <c r="A2569" s="675"/>
      <c r="B2569" s="765"/>
      <c r="C2569" s="686"/>
      <c r="D2569" s="686"/>
      <c r="E2569" s="686"/>
      <c r="F2569" s="686"/>
      <c r="G2569" s="686"/>
      <c r="H2569" s="686"/>
      <c r="I2569" s="686"/>
      <c r="J2569" s="766"/>
      <c r="K2569" s="677"/>
    </row>
    <row r="2570" spans="1:11">
      <c r="A2570" s="675"/>
      <c r="B2570" s="765"/>
      <c r="C2570" s="686"/>
      <c r="D2570" s="686"/>
      <c r="E2570" s="686"/>
      <c r="F2570" s="686"/>
      <c r="G2570" s="686"/>
      <c r="H2570" s="686"/>
      <c r="I2570" s="686"/>
      <c r="J2570" s="766"/>
      <c r="K2570" s="677"/>
    </row>
    <row r="2571" spans="1:11">
      <c r="A2571" s="675"/>
      <c r="B2571" s="765"/>
      <c r="C2571" s="686"/>
      <c r="D2571" s="686"/>
      <c r="E2571" s="686"/>
      <c r="F2571" s="686"/>
      <c r="G2571" s="686"/>
      <c r="H2571" s="686"/>
      <c r="I2571" s="686"/>
      <c r="J2571" s="766"/>
      <c r="K2571" s="677"/>
    </row>
    <row r="2572" spans="1:11">
      <c r="A2572" s="675"/>
      <c r="B2572" s="765"/>
      <c r="C2572" s="686"/>
      <c r="D2572" s="686"/>
      <c r="E2572" s="686"/>
      <c r="F2572" s="686"/>
      <c r="G2572" s="686"/>
      <c r="H2572" s="686"/>
      <c r="I2572" s="686"/>
      <c r="J2572" s="766"/>
      <c r="K2572" s="677"/>
    </row>
    <row r="2573" spans="1:11">
      <c r="A2573" s="675"/>
      <c r="B2573" s="765"/>
      <c r="C2573" s="686"/>
      <c r="D2573" s="686"/>
      <c r="E2573" s="686"/>
      <c r="F2573" s="686"/>
      <c r="G2573" s="686"/>
      <c r="H2573" s="686"/>
      <c r="I2573" s="686"/>
      <c r="J2573" s="766"/>
      <c r="K2573" s="677"/>
    </row>
    <row r="2574" spans="1:11">
      <c r="A2574" s="675"/>
      <c r="B2574" s="765"/>
      <c r="C2574" s="686"/>
      <c r="D2574" s="686"/>
      <c r="E2574" s="686"/>
      <c r="F2574" s="686"/>
      <c r="G2574" s="686"/>
      <c r="H2574" s="686"/>
      <c r="I2574" s="686"/>
      <c r="J2574" s="766"/>
      <c r="K2574" s="677"/>
    </row>
    <row r="2575" spans="1:11">
      <c r="A2575" s="675"/>
      <c r="B2575" s="765"/>
      <c r="C2575" s="686"/>
      <c r="D2575" s="686"/>
      <c r="E2575" s="686"/>
      <c r="F2575" s="686"/>
      <c r="G2575" s="686"/>
      <c r="H2575" s="686"/>
      <c r="I2575" s="686"/>
      <c r="J2575" s="766"/>
      <c r="K2575" s="677"/>
    </row>
    <row r="2576" spans="1:11">
      <c r="A2576" s="675"/>
      <c r="B2576" s="765"/>
      <c r="C2576" s="686"/>
      <c r="D2576" s="686"/>
      <c r="E2576" s="686"/>
      <c r="F2576" s="686"/>
      <c r="G2576" s="686"/>
      <c r="H2576" s="686"/>
      <c r="I2576" s="686"/>
      <c r="J2576" s="766"/>
      <c r="K2576" s="677"/>
    </row>
    <row r="2577" spans="1:11">
      <c r="A2577" s="675"/>
      <c r="B2577" s="767"/>
      <c r="C2577" s="768"/>
      <c r="D2577" s="768"/>
      <c r="E2577" s="768"/>
      <c r="F2577" s="768"/>
      <c r="G2577" s="768"/>
      <c r="H2577" s="768"/>
      <c r="I2577" s="768"/>
      <c r="J2577" s="769"/>
      <c r="K2577" s="677"/>
    </row>
    <row r="2578" ht="5.1" customHeight="1" spans="1:11">
      <c r="A2578" s="675"/>
      <c r="B2578" s="686"/>
      <c r="C2578" s="686"/>
      <c r="D2578" s="686"/>
      <c r="E2578" s="686"/>
      <c r="F2578" s="686"/>
      <c r="G2578" s="686"/>
      <c r="H2578" s="686"/>
      <c r="I2578" s="686"/>
      <c r="J2578" s="686"/>
      <c r="K2578" s="677"/>
    </row>
    <row r="2579" spans="1:11">
      <c r="A2579" s="675"/>
      <c r="B2579" s="770" t="s">
        <v>432</v>
      </c>
      <c r="C2579" s="770"/>
      <c r="D2579" s="770"/>
      <c r="E2579" s="770"/>
      <c r="F2579" s="770"/>
      <c r="G2579" s="770"/>
      <c r="H2579" s="770"/>
      <c r="I2579" s="770"/>
      <c r="J2579" s="770"/>
      <c r="K2579" s="677"/>
    </row>
    <row r="2580" spans="1:11">
      <c r="A2580" s="675"/>
      <c r="B2580" s="771"/>
      <c r="C2580" s="771"/>
      <c r="D2580" s="771"/>
      <c r="E2580" s="771"/>
      <c r="F2580" s="771"/>
      <c r="G2580" s="771"/>
      <c r="H2580" s="771"/>
      <c r="I2580" s="771"/>
      <c r="J2580" s="771"/>
      <c r="K2580" s="677"/>
    </row>
    <row r="2581" spans="1:11">
      <c r="A2581" s="675"/>
      <c r="B2581" s="771"/>
      <c r="C2581" s="771"/>
      <c r="D2581" s="771"/>
      <c r="E2581" s="771"/>
      <c r="F2581" s="771"/>
      <c r="G2581" s="771"/>
      <c r="H2581" s="771"/>
      <c r="I2581" s="771"/>
      <c r="J2581" s="771"/>
      <c r="K2581" s="677"/>
    </row>
    <row r="2582" spans="1:11">
      <c r="A2582" s="675"/>
      <c r="B2582" s="771"/>
      <c r="C2582" s="771"/>
      <c r="D2582" s="771"/>
      <c r="E2582" s="771"/>
      <c r="F2582" s="771"/>
      <c r="G2582" s="771"/>
      <c r="H2582" s="771"/>
      <c r="I2582" s="771"/>
      <c r="J2582" s="771"/>
      <c r="K2582" s="677"/>
    </row>
    <row r="2583" spans="1:11">
      <c r="A2583" s="675"/>
      <c r="B2583" s="686"/>
      <c r="C2583" s="686"/>
      <c r="D2583" s="686"/>
      <c r="E2583" s="686"/>
      <c r="F2583" s="686"/>
      <c r="G2583" s="686"/>
      <c r="H2583" s="686"/>
      <c r="I2583" s="686"/>
      <c r="J2583" s="686"/>
      <c r="K2583" s="677"/>
    </row>
    <row r="2584" spans="1:11">
      <c r="A2584" s="675"/>
      <c r="B2584" s="686"/>
      <c r="C2584" s="729" t="s">
        <v>433</v>
      </c>
      <c r="D2584" s="729"/>
      <c r="E2584" s="686"/>
      <c r="F2584" s="686"/>
      <c r="G2584" s="729" t="s">
        <v>434</v>
      </c>
      <c r="H2584" s="729"/>
      <c r="I2584" s="729"/>
      <c r="J2584" s="729"/>
      <c r="K2584" s="677"/>
    </row>
    <row r="2585" ht="16.35" spans="1:11">
      <c r="A2585" s="725"/>
      <c r="B2585" s="726"/>
      <c r="C2585" s="732" t="str">
        <f>"("&amp;PROPER(ENTRY!$D$19)&amp;")"</f>
        <v>(Indrajeet)</v>
      </c>
      <c r="D2585" s="732"/>
      <c r="E2585" s="726"/>
      <c r="F2585" s="726"/>
      <c r="G2585" s="732" t="str">
        <f>"("&amp;PROPER(ENTRY!$D$12)&amp;")"</f>
        <v>(Shambhu Dayal Meena)</v>
      </c>
      <c r="H2585" s="732"/>
      <c r="I2585" s="732"/>
      <c r="J2585" s="732"/>
      <c r="K2585" s="728"/>
    </row>
    <row r="2586" ht="24.6" spans="1:11">
      <c r="B2586" s="734"/>
      <c r="C2586" s="734"/>
      <c r="D2586" s="669" t="str">
        <f>ENTRY!$D$3</f>
        <v>MUNICIPAL CORPORATION OF DELHI</v>
      </c>
      <c r="E2586" s="669"/>
      <c r="F2586" s="669"/>
      <c r="G2586" s="669"/>
      <c r="H2586" s="734"/>
      <c r="I2586" s="669"/>
      <c r="J2586" s="669"/>
    </row>
    <row r="2587" ht="20.4" spans="1:11">
      <c r="B2587" s="735"/>
      <c r="C2587" s="735"/>
      <c r="D2587" s="670" t="str">
        <f>ENTRY!$D$4</f>
        <v>EDUCATION DEPARTMENT</v>
      </c>
      <c r="E2587" s="670"/>
      <c r="F2587" s="670"/>
      <c r="G2587" s="670"/>
      <c r="H2587" s="735"/>
      <c r="I2587" s="669"/>
      <c r="J2587" s="669"/>
    </row>
    <row r="2588" ht="22.8" spans="1:11">
      <c r="B2588" s="736"/>
      <c r="C2588" s="736"/>
      <c r="D2588" s="664" t="s">
        <v>417</v>
      </c>
      <c r="E2588" s="664"/>
      <c r="F2588" s="664"/>
      <c r="G2588" s="664"/>
      <c r="H2588" s="736"/>
      <c r="I2588" s="669"/>
      <c r="J2588" s="669"/>
    </row>
    <row r="2589" ht="22.8" spans="1:11">
      <c r="B2589" s="736"/>
      <c r="C2589" s="736"/>
      <c r="D2589" s="664" t="s">
        <v>418</v>
      </c>
      <c r="E2589" s="664"/>
      <c r="F2589" s="664"/>
      <c r="G2589" s="664"/>
      <c r="H2589" s="736"/>
      <c r="I2589" s="669"/>
      <c r="J2589" s="669"/>
    </row>
    <row r="2590" ht="24.95" customHeight="1" spans="1:11">
      <c r="B2590" s="735"/>
      <c r="C2590" s="735"/>
      <c r="D2590" s="737" t="str">
        <f>"SESSION : "&amp;ENTRY!$D$11</f>
        <v>SESSION : 2026-27</v>
      </c>
      <c r="E2590" s="737"/>
      <c r="F2590" s="737"/>
      <c r="G2590" s="737"/>
      <c r="H2590" s="735"/>
      <c r="I2590" s="738"/>
      <c r="J2590" s="738"/>
    </row>
    <row r="2591" ht="3.75" customHeight="1" spans="1:11">
      <c r="A2591" s="672"/>
      <c r="B2591" s="739"/>
      <c r="C2591" s="739"/>
      <c r="D2591" s="739"/>
      <c r="E2591" s="739"/>
      <c r="F2591" s="739"/>
      <c r="G2591" s="739"/>
      <c r="H2591" s="739"/>
      <c r="I2591" s="739"/>
      <c r="J2591" s="739"/>
      <c r="K2591" s="674"/>
    </row>
    <row r="2592" ht="21.95" customHeight="1" spans="1:11">
      <c r="A2592" s="675"/>
      <c r="B2592" s="676" t="s">
        <v>419</v>
      </c>
      <c r="C2592" s="676"/>
      <c r="D2592" s="676" t="str">
        <f>ENTRY!$D$6</f>
        <v>MCP NITHARI NO 1 BOYS</v>
      </c>
      <c r="E2592" s="676"/>
      <c r="F2592" s="676"/>
      <c r="G2592" s="676"/>
      <c r="H2592" s="676"/>
      <c r="I2592" s="676"/>
      <c r="J2592" s="676"/>
      <c r="K2592" s="677"/>
    </row>
    <row r="2593" ht="21.95" customHeight="1" spans="1:11">
      <c r="A2593" s="675"/>
      <c r="B2593" s="676" t="s">
        <v>420</v>
      </c>
      <c r="C2593" s="676"/>
      <c r="D2593" s="740">
        <f>IFERROR(VLOOKUP($I$2596,STUDENT!$A$2:$BP$101,5,0),"")</f>
        <v>0</v>
      </c>
      <c r="E2593" s="740"/>
      <c r="F2593" s="740"/>
      <c r="G2593" s="740"/>
      <c r="H2593" s="740"/>
      <c r="I2593" s="740"/>
      <c r="J2593" s="740"/>
      <c r="K2593" s="677"/>
    </row>
    <row r="2594" ht="21.95" customHeight="1" spans="1:11">
      <c r="A2594" s="675"/>
      <c r="B2594" s="676" t="s">
        <v>421</v>
      </c>
      <c r="C2594" s="676"/>
      <c r="D2594" s="740">
        <f>IFERROR(VLOOKUP($I$2596,STUDENT!$A$2:$BP$101,8,0),"")</f>
        <v>0</v>
      </c>
      <c r="E2594" s="740"/>
      <c r="F2594" s="740"/>
      <c r="G2594" s="740"/>
      <c r="H2594" s="740"/>
      <c r="I2594" s="740"/>
      <c r="J2594" s="740"/>
      <c r="K2594" s="677"/>
    </row>
    <row r="2595" ht="21.95" customHeight="1" spans="1:11">
      <c r="A2595" s="675"/>
      <c r="B2595" s="676" t="s">
        <v>422</v>
      </c>
      <c r="C2595" s="676"/>
      <c r="D2595" s="740">
        <f>IFERROR(VLOOKUP($I$2596,STUDENT!$A$2:$BP$101,6,0),"")</f>
        <v>0</v>
      </c>
      <c r="E2595" s="740"/>
      <c r="F2595" s="740"/>
      <c r="G2595" s="740"/>
      <c r="H2595" s="740"/>
      <c r="I2595" s="740"/>
      <c r="J2595" s="740"/>
      <c r="K2595" s="677"/>
    </row>
    <row r="2596" ht="21.95" customHeight="1" spans="1:11">
      <c r="A2596" s="675"/>
      <c r="B2596" s="676" t="s">
        <v>423</v>
      </c>
      <c r="C2596" s="676"/>
      <c r="D2596" s="741" t="str">
        <f>IFERROR(VLOOKUP($I$2596,STUDENT!$A$2:$BP$101,59,0),"")</f>
        <v/>
      </c>
      <c r="E2596" s="742" t="s">
        <v>424</v>
      </c>
      <c r="F2596" s="704" t="str">
        <f>IFERROR(VLOOKUP($I$2596,STUDENT!$A$2:$BP$101,2,0),"")</f>
        <v>III-A</v>
      </c>
      <c r="G2596" s="742" t="s">
        <v>425</v>
      </c>
      <c r="H2596" s="743"/>
      <c r="I2596" s="733">
        <f>I2541+1</f>
        <v>48</v>
      </c>
      <c r="J2596" s="683"/>
      <c r="K2596" s="677"/>
    </row>
    <row r="2597" ht="5.1" customHeight="1" spans="1:11">
      <c r="A2597" s="675"/>
      <c r="B2597" s="745"/>
      <c r="C2597" s="745"/>
      <c r="D2597" s="746"/>
      <c r="E2597" s="747"/>
      <c r="F2597" s="748"/>
      <c r="G2597" s="747"/>
      <c r="H2597" s="686"/>
      <c r="I2597" s="686"/>
      <c r="J2597" s="686"/>
      <c r="K2597" s="677"/>
    </row>
    <row r="2598" s="664" customFormat="1" ht="32.1" customHeight="1" spans="1:11">
      <c r="A2598" s="688"/>
      <c r="B2598" s="749" t="s">
        <v>426</v>
      </c>
      <c r="C2598" s="750"/>
      <c r="D2598" s="750"/>
      <c r="E2598" s="750"/>
      <c r="F2598" s="750"/>
      <c r="G2598" s="750"/>
      <c r="H2598" s="750"/>
      <c r="I2598" s="750"/>
      <c r="J2598" s="751"/>
      <c r="K2598" s="690"/>
    </row>
    <row r="2599" ht="51.6" spans="1:11">
      <c r="A2599" s="675"/>
      <c r="B2599" s="752">
        <v>21</v>
      </c>
      <c r="C2599" s="753" t="s">
        <v>427</v>
      </c>
      <c r="D2599" s="754" t="s">
        <v>428</v>
      </c>
      <c r="E2599" s="754" t="s">
        <v>429</v>
      </c>
      <c r="F2599" s="754" t="s">
        <v>430</v>
      </c>
      <c r="G2599" s="753" t="s">
        <v>390</v>
      </c>
      <c r="H2599" s="714"/>
      <c r="I2599" s="714"/>
      <c r="J2599" s="714"/>
      <c r="K2599" s="677"/>
    </row>
    <row r="2600" ht="20.1" customHeight="1" spans="1:11">
      <c r="A2600" s="675"/>
      <c r="B2600" s="755">
        <v>1</v>
      </c>
      <c r="C2600" s="755" t="str">
        <f>IFERROR(VLOOKUP(B2600,DATEWISE!$A$3:$BY$27,2,0),0)</f>
        <v>30.04.2026</v>
      </c>
      <c r="D2600" s="755">
        <f>IF($C$2600=0,NA(),VLOOKUP($I$2596&amp;$B$2600,FLNFIX!$L$4:$EF$103,2,0))</f>
        <v>0</v>
      </c>
      <c r="E2600" s="755">
        <f>IF($C$2600=0,NA(),VLOOKUP($I$2596&amp;$B$2600,FLNFIX!$L$4:$EF$103,4,0))</f>
        <v>0</v>
      </c>
      <c r="F2600" s="755">
        <f>IF($C$2600=0,NA(),VLOOKUP($I$2596&amp;$B$2600,FLNFIX!$L$4:$EF$103,3,0))</f>
        <v>0</v>
      </c>
      <c r="G2600" s="756">
        <f>IF($C$2600=0,NA(),VLOOKUP($I$2596&amp;$B$2600,FLNFIX!$L$4:$EF$103,5,0))</f>
        <v>0</v>
      </c>
      <c r="H2600" s="757"/>
      <c r="I2600" s="757"/>
      <c r="J2600" s="758"/>
      <c r="K2600" s="677"/>
    </row>
    <row r="2601" ht="20.1" customHeight="1" spans="1:11">
      <c r="A2601" s="675"/>
      <c r="B2601" s="755">
        <f t="shared" ref="B2601:B2620" si="47">IF(B2600=0,0,IF(B2600&lt;$B$2599,B2600+1,""))</f>
        <v>2</v>
      </c>
      <c r="C2601" s="755" t="str">
        <f>IFERROR(VLOOKUP(B2601,DATEWISE!$A$3:$BY$27,2,0),0)</f>
        <v>08.05.2026</v>
      </c>
      <c r="D2601" s="755">
        <f>IF($C$2601=0,NA(),VLOOKUP($I$2596&amp;$B$2601,FLNFIX!$Q$4:$EF$103,2,0))</f>
        <v>0</v>
      </c>
      <c r="E2601" s="755">
        <f>IF($C$2601=0,NA(),VLOOKUP($I$2596&amp;$B$2601,FLNFIX!$Q$4:$EF$103,4,0))</f>
        <v>0</v>
      </c>
      <c r="F2601" s="755">
        <f>IF($C$2601=0,NA(),VLOOKUP($I$2596&amp;$B$2601,FLNFIX!$Q$4:$EF$103,3,0))</f>
        <v>0</v>
      </c>
      <c r="G2601" s="756">
        <f>IF($C$2601=0,NA(),VLOOKUP($I$2596&amp;$B$2601,FLNFIX!$Q$4:$EF$103,5,0))</f>
        <v>0</v>
      </c>
      <c r="H2601" s="757"/>
      <c r="I2601" s="757"/>
      <c r="J2601" s="758"/>
      <c r="K2601" s="677"/>
    </row>
    <row r="2602" ht="20.1" customHeight="1" spans="1:11">
      <c r="A2602" s="675"/>
      <c r="B2602" s="755">
        <f t="shared" si="47"/>
        <v>3</v>
      </c>
      <c r="C2602" s="755" t="str">
        <f>IFERROR(VLOOKUP(B2602,DATEWISE!$A$3:$BY$27,2,0),0)</f>
        <v>15.07.2026</v>
      </c>
      <c r="D2602" s="755">
        <f>IF($C$2602=0,NA(),VLOOKUP($I$2596&amp;$B$2602,FLNFIX!$V$4:$EF$103,2,0))</f>
        <v>0</v>
      </c>
      <c r="E2602" s="755">
        <f>IF($C$2602=0,NA(),VLOOKUP($I$2596&amp;$B$2602,FLNFIX!$V$4:$EF$103,4,0))</f>
        <v>0</v>
      </c>
      <c r="F2602" s="755">
        <f>IF($C$2602=0,NA(),VLOOKUP($I$2596&amp;$B$2602,FLNFIX!$V$4:$EF$103,3,0))</f>
        <v>0</v>
      </c>
      <c r="G2602" s="756">
        <f>IF($C$2602=0,NA(),VLOOKUP($I$2596&amp;$B$2602,FLNFIX!$V$4:$EF$103,5,0))</f>
        <v>0</v>
      </c>
      <c r="H2602" s="757"/>
      <c r="I2602" s="757"/>
      <c r="J2602" s="758"/>
      <c r="K2602" s="677"/>
    </row>
    <row r="2603" ht="20.1" customHeight="1" spans="1:11">
      <c r="A2603" s="675"/>
      <c r="B2603" s="755">
        <f t="shared" si="47"/>
        <v>4</v>
      </c>
      <c r="C2603" s="755" t="str">
        <f>IFERROR(VLOOKUP(B2603,DATEWISE!$A$3:$BY$27,2,0),0)</f>
        <v>31.07.2026</v>
      </c>
      <c r="D2603" s="755">
        <f>IF($C$2603=0,NA(),VLOOKUP($I$2596&amp;$B$2603,FLNFIX!$AA$4:$EF$103,2,0))</f>
        <v>0</v>
      </c>
      <c r="E2603" s="755">
        <f>IF($C$2603=0,NA(),VLOOKUP($I$2596&amp;$B$2603,FLNFIX!$AA$4:$EF$103,4,0))</f>
        <v>0</v>
      </c>
      <c r="F2603" s="755">
        <f>IF($C$2603=0,NA(),VLOOKUP($I$2596&amp;$B$2603,FLNFIX!$AA$4:$EF$103,3,0))</f>
        <v>0</v>
      </c>
      <c r="G2603" s="756">
        <f>IF($C$2603=0,NA(),VLOOKUP($I$2596&amp;$B$2603,FLNFIX!$AA$4:$EF$103,5,0))</f>
        <v>0</v>
      </c>
      <c r="H2603" s="757"/>
      <c r="I2603" s="757"/>
      <c r="J2603" s="758"/>
      <c r="K2603" s="677"/>
    </row>
    <row r="2604" ht="20.1" customHeight="1" spans="1:11">
      <c r="A2604" s="675"/>
      <c r="B2604" s="755">
        <f t="shared" si="47"/>
        <v>5</v>
      </c>
      <c r="C2604" s="755" t="str">
        <f>IFERROR(VLOOKUP(B2604,DATEWISE!$A$3:$BY$27,2,0),0)</f>
        <v>17.08.2026</v>
      </c>
      <c r="D2604" s="755">
        <f>IF($C$2604=0,NA(),VLOOKUP($I$2596&amp;$B$2604,FLNFIX!$AF$4:$EF$103,2,0))</f>
        <v>0</v>
      </c>
      <c r="E2604" s="755">
        <f>IF($C$2604=0,NA(),VLOOKUP($I$2596&amp;$B$2604,FLNFIX!$AF$4:$EF$103,4,0))</f>
        <v>0</v>
      </c>
      <c r="F2604" s="755">
        <f>IF($C$2604=0,NA(),VLOOKUP($I$2596&amp;$B$2604,FLNFIX!$AF$4:$EF$103,3,0))</f>
        <v>0</v>
      </c>
      <c r="G2604" s="756">
        <f>IF($C$2604=0,NA(),VLOOKUP($I$2596&amp;$B$2604,FLNFIX!$AF$4:$EF$103,5,0))</f>
        <v>0</v>
      </c>
      <c r="H2604" s="757"/>
      <c r="I2604" s="757"/>
      <c r="J2604" s="758"/>
      <c r="K2604" s="677"/>
    </row>
    <row r="2605" ht="20.1" customHeight="1" spans="1:11">
      <c r="A2605" s="675"/>
      <c r="B2605" s="755">
        <f t="shared" si="47"/>
        <v>6</v>
      </c>
      <c r="C2605" s="755" t="str">
        <f>IFERROR(VLOOKUP(B2605,DATEWISE!$A$3:$BY$27,2,0),0)</f>
        <v>31.08.2026</v>
      </c>
      <c r="D2605" s="755">
        <f>IF($C$2605=0,NA(),VLOOKUP($I$2596&amp;$B$2605,FLNFIX!$AK$4:$EF$103,2,0))</f>
        <v>0</v>
      </c>
      <c r="E2605" s="755">
        <f>IF($C$2605=0,NA(),VLOOKUP($I$2596&amp;$B$2605,FLNFIX!$AK$4:$EF$103,4,0))</f>
        <v>0</v>
      </c>
      <c r="F2605" s="755">
        <f>IF($C$2605=0,NA(),VLOOKUP($I$2596&amp;$B$2605,FLNFIX!$AK$4:$EF$103,3,0))</f>
        <v>0</v>
      </c>
      <c r="G2605" s="756">
        <f>IF($C$2605=0,NA(),VLOOKUP($I$2596&amp;$B$2605,FLNFIX!$AK$4:$EF$103,5,0))</f>
        <v>0</v>
      </c>
      <c r="H2605" s="757"/>
      <c r="I2605" s="757"/>
      <c r="J2605" s="758"/>
      <c r="K2605" s="677"/>
    </row>
    <row r="2606" ht="20.1" customHeight="1" spans="1:11">
      <c r="A2606" s="675"/>
      <c r="B2606" s="755">
        <f t="shared" si="47"/>
        <v>7</v>
      </c>
      <c r="C2606" s="755">
        <f>IFERROR(VLOOKUP(B2606,DATEWISE!$A$3:$BY$27,2,0),0)</f>
        <v>0</v>
      </c>
      <c r="D2606" s="755" t="e">
        <f>IF($C$2606=0,NA(),VLOOKUP($I$2596&amp;$B$2606,FLNFIX!$AP$4:$EF$103,2,0))</f>
        <v>#N/A</v>
      </c>
      <c r="E2606" s="755" t="e">
        <f>IF($C$2606=0,NA(),VLOOKUP($I$2596&amp;$B$2606,FLNFIX!$AP$4:$EF$103,4,0))</f>
        <v>#N/A</v>
      </c>
      <c r="F2606" s="755" t="e">
        <f>IF($C$2606=0,NA(),VLOOKUP($I$2596&amp;$B$2606,FLNFIX!$AP$4:$EF$103,3,0))</f>
        <v>#N/A</v>
      </c>
      <c r="G2606" s="756" t="e">
        <f>IF($C$2606=0,NA(),VLOOKUP($I$2596&amp;$B$2606,FLNFIX!$AP$4:$EF$103,5,0))</f>
        <v>#N/A</v>
      </c>
      <c r="H2606" s="757"/>
      <c r="I2606" s="757"/>
      <c r="J2606" s="758"/>
      <c r="K2606" s="677"/>
    </row>
    <row r="2607" ht="20.1" customHeight="1" spans="1:11">
      <c r="A2607" s="675"/>
      <c r="B2607" s="755">
        <f t="shared" si="47"/>
        <v>8</v>
      </c>
      <c r="C2607" s="755">
        <f>IFERROR(VLOOKUP(B2607,DATEWISE!$A$3:$BY$27,2,0),0)</f>
        <v>0</v>
      </c>
      <c r="D2607" s="755" t="e">
        <f>IF($C$2607=0,NA(),VLOOKUP($I$2596&amp;$B$2607,FLNFIX!$AU$4:$EF$103,2,0))</f>
        <v>#N/A</v>
      </c>
      <c r="E2607" s="755" t="e">
        <f>IF($C$2607=0,NA(),VLOOKUP($I$2596&amp;$B$2607,FLNFIX!$AU$4:$EF$103,4,0))</f>
        <v>#N/A</v>
      </c>
      <c r="F2607" s="755" t="e">
        <f>IF($C$2607=0,NA(),VLOOKUP($I$2596&amp;$B$2607,FLNFIX!$AU$4:$EF$103,3,0))</f>
        <v>#N/A</v>
      </c>
      <c r="G2607" s="756" t="e">
        <f>IF($C$2607=0,NA(),VLOOKUP($I$2596&amp;$B$2607,FLNFIX!$AU$4:$EF$103,5,0))</f>
        <v>#N/A</v>
      </c>
      <c r="H2607" s="757"/>
      <c r="I2607" s="757"/>
      <c r="J2607" s="758"/>
      <c r="K2607" s="677"/>
    </row>
    <row r="2608" ht="20.1" customHeight="1" spans="1:11">
      <c r="A2608" s="675"/>
      <c r="B2608" s="755">
        <f t="shared" si="47"/>
        <v>9</v>
      </c>
      <c r="C2608" s="755">
        <f>IFERROR(VLOOKUP(B2608,DATEWISE!$A$3:$BY$27,2,0),0)</f>
        <v>0</v>
      </c>
      <c r="D2608" s="755" t="e">
        <f>IF($C$2608=0,NA(),VLOOKUP($I$2596&amp;$B$2608,FLNFIX!$AZ$4:$EF$103,2,0))</f>
        <v>#N/A</v>
      </c>
      <c r="E2608" s="755" t="e">
        <f>IF($C$2608=0,NA(),VLOOKUP($I$2596&amp;$B$2608,FLNFIX!$AZ$4:$EF$103,4,0))</f>
        <v>#N/A</v>
      </c>
      <c r="F2608" s="755" t="e">
        <f>IF($C$2608=0,NA(),VLOOKUP($I$2596&amp;$B$2608,FLNFIX!$AZ$4:$EF$103,3,0))</f>
        <v>#N/A</v>
      </c>
      <c r="G2608" s="756" t="e">
        <f>IF($C$2608=0,NA(),VLOOKUP($I$2596&amp;$B$2608,FLNFIX!$AZ$4:$EF$103,5,0))</f>
        <v>#N/A</v>
      </c>
      <c r="H2608" s="757"/>
      <c r="I2608" s="757"/>
      <c r="J2608" s="758"/>
      <c r="K2608" s="677"/>
    </row>
    <row r="2609" ht="20.1" customHeight="1" spans="1:11">
      <c r="A2609" s="675"/>
      <c r="B2609" s="755">
        <f t="shared" si="47"/>
        <v>10</v>
      </c>
      <c r="C2609" s="755">
        <f>IFERROR(VLOOKUP(B2609,DATEWISE!$A$3:$BY$27,2,0),0)</f>
        <v>0</v>
      </c>
      <c r="D2609" s="755" t="e">
        <f>IF($C$2609=0,NA(),VLOOKUP($I$2596&amp;$B$2609,FLNFIX!$BE$4:$EF$103,2,0))</f>
        <v>#N/A</v>
      </c>
      <c r="E2609" s="755" t="e">
        <f>IF($C$2609=0,NA(),VLOOKUP($I$2596&amp;$B$2609,FLNFIX!$BE$4:$EF$103,4,0))</f>
        <v>#N/A</v>
      </c>
      <c r="F2609" s="755" t="e">
        <f>IF($C$2609=0,NA(),VLOOKUP($I$2596&amp;$B$2609,FLNFIX!$BE$4:$EF$103,3,0))</f>
        <v>#N/A</v>
      </c>
      <c r="G2609" s="756" t="e">
        <f>IF($C$2609=0,NA(),VLOOKUP($I$2596&amp;$B$2609,FLNFIX!$BE$4:$EF$103,5,0))</f>
        <v>#N/A</v>
      </c>
      <c r="H2609" s="757"/>
      <c r="I2609" s="757"/>
      <c r="J2609" s="758"/>
      <c r="K2609" s="677"/>
    </row>
    <row r="2610" ht="20.1" customHeight="1" spans="1:11">
      <c r="A2610" s="675"/>
      <c r="B2610" s="755">
        <f t="shared" si="47"/>
        <v>11</v>
      </c>
      <c r="C2610" s="755">
        <f>IFERROR(VLOOKUP(B2610,DATEWISE!$A$3:$BY$27,2,0),0)</f>
        <v>0</v>
      </c>
      <c r="D2610" s="755" t="e">
        <f>IF($C$2610=0,NA(),VLOOKUP($I$2596&amp;$B$2610,FLNFIX!$BJ$4:$EF$103,2,0))</f>
        <v>#N/A</v>
      </c>
      <c r="E2610" s="755" t="e">
        <f>IF($C$2610=0,NA(),VLOOKUP($I$2596&amp;$B$2610,FLNFIX!$BJ$4:$EF$103,4,0))</f>
        <v>#N/A</v>
      </c>
      <c r="F2610" s="755" t="e">
        <f>IF($C$2610=0,NA(),VLOOKUP($I$2596&amp;$B$2610,FLNFIX!$BJ$4:$EF$103,3,0))</f>
        <v>#N/A</v>
      </c>
      <c r="G2610" s="756" t="e">
        <f>IF($C$2610=0,NA(),VLOOKUP($I$2596&amp;$B$2610,FLNFIX!$BJ$4:$EF$103,5,0))</f>
        <v>#N/A</v>
      </c>
      <c r="H2610" s="757"/>
      <c r="I2610" s="757"/>
      <c r="J2610" s="758"/>
      <c r="K2610" s="677"/>
    </row>
    <row r="2611" ht="20.1" customHeight="1" spans="1:11">
      <c r="A2611" s="675"/>
      <c r="B2611" s="755">
        <f t="shared" si="47"/>
        <v>12</v>
      </c>
      <c r="C2611" s="755">
        <f>IFERROR(VLOOKUP(B2611,DATEWISE!$A$3:$BY$27,2,0),0)</f>
        <v>0</v>
      </c>
      <c r="D2611" s="755" t="e">
        <f>IF($C$2611=0,NA(),VLOOKUP($I$2596&amp;$B$2611,FLNFIX!$BO$4:$EF$103,2,0))</f>
        <v>#N/A</v>
      </c>
      <c r="E2611" s="755" t="e">
        <f>IF($C$2611=0,NA(),VLOOKUP($I$2596&amp;$B$2611,FLNFIX!$BO$4:$EF$103,4,0))</f>
        <v>#N/A</v>
      </c>
      <c r="F2611" s="755" t="e">
        <f>IF($C$2611=0,NA(),VLOOKUP($I$2596&amp;$B$2611,FLNFIX!$BO$4:$EF$103,3,0))</f>
        <v>#N/A</v>
      </c>
      <c r="G2611" s="756" t="e">
        <f>IF($C$2611=0,NA(),VLOOKUP($I$2596&amp;$B$2611,FLNFIX!$BO$4:$EF$103,5,0))</f>
        <v>#N/A</v>
      </c>
      <c r="H2611" s="757"/>
      <c r="I2611" s="757"/>
      <c r="J2611" s="758"/>
      <c r="K2611" s="677"/>
    </row>
    <row r="2612" ht="20.1" customHeight="1" spans="1:11">
      <c r="A2612" s="675"/>
      <c r="B2612" s="755">
        <f t="shared" si="47"/>
        <v>13</v>
      </c>
      <c r="C2612" s="755">
        <f>IFERROR(VLOOKUP(B2612,DATEWISE!$A$3:$BY$27,2,0),0)</f>
        <v>0</v>
      </c>
      <c r="D2612" s="755" t="e">
        <f>IF($C$2612=0,NA(),VLOOKUP($I$2596&amp;$B$2612,FLNFIX!$BT$4:$EF$103,2,0))</f>
        <v>#N/A</v>
      </c>
      <c r="E2612" s="755" t="e">
        <f>IF($C$2612=0,NA(),VLOOKUP($I$2596&amp;$B$2612,FLNFIX!$BT$4:$EF$103,4,0))</f>
        <v>#N/A</v>
      </c>
      <c r="F2612" s="755" t="e">
        <f>IF($C$2612=0,NA(),VLOOKUP($I$2596&amp;$B$2612,FLNFIX!$BT$4:$EF$103,3,0))</f>
        <v>#N/A</v>
      </c>
      <c r="G2612" s="756" t="e">
        <f>IF($C$2612=0,NA(),VLOOKUP($I$2596&amp;$B$2612,FLNFIX!$BT$4:$EF$103,5,0))</f>
        <v>#N/A</v>
      </c>
      <c r="H2612" s="757"/>
      <c r="I2612" s="757"/>
      <c r="J2612" s="758"/>
      <c r="K2612" s="677"/>
    </row>
    <row r="2613" ht="20.1" customHeight="1" spans="1:11">
      <c r="A2613" s="675"/>
      <c r="B2613" s="755">
        <f t="shared" si="47"/>
        <v>14</v>
      </c>
      <c r="C2613" s="755">
        <f>IFERROR(VLOOKUP(B2613,DATEWISE!$A$3:$BY$27,2,0),0)</f>
        <v>0</v>
      </c>
      <c r="D2613" s="755" t="e">
        <f>IF($C$2613=0,NA(),VLOOKUP($I$2596&amp;$B$2613,FLNFIX!$BY$4:$EF$103,2,0))</f>
        <v>#N/A</v>
      </c>
      <c r="E2613" s="755" t="e">
        <f>IF($C$2613=0,NA(),VLOOKUP($I$2596&amp;$B$2613,FLNFIX!$BY$4:$EF$103,4,0))</f>
        <v>#N/A</v>
      </c>
      <c r="F2613" s="755" t="e">
        <f>IF($C$2613=0,NA(),VLOOKUP($I$2596&amp;$B$2613,FLNFIX!$BY$4:$EF$103,3,0))</f>
        <v>#N/A</v>
      </c>
      <c r="G2613" s="756" t="e">
        <f>IF($C$2613=0,NA(),VLOOKUP($I$2596&amp;$B$2613,FLNFIX!$BY$4:$EF$103,5,0))</f>
        <v>#N/A</v>
      </c>
      <c r="H2613" s="757"/>
      <c r="I2613" s="757"/>
      <c r="J2613" s="758"/>
      <c r="K2613" s="677"/>
    </row>
    <row r="2614" ht="20.1" customHeight="1" spans="1:11">
      <c r="A2614" s="675"/>
      <c r="B2614" s="755">
        <f t="shared" si="47"/>
        <v>15</v>
      </c>
      <c r="C2614" s="755">
        <f>IFERROR(VLOOKUP(B2614,DATEWISE!$A$3:$BY$27,2,0),0)</f>
        <v>0</v>
      </c>
      <c r="D2614" s="755" t="e">
        <f>IF($C$2614=0,NA(),VLOOKUP($I$2596&amp;$B$2614,FLNFIX!$CD$4:$EF$103,2,0))</f>
        <v>#N/A</v>
      </c>
      <c r="E2614" s="755" t="e">
        <f>IF($C$2614=0,NA(),VLOOKUP($I$2596&amp;$B$2614,FLNFIX!$CD$4:$EF$103,4,0))</f>
        <v>#N/A</v>
      </c>
      <c r="F2614" s="755" t="e">
        <f>IF($C$2614=0,NA(),VLOOKUP($I$2596&amp;$B$2614,FLNFIX!$CD$4:$EF$103,3,0))</f>
        <v>#N/A</v>
      </c>
      <c r="G2614" s="756" t="e">
        <f>IF($C$2614=0,NA(),VLOOKUP($I$2596&amp;$B$2614,FLNFIX!$CD$4:$EF$103,5,0))</f>
        <v>#N/A</v>
      </c>
      <c r="H2614" s="757"/>
      <c r="I2614" s="757"/>
      <c r="J2614" s="758"/>
      <c r="K2614" s="677"/>
    </row>
    <row r="2615" ht="20.1" customHeight="1" spans="1:11">
      <c r="A2615" s="675"/>
      <c r="B2615" s="755">
        <f t="shared" si="47"/>
        <v>16</v>
      </c>
      <c r="C2615" s="755">
        <f>IFERROR(VLOOKUP(B2615,DATEWISE!$A$3:$BY$27,2,0),0)</f>
        <v>0</v>
      </c>
      <c r="D2615" s="755" t="e">
        <f>IF($C$2615=0,NA(),VLOOKUP($I$2596&amp;$B$2615,FLNFIX!$CI$4:$EF$103,2,0))</f>
        <v>#N/A</v>
      </c>
      <c r="E2615" s="755" t="e">
        <f>IF($C$2615=0,NA(),VLOOKUP($I$2596&amp;$B$2615,FLNFIX!$CI$4:$EF$103,4,0))</f>
        <v>#N/A</v>
      </c>
      <c r="F2615" s="755" t="e">
        <f>IF($C$2615=0,NA(),VLOOKUP($I$2596&amp;$B$2615,FLNFIX!$CI$4:$EF$103,3,0))</f>
        <v>#N/A</v>
      </c>
      <c r="G2615" s="756" t="e">
        <f>IF($C$2615=0,NA(),VLOOKUP($I$2596&amp;$B$2615,FLNFIX!$CI$4:$EF$103,5,0))</f>
        <v>#N/A</v>
      </c>
      <c r="H2615" s="757"/>
      <c r="I2615" s="757"/>
      <c r="J2615" s="758"/>
      <c r="K2615" s="677"/>
    </row>
    <row r="2616" ht="20.1" customHeight="1" spans="1:11">
      <c r="A2616" s="675"/>
      <c r="B2616" s="755">
        <f t="shared" si="47"/>
        <v>17</v>
      </c>
      <c r="C2616" s="755">
        <f>IFERROR(VLOOKUP(B2616,DATEWISE!$A$3:$BY$27,2,0),0)</f>
        <v>0</v>
      </c>
      <c r="D2616" s="755" t="e">
        <f>IF($C$2616=0,NA(),VLOOKUP($I$2596&amp;$B$2616,FLNFIX!$CN$4:$EF$103,2,0))</f>
        <v>#N/A</v>
      </c>
      <c r="E2616" s="755" t="e">
        <f>IF($C$2616=0,NA(),VLOOKUP($I$2596&amp;$B$2616,FLNFIX!$CN$4:$EF$103,4,0))</f>
        <v>#N/A</v>
      </c>
      <c r="F2616" s="755" t="e">
        <f>IF($C$2616=0,NA(),VLOOKUP($I$2596&amp;$B$2616,FLNFIX!$CN$4:$EF$103,3,0))</f>
        <v>#N/A</v>
      </c>
      <c r="G2616" s="756" t="e">
        <f>IF($C$2616=0,NA(),VLOOKUP($I$2596&amp;$B$2616,FLNFIX!$CN$4:$EF$103,5,0))</f>
        <v>#N/A</v>
      </c>
      <c r="H2616" s="757"/>
      <c r="I2616" s="757"/>
      <c r="J2616" s="758"/>
      <c r="K2616" s="677"/>
    </row>
    <row r="2617" ht="20.1" customHeight="1" spans="1:11">
      <c r="A2617" s="675"/>
      <c r="B2617" s="755">
        <f t="shared" si="47"/>
        <v>18</v>
      </c>
      <c r="C2617" s="755">
        <f>IFERROR(VLOOKUP(B2617,DATEWISE!$A$3:$BY$27,2,0),0)</f>
        <v>0</v>
      </c>
      <c r="D2617" s="755" t="e">
        <f>IF($C$2617=0,NA(),VLOOKUP($I$2596&amp;$B$2617,FLNFIX!$CS$4:$EF$103,2,0))</f>
        <v>#N/A</v>
      </c>
      <c r="E2617" s="755" t="e">
        <f>IF($C$2617=0,NA(),VLOOKUP($I$2596&amp;$B$2617,FLNFIX!$CS$4:$EF$103,4,0))</f>
        <v>#N/A</v>
      </c>
      <c r="F2617" s="755" t="e">
        <f>IF($C$2617=0,NA(),VLOOKUP($I$2596&amp;$B$2617,FLNFIX!$CS$4:$EF$103,3,0))</f>
        <v>#N/A</v>
      </c>
      <c r="G2617" s="756" t="e">
        <f>IF($C$2617=0,NA(),VLOOKUP($I$2596&amp;$B$2617,FLNFIX!$CS$4:$EF$103,5,0))</f>
        <v>#N/A</v>
      </c>
      <c r="H2617" s="757"/>
      <c r="I2617" s="757"/>
      <c r="J2617" s="758"/>
      <c r="K2617" s="677"/>
    </row>
    <row r="2618" ht="20.1" customHeight="1" spans="1:11">
      <c r="A2618" s="675"/>
      <c r="B2618" s="755">
        <f t="shared" si="47"/>
        <v>19</v>
      </c>
      <c r="C2618" s="755">
        <f>IFERROR(VLOOKUP(B2618,DATEWISE!$A$3:$BY$27,2,0),0)</f>
        <v>0</v>
      </c>
      <c r="D2618" s="755" t="e">
        <f>IF($C$2618=0,NA(),VLOOKUP($I$2596&amp;$B$2618,FLNFIX!$CX$4:$EF$103,2,0))</f>
        <v>#N/A</v>
      </c>
      <c r="E2618" s="755" t="e">
        <f>IF($C$2618=0,NA(),VLOOKUP($I$2596&amp;$B$2618,FLNFIX!$CX$4:$EF$103,4,0))</f>
        <v>#N/A</v>
      </c>
      <c r="F2618" s="755" t="e">
        <f>IF($C$2618=0,NA(),VLOOKUP($I$2596&amp;$B$2618,FLNFIX!$CX$4:$EF$103,3,0))</f>
        <v>#N/A</v>
      </c>
      <c r="G2618" s="756" t="e">
        <f>IF($C$2618=0,NA(),VLOOKUP($I$2596&amp;$B$2618,FLNFIX!$CX$4:$EF$103,5,0))</f>
        <v>#N/A</v>
      </c>
      <c r="H2618" s="757"/>
      <c r="I2618" s="757"/>
      <c r="J2618" s="758"/>
      <c r="K2618" s="677"/>
    </row>
    <row r="2619" ht="20.1" customHeight="1" spans="1:11">
      <c r="A2619" s="675"/>
      <c r="B2619" s="755">
        <f t="shared" si="47"/>
        <v>20</v>
      </c>
      <c r="C2619" s="755">
        <f>IFERROR(VLOOKUP(B2619,DATEWISE!$A$3:$BY$27,2,0),0)</f>
        <v>0</v>
      </c>
      <c r="D2619" s="755" t="e">
        <f>IF($C$2619=0,NA(),VLOOKUP($I$2596&amp;$B$2619,FLNFIX!$DC$4:$EF$103,2,0))</f>
        <v>#N/A</v>
      </c>
      <c r="E2619" s="755" t="e">
        <f>IF($C$2619=0,NA(),VLOOKUP($I$2596&amp;$B$2619,FLNFIX!$DC$4:$EF$103,4,0))</f>
        <v>#N/A</v>
      </c>
      <c r="F2619" s="755" t="e">
        <f>IF($C$2619=0,NA(),VLOOKUP($I$2596&amp;$B$2619,FLNFIX!$DC$4:$EF$103,3,0))</f>
        <v>#N/A</v>
      </c>
      <c r="G2619" s="756" t="e">
        <f>IF($C$2619=0,NA(),VLOOKUP($I$2596&amp;$B$2619,FLNFIX!$DC$4:$EF$103,5,0))</f>
        <v>#N/A</v>
      </c>
      <c r="H2619" s="757"/>
      <c r="I2619" s="757"/>
      <c r="J2619" s="758"/>
      <c r="K2619" s="677"/>
    </row>
    <row r="2620" ht="20.1" customHeight="1" spans="1:11">
      <c r="A2620" s="675"/>
      <c r="B2620" s="755">
        <f t="shared" si="47"/>
        <v>21</v>
      </c>
      <c r="C2620" s="755">
        <f>IFERROR(VLOOKUP(B2620,DATEWISE!$A$3:$BY$27,2,0),0)</f>
        <v>0</v>
      </c>
      <c r="D2620" s="755" t="e">
        <f>IF($C$2620=0,NA(),VLOOKUP($I$2596&amp;$B$2620,FLNFIX!$DH$4:$EF$103,2,0))</f>
        <v>#N/A</v>
      </c>
      <c r="E2620" s="755" t="e">
        <f>IF($C$2620=0,NA(),VLOOKUP($I$2596&amp;$B$2620,FLNFIX!$DH$4:$EF$103,4,0))</f>
        <v>#N/A</v>
      </c>
      <c r="F2620" s="755" t="e">
        <f>IF($C$2620=0,NA(),VLOOKUP($I$2596&amp;$B$2620,FLNFIX!$DH$4:$EF$103,3,0))</f>
        <v>#N/A</v>
      </c>
      <c r="G2620" s="756" t="e">
        <f>IF($C$2620=0,NA(),VLOOKUP($I$2596&amp;$B$2620,FLNFIX!$DH$4:$EF$103,5,0))</f>
        <v>#N/A</v>
      </c>
      <c r="H2620" s="757"/>
      <c r="I2620" s="757"/>
      <c r="J2620" s="758"/>
      <c r="K2620" s="677"/>
    </row>
    <row r="2621" ht="5.1" customHeight="1" spans="1:11">
      <c r="A2621" s="675"/>
      <c r="B2621" s="759"/>
      <c r="C2621" s="759"/>
      <c r="D2621" s="760"/>
      <c r="E2621" s="760"/>
      <c r="F2621" s="760"/>
      <c r="G2621" s="761"/>
      <c r="H2621" s="761"/>
      <c r="I2621" s="761"/>
      <c r="J2621" s="761"/>
      <c r="K2621" s="677"/>
    </row>
    <row r="2622" s="667" customFormat="1" ht="24.95" customHeight="1" spans="1:11">
      <c r="A2622" s="711"/>
      <c r="B2622" s="762" t="s">
        <v>431</v>
      </c>
      <c r="C2622" s="763"/>
      <c r="D2622" s="763"/>
      <c r="E2622" s="763"/>
      <c r="F2622" s="763"/>
      <c r="G2622" s="763"/>
      <c r="H2622" s="763"/>
      <c r="I2622" s="763"/>
      <c r="J2622" s="764"/>
      <c r="K2622" s="713"/>
    </row>
    <row r="2623" spans="1:11">
      <c r="A2623" s="675"/>
      <c r="B2623" s="765"/>
      <c r="C2623" s="686"/>
      <c r="D2623" s="686"/>
      <c r="E2623" s="686"/>
      <c r="F2623" s="686"/>
      <c r="G2623" s="686"/>
      <c r="H2623" s="686"/>
      <c r="I2623" s="686"/>
      <c r="J2623" s="766"/>
      <c r="K2623" s="677"/>
    </row>
    <row r="2624" spans="1:11">
      <c r="A2624" s="675"/>
      <c r="B2624" s="765"/>
      <c r="C2624" s="686"/>
      <c r="D2624" s="686"/>
      <c r="E2624" s="686"/>
      <c r="F2624" s="686"/>
      <c r="G2624" s="686"/>
      <c r="H2624" s="686"/>
      <c r="I2624" s="686"/>
      <c r="J2624" s="766"/>
      <c r="K2624" s="677"/>
    </row>
    <row r="2625" spans="1:11">
      <c r="A2625" s="675"/>
      <c r="B2625" s="765"/>
      <c r="C2625" s="686"/>
      <c r="D2625" s="686"/>
      <c r="E2625" s="686"/>
      <c r="F2625" s="686"/>
      <c r="G2625" s="686"/>
      <c r="H2625" s="686"/>
      <c r="I2625" s="686"/>
      <c r="J2625" s="766"/>
      <c r="K2625" s="677"/>
    </row>
    <row r="2626" spans="1:11">
      <c r="A2626" s="675"/>
      <c r="B2626" s="765"/>
      <c r="C2626" s="686"/>
      <c r="D2626" s="686"/>
      <c r="E2626" s="686"/>
      <c r="F2626" s="686"/>
      <c r="G2626" s="686"/>
      <c r="H2626" s="686"/>
      <c r="I2626" s="686"/>
      <c r="J2626" s="766"/>
      <c r="K2626" s="677"/>
    </row>
    <row r="2627" spans="1:11">
      <c r="A2627" s="675"/>
      <c r="B2627" s="765"/>
      <c r="C2627" s="686"/>
      <c r="D2627" s="686"/>
      <c r="E2627" s="686"/>
      <c r="F2627" s="686"/>
      <c r="G2627" s="686"/>
      <c r="H2627" s="686"/>
      <c r="I2627" s="686"/>
      <c r="J2627" s="766"/>
      <c r="K2627" s="677"/>
    </row>
    <row r="2628" spans="1:11">
      <c r="A2628" s="675"/>
      <c r="B2628" s="765"/>
      <c r="C2628" s="686"/>
      <c r="D2628" s="686"/>
      <c r="E2628" s="686"/>
      <c r="F2628" s="686"/>
      <c r="G2628" s="686"/>
      <c r="H2628" s="686"/>
      <c r="I2628" s="686"/>
      <c r="J2628" s="766"/>
      <c r="K2628" s="677"/>
    </row>
    <row r="2629" spans="1:11">
      <c r="A2629" s="675"/>
      <c r="B2629" s="765"/>
      <c r="C2629" s="686"/>
      <c r="D2629" s="686"/>
      <c r="E2629" s="686"/>
      <c r="F2629" s="686"/>
      <c r="G2629" s="686"/>
      <c r="H2629" s="686"/>
      <c r="I2629" s="686"/>
      <c r="J2629" s="766"/>
      <c r="K2629" s="677"/>
    </row>
    <row r="2630" spans="1:11">
      <c r="A2630" s="675"/>
      <c r="B2630" s="765"/>
      <c r="C2630" s="686"/>
      <c r="D2630" s="686"/>
      <c r="E2630" s="686"/>
      <c r="F2630" s="686"/>
      <c r="G2630" s="686"/>
      <c r="H2630" s="686"/>
      <c r="I2630" s="686"/>
      <c r="J2630" s="766"/>
      <c r="K2630" s="677"/>
    </row>
    <row r="2631" spans="1:11">
      <c r="A2631" s="675"/>
      <c r="B2631" s="765"/>
      <c r="C2631" s="686"/>
      <c r="D2631" s="686"/>
      <c r="E2631" s="686"/>
      <c r="F2631" s="686"/>
      <c r="G2631" s="686"/>
      <c r="H2631" s="686"/>
      <c r="I2631" s="686"/>
      <c r="J2631" s="766"/>
      <c r="K2631" s="677"/>
    </row>
    <row r="2632" spans="1:11">
      <c r="A2632" s="675"/>
      <c r="B2632" s="767"/>
      <c r="C2632" s="768"/>
      <c r="D2632" s="768"/>
      <c r="E2632" s="768"/>
      <c r="F2632" s="768"/>
      <c r="G2632" s="768"/>
      <c r="H2632" s="768"/>
      <c r="I2632" s="768"/>
      <c r="J2632" s="769"/>
      <c r="K2632" s="677"/>
    </row>
    <row r="2633" ht="5.1" customHeight="1" spans="1:11">
      <c r="A2633" s="675"/>
      <c r="B2633" s="686"/>
      <c r="C2633" s="686"/>
      <c r="D2633" s="686"/>
      <c r="E2633" s="686"/>
      <c r="F2633" s="686"/>
      <c r="G2633" s="686"/>
      <c r="H2633" s="686"/>
      <c r="I2633" s="686"/>
      <c r="J2633" s="686"/>
      <c r="K2633" s="677"/>
    </row>
    <row r="2634" spans="1:11">
      <c r="A2634" s="675"/>
      <c r="B2634" s="770" t="s">
        <v>432</v>
      </c>
      <c r="C2634" s="770"/>
      <c r="D2634" s="770"/>
      <c r="E2634" s="770"/>
      <c r="F2634" s="770"/>
      <c r="G2634" s="770"/>
      <c r="H2634" s="770"/>
      <c r="I2634" s="770"/>
      <c r="J2634" s="770"/>
      <c r="K2634" s="677"/>
    </row>
    <row r="2635" spans="1:11">
      <c r="A2635" s="675"/>
      <c r="B2635" s="771"/>
      <c r="C2635" s="771"/>
      <c r="D2635" s="771"/>
      <c r="E2635" s="771"/>
      <c r="F2635" s="771"/>
      <c r="G2635" s="771"/>
      <c r="H2635" s="771"/>
      <c r="I2635" s="771"/>
      <c r="J2635" s="771"/>
      <c r="K2635" s="677"/>
    </row>
    <row r="2636" spans="1:11">
      <c r="A2636" s="675"/>
      <c r="B2636" s="771"/>
      <c r="C2636" s="771"/>
      <c r="D2636" s="771"/>
      <c r="E2636" s="771"/>
      <c r="F2636" s="771"/>
      <c r="G2636" s="771"/>
      <c r="H2636" s="771"/>
      <c r="I2636" s="771"/>
      <c r="J2636" s="771"/>
      <c r="K2636" s="677"/>
    </row>
    <row r="2637" spans="1:11">
      <c r="A2637" s="675"/>
      <c r="B2637" s="771"/>
      <c r="C2637" s="771"/>
      <c r="D2637" s="771"/>
      <c r="E2637" s="771"/>
      <c r="F2637" s="771"/>
      <c r="G2637" s="771"/>
      <c r="H2637" s="771"/>
      <c r="I2637" s="771"/>
      <c r="J2637" s="771"/>
      <c r="K2637" s="677"/>
    </row>
    <row r="2638" spans="1:11">
      <c r="A2638" s="675"/>
      <c r="B2638" s="686"/>
      <c r="C2638" s="686"/>
      <c r="D2638" s="686"/>
      <c r="E2638" s="686"/>
      <c r="F2638" s="686"/>
      <c r="G2638" s="686"/>
      <c r="H2638" s="686"/>
      <c r="I2638" s="686"/>
      <c r="J2638" s="686"/>
      <c r="K2638" s="677"/>
    </row>
    <row r="2639" spans="1:11">
      <c r="A2639" s="675"/>
      <c r="B2639" s="686"/>
      <c r="C2639" s="729" t="s">
        <v>433</v>
      </c>
      <c r="D2639" s="729"/>
      <c r="E2639" s="686"/>
      <c r="F2639" s="686"/>
      <c r="G2639" s="729" t="s">
        <v>434</v>
      </c>
      <c r="H2639" s="729"/>
      <c r="I2639" s="729"/>
      <c r="J2639" s="729"/>
      <c r="K2639" s="677"/>
    </row>
    <row r="2640" ht="16.35" spans="1:11">
      <c r="A2640" s="725"/>
      <c r="B2640" s="726"/>
      <c r="C2640" s="732" t="str">
        <f>"("&amp;PROPER(ENTRY!$D$19)&amp;")"</f>
        <v>(Indrajeet)</v>
      </c>
      <c r="D2640" s="732"/>
      <c r="E2640" s="726"/>
      <c r="F2640" s="726"/>
      <c r="G2640" s="732" t="str">
        <f>"("&amp;PROPER(ENTRY!$D$12)&amp;")"</f>
        <v>(Shambhu Dayal Meena)</v>
      </c>
      <c r="H2640" s="732"/>
      <c r="I2640" s="732"/>
      <c r="J2640" s="732"/>
      <c r="K2640" s="728"/>
    </row>
    <row r="2641" ht="24.6" spans="1:11">
      <c r="B2641" s="734"/>
      <c r="C2641" s="734"/>
      <c r="D2641" s="669" t="str">
        <f>ENTRY!$D$3</f>
        <v>MUNICIPAL CORPORATION OF DELHI</v>
      </c>
      <c r="E2641" s="669"/>
      <c r="F2641" s="669"/>
      <c r="G2641" s="669"/>
      <c r="H2641" s="734"/>
      <c r="I2641" s="669"/>
      <c r="J2641" s="669"/>
    </row>
    <row r="2642" ht="20.4" spans="1:11">
      <c r="B2642" s="735"/>
      <c r="C2642" s="735"/>
      <c r="D2642" s="670" t="str">
        <f>ENTRY!$D$4</f>
        <v>EDUCATION DEPARTMENT</v>
      </c>
      <c r="E2642" s="670"/>
      <c r="F2642" s="670"/>
      <c r="G2642" s="670"/>
      <c r="H2642" s="735"/>
      <c r="I2642" s="669"/>
      <c r="J2642" s="669"/>
    </row>
    <row r="2643" ht="22.8" spans="1:11">
      <c r="B2643" s="736"/>
      <c r="C2643" s="736"/>
      <c r="D2643" s="664" t="s">
        <v>417</v>
      </c>
      <c r="E2643" s="664"/>
      <c r="F2643" s="664"/>
      <c r="G2643" s="664"/>
      <c r="H2643" s="736"/>
      <c r="I2643" s="669"/>
      <c r="J2643" s="669"/>
    </row>
    <row r="2644" ht="22.8" spans="1:11">
      <c r="B2644" s="736"/>
      <c r="C2644" s="736"/>
      <c r="D2644" s="664" t="s">
        <v>418</v>
      </c>
      <c r="E2644" s="664"/>
      <c r="F2644" s="664"/>
      <c r="G2644" s="664"/>
      <c r="H2644" s="736"/>
      <c r="I2644" s="669"/>
      <c r="J2644" s="669"/>
    </row>
    <row r="2645" ht="24.95" customHeight="1" spans="1:11">
      <c r="B2645" s="735"/>
      <c r="C2645" s="735"/>
      <c r="D2645" s="737" t="str">
        <f>"SESSION : "&amp;ENTRY!$D$11</f>
        <v>SESSION : 2026-27</v>
      </c>
      <c r="E2645" s="737"/>
      <c r="F2645" s="737"/>
      <c r="G2645" s="737"/>
      <c r="H2645" s="735"/>
      <c r="I2645" s="738"/>
      <c r="J2645" s="738"/>
    </row>
    <row r="2646" ht="3.75" customHeight="1" spans="1:11">
      <c r="A2646" s="672"/>
      <c r="B2646" s="739"/>
      <c r="C2646" s="739"/>
      <c r="D2646" s="739"/>
      <c r="E2646" s="739"/>
      <c r="F2646" s="739"/>
      <c r="G2646" s="739"/>
      <c r="H2646" s="739"/>
      <c r="I2646" s="739"/>
      <c r="J2646" s="739"/>
      <c r="K2646" s="674"/>
    </row>
    <row r="2647" ht="21.95" customHeight="1" spans="1:11">
      <c r="A2647" s="675"/>
      <c r="B2647" s="676" t="s">
        <v>419</v>
      </c>
      <c r="C2647" s="676"/>
      <c r="D2647" s="676" t="str">
        <f>ENTRY!$D$6</f>
        <v>MCP NITHARI NO 1 BOYS</v>
      </c>
      <c r="E2647" s="676"/>
      <c r="F2647" s="676"/>
      <c r="G2647" s="676"/>
      <c r="H2647" s="676"/>
      <c r="I2647" s="676"/>
      <c r="J2647" s="676"/>
      <c r="K2647" s="677"/>
    </row>
    <row r="2648" ht="21.95" customHeight="1" spans="1:11">
      <c r="A2648" s="675"/>
      <c r="B2648" s="676" t="s">
        <v>420</v>
      </c>
      <c r="C2648" s="676"/>
      <c r="D2648" s="740">
        <f>IFERROR(VLOOKUP($I$2651,STUDENT!$A$2:$BP$101,5,0),"")</f>
        <v>0</v>
      </c>
      <c r="E2648" s="740"/>
      <c r="F2648" s="740"/>
      <c r="G2648" s="740"/>
      <c r="H2648" s="740"/>
      <c r="I2648" s="740"/>
      <c r="J2648" s="740"/>
      <c r="K2648" s="677"/>
    </row>
    <row r="2649" ht="21.95" customHeight="1" spans="1:11">
      <c r="A2649" s="675"/>
      <c r="B2649" s="676" t="s">
        <v>421</v>
      </c>
      <c r="C2649" s="676"/>
      <c r="D2649" s="740">
        <f>IFERROR(VLOOKUP($I$2651,STUDENT!$A$2:$BP$101,8,0),"")</f>
        <v>0</v>
      </c>
      <c r="E2649" s="740"/>
      <c r="F2649" s="740"/>
      <c r="G2649" s="740"/>
      <c r="H2649" s="740"/>
      <c r="I2649" s="740"/>
      <c r="J2649" s="740"/>
      <c r="K2649" s="677"/>
    </row>
    <row r="2650" ht="21.95" customHeight="1" spans="1:11">
      <c r="A2650" s="675"/>
      <c r="B2650" s="676" t="s">
        <v>422</v>
      </c>
      <c r="C2650" s="676"/>
      <c r="D2650" s="740">
        <f>IFERROR(VLOOKUP($I$2651,STUDENT!$A$2:$BP$101,6,0),"")</f>
        <v>0</v>
      </c>
      <c r="E2650" s="740"/>
      <c r="F2650" s="740"/>
      <c r="G2650" s="740"/>
      <c r="H2650" s="740"/>
      <c r="I2650" s="740"/>
      <c r="J2650" s="740"/>
      <c r="K2650" s="677"/>
    </row>
    <row r="2651" ht="21.95" customHeight="1" spans="1:11">
      <c r="A2651" s="675"/>
      <c r="B2651" s="676" t="s">
        <v>423</v>
      </c>
      <c r="C2651" s="676"/>
      <c r="D2651" s="741" t="str">
        <f>IFERROR(VLOOKUP($I$2651,STUDENT!$A$2:$BP$101,59,0),"")</f>
        <v/>
      </c>
      <c r="E2651" s="742" t="s">
        <v>424</v>
      </c>
      <c r="F2651" s="704" t="str">
        <f>IFERROR(VLOOKUP($I$2651,STUDENT!$A$2:$BP$101,2,0),"")</f>
        <v>III-A</v>
      </c>
      <c r="G2651" s="742" t="s">
        <v>425</v>
      </c>
      <c r="H2651" s="743"/>
      <c r="I2651" s="733">
        <f>I2596+1</f>
        <v>49</v>
      </c>
      <c r="J2651" s="683"/>
      <c r="K2651" s="677"/>
    </row>
    <row r="2652" ht="5.1" customHeight="1" spans="1:11">
      <c r="A2652" s="675"/>
      <c r="B2652" s="745"/>
      <c r="C2652" s="745"/>
      <c r="D2652" s="746"/>
      <c r="E2652" s="747"/>
      <c r="F2652" s="748"/>
      <c r="G2652" s="747"/>
      <c r="H2652" s="686"/>
      <c r="I2652" s="686"/>
      <c r="J2652" s="686"/>
      <c r="K2652" s="677"/>
    </row>
    <row r="2653" s="664" customFormat="1" ht="32.1" customHeight="1" spans="1:11">
      <c r="A2653" s="688"/>
      <c r="B2653" s="749" t="s">
        <v>426</v>
      </c>
      <c r="C2653" s="750"/>
      <c r="D2653" s="750"/>
      <c r="E2653" s="750"/>
      <c r="F2653" s="750"/>
      <c r="G2653" s="750"/>
      <c r="H2653" s="750"/>
      <c r="I2653" s="750"/>
      <c r="J2653" s="751"/>
      <c r="K2653" s="690"/>
    </row>
    <row r="2654" ht="51.6" spans="1:11">
      <c r="A2654" s="675"/>
      <c r="B2654" s="752">
        <v>21</v>
      </c>
      <c r="C2654" s="753" t="s">
        <v>427</v>
      </c>
      <c r="D2654" s="754" t="s">
        <v>428</v>
      </c>
      <c r="E2654" s="754" t="s">
        <v>429</v>
      </c>
      <c r="F2654" s="754" t="s">
        <v>430</v>
      </c>
      <c r="G2654" s="753" t="s">
        <v>390</v>
      </c>
      <c r="H2654" s="714"/>
      <c r="I2654" s="714"/>
      <c r="J2654" s="714"/>
      <c r="K2654" s="677"/>
    </row>
    <row r="2655" ht="20.1" customHeight="1" spans="1:11">
      <c r="A2655" s="675"/>
      <c r="B2655" s="755">
        <v>1</v>
      </c>
      <c r="C2655" s="755" t="str">
        <f>IFERROR(VLOOKUP(B2655,DATEWISE!$A$3:$BY$27,2,0),0)</f>
        <v>30.04.2026</v>
      </c>
      <c r="D2655" s="755">
        <f>IF($C$2655=0,NA(),VLOOKUP($I$2651&amp;$B$2655,FLNFIX!$L$4:$EF$103,2,0))</f>
        <v>0</v>
      </c>
      <c r="E2655" s="755">
        <f>IF($C$2655=0,NA(),VLOOKUP($I$2651&amp;$B$2655,FLNFIX!$L$4:$EF$103,4,0))</f>
        <v>0</v>
      </c>
      <c r="F2655" s="755">
        <f>IF($C$2655=0,NA(),VLOOKUP($I$2651&amp;$B$2655,FLNFIX!$L$4:$EF$103,3,0))</f>
        <v>0</v>
      </c>
      <c r="G2655" s="756">
        <f>IF($C$2655=0,NA(),VLOOKUP($I$2651&amp;$B$2655,FLNFIX!$L$4:$EF$103,5,0))</f>
        <v>0</v>
      </c>
      <c r="H2655" s="757"/>
      <c r="I2655" s="757"/>
      <c r="J2655" s="758"/>
      <c r="K2655" s="677"/>
    </row>
    <row r="2656" ht="20.1" customHeight="1" spans="1:11">
      <c r="A2656" s="675"/>
      <c r="B2656" s="755">
        <f t="shared" ref="B2656:B2675" si="48">IF(B2655=0,0,IF(B2655&lt;$B$2654,B2655+1,""))</f>
        <v>2</v>
      </c>
      <c r="C2656" s="755" t="str">
        <f>IFERROR(VLOOKUP(B2656,DATEWISE!$A$3:$BY$27,2,0),0)</f>
        <v>08.05.2026</v>
      </c>
      <c r="D2656" s="755">
        <f>IF($C$2656=0,NA(),VLOOKUP($I$2651&amp;$B$2656,FLNFIX!$Q$4:$EF$103,2,0))</f>
        <v>0</v>
      </c>
      <c r="E2656" s="755">
        <f>IF($C$2656=0,NA(),VLOOKUP($I$2651&amp;$B$2656,FLNFIX!$Q$4:$EF$103,4,0))</f>
        <v>0</v>
      </c>
      <c r="F2656" s="755">
        <f>IF($C$2656=0,NA(),VLOOKUP($I$2651&amp;$B$2656,FLNFIX!$Q$4:$EF$103,3,0))</f>
        <v>0</v>
      </c>
      <c r="G2656" s="756">
        <f>IF($C$2656=0,NA(),VLOOKUP($I$2651&amp;$B$2656,FLNFIX!$Q$4:$EF$103,5,0))</f>
        <v>0</v>
      </c>
      <c r="H2656" s="757"/>
      <c r="I2656" s="757"/>
      <c r="J2656" s="758"/>
      <c r="K2656" s="677"/>
    </row>
    <row r="2657" ht="20.1" customHeight="1" spans="1:11">
      <c r="A2657" s="675"/>
      <c r="B2657" s="755">
        <f t="shared" si="48"/>
        <v>3</v>
      </c>
      <c r="C2657" s="755" t="str">
        <f>IFERROR(VLOOKUP(B2657,DATEWISE!$A$3:$BY$27,2,0),0)</f>
        <v>15.07.2026</v>
      </c>
      <c r="D2657" s="755">
        <f>IF($C$2657=0,NA(),VLOOKUP($I$2651&amp;$B$2657,FLNFIX!$V$4:$EF$103,2,0))</f>
        <v>0</v>
      </c>
      <c r="E2657" s="755">
        <f>IF($C$2657=0,NA(),VLOOKUP($I$2651&amp;$B$2657,FLNFIX!$V$4:$EF$103,4,0))</f>
        <v>0</v>
      </c>
      <c r="F2657" s="755">
        <f>IF($C$2657=0,NA(),VLOOKUP($I$2651&amp;$B$2657,FLNFIX!$V$4:$EF$103,3,0))</f>
        <v>0</v>
      </c>
      <c r="G2657" s="756">
        <f>IF($C$2657=0,NA(),VLOOKUP($I$2651&amp;$B$2657,FLNFIX!$V$4:$EF$103,5,0))</f>
        <v>0</v>
      </c>
      <c r="H2657" s="757"/>
      <c r="I2657" s="757"/>
      <c r="J2657" s="758"/>
      <c r="K2657" s="677"/>
    </row>
    <row r="2658" ht="20.1" customHeight="1" spans="1:11">
      <c r="A2658" s="675"/>
      <c r="B2658" s="755">
        <f t="shared" si="48"/>
        <v>4</v>
      </c>
      <c r="C2658" s="755" t="str">
        <f>IFERROR(VLOOKUP(B2658,DATEWISE!$A$3:$BY$27,2,0),0)</f>
        <v>31.07.2026</v>
      </c>
      <c r="D2658" s="755">
        <f>IF($C$2658=0,NA(),VLOOKUP($I$2651&amp;$B$2658,FLNFIX!$AA$4:$EF$103,2,0))</f>
        <v>0</v>
      </c>
      <c r="E2658" s="755">
        <f>IF($C$2658=0,NA(),VLOOKUP($I$2651&amp;$B$2658,FLNFIX!$AA$4:$EF$103,4,0))</f>
        <v>0</v>
      </c>
      <c r="F2658" s="755">
        <f>IF($C$2658=0,NA(),VLOOKUP($I$2651&amp;$B$2658,FLNFIX!$AA$4:$EF$103,3,0))</f>
        <v>0</v>
      </c>
      <c r="G2658" s="756">
        <f>IF($C$2658=0,NA(),VLOOKUP($I$2651&amp;$B$2658,FLNFIX!$AA$4:$EF$103,5,0))</f>
        <v>0</v>
      </c>
      <c r="H2658" s="757"/>
      <c r="I2658" s="757"/>
      <c r="J2658" s="758"/>
      <c r="K2658" s="677"/>
    </row>
    <row r="2659" ht="20.1" customHeight="1" spans="1:11">
      <c r="A2659" s="675"/>
      <c r="B2659" s="755">
        <f t="shared" si="48"/>
        <v>5</v>
      </c>
      <c r="C2659" s="755" t="str">
        <f>IFERROR(VLOOKUP(B2659,DATEWISE!$A$3:$BY$27,2,0),0)</f>
        <v>17.08.2026</v>
      </c>
      <c r="D2659" s="755">
        <f>IF($C$2659=0,NA(),VLOOKUP($I$2651&amp;$B$2659,FLNFIX!$AF$4:$EF$103,2,0))</f>
        <v>0</v>
      </c>
      <c r="E2659" s="755">
        <f>IF($C$2659=0,NA(),VLOOKUP($I$2651&amp;$B$2659,FLNFIX!$AF$4:$EF$103,4,0))</f>
        <v>0</v>
      </c>
      <c r="F2659" s="755">
        <f>IF($C$2659=0,NA(),VLOOKUP($I$2651&amp;$B$2659,FLNFIX!$AF$4:$EF$103,3,0))</f>
        <v>0</v>
      </c>
      <c r="G2659" s="756">
        <f>IF($C$2659=0,NA(),VLOOKUP($I$2651&amp;$B$2659,FLNFIX!$AF$4:$EF$103,5,0))</f>
        <v>0</v>
      </c>
      <c r="H2659" s="757"/>
      <c r="I2659" s="757"/>
      <c r="J2659" s="758"/>
      <c r="K2659" s="677"/>
    </row>
    <row r="2660" ht="20.1" customHeight="1" spans="1:11">
      <c r="A2660" s="675"/>
      <c r="B2660" s="755">
        <f t="shared" si="48"/>
        <v>6</v>
      </c>
      <c r="C2660" s="755" t="str">
        <f>IFERROR(VLOOKUP(B2660,DATEWISE!$A$3:$BY$27,2,0),0)</f>
        <v>31.08.2026</v>
      </c>
      <c r="D2660" s="755">
        <f>IF($C$2660=0,NA(),VLOOKUP($I$2651&amp;$B$2660,FLNFIX!$AK$4:$EF$103,2,0))</f>
        <v>0</v>
      </c>
      <c r="E2660" s="755">
        <f>IF($C$2660=0,NA(),VLOOKUP($I$2651&amp;$B$2660,FLNFIX!$AK$4:$EF$103,4,0))</f>
        <v>0</v>
      </c>
      <c r="F2660" s="755">
        <f>IF($C$2660=0,NA(),VLOOKUP($I$2651&amp;$B$2660,FLNFIX!$AK$4:$EF$103,3,0))</f>
        <v>0</v>
      </c>
      <c r="G2660" s="756">
        <f>IF($C$2660=0,NA(),VLOOKUP($I$2651&amp;$B$2660,FLNFIX!$AK$4:$EF$103,5,0))</f>
        <v>0</v>
      </c>
      <c r="H2660" s="757"/>
      <c r="I2660" s="757"/>
      <c r="J2660" s="758"/>
      <c r="K2660" s="677"/>
    </row>
    <row r="2661" ht="20.1" customHeight="1" spans="1:11">
      <c r="A2661" s="675"/>
      <c r="B2661" s="755">
        <f t="shared" si="48"/>
        <v>7</v>
      </c>
      <c r="C2661" s="755">
        <f>IFERROR(VLOOKUP(B2661,DATEWISE!$A$3:$BY$27,2,0),0)</f>
        <v>0</v>
      </c>
      <c r="D2661" s="755" t="e">
        <f>IF($C$2661=0,NA(),VLOOKUP($I$2651&amp;$B$2661,FLNFIX!$AP$4:$EF$103,2,0))</f>
        <v>#N/A</v>
      </c>
      <c r="E2661" s="755" t="e">
        <f>IF($C$2661=0,NA(),VLOOKUP($I$2651&amp;$B$2661,FLNFIX!$AP$4:$EF$103,4,0))</f>
        <v>#N/A</v>
      </c>
      <c r="F2661" s="755" t="e">
        <f>IF($C$2661=0,NA(),VLOOKUP($I$2651&amp;$B$2661,FLNFIX!$AP$4:$EF$103,3,0))</f>
        <v>#N/A</v>
      </c>
      <c r="G2661" s="756" t="e">
        <f>IF($C$2661=0,NA(),VLOOKUP($I$2651&amp;$B$2661,FLNFIX!$AP$4:$EF$103,5,0))</f>
        <v>#N/A</v>
      </c>
      <c r="H2661" s="757"/>
      <c r="I2661" s="757"/>
      <c r="J2661" s="758"/>
      <c r="K2661" s="677"/>
    </row>
    <row r="2662" ht="20.1" customHeight="1" spans="1:11">
      <c r="A2662" s="675"/>
      <c r="B2662" s="755">
        <f t="shared" si="48"/>
        <v>8</v>
      </c>
      <c r="C2662" s="755">
        <f>IFERROR(VLOOKUP(B2662,DATEWISE!$A$3:$BY$27,2,0),0)</f>
        <v>0</v>
      </c>
      <c r="D2662" s="755" t="e">
        <f>IF($C$2662=0,NA(),VLOOKUP($I$2651&amp;$B$2662,FLNFIX!$AU$4:$EF$103,2,0))</f>
        <v>#N/A</v>
      </c>
      <c r="E2662" s="755" t="e">
        <f>IF($C$2662=0,NA(),VLOOKUP($I$2651&amp;$B$2662,FLNFIX!$AU$4:$EF$103,4,0))</f>
        <v>#N/A</v>
      </c>
      <c r="F2662" s="755" t="e">
        <f>IF($C$2662=0,NA(),VLOOKUP($I$2651&amp;$B$2662,FLNFIX!$AU$4:$EF$103,3,0))</f>
        <v>#N/A</v>
      </c>
      <c r="G2662" s="756" t="e">
        <f>IF($C$2662=0,NA(),VLOOKUP($I$2651&amp;$B$2662,FLNFIX!$AU$4:$EF$103,5,0))</f>
        <v>#N/A</v>
      </c>
      <c r="H2662" s="757"/>
      <c r="I2662" s="757"/>
      <c r="J2662" s="758"/>
      <c r="K2662" s="677"/>
    </row>
    <row r="2663" ht="20.1" customHeight="1" spans="1:11">
      <c r="A2663" s="675"/>
      <c r="B2663" s="755">
        <f t="shared" si="48"/>
        <v>9</v>
      </c>
      <c r="C2663" s="755">
        <f>IFERROR(VLOOKUP(B2663,DATEWISE!$A$3:$BY$27,2,0),0)</f>
        <v>0</v>
      </c>
      <c r="D2663" s="755" t="e">
        <f>IF($C$2663=0,NA(),VLOOKUP($I$2651&amp;$B$2663,FLNFIX!$AZ$4:$EF$103,2,0))</f>
        <v>#N/A</v>
      </c>
      <c r="E2663" s="755" t="e">
        <f>IF($C$2663=0,NA(),VLOOKUP($I$2651&amp;$B$2663,FLNFIX!$AZ$4:$EF$103,4,0))</f>
        <v>#N/A</v>
      </c>
      <c r="F2663" s="755" t="e">
        <f>IF($C$2663=0,NA(),VLOOKUP($I$2651&amp;$B$2663,FLNFIX!$AZ$4:$EF$103,3,0))</f>
        <v>#N/A</v>
      </c>
      <c r="G2663" s="756" t="e">
        <f>IF($C$2663=0,NA(),VLOOKUP($I$2651&amp;$B$2663,FLNFIX!$AZ$4:$EF$103,5,0))</f>
        <v>#N/A</v>
      </c>
      <c r="H2663" s="757"/>
      <c r="I2663" s="757"/>
      <c r="J2663" s="758"/>
      <c r="K2663" s="677"/>
    </row>
    <row r="2664" ht="20.1" customHeight="1" spans="1:11">
      <c r="A2664" s="675"/>
      <c r="B2664" s="755">
        <f t="shared" si="48"/>
        <v>10</v>
      </c>
      <c r="C2664" s="755">
        <f>IFERROR(VLOOKUP(B2664,DATEWISE!$A$3:$BY$27,2,0),0)</f>
        <v>0</v>
      </c>
      <c r="D2664" s="755" t="e">
        <f>IF($C$2664=0,NA(),VLOOKUP($I$2651&amp;$B$2664,FLNFIX!$BE$4:$EF$103,2,0))</f>
        <v>#N/A</v>
      </c>
      <c r="E2664" s="755" t="e">
        <f>IF($C$2664=0,NA(),VLOOKUP($I$2651&amp;$B$2664,FLNFIX!$BE$4:$EF$103,4,0))</f>
        <v>#N/A</v>
      </c>
      <c r="F2664" s="755" t="e">
        <f>IF($C$2664=0,NA(),VLOOKUP($I$2651&amp;$B$2664,FLNFIX!$BE$4:$EF$103,3,0))</f>
        <v>#N/A</v>
      </c>
      <c r="G2664" s="756" t="e">
        <f>IF($C$2664=0,NA(),VLOOKUP($I$2651&amp;$B$2664,FLNFIX!$BE$4:$EF$103,5,0))</f>
        <v>#N/A</v>
      </c>
      <c r="H2664" s="757"/>
      <c r="I2664" s="757"/>
      <c r="J2664" s="758"/>
      <c r="K2664" s="677"/>
    </row>
    <row r="2665" ht="20.1" customHeight="1" spans="1:11">
      <c r="A2665" s="675"/>
      <c r="B2665" s="755">
        <f t="shared" si="48"/>
        <v>11</v>
      </c>
      <c r="C2665" s="755">
        <f>IFERROR(VLOOKUP(B2665,DATEWISE!$A$3:$BY$27,2,0),0)</f>
        <v>0</v>
      </c>
      <c r="D2665" s="755" t="e">
        <f>IF($C$2665=0,NA(),VLOOKUP($I$2651&amp;$B$2665,FLNFIX!$BJ$4:$EF$103,2,0))</f>
        <v>#N/A</v>
      </c>
      <c r="E2665" s="755" t="e">
        <f>IF($C$2665=0,NA(),VLOOKUP($I$2651&amp;$B$2665,FLNFIX!$BJ$4:$EF$103,4,0))</f>
        <v>#N/A</v>
      </c>
      <c r="F2665" s="755" t="e">
        <f>IF($C$2665=0,NA(),VLOOKUP($I$2651&amp;$B$2665,FLNFIX!$BJ$4:$EF$103,3,0))</f>
        <v>#N/A</v>
      </c>
      <c r="G2665" s="756" t="e">
        <f>IF($C$2665=0,NA(),VLOOKUP($I$2651&amp;$B$2665,FLNFIX!$BJ$4:$EF$103,5,0))</f>
        <v>#N/A</v>
      </c>
      <c r="H2665" s="757"/>
      <c r="I2665" s="757"/>
      <c r="J2665" s="758"/>
      <c r="K2665" s="677"/>
    </row>
    <row r="2666" ht="20.1" customHeight="1" spans="1:11">
      <c r="A2666" s="675"/>
      <c r="B2666" s="755">
        <f t="shared" si="48"/>
        <v>12</v>
      </c>
      <c r="C2666" s="755">
        <f>IFERROR(VLOOKUP(B2666,DATEWISE!$A$3:$BY$27,2,0),0)</f>
        <v>0</v>
      </c>
      <c r="D2666" s="755" t="e">
        <f>IF($C$2666=0,NA(),VLOOKUP($I$2651&amp;$B$2666,FLNFIX!$BO$4:$EF$103,2,0))</f>
        <v>#N/A</v>
      </c>
      <c r="E2666" s="755" t="e">
        <f>IF($C$2666=0,NA(),VLOOKUP($I$2651&amp;$B$2666,FLNFIX!$BO$4:$EF$103,4,0))</f>
        <v>#N/A</v>
      </c>
      <c r="F2666" s="755" t="e">
        <f>IF($C$2666=0,NA(),VLOOKUP($I$2651&amp;$B$2666,FLNFIX!$BO$4:$EF$103,3,0))</f>
        <v>#N/A</v>
      </c>
      <c r="G2666" s="756" t="e">
        <f>IF($C$2666=0,NA(),VLOOKUP($I$2651&amp;$B$2666,FLNFIX!$BO$4:$EF$103,5,0))</f>
        <v>#N/A</v>
      </c>
      <c r="H2666" s="757"/>
      <c r="I2666" s="757"/>
      <c r="J2666" s="758"/>
      <c r="K2666" s="677"/>
    </row>
    <row r="2667" ht="20.1" customHeight="1" spans="1:11">
      <c r="A2667" s="675"/>
      <c r="B2667" s="755">
        <f t="shared" si="48"/>
        <v>13</v>
      </c>
      <c r="C2667" s="755">
        <f>IFERROR(VLOOKUP(B2667,DATEWISE!$A$3:$BY$27,2,0),0)</f>
        <v>0</v>
      </c>
      <c r="D2667" s="755" t="e">
        <f>IF($C$2667=0,NA(),VLOOKUP($I$2651&amp;$B$2667,FLNFIX!$BT$4:$EF$103,2,0))</f>
        <v>#N/A</v>
      </c>
      <c r="E2667" s="755" t="e">
        <f>IF($C$2667=0,NA(),VLOOKUP($I$2651&amp;$B$2667,FLNFIX!$BT$4:$EF$103,4,0))</f>
        <v>#N/A</v>
      </c>
      <c r="F2667" s="755" t="e">
        <f>IF($C$2667=0,NA(),VLOOKUP($I$2651&amp;$B$2667,FLNFIX!$BT$4:$EF$103,3,0))</f>
        <v>#N/A</v>
      </c>
      <c r="G2667" s="756" t="e">
        <f>IF($C$2667=0,NA(),VLOOKUP($I$2651&amp;$B$2667,FLNFIX!$BT$4:$EF$103,5,0))</f>
        <v>#N/A</v>
      </c>
      <c r="H2667" s="757"/>
      <c r="I2667" s="757"/>
      <c r="J2667" s="758"/>
      <c r="K2667" s="677"/>
    </row>
    <row r="2668" ht="20.1" customHeight="1" spans="1:11">
      <c r="A2668" s="675"/>
      <c r="B2668" s="755">
        <f t="shared" si="48"/>
        <v>14</v>
      </c>
      <c r="C2668" s="755">
        <f>IFERROR(VLOOKUP(B2668,DATEWISE!$A$3:$BY$27,2,0),0)</f>
        <v>0</v>
      </c>
      <c r="D2668" s="755" t="e">
        <f>IF($C$2668=0,NA(),VLOOKUP($I$2651&amp;$B$2668,FLNFIX!$BY$4:$EF$103,2,0))</f>
        <v>#N/A</v>
      </c>
      <c r="E2668" s="755" t="e">
        <f>IF($C$2668=0,NA(),VLOOKUP($I$2651&amp;$B$2668,FLNFIX!$BY$4:$EF$103,4,0))</f>
        <v>#N/A</v>
      </c>
      <c r="F2668" s="755" t="e">
        <f>IF($C$2668=0,NA(),VLOOKUP($I$2651&amp;$B$2668,FLNFIX!$BY$4:$EF$103,3,0))</f>
        <v>#N/A</v>
      </c>
      <c r="G2668" s="756" t="e">
        <f>IF($C$2668=0,NA(),VLOOKUP($I$2651&amp;$B$2668,FLNFIX!$BY$4:$EF$103,5,0))</f>
        <v>#N/A</v>
      </c>
      <c r="H2668" s="757"/>
      <c r="I2668" s="757"/>
      <c r="J2668" s="758"/>
      <c r="K2668" s="677"/>
    </row>
    <row r="2669" ht="20.1" customHeight="1" spans="1:11">
      <c r="A2669" s="675"/>
      <c r="B2669" s="755">
        <f t="shared" si="48"/>
        <v>15</v>
      </c>
      <c r="C2669" s="755">
        <f>IFERROR(VLOOKUP(B2669,DATEWISE!$A$3:$BY$27,2,0),0)</f>
        <v>0</v>
      </c>
      <c r="D2669" s="755" t="e">
        <f>IF($C$2669=0,NA(),VLOOKUP($I$2651&amp;$B$2669,FLNFIX!$CD$4:$EF$103,2,0))</f>
        <v>#N/A</v>
      </c>
      <c r="E2669" s="755" t="e">
        <f>IF($C$2669=0,NA(),VLOOKUP($I$2651&amp;$B$2669,FLNFIX!$CD$4:$EF$103,4,0))</f>
        <v>#N/A</v>
      </c>
      <c r="F2669" s="755" t="e">
        <f>IF($C$2669=0,NA(),VLOOKUP($I$2651&amp;$B$2669,FLNFIX!$CD$4:$EF$103,3,0))</f>
        <v>#N/A</v>
      </c>
      <c r="G2669" s="756" t="e">
        <f>IF($C$2669=0,NA(),VLOOKUP($I$2651&amp;$B$2669,FLNFIX!$CD$4:$EF$103,5,0))</f>
        <v>#N/A</v>
      </c>
      <c r="H2669" s="757"/>
      <c r="I2669" s="757"/>
      <c r="J2669" s="758"/>
      <c r="K2669" s="677"/>
    </row>
    <row r="2670" ht="20.1" customHeight="1" spans="1:11">
      <c r="A2670" s="675"/>
      <c r="B2670" s="755">
        <f t="shared" si="48"/>
        <v>16</v>
      </c>
      <c r="C2670" s="755">
        <f>IFERROR(VLOOKUP(B2670,DATEWISE!$A$3:$BY$27,2,0),0)</f>
        <v>0</v>
      </c>
      <c r="D2670" s="755" t="e">
        <f>IF($C$2670=0,NA(),VLOOKUP($I$2651&amp;$B$2670,FLNFIX!$CI$4:$EF$103,2,0))</f>
        <v>#N/A</v>
      </c>
      <c r="E2670" s="755" t="e">
        <f>IF($C$2670=0,NA(),VLOOKUP($I$2651&amp;$B$2670,FLNFIX!$CI$4:$EF$103,4,0))</f>
        <v>#N/A</v>
      </c>
      <c r="F2670" s="755" t="e">
        <f>IF($C$2670=0,NA(),VLOOKUP($I$2651&amp;$B$2670,FLNFIX!$CI$4:$EF$103,3,0))</f>
        <v>#N/A</v>
      </c>
      <c r="G2670" s="756" t="e">
        <f>IF($C$2670=0,NA(),VLOOKUP($I$2651&amp;$B$2670,FLNFIX!$CI$4:$EF$103,5,0))</f>
        <v>#N/A</v>
      </c>
      <c r="H2670" s="757"/>
      <c r="I2670" s="757"/>
      <c r="J2670" s="758"/>
      <c r="K2670" s="677"/>
    </row>
    <row r="2671" ht="20.1" customHeight="1" spans="1:11">
      <c r="A2671" s="675"/>
      <c r="B2671" s="755">
        <f t="shared" si="48"/>
        <v>17</v>
      </c>
      <c r="C2671" s="755">
        <f>IFERROR(VLOOKUP(B2671,DATEWISE!$A$3:$BY$27,2,0),0)</f>
        <v>0</v>
      </c>
      <c r="D2671" s="755" t="e">
        <f>IF($C$2671=0,NA(),VLOOKUP($I$2651&amp;$B$2671,FLNFIX!$CN$4:$EF$103,2,0))</f>
        <v>#N/A</v>
      </c>
      <c r="E2671" s="755" t="e">
        <f>IF($C$2671=0,NA(),VLOOKUP($I$2651&amp;$B$2671,FLNFIX!$CN$4:$EF$103,4,0))</f>
        <v>#N/A</v>
      </c>
      <c r="F2671" s="755" t="e">
        <f>IF($C$2671=0,NA(),VLOOKUP($I$2651&amp;$B$2671,FLNFIX!$CN$4:$EF$103,3,0))</f>
        <v>#N/A</v>
      </c>
      <c r="G2671" s="756" t="e">
        <f>IF($C$2671=0,NA(),VLOOKUP($I$2651&amp;$B$2671,FLNFIX!$CN$4:$EF$103,5,0))</f>
        <v>#N/A</v>
      </c>
      <c r="H2671" s="757"/>
      <c r="I2671" s="757"/>
      <c r="J2671" s="758"/>
      <c r="K2671" s="677"/>
    </row>
    <row r="2672" ht="20.1" customHeight="1" spans="1:11">
      <c r="A2672" s="675"/>
      <c r="B2672" s="755">
        <f t="shared" si="48"/>
        <v>18</v>
      </c>
      <c r="C2672" s="755">
        <f>IFERROR(VLOOKUP(B2672,DATEWISE!$A$3:$BY$27,2,0),0)</f>
        <v>0</v>
      </c>
      <c r="D2672" s="755" t="e">
        <f>IF($C$2672=0,NA(),VLOOKUP($I$2651&amp;$B$2672,FLNFIX!$CS$4:$EF$103,2,0))</f>
        <v>#N/A</v>
      </c>
      <c r="E2672" s="755" t="e">
        <f>IF($C$2672=0,NA(),VLOOKUP($I$2651&amp;$B$2672,FLNFIX!$CS$4:$EF$103,4,0))</f>
        <v>#N/A</v>
      </c>
      <c r="F2672" s="755" t="e">
        <f>IF($C$2672=0,NA(),VLOOKUP($I$2651&amp;$B$2672,FLNFIX!$CS$4:$EF$103,3,0))</f>
        <v>#N/A</v>
      </c>
      <c r="G2672" s="756" t="e">
        <f>IF($C$2672=0,NA(),VLOOKUP($I$2651&amp;$B$2672,FLNFIX!$CS$4:$EF$103,5,0))</f>
        <v>#N/A</v>
      </c>
      <c r="H2672" s="757"/>
      <c r="I2672" s="757"/>
      <c r="J2672" s="758"/>
      <c r="K2672" s="677"/>
    </row>
    <row r="2673" ht="20.1" customHeight="1" spans="1:11">
      <c r="A2673" s="675"/>
      <c r="B2673" s="755">
        <f t="shared" si="48"/>
        <v>19</v>
      </c>
      <c r="C2673" s="755">
        <f>IFERROR(VLOOKUP(B2673,DATEWISE!$A$3:$BY$27,2,0),0)</f>
        <v>0</v>
      </c>
      <c r="D2673" s="755" t="e">
        <f>IF($C$2673=0,NA(),VLOOKUP($I$2651&amp;$B$2673,FLNFIX!$CX$4:$EF$103,2,0))</f>
        <v>#N/A</v>
      </c>
      <c r="E2673" s="755" t="e">
        <f>IF($C$2673=0,NA(),VLOOKUP($I$2651&amp;$B$2673,FLNFIX!$CX$4:$EF$103,4,0))</f>
        <v>#N/A</v>
      </c>
      <c r="F2673" s="755" t="e">
        <f>IF($C$2673=0,NA(),VLOOKUP($I$2651&amp;$B$2673,FLNFIX!$CX$4:$EF$103,3,0))</f>
        <v>#N/A</v>
      </c>
      <c r="G2673" s="756" t="e">
        <f>IF($C$2673=0,NA(),VLOOKUP($I$2651&amp;$B$2673,FLNFIX!$CX$4:$EF$103,5,0))</f>
        <v>#N/A</v>
      </c>
      <c r="H2673" s="757"/>
      <c r="I2673" s="757"/>
      <c r="J2673" s="758"/>
      <c r="K2673" s="677"/>
    </row>
    <row r="2674" ht="20.1" customHeight="1" spans="1:11">
      <c r="A2674" s="675"/>
      <c r="B2674" s="755">
        <f t="shared" si="48"/>
        <v>20</v>
      </c>
      <c r="C2674" s="755">
        <f>IFERROR(VLOOKUP(B2674,DATEWISE!$A$3:$BY$27,2,0),0)</f>
        <v>0</v>
      </c>
      <c r="D2674" s="755" t="e">
        <f>IF($C$2674=0,NA(),VLOOKUP($I$2651&amp;$B$2674,FLNFIX!$DC$4:$EF$103,2,0))</f>
        <v>#N/A</v>
      </c>
      <c r="E2674" s="755" t="e">
        <f>IF($C$2674=0,NA(),VLOOKUP($I$2651&amp;$B$2674,FLNFIX!$DC$4:$EF$103,4,0))</f>
        <v>#N/A</v>
      </c>
      <c r="F2674" s="755" t="e">
        <f>IF($C$2674=0,NA(),VLOOKUP($I$2651&amp;$B$2674,FLNFIX!$DC$4:$EF$103,3,0))</f>
        <v>#N/A</v>
      </c>
      <c r="G2674" s="756" t="e">
        <f>IF($C$2674=0,NA(),VLOOKUP($I$2651&amp;$B$2674,FLNFIX!$DC$4:$EF$103,5,0))</f>
        <v>#N/A</v>
      </c>
      <c r="H2674" s="757"/>
      <c r="I2674" s="757"/>
      <c r="J2674" s="758"/>
      <c r="K2674" s="677"/>
    </row>
    <row r="2675" ht="20.1" customHeight="1" spans="1:11">
      <c r="A2675" s="675"/>
      <c r="B2675" s="755">
        <f t="shared" si="48"/>
        <v>21</v>
      </c>
      <c r="C2675" s="755">
        <f>IFERROR(VLOOKUP(B2675,DATEWISE!$A$3:$BY$27,2,0),0)</f>
        <v>0</v>
      </c>
      <c r="D2675" s="755" t="e">
        <f>IF($C$2675=0,NA(),VLOOKUP($I$2651&amp;$B$2675,FLNFIX!$DH$4:$EF$103,2,0))</f>
        <v>#N/A</v>
      </c>
      <c r="E2675" s="755" t="e">
        <f>IF($C$2675=0,NA(),VLOOKUP($I$2651&amp;$B$2675,FLNFIX!$DH$4:$EF$103,4,0))</f>
        <v>#N/A</v>
      </c>
      <c r="F2675" s="755" t="e">
        <f>IF($C$2675=0,NA(),VLOOKUP($I$2651&amp;$B$2675,FLNFIX!$DH$4:$EF$103,3,0))</f>
        <v>#N/A</v>
      </c>
      <c r="G2675" s="756" t="e">
        <f>IF($C$2675=0,NA(),VLOOKUP($I$2651&amp;$B$2675,FLNFIX!$DH$4:$EF$103,5,0))</f>
        <v>#N/A</v>
      </c>
      <c r="H2675" s="757"/>
      <c r="I2675" s="757"/>
      <c r="J2675" s="758"/>
      <c r="K2675" s="677"/>
    </row>
    <row r="2676" ht="5.1" customHeight="1" spans="1:11">
      <c r="A2676" s="675"/>
      <c r="B2676" s="759"/>
      <c r="C2676" s="759"/>
      <c r="D2676" s="760"/>
      <c r="E2676" s="760"/>
      <c r="F2676" s="760"/>
      <c r="G2676" s="761"/>
      <c r="H2676" s="761"/>
      <c r="I2676" s="761"/>
      <c r="J2676" s="761"/>
      <c r="K2676" s="677"/>
    </row>
    <row r="2677" s="667" customFormat="1" ht="24.95" customHeight="1" spans="1:11">
      <c r="A2677" s="711"/>
      <c r="B2677" s="762" t="s">
        <v>431</v>
      </c>
      <c r="C2677" s="763"/>
      <c r="D2677" s="763"/>
      <c r="E2677" s="763"/>
      <c r="F2677" s="763"/>
      <c r="G2677" s="763"/>
      <c r="H2677" s="763"/>
      <c r="I2677" s="763"/>
      <c r="J2677" s="764"/>
      <c r="K2677" s="713"/>
    </row>
    <row r="2678" spans="1:11">
      <c r="A2678" s="675"/>
      <c r="B2678" s="765"/>
      <c r="C2678" s="686"/>
      <c r="D2678" s="686"/>
      <c r="E2678" s="686"/>
      <c r="F2678" s="686"/>
      <c r="G2678" s="686"/>
      <c r="H2678" s="686"/>
      <c r="I2678" s="686"/>
      <c r="J2678" s="766"/>
      <c r="K2678" s="677"/>
    </row>
    <row r="2679" spans="1:11">
      <c r="A2679" s="675"/>
      <c r="B2679" s="765"/>
      <c r="C2679" s="686"/>
      <c r="D2679" s="686"/>
      <c r="E2679" s="686"/>
      <c r="F2679" s="686"/>
      <c r="G2679" s="686"/>
      <c r="H2679" s="686"/>
      <c r="I2679" s="686"/>
      <c r="J2679" s="766"/>
      <c r="K2679" s="677"/>
    </row>
    <row r="2680" spans="1:11">
      <c r="A2680" s="675"/>
      <c r="B2680" s="765"/>
      <c r="C2680" s="686"/>
      <c r="D2680" s="686"/>
      <c r="E2680" s="686"/>
      <c r="F2680" s="686"/>
      <c r="G2680" s="686"/>
      <c r="H2680" s="686"/>
      <c r="I2680" s="686"/>
      <c r="J2680" s="766"/>
      <c r="K2680" s="677"/>
    </row>
    <row r="2681" spans="1:11">
      <c r="A2681" s="675"/>
      <c r="B2681" s="765"/>
      <c r="C2681" s="686"/>
      <c r="D2681" s="686"/>
      <c r="E2681" s="686"/>
      <c r="F2681" s="686"/>
      <c r="G2681" s="686"/>
      <c r="H2681" s="686"/>
      <c r="I2681" s="686"/>
      <c r="J2681" s="766"/>
      <c r="K2681" s="677"/>
    </row>
    <row r="2682" spans="1:11">
      <c r="A2682" s="675"/>
      <c r="B2682" s="765"/>
      <c r="C2682" s="686"/>
      <c r="D2682" s="686"/>
      <c r="E2682" s="686"/>
      <c r="F2682" s="686"/>
      <c r="G2682" s="686"/>
      <c r="H2682" s="686"/>
      <c r="I2682" s="686"/>
      <c r="J2682" s="766"/>
      <c r="K2682" s="677"/>
    </row>
    <row r="2683" spans="1:11">
      <c r="A2683" s="675"/>
      <c r="B2683" s="765"/>
      <c r="C2683" s="686"/>
      <c r="D2683" s="686"/>
      <c r="E2683" s="686"/>
      <c r="F2683" s="686"/>
      <c r="G2683" s="686"/>
      <c r="H2683" s="686"/>
      <c r="I2683" s="686"/>
      <c r="J2683" s="766"/>
      <c r="K2683" s="677"/>
    </row>
    <row r="2684" spans="1:11">
      <c r="A2684" s="675"/>
      <c r="B2684" s="765"/>
      <c r="C2684" s="686"/>
      <c r="D2684" s="686"/>
      <c r="E2684" s="686"/>
      <c r="F2684" s="686"/>
      <c r="G2684" s="686"/>
      <c r="H2684" s="686"/>
      <c r="I2684" s="686"/>
      <c r="J2684" s="766"/>
      <c r="K2684" s="677"/>
    </row>
    <row r="2685" spans="1:11">
      <c r="A2685" s="675"/>
      <c r="B2685" s="765"/>
      <c r="C2685" s="686"/>
      <c r="D2685" s="686"/>
      <c r="E2685" s="686"/>
      <c r="F2685" s="686"/>
      <c r="G2685" s="686"/>
      <c r="H2685" s="686"/>
      <c r="I2685" s="686"/>
      <c r="J2685" s="766"/>
      <c r="K2685" s="677"/>
    </row>
    <row r="2686" spans="1:11">
      <c r="A2686" s="675"/>
      <c r="B2686" s="765"/>
      <c r="C2686" s="686"/>
      <c r="D2686" s="686"/>
      <c r="E2686" s="686"/>
      <c r="F2686" s="686"/>
      <c r="G2686" s="686"/>
      <c r="H2686" s="686"/>
      <c r="I2686" s="686"/>
      <c r="J2686" s="766"/>
      <c r="K2686" s="677"/>
    </row>
    <row r="2687" spans="1:11">
      <c r="A2687" s="675"/>
      <c r="B2687" s="767"/>
      <c r="C2687" s="768"/>
      <c r="D2687" s="768"/>
      <c r="E2687" s="768"/>
      <c r="F2687" s="768"/>
      <c r="G2687" s="768"/>
      <c r="H2687" s="768"/>
      <c r="I2687" s="768"/>
      <c r="J2687" s="769"/>
      <c r="K2687" s="677"/>
    </row>
    <row r="2688" ht="5.1" customHeight="1" spans="1:11">
      <c r="A2688" s="675"/>
      <c r="B2688" s="686"/>
      <c r="C2688" s="686"/>
      <c r="D2688" s="686"/>
      <c r="E2688" s="686"/>
      <c r="F2688" s="686"/>
      <c r="G2688" s="686"/>
      <c r="H2688" s="686"/>
      <c r="I2688" s="686"/>
      <c r="J2688" s="686"/>
      <c r="K2688" s="677"/>
    </row>
    <row r="2689" spans="1:11">
      <c r="A2689" s="675"/>
      <c r="B2689" s="770" t="s">
        <v>432</v>
      </c>
      <c r="C2689" s="770"/>
      <c r="D2689" s="770"/>
      <c r="E2689" s="770"/>
      <c r="F2689" s="770"/>
      <c r="G2689" s="770"/>
      <c r="H2689" s="770"/>
      <c r="I2689" s="770"/>
      <c r="J2689" s="770"/>
      <c r="K2689" s="677"/>
    </row>
    <row r="2690" spans="1:11">
      <c r="A2690" s="675"/>
      <c r="B2690" s="771"/>
      <c r="C2690" s="771"/>
      <c r="D2690" s="771"/>
      <c r="E2690" s="771"/>
      <c r="F2690" s="771"/>
      <c r="G2690" s="771"/>
      <c r="H2690" s="771"/>
      <c r="I2690" s="771"/>
      <c r="J2690" s="771"/>
      <c r="K2690" s="677"/>
    </row>
    <row r="2691" spans="1:11">
      <c r="A2691" s="675"/>
      <c r="B2691" s="771"/>
      <c r="C2691" s="771"/>
      <c r="D2691" s="771"/>
      <c r="E2691" s="771"/>
      <c r="F2691" s="771"/>
      <c r="G2691" s="771"/>
      <c r="H2691" s="771"/>
      <c r="I2691" s="771"/>
      <c r="J2691" s="771"/>
      <c r="K2691" s="677"/>
    </row>
    <row r="2692" spans="1:11">
      <c r="A2692" s="675"/>
      <c r="B2692" s="771"/>
      <c r="C2692" s="771"/>
      <c r="D2692" s="771"/>
      <c r="E2692" s="771"/>
      <c r="F2692" s="771"/>
      <c r="G2692" s="771"/>
      <c r="H2692" s="771"/>
      <c r="I2692" s="771"/>
      <c r="J2692" s="771"/>
      <c r="K2692" s="677"/>
    </row>
    <row r="2693" spans="1:11">
      <c r="A2693" s="675"/>
      <c r="B2693" s="686"/>
      <c r="C2693" s="686"/>
      <c r="D2693" s="686"/>
      <c r="E2693" s="686"/>
      <c r="F2693" s="686"/>
      <c r="G2693" s="686"/>
      <c r="H2693" s="686"/>
      <c r="I2693" s="686"/>
      <c r="J2693" s="686"/>
      <c r="K2693" s="677"/>
    </row>
    <row r="2694" spans="1:11">
      <c r="A2694" s="675"/>
      <c r="B2694" s="686"/>
      <c r="C2694" s="729" t="s">
        <v>433</v>
      </c>
      <c r="D2694" s="729"/>
      <c r="E2694" s="686"/>
      <c r="F2694" s="686"/>
      <c r="G2694" s="729" t="s">
        <v>434</v>
      </c>
      <c r="H2694" s="729"/>
      <c r="I2694" s="729"/>
      <c r="J2694" s="729"/>
      <c r="K2694" s="677"/>
    </row>
    <row r="2695" ht="16.35" spans="1:11">
      <c r="A2695" s="725"/>
      <c r="B2695" s="726"/>
      <c r="C2695" s="732" t="str">
        <f>"("&amp;PROPER(ENTRY!$D$19)&amp;")"</f>
        <v>(Indrajeet)</v>
      </c>
      <c r="D2695" s="732"/>
      <c r="E2695" s="726"/>
      <c r="F2695" s="726"/>
      <c r="G2695" s="732" t="str">
        <f>"("&amp;PROPER(ENTRY!$D$12)&amp;")"</f>
        <v>(Shambhu Dayal Meena)</v>
      </c>
      <c r="H2695" s="732"/>
      <c r="I2695" s="732"/>
      <c r="J2695" s="732"/>
      <c r="K2695" s="728"/>
    </row>
    <row r="2696" ht="24.6" spans="1:11">
      <c r="B2696" s="734"/>
      <c r="C2696" s="734"/>
      <c r="D2696" s="669" t="str">
        <f>ENTRY!$D$3</f>
        <v>MUNICIPAL CORPORATION OF DELHI</v>
      </c>
      <c r="E2696" s="669"/>
      <c r="F2696" s="669"/>
      <c r="G2696" s="669"/>
      <c r="H2696" s="734"/>
      <c r="I2696" s="669"/>
      <c r="J2696" s="669"/>
    </row>
    <row r="2697" ht="20.4" spans="1:11">
      <c r="B2697" s="735"/>
      <c r="C2697" s="735"/>
      <c r="D2697" s="670" t="str">
        <f>ENTRY!$D$4</f>
        <v>EDUCATION DEPARTMENT</v>
      </c>
      <c r="E2697" s="670"/>
      <c r="F2697" s="670"/>
      <c r="G2697" s="670"/>
      <c r="H2697" s="735"/>
      <c r="I2697" s="669"/>
      <c r="J2697" s="669"/>
    </row>
    <row r="2698" ht="22.8" spans="1:11">
      <c r="B2698" s="736"/>
      <c r="C2698" s="736"/>
      <c r="D2698" s="664" t="s">
        <v>417</v>
      </c>
      <c r="E2698" s="664"/>
      <c r="F2698" s="664"/>
      <c r="G2698" s="664"/>
      <c r="H2698" s="736"/>
      <c r="I2698" s="669"/>
      <c r="J2698" s="669"/>
    </row>
    <row r="2699" ht="22.8" spans="1:11">
      <c r="B2699" s="736"/>
      <c r="C2699" s="736"/>
      <c r="D2699" s="664" t="s">
        <v>418</v>
      </c>
      <c r="E2699" s="664"/>
      <c r="F2699" s="664"/>
      <c r="G2699" s="664"/>
      <c r="H2699" s="736"/>
      <c r="I2699" s="669"/>
      <c r="J2699" s="669"/>
    </row>
    <row r="2700" ht="24.95" customHeight="1" spans="1:11">
      <c r="B2700" s="735"/>
      <c r="C2700" s="735"/>
      <c r="D2700" s="737" t="str">
        <f>"SESSION : "&amp;ENTRY!$D$11</f>
        <v>SESSION : 2026-27</v>
      </c>
      <c r="E2700" s="737"/>
      <c r="F2700" s="737"/>
      <c r="G2700" s="737"/>
      <c r="H2700" s="735"/>
      <c r="I2700" s="738"/>
      <c r="J2700" s="738"/>
    </row>
    <row r="2701" ht="3.75" customHeight="1" spans="1:11">
      <c r="A2701" s="672"/>
      <c r="B2701" s="739"/>
      <c r="C2701" s="739"/>
      <c r="D2701" s="739"/>
      <c r="E2701" s="739"/>
      <c r="F2701" s="739"/>
      <c r="G2701" s="739"/>
      <c r="H2701" s="739"/>
      <c r="I2701" s="739"/>
      <c r="J2701" s="739"/>
      <c r="K2701" s="674"/>
    </row>
    <row r="2702" ht="21.95" customHeight="1" spans="1:11">
      <c r="A2702" s="675"/>
      <c r="B2702" s="676" t="s">
        <v>419</v>
      </c>
      <c r="C2702" s="676"/>
      <c r="D2702" s="676" t="str">
        <f>ENTRY!$D$6</f>
        <v>MCP NITHARI NO 1 BOYS</v>
      </c>
      <c r="E2702" s="676"/>
      <c r="F2702" s="676"/>
      <c r="G2702" s="676"/>
      <c r="H2702" s="676"/>
      <c r="I2702" s="676"/>
      <c r="J2702" s="676"/>
      <c r="K2702" s="677"/>
    </row>
    <row r="2703" ht="21.95" customHeight="1" spans="1:11">
      <c r="A2703" s="675"/>
      <c r="B2703" s="676" t="s">
        <v>420</v>
      </c>
      <c r="C2703" s="676"/>
      <c r="D2703" s="740">
        <f>IFERROR(VLOOKUP($I$2706,STUDENT!$A$2:$BP$101,5,0),"")</f>
        <v>0</v>
      </c>
      <c r="E2703" s="740"/>
      <c r="F2703" s="740"/>
      <c r="G2703" s="740"/>
      <c r="H2703" s="740"/>
      <c r="I2703" s="740"/>
      <c r="J2703" s="740"/>
      <c r="K2703" s="677"/>
    </row>
    <row r="2704" ht="21.95" customHeight="1" spans="1:11">
      <c r="A2704" s="675"/>
      <c r="B2704" s="676" t="s">
        <v>421</v>
      </c>
      <c r="C2704" s="676"/>
      <c r="D2704" s="740">
        <f>IFERROR(VLOOKUP($I$2706,STUDENT!$A$2:$BP$101,8,0),"")</f>
        <v>0</v>
      </c>
      <c r="E2704" s="740"/>
      <c r="F2704" s="740"/>
      <c r="G2704" s="740"/>
      <c r="H2704" s="740"/>
      <c r="I2704" s="740"/>
      <c r="J2704" s="740"/>
      <c r="K2704" s="677"/>
    </row>
    <row r="2705" ht="21.95" customHeight="1" spans="1:11">
      <c r="A2705" s="675"/>
      <c r="B2705" s="676" t="s">
        <v>422</v>
      </c>
      <c r="C2705" s="676"/>
      <c r="D2705" s="740">
        <f>IFERROR(VLOOKUP($I$2706,STUDENT!$A$2:$BP$101,6,0),"")</f>
        <v>0</v>
      </c>
      <c r="E2705" s="740"/>
      <c r="F2705" s="740"/>
      <c r="G2705" s="740"/>
      <c r="H2705" s="740"/>
      <c r="I2705" s="740"/>
      <c r="J2705" s="740"/>
      <c r="K2705" s="677"/>
    </row>
    <row r="2706" ht="21.95" customHeight="1" spans="1:11">
      <c r="A2706" s="675"/>
      <c r="B2706" s="676" t="s">
        <v>423</v>
      </c>
      <c r="C2706" s="676"/>
      <c r="D2706" s="741" t="str">
        <f>IFERROR(VLOOKUP($I$2706,STUDENT!$A$2:$BP$101,59,0),"")</f>
        <v/>
      </c>
      <c r="E2706" s="742" t="s">
        <v>424</v>
      </c>
      <c r="F2706" s="704" t="str">
        <f>IFERROR(VLOOKUP($I$2706,STUDENT!$A$2:$BP$101,2,0),"")</f>
        <v>III-A</v>
      </c>
      <c r="G2706" s="742" t="s">
        <v>425</v>
      </c>
      <c r="H2706" s="743"/>
      <c r="I2706" s="733">
        <f>I2651+1</f>
        <v>50</v>
      </c>
      <c r="J2706" s="683"/>
      <c r="K2706" s="677"/>
    </row>
    <row r="2707" ht="5.1" customHeight="1" spans="1:11">
      <c r="A2707" s="675"/>
      <c r="B2707" s="745"/>
      <c r="C2707" s="745"/>
      <c r="D2707" s="746"/>
      <c r="E2707" s="747"/>
      <c r="F2707" s="748"/>
      <c r="G2707" s="747"/>
      <c r="H2707" s="686"/>
      <c r="I2707" s="686"/>
      <c r="J2707" s="686"/>
      <c r="K2707" s="677"/>
    </row>
    <row r="2708" s="664" customFormat="1" ht="32.1" customHeight="1" spans="1:11">
      <c r="A2708" s="688"/>
      <c r="B2708" s="749" t="s">
        <v>426</v>
      </c>
      <c r="C2708" s="750"/>
      <c r="D2708" s="750"/>
      <c r="E2708" s="750"/>
      <c r="F2708" s="750"/>
      <c r="G2708" s="750"/>
      <c r="H2708" s="750"/>
      <c r="I2708" s="750"/>
      <c r="J2708" s="751"/>
      <c r="K2708" s="690"/>
    </row>
    <row r="2709" ht="51.6" spans="1:11">
      <c r="A2709" s="675"/>
      <c r="B2709" s="752">
        <v>21</v>
      </c>
      <c r="C2709" s="753" t="s">
        <v>427</v>
      </c>
      <c r="D2709" s="754" t="s">
        <v>428</v>
      </c>
      <c r="E2709" s="754" t="s">
        <v>429</v>
      </c>
      <c r="F2709" s="754" t="s">
        <v>430</v>
      </c>
      <c r="G2709" s="753" t="s">
        <v>390</v>
      </c>
      <c r="H2709" s="714"/>
      <c r="I2709" s="714"/>
      <c r="J2709" s="714"/>
      <c r="K2709" s="677"/>
    </row>
    <row r="2710" ht="20.1" customHeight="1" spans="1:11">
      <c r="A2710" s="675"/>
      <c r="B2710" s="755">
        <v>1</v>
      </c>
      <c r="C2710" s="755" t="str">
        <f>IFERROR(VLOOKUP(B2710,DATEWISE!$A$3:$BY$27,2,0),0)</f>
        <v>30.04.2026</v>
      </c>
      <c r="D2710" s="755">
        <f>IF($C$2710=0,NA(),VLOOKUP($I$2706&amp;$B$2710,FLNFIX!$L$4:$EF$103,2,0))</f>
        <v>0</v>
      </c>
      <c r="E2710" s="755">
        <f>IF($C$2710=0,NA(),VLOOKUP($I$2706&amp;$B$2710,FLNFIX!$L$4:$EF$103,4,0))</f>
        <v>0</v>
      </c>
      <c r="F2710" s="755">
        <f>IF($C$2710=0,NA(),VLOOKUP($I$2706&amp;$B$2710,FLNFIX!$L$4:$EF$103,3,0))</f>
        <v>0</v>
      </c>
      <c r="G2710" s="756">
        <f>IF($C$2710=0,NA(),VLOOKUP($I$2706&amp;$B$2710,FLNFIX!$L$4:$EF$103,5,0))</f>
        <v>0</v>
      </c>
      <c r="H2710" s="757"/>
      <c r="I2710" s="757"/>
      <c r="J2710" s="758"/>
      <c r="K2710" s="677"/>
    </row>
    <row r="2711" ht="20.1" customHeight="1" spans="1:11">
      <c r="A2711" s="675"/>
      <c r="B2711" s="755">
        <f t="shared" ref="B2711:B2730" si="49">IF(B2710=0,0,IF(B2710&lt;$B$2709,B2710+1,""))</f>
        <v>2</v>
      </c>
      <c r="C2711" s="755" t="str">
        <f>IFERROR(VLOOKUP(B2711,DATEWISE!$A$3:$BY$27,2,0),0)</f>
        <v>08.05.2026</v>
      </c>
      <c r="D2711" s="755">
        <f>IF($C$2711=0,NA(),VLOOKUP($I$2706&amp;$B$2711,FLNFIX!$Q$4:$EF$103,2,0))</f>
        <v>0</v>
      </c>
      <c r="E2711" s="755">
        <f>IF($C$2711=0,NA(),VLOOKUP($I$2706&amp;$B$2711,FLNFIX!$Q$4:$EF$103,4,0))</f>
        <v>0</v>
      </c>
      <c r="F2711" s="755">
        <f>IF($C$2711=0,NA(),VLOOKUP($I$2706&amp;$B$2711,FLNFIX!$Q$4:$EF$103,3,0))</f>
        <v>0</v>
      </c>
      <c r="G2711" s="756">
        <f>IF($C$2711=0,NA(),VLOOKUP($I$2706&amp;$B$2711,FLNFIX!$Q$4:$EF$103,5,0))</f>
        <v>0</v>
      </c>
      <c r="H2711" s="757"/>
      <c r="I2711" s="757"/>
      <c r="J2711" s="758"/>
      <c r="K2711" s="677"/>
    </row>
    <row r="2712" ht="20.1" customHeight="1" spans="1:11">
      <c r="A2712" s="675"/>
      <c r="B2712" s="755">
        <f t="shared" si="49"/>
        <v>3</v>
      </c>
      <c r="C2712" s="755" t="str">
        <f>IFERROR(VLOOKUP(B2712,DATEWISE!$A$3:$BY$27,2,0),0)</f>
        <v>15.07.2026</v>
      </c>
      <c r="D2712" s="755">
        <f>IF($C$2712=0,NA(),VLOOKUP($I$2706&amp;$B$2712,FLNFIX!$V$4:$EF$103,2,0))</f>
        <v>0</v>
      </c>
      <c r="E2712" s="755">
        <f>IF($C$2712=0,NA(),VLOOKUP($I$2706&amp;$B$2712,FLNFIX!$V$4:$EF$103,4,0))</f>
        <v>0</v>
      </c>
      <c r="F2712" s="755">
        <f>IF($C$2712=0,NA(),VLOOKUP($I$2706&amp;$B$2712,FLNFIX!$V$4:$EF$103,3,0))</f>
        <v>0</v>
      </c>
      <c r="G2712" s="756">
        <f>IF($C$2712=0,NA(),VLOOKUP($I$2706&amp;$B$2712,FLNFIX!$V$4:$EF$103,5,0))</f>
        <v>0</v>
      </c>
      <c r="H2712" s="757"/>
      <c r="I2712" s="757"/>
      <c r="J2712" s="758"/>
      <c r="K2712" s="677"/>
    </row>
    <row r="2713" ht="20.1" customHeight="1" spans="1:11">
      <c r="A2713" s="675"/>
      <c r="B2713" s="755">
        <f t="shared" si="49"/>
        <v>4</v>
      </c>
      <c r="C2713" s="755" t="str">
        <f>IFERROR(VLOOKUP(B2713,DATEWISE!$A$3:$BY$27,2,0),0)</f>
        <v>31.07.2026</v>
      </c>
      <c r="D2713" s="755">
        <f>IF($C$2713=0,NA(),VLOOKUP($I$2706&amp;$B$2713,FLNFIX!$AA$4:$EF$103,2,0))</f>
        <v>0</v>
      </c>
      <c r="E2713" s="755">
        <f>IF($C$2713=0,NA(),VLOOKUP($I$2706&amp;$B$2713,FLNFIX!$AA$4:$EF$103,4,0))</f>
        <v>0</v>
      </c>
      <c r="F2713" s="755">
        <f>IF($C$2713=0,NA(),VLOOKUP($I$2706&amp;$B$2713,FLNFIX!$AA$4:$EF$103,3,0))</f>
        <v>0</v>
      </c>
      <c r="G2713" s="756">
        <f>IF($C$2713=0,NA(),VLOOKUP($I$2706&amp;$B$2713,FLNFIX!$AA$4:$EF$103,5,0))</f>
        <v>0</v>
      </c>
      <c r="H2713" s="757"/>
      <c r="I2713" s="757"/>
      <c r="J2713" s="758"/>
      <c r="K2713" s="677"/>
    </row>
    <row r="2714" ht="20.1" customHeight="1" spans="1:11">
      <c r="A2714" s="675"/>
      <c r="B2714" s="755">
        <f t="shared" si="49"/>
        <v>5</v>
      </c>
      <c r="C2714" s="755" t="str">
        <f>IFERROR(VLOOKUP(B2714,DATEWISE!$A$3:$BY$27,2,0),0)</f>
        <v>17.08.2026</v>
      </c>
      <c r="D2714" s="755">
        <f>IF($C$2714=0,NA(),VLOOKUP($I$2706&amp;$B$2714,FLNFIX!$AF$4:$EF$103,2,0))</f>
        <v>0</v>
      </c>
      <c r="E2714" s="755">
        <f>IF($C$2714=0,NA(),VLOOKUP($I$2706&amp;$B$2714,FLNFIX!$AF$4:$EF$103,4,0))</f>
        <v>0</v>
      </c>
      <c r="F2714" s="755">
        <f>IF($C$2714=0,NA(),VLOOKUP($I$2706&amp;$B$2714,FLNFIX!$AF$4:$EF$103,3,0))</f>
        <v>0</v>
      </c>
      <c r="G2714" s="756">
        <f>IF($C$2714=0,NA(),VLOOKUP($I$2706&amp;$B$2714,FLNFIX!$AF$4:$EF$103,5,0))</f>
        <v>0</v>
      </c>
      <c r="H2714" s="757"/>
      <c r="I2714" s="757"/>
      <c r="J2714" s="758"/>
      <c r="K2714" s="677"/>
    </row>
    <row r="2715" ht="20.1" customHeight="1" spans="1:11">
      <c r="A2715" s="675"/>
      <c r="B2715" s="755">
        <f t="shared" si="49"/>
        <v>6</v>
      </c>
      <c r="C2715" s="755" t="str">
        <f>IFERROR(VLOOKUP(B2715,DATEWISE!$A$3:$BY$27,2,0),0)</f>
        <v>31.08.2026</v>
      </c>
      <c r="D2715" s="755">
        <f>IF($C$2715=0,NA(),VLOOKUP($I$2706&amp;$B$2715,FLNFIX!$AK$4:$EF$103,2,0))</f>
        <v>0</v>
      </c>
      <c r="E2715" s="755">
        <f>IF($C$2715=0,NA(),VLOOKUP($I$2706&amp;$B$2715,FLNFIX!$AK$4:$EF$103,4,0))</f>
        <v>0</v>
      </c>
      <c r="F2715" s="755">
        <f>IF($C$2715=0,NA(),VLOOKUP($I$2706&amp;$B$2715,FLNFIX!$AK$4:$EF$103,3,0))</f>
        <v>0</v>
      </c>
      <c r="G2715" s="756">
        <f>IF($C$2715=0,NA(),VLOOKUP($I$2706&amp;$B$2715,FLNFIX!$AK$4:$EF$103,5,0))</f>
        <v>0</v>
      </c>
      <c r="H2715" s="757"/>
      <c r="I2715" s="757"/>
      <c r="J2715" s="758"/>
      <c r="K2715" s="677"/>
    </row>
    <row r="2716" ht="20.1" customHeight="1" spans="1:11">
      <c r="A2716" s="675"/>
      <c r="B2716" s="755">
        <f t="shared" si="49"/>
        <v>7</v>
      </c>
      <c r="C2716" s="755">
        <f>IFERROR(VLOOKUP(B2716,DATEWISE!$A$3:$BY$27,2,0),0)</f>
        <v>0</v>
      </c>
      <c r="D2716" s="755" t="e">
        <f>IF($C$2716=0,NA(),VLOOKUP($I$2706&amp;$B$2716,FLNFIX!$AP$4:$EF$103,2,0))</f>
        <v>#N/A</v>
      </c>
      <c r="E2716" s="755" t="e">
        <f>IF($C$2716=0,NA(),VLOOKUP($I$2706&amp;$B$2716,FLNFIX!$AP$4:$EF$103,4,0))</f>
        <v>#N/A</v>
      </c>
      <c r="F2716" s="755" t="e">
        <f>IF($C$2716=0,NA(),VLOOKUP($I$2706&amp;$B$2716,FLNFIX!$AP$4:$EF$103,3,0))</f>
        <v>#N/A</v>
      </c>
      <c r="G2716" s="756" t="e">
        <f>IF($C$2716=0,NA(),VLOOKUP($I$2706&amp;$B$2716,FLNFIX!$AP$4:$EF$103,5,0))</f>
        <v>#N/A</v>
      </c>
      <c r="H2716" s="757"/>
      <c r="I2716" s="757"/>
      <c r="J2716" s="758"/>
      <c r="K2716" s="677"/>
    </row>
    <row r="2717" ht="20.1" customHeight="1" spans="1:11">
      <c r="A2717" s="675"/>
      <c r="B2717" s="755">
        <f t="shared" si="49"/>
        <v>8</v>
      </c>
      <c r="C2717" s="755">
        <f>IFERROR(VLOOKUP(B2717,DATEWISE!$A$3:$BY$27,2,0),0)</f>
        <v>0</v>
      </c>
      <c r="D2717" s="755" t="e">
        <f>IF($C$2717=0,NA(),VLOOKUP($I$2706&amp;$B$2717,FLNFIX!$AU$4:$EF$103,2,0))</f>
        <v>#N/A</v>
      </c>
      <c r="E2717" s="755" t="e">
        <f>IF($C$2717=0,NA(),VLOOKUP($I$2706&amp;$B$2717,FLNFIX!$AU$4:$EF$103,4,0))</f>
        <v>#N/A</v>
      </c>
      <c r="F2717" s="755" t="e">
        <f>IF($C$2717=0,NA(),VLOOKUP($I$2706&amp;$B$2717,FLNFIX!$AU$4:$EF$103,3,0))</f>
        <v>#N/A</v>
      </c>
      <c r="G2717" s="756" t="e">
        <f>IF($C$2717=0,NA(),VLOOKUP($I$2706&amp;$B$2717,FLNFIX!$AU$4:$EF$103,5,0))</f>
        <v>#N/A</v>
      </c>
      <c r="H2717" s="757"/>
      <c r="I2717" s="757"/>
      <c r="J2717" s="758"/>
      <c r="K2717" s="677"/>
    </row>
    <row r="2718" ht="20.1" customHeight="1" spans="1:11">
      <c r="A2718" s="675"/>
      <c r="B2718" s="755">
        <f t="shared" si="49"/>
        <v>9</v>
      </c>
      <c r="C2718" s="755">
        <f>IFERROR(VLOOKUP(B2718,DATEWISE!$A$3:$BY$27,2,0),0)</f>
        <v>0</v>
      </c>
      <c r="D2718" s="755" t="e">
        <f>IF($C$2718=0,NA(),VLOOKUP($I$2706&amp;$B$2718,FLNFIX!$AZ$4:$EF$103,2,0))</f>
        <v>#N/A</v>
      </c>
      <c r="E2718" s="755" t="e">
        <f>IF($C$2718=0,NA(),VLOOKUP($I$2706&amp;$B$2718,FLNFIX!$AZ$4:$EF$103,4,0))</f>
        <v>#N/A</v>
      </c>
      <c r="F2718" s="755" t="e">
        <f>IF($C$2718=0,NA(),VLOOKUP($I$2706&amp;$B$2718,FLNFIX!$AZ$4:$EF$103,3,0))</f>
        <v>#N/A</v>
      </c>
      <c r="G2718" s="756" t="e">
        <f>IF($C$2718=0,NA(),VLOOKUP($I$2706&amp;$B$2718,FLNFIX!$AZ$4:$EF$103,5,0))</f>
        <v>#N/A</v>
      </c>
      <c r="H2718" s="757"/>
      <c r="I2718" s="757"/>
      <c r="J2718" s="758"/>
      <c r="K2718" s="677"/>
    </row>
    <row r="2719" ht="20.1" customHeight="1" spans="1:11">
      <c r="A2719" s="675"/>
      <c r="B2719" s="755">
        <f t="shared" si="49"/>
        <v>10</v>
      </c>
      <c r="C2719" s="755">
        <f>IFERROR(VLOOKUP(B2719,DATEWISE!$A$3:$BY$27,2,0),0)</f>
        <v>0</v>
      </c>
      <c r="D2719" s="755" t="e">
        <f>IF($C$2719=0,NA(),VLOOKUP($I$2706&amp;$B$2719,FLNFIX!$BE$4:$EF$103,2,0))</f>
        <v>#N/A</v>
      </c>
      <c r="E2719" s="755" t="e">
        <f>IF($C$2719=0,NA(),VLOOKUP($I$2706&amp;$B$2719,FLNFIX!$BE$4:$EF$103,4,0))</f>
        <v>#N/A</v>
      </c>
      <c r="F2719" s="755" t="e">
        <f>IF($C$2719=0,NA(),VLOOKUP($I$2706&amp;$B$2719,FLNFIX!$BE$4:$EF$103,3,0))</f>
        <v>#N/A</v>
      </c>
      <c r="G2719" s="756" t="e">
        <f>IF($C$2719=0,NA(),VLOOKUP($I$2706&amp;$B$2719,FLNFIX!$BE$4:$EF$103,5,0))</f>
        <v>#N/A</v>
      </c>
      <c r="H2719" s="757"/>
      <c r="I2719" s="757"/>
      <c r="J2719" s="758"/>
      <c r="K2719" s="677"/>
    </row>
    <row r="2720" ht="20.1" customHeight="1" spans="1:11">
      <c r="A2720" s="675"/>
      <c r="B2720" s="755">
        <f t="shared" si="49"/>
        <v>11</v>
      </c>
      <c r="C2720" s="755">
        <f>IFERROR(VLOOKUP(B2720,DATEWISE!$A$3:$BY$27,2,0),0)</f>
        <v>0</v>
      </c>
      <c r="D2720" s="755" t="e">
        <f>IF($C$2720=0,NA(),VLOOKUP($I$2706&amp;$B$2720,FLNFIX!$BJ$4:$EF$103,2,0))</f>
        <v>#N/A</v>
      </c>
      <c r="E2720" s="755" t="e">
        <f>IF($C$2720=0,NA(),VLOOKUP($I$2706&amp;$B$2720,FLNFIX!$BJ$4:$EF$103,4,0))</f>
        <v>#N/A</v>
      </c>
      <c r="F2720" s="755" t="e">
        <f>IF($C$2720=0,NA(),VLOOKUP($I$2706&amp;$B$2720,FLNFIX!$BJ$4:$EF$103,3,0))</f>
        <v>#N/A</v>
      </c>
      <c r="G2720" s="756" t="e">
        <f>IF($C$2720=0,NA(),VLOOKUP($I$2706&amp;$B$2720,FLNFIX!$BJ$4:$EF$103,5,0))</f>
        <v>#N/A</v>
      </c>
      <c r="H2720" s="757"/>
      <c r="I2720" s="757"/>
      <c r="J2720" s="758"/>
      <c r="K2720" s="677"/>
    </row>
    <row r="2721" ht="20.1" customHeight="1" spans="1:11">
      <c r="A2721" s="675"/>
      <c r="B2721" s="755">
        <f t="shared" si="49"/>
        <v>12</v>
      </c>
      <c r="C2721" s="755">
        <f>IFERROR(VLOOKUP(B2721,DATEWISE!$A$3:$BY$27,2,0),0)</f>
        <v>0</v>
      </c>
      <c r="D2721" s="755" t="e">
        <f>IF($C$2721=0,NA(),VLOOKUP($I$2706&amp;$B$2721,FLNFIX!$BO$4:$EF$103,2,0))</f>
        <v>#N/A</v>
      </c>
      <c r="E2721" s="755" t="e">
        <f>IF($C$2721=0,NA(),VLOOKUP($I$2706&amp;$B$2721,FLNFIX!$BO$4:$EF$103,4,0))</f>
        <v>#N/A</v>
      </c>
      <c r="F2721" s="755" t="e">
        <f>IF($C$2721=0,NA(),VLOOKUP($I$2706&amp;$B$2721,FLNFIX!$BO$4:$EF$103,3,0))</f>
        <v>#N/A</v>
      </c>
      <c r="G2721" s="756" t="e">
        <f>IF($C$2721=0,NA(),VLOOKUP($I$2706&amp;$B$2721,FLNFIX!$BO$4:$EF$103,5,0))</f>
        <v>#N/A</v>
      </c>
      <c r="H2721" s="757"/>
      <c r="I2721" s="757"/>
      <c r="J2721" s="758"/>
      <c r="K2721" s="677"/>
    </row>
    <row r="2722" ht="20.1" customHeight="1" spans="1:11">
      <c r="A2722" s="675"/>
      <c r="B2722" s="755">
        <f t="shared" si="49"/>
        <v>13</v>
      </c>
      <c r="C2722" s="755">
        <f>IFERROR(VLOOKUP(B2722,DATEWISE!$A$3:$BY$27,2,0),0)</f>
        <v>0</v>
      </c>
      <c r="D2722" s="755" t="e">
        <f>IF($C$2722=0,NA(),VLOOKUP($I$2706&amp;$B$2722,FLNFIX!$BT$4:$EF$103,2,0))</f>
        <v>#N/A</v>
      </c>
      <c r="E2722" s="755" t="e">
        <f>IF($C$2722=0,NA(),VLOOKUP($I$2706&amp;$B$2722,FLNFIX!$BT$4:$EF$103,4,0))</f>
        <v>#N/A</v>
      </c>
      <c r="F2722" s="755" t="e">
        <f>IF($C$2722=0,NA(),VLOOKUP($I$2706&amp;$B$2722,FLNFIX!$BT$4:$EF$103,3,0))</f>
        <v>#N/A</v>
      </c>
      <c r="G2722" s="756" t="e">
        <f>IF($C$2722=0,NA(),VLOOKUP($I$2706&amp;$B$2722,FLNFIX!$BT$4:$EF$103,5,0))</f>
        <v>#N/A</v>
      </c>
      <c r="H2722" s="757"/>
      <c r="I2722" s="757"/>
      <c r="J2722" s="758"/>
      <c r="K2722" s="677"/>
    </row>
    <row r="2723" ht="20.1" customHeight="1" spans="1:11">
      <c r="A2723" s="675"/>
      <c r="B2723" s="755">
        <f t="shared" si="49"/>
        <v>14</v>
      </c>
      <c r="C2723" s="755">
        <f>IFERROR(VLOOKUP(B2723,DATEWISE!$A$3:$BY$27,2,0),0)</f>
        <v>0</v>
      </c>
      <c r="D2723" s="755" t="e">
        <f>IF($C$2723=0,NA(),VLOOKUP($I$2706&amp;$B$2723,FLNFIX!$BY$4:$EF$103,2,0))</f>
        <v>#N/A</v>
      </c>
      <c r="E2723" s="755" t="e">
        <f>IF($C$2723=0,NA(),VLOOKUP($I$2706&amp;$B$2723,FLNFIX!$BY$4:$EF$103,4,0))</f>
        <v>#N/A</v>
      </c>
      <c r="F2723" s="755" t="e">
        <f>IF($C$2723=0,NA(),VLOOKUP($I$2706&amp;$B$2723,FLNFIX!$BY$4:$EF$103,3,0))</f>
        <v>#N/A</v>
      </c>
      <c r="G2723" s="756" t="e">
        <f>IF($C$2723=0,NA(),VLOOKUP($I$2706&amp;$B$2723,FLNFIX!$BY$4:$EF$103,5,0))</f>
        <v>#N/A</v>
      </c>
      <c r="H2723" s="757"/>
      <c r="I2723" s="757"/>
      <c r="J2723" s="758"/>
      <c r="K2723" s="677"/>
    </row>
    <row r="2724" ht="20.1" customHeight="1" spans="1:11">
      <c r="A2724" s="675"/>
      <c r="B2724" s="755">
        <f t="shared" si="49"/>
        <v>15</v>
      </c>
      <c r="C2724" s="755">
        <f>IFERROR(VLOOKUP(B2724,DATEWISE!$A$3:$BY$27,2,0),0)</f>
        <v>0</v>
      </c>
      <c r="D2724" s="755" t="e">
        <f>IF($C$2724=0,NA(),VLOOKUP($I$2706&amp;$B$2724,FLNFIX!$CD$4:$EF$103,2,0))</f>
        <v>#N/A</v>
      </c>
      <c r="E2724" s="755" t="e">
        <f>IF($C$2724=0,NA(),VLOOKUP($I$2706&amp;$B$2724,FLNFIX!$CD$4:$EF$103,4,0))</f>
        <v>#N/A</v>
      </c>
      <c r="F2724" s="755" t="e">
        <f>IF($C$2724=0,NA(),VLOOKUP($I$2706&amp;$B$2724,FLNFIX!$CD$4:$EF$103,3,0))</f>
        <v>#N/A</v>
      </c>
      <c r="G2724" s="756" t="e">
        <f>IF($C$2724=0,NA(),VLOOKUP($I$2706&amp;$B$2724,FLNFIX!$CD$4:$EF$103,5,0))</f>
        <v>#N/A</v>
      </c>
      <c r="H2724" s="757"/>
      <c r="I2724" s="757"/>
      <c r="J2724" s="758"/>
      <c r="K2724" s="677"/>
    </row>
    <row r="2725" ht="20.1" customHeight="1" spans="1:11">
      <c r="A2725" s="675"/>
      <c r="B2725" s="755">
        <f t="shared" si="49"/>
        <v>16</v>
      </c>
      <c r="C2725" s="755">
        <f>IFERROR(VLOOKUP(B2725,DATEWISE!$A$3:$BY$27,2,0),0)</f>
        <v>0</v>
      </c>
      <c r="D2725" s="755" t="e">
        <f>IF($C$2725=0,NA(),VLOOKUP($I$2706&amp;$B$2725,FLNFIX!$CI$4:$EF$103,2,0))</f>
        <v>#N/A</v>
      </c>
      <c r="E2725" s="755" t="e">
        <f>IF($C$2725=0,NA(),VLOOKUP($I$2706&amp;$B$2725,FLNFIX!$CI$4:$EF$103,4,0))</f>
        <v>#N/A</v>
      </c>
      <c r="F2725" s="755" t="e">
        <f>IF($C$2725=0,NA(),VLOOKUP($I$2706&amp;$B$2725,FLNFIX!$CI$4:$EF$103,3,0))</f>
        <v>#N/A</v>
      </c>
      <c r="G2725" s="756" t="e">
        <f>IF($C$2725=0,NA(),VLOOKUP($I$2706&amp;$B$2725,FLNFIX!$CI$4:$EF$103,5,0))</f>
        <v>#N/A</v>
      </c>
      <c r="H2725" s="757"/>
      <c r="I2725" s="757"/>
      <c r="J2725" s="758"/>
      <c r="K2725" s="677"/>
    </row>
    <row r="2726" ht="20.1" customHeight="1" spans="1:11">
      <c r="A2726" s="675"/>
      <c r="B2726" s="755">
        <f t="shared" si="49"/>
        <v>17</v>
      </c>
      <c r="C2726" s="755">
        <f>IFERROR(VLOOKUP(B2726,DATEWISE!$A$3:$BY$27,2,0),0)</f>
        <v>0</v>
      </c>
      <c r="D2726" s="755" t="e">
        <f>IF($C$2726=0,NA(),VLOOKUP($I$2706&amp;$B$2726,FLNFIX!$CN$4:$EF$103,2,0))</f>
        <v>#N/A</v>
      </c>
      <c r="E2726" s="755" t="e">
        <f>IF($C$2726=0,NA(),VLOOKUP($I$2706&amp;$B$2726,FLNFIX!$CN$4:$EF$103,4,0))</f>
        <v>#N/A</v>
      </c>
      <c r="F2726" s="755" t="e">
        <f>IF($C$2726=0,NA(),VLOOKUP($I$2706&amp;$B$2726,FLNFIX!$CN$4:$EF$103,3,0))</f>
        <v>#N/A</v>
      </c>
      <c r="G2726" s="756" t="e">
        <f>IF($C$2726=0,NA(),VLOOKUP($I$2706&amp;$B$2726,FLNFIX!$CN$4:$EF$103,5,0))</f>
        <v>#N/A</v>
      </c>
      <c r="H2726" s="757"/>
      <c r="I2726" s="757"/>
      <c r="J2726" s="758"/>
      <c r="K2726" s="677"/>
    </row>
    <row r="2727" ht="20.1" customHeight="1" spans="1:11">
      <c r="A2727" s="675"/>
      <c r="B2727" s="755">
        <f t="shared" si="49"/>
        <v>18</v>
      </c>
      <c r="C2727" s="755">
        <f>IFERROR(VLOOKUP(B2727,DATEWISE!$A$3:$BY$27,2,0),0)</f>
        <v>0</v>
      </c>
      <c r="D2727" s="755" t="e">
        <f>IF($C$2727=0,NA(),VLOOKUP($I$2706&amp;$B$2727,FLNFIX!$CS$4:$EF$103,2,0))</f>
        <v>#N/A</v>
      </c>
      <c r="E2727" s="755" t="e">
        <f>IF($C$2727=0,NA(),VLOOKUP($I$2706&amp;$B$2727,FLNFIX!$CS$4:$EF$103,4,0))</f>
        <v>#N/A</v>
      </c>
      <c r="F2727" s="755" t="e">
        <f>IF($C$2727=0,NA(),VLOOKUP($I$2706&amp;$B$2727,FLNFIX!$CS$4:$EF$103,3,0))</f>
        <v>#N/A</v>
      </c>
      <c r="G2727" s="756" t="e">
        <f>IF($C$2727=0,NA(),VLOOKUP($I$2706&amp;$B$2727,FLNFIX!$CS$4:$EF$103,5,0))</f>
        <v>#N/A</v>
      </c>
      <c r="H2727" s="757"/>
      <c r="I2727" s="757"/>
      <c r="J2727" s="758"/>
      <c r="K2727" s="677"/>
    </row>
    <row r="2728" ht="20.1" customHeight="1" spans="1:11">
      <c r="A2728" s="675"/>
      <c r="B2728" s="755">
        <f t="shared" si="49"/>
        <v>19</v>
      </c>
      <c r="C2728" s="755">
        <f>IFERROR(VLOOKUP(B2728,DATEWISE!$A$3:$BY$27,2,0),0)</f>
        <v>0</v>
      </c>
      <c r="D2728" s="755" t="e">
        <f>IF($C$2728=0,NA(),VLOOKUP($I$2706&amp;$B$2728,FLNFIX!$CX$4:$EF$103,2,0))</f>
        <v>#N/A</v>
      </c>
      <c r="E2728" s="755" t="e">
        <f>IF($C$2728=0,NA(),VLOOKUP($I$2706&amp;$B$2728,FLNFIX!$CX$4:$EF$103,4,0))</f>
        <v>#N/A</v>
      </c>
      <c r="F2728" s="755" t="e">
        <f>IF($C$2728=0,NA(),VLOOKUP($I$2706&amp;$B$2728,FLNFIX!$CX$4:$EF$103,3,0))</f>
        <v>#N/A</v>
      </c>
      <c r="G2728" s="756" t="e">
        <f>IF($C$2728=0,NA(),VLOOKUP($I$2706&amp;$B$2728,FLNFIX!$CX$4:$EF$103,5,0))</f>
        <v>#N/A</v>
      </c>
      <c r="H2728" s="757"/>
      <c r="I2728" s="757"/>
      <c r="J2728" s="758"/>
      <c r="K2728" s="677"/>
    </row>
    <row r="2729" ht="20.1" customHeight="1" spans="1:11">
      <c r="A2729" s="675"/>
      <c r="B2729" s="755">
        <f t="shared" si="49"/>
        <v>20</v>
      </c>
      <c r="C2729" s="755">
        <f>IFERROR(VLOOKUP(B2729,DATEWISE!$A$3:$BY$27,2,0),0)</f>
        <v>0</v>
      </c>
      <c r="D2729" s="755" t="e">
        <f>IF($C$2729=0,NA(),VLOOKUP($I$2706&amp;$B$2729,FLNFIX!$DC$4:$EF$103,2,0))</f>
        <v>#N/A</v>
      </c>
      <c r="E2729" s="755" t="e">
        <f>IF($C$2729=0,NA(),VLOOKUP($I$2706&amp;$B$2729,FLNFIX!$DC$4:$EF$103,4,0))</f>
        <v>#N/A</v>
      </c>
      <c r="F2729" s="755" t="e">
        <f>IF($C$2729=0,NA(),VLOOKUP($I$2706&amp;$B$2729,FLNFIX!$DC$4:$EF$103,3,0))</f>
        <v>#N/A</v>
      </c>
      <c r="G2729" s="756" t="e">
        <f>IF($C$2729=0,NA(),VLOOKUP($I$2706&amp;$B$2729,FLNFIX!$DC$4:$EF$103,5,0))</f>
        <v>#N/A</v>
      </c>
      <c r="H2729" s="757"/>
      <c r="I2729" s="757"/>
      <c r="J2729" s="758"/>
      <c r="K2729" s="677"/>
    </row>
    <row r="2730" ht="20.1" customHeight="1" spans="1:11">
      <c r="A2730" s="675"/>
      <c r="B2730" s="755">
        <f t="shared" si="49"/>
        <v>21</v>
      </c>
      <c r="C2730" s="755">
        <f>IFERROR(VLOOKUP(B2730,DATEWISE!$A$3:$BY$27,2,0),0)</f>
        <v>0</v>
      </c>
      <c r="D2730" s="755" t="e">
        <f>IF($C$2730=0,NA(),VLOOKUP($I$2706&amp;$B$2730,FLNFIX!$DH$4:$EF$103,2,0))</f>
        <v>#N/A</v>
      </c>
      <c r="E2730" s="755" t="e">
        <f>IF($C$2730=0,NA(),VLOOKUP($I$2706&amp;$B$2730,FLNFIX!$DH$4:$EF$103,4,0))</f>
        <v>#N/A</v>
      </c>
      <c r="F2730" s="755" t="e">
        <f>IF($C$2730=0,NA(),VLOOKUP($I$2706&amp;$B$2730,FLNFIX!$DH$4:$EF$103,3,0))</f>
        <v>#N/A</v>
      </c>
      <c r="G2730" s="756" t="e">
        <f>IF($C$2730=0,NA(),VLOOKUP($I$2706&amp;$B$2730,FLNFIX!$DH$4:$EF$103,5,0))</f>
        <v>#N/A</v>
      </c>
      <c r="H2730" s="757"/>
      <c r="I2730" s="757"/>
      <c r="J2730" s="758"/>
      <c r="K2730" s="677"/>
    </row>
    <row r="2731" ht="5.1" customHeight="1" spans="1:11">
      <c r="A2731" s="675"/>
      <c r="B2731" s="759"/>
      <c r="C2731" s="759"/>
      <c r="D2731" s="760"/>
      <c r="E2731" s="760"/>
      <c r="F2731" s="760"/>
      <c r="G2731" s="761"/>
      <c r="H2731" s="761"/>
      <c r="I2731" s="761"/>
      <c r="J2731" s="761"/>
      <c r="K2731" s="677"/>
    </row>
    <row r="2732" s="667" customFormat="1" ht="24.95" customHeight="1" spans="1:11">
      <c r="A2732" s="711"/>
      <c r="B2732" s="762" t="s">
        <v>431</v>
      </c>
      <c r="C2732" s="763"/>
      <c r="D2732" s="763"/>
      <c r="E2732" s="763"/>
      <c r="F2732" s="763"/>
      <c r="G2732" s="763"/>
      <c r="H2732" s="763"/>
      <c r="I2732" s="763"/>
      <c r="J2732" s="764"/>
      <c r="K2732" s="713"/>
    </row>
    <row r="2733" spans="1:11">
      <c r="A2733" s="675"/>
      <c r="B2733" s="765"/>
      <c r="C2733" s="686"/>
      <c r="D2733" s="686"/>
      <c r="E2733" s="686"/>
      <c r="F2733" s="686"/>
      <c r="G2733" s="686"/>
      <c r="H2733" s="686"/>
      <c r="I2733" s="686"/>
      <c r="J2733" s="766"/>
      <c r="K2733" s="677"/>
    </row>
    <row r="2734" spans="1:11">
      <c r="A2734" s="675"/>
      <c r="B2734" s="765"/>
      <c r="C2734" s="686"/>
      <c r="D2734" s="686"/>
      <c r="E2734" s="686"/>
      <c r="F2734" s="686"/>
      <c r="G2734" s="686"/>
      <c r="H2734" s="686"/>
      <c r="I2734" s="686"/>
      <c r="J2734" s="766"/>
      <c r="K2734" s="677"/>
    </row>
    <row r="2735" spans="1:11">
      <c r="A2735" s="675"/>
      <c r="B2735" s="765"/>
      <c r="C2735" s="686"/>
      <c r="D2735" s="686"/>
      <c r="E2735" s="686"/>
      <c r="F2735" s="686"/>
      <c r="G2735" s="686"/>
      <c r="H2735" s="686"/>
      <c r="I2735" s="686"/>
      <c r="J2735" s="766"/>
      <c r="K2735" s="677"/>
    </row>
    <row r="2736" spans="1:11">
      <c r="A2736" s="675"/>
      <c r="B2736" s="765"/>
      <c r="C2736" s="686"/>
      <c r="D2736" s="686"/>
      <c r="E2736" s="686"/>
      <c r="F2736" s="686"/>
      <c r="G2736" s="686"/>
      <c r="H2736" s="686"/>
      <c r="I2736" s="686"/>
      <c r="J2736" s="766"/>
      <c r="K2736" s="677"/>
    </row>
    <row r="2737" spans="1:11">
      <c r="A2737" s="675"/>
      <c r="B2737" s="765"/>
      <c r="C2737" s="686"/>
      <c r="D2737" s="686"/>
      <c r="E2737" s="686"/>
      <c r="F2737" s="686"/>
      <c r="G2737" s="686"/>
      <c r="H2737" s="686"/>
      <c r="I2737" s="686"/>
      <c r="J2737" s="766"/>
      <c r="K2737" s="677"/>
    </row>
    <row r="2738" spans="1:11">
      <c r="A2738" s="675"/>
      <c r="B2738" s="765"/>
      <c r="C2738" s="686"/>
      <c r="D2738" s="686"/>
      <c r="E2738" s="686"/>
      <c r="F2738" s="686"/>
      <c r="G2738" s="686"/>
      <c r="H2738" s="686"/>
      <c r="I2738" s="686"/>
      <c r="J2738" s="766"/>
      <c r="K2738" s="677"/>
    </row>
    <row r="2739" spans="1:11">
      <c r="A2739" s="675"/>
      <c r="B2739" s="765"/>
      <c r="C2739" s="686"/>
      <c r="D2739" s="686"/>
      <c r="E2739" s="686"/>
      <c r="F2739" s="686"/>
      <c r="G2739" s="686"/>
      <c r="H2739" s="686"/>
      <c r="I2739" s="686"/>
      <c r="J2739" s="766"/>
      <c r="K2739" s="677"/>
    </row>
    <row r="2740" spans="1:11">
      <c r="A2740" s="675"/>
      <c r="B2740" s="765"/>
      <c r="C2740" s="686"/>
      <c r="D2740" s="686"/>
      <c r="E2740" s="686"/>
      <c r="F2740" s="686"/>
      <c r="G2740" s="686"/>
      <c r="H2740" s="686"/>
      <c r="I2740" s="686"/>
      <c r="J2740" s="766"/>
      <c r="K2740" s="677"/>
    </row>
    <row r="2741" spans="1:11">
      <c r="A2741" s="675"/>
      <c r="B2741" s="765"/>
      <c r="C2741" s="686"/>
      <c r="D2741" s="686"/>
      <c r="E2741" s="686"/>
      <c r="F2741" s="686"/>
      <c r="G2741" s="686"/>
      <c r="H2741" s="686"/>
      <c r="I2741" s="686"/>
      <c r="J2741" s="766"/>
      <c r="K2741" s="677"/>
    </row>
    <row r="2742" spans="1:11">
      <c r="A2742" s="675"/>
      <c r="B2742" s="767"/>
      <c r="C2742" s="768"/>
      <c r="D2742" s="768"/>
      <c r="E2742" s="768"/>
      <c r="F2742" s="768"/>
      <c r="G2742" s="768"/>
      <c r="H2742" s="768"/>
      <c r="I2742" s="768"/>
      <c r="J2742" s="769"/>
      <c r="K2742" s="677"/>
    </row>
    <row r="2743" ht="5.1" customHeight="1" spans="1:11">
      <c r="A2743" s="675"/>
      <c r="B2743" s="686"/>
      <c r="C2743" s="686"/>
      <c r="D2743" s="686"/>
      <c r="E2743" s="686"/>
      <c r="F2743" s="686"/>
      <c r="G2743" s="686"/>
      <c r="H2743" s="686"/>
      <c r="I2743" s="686"/>
      <c r="J2743" s="686"/>
      <c r="K2743" s="677"/>
    </row>
    <row r="2744" spans="1:11">
      <c r="A2744" s="675"/>
      <c r="B2744" s="770" t="s">
        <v>432</v>
      </c>
      <c r="C2744" s="770"/>
      <c r="D2744" s="770"/>
      <c r="E2744" s="770"/>
      <c r="F2744" s="770"/>
      <c r="G2744" s="770"/>
      <c r="H2744" s="770"/>
      <c r="I2744" s="770"/>
      <c r="J2744" s="770"/>
      <c r="K2744" s="677"/>
    </row>
    <row r="2745" spans="1:11">
      <c r="A2745" s="675"/>
      <c r="B2745" s="771"/>
      <c r="C2745" s="771"/>
      <c r="D2745" s="771"/>
      <c r="E2745" s="771"/>
      <c r="F2745" s="771"/>
      <c r="G2745" s="771"/>
      <c r="H2745" s="771"/>
      <c r="I2745" s="771"/>
      <c r="J2745" s="771"/>
      <c r="K2745" s="677"/>
    </row>
    <row r="2746" spans="1:11">
      <c r="A2746" s="675"/>
      <c r="B2746" s="771"/>
      <c r="C2746" s="771"/>
      <c r="D2746" s="771"/>
      <c r="E2746" s="771"/>
      <c r="F2746" s="771"/>
      <c r="G2746" s="771"/>
      <c r="H2746" s="771"/>
      <c r="I2746" s="771"/>
      <c r="J2746" s="771"/>
      <c r="K2746" s="677"/>
    </row>
    <row r="2747" spans="1:11">
      <c r="A2747" s="675"/>
      <c r="B2747" s="771"/>
      <c r="C2747" s="771"/>
      <c r="D2747" s="771"/>
      <c r="E2747" s="771"/>
      <c r="F2747" s="771"/>
      <c r="G2747" s="771"/>
      <c r="H2747" s="771"/>
      <c r="I2747" s="771"/>
      <c r="J2747" s="771"/>
      <c r="K2747" s="677"/>
    </row>
    <row r="2748" spans="1:11">
      <c r="A2748" s="675"/>
      <c r="B2748" s="686"/>
      <c r="C2748" s="686"/>
      <c r="D2748" s="686"/>
      <c r="E2748" s="686"/>
      <c r="F2748" s="686"/>
      <c r="G2748" s="686"/>
      <c r="H2748" s="686"/>
      <c r="I2748" s="686"/>
      <c r="J2748" s="686"/>
      <c r="K2748" s="677"/>
    </row>
    <row r="2749" spans="1:11">
      <c r="A2749" s="675"/>
      <c r="B2749" s="686"/>
      <c r="C2749" s="729" t="s">
        <v>433</v>
      </c>
      <c r="D2749" s="729"/>
      <c r="E2749" s="686"/>
      <c r="F2749" s="686"/>
      <c r="G2749" s="729" t="s">
        <v>434</v>
      </c>
      <c r="H2749" s="729"/>
      <c r="I2749" s="729"/>
      <c r="J2749" s="729"/>
      <c r="K2749" s="677"/>
    </row>
    <row r="2750" ht="16.35" spans="1:11">
      <c r="A2750" s="725"/>
      <c r="B2750" s="726"/>
      <c r="C2750" s="732" t="str">
        <f>"("&amp;PROPER(ENTRY!$D$19)&amp;")"</f>
        <v>(Indrajeet)</v>
      </c>
      <c r="D2750" s="732"/>
      <c r="E2750" s="726"/>
      <c r="F2750" s="726"/>
      <c r="G2750" s="732" t="str">
        <f>"("&amp;PROPER(ENTRY!$D$12)&amp;")"</f>
        <v>(Shambhu Dayal Meena)</v>
      </c>
      <c r="H2750" s="732"/>
      <c r="I2750" s="732"/>
      <c r="J2750" s="732"/>
      <c r="K2750" s="728"/>
    </row>
    <row r="2751" ht="24.6" spans="1:11">
      <c r="B2751" s="734"/>
      <c r="C2751" s="734"/>
      <c r="D2751" s="669" t="str">
        <f>ENTRY!$D$3</f>
        <v>MUNICIPAL CORPORATION OF DELHI</v>
      </c>
      <c r="E2751" s="669"/>
      <c r="F2751" s="669"/>
      <c r="G2751" s="669"/>
      <c r="H2751" s="734"/>
      <c r="I2751" s="669"/>
      <c r="J2751" s="669"/>
    </row>
    <row r="2752" ht="20.4" spans="1:11">
      <c r="B2752" s="735"/>
      <c r="C2752" s="735"/>
      <c r="D2752" s="670" t="str">
        <f>ENTRY!$D$4</f>
        <v>EDUCATION DEPARTMENT</v>
      </c>
      <c r="E2752" s="670"/>
      <c r="F2752" s="670"/>
      <c r="G2752" s="670"/>
      <c r="H2752" s="735"/>
      <c r="I2752" s="669"/>
      <c r="J2752" s="669"/>
    </row>
    <row r="2753" ht="22.8" spans="1:11">
      <c r="B2753" s="736"/>
      <c r="C2753" s="736"/>
      <c r="D2753" s="664" t="s">
        <v>417</v>
      </c>
      <c r="E2753" s="664"/>
      <c r="F2753" s="664"/>
      <c r="G2753" s="664"/>
      <c r="H2753" s="736"/>
      <c r="I2753" s="669"/>
      <c r="J2753" s="669"/>
    </row>
    <row r="2754" ht="22.8" spans="1:11">
      <c r="B2754" s="736"/>
      <c r="C2754" s="736"/>
      <c r="D2754" s="664" t="s">
        <v>418</v>
      </c>
      <c r="E2754" s="664"/>
      <c r="F2754" s="664"/>
      <c r="G2754" s="664"/>
      <c r="H2754" s="736"/>
      <c r="I2754" s="669"/>
      <c r="J2754" s="669"/>
    </row>
    <row r="2755" ht="24.95" customHeight="1" spans="1:11">
      <c r="B2755" s="735"/>
      <c r="C2755" s="735"/>
      <c r="D2755" s="737" t="str">
        <f>"SESSION : "&amp;ENTRY!$D$11</f>
        <v>SESSION : 2026-27</v>
      </c>
      <c r="E2755" s="737"/>
      <c r="F2755" s="737"/>
      <c r="G2755" s="737"/>
      <c r="H2755" s="735"/>
      <c r="I2755" s="738"/>
      <c r="J2755" s="738"/>
    </row>
    <row r="2756" ht="3.75" customHeight="1" spans="1:11">
      <c r="A2756" s="672"/>
      <c r="B2756" s="739"/>
      <c r="C2756" s="739"/>
      <c r="D2756" s="739"/>
      <c r="E2756" s="739"/>
      <c r="F2756" s="739"/>
      <c r="G2756" s="739"/>
      <c r="H2756" s="739"/>
      <c r="I2756" s="739"/>
      <c r="J2756" s="739"/>
      <c r="K2756" s="674"/>
    </row>
    <row r="2757" ht="21.95" customHeight="1" spans="1:11">
      <c r="A2757" s="675"/>
      <c r="B2757" s="676" t="s">
        <v>419</v>
      </c>
      <c r="C2757" s="676"/>
      <c r="D2757" s="676" t="str">
        <f>ENTRY!$D$6</f>
        <v>MCP NITHARI NO 1 BOYS</v>
      </c>
      <c r="E2757" s="676"/>
      <c r="F2757" s="676"/>
      <c r="G2757" s="676"/>
      <c r="H2757" s="676"/>
      <c r="I2757" s="676"/>
      <c r="J2757" s="676"/>
      <c r="K2757" s="677"/>
    </row>
    <row r="2758" ht="21.95" customHeight="1" spans="1:11">
      <c r="A2758" s="675"/>
      <c r="B2758" s="676" t="s">
        <v>420</v>
      </c>
      <c r="C2758" s="676"/>
      <c r="D2758" s="740">
        <f>IFERROR(VLOOKUP($I$2761,STUDENT!$A$2:$BP$101,5,0),"")</f>
        <v>0</v>
      </c>
      <c r="E2758" s="740"/>
      <c r="F2758" s="740"/>
      <c r="G2758" s="740"/>
      <c r="H2758" s="740"/>
      <c r="I2758" s="740"/>
      <c r="J2758" s="740"/>
      <c r="K2758" s="677"/>
    </row>
    <row r="2759" ht="21.95" customHeight="1" spans="1:11">
      <c r="A2759" s="675"/>
      <c r="B2759" s="676" t="s">
        <v>421</v>
      </c>
      <c r="C2759" s="676"/>
      <c r="D2759" s="740">
        <f>IFERROR(VLOOKUP($I$2761,STUDENT!$A$2:$BP$101,8,0),"")</f>
        <v>0</v>
      </c>
      <c r="E2759" s="740"/>
      <c r="F2759" s="740"/>
      <c r="G2759" s="740"/>
      <c r="H2759" s="740"/>
      <c r="I2759" s="740"/>
      <c r="J2759" s="740"/>
      <c r="K2759" s="677"/>
    </row>
    <row r="2760" ht="21.95" customHeight="1" spans="1:11">
      <c r="A2760" s="675"/>
      <c r="B2760" s="676" t="s">
        <v>422</v>
      </c>
      <c r="C2760" s="676"/>
      <c r="D2760" s="740">
        <f>IFERROR(VLOOKUP($I$2761,STUDENT!$A$2:$BP$101,6,0),"")</f>
        <v>0</v>
      </c>
      <c r="E2760" s="740"/>
      <c r="F2760" s="740"/>
      <c r="G2760" s="740"/>
      <c r="H2760" s="740"/>
      <c r="I2760" s="740"/>
      <c r="J2760" s="740"/>
      <c r="K2760" s="677"/>
    </row>
    <row r="2761" ht="21.95" customHeight="1" spans="1:11">
      <c r="A2761" s="675"/>
      <c r="B2761" s="676" t="s">
        <v>423</v>
      </c>
      <c r="C2761" s="676"/>
      <c r="D2761" s="741" t="str">
        <f>IFERROR(VLOOKUP($I$2761,STUDENT!$A$2:$BP$101,59,0),"")</f>
        <v/>
      </c>
      <c r="E2761" s="742" t="s">
        <v>424</v>
      </c>
      <c r="F2761" s="704" t="str">
        <f>IFERROR(VLOOKUP($I$2761,STUDENT!$A$2:$BP$101,2,0),"")</f>
        <v>III-A</v>
      </c>
      <c r="G2761" s="742" t="s">
        <v>425</v>
      </c>
      <c r="H2761" s="743"/>
      <c r="I2761" s="733">
        <f>I2706+1</f>
        <v>51</v>
      </c>
      <c r="J2761" s="683"/>
      <c r="K2761" s="677"/>
    </row>
    <row r="2762" ht="5.1" customHeight="1" spans="1:11">
      <c r="A2762" s="675"/>
      <c r="B2762" s="745"/>
      <c r="C2762" s="745"/>
      <c r="D2762" s="746"/>
      <c r="E2762" s="747"/>
      <c r="F2762" s="748"/>
      <c r="G2762" s="747"/>
      <c r="H2762" s="686"/>
      <c r="I2762" s="686"/>
      <c r="J2762" s="686"/>
      <c r="K2762" s="677"/>
    </row>
    <row r="2763" s="664" customFormat="1" ht="32.1" customHeight="1" spans="1:11">
      <c r="A2763" s="688"/>
      <c r="B2763" s="749" t="s">
        <v>426</v>
      </c>
      <c r="C2763" s="750"/>
      <c r="D2763" s="750"/>
      <c r="E2763" s="750"/>
      <c r="F2763" s="750"/>
      <c r="G2763" s="750"/>
      <c r="H2763" s="750"/>
      <c r="I2763" s="750"/>
      <c r="J2763" s="751"/>
      <c r="K2763" s="690"/>
    </row>
    <row r="2764" ht="51.6" spans="1:11">
      <c r="A2764" s="675"/>
      <c r="B2764" s="752">
        <v>21</v>
      </c>
      <c r="C2764" s="753" t="s">
        <v>427</v>
      </c>
      <c r="D2764" s="754" t="s">
        <v>428</v>
      </c>
      <c r="E2764" s="754" t="s">
        <v>429</v>
      </c>
      <c r="F2764" s="754" t="s">
        <v>430</v>
      </c>
      <c r="G2764" s="753" t="s">
        <v>390</v>
      </c>
      <c r="H2764" s="714"/>
      <c r="I2764" s="714"/>
      <c r="J2764" s="714"/>
      <c r="K2764" s="677"/>
    </row>
    <row r="2765" ht="20.1" customHeight="1" spans="1:11">
      <c r="A2765" s="675"/>
      <c r="B2765" s="755">
        <v>1</v>
      </c>
      <c r="C2765" s="755" t="str">
        <f>IFERROR(VLOOKUP(B2765,DATEWISE!$A$3:$BY$27,2,0),0)</f>
        <v>30.04.2026</v>
      </c>
      <c r="D2765" s="755">
        <f>IF($C$2765=0,NA(),VLOOKUP($I$2761&amp;$B$2765,FLNFIX!$L$4:$EF$103,2,0))</f>
        <v>0</v>
      </c>
      <c r="E2765" s="755">
        <f>IF($C$2765=0,NA(),VLOOKUP($I$2761&amp;$B$2765,FLNFIX!$L$4:$EF$103,4,0))</f>
        <v>0</v>
      </c>
      <c r="F2765" s="755">
        <f>IF($C$2765=0,NA(),VLOOKUP($I$2761&amp;$B$2765,FLNFIX!$L$4:$EF$103,3,0))</f>
        <v>0</v>
      </c>
      <c r="G2765" s="756">
        <f>IF($C$2765=0,NA(),VLOOKUP($I$2761&amp;$B$2765,FLNFIX!$L$4:$EF$103,5,0))</f>
        <v>0</v>
      </c>
      <c r="H2765" s="757"/>
      <c r="I2765" s="757"/>
      <c r="J2765" s="758"/>
      <c r="K2765" s="677"/>
    </row>
    <row r="2766" ht="20.1" customHeight="1" spans="1:11">
      <c r="A2766" s="675"/>
      <c r="B2766" s="755">
        <f t="shared" ref="B2766:B2785" si="50">IF(B2765=0,0,IF(B2765&lt;$B$2764,B2765+1,""))</f>
        <v>2</v>
      </c>
      <c r="C2766" s="755" t="str">
        <f>IFERROR(VLOOKUP(B2766,DATEWISE!$A$3:$BY$27,2,0),0)</f>
        <v>08.05.2026</v>
      </c>
      <c r="D2766" s="755">
        <f>IF($C$2766=0,NA(),VLOOKUP($I$2761&amp;$B$2766,FLNFIX!$Q$4:$EF$103,2,0))</f>
        <v>0</v>
      </c>
      <c r="E2766" s="755">
        <f>IF($C$2766=0,NA(),VLOOKUP($I$2761&amp;$B$2766,FLNFIX!$Q$4:$EF$103,4,0))</f>
        <v>0</v>
      </c>
      <c r="F2766" s="755">
        <f>IF($C$2766=0,NA(),VLOOKUP($I$2761&amp;$B$2766,FLNFIX!$Q$4:$EF$103,3,0))</f>
        <v>0</v>
      </c>
      <c r="G2766" s="756">
        <f>IF($C$2766=0,NA(),VLOOKUP($I$2761&amp;$B$2766,FLNFIX!$Q$4:$EF$103,5,0))</f>
        <v>0</v>
      </c>
      <c r="H2766" s="757"/>
      <c r="I2766" s="757"/>
      <c r="J2766" s="758"/>
      <c r="K2766" s="677"/>
    </row>
    <row r="2767" ht="20.1" customHeight="1" spans="1:11">
      <c r="A2767" s="675"/>
      <c r="B2767" s="755">
        <f t="shared" si="50"/>
        <v>3</v>
      </c>
      <c r="C2767" s="755" t="str">
        <f>IFERROR(VLOOKUP(B2767,DATEWISE!$A$3:$BY$27,2,0),0)</f>
        <v>15.07.2026</v>
      </c>
      <c r="D2767" s="755">
        <f>IF($C$2767=0,NA(),VLOOKUP($I$2761&amp;$B$2767,FLNFIX!$V$4:$EF$103,2,0))</f>
        <v>0</v>
      </c>
      <c r="E2767" s="755">
        <f>IF($C$2767=0,NA(),VLOOKUP($I$2761&amp;$B$2767,FLNFIX!$V$4:$EF$103,4,0))</f>
        <v>0</v>
      </c>
      <c r="F2767" s="755">
        <f>IF($C$2767=0,NA(),VLOOKUP($I$2761&amp;$B$2767,FLNFIX!$V$4:$EF$103,3,0))</f>
        <v>0</v>
      </c>
      <c r="G2767" s="756">
        <f>IF($C$2767=0,NA(),VLOOKUP($I$2761&amp;$B$2767,FLNFIX!$V$4:$EF$103,5,0))</f>
        <v>0</v>
      </c>
      <c r="H2767" s="757"/>
      <c r="I2767" s="757"/>
      <c r="J2767" s="758"/>
      <c r="K2767" s="677"/>
    </row>
    <row r="2768" ht="20.1" customHeight="1" spans="1:11">
      <c r="A2768" s="675"/>
      <c r="B2768" s="755">
        <f t="shared" si="50"/>
        <v>4</v>
      </c>
      <c r="C2768" s="755" t="str">
        <f>IFERROR(VLOOKUP(B2768,DATEWISE!$A$3:$BY$27,2,0),0)</f>
        <v>31.07.2026</v>
      </c>
      <c r="D2768" s="755">
        <f>IF($C$2768=0,NA(),VLOOKUP($I$2761&amp;$B$2768,FLNFIX!$AA$4:$EF$103,2,0))</f>
        <v>0</v>
      </c>
      <c r="E2768" s="755">
        <f>IF($C$2768=0,NA(),VLOOKUP($I$2761&amp;$B$2768,FLNFIX!$AA$4:$EF$103,4,0))</f>
        <v>0</v>
      </c>
      <c r="F2768" s="755">
        <f>IF($C$2768=0,NA(),VLOOKUP($I$2761&amp;$B$2768,FLNFIX!$AA$4:$EF$103,3,0))</f>
        <v>0</v>
      </c>
      <c r="G2768" s="756">
        <f>IF($C$2768=0,NA(),VLOOKUP($I$2761&amp;$B$2768,FLNFIX!$AA$4:$EF$103,5,0))</f>
        <v>0</v>
      </c>
      <c r="H2768" s="757"/>
      <c r="I2768" s="757"/>
      <c r="J2768" s="758"/>
      <c r="K2768" s="677"/>
    </row>
    <row r="2769" ht="20.1" customHeight="1" spans="1:11">
      <c r="A2769" s="675"/>
      <c r="B2769" s="755">
        <f t="shared" si="50"/>
        <v>5</v>
      </c>
      <c r="C2769" s="755" t="str">
        <f>IFERROR(VLOOKUP(B2769,DATEWISE!$A$3:$BY$27,2,0),0)</f>
        <v>17.08.2026</v>
      </c>
      <c r="D2769" s="755">
        <f>IF($C$2769=0,NA(),VLOOKUP($I$2761&amp;$B$2769,FLNFIX!$AF$4:$EF$103,2,0))</f>
        <v>0</v>
      </c>
      <c r="E2769" s="755">
        <f>IF($C$2769=0,NA(),VLOOKUP($I$2761&amp;$B$2769,FLNFIX!$AF$4:$EF$103,4,0))</f>
        <v>0</v>
      </c>
      <c r="F2769" s="755">
        <f>IF($C$2769=0,NA(),VLOOKUP($I$2761&amp;$B$2769,FLNFIX!$AF$4:$EF$103,3,0))</f>
        <v>0</v>
      </c>
      <c r="G2769" s="756">
        <f>IF($C$2769=0,NA(),VLOOKUP($I$2761&amp;$B$2769,FLNFIX!$AF$4:$EF$103,5,0))</f>
        <v>0</v>
      </c>
      <c r="H2769" s="757"/>
      <c r="I2769" s="757"/>
      <c r="J2769" s="758"/>
      <c r="K2769" s="677"/>
    </row>
    <row r="2770" ht="20.1" customHeight="1" spans="1:11">
      <c r="A2770" s="675"/>
      <c r="B2770" s="755">
        <f t="shared" si="50"/>
        <v>6</v>
      </c>
      <c r="C2770" s="755" t="str">
        <f>IFERROR(VLOOKUP(B2770,DATEWISE!$A$3:$BY$27,2,0),0)</f>
        <v>31.08.2026</v>
      </c>
      <c r="D2770" s="755">
        <f>IF($C$2770=0,NA(),VLOOKUP($I$2761&amp;$B$2770,FLNFIX!$AK$4:$EF$103,2,0))</f>
        <v>0</v>
      </c>
      <c r="E2770" s="755">
        <f>IF($C$2770=0,NA(),VLOOKUP($I$2761&amp;$B$2770,FLNFIX!$AK$4:$EF$103,4,0))</f>
        <v>0</v>
      </c>
      <c r="F2770" s="755">
        <f>IF($C$2770=0,NA(),VLOOKUP($I$2761&amp;$B$2770,FLNFIX!$AK$4:$EF$103,3,0))</f>
        <v>0</v>
      </c>
      <c r="G2770" s="756">
        <f>IF($C$2770=0,NA(),VLOOKUP($I$2761&amp;$B$2770,FLNFIX!$AK$4:$EF$103,5,0))</f>
        <v>0</v>
      </c>
      <c r="H2770" s="757"/>
      <c r="I2770" s="757"/>
      <c r="J2770" s="758"/>
      <c r="K2770" s="677"/>
    </row>
    <row r="2771" ht="20.1" customHeight="1" spans="1:11">
      <c r="A2771" s="675"/>
      <c r="B2771" s="755">
        <f t="shared" si="50"/>
        <v>7</v>
      </c>
      <c r="C2771" s="755">
        <f>IFERROR(VLOOKUP(B2771,DATEWISE!$A$3:$BY$27,2,0),0)</f>
        <v>0</v>
      </c>
      <c r="D2771" s="755" t="e">
        <f>IF($C$2771=0,NA(),VLOOKUP($I$2761&amp;$B$2771,FLNFIX!$AP$4:$EF$103,2,0))</f>
        <v>#N/A</v>
      </c>
      <c r="E2771" s="755" t="e">
        <f>IF($C$2771=0,NA(),VLOOKUP($I$2761&amp;$B$2771,FLNFIX!$AP$4:$EF$103,4,0))</f>
        <v>#N/A</v>
      </c>
      <c r="F2771" s="755" t="e">
        <f>IF($C$2771=0,NA(),VLOOKUP($I$2761&amp;$B$2771,FLNFIX!$AP$4:$EF$103,3,0))</f>
        <v>#N/A</v>
      </c>
      <c r="G2771" s="756" t="e">
        <f>IF($C$2771=0,NA(),VLOOKUP($I$2761&amp;$B$2771,FLNFIX!$AP$4:$EF$103,5,0))</f>
        <v>#N/A</v>
      </c>
      <c r="H2771" s="757"/>
      <c r="I2771" s="757"/>
      <c r="J2771" s="758"/>
      <c r="K2771" s="677"/>
    </row>
    <row r="2772" ht="20.1" customHeight="1" spans="1:11">
      <c r="A2772" s="675"/>
      <c r="B2772" s="755">
        <f t="shared" si="50"/>
        <v>8</v>
      </c>
      <c r="C2772" s="755">
        <f>IFERROR(VLOOKUP(B2772,DATEWISE!$A$3:$BY$27,2,0),0)</f>
        <v>0</v>
      </c>
      <c r="D2772" s="755" t="e">
        <f>IF($C$2772=0,NA(),VLOOKUP($I$2761&amp;$B$2772,FLNFIX!$AU$4:$EF$103,2,0))</f>
        <v>#N/A</v>
      </c>
      <c r="E2772" s="755" t="e">
        <f>IF($C$2772=0,NA(),VLOOKUP($I$2761&amp;$B$2772,FLNFIX!$AU$4:$EF$103,4,0))</f>
        <v>#N/A</v>
      </c>
      <c r="F2772" s="755" t="e">
        <f>IF($C$2772=0,NA(),VLOOKUP($I$2761&amp;$B$2772,FLNFIX!$AU$4:$EF$103,3,0))</f>
        <v>#N/A</v>
      </c>
      <c r="G2772" s="756" t="e">
        <f>IF($C$2772=0,NA(),VLOOKUP($I$2761&amp;$B$2772,FLNFIX!$AU$4:$EF$103,5,0))</f>
        <v>#N/A</v>
      </c>
      <c r="H2772" s="757"/>
      <c r="I2772" s="757"/>
      <c r="J2772" s="758"/>
      <c r="K2772" s="677"/>
    </row>
    <row r="2773" ht="20.1" customHeight="1" spans="1:11">
      <c r="A2773" s="675"/>
      <c r="B2773" s="755">
        <f t="shared" si="50"/>
        <v>9</v>
      </c>
      <c r="C2773" s="755">
        <f>IFERROR(VLOOKUP(B2773,DATEWISE!$A$3:$BY$27,2,0),0)</f>
        <v>0</v>
      </c>
      <c r="D2773" s="755" t="e">
        <f>IF($C$2773=0,NA(),VLOOKUP($I$2761&amp;$B$2773,FLNFIX!$AZ$4:$EF$103,2,0))</f>
        <v>#N/A</v>
      </c>
      <c r="E2773" s="755" t="e">
        <f>IF($C$2773=0,NA(),VLOOKUP($I$2761&amp;$B$2773,FLNFIX!$AZ$4:$EF$103,4,0))</f>
        <v>#N/A</v>
      </c>
      <c r="F2773" s="755" t="e">
        <f>IF($C$2773=0,NA(),VLOOKUP($I$2761&amp;$B$2773,FLNFIX!$AZ$4:$EF$103,3,0))</f>
        <v>#N/A</v>
      </c>
      <c r="G2773" s="756" t="e">
        <f>IF($C$2773=0,NA(),VLOOKUP($I$2761&amp;$B$2773,FLNFIX!$AZ$4:$EF$103,5,0))</f>
        <v>#N/A</v>
      </c>
      <c r="H2773" s="757"/>
      <c r="I2773" s="757"/>
      <c r="J2773" s="758"/>
      <c r="K2773" s="677"/>
    </row>
    <row r="2774" ht="20.1" customHeight="1" spans="1:11">
      <c r="A2774" s="675"/>
      <c r="B2774" s="755">
        <f t="shared" si="50"/>
        <v>10</v>
      </c>
      <c r="C2774" s="755">
        <f>IFERROR(VLOOKUP(B2774,DATEWISE!$A$3:$BY$27,2,0),0)</f>
        <v>0</v>
      </c>
      <c r="D2774" s="755" t="e">
        <f>IF($C$2774=0,NA(),VLOOKUP($I$2761&amp;$B$2774,FLNFIX!$BE$4:$EF$103,2,0))</f>
        <v>#N/A</v>
      </c>
      <c r="E2774" s="755" t="e">
        <f>IF($C$2774=0,NA(),VLOOKUP($I$2761&amp;$B$2774,FLNFIX!$BE$4:$EF$103,4,0))</f>
        <v>#N/A</v>
      </c>
      <c r="F2774" s="755" t="e">
        <f>IF($C$2774=0,NA(),VLOOKUP($I$2761&amp;$B$2774,FLNFIX!$BE$4:$EF$103,3,0))</f>
        <v>#N/A</v>
      </c>
      <c r="G2774" s="756" t="e">
        <f>IF($C$2774=0,NA(),VLOOKUP($I$2761&amp;$B$2774,FLNFIX!$BE$4:$EF$103,5,0))</f>
        <v>#N/A</v>
      </c>
      <c r="H2774" s="757"/>
      <c r="I2774" s="757"/>
      <c r="J2774" s="758"/>
      <c r="K2774" s="677"/>
    </row>
    <row r="2775" ht="20.1" customHeight="1" spans="1:11">
      <c r="A2775" s="675"/>
      <c r="B2775" s="755">
        <f t="shared" si="50"/>
        <v>11</v>
      </c>
      <c r="C2775" s="755">
        <f>IFERROR(VLOOKUP(B2775,DATEWISE!$A$3:$BY$27,2,0),0)</f>
        <v>0</v>
      </c>
      <c r="D2775" s="755" t="e">
        <f>IF($C$2775=0,NA(),VLOOKUP($I$2761&amp;$B$2775,FLNFIX!$BJ$4:$EF$103,2,0))</f>
        <v>#N/A</v>
      </c>
      <c r="E2775" s="755" t="e">
        <f>IF($C$2775=0,NA(),VLOOKUP($I$2761&amp;$B$2775,FLNFIX!$BJ$4:$EF$103,4,0))</f>
        <v>#N/A</v>
      </c>
      <c r="F2775" s="755" t="e">
        <f>IF($C$2775=0,NA(),VLOOKUP($I$2761&amp;$B$2775,FLNFIX!$BJ$4:$EF$103,3,0))</f>
        <v>#N/A</v>
      </c>
      <c r="G2775" s="756" t="e">
        <f>IF($C$2775=0,NA(),VLOOKUP($I$2761&amp;$B$2775,FLNFIX!$BJ$4:$EF$103,5,0))</f>
        <v>#N/A</v>
      </c>
      <c r="H2775" s="757"/>
      <c r="I2775" s="757"/>
      <c r="J2775" s="758"/>
      <c r="K2775" s="677"/>
    </row>
    <row r="2776" ht="20.1" customHeight="1" spans="1:11">
      <c r="A2776" s="675"/>
      <c r="B2776" s="755">
        <f t="shared" si="50"/>
        <v>12</v>
      </c>
      <c r="C2776" s="755">
        <f>IFERROR(VLOOKUP(B2776,DATEWISE!$A$3:$BY$27,2,0),0)</f>
        <v>0</v>
      </c>
      <c r="D2776" s="755" t="e">
        <f>IF($C$2776=0,NA(),VLOOKUP($I$2761&amp;$B$2776,FLNFIX!$BO$4:$EF$103,2,0))</f>
        <v>#N/A</v>
      </c>
      <c r="E2776" s="755" t="e">
        <f>IF($C$2776=0,NA(),VLOOKUP($I$2761&amp;$B$2776,FLNFIX!$BO$4:$EF$103,4,0))</f>
        <v>#N/A</v>
      </c>
      <c r="F2776" s="755" t="e">
        <f>IF($C$2776=0,NA(),VLOOKUP($I$2761&amp;$B$2776,FLNFIX!$BO$4:$EF$103,3,0))</f>
        <v>#N/A</v>
      </c>
      <c r="G2776" s="756" t="e">
        <f>IF($C$2776=0,NA(),VLOOKUP($I$2761&amp;$B$2776,FLNFIX!$BO$4:$EF$103,5,0))</f>
        <v>#N/A</v>
      </c>
      <c r="H2776" s="757"/>
      <c r="I2776" s="757"/>
      <c r="J2776" s="758"/>
      <c r="K2776" s="677"/>
    </row>
    <row r="2777" ht="20.1" customHeight="1" spans="1:11">
      <c r="A2777" s="675"/>
      <c r="B2777" s="755">
        <f t="shared" si="50"/>
        <v>13</v>
      </c>
      <c r="C2777" s="755">
        <f>IFERROR(VLOOKUP(B2777,DATEWISE!$A$3:$BY$27,2,0),0)</f>
        <v>0</v>
      </c>
      <c r="D2777" s="755" t="e">
        <f>IF($C$2777=0,NA(),VLOOKUP($I$2761&amp;$B$2777,FLNFIX!$BT$4:$EF$103,2,0))</f>
        <v>#N/A</v>
      </c>
      <c r="E2777" s="755" t="e">
        <f>IF($C$2777=0,NA(),VLOOKUP($I$2761&amp;$B$2777,FLNFIX!$BT$4:$EF$103,4,0))</f>
        <v>#N/A</v>
      </c>
      <c r="F2777" s="755" t="e">
        <f>IF($C$2777=0,NA(),VLOOKUP($I$2761&amp;$B$2777,FLNFIX!$BT$4:$EF$103,3,0))</f>
        <v>#N/A</v>
      </c>
      <c r="G2777" s="756" t="e">
        <f>IF($C$2777=0,NA(),VLOOKUP($I$2761&amp;$B$2777,FLNFIX!$BT$4:$EF$103,5,0))</f>
        <v>#N/A</v>
      </c>
      <c r="H2777" s="757"/>
      <c r="I2777" s="757"/>
      <c r="J2777" s="758"/>
      <c r="K2777" s="677"/>
    </row>
    <row r="2778" ht="20.1" customHeight="1" spans="1:11">
      <c r="A2778" s="675"/>
      <c r="B2778" s="755">
        <f t="shared" si="50"/>
        <v>14</v>
      </c>
      <c r="C2778" s="755">
        <f>IFERROR(VLOOKUP(B2778,DATEWISE!$A$3:$BY$27,2,0),0)</f>
        <v>0</v>
      </c>
      <c r="D2778" s="755" t="e">
        <f>IF($C$2778=0,NA(),VLOOKUP($I$2761&amp;$B$2778,FLNFIX!$BY$4:$EF$103,2,0))</f>
        <v>#N/A</v>
      </c>
      <c r="E2778" s="755" t="e">
        <f>IF($C$2778=0,NA(),VLOOKUP($I$2761&amp;$B$2778,FLNFIX!$BY$4:$EF$103,4,0))</f>
        <v>#N/A</v>
      </c>
      <c r="F2778" s="755" t="e">
        <f>IF($C$2778=0,NA(),VLOOKUP($I$2761&amp;$B$2778,FLNFIX!$BY$4:$EF$103,3,0))</f>
        <v>#N/A</v>
      </c>
      <c r="G2778" s="756" t="e">
        <f>IF($C$2778=0,NA(),VLOOKUP($I$2761&amp;$B$2778,FLNFIX!$BY$4:$EF$103,5,0))</f>
        <v>#N/A</v>
      </c>
      <c r="H2778" s="757"/>
      <c r="I2778" s="757"/>
      <c r="J2778" s="758"/>
      <c r="K2778" s="677"/>
    </row>
    <row r="2779" ht="20.1" customHeight="1" spans="1:11">
      <c r="A2779" s="675"/>
      <c r="B2779" s="755">
        <f t="shared" si="50"/>
        <v>15</v>
      </c>
      <c r="C2779" s="755">
        <f>IFERROR(VLOOKUP(B2779,DATEWISE!$A$3:$BY$27,2,0),0)</f>
        <v>0</v>
      </c>
      <c r="D2779" s="755" t="e">
        <f>IF($C$2779=0,NA(),VLOOKUP($I$2761&amp;$B$2779,FLNFIX!$CD$4:$EF$103,2,0))</f>
        <v>#N/A</v>
      </c>
      <c r="E2779" s="755" t="e">
        <f>IF($C$2779=0,NA(),VLOOKUP($I$2761&amp;$B$2779,FLNFIX!$CD$4:$EF$103,4,0))</f>
        <v>#N/A</v>
      </c>
      <c r="F2779" s="755" t="e">
        <f>IF($C$2779=0,NA(),VLOOKUP($I$2761&amp;$B$2779,FLNFIX!$CD$4:$EF$103,3,0))</f>
        <v>#N/A</v>
      </c>
      <c r="G2779" s="756" t="e">
        <f>IF($C$2779=0,NA(),VLOOKUP($I$2761&amp;$B$2779,FLNFIX!$CD$4:$EF$103,5,0))</f>
        <v>#N/A</v>
      </c>
      <c r="H2779" s="757"/>
      <c r="I2779" s="757"/>
      <c r="J2779" s="758"/>
      <c r="K2779" s="677"/>
    </row>
    <row r="2780" ht="20.1" customHeight="1" spans="1:11">
      <c r="A2780" s="675"/>
      <c r="B2780" s="755">
        <f t="shared" si="50"/>
        <v>16</v>
      </c>
      <c r="C2780" s="755">
        <f>IFERROR(VLOOKUP(B2780,DATEWISE!$A$3:$BY$27,2,0),0)</f>
        <v>0</v>
      </c>
      <c r="D2780" s="755" t="e">
        <f>IF($C$2780=0,NA(),VLOOKUP($I$2761&amp;$B$2780,FLNFIX!$CI$4:$EF$103,2,0))</f>
        <v>#N/A</v>
      </c>
      <c r="E2780" s="755" t="e">
        <f>IF($C$2780=0,NA(),VLOOKUP($I$2761&amp;$B$2780,FLNFIX!$CI$4:$EF$103,4,0))</f>
        <v>#N/A</v>
      </c>
      <c r="F2780" s="755" t="e">
        <f>IF($C$2780=0,NA(),VLOOKUP($I$2761&amp;$B$2780,FLNFIX!$CI$4:$EF$103,3,0))</f>
        <v>#N/A</v>
      </c>
      <c r="G2780" s="756" t="e">
        <f>IF($C$2780=0,NA(),VLOOKUP($I$2761&amp;$B$2780,FLNFIX!$CI$4:$EF$103,5,0))</f>
        <v>#N/A</v>
      </c>
      <c r="H2780" s="757"/>
      <c r="I2780" s="757"/>
      <c r="J2780" s="758"/>
      <c r="K2780" s="677"/>
    </row>
    <row r="2781" ht="20.1" customHeight="1" spans="1:11">
      <c r="A2781" s="675"/>
      <c r="B2781" s="755">
        <f t="shared" si="50"/>
        <v>17</v>
      </c>
      <c r="C2781" s="755">
        <f>IFERROR(VLOOKUP(B2781,DATEWISE!$A$3:$BY$27,2,0),0)</f>
        <v>0</v>
      </c>
      <c r="D2781" s="755" t="e">
        <f>IF($C$2781=0,NA(),VLOOKUP($I$2761&amp;$B$2781,FLNFIX!$CN$4:$EF$103,2,0))</f>
        <v>#N/A</v>
      </c>
      <c r="E2781" s="755" t="e">
        <f>IF($C$2781=0,NA(),VLOOKUP($I$2761&amp;$B$2781,FLNFIX!$CN$4:$EF$103,4,0))</f>
        <v>#N/A</v>
      </c>
      <c r="F2781" s="755" t="e">
        <f>IF($C$2781=0,NA(),VLOOKUP($I$2761&amp;$B$2781,FLNFIX!$CN$4:$EF$103,3,0))</f>
        <v>#N/A</v>
      </c>
      <c r="G2781" s="756" t="e">
        <f>IF($C$2781=0,NA(),VLOOKUP($I$2761&amp;$B$2781,FLNFIX!$CN$4:$EF$103,5,0))</f>
        <v>#N/A</v>
      </c>
      <c r="H2781" s="757"/>
      <c r="I2781" s="757"/>
      <c r="J2781" s="758"/>
      <c r="K2781" s="677"/>
    </row>
    <row r="2782" ht="20.1" customHeight="1" spans="1:11">
      <c r="A2782" s="675"/>
      <c r="B2782" s="755">
        <f t="shared" si="50"/>
        <v>18</v>
      </c>
      <c r="C2782" s="755">
        <f>IFERROR(VLOOKUP(B2782,DATEWISE!$A$3:$BY$27,2,0),0)</f>
        <v>0</v>
      </c>
      <c r="D2782" s="755" t="e">
        <f>IF($C$2782=0,NA(),VLOOKUP($I$2761&amp;$B$2782,FLNFIX!$CS$4:$EF$103,2,0))</f>
        <v>#N/A</v>
      </c>
      <c r="E2782" s="755" t="e">
        <f>IF($C$2782=0,NA(),VLOOKUP($I$2761&amp;$B$2782,FLNFIX!$CS$4:$EF$103,4,0))</f>
        <v>#N/A</v>
      </c>
      <c r="F2782" s="755" t="e">
        <f>IF($C$2782=0,NA(),VLOOKUP($I$2761&amp;$B$2782,FLNFIX!$CS$4:$EF$103,3,0))</f>
        <v>#N/A</v>
      </c>
      <c r="G2782" s="756" t="e">
        <f>IF($C$2782=0,NA(),VLOOKUP($I$2761&amp;$B$2782,FLNFIX!$CS$4:$EF$103,5,0))</f>
        <v>#N/A</v>
      </c>
      <c r="H2782" s="757"/>
      <c r="I2782" s="757"/>
      <c r="J2782" s="758"/>
      <c r="K2782" s="677"/>
    </row>
    <row r="2783" ht="20.1" customHeight="1" spans="1:11">
      <c r="A2783" s="675"/>
      <c r="B2783" s="755">
        <f t="shared" si="50"/>
        <v>19</v>
      </c>
      <c r="C2783" s="755">
        <f>IFERROR(VLOOKUP(B2783,DATEWISE!$A$3:$BY$27,2,0),0)</f>
        <v>0</v>
      </c>
      <c r="D2783" s="755" t="e">
        <f>IF($C$2783=0,NA(),VLOOKUP($I$2761&amp;$B$2783,FLNFIX!$CX$4:$EF$103,2,0))</f>
        <v>#N/A</v>
      </c>
      <c r="E2783" s="755" t="e">
        <f>IF($C$2783=0,NA(),VLOOKUP($I$2761&amp;$B$2783,FLNFIX!$CX$4:$EF$103,4,0))</f>
        <v>#N/A</v>
      </c>
      <c r="F2783" s="755" t="e">
        <f>IF($C$2783=0,NA(),VLOOKUP($I$2761&amp;$B$2783,FLNFIX!$CX$4:$EF$103,3,0))</f>
        <v>#N/A</v>
      </c>
      <c r="G2783" s="756" t="e">
        <f>IF($C$2783=0,NA(),VLOOKUP($I$2761&amp;$B$2783,FLNFIX!$CX$4:$EF$103,5,0))</f>
        <v>#N/A</v>
      </c>
      <c r="H2783" s="757"/>
      <c r="I2783" s="757"/>
      <c r="J2783" s="758"/>
      <c r="K2783" s="677"/>
    </row>
    <row r="2784" ht="20.1" customHeight="1" spans="1:11">
      <c r="A2784" s="675"/>
      <c r="B2784" s="755">
        <f t="shared" si="50"/>
        <v>20</v>
      </c>
      <c r="C2784" s="755">
        <f>IFERROR(VLOOKUP(B2784,DATEWISE!$A$3:$BY$27,2,0),0)</f>
        <v>0</v>
      </c>
      <c r="D2784" s="755" t="e">
        <f>IF($C$2784=0,NA(),VLOOKUP($I$2761&amp;$B$2784,FLNFIX!$DC$4:$EF$103,2,0))</f>
        <v>#N/A</v>
      </c>
      <c r="E2784" s="755" t="e">
        <f>IF($C$2784=0,NA(),VLOOKUP($I$2761&amp;$B$2784,FLNFIX!$DC$4:$EF$103,4,0))</f>
        <v>#N/A</v>
      </c>
      <c r="F2784" s="755" t="e">
        <f>IF($C$2784=0,NA(),VLOOKUP($I$2761&amp;$B$2784,FLNFIX!$DC$4:$EF$103,3,0))</f>
        <v>#N/A</v>
      </c>
      <c r="G2784" s="756" t="e">
        <f>IF($C$2784=0,NA(),VLOOKUP($I$2761&amp;$B$2784,FLNFIX!$DC$4:$EF$103,5,0))</f>
        <v>#N/A</v>
      </c>
      <c r="H2784" s="757"/>
      <c r="I2784" s="757"/>
      <c r="J2784" s="758"/>
      <c r="K2784" s="677"/>
    </row>
    <row r="2785" ht="20.1" customHeight="1" spans="1:11">
      <c r="A2785" s="675"/>
      <c r="B2785" s="755">
        <f t="shared" si="50"/>
        <v>21</v>
      </c>
      <c r="C2785" s="755">
        <f>IFERROR(VLOOKUP(B2785,DATEWISE!$A$3:$BY$27,2,0),0)</f>
        <v>0</v>
      </c>
      <c r="D2785" s="755" t="e">
        <f>IF($C$2785=0,NA(),VLOOKUP($I$2761&amp;$B$2785,FLNFIX!$DH$4:$EF$103,2,0))</f>
        <v>#N/A</v>
      </c>
      <c r="E2785" s="755" t="e">
        <f>IF($C$2785=0,NA(),VLOOKUP($I$2761&amp;$B$2785,FLNFIX!$DH$4:$EF$103,4,0))</f>
        <v>#N/A</v>
      </c>
      <c r="F2785" s="755" t="e">
        <f>IF($C$2785=0,NA(),VLOOKUP($I$2761&amp;$B$2785,FLNFIX!$DH$4:$EF$103,3,0))</f>
        <v>#N/A</v>
      </c>
      <c r="G2785" s="756" t="e">
        <f>IF($C$2785=0,NA(),VLOOKUP($I$2761&amp;$B$2785,FLNFIX!$DH$4:$EF$103,5,0))</f>
        <v>#N/A</v>
      </c>
      <c r="H2785" s="757"/>
      <c r="I2785" s="757"/>
      <c r="J2785" s="758"/>
      <c r="K2785" s="677"/>
    </row>
    <row r="2786" ht="5.1" customHeight="1" spans="1:11">
      <c r="A2786" s="675"/>
      <c r="B2786" s="759"/>
      <c r="C2786" s="759"/>
      <c r="D2786" s="760"/>
      <c r="E2786" s="760"/>
      <c r="F2786" s="760"/>
      <c r="G2786" s="761"/>
      <c r="H2786" s="761"/>
      <c r="I2786" s="761"/>
      <c r="J2786" s="761"/>
      <c r="K2786" s="677"/>
    </row>
    <row r="2787" s="667" customFormat="1" ht="24.95" customHeight="1" spans="1:11">
      <c r="A2787" s="711"/>
      <c r="B2787" s="762" t="s">
        <v>431</v>
      </c>
      <c r="C2787" s="763"/>
      <c r="D2787" s="763"/>
      <c r="E2787" s="763"/>
      <c r="F2787" s="763"/>
      <c r="G2787" s="763"/>
      <c r="H2787" s="763"/>
      <c r="I2787" s="763"/>
      <c r="J2787" s="764"/>
      <c r="K2787" s="713"/>
    </row>
    <row r="2788" spans="1:11">
      <c r="A2788" s="675"/>
      <c r="B2788" s="765"/>
      <c r="C2788" s="686"/>
      <c r="D2788" s="686"/>
      <c r="E2788" s="686"/>
      <c r="F2788" s="686"/>
      <c r="G2788" s="686"/>
      <c r="H2788" s="686"/>
      <c r="I2788" s="686"/>
      <c r="J2788" s="766"/>
      <c r="K2788" s="677"/>
    </row>
    <row r="2789" spans="1:11">
      <c r="A2789" s="675"/>
      <c r="B2789" s="765"/>
      <c r="C2789" s="686"/>
      <c r="D2789" s="686"/>
      <c r="E2789" s="686"/>
      <c r="F2789" s="686"/>
      <c r="G2789" s="686"/>
      <c r="H2789" s="686"/>
      <c r="I2789" s="686"/>
      <c r="J2789" s="766"/>
      <c r="K2789" s="677"/>
    </row>
    <row r="2790" spans="1:11">
      <c r="A2790" s="675"/>
      <c r="B2790" s="765"/>
      <c r="C2790" s="686"/>
      <c r="D2790" s="686"/>
      <c r="E2790" s="686"/>
      <c r="F2790" s="686"/>
      <c r="G2790" s="686"/>
      <c r="H2790" s="686"/>
      <c r="I2790" s="686"/>
      <c r="J2790" s="766"/>
      <c r="K2790" s="677"/>
    </row>
    <row r="2791" spans="1:11">
      <c r="A2791" s="675"/>
      <c r="B2791" s="765"/>
      <c r="C2791" s="686"/>
      <c r="D2791" s="686"/>
      <c r="E2791" s="686"/>
      <c r="F2791" s="686"/>
      <c r="G2791" s="686"/>
      <c r="H2791" s="686"/>
      <c r="I2791" s="686"/>
      <c r="J2791" s="766"/>
      <c r="K2791" s="677"/>
    </row>
    <row r="2792" spans="1:11">
      <c r="A2792" s="675"/>
      <c r="B2792" s="765"/>
      <c r="C2792" s="686"/>
      <c r="D2792" s="686"/>
      <c r="E2792" s="686"/>
      <c r="F2792" s="686"/>
      <c r="G2792" s="686"/>
      <c r="H2792" s="686"/>
      <c r="I2792" s="686"/>
      <c r="J2792" s="766"/>
      <c r="K2792" s="677"/>
    </row>
    <row r="2793" spans="1:11">
      <c r="A2793" s="675"/>
      <c r="B2793" s="765"/>
      <c r="C2793" s="686"/>
      <c r="D2793" s="686"/>
      <c r="E2793" s="686"/>
      <c r="F2793" s="686"/>
      <c r="G2793" s="686"/>
      <c r="H2793" s="686"/>
      <c r="I2793" s="686"/>
      <c r="J2793" s="766"/>
      <c r="K2793" s="677"/>
    </row>
    <row r="2794" spans="1:11">
      <c r="A2794" s="675"/>
      <c r="B2794" s="765"/>
      <c r="C2794" s="686"/>
      <c r="D2794" s="686"/>
      <c r="E2794" s="686"/>
      <c r="F2794" s="686"/>
      <c r="G2794" s="686"/>
      <c r="H2794" s="686"/>
      <c r="I2794" s="686"/>
      <c r="J2794" s="766"/>
      <c r="K2794" s="677"/>
    </row>
    <row r="2795" spans="1:11">
      <c r="A2795" s="675"/>
      <c r="B2795" s="765"/>
      <c r="C2795" s="686"/>
      <c r="D2795" s="686"/>
      <c r="E2795" s="686"/>
      <c r="F2795" s="686"/>
      <c r="G2795" s="686"/>
      <c r="H2795" s="686"/>
      <c r="I2795" s="686"/>
      <c r="J2795" s="766"/>
      <c r="K2795" s="677"/>
    </row>
    <row r="2796" spans="1:11">
      <c r="A2796" s="675"/>
      <c r="B2796" s="765"/>
      <c r="C2796" s="686"/>
      <c r="D2796" s="686"/>
      <c r="E2796" s="686"/>
      <c r="F2796" s="686"/>
      <c r="G2796" s="686"/>
      <c r="H2796" s="686"/>
      <c r="I2796" s="686"/>
      <c r="J2796" s="766"/>
      <c r="K2796" s="677"/>
    </row>
    <row r="2797" spans="1:11">
      <c r="A2797" s="675"/>
      <c r="B2797" s="767"/>
      <c r="C2797" s="768"/>
      <c r="D2797" s="768"/>
      <c r="E2797" s="768"/>
      <c r="F2797" s="768"/>
      <c r="G2797" s="768"/>
      <c r="H2797" s="768"/>
      <c r="I2797" s="768"/>
      <c r="J2797" s="769"/>
      <c r="K2797" s="677"/>
    </row>
    <row r="2798" ht="5.1" customHeight="1" spans="1:11">
      <c r="A2798" s="675"/>
      <c r="B2798" s="686"/>
      <c r="C2798" s="686"/>
      <c r="D2798" s="686"/>
      <c r="E2798" s="686"/>
      <c r="F2798" s="686"/>
      <c r="G2798" s="686"/>
      <c r="H2798" s="686"/>
      <c r="I2798" s="686"/>
      <c r="J2798" s="686"/>
      <c r="K2798" s="677"/>
    </row>
    <row r="2799" spans="1:11">
      <c r="A2799" s="675"/>
      <c r="B2799" s="770" t="s">
        <v>432</v>
      </c>
      <c r="C2799" s="770"/>
      <c r="D2799" s="770"/>
      <c r="E2799" s="770"/>
      <c r="F2799" s="770"/>
      <c r="G2799" s="770"/>
      <c r="H2799" s="770"/>
      <c r="I2799" s="770"/>
      <c r="J2799" s="770"/>
      <c r="K2799" s="677"/>
    </row>
    <row r="2800" spans="1:11">
      <c r="A2800" s="675"/>
      <c r="B2800" s="771"/>
      <c r="C2800" s="771"/>
      <c r="D2800" s="771"/>
      <c r="E2800" s="771"/>
      <c r="F2800" s="771"/>
      <c r="G2800" s="771"/>
      <c r="H2800" s="771"/>
      <c r="I2800" s="771"/>
      <c r="J2800" s="771"/>
      <c r="K2800" s="677"/>
    </row>
    <row r="2801" spans="1:11">
      <c r="A2801" s="675"/>
      <c r="B2801" s="771"/>
      <c r="C2801" s="771"/>
      <c r="D2801" s="771"/>
      <c r="E2801" s="771"/>
      <c r="F2801" s="771"/>
      <c r="G2801" s="771"/>
      <c r="H2801" s="771"/>
      <c r="I2801" s="771"/>
      <c r="J2801" s="771"/>
      <c r="K2801" s="677"/>
    </row>
    <row r="2802" spans="1:11">
      <c r="A2802" s="675"/>
      <c r="B2802" s="771"/>
      <c r="C2802" s="771"/>
      <c r="D2802" s="771"/>
      <c r="E2802" s="771"/>
      <c r="F2802" s="771"/>
      <c r="G2802" s="771"/>
      <c r="H2802" s="771"/>
      <c r="I2802" s="771"/>
      <c r="J2802" s="771"/>
      <c r="K2802" s="677"/>
    </row>
    <row r="2803" spans="1:11">
      <c r="A2803" s="675"/>
      <c r="B2803" s="686"/>
      <c r="C2803" s="686"/>
      <c r="D2803" s="686"/>
      <c r="E2803" s="686"/>
      <c r="F2803" s="686"/>
      <c r="G2803" s="686"/>
      <c r="H2803" s="686"/>
      <c r="I2803" s="686"/>
      <c r="J2803" s="686"/>
      <c r="K2803" s="677"/>
    </row>
    <row r="2804" spans="1:11">
      <c r="A2804" s="675"/>
      <c r="B2804" s="686"/>
      <c r="C2804" s="729" t="s">
        <v>433</v>
      </c>
      <c r="D2804" s="729"/>
      <c r="E2804" s="686"/>
      <c r="F2804" s="686"/>
      <c r="G2804" s="729" t="s">
        <v>434</v>
      </c>
      <c r="H2804" s="729"/>
      <c r="I2804" s="729"/>
      <c r="J2804" s="729"/>
      <c r="K2804" s="677"/>
    </row>
    <row r="2805" ht="16.35" spans="1:11">
      <c r="A2805" s="725"/>
      <c r="B2805" s="726"/>
      <c r="C2805" s="732" t="str">
        <f>"("&amp;PROPER(ENTRY!$D$19)&amp;")"</f>
        <v>(Indrajeet)</v>
      </c>
      <c r="D2805" s="732"/>
      <c r="E2805" s="726"/>
      <c r="F2805" s="726"/>
      <c r="G2805" s="732" t="str">
        <f>"("&amp;PROPER(ENTRY!$D$12)&amp;")"</f>
        <v>(Shambhu Dayal Meena)</v>
      </c>
      <c r="H2805" s="732"/>
      <c r="I2805" s="732"/>
      <c r="J2805" s="732"/>
      <c r="K2805" s="728"/>
    </row>
    <row r="2806" ht="24.6" spans="1:11">
      <c r="B2806" s="734"/>
      <c r="C2806" s="734"/>
      <c r="D2806" s="669" t="str">
        <f>ENTRY!$D$3</f>
        <v>MUNICIPAL CORPORATION OF DELHI</v>
      </c>
      <c r="E2806" s="669"/>
      <c r="F2806" s="669"/>
      <c r="G2806" s="669"/>
      <c r="H2806" s="734"/>
      <c r="I2806" s="669"/>
      <c r="J2806" s="669"/>
    </row>
    <row r="2807" ht="20.4" spans="1:11">
      <c r="B2807" s="735"/>
      <c r="C2807" s="735"/>
      <c r="D2807" s="670" t="str">
        <f>ENTRY!$D$4</f>
        <v>EDUCATION DEPARTMENT</v>
      </c>
      <c r="E2807" s="670"/>
      <c r="F2807" s="670"/>
      <c r="G2807" s="670"/>
      <c r="H2807" s="735"/>
      <c r="I2807" s="669"/>
      <c r="J2807" s="669"/>
    </row>
    <row r="2808" ht="22.8" spans="1:11">
      <c r="B2808" s="736"/>
      <c r="C2808" s="736"/>
      <c r="D2808" s="664" t="s">
        <v>417</v>
      </c>
      <c r="E2808" s="664"/>
      <c r="F2808" s="664"/>
      <c r="G2808" s="664"/>
      <c r="H2808" s="736"/>
      <c r="I2808" s="669"/>
      <c r="J2808" s="669"/>
    </row>
    <row r="2809" ht="22.8" spans="1:11">
      <c r="B2809" s="736"/>
      <c r="C2809" s="736"/>
      <c r="D2809" s="664" t="s">
        <v>418</v>
      </c>
      <c r="E2809" s="664"/>
      <c r="F2809" s="664"/>
      <c r="G2809" s="664"/>
      <c r="H2809" s="736"/>
      <c r="I2809" s="669"/>
      <c r="J2809" s="669"/>
    </row>
    <row r="2810" ht="24.95" customHeight="1" spans="1:11">
      <c r="B2810" s="735"/>
      <c r="C2810" s="735"/>
      <c r="D2810" s="737" t="str">
        <f>"SESSION : "&amp;ENTRY!$D$11</f>
        <v>SESSION : 2026-27</v>
      </c>
      <c r="E2810" s="737"/>
      <c r="F2810" s="737"/>
      <c r="G2810" s="737"/>
      <c r="H2810" s="735"/>
      <c r="I2810" s="738"/>
      <c r="J2810" s="738"/>
    </row>
    <row r="2811" ht="3.75" customHeight="1" spans="1:11">
      <c r="A2811" s="672"/>
      <c r="B2811" s="739"/>
      <c r="C2811" s="739"/>
      <c r="D2811" s="739"/>
      <c r="E2811" s="739"/>
      <c r="F2811" s="739"/>
      <c r="G2811" s="739"/>
      <c r="H2811" s="739"/>
      <c r="I2811" s="739"/>
      <c r="J2811" s="739"/>
      <c r="K2811" s="674"/>
    </row>
    <row r="2812" ht="21.95" customHeight="1" spans="1:11">
      <c r="A2812" s="675"/>
      <c r="B2812" s="676" t="s">
        <v>419</v>
      </c>
      <c r="C2812" s="676"/>
      <c r="D2812" s="676" t="str">
        <f>ENTRY!$D$6</f>
        <v>MCP NITHARI NO 1 BOYS</v>
      </c>
      <c r="E2812" s="676"/>
      <c r="F2812" s="676"/>
      <c r="G2812" s="676"/>
      <c r="H2812" s="676"/>
      <c r="I2812" s="676"/>
      <c r="J2812" s="676"/>
      <c r="K2812" s="677"/>
    </row>
    <row r="2813" ht="21.95" customHeight="1" spans="1:11">
      <c r="A2813" s="675"/>
      <c r="B2813" s="676" t="s">
        <v>420</v>
      </c>
      <c r="C2813" s="676"/>
      <c r="D2813" s="740">
        <f>IFERROR(VLOOKUP($I$2816,STUDENT!$A$2:$BP$101,5,0),"")</f>
        <v>0</v>
      </c>
      <c r="E2813" s="740"/>
      <c r="F2813" s="740"/>
      <c r="G2813" s="740"/>
      <c r="H2813" s="740"/>
      <c r="I2813" s="740"/>
      <c r="J2813" s="740"/>
      <c r="K2813" s="677"/>
    </row>
    <row r="2814" ht="21.95" customHeight="1" spans="1:11">
      <c r="A2814" s="675"/>
      <c r="B2814" s="676" t="s">
        <v>421</v>
      </c>
      <c r="C2814" s="676"/>
      <c r="D2814" s="740">
        <f>IFERROR(VLOOKUP($I$2816,STUDENT!$A$2:$BP$101,8,0),"")</f>
        <v>0</v>
      </c>
      <c r="E2814" s="740"/>
      <c r="F2814" s="740"/>
      <c r="G2814" s="740"/>
      <c r="H2814" s="740"/>
      <c r="I2814" s="740"/>
      <c r="J2814" s="740"/>
      <c r="K2814" s="677"/>
    </row>
    <row r="2815" ht="21.95" customHeight="1" spans="1:11">
      <c r="A2815" s="675"/>
      <c r="B2815" s="676" t="s">
        <v>422</v>
      </c>
      <c r="C2815" s="676"/>
      <c r="D2815" s="740">
        <f>IFERROR(VLOOKUP($I$2816,STUDENT!$A$2:$BP$101,6,0),"")</f>
        <v>0</v>
      </c>
      <c r="E2815" s="740"/>
      <c r="F2815" s="740"/>
      <c r="G2815" s="740"/>
      <c r="H2815" s="740"/>
      <c r="I2815" s="740"/>
      <c r="J2815" s="740"/>
      <c r="K2815" s="677"/>
    </row>
    <row r="2816" ht="21.95" customHeight="1" spans="1:11">
      <c r="A2816" s="675"/>
      <c r="B2816" s="676" t="s">
        <v>423</v>
      </c>
      <c r="C2816" s="676"/>
      <c r="D2816" s="741" t="str">
        <f>IFERROR(VLOOKUP($I$2816,STUDENT!$A$2:$BP$101,59,0),"")</f>
        <v/>
      </c>
      <c r="E2816" s="742" t="s">
        <v>424</v>
      </c>
      <c r="F2816" s="704" t="str">
        <f>IFERROR(VLOOKUP($I$2816,STUDENT!$A$2:$BP$101,2,0),"")</f>
        <v>III-A</v>
      </c>
      <c r="G2816" s="742" t="s">
        <v>425</v>
      </c>
      <c r="H2816" s="743"/>
      <c r="I2816" s="733">
        <f>I2761+1</f>
        <v>52</v>
      </c>
      <c r="J2816" s="683"/>
      <c r="K2816" s="677"/>
    </row>
    <row r="2817" ht="5.1" customHeight="1" spans="1:11">
      <c r="A2817" s="675"/>
      <c r="B2817" s="745"/>
      <c r="C2817" s="745"/>
      <c r="D2817" s="746"/>
      <c r="E2817" s="747"/>
      <c r="F2817" s="748"/>
      <c r="G2817" s="747"/>
      <c r="H2817" s="686"/>
      <c r="I2817" s="686"/>
      <c r="J2817" s="686"/>
      <c r="K2817" s="677"/>
    </row>
    <row r="2818" s="664" customFormat="1" ht="32.1" customHeight="1" spans="1:11">
      <c r="A2818" s="688"/>
      <c r="B2818" s="749" t="s">
        <v>426</v>
      </c>
      <c r="C2818" s="750"/>
      <c r="D2818" s="750"/>
      <c r="E2818" s="750"/>
      <c r="F2818" s="750"/>
      <c r="G2818" s="750"/>
      <c r="H2818" s="750"/>
      <c r="I2818" s="750"/>
      <c r="J2818" s="751"/>
      <c r="K2818" s="690"/>
    </row>
    <row r="2819" ht="51.6" spans="1:11">
      <c r="A2819" s="675"/>
      <c r="B2819" s="752">
        <v>21</v>
      </c>
      <c r="C2819" s="753" t="s">
        <v>427</v>
      </c>
      <c r="D2819" s="754" t="s">
        <v>428</v>
      </c>
      <c r="E2819" s="754" t="s">
        <v>429</v>
      </c>
      <c r="F2819" s="754" t="s">
        <v>430</v>
      </c>
      <c r="G2819" s="753" t="s">
        <v>390</v>
      </c>
      <c r="H2819" s="714"/>
      <c r="I2819" s="714"/>
      <c r="J2819" s="714"/>
      <c r="K2819" s="677"/>
    </row>
    <row r="2820" ht="20.1" customHeight="1" spans="1:11">
      <c r="A2820" s="675"/>
      <c r="B2820" s="755">
        <v>1</v>
      </c>
      <c r="C2820" s="755" t="str">
        <f>IFERROR(VLOOKUP(B2820,DATEWISE!$A$3:$BY$27,2,0),0)</f>
        <v>30.04.2026</v>
      </c>
      <c r="D2820" s="755">
        <f>IF($C$2820=0,NA(),VLOOKUP($I$2816&amp;$B$2820,FLNFIX!$L$4:$EF$103,2,0))</f>
        <v>0</v>
      </c>
      <c r="E2820" s="755">
        <f>IF($C$2820=0,NA(),VLOOKUP($I$2816&amp;$B$2820,FLNFIX!$L$4:$EF$103,4,0))</f>
        <v>0</v>
      </c>
      <c r="F2820" s="755">
        <f>IF($C$2820=0,NA(),VLOOKUP($I$2816&amp;$B$2820,FLNFIX!$L$4:$EF$103,3,0))</f>
        <v>0</v>
      </c>
      <c r="G2820" s="756">
        <f>IF($C$2820=0,NA(),VLOOKUP($I$2816&amp;$B$2820,FLNFIX!$L$4:$EF$103,5,0))</f>
        <v>0</v>
      </c>
      <c r="H2820" s="757"/>
      <c r="I2820" s="757"/>
      <c r="J2820" s="758"/>
      <c r="K2820" s="677"/>
    </row>
    <row r="2821" ht="20.1" customHeight="1" spans="1:11">
      <c r="A2821" s="675"/>
      <c r="B2821" s="755">
        <f t="shared" ref="B2821:B2840" si="51">IF(B2820=0,0,IF(B2820&lt;$B$2819,B2820+1,""))</f>
        <v>2</v>
      </c>
      <c r="C2821" s="755" t="str">
        <f>IFERROR(VLOOKUP(B2821,DATEWISE!$A$3:$BY$27,2,0),0)</f>
        <v>08.05.2026</v>
      </c>
      <c r="D2821" s="755">
        <f>IF($C$2821=0,NA(),VLOOKUP($I$2816&amp;$B$2821,FLNFIX!$Q$4:$EF$103,2,0))</f>
        <v>0</v>
      </c>
      <c r="E2821" s="755">
        <f>IF($C$2821=0,NA(),VLOOKUP($I$2816&amp;$B$2821,FLNFIX!$Q$4:$EF$103,4,0))</f>
        <v>0</v>
      </c>
      <c r="F2821" s="755">
        <f>IF($C$2821=0,NA(),VLOOKUP($I$2816&amp;$B$2821,FLNFIX!$Q$4:$EF$103,3,0))</f>
        <v>0</v>
      </c>
      <c r="G2821" s="756">
        <f>IF($C$2821=0,NA(),VLOOKUP($I$2816&amp;$B$2821,FLNFIX!$Q$4:$EF$103,5,0))</f>
        <v>0</v>
      </c>
      <c r="H2821" s="757"/>
      <c r="I2821" s="757"/>
      <c r="J2821" s="758"/>
      <c r="K2821" s="677"/>
    </row>
    <row r="2822" ht="20.1" customHeight="1" spans="1:11">
      <c r="A2822" s="675"/>
      <c r="B2822" s="755">
        <f t="shared" si="51"/>
        <v>3</v>
      </c>
      <c r="C2822" s="755" t="str">
        <f>IFERROR(VLOOKUP(B2822,DATEWISE!$A$3:$BY$27,2,0),0)</f>
        <v>15.07.2026</v>
      </c>
      <c r="D2822" s="755">
        <f>IF($C$2822=0,NA(),VLOOKUP($I$2816&amp;$B$2822,FLNFIX!$V$4:$EF$103,2,0))</f>
        <v>0</v>
      </c>
      <c r="E2822" s="755">
        <f>IF($C$2822=0,NA(),VLOOKUP($I$2816&amp;$B$2822,FLNFIX!$V$4:$EF$103,4,0))</f>
        <v>0</v>
      </c>
      <c r="F2822" s="755">
        <f>IF($C$2822=0,NA(),VLOOKUP($I$2816&amp;$B$2822,FLNFIX!$V$4:$EF$103,3,0))</f>
        <v>0</v>
      </c>
      <c r="G2822" s="756">
        <f>IF($C$2822=0,NA(),VLOOKUP($I$2816&amp;$B$2822,FLNFIX!$V$4:$EF$103,5,0))</f>
        <v>0</v>
      </c>
      <c r="H2822" s="757"/>
      <c r="I2822" s="757"/>
      <c r="J2822" s="758"/>
      <c r="K2822" s="677"/>
    </row>
    <row r="2823" ht="20.1" customHeight="1" spans="1:11">
      <c r="A2823" s="675"/>
      <c r="B2823" s="755">
        <f t="shared" si="51"/>
        <v>4</v>
      </c>
      <c r="C2823" s="755" t="str">
        <f>IFERROR(VLOOKUP(B2823,DATEWISE!$A$3:$BY$27,2,0),0)</f>
        <v>31.07.2026</v>
      </c>
      <c r="D2823" s="755">
        <f>IF($C$2823=0,NA(),VLOOKUP($I$2816&amp;$B$2823,FLNFIX!$AA$4:$EF$103,2,0))</f>
        <v>0</v>
      </c>
      <c r="E2823" s="755">
        <f>IF($C$2823=0,NA(),VLOOKUP($I$2816&amp;$B$2823,FLNFIX!$AA$4:$EF$103,4,0))</f>
        <v>0</v>
      </c>
      <c r="F2823" s="755">
        <f>IF($C$2823=0,NA(),VLOOKUP($I$2816&amp;$B$2823,FLNFIX!$AA$4:$EF$103,3,0))</f>
        <v>0</v>
      </c>
      <c r="G2823" s="756">
        <f>IF($C$2823=0,NA(),VLOOKUP($I$2816&amp;$B$2823,FLNFIX!$AA$4:$EF$103,5,0))</f>
        <v>0</v>
      </c>
      <c r="H2823" s="757"/>
      <c r="I2823" s="757"/>
      <c r="J2823" s="758"/>
      <c r="K2823" s="677"/>
    </row>
    <row r="2824" ht="20.1" customHeight="1" spans="1:11">
      <c r="A2824" s="675"/>
      <c r="B2824" s="755">
        <f t="shared" si="51"/>
        <v>5</v>
      </c>
      <c r="C2824" s="755" t="str">
        <f>IFERROR(VLOOKUP(B2824,DATEWISE!$A$3:$BY$27,2,0),0)</f>
        <v>17.08.2026</v>
      </c>
      <c r="D2824" s="755">
        <f>IF($C$2824=0,NA(),VLOOKUP($I$2816&amp;$B$2824,FLNFIX!$AF$4:$EF$103,2,0))</f>
        <v>0</v>
      </c>
      <c r="E2824" s="755">
        <f>IF($C$2824=0,NA(),VLOOKUP($I$2816&amp;$B$2824,FLNFIX!$AF$4:$EF$103,4,0))</f>
        <v>0</v>
      </c>
      <c r="F2824" s="755">
        <f>IF($C$2824=0,NA(),VLOOKUP($I$2816&amp;$B$2824,FLNFIX!$AF$4:$EF$103,3,0))</f>
        <v>0</v>
      </c>
      <c r="G2824" s="756">
        <f>IF($C$2824=0,NA(),VLOOKUP($I$2816&amp;$B$2824,FLNFIX!$AF$4:$EF$103,5,0))</f>
        <v>0</v>
      </c>
      <c r="H2824" s="757"/>
      <c r="I2824" s="757"/>
      <c r="J2824" s="758"/>
      <c r="K2824" s="677"/>
    </row>
    <row r="2825" ht="20.1" customHeight="1" spans="1:11">
      <c r="A2825" s="675"/>
      <c r="B2825" s="755">
        <f t="shared" si="51"/>
        <v>6</v>
      </c>
      <c r="C2825" s="755" t="str">
        <f>IFERROR(VLOOKUP(B2825,DATEWISE!$A$3:$BY$27,2,0),0)</f>
        <v>31.08.2026</v>
      </c>
      <c r="D2825" s="755">
        <f>IF($C$2825=0,NA(),VLOOKUP($I$2816&amp;$B$2825,FLNFIX!$AK$4:$EF$103,2,0))</f>
        <v>0</v>
      </c>
      <c r="E2825" s="755">
        <f>IF($C$2825=0,NA(),VLOOKUP($I$2816&amp;$B$2825,FLNFIX!$AK$4:$EF$103,4,0))</f>
        <v>0</v>
      </c>
      <c r="F2825" s="755">
        <f>IF($C$2825=0,NA(),VLOOKUP($I$2816&amp;$B$2825,FLNFIX!$AK$4:$EF$103,3,0))</f>
        <v>0</v>
      </c>
      <c r="G2825" s="756">
        <f>IF($C$2825=0,NA(),VLOOKUP($I$2816&amp;$B$2825,FLNFIX!$AK$4:$EF$103,5,0))</f>
        <v>0</v>
      </c>
      <c r="H2825" s="757"/>
      <c r="I2825" s="757"/>
      <c r="J2825" s="758"/>
      <c r="K2825" s="677"/>
    </row>
    <row r="2826" ht="20.1" customHeight="1" spans="1:11">
      <c r="A2826" s="675"/>
      <c r="B2826" s="755">
        <f t="shared" si="51"/>
        <v>7</v>
      </c>
      <c r="C2826" s="755">
        <f>IFERROR(VLOOKUP(B2826,DATEWISE!$A$3:$BY$27,2,0),0)</f>
        <v>0</v>
      </c>
      <c r="D2826" s="755" t="e">
        <f>IF($C$2826=0,NA(),VLOOKUP($I$2816&amp;$B$2826,FLNFIX!$AP$4:$EF$103,2,0))</f>
        <v>#N/A</v>
      </c>
      <c r="E2826" s="755" t="e">
        <f>IF($C$2826=0,NA(),VLOOKUP($I$2816&amp;$B$2826,FLNFIX!$AP$4:$EF$103,4,0))</f>
        <v>#N/A</v>
      </c>
      <c r="F2826" s="755" t="e">
        <f>IF($C$2826=0,NA(),VLOOKUP($I$2816&amp;$B$2826,FLNFIX!$AP$4:$EF$103,3,0))</f>
        <v>#N/A</v>
      </c>
      <c r="G2826" s="756" t="e">
        <f>IF($C$2826=0,NA(),VLOOKUP($I$2816&amp;$B$2826,FLNFIX!$AP$4:$EF$103,5,0))</f>
        <v>#N/A</v>
      </c>
      <c r="H2826" s="757"/>
      <c r="I2826" s="757"/>
      <c r="J2826" s="758"/>
      <c r="K2826" s="677"/>
    </row>
    <row r="2827" ht="20.1" customHeight="1" spans="1:11">
      <c r="A2827" s="675"/>
      <c r="B2827" s="755">
        <f t="shared" si="51"/>
        <v>8</v>
      </c>
      <c r="C2827" s="755">
        <f>IFERROR(VLOOKUP(B2827,DATEWISE!$A$3:$BY$27,2,0),0)</f>
        <v>0</v>
      </c>
      <c r="D2827" s="755" t="e">
        <f>IF($C$2827=0,NA(),VLOOKUP($I$2816&amp;$B$2827,FLNFIX!$AU$4:$EF$103,2,0))</f>
        <v>#N/A</v>
      </c>
      <c r="E2827" s="755" t="e">
        <f>IF($C$2827=0,NA(),VLOOKUP($I$2816&amp;$B$2827,FLNFIX!$AU$4:$EF$103,4,0))</f>
        <v>#N/A</v>
      </c>
      <c r="F2827" s="755" t="e">
        <f>IF($C$2827=0,NA(),VLOOKUP($I$2816&amp;$B$2827,FLNFIX!$AU$4:$EF$103,3,0))</f>
        <v>#N/A</v>
      </c>
      <c r="G2827" s="756" t="e">
        <f>IF($C$2827=0,NA(),VLOOKUP($I$2816&amp;$B$2827,FLNFIX!$AU$4:$EF$103,5,0))</f>
        <v>#N/A</v>
      </c>
      <c r="H2827" s="757"/>
      <c r="I2827" s="757"/>
      <c r="J2827" s="758"/>
      <c r="K2827" s="677"/>
    </row>
    <row r="2828" ht="20.1" customHeight="1" spans="1:11">
      <c r="A2828" s="675"/>
      <c r="B2828" s="755">
        <f t="shared" si="51"/>
        <v>9</v>
      </c>
      <c r="C2828" s="755">
        <f>IFERROR(VLOOKUP(B2828,DATEWISE!$A$3:$BY$27,2,0),0)</f>
        <v>0</v>
      </c>
      <c r="D2828" s="755" t="e">
        <f>IF($C$2828=0,NA(),VLOOKUP($I$2816&amp;$B$2828,FLNFIX!$AZ$4:$EF$103,2,0))</f>
        <v>#N/A</v>
      </c>
      <c r="E2828" s="755" t="e">
        <f>IF($C$2828=0,NA(),VLOOKUP($I$2816&amp;$B$2828,FLNFIX!$AZ$4:$EF$103,4,0))</f>
        <v>#N/A</v>
      </c>
      <c r="F2828" s="755" t="e">
        <f>IF($C$2828=0,NA(),VLOOKUP($I$2816&amp;$B$2828,FLNFIX!$AZ$4:$EF$103,3,0))</f>
        <v>#N/A</v>
      </c>
      <c r="G2828" s="756" t="e">
        <f>IF($C$2828=0,NA(),VLOOKUP($I$2816&amp;$B$2828,FLNFIX!$AZ$4:$EF$103,5,0))</f>
        <v>#N/A</v>
      </c>
      <c r="H2828" s="757"/>
      <c r="I2828" s="757"/>
      <c r="J2828" s="758"/>
      <c r="K2828" s="677"/>
    </row>
    <row r="2829" ht="20.1" customHeight="1" spans="1:11">
      <c r="A2829" s="675"/>
      <c r="B2829" s="755">
        <f t="shared" si="51"/>
        <v>10</v>
      </c>
      <c r="C2829" s="755">
        <f>IFERROR(VLOOKUP(B2829,DATEWISE!$A$3:$BY$27,2,0),0)</f>
        <v>0</v>
      </c>
      <c r="D2829" s="755" t="e">
        <f>IF($C$2829=0,NA(),VLOOKUP($I$2816&amp;$B$2829,FLNFIX!$BE$4:$EF$103,2,0))</f>
        <v>#N/A</v>
      </c>
      <c r="E2829" s="755" t="e">
        <f>IF($C$2829=0,NA(),VLOOKUP($I$2816&amp;$B$2829,FLNFIX!$BE$4:$EF$103,4,0))</f>
        <v>#N/A</v>
      </c>
      <c r="F2829" s="755" t="e">
        <f>IF($C$2829=0,NA(),VLOOKUP($I$2816&amp;$B$2829,FLNFIX!$BE$4:$EF$103,3,0))</f>
        <v>#N/A</v>
      </c>
      <c r="G2829" s="756" t="e">
        <f>IF($C$2829=0,NA(),VLOOKUP($I$2816&amp;$B$2829,FLNFIX!$BE$4:$EF$103,5,0))</f>
        <v>#N/A</v>
      </c>
      <c r="H2829" s="757"/>
      <c r="I2829" s="757"/>
      <c r="J2829" s="758"/>
      <c r="K2829" s="677"/>
    </row>
    <row r="2830" ht="20.1" customHeight="1" spans="1:11">
      <c r="A2830" s="675"/>
      <c r="B2830" s="755">
        <f t="shared" si="51"/>
        <v>11</v>
      </c>
      <c r="C2830" s="755">
        <f>IFERROR(VLOOKUP(B2830,DATEWISE!$A$3:$BY$27,2,0),0)</f>
        <v>0</v>
      </c>
      <c r="D2830" s="755" t="e">
        <f>IF($C$2830=0,NA(),VLOOKUP($I$2816&amp;$B$2830,FLNFIX!$BJ$4:$EF$103,2,0))</f>
        <v>#N/A</v>
      </c>
      <c r="E2830" s="755" t="e">
        <f>IF($C$2830=0,NA(),VLOOKUP($I$2816&amp;$B$2830,FLNFIX!$BJ$4:$EF$103,4,0))</f>
        <v>#N/A</v>
      </c>
      <c r="F2830" s="755" t="e">
        <f>IF($C$2830=0,NA(),VLOOKUP($I$2816&amp;$B$2830,FLNFIX!$BJ$4:$EF$103,3,0))</f>
        <v>#N/A</v>
      </c>
      <c r="G2830" s="756" t="e">
        <f>IF($C$2830=0,NA(),VLOOKUP($I$2816&amp;$B$2830,FLNFIX!$BJ$4:$EF$103,5,0))</f>
        <v>#N/A</v>
      </c>
      <c r="H2830" s="757"/>
      <c r="I2830" s="757"/>
      <c r="J2830" s="758"/>
      <c r="K2830" s="677"/>
    </row>
    <row r="2831" ht="20.1" customHeight="1" spans="1:11">
      <c r="A2831" s="675"/>
      <c r="B2831" s="755">
        <f t="shared" si="51"/>
        <v>12</v>
      </c>
      <c r="C2831" s="755">
        <f>IFERROR(VLOOKUP(B2831,DATEWISE!$A$3:$BY$27,2,0),0)</f>
        <v>0</v>
      </c>
      <c r="D2831" s="755" t="e">
        <f>IF($C$2831=0,NA(),VLOOKUP($I$2816&amp;$B$2831,FLNFIX!$BO$4:$EF$103,2,0))</f>
        <v>#N/A</v>
      </c>
      <c r="E2831" s="755" t="e">
        <f>IF($C$2831=0,NA(),VLOOKUP($I$2816&amp;$B$2831,FLNFIX!$BO$4:$EF$103,4,0))</f>
        <v>#N/A</v>
      </c>
      <c r="F2831" s="755" t="e">
        <f>IF($C$2831=0,NA(),VLOOKUP($I$2816&amp;$B$2831,FLNFIX!$BO$4:$EF$103,3,0))</f>
        <v>#N/A</v>
      </c>
      <c r="G2831" s="756" t="e">
        <f>IF($C$2831=0,NA(),VLOOKUP($I$2816&amp;$B$2831,FLNFIX!$BO$4:$EF$103,5,0))</f>
        <v>#N/A</v>
      </c>
      <c r="H2831" s="757"/>
      <c r="I2831" s="757"/>
      <c r="J2831" s="758"/>
      <c r="K2831" s="677"/>
    </row>
    <row r="2832" ht="20.1" customHeight="1" spans="1:11">
      <c r="A2832" s="675"/>
      <c r="B2832" s="755">
        <f t="shared" si="51"/>
        <v>13</v>
      </c>
      <c r="C2832" s="755">
        <f>IFERROR(VLOOKUP(B2832,DATEWISE!$A$3:$BY$27,2,0),0)</f>
        <v>0</v>
      </c>
      <c r="D2832" s="755" t="e">
        <f>IF($C$2832=0,NA(),VLOOKUP($I$2816&amp;$B$2832,FLNFIX!$BT$4:$EF$103,2,0))</f>
        <v>#N/A</v>
      </c>
      <c r="E2832" s="755" t="e">
        <f>IF($C$2832=0,NA(),VLOOKUP($I$2816&amp;$B$2832,FLNFIX!$BT$4:$EF$103,4,0))</f>
        <v>#N/A</v>
      </c>
      <c r="F2832" s="755" t="e">
        <f>IF($C$2832=0,NA(),VLOOKUP($I$2816&amp;$B$2832,FLNFIX!$BT$4:$EF$103,3,0))</f>
        <v>#N/A</v>
      </c>
      <c r="G2832" s="756" t="e">
        <f>IF($C$2832=0,NA(),VLOOKUP($I$2816&amp;$B$2832,FLNFIX!$BT$4:$EF$103,5,0))</f>
        <v>#N/A</v>
      </c>
      <c r="H2832" s="757"/>
      <c r="I2832" s="757"/>
      <c r="J2832" s="758"/>
      <c r="K2832" s="677"/>
    </row>
    <row r="2833" ht="20.1" customHeight="1" spans="1:11">
      <c r="A2833" s="675"/>
      <c r="B2833" s="755">
        <f t="shared" si="51"/>
        <v>14</v>
      </c>
      <c r="C2833" s="755">
        <f>IFERROR(VLOOKUP(B2833,DATEWISE!$A$3:$BY$27,2,0),0)</f>
        <v>0</v>
      </c>
      <c r="D2833" s="755" t="e">
        <f>IF($C$2833=0,NA(),VLOOKUP($I$2816&amp;$B$2833,FLNFIX!$BY$4:$EF$103,2,0))</f>
        <v>#N/A</v>
      </c>
      <c r="E2833" s="755" t="e">
        <f>IF($C$2833=0,NA(),VLOOKUP($I$2816&amp;$B$2833,FLNFIX!$BY$4:$EF$103,4,0))</f>
        <v>#N/A</v>
      </c>
      <c r="F2833" s="755" t="e">
        <f>IF($C$2833=0,NA(),VLOOKUP($I$2816&amp;$B$2833,FLNFIX!$BY$4:$EF$103,3,0))</f>
        <v>#N/A</v>
      </c>
      <c r="G2833" s="756" t="e">
        <f>IF($C$2833=0,NA(),VLOOKUP($I$2816&amp;$B$2833,FLNFIX!$BY$4:$EF$103,5,0))</f>
        <v>#N/A</v>
      </c>
      <c r="H2833" s="757"/>
      <c r="I2833" s="757"/>
      <c r="J2833" s="758"/>
      <c r="K2833" s="677"/>
    </row>
    <row r="2834" ht="20.1" customHeight="1" spans="1:11">
      <c r="A2834" s="675"/>
      <c r="B2834" s="755">
        <f t="shared" si="51"/>
        <v>15</v>
      </c>
      <c r="C2834" s="755">
        <f>IFERROR(VLOOKUP(B2834,DATEWISE!$A$3:$BY$27,2,0),0)</f>
        <v>0</v>
      </c>
      <c r="D2834" s="755" t="e">
        <f>IF($C$2834=0,NA(),VLOOKUP($I$2816&amp;$B$2834,FLNFIX!$CD$4:$EF$103,2,0))</f>
        <v>#N/A</v>
      </c>
      <c r="E2834" s="755" t="e">
        <f>IF($C$2834=0,NA(),VLOOKUP($I$2816&amp;$B$2834,FLNFIX!$CD$4:$EF$103,4,0))</f>
        <v>#N/A</v>
      </c>
      <c r="F2834" s="755" t="e">
        <f>IF($C$2834=0,NA(),VLOOKUP($I$2816&amp;$B$2834,FLNFIX!$CD$4:$EF$103,3,0))</f>
        <v>#N/A</v>
      </c>
      <c r="G2834" s="756" t="e">
        <f>IF($C$2834=0,NA(),VLOOKUP($I$2816&amp;$B$2834,FLNFIX!$CD$4:$EF$103,5,0))</f>
        <v>#N/A</v>
      </c>
      <c r="H2834" s="757"/>
      <c r="I2834" s="757"/>
      <c r="J2834" s="758"/>
      <c r="K2834" s="677"/>
    </row>
    <row r="2835" ht="20.1" customHeight="1" spans="1:11">
      <c r="A2835" s="675"/>
      <c r="B2835" s="755">
        <f t="shared" si="51"/>
        <v>16</v>
      </c>
      <c r="C2835" s="755">
        <f>IFERROR(VLOOKUP(B2835,DATEWISE!$A$3:$BY$27,2,0),0)</f>
        <v>0</v>
      </c>
      <c r="D2835" s="755" t="e">
        <f>IF($C$2835=0,NA(),VLOOKUP($I$2816&amp;$B$2835,FLNFIX!$CI$4:$EF$103,2,0))</f>
        <v>#N/A</v>
      </c>
      <c r="E2835" s="755" t="e">
        <f>IF($C$2835=0,NA(),VLOOKUP($I$2816&amp;$B$2835,FLNFIX!$CI$4:$EF$103,4,0))</f>
        <v>#N/A</v>
      </c>
      <c r="F2835" s="755" t="e">
        <f>IF($C$2835=0,NA(),VLOOKUP($I$2816&amp;$B$2835,FLNFIX!$CI$4:$EF$103,3,0))</f>
        <v>#N/A</v>
      </c>
      <c r="G2835" s="756" t="e">
        <f>IF($C$2835=0,NA(),VLOOKUP($I$2816&amp;$B$2835,FLNFIX!$CI$4:$EF$103,5,0))</f>
        <v>#N/A</v>
      </c>
      <c r="H2835" s="757"/>
      <c r="I2835" s="757"/>
      <c r="J2835" s="758"/>
      <c r="K2835" s="677"/>
    </row>
    <row r="2836" ht="20.1" customHeight="1" spans="1:11">
      <c r="A2836" s="675"/>
      <c r="B2836" s="755">
        <f t="shared" si="51"/>
        <v>17</v>
      </c>
      <c r="C2836" s="755">
        <f>IFERROR(VLOOKUP(B2836,DATEWISE!$A$3:$BY$27,2,0),0)</f>
        <v>0</v>
      </c>
      <c r="D2836" s="755" t="e">
        <f>IF($C$2836=0,NA(),VLOOKUP($I$2816&amp;$B$2836,FLNFIX!$CN$4:$EF$103,2,0))</f>
        <v>#N/A</v>
      </c>
      <c r="E2836" s="755" t="e">
        <f>IF($C$2836=0,NA(),VLOOKUP($I$2816&amp;$B$2836,FLNFIX!$CN$4:$EF$103,4,0))</f>
        <v>#N/A</v>
      </c>
      <c r="F2836" s="755" t="e">
        <f>IF($C$2836=0,NA(),VLOOKUP($I$2816&amp;$B$2836,FLNFIX!$CN$4:$EF$103,3,0))</f>
        <v>#N/A</v>
      </c>
      <c r="G2836" s="756" t="e">
        <f>IF($C$2836=0,NA(),VLOOKUP($I$2816&amp;$B$2836,FLNFIX!$CN$4:$EF$103,5,0))</f>
        <v>#N/A</v>
      </c>
      <c r="H2836" s="757"/>
      <c r="I2836" s="757"/>
      <c r="J2836" s="758"/>
      <c r="K2836" s="677"/>
    </row>
    <row r="2837" ht="20.1" customHeight="1" spans="1:11">
      <c r="A2837" s="675"/>
      <c r="B2837" s="755">
        <f t="shared" si="51"/>
        <v>18</v>
      </c>
      <c r="C2837" s="755">
        <f>IFERROR(VLOOKUP(B2837,DATEWISE!$A$3:$BY$27,2,0),0)</f>
        <v>0</v>
      </c>
      <c r="D2837" s="755" t="e">
        <f>IF($C$2837=0,NA(),VLOOKUP($I$2816&amp;$B$2837,FLNFIX!$CS$4:$EF$103,2,0))</f>
        <v>#N/A</v>
      </c>
      <c r="E2837" s="755" t="e">
        <f>IF($C$2837=0,NA(),VLOOKUP($I$2816&amp;$B$2837,FLNFIX!$CS$4:$EF$103,4,0))</f>
        <v>#N/A</v>
      </c>
      <c r="F2837" s="755" t="e">
        <f>IF($C$2837=0,NA(),VLOOKUP($I$2816&amp;$B$2837,FLNFIX!$CS$4:$EF$103,3,0))</f>
        <v>#N/A</v>
      </c>
      <c r="G2837" s="756" t="e">
        <f>IF($C$2837=0,NA(),VLOOKUP($I$2816&amp;$B$2837,FLNFIX!$CS$4:$EF$103,5,0))</f>
        <v>#N/A</v>
      </c>
      <c r="H2837" s="757"/>
      <c r="I2837" s="757"/>
      <c r="J2837" s="758"/>
      <c r="K2837" s="677"/>
    </row>
    <row r="2838" ht="20.1" customHeight="1" spans="1:11">
      <c r="A2838" s="675"/>
      <c r="B2838" s="755">
        <f t="shared" si="51"/>
        <v>19</v>
      </c>
      <c r="C2838" s="755">
        <f>IFERROR(VLOOKUP(B2838,DATEWISE!$A$3:$BY$27,2,0),0)</f>
        <v>0</v>
      </c>
      <c r="D2838" s="755" t="e">
        <f>IF($C$2838=0,NA(),VLOOKUP($I$2816&amp;$B$2838,FLNFIX!$CX$4:$EF$103,2,0))</f>
        <v>#N/A</v>
      </c>
      <c r="E2838" s="755" t="e">
        <f>IF($C$2838=0,NA(),VLOOKUP($I$2816&amp;$B$2838,FLNFIX!$CX$4:$EF$103,4,0))</f>
        <v>#N/A</v>
      </c>
      <c r="F2838" s="755" t="e">
        <f>IF($C$2838=0,NA(),VLOOKUP($I$2816&amp;$B$2838,FLNFIX!$CX$4:$EF$103,3,0))</f>
        <v>#N/A</v>
      </c>
      <c r="G2838" s="756" t="e">
        <f>IF($C$2838=0,NA(),VLOOKUP($I$2816&amp;$B$2838,FLNFIX!$CX$4:$EF$103,5,0))</f>
        <v>#N/A</v>
      </c>
      <c r="H2838" s="757"/>
      <c r="I2838" s="757"/>
      <c r="J2838" s="758"/>
      <c r="K2838" s="677"/>
    </row>
    <row r="2839" ht="20.1" customHeight="1" spans="1:11">
      <c r="A2839" s="675"/>
      <c r="B2839" s="755">
        <f t="shared" si="51"/>
        <v>20</v>
      </c>
      <c r="C2839" s="755">
        <f>IFERROR(VLOOKUP(B2839,DATEWISE!$A$3:$BY$27,2,0),0)</f>
        <v>0</v>
      </c>
      <c r="D2839" s="755" t="e">
        <f>IF($C$2839=0,NA(),VLOOKUP($I$2816&amp;$B$2839,FLNFIX!$DC$4:$EF$103,2,0))</f>
        <v>#N/A</v>
      </c>
      <c r="E2839" s="755" t="e">
        <f>IF($C$2839=0,NA(),VLOOKUP($I$2816&amp;$B$2839,FLNFIX!$DC$4:$EF$103,4,0))</f>
        <v>#N/A</v>
      </c>
      <c r="F2839" s="755" t="e">
        <f>IF($C$2839=0,NA(),VLOOKUP($I$2816&amp;$B$2839,FLNFIX!$DC$4:$EF$103,3,0))</f>
        <v>#N/A</v>
      </c>
      <c r="G2839" s="756" t="e">
        <f>IF($C$2839=0,NA(),VLOOKUP($I$2816&amp;$B$2839,FLNFIX!$DC$4:$EF$103,5,0))</f>
        <v>#N/A</v>
      </c>
      <c r="H2839" s="757"/>
      <c r="I2839" s="757"/>
      <c r="J2839" s="758"/>
      <c r="K2839" s="677"/>
    </row>
    <row r="2840" ht="20.1" customHeight="1" spans="1:11">
      <c r="A2840" s="675"/>
      <c r="B2840" s="755">
        <f t="shared" si="51"/>
        <v>21</v>
      </c>
      <c r="C2840" s="755">
        <f>IFERROR(VLOOKUP(B2840,DATEWISE!$A$3:$BY$27,2,0),0)</f>
        <v>0</v>
      </c>
      <c r="D2840" s="755" t="e">
        <f>IF($C$2840=0,NA(),VLOOKUP($I$2816&amp;$B$2840,FLNFIX!$DH$4:$EF$103,2,0))</f>
        <v>#N/A</v>
      </c>
      <c r="E2840" s="755" t="e">
        <f>IF($C$2840=0,NA(),VLOOKUP($I$2816&amp;$B$2840,FLNFIX!$DH$4:$EF$103,4,0))</f>
        <v>#N/A</v>
      </c>
      <c r="F2840" s="755" t="e">
        <f>IF($C$2840=0,NA(),VLOOKUP($I$2816&amp;$B$2840,FLNFIX!$DH$4:$EF$103,3,0))</f>
        <v>#N/A</v>
      </c>
      <c r="G2840" s="756" t="e">
        <f>IF($C$2840=0,NA(),VLOOKUP($I$2816&amp;$B$2840,FLNFIX!$DH$4:$EF$103,5,0))</f>
        <v>#N/A</v>
      </c>
      <c r="H2840" s="757"/>
      <c r="I2840" s="757"/>
      <c r="J2840" s="758"/>
      <c r="K2840" s="677"/>
    </row>
    <row r="2841" ht="5.1" customHeight="1" spans="1:11">
      <c r="A2841" s="675"/>
      <c r="B2841" s="759"/>
      <c r="C2841" s="759"/>
      <c r="D2841" s="760"/>
      <c r="E2841" s="760"/>
      <c r="F2841" s="760"/>
      <c r="G2841" s="761"/>
      <c r="H2841" s="761"/>
      <c r="I2841" s="761"/>
      <c r="J2841" s="761"/>
      <c r="K2841" s="677"/>
    </row>
    <row r="2842" s="667" customFormat="1" ht="24.95" customHeight="1" spans="1:11">
      <c r="A2842" s="711"/>
      <c r="B2842" s="762" t="s">
        <v>431</v>
      </c>
      <c r="C2842" s="763"/>
      <c r="D2842" s="763"/>
      <c r="E2842" s="763"/>
      <c r="F2842" s="763"/>
      <c r="G2842" s="763"/>
      <c r="H2842" s="763"/>
      <c r="I2842" s="763"/>
      <c r="J2842" s="764"/>
      <c r="K2842" s="713"/>
    </row>
    <row r="2843" spans="1:11">
      <c r="A2843" s="675"/>
      <c r="B2843" s="765"/>
      <c r="C2843" s="686"/>
      <c r="D2843" s="686"/>
      <c r="E2843" s="686"/>
      <c r="F2843" s="686"/>
      <c r="G2843" s="686"/>
      <c r="H2843" s="686"/>
      <c r="I2843" s="686"/>
      <c r="J2843" s="766"/>
      <c r="K2843" s="677"/>
    </row>
    <row r="2844" spans="1:11">
      <c r="A2844" s="675"/>
      <c r="B2844" s="765"/>
      <c r="C2844" s="686"/>
      <c r="D2844" s="686"/>
      <c r="E2844" s="686"/>
      <c r="F2844" s="686"/>
      <c r="G2844" s="686"/>
      <c r="H2844" s="686"/>
      <c r="I2844" s="686"/>
      <c r="J2844" s="766"/>
      <c r="K2844" s="677"/>
    </row>
    <row r="2845" spans="1:11">
      <c r="A2845" s="675"/>
      <c r="B2845" s="765"/>
      <c r="C2845" s="686"/>
      <c r="D2845" s="686"/>
      <c r="E2845" s="686"/>
      <c r="F2845" s="686"/>
      <c r="G2845" s="686"/>
      <c r="H2845" s="686"/>
      <c r="I2845" s="686"/>
      <c r="J2845" s="766"/>
      <c r="K2845" s="677"/>
    </row>
    <row r="2846" spans="1:11">
      <c r="A2846" s="675"/>
      <c r="B2846" s="765"/>
      <c r="C2846" s="686"/>
      <c r="D2846" s="686"/>
      <c r="E2846" s="686"/>
      <c r="F2846" s="686"/>
      <c r="G2846" s="686"/>
      <c r="H2846" s="686"/>
      <c r="I2846" s="686"/>
      <c r="J2846" s="766"/>
      <c r="K2846" s="677"/>
    </row>
    <row r="2847" spans="1:11">
      <c r="A2847" s="675"/>
      <c r="B2847" s="765"/>
      <c r="C2847" s="686"/>
      <c r="D2847" s="686"/>
      <c r="E2847" s="686"/>
      <c r="F2847" s="686"/>
      <c r="G2847" s="686"/>
      <c r="H2847" s="686"/>
      <c r="I2847" s="686"/>
      <c r="J2847" s="766"/>
      <c r="K2847" s="677"/>
    </row>
    <row r="2848" spans="1:11">
      <c r="A2848" s="675"/>
      <c r="B2848" s="765"/>
      <c r="C2848" s="686"/>
      <c r="D2848" s="686"/>
      <c r="E2848" s="686"/>
      <c r="F2848" s="686"/>
      <c r="G2848" s="686"/>
      <c r="H2848" s="686"/>
      <c r="I2848" s="686"/>
      <c r="J2848" s="766"/>
      <c r="K2848" s="677"/>
    </row>
    <row r="2849" spans="1:11">
      <c r="A2849" s="675"/>
      <c r="B2849" s="765"/>
      <c r="C2849" s="686"/>
      <c r="D2849" s="686"/>
      <c r="E2849" s="686"/>
      <c r="F2849" s="686"/>
      <c r="G2849" s="686"/>
      <c r="H2849" s="686"/>
      <c r="I2849" s="686"/>
      <c r="J2849" s="766"/>
      <c r="K2849" s="677"/>
    </row>
    <row r="2850" spans="1:11">
      <c r="A2850" s="675"/>
      <c r="B2850" s="765"/>
      <c r="C2850" s="686"/>
      <c r="D2850" s="686"/>
      <c r="E2850" s="686"/>
      <c r="F2850" s="686"/>
      <c r="G2850" s="686"/>
      <c r="H2850" s="686"/>
      <c r="I2850" s="686"/>
      <c r="J2850" s="766"/>
      <c r="K2850" s="677"/>
    </row>
    <row r="2851" spans="1:11">
      <c r="A2851" s="675"/>
      <c r="B2851" s="765"/>
      <c r="C2851" s="686"/>
      <c r="D2851" s="686"/>
      <c r="E2851" s="686"/>
      <c r="F2851" s="686"/>
      <c r="G2851" s="686"/>
      <c r="H2851" s="686"/>
      <c r="I2851" s="686"/>
      <c r="J2851" s="766"/>
      <c r="K2851" s="677"/>
    </row>
    <row r="2852" spans="1:11">
      <c r="A2852" s="675"/>
      <c r="B2852" s="767"/>
      <c r="C2852" s="768"/>
      <c r="D2852" s="768"/>
      <c r="E2852" s="768"/>
      <c r="F2852" s="768"/>
      <c r="G2852" s="768"/>
      <c r="H2852" s="768"/>
      <c r="I2852" s="768"/>
      <c r="J2852" s="769"/>
      <c r="K2852" s="677"/>
    </row>
    <row r="2853" ht="5.1" customHeight="1" spans="1:11">
      <c r="A2853" s="675"/>
      <c r="B2853" s="686"/>
      <c r="C2853" s="686"/>
      <c r="D2853" s="686"/>
      <c r="E2853" s="686"/>
      <c r="F2853" s="686"/>
      <c r="G2853" s="686"/>
      <c r="H2853" s="686"/>
      <c r="I2853" s="686"/>
      <c r="J2853" s="686"/>
      <c r="K2853" s="677"/>
    </row>
    <row r="2854" spans="1:11">
      <c r="A2854" s="675"/>
      <c r="B2854" s="770" t="s">
        <v>432</v>
      </c>
      <c r="C2854" s="770"/>
      <c r="D2854" s="770"/>
      <c r="E2854" s="770"/>
      <c r="F2854" s="770"/>
      <c r="G2854" s="770"/>
      <c r="H2854" s="770"/>
      <c r="I2854" s="770"/>
      <c r="J2854" s="770"/>
      <c r="K2854" s="677"/>
    </row>
    <row r="2855" spans="1:11">
      <c r="A2855" s="675"/>
      <c r="B2855" s="771"/>
      <c r="C2855" s="771"/>
      <c r="D2855" s="771"/>
      <c r="E2855" s="771"/>
      <c r="F2855" s="771"/>
      <c r="G2855" s="771"/>
      <c r="H2855" s="771"/>
      <c r="I2855" s="771"/>
      <c r="J2855" s="771"/>
      <c r="K2855" s="677"/>
    </row>
    <row r="2856" spans="1:11">
      <c r="A2856" s="675"/>
      <c r="B2856" s="771"/>
      <c r="C2856" s="771"/>
      <c r="D2856" s="771"/>
      <c r="E2856" s="771"/>
      <c r="F2856" s="771"/>
      <c r="G2856" s="771"/>
      <c r="H2856" s="771"/>
      <c r="I2856" s="771"/>
      <c r="J2856" s="771"/>
      <c r="K2856" s="677"/>
    </row>
    <row r="2857" spans="1:11">
      <c r="A2857" s="675"/>
      <c r="B2857" s="771"/>
      <c r="C2857" s="771"/>
      <c r="D2857" s="771"/>
      <c r="E2857" s="771"/>
      <c r="F2857" s="771"/>
      <c r="G2857" s="771"/>
      <c r="H2857" s="771"/>
      <c r="I2857" s="771"/>
      <c r="J2857" s="771"/>
      <c r="K2857" s="677"/>
    </row>
    <row r="2858" spans="1:11">
      <c r="A2858" s="675"/>
      <c r="B2858" s="686"/>
      <c r="C2858" s="686"/>
      <c r="D2858" s="686"/>
      <c r="E2858" s="686"/>
      <c r="F2858" s="686"/>
      <c r="G2858" s="686"/>
      <c r="H2858" s="686"/>
      <c r="I2858" s="686"/>
      <c r="J2858" s="686"/>
      <c r="K2858" s="677"/>
    </row>
    <row r="2859" spans="1:11">
      <c r="A2859" s="675"/>
      <c r="B2859" s="686"/>
      <c r="C2859" s="729" t="s">
        <v>433</v>
      </c>
      <c r="D2859" s="729"/>
      <c r="E2859" s="686"/>
      <c r="F2859" s="686"/>
      <c r="G2859" s="729" t="s">
        <v>434</v>
      </c>
      <c r="H2859" s="729"/>
      <c r="I2859" s="729"/>
      <c r="J2859" s="729"/>
      <c r="K2859" s="677"/>
    </row>
    <row r="2860" ht="16.35" spans="1:11">
      <c r="A2860" s="725"/>
      <c r="B2860" s="726"/>
      <c r="C2860" s="732" t="str">
        <f>"("&amp;PROPER(ENTRY!$D$19)&amp;")"</f>
        <v>(Indrajeet)</v>
      </c>
      <c r="D2860" s="732"/>
      <c r="E2860" s="726"/>
      <c r="F2860" s="726"/>
      <c r="G2860" s="732" t="str">
        <f>"("&amp;PROPER(ENTRY!$D$12)&amp;")"</f>
        <v>(Shambhu Dayal Meena)</v>
      </c>
      <c r="H2860" s="732"/>
      <c r="I2860" s="732"/>
      <c r="J2860" s="732"/>
      <c r="K2860" s="728"/>
    </row>
    <row r="2861" ht="24.6" spans="1:11">
      <c r="B2861" s="734"/>
      <c r="C2861" s="734"/>
      <c r="D2861" s="669" t="str">
        <f>ENTRY!$D$3</f>
        <v>MUNICIPAL CORPORATION OF DELHI</v>
      </c>
      <c r="E2861" s="669"/>
      <c r="F2861" s="669"/>
      <c r="G2861" s="669"/>
      <c r="H2861" s="734"/>
      <c r="I2861" s="669"/>
      <c r="J2861" s="669"/>
    </row>
    <row r="2862" ht="20.4" spans="1:11">
      <c r="B2862" s="735"/>
      <c r="C2862" s="735"/>
      <c r="D2862" s="670" t="str">
        <f>ENTRY!$D$4</f>
        <v>EDUCATION DEPARTMENT</v>
      </c>
      <c r="E2862" s="670"/>
      <c r="F2862" s="670"/>
      <c r="G2862" s="670"/>
      <c r="H2862" s="735"/>
      <c r="I2862" s="669"/>
      <c r="J2862" s="669"/>
    </row>
    <row r="2863" ht="22.8" spans="1:11">
      <c r="B2863" s="736"/>
      <c r="C2863" s="736"/>
      <c r="D2863" s="664" t="s">
        <v>417</v>
      </c>
      <c r="E2863" s="664"/>
      <c r="F2863" s="664"/>
      <c r="G2863" s="664"/>
      <c r="H2863" s="736"/>
      <c r="I2863" s="669"/>
      <c r="J2863" s="669"/>
    </row>
    <row r="2864" ht="22.8" spans="1:11">
      <c r="B2864" s="736"/>
      <c r="C2864" s="736"/>
      <c r="D2864" s="664" t="s">
        <v>418</v>
      </c>
      <c r="E2864" s="664"/>
      <c r="F2864" s="664"/>
      <c r="G2864" s="664"/>
      <c r="H2864" s="736"/>
      <c r="I2864" s="669"/>
      <c r="J2864" s="669"/>
    </row>
    <row r="2865" ht="24.95" customHeight="1" spans="1:11">
      <c r="B2865" s="735"/>
      <c r="C2865" s="735"/>
      <c r="D2865" s="737" t="str">
        <f>"SESSION : "&amp;ENTRY!$D$11</f>
        <v>SESSION : 2026-27</v>
      </c>
      <c r="E2865" s="737"/>
      <c r="F2865" s="737"/>
      <c r="G2865" s="737"/>
      <c r="H2865" s="735"/>
      <c r="I2865" s="738"/>
      <c r="J2865" s="738"/>
    </row>
    <row r="2866" ht="3.75" customHeight="1" spans="1:11">
      <c r="A2866" s="672"/>
      <c r="B2866" s="739"/>
      <c r="C2866" s="739"/>
      <c r="D2866" s="739"/>
      <c r="E2866" s="739"/>
      <c r="F2866" s="739"/>
      <c r="G2866" s="739"/>
      <c r="H2866" s="739"/>
      <c r="I2866" s="739"/>
      <c r="J2866" s="739"/>
      <c r="K2866" s="674"/>
    </row>
    <row r="2867" ht="21.95" customHeight="1" spans="1:11">
      <c r="A2867" s="675"/>
      <c r="B2867" s="676" t="s">
        <v>419</v>
      </c>
      <c r="C2867" s="676"/>
      <c r="D2867" s="676" t="str">
        <f>ENTRY!$D$6</f>
        <v>MCP NITHARI NO 1 BOYS</v>
      </c>
      <c r="E2867" s="676"/>
      <c r="F2867" s="676"/>
      <c r="G2867" s="676"/>
      <c r="H2867" s="676"/>
      <c r="I2867" s="676"/>
      <c r="J2867" s="676"/>
      <c r="K2867" s="677"/>
    </row>
    <row r="2868" ht="21.95" customHeight="1" spans="1:11">
      <c r="A2868" s="675"/>
      <c r="B2868" s="676" t="s">
        <v>420</v>
      </c>
      <c r="C2868" s="676"/>
      <c r="D2868" s="740">
        <f>IFERROR(VLOOKUP($I$2871,STUDENT!$A$2:$BP$101,5,0),"")</f>
        <v>0</v>
      </c>
      <c r="E2868" s="740"/>
      <c r="F2868" s="740"/>
      <c r="G2868" s="740"/>
      <c r="H2868" s="740"/>
      <c r="I2868" s="740"/>
      <c r="J2868" s="740"/>
      <c r="K2868" s="677"/>
    </row>
    <row r="2869" ht="21.95" customHeight="1" spans="1:11">
      <c r="A2869" s="675"/>
      <c r="B2869" s="676" t="s">
        <v>421</v>
      </c>
      <c r="C2869" s="676"/>
      <c r="D2869" s="740">
        <f>IFERROR(VLOOKUP($I$2871,STUDENT!$A$2:$BP$101,8,0),"")</f>
        <v>0</v>
      </c>
      <c r="E2869" s="740"/>
      <c r="F2869" s="740"/>
      <c r="G2869" s="740"/>
      <c r="H2869" s="740"/>
      <c r="I2869" s="740"/>
      <c r="J2869" s="740"/>
      <c r="K2869" s="677"/>
    </row>
    <row r="2870" ht="21.95" customHeight="1" spans="1:11">
      <c r="A2870" s="675"/>
      <c r="B2870" s="676" t="s">
        <v>422</v>
      </c>
      <c r="C2870" s="676"/>
      <c r="D2870" s="740">
        <f>IFERROR(VLOOKUP($I$2871,STUDENT!$A$2:$BP$101,6,0),"")</f>
        <v>0</v>
      </c>
      <c r="E2870" s="740"/>
      <c r="F2870" s="740"/>
      <c r="G2870" s="740"/>
      <c r="H2870" s="740"/>
      <c r="I2870" s="740"/>
      <c r="J2870" s="740"/>
      <c r="K2870" s="677"/>
    </row>
    <row r="2871" ht="21.95" customHeight="1" spans="1:11">
      <c r="A2871" s="675"/>
      <c r="B2871" s="676" t="s">
        <v>423</v>
      </c>
      <c r="C2871" s="676"/>
      <c r="D2871" s="741" t="str">
        <f>IFERROR(VLOOKUP($I$2871,STUDENT!$A$2:$BP$101,59,0),"")</f>
        <v/>
      </c>
      <c r="E2871" s="742" t="s">
        <v>424</v>
      </c>
      <c r="F2871" s="704" t="str">
        <f>IFERROR(VLOOKUP($I$2871,STUDENT!$A$2:$BP$101,2,0),"")</f>
        <v>III-A</v>
      </c>
      <c r="G2871" s="742" t="s">
        <v>425</v>
      </c>
      <c r="H2871" s="743"/>
      <c r="I2871" s="733">
        <f>I2816+1</f>
        <v>53</v>
      </c>
      <c r="J2871" s="683"/>
      <c r="K2871" s="677"/>
    </row>
    <row r="2872" ht="5.1" customHeight="1" spans="1:11">
      <c r="A2872" s="675"/>
      <c r="B2872" s="745"/>
      <c r="C2872" s="745"/>
      <c r="D2872" s="746"/>
      <c r="E2872" s="747"/>
      <c r="F2872" s="748"/>
      <c r="G2872" s="747"/>
      <c r="H2872" s="686"/>
      <c r="I2872" s="686"/>
      <c r="J2872" s="686"/>
      <c r="K2872" s="677"/>
    </row>
    <row r="2873" s="664" customFormat="1" ht="32.1" customHeight="1" spans="1:11">
      <c r="A2873" s="688"/>
      <c r="B2873" s="749" t="s">
        <v>426</v>
      </c>
      <c r="C2873" s="750"/>
      <c r="D2873" s="750"/>
      <c r="E2873" s="750"/>
      <c r="F2873" s="750"/>
      <c r="G2873" s="750"/>
      <c r="H2873" s="750"/>
      <c r="I2873" s="750"/>
      <c r="J2873" s="751"/>
      <c r="K2873" s="690"/>
    </row>
    <row r="2874" ht="51.6" spans="1:11">
      <c r="A2874" s="675"/>
      <c r="B2874" s="752">
        <v>21</v>
      </c>
      <c r="C2874" s="753" t="s">
        <v>427</v>
      </c>
      <c r="D2874" s="754" t="s">
        <v>428</v>
      </c>
      <c r="E2874" s="754" t="s">
        <v>429</v>
      </c>
      <c r="F2874" s="754" t="s">
        <v>430</v>
      </c>
      <c r="G2874" s="753" t="s">
        <v>390</v>
      </c>
      <c r="H2874" s="714"/>
      <c r="I2874" s="714"/>
      <c r="J2874" s="714"/>
      <c r="K2874" s="677"/>
    </row>
    <row r="2875" ht="20.1" customHeight="1" spans="1:11">
      <c r="A2875" s="675"/>
      <c r="B2875" s="755">
        <v>1</v>
      </c>
      <c r="C2875" s="755" t="str">
        <f>IFERROR(VLOOKUP(B2875,DATEWISE!$A$3:$BY$27,2,0),0)</f>
        <v>30.04.2026</v>
      </c>
      <c r="D2875" s="755">
        <f>IF($C$2875=0,NA(),VLOOKUP($I$2871&amp;$B$2875,FLNFIX!$L$4:$EF$103,2,0))</f>
        <v>0</v>
      </c>
      <c r="E2875" s="755">
        <f>IF($C$2875=0,NA(),VLOOKUP($I$2871&amp;$B$2875,FLNFIX!$L$4:$EF$103,4,0))</f>
        <v>0</v>
      </c>
      <c r="F2875" s="755">
        <f>IF($C$2875=0,NA(),VLOOKUP($I$2871&amp;$B$2875,FLNFIX!$L$4:$EF$103,3,0))</f>
        <v>0</v>
      </c>
      <c r="G2875" s="756">
        <f>IF($C$2875=0,NA(),VLOOKUP($I$2871&amp;$B$2875,FLNFIX!$L$4:$EF$103,5,0))</f>
        <v>0</v>
      </c>
      <c r="H2875" s="757"/>
      <c r="I2875" s="757"/>
      <c r="J2875" s="758"/>
      <c r="K2875" s="677"/>
    </row>
    <row r="2876" ht="20.1" customHeight="1" spans="1:11">
      <c r="A2876" s="675"/>
      <c r="B2876" s="755">
        <f t="shared" ref="B2876:B2895" si="52">IF(B2875=0,0,IF(B2875&lt;$B$2874,B2875+1,""))</f>
        <v>2</v>
      </c>
      <c r="C2876" s="755" t="str">
        <f>IFERROR(VLOOKUP(B2876,DATEWISE!$A$3:$BY$27,2,0),0)</f>
        <v>08.05.2026</v>
      </c>
      <c r="D2876" s="755">
        <f>IF($C$2876=0,NA(),VLOOKUP($I$2871&amp;$B$2876,FLNFIX!$Q$4:$EF$103,2,0))</f>
        <v>0</v>
      </c>
      <c r="E2876" s="755">
        <f>IF($C$2876=0,NA(),VLOOKUP($I$2871&amp;$B$2876,FLNFIX!$Q$4:$EF$103,4,0))</f>
        <v>0</v>
      </c>
      <c r="F2876" s="755">
        <f>IF($C$2876=0,NA(),VLOOKUP($I$2871&amp;$B$2876,FLNFIX!$Q$4:$EF$103,3,0))</f>
        <v>0</v>
      </c>
      <c r="G2876" s="756">
        <f>IF($C$2876=0,NA(),VLOOKUP($I$2871&amp;$B$2876,FLNFIX!$Q$4:$EF$103,5,0))</f>
        <v>0</v>
      </c>
      <c r="H2876" s="757"/>
      <c r="I2876" s="757"/>
      <c r="J2876" s="758"/>
      <c r="K2876" s="677"/>
    </row>
    <row r="2877" ht="20.1" customHeight="1" spans="1:11">
      <c r="A2877" s="675"/>
      <c r="B2877" s="755">
        <f t="shared" si="52"/>
        <v>3</v>
      </c>
      <c r="C2877" s="755" t="str">
        <f>IFERROR(VLOOKUP(B2877,DATEWISE!$A$3:$BY$27,2,0),0)</f>
        <v>15.07.2026</v>
      </c>
      <c r="D2877" s="755">
        <f>IF($C$2877=0,NA(),VLOOKUP($I$2871&amp;$B$2877,FLNFIX!$V$4:$EF$103,2,0))</f>
        <v>0</v>
      </c>
      <c r="E2877" s="755">
        <f>IF($C$2877=0,NA(),VLOOKUP($I$2871&amp;$B$2877,FLNFIX!$V$4:$EF$103,4,0))</f>
        <v>0</v>
      </c>
      <c r="F2877" s="755">
        <f>IF($C$2877=0,NA(),VLOOKUP($I$2871&amp;$B$2877,FLNFIX!$V$4:$EF$103,3,0))</f>
        <v>0</v>
      </c>
      <c r="G2877" s="756">
        <f>IF($C$2877=0,NA(),VLOOKUP($I$2871&amp;$B$2877,FLNFIX!$V$4:$EF$103,5,0))</f>
        <v>0</v>
      </c>
      <c r="H2877" s="757"/>
      <c r="I2877" s="757"/>
      <c r="J2877" s="758"/>
      <c r="K2877" s="677"/>
    </row>
    <row r="2878" ht="20.1" customHeight="1" spans="1:11">
      <c r="A2878" s="675"/>
      <c r="B2878" s="755">
        <f t="shared" si="52"/>
        <v>4</v>
      </c>
      <c r="C2878" s="755" t="str">
        <f>IFERROR(VLOOKUP(B2878,DATEWISE!$A$3:$BY$27,2,0),0)</f>
        <v>31.07.2026</v>
      </c>
      <c r="D2878" s="755">
        <f>IF($C$2878=0,NA(),VLOOKUP($I$2871&amp;$B$2878,FLNFIX!$AA$4:$EF$103,2,0))</f>
        <v>0</v>
      </c>
      <c r="E2878" s="755">
        <f>IF($C$2878=0,NA(),VLOOKUP($I$2871&amp;$B$2878,FLNFIX!$AA$4:$EF$103,4,0))</f>
        <v>0</v>
      </c>
      <c r="F2878" s="755">
        <f>IF($C$2878=0,NA(),VLOOKUP($I$2871&amp;$B$2878,FLNFIX!$AA$4:$EF$103,3,0))</f>
        <v>0</v>
      </c>
      <c r="G2878" s="756">
        <f>IF($C$2878=0,NA(),VLOOKUP($I$2871&amp;$B$2878,FLNFIX!$AA$4:$EF$103,5,0))</f>
        <v>0</v>
      </c>
      <c r="H2878" s="757"/>
      <c r="I2878" s="757"/>
      <c r="J2878" s="758"/>
      <c r="K2878" s="677"/>
    </row>
    <row r="2879" ht="20.1" customHeight="1" spans="1:11">
      <c r="A2879" s="675"/>
      <c r="B2879" s="755">
        <f t="shared" si="52"/>
        <v>5</v>
      </c>
      <c r="C2879" s="755" t="str">
        <f>IFERROR(VLOOKUP(B2879,DATEWISE!$A$3:$BY$27,2,0),0)</f>
        <v>17.08.2026</v>
      </c>
      <c r="D2879" s="755">
        <f>IF($C$2879=0,NA(),VLOOKUP($I$2871&amp;$B$2879,FLNFIX!$AF$4:$EF$103,2,0))</f>
        <v>0</v>
      </c>
      <c r="E2879" s="755">
        <f>IF($C$2879=0,NA(),VLOOKUP($I$2871&amp;$B$2879,FLNFIX!$AF$4:$EF$103,4,0))</f>
        <v>0</v>
      </c>
      <c r="F2879" s="755">
        <f>IF($C$2879=0,NA(),VLOOKUP($I$2871&amp;$B$2879,FLNFIX!$AF$4:$EF$103,3,0))</f>
        <v>0</v>
      </c>
      <c r="G2879" s="756">
        <f>IF($C$2879=0,NA(),VLOOKUP($I$2871&amp;$B$2879,FLNFIX!$AF$4:$EF$103,5,0))</f>
        <v>0</v>
      </c>
      <c r="H2879" s="757"/>
      <c r="I2879" s="757"/>
      <c r="J2879" s="758"/>
      <c r="K2879" s="677"/>
    </row>
    <row r="2880" ht="20.1" customHeight="1" spans="1:11">
      <c r="A2880" s="675"/>
      <c r="B2880" s="755">
        <f t="shared" si="52"/>
        <v>6</v>
      </c>
      <c r="C2880" s="755" t="str">
        <f>IFERROR(VLOOKUP(B2880,DATEWISE!$A$3:$BY$27,2,0),0)</f>
        <v>31.08.2026</v>
      </c>
      <c r="D2880" s="755">
        <f>IF($C$2880=0,NA(),VLOOKUP($I$2871&amp;$B$2880,FLNFIX!$AK$4:$EF$103,2,0))</f>
        <v>0</v>
      </c>
      <c r="E2880" s="755">
        <f>IF($C$2880=0,NA(),VLOOKUP($I$2871&amp;$B$2880,FLNFIX!$AK$4:$EF$103,4,0))</f>
        <v>0</v>
      </c>
      <c r="F2880" s="755">
        <f>IF($C$2880=0,NA(),VLOOKUP($I$2871&amp;$B$2880,FLNFIX!$AK$4:$EF$103,3,0))</f>
        <v>0</v>
      </c>
      <c r="G2880" s="756">
        <f>IF($C$2880=0,NA(),VLOOKUP($I$2871&amp;$B$2880,FLNFIX!$AK$4:$EF$103,5,0))</f>
        <v>0</v>
      </c>
      <c r="H2880" s="757"/>
      <c r="I2880" s="757"/>
      <c r="J2880" s="758"/>
      <c r="K2880" s="677"/>
    </row>
    <row r="2881" ht="20.1" customHeight="1" spans="1:11">
      <c r="A2881" s="675"/>
      <c r="B2881" s="755">
        <f t="shared" si="52"/>
        <v>7</v>
      </c>
      <c r="C2881" s="755">
        <f>IFERROR(VLOOKUP(B2881,DATEWISE!$A$3:$BY$27,2,0),0)</f>
        <v>0</v>
      </c>
      <c r="D2881" s="755" t="e">
        <f>IF($C$2881=0,NA(),VLOOKUP($I$2871&amp;$B$2881,FLNFIX!$AP$4:$EF$103,2,0))</f>
        <v>#N/A</v>
      </c>
      <c r="E2881" s="755" t="e">
        <f>IF($C$2881=0,NA(),VLOOKUP($I$2871&amp;$B$2881,FLNFIX!$AP$4:$EF$103,4,0))</f>
        <v>#N/A</v>
      </c>
      <c r="F2881" s="755" t="e">
        <f>IF($C$2881=0,NA(),VLOOKUP($I$2871&amp;$B$2881,FLNFIX!$AP$4:$EF$103,3,0))</f>
        <v>#N/A</v>
      </c>
      <c r="G2881" s="756" t="e">
        <f>IF($C$2881=0,NA(),VLOOKUP($I$2871&amp;$B$2881,FLNFIX!$AP$4:$EF$103,5,0))</f>
        <v>#N/A</v>
      </c>
      <c r="H2881" s="757"/>
      <c r="I2881" s="757"/>
      <c r="J2881" s="758"/>
      <c r="K2881" s="677"/>
    </row>
    <row r="2882" ht="20.1" customHeight="1" spans="1:11">
      <c r="A2882" s="675"/>
      <c r="B2882" s="755">
        <f t="shared" si="52"/>
        <v>8</v>
      </c>
      <c r="C2882" s="755">
        <f>IFERROR(VLOOKUP(B2882,DATEWISE!$A$3:$BY$27,2,0),0)</f>
        <v>0</v>
      </c>
      <c r="D2882" s="755" t="e">
        <f>IF($C$2882=0,NA(),VLOOKUP($I$2871&amp;$B$2882,FLNFIX!$AU$4:$EF$103,2,0))</f>
        <v>#N/A</v>
      </c>
      <c r="E2882" s="755" t="e">
        <f>IF($C$2882=0,NA(),VLOOKUP($I$2871&amp;$B$2882,FLNFIX!$AU$4:$EF$103,4,0))</f>
        <v>#N/A</v>
      </c>
      <c r="F2882" s="755" t="e">
        <f>IF($C$2882=0,NA(),VLOOKUP($I$2871&amp;$B$2882,FLNFIX!$AU$4:$EF$103,3,0))</f>
        <v>#N/A</v>
      </c>
      <c r="G2882" s="756" t="e">
        <f>IF($C$2882=0,NA(),VLOOKUP($I$2871&amp;$B$2882,FLNFIX!$AU$4:$EF$103,5,0))</f>
        <v>#N/A</v>
      </c>
      <c r="H2882" s="757"/>
      <c r="I2882" s="757"/>
      <c r="J2882" s="758"/>
      <c r="K2882" s="677"/>
    </row>
    <row r="2883" ht="20.1" customHeight="1" spans="1:11">
      <c r="A2883" s="675"/>
      <c r="B2883" s="755">
        <f t="shared" si="52"/>
        <v>9</v>
      </c>
      <c r="C2883" s="755">
        <f>IFERROR(VLOOKUP(B2883,DATEWISE!$A$3:$BY$27,2,0),0)</f>
        <v>0</v>
      </c>
      <c r="D2883" s="755" t="e">
        <f>IF($C$2883=0,NA(),VLOOKUP($I$2871&amp;$B$2883,FLNFIX!$AZ$4:$EF$103,2,0))</f>
        <v>#N/A</v>
      </c>
      <c r="E2883" s="755" t="e">
        <f>IF($C$2883=0,NA(),VLOOKUP($I$2871&amp;$B$2883,FLNFIX!$AZ$4:$EF$103,4,0))</f>
        <v>#N/A</v>
      </c>
      <c r="F2883" s="755" t="e">
        <f>IF($C$2883=0,NA(),VLOOKUP($I$2871&amp;$B$2883,FLNFIX!$AZ$4:$EF$103,3,0))</f>
        <v>#N/A</v>
      </c>
      <c r="G2883" s="756" t="e">
        <f>IF($C$2883=0,NA(),VLOOKUP($I$2871&amp;$B$2883,FLNFIX!$AZ$4:$EF$103,5,0))</f>
        <v>#N/A</v>
      </c>
      <c r="H2883" s="757"/>
      <c r="I2883" s="757"/>
      <c r="J2883" s="758"/>
      <c r="K2883" s="677"/>
    </row>
    <row r="2884" ht="20.1" customHeight="1" spans="1:11">
      <c r="A2884" s="675"/>
      <c r="B2884" s="755">
        <f t="shared" si="52"/>
        <v>10</v>
      </c>
      <c r="C2884" s="755">
        <f>IFERROR(VLOOKUP(B2884,DATEWISE!$A$3:$BY$27,2,0),0)</f>
        <v>0</v>
      </c>
      <c r="D2884" s="755" t="e">
        <f>IF($C$2884=0,NA(),VLOOKUP($I$2871&amp;$B$2884,FLNFIX!$BE$4:$EF$103,2,0))</f>
        <v>#N/A</v>
      </c>
      <c r="E2884" s="755" t="e">
        <f>IF($C$2884=0,NA(),VLOOKUP($I$2871&amp;$B$2884,FLNFIX!$BE$4:$EF$103,4,0))</f>
        <v>#N/A</v>
      </c>
      <c r="F2884" s="755" t="e">
        <f>IF($C$2884=0,NA(),VLOOKUP($I$2871&amp;$B$2884,FLNFIX!$BE$4:$EF$103,3,0))</f>
        <v>#N/A</v>
      </c>
      <c r="G2884" s="756" t="e">
        <f>IF($C$2884=0,NA(),VLOOKUP($I$2871&amp;$B$2884,FLNFIX!$BE$4:$EF$103,5,0))</f>
        <v>#N/A</v>
      </c>
      <c r="H2884" s="757"/>
      <c r="I2884" s="757"/>
      <c r="J2884" s="758"/>
      <c r="K2884" s="677"/>
    </row>
    <row r="2885" ht="20.1" customHeight="1" spans="1:11">
      <c r="A2885" s="675"/>
      <c r="B2885" s="755">
        <f t="shared" si="52"/>
        <v>11</v>
      </c>
      <c r="C2885" s="755">
        <f>IFERROR(VLOOKUP(B2885,DATEWISE!$A$3:$BY$27,2,0),0)</f>
        <v>0</v>
      </c>
      <c r="D2885" s="755" t="e">
        <f>IF($C$2885=0,NA(),VLOOKUP($I$2871&amp;$B$2885,FLNFIX!$BJ$4:$EF$103,2,0))</f>
        <v>#N/A</v>
      </c>
      <c r="E2885" s="755" t="e">
        <f>IF($C$2885=0,NA(),VLOOKUP($I$2871&amp;$B$2885,FLNFIX!$BJ$4:$EF$103,4,0))</f>
        <v>#N/A</v>
      </c>
      <c r="F2885" s="755" t="e">
        <f>IF($C$2885=0,NA(),VLOOKUP($I$2871&amp;$B$2885,FLNFIX!$BJ$4:$EF$103,3,0))</f>
        <v>#N/A</v>
      </c>
      <c r="G2885" s="756" t="e">
        <f>IF($C$2885=0,NA(),VLOOKUP($I$2871&amp;$B$2885,FLNFIX!$BJ$4:$EF$103,5,0))</f>
        <v>#N/A</v>
      </c>
      <c r="H2885" s="757"/>
      <c r="I2885" s="757"/>
      <c r="J2885" s="758"/>
      <c r="K2885" s="677"/>
    </row>
    <row r="2886" ht="20.1" customHeight="1" spans="1:11">
      <c r="A2886" s="675"/>
      <c r="B2886" s="755">
        <f t="shared" si="52"/>
        <v>12</v>
      </c>
      <c r="C2886" s="755">
        <f>IFERROR(VLOOKUP(B2886,DATEWISE!$A$3:$BY$27,2,0),0)</f>
        <v>0</v>
      </c>
      <c r="D2886" s="755" t="e">
        <f>IF($C$2886=0,NA(),VLOOKUP($I$2871&amp;$B$2886,FLNFIX!$BO$4:$EF$103,2,0))</f>
        <v>#N/A</v>
      </c>
      <c r="E2886" s="755" t="e">
        <f>IF($C$2886=0,NA(),VLOOKUP($I$2871&amp;$B$2886,FLNFIX!$BO$4:$EF$103,4,0))</f>
        <v>#N/A</v>
      </c>
      <c r="F2886" s="755" t="e">
        <f>IF($C$2886=0,NA(),VLOOKUP($I$2871&amp;$B$2886,FLNFIX!$BO$4:$EF$103,3,0))</f>
        <v>#N/A</v>
      </c>
      <c r="G2886" s="756" t="e">
        <f>IF($C$2886=0,NA(),VLOOKUP($I$2871&amp;$B$2886,FLNFIX!$BO$4:$EF$103,5,0))</f>
        <v>#N/A</v>
      </c>
      <c r="H2886" s="757"/>
      <c r="I2886" s="757"/>
      <c r="J2886" s="758"/>
      <c r="K2886" s="677"/>
    </row>
    <row r="2887" ht="20.1" customHeight="1" spans="1:11">
      <c r="A2887" s="675"/>
      <c r="B2887" s="755">
        <f t="shared" si="52"/>
        <v>13</v>
      </c>
      <c r="C2887" s="755">
        <f>IFERROR(VLOOKUP(B2887,DATEWISE!$A$3:$BY$27,2,0),0)</f>
        <v>0</v>
      </c>
      <c r="D2887" s="755" t="e">
        <f>IF($C$2887=0,NA(),VLOOKUP($I$2871&amp;$B$2887,FLNFIX!$BT$4:$EF$103,2,0))</f>
        <v>#N/A</v>
      </c>
      <c r="E2887" s="755" t="e">
        <f>IF($C$2887=0,NA(),VLOOKUP($I$2871&amp;$B$2887,FLNFIX!$BT$4:$EF$103,4,0))</f>
        <v>#N/A</v>
      </c>
      <c r="F2887" s="755" t="e">
        <f>IF($C$2887=0,NA(),VLOOKUP($I$2871&amp;$B$2887,FLNFIX!$BT$4:$EF$103,3,0))</f>
        <v>#N/A</v>
      </c>
      <c r="G2887" s="756" t="e">
        <f>IF($C$2887=0,NA(),VLOOKUP($I$2871&amp;$B$2887,FLNFIX!$BT$4:$EF$103,5,0))</f>
        <v>#N/A</v>
      </c>
      <c r="H2887" s="757"/>
      <c r="I2887" s="757"/>
      <c r="J2887" s="758"/>
      <c r="K2887" s="677"/>
    </row>
    <row r="2888" ht="20.1" customHeight="1" spans="1:11">
      <c r="A2888" s="675"/>
      <c r="B2888" s="755">
        <f t="shared" si="52"/>
        <v>14</v>
      </c>
      <c r="C2888" s="755">
        <f>IFERROR(VLOOKUP(B2888,DATEWISE!$A$3:$BY$27,2,0),0)</f>
        <v>0</v>
      </c>
      <c r="D2888" s="755" t="e">
        <f>IF($C$2888=0,NA(),VLOOKUP($I$2871&amp;$B$2888,FLNFIX!$BY$4:$EF$103,2,0))</f>
        <v>#N/A</v>
      </c>
      <c r="E2888" s="755" t="e">
        <f>IF($C$2888=0,NA(),VLOOKUP($I$2871&amp;$B$2888,FLNFIX!$BY$4:$EF$103,4,0))</f>
        <v>#N/A</v>
      </c>
      <c r="F2888" s="755" t="e">
        <f>IF($C$2888=0,NA(),VLOOKUP($I$2871&amp;$B$2888,FLNFIX!$BY$4:$EF$103,3,0))</f>
        <v>#N/A</v>
      </c>
      <c r="G2888" s="756" t="e">
        <f>IF($C$2888=0,NA(),VLOOKUP($I$2871&amp;$B$2888,FLNFIX!$BY$4:$EF$103,5,0))</f>
        <v>#N/A</v>
      </c>
      <c r="H2888" s="757"/>
      <c r="I2888" s="757"/>
      <c r="J2888" s="758"/>
      <c r="K2888" s="677"/>
    </row>
    <row r="2889" ht="20.1" customHeight="1" spans="1:11">
      <c r="A2889" s="675"/>
      <c r="B2889" s="755">
        <f t="shared" si="52"/>
        <v>15</v>
      </c>
      <c r="C2889" s="755">
        <f>IFERROR(VLOOKUP(B2889,DATEWISE!$A$3:$BY$27,2,0),0)</f>
        <v>0</v>
      </c>
      <c r="D2889" s="755" t="e">
        <f>IF($C$2889=0,NA(),VLOOKUP($I$2871&amp;$B$2889,FLNFIX!$CD$4:$EF$103,2,0))</f>
        <v>#N/A</v>
      </c>
      <c r="E2889" s="755" t="e">
        <f>IF($C$2889=0,NA(),VLOOKUP($I$2871&amp;$B$2889,FLNFIX!$CD$4:$EF$103,4,0))</f>
        <v>#N/A</v>
      </c>
      <c r="F2889" s="755" t="e">
        <f>IF($C$2889=0,NA(),VLOOKUP($I$2871&amp;$B$2889,FLNFIX!$CD$4:$EF$103,3,0))</f>
        <v>#N/A</v>
      </c>
      <c r="G2889" s="756" t="e">
        <f>IF($C$2889=0,NA(),VLOOKUP($I$2871&amp;$B$2889,FLNFIX!$CD$4:$EF$103,5,0))</f>
        <v>#N/A</v>
      </c>
      <c r="H2889" s="757"/>
      <c r="I2889" s="757"/>
      <c r="J2889" s="758"/>
      <c r="K2889" s="677"/>
    </row>
    <row r="2890" ht="20.1" customHeight="1" spans="1:11">
      <c r="A2890" s="675"/>
      <c r="B2890" s="755">
        <f t="shared" si="52"/>
        <v>16</v>
      </c>
      <c r="C2890" s="755">
        <f>IFERROR(VLOOKUP(B2890,DATEWISE!$A$3:$BY$27,2,0),0)</f>
        <v>0</v>
      </c>
      <c r="D2890" s="755" t="e">
        <f>IF($C$2890=0,NA(),VLOOKUP($I$2871&amp;$B$2890,FLNFIX!$CI$4:$EF$103,2,0))</f>
        <v>#N/A</v>
      </c>
      <c r="E2890" s="755" t="e">
        <f>IF($C$2890=0,NA(),VLOOKUP($I$2871&amp;$B$2890,FLNFIX!$CI$4:$EF$103,4,0))</f>
        <v>#N/A</v>
      </c>
      <c r="F2890" s="755" t="e">
        <f>IF($C$2890=0,NA(),VLOOKUP($I$2871&amp;$B$2890,FLNFIX!$CI$4:$EF$103,3,0))</f>
        <v>#N/A</v>
      </c>
      <c r="G2890" s="756" t="e">
        <f>IF($C$2890=0,NA(),VLOOKUP($I$2871&amp;$B$2890,FLNFIX!$CI$4:$EF$103,5,0))</f>
        <v>#N/A</v>
      </c>
      <c r="H2890" s="757"/>
      <c r="I2890" s="757"/>
      <c r="J2890" s="758"/>
      <c r="K2890" s="677"/>
    </row>
    <row r="2891" ht="20.1" customHeight="1" spans="1:11">
      <c r="A2891" s="675"/>
      <c r="B2891" s="755">
        <f t="shared" si="52"/>
        <v>17</v>
      </c>
      <c r="C2891" s="755">
        <f>IFERROR(VLOOKUP(B2891,DATEWISE!$A$3:$BY$27,2,0),0)</f>
        <v>0</v>
      </c>
      <c r="D2891" s="755" t="e">
        <f>IF($C$2891=0,NA(),VLOOKUP($I$2871&amp;$B$2891,FLNFIX!$CN$4:$EF$103,2,0))</f>
        <v>#N/A</v>
      </c>
      <c r="E2891" s="755" t="e">
        <f>IF($C$2891=0,NA(),VLOOKUP($I$2871&amp;$B$2891,FLNFIX!$CN$4:$EF$103,4,0))</f>
        <v>#N/A</v>
      </c>
      <c r="F2891" s="755" t="e">
        <f>IF($C$2891=0,NA(),VLOOKUP($I$2871&amp;$B$2891,FLNFIX!$CN$4:$EF$103,3,0))</f>
        <v>#N/A</v>
      </c>
      <c r="G2891" s="756" t="e">
        <f>IF($C$2891=0,NA(),VLOOKUP($I$2871&amp;$B$2891,FLNFIX!$CN$4:$EF$103,5,0))</f>
        <v>#N/A</v>
      </c>
      <c r="H2891" s="757"/>
      <c r="I2891" s="757"/>
      <c r="J2891" s="758"/>
      <c r="K2891" s="677"/>
    </row>
    <row r="2892" ht="20.1" customHeight="1" spans="1:11">
      <c r="A2892" s="675"/>
      <c r="B2892" s="755">
        <f t="shared" si="52"/>
        <v>18</v>
      </c>
      <c r="C2892" s="755">
        <f>IFERROR(VLOOKUP(B2892,DATEWISE!$A$3:$BY$27,2,0),0)</f>
        <v>0</v>
      </c>
      <c r="D2892" s="755" t="e">
        <f>IF($C$2892=0,NA(),VLOOKUP($I$2871&amp;$B$2892,FLNFIX!$CS$4:$EF$103,2,0))</f>
        <v>#N/A</v>
      </c>
      <c r="E2892" s="755" t="e">
        <f>IF($C$2892=0,NA(),VLOOKUP($I$2871&amp;$B$2892,FLNFIX!$CS$4:$EF$103,4,0))</f>
        <v>#N/A</v>
      </c>
      <c r="F2892" s="755" t="e">
        <f>IF($C$2892=0,NA(),VLOOKUP($I$2871&amp;$B$2892,FLNFIX!$CS$4:$EF$103,3,0))</f>
        <v>#N/A</v>
      </c>
      <c r="G2892" s="756" t="e">
        <f>IF($C$2892=0,NA(),VLOOKUP($I$2871&amp;$B$2892,FLNFIX!$CS$4:$EF$103,5,0))</f>
        <v>#N/A</v>
      </c>
      <c r="H2892" s="757"/>
      <c r="I2892" s="757"/>
      <c r="J2892" s="758"/>
      <c r="K2892" s="677"/>
    </row>
    <row r="2893" ht="20.1" customHeight="1" spans="1:11">
      <c r="A2893" s="675"/>
      <c r="B2893" s="755">
        <f t="shared" si="52"/>
        <v>19</v>
      </c>
      <c r="C2893" s="755">
        <f>IFERROR(VLOOKUP(B2893,DATEWISE!$A$3:$BY$27,2,0),0)</f>
        <v>0</v>
      </c>
      <c r="D2893" s="755" t="e">
        <f>IF($C$2893=0,NA(),VLOOKUP($I$2871&amp;$B$2893,FLNFIX!$CX$4:$EF$103,2,0))</f>
        <v>#N/A</v>
      </c>
      <c r="E2893" s="755" t="e">
        <f>IF($C$2893=0,NA(),VLOOKUP($I$2871&amp;$B$2893,FLNFIX!$CX$4:$EF$103,4,0))</f>
        <v>#N/A</v>
      </c>
      <c r="F2893" s="755" t="e">
        <f>IF($C$2893=0,NA(),VLOOKUP($I$2871&amp;$B$2893,FLNFIX!$CX$4:$EF$103,3,0))</f>
        <v>#N/A</v>
      </c>
      <c r="G2893" s="756" t="e">
        <f>IF($C$2893=0,NA(),VLOOKUP($I$2871&amp;$B$2893,FLNFIX!$CX$4:$EF$103,5,0))</f>
        <v>#N/A</v>
      </c>
      <c r="H2893" s="757"/>
      <c r="I2893" s="757"/>
      <c r="J2893" s="758"/>
      <c r="K2893" s="677"/>
    </row>
    <row r="2894" ht="20.1" customHeight="1" spans="1:11">
      <c r="A2894" s="675"/>
      <c r="B2894" s="755">
        <f t="shared" si="52"/>
        <v>20</v>
      </c>
      <c r="C2894" s="755">
        <f>IFERROR(VLOOKUP(B2894,DATEWISE!$A$3:$BY$27,2,0),0)</f>
        <v>0</v>
      </c>
      <c r="D2894" s="755" t="e">
        <f>IF($C$2894=0,NA(),VLOOKUP($I$2871&amp;$B$2894,FLNFIX!$DC$4:$EF$103,2,0))</f>
        <v>#N/A</v>
      </c>
      <c r="E2894" s="755" t="e">
        <f>IF($C$2894=0,NA(),VLOOKUP($I$2871&amp;$B$2894,FLNFIX!$DC$4:$EF$103,4,0))</f>
        <v>#N/A</v>
      </c>
      <c r="F2894" s="755" t="e">
        <f>IF($C$2894=0,NA(),VLOOKUP($I$2871&amp;$B$2894,FLNFIX!$DC$4:$EF$103,3,0))</f>
        <v>#N/A</v>
      </c>
      <c r="G2894" s="756" t="e">
        <f>IF($C$2894=0,NA(),VLOOKUP($I$2871&amp;$B$2894,FLNFIX!$DC$4:$EF$103,5,0))</f>
        <v>#N/A</v>
      </c>
      <c r="H2894" s="757"/>
      <c r="I2894" s="757"/>
      <c r="J2894" s="758"/>
      <c r="K2894" s="677"/>
    </row>
    <row r="2895" ht="20.1" customHeight="1" spans="1:11">
      <c r="A2895" s="675"/>
      <c r="B2895" s="755">
        <f t="shared" si="52"/>
        <v>21</v>
      </c>
      <c r="C2895" s="755">
        <f>IFERROR(VLOOKUP(B2895,DATEWISE!$A$3:$BY$27,2,0),0)</f>
        <v>0</v>
      </c>
      <c r="D2895" s="755" t="e">
        <f>IF($C$2895=0,NA(),VLOOKUP($I$2871&amp;$B$2895,FLNFIX!$DH$4:$EF$103,2,0))</f>
        <v>#N/A</v>
      </c>
      <c r="E2895" s="755" t="e">
        <f>IF($C$2895=0,NA(),VLOOKUP($I$2871&amp;$B$2895,FLNFIX!$DH$4:$EF$103,4,0))</f>
        <v>#N/A</v>
      </c>
      <c r="F2895" s="755" t="e">
        <f>IF($C$2895=0,NA(),VLOOKUP($I$2871&amp;$B$2895,FLNFIX!$DH$4:$EF$103,3,0))</f>
        <v>#N/A</v>
      </c>
      <c r="G2895" s="756" t="e">
        <f>IF($C$2895=0,NA(),VLOOKUP($I$2871&amp;$B$2895,FLNFIX!$DH$4:$EF$103,5,0))</f>
        <v>#N/A</v>
      </c>
      <c r="H2895" s="757"/>
      <c r="I2895" s="757"/>
      <c r="J2895" s="758"/>
      <c r="K2895" s="677"/>
    </row>
    <row r="2896" ht="5.1" customHeight="1" spans="1:11">
      <c r="A2896" s="675"/>
      <c r="B2896" s="759"/>
      <c r="C2896" s="759"/>
      <c r="D2896" s="760"/>
      <c r="E2896" s="760"/>
      <c r="F2896" s="760"/>
      <c r="G2896" s="761"/>
      <c r="H2896" s="761"/>
      <c r="I2896" s="761"/>
      <c r="J2896" s="761"/>
      <c r="K2896" s="677"/>
    </row>
    <row r="2897" s="667" customFormat="1" ht="24.95" customHeight="1" spans="1:11">
      <c r="A2897" s="711"/>
      <c r="B2897" s="762" t="s">
        <v>431</v>
      </c>
      <c r="C2897" s="763"/>
      <c r="D2897" s="763"/>
      <c r="E2897" s="763"/>
      <c r="F2897" s="763"/>
      <c r="G2897" s="763"/>
      <c r="H2897" s="763"/>
      <c r="I2897" s="763"/>
      <c r="J2897" s="764"/>
      <c r="K2897" s="713"/>
    </row>
    <row r="2898" spans="1:11">
      <c r="A2898" s="675"/>
      <c r="B2898" s="765"/>
      <c r="C2898" s="686"/>
      <c r="D2898" s="686"/>
      <c r="E2898" s="686"/>
      <c r="F2898" s="686"/>
      <c r="G2898" s="686"/>
      <c r="H2898" s="686"/>
      <c r="I2898" s="686"/>
      <c r="J2898" s="766"/>
      <c r="K2898" s="677"/>
    </row>
    <row r="2899" spans="1:11">
      <c r="A2899" s="675"/>
      <c r="B2899" s="765"/>
      <c r="C2899" s="686"/>
      <c r="D2899" s="686"/>
      <c r="E2899" s="686"/>
      <c r="F2899" s="686"/>
      <c r="G2899" s="686"/>
      <c r="H2899" s="686"/>
      <c r="I2899" s="686"/>
      <c r="J2899" s="766"/>
      <c r="K2899" s="677"/>
    </row>
    <row r="2900" spans="1:11">
      <c r="A2900" s="675"/>
      <c r="B2900" s="765"/>
      <c r="C2900" s="686"/>
      <c r="D2900" s="686"/>
      <c r="E2900" s="686"/>
      <c r="F2900" s="686"/>
      <c r="G2900" s="686"/>
      <c r="H2900" s="686"/>
      <c r="I2900" s="686"/>
      <c r="J2900" s="766"/>
      <c r="K2900" s="677"/>
    </row>
    <row r="2901" spans="1:11">
      <c r="A2901" s="675"/>
      <c r="B2901" s="765"/>
      <c r="C2901" s="686"/>
      <c r="D2901" s="686"/>
      <c r="E2901" s="686"/>
      <c r="F2901" s="686"/>
      <c r="G2901" s="686"/>
      <c r="H2901" s="686"/>
      <c r="I2901" s="686"/>
      <c r="J2901" s="766"/>
      <c r="K2901" s="677"/>
    </row>
    <row r="2902" spans="1:11">
      <c r="A2902" s="675"/>
      <c r="B2902" s="765"/>
      <c r="C2902" s="686"/>
      <c r="D2902" s="686"/>
      <c r="E2902" s="686"/>
      <c r="F2902" s="686"/>
      <c r="G2902" s="686"/>
      <c r="H2902" s="686"/>
      <c r="I2902" s="686"/>
      <c r="J2902" s="766"/>
      <c r="K2902" s="677"/>
    </row>
    <row r="2903" spans="1:11">
      <c r="A2903" s="675"/>
      <c r="B2903" s="765"/>
      <c r="C2903" s="686"/>
      <c r="D2903" s="686"/>
      <c r="E2903" s="686"/>
      <c r="F2903" s="686"/>
      <c r="G2903" s="686"/>
      <c r="H2903" s="686"/>
      <c r="I2903" s="686"/>
      <c r="J2903" s="766"/>
      <c r="K2903" s="677"/>
    </row>
    <row r="2904" spans="1:11">
      <c r="A2904" s="675"/>
      <c r="B2904" s="765"/>
      <c r="C2904" s="686"/>
      <c r="D2904" s="686"/>
      <c r="E2904" s="686"/>
      <c r="F2904" s="686"/>
      <c r="G2904" s="686"/>
      <c r="H2904" s="686"/>
      <c r="I2904" s="686"/>
      <c r="J2904" s="766"/>
      <c r="K2904" s="677"/>
    </row>
    <row r="2905" spans="1:11">
      <c r="A2905" s="675"/>
      <c r="B2905" s="765"/>
      <c r="C2905" s="686"/>
      <c r="D2905" s="686"/>
      <c r="E2905" s="686"/>
      <c r="F2905" s="686"/>
      <c r="G2905" s="686"/>
      <c r="H2905" s="686"/>
      <c r="I2905" s="686"/>
      <c r="J2905" s="766"/>
      <c r="K2905" s="677"/>
    </row>
    <row r="2906" spans="1:11">
      <c r="A2906" s="675"/>
      <c r="B2906" s="765"/>
      <c r="C2906" s="686"/>
      <c r="D2906" s="686"/>
      <c r="E2906" s="686"/>
      <c r="F2906" s="686"/>
      <c r="G2906" s="686"/>
      <c r="H2906" s="686"/>
      <c r="I2906" s="686"/>
      <c r="J2906" s="766"/>
      <c r="K2906" s="677"/>
    </row>
    <row r="2907" spans="1:11">
      <c r="A2907" s="675"/>
      <c r="B2907" s="767"/>
      <c r="C2907" s="768"/>
      <c r="D2907" s="768"/>
      <c r="E2907" s="768"/>
      <c r="F2907" s="768"/>
      <c r="G2907" s="768"/>
      <c r="H2907" s="768"/>
      <c r="I2907" s="768"/>
      <c r="J2907" s="769"/>
      <c r="K2907" s="677"/>
    </row>
    <row r="2908" ht="5.1" customHeight="1" spans="1:11">
      <c r="A2908" s="675"/>
      <c r="B2908" s="686"/>
      <c r="C2908" s="686"/>
      <c r="D2908" s="686"/>
      <c r="E2908" s="686"/>
      <c r="F2908" s="686"/>
      <c r="G2908" s="686"/>
      <c r="H2908" s="686"/>
      <c r="I2908" s="686"/>
      <c r="J2908" s="686"/>
      <c r="K2908" s="677"/>
    </row>
    <row r="2909" spans="1:11">
      <c r="A2909" s="675"/>
      <c r="B2909" s="770" t="s">
        <v>432</v>
      </c>
      <c r="C2909" s="770"/>
      <c r="D2909" s="770"/>
      <c r="E2909" s="770"/>
      <c r="F2909" s="770"/>
      <c r="G2909" s="770"/>
      <c r="H2909" s="770"/>
      <c r="I2909" s="770"/>
      <c r="J2909" s="770"/>
      <c r="K2909" s="677"/>
    </row>
    <row r="2910" spans="1:11">
      <c r="A2910" s="675"/>
      <c r="B2910" s="771"/>
      <c r="C2910" s="771"/>
      <c r="D2910" s="771"/>
      <c r="E2910" s="771"/>
      <c r="F2910" s="771"/>
      <c r="G2910" s="771"/>
      <c r="H2910" s="771"/>
      <c r="I2910" s="771"/>
      <c r="J2910" s="771"/>
      <c r="K2910" s="677"/>
    </row>
    <row r="2911" spans="1:11">
      <c r="A2911" s="675"/>
      <c r="B2911" s="771"/>
      <c r="C2911" s="771"/>
      <c r="D2911" s="771"/>
      <c r="E2911" s="771"/>
      <c r="F2911" s="771"/>
      <c r="G2911" s="771"/>
      <c r="H2911" s="771"/>
      <c r="I2911" s="771"/>
      <c r="J2911" s="771"/>
      <c r="K2911" s="677"/>
    </row>
    <row r="2912" spans="1:11">
      <c r="A2912" s="675"/>
      <c r="B2912" s="771"/>
      <c r="C2912" s="771"/>
      <c r="D2912" s="771"/>
      <c r="E2912" s="771"/>
      <c r="F2912" s="771"/>
      <c r="G2912" s="771"/>
      <c r="H2912" s="771"/>
      <c r="I2912" s="771"/>
      <c r="J2912" s="771"/>
      <c r="K2912" s="677"/>
    </row>
    <row r="2913" spans="1:11">
      <c r="A2913" s="675"/>
      <c r="B2913" s="686"/>
      <c r="C2913" s="686"/>
      <c r="D2913" s="686"/>
      <c r="E2913" s="686"/>
      <c r="F2913" s="686"/>
      <c r="G2913" s="686"/>
      <c r="H2913" s="686"/>
      <c r="I2913" s="686"/>
      <c r="J2913" s="686"/>
      <c r="K2913" s="677"/>
    </row>
    <row r="2914" spans="1:11">
      <c r="A2914" s="675"/>
      <c r="B2914" s="686"/>
      <c r="C2914" s="729" t="s">
        <v>433</v>
      </c>
      <c r="D2914" s="729"/>
      <c r="E2914" s="686"/>
      <c r="F2914" s="686"/>
      <c r="G2914" s="729" t="s">
        <v>434</v>
      </c>
      <c r="H2914" s="729"/>
      <c r="I2914" s="729"/>
      <c r="J2914" s="729"/>
      <c r="K2914" s="677"/>
    </row>
    <row r="2915" ht="16.35" spans="1:11">
      <c r="A2915" s="725"/>
      <c r="B2915" s="726"/>
      <c r="C2915" s="732" t="str">
        <f>"("&amp;PROPER(ENTRY!$D$19)&amp;")"</f>
        <v>(Indrajeet)</v>
      </c>
      <c r="D2915" s="732"/>
      <c r="E2915" s="726"/>
      <c r="F2915" s="726"/>
      <c r="G2915" s="732" t="str">
        <f>"("&amp;PROPER(ENTRY!$D$12)&amp;")"</f>
        <v>(Shambhu Dayal Meena)</v>
      </c>
      <c r="H2915" s="732"/>
      <c r="I2915" s="732"/>
      <c r="J2915" s="732"/>
      <c r="K2915" s="728"/>
    </row>
    <row r="2916" ht="24.6" spans="1:11">
      <c r="B2916" s="734"/>
      <c r="C2916" s="734"/>
      <c r="D2916" s="669" t="str">
        <f>ENTRY!$D$3</f>
        <v>MUNICIPAL CORPORATION OF DELHI</v>
      </c>
      <c r="E2916" s="669"/>
      <c r="F2916" s="669"/>
      <c r="G2916" s="669"/>
      <c r="H2916" s="734"/>
      <c r="I2916" s="669"/>
      <c r="J2916" s="669"/>
    </row>
    <row r="2917" ht="20.4" spans="1:11">
      <c r="B2917" s="735"/>
      <c r="C2917" s="735"/>
      <c r="D2917" s="670" t="str">
        <f>ENTRY!$D$4</f>
        <v>EDUCATION DEPARTMENT</v>
      </c>
      <c r="E2917" s="670"/>
      <c r="F2917" s="670"/>
      <c r="G2917" s="670"/>
      <c r="H2917" s="735"/>
      <c r="I2917" s="669"/>
      <c r="J2917" s="669"/>
    </row>
    <row r="2918" ht="22.8" spans="1:11">
      <c r="B2918" s="736"/>
      <c r="C2918" s="736"/>
      <c r="D2918" s="664" t="s">
        <v>417</v>
      </c>
      <c r="E2918" s="664"/>
      <c r="F2918" s="664"/>
      <c r="G2918" s="664"/>
      <c r="H2918" s="736"/>
      <c r="I2918" s="669"/>
      <c r="J2918" s="669"/>
    </row>
    <row r="2919" ht="22.8" spans="1:11">
      <c r="B2919" s="736"/>
      <c r="C2919" s="736"/>
      <c r="D2919" s="664" t="s">
        <v>418</v>
      </c>
      <c r="E2919" s="664"/>
      <c r="F2919" s="664"/>
      <c r="G2919" s="664"/>
      <c r="H2919" s="736"/>
      <c r="I2919" s="669"/>
      <c r="J2919" s="669"/>
    </row>
    <row r="2920" ht="24.95" customHeight="1" spans="1:11">
      <c r="B2920" s="735"/>
      <c r="C2920" s="735"/>
      <c r="D2920" s="737" t="str">
        <f>"SESSION : "&amp;ENTRY!$D$11</f>
        <v>SESSION : 2026-27</v>
      </c>
      <c r="E2920" s="737"/>
      <c r="F2920" s="737"/>
      <c r="G2920" s="737"/>
      <c r="H2920" s="735"/>
      <c r="I2920" s="738"/>
      <c r="J2920" s="738"/>
    </row>
    <row r="2921" ht="3.75" customHeight="1" spans="1:11">
      <c r="A2921" s="672"/>
      <c r="B2921" s="739"/>
      <c r="C2921" s="739"/>
      <c r="D2921" s="739"/>
      <c r="E2921" s="739"/>
      <c r="F2921" s="739"/>
      <c r="G2921" s="739"/>
      <c r="H2921" s="739"/>
      <c r="I2921" s="739"/>
      <c r="J2921" s="739"/>
      <c r="K2921" s="674"/>
    </row>
    <row r="2922" ht="21.95" customHeight="1" spans="1:11">
      <c r="A2922" s="675"/>
      <c r="B2922" s="676" t="s">
        <v>419</v>
      </c>
      <c r="C2922" s="676"/>
      <c r="D2922" s="676" t="str">
        <f>ENTRY!$D$6</f>
        <v>MCP NITHARI NO 1 BOYS</v>
      </c>
      <c r="E2922" s="676"/>
      <c r="F2922" s="676"/>
      <c r="G2922" s="676"/>
      <c r="H2922" s="676"/>
      <c r="I2922" s="676"/>
      <c r="J2922" s="676"/>
      <c r="K2922" s="677"/>
    </row>
    <row r="2923" ht="21.95" customHeight="1" spans="1:11">
      <c r="A2923" s="675"/>
      <c r="B2923" s="676" t="s">
        <v>420</v>
      </c>
      <c r="C2923" s="676"/>
      <c r="D2923" s="740">
        <f>IFERROR(VLOOKUP($I$2926,STUDENT!$A$2:$BP$101,5,0),"")</f>
        <v>0</v>
      </c>
      <c r="E2923" s="740"/>
      <c r="F2923" s="740"/>
      <c r="G2923" s="740"/>
      <c r="H2923" s="740"/>
      <c r="I2923" s="740"/>
      <c r="J2923" s="740"/>
      <c r="K2923" s="677"/>
    </row>
    <row r="2924" ht="21.95" customHeight="1" spans="1:11">
      <c r="A2924" s="675"/>
      <c r="B2924" s="676" t="s">
        <v>421</v>
      </c>
      <c r="C2924" s="676"/>
      <c r="D2924" s="740">
        <f>IFERROR(VLOOKUP($I$2926,STUDENT!$A$2:$BP$101,8,0),"")</f>
        <v>0</v>
      </c>
      <c r="E2924" s="740"/>
      <c r="F2924" s="740"/>
      <c r="G2924" s="740"/>
      <c r="H2924" s="740"/>
      <c r="I2924" s="740"/>
      <c r="J2924" s="740"/>
      <c r="K2924" s="677"/>
    </row>
    <row r="2925" ht="21.95" customHeight="1" spans="1:11">
      <c r="A2925" s="675"/>
      <c r="B2925" s="676" t="s">
        <v>422</v>
      </c>
      <c r="C2925" s="676"/>
      <c r="D2925" s="740">
        <f>IFERROR(VLOOKUP($I$2926,STUDENT!$A$2:$BP$101,6,0),"")</f>
        <v>0</v>
      </c>
      <c r="E2925" s="740"/>
      <c r="F2925" s="740"/>
      <c r="G2925" s="740"/>
      <c r="H2925" s="740"/>
      <c r="I2925" s="740"/>
      <c r="J2925" s="740"/>
      <c r="K2925" s="677"/>
    </row>
    <row r="2926" ht="21.95" customHeight="1" spans="1:11">
      <c r="A2926" s="675"/>
      <c r="B2926" s="676" t="s">
        <v>423</v>
      </c>
      <c r="C2926" s="676"/>
      <c r="D2926" s="741" t="str">
        <f>IFERROR(VLOOKUP($I$2926,STUDENT!$A$2:$BP$101,59,0),"")</f>
        <v/>
      </c>
      <c r="E2926" s="742" t="s">
        <v>424</v>
      </c>
      <c r="F2926" s="704" t="str">
        <f>IFERROR(VLOOKUP($I$2926,STUDENT!$A$2:$BP$101,2,0),"")</f>
        <v>III-A</v>
      </c>
      <c r="G2926" s="742" t="s">
        <v>425</v>
      </c>
      <c r="H2926" s="743"/>
      <c r="I2926" s="733">
        <f>I2871+1</f>
        <v>54</v>
      </c>
      <c r="J2926" s="683"/>
      <c r="K2926" s="677"/>
    </row>
    <row r="2927" ht="5.1" customHeight="1" spans="1:11">
      <c r="A2927" s="675"/>
      <c r="B2927" s="745"/>
      <c r="C2927" s="745"/>
      <c r="D2927" s="746"/>
      <c r="E2927" s="747"/>
      <c r="F2927" s="748"/>
      <c r="G2927" s="747"/>
      <c r="H2927" s="686"/>
      <c r="I2927" s="686"/>
      <c r="J2927" s="686"/>
      <c r="K2927" s="677"/>
    </row>
    <row r="2928" s="664" customFormat="1" ht="32.1" customHeight="1" spans="1:11">
      <c r="A2928" s="688"/>
      <c r="B2928" s="749" t="s">
        <v>426</v>
      </c>
      <c r="C2928" s="750"/>
      <c r="D2928" s="750"/>
      <c r="E2928" s="750"/>
      <c r="F2928" s="750"/>
      <c r="G2928" s="750"/>
      <c r="H2928" s="750"/>
      <c r="I2928" s="750"/>
      <c r="J2928" s="751"/>
      <c r="K2928" s="690"/>
    </row>
    <row r="2929" ht="51.6" spans="1:11">
      <c r="A2929" s="675"/>
      <c r="B2929" s="752">
        <v>21</v>
      </c>
      <c r="C2929" s="753" t="s">
        <v>427</v>
      </c>
      <c r="D2929" s="754" t="s">
        <v>428</v>
      </c>
      <c r="E2929" s="754" t="s">
        <v>429</v>
      </c>
      <c r="F2929" s="754" t="s">
        <v>430</v>
      </c>
      <c r="G2929" s="753" t="s">
        <v>390</v>
      </c>
      <c r="H2929" s="714"/>
      <c r="I2929" s="714"/>
      <c r="J2929" s="714"/>
      <c r="K2929" s="677"/>
    </row>
    <row r="2930" ht="20.1" customHeight="1" spans="1:11">
      <c r="A2930" s="675"/>
      <c r="B2930" s="755">
        <v>1</v>
      </c>
      <c r="C2930" s="755" t="str">
        <f>IFERROR(VLOOKUP(B2930,DATEWISE!$A$3:$BY$27,2,0),0)</f>
        <v>30.04.2026</v>
      </c>
      <c r="D2930" s="755">
        <f>IF($C$2930=0,NA(),VLOOKUP($I$2926&amp;$B$2930,FLNFIX!$L$4:$EF$103,2,0))</f>
        <v>0</v>
      </c>
      <c r="E2930" s="755">
        <f>IF($C$2930=0,NA(),VLOOKUP($I$2926&amp;$B$2930,FLNFIX!$L$4:$EF$103,4,0))</f>
        <v>0</v>
      </c>
      <c r="F2930" s="755">
        <f>IF($C$2930=0,NA(),VLOOKUP($I$2926&amp;$B$2930,FLNFIX!$L$4:$EF$103,3,0))</f>
        <v>0</v>
      </c>
      <c r="G2930" s="756">
        <f>IF($C$2930=0,NA(),VLOOKUP($I$2926&amp;$B$2930,FLNFIX!$L$4:$EF$103,5,0))</f>
        <v>0</v>
      </c>
      <c r="H2930" s="757"/>
      <c r="I2930" s="757"/>
      <c r="J2930" s="758"/>
      <c r="K2930" s="677"/>
    </row>
    <row r="2931" ht="20.1" customHeight="1" spans="1:11">
      <c r="A2931" s="675"/>
      <c r="B2931" s="755">
        <f t="shared" ref="B2931:B2950" si="53">IF(B2930=0,0,IF(B2930&lt;$B$2929,B2930+1,""))</f>
        <v>2</v>
      </c>
      <c r="C2931" s="755" t="str">
        <f>IFERROR(VLOOKUP(B2931,DATEWISE!$A$3:$BY$27,2,0),0)</f>
        <v>08.05.2026</v>
      </c>
      <c r="D2931" s="755">
        <f>IF($C$2931=0,NA(),VLOOKUP($I$2926&amp;$B$2931,FLNFIX!$Q$4:$EF$103,2,0))</f>
        <v>0</v>
      </c>
      <c r="E2931" s="755">
        <f>IF($C$2931=0,NA(),VLOOKUP($I$2926&amp;$B$2931,FLNFIX!$Q$4:$EF$103,4,0))</f>
        <v>0</v>
      </c>
      <c r="F2931" s="755">
        <f>IF($C$2931=0,NA(),VLOOKUP($I$2926&amp;$B$2931,FLNFIX!$Q$4:$EF$103,3,0))</f>
        <v>0</v>
      </c>
      <c r="G2931" s="756">
        <f>IF($C$2931=0,NA(),VLOOKUP($I$2926&amp;$B$2931,FLNFIX!$Q$4:$EF$103,5,0))</f>
        <v>0</v>
      </c>
      <c r="H2931" s="757"/>
      <c r="I2931" s="757"/>
      <c r="J2931" s="758"/>
      <c r="K2931" s="677"/>
    </row>
    <row r="2932" ht="20.1" customHeight="1" spans="1:11">
      <c r="A2932" s="675"/>
      <c r="B2932" s="755">
        <f t="shared" si="53"/>
        <v>3</v>
      </c>
      <c r="C2932" s="755" t="str">
        <f>IFERROR(VLOOKUP(B2932,DATEWISE!$A$3:$BY$27,2,0),0)</f>
        <v>15.07.2026</v>
      </c>
      <c r="D2932" s="755">
        <f>IF($C$2932=0,NA(),VLOOKUP($I$2926&amp;$B$2932,FLNFIX!$V$4:$EF$103,2,0))</f>
        <v>0</v>
      </c>
      <c r="E2932" s="755">
        <f>IF($C$2932=0,NA(),VLOOKUP($I$2926&amp;$B$2932,FLNFIX!$V$4:$EF$103,4,0))</f>
        <v>0</v>
      </c>
      <c r="F2932" s="755">
        <f>IF($C$2932=0,NA(),VLOOKUP($I$2926&amp;$B$2932,FLNFIX!$V$4:$EF$103,3,0))</f>
        <v>0</v>
      </c>
      <c r="G2932" s="756">
        <f>IF($C$2932=0,NA(),VLOOKUP($I$2926&amp;$B$2932,FLNFIX!$V$4:$EF$103,5,0))</f>
        <v>0</v>
      </c>
      <c r="H2932" s="757"/>
      <c r="I2932" s="757"/>
      <c r="J2932" s="758"/>
      <c r="K2932" s="677"/>
    </row>
    <row r="2933" ht="20.1" customHeight="1" spans="1:11">
      <c r="A2933" s="675"/>
      <c r="B2933" s="755">
        <f t="shared" si="53"/>
        <v>4</v>
      </c>
      <c r="C2933" s="755" t="str">
        <f>IFERROR(VLOOKUP(B2933,DATEWISE!$A$3:$BY$27,2,0),0)</f>
        <v>31.07.2026</v>
      </c>
      <c r="D2933" s="755">
        <f>IF($C$2933=0,NA(),VLOOKUP($I$2926&amp;$B$2933,FLNFIX!$AA$4:$EF$103,2,0))</f>
        <v>0</v>
      </c>
      <c r="E2933" s="755">
        <f>IF($C$2933=0,NA(),VLOOKUP($I$2926&amp;$B$2933,FLNFIX!$AA$4:$EF$103,4,0))</f>
        <v>0</v>
      </c>
      <c r="F2933" s="755">
        <f>IF($C$2933=0,NA(),VLOOKUP($I$2926&amp;$B$2933,FLNFIX!$AA$4:$EF$103,3,0))</f>
        <v>0</v>
      </c>
      <c r="G2933" s="756">
        <f>IF($C$2933=0,NA(),VLOOKUP($I$2926&amp;$B$2933,FLNFIX!$AA$4:$EF$103,5,0))</f>
        <v>0</v>
      </c>
      <c r="H2933" s="757"/>
      <c r="I2933" s="757"/>
      <c r="J2933" s="758"/>
      <c r="K2933" s="677"/>
    </row>
    <row r="2934" ht="20.1" customHeight="1" spans="1:11">
      <c r="A2934" s="675"/>
      <c r="B2934" s="755">
        <f t="shared" si="53"/>
        <v>5</v>
      </c>
      <c r="C2934" s="755" t="str">
        <f>IFERROR(VLOOKUP(B2934,DATEWISE!$A$3:$BY$27,2,0),0)</f>
        <v>17.08.2026</v>
      </c>
      <c r="D2934" s="755">
        <f>IF($C$2934=0,NA(),VLOOKUP($I$2926&amp;$B$2934,FLNFIX!$AF$4:$EF$103,2,0))</f>
        <v>0</v>
      </c>
      <c r="E2934" s="755">
        <f>IF($C$2934=0,NA(),VLOOKUP($I$2926&amp;$B$2934,FLNFIX!$AF$4:$EF$103,4,0))</f>
        <v>0</v>
      </c>
      <c r="F2934" s="755">
        <f>IF($C$2934=0,NA(),VLOOKUP($I$2926&amp;$B$2934,FLNFIX!$AF$4:$EF$103,3,0))</f>
        <v>0</v>
      </c>
      <c r="G2934" s="756">
        <f>IF($C$2934=0,NA(),VLOOKUP($I$2926&amp;$B$2934,FLNFIX!$AF$4:$EF$103,5,0))</f>
        <v>0</v>
      </c>
      <c r="H2934" s="757"/>
      <c r="I2934" s="757"/>
      <c r="J2934" s="758"/>
      <c r="K2934" s="677"/>
    </row>
    <row r="2935" ht="20.1" customHeight="1" spans="1:11">
      <c r="A2935" s="675"/>
      <c r="B2935" s="755">
        <f t="shared" si="53"/>
        <v>6</v>
      </c>
      <c r="C2935" s="755" t="str">
        <f>IFERROR(VLOOKUP(B2935,DATEWISE!$A$3:$BY$27,2,0),0)</f>
        <v>31.08.2026</v>
      </c>
      <c r="D2935" s="755">
        <f>IF($C$2935=0,NA(),VLOOKUP($I$2926&amp;$B$2935,FLNFIX!$AK$4:$EF$103,2,0))</f>
        <v>0</v>
      </c>
      <c r="E2935" s="755">
        <f>IF($C$2935=0,NA(),VLOOKUP($I$2926&amp;$B$2935,FLNFIX!$AK$4:$EF$103,4,0))</f>
        <v>0</v>
      </c>
      <c r="F2935" s="755">
        <f>IF($C$2935=0,NA(),VLOOKUP($I$2926&amp;$B$2935,FLNFIX!$AK$4:$EF$103,3,0))</f>
        <v>0</v>
      </c>
      <c r="G2935" s="756">
        <f>IF($C$2935=0,NA(),VLOOKUP($I$2926&amp;$B$2935,FLNFIX!$AK$4:$EF$103,5,0))</f>
        <v>0</v>
      </c>
      <c r="H2935" s="757"/>
      <c r="I2935" s="757"/>
      <c r="J2935" s="758"/>
      <c r="K2935" s="677"/>
    </row>
    <row r="2936" ht="20.1" customHeight="1" spans="1:11">
      <c r="A2936" s="675"/>
      <c r="B2936" s="755">
        <f t="shared" si="53"/>
        <v>7</v>
      </c>
      <c r="C2936" s="755">
        <f>IFERROR(VLOOKUP(B2936,DATEWISE!$A$3:$BY$27,2,0),0)</f>
        <v>0</v>
      </c>
      <c r="D2936" s="755" t="e">
        <f>IF($C$2936=0,NA(),VLOOKUP($I$2926&amp;$B$2936,FLNFIX!$AP$4:$EF$103,2,0))</f>
        <v>#N/A</v>
      </c>
      <c r="E2936" s="755" t="e">
        <f>IF($C$2936=0,NA(),VLOOKUP($I$2926&amp;$B$2936,FLNFIX!$AP$4:$EF$103,4,0))</f>
        <v>#N/A</v>
      </c>
      <c r="F2936" s="755" t="e">
        <f>IF($C$2936=0,NA(),VLOOKUP($I$2926&amp;$B$2936,FLNFIX!$AP$4:$EF$103,3,0))</f>
        <v>#N/A</v>
      </c>
      <c r="G2936" s="756" t="e">
        <f>IF($C$2936=0,NA(),VLOOKUP($I$2926&amp;$B$2936,FLNFIX!$AP$4:$EF$103,5,0))</f>
        <v>#N/A</v>
      </c>
      <c r="H2936" s="757"/>
      <c r="I2936" s="757"/>
      <c r="J2936" s="758"/>
      <c r="K2936" s="677"/>
    </row>
    <row r="2937" ht="20.1" customHeight="1" spans="1:11">
      <c r="A2937" s="675"/>
      <c r="B2937" s="755">
        <f t="shared" si="53"/>
        <v>8</v>
      </c>
      <c r="C2937" s="755">
        <f>IFERROR(VLOOKUP(B2937,DATEWISE!$A$3:$BY$27,2,0),0)</f>
        <v>0</v>
      </c>
      <c r="D2937" s="755" t="e">
        <f>IF($C$2937=0,NA(),VLOOKUP($I$2926&amp;$B$2937,FLNFIX!$AU$4:$EF$103,2,0))</f>
        <v>#N/A</v>
      </c>
      <c r="E2937" s="755" t="e">
        <f>IF($C$2937=0,NA(),VLOOKUP($I$2926&amp;$B$2937,FLNFIX!$AU$4:$EF$103,4,0))</f>
        <v>#N/A</v>
      </c>
      <c r="F2937" s="755" t="e">
        <f>IF($C$2937=0,NA(),VLOOKUP($I$2926&amp;$B$2937,FLNFIX!$AU$4:$EF$103,3,0))</f>
        <v>#N/A</v>
      </c>
      <c r="G2937" s="756" t="e">
        <f>IF($C$2937=0,NA(),VLOOKUP($I$2926&amp;$B$2937,FLNFIX!$AU$4:$EF$103,5,0))</f>
        <v>#N/A</v>
      </c>
      <c r="H2937" s="757"/>
      <c r="I2937" s="757"/>
      <c r="J2937" s="758"/>
      <c r="K2937" s="677"/>
    </row>
    <row r="2938" ht="20.1" customHeight="1" spans="1:11">
      <c r="A2938" s="675"/>
      <c r="B2938" s="755">
        <f t="shared" si="53"/>
        <v>9</v>
      </c>
      <c r="C2938" s="755">
        <f>IFERROR(VLOOKUP(B2938,DATEWISE!$A$3:$BY$27,2,0),0)</f>
        <v>0</v>
      </c>
      <c r="D2938" s="755" t="e">
        <f>IF($C$2938=0,NA(),VLOOKUP($I$2926&amp;$B$2938,FLNFIX!$AZ$4:$EF$103,2,0))</f>
        <v>#N/A</v>
      </c>
      <c r="E2938" s="755" t="e">
        <f>IF($C$2938=0,NA(),VLOOKUP($I$2926&amp;$B$2938,FLNFIX!$AZ$4:$EF$103,4,0))</f>
        <v>#N/A</v>
      </c>
      <c r="F2938" s="755" t="e">
        <f>IF($C$2938=0,NA(),VLOOKUP($I$2926&amp;$B$2938,FLNFIX!$AZ$4:$EF$103,3,0))</f>
        <v>#N/A</v>
      </c>
      <c r="G2938" s="756" t="e">
        <f>IF($C$2938=0,NA(),VLOOKUP($I$2926&amp;$B$2938,FLNFIX!$AZ$4:$EF$103,5,0))</f>
        <v>#N/A</v>
      </c>
      <c r="H2938" s="757"/>
      <c r="I2938" s="757"/>
      <c r="J2938" s="758"/>
      <c r="K2938" s="677"/>
    </row>
    <row r="2939" ht="20.1" customHeight="1" spans="1:11">
      <c r="A2939" s="675"/>
      <c r="B2939" s="755">
        <f t="shared" si="53"/>
        <v>10</v>
      </c>
      <c r="C2939" s="755">
        <f>IFERROR(VLOOKUP(B2939,DATEWISE!$A$3:$BY$27,2,0),0)</f>
        <v>0</v>
      </c>
      <c r="D2939" s="755" t="e">
        <f>IF($C$2939=0,NA(),VLOOKUP($I$2926&amp;$B$2939,FLNFIX!$BE$4:$EF$103,2,0))</f>
        <v>#N/A</v>
      </c>
      <c r="E2939" s="755" t="e">
        <f>IF($C$2939=0,NA(),VLOOKUP($I$2926&amp;$B$2939,FLNFIX!$BE$4:$EF$103,4,0))</f>
        <v>#N/A</v>
      </c>
      <c r="F2939" s="755" t="e">
        <f>IF($C$2939=0,NA(),VLOOKUP($I$2926&amp;$B$2939,FLNFIX!$BE$4:$EF$103,3,0))</f>
        <v>#N/A</v>
      </c>
      <c r="G2939" s="756" t="e">
        <f>IF($C$2939=0,NA(),VLOOKUP($I$2926&amp;$B$2939,FLNFIX!$BE$4:$EF$103,5,0))</f>
        <v>#N/A</v>
      </c>
      <c r="H2939" s="757"/>
      <c r="I2939" s="757"/>
      <c r="J2939" s="758"/>
      <c r="K2939" s="677"/>
    </row>
    <row r="2940" ht="20.1" customHeight="1" spans="1:11">
      <c r="A2940" s="675"/>
      <c r="B2940" s="755">
        <f t="shared" si="53"/>
        <v>11</v>
      </c>
      <c r="C2940" s="755">
        <f>IFERROR(VLOOKUP(B2940,DATEWISE!$A$3:$BY$27,2,0),0)</f>
        <v>0</v>
      </c>
      <c r="D2940" s="755" t="e">
        <f>IF($C$2940=0,NA(),VLOOKUP($I$2926&amp;$B$2940,FLNFIX!$BJ$4:$EF$103,2,0))</f>
        <v>#N/A</v>
      </c>
      <c r="E2940" s="755" t="e">
        <f>IF($C$2940=0,NA(),VLOOKUP($I$2926&amp;$B$2940,FLNFIX!$BJ$4:$EF$103,4,0))</f>
        <v>#N/A</v>
      </c>
      <c r="F2940" s="755" t="e">
        <f>IF($C$2940=0,NA(),VLOOKUP($I$2926&amp;$B$2940,FLNFIX!$BJ$4:$EF$103,3,0))</f>
        <v>#N/A</v>
      </c>
      <c r="G2940" s="756" t="e">
        <f>IF($C$2940=0,NA(),VLOOKUP($I$2926&amp;$B$2940,FLNFIX!$BJ$4:$EF$103,5,0))</f>
        <v>#N/A</v>
      </c>
      <c r="H2940" s="757"/>
      <c r="I2940" s="757"/>
      <c r="J2940" s="758"/>
      <c r="K2940" s="677"/>
    </row>
    <row r="2941" ht="20.1" customHeight="1" spans="1:11">
      <c r="A2941" s="675"/>
      <c r="B2941" s="755">
        <f t="shared" si="53"/>
        <v>12</v>
      </c>
      <c r="C2941" s="755">
        <f>IFERROR(VLOOKUP(B2941,DATEWISE!$A$3:$BY$27,2,0),0)</f>
        <v>0</v>
      </c>
      <c r="D2941" s="755" t="e">
        <f>IF($C$2941=0,NA(),VLOOKUP($I$2926&amp;$B$2941,FLNFIX!$BO$4:$EF$103,2,0))</f>
        <v>#N/A</v>
      </c>
      <c r="E2941" s="755" t="e">
        <f>IF($C$2941=0,NA(),VLOOKUP($I$2926&amp;$B$2941,FLNFIX!$BO$4:$EF$103,4,0))</f>
        <v>#N/A</v>
      </c>
      <c r="F2941" s="755" t="e">
        <f>IF($C$2941=0,NA(),VLOOKUP($I$2926&amp;$B$2941,FLNFIX!$BO$4:$EF$103,3,0))</f>
        <v>#N/A</v>
      </c>
      <c r="G2941" s="756" t="e">
        <f>IF($C$2941=0,NA(),VLOOKUP($I$2926&amp;$B$2941,FLNFIX!$BO$4:$EF$103,5,0))</f>
        <v>#N/A</v>
      </c>
      <c r="H2941" s="757"/>
      <c r="I2941" s="757"/>
      <c r="J2941" s="758"/>
      <c r="K2941" s="677"/>
    </row>
    <row r="2942" ht="20.1" customHeight="1" spans="1:11">
      <c r="A2942" s="675"/>
      <c r="B2942" s="755">
        <f t="shared" si="53"/>
        <v>13</v>
      </c>
      <c r="C2942" s="755">
        <f>IFERROR(VLOOKUP(B2942,DATEWISE!$A$3:$BY$27,2,0),0)</f>
        <v>0</v>
      </c>
      <c r="D2942" s="755" t="e">
        <f>IF($C$2942=0,NA(),VLOOKUP($I$2926&amp;$B$2942,FLNFIX!$BT$4:$EF$103,2,0))</f>
        <v>#N/A</v>
      </c>
      <c r="E2942" s="755" t="e">
        <f>IF($C$2942=0,NA(),VLOOKUP($I$2926&amp;$B$2942,FLNFIX!$BT$4:$EF$103,4,0))</f>
        <v>#N/A</v>
      </c>
      <c r="F2942" s="755" t="e">
        <f>IF($C$2942=0,NA(),VLOOKUP($I$2926&amp;$B$2942,FLNFIX!$BT$4:$EF$103,3,0))</f>
        <v>#N/A</v>
      </c>
      <c r="G2942" s="756" t="e">
        <f>IF($C$2942=0,NA(),VLOOKUP($I$2926&amp;$B$2942,FLNFIX!$BT$4:$EF$103,5,0))</f>
        <v>#N/A</v>
      </c>
      <c r="H2942" s="757"/>
      <c r="I2942" s="757"/>
      <c r="J2942" s="758"/>
      <c r="K2942" s="677"/>
    </row>
    <row r="2943" ht="20.1" customHeight="1" spans="1:11">
      <c r="A2943" s="675"/>
      <c r="B2943" s="755">
        <f t="shared" si="53"/>
        <v>14</v>
      </c>
      <c r="C2943" s="755">
        <f>IFERROR(VLOOKUP(B2943,DATEWISE!$A$3:$BY$27,2,0),0)</f>
        <v>0</v>
      </c>
      <c r="D2943" s="755" t="e">
        <f>IF($C$2943=0,NA(),VLOOKUP($I$2926&amp;$B$2943,FLNFIX!$BY$4:$EF$103,2,0))</f>
        <v>#N/A</v>
      </c>
      <c r="E2943" s="755" t="e">
        <f>IF($C$2943=0,NA(),VLOOKUP($I$2926&amp;$B$2943,FLNFIX!$BY$4:$EF$103,4,0))</f>
        <v>#N/A</v>
      </c>
      <c r="F2943" s="755" t="e">
        <f>IF($C$2943=0,NA(),VLOOKUP($I$2926&amp;$B$2943,FLNFIX!$BY$4:$EF$103,3,0))</f>
        <v>#N/A</v>
      </c>
      <c r="G2943" s="756" t="e">
        <f>IF($C$2943=0,NA(),VLOOKUP($I$2926&amp;$B$2943,FLNFIX!$BY$4:$EF$103,5,0))</f>
        <v>#N/A</v>
      </c>
      <c r="H2943" s="757"/>
      <c r="I2943" s="757"/>
      <c r="J2943" s="758"/>
      <c r="K2943" s="677"/>
    </row>
    <row r="2944" ht="20.1" customHeight="1" spans="1:11">
      <c r="A2944" s="675"/>
      <c r="B2944" s="755">
        <f t="shared" si="53"/>
        <v>15</v>
      </c>
      <c r="C2944" s="755">
        <f>IFERROR(VLOOKUP(B2944,DATEWISE!$A$3:$BY$27,2,0),0)</f>
        <v>0</v>
      </c>
      <c r="D2944" s="755" t="e">
        <f>IF($C$2944=0,NA(),VLOOKUP($I$2926&amp;$B$2944,FLNFIX!$CD$4:$EF$103,2,0))</f>
        <v>#N/A</v>
      </c>
      <c r="E2944" s="755" t="e">
        <f>IF($C$2944=0,NA(),VLOOKUP($I$2926&amp;$B$2944,FLNFIX!$CD$4:$EF$103,4,0))</f>
        <v>#N/A</v>
      </c>
      <c r="F2944" s="755" t="e">
        <f>IF($C$2944=0,NA(),VLOOKUP($I$2926&amp;$B$2944,FLNFIX!$CD$4:$EF$103,3,0))</f>
        <v>#N/A</v>
      </c>
      <c r="G2944" s="756" t="e">
        <f>IF($C$2944=0,NA(),VLOOKUP($I$2926&amp;$B$2944,FLNFIX!$CD$4:$EF$103,5,0))</f>
        <v>#N/A</v>
      </c>
      <c r="H2944" s="757"/>
      <c r="I2944" s="757"/>
      <c r="J2944" s="758"/>
      <c r="K2944" s="677"/>
    </row>
    <row r="2945" ht="20.1" customHeight="1" spans="1:11">
      <c r="A2945" s="675"/>
      <c r="B2945" s="755">
        <f t="shared" si="53"/>
        <v>16</v>
      </c>
      <c r="C2945" s="755">
        <f>IFERROR(VLOOKUP(B2945,DATEWISE!$A$3:$BY$27,2,0),0)</f>
        <v>0</v>
      </c>
      <c r="D2945" s="755" t="e">
        <f>IF($C$2945=0,NA(),VLOOKUP($I$2926&amp;$B$2945,FLNFIX!$CI$4:$EF$103,2,0))</f>
        <v>#N/A</v>
      </c>
      <c r="E2945" s="755" t="e">
        <f>IF($C$2945=0,NA(),VLOOKUP($I$2926&amp;$B$2945,FLNFIX!$CI$4:$EF$103,4,0))</f>
        <v>#N/A</v>
      </c>
      <c r="F2945" s="755" t="e">
        <f>IF($C$2945=0,NA(),VLOOKUP($I$2926&amp;$B$2945,FLNFIX!$CI$4:$EF$103,3,0))</f>
        <v>#N/A</v>
      </c>
      <c r="G2945" s="756" t="e">
        <f>IF($C$2945=0,NA(),VLOOKUP($I$2926&amp;$B$2945,FLNFIX!$CI$4:$EF$103,5,0))</f>
        <v>#N/A</v>
      </c>
      <c r="H2945" s="757"/>
      <c r="I2945" s="757"/>
      <c r="J2945" s="758"/>
      <c r="K2945" s="677"/>
    </row>
    <row r="2946" ht="20.1" customHeight="1" spans="1:11">
      <c r="A2946" s="675"/>
      <c r="B2946" s="755">
        <f t="shared" si="53"/>
        <v>17</v>
      </c>
      <c r="C2946" s="755">
        <f>IFERROR(VLOOKUP(B2946,DATEWISE!$A$3:$BY$27,2,0),0)</f>
        <v>0</v>
      </c>
      <c r="D2946" s="755" t="e">
        <f>IF($C$2946=0,NA(),VLOOKUP($I$2926&amp;$B$2946,FLNFIX!$CN$4:$EF$103,2,0))</f>
        <v>#N/A</v>
      </c>
      <c r="E2946" s="755" t="e">
        <f>IF($C$2946=0,NA(),VLOOKUP($I$2926&amp;$B$2946,FLNFIX!$CN$4:$EF$103,4,0))</f>
        <v>#N/A</v>
      </c>
      <c r="F2946" s="755" t="e">
        <f>IF($C$2946=0,NA(),VLOOKUP($I$2926&amp;$B$2946,FLNFIX!$CN$4:$EF$103,3,0))</f>
        <v>#N/A</v>
      </c>
      <c r="G2946" s="756" t="e">
        <f>IF($C$2946=0,NA(),VLOOKUP($I$2926&amp;$B$2946,FLNFIX!$CN$4:$EF$103,5,0))</f>
        <v>#N/A</v>
      </c>
      <c r="H2946" s="757"/>
      <c r="I2946" s="757"/>
      <c r="J2946" s="758"/>
      <c r="K2946" s="677"/>
    </row>
    <row r="2947" ht="20.1" customHeight="1" spans="1:11">
      <c r="A2947" s="675"/>
      <c r="B2947" s="755">
        <f t="shared" si="53"/>
        <v>18</v>
      </c>
      <c r="C2947" s="755">
        <f>IFERROR(VLOOKUP(B2947,DATEWISE!$A$3:$BY$27,2,0),0)</f>
        <v>0</v>
      </c>
      <c r="D2947" s="755" t="e">
        <f>IF($C$2947=0,NA(),VLOOKUP($I$2926&amp;$B$2947,FLNFIX!$CS$4:$EF$103,2,0))</f>
        <v>#N/A</v>
      </c>
      <c r="E2947" s="755" t="e">
        <f>IF($C$2947=0,NA(),VLOOKUP($I$2926&amp;$B$2947,FLNFIX!$CS$4:$EF$103,4,0))</f>
        <v>#N/A</v>
      </c>
      <c r="F2947" s="755" t="e">
        <f>IF($C$2947=0,NA(),VLOOKUP($I$2926&amp;$B$2947,FLNFIX!$CS$4:$EF$103,3,0))</f>
        <v>#N/A</v>
      </c>
      <c r="G2947" s="756" t="e">
        <f>IF($C$2947=0,NA(),VLOOKUP($I$2926&amp;$B$2947,FLNFIX!$CS$4:$EF$103,5,0))</f>
        <v>#N/A</v>
      </c>
      <c r="H2947" s="757"/>
      <c r="I2947" s="757"/>
      <c r="J2947" s="758"/>
      <c r="K2947" s="677"/>
    </row>
    <row r="2948" ht="20.1" customHeight="1" spans="1:11">
      <c r="A2948" s="675"/>
      <c r="B2948" s="755">
        <f t="shared" si="53"/>
        <v>19</v>
      </c>
      <c r="C2948" s="755">
        <f>IFERROR(VLOOKUP(B2948,DATEWISE!$A$3:$BY$27,2,0),0)</f>
        <v>0</v>
      </c>
      <c r="D2948" s="755" t="e">
        <f>IF($C$2948=0,NA(),VLOOKUP($I$2926&amp;$B$2948,FLNFIX!$CX$4:$EF$103,2,0))</f>
        <v>#N/A</v>
      </c>
      <c r="E2948" s="755" t="e">
        <f>IF($C$2948=0,NA(),VLOOKUP($I$2926&amp;$B$2948,FLNFIX!$CX$4:$EF$103,4,0))</f>
        <v>#N/A</v>
      </c>
      <c r="F2948" s="755" t="e">
        <f>IF($C$2948=0,NA(),VLOOKUP($I$2926&amp;$B$2948,FLNFIX!$CX$4:$EF$103,3,0))</f>
        <v>#N/A</v>
      </c>
      <c r="G2948" s="756" t="e">
        <f>IF($C$2948=0,NA(),VLOOKUP($I$2926&amp;$B$2948,FLNFIX!$CX$4:$EF$103,5,0))</f>
        <v>#N/A</v>
      </c>
      <c r="H2948" s="757"/>
      <c r="I2948" s="757"/>
      <c r="J2948" s="758"/>
      <c r="K2948" s="677"/>
    </row>
    <row r="2949" ht="20.1" customHeight="1" spans="1:11">
      <c r="A2949" s="675"/>
      <c r="B2949" s="755">
        <f t="shared" si="53"/>
        <v>20</v>
      </c>
      <c r="C2949" s="755">
        <f>IFERROR(VLOOKUP(B2949,DATEWISE!$A$3:$BY$27,2,0),0)</f>
        <v>0</v>
      </c>
      <c r="D2949" s="755" t="e">
        <f>IF($C$2949=0,NA(),VLOOKUP($I$2926&amp;$B$2949,FLNFIX!$DC$4:$EF$103,2,0))</f>
        <v>#N/A</v>
      </c>
      <c r="E2949" s="755" t="e">
        <f>IF($C$2949=0,NA(),VLOOKUP($I$2926&amp;$B$2949,FLNFIX!$DC$4:$EF$103,4,0))</f>
        <v>#N/A</v>
      </c>
      <c r="F2949" s="755" t="e">
        <f>IF($C$2949=0,NA(),VLOOKUP($I$2926&amp;$B$2949,FLNFIX!$DC$4:$EF$103,3,0))</f>
        <v>#N/A</v>
      </c>
      <c r="G2949" s="756" t="e">
        <f>IF($C$2949=0,NA(),VLOOKUP($I$2926&amp;$B$2949,FLNFIX!$DC$4:$EF$103,5,0))</f>
        <v>#N/A</v>
      </c>
      <c r="H2949" s="757"/>
      <c r="I2949" s="757"/>
      <c r="J2949" s="758"/>
      <c r="K2949" s="677"/>
    </row>
    <row r="2950" ht="20.1" customHeight="1" spans="1:11">
      <c r="A2950" s="675"/>
      <c r="B2950" s="755">
        <f t="shared" si="53"/>
        <v>21</v>
      </c>
      <c r="C2950" s="755">
        <f>IFERROR(VLOOKUP(B2950,DATEWISE!$A$3:$BY$27,2,0),0)</f>
        <v>0</v>
      </c>
      <c r="D2950" s="755" t="e">
        <f>IF($C$2950=0,NA(),VLOOKUP($I$2926&amp;$B$2950,FLNFIX!$DH$4:$EF$103,2,0))</f>
        <v>#N/A</v>
      </c>
      <c r="E2950" s="755" t="e">
        <f>IF($C$2950=0,NA(),VLOOKUP($I$2926&amp;$B$2950,FLNFIX!$DH$4:$EF$103,4,0))</f>
        <v>#N/A</v>
      </c>
      <c r="F2950" s="755" t="e">
        <f>IF($C$2950=0,NA(),VLOOKUP($I$2926&amp;$B$2950,FLNFIX!$DH$4:$EF$103,3,0))</f>
        <v>#N/A</v>
      </c>
      <c r="G2950" s="756" t="e">
        <f>IF($C$2950=0,NA(),VLOOKUP($I$2926&amp;$B$2950,FLNFIX!$DH$4:$EF$103,5,0))</f>
        <v>#N/A</v>
      </c>
      <c r="H2950" s="757"/>
      <c r="I2950" s="757"/>
      <c r="J2950" s="758"/>
      <c r="K2950" s="677"/>
    </row>
    <row r="2951" ht="5.1" customHeight="1" spans="1:11">
      <c r="A2951" s="675"/>
      <c r="B2951" s="759"/>
      <c r="C2951" s="759"/>
      <c r="D2951" s="760"/>
      <c r="E2951" s="760"/>
      <c r="F2951" s="760"/>
      <c r="G2951" s="761"/>
      <c r="H2951" s="761"/>
      <c r="I2951" s="761"/>
      <c r="J2951" s="761"/>
      <c r="K2951" s="677"/>
    </row>
    <row r="2952" s="667" customFormat="1" ht="24.95" customHeight="1" spans="1:11">
      <c r="A2952" s="711"/>
      <c r="B2952" s="762" t="s">
        <v>431</v>
      </c>
      <c r="C2952" s="763"/>
      <c r="D2952" s="763"/>
      <c r="E2952" s="763"/>
      <c r="F2952" s="763"/>
      <c r="G2952" s="763"/>
      <c r="H2952" s="763"/>
      <c r="I2952" s="763"/>
      <c r="J2952" s="764"/>
      <c r="K2952" s="713"/>
    </row>
    <row r="2953" spans="1:11">
      <c r="A2953" s="675"/>
      <c r="B2953" s="765"/>
      <c r="C2953" s="686"/>
      <c r="D2953" s="686"/>
      <c r="E2953" s="686"/>
      <c r="F2953" s="686"/>
      <c r="G2953" s="686"/>
      <c r="H2953" s="686"/>
      <c r="I2953" s="686"/>
      <c r="J2953" s="766"/>
      <c r="K2953" s="677"/>
    </row>
    <row r="2954" spans="1:11">
      <c r="A2954" s="675"/>
      <c r="B2954" s="765"/>
      <c r="C2954" s="686"/>
      <c r="D2954" s="686"/>
      <c r="E2954" s="686"/>
      <c r="F2954" s="686"/>
      <c r="G2954" s="686"/>
      <c r="H2954" s="686"/>
      <c r="I2954" s="686"/>
      <c r="J2954" s="766"/>
      <c r="K2954" s="677"/>
    </row>
    <row r="2955" spans="1:11">
      <c r="A2955" s="675"/>
      <c r="B2955" s="765"/>
      <c r="C2955" s="686"/>
      <c r="D2955" s="686"/>
      <c r="E2955" s="686"/>
      <c r="F2955" s="686"/>
      <c r="G2955" s="686"/>
      <c r="H2955" s="686"/>
      <c r="I2955" s="686"/>
      <c r="J2955" s="766"/>
      <c r="K2955" s="677"/>
    </row>
    <row r="2956" spans="1:11">
      <c r="A2956" s="675"/>
      <c r="B2956" s="765"/>
      <c r="C2956" s="686"/>
      <c r="D2956" s="686"/>
      <c r="E2956" s="686"/>
      <c r="F2956" s="686"/>
      <c r="G2956" s="686"/>
      <c r="H2956" s="686"/>
      <c r="I2956" s="686"/>
      <c r="J2956" s="766"/>
      <c r="K2956" s="677"/>
    </row>
    <row r="2957" spans="1:11">
      <c r="A2957" s="675"/>
      <c r="B2957" s="765"/>
      <c r="C2957" s="686"/>
      <c r="D2957" s="686"/>
      <c r="E2957" s="686"/>
      <c r="F2957" s="686"/>
      <c r="G2957" s="686"/>
      <c r="H2957" s="686"/>
      <c r="I2957" s="686"/>
      <c r="J2957" s="766"/>
      <c r="K2957" s="677"/>
    </row>
    <row r="2958" spans="1:11">
      <c r="A2958" s="675"/>
      <c r="B2958" s="765"/>
      <c r="C2958" s="686"/>
      <c r="D2958" s="686"/>
      <c r="E2958" s="686"/>
      <c r="F2958" s="686"/>
      <c r="G2958" s="686"/>
      <c r="H2958" s="686"/>
      <c r="I2958" s="686"/>
      <c r="J2958" s="766"/>
      <c r="K2958" s="677"/>
    </row>
    <row r="2959" spans="1:11">
      <c r="A2959" s="675"/>
      <c r="B2959" s="765"/>
      <c r="C2959" s="686"/>
      <c r="D2959" s="686"/>
      <c r="E2959" s="686"/>
      <c r="F2959" s="686"/>
      <c r="G2959" s="686"/>
      <c r="H2959" s="686"/>
      <c r="I2959" s="686"/>
      <c r="J2959" s="766"/>
      <c r="K2959" s="677"/>
    </row>
    <row r="2960" spans="1:11">
      <c r="A2960" s="675"/>
      <c r="B2960" s="765"/>
      <c r="C2960" s="686"/>
      <c r="D2960" s="686"/>
      <c r="E2960" s="686"/>
      <c r="F2960" s="686"/>
      <c r="G2960" s="686"/>
      <c r="H2960" s="686"/>
      <c r="I2960" s="686"/>
      <c r="J2960" s="766"/>
      <c r="K2960" s="677"/>
    </row>
    <row r="2961" spans="1:11">
      <c r="A2961" s="675"/>
      <c r="B2961" s="765"/>
      <c r="C2961" s="686"/>
      <c r="D2961" s="686"/>
      <c r="E2961" s="686"/>
      <c r="F2961" s="686"/>
      <c r="G2961" s="686"/>
      <c r="H2961" s="686"/>
      <c r="I2961" s="686"/>
      <c r="J2961" s="766"/>
      <c r="K2961" s="677"/>
    </row>
    <row r="2962" spans="1:11">
      <c r="A2962" s="675"/>
      <c r="B2962" s="767"/>
      <c r="C2962" s="768"/>
      <c r="D2962" s="768"/>
      <c r="E2962" s="768"/>
      <c r="F2962" s="768"/>
      <c r="G2962" s="768"/>
      <c r="H2962" s="768"/>
      <c r="I2962" s="768"/>
      <c r="J2962" s="769"/>
      <c r="K2962" s="677"/>
    </row>
    <row r="2963" ht="5.1" customHeight="1" spans="1:11">
      <c r="A2963" s="675"/>
      <c r="B2963" s="686"/>
      <c r="C2963" s="686"/>
      <c r="D2963" s="686"/>
      <c r="E2963" s="686"/>
      <c r="F2963" s="686"/>
      <c r="G2963" s="686"/>
      <c r="H2963" s="686"/>
      <c r="I2963" s="686"/>
      <c r="J2963" s="686"/>
      <c r="K2963" s="677"/>
    </row>
    <row r="2964" spans="1:11">
      <c r="A2964" s="675"/>
      <c r="B2964" s="770" t="s">
        <v>432</v>
      </c>
      <c r="C2964" s="770"/>
      <c r="D2964" s="770"/>
      <c r="E2964" s="770"/>
      <c r="F2964" s="770"/>
      <c r="G2964" s="770"/>
      <c r="H2964" s="770"/>
      <c r="I2964" s="770"/>
      <c r="J2964" s="770"/>
      <c r="K2964" s="677"/>
    </row>
    <row r="2965" spans="1:11">
      <c r="A2965" s="675"/>
      <c r="B2965" s="771"/>
      <c r="C2965" s="771"/>
      <c r="D2965" s="771"/>
      <c r="E2965" s="771"/>
      <c r="F2965" s="771"/>
      <c r="G2965" s="771"/>
      <c r="H2965" s="771"/>
      <c r="I2965" s="771"/>
      <c r="J2965" s="771"/>
      <c r="K2965" s="677"/>
    </row>
    <row r="2966" spans="1:11">
      <c r="A2966" s="675"/>
      <c r="B2966" s="771"/>
      <c r="C2966" s="771"/>
      <c r="D2966" s="771"/>
      <c r="E2966" s="771"/>
      <c r="F2966" s="771"/>
      <c r="G2966" s="771"/>
      <c r="H2966" s="771"/>
      <c r="I2966" s="771"/>
      <c r="J2966" s="771"/>
      <c r="K2966" s="677"/>
    </row>
    <row r="2967" spans="1:11">
      <c r="A2967" s="675"/>
      <c r="B2967" s="771"/>
      <c r="C2967" s="771"/>
      <c r="D2967" s="771"/>
      <c r="E2967" s="771"/>
      <c r="F2967" s="771"/>
      <c r="G2967" s="771"/>
      <c r="H2967" s="771"/>
      <c r="I2967" s="771"/>
      <c r="J2967" s="771"/>
      <c r="K2967" s="677"/>
    </row>
    <row r="2968" spans="1:11">
      <c r="A2968" s="675"/>
      <c r="B2968" s="686"/>
      <c r="C2968" s="686"/>
      <c r="D2968" s="686"/>
      <c r="E2968" s="686"/>
      <c r="F2968" s="686"/>
      <c r="G2968" s="686"/>
      <c r="H2968" s="686"/>
      <c r="I2968" s="686"/>
      <c r="J2968" s="686"/>
      <c r="K2968" s="677"/>
    </row>
    <row r="2969" spans="1:11">
      <c r="A2969" s="675"/>
      <c r="B2969" s="686"/>
      <c r="C2969" s="729" t="s">
        <v>433</v>
      </c>
      <c r="D2969" s="729"/>
      <c r="E2969" s="686"/>
      <c r="F2969" s="686"/>
      <c r="G2969" s="729" t="s">
        <v>434</v>
      </c>
      <c r="H2969" s="729"/>
      <c r="I2969" s="729"/>
      <c r="J2969" s="729"/>
      <c r="K2969" s="677"/>
    </row>
    <row r="2970" ht="16.35" spans="1:11">
      <c r="A2970" s="725"/>
      <c r="B2970" s="726"/>
      <c r="C2970" s="732" t="str">
        <f>"("&amp;PROPER(ENTRY!$D$19)&amp;")"</f>
        <v>(Indrajeet)</v>
      </c>
      <c r="D2970" s="732"/>
      <c r="E2970" s="726"/>
      <c r="F2970" s="726"/>
      <c r="G2970" s="732" t="str">
        <f>"("&amp;PROPER(ENTRY!$D$12)&amp;")"</f>
        <v>(Shambhu Dayal Meena)</v>
      </c>
      <c r="H2970" s="732"/>
      <c r="I2970" s="732"/>
      <c r="J2970" s="732"/>
      <c r="K2970" s="728"/>
    </row>
    <row r="2971" ht="24.6" spans="1:11">
      <c r="B2971" s="734"/>
      <c r="C2971" s="734"/>
      <c r="D2971" s="669" t="str">
        <f>ENTRY!$D$3</f>
        <v>MUNICIPAL CORPORATION OF DELHI</v>
      </c>
      <c r="E2971" s="669"/>
      <c r="F2971" s="669"/>
      <c r="G2971" s="669"/>
      <c r="H2971" s="734"/>
      <c r="I2971" s="669"/>
      <c r="J2971" s="669"/>
    </row>
    <row r="2972" ht="20.4" spans="1:11">
      <c r="B2972" s="735"/>
      <c r="C2972" s="735"/>
      <c r="D2972" s="670" t="str">
        <f>ENTRY!$D$4</f>
        <v>EDUCATION DEPARTMENT</v>
      </c>
      <c r="E2972" s="670"/>
      <c r="F2972" s="670"/>
      <c r="G2972" s="670"/>
      <c r="H2972" s="735"/>
      <c r="I2972" s="669"/>
      <c r="J2972" s="669"/>
    </row>
    <row r="2973" ht="22.8" spans="1:11">
      <c r="B2973" s="736"/>
      <c r="C2973" s="736"/>
      <c r="D2973" s="664" t="s">
        <v>417</v>
      </c>
      <c r="E2973" s="664"/>
      <c r="F2973" s="664"/>
      <c r="G2973" s="664"/>
      <c r="H2973" s="736"/>
      <c r="I2973" s="669"/>
      <c r="J2973" s="669"/>
    </row>
    <row r="2974" ht="22.8" spans="1:11">
      <c r="B2974" s="736"/>
      <c r="C2974" s="736"/>
      <c r="D2974" s="664" t="s">
        <v>418</v>
      </c>
      <c r="E2974" s="664"/>
      <c r="F2974" s="664"/>
      <c r="G2974" s="664"/>
      <c r="H2974" s="736"/>
      <c r="I2974" s="669"/>
      <c r="J2974" s="669"/>
    </row>
    <row r="2975" ht="24.95" customHeight="1" spans="1:11">
      <c r="B2975" s="735"/>
      <c r="C2975" s="735"/>
      <c r="D2975" s="737" t="str">
        <f>"SESSION : "&amp;ENTRY!$D$11</f>
        <v>SESSION : 2026-27</v>
      </c>
      <c r="E2975" s="737"/>
      <c r="F2975" s="737"/>
      <c r="G2975" s="737"/>
      <c r="H2975" s="735"/>
      <c r="I2975" s="738"/>
      <c r="J2975" s="738"/>
    </row>
    <row r="2976" ht="3.75" customHeight="1" spans="1:11">
      <c r="A2976" s="672"/>
      <c r="B2976" s="739"/>
      <c r="C2976" s="739"/>
      <c r="D2976" s="739"/>
      <c r="E2976" s="739"/>
      <c r="F2976" s="739"/>
      <c r="G2976" s="739"/>
      <c r="H2976" s="739"/>
      <c r="I2976" s="739"/>
      <c r="J2976" s="739"/>
      <c r="K2976" s="674"/>
    </row>
    <row r="2977" ht="21.95" customHeight="1" spans="1:11">
      <c r="A2977" s="675"/>
      <c r="B2977" s="676" t="s">
        <v>419</v>
      </c>
      <c r="C2977" s="676"/>
      <c r="D2977" s="676" t="str">
        <f>ENTRY!$D$6</f>
        <v>MCP NITHARI NO 1 BOYS</v>
      </c>
      <c r="E2977" s="676"/>
      <c r="F2977" s="676"/>
      <c r="G2977" s="676"/>
      <c r="H2977" s="676"/>
      <c r="I2977" s="676"/>
      <c r="J2977" s="676"/>
      <c r="K2977" s="677"/>
    </row>
    <row r="2978" ht="21.95" customHeight="1" spans="1:11">
      <c r="A2978" s="675"/>
      <c r="B2978" s="676" t="s">
        <v>420</v>
      </c>
      <c r="C2978" s="676"/>
      <c r="D2978" s="740">
        <f>IFERROR(VLOOKUP($I$2981,STUDENT!$A$2:$BP$101,5,0),"")</f>
        <v>0</v>
      </c>
      <c r="E2978" s="740"/>
      <c r="F2978" s="740"/>
      <c r="G2978" s="740"/>
      <c r="H2978" s="740"/>
      <c r="I2978" s="740"/>
      <c r="J2978" s="740"/>
      <c r="K2978" s="677"/>
    </row>
    <row r="2979" ht="21.95" customHeight="1" spans="1:11">
      <c r="A2979" s="675"/>
      <c r="B2979" s="676" t="s">
        <v>421</v>
      </c>
      <c r="C2979" s="676"/>
      <c r="D2979" s="740">
        <f>IFERROR(VLOOKUP($I$2981,STUDENT!$A$2:$BP$101,8,0),"")</f>
        <v>0</v>
      </c>
      <c r="E2979" s="740"/>
      <c r="F2979" s="740"/>
      <c r="G2979" s="740"/>
      <c r="H2979" s="740"/>
      <c r="I2979" s="740"/>
      <c r="J2979" s="740"/>
      <c r="K2979" s="677"/>
    </row>
    <row r="2980" ht="21.95" customHeight="1" spans="1:11">
      <c r="A2980" s="675"/>
      <c r="B2980" s="676" t="s">
        <v>422</v>
      </c>
      <c r="C2980" s="676"/>
      <c r="D2980" s="740">
        <f>IFERROR(VLOOKUP($I$2981,STUDENT!$A$2:$BP$101,6,0),"")</f>
        <v>0</v>
      </c>
      <c r="E2980" s="740"/>
      <c r="F2980" s="740"/>
      <c r="G2980" s="740"/>
      <c r="H2980" s="740"/>
      <c r="I2980" s="740"/>
      <c r="J2980" s="740"/>
      <c r="K2980" s="677"/>
    </row>
    <row r="2981" ht="21.95" customHeight="1" spans="1:11">
      <c r="A2981" s="675"/>
      <c r="B2981" s="676" t="s">
        <v>423</v>
      </c>
      <c r="C2981" s="676"/>
      <c r="D2981" s="741" t="str">
        <f>IFERROR(VLOOKUP($I$2981,STUDENT!$A$2:$BP$101,59,0),"")</f>
        <v/>
      </c>
      <c r="E2981" s="742" t="s">
        <v>424</v>
      </c>
      <c r="F2981" s="704" t="str">
        <f>IFERROR(VLOOKUP($I$2981,STUDENT!$A$2:$BP$101,2,0),"")</f>
        <v>III-A</v>
      </c>
      <c r="G2981" s="742" t="s">
        <v>425</v>
      </c>
      <c r="H2981" s="743"/>
      <c r="I2981" s="733">
        <f>I2926+1</f>
        <v>55</v>
      </c>
      <c r="J2981" s="683"/>
      <c r="K2981" s="677"/>
    </row>
    <row r="2982" ht="5.1" customHeight="1" spans="1:11">
      <c r="A2982" s="675"/>
      <c r="B2982" s="745"/>
      <c r="C2982" s="745"/>
      <c r="D2982" s="746"/>
      <c r="E2982" s="747"/>
      <c r="F2982" s="748"/>
      <c r="G2982" s="747"/>
      <c r="H2982" s="686"/>
      <c r="I2982" s="686"/>
      <c r="J2982" s="686"/>
      <c r="K2982" s="677"/>
    </row>
    <row r="2983" s="664" customFormat="1" ht="32.1" customHeight="1" spans="1:11">
      <c r="A2983" s="688"/>
      <c r="B2983" s="749" t="s">
        <v>426</v>
      </c>
      <c r="C2983" s="750"/>
      <c r="D2983" s="750"/>
      <c r="E2983" s="750"/>
      <c r="F2983" s="750"/>
      <c r="G2983" s="750"/>
      <c r="H2983" s="750"/>
      <c r="I2983" s="750"/>
      <c r="J2983" s="751"/>
      <c r="K2983" s="690"/>
    </row>
    <row r="2984" ht="51.6" spans="1:11">
      <c r="A2984" s="675"/>
      <c r="B2984" s="752">
        <v>21</v>
      </c>
      <c r="C2984" s="753" t="s">
        <v>427</v>
      </c>
      <c r="D2984" s="754" t="s">
        <v>428</v>
      </c>
      <c r="E2984" s="754" t="s">
        <v>429</v>
      </c>
      <c r="F2984" s="754" t="s">
        <v>430</v>
      </c>
      <c r="G2984" s="753" t="s">
        <v>390</v>
      </c>
      <c r="H2984" s="714"/>
      <c r="I2984" s="714"/>
      <c r="J2984" s="714"/>
      <c r="K2984" s="677"/>
    </row>
    <row r="2985" ht="20.1" customHeight="1" spans="1:11">
      <c r="A2985" s="675"/>
      <c r="B2985" s="755">
        <v>1</v>
      </c>
      <c r="C2985" s="755" t="str">
        <f>IFERROR(VLOOKUP(B2985,DATEWISE!$A$3:$BY$27,2,0),0)</f>
        <v>30.04.2026</v>
      </c>
      <c r="D2985" s="755">
        <f>IF($C$2985=0,NA(),VLOOKUP($I$2981&amp;$B$2985,FLNFIX!$L$4:$EF$103,2,0))</f>
        <v>0</v>
      </c>
      <c r="E2985" s="755">
        <f>IF($C$2985=0,NA(),VLOOKUP($I$2981&amp;$B$2985,FLNFIX!$L$4:$EF$103,4,0))</f>
        <v>0</v>
      </c>
      <c r="F2985" s="755">
        <f>IF($C$2985=0,NA(),VLOOKUP($I$2981&amp;$B$2985,FLNFIX!$L$4:$EF$103,3,0))</f>
        <v>0</v>
      </c>
      <c r="G2985" s="756">
        <f>IF($C$2985=0,NA(),VLOOKUP($I$2981&amp;$B$2985,FLNFIX!$L$4:$EF$103,5,0))</f>
        <v>0</v>
      </c>
      <c r="H2985" s="757"/>
      <c r="I2985" s="757"/>
      <c r="J2985" s="758"/>
      <c r="K2985" s="677"/>
    </row>
    <row r="2986" ht="20.1" customHeight="1" spans="1:11">
      <c r="A2986" s="675"/>
      <c r="B2986" s="755">
        <f t="shared" ref="B2986:B3005" si="54">IF(B2985=0,0,IF(B2985&lt;$B$2984,B2985+1,""))</f>
        <v>2</v>
      </c>
      <c r="C2986" s="755" t="str">
        <f>IFERROR(VLOOKUP(B2986,DATEWISE!$A$3:$BY$27,2,0),0)</f>
        <v>08.05.2026</v>
      </c>
      <c r="D2986" s="755">
        <f>IF($C$2986=0,NA(),VLOOKUP($I$2981&amp;$B$2986,FLNFIX!$Q$4:$EF$103,2,0))</f>
        <v>0</v>
      </c>
      <c r="E2986" s="755">
        <f>IF($C$2986=0,NA(),VLOOKUP($I$2981&amp;$B$2986,FLNFIX!$Q$4:$EF$103,4,0))</f>
        <v>0</v>
      </c>
      <c r="F2986" s="755">
        <f>IF($C$2986=0,NA(),VLOOKUP($I$2981&amp;$B$2986,FLNFIX!$Q$4:$EF$103,3,0))</f>
        <v>0</v>
      </c>
      <c r="G2986" s="756">
        <f>IF($C$2986=0,NA(),VLOOKUP($I$2981&amp;$B$2986,FLNFIX!$Q$4:$EF$103,5,0))</f>
        <v>0</v>
      </c>
      <c r="H2986" s="757"/>
      <c r="I2986" s="757"/>
      <c r="J2986" s="758"/>
      <c r="K2986" s="677"/>
    </row>
    <row r="2987" ht="20.1" customHeight="1" spans="1:11">
      <c r="A2987" s="675"/>
      <c r="B2987" s="755">
        <f t="shared" si="54"/>
        <v>3</v>
      </c>
      <c r="C2987" s="755" t="str">
        <f>IFERROR(VLOOKUP(B2987,DATEWISE!$A$3:$BY$27,2,0),0)</f>
        <v>15.07.2026</v>
      </c>
      <c r="D2987" s="755">
        <f>IF($C$2987=0,NA(),VLOOKUP($I$2981&amp;$B$2987,FLNFIX!$V$4:$EF$103,2,0))</f>
        <v>0</v>
      </c>
      <c r="E2987" s="755">
        <f>IF($C$2987=0,NA(),VLOOKUP($I$2981&amp;$B$2987,FLNFIX!$V$4:$EF$103,4,0))</f>
        <v>0</v>
      </c>
      <c r="F2987" s="755">
        <f>IF($C$2987=0,NA(),VLOOKUP($I$2981&amp;$B$2987,FLNFIX!$V$4:$EF$103,3,0))</f>
        <v>0</v>
      </c>
      <c r="G2987" s="756">
        <f>IF($C$2987=0,NA(),VLOOKUP($I$2981&amp;$B$2987,FLNFIX!$V$4:$EF$103,5,0))</f>
        <v>0</v>
      </c>
      <c r="H2987" s="757"/>
      <c r="I2987" s="757"/>
      <c r="J2987" s="758"/>
      <c r="K2987" s="677"/>
    </row>
    <row r="2988" ht="20.1" customHeight="1" spans="1:11">
      <c r="A2988" s="675"/>
      <c r="B2988" s="755">
        <f t="shared" si="54"/>
        <v>4</v>
      </c>
      <c r="C2988" s="755" t="str">
        <f>IFERROR(VLOOKUP(B2988,DATEWISE!$A$3:$BY$27,2,0),0)</f>
        <v>31.07.2026</v>
      </c>
      <c r="D2988" s="755">
        <f>IF($C$2988=0,NA(),VLOOKUP($I$2981&amp;$B$2988,FLNFIX!$AA$4:$EF$103,2,0))</f>
        <v>0</v>
      </c>
      <c r="E2988" s="755">
        <f>IF($C$2988=0,NA(),VLOOKUP($I$2981&amp;$B$2988,FLNFIX!$AA$4:$EF$103,4,0))</f>
        <v>0</v>
      </c>
      <c r="F2988" s="755">
        <f>IF($C$2988=0,NA(),VLOOKUP($I$2981&amp;$B$2988,FLNFIX!$AA$4:$EF$103,3,0))</f>
        <v>0</v>
      </c>
      <c r="G2988" s="756">
        <f>IF($C$2988=0,NA(),VLOOKUP($I$2981&amp;$B$2988,FLNFIX!$AA$4:$EF$103,5,0))</f>
        <v>0</v>
      </c>
      <c r="H2988" s="757"/>
      <c r="I2988" s="757"/>
      <c r="J2988" s="758"/>
      <c r="K2988" s="677"/>
    </row>
    <row r="2989" ht="20.1" customHeight="1" spans="1:11">
      <c r="A2989" s="675"/>
      <c r="B2989" s="755">
        <f t="shared" si="54"/>
        <v>5</v>
      </c>
      <c r="C2989" s="755" t="str">
        <f>IFERROR(VLOOKUP(B2989,DATEWISE!$A$3:$BY$27,2,0),0)</f>
        <v>17.08.2026</v>
      </c>
      <c r="D2989" s="755">
        <f>IF($C$2989=0,NA(),VLOOKUP($I$2981&amp;$B$2989,FLNFIX!$AF$4:$EF$103,2,0))</f>
        <v>0</v>
      </c>
      <c r="E2989" s="755">
        <f>IF($C$2989=0,NA(),VLOOKUP($I$2981&amp;$B$2989,FLNFIX!$AF$4:$EF$103,4,0))</f>
        <v>0</v>
      </c>
      <c r="F2989" s="755">
        <f>IF($C$2989=0,NA(),VLOOKUP($I$2981&amp;$B$2989,FLNFIX!$AF$4:$EF$103,3,0))</f>
        <v>0</v>
      </c>
      <c r="G2989" s="756">
        <f>IF($C$2989=0,NA(),VLOOKUP($I$2981&amp;$B$2989,FLNFIX!$AF$4:$EF$103,5,0))</f>
        <v>0</v>
      </c>
      <c r="H2989" s="757"/>
      <c r="I2989" s="757"/>
      <c r="J2989" s="758"/>
      <c r="K2989" s="677"/>
    </row>
    <row r="2990" ht="20.1" customHeight="1" spans="1:11">
      <c r="A2990" s="675"/>
      <c r="B2990" s="755">
        <f t="shared" si="54"/>
        <v>6</v>
      </c>
      <c r="C2990" s="755" t="str">
        <f>IFERROR(VLOOKUP(B2990,DATEWISE!$A$3:$BY$27,2,0),0)</f>
        <v>31.08.2026</v>
      </c>
      <c r="D2990" s="755">
        <f>IF($C$2990=0,NA(),VLOOKUP($I$2981&amp;$B$2990,FLNFIX!$AK$4:$EF$103,2,0))</f>
        <v>0</v>
      </c>
      <c r="E2990" s="755">
        <f>IF($C$2990=0,NA(),VLOOKUP($I$2981&amp;$B$2990,FLNFIX!$AK$4:$EF$103,4,0))</f>
        <v>0</v>
      </c>
      <c r="F2990" s="755">
        <f>IF($C$2990=0,NA(),VLOOKUP($I$2981&amp;$B$2990,FLNFIX!$AK$4:$EF$103,3,0))</f>
        <v>0</v>
      </c>
      <c r="G2990" s="756">
        <f>IF($C$2990=0,NA(),VLOOKUP($I$2981&amp;$B$2990,FLNFIX!$AK$4:$EF$103,5,0))</f>
        <v>0</v>
      </c>
      <c r="H2990" s="757"/>
      <c r="I2990" s="757"/>
      <c r="J2990" s="758"/>
      <c r="K2990" s="677"/>
    </row>
    <row r="2991" ht="20.1" customHeight="1" spans="1:11">
      <c r="A2991" s="675"/>
      <c r="B2991" s="755">
        <f t="shared" si="54"/>
        <v>7</v>
      </c>
      <c r="C2991" s="755">
        <f>IFERROR(VLOOKUP(B2991,DATEWISE!$A$3:$BY$27,2,0),0)</f>
        <v>0</v>
      </c>
      <c r="D2991" s="755" t="e">
        <f>IF($C$2991=0,NA(),VLOOKUP($I$2981&amp;$B$2991,FLNFIX!$AP$4:$EF$103,2,0))</f>
        <v>#N/A</v>
      </c>
      <c r="E2991" s="755" t="e">
        <f>IF($C$2991=0,NA(),VLOOKUP($I$2981&amp;$B$2991,FLNFIX!$AP$4:$EF$103,4,0))</f>
        <v>#N/A</v>
      </c>
      <c r="F2991" s="755" t="e">
        <f>IF($C$2991=0,NA(),VLOOKUP($I$2981&amp;$B$2991,FLNFIX!$AP$4:$EF$103,3,0))</f>
        <v>#N/A</v>
      </c>
      <c r="G2991" s="756" t="e">
        <f>IF($C$2991=0,NA(),VLOOKUP($I$2981&amp;$B$2991,FLNFIX!$AP$4:$EF$103,5,0))</f>
        <v>#N/A</v>
      </c>
      <c r="H2991" s="757"/>
      <c r="I2991" s="757"/>
      <c r="J2991" s="758"/>
      <c r="K2991" s="677"/>
    </row>
    <row r="2992" ht="20.1" customHeight="1" spans="1:11">
      <c r="A2992" s="675"/>
      <c r="B2992" s="755">
        <f t="shared" si="54"/>
        <v>8</v>
      </c>
      <c r="C2992" s="755">
        <f>IFERROR(VLOOKUP(B2992,DATEWISE!$A$3:$BY$27,2,0),0)</f>
        <v>0</v>
      </c>
      <c r="D2992" s="755" t="e">
        <f>IF($C$2992=0,NA(),VLOOKUP($I$2981&amp;$B$2992,FLNFIX!$AU$4:$EF$103,2,0))</f>
        <v>#N/A</v>
      </c>
      <c r="E2992" s="755" t="e">
        <f>IF($C$2992=0,NA(),VLOOKUP($I$2981&amp;$B$2992,FLNFIX!$AU$4:$EF$103,4,0))</f>
        <v>#N/A</v>
      </c>
      <c r="F2992" s="755" t="e">
        <f>IF($C$2992=0,NA(),VLOOKUP($I$2981&amp;$B$2992,FLNFIX!$AU$4:$EF$103,3,0))</f>
        <v>#N/A</v>
      </c>
      <c r="G2992" s="756" t="e">
        <f>IF($C$2992=0,NA(),VLOOKUP($I$2981&amp;$B$2992,FLNFIX!$AU$4:$EF$103,5,0))</f>
        <v>#N/A</v>
      </c>
      <c r="H2992" s="757"/>
      <c r="I2992" s="757"/>
      <c r="J2992" s="758"/>
      <c r="K2992" s="677"/>
    </row>
    <row r="2993" ht="20.1" customHeight="1" spans="1:11">
      <c r="A2993" s="675"/>
      <c r="B2993" s="755">
        <f t="shared" si="54"/>
        <v>9</v>
      </c>
      <c r="C2993" s="755">
        <f>IFERROR(VLOOKUP(B2993,DATEWISE!$A$3:$BY$27,2,0),0)</f>
        <v>0</v>
      </c>
      <c r="D2993" s="755" t="e">
        <f>IF($C$2993=0,NA(),VLOOKUP($I$2981&amp;$B$2993,FLNFIX!$AZ$4:$EF$103,2,0))</f>
        <v>#N/A</v>
      </c>
      <c r="E2993" s="755" t="e">
        <f>IF($C$2993=0,NA(),VLOOKUP($I$2981&amp;$B$2993,FLNFIX!$AZ$4:$EF$103,4,0))</f>
        <v>#N/A</v>
      </c>
      <c r="F2993" s="755" t="e">
        <f>IF($C$2993=0,NA(),VLOOKUP($I$2981&amp;$B$2993,FLNFIX!$AZ$4:$EF$103,3,0))</f>
        <v>#N/A</v>
      </c>
      <c r="G2993" s="756" t="e">
        <f>IF($C$2993=0,NA(),VLOOKUP($I$2981&amp;$B$2993,FLNFIX!$AZ$4:$EF$103,5,0))</f>
        <v>#N/A</v>
      </c>
      <c r="H2993" s="757"/>
      <c r="I2993" s="757"/>
      <c r="J2993" s="758"/>
      <c r="K2993" s="677"/>
    </row>
    <row r="2994" ht="20.1" customHeight="1" spans="1:11">
      <c r="A2994" s="675"/>
      <c r="B2994" s="755">
        <f t="shared" si="54"/>
        <v>10</v>
      </c>
      <c r="C2994" s="755">
        <f>IFERROR(VLOOKUP(B2994,DATEWISE!$A$3:$BY$27,2,0),0)</f>
        <v>0</v>
      </c>
      <c r="D2994" s="755" t="e">
        <f>IF($C$2994=0,NA(),VLOOKUP($I$2981&amp;$B$2994,FLNFIX!$BE$4:$EF$103,2,0))</f>
        <v>#N/A</v>
      </c>
      <c r="E2994" s="755" t="e">
        <f>IF($C$2994=0,NA(),VLOOKUP($I$2981&amp;$B$2994,FLNFIX!$BE$4:$EF$103,4,0))</f>
        <v>#N/A</v>
      </c>
      <c r="F2994" s="755" t="e">
        <f>IF($C$2994=0,NA(),VLOOKUP($I$2981&amp;$B$2994,FLNFIX!$BE$4:$EF$103,3,0))</f>
        <v>#N/A</v>
      </c>
      <c r="G2994" s="756" t="e">
        <f>IF($C$2994=0,NA(),VLOOKUP($I$2981&amp;$B$2994,FLNFIX!$BE$4:$EF$103,5,0))</f>
        <v>#N/A</v>
      </c>
      <c r="H2994" s="757"/>
      <c r="I2994" s="757"/>
      <c r="J2994" s="758"/>
      <c r="K2994" s="677"/>
    </row>
    <row r="2995" ht="20.1" customHeight="1" spans="1:11">
      <c r="A2995" s="675"/>
      <c r="B2995" s="755">
        <f t="shared" si="54"/>
        <v>11</v>
      </c>
      <c r="C2995" s="755">
        <f>IFERROR(VLOOKUP(B2995,DATEWISE!$A$3:$BY$27,2,0),0)</f>
        <v>0</v>
      </c>
      <c r="D2995" s="755" t="e">
        <f>IF($C$2995=0,NA(),VLOOKUP($I$2981&amp;$B$2995,FLNFIX!$BJ$4:$EF$103,2,0))</f>
        <v>#N/A</v>
      </c>
      <c r="E2995" s="755" t="e">
        <f>IF($C$2995=0,NA(),VLOOKUP($I$2981&amp;$B$2995,FLNFIX!$BJ$4:$EF$103,4,0))</f>
        <v>#N/A</v>
      </c>
      <c r="F2995" s="755" t="e">
        <f>IF($C$2995=0,NA(),VLOOKUP($I$2981&amp;$B$2995,FLNFIX!$BJ$4:$EF$103,3,0))</f>
        <v>#N/A</v>
      </c>
      <c r="G2995" s="756" t="e">
        <f>IF($C$2995=0,NA(),VLOOKUP($I$2981&amp;$B$2995,FLNFIX!$BJ$4:$EF$103,5,0))</f>
        <v>#N/A</v>
      </c>
      <c r="H2995" s="757"/>
      <c r="I2995" s="757"/>
      <c r="J2995" s="758"/>
      <c r="K2995" s="677"/>
    </row>
    <row r="2996" ht="20.1" customHeight="1" spans="1:11">
      <c r="A2996" s="675"/>
      <c r="B2996" s="755">
        <f t="shared" si="54"/>
        <v>12</v>
      </c>
      <c r="C2996" s="755">
        <f>IFERROR(VLOOKUP(B2996,DATEWISE!$A$3:$BY$27,2,0),0)</f>
        <v>0</v>
      </c>
      <c r="D2996" s="755" t="e">
        <f>IF($C$2996=0,NA(),VLOOKUP($I$2981&amp;$B$2996,FLNFIX!$BO$4:$EF$103,2,0))</f>
        <v>#N/A</v>
      </c>
      <c r="E2996" s="755" t="e">
        <f>IF($C$2996=0,NA(),VLOOKUP($I$2981&amp;$B$2996,FLNFIX!$BO$4:$EF$103,4,0))</f>
        <v>#N/A</v>
      </c>
      <c r="F2996" s="755" t="e">
        <f>IF($C$2996=0,NA(),VLOOKUP($I$2981&amp;$B$2996,FLNFIX!$BO$4:$EF$103,3,0))</f>
        <v>#N/A</v>
      </c>
      <c r="G2996" s="756" t="e">
        <f>IF($C$2996=0,NA(),VLOOKUP($I$2981&amp;$B$2996,FLNFIX!$BO$4:$EF$103,5,0))</f>
        <v>#N/A</v>
      </c>
      <c r="H2996" s="757"/>
      <c r="I2996" s="757"/>
      <c r="J2996" s="758"/>
      <c r="K2996" s="677"/>
    </row>
    <row r="2997" ht="20.1" customHeight="1" spans="1:11">
      <c r="A2997" s="675"/>
      <c r="B2997" s="755">
        <f t="shared" si="54"/>
        <v>13</v>
      </c>
      <c r="C2997" s="755">
        <f>IFERROR(VLOOKUP(B2997,DATEWISE!$A$3:$BY$27,2,0),0)</f>
        <v>0</v>
      </c>
      <c r="D2997" s="755" t="e">
        <f>IF($C$2997=0,NA(),VLOOKUP($I$2981&amp;$B$2997,FLNFIX!$BT$4:$EF$103,2,0))</f>
        <v>#N/A</v>
      </c>
      <c r="E2997" s="755" t="e">
        <f>IF($C$2997=0,NA(),VLOOKUP($I$2981&amp;$B$2997,FLNFIX!$BT$4:$EF$103,4,0))</f>
        <v>#N/A</v>
      </c>
      <c r="F2997" s="755" t="e">
        <f>IF($C$2997=0,NA(),VLOOKUP($I$2981&amp;$B$2997,FLNFIX!$BT$4:$EF$103,3,0))</f>
        <v>#N/A</v>
      </c>
      <c r="G2997" s="756" t="e">
        <f>IF($C$2997=0,NA(),VLOOKUP($I$2981&amp;$B$2997,FLNFIX!$BT$4:$EF$103,5,0))</f>
        <v>#N/A</v>
      </c>
      <c r="H2997" s="757"/>
      <c r="I2997" s="757"/>
      <c r="J2997" s="758"/>
      <c r="K2997" s="677"/>
    </row>
    <row r="2998" ht="20.1" customHeight="1" spans="1:11">
      <c r="A2998" s="675"/>
      <c r="B2998" s="755">
        <f t="shared" si="54"/>
        <v>14</v>
      </c>
      <c r="C2998" s="755">
        <f>IFERROR(VLOOKUP(B2998,DATEWISE!$A$3:$BY$27,2,0),0)</f>
        <v>0</v>
      </c>
      <c r="D2998" s="755" t="e">
        <f>IF($C$2998=0,NA(),VLOOKUP($I$2981&amp;$B$2998,FLNFIX!$BY$4:$EF$103,2,0))</f>
        <v>#N/A</v>
      </c>
      <c r="E2998" s="755" t="e">
        <f>IF($C$2998=0,NA(),VLOOKUP($I$2981&amp;$B$2998,FLNFIX!$BY$4:$EF$103,4,0))</f>
        <v>#N/A</v>
      </c>
      <c r="F2998" s="755" t="e">
        <f>IF($C$2998=0,NA(),VLOOKUP($I$2981&amp;$B$2998,FLNFIX!$BY$4:$EF$103,3,0))</f>
        <v>#N/A</v>
      </c>
      <c r="G2998" s="756" t="e">
        <f>IF($C$2998=0,NA(),VLOOKUP($I$2981&amp;$B$2998,FLNFIX!$BY$4:$EF$103,5,0))</f>
        <v>#N/A</v>
      </c>
      <c r="H2998" s="757"/>
      <c r="I2998" s="757"/>
      <c r="J2998" s="758"/>
      <c r="K2998" s="677"/>
    </row>
    <row r="2999" ht="20.1" customHeight="1" spans="1:11">
      <c r="A2999" s="675"/>
      <c r="B2999" s="755">
        <f t="shared" si="54"/>
        <v>15</v>
      </c>
      <c r="C2999" s="755">
        <f>IFERROR(VLOOKUP(B2999,DATEWISE!$A$3:$BY$27,2,0),0)</f>
        <v>0</v>
      </c>
      <c r="D2999" s="755" t="e">
        <f>IF($C$2999=0,NA(),VLOOKUP($I$2981&amp;$B$2999,FLNFIX!$CD$4:$EF$103,2,0))</f>
        <v>#N/A</v>
      </c>
      <c r="E2999" s="755" t="e">
        <f>IF($C$2999=0,NA(),VLOOKUP($I$2981&amp;$B$2999,FLNFIX!$CD$4:$EF$103,4,0))</f>
        <v>#N/A</v>
      </c>
      <c r="F2999" s="755" t="e">
        <f>IF($C$2999=0,NA(),VLOOKUP($I$2981&amp;$B$2999,FLNFIX!$CD$4:$EF$103,3,0))</f>
        <v>#N/A</v>
      </c>
      <c r="G2999" s="756" t="e">
        <f>IF($C$2999=0,NA(),VLOOKUP($I$2981&amp;$B$2999,FLNFIX!$CD$4:$EF$103,5,0))</f>
        <v>#N/A</v>
      </c>
      <c r="H2999" s="757"/>
      <c r="I2999" s="757"/>
      <c r="J2999" s="758"/>
      <c r="K2999" s="677"/>
    </row>
    <row r="3000" ht="20.1" customHeight="1" spans="1:11">
      <c r="A3000" s="675"/>
      <c r="B3000" s="755">
        <f t="shared" si="54"/>
        <v>16</v>
      </c>
      <c r="C3000" s="755">
        <f>IFERROR(VLOOKUP(B3000,DATEWISE!$A$3:$BY$27,2,0),0)</f>
        <v>0</v>
      </c>
      <c r="D3000" s="755" t="e">
        <f>IF($C$3000=0,NA(),VLOOKUP($I$2981&amp;$B$3000,FLNFIX!$CI$4:$EF$103,2,0))</f>
        <v>#N/A</v>
      </c>
      <c r="E3000" s="755" t="e">
        <f>IF($C$3000=0,NA(),VLOOKUP($I$2981&amp;$B$3000,FLNFIX!$CI$4:$EF$103,4,0))</f>
        <v>#N/A</v>
      </c>
      <c r="F3000" s="755" t="e">
        <f>IF($C$3000=0,NA(),VLOOKUP($I$2981&amp;$B$3000,FLNFIX!$CI$4:$EF$103,3,0))</f>
        <v>#N/A</v>
      </c>
      <c r="G3000" s="756" t="e">
        <f>IF($C$3000=0,NA(),VLOOKUP($I$2981&amp;$B$3000,FLNFIX!$CI$4:$EF$103,5,0))</f>
        <v>#N/A</v>
      </c>
      <c r="H3000" s="757"/>
      <c r="I3000" s="757"/>
      <c r="J3000" s="758"/>
      <c r="K3000" s="677"/>
    </row>
    <row r="3001" ht="20.1" customHeight="1" spans="1:11">
      <c r="A3001" s="675"/>
      <c r="B3001" s="755">
        <f t="shared" si="54"/>
        <v>17</v>
      </c>
      <c r="C3001" s="755">
        <f>IFERROR(VLOOKUP(B3001,DATEWISE!$A$3:$BY$27,2,0),0)</f>
        <v>0</v>
      </c>
      <c r="D3001" s="755" t="e">
        <f>IF($C$3001=0,NA(),VLOOKUP($I$2981&amp;$B$3001,FLNFIX!$CN$4:$EF$103,2,0))</f>
        <v>#N/A</v>
      </c>
      <c r="E3001" s="755" t="e">
        <f>IF($C$3001=0,NA(),VLOOKUP($I$2981&amp;$B$3001,FLNFIX!$CN$4:$EF$103,4,0))</f>
        <v>#N/A</v>
      </c>
      <c r="F3001" s="755" t="e">
        <f>IF($C$3001=0,NA(),VLOOKUP($I$2981&amp;$B$3001,FLNFIX!$CN$4:$EF$103,3,0))</f>
        <v>#N/A</v>
      </c>
      <c r="G3001" s="756" t="e">
        <f>IF($C$3001=0,NA(),VLOOKUP($I$2981&amp;$B$3001,FLNFIX!$CN$4:$EF$103,5,0))</f>
        <v>#N/A</v>
      </c>
      <c r="H3001" s="757"/>
      <c r="I3001" s="757"/>
      <c r="J3001" s="758"/>
      <c r="K3001" s="677"/>
    </row>
    <row r="3002" ht="20.1" customHeight="1" spans="1:11">
      <c r="A3002" s="675"/>
      <c r="B3002" s="755">
        <f t="shared" si="54"/>
        <v>18</v>
      </c>
      <c r="C3002" s="755">
        <f>IFERROR(VLOOKUP(B3002,DATEWISE!$A$3:$BY$27,2,0),0)</f>
        <v>0</v>
      </c>
      <c r="D3002" s="755" t="e">
        <f>IF($C$3002=0,NA(),VLOOKUP($I$2981&amp;$B$3002,FLNFIX!$CS$4:$EF$103,2,0))</f>
        <v>#N/A</v>
      </c>
      <c r="E3002" s="755" t="e">
        <f>IF($C$3002=0,NA(),VLOOKUP($I$2981&amp;$B$3002,FLNFIX!$CS$4:$EF$103,4,0))</f>
        <v>#N/A</v>
      </c>
      <c r="F3002" s="755" t="e">
        <f>IF($C$3002=0,NA(),VLOOKUP($I$2981&amp;$B$3002,FLNFIX!$CS$4:$EF$103,3,0))</f>
        <v>#N/A</v>
      </c>
      <c r="G3002" s="756" t="e">
        <f>IF($C$3002=0,NA(),VLOOKUP($I$2981&amp;$B$3002,FLNFIX!$CS$4:$EF$103,5,0))</f>
        <v>#N/A</v>
      </c>
      <c r="H3002" s="757"/>
      <c r="I3002" s="757"/>
      <c r="J3002" s="758"/>
      <c r="K3002" s="677"/>
    </row>
    <row r="3003" ht="20.1" customHeight="1" spans="1:11">
      <c r="A3003" s="675"/>
      <c r="B3003" s="755">
        <f t="shared" si="54"/>
        <v>19</v>
      </c>
      <c r="C3003" s="755">
        <f>IFERROR(VLOOKUP(B3003,DATEWISE!$A$3:$BY$27,2,0),0)</f>
        <v>0</v>
      </c>
      <c r="D3003" s="755" t="e">
        <f>IF($C$3003=0,NA(),VLOOKUP($I$2981&amp;$B$3003,FLNFIX!$CX$4:$EF$103,2,0))</f>
        <v>#N/A</v>
      </c>
      <c r="E3003" s="755" t="e">
        <f>IF($C$3003=0,NA(),VLOOKUP($I$2981&amp;$B$3003,FLNFIX!$CX$4:$EF$103,4,0))</f>
        <v>#N/A</v>
      </c>
      <c r="F3003" s="755" t="e">
        <f>IF($C$3003=0,NA(),VLOOKUP($I$2981&amp;$B$3003,FLNFIX!$CX$4:$EF$103,3,0))</f>
        <v>#N/A</v>
      </c>
      <c r="G3003" s="756" t="e">
        <f>IF($C$3003=0,NA(),VLOOKUP($I$2981&amp;$B$3003,FLNFIX!$CX$4:$EF$103,5,0))</f>
        <v>#N/A</v>
      </c>
      <c r="H3003" s="757"/>
      <c r="I3003" s="757"/>
      <c r="J3003" s="758"/>
      <c r="K3003" s="677"/>
    </row>
    <row r="3004" ht="20.1" customHeight="1" spans="1:11">
      <c r="A3004" s="675"/>
      <c r="B3004" s="755">
        <f t="shared" si="54"/>
        <v>20</v>
      </c>
      <c r="C3004" s="755">
        <f>IFERROR(VLOOKUP(B3004,DATEWISE!$A$3:$BY$27,2,0),0)</f>
        <v>0</v>
      </c>
      <c r="D3004" s="755" t="e">
        <f>IF($C$3004=0,NA(),VLOOKUP($I$2981&amp;$B$3004,FLNFIX!$DC$4:$EF$103,2,0))</f>
        <v>#N/A</v>
      </c>
      <c r="E3004" s="755" t="e">
        <f>IF($C$3004=0,NA(),VLOOKUP($I$2981&amp;$B$3004,FLNFIX!$DC$4:$EF$103,4,0))</f>
        <v>#N/A</v>
      </c>
      <c r="F3004" s="755" t="e">
        <f>IF($C$3004=0,NA(),VLOOKUP($I$2981&amp;$B$3004,FLNFIX!$DC$4:$EF$103,3,0))</f>
        <v>#N/A</v>
      </c>
      <c r="G3004" s="756" t="e">
        <f>IF($C$3004=0,NA(),VLOOKUP($I$2981&amp;$B$3004,FLNFIX!$DC$4:$EF$103,5,0))</f>
        <v>#N/A</v>
      </c>
      <c r="H3004" s="757"/>
      <c r="I3004" s="757"/>
      <c r="J3004" s="758"/>
      <c r="K3004" s="677"/>
    </row>
    <row r="3005" ht="20.1" customHeight="1" spans="1:11">
      <c r="A3005" s="675"/>
      <c r="B3005" s="755">
        <f t="shared" si="54"/>
        <v>21</v>
      </c>
      <c r="C3005" s="755">
        <f>IFERROR(VLOOKUP(B3005,DATEWISE!$A$3:$BY$27,2,0),0)</f>
        <v>0</v>
      </c>
      <c r="D3005" s="755" t="e">
        <f>IF($C$3005=0,NA(),VLOOKUP($I$2981&amp;$B$3005,FLNFIX!$DH$4:$EF$103,2,0))</f>
        <v>#N/A</v>
      </c>
      <c r="E3005" s="755" t="e">
        <f>IF($C$3005=0,NA(),VLOOKUP($I$2981&amp;$B$3005,FLNFIX!$DH$4:$EF$103,4,0))</f>
        <v>#N/A</v>
      </c>
      <c r="F3005" s="755" t="e">
        <f>IF($C$3005=0,NA(),VLOOKUP($I$2981&amp;$B$3005,FLNFIX!$DH$4:$EF$103,3,0))</f>
        <v>#N/A</v>
      </c>
      <c r="G3005" s="756" t="e">
        <f>IF($C$3005=0,NA(),VLOOKUP($I$2981&amp;$B$3005,FLNFIX!$DH$4:$EF$103,5,0))</f>
        <v>#N/A</v>
      </c>
      <c r="H3005" s="757"/>
      <c r="I3005" s="757"/>
      <c r="J3005" s="758"/>
      <c r="K3005" s="677"/>
    </row>
    <row r="3006" ht="5.1" customHeight="1" spans="1:11">
      <c r="A3006" s="675"/>
      <c r="B3006" s="759"/>
      <c r="C3006" s="759"/>
      <c r="D3006" s="760"/>
      <c r="E3006" s="760"/>
      <c r="F3006" s="760"/>
      <c r="G3006" s="761"/>
      <c r="H3006" s="761"/>
      <c r="I3006" s="761"/>
      <c r="J3006" s="761"/>
      <c r="K3006" s="677"/>
    </row>
    <row r="3007" s="667" customFormat="1" ht="24.95" customHeight="1" spans="1:11">
      <c r="A3007" s="711"/>
      <c r="B3007" s="762" t="s">
        <v>431</v>
      </c>
      <c r="C3007" s="763"/>
      <c r="D3007" s="763"/>
      <c r="E3007" s="763"/>
      <c r="F3007" s="763"/>
      <c r="G3007" s="763"/>
      <c r="H3007" s="763"/>
      <c r="I3007" s="763"/>
      <c r="J3007" s="764"/>
      <c r="K3007" s="713"/>
    </row>
    <row r="3008" spans="1:11">
      <c r="A3008" s="675"/>
      <c r="B3008" s="765"/>
      <c r="C3008" s="686"/>
      <c r="D3008" s="686"/>
      <c r="E3008" s="686"/>
      <c r="F3008" s="686"/>
      <c r="G3008" s="686"/>
      <c r="H3008" s="686"/>
      <c r="I3008" s="686"/>
      <c r="J3008" s="766"/>
      <c r="K3008" s="677"/>
    </row>
    <row r="3009" spans="1:11">
      <c r="A3009" s="675"/>
      <c r="B3009" s="765"/>
      <c r="C3009" s="686"/>
      <c r="D3009" s="686"/>
      <c r="E3009" s="686"/>
      <c r="F3009" s="686"/>
      <c r="G3009" s="686"/>
      <c r="H3009" s="686"/>
      <c r="I3009" s="686"/>
      <c r="J3009" s="766"/>
      <c r="K3009" s="677"/>
    </row>
    <row r="3010" spans="1:11">
      <c r="A3010" s="675"/>
      <c r="B3010" s="765"/>
      <c r="C3010" s="686"/>
      <c r="D3010" s="686"/>
      <c r="E3010" s="686"/>
      <c r="F3010" s="686"/>
      <c r="G3010" s="686"/>
      <c r="H3010" s="686"/>
      <c r="I3010" s="686"/>
      <c r="J3010" s="766"/>
      <c r="K3010" s="677"/>
    </row>
    <row r="3011" spans="1:11">
      <c r="A3011" s="675"/>
      <c r="B3011" s="765"/>
      <c r="C3011" s="686"/>
      <c r="D3011" s="686"/>
      <c r="E3011" s="686"/>
      <c r="F3011" s="686"/>
      <c r="G3011" s="686"/>
      <c r="H3011" s="686"/>
      <c r="I3011" s="686"/>
      <c r="J3011" s="766"/>
      <c r="K3011" s="677"/>
    </row>
    <row r="3012" spans="1:11">
      <c r="A3012" s="675"/>
      <c r="B3012" s="765"/>
      <c r="C3012" s="686"/>
      <c r="D3012" s="686"/>
      <c r="E3012" s="686"/>
      <c r="F3012" s="686"/>
      <c r="G3012" s="686"/>
      <c r="H3012" s="686"/>
      <c r="I3012" s="686"/>
      <c r="J3012" s="766"/>
      <c r="K3012" s="677"/>
    </row>
    <row r="3013" spans="1:11">
      <c r="A3013" s="675"/>
      <c r="B3013" s="765"/>
      <c r="C3013" s="686"/>
      <c r="D3013" s="686"/>
      <c r="E3013" s="686"/>
      <c r="F3013" s="686"/>
      <c r="G3013" s="686"/>
      <c r="H3013" s="686"/>
      <c r="I3013" s="686"/>
      <c r="J3013" s="766"/>
      <c r="K3013" s="677"/>
    </row>
    <row r="3014" spans="1:11">
      <c r="A3014" s="675"/>
      <c r="B3014" s="765"/>
      <c r="C3014" s="686"/>
      <c r="D3014" s="686"/>
      <c r="E3014" s="686"/>
      <c r="F3014" s="686"/>
      <c r="G3014" s="686"/>
      <c r="H3014" s="686"/>
      <c r="I3014" s="686"/>
      <c r="J3014" s="766"/>
      <c r="K3014" s="677"/>
    </row>
    <row r="3015" spans="1:11">
      <c r="A3015" s="675"/>
      <c r="B3015" s="765"/>
      <c r="C3015" s="686"/>
      <c r="D3015" s="686"/>
      <c r="E3015" s="686"/>
      <c r="F3015" s="686"/>
      <c r="G3015" s="686"/>
      <c r="H3015" s="686"/>
      <c r="I3015" s="686"/>
      <c r="J3015" s="766"/>
      <c r="K3015" s="677"/>
    </row>
    <row r="3016" spans="1:11">
      <c r="A3016" s="675"/>
      <c r="B3016" s="765"/>
      <c r="C3016" s="686"/>
      <c r="D3016" s="686"/>
      <c r="E3016" s="686"/>
      <c r="F3016" s="686"/>
      <c r="G3016" s="686"/>
      <c r="H3016" s="686"/>
      <c r="I3016" s="686"/>
      <c r="J3016" s="766"/>
      <c r="K3016" s="677"/>
    </row>
    <row r="3017" spans="1:11">
      <c r="A3017" s="675"/>
      <c r="B3017" s="767"/>
      <c r="C3017" s="768"/>
      <c r="D3017" s="768"/>
      <c r="E3017" s="768"/>
      <c r="F3017" s="768"/>
      <c r="G3017" s="768"/>
      <c r="H3017" s="768"/>
      <c r="I3017" s="768"/>
      <c r="J3017" s="769"/>
      <c r="K3017" s="677"/>
    </row>
    <row r="3018" ht="5.1" customHeight="1" spans="1:11">
      <c r="A3018" s="675"/>
      <c r="B3018" s="686"/>
      <c r="C3018" s="686"/>
      <c r="D3018" s="686"/>
      <c r="E3018" s="686"/>
      <c r="F3018" s="686"/>
      <c r="G3018" s="686"/>
      <c r="H3018" s="686"/>
      <c r="I3018" s="686"/>
      <c r="J3018" s="686"/>
      <c r="K3018" s="677"/>
    </row>
    <row r="3019" spans="1:11">
      <c r="A3019" s="675"/>
      <c r="B3019" s="770" t="s">
        <v>432</v>
      </c>
      <c r="C3019" s="770"/>
      <c r="D3019" s="770"/>
      <c r="E3019" s="770"/>
      <c r="F3019" s="770"/>
      <c r="G3019" s="770"/>
      <c r="H3019" s="770"/>
      <c r="I3019" s="770"/>
      <c r="J3019" s="770"/>
      <c r="K3019" s="677"/>
    </row>
    <row r="3020" spans="1:11">
      <c r="A3020" s="675"/>
      <c r="B3020" s="771"/>
      <c r="C3020" s="771"/>
      <c r="D3020" s="771"/>
      <c r="E3020" s="771"/>
      <c r="F3020" s="771"/>
      <c r="G3020" s="771"/>
      <c r="H3020" s="771"/>
      <c r="I3020" s="771"/>
      <c r="J3020" s="771"/>
      <c r="K3020" s="677"/>
    </row>
    <row r="3021" spans="1:11">
      <c r="A3021" s="675"/>
      <c r="B3021" s="771"/>
      <c r="C3021" s="771"/>
      <c r="D3021" s="771"/>
      <c r="E3021" s="771"/>
      <c r="F3021" s="771"/>
      <c r="G3021" s="771"/>
      <c r="H3021" s="771"/>
      <c r="I3021" s="771"/>
      <c r="J3021" s="771"/>
      <c r="K3021" s="677"/>
    </row>
    <row r="3022" spans="1:11">
      <c r="A3022" s="675"/>
      <c r="B3022" s="771"/>
      <c r="C3022" s="771"/>
      <c r="D3022" s="771"/>
      <c r="E3022" s="771"/>
      <c r="F3022" s="771"/>
      <c r="G3022" s="771"/>
      <c r="H3022" s="771"/>
      <c r="I3022" s="771"/>
      <c r="J3022" s="771"/>
      <c r="K3022" s="677"/>
    </row>
    <row r="3023" spans="1:11">
      <c r="A3023" s="675"/>
      <c r="B3023" s="686"/>
      <c r="C3023" s="686"/>
      <c r="D3023" s="686"/>
      <c r="E3023" s="686"/>
      <c r="F3023" s="686"/>
      <c r="G3023" s="686"/>
      <c r="H3023" s="686"/>
      <c r="I3023" s="686"/>
      <c r="J3023" s="686"/>
      <c r="K3023" s="677"/>
    </row>
    <row r="3024" spans="1:11">
      <c r="A3024" s="675"/>
      <c r="B3024" s="686"/>
      <c r="C3024" s="729" t="s">
        <v>433</v>
      </c>
      <c r="D3024" s="729"/>
      <c r="E3024" s="686"/>
      <c r="F3024" s="686"/>
      <c r="G3024" s="729" t="s">
        <v>434</v>
      </c>
      <c r="H3024" s="729"/>
      <c r="I3024" s="729"/>
      <c r="J3024" s="729"/>
      <c r="K3024" s="677"/>
    </row>
    <row r="3025" ht="16.35" spans="1:11">
      <c r="A3025" s="725"/>
      <c r="B3025" s="726"/>
      <c r="C3025" s="732" t="str">
        <f>"("&amp;PROPER(ENTRY!$D$19)&amp;")"</f>
        <v>(Indrajeet)</v>
      </c>
      <c r="D3025" s="732"/>
      <c r="E3025" s="726"/>
      <c r="F3025" s="726"/>
      <c r="G3025" s="732" t="str">
        <f>"("&amp;PROPER(ENTRY!$D$12)&amp;")"</f>
        <v>(Shambhu Dayal Meena)</v>
      </c>
      <c r="H3025" s="732"/>
      <c r="I3025" s="732"/>
      <c r="J3025" s="732"/>
      <c r="K3025" s="728"/>
    </row>
    <row r="3026" ht="24.6" spans="1:11">
      <c r="B3026" s="734"/>
      <c r="C3026" s="734"/>
      <c r="D3026" s="669" t="str">
        <f>ENTRY!$D$3</f>
        <v>MUNICIPAL CORPORATION OF DELHI</v>
      </c>
      <c r="E3026" s="669"/>
      <c r="F3026" s="669"/>
      <c r="G3026" s="669"/>
      <c r="H3026" s="734"/>
      <c r="I3026" s="669"/>
      <c r="J3026" s="669"/>
    </row>
    <row r="3027" ht="20.4" spans="1:11">
      <c r="B3027" s="735"/>
      <c r="C3027" s="735"/>
      <c r="D3027" s="670" t="str">
        <f>ENTRY!$D$4</f>
        <v>EDUCATION DEPARTMENT</v>
      </c>
      <c r="E3027" s="670"/>
      <c r="F3027" s="670"/>
      <c r="G3027" s="670"/>
      <c r="H3027" s="735"/>
      <c r="I3027" s="669"/>
      <c r="J3027" s="669"/>
    </row>
    <row r="3028" ht="22.8" spans="1:11">
      <c r="B3028" s="736"/>
      <c r="C3028" s="736"/>
      <c r="D3028" s="664" t="s">
        <v>417</v>
      </c>
      <c r="E3028" s="664"/>
      <c r="F3028" s="664"/>
      <c r="G3028" s="664"/>
      <c r="H3028" s="736"/>
      <c r="I3028" s="669"/>
      <c r="J3028" s="669"/>
    </row>
    <row r="3029" ht="22.8" spans="1:11">
      <c r="B3029" s="736"/>
      <c r="C3029" s="736"/>
      <c r="D3029" s="664" t="s">
        <v>418</v>
      </c>
      <c r="E3029" s="664"/>
      <c r="F3029" s="664"/>
      <c r="G3029" s="664"/>
      <c r="H3029" s="736"/>
      <c r="I3029" s="669"/>
      <c r="J3029" s="669"/>
    </row>
    <row r="3030" ht="24.95" customHeight="1" spans="1:11">
      <c r="B3030" s="735"/>
      <c r="C3030" s="735"/>
      <c r="D3030" s="737" t="str">
        <f>"SESSION : "&amp;ENTRY!$D$11</f>
        <v>SESSION : 2026-27</v>
      </c>
      <c r="E3030" s="737"/>
      <c r="F3030" s="737"/>
      <c r="G3030" s="737"/>
      <c r="H3030" s="735"/>
      <c r="I3030" s="738"/>
      <c r="J3030" s="738"/>
    </row>
    <row r="3031" ht="3.75" customHeight="1" spans="1:11">
      <c r="A3031" s="672"/>
      <c r="B3031" s="739"/>
      <c r="C3031" s="739"/>
      <c r="D3031" s="739"/>
      <c r="E3031" s="739"/>
      <c r="F3031" s="739"/>
      <c r="G3031" s="739"/>
      <c r="H3031" s="739"/>
      <c r="I3031" s="739"/>
      <c r="J3031" s="739"/>
      <c r="K3031" s="674"/>
    </row>
    <row r="3032" ht="21.95" customHeight="1" spans="1:11">
      <c r="A3032" s="675"/>
      <c r="B3032" s="676" t="s">
        <v>419</v>
      </c>
      <c r="C3032" s="676"/>
      <c r="D3032" s="676" t="str">
        <f>ENTRY!$D$6</f>
        <v>MCP NITHARI NO 1 BOYS</v>
      </c>
      <c r="E3032" s="676"/>
      <c r="F3032" s="676"/>
      <c r="G3032" s="676"/>
      <c r="H3032" s="676"/>
      <c r="I3032" s="676"/>
      <c r="J3032" s="676"/>
      <c r="K3032" s="677"/>
    </row>
    <row r="3033" ht="21.95" customHeight="1" spans="1:11">
      <c r="A3033" s="675"/>
      <c r="B3033" s="676" t="s">
        <v>420</v>
      </c>
      <c r="C3033" s="676"/>
      <c r="D3033" s="740">
        <f>IFERROR(VLOOKUP($I$3036,STUDENT!$A$2:$BP$101,5,0),"")</f>
        <v>0</v>
      </c>
      <c r="E3033" s="740"/>
      <c r="F3033" s="740"/>
      <c r="G3033" s="740"/>
      <c r="H3033" s="740"/>
      <c r="I3033" s="740"/>
      <c r="J3033" s="740"/>
      <c r="K3033" s="677"/>
    </row>
    <row r="3034" ht="21.95" customHeight="1" spans="1:11">
      <c r="A3034" s="675"/>
      <c r="B3034" s="676" t="s">
        <v>421</v>
      </c>
      <c r="C3034" s="676"/>
      <c r="D3034" s="740">
        <f>IFERROR(VLOOKUP($I$3036,STUDENT!$A$2:$BP$101,8,0),"")</f>
        <v>0</v>
      </c>
      <c r="E3034" s="740"/>
      <c r="F3034" s="740"/>
      <c r="G3034" s="740"/>
      <c r="H3034" s="740"/>
      <c r="I3034" s="740"/>
      <c r="J3034" s="740"/>
      <c r="K3034" s="677"/>
    </row>
    <row r="3035" ht="21.95" customHeight="1" spans="1:11">
      <c r="A3035" s="675"/>
      <c r="B3035" s="676" t="s">
        <v>422</v>
      </c>
      <c r="C3035" s="676"/>
      <c r="D3035" s="740">
        <f>IFERROR(VLOOKUP($I$3036,STUDENT!$A$2:$BP$101,6,0),"")</f>
        <v>0</v>
      </c>
      <c r="E3035" s="740"/>
      <c r="F3035" s="740"/>
      <c r="G3035" s="740"/>
      <c r="H3035" s="740"/>
      <c r="I3035" s="740"/>
      <c r="J3035" s="740"/>
      <c r="K3035" s="677"/>
    </row>
    <row r="3036" ht="21.95" customHeight="1" spans="1:11">
      <c r="A3036" s="675"/>
      <c r="B3036" s="676" t="s">
        <v>423</v>
      </c>
      <c r="C3036" s="676"/>
      <c r="D3036" s="741" t="str">
        <f>IFERROR(VLOOKUP($I$3036,STUDENT!$A$2:$BP$101,59,0),"")</f>
        <v/>
      </c>
      <c r="E3036" s="742" t="s">
        <v>424</v>
      </c>
      <c r="F3036" s="704" t="str">
        <f>IFERROR(VLOOKUP($I$3036,STUDENT!$A$2:$BP$101,2,0),"")</f>
        <v>III-A</v>
      </c>
      <c r="G3036" s="742" t="s">
        <v>425</v>
      </c>
      <c r="H3036" s="743"/>
      <c r="I3036" s="733">
        <f>I2981+1</f>
        <v>56</v>
      </c>
      <c r="J3036" s="683"/>
      <c r="K3036" s="677"/>
    </row>
    <row r="3037" ht="5.1" customHeight="1" spans="1:11">
      <c r="A3037" s="675"/>
      <c r="B3037" s="745"/>
      <c r="C3037" s="745"/>
      <c r="D3037" s="746"/>
      <c r="E3037" s="747"/>
      <c r="F3037" s="748"/>
      <c r="G3037" s="747"/>
      <c r="H3037" s="686"/>
      <c r="I3037" s="686"/>
      <c r="J3037" s="686"/>
      <c r="K3037" s="677"/>
    </row>
    <row r="3038" s="664" customFormat="1" ht="32.1" customHeight="1" spans="1:11">
      <c r="A3038" s="688"/>
      <c r="B3038" s="749" t="s">
        <v>426</v>
      </c>
      <c r="C3038" s="750"/>
      <c r="D3038" s="750"/>
      <c r="E3038" s="750"/>
      <c r="F3038" s="750"/>
      <c r="G3038" s="750"/>
      <c r="H3038" s="750"/>
      <c r="I3038" s="750"/>
      <c r="J3038" s="751"/>
      <c r="K3038" s="690"/>
    </row>
    <row r="3039" ht="51.6" spans="1:11">
      <c r="A3039" s="675"/>
      <c r="B3039" s="752">
        <v>21</v>
      </c>
      <c r="C3039" s="753" t="s">
        <v>427</v>
      </c>
      <c r="D3039" s="754" t="s">
        <v>428</v>
      </c>
      <c r="E3039" s="754" t="s">
        <v>429</v>
      </c>
      <c r="F3039" s="754" t="s">
        <v>430</v>
      </c>
      <c r="G3039" s="753" t="s">
        <v>390</v>
      </c>
      <c r="H3039" s="714"/>
      <c r="I3039" s="714"/>
      <c r="J3039" s="714"/>
      <c r="K3039" s="677"/>
    </row>
    <row r="3040" ht="20.1" customHeight="1" spans="1:11">
      <c r="A3040" s="675"/>
      <c r="B3040" s="755">
        <v>1</v>
      </c>
      <c r="C3040" s="755" t="str">
        <f>IFERROR(VLOOKUP(B3040,DATEWISE!$A$3:$BY$27,2,0),0)</f>
        <v>30.04.2026</v>
      </c>
      <c r="D3040" s="755">
        <f>IF($C$3040=0,NA(),VLOOKUP($I$3036&amp;$B$3040,FLNFIX!$L$4:$EF$103,2,0))</f>
        <v>0</v>
      </c>
      <c r="E3040" s="755">
        <f>IF($C$3040=0,NA(),VLOOKUP($I$3036&amp;$B$3040,FLNFIX!$L$4:$EF$103,4,0))</f>
        <v>0</v>
      </c>
      <c r="F3040" s="755">
        <f>IF($C$3040=0,NA(),VLOOKUP($I$3036&amp;$B$3040,FLNFIX!$L$4:$EF$103,3,0))</f>
        <v>0</v>
      </c>
      <c r="G3040" s="756">
        <f>IF($C$3040=0,NA(),VLOOKUP($I$3036&amp;$B$3040,FLNFIX!$L$4:$EF$103,5,0))</f>
        <v>0</v>
      </c>
      <c r="H3040" s="757"/>
      <c r="I3040" s="757"/>
      <c r="J3040" s="758"/>
      <c r="K3040" s="677"/>
    </row>
    <row r="3041" ht="20.1" customHeight="1" spans="1:11">
      <c r="A3041" s="675"/>
      <c r="B3041" s="755">
        <f t="shared" ref="B3041:B3060" si="55">IF(B3040=0,0,IF(B3040&lt;$B$3039,B3040+1,""))</f>
        <v>2</v>
      </c>
      <c r="C3041" s="755" t="str">
        <f>IFERROR(VLOOKUP(B3041,DATEWISE!$A$3:$BY$27,2,0),0)</f>
        <v>08.05.2026</v>
      </c>
      <c r="D3041" s="755">
        <f>IF($C$3041=0,NA(),VLOOKUP($I$3036&amp;$B$3041,FLNFIX!$Q$4:$EF$103,2,0))</f>
        <v>0</v>
      </c>
      <c r="E3041" s="755">
        <f>IF($C$3041=0,NA(),VLOOKUP($I$3036&amp;$B$3041,FLNFIX!$Q$4:$EF$103,4,0))</f>
        <v>0</v>
      </c>
      <c r="F3041" s="755">
        <f>IF($C$3041=0,NA(),VLOOKUP($I$3036&amp;$B$3041,FLNFIX!$Q$4:$EF$103,3,0))</f>
        <v>0</v>
      </c>
      <c r="G3041" s="756">
        <f>IF($C$3041=0,NA(),VLOOKUP($I$3036&amp;$B$3041,FLNFIX!$Q$4:$EF$103,5,0))</f>
        <v>0</v>
      </c>
      <c r="H3041" s="757"/>
      <c r="I3041" s="757"/>
      <c r="J3041" s="758"/>
      <c r="K3041" s="677"/>
    </row>
    <row r="3042" ht="20.1" customHeight="1" spans="1:11">
      <c r="A3042" s="675"/>
      <c r="B3042" s="755">
        <f t="shared" si="55"/>
        <v>3</v>
      </c>
      <c r="C3042" s="755" t="str">
        <f>IFERROR(VLOOKUP(B3042,DATEWISE!$A$3:$BY$27,2,0),0)</f>
        <v>15.07.2026</v>
      </c>
      <c r="D3042" s="755">
        <f>IF($C$3042=0,NA(),VLOOKUP($I$3036&amp;$B$3042,FLNFIX!$V$4:$EF$103,2,0))</f>
        <v>0</v>
      </c>
      <c r="E3042" s="755">
        <f>IF($C$3042=0,NA(),VLOOKUP($I$3036&amp;$B$3042,FLNFIX!$V$4:$EF$103,4,0))</f>
        <v>0</v>
      </c>
      <c r="F3042" s="755">
        <f>IF($C$3042=0,NA(),VLOOKUP($I$3036&amp;$B$3042,FLNFIX!$V$4:$EF$103,3,0))</f>
        <v>0</v>
      </c>
      <c r="G3042" s="756">
        <f>IF($C$3042=0,NA(),VLOOKUP($I$3036&amp;$B$3042,FLNFIX!$V$4:$EF$103,5,0))</f>
        <v>0</v>
      </c>
      <c r="H3042" s="757"/>
      <c r="I3042" s="757"/>
      <c r="J3042" s="758"/>
      <c r="K3042" s="677"/>
    </row>
    <row r="3043" ht="20.1" customHeight="1" spans="1:11">
      <c r="A3043" s="675"/>
      <c r="B3043" s="755">
        <f t="shared" si="55"/>
        <v>4</v>
      </c>
      <c r="C3043" s="755" t="str">
        <f>IFERROR(VLOOKUP(B3043,DATEWISE!$A$3:$BY$27,2,0),0)</f>
        <v>31.07.2026</v>
      </c>
      <c r="D3043" s="755">
        <f>IF($C$3043=0,NA(),VLOOKUP($I$3036&amp;$B$3043,FLNFIX!$AA$4:$EF$103,2,0))</f>
        <v>0</v>
      </c>
      <c r="E3043" s="755">
        <f>IF($C$3043=0,NA(),VLOOKUP($I$3036&amp;$B$3043,FLNFIX!$AA$4:$EF$103,4,0))</f>
        <v>0</v>
      </c>
      <c r="F3043" s="755">
        <f>IF($C$3043=0,NA(),VLOOKUP($I$3036&amp;$B$3043,FLNFIX!$AA$4:$EF$103,3,0))</f>
        <v>0</v>
      </c>
      <c r="G3043" s="756">
        <f>IF($C$3043=0,NA(),VLOOKUP($I$3036&amp;$B$3043,FLNFIX!$AA$4:$EF$103,5,0))</f>
        <v>0</v>
      </c>
      <c r="H3043" s="757"/>
      <c r="I3043" s="757"/>
      <c r="J3043" s="758"/>
      <c r="K3043" s="677"/>
    </row>
    <row r="3044" ht="20.1" customHeight="1" spans="1:11">
      <c r="A3044" s="675"/>
      <c r="B3044" s="755">
        <f t="shared" si="55"/>
        <v>5</v>
      </c>
      <c r="C3044" s="755" t="str">
        <f>IFERROR(VLOOKUP(B3044,DATEWISE!$A$3:$BY$27,2,0),0)</f>
        <v>17.08.2026</v>
      </c>
      <c r="D3044" s="755">
        <f>IF($C$3044=0,NA(),VLOOKUP($I$3036&amp;$B$3044,FLNFIX!$AF$4:$EF$103,2,0))</f>
        <v>0</v>
      </c>
      <c r="E3044" s="755">
        <f>IF($C$3044=0,NA(),VLOOKUP($I$3036&amp;$B$3044,FLNFIX!$AF$4:$EF$103,4,0))</f>
        <v>0</v>
      </c>
      <c r="F3044" s="755">
        <f>IF($C$3044=0,NA(),VLOOKUP($I$3036&amp;$B$3044,FLNFIX!$AF$4:$EF$103,3,0))</f>
        <v>0</v>
      </c>
      <c r="G3044" s="756">
        <f>IF($C$3044=0,NA(),VLOOKUP($I$3036&amp;$B$3044,FLNFIX!$AF$4:$EF$103,5,0))</f>
        <v>0</v>
      </c>
      <c r="H3044" s="757"/>
      <c r="I3044" s="757"/>
      <c r="J3044" s="758"/>
      <c r="K3044" s="677"/>
    </row>
    <row r="3045" ht="20.1" customHeight="1" spans="1:11">
      <c r="A3045" s="675"/>
      <c r="B3045" s="755">
        <f t="shared" si="55"/>
        <v>6</v>
      </c>
      <c r="C3045" s="755" t="str">
        <f>IFERROR(VLOOKUP(B3045,DATEWISE!$A$3:$BY$27,2,0),0)</f>
        <v>31.08.2026</v>
      </c>
      <c r="D3045" s="755">
        <f>IF($C$3045=0,NA(),VLOOKUP($I$3036&amp;$B$3045,FLNFIX!$AK$4:$EF$103,2,0))</f>
        <v>0</v>
      </c>
      <c r="E3045" s="755">
        <f>IF($C$3045=0,NA(),VLOOKUP($I$3036&amp;$B$3045,FLNFIX!$AK$4:$EF$103,4,0))</f>
        <v>0</v>
      </c>
      <c r="F3045" s="755">
        <f>IF($C$3045=0,NA(),VLOOKUP($I$3036&amp;$B$3045,FLNFIX!$AK$4:$EF$103,3,0))</f>
        <v>0</v>
      </c>
      <c r="G3045" s="756">
        <f>IF($C$3045=0,NA(),VLOOKUP($I$3036&amp;$B$3045,FLNFIX!$AK$4:$EF$103,5,0))</f>
        <v>0</v>
      </c>
      <c r="H3045" s="757"/>
      <c r="I3045" s="757"/>
      <c r="J3045" s="758"/>
      <c r="K3045" s="677"/>
    </row>
    <row r="3046" ht="20.1" customHeight="1" spans="1:11">
      <c r="A3046" s="675"/>
      <c r="B3046" s="755">
        <f t="shared" si="55"/>
        <v>7</v>
      </c>
      <c r="C3046" s="755">
        <f>IFERROR(VLOOKUP(B3046,DATEWISE!$A$3:$BY$27,2,0),0)</f>
        <v>0</v>
      </c>
      <c r="D3046" s="755" t="e">
        <f>IF($C$3046=0,NA(),VLOOKUP($I$3036&amp;$B$3046,FLNFIX!$AP$4:$EF$103,2,0))</f>
        <v>#N/A</v>
      </c>
      <c r="E3046" s="755" t="e">
        <f>IF($C$3046=0,NA(),VLOOKUP($I$3036&amp;$B$3046,FLNFIX!$AP$4:$EF$103,4,0))</f>
        <v>#N/A</v>
      </c>
      <c r="F3046" s="755" t="e">
        <f>IF($C$3046=0,NA(),VLOOKUP($I$3036&amp;$B$3046,FLNFIX!$AP$4:$EF$103,3,0))</f>
        <v>#N/A</v>
      </c>
      <c r="G3046" s="756" t="e">
        <f>IF($C$3046=0,NA(),VLOOKUP($I$3036&amp;$B$3046,FLNFIX!$AP$4:$EF$103,5,0))</f>
        <v>#N/A</v>
      </c>
      <c r="H3046" s="757"/>
      <c r="I3046" s="757"/>
      <c r="J3046" s="758"/>
      <c r="K3046" s="677"/>
    </row>
    <row r="3047" ht="20.1" customHeight="1" spans="1:11">
      <c r="A3047" s="675"/>
      <c r="B3047" s="755">
        <f t="shared" si="55"/>
        <v>8</v>
      </c>
      <c r="C3047" s="755">
        <f>IFERROR(VLOOKUP(B3047,DATEWISE!$A$3:$BY$27,2,0),0)</f>
        <v>0</v>
      </c>
      <c r="D3047" s="755" t="e">
        <f>IF($C$3047=0,NA(),VLOOKUP($I$3036&amp;$B$3047,FLNFIX!$AU$4:$EF$103,2,0))</f>
        <v>#N/A</v>
      </c>
      <c r="E3047" s="755" t="e">
        <f>IF($C$3047=0,NA(),VLOOKUP($I$3036&amp;$B$3047,FLNFIX!$AU$4:$EF$103,4,0))</f>
        <v>#N/A</v>
      </c>
      <c r="F3047" s="755" t="e">
        <f>IF($C$3047=0,NA(),VLOOKUP($I$3036&amp;$B$3047,FLNFIX!$AU$4:$EF$103,3,0))</f>
        <v>#N/A</v>
      </c>
      <c r="G3047" s="756" t="e">
        <f>IF($C$3047=0,NA(),VLOOKUP($I$3036&amp;$B$3047,FLNFIX!$AU$4:$EF$103,5,0))</f>
        <v>#N/A</v>
      </c>
      <c r="H3047" s="757"/>
      <c r="I3047" s="757"/>
      <c r="J3047" s="758"/>
      <c r="K3047" s="677"/>
    </row>
    <row r="3048" ht="20.1" customHeight="1" spans="1:11">
      <c r="A3048" s="675"/>
      <c r="B3048" s="755">
        <f t="shared" si="55"/>
        <v>9</v>
      </c>
      <c r="C3048" s="755">
        <f>IFERROR(VLOOKUP(B3048,DATEWISE!$A$3:$BY$27,2,0),0)</f>
        <v>0</v>
      </c>
      <c r="D3048" s="755" t="e">
        <f>IF($C$3048=0,NA(),VLOOKUP($I$3036&amp;$B$3048,FLNFIX!$AZ$4:$EF$103,2,0))</f>
        <v>#N/A</v>
      </c>
      <c r="E3048" s="755" t="e">
        <f>IF($C$3048=0,NA(),VLOOKUP($I$3036&amp;$B$3048,FLNFIX!$AZ$4:$EF$103,4,0))</f>
        <v>#N/A</v>
      </c>
      <c r="F3048" s="755" t="e">
        <f>IF($C$3048=0,NA(),VLOOKUP($I$3036&amp;$B$3048,FLNFIX!$AZ$4:$EF$103,3,0))</f>
        <v>#N/A</v>
      </c>
      <c r="G3048" s="756" t="e">
        <f>IF($C$3048=0,NA(),VLOOKUP($I$3036&amp;$B$3048,FLNFIX!$AZ$4:$EF$103,5,0))</f>
        <v>#N/A</v>
      </c>
      <c r="H3048" s="757"/>
      <c r="I3048" s="757"/>
      <c r="J3048" s="758"/>
      <c r="K3048" s="677"/>
    </row>
    <row r="3049" ht="20.1" customHeight="1" spans="1:11">
      <c r="A3049" s="675"/>
      <c r="B3049" s="755">
        <f t="shared" si="55"/>
        <v>10</v>
      </c>
      <c r="C3049" s="755">
        <f>IFERROR(VLOOKUP(B3049,DATEWISE!$A$3:$BY$27,2,0),0)</f>
        <v>0</v>
      </c>
      <c r="D3049" s="755" t="e">
        <f>IF($C$3049=0,NA(),VLOOKUP($I$3036&amp;$B$3049,FLNFIX!$BE$4:$EF$103,2,0))</f>
        <v>#N/A</v>
      </c>
      <c r="E3049" s="755" t="e">
        <f>IF($C$3049=0,NA(),VLOOKUP($I$3036&amp;$B$3049,FLNFIX!$BE$4:$EF$103,4,0))</f>
        <v>#N/A</v>
      </c>
      <c r="F3049" s="755" t="e">
        <f>IF($C$3049=0,NA(),VLOOKUP($I$3036&amp;$B$3049,FLNFIX!$BE$4:$EF$103,3,0))</f>
        <v>#N/A</v>
      </c>
      <c r="G3049" s="756" t="e">
        <f>IF($C$3049=0,NA(),VLOOKUP($I$3036&amp;$B$3049,FLNFIX!$BE$4:$EF$103,5,0))</f>
        <v>#N/A</v>
      </c>
      <c r="H3049" s="757"/>
      <c r="I3049" s="757"/>
      <c r="J3049" s="758"/>
      <c r="K3049" s="677"/>
    </row>
    <row r="3050" ht="20.1" customHeight="1" spans="1:11">
      <c r="A3050" s="675"/>
      <c r="B3050" s="755">
        <f t="shared" si="55"/>
        <v>11</v>
      </c>
      <c r="C3050" s="755">
        <f>IFERROR(VLOOKUP(B3050,DATEWISE!$A$3:$BY$27,2,0),0)</f>
        <v>0</v>
      </c>
      <c r="D3050" s="755" t="e">
        <f>IF($C$3050=0,NA(),VLOOKUP($I$3036&amp;$B$3050,FLNFIX!$BJ$4:$EF$103,2,0))</f>
        <v>#N/A</v>
      </c>
      <c r="E3050" s="755" t="e">
        <f>IF($C$3050=0,NA(),VLOOKUP($I$3036&amp;$B$3050,FLNFIX!$BJ$4:$EF$103,4,0))</f>
        <v>#N/A</v>
      </c>
      <c r="F3050" s="755" t="e">
        <f>IF($C$3050=0,NA(),VLOOKUP($I$3036&amp;$B$3050,FLNFIX!$BJ$4:$EF$103,3,0))</f>
        <v>#N/A</v>
      </c>
      <c r="G3050" s="756" t="e">
        <f>IF($C$3050=0,NA(),VLOOKUP($I$3036&amp;$B$3050,FLNFIX!$BJ$4:$EF$103,5,0))</f>
        <v>#N/A</v>
      </c>
      <c r="H3050" s="757"/>
      <c r="I3050" s="757"/>
      <c r="J3050" s="758"/>
      <c r="K3050" s="677"/>
    </row>
    <row r="3051" ht="20.1" customHeight="1" spans="1:11">
      <c r="A3051" s="675"/>
      <c r="B3051" s="755">
        <f t="shared" si="55"/>
        <v>12</v>
      </c>
      <c r="C3051" s="755">
        <f>IFERROR(VLOOKUP(B3051,DATEWISE!$A$3:$BY$27,2,0),0)</f>
        <v>0</v>
      </c>
      <c r="D3051" s="755" t="e">
        <f>IF($C$3051=0,NA(),VLOOKUP($I$3036&amp;$B$3051,FLNFIX!$BO$4:$EF$103,2,0))</f>
        <v>#N/A</v>
      </c>
      <c r="E3051" s="755" t="e">
        <f>IF($C$3051=0,NA(),VLOOKUP($I$3036&amp;$B$3051,FLNFIX!$BO$4:$EF$103,4,0))</f>
        <v>#N/A</v>
      </c>
      <c r="F3051" s="755" t="e">
        <f>IF($C$3051=0,NA(),VLOOKUP($I$3036&amp;$B$3051,FLNFIX!$BO$4:$EF$103,3,0))</f>
        <v>#N/A</v>
      </c>
      <c r="G3051" s="756" t="e">
        <f>IF($C$3051=0,NA(),VLOOKUP($I$3036&amp;$B$3051,FLNFIX!$BO$4:$EF$103,5,0))</f>
        <v>#N/A</v>
      </c>
      <c r="H3051" s="757"/>
      <c r="I3051" s="757"/>
      <c r="J3051" s="758"/>
      <c r="K3051" s="677"/>
    </row>
    <row r="3052" ht="20.1" customHeight="1" spans="1:11">
      <c r="A3052" s="675"/>
      <c r="B3052" s="755">
        <f t="shared" si="55"/>
        <v>13</v>
      </c>
      <c r="C3052" s="755">
        <f>IFERROR(VLOOKUP(B3052,DATEWISE!$A$3:$BY$27,2,0),0)</f>
        <v>0</v>
      </c>
      <c r="D3052" s="755" t="e">
        <f>IF($C$3052=0,NA(),VLOOKUP($I$3036&amp;$B$3052,FLNFIX!$BT$4:$EF$103,2,0))</f>
        <v>#N/A</v>
      </c>
      <c r="E3052" s="755" t="e">
        <f>IF($C$3052=0,NA(),VLOOKUP($I$3036&amp;$B$3052,FLNFIX!$BT$4:$EF$103,4,0))</f>
        <v>#N/A</v>
      </c>
      <c r="F3052" s="755" t="e">
        <f>IF($C$3052=0,NA(),VLOOKUP($I$3036&amp;$B$3052,FLNFIX!$BT$4:$EF$103,3,0))</f>
        <v>#N/A</v>
      </c>
      <c r="G3052" s="756" t="e">
        <f>IF($C$3052=0,NA(),VLOOKUP($I$3036&amp;$B$3052,FLNFIX!$BT$4:$EF$103,5,0))</f>
        <v>#N/A</v>
      </c>
      <c r="H3052" s="757"/>
      <c r="I3052" s="757"/>
      <c r="J3052" s="758"/>
      <c r="K3052" s="677"/>
    </row>
    <row r="3053" ht="20.1" customHeight="1" spans="1:11">
      <c r="A3053" s="675"/>
      <c r="B3053" s="755">
        <f t="shared" si="55"/>
        <v>14</v>
      </c>
      <c r="C3053" s="755">
        <f>IFERROR(VLOOKUP(B3053,DATEWISE!$A$3:$BY$27,2,0),0)</f>
        <v>0</v>
      </c>
      <c r="D3053" s="755" t="e">
        <f>IF($C$3053=0,NA(),VLOOKUP($I$3036&amp;$B$3053,FLNFIX!$BY$4:$EF$103,2,0))</f>
        <v>#N/A</v>
      </c>
      <c r="E3053" s="755" t="e">
        <f>IF($C$3053=0,NA(),VLOOKUP($I$3036&amp;$B$3053,FLNFIX!$BY$4:$EF$103,4,0))</f>
        <v>#N/A</v>
      </c>
      <c r="F3053" s="755" t="e">
        <f>IF($C$3053=0,NA(),VLOOKUP($I$3036&amp;$B$3053,FLNFIX!$BY$4:$EF$103,3,0))</f>
        <v>#N/A</v>
      </c>
      <c r="G3053" s="756" t="e">
        <f>IF($C$3053=0,NA(),VLOOKUP($I$3036&amp;$B$3053,FLNFIX!$BY$4:$EF$103,5,0))</f>
        <v>#N/A</v>
      </c>
      <c r="H3053" s="757"/>
      <c r="I3053" s="757"/>
      <c r="J3053" s="758"/>
      <c r="K3053" s="677"/>
    </row>
    <row r="3054" ht="20.1" customHeight="1" spans="1:11">
      <c r="A3054" s="675"/>
      <c r="B3054" s="755">
        <f t="shared" si="55"/>
        <v>15</v>
      </c>
      <c r="C3054" s="755">
        <f>IFERROR(VLOOKUP(B3054,DATEWISE!$A$3:$BY$27,2,0),0)</f>
        <v>0</v>
      </c>
      <c r="D3054" s="755" t="e">
        <f>IF($C$3054=0,NA(),VLOOKUP($I$3036&amp;$B$3054,FLNFIX!$CD$4:$EF$103,2,0))</f>
        <v>#N/A</v>
      </c>
      <c r="E3054" s="755" t="e">
        <f>IF($C$3054=0,NA(),VLOOKUP($I$3036&amp;$B$3054,FLNFIX!$CD$4:$EF$103,4,0))</f>
        <v>#N/A</v>
      </c>
      <c r="F3054" s="755" t="e">
        <f>IF($C$3054=0,NA(),VLOOKUP($I$3036&amp;$B$3054,FLNFIX!$CD$4:$EF$103,3,0))</f>
        <v>#N/A</v>
      </c>
      <c r="G3054" s="756" t="e">
        <f>IF($C$3054=0,NA(),VLOOKUP($I$3036&amp;$B$3054,FLNFIX!$CD$4:$EF$103,5,0))</f>
        <v>#N/A</v>
      </c>
      <c r="H3054" s="757"/>
      <c r="I3054" s="757"/>
      <c r="J3054" s="758"/>
      <c r="K3054" s="677"/>
    </row>
    <row r="3055" ht="20.1" customHeight="1" spans="1:11">
      <c r="A3055" s="675"/>
      <c r="B3055" s="755">
        <f t="shared" si="55"/>
        <v>16</v>
      </c>
      <c r="C3055" s="755">
        <f>IFERROR(VLOOKUP(B3055,DATEWISE!$A$3:$BY$27,2,0),0)</f>
        <v>0</v>
      </c>
      <c r="D3055" s="755" t="e">
        <f>IF($C$3055=0,NA(),VLOOKUP($I$3036&amp;$B$3055,FLNFIX!$CI$4:$EF$103,2,0))</f>
        <v>#N/A</v>
      </c>
      <c r="E3055" s="755" t="e">
        <f>IF($C$3055=0,NA(),VLOOKUP($I$3036&amp;$B$3055,FLNFIX!$CI$4:$EF$103,4,0))</f>
        <v>#N/A</v>
      </c>
      <c r="F3055" s="755" t="e">
        <f>IF($C$3055=0,NA(),VLOOKUP($I$3036&amp;$B$3055,FLNFIX!$CI$4:$EF$103,3,0))</f>
        <v>#N/A</v>
      </c>
      <c r="G3055" s="756" t="e">
        <f>IF($C$3055=0,NA(),VLOOKUP($I$3036&amp;$B$3055,FLNFIX!$CI$4:$EF$103,5,0))</f>
        <v>#N/A</v>
      </c>
      <c r="H3055" s="757"/>
      <c r="I3055" s="757"/>
      <c r="J3055" s="758"/>
      <c r="K3055" s="677"/>
    </row>
    <row r="3056" ht="20.1" customHeight="1" spans="1:11">
      <c r="A3056" s="675"/>
      <c r="B3056" s="755">
        <f t="shared" si="55"/>
        <v>17</v>
      </c>
      <c r="C3056" s="755">
        <f>IFERROR(VLOOKUP(B3056,DATEWISE!$A$3:$BY$27,2,0),0)</f>
        <v>0</v>
      </c>
      <c r="D3056" s="755" t="e">
        <f>IF($C$3056=0,NA(),VLOOKUP($I$3036&amp;$B$3056,FLNFIX!$CN$4:$EF$103,2,0))</f>
        <v>#N/A</v>
      </c>
      <c r="E3056" s="755" t="e">
        <f>IF($C$3056=0,NA(),VLOOKUP($I$3036&amp;$B$3056,FLNFIX!$CN$4:$EF$103,4,0))</f>
        <v>#N/A</v>
      </c>
      <c r="F3056" s="755" t="e">
        <f>IF($C$3056=0,NA(),VLOOKUP($I$3036&amp;$B$3056,FLNFIX!$CN$4:$EF$103,3,0))</f>
        <v>#N/A</v>
      </c>
      <c r="G3056" s="756" t="e">
        <f>IF($C$3056=0,NA(),VLOOKUP($I$3036&amp;$B$3056,FLNFIX!$CN$4:$EF$103,5,0))</f>
        <v>#N/A</v>
      </c>
      <c r="H3056" s="757"/>
      <c r="I3056" s="757"/>
      <c r="J3056" s="758"/>
      <c r="K3056" s="677"/>
    </row>
    <row r="3057" ht="20.1" customHeight="1" spans="1:11">
      <c r="A3057" s="675"/>
      <c r="B3057" s="755">
        <f t="shared" si="55"/>
        <v>18</v>
      </c>
      <c r="C3057" s="755">
        <f>IFERROR(VLOOKUP(B3057,DATEWISE!$A$3:$BY$27,2,0),0)</f>
        <v>0</v>
      </c>
      <c r="D3057" s="755" t="e">
        <f>IF($C$3057=0,NA(),VLOOKUP($I$3036&amp;$B$3057,FLNFIX!$CS$4:$EF$103,2,0))</f>
        <v>#N/A</v>
      </c>
      <c r="E3057" s="755" t="e">
        <f>IF($C$3057=0,NA(),VLOOKUP($I$3036&amp;$B$3057,FLNFIX!$CS$4:$EF$103,4,0))</f>
        <v>#N/A</v>
      </c>
      <c r="F3057" s="755" t="e">
        <f>IF($C$3057=0,NA(),VLOOKUP($I$3036&amp;$B$3057,FLNFIX!$CS$4:$EF$103,3,0))</f>
        <v>#N/A</v>
      </c>
      <c r="G3057" s="756" t="e">
        <f>IF($C$3057=0,NA(),VLOOKUP($I$3036&amp;$B$3057,FLNFIX!$CS$4:$EF$103,5,0))</f>
        <v>#N/A</v>
      </c>
      <c r="H3057" s="757"/>
      <c r="I3057" s="757"/>
      <c r="J3057" s="758"/>
      <c r="K3057" s="677"/>
    </row>
    <row r="3058" ht="20.1" customHeight="1" spans="1:11">
      <c r="A3058" s="675"/>
      <c r="B3058" s="755">
        <f t="shared" si="55"/>
        <v>19</v>
      </c>
      <c r="C3058" s="755">
        <f>IFERROR(VLOOKUP(B3058,DATEWISE!$A$3:$BY$27,2,0),0)</f>
        <v>0</v>
      </c>
      <c r="D3058" s="755" t="e">
        <f>IF($C$3058=0,NA(),VLOOKUP($I$3036&amp;$B$3058,FLNFIX!$CX$4:$EF$103,2,0))</f>
        <v>#N/A</v>
      </c>
      <c r="E3058" s="755" t="e">
        <f>IF($C$3058=0,NA(),VLOOKUP($I$3036&amp;$B$3058,FLNFIX!$CX$4:$EF$103,4,0))</f>
        <v>#N/A</v>
      </c>
      <c r="F3058" s="755" t="e">
        <f>IF($C$3058=0,NA(),VLOOKUP($I$3036&amp;$B$3058,FLNFIX!$CX$4:$EF$103,3,0))</f>
        <v>#N/A</v>
      </c>
      <c r="G3058" s="756" t="e">
        <f>IF($C$3058=0,NA(),VLOOKUP($I$3036&amp;$B$3058,FLNFIX!$CX$4:$EF$103,5,0))</f>
        <v>#N/A</v>
      </c>
      <c r="H3058" s="757"/>
      <c r="I3058" s="757"/>
      <c r="J3058" s="758"/>
      <c r="K3058" s="677"/>
    </row>
    <row r="3059" ht="20.1" customHeight="1" spans="1:11">
      <c r="A3059" s="675"/>
      <c r="B3059" s="755">
        <f t="shared" si="55"/>
        <v>20</v>
      </c>
      <c r="C3059" s="755">
        <f>IFERROR(VLOOKUP(B3059,DATEWISE!$A$3:$BY$27,2,0),0)</f>
        <v>0</v>
      </c>
      <c r="D3059" s="755" t="e">
        <f>IF($C$3059=0,NA(),VLOOKUP($I$3036&amp;$B$3059,FLNFIX!$DC$4:$EF$103,2,0))</f>
        <v>#N/A</v>
      </c>
      <c r="E3059" s="755" t="e">
        <f>IF($C$3059=0,NA(),VLOOKUP($I$3036&amp;$B$3059,FLNFIX!$DC$4:$EF$103,4,0))</f>
        <v>#N/A</v>
      </c>
      <c r="F3059" s="755" t="e">
        <f>IF($C$3059=0,NA(),VLOOKUP($I$3036&amp;$B$3059,FLNFIX!$DC$4:$EF$103,3,0))</f>
        <v>#N/A</v>
      </c>
      <c r="G3059" s="756" t="e">
        <f>IF($C$3059=0,NA(),VLOOKUP($I$3036&amp;$B$3059,FLNFIX!$DC$4:$EF$103,5,0))</f>
        <v>#N/A</v>
      </c>
      <c r="H3059" s="757"/>
      <c r="I3059" s="757"/>
      <c r="J3059" s="758"/>
      <c r="K3059" s="677"/>
    </row>
    <row r="3060" ht="20.1" customHeight="1" spans="1:11">
      <c r="A3060" s="675"/>
      <c r="B3060" s="755">
        <f t="shared" si="55"/>
        <v>21</v>
      </c>
      <c r="C3060" s="755">
        <f>IFERROR(VLOOKUP(B3060,DATEWISE!$A$3:$BY$27,2,0),0)</f>
        <v>0</v>
      </c>
      <c r="D3060" s="755" t="e">
        <f>IF($C$3060=0,NA(),VLOOKUP($I$3036&amp;$B$3060,FLNFIX!$DH$4:$EF$103,2,0))</f>
        <v>#N/A</v>
      </c>
      <c r="E3060" s="755" t="e">
        <f>IF($C$3060=0,NA(),VLOOKUP($I$3036&amp;$B$3060,FLNFIX!$DH$4:$EF$103,4,0))</f>
        <v>#N/A</v>
      </c>
      <c r="F3060" s="755" t="e">
        <f>IF($C$3060=0,NA(),VLOOKUP($I$3036&amp;$B$3060,FLNFIX!$DH$4:$EF$103,3,0))</f>
        <v>#N/A</v>
      </c>
      <c r="G3060" s="756" t="e">
        <f>IF($C$3060=0,NA(),VLOOKUP($I$3036&amp;$B$3060,FLNFIX!$DH$4:$EF$103,5,0))</f>
        <v>#N/A</v>
      </c>
      <c r="H3060" s="757"/>
      <c r="I3060" s="757"/>
      <c r="J3060" s="758"/>
      <c r="K3060" s="677"/>
    </row>
    <row r="3061" ht="5.1" customHeight="1" spans="1:11">
      <c r="A3061" s="675"/>
      <c r="B3061" s="759"/>
      <c r="C3061" s="759"/>
      <c r="D3061" s="760"/>
      <c r="E3061" s="760"/>
      <c r="F3061" s="760"/>
      <c r="G3061" s="761"/>
      <c r="H3061" s="761"/>
      <c r="I3061" s="761"/>
      <c r="J3061" s="761"/>
      <c r="K3061" s="677"/>
    </row>
    <row r="3062" s="667" customFormat="1" ht="24.95" customHeight="1" spans="1:11">
      <c r="A3062" s="711"/>
      <c r="B3062" s="762" t="s">
        <v>431</v>
      </c>
      <c r="C3062" s="763"/>
      <c r="D3062" s="763"/>
      <c r="E3062" s="763"/>
      <c r="F3062" s="763"/>
      <c r="G3062" s="763"/>
      <c r="H3062" s="763"/>
      <c r="I3062" s="763"/>
      <c r="J3062" s="764"/>
      <c r="K3062" s="713"/>
    </row>
    <row r="3063" spans="1:11">
      <c r="A3063" s="675"/>
      <c r="B3063" s="765"/>
      <c r="C3063" s="686"/>
      <c r="D3063" s="686"/>
      <c r="E3063" s="686"/>
      <c r="F3063" s="686"/>
      <c r="G3063" s="686"/>
      <c r="H3063" s="686"/>
      <c r="I3063" s="686"/>
      <c r="J3063" s="766"/>
      <c r="K3063" s="677"/>
    </row>
    <row r="3064" spans="1:11">
      <c r="A3064" s="675"/>
      <c r="B3064" s="765"/>
      <c r="C3064" s="686"/>
      <c r="D3064" s="686"/>
      <c r="E3064" s="686"/>
      <c r="F3064" s="686"/>
      <c r="G3064" s="686"/>
      <c r="H3064" s="686"/>
      <c r="I3064" s="686"/>
      <c r="J3064" s="766"/>
      <c r="K3064" s="677"/>
    </row>
    <row r="3065" spans="1:11">
      <c r="A3065" s="675"/>
      <c r="B3065" s="765"/>
      <c r="C3065" s="686"/>
      <c r="D3065" s="686"/>
      <c r="E3065" s="686"/>
      <c r="F3065" s="686"/>
      <c r="G3065" s="686"/>
      <c r="H3065" s="686"/>
      <c r="I3065" s="686"/>
      <c r="J3065" s="766"/>
      <c r="K3065" s="677"/>
    </row>
    <row r="3066" spans="1:11">
      <c r="A3066" s="675"/>
      <c r="B3066" s="765"/>
      <c r="C3066" s="686"/>
      <c r="D3066" s="686"/>
      <c r="E3066" s="686"/>
      <c r="F3066" s="686"/>
      <c r="G3066" s="686"/>
      <c r="H3066" s="686"/>
      <c r="I3066" s="686"/>
      <c r="J3066" s="766"/>
      <c r="K3066" s="677"/>
    </row>
    <row r="3067" spans="1:11">
      <c r="A3067" s="675"/>
      <c r="B3067" s="765"/>
      <c r="C3067" s="686"/>
      <c r="D3067" s="686"/>
      <c r="E3067" s="686"/>
      <c r="F3067" s="686"/>
      <c r="G3067" s="686"/>
      <c r="H3067" s="686"/>
      <c r="I3067" s="686"/>
      <c r="J3067" s="766"/>
      <c r="K3067" s="677"/>
    </row>
    <row r="3068" spans="1:11">
      <c r="A3068" s="675"/>
      <c r="B3068" s="765"/>
      <c r="C3068" s="686"/>
      <c r="D3068" s="686"/>
      <c r="E3068" s="686"/>
      <c r="F3068" s="686"/>
      <c r="G3068" s="686"/>
      <c r="H3068" s="686"/>
      <c r="I3068" s="686"/>
      <c r="J3068" s="766"/>
      <c r="K3068" s="677"/>
    </row>
    <row r="3069" spans="1:11">
      <c r="A3069" s="675"/>
      <c r="B3069" s="765"/>
      <c r="C3069" s="686"/>
      <c r="D3069" s="686"/>
      <c r="E3069" s="686"/>
      <c r="F3069" s="686"/>
      <c r="G3069" s="686"/>
      <c r="H3069" s="686"/>
      <c r="I3069" s="686"/>
      <c r="J3069" s="766"/>
      <c r="K3069" s="677"/>
    </row>
    <row r="3070" spans="1:11">
      <c r="A3070" s="675"/>
      <c r="B3070" s="765"/>
      <c r="C3070" s="686"/>
      <c r="D3070" s="686"/>
      <c r="E3070" s="686"/>
      <c r="F3070" s="686"/>
      <c r="G3070" s="686"/>
      <c r="H3070" s="686"/>
      <c r="I3070" s="686"/>
      <c r="J3070" s="766"/>
      <c r="K3070" s="677"/>
    </row>
    <row r="3071" spans="1:11">
      <c r="A3071" s="675"/>
      <c r="B3071" s="765"/>
      <c r="C3071" s="686"/>
      <c r="D3071" s="686"/>
      <c r="E3071" s="686"/>
      <c r="F3071" s="686"/>
      <c r="G3071" s="686"/>
      <c r="H3071" s="686"/>
      <c r="I3071" s="686"/>
      <c r="J3071" s="766"/>
      <c r="K3071" s="677"/>
    </row>
    <row r="3072" spans="1:11">
      <c r="A3072" s="675"/>
      <c r="B3072" s="767"/>
      <c r="C3072" s="768"/>
      <c r="D3072" s="768"/>
      <c r="E3072" s="768"/>
      <c r="F3072" s="768"/>
      <c r="G3072" s="768"/>
      <c r="H3072" s="768"/>
      <c r="I3072" s="768"/>
      <c r="J3072" s="769"/>
      <c r="K3072" s="677"/>
    </row>
    <row r="3073" ht="5.1" customHeight="1" spans="1:11">
      <c r="A3073" s="675"/>
      <c r="B3073" s="686"/>
      <c r="C3073" s="686"/>
      <c r="D3073" s="686"/>
      <c r="E3073" s="686"/>
      <c r="F3073" s="686"/>
      <c r="G3073" s="686"/>
      <c r="H3073" s="686"/>
      <c r="I3073" s="686"/>
      <c r="J3073" s="686"/>
      <c r="K3073" s="677"/>
    </row>
    <row r="3074" spans="1:11">
      <c r="A3074" s="675"/>
      <c r="B3074" s="770" t="s">
        <v>432</v>
      </c>
      <c r="C3074" s="770"/>
      <c r="D3074" s="770"/>
      <c r="E3074" s="770"/>
      <c r="F3074" s="770"/>
      <c r="G3074" s="770"/>
      <c r="H3074" s="770"/>
      <c r="I3074" s="770"/>
      <c r="J3074" s="770"/>
      <c r="K3074" s="677"/>
    </row>
    <row r="3075" spans="1:11">
      <c r="A3075" s="675"/>
      <c r="B3075" s="771"/>
      <c r="C3075" s="771"/>
      <c r="D3075" s="771"/>
      <c r="E3075" s="771"/>
      <c r="F3075" s="771"/>
      <c r="G3075" s="771"/>
      <c r="H3075" s="771"/>
      <c r="I3075" s="771"/>
      <c r="J3075" s="771"/>
      <c r="K3075" s="677"/>
    </row>
    <row r="3076" spans="1:11">
      <c r="A3076" s="675"/>
      <c r="B3076" s="771"/>
      <c r="C3076" s="771"/>
      <c r="D3076" s="771"/>
      <c r="E3076" s="771"/>
      <c r="F3076" s="771"/>
      <c r="G3076" s="771"/>
      <c r="H3076" s="771"/>
      <c r="I3076" s="771"/>
      <c r="J3076" s="771"/>
      <c r="K3076" s="677"/>
    </row>
    <row r="3077" spans="1:11">
      <c r="A3077" s="675"/>
      <c r="B3077" s="771"/>
      <c r="C3077" s="771"/>
      <c r="D3077" s="771"/>
      <c r="E3077" s="771"/>
      <c r="F3077" s="771"/>
      <c r="G3077" s="771"/>
      <c r="H3077" s="771"/>
      <c r="I3077" s="771"/>
      <c r="J3077" s="771"/>
      <c r="K3077" s="677"/>
    </row>
    <row r="3078" spans="1:11">
      <c r="A3078" s="675"/>
      <c r="B3078" s="686"/>
      <c r="C3078" s="686"/>
      <c r="D3078" s="686"/>
      <c r="E3078" s="686"/>
      <c r="F3078" s="686"/>
      <c r="G3078" s="686"/>
      <c r="H3078" s="686"/>
      <c r="I3078" s="686"/>
      <c r="J3078" s="686"/>
      <c r="K3078" s="677"/>
    </row>
    <row r="3079" spans="1:11">
      <c r="A3079" s="675"/>
      <c r="B3079" s="686"/>
      <c r="C3079" s="729" t="s">
        <v>433</v>
      </c>
      <c r="D3079" s="729"/>
      <c r="E3079" s="686"/>
      <c r="F3079" s="686"/>
      <c r="G3079" s="729" t="s">
        <v>434</v>
      </c>
      <c r="H3079" s="729"/>
      <c r="I3079" s="729"/>
      <c r="J3079" s="729"/>
      <c r="K3079" s="677"/>
    </row>
    <row r="3080" ht="16.35" spans="1:11">
      <c r="A3080" s="725"/>
      <c r="B3080" s="726"/>
      <c r="C3080" s="732" t="str">
        <f>"("&amp;PROPER(ENTRY!$D$19)&amp;")"</f>
        <v>(Indrajeet)</v>
      </c>
      <c r="D3080" s="732"/>
      <c r="E3080" s="726"/>
      <c r="F3080" s="726"/>
      <c r="G3080" s="732" t="str">
        <f>"("&amp;PROPER(ENTRY!$D$12)&amp;")"</f>
        <v>(Shambhu Dayal Meena)</v>
      </c>
      <c r="H3080" s="732"/>
      <c r="I3080" s="732"/>
      <c r="J3080" s="732"/>
      <c r="K3080" s="728"/>
    </row>
    <row r="3081" ht="24.6" spans="1:11">
      <c r="B3081" s="734"/>
      <c r="C3081" s="734"/>
      <c r="D3081" s="669" t="str">
        <f>ENTRY!$D$3</f>
        <v>MUNICIPAL CORPORATION OF DELHI</v>
      </c>
      <c r="E3081" s="669"/>
      <c r="F3081" s="669"/>
      <c r="G3081" s="669"/>
      <c r="H3081" s="734"/>
      <c r="I3081" s="669"/>
      <c r="J3081" s="669"/>
    </row>
    <row r="3082" ht="20.4" spans="1:11">
      <c r="B3082" s="735"/>
      <c r="C3082" s="735"/>
      <c r="D3082" s="670" t="str">
        <f>ENTRY!$D$4</f>
        <v>EDUCATION DEPARTMENT</v>
      </c>
      <c r="E3082" s="670"/>
      <c r="F3082" s="670"/>
      <c r="G3082" s="670"/>
      <c r="H3082" s="735"/>
      <c r="I3082" s="669"/>
      <c r="J3082" s="669"/>
    </row>
    <row r="3083" ht="22.8" spans="1:11">
      <c r="B3083" s="736"/>
      <c r="C3083" s="736"/>
      <c r="D3083" s="664" t="s">
        <v>417</v>
      </c>
      <c r="E3083" s="664"/>
      <c r="F3083" s="664"/>
      <c r="G3083" s="664"/>
      <c r="H3083" s="736"/>
      <c r="I3083" s="669"/>
      <c r="J3083" s="669"/>
    </row>
    <row r="3084" ht="22.8" spans="1:11">
      <c r="B3084" s="736"/>
      <c r="C3084" s="736"/>
      <c r="D3084" s="664" t="s">
        <v>418</v>
      </c>
      <c r="E3084" s="664"/>
      <c r="F3084" s="664"/>
      <c r="G3084" s="664"/>
      <c r="H3084" s="736"/>
      <c r="I3084" s="669"/>
      <c r="J3084" s="669"/>
    </row>
    <row r="3085" ht="24.95" customHeight="1" spans="1:11">
      <c r="B3085" s="735"/>
      <c r="C3085" s="735"/>
      <c r="D3085" s="737" t="str">
        <f>"SESSION : "&amp;ENTRY!$D$11</f>
        <v>SESSION : 2026-27</v>
      </c>
      <c r="E3085" s="737"/>
      <c r="F3085" s="737"/>
      <c r="G3085" s="737"/>
      <c r="H3085" s="735"/>
      <c r="I3085" s="738"/>
      <c r="J3085" s="738"/>
    </row>
    <row r="3086" ht="3.75" customHeight="1" spans="1:11">
      <c r="A3086" s="672"/>
      <c r="B3086" s="739"/>
      <c r="C3086" s="739"/>
      <c r="D3086" s="739"/>
      <c r="E3086" s="739"/>
      <c r="F3086" s="739"/>
      <c r="G3086" s="739"/>
      <c r="H3086" s="739"/>
      <c r="I3086" s="739"/>
      <c r="J3086" s="739"/>
      <c r="K3086" s="674"/>
    </row>
    <row r="3087" ht="21.95" customHeight="1" spans="1:11">
      <c r="A3087" s="675"/>
      <c r="B3087" s="676" t="s">
        <v>419</v>
      </c>
      <c r="C3087" s="676"/>
      <c r="D3087" s="676" t="str">
        <f>ENTRY!$D$6</f>
        <v>MCP NITHARI NO 1 BOYS</v>
      </c>
      <c r="E3087" s="676"/>
      <c r="F3087" s="676"/>
      <c r="G3087" s="676"/>
      <c r="H3087" s="676"/>
      <c r="I3087" s="676"/>
      <c r="J3087" s="676"/>
      <c r="K3087" s="677"/>
    </row>
    <row r="3088" ht="21.95" customHeight="1" spans="1:11">
      <c r="A3088" s="675"/>
      <c r="B3088" s="676" t="s">
        <v>420</v>
      </c>
      <c r="C3088" s="676"/>
      <c r="D3088" s="740">
        <f>IFERROR(VLOOKUP($I$3091,STUDENT!$A$2:$BP$101,5,0),"")</f>
        <v>0</v>
      </c>
      <c r="E3088" s="740"/>
      <c r="F3088" s="740"/>
      <c r="G3088" s="740"/>
      <c r="H3088" s="740"/>
      <c r="I3088" s="740"/>
      <c r="J3088" s="740"/>
      <c r="K3088" s="677"/>
    </row>
    <row r="3089" ht="21.95" customHeight="1" spans="1:11">
      <c r="A3089" s="675"/>
      <c r="B3089" s="676" t="s">
        <v>421</v>
      </c>
      <c r="C3089" s="676"/>
      <c r="D3089" s="740">
        <f>IFERROR(VLOOKUP($I$3091,STUDENT!$A$2:$BP$101,8,0),"")</f>
        <v>0</v>
      </c>
      <c r="E3089" s="740"/>
      <c r="F3089" s="740"/>
      <c r="G3089" s="740"/>
      <c r="H3089" s="740"/>
      <c r="I3089" s="740"/>
      <c r="J3089" s="740"/>
      <c r="K3089" s="677"/>
    </row>
    <row r="3090" ht="21.95" customHeight="1" spans="1:11">
      <c r="A3090" s="675"/>
      <c r="B3090" s="676" t="s">
        <v>422</v>
      </c>
      <c r="C3090" s="676"/>
      <c r="D3090" s="740">
        <f>IFERROR(VLOOKUP($I$3091,STUDENT!$A$2:$BP$101,6,0),"")</f>
        <v>0</v>
      </c>
      <c r="E3090" s="740"/>
      <c r="F3090" s="740"/>
      <c r="G3090" s="740"/>
      <c r="H3090" s="740"/>
      <c r="I3090" s="740"/>
      <c r="J3090" s="740"/>
      <c r="K3090" s="677"/>
    </row>
    <row r="3091" ht="21.95" customHeight="1" spans="1:11">
      <c r="A3091" s="675"/>
      <c r="B3091" s="676" t="s">
        <v>423</v>
      </c>
      <c r="C3091" s="676"/>
      <c r="D3091" s="741" t="str">
        <f>IFERROR(VLOOKUP($I$3091,STUDENT!$A$2:$BP$101,59,0),"")</f>
        <v/>
      </c>
      <c r="E3091" s="742" t="s">
        <v>424</v>
      </c>
      <c r="F3091" s="704" t="str">
        <f>IFERROR(VLOOKUP($I$3091,STUDENT!$A$2:$BP$101,2,0),"")</f>
        <v>III-A</v>
      </c>
      <c r="G3091" s="742" t="s">
        <v>425</v>
      </c>
      <c r="H3091" s="743"/>
      <c r="I3091" s="733">
        <f>I3036+1</f>
        <v>57</v>
      </c>
      <c r="J3091" s="683"/>
      <c r="K3091" s="677"/>
    </row>
    <row r="3092" ht="5.1" customHeight="1" spans="1:11">
      <c r="A3092" s="675"/>
      <c r="B3092" s="745"/>
      <c r="C3092" s="745"/>
      <c r="D3092" s="746"/>
      <c r="E3092" s="747"/>
      <c r="F3092" s="748"/>
      <c r="G3092" s="747"/>
      <c r="H3092" s="686"/>
      <c r="I3092" s="686"/>
      <c r="J3092" s="686"/>
      <c r="K3092" s="677"/>
    </row>
    <row r="3093" s="664" customFormat="1" ht="32.1" customHeight="1" spans="1:11">
      <c r="A3093" s="688"/>
      <c r="B3093" s="749" t="s">
        <v>426</v>
      </c>
      <c r="C3093" s="750"/>
      <c r="D3093" s="750"/>
      <c r="E3093" s="750"/>
      <c r="F3093" s="750"/>
      <c r="G3093" s="750"/>
      <c r="H3093" s="750"/>
      <c r="I3093" s="750"/>
      <c r="J3093" s="751"/>
      <c r="K3093" s="690"/>
    </row>
    <row r="3094" ht="51.6" spans="1:11">
      <c r="A3094" s="675"/>
      <c r="B3094" s="752">
        <v>21</v>
      </c>
      <c r="C3094" s="753" t="s">
        <v>427</v>
      </c>
      <c r="D3094" s="754" t="s">
        <v>428</v>
      </c>
      <c r="E3094" s="754" t="s">
        <v>429</v>
      </c>
      <c r="F3094" s="754" t="s">
        <v>430</v>
      </c>
      <c r="G3094" s="753" t="s">
        <v>390</v>
      </c>
      <c r="H3094" s="714"/>
      <c r="I3094" s="714"/>
      <c r="J3094" s="714"/>
      <c r="K3094" s="677"/>
    </row>
    <row r="3095" ht="20.1" customHeight="1" spans="1:11">
      <c r="A3095" s="675"/>
      <c r="B3095" s="755">
        <v>1</v>
      </c>
      <c r="C3095" s="755" t="str">
        <f>IFERROR(VLOOKUP(B3095,DATEWISE!$A$3:$BY$27,2,0),0)</f>
        <v>30.04.2026</v>
      </c>
      <c r="D3095" s="755">
        <f>IF($C$3095=0,NA(),VLOOKUP($I$3091&amp;$B$3095,FLNFIX!$L$4:$EF$103,2,0))</f>
        <v>0</v>
      </c>
      <c r="E3095" s="755">
        <f>IF($C$3095=0,NA(),VLOOKUP($I$3091&amp;$B$3095,FLNFIX!$L$4:$EF$103,4,0))</f>
        <v>0</v>
      </c>
      <c r="F3095" s="755">
        <f>IF($C$3095=0,NA(),VLOOKUP($I$3091&amp;$B$3095,FLNFIX!$L$4:$EF$103,3,0))</f>
        <v>0</v>
      </c>
      <c r="G3095" s="756">
        <f>IF($C$3095=0,NA(),VLOOKUP($I$3091&amp;$B$3095,FLNFIX!$L$4:$EF$103,5,0))</f>
        <v>0</v>
      </c>
      <c r="H3095" s="757"/>
      <c r="I3095" s="757"/>
      <c r="J3095" s="758"/>
      <c r="K3095" s="677"/>
    </row>
    <row r="3096" ht="20.1" customHeight="1" spans="1:11">
      <c r="A3096" s="675"/>
      <c r="B3096" s="755">
        <f t="shared" ref="B3096:B3115" si="56">IF(B3095=0,0,IF(B3095&lt;$B$3094,B3095+1,""))</f>
        <v>2</v>
      </c>
      <c r="C3096" s="755" t="str">
        <f>IFERROR(VLOOKUP(B3096,DATEWISE!$A$3:$BY$27,2,0),0)</f>
        <v>08.05.2026</v>
      </c>
      <c r="D3096" s="755">
        <f>IF($C$3096=0,NA(),VLOOKUP($I$3091&amp;$B$3096,FLNFIX!$Q$4:$EF$103,2,0))</f>
        <v>0</v>
      </c>
      <c r="E3096" s="755">
        <f>IF($C$3096=0,NA(),VLOOKUP($I$3091&amp;$B$3096,FLNFIX!$Q$4:$EF$103,4,0))</f>
        <v>0</v>
      </c>
      <c r="F3096" s="755">
        <f>IF($C$3096=0,NA(),VLOOKUP($I$3091&amp;$B$3096,FLNFIX!$Q$4:$EF$103,3,0))</f>
        <v>0</v>
      </c>
      <c r="G3096" s="756">
        <f>IF($C$3096=0,NA(),VLOOKUP($I$3091&amp;$B$3096,FLNFIX!$Q$4:$EF$103,5,0))</f>
        <v>0</v>
      </c>
      <c r="H3096" s="757"/>
      <c r="I3096" s="757"/>
      <c r="J3096" s="758"/>
      <c r="K3096" s="677"/>
    </row>
    <row r="3097" ht="20.1" customHeight="1" spans="1:11">
      <c r="A3097" s="675"/>
      <c r="B3097" s="755">
        <f t="shared" si="56"/>
        <v>3</v>
      </c>
      <c r="C3097" s="755" t="str">
        <f>IFERROR(VLOOKUP(B3097,DATEWISE!$A$3:$BY$27,2,0),0)</f>
        <v>15.07.2026</v>
      </c>
      <c r="D3097" s="755">
        <f>IF($C$3097=0,NA(),VLOOKUP($I$3091&amp;$B$3097,FLNFIX!$V$4:$EF$103,2,0))</f>
        <v>0</v>
      </c>
      <c r="E3097" s="755">
        <f>IF($C$3097=0,NA(),VLOOKUP($I$3091&amp;$B$3097,FLNFIX!$V$4:$EF$103,4,0))</f>
        <v>0</v>
      </c>
      <c r="F3097" s="755">
        <f>IF($C$3097=0,NA(),VLOOKUP($I$3091&amp;$B$3097,FLNFIX!$V$4:$EF$103,3,0))</f>
        <v>0</v>
      </c>
      <c r="G3097" s="756">
        <f>IF($C$3097=0,NA(),VLOOKUP($I$3091&amp;$B$3097,FLNFIX!$V$4:$EF$103,5,0))</f>
        <v>0</v>
      </c>
      <c r="H3097" s="757"/>
      <c r="I3097" s="757"/>
      <c r="J3097" s="758"/>
      <c r="K3097" s="677"/>
    </row>
    <row r="3098" ht="20.1" customHeight="1" spans="1:11">
      <c r="A3098" s="675"/>
      <c r="B3098" s="755">
        <f t="shared" si="56"/>
        <v>4</v>
      </c>
      <c r="C3098" s="755" t="str">
        <f>IFERROR(VLOOKUP(B3098,DATEWISE!$A$3:$BY$27,2,0),0)</f>
        <v>31.07.2026</v>
      </c>
      <c r="D3098" s="755">
        <f>IF($C$3098=0,NA(),VLOOKUP($I$3091&amp;$B$3098,FLNFIX!$AA$4:$EF$103,2,0))</f>
        <v>0</v>
      </c>
      <c r="E3098" s="755">
        <f>IF($C$3098=0,NA(),VLOOKUP($I$3091&amp;$B$3098,FLNFIX!$AA$4:$EF$103,4,0))</f>
        <v>0</v>
      </c>
      <c r="F3098" s="755">
        <f>IF($C$3098=0,NA(),VLOOKUP($I$3091&amp;$B$3098,FLNFIX!$AA$4:$EF$103,3,0))</f>
        <v>0</v>
      </c>
      <c r="G3098" s="756">
        <f>IF($C$3098=0,NA(),VLOOKUP($I$3091&amp;$B$3098,FLNFIX!$AA$4:$EF$103,5,0))</f>
        <v>0</v>
      </c>
      <c r="H3098" s="757"/>
      <c r="I3098" s="757"/>
      <c r="J3098" s="758"/>
      <c r="K3098" s="677"/>
    </row>
    <row r="3099" ht="20.1" customHeight="1" spans="1:11">
      <c r="A3099" s="675"/>
      <c r="B3099" s="755">
        <f t="shared" si="56"/>
        <v>5</v>
      </c>
      <c r="C3099" s="755" t="str">
        <f>IFERROR(VLOOKUP(B3099,DATEWISE!$A$3:$BY$27,2,0),0)</f>
        <v>17.08.2026</v>
      </c>
      <c r="D3099" s="755">
        <f>IF($C$3099=0,NA(),VLOOKUP($I$3091&amp;$B$3099,FLNFIX!$AF$4:$EF$103,2,0))</f>
        <v>0</v>
      </c>
      <c r="E3099" s="755">
        <f>IF($C$3099=0,NA(),VLOOKUP($I$3091&amp;$B$3099,FLNFIX!$AF$4:$EF$103,4,0))</f>
        <v>0</v>
      </c>
      <c r="F3099" s="755">
        <f>IF($C$3099=0,NA(),VLOOKUP($I$3091&amp;$B$3099,FLNFIX!$AF$4:$EF$103,3,0))</f>
        <v>0</v>
      </c>
      <c r="G3099" s="756">
        <f>IF($C$3099=0,NA(),VLOOKUP($I$3091&amp;$B$3099,FLNFIX!$AF$4:$EF$103,5,0))</f>
        <v>0</v>
      </c>
      <c r="H3099" s="757"/>
      <c r="I3099" s="757"/>
      <c r="J3099" s="758"/>
      <c r="K3099" s="677"/>
    </row>
    <row r="3100" ht="20.1" customHeight="1" spans="1:11">
      <c r="A3100" s="675"/>
      <c r="B3100" s="755">
        <f t="shared" si="56"/>
        <v>6</v>
      </c>
      <c r="C3100" s="755" t="str">
        <f>IFERROR(VLOOKUP(B3100,DATEWISE!$A$3:$BY$27,2,0),0)</f>
        <v>31.08.2026</v>
      </c>
      <c r="D3100" s="755">
        <f>IF($C$3100=0,NA(),VLOOKUP($I$3091&amp;$B$3100,FLNFIX!$AK$4:$EF$103,2,0))</f>
        <v>0</v>
      </c>
      <c r="E3100" s="755">
        <f>IF($C$3100=0,NA(),VLOOKUP($I$3091&amp;$B$3100,FLNFIX!$AK$4:$EF$103,4,0))</f>
        <v>0</v>
      </c>
      <c r="F3100" s="755">
        <f>IF($C$3100=0,NA(),VLOOKUP($I$3091&amp;$B$3100,FLNFIX!$AK$4:$EF$103,3,0))</f>
        <v>0</v>
      </c>
      <c r="G3100" s="756">
        <f>IF($C$3100=0,NA(),VLOOKUP($I$3091&amp;$B$3100,FLNFIX!$AK$4:$EF$103,5,0))</f>
        <v>0</v>
      </c>
      <c r="H3100" s="757"/>
      <c r="I3100" s="757"/>
      <c r="J3100" s="758"/>
      <c r="K3100" s="677"/>
    </row>
    <row r="3101" ht="20.1" customHeight="1" spans="1:11">
      <c r="A3101" s="675"/>
      <c r="B3101" s="755">
        <f t="shared" si="56"/>
        <v>7</v>
      </c>
      <c r="C3101" s="755">
        <f>IFERROR(VLOOKUP(B3101,DATEWISE!$A$3:$BY$27,2,0),0)</f>
        <v>0</v>
      </c>
      <c r="D3101" s="755" t="e">
        <f>IF($C$3101=0,NA(),VLOOKUP($I$3091&amp;$B$3101,FLNFIX!$AP$4:$EF$103,2,0))</f>
        <v>#N/A</v>
      </c>
      <c r="E3101" s="755" t="e">
        <f>IF($C$3101=0,NA(),VLOOKUP($I$3091&amp;$B$3101,FLNFIX!$AP$4:$EF$103,4,0))</f>
        <v>#N/A</v>
      </c>
      <c r="F3101" s="755" t="e">
        <f>IF($C$3101=0,NA(),VLOOKUP($I$3091&amp;$B$3101,FLNFIX!$AP$4:$EF$103,3,0))</f>
        <v>#N/A</v>
      </c>
      <c r="G3101" s="756" t="e">
        <f>IF($C$3101=0,NA(),VLOOKUP($I$3091&amp;$B$3101,FLNFIX!$AP$4:$EF$103,5,0))</f>
        <v>#N/A</v>
      </c>
      <c r="H3101" s="757"/>
      <c r="I3101" s="757"/>
      <c r="J3101" s="758"/>
      <c r="K3101" s="677"/>
    </row>
    <row r="3102" ht="20.1" customHeight="1" spans="1:11">
      <c r="A3102" s="675"/>
      <c r="B3102" s="755">
        <f t="shared" si="56"/>
        <v>8</v>
      </c>
      <c r="C3102" s="755">
        <f>IFERROR(VLOOKUP(B3102,DATEWISE!$A$3:$BY$27,2,0),0)</f>
        <v>0</v>
      </c>
      <c r="D3102" s="755" t="e">
        <f>IF($C$3102=0,NA(),VLOOKUP($I$3091&amp;$B$3102,FLNFIX!$AU$4:$EF$103,2,0))</f>
        <v>#N/A</v>
      </c>
      <c r="E3102" s="755" t="e">
        <f>IF($C$3102=0,NA(),VLOOKUP($I$3091&amp;$B$3102,FLNFIX!$AU$4:$EF$103,4,0))</f>
        <v>#N/A</v>
      </c>
      <c r="F3102" s="755" t="e">
        <f>IF($C$3102=0,NA(),VLOOKUP($I$3091&amp;$B$3102,FLNFIX!$AU$4:$EF$103,3,0))</f>
        <v>#N/A</v>
      </c>
      <c r="G3102" s="756" t="e">
        <f>IF($C$3102=0,NA(),VLOOKUP($I$3091&amp;$B$3102,FLNFIX!$AU$4:$EF$103,5,0))</f>
        <v>#N/A</v>
      </c>
      <c r="H3102" s="757"/>
      <c r="I3102" s="757"/>
      <c r="J3102" s="758"/>
      <c r="K3102" s="677"/>
    </row>
    <row r="3103" ht="20.1" customHeight="1" spans="1:11">
      <c r="A3103" s="675"/>
      <c r="B3103" s="755">
        <f t="shared" si="56"/>
        <v>9</v>
      </c>
      <c r="C3103" s="755">
        <f>IFERROR(VLOOKUP(B3103,DATEWISE!$A$3:$BY$27,2,0),0)</f>
        <v>0</v>
      </c>
      <c r="D3103" s="755" t="e">
        <f>IF($C$3103=0,NA(),VLOOKUP($I$3091&amp;$B$3103,FLNFIX!$AZ$4:$EF$103,2,0))</f>
        <v>#N/A</v>
      </c>
      <c r="E3103" s="755" t="e">
        <f>IF($C$3103=0,NA(),VLOOKUP($I$3091&amp;$B$3103,FLNFIX!$AZ$4:$EF$103,4,0))</f>
        <v>#N/A</v>
      </c>
      <c r="F3103" s="755" t="e">
        <f>IF($C$3103=0,NA(),VLOOKUP($I$3091&amp;$B$3103,FLNFIX!$AZ$4:$EF$103,3,0))</f>
        <v>#N/A</v>
      </c>
      <c r="G3103" s="756" t="e">
        <f>IF($C$3103=0,NA(),VLOOKUP($I$3091&amp;$B$3103,FLNFIX!$AZ$4:$EF$103,5,0))</f>
        <v>#N/A</v>
      </c>
      <c r="H3103" s="757"/>
      <c r="I3103" s="757"/>
      <c r="J3103" s="758"/>
      <c r="K3103" s="677"/>
    </row>
    <row r="3104" ht="20.1" customHeight="1" spans="1:11">
      <c r="A3104" s="675"/>
      <c r="B3104" s="755">
        <f t="shared" si="56"/>
        <v>10</v>
      </c>
      <c r="C3104" s="755">
        <f>IFERROR(VLOOKUP(B3104,DATEWISE!$A$3:$BY$27,2,0),0)</f>
        <v>0</v>
      </c>
      <c r="D3104" s="755" t="e">
        <f>IF($C$3104=0,NA(),VLOOKUP($I$3091&amp;$B$3104,FLNFIX!$BE$4:$EF$103,2,0))</f>
        <v>#N/A</v>
      </c>
      <c r="E3104" s="755" t="e">
        <f>IF($C$3104=0,NA(),VLOOKUP($I$3091&amp;$B$3104,FLNFIX!$BE$4:$EF$103,4,0))</f>
        <v>#N/A</v>
      </c>
      <c r="F3104" s="755" t="e">
        <f>IF($C$3104=0,NA(),VLOOKUP($I$3091&amp;$B$3104,FLNFIX!$BE$4:$EF$103,3,0))</f>
        <v>#N/A</v>
      </c>
      <c r="G3104" s="756" t="e">
        <f>IF($C$3104=0,NA(),VLOOKUP($I$3091&amp;$B$3104,FLNFIX!$BE$4:$EF$103,5,0))</f>
        <v>#N/A</v>
      </c>
      <c r="H3104" s="757"/>
      <c r="I3104" s="757"/>
      <c r="J3104" s="758"/>
      <c r="K3104" s="677"/>
    </row>
    <row r="3105" ht="20.1" customHeight="1" spans="1:11">
      <c r="A3105" s="675"/>
      <c r="B3105" s="755">
        <f t="shared" si="56"/>
        <v>11</v>
      </c>
      <c r="C3105" s="755">
        <f>IFERROR(VLOOKUP(B3105,DATEWISE!$A$3:$BY$27,2,0),0)</f>
        <v>0</v>
      </c>
      <c r="D3105" s="755" t="e">
        <f>IF($C$3105=0,NA(),VLOOKUP($I$3091&amp;$B$3105,FLNFIX!$BJ$4:$EF$103,2,0))</f>
        <v>#N/A</v>
      </c>
      <c r="E3105" s="755" t="e">
        <f>IF($C$3105=0,NA(),VLOOKUP($I$3091&amp;$B$3105,FLNFIX!$BJ$4:$EF$103,4,0))</f>
        <v>#N/A</v>
      </c>
      <c r="F3105" s="755" t="e">
        <f>IF($C$3105=0,NA(),VLOOKUP($I$3091&amp;$B$3105,FLNFIX!$BJ$4:$EF$103,3,0))</f>
        <v>#N/A</v>
      </c>
      <c r="G3105" s="756" t="e">
        <f>IF($C$3105=0,NA(),VLOOKUP($I$3091&amp;$B$3105,FLNFIX!$BJ$4:$EF$103,5,0))</f>
        <v>#N/A</v>
      </c>
      <c r="H3105" s="757"/>
      <c r="I3105" s="757"/>
      <c r="J3105" s="758"/>
      <c r="K3105" s="677"/>
    </row>
    <row r="3106" ht="20.1" customHeight="1" spans="1:11">
      <c r="A3106" s="675"/>
      <c r="B3106" s="755">
        <f t="shared" si="56"/>
        <v>12</v>
      </c>
      <c r="C3106" s="755">
        <f>IFERROR(VLOOKUP(B3106,DATEWISE!$A$3:$BY$27,2,0),0)</f>
        <v>0</v>
      </c>
      <c r="D3106" s="755" t="e">
        <f>IF($C$3106=0,NA(),VLOOKUP($I$3091&amp;$B$3106,FLNFIX!$BO$4:$EF$103,2,0))</f>
        <v>#N/A</v>
      </c>
      <c r="E3106" s="755" t="e">
        <f>IF($C$3106=0,NA(),VLOOKUP($I$3091&amp;$B$3106,FLNFIX!$BO$4:$EF$103,4,0))</f>
        <v>#N/A</v>
      </c>
      <c r="F3106" s="755" t="e">
        <f>IF($C$3106=0,NA(),VLOOKUP($I$3091&amp;$B$3106,FLNFIX!$BO$4:$EF$103,3,0))</f>
        <v>#N/A</v>
      </c>
      <c r="G3106" s="756" t="e">
        <f>IF($C$3106=0,NA(),VLOOKUP($I$3091&amp;$B$3106,FLNFIX!$BO$4:$EF$103,5,0))</f>
        <v>#N/A</v>
      </c>
      <c r="H3106" s="757"/>
      <c r="I3106" s="757"/>
      <c r="J3106" s="758"/>
      <c r="K3106" s="677"/>
    </row>
    <row r="3107" ht="20.1" customHeight="1" spans="1:11">
      <c r="A3107" s="675"/>
      <c r="B3107" s="755">
        <f t="shared" si="56"/>
        <v>13</v>
      </c>
      <c r="C3107" s="755">
        <f>IFERROR(VLOOKUP(B3107,DATEWISE!$A$3:$BY$27,2,0),0)</f>
        <v>0</v>
      </c>
      <c r="D3107" s="755" t="e">
        <f>IF($C$3107=0,NA(),VLOOKUP($I$3091&amp;$B$3107,FLNFIX!$BT$4:$EF$103,2,0))</f>
        <v>#N/A</v>
      </c>
      <c r="E3107" s="755" t="e">
        <f>IF($C$3107=0,NA(),VLOOKUP($I$3091&amp;$B$3107,FLNFIX!$BT$4:$EF$103,4,0))</f>
        <v>#N/A</v>
      </c>
      <c r="F3107" s="755" t="e">
        <f>IF($C$3107=0,NA(),VLOOKUP($I$3091&amp;$B$3107,FLNFIX!$BT$4:$EF$103,3,0))</f>
        <v>#N/A</v>
      </c>
      <c r="G3107" s="756" t="e">
        <f>IF($C$3107=0,NA(),VLOOKUP($I$3091&amp;$B$3107,FLNFIX!$BT$4:$EF$103,5,0))</f>
        <v>#N/A</v>
      </c>
      <c r="H3107" s="757"/>
      <c r="I3107" s="757"/>
      <c r="J3107" s="758"/>
      <c r="K3107" s="677"/>
    </row>
    <row r="3108" ht="20.1" customHeight="1" spans="1:11">
      <c r="A3108" s="675"/>
      <c r="B3108" s="755">
        <f t="shared" si="56"/>
        <v>14</v>
      </c>
      <c r="C3108" s="755">
        <f>IFERROR(VLOOKUP(B3108,DATEWISE!$A$3:$BY$27,2,0),0)</f>
        <v>0</v>
      </c>
      <c r="D3108" s="755" t="e">
        <f>IF($C$3108=0,NA(),VLOOKUP($I$3091&amp;$B$3108,FLNFIX!$BY$4:$EF$103,2,0))</f>
        <v>#N/A</v>
      </c>
      <c r="E3108" s="755" t="e">
        <f>IF($C$3108=0,NA(),VLOOKUP($I$3091&amp;$B$3108,FLNFIX!$BY$4:$EF$103,4,0))</f>
        <v>#N/A</v>
      </c>
      <c r="F3108" s="755" t="e">
        <f>IF($C$3108=0,NA(),VLOOKUP($I$3091&amp;$B$3108,FLNFIX!$BY$4:$EF$103,3,0))</f>
        <v>#N/A</v>
      </c>
      <c r="G3108" s="756" t="e">
        <f>IF($C$3108=0,NA(),VLOOKUP($I$3091&amp;$B$3108,FLNFIX!$BY$4:$EF$103,5,0))</f>
        <v>#N/A</v>
      </c>
      <c r="H3108" s="757"/>
      <c r="I3108" s="757"/>
      <c r="J3108" s="758"/>
      <c r="K3108" s="677"/>
    </row>
    <row r="3109" ht="20.1" customHeight="1" spans="1:11">
      <c r="A3109" s="675"/>
      <c r="B3109" s="755">
        <f t="shared" si="56"/>
        <v>15</v>
      </c>
      <c r="C3109" s="755">
        <f>IFERROR(VLOOKUP(B3109,DATEWISE!$A$3:$BY$27,2,0),0)</f>
        <v>0</v>
      </c>
      <c r="D3109" s="755" t="e">
        <f>IF($C$3109=0,NA(),VLOOKUP($I$3091&amp;$B$3109,FLNFIX!$CD$4:$EF$103,2,0))</f>
        <v>#N/A</v>
      </c>
      <c r="E3109" s="755" t="e">
        <f>IF($C$3109=0,NA(),VLOOKUP($I$3091&amp;$B$3109,FLNFIX!$CD$4:$EF$103,4,0))</f>
        <v>#N/A</v>
      </c>
      <c r="F3109" s="755" t="e">
        <f>IF($C$3109=0,NA(),VLOOKUP($I$3091&amp;$B$3109,FLNFIX!$CD$4:$EF$103,3,0))</f>
        <v>#N/A</v>
      </c>
      <c r="G3109" s="756" t="e">
        <f>IF($C$3109=0,NA(),VLOOKUP($I$3091&amp;$B$3109,FLNFIX!$CD$4:$EF$103,5,0))</f>
        <v>#N/A</v>
      </c>
      <c r="H3109" s="757"/>
      <c r="I3109" s="757"/>
      <c r="J3109" s="758"/>
      <c r="K3109" s="677"/>
    </row>
    <row r="3110" ht="20.1" customHeight="1" spans="1:11">
      <c r="A3110" s="675"/>
      <c r="B3110" s="755">
        <f t="shared" si="56"/>
        <v>16</v>
      </c>
      <c r="C3110" s="755">
        <f>IFERROR(VLOOKUP(B3110,DATEWISE!$A$3:$BY$27,2,0),0)</f>
        <v>0</v>
      </c>
      <c r="D3110" s="755" t="e">
        <f>IF($C$3110=0,NA(),VLOOKUP($I$3091&amp;$B$3110,FLNFIX!$CI$4:$EF$103,2,0))</f>
        <v>#N/A</v>
      </c>
      <c r="E3110" s="755" t="e">
        <f>IF($C$3110=0,NA(),VLOOKUP($I$3091&amp;$B$3110,FLNFIX!$CI$4:$EF$103,4,0))</f>
        <v>#N/A</v>
      </c>
      <c r="F3110" s="755" t="e">
        <f>IF($C$3110=0,NA(),VLOOKUP($I$3091&amp;$B$3110,FLNFIX!$CI$4:$EF$103,3,0))</f>
        <v>#N/A</v>
      </c>
      <c r="G3110" s="756" t="e">
        <f>IF($C$3110=0,NA(),VLOOKUP($I$3091&amp;$B$3110,FLNFIX!$CI$4:$EF$103,5,0))</f>
        <v>#N/A</v>
      </c>
      <c r="H3110" s="757"/>
      <c r="I3110" s="757"/>
      <c r="J3110" s="758"/>
      <c r="K3110" s="677"/>
    </row>
    <row r="3111" ht="20.1" customHeight="1" spans="1:11">
      <c r="A3111" s="675"/>
      <c r="B3111" s="755">
        <f t="shared" si="56"/>
        <v>17</v>
      </c>
      <c r="C3111" s="755">
        <f>IFERROR(VLOOKUP(B3111,DATEWISE!$A$3:$BY$27,2,0),0)</f>
        <v>0</v>
      </c>
      <c r="D3111" s="755" t="e">
        <f>IF($C$3111=0,NA(),VLOOKUP($I$3091&amp;$B$3111,FLNFIX!$CN$4:$EF$103,2,0))</f>
        <v>#N/A</v>
      </c>
      <c r="E3111" s="755" t="e">
        <f>IF($C$3111=0,NA(),VLOOKUP($I$3091&amp;$B$3111,FLNFIX!$CN$4:$EF$103,4,0))</f>
        <v>#N/A</v>
      </c>
      <c r="F3111" s="755" t="e">
        <f>IF($C$3111=0,NA(),VLOOKUP($I$3091&amp;$B$3111,FLNFIX!$CN$4:$EF$103,3,0))</f>
        <v>#N/A</v>
      </c>
      <c r="G3111" s="756" t="e">
        <f>IF($C$3111=0,NA(),VLOOKUP($I$3091&amp;$B$3111,FLNFIX!$CN$4:$EF$103,5,0))</f>
        <v>#N/A</v>
      </c>
      <c r="H3111" s="757"/>
      <c r="I3111" s="757"/>
      <c r="J3111" s="758"/>
      <c r="K3111" s="677"/>
    </row>
    <row r="3112" ht="20.1" customHeight="1" spans="1:11">
      <c r="A3112" s="675"/>
      <c r="B3112" s="755">
        <f t="shared" si="56"/>
        <v>18</v>
      </c>
      <c r="C3112" s="755">
        <f>IFERROR(VLOOKUP(B3112,DATEWISE!$A$3:$BY$27,2,0),0)</f>
        <v>0</v>
      </c>
      <c r="D3112" s="755" t="e">
        <f>IF($C$3112=0,NA(),VLOOKUP($I$3091&amp;$B$3112,FLNFIX!$CS$4:$EF$103,2,0))</f>
        <v>#N/A</v>
      </c>
      <c r="E3112" s="755" t="e">
        <f>IF($C$3112=0,NA(),VLOOKUP($I$3091&amp;$B$3112,FLNFIX!$CS$4:$EF$103,4,0))</f>
        <v>#N/A</v>
      </c>
      <c r="F3112" s="755" t="e">
        <f>IF($C$3112=0,NA(),VLOOKUP($I$3091&amp;$B$3112,FLNFIX!$CS$4:$EF$103,3,0))</f>
        <v>#N/A</v>
      </c>
      <c r="G3112" s="756" t="e">
        <f>IF($C$3112=0,NA(),VLOOKUP($I$3091&amp;$B$3112,FLNFIX!$CS$4:$EF$103,5,0))</f>
        <v>#N/A</v>
      </c>
      <c r="H3112" s="757"/>
      <c r="I3112" s="757"/>
      <c r="J3112" s="758"/>
      <c r="K3112" s="677"/>
    </row>
    <row r="3113" ht="20.1" customHeight="1" spans="1:11">
      <c r="A3113" s="675"/>
      <c r="B3113" s="755">
        <f t="shared" si="56"/>
        <v>19</v>
      </c>
      <c r="C3113" s="755">
        <f>IFERROR(VLOOKUP(B3113,DATEWISE!$A$3:$BY$27,2,0),0)</f>
        <v>0</v>
      </c>
      <c r="D3113" s="755" t="e">
        <f>IF($C$3113=0,NA(),VLOOKUP($I$3091&amp;$B$3113,FLNFIX!$CX$4:$EF$103,2,0))</f>
        <v>#N/A</v>
      </c>
      <c r="E3113" s="755" t="e">
        <f>IF($C$3113=0,NA(),VLOOKUP($I$3091&amp;$B$3113,FLNFIX!$CX$4:$EF$103,4,0))</f>
        <v>#N/A</v>
      </c>
      <c r="F3113" s="755" t="e">
        <f>IF($C$3113=0,NA(),VLOOKUP($I$3091&amp;$B$3113,FLNFIX!$CX$4:$EF$103,3,0))</f>
        <v>#N/A</v>
      </c>
      <c r="G3113" s="756" t="e">
        <f>IF($C$3113=0,NA(),VLOOKUP($I$3091&amp;$B$3113,FLNFIX!$CX$4:$EF$103,5,0))</f>
        <v>#N/A</v>
      </c>
      <c r="H3113" s="757"/>
      <c r="I3113" s="757"/>
      <c r="J3113" s="758"/>
      <c r="K3113" s="677"/>
    </row>
    <row r="3114" ht="20.1" customHeight="1" spans="1:11">
      <c r="A3114" s="675"/>
      <c r="B3114" s="755">
        <f t="shared" si="56"/>
        <v>20</v>
      </c>
      <c r="C3114" s="755">
        <f>IFERROR(VLOOKUP(B3114,DATEWISE!$A$3:$BY$27,2,0),0)</f>
        <v>0</v>
      </c>
      <c r="D3114" s="755" t="e">
        <f>IF($C$3114=0,NA(),VLOOKUP($I$3091&amp;$B$3114,FLNFIX!$DC$4:$EF$103,2,0))</f>
        <v>#N/A</v>
      </c>
      <c r="E3114" s="755" t="e">
        <f>IF($C$3114=0,NA(),VLOOKUP($I$3091&amp;$B$3114,FLNFIX!$DC$4:$EF$103,4,0))</f>
        <v>#N/A</v>
      </c>
      <c r="F3114" s="755" t="e">
        <f>IF($C$3114=0,NA(),VLOOKUP($I$3091&amp;$B$3114,FLNFIX!$DC$4:$EF$103,3,0))</f>
        <v>#N/A</v>
      </c>
      <c r="G3114" s="756" t="e">
        <f>IF($C$3114=0,NA(),VLOOKUP($I$3091&amp;$B$3114,FLNFIX!$DC$4:$EF$103,5,0))</f>
        <v>#N/A</v>
      </c>
      <c r="H3114" s="757"/>
      <c r="I3114" s="757"/>
      <c r="J3114" s="758"/>
      <c r="K3114" s="677"/>
    </row>
    <row r="3115" ht="20.1" customHeight="1" spans="1:11">
      <c r="A3115" s="675"/>
      <c r="B3115" s="755">
        <f t="shared" si="56"/>
        <v>21</v>
      </c>
      <c r="C3115" s="755">
        <f>IFERROR(VLOOKUP(B3115,DATEWISE!$A$3:$BY$27,2,0),0)</f>
        <v>0</v>
      </c>
      <c r="D3115" s="755" t="e">
        <f>IF($C$3115=0,NA(),VLOOKUP($I$3091&amp;$B$3115,FLNFIX!$DH$4:$EF$103,2,0))</f>
        <v>#N/A</v>
      </c>
      <c r="E3115" s="755" t="e">
        <f>IF($C$3115=0,NA(),VLOOKUP($I$3091&amp;$B$3115,FLNFIX!$DH$4:$EF$103,4,0))</f>
        <v>#N/A</v>
      </c>
      <c r="F3115" s="755" t="e">
        <f>IF($C$3115=0,NA(),VLOOKUP($I$3091&amp;$B$3115,FLNFIX!$DH$4:$EF$103,3,0))</f>
        <v>#N/A</v>
      </c>
      <c r="G3115" s="756" t="e">
        <f>IF($C$3115=0,NA(),VLOOKUP($I$3091&amp;$B$3115,FLNFIX!$DH$4:$EF$103,5,0))</f>
        <v>#N/A</v>
      </c>
      <c r="H3115" s="757"/>
      <c r="I3115" s="757"/>
      <c r="J3115" s="758"/>
      <c r="K3115" s="677"/>
    </row>
    <row r="3116" ht="5.1" customHeight="1" spans="1:11">
      <c r="A3116" s="675"/>
      <c r="B3116" s="759"/>
      <c r="C3116" s="759"/>
      <c r="D3116" s="760"/>
      <c r="E3116" s="760"/>
      <c r="F3116" s="760"/>
      <c r="G3116" s="761"/>
      <c r="H3116" s="761"/>
      <c r="I3116" s="761"/>
      <c r="J3116" s="761"/>
      <c r="K3116" s="677"/>
    </row>
    <row r="3117" s="667" customFormat="1" ht="24.95" customHeight="1" spans="1:11">
      <c r="A3117" s="711"/>
      <c r="B3117" s="762" t="s">
        <v>431</v>
      </c>
      <c r="C3117" s="763"/>
      <c r="D3117" s="763"/>
      <c r="E3117" s="763"/>
      <c r="F3117" s="763"/>
      <c r="G3117" s="763"/>
      <c r="H3117" s="763"/>
      <c r="I3117" s="763"/>
      <c r="J3117" s="764"/>
      <c r="K3117" s="713"/>
    </row>
    <row r="3118" spans="1:11">
      <c r="A3118" s="675"/>
      <c r="B3118" s="765"/>
      <c r="C3118" s="686"/>
      <c r="D3118" s="686"/>
      <c r="E3118" s="686"/>
      <c r="F3118" s="686"/>
      <c r="G3118" s="686"/>
      <c r="H3118" s="686"/>
      <c r="I3118" s="686"/>
      <c r="J3118" s="766"/>
      <c r="K3118" s="677"/>
    </row>
    <row r="3119" spans="1:11">
      <c r="A3119" s="675"/>
      <c r="B3119" s="765"/>
      <c r="C3119" s="686"/>
      <c r="D3119" s="686"/>
      <c r="E3119" s="686"/>
      <c r="F3119" s="686"/>
      <c r="G3119" s="686"/>
      <c r="H3119" s="686"/>
      <c r="I3119" s="686"/>
      <c r="J3119" s="766"/>
      <c r="K3119" s="677"/>
    </row>
    <row r="3120" spans="1:11">
      <c r="A3120" s="675"/>
      <c r="B3120" s="765"/>
      <c r="C3120" s="686"/>
      <c r="D3120" s="686"/>
      <c r="E3120" s="686"/>
      <c r="F3120" s="686"/>
      <c r="G3120" s="686"/>
      <c r="H3120" s="686"/>
      <c r="I3120" s="686"/>
      <c r="J3120" s="766"/>
      <c r="K3120" s="677"/>
    </row>
    <row r="3121" spans="1:11">
      <c r="A3121" s="675"/>
      <c r="B3121" s="765"/>
      <c r="C3121" s="686"/>
      <c r="D3121" s="686"/>
      <c r="E3121" s="686"/>
      <c r="F3121" s="686"/>
      <c r="G3121" s="686"/>
      <c r="H3121" s="686"/>
      <c r="I3121" s="686"/>
      <c r="J3121" s="766"/>
      <c r="K3121" s="677"/>
    </row>
    <row r="3122" spans="1:11">
      <c r="A3122" s="675"/>
      <c r="B3122" s="765"/>
      <c r="C3122" s="686"/>
      <c r="D3122" s="686"/>
      <c r="E3122" s="686"/>
      <c r="F3122" s="686"/>
      <c r="G3122" s="686"/>
      <c r="H3122" s="686"/>
      <c r="I3122" s="686"/>
      <c r="J3122" s="766"/>
      <c r="K3122" s="677"/>
    </row>
    <row r="3123" spans="1:11">
      <c r="A3123" s="675"/>
      <c r="B3123" s="765"/>
      <c r="C3123" s="686"/>
      <c r="D3123" s="686"/>
      <c r="E3123" s="686"/>
      <c r="F3123" s="686"/>
      <c r="G3123" s="686"/>
      <c r="H3123" s="686"/>
      <c r="I3123" s="686"/>
      <c r="J3123" s="766"/>
      <c r="K3123" s="677"/>
    </row>
    <row r="3124" spans="1:11">
      <c r="A3124" s="675"/>
      <c r="B3124" s="765"/>
      <c r="C3124" s="686"/>
      <c r="D3124" s="686"/>
      <c r="E3124" s="686"/>
      <c r="F3124" s="686"/>
      <c r="G3124" s="686"/>
      <c r="H3124" s="686"/>
      <c r="I3124" s="686"/>
      <c r="J3124" s="766"/>
      <c r="K3124" s="677"/>
    </row>
    <row r="3125" spans="1:11">
      <c r="A3125" s="675"/>
      <c r="B3125" s="765"/>
      <c r="C3125" s="686"/>
      <c r="D3125" s="686"/>
      <c r="E3125" s="686"/>
      <c r="F3125" s="686"/>
      <c r="G3125" s="686"/>
      <c r="H3125" s="686"/>
      <c r="I3125" s="686"/>
      <c r="J3125" s="766"/>
      <c r="K3125" s="677"/>
    </row>
    <row r="3126" spans="1:11">
      <c r="A3126" s="675"/>
      <c r="B3126" s="765"/>
      <c r="C3126" s="686"/>
      <c r="D3126" s="686"/>
      <c r="E3126" s="686"/>
      <c r="F3126" s="686"/>
      <c r="G3126" s="686"/>
      <c r="H3126" s="686"/>
      <c r="I3126" s="686"/>
      <c r="J3126" s="766"/>
      <c r="K3126" s="677"/>
    </row>
    <row r="3127" spans="1:11">
      <c r="A3127" s="675"/>
      <c r="B3127" s="767"/>
      <c r="C3127" s="768"/>
      <c r="D3127" s="768"/>
      <c r="E3127" s="768"/>
      <c r="F3127" s="768"/>
      <c r="G3127" s="768"/>
      <c r="H3127" s="768"/>
      <c r="I3127" s="768"/>
      <c r="J3127" s="769"/>
      <c r="K3127" s="677"/>
    </row>
    <row r="3128" ht="5.1" customHeight="1" spans="1:11">
      <c r="A3128" s="675"/>
      <c r="B3128" s="686"/>
      <c r="C3128" s="686"/>
      <c r="D3128" s="686"/>
      <c r="E3128" s="686"/>
      <c r="F3128" s="686"/>
      <c r="G3128" s="686"/>
      <c r="H3128" s="686"/>
      <c r="I3128" s="686"/>
      <c r="J3128" s="686"/>
      <c r="K3128" s="677"/>
    </row>
    <row r="3129" spans="1:11">
      <c r="A3129" s="675"/>
      <c r="B3129" s="770" t="s">
        <v>432</v>
      </c>
      <c r="C3129" s="770"/>
      <c r="D3129" s="770"/>
      <c r="E3129" s="770"/>
      <c r="F3129" s="770"/>
      <c r="G3129" s="770"/>
      <c r="H3129" s="770"/>
      <c r="I3129" s="770"/>
      <c r="J3129" s="770"/>
      <c r="K3129" s="677"/>
    </row>
    <row r="3130" spans="1:11">
      <c r="A3130" s="675"/>
      <c r="B3130" s="771"/>
      <c r="C3130" s="771"/>
      <c r="D3130" s="771"/>
      <c r="E3130" s="771"/>
      <c r="F3130" s="771"/>
      <c r="G3130" s="771"/>
      <c r="H3130" s="771"/>
      <c r="I3130" s="771"/>
      <c r="J3130" s="771"/>
      <c r="K3130" s="677"/>
    </row>
    <row r="3131" spans="1:11">
      <c r="A3131" s="675"/>
      <c r="B3131" s="771"/>
      <c r="C3131" s="771"/>
      <c r="D3131" s="771"/>
      <c r="E3131" s="771"/>
      <c r="F3131" s="771"/>
      <c r="G3131" s="771"/>
      <c r="H3131" s="771"/>
      <c r="I3131" s="771"/>
      <c r="J3131" s="771"/>
      <c r="K3131" s="677"/>
    </row>
    <row r="3132" spans="1:11">
      <c r="A3132" s="675"/>
      <c r="B3132" s="771"/>
      <c r="C3132" s="771"/>
      <c r="D3132" s="771"/>
      <c r="E3132" s="771"/>
      <c r="F3132" s="771"/>
      <c r="G3132" s="771"/>
      <c r="H3132" s="771"/>
      <c r="I3132" s="771"/>
      <c r="J3132" s="771"/>
      <c r="K3132" s="677"/>
    </row>
    <row r="3133" spans="1:11">
      <c r="A3133" s="675"/>
      <c r="B3133" s="686"/>
      <c r="C3133" s="686"/>
      <c r="D3133" s="686"/>
      <c r="E3133" s="686"/>
      <c r="F3133" s="686"/>
      <c r="G3133" s="686"/>
      <c r="H3133" s="686"/>
      <c r="I3133" s="686"/>
      <c r="J3133" s="686"/>
      <c r="K3133" s="677"/>
    </row>
    <row r="3134" spans="1:11">
      <c r="A3134" s="675"/>
      <c r="B3134" s="686"/>
      <c r="C3134" s="729" t="s">
        <v>433</v>
      </c>
      <c r="D3134" s="729"/>
      <c r="E3134" s="686"/>
      <c r="F3134" s="686"/>
      <c r="G3134" s="729" t="s">
        <v>434</v>
      </c>
      <c r="H3134" s="729"/>
      <c r="I3134" s="729"/>
      <c r="J3134" s="729"/>
      <c r="K3134" s="677"/>
    </row>
    <row r="3135" ht="16.35" spans="1:11">
      <c r="A3135" s="725"/>
      <c r="B3135" s="726"/>
      <c r="C3135" s="732" t="str">
        <f>"("&amp;PROPER(ENTRY!$D$19)&amp;")"</f>
        <v>(Indrajeet)</v>
      </c>
      <c r="D3135" s="732"/>
      <c r="E3135" s="726"/>
      <c r="F3135" s="726"/>
      <c r="G3135" s="732" t="str">
        <f>"("&amp;PROPER(ENTRY!$D$12)&amp;")"</f>
        <v>(Shambhu Dayal Meena)</v>
      </c>
      <c r="H3135" s="732"/>
      <c r="I3135" s="732"/>
      <c r="J3135" s="732"/>
      <c r="K3135" s="728"/>
    </row>
    <row r="3136" ht="24.6" spans="1:11">
      <c r="B3136" s="734"/>
      <c r="C3136" s="734"/>
      <c r="D3136" s="669" t="str">
        <f>ENTRY!$D$3</f>
        <v>MUNICIPAL CORPORATION OF DELHI</v>
      </c>
      <c r="E3136" s="669"/>
      <c r="F3136" s="669"/>
      <c r="G3136" s="669"/>
      <c r="H3136" s="734"/>
      <c r="I3136" s="669"/>
      <c r="J3136" s="669"/>
    </row>
    <row r="3137" ht="20.4" spans="1:11">
      <c r="B3137" s="735"/>
      <c r="C3137" s="735"/>
      <c r="D3137" s="670" t="str">
        <f>ENTRY!$D$4</f>
        <v>EDUCATION DEPARTMENT</v>
      </c>
      <c r="E3137" s="670"/>
      <c r="F3137" s="670"/>
      <c r="G3137" s="670"/>
      <c r="H3137" s="735"/>
      <c r="I3137" s="669"/>
      <c r="J3137" s="669"/>
    </row>
    <row r="3138" ht="22.8" spans="1:11">
      <c r="B3138" s="736"/>
      <c r="C3138" s="736"/>
      <c r="D3138" s="664" t="s">
        <v>417</v>
      </c>
      <c r="E3138" s="664"/>
      <c r="F3138" s="664"/>
      <c r="G3138" s="664"/>
      <c r="H3138" s="736"/>
      <c r="I3138" s="669"/>
      <c r="J3138" s="669"/>
    </row>
    <row r="3139" ht="22.8" spans="1:11">
      <c r="B3139" s="736"/>
      <c r="C3139" s="736"/>
      <c r="D3139" s="664" t="s">
        <v>418</v>
      </c>
      <c r="E3139" s="664"/>
      <c r="F3139" s="664"/>
      <c r="G3139" s="664"/>
      <c r="H3139" s="736"/>
      <c r="I3139" s="669"/>
      <c r="J3139" s="669"/>
    </row>
    <row r="3140" ht="24.95" customHeight="1" spans="1:11">
      <c r="B3140" s="735"/>
      <c r="C3140" s="735"/>
      <c r="D3140" s="737" t="str">
        <f>"SESSION : "&amp;ENTRY!$D$11</f>
        <v>SESSION : 2026-27</v>
      </c>
      <c r="E3140" s="737"/>
      <c r="F3140" s="737"/>
      <c r="G3140" s="737"/>
      <c r="H3140" s="735"/>
      <c r="I3140" s="738"/>
      <c r="J3140" s="738"/>
    </row>
    <row r="3141" ht="3.75" customHeight="1" spans="1:11">
      <c r="A3141" s="672"/>
      <c r="B3141" s="739"/>
      <c r="C3141" s="739"/>
      <c r="D3141" s="739"/>
      <c r="E3141" s="739"/>
      <c r="F3141" s="739"/>
      <c r="G3141" s="739"/>
      <c r="H3141" s="739"/>
      <c r="I3141" s="739"/>
      <c r="J3141" s="739"/>
      <c r="K3141" s="674"/>
    </row>
    <row r="3142" ht="21.95" customHeight="1" spans="1:11">
      <c r="A3142" s="675"/>
      <c r="B3142" s="676" t="s">
        <v>419</v>
      </c>
      <c r="C3142" s="676"/>
      <c r="D3142" s="676" t="str">
        <f>ENTRY!$D$6</f>
        <v>MCP NITHARI NO 1 BOYS</v>
      </c>
      <c r="E3142" s="676"/>
      <c r="F3142" s="676"/>
      <c r="G3142" s="676"/>
      <c r="H3142" s="676"/>
      <c r="I3142" s="676"/>
      <c r="J3142" s="676"/>
      <c r="K3142" s="677"/>
    </row>
    <row r="3143" ht="21.95" customHeight="1" spans="1:11">
      <c r="A3143" s="675"/>
      <c r="B3143" s="676" t="s">
        <v>420</v>
      </c>
      <c r="C3143" s="676"/>
      <c r="D3143" s="740">
        <f>IFERROR(VLOOKUP($I$3146,STUDENT!$A$2:$BP$101,5,0),"")</f>
        <v>0</v>
      </c>
      <c r="E3143" s="740"/>
      <c r="F3143" s="740"/>
      <c r="G3143" s="740"/>
      <c r="H3143" s="740"/>
      <c r="I3143" s="740"/>
      <c r="J3143" s="740"/>
      <c r="K3143" s="677"/>
    </row>
    <row r="3144" ht="21.95" customHeight="1" spans="1:11">
      <c r="A3144" s="675"/>
      <c r="B3144" s="676" t="s">
        <v>421</v>
      </c>
      <c r="C3144" s="676"/>
      <c r="D3144" s="740">
        <f>IFERROR(VLOOKUP($I$3146,STUDENT!$A$2:$BP$101,8,0),"")</f>
        <v>0</v>
      </c>
      <c r="E3144" s="740"/>
      <c r="F3144" s="740"/>
      <c r="G3144" s="740"/>
      <c r="H3144" s="740"/>
      <c r="I3144" s="740"/>
      <c r="J3144" s="740"/>
      <c r="K3144" s="677"/>
    </row>
    <row r="3145" ht="21.95" customHeight="1" spans="1:11">
      <c r="A3145" s="675"/>
      <c r="B3145" s="676" t="s">
        <v>422</v>
      </c>
      <c r="C3145" s="676"/>
      <c r="D3145" s="740">
        <f>IFERROR(VLOOKUP($I$3146,STUDENT!$A$2:$BP$101,6,0),"")</f>
        <v>0</v>
      </c>
      <c r="E3145" s="740"/>
      <c r="F3145" s="740"/>
      <c r="G3145" s="740"/>
      <c r="H3145" s="740"/>
      <c r="I3145" s="740"/>
      <c r="J3145" s="740"/>
      <c r="K3145" s="677"/>
    </row>
    <row r="3146" ht="21.95" customHeight="1" spans="1:11">
      <c r="A3146" s="675"/>
      <c r="B3146" s="676" t="s">
        <v>423</v>
      </c>
      <c r="C3146" s="676"/>
      <c r="D3146" s="741" t="str">
        <f>IFERROR(VLOOKUP($I$3146,STUDENT!$A$2:$BP$101,59,0),"")</f>
        <v/>
      </c>
      <c r="E3146" s="742" t="s">
        <v>424</v>
      </c>
      <c r="F3146" s="704" t="str">
        <f>IFERROR(VLOOKUP($I$3146,STUDENT!$A$2:$BP$101,2,0),"")</f>
        <v>III-A</v>
      </c>
      <c r="G3146" s="742" t="s">
        <v>425</v>
      </c>
      <c r="H3146" s="743"/>
      <c r="I3146" s="733">
        <f>I3091+1</f>
        <v>58</v>
      </c>
      <c r="J3146" s="683"/>
      <c r="K3146" s="677"/>
    </row>
    <row r="3147" ht="5.1" customHeight="1" spans="1:11">
      <c r="A3147" s="675"/>
      <c r="B3147" s="745"/>
      <c r="C3147" s="745"/>
      <c r="D3147" s="746"/>
      <c r="E3147" s="747"/>
      <c r="F3147" s="748"/>
      <c r="G3147" s="747"/>
      <c r="H3147" s="686"/>
      <c r="I3147" s="686"/>
      <c r="J3147" s="686"/>
      <c r="K3147" s="677"/>
    </row>
    <row r="3148" s="664" customFormat="1" ht="32.1" customHeight="1" spans="1:11">
      <c r="A3148" s="688"/>
      <c r="B3148" s="749" t="s">
        <v>426</v>
      </c>
      <c r="C3148" s="750"/>
      <c r="D3148" s="750"/>
      <c r="E3148" s="750"/>
      <c r="F3148" s="750"/>
      <c r="G3148" s="750"/>
      <c r="H3148" s="750"/>
      <c r="I3148" s="750"/>
      <c r="J3148" s="751"/>
      <c r="K3148" s="690"/>
    </row>
    <row r="3149" ht="51.6" spans="1:11">
      <c r="A3149" s="675"/>
      <c r="B3149" s="752">
        <v>21</v>
      </c>
      <c r="C3149" s="753" t="s">
        <v>427</v>
      </c>
      <c r="D3149" s="754" t="s">
        <v>428</v>
      </c>
      <c r="E3149" s="754" t="s">
        <v>429</v>
      </c>
      <c r="F3149" s="754" t="s">
        <v>430</v>
      </c>
      <c r="G3149" s="753" t="s">
        <v>390</v>
      </c>
      <c r="H3149" s="714"/>
      <c r="I3149" s="714"/>
      <c r="J3149" s="714"/>
      <c r="K3149" s="677"/>
    </row>
    <row r="3150" ht="20.1" customHeight="1" spans="1:11">
      <c r="A3150" s="675"/>
      <c r="B3150" s="755">
        <v>1</v>
      </c>
      <c r="C3150" s="755" t="str">
        <f>IFERROR(VLOOKUP(B3150,DATEWISE!$A$3:$BY$27,2,0),0)</f>
        <v>30.04.2026</v>
      </c>
      <c r="D3150" s="755">
        <f>IF($C$3150=0,NA(),VLOOKUP($I$3146&amp;$B$3150,FLNFIX!$L$4:$EF$103,2,0))</f>
        <v>0</v>
      </c>
      <c r="E3150" s="755">
        <f>IF($C$3150=0,NA(),VLOOKUP($I$3146&amp;$B$3150,FLNFIX!$L$4:$EF$103,4,0))</f>
        <v>0</v>
      </c>
      <c r="F3150" s="755">
        <f>IF($C$3150=0,NA(),VLOOKUP($I$3146&amp;$B$3150,FLNFIX!$L$4:$EF$103,3,0))</f>
        <v>0</v>
      </c>
      <c r="G3150" s="756">
        <f>IF($C$3150=0,NA(),VLOOKUP($I$3146&amp;$B$3150,FLNFIX!$L$4:$EF$103,5,0))</f>
        <v>0</v>
      </c>
      <c r="H3150" s="757"/>
      <c r="I3150" s="757"/>
      <c r="J3150" s="758"/>
      <c r="K3150" s="677"/>
    </row>
    <row r="3151" ht="20.1" customHeight="1" spans="1:11">
      <c r="A3151" s="675"/>
      <c r="B3151" s="755">
        <f t="shared" ref="B3151:B3170" si="57">IF(B3150=0,0,IF(B3150&lt;$B$3149,B3150+1,""))</f>
        <v>2</v>
      </c>
      <c r="C3151" s="755" t="str">
        <f>IFERROR(VLOOKUP(B3151,DATEWISE!$A$3:$BY$27,2,0),0)</f>
        <v>08.05.2026</v>
      </c>
      <c r="D3151" s="755">
        <f>IF($C$3151=0,NA(),VLOOKUP($I$3146&amp;$B$3151,FLNFIX!$Q$4:$EF$103,2,0))</f>
        <v>0</v>
      </c>
      <c r="E3151" s="755">
        <f>IF($C$3151=0,NA(),VLOOKUP($I$3146&amp;$B$3151,FLNFIX!$Q$4:$EF$103,4,0))</f>
        <v>0</v>
      </c>
      <c r="F3151" s="755">
        <f>IF($C$3151=0,NA(),VLOOKUP($I$3146&amp;$B$3151,FLNFIX!$Q$4:$EF$103,3,0))</f>
        <v>0</v>
      </c>
      <c r="G3151" s="756">
        <f>IF($C$3151=0,NA(),VLOOKUP($I$3146&amp;$B$3151,FLNFIX!$Q$4:$EF$103,5,0))</f>
        <v>0</v>
      </c>
      <c r="H3151" s="757"/>
      <c r="I3151" s="757"/>
      <c r="J3151" s="758"/>
      <c r="K3151" s="677"/>
    </row>
    <row r="3152" ht="20.1" customHeight="1" spans="1:11">
      <c r="A3152" s="675"/>
      <c r="B3152" s="755">
        <f t="shared" si="57"/>
        <v>3</v>
      </c>
      <c r="C3152" s="755" t="str">
        <f>IFERROR(VLOOKUP(B3152,DATEWISE!$A$3:$BY$27,2,0),0)</f>
        <v>15.07.2026</v>
      </c>
      <c r="D3152" s="755">
        <f>IF($C$3152=0,NA(),VLOOKUP($I$3146&amp;$B$3152,FLNFIX!$V$4:$EF$103,2,0))</f>
        <v>0</v>
      </c>
      <c r="E3152" s="755">
        <f>IF($C$3152=0,NA(),VLOOKUP($I$3146&amp;$B$3152,FLNFIX!$V$4:$EF$103,4,0))</f>
        <v>0</v>
      </c>
      <c r="F3152" s="755">
        <f>IF($C$3152=0,NA(),VLOOKUP($I$3146&amp;$B$3152,FLNFIX!$V$4:$EF$103,3,0))</f>
        <v>0</v>
      </c>
      <c r="G3152" s="756">
        <f>IF($C$3152=0,NA(),VLOOKUP($I$3146&amp;$B$3152,FLNFIX!$V$4:$EF$103,5,0))</f>
        <v>0</v>
      </c>
      <c r="H3152" s="757"/>
      <c r="I3152" s="757"/>
      <c r="J3152" s="758"/>
      <c r="K3152" s="677"/>
    </row>
    <row r="3153" ht="20.1" customHeight="1" spans="1:11">
      <c r="A3153" s="675"/>
      <c r="B3153" s="755">
        <f t="shared" si="57"/>
        <v>4</v>
      </c>
      <c r="C3153" s="755" t="str">
        <f>IFERROR(VLOOKUP(B3153,DATEWISE!$A$3:$BY$27,2,0),0)</f>
        <v>31.07.2026</v>
      </c>
      <c r="D3153" s="755">
        <f>IF($C$3153=0,NA(),VLOOKUP($I$3146&amp;$B$3153,FLNFIX!$AA$4:$EF$103,2,0))</f>
        <v>0</v>
      </c>
      <c r="E3153" s="755">
        <f>IF($C$3153=0,NA(),VLOOKUP($I$3146&amp;$B$3153,FLNFIX!$AA$4:$EF$103,4,0))</f>
        <v>0</v>
      </c>
      <c r="F3153" s="755">
        <f>IF($C$3153=0,NA(),VLOOKUP($I$3146&amp;$B$3153,FLNFIX!$AA$4:$EF$103,3,0))</f>
        <v>0</v>
      </c>
      <c r="G3153" s="756">
        <f>IF($C$3153=0,NA(),VLOOKUP($I$3146&amp;$B$3153,FLNFIX!$AA$4:$EF$103,5,0))</f>
        <v>0</v>
      </c>
      <c r="H3153" s="757"/>
      <c r="I3153" s="757"/>
      <c r="J3153" s="758"/>
      <c r="K3153" s="677"/>
    </row>
    <row r="3154" ht="20.1" customHeight="1" spans="1:11">
      <c r="A3154" s="675"/>
      <c r="B3154" s="755">
        <f t="shared" si="57"/>
        <v>5</v>
      </c>
      <c r="C3154" s="755" t="str">
        <f>IFERROR(VLOOKUP(B3154,DATEWISE!$A$3:$BY$27,2,0),0)</f>
        <v>17.08.2026</v>
      </c>
      <c r="D3154" s="755">
        <f>IF($C$3154=0,NA(),VLOOKUP($I$3146&amp;$B$3154,FLNFIX!$AF$4:$EF$103,2,0))</f>
        <v>0</v>
      </c>
      <c r="E3154" s="755">
        <f>IF($C$3154=0,NA(),VLOOKUP($I$3146&amp;$B$3154,FLNFIX!$AF$4:$EF$103,4,0))</f>
        <v>0</v>
      </c>
      <c r="F3154" s="755">
        <f>IF($C$3154=0,NA(),VLOOKUP($I$3146&amp;$B$3154,FLNFIX!$AF$4:$EF$103,3,0))</f>
        <v>0</v>
      </c>
      <c r="G3154" s="756">
        <f>IF($C$3154=0,NA(),VLOOKUP($I$3146&amp;$B$3154,FLNFIX!$AF$4:$EF$103,5,0))</f>
        <v>0</v>
      </c>
      <c r="H3154" s="757"/>
      <c r="I3154" s="757"/>
      <c r="J3154" s="758"/>
      <c r="K3154" s="677"/>
    </row>
    <row r="3155" ht="20.1" customHeight="1" spans="1:11">
      <c r="A3155" s="675"/>
      <c r="B3155" s="755">
        <f t="shared" si="57"/>
        <v>6</v>
      </c>
      <c r="C3155" s="755" t="str">
        <f>IFERROR(VLOOKUP(B3155,DATEWISE!$A$3:$BY$27,2,0),0)</f>
        <v>31.08.2026</v>
      </c>
      <c r="D3155" s="755">
        <f>IF($C$3155=0,NA(),VLOOKUP($I$3146&amp;$B$3155,FLNFIX!$AK$4:$EF$103,2,0))</f>
        <v>0</v>
      </c>
      <c r="E3155" s="755">
        <f>IF($C$3155=0,NA(),VLOOKUP($I$3146&amp;$B$3155,FLNFIX!$AK$4:$EF$103,4,0))</f>
        <v>0</v>
      </c>
      <c r="F3155" s="755">
        <f>IF($C$3155=0,NA(),VLOOKUP($I$3146&amp;$B$3155,FLNFIX!$AK$4:$EF$103,3,0))</f>
        <v>0</v>
      </c>
      <c r="G3155" s="756">
        <f>IF($C$3155=0,NA(),VLOOKUP($I$3146&amp;$B$3155,FLNFIX!$AK$4:$EF$103,5,0))</f>
        <v>0</v>
      </c>
      <c r="H3155" s="757"/>
      <c r="I3155" s="757"/>
      <c r="J3155" s="758"/>
      <c r="K3155" s="677"/>
    </row>
    <row r="3156" ht="20.1" customHeight="1" spans="1:11">
      <c r="A3156" s="675"/>
      <c r="B3156" s="755">
        <f t="shared" si="57"/>
        <v>7</v>
      </c>
      <c r="C3156" s="755">
        <f>IFERROR(VLOOKUP(B3156,DATEWISE!$A$3:$BY$27,2,0),0)</f>
        <v>0</v>
      </c>
      <c r="D3156" s="755" t="e">
        <f>IF($C$3156=0,NA(),VLOOKUP($I$3146&amp;$B$3156,FLNFIX!$AP$4:$EF$103,2,0))</f>
        <v>#N/A</v>
      </c>
      <c r="E3156" s="755" t="e">
        <f>IF($C$3156=0,NA(),VLOOKUP($I$3146&amp;$B$3156,FLNFIX!$AP$4:$EF$103,4,0))</f>
        <v>#N/A</v>
      </c>
      <c r="F3156" s="755" t="e">
        <f>IF($C$3156=0,NA(),VLOOKUP($I$3146&amp;$B$3156,FLNFIX!$AP$4:$EF$103,3,0))</f>
        <v>#N/A</v>
      </c>
      <c r="G3156" s="756" t="e">
        <f>IF($C$3156=0,NA(),VLOOKUP($I$3146&amp;$B$3156,FLNFIX!$AP$4:$EF$103,5,0))</f>
        <v>#N/A</v>
      </c>
      <c r="H3156" s="757"/>
      <c r="I3156" s="757"/>
      <c r="J3156" s="758"/>
      <c r="K3156" s="677"/>
    </row>
    <row r="3157" ht="20.1" customHeight="1" spans="1:11">
      <c r="A3157" s="675"/>
      <c r="B3157" s="755">
        <f t="shared" si="57"/>
        <v>8</v>
      </c>
      <c r="C3157" s="755">
        <f>IFERROR(VLOOKUP(B3157,DATEWISE!$A$3:$BY$27,2,0),0)</f>
        <v>0</v>
      </c>
      <c r="D3157" s="755" t="e">
        <f>IF($C$3157=0,NA(),VLOOKUP($I$3146&amp;$B$3157,FLNFIX!$AU$4:$EF$103,2,0))</f>
        <v>#N/A</v>
      </c>
      <c r="E3157" s="755" t="e">
        <f>IF($C$3157=0,NA(),VLOOKUP($I$3146&amp;$B$3157,FLNFIX!$AU$4:$EF$103,4,0))</f>
        <v>#N/A</v>
      </c>
      <c r="F3157" s="755" t="e">
        <f>IF($C$3157=0,NA(),VLOOKUP($I$3146&amp;$B$3157,FLNFIX!$AU$4:$EF$103,3,0))</f>
        <v>#N/A</v>
      </c>
      <c r="G3157" s="756" t="e">
        <f>IF($C$3157=0,NA(),VLOOKUP($I$3146&amp;$B$3157,FLNFIX!$AU$4:$EF$103,5,0))</f>
        <v>#N/A</v>
      </c>
      <c r="H3157" s="757"/>
      <c r="I3157" s="757"/>
      <c r="J3157" s="758"/>
      <c r="K3157" s="677"/>
    </row>
    <row r="3158" ht="20.1" customHeight="1" spans="1:11">
      <c r="A3158" s="675"/>
      <c r="B3158" s="755">
        <f t="shared" si="57"/>
        <v>9</v>
      </c>
      <c r="C3158" s="755">
        <f>IFERROR(VLOOKUP(B3158,DATEWISE!$A$3:$BY$27,2,0),0)</f>
        <v>0</v>
      </c>
      <c r="D3158" s="755" t="e">
        <f>IF($C$3158=0,NA(),VLOOKUP($I$3146&amp;$B$3158,FLNFIX!$AZ$4:$EF$103,2,0))</f>
        <v>#N/A</v>
      </c>
      <c r="E3158" s="755" t="e">
        <f>IF($C$3158=0,NA(),VLOOKUP($I$3146&amp;$B$3158,FLNFIX!$AZ$4:$EF$103,4,0))</f>
        <v>#N/A</v>
      </c>
      <c r="F3158" s="755" t="e">
        <f>IF($C$3158=0,NA(),VLOOKUP($I$3146&amp;$B$3158,FLNFIX!$AZ$4:$EF$103,3,0))</f>
        <v>#N/A</v>
      </c>
      <c r="G3158" s="756" t="e">
        <f>IF($C$3158=0,NA(),VLOOKUP($I$3146&amp;$B$3158,FLNFIX!$AZ$4:$EF$103,5,0))</f>
        <v>#N/A</v>
      </c>
      <c r="H3158" s="757"/>
      <c r="I3158" s="757"/>
      <c r="J3158" s="758"/>
      <c r="K3158" s="677"/>
    </row>
    <row r="3159" ht="20.1" customHeight="1" spans="1:11">
      <c r="A3159" s="675"/>
      <c r="B3159" s="755">
        <f t="shared" si="57"/>
        <v>10</v>
      </c>
      <c r="C3159" s="755">
        <f>IFERROR(VLOOKUP(B3159,DATEWISE!$A$3:$BY$27,2,0),0)</f>
        <v>0</v>
      </c>
      <c r="D3159" s="755" t="e">
        <f>IF($C$3159=0,NA(),VLOOKUP($I$3146&amp;$B$3159,FLNFIX!$BE$4:$EF$103,2,0))</f>
        <v>#N/A</v>
      </c>
      <c r="E3159" s="755" t="e">
        <f>IF($C$3159=0,NA(),VLOOKUP($I$3146&amp;$B$3159,FLNFIX!$BE$4:$EF$103,4,0))</f>
        <v>#N/A</v>
      </c>
      <c r="F3159" s="755" t="e">
        <f>IF($C$3159=0,NA(),VLOOKUP($I$3146&amp;$B$3159,FLNFIX!$BE$4:$EF$103,3,0))</f>
        <v>#N/A</v>
      </c>
      <c r="G3159" s="756" t="e">
        <f>IF($C$3159=0,NA(),VLOOKUP($I$3146&amp;$B$3159,FLNFIX!$BE$4:$EF$103,5,0))</f>
        <v>#N/A</v>
      </c>
      <c r="H3159" s="757"/>
      <c r="I3159" s="757"/>
      <c r="J3159" s="758"/>
      <c r="K3159" s="677"/>
    </row>
    <row r="3160" ht="20.1" customHeight="1" spans="1:11">
      <c r="A3160" s="675"/>
      <c r="B3160" s="755">
        <f t="shared" si="57"/>
        <v>11</v>
      </c>
      <c r="C3160" s="755">
        <f>IFERROR(VLOOKUP(B3160,DATEWISE!$A$3:$BY$27,2,0),0)</f>
        <v>0</v>
      </c>
      <c r="D3160" s="755" t="e">
        <f>IF($C$3160=0,NA(),VLOOKUP($I$3146&amp;$B$3160,FLNFIX!$BJ$4:$EF$103,2,0))</f>
        <v>#N/A</v>
      </c>
      <c r="E3160" s="755" t="e">
        <f>IF($C$3160=0,NA(),VLOOKUP($I$3146&amp;$B$3160,FLNFIX!$BJ$4:$EF$103,4,0))</f>
        <v>#N/A</v>
      </c>
      <c r="F3160" s="755" t="e">
        <f>IF($C$3160=0,NA(),VLOOKUP($I$3146&amp;$B$3160,FLNFIX!$BJ$4:$EF$103,3,0))</f>
        <v>#N/A</v>
      </c>
      <c r="G3160" s="756" t="e">
        <f>IF($C$3160=0,NA(),VLOOKUP($I$3146&amp;$B$3160,FLNFIX!$BJ$4:$EF$103,5,0))</f>
        <v>#N/A</v>
      </c>
      <c r="H3160" s="757"/>
      <c r="I3160" s="757"/>
      <c r="J3160" s="758"/>
      <c r="K3160" s="677"/>
    </row>
    <row r="3161" ht="20.1" customHeight="1" spans="1:11">
      <c r="A3161" s="675"/>
      <c r="B3161" s="755">
        <f t="shared" si="57"/>
        <v>12</v>
      </c>
      <c r="C3161" s="755">
        <f>IFERROR(VLOOKUP(B3161,DATEWISE!$A$3:$BY$27,2,0),0)</f>
        <v>0</v>
      </c>
      <c r="D3161" s="755" t="e">
        <f>IF($C$3161=0,NA(),VLOOKUP($I$3146&amp;$B$3161,FLNFIX!$BO$4:$EF$103,2,0))</f>
        <v>#N/A</v>
      </c>
      <c r="E3161" s="755" t="e">
        <f>IF($C$3161=0,NA(),VLOOKUP($I$3146&amp;$B$3161,FLNFIX!$BO$4:$EF$103,4,0))</f>
        <v>#N/A</v>
      </c>
      <c r="F3161" s="755" t="e">
        <f>IF($C$3161=0,NA(),VLOOKUP($I$3146&amp;$B$3161,FLNFIX!$BO$4:$EF$103,3,0))</f>
        <v>#N/A</v>
      </c>
      <c r="G3161" s="756" t="e">
        <f>IF($C$3161=0,NA(),VLOOKUP($I$3146&amp;$B$3161,FLNFIX!$BO$4:$EF$103,5,0))</f>
        <v>#N/A</v>
      </c>
      <c r="H3161" s="757"/>
      <c r="I3161" s="757"/>
      <c r="J3161" s="758"/>
      <c r="K3161" s="677"/>
    </row>
    <row r="3162" ht="20.1" customHeight="1" spans="1:11">
      <c r="A3162" s="675"/>
      <c r="B3162" s="755">
        <f t="shared" si="57"/>
        <v>13</v>
      </c>
      <c r="C3162" s="755">
        <f>IFERROR(VLOOKUP(B3162,DATEWISE!$A$3:$BY$27,2,0),0)</f>
        <v>0</v>
      </c>
      <c r="D3162" s="755" t="e">
        <f>IF($C$3162=0,NA(),VLOOKUP($I$3146&amp;$B$3162,FLNFIX!$BT$4:$EF$103,2,0))</f>
        <v>#N/A</v>
      </c>
      <c r="E3162" s="755" t="e">
        <f>IF($C$3162=0,NA(),VLOOKUP($I$3146&amp;$B$3162,FLNFIX!$BT$4:$EF$103,4,0))</f>
        <v>#N/A</v>
      </c>
      <c r="F3162" s="755" t="e">
        <f>IF($C$3162=0,NA(),VLOOKUP($I$3146&amp;$B$3162,FLNFIX!$BT$4:$EF$103,3,0))</f>
        <v>#N/A</v>
      </c>
      <c r="G3162" s="756" t="e">
        <f>IF($C$3162=0,NA(),VLOOKUP($I$3146&amp;$B$3162,FLNFIX!$BT$4:$EF$103,5,0))</f>
        <v>#N/A</v>
      </c>
      <c r="H3162" s="757"/>
      <c r="I3162" s="757"/>
      <c r="J3162" s="758"/>
      <c r="K3162" s="677"/>
    </row>
    <row r="3163" ht="20.1" customHeight="1" spans="1:11">
      <c r="A3163" s="675"/>
      <c r="B3163" s="755">
        <f t="shared" si="57"/>
        <v>14</v>
      </c>
      <c r="C3163" s="755">
        <f>IFERROR(VLOOKUP(B3163,DATEWISE!$A$3:$BY$27,2,0),0)</f>
        <v>0</v>
      </c>
      <c r="D3163" s="755" t="e">
        <f>IF($C$3163=0,NA(),VLOOKUP($I$3146&amp;$B$3163,FLNFIX!$BY$4:$EF$103,2,0))</f>
        <v>#N/A</v>
      </c>
      <c r="E3163" s="755" t="e">
        <f>IF($C$3163=0,NA(),VLOOKUP($I$3146&amp;$B$3163,FLNFIX!$BY$4:$EF$103,4,0))</f>
        <v>#N/A</v>
      </c>
      <c r="F3163" s="755" t="e">
        <f>IF($C$3163=0,NA(),VLOOKUP($I$3146&amp;$B$3163,FLNFIX!$BY$4:$EF$103,3,0))</f>
        <v>#N/A</v>
      </c>
      <c r="G3163" s="756" t="e">
        <f>IF($C$3163=0,NA(),VLOOKUP($I$3146&amp;$B$3163,FLNFIX!$BY$4:$EF$103,5,0))</f>
        <v>#N/A</v>
      </c>
      <c r="H3163" s="757"/>
      <c r="I3163" s="757"/>
      <c r="J3163" s="758"/>
      <c r="K3163" s="677"/>
    </row>
    <row r="3164" ht="20.1" customHeight="1" spans="1:11">
      <c r="A3164" s="675"/>
      <c r="B3164" s="755">
        <f t="shared" si="57"/>
        <v>15</v>
      </c>
      <c r="C3164" s="755">
        <f>IFERROR(VLOOKUP(B3164,DATEWISE!$A$3:$BY$27,2,0),0)</f>
        <v>0</v>
      </c>
      <c r="D3164" s="755" t="e">
        <f>IF($C$3164=0,NA(),VLOOKUP($I$3146&amp;$B$3164,FLNFIX!$CD$4:$EF$103,2,0))</f>
        <v>#N/A</v>
      </c>
      <c r="E3164" s="755" t="e">
        <f>IF($C$3164=0,NA(),VLOOKUP($I$3146&amp;$B$3164,FLNFIX!$CD$4:$EF$103,4,0))</f>
        <v>#N/A</v>
      </c>
      <c r="F3164" s="755" t="e">
        <f>IF($C$3164=0,NA(),VLOOKUP($I$3146&amp;$B$3164,FLNFIX!$CD$4:$EF$103,3,0))</f>
        <v>#N/A</v>
      </c>
      <c r="G3164" s="756" t="e">
        <f>IF($C$3164=0,NA(),VLOOKUP($I$3146&amp;$B$3164,FLNFIX!$CD$4:$EF$103,5,0))</f>
        <v>#N/A</v>
      </c>
      <c r="H3164" s="757"/>
      <c r="I3164" s="757"/>
      <c r="J3164" s="758"/>
      <c r="K3164" s="677"/>
    </row>
    <row r="3165" ht="20.1" customHeight="1" spans="1:11">
      <c r="A3165" s="675"/>
      <c r="B3165" s="755">
        <f t="shared" si="57"/>
        <v>16</v>
      </c>
      <c r="C3165" s="755">
        <f>IFERROR(VLOOKUP(B3165,DATEWISE!$A$3:$BY$27,2,0),0)</f>
        <v>0</v>
      </c>
      <c r="D3165" s="755" t="e">
        <f>IF($C$3165=0,NA(),VLOOKUP($I$3146&amp;$B$3165,FLNFIX!$CI$4:$EF$103,2,0))</f>
        <v>#N/A</v>
      </c>
      <c r="E3165" s="755" t="e">
        <f>IF($C$3165=0,NA(),VLOOKUP($I$3146&amp;$B$3165,FLNFIX!$CI$4:$EF$103,4,0))</f>
        <v>#N/A</v>
      </c>
      <c r="F3165" s="755" t="e">
        <f>IF($C$3165=0,NA(),VLOOKUP($I$3146&amp;$B$3165,FLNFIX!$CI$4:$EF$103,3,0))</f>
        <v>#N/A</v>
      </c>
      <c r="G3165" s="756" t="e">
        <f>IF($C$3165=0,NA(),VLOOKUP($I$3146&amp;$B$3165,FLNFIX!$CI$4:$EF$103,5,0))</f>
        <v>#N/A</v>
      </c>
      <c r="H3165" s="757"/>
      <c r="I3165" s="757"/>
      <c r="J3165" s="758"/>
      <c r="K3165" s="677"/>
    </row>
    <row r="3166" ht="20.1" customHeight="1" spans="1:11">
      <c r="A3166" s="675"/>
      <c r="B3166" s="755">
        <f t="shared" si="57"/>
        <v>17</v>
      </c>
      <c r="C3166" s="755">
        <f>IFERROR(VLOOKUP(B3166,DATEWISE!$A$3:$BY$27,2,0),0)</f>
        <v>0</v>
      </c>
      <c r="D3166" s="755" t="e">
        <f>IF($C$3166=0,NA(),VLOOKUP($I$3146&amp;$B$3166,FLNFIX!$CN$4:$EF$103,2,0))</f>
        <v>#N/A</v>
      </c>
      <c r="E3166" s="755" t="e">
        <f>IF($C$3166=0,NA(),VLOOKUP($I$3146&amp;$B$3166,FLNFIX!$CN$4:$EF$103,4,0))</f>
        <v>#N/A</v>
      </c>
      <c r="F3166" s="755" t="e">
        <f>IF($C$3166=0,NA(),VLOOKUP($I$3146&amp;$B$3166,FLNFIX!$CN$4:$EF$103,3,0))</f>
        <v>#N/A</v>
      </c>
      <c r="G3166" s="756" t="e">
        <f>IF($C$3166=0,NA(),VLOOKUP($I$3146&amp;$B$3166,FLNFIX!$CN$4:$EF$103,5,0))</f>
        <v>#N/A</v>
      </c>
      <c r="H3166" s="757"/>
      <c r="I3166" s="757"/>
      <c r="J3166" s="758"/>
      <c r="K3166" s="677"/>
    </row>
    <row r="3167" ht="20.1" customHeight="1" spans="1:11">
      <c r="A3167" s="675"/>
      <c r="B3167" s="755">
        <f t="shared" si="57"/>
        <v>18</v>
      </c>
      <c r="C3167" s="755">
        <f>IFERROR(VLOOKUP(B3167,DATEWISE!$A$3:$BY$27,2,0),0)</f>
        <v>0</v>
      </c>
      <c r="D3167" s="755" t="e">
        <f>IF($C$3167=0,NA(),VLOOKUP($I$3146&amp;$B$3167,FLNFIX!$CS$4:$EF$103,2,0))</f>
        <v>#N/A</v>
      </c>
      <c r="E3167" s="755" t="e">
        <f>IF($C$3167=0,NA(),VLOOKUP($I$3146&amp;$B$3167,FLNFIX!$CS$4:$EF$103,4,0))</f>
        <v>#N/A</v>
      </c>
      <c r="F3167" s="755" t="e">
        <f>IF($C$3167=0,NA(),VLOOKUP($I$3146&amp;$B$3167,FLNFIX!$CS$4:$EF$103,3,0))</f>
        <v>#N/A</v>
      </c>
      <c r="G3167" s="756" t="e">
        <f>IF($C$3167=0,NA(),VLOOKUP($I$3146&amp;$B$3167,FLNFIX!$CS$4:$EF$103,5,0))</f>
        <v>#N/A</v>
      </c>
      <c r="H3167" s="757"/>
      <c r="I3167" s="757"/>
      <c r="J3167" s="758"/>
      <c r="K3167" s="677"/>
    </row>
    <row r="3168" ht="20.1" customHeight="1" spans="1:11">
      <c r="A3168" s="675"/>
      <c r="B3168" s="755">
        <f t="shared" si="57"/>
        <v>19</v>
      </c>
      <c r="C3168" s="755">
        <f>IFERROR(VLOOKUP(B3168,DATEWISE!$A$3:$BY$27,2,0),0)</f>
        <v>0</v>
      </c>
      <c r="D3168" s="755" t="e">
        <f>IF($C$3168=0,NA(),VLOOKUP($I$3146&amp;$B$3168,FLNFIX!$CX$4:$EF$103,2,0))</f>
        <v>#N/A</v>
      </c>
      <c r="E3168" s="755" t="e">
        <f>IF($C$3168=0,NA(),VLOOKUP($I$3146&amp;$B$3168,FLNFIX!$CX$4:$EF$103,4,0))</f>
        <v>#N/A</v>
      </c>
      <c r="F3168" s="755" t="e">
        <f>IF($C$3168=0,NA(),VLOOKUP($I$3146&amp;$B$3168,FLNFIX!$CX$4:$EF$103,3,0))</f>
        <v>#N/A</v>
      </c>
      <c r="G3168" s="756" t="e">
        <f>IF($C$3168=0,NA(),VLOOKUP($I$3146&amp;$B$3168,FLNFIX!$CX$4:$EF$103,5,0))</f>
        <v>#N/A</v>
      </c>
      <c r="H3168" s="757"/>
      <c r="I3168" s="757"/>
      <c r="J3168" s="758"/>
      <c r="K3168" s="677"/>
    </row>
    <row r="3169" ht="20.1" customHeight="1" spans="1:11">
      <c r="A3169" s="675"/>
      <c r="B3169" s="755">
        <f t="shared" si="57"/>
        <v>20</v>
      </c>
      <c r="C3169" s="755">
        <f>IFERROR(VLOOKUP(B3169,DATEWISE!$A$3:$BY$27,2,0),0)</f>
        <v>0</v>
      </c>
      <c r="D3169" s="755" t="e">
        <f>IF($C$3169=0,NA(),VLOOKUP($I$3146&amp;$B$3169,FLNFIX!$DC$4:$EF$103,2,0))</f>
        <v>#N/A</v>
      </c>
      <c r="E3169" s="755" t="e">
        <f>IF($C$3169=0,NA(),VLOOKUP($I$3146&amp;$B$3169,FLNFIX!$DC$4:$EF$103,4,0))</f>
        <v>#N/A</v>
      </c>
      <c r="F3169" s="755" t="e">
        <f>IF($C$3169=0,NA(),VLOOKUP($I$3146&amp;$B$3169,FLNFIX!$DC$4:$EF$103,3,0))</f>
        <v>#N/A</v>
      </c>
      <c r="G3169" s="756" t="e">
        <f>IF($C$3169=0,NA(),VLOOKUP($I$3146&amp;$B$3169,FLNFIX!$DC$4:$EF$103,5,0))</f>
        <v>#N/A</v>
      </c>
      <c r="H3169" s="757"/>
      <c r="I3169" s="757"/>
      <c r="J3169" s="758"/>
      <c r="K3169" s="677"/>
    </row>
    <row r="3170" ht="20.1" customHeight="1" spans="1:11">
      <c r="A3170" s="675"/>
      <c r="B3170" s="755">
        <f t="shared" si="57"/>
        <v>21</v>
      </c>
      <c r="C3170" s="755">
        <f>IFERROR(VLOOKUP(B3170,DATEWISE!$A$3:$BY$27,2,0),0)</f>
        <v>0</v>
      </c>
      <c r="D3170" s="755" t="e">
        <f>IF($C$3170=0,NA(),VLOOKUP($I$3146&amp;$B$3170,FLNFIX!$DH$4:$EF$103,2,0))</f>
        <v>#N/A</v>
      </c>
      <c r="E3170" s="755" t="e">
        <f>IF($C$3170=0,NA(),VLOOKUP($I$3146&amp;$B$3170,FLNFIX!$DH$4:$EF$103,4,0))</f>
        <v>#N/A</v>
      </c>
      <c r="F3170" s="755" t="e">
        <f>IF($C$3170=0,NA(),VLOOKUP($I$3146&amp;$B$3170,FLNFIX!$DH$4:$EF$103,3,0))</f>
        <v>#N/A</v>
      </c>
      <c r="G3170" s="756" t="e">
        <f>IF($C$3170=0,NA(),VLOOKUP($I$3146&amp;$B$3170,FLNFIX!$DH$4:$EF$103,5,0))</f>
        <v>#N/A</v>
      </c>
      <c r="H3170" s="757"/>
      <c r="I3170" s="757"/>
      <c r="J3170" s="758"/>
      <c r="K3170" s="677"/>
    </row>
    <row r="3171" ht="5.1" customHeight="1" spans="1:11">
      <c r="A3171" s="675"/>
      <c r="B3171" s="759"/>
      <c r="C3171" s="759"/>
      <c r="D3171" s="760"/>
      <c r="E3171" s="760"/>
      <c r="F3171" s="760"/>
      <c r="G3171" s="761"/>
      <c r="H3171" s="761"/>
      <c r="I3171" s="761"/>
      <c r="J3171" s="761"/>
      <c r="K3171" s="677"/>
    </row>
    <row r="3172" s="667" customFormat="1" ht="24.95" customHeight="1" spans="1:11">
      <c r="A3172" s="711"/>
      <c r="B3172" s="762" t="s">
        <v>431</v>
      </c>
      <c r="C3172" s="763"/>
      <c r="D3172" s="763"/>
      <c r="E3172" s="763"/>
      <c r="F3172" s="763"/>
      <c r="G3172" s="763"/>
      <c r="H3172" s="763"/>
      <c r="I3172" s="763"/>
      <c r="J3172" s="764"/>
      <c r="K3172" s="713"/>
    </row>
    <row r="3173" spans="1:11">
      <c r="A3173" s="675"/>
      <c r="B3173" s="765"/>
      <c r="C3173" s="686"/>
      <c r="D3173" s="686"/>
      <c r="E3173" s="686"/>
      <c r="F3173" s="686"/>
      <c r="G3173" s="686"/>
      <c r="H3173" s="686"/>
      <c r="I3173" s="686"/>
      <c r="J3173" s="766"/>
      <c r="K3173" s="677"/>
    </row>
    <row r="3174" spans="1:11">
      <c r="A3174" s="675"/>
      <c r="B3174" s="765"/>
      <c r="C3174" s="686"/>
      <c r="D3174" s="686"/>
      <c r="E3174" s="686"/>
      <c r="F3174" s="686"/>
      <c r="G3174" s="686"/>
      <c r="H3174" s="686"/>
      <c r="I3174" s="686"/>
      <c r="J3174" s="766"/>
      <c r="K3174" s="677"/>
    </row>
    <row r="3175" spans="1:11">
      <c r="A3175" s="675"/>
      <c r="B3175" s="765"/>
      <c r="C3175" s="686"/>
      <c r="D3175" s="686"/>
      <c r="E3175" s="686"/>
      <c r="F3175" s="686"/>
      <c r="G3175" s="686"/>
      <c r="H3175" s="686"/>
      <c r="I3175" s="686"/>
      <c r="J3175" s="766"/>
      <c r="K3175" s="677"/>
    </row>
    <row r="3176" spans="1:11">
      <c r="A3176" s="675"/>
      <c r="B3176" s="765"/>
      <c r="C3176" s="686"/>
      <c r="D3176" s="686"/>
      <c r="E3176" s="686"/>
      <c r="F3176" s="686"/>
      <c r="G3176" s="686"/>
      <c r="H3176" s="686"/>
      <c r="I3176" s="686"/>
      <c r="J3176" s="766"/>
      <c r="K3176" s="677"/>
    </row>
    <row r="3177" spans="1:11">
      <c r="A3177" s="675"/>
      <c r="B3177" s="765"/>
      <c r="C3177" s="686"/>
      <c r="D3177" s="686"/>
      <c r="E3177" s="686"/>
      <c r="F3177" s="686"/>
      <c r="G3177" s="686"/>
      <c r="H3177" s="686"/>
      <c r="I3177" s="686"/>
      <c r="J3177" s="766"/>
      <c r="K3177" s="677"/>
    </row>
    <row r="3178" spans="1:11">
      <c r="A3178" s="675"/>
      <c r="B3178" s="765"/>
      <c r="C3178" s="686"/>
      <c r="D3178" s="686"/>
      <c r="E3178" s="686"/>
      <c r="F3178" s="686"/>
      <c r="G3178" s="686"/>
      <c r="H3178" s="686"/>
      <c r="I3178" s="686"/>
      <c r="J3178" s="766"/>
      <c r="K3178" s="677"/>
    </row>
    <row r="3179" spans="1:11">
      <c r="A3179" s="675"/>
      <c r="B3179" s="765"/>
      <c r="C3179" s="686"/>
      <c r="D3179" s="686"/>
      <c r="E3179" s="686"/>
      <c r="F3179" s="686"/>
      <c r="G3179" s="686"/>
      <c r="H3179" s="686"/>
      <c r="I3179" s="686"/>
      <c r="J3179" s="766"/>
      <c r="K3179" s="677"/>
    </row>
    <row r="3180" spans="1:11">
      <c r="A3180" s="675"/>
      <c r="B3180" s="765"/>
      <c r="C3180" s="686"/>
      <c r="D3180" s="686"/>
      <c r="E3180" s="686"/>
      <c r="F3180" s="686"/>
      <c r="G3180" s="686"/>
      <c r="H3180" s="686"/>
      <c r="I3180" s="686"/>
      <c r="J3180" s="766"/>
      <c r="K3180" s="677"/>
    </row>
    <row r="3181" spans="1:11">
      <c r="A3181" s="675"/>
      <c r="B3181" s="765"/>
      <c r="C3181" s="686"/>
      <c r="D3181" s="686"/>
      <c r="E3181" s="686"/>
      <c r="F3181" s="686"/>
      <c r="G3181" s="686"/>
      <c r="H3181" s="686"/>
      <c r="I3181" s="686"/>
      <c r="J3181" s="766"/>
      <c r="K3181" s="677"/>
    </row>
    <row r="3182" spans="1:11">
      <c r="A3182" s="675"/>
      <c r="B3182" s="767"/>
      <c r="C3182" s="768"/>
      <c r="D3182" s="768"/>
      <c r="E3182" s="768"/>
      <c r="F3182" s="768"/>
      <c r="G3182" s="768"/>
      <c r="H3182" s="768"/>
      <c r="I3182" s="768"/>
      <c r="J3182" s="769"/>
      <c r="K3182" s="677"/>
    </row>
    <row r="3183" ht="5.1" customHeight="1" spans="1:11">
      <c r="A3183" s="675"/>
      <c r="B3183" s="686"/>
      <c r="C3183" s="686"/>
      <c r="D3183" s="686"/>
      <c r="E3183" s="686"/>
      <c r="F3183" s="686"/>
      <c r="G3183" s="686"/>
      <c r="H3183" s="686"/>
      <c r="I3183" s="686"/>
      <c r="J3183" s="686"/>
      <c r="K3183" s="677"/>
    </row>
    <row r="3184" spans="1:11">
      <c r="A3184" s="675"/>
      <c r="B3184" s="770" t="s">
        <v>432</v>
      </c>
      <c r="C3184" s="770"/>
      <c r="D3184" s="770"/>
      <c r="E3184" s="770"/>
      <c r="F3184" s="770"/>
      <c r="G3184" s="770"/>
      <c r="H3184" s="770"/>
      <c r="I3184" s="770"/>
      <c r="J3184" s="770"/>
      <c r="K3184" s="677"/>
    </row>
    <row r="3185" spans="1:11">
      <c r="A3185" s="675"/>
      <c r="B3185" s="771"/>
      <c r="C3185" s="771"/>
      <c r="D3185" s="771"/>
      <c r="E3185" s="771"/>
      <c r="F3185" s="771"/>
      <c r="G3185" s="771"/>
      <c r="H3185" s="771"/>
      <c r="I3185" s="771"/>
      <c r="J3185" s="771"/>
      <c r="K3185" s="677"/>
    </row>
    <row r="3186" spans="1:11">
      <c r="A3186" s="675"/>
      <c r="B3186" s="771"/>
      <c r="C3186" s="771"/>
      <c r="D3186" s="771"/>
      <c r="E3186" s="771"/>
      <c r="F3186" s="771"/>
      <c r="G3186" s="771"/>
      <c r="H3186" s="771"/>
      <c r="I3186" s="771"/>
      <c r="J3186" s="771"/>
      <c r="K3186" s="677"/>
    </row>
    <row r="3187" spans="1:11">
      <c r="A3187" s="675"/>
      <c r="B3187" s="771"/>
      <c r="C3187" s="771"/>
      <c r="D3187" s="771"/>
      <c r="E3187" s="771"/>
      <c r="F3187" s="771"/>
      <c r="G3187" s="771"/>
      <c r="H3187" s="771"/>
      <c r="I3187" s="771"/>
      <c r="J3187" s="771"/>
      <c r="K3187" s="677"/>
    </row>
    <row r="3188" spans="1:11">
      <c r="A3188" s="675"/>
      <c r="B3188" s="686"/>
      <c r="C3188" s="686"/>
      <c r="D3188" s="686"/>
      <c r="E3188" s="686"/>
      <c r="F3188" s="686"/>
      <c r="G3188" s="686"/>
      <c r="H3188" s="686"/>
      <c r="I3188" s="686"/>
      <c r="J3188" s="686"/>
      <c r="K3188" s="677"/>
    </row>
    <row r="3189" spans="1:11">
      <c r="A3189" s="675"/>
      <c r="B3189" s="686"/>
      <c r="C3189" s="729" t="s">
        <v>433</v>
      </c>
      <c r="D3189" s="729"/>
      <c r="E3189" s="686"/>
      <c r="F3189" s="686"/>
      <c r="G3189" s="729" t="s">
        <v>434</v>
      </c>
      <c r="H3189" s="729"/>
      <c r="I3189" s="729"/>
      <c r="J3189" s="729"/>
      <c r="K3189" s="677"/>
    </row>
    <row r="3190" ht="16.35" spans="1:11">
      <c r="A3190" s="725"/>
      <c r="B3190" s="726"/>
      <c r="C3190" s="732" t="str">
        <f>"("&amp;PROPER(ENTRY!$D$19)&amp;")"</f>
        <v>(Indrajeet)</v>
      </c>
      <c r="D3190" s="732"/>
      <c r="E3190" s="726"/>
      <c r="F3190" s="726"/>
      <c r="G3190" s="732" t="str">
        <f>"("&amp;PROPER(ENTRY!$D$12)&amp;")"</f>
        <v>(Shambhu Dayal Meena)</v>
      </c>
      <c r="H3190" s="732"/>
      <c r="I3190" s="732"/>
      <c r="J3190" s="732"/>
      <c r="K3190" s="728"/>
    </row>
    <row r="3191" ht="24.6" spans="1:11">
      <c r="B3191" s="734"/>
      <c r="C3191" s="734"/>
      <c r="D3191" s="669" t="str">
        <f>ENTRY!$D$3</f>
        <v>MUNICIPAL CORPORATION OF DELHI</v>
      </c>
      <c r="E3191" s="669"/>
      <c r="F3191" s="669"/>
      <c r="G3191" s="669"/>
      <c r="H3191" s="734"/>
      <c r="I3191" s="669"/>
      <c r="J3191" s="669"/>
    </row>
    <row r="3192" ht="20.4" spans="1:11">
      <c r="B3192" s="735"/>
      <c r="C3192" s="735"/>
      <c r="D3192" s="670" t="str">
        <f>ENTRY!$D$4</f>
        <v>EDUCATION DEPARTMENT</v>
      </c>
      <c r="E3192" s="670"/>
      <c r="F3192" s="670"/>
      <c r="G3192" s="670"/>
      <c r="H3192" s="735"/>
      <c r="I3192" s="669"/>
      <c r="J3192" s="669"/>
    </row>
    <row r="3193" ht="22.8" spans="1:11">
      <c r="B3193" s="736"/>
      <c r="C3193" s="736"/>
      <c r="D3193" s="664" t="s">
        <v>417</v>
      </c>
      <c r="E3193" s="664"/>
      <c r="F3193" s="664"/>
      <c r="G3193" s="664"/>
      <c r="H3193" s="736"/>
      <c r="I3193" s="669"/>
      <c r="J3193" s="669"/>
    </row>
    <row r="3194" ht="22.8" spans="1:11">
      <c r="B3194" s="736"/>
      <c r="C3194" s="736"/>
      <c r="D3194" s="664" t="s">
        <v>418</v>
      </c>
      <c r="E3194" s="664"/>
      <c r="F3194" s="664"/>
      <c r="G3194" s="664"/>
      <c r="H3194" s="736"/>
      <c r="I3194" s="669"/>
      <c r="J3194" s="669"/>
    </row>
    <row r="3195" ht="24.95" customHeight="1" spans="1:11">
      <c r="B3195" s="735"/>
      <c r="C3195" s="735"/>
      <c r="D3195" s="737" t="str">
        <f>"SESSION : "&amp;ENTRY!$D$11</f>
        <v>SESSION : 2026-27</v>
      </c>
      <c r="E3195" s="737"/>
      <c r="F3195" s="737"/>
      <c r="G3195" s="737"/>
      <c r="H3195" s="735"/>
      <c r="I3195" s="738"/>
      <c r="J3195" s="738"/>
    </row>
    <row r="3196" ht="3.75" customHeight="1" spans="1:11">
      <c r="A3196" s="672"/>
      <c r="B3196" s="739"/>
      <c r="C3196" s="739"/>
      <c r="D3196" s="739"/>
      <c r="E3196" s="739"/>
      <c r="F3196" s="739"/>
      <c r="G3196" s="739"/>
      <c r="H3196" s="739"/>
      <c r="I3196" s="739"/>
      <c r="J3196" s="739"/>
      <c r="K3196" s="674"/>
    </row>
    <row r="3197" ht="21.95" customHeight="1" spans="1:11">
      <c r="A3197" s="675"/>
      <c r="B3197" s="676" t="s">
        <v>419</v>
      </c>
      <c r="C3197" s="676"/>
      <c r="D3197" s="676" t="str">
        <f>ENTRY!$D$6</f>
        <v>MCP NITHARI NO 1 BOYS</v>
      </c>
      <c r="E3197" s="676"/>
      <c r="F3197" s="676"/>
      <c r="G3197" s="676"/>
      <c r="H3197" s="676"/>
      <c r="I3197" s="676"/>
      <c r="J3197" s="676"/>
      <c r="K3197" s="677"/>
    </row>
    <row r="3198" ht="21.95" customHeight="1" spans="1:11">
      <c r="A3198" s="675"/>
      <c r="B3198" s="676" t="s">
        <v>420</v>
      </c>
      <c r="C3198" s="676"/>
      <c r="D3198" s="740">
        <f>IFERROR(VLOOKUP($I$3201,STUDENT!$A$2:$BP$101,5,0),"")</f>
        <v>0</v>
      </c>
      <c r="E3198" s="740"/>
      <c r="F3198" s="740"/>
      <c r="G3198" s="740"/>
      <c r="H3198" s="740"/>
      <c r="I3198" s="740"/>
      <c r="J3198" s="740"/>
      <c r="K3198" s="677"/>
    </row>
    <row r="3199" ht="21.95" customHeight="1" spans="1:11">
      <c r="A3199" s="675"/>
      <c r="B3199" s="676" t="s">
        <v>421</v>
      </c>
      <c r="C3199" s="676"/>
      <c r="D3199" s="740">
        <f>IFERROR(VLOOKUP($I$3201,STUDENT!$A$2:$BP$101,8,0),"")</f>
        <v>0</v>
      </c>
      <c r="E3199" s="740"/>
      <c r="F3199" s="740"/>
      <c r="G3199" s="740"/>
      <c r="H3199" s="740"/>
      <c r="I3199" s="740"/>
      <c r="J3199" s="740"/>
      <c r="K3199" s="677"/>
    </row>
    <row r="3200" ht="21.95" customHeight="1" spans="1:11">
      <c r="A3200" s="675"/>
      <c r="B3200" s="676" t="s">
        <v>422</v>
      </c>
      <c r="C3200" s="676"/>
      <c r="D3200" s="740">
        <f>IFERROR(VLOOKUP($I$3201,STUDENT!$A$2:$BP$101,6,0),"")</f>
        <v>0</v>
      </c>
      <c r="E3200" s="740"/>
      <c r="F3200" s="740"/>
      <c r="G3200" s="740"/>
      <c r="H3200" s="740"/>
      <c r="I3200" s="740"/>
      <c r="J3200" s="740"/>
      <c r="K3200" s="677"/>
    </row>
    <row r="3201" ht="21.95" customHeight="1" spans="1:11">
      <c r="A3201" s="675"/>
      <c r="B3201" s="676" t="s">
        <v>423</v>
      </c>
      <c r="C3201" s="676"/>
      <c r="D3201" s="741" t="str">
        <f>IFERROR(VLOOKUP($I$3201,STUDENT!$A$2:$BP$101,59,0),"")</f>
        <v/>
      </c>
      <c r="E3201" s="742" t="s">
        <v>424</v>
      </c>
      <c r="F3201" s="704" t="str">
        <f>IFERROR(VLOOKUP($I$3201,STUDENT!$A$2:$BP$101,2,0),"")</f>
        <v>III-A</v>
      </c>
      <c r="G3201" s="742" t="s">
        <v>425</v>
      </c>
      <c r="H3201" s="743"/>
      <c r="I3201" s="733">
        <f>I3146+1</f>
        <v>59</v>
      </c>
      <c r="J3201" s="683"/>
      <c r="K3201" s="677"/>
    </row>
    <row r="3202" ht="5.1" customHeight="1" spans="1:11">
      <c r="A3202" s="675"/>
      <c r="B3202" s="745"/>
      <c r="C3202" s="745"/>
      <c r="D3202" s="746"/>
      <c r="E3202" s="747"/>
      <c r="F3202" s="748"/>
      <c r="G3202" s="747"/>
      <c r="H3202" s="686"/>
      <c r="I3202" s="686"/>
      <c r="J3202" s="686"/>
      <c r="K3202" s="677"/>
    </row>
    <row r="3203" s="664" customFormat="1" ht="32.1" customHeight="1" spans="1:11">
      <c r="A3203" s="688"/>
      <c r="B3203" s="749" t="s">
        <v>426</v>
      </c>
      <c r="C3203" s="750"/>
      <c r="D3203" s="750"/>
      <c r="E3203" s="750"/>
      <c r="F3203" s="750"/>
      <c r="G3203" s="750"/>
      <c r="H3203" s="750"/>
      <c r="I3203" s="750"/>
      <c r="J3203" s="751"/>
      <c r="K3203" s="690"/>
    </row>
    <row r="3204" ht="51.6" spans="1:11">
      <c r="A3204" s="675"/>
      <c r="B3204" s="752">
        <v>21</v>
      </c>
      <c r="C3204" s="753" t="s">
        <v>427</v>
      </c>
      <c r="D3204" s="754" t="s">
        <v>428</v>
      </c>
      <c r="E3204" s="754" t="s">
        <v>429</v>
      </c>
      <c r="F3204" s="754" t="s">
        <v>430</v>
      </c>
      <c r="G3204" s="753" t="s">
        <v>390</v>
      </c>
      <c r="H3204" s="714"/>
      <c r="I3204" s="714"/>
      <c r="J3204" s="714"/>
      <c r="K3204" s="677"/>
    </row>
    <row r="3205" ht="20.1" customHeight="1" spans="1:11">
      <c r="A3205" s="675"/>
      <c r="B3205" s="755">
        <v>1</v>
      </c>
      <c r="C3205" s="755" t="str">
        <f>IFERROR(VLOOKUP(B3205,DATEWISE!$A$3:$BY$27,2,0),0)</f>
        <v>30.04.2026</v>
      </c>
      <c r="D3205" s="755">
        <f>IF($C$3205=0,NA(),VLOOKUP($I$3201&amp;$B$3205,FLNFIX!$L$4:$EF$103,2,0))</f>
        <v>0</v>
      </c>
      <c r="E3205" s="755">
        <f>IF($C$3205=0,NA(),VLOOKUP($I$3201&amp;$B$3205,FLNFIX!$L$4:$EF$103,4,0))</f>
        <v>0</v>
      </c>
      <c r="F3205" s="755">
        <f>IF($C$3205=0,NA(),VLOOKUP($I$3201&amp;$B$3205,FLNFIX!$L$4:$EF$103,3,0))</f>
        <v>0</v>
      </c>
      <c r="G3205" s="756">
        <f>IF($C$3205=0,NA(),VLOOKUP($I$3201&amp;$B$3205,FLNFIX!$L$4:$EF$103,5,0))</f>
        <v>0</v>
      </c>
      <c r="H3205" s="757"/>
      <c r="I3205" s="757"/>
      <c r="J3205" s="758"/>
      <c r="K3205" s="677"/>
    </row>
    <row r="3206" ht="20.1" customHeight="1" spans="1:11">
      <c r="A3206" s="675"/>
      <c r="B3206" s="755">
        <f t="shared" ref="B3206:B3225" si="58">IF(B3205=0,0,IF(B3205&lt;$B$3204,B3205+1,""))</f>
        <v>2</v>
      </c>
      <c r="C3206" s="755" t="str">
        <f>IFERROR(VLOOKUP(B3206,DATEWISE!$A$3:$BY$27,2,0),0)</f>
        <v>08.05.2026</v>
      </c>
      <c r="D3206" s="755">
        <f>IF($C$3206=0,NA(),VLOOKUP($I$3201&amp;$B$3206,FLNFIX!$Q$4:$EF$103,2,0))</f>
        <v>0</v>
      </c>
      <c r="E3206" s="755">
        <f>IF($C$3206=0,NA(),VLOOKUP($I$3201&amp;$B$3206,FLNFIX!$Q$4:$EF$103,4,0))</f>
        <v>0</v>
      </c>
      <c r="F3206" s="755">
        <f>IF($C$3206=0,NA(),VLOOKUP($I$3201&amp;$B$3206,FLNFIX!$Q$4:$EF$103,3,0))</f>
        <v>0</v>
      </c>
      <c r="G3206" s="756">
        <f>IF($C$3206=0,NA(),VLOOKUP($I$3201&amp;$B$3206,FLNFIX!$Q$4:$EF$103,5,0))</f>
        <v>0</v>
      </c>
      <c r="H3206" s="757"/>
      <c r="I3206" s="757"/>
      <c r="J3206" s="758"/>
      <c r="K3206" s="677"/>
    </row>
    <row r="3207" ht="20.1" customHeight="1" spans="1:11">
      <c r="A3207" s="675"/>
      <c r="B3207" s="755">
        <f t="shared" si="58"/>
        <v>3</v>
      </c>
      <c r="C3207" s="755" t="str">
        <f>IFERROR(VLOOKUP(B3207,DATEWISE!$A$3:$BY$27,2,0),0)</f>
        <v>15.07.2026</v>
      </c>
      <c r="D3207" s="755">
        <f>IF($C$3207=0,NA(),VLOOKUP($I$3201&amp;$B$3207,FLNFIX!$V$4:$EF$103,2,0))</f>
        <v>0</v>
      </c>
      <c r="E3207" s="755">
        <f>IF($C$3207=0,NA(),VLOOKUP($I$3201&amp;$B$3207,FLNFIX!$V$4:$EF$103,4,0))</f>
        <v>0</v>
      </c>
      <c r="F3207" s="755">
        <f>IF($C$3207=0,NA(),VLOOKUP($I$3201&amp;$B$3207,FLNFIX!$V$4:$EF$103,3,0))</f>
        <v>0</v>
      </c>
      <c r="G3207" s="756">
        <f>IF($C$3207=0,NA(),VLOOKUP($I$3201&amp;$B$3207,FLNFIX!$V$4:$EF$103,5,0))</f>
        <v>0</v>
      </c>
      <c r="H3207" s="757"/>
      <c r="I3207" s="757"/>
      <c r="J3207" s="758"/>
      <c r="K3207" s="677"/>
    </row>
    <row r="3208" ht="20.1" customHeight="1" spans="1:11">
      <c r="A3208" s="675"/>
      <c r="B3208" s="755">
        <f t="shared" si="58"/>
        <v>4</v>
      </c>
      <c r="C3208" s="755" t="str">
        <f>IFERROR(VLOOKUP(B3208,DATEWISE!$A$3:$BY$27,2,0),0)</f>
        <v>31.07.2026</v>
      </c>
      <c r="D3208" s="755">
        <f>IF($C$3208=0,NA(),VLOOKUP($I$3201&amp;$B$3208,FLNFIX!$AA$4:$EF$103,2,0))</f>
        <v>0</v>
      </c>
      <c r="E3208" s="755">
        <f>IF($C$3208=0,NA(),VLOOKUP($I$3201&amp;$B$3208,FLNFIX!$AA$4:$EF$103,4,0))</f>
        <v>0</v>
      </c>
      <c r="F3208" s="755">
        <f>IF($C$3208=0,NA(),VLOOKUP($I$3201&amp;$B$3208,FLNFIX!$AA$4:$EF$103,3,0))</f>
        <v>0</v>
      </c>
      <c r="G3208" s="756">
        <f>IF($C$3208=0,NA(),VLOOKUP($I$3201&amp;$B$3208,FLNFIX!$AA$4:$EF$103,5,0))</f>
        <v>0</v>
      </c>
      <c r="H3208" s="757"/>
      <c r="I3208" s="757"/>
      <c r="J3208" s="758"/>
      <c r="K3208" s="677"/>
    </row>
    <row r="3209" ht="20.1" customHeight="1" spans="1:11">
      <c r="A3209" s="675"/>
      <c r="B3209" s="755">
        <f t="shared" si="58"/>
        <v>5</v>
      </c>
      <c r="C3209" s="755" t="str">
        <f>IFERROR(VLOOKUP(B3209,DATEWISE!$A$3:$BY$27,2,0),0)</f>
        <v>17.08.2026</v>
      </c>
      <c r="D3209" s="755">
        <f>IF($C$3209=0,NA(),VLOOKUP($I$3201&amp;$B$3209,FLNFIX!$AF$4:$EF$103,2,0))</f>
        <v>0</v>
      </c>
      <c r="E3209" s="755">
        <f>IF($C$3209=0,NA(),VLOOKUP($I$3201&amp;$B$3209,FLNFIX!$AF$4:$EF$103,4,0))</f>
        <v>0</v>
      </c>
      <c r="F3209" s="755">
        <f>IF($C$3209=0,NA(),VLOOKUP($I$3201&amp;$B$3209,FLNFIX!$AF$4:$EF$103,3,0))</f>
        <v>0</v>
      </c>
      <c r="G3209" s="756">
        <f>IF($C$3209=0,NA(),VLOOKUP($I$3201&amp;$B$3209,FLNFIX!$AF$4:$EF$103,5,0))</f>
        <v>0</v>
      </c>
      <c r="H3209" s="757"/>
      <c r="I3209" s="757"/>
      <c r="J3209" s="758"/>
      <c r="K3209" s="677"/>
    </row>
    <row r="3210" ht="20.1" customHeight="1" spans="1:11">
      <c r="A3210" s="675"/>
      <c r="B3210" s="755">
        <f t="shared" si="58"/>
        <v>6</v>
      </c>
      <c r="C3210" s="755" t="str">
        <f>IFERROR(VLOOKUP(B3210,DATEWISE!$A$3:$BY$27,2,0),0)</f>
        <v>31.08.2026</v>
      </c>
      <c r="D3210" s="755">
        <f>IF($C$3210=0,NA(),VLOOKUP($I$3201&amp;$B$3210,FLNFIX!$AK$4:$EF$103,2,0))</f>
        <v>0</v>
      </c>
      <c r="E3210" s="755">
        <f>IF($C$3210=0,NA(),VLOOKUP($I$3201&amp;$B$3210,FLNFIX!$AK$4:$EF$103,4,0))</f>
        <v>0</v>
      </c>
      <c r="F3210" s="755">
        <f>IF($C$3210=0,NA(),VLOOKUP($I$3201&amp;$B$3210,FLNFIX!$AK$4:$EF$103,3,0))</f>
        <v>0</v>
      </c>
      <c r="G3210" s="756">
        <f>IF($C$3210=0,NA(),VLOOKUP($I$3201&amp;$B$3210,FLNFIX!$AK$4:$EF$103,5,0))</f>
        <v>0</v>
      </c>
      <c r="H3210" s="757"/>
      <c r="I3210" s="757"/>
      <c r="J3210" s="758"/>
      <c r="K3210" s="677"/>
    </row>
    <row r="3211" ht="20.1" customHeight="1" spans="1:11">
      <c r="A3211" s="675"/>
      <c r="B3211" s="755">
        <f t="shared" si="58"/>
        <v>7</v>
      </c>
      <c r="C3211" s="755">
        <f>IFERROR(VLOOKUP(B3211,DATEWISE!$A$3:$BY$27,2,0),0)</f>
        <v>0</v>
      </c>
      <c r="D3211" s="755" t="e">
        <f>IF($C$3211=0,NA(),VLOOKUP($I$3201&amp;$B$3211,FLNFIX!$AP$4:$EF$103,2,0))</f>
        <v>#N/A</v>
      </c>
      <c r="E3211" s="755" t="e">
        <f>IF($C$3211=0,NA(),VLOOKUP($I$3201&amp;$B$3211,FLNFIX!$AP$4:$EF$103,4,0))</f>
        <v>#N/A</v>
      </c>
      <c r="F3211" s="755" t="e">
        <f>IF($C$3211=0,NA(),VLOOKUP($I$3201&amp;$B$3211,FLNFIX!$AP$4:$EF$103,3,0))</f>
        <v>#N/A</v>
      </c>
      <c r="G3211" s="756" t="e">
        <f>IF($C$3211=0,NA(),VLOOKUP($I$3201&amp;$B$3211,FLNFIX!$AP$4:$EF$103,5,0))</f>
        <v>#N/A</v>
      </c>
      <c r="H3211" s="757"/>
      <c r="I3211" s="757"/>
      <c r="J3211" s="758"/>
      <c r="K3211" s="677"/>
    </row>
    <row r="3212" ht="20.1" customHeight="1" spans="1:11">
      <c r="A3212" s="675"/>
      <c r="B3212" s="755">
        <f t="shared" si="58"/>
        <v>8</v>
      </c>
      <c r="C3212" s="755">
        <f>IFERROR(VLOOKUP(B3212,DATEWISE!$A$3:$BY$27,2,0),0)</f>
        <v>0</v>
      </c>
      <c r="D3212" s="755" t="e">
        <f>IF($C$3212=0,NA(),VLOOKUP($I$3201&amp;$B$3212,FLNFIX!$AU$4:$EF$103,2,0))</f>
        <v>#N/A</v>
      </c>
      <c r="E3212" s="755" t="e">
        <f>IF($C$3212=0,NA(),VLOOKUP($I$3201&amp;$B$3212,FLNFIX!$AU$4:$EF$103,4,0))</f>
        <v>#N/A</v>
      </c>
      <c r="F3212" s="755" t="e">
        <f>IF($C$3212=0,NA(),VLOOKUP($I$3201&amp;$B$3212,FLNFIX!$AU$4:$EF$103,3,0))</f>
        <v>#N/A</v>
      </c>
      <c r="G3212" s="756" t="e">
        <f>IF($C$3212=0,NA(),VLOOKUP($I$3201&amp;$B$3212,FLNFIX!$AU$4:$EF$103,5,0))</f>
        <v>#N/A</v>
      </c>
      <c r="H3212" s="757"/>
      <c r="I3212" s="757"/>
      <c r="J3212" s="758"/>
      <c r="K3212" s="677"/>
    </row>
    <row r="3213" ht="20.1" customHeight="1" spans="1:11">
      <c r="A3213" s="675"/>
      <c r="B3213" s="755">
        <f t="shared" si="58"/>
        <v>9</v>
      </c>
      <c r="C3213" s="755">
        <f>IFERROR(VLOOKUP(B3213,DATEWISE!$A$3:$BY$27,2,0),0)</f>
        <v>0</v>
      </c>
      <c r="D3213" s="755" t="e">
        <f>IF($C$3213=0,NA(),VLOOKUP($I$3201&amp;$B$3213,FLNFIX!$AZ$4:$EF$103,2,0))</f>
        <v>#N/A</v>
      </c>
      <c r="E3213" s="755" t="e">
        <f>IF($C$3213=0,NA(),VLOOKUP($I$3201&amp;$B$3213,FLNFIX!$AZ$4:$EF$103,4,0))</f>
        <v>#N/A</v>
      </c>
      <c r="F3213" s="755" t="e">
        <f>IF($C$3213=0,NA(),VLOOKUP($I$3201&amp;$B$3213,FLNFIX!$AZ$4:$EF$103,3,0))</f>
        <v>#N/A</v>
      </c>
      <c r="G3213" s="756" t="e">
        <f>IF($C$3213=0,NA(),VLOOKUP($I$3201&amp;$B$3213,FLNFIX!$AZ$4:$EF$103,5,0))</f>
        <v>#N/A</v>
      </c>
      <c r="H3213" s="757"/>
      <c r="I3213" s="757"/>
      <c r="J3213" s="758"/>
      <c r="K3213" s="677"/>
    </row>
    <row r="3214" ht="20.1" customHeight="1" spans="1:11">
      <c r="A3214" s="675"/>
      <c r="B3214" s="755">
        <f t="shared" si="58"/>
        <v>10</v>
      </c>
      <c r="C3214" s="755">
        <f>IFERROR(VLOOKUP(B3214,DATEWISE!$A$3:$BY$27,2,0),0)</f>
        <v>0</v>
      </c>
      <c r="D3214" s="755" t="e">
        <f>IF($C$3214=0,NA(),VLOOKUP($I$3201&amp;$B$3214,FLNFIX!$BE$4:$EF$103,2,0))</f>
        <v>#N/A</v>
      </c>
      <c r="E3214" s="755" t="e">
        <f>IF($C$3214=0,NA(),VLOOKUP($I$3201&amp;$B$3214,FLNFIX!$BE$4:$EF$103,4,0))</f>
        <v>#N/A</v>
      </c>
      <c r="F3214" s="755" t="e">
        <f>IF($C$3214=0,NA(),VLOOKUP($I$3201&amp;$B$3214,FLNFIX!$BE$4:$EF$103,3,0))</f>
        <v>#N/A</v>
      </c>
      <c r="G3214" s="756" t="e">
        <f>IF($C$3214=0,NA(),VLOOKUP($I$3201&amp;$B$3214,FLNFIX!$BE$4:$EF$103,5,0))</f>
        <v>#N/A</v>
      </c>
      <c r="H3214" s="757"/>
      <c r="I3214" s="757"/>
      <c r="J3214" s="758"/>
      <c r="K3214" s="677"/>
    </row>
    <row r="3215" ht="20.1" customHeight="1" spans="1:11">
      <c r="A3215" s="675"/>
      <c r="B3215" s="755">
        <f t="shared" si="58"/>
        <v>11</v>
      </c>
      <c r="C3215" s="755">
        <f>IFERROR(VLOOKUP(B3215,DATEWISE!$A$3:$BY$27,2,0),0)</f>
        <v>0</v>
      </c>
      <c r="D3215" s="755" t="e">
        <f>IF($C$3215=0,NA(),VLOOKUP($I$3201&amp;$B$3215,FLNFIX!$BJ$4:$EF$103,2,0))</f>
        <v>#N/A</v>
      </c>
      <c r="E3215" s="755" t="e">
        <f>IF($C$3215=0,NA(),VLOOKUP($I$3201&amp;$B$3215,FLNFIX!$BJ$4:$EF$103,4,0))</f>
        <v>#N/A</v>
      </c>
      <c r="F3215" s="755" t="e">
        <f>IF($C$3215=0,NA(),VLOOKUP($I$3201&amp;$B$3215,FLNFIX!$BJ$4:$EF$103,3,0))</f>
        <v>#N/A</v>
      </c>
      <c r="G3215" s="756" t="e">
        <f>IF($C$3215=0,NA(),VLOOKUP($I$3201&amp;$B$3215,FLNFIX!$BJ$4:$EF$103,5,0))</f>
        <v>#N/A</v>
      </c>
      <c r="H3215" s="757"/>
      <c r="I3215" s="757"/>
      <c r="J3215" s="758"/>
      <c r="K3215" s="677"/>
    </row>
    <row r="3216" ht="20.1" customHeight="1" spans="1:11">
      <c r="A3216" s="675"/>
      <c r="B3216" s="755">
        <f t="shared" si="58"/>
        <v>12</v>
      </c>
      <c r="C3216" s="755">
        <f>IFERROR(VLOOKUP(B3216,DATEWISE!$A$3:$BY$27,2,0),0)</f>
        <v>0</v>
      </c>
      <c r="D3216" s="755" t="e">
        <f>IF($C$3216=0,NA(),VLOOKUP($I$3201&amp;$B$3216,FLNFIX!$BO$4:$EF$103,2,0))</f>
        <v>#N/A</v>
      </c>
      <c r="E3216" s="755" t="e">
        <f>IF($C$3216=0,NA(),VLOOKUP($I$3201&amp;$B$3216,FLNFIX!$BO$4:$EF$103,4,0))</f>
        <v>#N/A</v>
      </c>
      <c r="F3216" s="755" t="e">
        <f>IF($C$3216=0,NA(),VLOOKUP($I$3201&amp;$B$3216,FLNFIX!$BO$4:$EF$103,3,0))</f>
        <v>#N/A</v>
      </c>
      <c r="G3216" s="756" t="e">
        <f>IF($C$3216=0,NA(),VLOOKUP($I$3201&amp;$B$3216,FLNFIX!$BO$4:$EF$103,5,0))</f>
        <v>#N/A</v>
      </c>
      <c r="H3216" s="757"/>
      <c r="I3216" s="757"/>
      <c r="J3216" s="758"/>
      <c r="K3216" s="677"/>
    </row>
    <row r="3217" ht="20.1" customHeight="1" spans="1:11">
      <c r="A3217" s="675"/>
      <c r="B3217" s="755">
        <f t="shared" si="58"/>
        <v>13</v>
      </c>
      <c r="C3217" s="755">
        <f>IFERROR(VLOOKUP(B3217,DATEWISE!$A$3:$BY$27,2,0),0)</f>
        <v>0</v>
      </c>
      <c r="D3217" s="755" t="e">
        <f>IF($C$3217=0,NA(),VLOOKUP($I$3201&amp;$B$3217,FLNFIX!$BT$4:$EF$103,2,0))</f>
        <v>#N/A</v>
      </c>
      <c r="E3217" s="755" t="e">
        <f>IF($C$3217=0,NA(),VLOOKUP($I$3201&amp;$B$3217,FLNFIX!$BT$4:$EF$103,4,0))</f>
        <v>#N/A</v>
      </c>
      <c r="F3217" s="755" t="e">
        <f>IF($C$3217=0,NA(),VLOOKUP($I$3201&amp;$B$3217,FLNFIX!$BT$4:$EF$103,3,0))</f>
        <v>#N/A</v>
      </c>
      <c r="G3217" s="756" t="e">
        <f>IF($C$3217=0,NA(),VLOOKUP($I$3201&amp;$B$3217,FLNFIX!$BT$4:$EF$103,5,0))</f>
        <v>#N/A</v>
      </c>
      <c r="H3217" s="757"/>
      <c r="I3217" s="757"/>
      <c r="J3217" s="758"/>
      <c r="K3217" s="677"/>
    </row>
    <row r="3218" ht="20.1" customHeight="1" spans="1:11">
      <c r="A3218" s="675"/>
      <c r="B3218" s="755">
        <f t="shared" si="58"/>
        <v>14</v>
      </c>
      <c r="C3218" s="755">
        <f>IFERROR(VLOOKUP(B3218,DATEWISE!$A$3:$BY$27,2,0),0)</f>
        <v>0</v>
      </c>
      <c r="D3218" s="755" t="e">
        <f>IF($C$3218=0,NA(),VLOOKUP($I$3201&amp;$B$3218,FLNFIX!$BY$4:$EF$103,2,0))</f>
        <v>#N/A</v>
      </c>
      <c r="E3218" s="755" t="e">
        <f>IF($C$3218=0,NA(),VLOOKUP($I$3201&amp;$B$3218,FLNFIX!$BY$4:$EF$103,4,0))</f>
        <v>#N/A</v>
      </c>
      <c r="F3218" s="755" t="e">
        <f>IF($C$3218=0,NA(),VLOOKUP($I$3201&amp;$B$3218,FLNFIX!$BY$4:$EF$103,3,0))</f>
        <v>#N/A</v>
      </c>
      <c r="G3218" s="756" t="e">
        <f>IF($C$3218=0,NA(),VLOOKUP($I$3201&amp;$B$3218,FLNFIX!$BY$4:$EF$103,5,0))</f>
        <v>#N/A</v>
      </c>
      <c r="H3218" s="757"/>
      <c r="I3218" s="757"/>
      <c r="J3218" s="758"/>
      <c r="K3218" s="677"/>
    </row>
    <row r="3219" ht="20.1" customHeight="1" spans="1:11">
      <c r="A3219" s="675"/>
      <c r="B3219" s="755">
        <f t="shared" si="58"/>
        <v>15</v>
      </c>
      <c r="C3219" s="755">
        <f>IFERROR(VLOOKUP(B3219,DATEWISE!$A$3:$BY$27,2,0),0)</f>
        <v>0</v>
      </c>
      <c r="D3219" s="755" t="e">
        <f>IF($C$3219=0,NA(),VLOOKUP($I$3201&amp;$B$3219,FLNFIX!$CD$4:$EF$103,2,0))</f>
        <v>#N/A</v>
      </c>
      <c r="E3219" s="755" t="e">
        <f>IF($C$3219=0,NA(),VLOOKUP($I$3201&amp;$B$3219,FLNFIX!$CD$4:$EF$103,4,0))</f>
        <v>#N/A</v>
      </c>
      <c r="F3219" s="755" t="e">
        <f>IF($C$3219=0,NA(),VLOOKUP($I$3201&amp;$B$3219,FLNFIX!$CD$4:$EF$103,3,0))</f>
        <v>#N/A</v>
      </c>
      <c r="G3219" s="756" t="e">
        <f>IF($C$3219=0,NA(),VLOOKUP($I$3201&amp;$B$3219,FLNFIX!$CD$4:$EF$103,5,0))</f>
        <v>#N/A</v>
      </c>
      <c r="H3219" s="757"/>
      <c r="I3219" s="757"/>
      <c r="J3219" s="758"/>
      <c r="K3219" s="677"/>
    </row>
    <row r="3220" ht="20.1" customHeight="1" spans="1:11">
      <c r="A3220" s="675"/>
      <c r="B3220" s="755">
        <f t="shared" si="58"/>
        <v>16</v>
      </c>
      <c r="C3220" s="755">
        <f>IFERROR(VLOOKUP(B3220,DATEWISE!$A$3:$BY$27,2,0),0)</f>
        <v>0</v>
      </c>
      <c r="D3220" s="755" t="e">
        <f>IF($C$3220=0,NA(),VLOOKUP($I$3201&amp;$B$3220,FLNFIX!$CI$4:$EF$103,2,0))</f>
        <v>#N/A</v>
      </c>
      <c r="E3220" s="755" t="e">
        <f>IF($C$3220=0,NA(),VLOOKUP($I$3201&amp;$B$3220,FLNFIX!$CI$4:$EF$103,4,0))</f>
        <v>#N/A</v>
      </c>
      <c r="F3220" s="755" t="e">
        <f>IF($C$3220=0,NA(),VLOOKUP($I$3201&amp;$B$3220,FLNFIX!$CI$4:$EF$103,3,0))</f>
        <v>#N/A</v>
      </c>
      <c r="G3220" s="756" t="e">
        <f>IF($C$3220=0,NA(),VLOOKUP($I$3201&amp;$B$3220,FLNFIX!$CI$4:$EF$103,5,0))</f>
        <v>#N/A</v>
      </c>
      <c r="H3220" s="757"/>
      <c r="I3220" s="757"/>
      <c r="J3220" s="758"/>
      <c r="K3220" s="677"/>
    </row>
    <row r="3221" ht="20.1" customHeight="1" spans="1:11">
      <c r="A3221" s="675"/>
      <c r="B3221" s="755">
        <f t="shared" si="58"/>
        <v>17</v>
      </c>
      <c r="C3221" s="755">
        <f>IFERROR(VLOOKUP(B3221,DATEWISE!$A$3:$BY$27,2,0),0)</f>
        <v>0</v>
      </c>
      <c r="D3221" s="755" t="e">
        <f>IF($C$3221=0,NA(),VLOOKUP($I$3201&amp;$B$3221,FLNFIX!$CN$4:$EF$103,2,0))</f>
        <v>#N/A</v>
      </c>
      <c r="E3221" s="755" t="e">
        <f>IF($C$3221=0,NA(),VLOOKUP($I$3201&amp;$B$3221,FLNFIX!$CN$4:$EF$103,4,0))</f>
        <v>#N/A</v>
      </c>
      <c r="F3221" s="755" t="e">
        <f>IF($C$3221=0,NA(),VLOOKUP($I$3201&amp;$B$3221,FLNFIX!$CN$4:$EF$103,3,0))</f>
        <v>#N/A</v>
      </c>
      <c r="G3221" s="756" t="e">
        <f>IF($C$3221=0,NA(),VLOOKUP($I$3201&amp;$B$3221,FLNFIX!$CN$4:$EF$103,5,0))</f>
        <v>#N/A</v>
      </c>
      <c r="H3221" s="757"/>
      <c r="I3221" s="757"/>
      <c r="J3221" s="758"/>
      <c r="K3221" s="677"/>
    </row>
    <row r="3222" ht="20.1" customHeight="1" spans="1:11">
      <c r="A3222" s="675"/>
      <c r="B3222" s="755">
        <f t="shared" si="58"/>
        <v>18</v>
      </c>
      <c r="C3222" s="755">
        <f>IFERROR(VLOOKUP(B3222,DATEWISE!$A$3:$BY$27,2,0),0)</f>
        <v>0</v>
      </c>
      <c r="D3222" s="755" t="e">
        <f>IF($C$3222=0,NA(),VLOOKUP($I$3201&amp;$B$3222,FLNFIX!$CS$4:$EF$103,2,0))</f>
        <v>#N/A</v>
      </c>
      <c r="E3222" s="755" t="e">
        <f>IF($C$3222=0,NA(),VLOOKUP($I$3201&amp;$B$3222,FLNFIX!$CS$4:$EF$103,4,0))</f>
        <v>#N/A</v>
      </c>
      <c r="F3222" s="755" t="e">
        <f>IF($C$3222=0,NA(),VLOOKUP($I$3201&amp;$B$3222,FLNFIX!$CS$4:$EF$103,3,0))</f>
        <v>#N/A</v>
      </c>
      <c r="G3222" s="756" t="e">
        <f>IF($C$3222=0,NA(),VLOOKUP($I$3201&amp;$B$3222,FLNFIX!$CS$4:$EF$103,5,0))</f>
        <v>#N/A</v>
      </c>
      <c r="H3222" s="757"/>
      <c r="I3222" s="757"/>
      <c r="J3222" s="758"/>
      <c r="K3222" s="677"/>
    </row>
    <row r="3223" ht="20.1" customHeight="1" spans="1:11">
      <c r="A3223" s="675"/>
      <c r="B3223" s="755">
        <f t="shared" si="58"/>
        <v>19</v>
      </c>
      <c r="C3223" s="755">
        <f>IFERROR(VLOOKUP(B3223,DATEWISE!$A$3:$BY$27,2,0),0)</f>
        <v>0</v>
      </c>
      <c r="D3223" s="755" t="e">
        <f>IF($C$3223=0,NA(),VLOOKUP($I$3201&amp;$B$3223,FLNFIX!$CX$4:$EF$103,2,0))</f>
        <v>#N/A</v>
      </c>
      <c r="E3223" s="755" t="e">
        <f>IF($C$3223=0,NA(),VLOOKUP($I$3201&amp;$B$3223,FLNFIX!$CX$4:$EF$103,4,0))</f>
        <v>#N/A</v>
      </c>
      <c r="F3223" s="755" t="e">
        <f>IF($C$3223=0,NA(),VLOOKUP($I$3201&amp;$B$3223,FLNFIX!$CX$4:$EF$103,3,0))</f>
        <v>#N/A</v>
      </c>
      <c r="G3223" s="756" t="e">
        <f>IF($C$3223=0,NA(),VLOOKUP($I$3201&amp;$B$3223,FLNFIX!$CX$4:$EF$103,5,0))</f>
        <v>#N/A</v>
      </c>
      <c r="H3223" s="757"/>
      <c r="I3223" s="757"/>
      <c r="J3223" s="758"/>
      <c r="K3223" s="677"/>
    </row>
    <row r="3224" ht="20.1" customHeight="1" spans="1:11">
      <c r="A3224" s="675"/>
      <c r="B3224" s="755">
        <f t="shared" si="58"/>
        <v>20</v>
      </c>
      <c r="C3224" s="755">
        <f>IFERROR(VLOOKUP(B3224,DATEWISE!$A$3:$BY$27,2,0),0)</f>
        <v>0</v>
      </c>
      <c r="D3224" s="755" t="e">
        <f>IF($C$3224=0,NA(),VLOOKUP($I$3201&amp;$B$3224,FLNFIX!$DC$4:$EF$103,2,0))</f>
        <v>#N/A</v>
      </c>
      <c r="E3224" s="755" t="e">
        <f>IF($C$3224=0,NA(),VLOOKUP($I$3201&amp;$B$3224,FLNFIX!$DC$4:$EF$103,4,0))</f>
        <v>#N/A</v>
      </c>
      <c r="F3224" s="755" t="e">
        <f>IF($C$3224=0,NA(),VLOOKUP($I$3201&amp;$B$3224,FLNFIX!$DC$4:$EF$103,3,0))</f>
        <v>#N/A</v>
      </c>
      <c r="G3224" s="756" t="e">
        <f>IF($C$3224=0,NA(),VLOOKUP($I$3201&amp;$B$3224,FLNFIX!$DC$4:$EF$103,5,0))</f>
        <v>#N/A</v>
      </c>
      <c r="H3224" s="757"/>
      <c r="I3224" s="757"/>
      <c r="J3224" s="758"/>
      <c r="K3224" s="677"/>
    </row>
    <row r="3225" ht="20.1" customHeight="1" spans="1:11">
      <c r="A3225" s="675"/>
      <c r="B3225" s="755">
        <f t="shared" si="58"/>
        <v>21</v>
      </c>
      <c r="C3225" s="755">
        <f>IFERROR(VLOOKUP(B3225,DATEWISE!$A$3:$BY$27,2,0),0)</f>
        <v>0</v>
      </c>
      <c r="D3225" s="755" t="e">
        <f>IF($C$3225=0,NA(),VLOOKUP($I$3201&amp;$B$3225,FLNFIX!$DH$4:$EF$103,2,0))</f>
        <v>#N/A</v>
      </c>
      <c r="E3225" s="755" t="e">
        <f>IF($C$3225=0,NA(),VLOOKUP($I$3201&amp;$B$3225,FLNFIX!$DH$4:$EF$103,4,0))</f>
        <v>#N/A</v>
      </c>
      <c r="F3225" s="755" t="e">
        <f>IF($C$3225=0,NA(),VLOOKUP($I$3201&amp;$B$3225,FLNFIX!$DH$4:$EF$103,3,0))</f>
        <v>#N/A</v>
      </c>
      <c r="G3225" s="756" t="e">
        <f>IF($C$3225=0,NA(),VLOOKUP($I$3201&amp;$B$3225,FLNFIX!$DH$4:$EF$103,5,0))</f>
        <v>#N/A</v>
      </c>
      <c r="H3225" s="757"/>
      <c r="I3225" s="757"/>
      <c r="J3225" s="758"/>
      <c r="K3225" s="677"/>
    </row>
    <row r="3226" ht="5.1" customHeight="1" spans="1:11">
      <c r="A3226" s="675"/>
      <c r="B3226" s="759"/>
      <c r="C3226" s="759"/>
      <c r="D3226" s="760"/>
      <c r="E3226" s="760"/>
      <c r="F3226" s="760"/>
      <c r="G3226" s="761"/>
      <c r="H3226" s="761"/>
      <c r="I3226" s="761"/>
      <c r="J3226" s="761"/>
      <c r="K3226" s="677"/>
    </row>
    <row r="3227" s="667" customFormat="1" ht="24.95" customHeight="1" spans="1:11">
      <c r="A3227" s="711"/>
      <c r="B3227" s="762" t="s">
        <v>431</v>
      </c>
      <c r="C3227" s="763"/>
      <c r="D3227" s="763"/>
      <c r="E3227" s="763"/>
      <c r="F3227" s="763"/>
      <c r="G3227" s="763"/>
      <c r="H3227" s="763"/>
      <c r="I3227" s="763"/>
      <c r="J3227" s="764"/>
      <c r="K3227" s="713"/>
    </row>
    <row r="3228" spans="1:11">
      <c r="A3228" s="675"/>
      <c r="B3228" s="765"/>
      <c r="C3228" s="686"/>
      <c r="D3228" s="686"/>
      <c r="E3228" s="686"/>
      <c r="F3228" s="686"/>
      <c r="G3228" s="686"/>
      <c r="H3228" s="686"/>
      <c r="I3228" s="686"/>
      <c r="J3228" s="766"/>
      <c r="K3228" s="677"/>
    </row>
    <row r="3229" spans="1:11">
      <c r="A3229" s="675"/>
      <c r="B3229" s="765"/>
      <c r="C3229" s="686"/>
      <c r="D3229" s="686"/>
      <c r="E3229" s="686"/>
      <c r="F3229" s="686"/>
      <c r="G3229" s="686"/>
      <c r="H3229" s="686"/>
      <c r="I3229" s="686"/>
      <c r="J3229" s="766"/>
      <c r="K3229" s="677"/>
    </row>
    <row r="3230" spans="1:11">
      <c r="A3230" s="675"/>
      <c r="B3230" s="765"/>
      <c r="C3230" s="686"/>
      <c r="D3230" s="686"/>
      <c r="E3230" s="686"/>
      <c r="F3230" s="686"/>
      <c r="G3230" s="686"/>
      <c r="H3230" s="686"/>
      <c r="I3230" s="686"/>
      <c r="J3230" s="766"/>
      <c r="K3230" s="677"/>
    </row>
    <row r="3231" spans="1:11">
      <c r="A3231" s="675"/>
      <c r="B3231" s="765"/>
      <c r="C3231" s="686"/>
      <c r="D3231" s="686"/>
      <c r="E3231" s="686"/>
      <c r="F3231" s="686"/>
      <c r="G3231" s="686"/>
      <c r="H3231" s="686"/>
      <c r="I3231" s="686"/>
      <c r="J3231" s="766"/>
      <c r="K3231" s="677"/>
    </row>
    <row r="3232" spans="1:11">
      <c r="A3232" s="675"/>
      <c r="B3232" s="765"/>
      <c r="C3232" s="686"/>
      <c r="D3232" s="686"/>
      <c r="E3232" s="686"/>
      <c r="F3232" s="686"/>
      <c r="G3232" s="686"/>
      <c r="H3232" s="686"/>
      <c r="I3232" s="686"/>
      <c r="J3232" s="766"/>
      <c r="K3232" s="677"/>
    </row>
    <row r="3233" spans="1:11">
      <c r="A3233" s="675"/>
      <c r="B3233" s="765"/>
      <c r="C3233" s="686"/>
      <c r="D3233" s="686"/>
      <c r="E3233" s="686"/>
      <c r="F3233" s="686"/>
      <c r="G3233" s="686"/>
      <c r="H3233" s="686"/>
      <c r="I3233" s="686"/>
      <c r="J3233" s="766"/>
      <c r="K3233" s="677"/>
    </row>
    <row r="3234" spans="1:11">
      <c r="A3234" s="675"/>
      <c r="B3234" s="765"/>
      <c r="C3234" s="686"/>
      <c r="D3234" s="686"/>
      <c r="E3234" s="686"/>
      <c r="F3234" s="686"/>
      <c r="G3234" s="686"/>
      <c r="H3234" s="686"/>
      <c r="I3234" s="686"/>
      <c r="J3234" s="766"/>
      <c r="K3234" s="677"/>
    </row>
    <row r="3235" spans="1:11">
      <c r="A3235" s="675"/>
      <c r="B3235" s="765"/>
      <c r="C3235" s="686"/>
      <c r="D3235" s="686"/>
      <c r="E3235" s="686"/>
      <c r="F3235" s="686"/>
      <c r="G3235" s="686"/>
      <c r="H3235" s="686"/>
      <c r="I3235" s="686"/>
      <c r="J3235" s="766"/>
      <c r="K3235" s="677"/>
    </row>
    <row r="3236" spans="1:11">
      <c r="A3236" s="675"/>
      <c r="B3236" s="765"/>
      <c r="C3236" s="686"/>
      <c r="D3236" s="686"/>
      <c r="E3236" s="686"/>
      <c r="F3236" s="686"/>
      <c r="G3236" s="686"/>
      <c r="H3236" s="686"/>
      <c r="I3236" s="686"/>
      <c r="J3236" s="766"/>
      <c r="K3236" s="677"/>
    </row>
    <row r="3237" spans="1:11">
      <c r="A3237" s="675"/>
      <c r="B3237" s="767"/>
      <c r="C3237" s="768"/>
      <c r="D3237" s="768"/>
      <c r="E3237" s="768"/>
      <c r="F3237" s="768"/>
      <c r="G3237" s="768"/>
      <c r="H3237" s="768"/>
      <c r="I3237" s="768"/>
      <c r="J3237" s="769"/>
      <c r="K3237" s="677"/>
    </row>
    <row r="3238" ht="5.1" customHeight="1" spans="1:11">
      <c r="A3238" s="675"/>
      <c r="B3238" s="686"/>
      <c r="C3238" s="686"/>
      <c r="D3238" s="686"/>
      <c r="E3238" s="686"/>
      <c r="F3238" s="686"/>
      <c r="G3238" s="686"/>
      <c r="H3238" s="686"/>
      <c r="I3238" s="686"/>
      <c r="J3238" s="686"/>
      <c r="K3238" s="677"/>
    </row>
    <row r="3239" spans="1:11">
      <c r="A3239" s="675"/>
      <c r="B3239" s="770" t="s">
        <v>432</v>
      </c>
      <c r="C3239" s="770"/>
      <c r="D3239" s="770"/>
      <c r="E3239" s="770"/>
      <c r="F3239" s="770"/>
      <c r="G3239" s="770"/>
      <c r="H3239" s="770"/>
      <c r="I3239" s="770"/>
      <c r="J3239" s="770"/>
      <c r="K3239" s="677"/>
    </row>
    <row r="3240" spans="1:11">
      <c r="A3240" s="675"/>
      <c r="B3240" s="771"/>
      <c r="C3240" s="771"/>
      <c r="D3240" s="771"/>
      <c r="E3240" s="771"/>
      <c r="F3240" s="771"/>
      <c r="G3240" s="771"/>
      <c r="H3240" s="771"/>
      <c r="I3240" s="771"/>
      <c r="J3240" s="771"/>
      <c r="K3240" s="677"/>
    </row>
    <row r="3241" spans="1:11">
      <c r="A3241" s="675"/>
      <c r="B3241" s="771"/>
      <c r="C3241" s="771"/>
      <c r="D3241" s="771"/>
      <c r="E3241" s="771"/>
      <c r="F3241" s="771"/>
      <c r="G3241" s="771"/>
      <c r="H3241" s="771"/>
      <c r="I3241" s="771"/>
      <c r="J3241" s="771"/>
      <c r="K3241" s="677"/>
    </row>
    <row r="3242" spans="1:11">
      <c r="A3242" s="675"/>
      <c r="B3242" s="771"/>
      <c r="C3242" s="771"/>
      <c r="D3242" s="771"/>
      <c r="E3242" s="771"/>
      <c r="F3242" s="771"/>
      <c r="G3242" s="771"/>
      <c r="H3242" s="771"/>
      <c r="I3242" s="771"/>
      <c r="J3242" s="771"/>
      <c r="K3242" s="677"/>
    </row>
    <row r="3243" spans="1:11">
      <c r="A3243" s="675"/>
      <c r="B3243" s="686"/>
      <c r="C3243" s="686"/>
      <c r="D3243" s="686"/>
      <c r="E3243" s="686"/>
      <c r="F3243" s="686"/>
      <c r="G3243" s="686"/>
      <c r="H3243" s="686"/>
      <c r="I3243" s="686"/>
      <c r="J3243" s="686"/>
      <c r="K3243" s="677"/>
    </row>
    <row r="3244" spans="1:11">
      <c r="A3244" s="675"/>
      <c r="B3244" s="686"/>
      <c r="C3244" s="729" t="s">
        <v>433</v>
      </c>
      <c r="D3244" s="729"/>
      <c r="E3244" s="686"/>
      <c r="F3244" s="686"/>
      <c r="G3244" s="729" t="s">
        <v>434</v>
      </c>
      <c r="H3244" s="729"/>
      <c r="I3244" s="729"/>
      <c r="J3244" s="729"/>
      <c r="K3244" s="677"/>
    </row>
    <row r="3245" ht="16.35" spans="1:11">
      <c r="A3245" s="725"/>
      <c r="B3245" s="726"/>
      <c r="C3245" s="732" t="str">
        <f>"("&amp;PROPER(ENTRY!$D$19)&amp;")"</f>
        <v>(Indrajeet)</v>
      </c>
      <c r="D3245" s="732"/>
      <c r="E3245" s="726"/>
      <c r="F3245" s="726"/>
      <c r="G3245" s="732" t="str">
        <f>"("&amp;PROPER(ENTRY!$D$12)&amp;")"</f>
        <v>(Shambhu Dayal Meena)</v>
      </c>
      <c r="H3245" s="732"/>
      <c r="I3245" s="732"/>
      <c r="J3245" s="732"/>
      <c r="K3245" s="728"/>
    </row>
    <row r="3246" ht="24.6" spans="1:11">
      <c r="B3246" s="734"/>
      <c r="C3246" s="734"/>
      <c r="D3246" s="669" t="str">
        <f>ENTRY!$D$3</f>
        <v>MUNICIPAL CORPORATION OF DELHI</v>
      </c>
      <c r="E3246" s="669"/>
      <c r="F3246" s="669"/>
      <c r="G3246" s="669"/>
      <c r="H3246" s="734"/>
      <c r="I3246" s="669"/>
      <c r="J3246" s="669"/>
    </row>
    <row r="3247" ht="20.4" spans="1:11">
      <c r="B3247" s="735"/>
      <c r="C3247" s="735"/>
      <c r="D3247" s="670" t="str">
        <f>ENTRY!$D$4</f>
        <v>EDUCATION DEPARTMENT</v>
      </c>
      <c r="E3247" s="670"/>
      <c r="F3247" s="670"/>
      <c r="G3247" s="670"/>
      <c r="H3247" s="735"/>
      <c r="I3247" s="669"/>
      <c r="J3247" s="669"/>
    </row>
    <row r="3248" ht="22.8" spans="1:11">
      <c r="B3248" s="736"/>
      <c r="C3248" s="736"/>
      <c r="D3248" s="664" t="s">
        <v>417</v>
      </c>
      <c r="E3248" s="664"/>
      <c r="F3248" s="664"/>
      <c r="G3248" s="664"/>
      <c r="H3248" s="736"/>
      <c r="I3248" s="669"/>
      <c r="J3248" s="669"/>
    </row>
    <row r="3249" ht="22.8" spans="1:11">
      <c r="B3249" s="736"/>
      <c r="C3249" s="736"/>
      <c r="D3249" s="664" t="s">
        <v>418</v>
      </c>
      <c r="E3249" s="664"/>
      <c r="F3249" s="664"/>
      <c r="G3249" s="664"/>
      <c r="H3249" s="736"/>
      <c r="I3249" s="669"/>
      <c r="J3249" s="669"/>
    </row>
    <row r="3250" ht="24.95" customHeight="1" spans="1:11">
      <c r="B3250" s="735"/>
      <c r="C3250" s="735"/>
      <c r="D3250" s="737" t="str">
        <f>"SESSION : "&amp;ENTRY!$D$11</f>
        <v>SESSION : 2026-27</v>
      </c>
      <c r="E3250" s="737"/>
      <c r="F3250" s="737"/>
      <c r="G3250" s="737"/>
      <c r="H3250" s="735"/>
      <c r="I3250" s="738"/>
      <c r="J3250" s="738"/>
    </row>
    <row r="3251" ht="3.75" customHeight="1" spans="1:11">
      <c r="A3251" s="672"/>
      <c r="B3251" s="739"/>
      <c r="C3251" s="739"/>
      <c r="D3251" s="739"/>
      <c r="E3251" s="739"/>
      <c r="F3251" s="739"/>
      <c r="G3251" s="739"/>
      <c r="H3251" s="739"/>
      <c r="I3251" s="739"/>
      <c r="J3251" s="739"/>
      <c r="K3251" s="674"/>
    </row>
    <row r="3252" ht="21.95" customHeight="1" spans="1:11">
      <c r="A3252" s="675"/>
      <c r="B3252" s="676" t="s">
        <v>419</v>
      </c>
      <c r="C3252" s="676"/>
      <c r="D3252" s="676" t="str">
        <f>ENTRY!$D$6</f>
        <v>MCP NITHARI NO 1 BOYS</v>
      </c>
      <c r="E3252" s="676"/>
      <c r="F3252" s="676"/>
      <c r="G3252" s="676"/>
      <c r="H3252" s="676"/>
      <c r="I3252" s="676"/>
      <c r="J3252" s="676"/>
      <c r="K3252" s="677"/>
    </row>
    <row r="3253" ht="21.95" customHeight="1" spans="1:11">
      <c r="A3253" s="675"/>
      <c r="B3253" s="676" t="s">
        <v>420</v>
      </c>
      <c r="C3253" s="676"/>
      <c r="D3253" s="740">
        <f>IFERROR(VLOOKUP($I$3256,STUDENT!$A$2:$BP$101,5,0),"")</f>
        <v>0</v>
      </c>
      <c r="E3253" s="740"/>
      <c r="F3253" s="740"/>
      <c r="G3253" s="740"/>
      <c r="H3253" s="740"/>
      <c r="I3253" s="740"/>
      <c r="J3253" s="740"/>
      <c r="K3253" s="677"/>
    </row>
    <row r="3254" ht="21.95" customHeight="1" spans="1:11">
      <c r="A3254" s="675"/>
      <c r="B3254" s="676" t="s">
        <v>421</v>
      </c>
      <c r="C3254" s="676"/>
      <c r="D3254" s="740">
        <f>IFERROR(VLOOKUP($I$3256,STUDENT!$A$2:$BP$101,8,0),"")</f>
        <v>0</v>
      </c>
      <c r="E3254" s="740"/>
      <c r="F3254" s="740"/>
      <c r="G3254" s="740"/>
      <c r="H3254" s="740"/>
      <c r="I3254" s="740"/>
      <c r="J3254" s="740"/>
      <c r="K3254" s="677"/>
    </row>
    <row r="3255" ht="21.95" customHeight="1" spans="1:11">
      <c r="A3255" s="675"/>
      <c r="B3255" s="676" t="s">
        <v>422</v>
      </c>
      <c r="C3255" s="676"/>
      <c r="D3255" s="740">
        <f>IFERROR(VLOOKUP($I$3256,STUDENT!$A$2:$BP$101,6,0),"")</f>
        <v>0</v>
      </c>
      <c r="E3255" s="740"/>
      <c r="F3255" s="740"/>
      <c r="G3255" s="740"/>
      <c r="H3255" s="740"/>
      <c r="I3255" s="740"/>
      <c r="J3255" s="740"/>
      <c r="K3255" s="677"/>
    </row>
    <row r="3256" ht="21.95" customHeight="1" spans="1:11">
      <c r="A3256" s="675"/>
      <c r="B3256" s="676" t="s">
        <v>423</v>
      </c>
      <c r="C3256" s="676"/>
      <c r="D3256" s="741" t="str">
        <f>IFERROR(VLOOKUP($I$3256,STUDENT!$A$2:$BP$101,59,0),"")</f>
        <v/>
      </c>
      <c r="E3256" s="742" t="s">
        <v>424</v>
      </c>
      <c r="F3256" s="704" t="str">
        <f>IFERROR(VLOOKUP($I$3256,STUDENT!$A$2:$BP$101,2,0),"")</f>
        <v>III-A</v>
      </c>
      <c r="G3256" s="742" t="s">
        <v>425</v>
      </c>
      <c r="H3256" s="743"/>
      <c r="I3256" s="733">
        <f>I3201+1</f>
        <v>60</v>
      </c>
      <c r="J3256" s="683"/>
      <c r="K3256" s="677"/>
    </row>
    <row r="3257" ht="5.1" customHeight="1" spans="1:11">
      <c r="A3257" s="675"/>
      <c r="B3257" s="745"/>
      <c r="C3257" s="745"/>
      <c r="D3257" s="746"/>
      <c r="E3257" s="747"/>
      <c r="F3257" s="748"/>
      <c r="G3257" s="747"/>
      <c r="H3257" s="686"/>
      <c r="I3257" s="686"/>
      <c r="J3257" s="686"/>
      <c r="K3257" s="677"/>
    </row>
    <row r="3258" s="664" customFormat="1" ht="32.1" customHeight="1" spans="1:11">
      <c r="A3258" s="688"/>
      <c r="B3258" s="749" t="s">
        <v>426</v>
      </c>
      <c r="C3258" s="750"/>
      <c r="D3258" s="750"/>
      <c r="E3258" s="750"/>
      <c r="F3258" s="750"/>
      <c r="G3258" s="750"/>
      <c r="H3258" s="750"/>
      <c r="I3258" s="750"/>
      <c r="J3258" s="751"/>
      <c r="K3258" s="690"/>
    </row>
    <row r="3259" ht="51.6" spans="1:11">
      <c r="A3259" s="675"/>
      <c r="B3259" s="752">
        <v>21</v>
      </c>
      <c r="C3259" s="753" t="s">
        <v>427</v>
      </c>
      <c r="D3259" s="754" t="s">
        <v>428</v>
      </c>
      <c r="E3259" s="754" t="s">
        <v>429</v>
      </c>
      <c r="F3259" s="754" t="s">
        <v>430</v>
      </c>
      <c r="G3259" s="753" t="s">
        <v>390</v>
      </c>
      <c r="H3259" s="714"/>
      <c r="I3259" s="714"/>
      <c r="J3259" s="714"/>
      <c r="K3259" s="677"/>
    </row>
    <row r="3260" ht="20.1" customHeight="1" spans="1:11">
      <c r="A3260" s="675"/>
      <c r="B3260" s="755">
        <v>1</v>
      </c>
      <c r="C3260" s="755" t="str">
        <f>IFERROR(VLOOKUP(B3260,DATEWISE!$A$3:$BY$27,2,0),0)</f>
        <v>30.04.2026</v>
      </c>
      <c r="D3260" s="755">
        <f>IF($C$3260=0,NA(),VLOOKUP($I$3256&amp;$B$3260,FLNFIX!$L$4:$EF$103,2,0))</f>
        <v>0</v>
      </c>
      <c r="E3260" s="755">
        <f>IF($C$3260=0,NA(),VLOOKUP($I$3256&amp;$B$3260,FLNFIX!$L$4:$EF$103,4,0))</f>
        <v>0</v>
      </c>
      <c r="F3260" s="755">
        <f>IF($C$3260=0,NA(),VLOOKUP($I$3256&amp;$B$3260,FLNFIX!$L$4:$EF$103,3,0))</f>
        <v>0</v>
      </c>
      <c r="G3260" s="756">
        <f>IF($C$3260=0,NA(),VLOOKUP($I$3256&amp;$B$3260,FLNFIX!$L$4:$EF$103,5,0))</f>
        <v>0</v>
      </c>
      <c r="H3260" s="757"/>
      <c r="I3260" s="757"/>
      <c r="J3260" s="758"/>
      <c r="K3260" s="677"/>
    </row>
    <row r="3261" ht="20.1" customHeight="1" spans="1:11">
      <c r="A3261" s="675"/>
      <c r="B3261" s="755">
        <f t="shared" ref="B3261:B3280" si="59">IF(B3260=0,0,IF(B3260&lt;$B$3259,B3260+1,""))</f>
        <v>2</v>
      </c>
      <c r="C3261" s="755" t="str">
        <f>IFERROR(VLOOKUP(B3261,DATEWISE!$A$3:$BY$27,2,0),0)</f>
        <v>08.05.2026</v>
      </c>
      <c r="D3261" s="755">
        <f>IF($C$3261=0,NA(),VLOOKUP($I$3256&amp;$B$3261,FLNFIX!$Q$4:$EF$103,2,0))</f>
        <v>0</v>
      </c>
      <c r="E3261" s="755">
        <f>IF($C$3261=0,NA(),VLOOKUP($I$3256&amp;$B$3261,FLNFIX!$Q$4:$EF$103,4,0))</f>
        <v>0</v>
      </c>
      <c r="F3261" s="755">
        <f>IF($C$3261=0,NA(),VLOOKUP($I$3256&amp;$B$3261,FLNFIX!$Q$4:$EF$103,3,0))</f>
        <v>0</v>
      </c>
      <c r="G3261" s="756">
        <f>IF($C$3261=0,NA(),VLOOKUP($I$3256&amp;$B$3261,FLNFIX!$Q$4:$EF$103,5,0))</f>
        <v>0</v>
      </c>
      <c r="H3261" s="757"/>
      <c r="I3261" s="757"/>
      <c r="J3261" s="758"/>
      <c r="K3261" s="677"/>
    </row>
    <row r="3262" ht="20.1" customHeight="1" spans="1:11">
      <c r="A3262" s="675"/>
      <c r="B3262" s="755">
        <f t="shared" si="59"/>
        <v>3</v>
      </c>
      <c r="C3262" s="755" t="str">
        <f>IFERROR(VLOOKUP(B3262,DATEWISE!$A$3:$BY$27,2,0),0)</f>
        <v>15.07.2026</v>
      </c>
      <c r="D3262" s="755">
        <f>IF($C$3262=0,NA(),VLOOKUP($I$3256&amp;$B$3262,FLNFIX!$V$4:$EF$103,2,0))</f>
        <v>0</v>
      </c>
      <c r="E3262" s="755">
        <f>IF($C$3262=0,NA(),VLOOKUP($I$3256&amp;$B$3262,FLNFIX!$V$4:$EF$103,4,0))</f>
        <v>0</v>
      </c>
      <c r="F3262" s="755">
        <f>IF($C$3262=0,NA(),VLOOKUP($I$3256&amp;$B$3262,FLNFIX!$V$4:$EF$103,3,0))</f>
        <v>0</v>
      </c>
      <c r="G3262" s="756">
        <f>IF($C$3262=0,NA(),VLOOKUP($I$3256&amp;$B$3262,FLNFIX!$V$4:$EF$103,5,0))</f>
        <v>0</v>
      </c>
      <c r="H3262" s="757"/>
      <c r="I3262" s="757"/>
      <c r="J3262" s="758"/>
      <c r="K3262" s="677"/>
    </row>
    <row r="3263" ht="20.1" customHeight="1" spans="1:11">
      <c r="A3263" s="675"/>
      <c r="B3263" s="755">
        <f t="shared" si="59"/>
        <v>4</v>
      </c>
      <c r="C3263" s="755" t="str">
        <f>IFERROR(VLOOKUP(B3263,DATEWISE!$A$3:$BY$27,2,0),0)</f>
        <v>31.07.2026</v>
      </c>
      <c r="D3263" s="755">
        <f>IF($C$3263=0,NA(),VLOOKUP($I$3256&amp;$B$3263,FLNFIX!$AA$4:$EF$103,2,0))</f>
        <v>0</v>
      </c>
      <c r="E3263" s="755">
        <f>IF($C$3263=0,NA(),VLOOKUP($I$3256&amp;$B$3263,FLNFIX!$AA$4:$EF$103,4,0))</f>
        <v>0</v>
      </c>
      <c r="F3263" s="755">
        <f>IF($C$3263=0,NA(),VLOOKUP($I$3256&amp;$B$3263,FLNFIX!$AA$4:$EF$103,3,0))</f>
        <v>0</v>
      </c>
      <c r="G3263" s="756">
        <f>IF($C$3263=0,NA(),VLOOKUP($I$3256&amp;$B$3263,FLNFIX!$AA$4:$EF$103,5,0))</f>
        <v>0</v>
      </c>
      <c r="H3263" s="757"/>
      <c r="I3263" s="757"/>
      <c r="J3263" s="758"/>
      <c r="K3263" s="677"/>
    </row>
    <row r="3264" ht="20.1" customHeight="1" spans="1:11">
      <c r="A3264" s="675"/>
      <c r="B3264" s="755">
        <f t="shared" si="59"/>
        <v>5</v>
      </c>
      <c r="C3264" s="755" t="str">
        <f>IFERROR(VLOOKUP(B3264,DATEWISE!$A$3:$BY$27,2,0),0)</f>
        <v>17.08.2026</v>
      </c>
      <c r="D3264" s="755">
        <f>IF($C$3264=0,NA(),VLOOKUP($I$3256&amp;$B$3264,FLNFIX!$AF$4:$EF$103,2,0))</f>
        <v>0</v>
      </c>
      <c r="E3264" s="755">
        <f>IF($C$3264=0,NA(),VLOOKUP($I$3256&amp;$B$3264,FLNFIX!$AF$4:$EF$103,4,0))</f>
        <v>0</v>
      </c>
      <c r="F3264" s="755">
        <f>IF($C$3264=0,NA(),VLOOKUP($I$3256&amp;$B$3264,FLNFIX!$AF$4:$EF$103,3,0))</f>
        <v>0</v>
      </c>
      <c r="G3264" s="756">
        <f>IF($C$3264=0,NA(),VLOOKUP($I$3256&amp;$B$3264,FLNFIX!$AF$4:$EF$103,5,0))</f>
        <v>0</v>
      </c>
      <c r="H3264" s="757"/>
      <c r="I3264" s="757"/>
      <c r="J3264" s="758"/>
      <c r="K3264" s="677"/>
    </row>
    <row r="3265" ht="20.1" customHeight="1" spans="1:11">
      <c r="A3265" s="675"/>
      <c r="B3265" s="755">
        <f t="shared" si="59"/>
        <v>6</v>
      </c>
      <c r="C3265" s="755" t="str">
        <f>IFERROR(VLOOKUP(B3265,DATEWISE!$A$3:$BY$27,2,0),0)</f>
        <v>31.08.2026</v>
      </c>
      <c r="D3265" s="755">
        <f>IF($C$3265=0,NA(),VLOOKUP($I$3256&amp;$B$3265,FLNFIX!$AK$4:$EF$103,2,0))</f>
        <v>0</v>
      </c>
      <c r="E3265" s="755">
        <f>IF($C$3265=0,NA(),VLOOKUP($I$3256&amp;$B$3265,FLNFIX!$AK$4:$EF$103,4,0))</f>
        <v>0</v>
      </c>
      <c r="F3265" s="755">
        <f>IF($C$3265=0,NA(),VLOOKUP($I$3256&amp;$B$3265,FLNFIX!$AK$4:$EF$103,3,0))</f>
        <v>0</v>
      </c>
      <c r="G3265" s="756">
        <f>IF($C$3265=0,NA(),VLOOKUP($I$3256&amp;$B$3265,FLNFIX!$AK$4:$EF$103,5,0))</f>
        <v>0</v>
      </c>
      <c r="H3265" s="757"/>
      <c r="I3265" s="757"/>
      <c r="J3265" s="758"/>
      <c r="K3265" s="677"/>
    </row>
    <row r="3266" ht="20.1" customHeight="1" spans="1:11">
      <c r="A3266" s="675"/>
      <c r="B3266" s="755">
        <f t="shared" si="59"/>
        <v>7</v>
      </c>
      <c r="C3266" s="755">
        <f>IFERROR(VLOOKUP(B3266,DATEWISE!$A$3:$BY$27,2,0),0)</f>
        <v>0</v>
      </c>
      <c r="D3266" s="755" t="e">
        <f>IF($C$3266=0,NA(),VLOOKUP($I$3256&amp;$B$3266,FLNFIX!$AP$4:$EF$103,2,0))</f>
        <v>#N/A</v>
      </c>
      <c r="E3266" s="755" t="e">
        <f>IF($C$3266=0,NA(),VLOOKUP($I$3256&amp;$B$3266,FLNFIX!$AP$4:$EF$103,4,0))</f>
        <v>#N/A</v>
      </c>
      <c r="F3266" s="755" t="e">
        <f>IF($C$3266=0,NA(),VLOOKUP($I$3256&amp;$B$3266,FLNFIX!$AP$4:$EF$103,3,0))</f>
        <v>#N/A</v>
      </c>
      <c r="G3266" s="756" t="e">
        <f>IF($C$3266=0,NA(),VLOOKUP($I$3256&amp;$B$3266,FLNFIX!$AP$4:$EF$103,5,0))</f>
        <v>#N/A</v>
      </c>
      <c r="H3266" s="757"/>
      <c r="I3266" s="757"/>
      <c r="J3266" s="758"/>
      <c r="K3266" s="677"/>
    </row>
    <row r="3267" ht="20.1" customHeight="1" spans="1:11">
      <c r="A3267" s="675"/>
      <c r="B3267" s="755">
        <f t="shared" si="59"/>
        <v>8</v>
      </c>
      <c r="C3267" s="755">
        <f>IFERROR(VLOOKUP(B3267,DATEWISE!$A$3:$BY$27,2,0),0)</f>
        <v>0</v>
      </c>
      <c r="D3267" s="755" t="e">
        <f>IF($C$3267=0,NA(),VLOOKUP($I$3256&amp;$B$3267,FLNFIX!$AU$4:$EF$103,2,0))</f>
        <v>#N/A</v>
      </c>
      <c r="E3267" s="755" t="e">
        <f>IF($C$3267=0,NA(),VLOOKUP($I$3256&amp;$B$3267,FLNFIX!$AU$4:$EF$103,4,0))</f>
        <v>#N/A</v>
      </c>
      <c r="F3267" s="755" t="e">
        <f>IF($C$3267=0,NA(),VLOOKUP($I$3256&amp;$B$3267,FLNFIX!$AU$4:$EF$103,3,0))</f>
        <v>#N/A</v>
      </c>
      <c r="G3267" s="756" t="e">
        <f>IF($C$3267=0,NA(),VLOOKUP($I$3256&amp;$B$3267,FLNFIX!$AU$4:$EF$103,5,0))</f>
        <v>#N/A</v>
      </c>
      <c r="H3267" s="757"/>
      <c r="I3267" s="757"/>
      <c r="J3267" s="758"/>
      <c r="K3267" s="677"/>
    </row>
    <row r="3268" ht="20.1" customHeight="1" spans="1:11">
      <c r="A3268" s="675"/>
      <c r="B3268" s="755">
        <f t="shared" si="59"/>
        <v>9</v>
      </c>
      <c r="C3268" s="755">
        <f>IFERROR(VLOOKUP(B3268,DATEWISE!$A$3:$BY$27,2,0),0)</f>
        <v>0</v>
      </c>
      <c r="D3268" s="755" t="e">
        <f>IF($C$3268=0,NA(),VLOOKUP($I$3256&amp;$B$3268,FLNFIX!$AZ$4:$EF$103,2,0))</f>
        <v>#N/A</v>
      </c>
      <c r="E3268" s="755" t="e">
        <f>IF($C$3268=0,NA(),VLOOKUP($I$3256&amp;$B$3268,FLNFIX!$AZ$4:$EF$103,4,0))</f>
        <v>#N/A</v>
      </c>
      <c r="F3268" s="755" t="e">
        <f>IF($C$3268=0,NA(),VLOOKUP($I$3256&amp;$B$3268,FLNFIX!$AZ$4:$EF$103,3,0))</f>
        <v>#N/A</v>
      </c>
      <c r="G3268" s="756" t="e">
        <f>IF($C$3268=0,NA(),VLOOKUP($I$3256&amp;$B$3268,FLNFIX!$AZ$4:$EF$103,5,0))</f>
        <v>#N/A</v>
      </c>
      <c r="H3268" s="757"/>
      <c r="I3268" s="757"/>
      <c r="J3268" s="758"/>
      <c r="K3268" s="677"/>
    </row>
    <row r="3269" ht="20.1" customHeight="1" spans="1:11">
      <c r="A3269" s="675"/>
      <c r="B3269" s="755">
        <f t="shared" si="59"/>
        <v>10</v>
      </c>
      <c r="C3269" s="755">
        <f>IFERROR(VLOOKUP(B3269,DATEWISE!$A$3:$BY$27,2,0),0)</f>
        <v>0</v>
      </c>
      <c r="D3269" s="755" t="e">
        <f>IF($C$3269=0,NA(),VLOOKUP($I$3256&amp;$B$3269,FLNFIX!$BE$4:$EF$103,2,0))</f>
        <v>#N/A</v>
      </c>
      <c r="E3269" s="755" t="e">
        <f>IF($C$3269=0,NA(),VLOOKUP($I$3256&amp;$B$3269,FLNFIX!$BE$4:$EF$103,4,0))</f>
        <v>#N/A</v>
      </c>
      <c r="F3269" s="755" t="e">
        <f>IF($C$3269=0,NA(),VLOOKUP($I$3256&amp;$B$3269,FLNFIX!$BE$4:$EF$103,3,0))</f>
        <v>#N/A</v>
      </c>
      <c r="G3269" s="756" t="e">
        <f>IF($C$3269=0,NA(),VLOOKUP($I$3256&amp;$B$3269,FLNFIX!$BE$4:$EF$103,5,0))</f>
        <v>#N/A</v>
      </c>
      <c r="H3269" s="757"/>
      <c r="I3269" s="757"/>
      <c r="J3269" s="758"/>
      <c r="K3269" s="677"/>
    </row>
    <row r="3270" ht="20.1" customHeight="1" spans="1:11">
      <c r="A3270" s="675"/>
      <c r="B3270" s="755">
        <f t="shared" si="59"/>
        <v>11</v>
      </c>
      <c r="C3270" s="755">
        <f>IFERROR(VLOOKUP(B3270,DATEWISE!$A$3:$BY$27,2,0),0)</f>
        <v>0</v>
      </c>
      <c r="D3270" s="755" t="e">
        <f>IF($C$3270=0,NA(),VLOOKUP($I$3256&amp;$B$3270,FLNFIX!$BJ$4:$EF$103,2,0))</f>
        <v>#N/A</v>
      </c>
      <c r="E3270" s="755" t="e">
        <f>IF($C$3270=0,NA(),VLOOKUP($I$3256&amp;$B$3270,FLNFIX!$BJ$4:$EF$103,4,0))</f>
        <v>#N/A</v>
      </c>
      <c r="F3270" s="755" t="e">
        <f>IF($C$3270=0,NA(),VLOOKUP($I$3256&amp;$B$3270,FLNFIX!$BJ$4:$EF$103,3,0))</f>
        <v>#N/A</v>
      </c>
      <c r="G3270" s="756" t="e">
        <f>IF($C$3270=0,NA(),VLOOKUP($I$3256&amp;$B$3270,FLNFIX!$BJ$4:$EF$103,5,0))</f>
        <v>#N/A</v>
      </c>
      <c r="H3270" s="757"/>
      <c r="I3270" s="757"/>
      <c r="J3270" s="758"/>
      <c r="K3270" s="677"/>
    </row>
    <row r="3271" ht="20.1" customHeight="1" spans="1:11">
      <c r="A3271" s="675"/>
      <c r="B3271" s="755">
        <f t="shared" si="59"/>
        <v>12</v>
      </c>
      <c r="C3271" s="755">
        <f>IFERROR(VLOOKUP(B3271,DATEWISE!$A$3:$BY$27,2,0),0)</f>
        <v>0</v>
      </c>
      <c r="D3271" s="755" t="e">
        <f>IF($C$3271=0,NA(),VLOOKUP($I$3256&amp;$B$3271,FLNFIX!$BO$4:$EF$103,2,0))</f>
        <v>#N/A</v>
      </c>
      <c r="E3271" s="755" t="e">
        <f>IF($C$3271=0,NA(),VLOOKUP($I$3256&amp;$B$3271,FLNFIX!$BO$4:$EF$103,4,0))</f>
        <v>#N/A</v>
      </c>
      <c r="F3271" s="755" t="e">
        <f>IF($C$3271=0,NA(),VLOOKUP($I$3256&amp;$B$3271,FLNFIX!$BO$4:$EF$103,3,0))</f>
        <v>#N/A</v>
      </c>
      <c r="G3271" s="756" t="e">
        <f>IF($C$3271=0,NA(),VLOOKUP($I$3256&amp;$B$3271,FLNFIX!$BO$4:$EF$103,5,0))</f>
        <v>#N/A</v>
      </c>
      <c r="H3271" s="757"/>
      <c r="I3271" s="757"/>
      <c r="J3271" s="758"/>
      <c r="K3271" s="677"/>
    </row>
    <row r="3272" ht="20.1" customHeight="1" spans="1:11">
      <c r="A3272" s="675"/>
      <c r="B3272" s="755">
        <f t="shared" si="59"/>
        <v>13</v>
      </c>
      <c r="C3272" s="755">
        <f>IFERROR(VLOOKUP(B3272,DATEWISE!$A$3:$BY$27,2,0),0)</f>
        <v>0</v>
      </c>
      <c r="D3272" s="755" t="e">
        <f>IF($C$3272=0,NA(),VLOOKUP($I$3256&amp;$B$3272,FLNFIX!$BT$4:$EF$103,2,0))</f>
        <v>#N/A</v>
      </c>
      <c r="E3272" s="755" t="e">
        <f>IF($C$3272=0,NA(),VLOOKUP($I$3256&amp;$B$3272,FLNFIX!$BT$4:$EF$103,4,0))</f>
        <v>#N/A</v>
      </c>
      <c r="F3272" s="755" t="e">
        <f>IF($C$3272=0,NA(),VLOOKUP($I$3256&amp;$B$3272,FLNFIX!$BT$4:$EF$103,3,0))</f>
        <v>#N/A</v>
      </c>
      <c r="G3272" s="756" t="e">
        <f>IF($C$3272=0,NA(),VLOOKUP($I$3256&amp;$B$3272,FLNFIX!$BT$4:$EF$103,5,0))</f>
        <v>#N/A</v>
      </c>
      <c r="H3272" s="757"/>
      <c r="I3272" s="757"/>
      <c r="J3272" s="758"/>
      <c r="K3272" s="677"/>
    </row>
    <row r="3273" ht="20.1" customHeight="1" spans="1:11">
      <c r="A3273" s="675"/>
      <c r="B3273" s="755">
        <f t="shared" si="59"/>
        <v>14</v>
      </c>
      <c r="C3273" s="755">
        <f>IFERROR(VLOOKUP(B3273,DATEWISE!$A$3:$BY$27,2,0),0)</f>
        <v>0</v>
      </c>
      <c r="D3273" s="755" t="e">
        <f>IF($C$3273=0,NA(),VLOOKUP($I$3256&amp;$B$3273,FLNFIX!$BY$4:$EF$103,2,0))</f>
        <v>#N/A</v>
      </c>
      <c r="E3273" s="755" t="e">
        <f>IF($C$3273=0,NA(),VLOOKUP($I$3256&amp;$B$3273,FLNFIX!$BY$4:$EF$103,4,0))</f>
        <v>#N/A</v>
      </c>
      <c r="F3273" s="755" t="e">
        <f>IF($C$3273=0,NA(),VLOOKUP($I$3256&amp;$B$3273,FLNFIX!$BY$4:$EF$103,3,0))</f>
        <v>#N/A</v>
      </c>
      <c r="G3273" s="756" t="e">
        <f>IF($C$3273=0,NA(),VLOOKUP($I$3256&amp;$B$3273,FLNFIX!$BY$4:$EF$103,5,0))</f>
        <v>#N/A</v>
      </c>
      <c r="H3273" s="757"/>
      <c r="I3273" s="757"/>
      <c r="J3273" s="758"/>
      <c r="K3273" s="677"/>
    </row>
    <row r="3274" ht="20.1" customHeight="1" spans="1:11">
      <c r="A3274" s="675"/>
      <c r="B3274" s="755">
        <f t="shared" si="59"/>
        <v>15</v>
      </c>
      <c r="C3274" s="755">
        <f>IFERROR(VLOOKUP(B3274,DATEWISE!$A$3:$BY$27,2,0),0)</f>
        <v>0</v>
      </c>
      <c r="D3274" s="755" t="e">
        <f>IF($C$3274=0,NA(),VLOOKUP($I$3256&amp;$B$3274,FLNFIX!$CD$4:$EF$103,2,0))</f>
        <v>#N/A</v>
      </c>
      <c r="E3274" s="755" t="e">
        <f>IF($C$3274=0,NA(),VLOOKUP($I$3256&amp;$B$3274,FLNFIX!$CD$4:$EF$103,4,0))</f>
        <v>#N/A</v>
      </c>
      <c r="F3274" s="755" t="e">
        <f>IF($C$3274=0,NA(),VLOOKUP($I$3256&amp;$B$3274,FLNFIX!$CD$4:$EF$103,3,0))</f>
        <v>#N/A</v>
      </c>
      <c r="G3274" s="756" t="e">
        <f>IF($C$3274=0,NA(),VLOOKUP($I$3256&amp;$B$3274,FLNFIX!$CD$4:$EF$103,5,0))</f>
        <v>#N/A</v>
      </c>
      <c r="H3274" s="757"/>
      <c r="I3274" s="757"/>
      <c r="J3274" s="758"/>
      <c r="K3274" s="677"/>
    </row>
    <row r="3275" ht="20.1" customHeight="1" spans="1:11">
      <c r="A3275" s="675"/>
      <c r="B3275" s="755">
        <f t="shared" si="59"/>
        <v>16</v>
      </c>
      <c r="C3275" s="755">
        <f>IFERROR(VLOOKUP(B3275,DATEWISE!$A$3:$BY$27,2,0),0)</f>
        <v>0</v>
      </c>
      <c r="D3275" s="755" t="e">
        <f>IF($C$3275=0,NA(),VLOOKUP($I$3256&amp;$B$3275,FLNFIX!$CI$4:$EF$103,2,0))</f>
        <v>#N/A</v>
      </c>
      <c r="E3275" s="755" t="e">
        <f>IF($C$3275=0,NA(),VLOOKUP($I$3256&amp;$B$3275,FLNFIX!$CI$4:$EF$103,4,0))</f>
        <v>#N/A</v>
      </c>
      <c r="F3275" s="755" t="e">
        <f>IF($C$3275=0,NA(),VLOOKUP($I$3256&amp;$B$3275,FLNFIX!$CI$4:$EF$103,3,0))</f>
        <v>#N/A</v>
      </c>
      <c r="G3275" s="756" t="e">
        <f>IF($C$3275=0,NA(),VLOOKUP($I$3256&amp;$B$3275,FLNFIX!$CI$4:$EF$103,5,0))</f>
        <v>#N/A</v>
      </c>
      <c r="H3275" s="757"/>
      <c r="I3275" s="757"/>
      <c r="J3275" s="758"/>
      <c r="K3275" s="677"/>
    </row>
    <row r="3276" ht="20.1" customHeight="1" spans="1:11">
      <c r="A3276" s="675"/>
      <c r="B3276" s="755">
        <f t="shared" si="59"/>
        <v>17</v>
      </c>
      <c r="C3276" s="755">
        <f>IFERROR(VLOOKUP(B3276,DATEWISE!$A$3:$BY$27,2,0),0)</f>
        <v>0</v>
      </c>
      <c r="D3276" s="755" t="e">
        <f>IF($C$3276=0,NA(),VLOOKUP($I$3256&amp;$B$3276,FLNFIX!$CN$4:$EF$103,2,0))</f>
        <v>#N/A</v>
      </c>
      <c r="E3276" s="755" t="e">
        <f>IF($C$3276=0,NA(),VLOOKUP($I$3256&amp;$B$3276,FLNFIX!$CN$4:$EF$103,4,0))</f>
        <v>#N/A</v>
      </c>
      <c r="F3276" s="755" t="e">
        <f>IF($C$3276=0,NA(),VLOOKUP($I$3256&amp;$B$3276,FLNFIX!$CN$4:$EF$103,3,0))</f>
        <v>#N/A</v>
      </c>
      <c r="G3276" s="756" t="e">
        <f>IF($C$3276=0,NA(),VLOOKUP($I$3256&amp;$B$3276,FLNFIX!$CN$4:$EF$103,5,0))</f>
        <v>#N/A</v>
      </c>
      <c r="H3276" s="757"/>
      <c r="I3276" s="757"/>
      <c r="J3276" s="758"/>
      <c r="K3276" s="677"/>
    </row>
    <row r="3277" ht="20.1" customHeight="1" spans="1:11">
      <c r="A3277" s="675"/>
      <c r="B3277" s="755">
        <f t="shared" si="59"/>
        <v>18</v>
      </c>
      <c r="C3277" s="755">
        <f>IFERROR(VLOOKUP(B3277,DATEWISE!$A$3:$BY$27,2,0),0)</f>
        <v>0</v>
      </c>
      <c r="D3277" s="755" t="e">
        <f>IF($C$3277=0,NA(),VLOOKUP($I$3256&amp;$B$3277,FLNFIX!$CS$4:$EF$103,2,0))</f>
        <v>#N/A</v>
      </c>
      <c r="E3277" s="755" t="e">
        <f>IF($C$3277=0,NA(),VLOOKUP($I$3256&amp;$B$3277,FLNFIX!$CS$4:$EF$103,4,0))</f>
        <v>#N/A</v>
      </c>
      <c r="F3277" s="755" t="e">
        <f>IF($C$3277=0,NA(),VLOOKUP($I$3256&amp;$B$3277,FLNFIX!$CS$4:$EF$103,3,0))</f>
        <v>#N/A</v>
      </c>
      <c r="G3277" s="756" t="e">
        <f>IF($C$3277=0,NA(),VLOOKUP($I$3256&amp;$B$3277,FLNFIX!$CS$4:$EF$103,5,0))</f>
        <v>#N/A</v>
      </c>
      <c r="H3277" s="757"/>
      <c r="I3277" s="757"/>
      <c r="J3277" s="758"/>
      <c r="K3277" s="677"/>
    </row>
    <row r="3278" ht="20.1" customHeight="1" spans="1:11">
      <c r="A3278" s="675"/>
      <c r="B3278" s="755">
        <f t="shared" si="59"/>
        <v>19</v>
      </c>
      <c r="C3278" s="755">
        <f>IFERROR(VLOOKUP(B3278,DATEWISE!$A$3:$BY$27,2,0),0)</f>
        <v>0</v>
      </c>
      <c r="D3278" s="755" t="e">
        <f>IF($C$3278=0,NA(),VLOOKUP($I$3256&amp;$B$3278,FLNFIX!$CX$4:$EF$103,2,0))</f>
        <v>#N/A</v>
      </c>
      <c r="E3278" s="755" t="e">
        <f>IF($C$3278=0,NA(),VLOOKUP($I$3256&amp;$B$3278,FLNFIX!$CX$4:$EF$103,4,0))</f>
        <v>#N/A</v>
      </c>
      <c r="F3278" s="755" t="e">
        <f>IF($C$3278=0,NA(),VLOOKUP($I$3256&amp;$B$3278,FLNFIX!$CX$4:$EF$103,3,0))</f>
        <v>#N/A</v>
      </c>
      <c r="G3278" s="756" t="e">
        <f>IF($C$3278=0,NA(),VLOOKUP($I$3256&amp;$B$3278,FLNFIX!$CX$4:$EF$103,5,0))</f>
        <v>#N/A</v>
      </c>
      <c r="H3278" s="757"/>
      <c r="I3278" s="757"/>
      <c r="J3278" s="758"/>
      <c r="K3278" s="677"/>
    </row>
    <row r="3279" ht="20.1" customHeight="1" spans="1:11">
      <c r="A3279" s="675"/>
      <c r="B3279" s="755">
        <f t="shared" si="59"/>
        <v>20</v>
      </c>
      <c r="C3279" s="755">
        <f>IFERROR(VLOOKUP(B3279,DATEWISE!$A$3:$BY$27,2,0),0)</f>
        <v>0</v>
      </c>
      <c r="D3279" s="755" t="e">
        <f>IF($C$3279=0,NA(),VLOOKUP($I$3256&amp;$B$3279,FLNFIX!$DC$4:$EF$103,2,0))</f>
        <v>#N/A</v>
      </c>
      <c r="E3279" s="755" t="e">
        <f>IF($C$3279=0,NA(),VLOOKUP($I$3256&amp;$B$3279,FLNFIX!$DC$4:$EF$103,4,0))</f>
        <v>#N/A</v>
      </c>
      <c r="F3279" s="755" t="e">
        <f>IF($C$3279=0,NA(),VLOOKUP($I$3256&amp;$B$3279,FLNFIX!$DC$4:$EF$103,3,0))</f>
        <v>#N/A</v>
      </c>
      <c r="G3279" s="756" t="e">
        <f>IF($C$3279=0,NA(),VLOOKUP($I$3256&amp;$B$3279,FLNFIX!$DC$4:$EF$103,5,0))</f>
        <v>#N/A</v>
      </c>
      <c r="H3279" s="757"/>
      <c r="I3279" s="757"/>
      <c r="J3279" s="758"/>
      <c r="K3279" s="677"/>
    </row>
    <row r="3280" ht="20.1" customHeight="1" spans="1:11">
      <c r="A3280" s="675"/>
      <c r="B3280" s="755">
        <f t="shared" si="59"/>
        <v>21</v>
      </c>
      <c r="C3280" s="755">
        <f>IFERROR(VLOOKUP(B3280,DATEWISE!$A$3:$BY$27,2,0),0)</f>
        <v>0</v>
      </c>
      <c r="D3280" s="755" t="e">
        <f>IF($C$3280=0,NA(),VLOOKUP($I$3256&amp;$B$3280,FLNFIX!$DH$4:$EF$103,2,0))</f>
        <v>#N/A</v>
      </c>
      <c r="E3280" s="755" t="e">
        <f>IF($C$3280=0,NA(),VLOOKUP($I$3256&amp;$B$3280,FLNFIX!$DH$4:$EF$103,4,0))</f>
        <v>#N/A</v>
      </c>
      <c r="F3280" s="755" t="e">
        <f>IF($C$3280=0,NA(),VLOOKUP($I$3256&amp;$B$3280,FLNFIX!$DH$4:$EF$103,3,0))</f>
        <v>#N/A</v>
      </c>
      <c r="G3280" s="756" t="e">
        <f>IF($C$3280=0,NA(),VLOOKUP($I$3256&amp;$B$3280,FLNFIX!$DH$4:$EF$103,5,0))</f>
        <v>#N/A</v>
      </c>
      <c r="H3280" s="757"/>
      <c r="I3280" s="757"/>
      <c r="J3280" s="758"/>
      <c r="K3280" s="677"/>
    </row>
    <row r="3281" ht="5.1" customHeight="1" spans="1:11">
      <c r="A3281" s="675"/>
      <c r="B3281" s="759"/>
      <c r="C3281" s="759"/>
      <c r="D3281" s="760"/>
      <c r="E3281" s="760"/>
      <c r="F3281" s="760"/>
      <c r="G3281" s="761"/>
      <c r="H3281" s="761"/>
      <c r="I3281" s="761"/>
      <c r="J3281" s="761"/>
      <c r="K3281" s="677"/>
    </row>
    <row r="3282" s="667" customFormat="1" ht="24.95" customHeight="1" spans="1:11">
      <c r="A3282" s="711"/>
      <c r="B3282" s="762" t="s">
        <v>431</v>
      </c>
      <c r="C3282" s="763"/>
      <c r="D3282" s="763"/>
      <c r="E3282" s="763"/>
      <c r="F3282" s="763"/>
      <c r="G3282" s="763"/>
      <c r="H3282" s="763"/>
      <c r="I3282" s="763"/>
      <c r="J3282" s="764"/>
      <c r="K3282" s="713"/>
    </row>
    <row r="3283" spans="1:11">
      <c r="A3283" s="675"/>
      <c r="B3283" s="765"/>
      <c r="C3283" s="686"/>
      <c r="D3283" s="686"/>
      <c r="E3283" s="686"/>
      <c r="F3283" s="686"/>
      <c r="G3283" s="686"/>
      <c r="H3283" s="686"/>
      <c r="I3283" s="686"/>
      <c r="J3283" s="766"/>
      <c r="K3283" s="677"/>
    </row>
    <row r="3284" spans="1:11">
      <c r="A3284" s="675"/>
      <c r="B3284" s="765"/>
      <c r="C3284" s="686"/>
      <c r="D3284" s="686"/>
      <c r="E3284" s="686"/>
      <c r="F3284" s="686"/>
      <c r="G3284" s="686"/>
      <c r="H3284" s="686"/>
      <c r="I3284" s="686"/>
      <c r="J3284" s="766"/>
      <c r="K3284" s="677"/>
    </row>
    <row r="3285" spans="1:11">
      <c r="A3285" s="675"/>
      <c r="B3285" s="765"/>
      <c r="C3285" s="686"/>
      <c r="D3285" s="686"/>
      <c r="E3285" s="686"/>
      <c r="F3285" s="686"/>
      <c r="G3285" s="686"/>
      <c r="H3285" s="686"/>
      <c r="I3285" s="686"/>
      <c r="J3285" s="766"/>
      <c r="K3285" s="677"/>
    </row>
    <row r="3286" spans="1:11">
      <c r="A3286" s="675"/>
      <c r="B3286" s="765"/>
      <c r="C3286" s="686"/>
      <c r="D3286" s="686"/>
      <c r="E3286" s="686"/>
      <c r="F3286" s="686"/>
      <c r="G3286" s="686"/>
      <c r="H3286" s="686"/>
      <c r="I3286" s="686"/>
      <c r="J3286" s="766"/>
      <c r="K3286" s="677"/>
    </row>
    <row r="3287" spans="1:11">
      <c r="A3287" s="675"/>
      <c r="B3287" s="765"/>
      <c r="C3287" s="686"/>
      <c r="D3287" s="686"/>
      <c r="E3287" s="686"/>
      <c r="F3287" s="686"/>
      <c r="G3287" s="686"/>
      <c r="H3287" s="686"/>
      <c r="I3287" s="686"/>
      <c r="J3287" s="766"/>
      <c r="K3287" s="677"/>
    </row>
    <row r="3288" spans="1:11">
      <c r="A3288" s="675"/>
      <c r="B3288" s="765"/>
      <c r="C3288" s="686"/>
      <c r="D3288" s="686"/>
      <c r="E3288" s="686"/>
      <c r="F3288" s="686"/>
      <c r="G3288" s="686"/>
      <c r="H3288" s="686"/>
      <c r="I3288" s="686"/>
      <c r="J3288" s="766"/>
      <c r="K3288" s="677"/>
    </row>
    <row r="3289" spans="1:11">
      <c r="A3289" s="675"/>
      <c r="B3289" s="765"/>
      <c r="C3289" s="686"/>
      <c r="D3289" s="686"/>
      <c r="E3289" s="686"/>
      <c r="F3289" s="686"/>
      <c r="G3289" s="686"/>
      <c r="H3289" s="686"/>
      <c r="I3289" s="686"/>
      <c r="J3289" s="766"/>
      <c r="K3289" s="677"/>
    </row>
    <row r="3290" spans="1:11">
      <c r="A3290" s="675"/>
      <c r="B3290" s="765"/>
      <c r="C3290" s="686"/>
      <c r="D3290" s="686"/>
      <c r="E3290" s="686"/>
      <c r="F3290" s="686"/>
      <c r="G3290" s="686"/>
      <c r="H3290" s="686"/>
      <c r="I3290" s="686"/>
      <c r="J3290" s="766"/>
      <c r="K3290" s="677"/>
    </row>
    <row r="3291" spans="1:11">
      <c r="A3291" s="675"/>
      <c r="B3291" s="765"/>
      <c r="C3291" s="686"/>
      <c r="D3291" s="686"/>
      <c r="E3291" s="686"/>
      <c r="F3291" s="686"/>
      <c r="G3291" s="686"/>
      <c r="H3291" s="686"/>
      <c r="I3291" s="686"/>
      <c r="J3291" s="766"/>
      <c r="K3291" s="677"/>
    </row>
    <row r="3292" spans="1:11">
      <c r="A3292" s="675"/>
      <c r="B3292" s="767"/>
      <c r="C3292" s="768"/>
      <c r="D3292" s="768"/>
      <c r="E3292" s="768"/>
      <c r="F3292" s="768"/>
      <c r="G3292" s="768"/>
      <c r="H3292" s="768"/>
      <c r="I3292" s="768"/>
      <c r="J3292" s="769"/>
      <c r="K3292" s="677"/>
    </row>
    <row r="3293" ht="5.1" customHeight="1" spans="1:11">
      <c r="A3293" s="675"/>
      <c r="B3293" s="686"/>
      <c r="C3293" s="686"/>
      <c r="D3293" s="686"/>
      <c r="E3293" s="686"/>
      <c r="F3293" s="686"/>
      <c r="G3293" s="686"/>
      <c r="H3293" s="686"/>
      <c r="I3293" s="686"/>
      <c r="J3293" s="686"/>
      <c r="K3293" s="677"/>
    </row>
    <row r="3294" spans="1:11">
      <c r="A3294" s="675"/>
      <c r="B3294" s="770" t="s">
        <v>432</v>
      </c>
      <c r="C3294" s="770"/>
      <c r="D3294" s="770"/>
      <c r="E3294" s="770"/>
      <c r="F3294" s="770"/>
      <c r="G3294" s="770"/>
      <c r="H3294" s="770"/>
      <c r="I3294" s="770"/>
      <c r="J3294" s="770"/>
      <c r="K3294" s="677"/>
    </row>
    <row r="3295" spans="1:11">
      <c r="A3295" s="675"/>
      <c r="B3295" s="771"/>
      <c r="C3295" s="771"/>
      <c r="D3295" s="771"/>
      <c r="E3295" s="771"/>
      <c r="F3295" s="771"/>
      <c r="G3295" s="771"/>
      <c r="H3295" s="771"/>
      <c r="I3295" s="771"/>
      <c r="J3295" s="771"/>
      <c r="K3295" s="677"/>
    </row>
    <row r="3296" spans="1:11">
      <c r="A3296" s="675"/>
      <c r="B3296" s="771"/>
      <c r="C3296" s="771"/>
      <c r="D3296" s="771"/>
      <c r="E3296" s="771"/>
      <c r="F3296" s="771"/>
      <c r="G3296" s="771"/>
      <c r="H3296" s="771"/>
      <c r="I3296" s="771"/>
      <c r="J3296" s="771"/>
      <c r="K3296" s="677"/>
    </row>
    <row r="3297" spans="1:11">
      <c r="A3297" s="675"/>
      <c r="B3297" s="771"/>
      <c r="C3297" s="771"/>
      <c r="D3297" s="771"/>
      <c r="E3297" s="771"/>
      <c r="F3297" s="771"/>
      <c r="G3297" s="771"/>
      <c r="H3297" s="771"/>
      <c r="I3297" s="771"/>
      <c r="J3297" s="771"/>
      <c r="K3297" s="677"/>
    </row>
    <row r="3298" spans="1:11">
      <c r="A3298" s="675"/>
      <c r="B3298" s="686"/>
      <c r="C3298" s="686"/>
      <c r="D3298" s="686"/>
      <c r="E3298" s="686"/>
      <c r="F3298" s="686"/>
      <c r="G3298" s="686"/>
      <c r="H3298" s="686"/>
      <c r="I3298" s="686"/>
      <c r="J3298" s="686"/>
      <c r="K3298" s="677"/>
    </row>
    <row r="3299" spans="1:11">
      <c r="A3299" s="675"/>
      <c r="B3299" s="686"/>
      <c r="C3299" s="729" t="s">
        <v>433</v>
      </c>
      <c r="D3299" s="729"/>
      <c r="E3299" s="686"/>
      <c r="F3299" s="686"/>
      <c r="G3299" s="729" t="s">
        <v>434</v>
      </c>
      <c r="H3299" s="729"/>
      <c r="I3299" s="729"/>
      <c r="J3299" s="729"/>
      <c r="K3299" s="677"/>
    </row>
    <row r="3300" ht="16.35" spans="1:11">
      <c r="A3300" s="725"/>
      <c r="B3300" s="726"/>
      <c r="C3300" s="732" t="str">
        <f>"("&amp;PROPER(ENTRY!$D$19)&amp;")"</f>
        <v>(Indrajeet)</v>
      </c>
      <c r="D3300" s="732"/>
      <c r="E3300" s="726"/>
      <c r="F3300" s="726"/>
      <c r="G3300" s="732" t="str">
        <f>"("&amp;PROPER(ENTRY!$D$12)&amp;")"</f>
        <v>(Shambhu Dayal Meena)</v>
      </c>
      <c r="H3300" s="732"/>
      <c r="I3300" s="732"/>
      <c r="J3300" s="732"/>
      <c r="K3300" s="728"/>
    </row>
    <row r="3301" ht="24.6" spans="1:11">
      <c r="B3301" s="734"/>
      <c r="C3301" s="734"/>
      <c r="D3301" s="669" t="str">
        <f>ENTRY!$D$3</f>
        <v>MUNICIPAL CORPORATION OF DELHI</v>
      </c>
      <c r="E3301" s="669"/>
      <c r="F3301" s="669"/>
      <c r="G3301" s="669"/>
      <c r="H3301" s="734"/>
      <c r="I3301" s="669"/>
      <c r="J3301" s="669"/>
    </row>
    <row r="3302" ht="20.4" spans="1:11">
      <c r="B3302" s="735"/>
      <c r="C3302" s="735"/>
      <c r="D3302" s="670" t="str">
        <f>ENTRY!$D$4</f>
        <v>EDUCATION DEPARTMENT</v>
      </c>
      <c r="E3302" s="670"/>
      <c r="F3302" s="670"/>
      <c r="G3302" s="670"/>
      <c r="H3302" s="735"/>
      <c r="I3302" s="669"/>
      <c r="J3302" s="669"/>
    </row>
    <row r="3303" ht="22.8" spans="1:11">
      <c r="B3303" s="736"/>
      <c r="C3303" s="736"/>
      <c r="D3303" s="664" t="s">
        <v>417</v>
      </c>
      <c r="E3303" s="664"/>
      <c r="F3303" s="664"/>
      <c r="G3303" s="664"/>
      <c r="H3303" s="736"/>
      <c r="I3303" s="669"/>
      <c r="J3303" s="669"/>
    </row>
    <row r="3304" ht="22.8" spans="1:11">
      <c r="B3304" s="736"/>
      <c r="C3304" s="736"/>
      <c r="D3304" s="664" t="s">
        <v>418</v>
      </c>
      <c r="E3304" s="664"/>
      <c r="F3304" s="664"/>
      <c r="G3304" s="664"/>
      <c r="H3304" s="736"/>
      <c r="I3304" s="669"/>
      <c r="J3304" s="669"/>
    </row>
    <row r="3305" ht="24.95" customHeight="1" spans="1:11">
      <c r="B3305" s="735"/>
      <c r="C3305" s="735"/>
      <c r="D3305" s="737" t="str">
        <f>"SESSION : "&amp;ENTRY!$D$11</f>
        <v>SESSION : 2026-27</v>
      </c>
      <c r="E3305" s="737"/>
      <c r="F3305" s="737"/>
      <c r="G3305" s="737"/>
      <c r="H3305" s="735"/>
      <c r="I3305" s="738"/>
      <c r="J3305" s="738"/>
    </row>
    <row r="3306" ht="3.75" customHeight="1" spans="1:11">
      <c r="A3306" s="672"/>
      <c r="B3306" s="739"/>
      <c r="C3306" s="739"/>
      <c r="D3306" s="739"/>
      <c r="E3306" s="739"/>
      <c r="F3306" s="739"/>
      <c r="G3306" s="739"/>
      <c r="H3306" s="739"/>
      <c r="I3306" s="739"/>
      <c r="J3306" s="739"/>
      <c r="K3306" s="674"/>
    </row>
    <row r="3307" ht="21.95" customHeight="1" spans="1:11">
      <c r="A3307" s="675"/>
      <c r="B3307" s="676" t="s">
        <v>419</v>
      </c>
      <c r="C3307" s="676"/>
      <c r="D3307" s="676" t="str">
        <f>ENTRY!$D$6</f>
        <v>MCP NITHARI NO 1 BOYS</v>
      </c>
      <c r="E3307" s="676"/>
      <c r="F3307" s="676"/>
      <c r="G3307" s="676"/>
      <c r="H3307" s="676"/>
      <c r="I3307" s="676"/>
      <c r="J3307" s="676"/>
      <c r="K3307" s="677"/>
    </row>
    <row r="3308" ht="21.95" customHeight="1" spans="1:11">
      <c r="A3308" s="675"/>
      <c r="B3308" s="676" t="s">
        <v>420</v>
      </c>
      <c r="C3308" s="676"/>
      <c r="D3308" s="740">
        <f>IFERROR(VLOOKUP($I$3311,STUDENT!$A$2:$BP$101,5,0),"")</f>
        <v>0</v>
      </c>
      <c r="E3308" s="740"/>
      <c r="F3308" s="740"/>
      <c r="G3308" s="740"/>
      <c r="H3308" s="740"/>
      <c r="I3308" s="740"/>
      <c r="J3308" s="740"/>
      <c r="K3308" s="677"/>
    </row>
    <row r="3309" ht="21.95" customHeight="1" spans="1:11">
      <c r="A3309" s="675"/>
      <c r="B3309" s="676" t="s">
        <v>421</v>
      </c>
      <c r="C3309" s="676"/>
      <c r="D3309" s="740">
        <f>IFERROR(VLOOKUP($I$3311,STUDENT!$A$2:$BP$101,8,0),"")</f>
        <v>0</v>
      </c>
      <c r="E3309" s="740"/>
      <c r="F3309" s="740"/>
      <c r="G3309" s="740"/>
      <c r="H3309" s="740"/>
      <c r="I3309" s="740"/>
      <c r="J3309" s="740"/>
      <c r="K3309" s="677"/>
    </row>
    <row r="3310" ht="21.95" customHeight="1" spans="1:11">
      <c r="A3310" s="675"/>
      <c r="B3310" s="676" t="s">
        <v>422</v>
      </c>
      <c r="C3310" s="676"/>
      <c r="D3310" s="740">
        <f>IFERROR(VLOOKUP($I$3311,STUDENT!$A$2:$BP$101,6,0),"")</f>
        <v>0</v>
      </c>
      <c r="E3310" s="740"/>
      <c r="F3310" s="740"/>
      <c r="G3310" s="740"/>
      <c r="H3310" s="740"/>
      <c r="I3310" s="740"/>
      <c r="J3310" s="740"/>
      <c r="K3310" s="677"/>
    </row>
    <row r="3311" ht="21.95" customHeight="1" spans="1:11">
      <c r="A3311" s="675"/>
      <c r="B3311" s="676" t="s">
        <v>423</v>
      </c>
      <c r="C3311" s="676"/>
      <c r="D3311" s="741" t="str">
        <f>IFERROR(VLOOKUP($I$3311,STUDENT!$A$2:$BP$101,59,0),"")</f>
        <v/>
      </c>
      <c r="E3311" s="742" t="s">
        <v>424</v>
      </c>
      <c r="F3311" s="704" t="str">
        <f>IFERROR(VLOOKUP($I$3311,STUDENT!$A$2:$BP$101,2,0),"")</f>
        <v>III-A</v>
      </c>
      <c r="G3311" s="742" t="s">
        <v>425</v>
      </c>
      <c r="H3311" s="743"/>
      <c r="I3311" s="733">
        <f>I3256+1</f>
        <v>61</v>
      </c>
      <c r="J3311" s="683"/>
      <c r="K3311" s="677"/>
    </row>
    <row r="3312" ht="5.1" customHeight="1" spans="1:11">
      <c r="A3312" s="675"/>
      <c r="B3312" s="745"/>
      <c r="C3312" s="745"/>
      <c r="D3312" s="746"/>
      <c r="E3312" s="747"/>
      <c r="F3312" s="748"/>
      <c r="G3312" s="747"/>
      <c r="H3312" s="686"/>
      <c r="I3312" s="686"/>
      <c r="J3312" s="686"/>
      <c r="K3312" s="677"/>
    </row>
    <row r="3313" s="664" customFormat="1" ht="32.1" customHeight="1" spans="1:11">
      <c r="A3313" s="688"/>
      <c r="B3313" s="749" t="s">
        <v>426</v>
      </c>
      <c r="C3313" s="750"/>
      <c r="D3313" s="750"/>
      <c r="E3313" s="750"/>
      <c r="F3313" s="750"/>
      <c r="G3313" s="750"/>
      <c r="H3313" s="750"/>
      <c r="I3313" s="750"/>
      <c r="J3313" s="751"/>
      <c r="K3313" s="690"/>
    </row>
    <row r="3314" ht="51.6" spans="1:11">
      <c r="A3314" s="675"/>
      <c r="B3314" s="752">
        <v>21</v>
      </c>
      <c r="C3314" s="753" t="s">
        <v>427</v>
      </c>
      <c r="D3314" s="754" t="s">
        <v>428</v>
      </c>
      <c r="E3314" s="754" t="s">
        <v>429</v>
      </c>
      <c r="F3314" s="754" t="s">
        <v>430</v>
      </c>
      <c r="G3314" s="753" t="s">
        <v>390</v>
      </c>
      <c r="H3314" s="714"/>
      <c r="I3314" s="714"/>
      <c r="J3314" s="714"/>
      <c r="K3314" s="677"/>
    </row>
    <row r="3315" ht="20.1" customHeight="1" spans="1:11">
      <c r="A3315" s="675"/>
      <c r="B3315" s="755">
        <v>1</v>
      </c>
      <c r="C3315" s="755" t="str">
        <f>IFERROR(VLOOKUP(B3315,DATEWISE!$A$3:$BY$27,2,0),0)</f>
        <v>30.04.2026</v>
      </c>
      <c r="D3315" s="755">
        <f>IF($C$3315=0,NA(),VLOOKUP($I$3311&amp;$B$3315,FLNFIX!$L$4:$EF$103,2,0))</f>
        <v>0</v>
      </c>
      <c r="E3315" s="755">
        <f>IF($C$3315=0,NA(),VLOOKUP($I$3311&amp;$B$3315,FLNFIX!$L$4:$EF$103,4,0))</f>
        <v>0</v>
      </c>
      <c r="F3315" s="755">
        <f>IF($C$3315=0,NA(),VLOOKUP($I$3311&amp;$B$3315,FLNFIX!$L$4:$EF$103,3,0))</f>
        <v>0</v>
      </c>
      <c r="G3315" s="756">
        <f>IF($C$3315=0,NA(),VLOOKUP($I$3311&amp;$B$3315,FLNFIX!$L$4:$EF$103,5,0))</f>
        <v>0</v>
      </c>
      <c r="H3315" s="757"/>
      <c r="I3315" s="757"/>
      <c r="J3315" s="758"/>
      <c r="K3315" s="677"/>
    </row>
    <row r="3316" ht="20.1" customHeight="1" spans="1:11">
      <c r="A3316" s="675"/>
      <c r="B3316" s="755">
        <f t="shared" ref="B3316:B3335" si="60">IF(B3315=0,0,IF(B3315&lt;$B$3314,B3315+1,""))</f>
        <v>2</v>
      </c>
      <c r="C3316" s="755" t="str">
        <f>IFERROR(VLOOKUP(B3316,DATEWISE!$A$3:$BY$27,2,0),0)</f>
        <v>08.05.2026</v>
      </c>
      <c r="D3316" s="755">
        <f>IF($C$3316=0,NA(),VLOOKUP($I$3311&amp;$B$3316,FLNFIX!$Q$4:$EF$103,2,0))</f>
        <v>0</v>
      </c>
      <c r="E3316" s="755">
        <f>IF($C$3316=0,NA(),VLOOKUP($I$3311&amp;$B$3316,FLNFIX!$Q$4:$EF$103,4,0))</f>
        <v>0</v>
      </c>
      <c r="F3316" s="755">
        <f>IF($C$3316=0,NA(),VLOOKUP($I$3311&amp;$B$3316,FLNFIX!$Q$4:$EF$103,3,0))</f>
        <v>0</v>
      </c>
      <c r="G3316" s="756">
        <f>IF($C$3316=0,NA(),VLOOKUP($I$3311&amp;$B$3316,FLNFIX!$Q$4:$EF$103,5,0))</f>
        <v>0</v>
      </c>
      <c r="H3316" s="757"/>
      <c r="I3316" s="757"/>
      <c r="J3316" s="758"/>
      <c r="K3316" s="677"/>
    </row>
    <row r="3317" ht="20.1" customHeight="1" spans="1:11">
      <c r="A3317" s="675"/>
      <c r="B3317" s="755">
        <f t="shared" si="60"/>
        <v>3</v>
      </c>
      <c r="C3317" s="755" t="str">
        <f>IFERROR(VLOOKUP(B3317,DATEWISE!$A$3:$BY$27,2,0),0)</f>
        <v>15.07.2026</v>
      </c>
      <c r="D3317" s="755">
        <f>IF($C$3317=0,NA(),VLOOKUP($I$3311&amp;$B$3317,FLNFIX!$V$4:$EF$103,2,0))</f>
        <v>0</v>
      </c>
      <c r="E3317" s="755">
        <f>IF($C$3317=0,NA(),VLOOKUP($I$3311&amp;$B$3317,FLNFIX!$V$4:$EF$103,4,0))</f>
        <v>0</v>
      </c>
      <c r="F3317" s="755">
        <f>IF($C$3317=0,NA(),VLOOKUP($I$3311&amp;$B$3317,FLNFIX!$V$4:$EF$103,3,0))</f>
        <v>0</v>
      </c>
      <c r="G3317" s="756">
        <f>IF($C$3317=0,NA(),VLOOKUP($I$3311&amp;$B$3317,FLNFIX!$V$4:$EF$103,5,0))</f>
        <v>0</v>
      </c>
      <c r="H3317" s="757"/>
      <c r="I3317" s="757"/>
      <c r="J3317" s="758"/>
      <c r="K3317" s="677"/>
    </row>
    <row r="3318" ht="20.1" customHeight="1" spans="1:11">
      <c r="A3318" s="675"/>
      <c r="B3318" s="755">
        <f t="shared" si="60"/>
        <v>4</v>
      </c>
      <c r="C3318" s="755" t="str">
        <f>IFERROR(VLOOKUP(B3318,DATEWISE!$A$3:$BY$27,2,0),0)</f>
        <v>31.07.2026</v>
      </c>
      <c r="D3318" s="755">
        <f>IF($C$3318=0,NA(),VLOOKUP($I$3311&amp;$B$3318,FLNFIX!$AA$4:$EF$103,2,0))</f>
        <v>0</v>
      </c>
      <c r="E3318" s="755">
        <f>IF($C$3318=0,NA(),VLOOKUP($I$3311&amp;$B$3318,FLNFIX!$AA$4:$EF$103,4,0))</f>
        <v>0</v>
      </c>
      <c r="F3318" s="755">
        <f>IF($C$3318=0,NA(),VLOOKUP($I$3311&amp;$B$3318,FLNFIX!$AA$4:$EF$103,3,0))</f>
        <v>0</v>
      </c>
      <c r="G3318" s="756">
        <f>IF($C$3318=0,NA(),VLOOKUP($I$3311&amp;$B$3318,FLNFIX!$AA$4:$EF$103,5,0))</f>
        <v>0</v>
      </c>
      <c r="H3318" s="757"/>
      <c r="I3318" s="757"/>
      <c r="J3318" s="758"/>
      <c r="K3318" s="677"/>
    </row>
    <row r="3319" ht="20.1" customHeight="1" spans="1:11">
      <c r="A3319" s="675"/>
      <c r="B3319" s="755">
        <f t="shared" si="60"/>
        <v>5</v>
      </c>
      <c r="C3319" s="755" t="str">
        <f>IFERROR(VLOOKUP(B3319,DATEWISE!$A$3:$BY$27,2,0),0)</f>
        <v>17.08.2026</v>
      </c>
      <c r="D3319" s="755">
        <f>IF($C$3319=0,NA(),VLOOKUP($I$3311&amp;$B$3319,FLNFIX!$AF$4:$EF$103,2,0))</f>
        <v>0</v>
      </c>
      <c r="E3319" s="755">
        <f>IF($C$3319=0,NA(),VLOOKUP($I$3311&amp;$B$3319,FLNFIX!$AF$4:$EF$103,4,0))</f>
        <v>0</v>
      </c>
      <c r="F3319" s="755">
        <f>IF($C$3319=0,NA(),VLOOKUP($I$3311&amp;$B$3319,FLNFIX!$AF$4:$EF$103,3,0))</f>
        <v>0</v>
      </c>
      <c r="G3319" s="756">
        <f>IF($C$3319=0,NA(),VLOOKUP($I$3311&amp;$B$3319,FLNFIX!$AF$4:$EF$103,5,0))</f>
        <v>0</v>
      </c>
      <c r="H3319" s="757"/>
      <c r="I3319" s="757"/>
      <c r="J3319" s="758"/>
      <c r="K3319" s="677"/>
    </row>
    <row r="3320" ht="20.1" customHeight="1" spans="1:11">
      <c r="A3320" s="675"/>
      <c r="B3320" s="755">
        <f t="shared" si="60"/>
        <v>6</v>
      </c>
      <c r="C3320" s="755" t="str">
        <f>IFERROR(VLOOKUP(B3320,DATEWISE!$A$3:$BY$27,2,0),0)</f>
        <v>31.08.2026</v>
      </c>
      <c r="D3320" s="755">
        <f>IF($C$3320=0,NA(),VLOOKUP($I$3311&amp;$B$3320,FLNFIX!$AK$4:$EF$103,2,0))</f>
        <v>0</v>
      </c>
      <c r="E3320" s="755">
        <f>IF($C$3320=0,NA(),VLOOKUP($I$3311&amp;$B$3320,FLNFIX!$AK$4:$EF$103,4,0))</f>
        <v>0</v>
      </c>
      <c r="F3320" s="755">
        <f>IF($C$3320=0,NA(),VLOOKUP($I$3311&amp;$B$3320,FLNFIX!$AK$4:$EF$103,3,0))</f>
        <v>0</v>
      </c>
      <c r="G3320" s="756">
        <f>IF($C$3320=0,NA(),VLOOKUP($I$3311&amp;$B$3320,FLNFIX!$AK$4:$EF$103,5,0))</f>
        <v>0</v>
      </c>
      <c r="H3320" s="757"/>
      <c r="I3320" s="757"/>
      <c r="J3320" s="758"/>
      <c r="K3320" s="677"/>
    </row>
    <row r="3321" ht="20.1" customHeight="1" spans="1:11">
      <c r="A3321" s="675"/>
      <c r="B3321" s="755">
        <f t="shared" si="60"/>
        <v>7</v>
      </c>
      <c r="C3321" s="755">
        <f>IFERROR(VLOOKUP(B3321,DATEWISE!$A$3:$BY$27,2,0),0)</f>
        <v>0</v>
      </c>
      <c r="D3321" s="755" t="e">
        <f>IF($C$3321=0,NA(),VLOOKUP($I$3311&amp;$B$3321,FLNFIX!$AP$4:$EF$103,2,0))</f>
        <v>#N/A</v>
      </c>
      <c r="E3321" s="755" t="e">
        <f>IF($C$3321=0,NA(),VLOOKUP($I$3311&amp;$B$3321,FLNFIX!$AP$4:$EF$103,4,0))</f>
        <v>#N/A</v>
      </c>
      <c r="F3321" s="755" t="e">
        <f>IF($C$3321=0,NA(),VLOOKUP($I$3311&amp;$B$3321,FLNFIX!$AP$4:$EF$103,3,0))</f>
        <v>#N/A</v>
      </c>
      <c r="G3321" s="756" t="e">
        <f>IF($C$3321=0,NA(),VLOOKUP($I$3311&amp;$B$3321,FLNFIX!$AP$4:$EF$103,5,0))</f>
        <v>#N/A</v>
      </c>
      <c r="H3321" s="757"/>
      <c r="I3321" s="757"/>
      <c r="J3321" s="758"/>
      <c r="K3321" s="677"/>
    </row>
    <row r="3322" ht="20.1" customHeight="1" spans="1:11">
      <c r="A3322" s="675"/>
      <c r="B3322" s="755">
        <f t="shared" si="60"/>
        <v>8</v>
      </c>
      <c r="C3322" s="755">
        <f>IFERROR(VLOOKUP(B3322,DATEWISE!$A$3:$BY$27,2,0),0)</f>
        <v>0</v>
      </c>
      <c r="D3322" s="755" t="e">
        <f>IF($C$3322=0,NA(),VLOOKUP($I$3311&amp;$B$3322,FLNFIX!$AU$4:$EF$103,2,0))</f>
        <v>#N/A</v>
      </c>
      <c r="E3322" s="755" t="e">
        <f>IF($C$3322=0,NA(),VLOOKUP($I$3311&amp;$B$3322,FLNFIX!$AU$4:$EF$103,4,0))</f>
        <v>#N/A</v>
      </c>
      <c r="F3322" s="755" t="e">
        <f>IF($C$3322=0,NA(),VLOOKUP($I$3311&amp;$B$3322,FLNFIX!$AU$4:$EF$103,3,0))</f>
        <v>#N/A</v>
      </c>
      <c r="G3322" s="756" t="e">
        <f>IF($C$3322=0,NA(),VLOOKUP($I$3311&amp;$B$3322,FLNFIX!$AU$4:$EF$103,5,0))</f>
        <v>#N/A</v>
      </c>
      <c r="H3322" s="757"/>
      <c r="I3322" s="757"/>
      <c r="J3322" s="758"/>
      <c r="K3322" s="677"/>
    </row>
    <row r="3323" ht="20.1" customHeight="1" spans="1:11">
      <c r="A3323" s="675"/>
      <c r="B3323" s="755">
        <f t="shared" si="60"/>
        <v>9</v>
      </c>
      <c r="C3323" s="755">
        <f>IFERROR(VLOOKUP(B3323,DATEWISE!$A$3:$BY$27,2,0),0)</f>
        <v>0</v>
      </c>
      <c r="D3323" s="755" t="e">
        <f>IF($C$3323=0,NA(),VLOOKUP($I$3311&amp;$B$3323,FLNFIX!$AZ$4:$EF$103,2,0))</f>
        <v>#N/A</v>
      </c>
      <c r="E3323" s="755" t="e">
        <f>IF($C$3323=0,NA(),VLOOKUP($I$3311&amp;$B$3323,FLNFIX!$AZ$4:$EF$103,4,0))</f>
        <v>#N/A</v>
      </c>
      <c r="F3323" s="755" t="e">
        <f>IF($C$3323=0,NA(),VLOOKUP($I$3311&amp;$B$3323,FLNFIX!$AZ$4:$EF$103,3,0))</f>
        <v>#N/A</v>
      </c>
      <c r="G3323" s="756" t="e">
        <f>IF($C$3323=0,NA(),VLOOKUP($I$3311&amp;$B$3323,FLNFIX!$AZ$4:$EF$103,5,0))</f>
        <v>#N/A</v>
      </c>
      <c r="H3323" s="757"/>
      <c r="I3323" s="757"/>
      <c r="J3323" s="758"/>
      <c r="K3323" s="677"/>
    </row>
    <row r="3324" ht="20.1" customHeight="1" spans="1:11">
      <c r="A3324" s="675"/>
      <c r="B3324" s="755">
        <f t="shared" si="60"/>
        <v>10</v>
      </c>
      <c r="C3324" s="755">
        <f>IFERROR(VLOOKUP(B3324,DATEWISE!$A$3:$BY$27,2,0),0)</f>
        <v>0</v>
      </c>
      <c r="D3324" s="755" t="e">
        <f>IF($C$3324=0,NA(),VLOOKUP($I$3311&amp;$B$3324,FLNFIX!$BE$4:$EF$103,2,0))</f>
        <v>#N/A</v>
      </c>
      <c r="E3324" s="755" t="e">
        <f>IF($C$3324=0,NA(),VLOOKUP($I$3311&amp;$B$3324,FLNFIX!$BE$4:$EF$103,4,0))</f>
        <v>#N/A</v>
      </c>
      <c r="F3324" s="755" t="e">
        <f>IF($C$3324=0,NA(),VLOOKUP($I$3311&amp;$B$3324,FLNFIX!$BE$4:$EF$103,3,0))</f>
        <v>#N/A</v>
      </c>
      <c r="G3324" s="756" t="e">
        <f>IF($C$3324=0,NA(),VLOOKUP($I$3311&amp;$B$3324,FLNFIX!$BE$4:$EF$103,5,0))</f>
        <v>#N/A</v>
      </c>
      <c r="H3324" s="757"/>
      <c r="I3324" s="757"/>
      <c r="J3324" s="758"/>
      <c r="K3324" s="677"/>
    </row>
    <row r="3325" ht="20.1" customHeight="1" spans="1:11">
      <c r="A3325" s="675"/>
      <c r="B3325" s="755">
        <f t="shared" si="60"/>
        <v>11</v>
      </c>
      <c r="C3325" s="755">
        <f>IFERROR(VLOOKUP(B3325,DATEWISE!$A$3:$BY$27,2,0),0)</f>
        <v>0</v>
      </c>
      <c r="D3325" s="755" t="e">
        <f>IF($C$3325=0,NA(),VLOOKUP($I$3311&amp;$B$3325,FLNFIX!$BJ$4:$EF$103,2,0))</f>
        <v>#N/A</v>
      </c>
      <c r="E3325" s="755" t="e">
        <f>IF($C$3325=0,NA(),VLOOKUP($I$3311&amp;$B$3325,FLNFIX!$BJ$4:$EF$103,4,0))</f>
        <v>#N/A</v>
      </c>
      <c r="F3325" s="755" t="e">
        <f>IF($C$3325=0,NA(),VLOOKUP($I$3311&amp;$B$3325,FLNFIX!$BJ$4:$EF$103,3,0))</f>
        <v>#N/A</v>
      </c>
      <c r="G3325" s="756" t="e">
        <f>IF($C$3325=0,NA(),VLOOKUP($I$3311&amp;$B$3325,FLNFIX!$BJ$4:$EF$103,5,0))</f>
        <v>#N/A</v>
      </c>
      <c r="H3325" s="757"/>
      <c r="I3325" s="757"/>
      <c r="J3325" s="758"/>
      <c r="K3325" s="677"/>
    </row>
    <row r="3326" ht="20.1" customHeight="1" spans="1:11">
      <c r="A3326" s="675"/>
      <c r="B3326" s="755">
        <f t="shared" si="60"/>
        <v>12</v>
      </c>
      <c r="C3326" s="755">
        <f>IFERROR(VLOOKUP(B3326,DATEWISE!$A$3:$BY$27,2,0),0)</f>
        <v>0</v>
      </c>
      <c r="D3326" s="755" t="e">
        <f>IF($C$3326=0,NA(),VLOOKUP($I$3311&amp;$B$3326,FLNFIX!$BO$4:$EF$103,2,0))</f>
        <v>#N/A</v>
      </c>
      <c r="E3326" s="755" t="e">
        <f>IF($C$3326=0,NA(),VLOOKUP($I$3311&amp;$B$3326,FLNFIX!$BO$4:$EF$103,4,0))</f>
        <v>#N/A</v>
      </c>
      <c r="F3326" s="755" t="e">
        <f>IF($C$3326=0,NA(),VLOOKUP($I$3311&amp;$B$3326,FLNFIX!$BO$4:$EF$103,3,0))</f>
        <v>#N/A</v>
      </c>
      <c r="G3326" s="756" t="e">
        <f>IF($C$3326=0,NA(),VLOOKUP($I$3311&amp;$B$3326,FLNFIX!$BO$4:$EF$103,5,0))</f>
        <v>#N/A</v>
      </c>
      <c r="H3326" s="757"/>
      <c r="I3326" s="757"/>
      <c r="J3326" s="758"/>
      <c r="K3326" s="677"/>
    </row>
    <row r="3327" ht="20.1" customHeight="1" spans="1:11">
      <c r="A3327" s="675"/>
      <c r="B3327" s="755">
        <f t="shared" si="60"/>
        <v>13</v>
      </c>
      <c r="C3327" s="755">
        <f>IFERROR(VLOOKUP(B3327,DATEWISE!$A$3:$BY$27,2,0),0)</f>
        <v>0</v>
      </c>
      <c r="D3327" s="755" t="e">
        <f>IF($C$3327=0,NA(),VLOOKUP($I$3311&amp;$B$3327,FLNFIX!$BT$4:$EF$103,2,0))</f>
        <v>#N/A</v>
      </c>
      <c r="E3327" s="755" t="e">
        <f>IF($C$3327=0,NA(),VLOOKUP($I$3311&amp;$B$3327,FLNFIX!$BT$4:$EF$103,4,0))</f>
        <v>#N/A</v>
      </c>
      <c r="F3327" s="755" t="e">
        <f>IF($C$3327=0,NA(),VLOOKUP($I$3311&amp;$B$3327,FLNFIX!$BT$4:$EF$103,3,0))</f>
        <v>#N/A</v>
      </c>
      <c r="G3327" s="756" t="e">
        <f>IF($C$3327=0,NA(),VLOOKUP($I$3311&amp;$B$3327,FLNFIX!$BT$4:$EF$103,5,0))</f>
        <v>#N/A</v>
      </c>
      <c r="H3327" s="757"/>
      <c r="I3327" s="757"/>
      <c r="J3327" s="758"/>
      <c r="K3327" s="677"/>
    </row>
    <row r="3328" ht="20.1" customHeight="1" spans="1:11">
      <c r="A3328" s="675"/>
      <c r="B3328" s="755">
        <f t="shared" si="60"/>
        <v>14</v>
      </c>
      <c r="C3328" s="755">
        <f>IFERROR(VLOOKUP(B3328,DATEWISE!$A$3:$BY$27,2,0),0)</f>
        <v>0</v>
      </c>
      <c r="D3328" s="755" t="e">
        <f>IF($C$3328=0,NA(),VLOOKUP($I$3311&amp;$B$3328,FLNFIX!$BY$4:$EF$103,2,0))</f>
        <v>#N/A</v>
      </c>
      <c r="E3328" s="755" t="e">
        <f>IF($C$3328=0,NA(),VLOOKUP($I$3311&amp;$B$3328,FLNFIX!$BY$4:$EF$103,4,0))</f>
        <v>#N/A</v>
      </c>
      <c r="F3328" s="755" t="e">
        <f>IF($C$3328=0,NA(),VLOOKUP($I$3311&amp;$B$3328,FLNFIX!$BY$4:$EF$103,3,0))</f>
        <v>#N/A</v>
      </c>
      <c r="G3328" s="756" t="e">
        <f>IF($C$3328=0,NA(),VLOOKUP($I$3311&amp;$B$3328,FLNFIX!$BY$4:$EF$103,5,0))</f>
        <v>#N/A</v>
      </c>
      <c r="H3328" s="757"/>
      <c r="I3328" s="757"/>
      <c r="J3328" s="758"/>
      <c r="K3328" s="677"/>
    </row>
    <row r="3329" ht="20.1" customHeight="1" spans="1:11">
      <c r="A3329" s="675"/>
      <c r="B3329" s="755">
        <f t="shared" si="60"/>
        <v>15</v>
      </c>
      <c r="C3329" s="755">
        <f>IFERROR(VLOOKUP(B3329,DATEWISE!$A$3:$BY$27,2,0),0)</f>
        <v>0</v>
      </c>
      <c r="D3329" s="755" t="e">
        <f>IF($C$3329=0,NA(),VLOOKUP($I$3311&amp;$B$3329,FLNFIX!$CD$4:$EF$103,2,0))</f>
        <v>#N/A</v>
      </c>
      <c r="E3329" s="755" t="e">
        <f>IF($C$3329=0,NA(),VLOOKUP($I$3311&amp;$B$3329,FLNFIX!$CD$4:$EF$103,4,0))</f>
        <v>#N/A</v>
      </c>
      <c r="F3329" s="755" t="e">
        <f>IF($C$3329=0,NA(),VLOOKUP($I$3311&amp;$B$3329,FLNFIX!$CD$4:$EF$103,3,0))</f>
        <v>#N/A</v>
      </c>
      <c r="G3329" s="756" t="e">
        <f>IF($C$3329=0,NA(),VLOOKUP($I$3311&amp;$B$3329,FLNFIX!$CD$4:$EF$103,5,0))</f>
        <v>#N/A</v>
      </c>
      <c r="H3329" s="757"/>
      <c r="I3329" s="757"/>
      <c r="J3329" s="758"/>
      <c r="K3329" s="677"/>
    </row>
    <row r="3330" ht="20.1" customHeight="1" spans="1:11">
      <c r="A3330" s="675"/>
      <c r="B3330" s="755">
        <f t="shared" si="60"/>
        <v>16</v>
      </c>
      <c r="C3330" s="755">
        <f>IFERROR(VLOOKUP(B3330,DATEWISE!$A$3:$BY$27,2,0),0)</f>
        <v>0</v>
      </c>
      <c r="D3330" s="755" t="e">
        <f>IF($C$3330=0,NA(),VLOOKUP($I$3311&amp;$B$3330,FLNFIX!$CI$4:$EF$103,2,0))</f>
        <v>#N/A</v>
      </c>
      <c r="E3330" s="755" t="e">
        <f>IF($C$3330=0,NA(),VLOOKUP($I$3311&amp;$B$3330,FLNFIX!$CI$4:$EF$103,4,0))</f>
        <v>#N/A</v>
      </c>
      <c r="F3330" s="755" t="e">
        <f>IF($C$3330=0,NA(),VLOOKUP($I$3311&amp;$B$3330,FLNFIX!$CI$4:$EF$103,3,0))</f>
        <v>#N/A</v>
      </c>
      <c r="G3330" s="756" t="e">
        <f>IF($C$3330=0,NA(),VLOOKUP($I$3311&amp;$B$3330,FLNFIX!$CI$4:$EF$103,5,0))</f>
        <v>#N/A</v>
      </c>
      <c r="H3330" s="757"/>
      <c r="I3330" s="757"/>
      <c r="J3330" s="758"/>
      <c r="K3330" s="677"/>
    </row>
    <row r="3331" ht="20.1" customHeight="1" spans="1:11">
      <c r="A3331" s="675"/>
      <c r="B3331" s="755">
        <f t="shared" si="60"/>
        <v>17</v>
      </c>
      <c r="C3331" s="755">
        <f>IFERROR(VLOOKUP(B3331,DATEWISE!$A$3:$BY$27,2,0),0)</f>
        <v>0</v>
      </c>
      <c r="D3331" s="755" t="e">
        <f>IF($C$3331=0,NA(),VLOOKUP($I$3311&amp;$B$3331,FLNFIX!$CN$4:$EF$103,2,0))</f>
        <v>#N/A</v>
      </c>
      <c r="E3331" s="755" t="e">
        <f>IF($C$3331=0,NA(),VLOOKUP($I$3311&amp;$B$3331,FLNFIX!$CN$4:$EF$103,4,0))</f>
        <v>#N/A</v>
      </c>
      <c r="F3331" s="755" t="e">
        <f>IF($C$3331=0,NA(),VLOOKUP($I$3311&amp;$B$3331,FLNFIX!$CN$4:$EF$103,3,0))</f>
        <v>#N/A</v>
      </c>
      <c r="G3331" s="756" t="e">
        <f>IF($C$3331=0,NA(),VLOOKUP($I$3311&amp;$B$3331,FLNFIX!$CN$4:$EF$103,5,0))</f>
        <v>#N/A</v>
      </c>
      <c r="H3331" s="757"/>
      <c r="I3331" s="757"/>
      <c r="J3331" s="758"/>
      <c r="K3331" s="677"/>
    </row>
    <row r="3332" ht="20.1" customHeight="1" spans="1:11">
      <c r="A3332" s="675"/>
      <c r="B3332" s="755">
        <f t="shared" si="60"/>
        <v>18</v>
      </c>
      <c r="C3332" s="755">
        <f>IFERROR(VLOOKUP(B3332,DATEWISE!$A$3:$BY$27,2,0),0)</f>
        <v>0</v>
      </c>
      <c r="D3332" s="755" t="e">
        <f>IF($C$3332=0,NA(),VLOOKUP($I$3311&amp;$B$3332,FLNFIX!$CS$4:$EF$103,2,0))</f>
        <v>#N/A</v>
      </c>
      <c r="E3332" s="755" t="e">
        <f>IF($C$3332=0,NA(),VLOOKUP($I$3311&amp;$B$3332,FLNFIX!$CS$4:$EF$103,4,0))</f>
        <v>#N/A</v>
      </c>
      <c r="F3332" s="755" t="e">
        <f>IF($C$3332=0,NA(),VLOOKUP($I$3311&amp;$B$3332,FLNFIX!$CS$4:$EF$103,3,0))</f>
        <v>#N/A</v>
      </c>
      <c r="G3332" s="756" t="e">
        <f>IF($C$3332=0,NA(),VLOOKUP($I$3311&amp;$B$3332,FLNFIX!$CS$4:$EF$103,5,0))</f>
        <v>#N/A</v>
      </c>
      <c r="H3332" s="757"/>
      <c r="I3332" s="757"/>
      <c r="J3332" s="758"/>
      <c r="K3332" s="677"/>
    </row>
    <row r="3333" ht="20.1" customHeight="1" spans="1:11">
      <c r="A3333" s="675"/>
      <c r="B3333" s="755">
        <f t="shared" si="60"/>
        <v>19</v>
      </c>
      <c r="C3333" s="755">
        <f>IFERROR(VLOOKUP(B3333,DATEWISE!$A$3:$BY$27,2,0),0)</f>
        <v>0</v>
      </c>
      <c r="D3333" s="755" t="e">
        <f>IF($C$3333=0,NA(),VLOOKUP($I$3311&amp;$B$3333,FLNFIX!$CX$4:$EF$103,2,0))</f>
        <v>#N/A</v>
      </c>
      <c r="E3333" s="755" t="e">
        <f>IF($C$3333=0,NA(),VLOOKUP($I$3311&amp;$B$3333,FLNFIX!$CX$4:$EF$103,4,0))</f>
        <v>#N/A</v>
      </c>
      <c r="F3333" s="755" t="e">
        <f>IF($C$3333=0,NA(),VLOOKUP($I$3311&amp;$B$3333,FLNFIX!$CX$4:$EF$103,3,0))</f>
        <v>#N/A</v>
      </c>
      <c r="G3333" s="756" t="e">
        <f>IF($C$3333=0,NA(),VLOOKUP($I$3311&amp;$B$3333,FLNFIX!$CX$4:$EF$103,5,0))</f>
        <v>#N/A</v>
      </c>
      <c r="H3333" s="757"/>
      <c r="I3333" s="757"/>
      <c r="J3333" s="758"/>
      <c r="K3333" s="677"/>
    </row>
    <row r="3334" ht="20.1" customHeight="1" spans="1:11">
      <c r="A3334" s="675"/>
      <c r="B3334" s="755">
        <f t="shared" si="60"/>
        <v>20</v>
      </c>
      <c r="C3334" s="755">
        <f>IFERROR(VLOOKUP(B3334,DATEWISE!$A$3:$BY$27,2,0),0)</f>
        <v>0</v>
      </c>
      <c r="D3334" s="755" t="e">
        <f>IF($C$3334=0,NA(),VLOOKUP($I$3311&amp;$B$3334,FLNFIX!$DC$4:$EF$103,2,0))</f>
        <v>#N/A</v>
      </c>
      <c r="E3334" s="755" t="e">
        <f>IF($C$3334=0,NA(),VLOOKUP($I$3311&amp;$B$3334,FLNFIX!$DC$4:$EF$103,4,0))</f>
        <v>#N/A</v>
      </c>
      <c r="F3334" s="755" t="e">
        <f>IF($C$3334=0,NA(),VLOOKUP($I$3311&amp;$B$3334,FLNFIX!$DC$4:$EF$103,3,0))</f>
        <v>#N/A</v>
      </c>
      <c r="G3334" s="756" t="e">
        <f>IF($C$3334=0,NA(),VLOOKUP($I$3311&amp;$B$3334,FLNFIX!$DC$4:$EF$103,5,0))</f>
        <v>#N/A</v>
      </c>
      <c r="H3334" s="757"/>
      <c r="I3334" s="757"/>
      <c r="J3334" s="758"/>
      <c r="K3334" s="677"/>
    </row>
    <row r="3335" ht="20.1" customHeight="1" spans="1:11">
      <c r="A3335" s="675"/>
      <c r="B3335" s="755">
        <f t="shared" si="60"/>
        <v>21</v>
      </c>
      <c r="C3335" s="755">
        <f>IFERROR(VLOOKUP(B3335,DATEWISE!$A$3:$BY$27,2,0),0)</f>
        <v>0</v>
      </c>
      <c r="D3335" s="755" t="e">
        <f>IF($C$3335=0,NA(),VLOOKUP($I$3311&amp;$B$3335,FLNFIX!$DH$4:$EF$103,2,0))</f>
        <v>#N/A</v>
      </c>
      <c r="E3335" s="755" t="e">
        <f>IF($C$3335=0,NA(),VLOOKUP($I$3311&amp;$B$3335,FLNFIX!$DH$4:$EF$103,4,0))</f>
        <v>#N/A</v>
      </c>
      <c r="F3335" s="755" t="e">
        <f>IF($C$3335=0,NA(),VLOOKUP($I$3311&amp;$B$3335,FLNFIX!$DH$4:$EF$103,3,0))</f>
        <v>#N/A</v>
      </c>
      <c r="G3335" s="756" t="e">
        <f>IF($C$3335=0,NA(),VLOOKUP($I$3311&amp;$B$3335,FLNFIX!$DH$4:$EF$103,5,0))</f>
        <v>#N/A</v>
      </c>
      <c r="H3335" s="757"/>
      <c r="I3335" s="757"/>
      <c r="J3335" s="758"/>
      <c r="K3335" s="677"/>
    </row>
    <row r="3336" ht="5.1" customHeight="1" spans="1:11">
      <c r="A3336" s="675"/>
      <c r="B3336" s="759"/>
      <c r="C3336" s="759"/>
      <c r="D3336" s="760"/>
      <c r="E3336" s="760"/>
      <c r="F3336" s="760"/>
      <c r="G3336" s="761"/>
      <c r="H3336" s="761"/>
      <c r="I3336" s="761"/>
      <c r="J3336" s="761"/>
      <c r="K3336" s="677"/>
    </row>
    <row r="3337" s="667" customFormat="1" ht="24.95" customHeight="1" spans="1:11">
      <c r="A3337" s="711"/>
      <c r="B3337" s="762" t="s">
        <v>431</v>
      </c>
      <c r="C3337" s="763"/>
      <c r="D3337" s="763"/>
      <c r="E3337" s="763"/>
      <c r="F3337" s="763"/>
      <c r="G3337" s="763"/>
      <c r="H3337" s="763"/>
      <c r="I3337" s="763"/>
      <c r="J3337" s="764"/>
      <c r="K3337" s="713"/>
    </row>
    <row r="3338" spans="1:11">
      <c r="A3338" s="675"/>
      <c r="B3338" s="765"/>
      <c r="C3338" s="686"/>
      <c r="D3338" s="686"/>
      <c r="E3338" s="686"/>
      <c r="F3338" s="686"/>
      <c r="G3338" s="686"/>
      <c r="H3338" s="686"/>
      <c r="I3338" s="686"/>
      <c r="J3338" s="766"/>
      <c r="K3338" s="677"/>
    </row>
    <row r="3339" spans="1:11">
      <c r="A3339" s="675"/>
      <c r="B3339" s="765"/>
      <c r="C3339" s="686"/>
      <c r="D3339" s="686"/>
      <c r="E3339" s="686"/>
      <c r="F3339" s="686"/>
      <c r="G3339" s="686"/>
      <c r="H3339" s="686"/>
      <c r="I3339" s="686"/>
      <c r="J3339" s="766"/>
      <c r="K3339" s="677"/>
    </row>
    <row r="3340" spans="1:11">
      <c r="A3340" s="675"/>
      <c r="B3340" s="765"/>
      <c r="C3340" s="686"/>
      <c r="D3340" s="686"/>
      <c r="E3340" s="686"/>
      <c r="F3340" s="686"/>
      <c r="G3340" s="686"/>
      <c r="H3340" s="686"/>
      <c r="I3340" s="686"/>
      <c r="J3340" s="766"/>
      <c r="K3340" s="677"/>
    </row>
    <row r="3341" spans="1:11">
      <c r="A3341" s="675"/>
      <c r="B3341" s="765"/>
      <c r="C3341" s="686"/>
      <c r="D3341" s="686"/>
      <c r="E3341" s="686"/>
      <c r="F3341" s="686"/>
      <c r="G3341" s="686"/>
      <c r="H3341" s="686"/>
      <c r="I3341" s="686"/>
      <c r="J3341" s="766"/>
      <c r="K3341" s="677"/>
    </row>
    <row r="3342" spans="1:11">
      <c r="A3342" s="675"/>
      <c r="B3342" s="765"/>
      <c r="C3342" s="686"/>
      <c r="D3342" s="686"/>
      <c r="E3342" s="686"/>
      <c r="F3342" s="686"/>
      <c r="G3342" s="686"/>
      <c r="H3342" s="686"/>
      <c r="I3342" s="686"/>
      <c r="J3342" s="766"/>
      <c r="K3342" s="677"/>
    </row>
    <row r="3343" spans="1:11">
      <c r="A3343" s="675"/>
      <c r="B3343" s="765"/>
      <c r="C3343" s="686"/>
      <c r="D3343" s="686"/>
      <c r="E3343" s="686"/>
      <c r="F3343" s="686"/>
      <c r="G3343" s="686"/>
      <c r="H3343" s="686"/>
      <c r="I3343" s="686"/>
      <c r="J3343" s="766"/>
      <c r="K3343" s="677"/>
    </row>
    <row r="3344" spans="1:11">
      <c r="A3344" s="675"/>
      <c r="B3344" s="765"/>
      <c r="C3344" s="686"/>
      <c r="D3344" s="686"/>
      <c r="E3344" s="686"/>
      <c r="F3344" s="686"/>
      <c r="G3344" s="686"/>
      <c r="H3344" s="686"/>
      <c r="I3344" s="686"/>
      <c r="J3344" s="766"/>
      <c r="K3344" s="677"/>
    </row>
    <row r="3345" spans="1:11">
      <c r="A3345" s="675"/>
      <c r="B3345" s="765"/>
      <c r="C3345" s="686"/>
      <c r="D3345" s="686"/>
      <c r="E3345" s="686"/>
      <c r="F3345" s="686"/>
      <c r="G3345" s="686"/>
      <c r="H3345" s="686"/>
      <c r="I3345" s="686"/>
      <c r="J3345" s="766"/>
      <c r="K3345" s="677"/>
    </row>
    <row r="3346" spans="1:11">
      <c r="A3346" s="675"/>
      <c r="B3346" s="765"/>
      <c r="C3346" s="686"/>
      <c r="D3346" s="686"/>
      <c r="E3346" s="686"/>
      <c r="F3346" s="686"/>
      <c r="G3346" s="686"/>
      <c r="H3346" s="686"/>
      <c r="I3346" s="686"/>
      <c r="J3346" s="766"/>
      <c r="K3346" s="677"/>
    </row>
    <row r="3347" spans="1:11">
      <c r="A3347" s="675"/>
      <c r="B3347" s="767"/>
      <c r="C3347" s="768"/>
      <c r="D3347" s="768"/>
      <c r="E3347" s="768"/>
      <c r="F3347" s="768"/>
      <c r="G3347" s="768"/>
      <c r="H3347" s="768"/>
      <c r="I3347" s="768"/>
      <c r="J3347" s="769"/>
      <c r="K3347" s="677"/>
    </row>
    <row r="3348" ht="5.1" customHeight="1" spans="1:11">
      <c r="A3348" s="675"/>
      <c r="B3348" s="686"/>
      <c r="C3348" s="686"/>
      <c r="D3348" s="686"/>
      <c r="E3348" s="686"/>
      <c r="F3348" s="686"/>
      <c r="G3348" s="686"/>
      <c r="H3348" s="686"/>
      <c r="I3348" s="686"/>
      <c r="J3348" s="686"/>
      <c r="K3348" s="677"/>
    </row>
    <row r="3349" spans="1:11">
      <c r="A3349" s="675"/>
      <c r="B3349" s="770" t="s">
        <v>432</v>
      </c>
      <c r="C3349" s="770"/>
      <c r="D3349" s="770"/>
      <c r="E3349" s="770"/>
      <c r="F3349" s="770"/>
      <c r="G3349" s="770"/>
      <c r="H3349" s="770"/>
      <c r="I3349" s="770"/>
      <c r="J3349" s="770"/>
      <c r="K3349" s="677"/>
    </row>
    <row r="3350" spans="1:11">
      <c r="A3350" s="675"/>
      <c r="B3350" s="771"/>
      <c r="C3350" s="771"/>
      <c r="D3350" s="771"/>
      <c r="E3350" s="771"/>
      <c r="F3350" s="771"/>
      <c r="G3350" s="771"/>
      <c r="H3350" s="771"/>
      <c r="I3350" s="771"/>
      <c r="J3350" s="771"/>
      <c r="K3350" s="677"/>
    </row>
    <row r="3351" spans="1:11">
      <c r="A3351" s="675"/>
      <c r="B3351" s="771"/>
      <c r="C3351" s="771"/>
      <c r="D3351" s="771"/>
      <c r="E3351" s="771"/>
      <c r="F3351" s="771"/>
      <c r="G3351" s="771"/>
      <c r="H3351" s="771"/>
      <c r="I3351" s="771"/>
      <c r="J3351" s="771"/>
      <c r="K3351" s="677"/>
    </row>
    <row r="3352" spans="1:11">
      <c r="A3352" s="675"/>
      <c r="B3352" s="771"/>
      <c r="C3352" s="771"/>
      <c r="D3352" s="771"/>
      <c r="E3352" s="771"/>
      <c r="F3352" s="771"/>
      <c r="G3352" s="771"/>
      <c r="H3352" s="771"/>
      <c r="I3352" s="771"/>
      <c r="J3352" s="771"/>
      <c r="K3352" s="677"/>
    </row>
    <row r="3353" spans="1:11">
      <c r="A3353" s="675"/>
      <c r="B3353" s="686"/>
      <c r="C3353" s="686"/>
      <c r="D3353" s="686"/>
      <c r="E3353" s="686"/>
      <c r="F3353" s="686"/>
      <c r="G3353" s="686"/>
      <c r="H3353" s="686"/>
      <c r="I3353" s="686"/>
      <c r="J3353" s="686"/>
      <c r="K3353" s="677"/>
    </row>
    <row r="3354" spans="1:11">
      <c r="A3354" s="675"/>
      <c r="B3354" s="686"/>
      <c r="C3354" s="729" t="s">
        <v>433</v>
      </c>
      <c r="D3354" s="729"/>
      <c r="E3354" s="686"/>
      <c r="F3354" s="686"/>
      <c r="G3354" s="729" t="s">
        <v>434</v>
      </c>
      <c r="H3354" s="729"/>
      <c r="I3354" s="729"/>
      <c r="J3354" s="729"/>
      <c r="K3354" s="677"/>
    </row>
    <row r="3355" ht="16.35" spans="1:11">
      <c r="A3355" s="725"/>
      <c r="B3355" s="726"/>
      <c r="C3355" s="732" t="str">
        <f>"("&amp;PROPER(ENTRY!$D$19)&amp;")"</f>
        <v>(Indrajeet)</v>
      </c>
      <c r="D3355" s="732"/>
      <c r="E3355" s="726"/>
      <c r="F3355" s="726"/>
      <c r="G3355" s="732" t="str">
        <f>"("&amp;PROPER(ENTRY!$D$12)&amp;")"</f>
        <v>(Shambhu Dayal Meena)</v>
      </c>
      <c r="H3355" s="732"/>
      <c r="I3355" s="732"/>
      <c r="J3355" s="732"/>
      <c r="K3355" s="728"/>
    </row>
    <row r="3356" ht="24.6" spans="1:11">
      <c r="B3356" s="734"/>
      <c r="C3356" s="734"/>
      <c r="D3356" s="669" t="str">
        <f>ENTRY!$D$3</f>
        <v>MUNICIPAL CORPORATION OF DELHI</v>
      </c>
      <c r="E3356" s="669"/>
      <c r="F3356" s="669"/>
      <c r="G3356" s="669"/>
      <c r="H3356" s="734"/>
      <c r="I3356" s="669"/>
      <c r="J3356" s="669"/>
    </row>
    <row r="3357" ht="20.4" spans="1:11">
      <c r="B3357" s="735"/>
      <c r="C3357" s="735"/>
      <c r="D3357" s="670" t="str">
        <f>ENTRY!$D$4</f>
        <v>EDUCATION DEPARTMENT</v>
      </c>
      <c r="E3357" s="670"/>
      <c r="F3357" s="670"/>
      <c r="G3357" s="670"/>
      <c r="H3357" s="735"/>
      <c r="I3357" s="669"/>
      <c r="J3357" s="669"/>
    </row>
    <row r="3358" ht="22.8" spans="1:11">
      <c r="B3358" s="736"/>
      <c r="C3358" s="736"/>
      <c r="D3358" s="664" t="s">
        <v>417</v>
      </c>
      <c r="E3358" s="664"/>
      <c r="F3358" s="664"/>
      <c r="G3358" s="664"/>
      <c r="H3358" s="736"/>
      <c r="I3358" s="669"/>
      <c r="J3358" s="669"/>
    </row>
    <row r="3359" ht="22.8" spans="1:11">
      <c r="B3359" s="736"/>
      <c r="C3359" s="736"/>
      <c r="D3359" s="664" t="s">
        <v>418</v>
      </c>
      <c r="E3359" s="664"/>
      <c r="F3359" s="664"/>
      <c r="G3359" s="664"/>
      <c r="H3359" s="736"/>
      <c r="I3359" s="669"/>
      <c r="J3359" s="669"/>
    </row>
    <row r="3360" ht="24.95" customHeight="1" spans="1:11">
      <c r="B3360" s="735"/>
      <c r="C3360" s="735"/>
      <c r="D3360" s="737" t="str">
        <f>"SESSION : "&amp;ENTRY!$D$11</f>
        <v>SESSION : 2026-27</v>
      </c>
      <c r="E3360" s="737"/>
      <c r="F3360" s="737"/>
      <c r="G3360" s="737"/>
      <c r="H3360" s="735"/>
      <c r="I3360" s="738"/>
      <c r="J3360" s="738"/>
    </row>
    <row r="3361" ht="3.75" customHeight="1" spans="1:11">
      <c r="A3361" s="672"/>
      <c r="B3361" s="739"/>
      <c r="C3361" s="739"/>
      <c r="D3361" s="739"/>
      <c r="E3361" s="739"/>
      <c r="F3361" s="739"/>
      <c r="G3361" s="739"/>
      <c r="H3361" s="739"/>
      <c r="I3361" s="739"/>
      <c r="J3361" s="739"/>
      <c r="K3361" s="674"/>
    </row>
    <row r="3362" ht="21.95" customHeight="1" spans="1:11">
      <c r="A3362" s="675"/>
      <c r="B3362" s="676" t="s">
        <v>419</v>
      </c>
      <c r="C3362" s="676"/>
      <c r="D3362" s="676" t="str">
        <f>ENTRY!$D$6</f>
        <v>MCP NITHARI NO 1 BOYS</v>
      </c>
      <c r="E3362" s="676"/>
      <c r="F3362" s="676"/>
      <c r="G3362" s="676"/>
      <c r="H3362" s="676"/>
      <c r="I3362" s="676"/>
      <c r="J3362" s="676"/>
      <c r="K3362" s="677"/>
    </row>
    <row r="3363" ht="21.95" customHeight="1" spans="1:11">
      <c r="A3363" s="675"/>
      <c r="B3363" s="676" t="s">
        <v>420</v>
      </c>
      <c r="C3363" s="676"/>
      <c r="D3363" s="740">
        <f>IFERROR(VLOOKUP($I$3366,STUDENT!$A$2:$BP$101,5,0),"")</f>
        <v>0</v>
      </c>
      <c r="E3363" s="740"/>
      <c r="F3363" s="740"/>
      <c r="G3363" s="740"/>
      <c r="H3363" s="740"/>
      <c r="I3363" s="740"/>
      <c r="J3363" s="740"/>
      <c r="K3363" s="677"/>
    </row>
    <row r="3364" ht="21.95" customHeight="1" spans="1:11">
      <c r="A3364" s="675"/>
      <c r="B3364" s="676" t="s">
        <v>421</v>
      </c>
      <c r="C3364" s="676"/>
      <c r="D3364" s="740">
        <f>IFERROR(VLOOKUP($I$3366,STUDENT!$A$2:$BP$101,8,0),"")</f>
        <v>0</v>
      </c>
      <c r="E3364" s="740"/>
      <c r="F3364" s="740"/>
      <c r="G3364" s="740"/>
      <c r="H3364" s="740"/>
      <c r="I3364" s="740"/>
      <c r="J3364" s="740"/>
      <c r="K3364" s="677"/>
    </row>
    <row r="3365" ht="21.95" customHeight="1" spans="1:11">
      <c r="A3365" s="675"/>
      <c r="B3365" s="676" t="s">
        <v>422</v>
      </c>
      <c r="C3365" s="676"/>
      <c r="D3365" s="740">
        <f>IFERROR(VLOOKUP($I$3366,STUDENT!$A$2:$BP$101,6,0),"")</f>
        <v>0</v>
      </c>
      <c r="E3365" s="740"/>
      <c r="F3365" s="740"/>
      <c r="G3365" s="740"/>
      <c r="H3365" s="740"/>
      <c r="I3365" s="740"/>
      <c r="J3365" s="740"/>
      <c r="K3365" s="677"/>
    </row>
    <row r="3366" ht="21.95" customHeight="1" spans="1:11">
      <c r="A3366" s="675"/>
      <c r="B3366" s="676" t="s">
        <v>423</v>
      </c>
      <c r="C3366" s="676"/>
      <c r="D3366" s="741" t="str">
        <f>IFERROR(VLOOKUP($I$3366,STUDENT!$A$2:$BP$101,59,0),"")</f>
        <v/>
      </c>
      <c r="E3366" s="742" t="s">
        <v>424</v>
      </c>
      <c r="F3366" s="704" t="str">
        <f>IFERROR(VLOOKUP($I$3366,STUDENT!$A$2:$BP$101,2,0),"")</f>
        <v>III-A</v>
      </c>
      <c r="G3366" s="742" t="s">
        <v>425</v>
      </c>
      <c r="H3366" s="743"/>
      <c r="I3366" s="733">
        <f>I3311+1</f>
        <v>62</v>
      </c>
      <c r="J3366" s="683"/>
      <c r="K3366" s="677"/>
    </row>
    <row r="3367" ht="5.1" customHeight="1" spans="1:11">
      <c r="A3367" s="675"/>
      <c r="B3367" s="745"/>
      <c r="C3367" s="745"/>
      <c r="D3367" s="746"/>
      <c r="E3367" s="747"/>
      <c r="F3367" s="748"/>
      <c r="G3367" s="747"/>
      <c r="H3367" s="686"/>
      <c r="I3367" s="686"/>
      <c r="J3367" s="686"/>
      <c r="K3367" s="677"/>
    </row>
    <row r="3368" s="664" customFormat="1" ht="32.1" customHeight="1" spans="1:11">
      <c r="A3368" s="688"/>
      <c r="B3368" s="749" t="s">
        <v>426</v>
      </c>
      <c r="C3368" s="750"/>
      <c r="D3368" s="750"/>
      <c r="E3368" s="750"/>
      <c r="F3368" s="750"/>
      <c r="G3368" s="750"/>
      <c r="H3368" s="750"/>
      <c r="I3368" s="750"/>
      <c r="J3368" s="751"/>
      <c r="K3368" s="690"/>
    </row>
    <row r="3369" ht="51.6" spans="1:11">
      <c r="A3369" s="675"/>
      <c r="B3369" s="752">
        <v>21</v>
      </c>
      <c r="C3369" s="753" t="s">
        <v>427</v>
      </c>
      <c r="D3369" s="754" t="s">
        <v>428</v>
      </c>
      <c r="E3369" s="754" t="s">
        <v>429</v>
      </c>
      <c r="F3369" s="754" t="s">
        <v>430</v>
      </c>
      <c r="G3369" s="753" t="s">
        <v>390</v>
      </c>
      <c r="H3369" s="714"/>
      <c r="I3369" s="714"/>
      <c r="J3369" s="714"/>
      <c r="K3369" s="677"/>
    </row>
    <row r="3370" ht="20.1" customHeight="1" spans="1:11">
      <c r="A3370" s="675"/>
      <c r="B3370" s="755">
        <v>1</v>
      </c>
      <c r="C3370" s="755" t="str">
        <f>IFERROR(VLOOKUP(B3370,DATEWISE!$A$3:$BY$27,2,0),0)</f>
        <v>30.04.2026</v>
      </c>
      <c r="D3370" s="755">
        <f>IF($C$3370=0,NA(),VLOOKUP($I$3366&amp;$B$3370,FLNFIX!$L$4:$EF$103,2,0))</f>
        <v>0</v>
      </c>
      <c r="E3370" s="755">
        <f>IF($C$3370=0,NA(),VLOOKUP($I$3366&amp;$B$3370,FLNFIX!$L$4:$EF$103,4,0))</f>
        <v>0</v>
      </c>
      <c r="F3370" s="755">
        <f>IF($C$3370=0,NA(),VLOOKUP($I$3366&amp;$B$3370,FLNFIX!$L$4:$EF$103,3,0))</f>
        <v>0</v>
      </c>
      <c r="G3370" s="756">
        <f>IF($C$3370=0,NA(),VLOOKUP($I$3366&amp;$B$3370,FLNFIX!$L$4:$EF$103,5,0))</f>
        <v>0</v>
      </c>
      <c r="H3370" s="757"/>
      <c r="I3370" s="757"/>
      <c r="J3370" s="758"/>
      <c r="K3370" s="677"/>
    </row>
    <row r="3371" ht="20.1" customHeight="1" spans="1:11">
      <c r="A3371" s="675"/>
      <c r="B3371" s="755">
        <f t="shared" ref="B3371:B3390" si="61">IF(B3370=0,0,IF(B3370&lt;$B$3369,B3370+1,""))</f>
        <v>2</v>
      </c>
      <c r="C3371" s="755" t="str">
        <f>IFERROR(VLOOKUP(B3371,DATEWISE!$A$3:$BY$27,2,0),0)</f>
        <v>08.05.2026</v>
      </c>
      <c r="D3371" s="755">
        <f>IF($C$3371=0,NA(),VLOOKUP($I$3366&amp;$B$3371,FLNFIX!$Q$4:$EF$103,2,0))</f>
        <v>0</v>
      </c>
      <c r="E3371" s="755">
        <f>IF($C$3371=0,NA(),VLOOKUP($I$3366&amp;$B$3371,FLNFIX!$Q$4:$EF$103,4,0))</f>
        <v>0</v>
      </c>
      <c r="F3371" s="755">
        <f>IF($C$3371=0,NA(),VLOOKUP($I$3366&amp;$B$3371,FLNFIX!$Q$4:$EF$103,3,0))</f>
        <v>0</v>
      </c>
      <c r="G3371" s="756">
        <f>IF($C$3371=0,NA(),VLOOKUP($I$3366&amp;$B$3371,FLNFIX!$Q$4:$EF$103,5,0))</f>
        <v>0</v>
      </c>
      <c r="H3371" s="757"/>
      <c r="I3371" s="757"/>
      <c r="J3371" s="758"/>
      <c r="K3371" s="677"/>
    </row>
    <row r="3372" ht="20.1" customHeight="1" spans="1:11">
      <c r="A3372" s="675"/>
      <c r="B3372" s="755">
        <f t="shared" si="61"/>
        <v>3</v>
      </c>
      <c r="C3372" s="755" t="str">
        <f>IFERROR(VLOOKUP(B3372,DATEWISE!$A$3:$BY$27,2,0),0)</f>
        <v>15.07.2026</v>
      </c>
      <c r="D3372" s="755">
        <f>IF($C$3372=0,NA(),VLOOKUP($I$3366&amp;$B$3372,FLNFIX!$V$4:$EF$103,2,0))</f>
        <v>0</v>
      </c>
      <c r="E3372" s="755">
        <f>IF($C$3372=0,NA(),VLOOKUP($I$3366&amp;$B$3372,FLNFIX!$V$4:$EF$103,4,0))</f>
        <v>0</v>
      </c>
      <c r="F3372" s="755">
        <f>IF($C$3372=0,NA(),VLOOKUP($I$3366&amp;$B$3372,FLNFIX!$V$4:$EF$103,3,0))</f>
        <v>0</v>
      </c>
      <c r="G3372" s="756">
        <f>IF($C$3372=0,NA(),VLOOKUP($I$3366&amp;$B$3372,FLNFIX!$V$4:$EF$103,5,0))</f>
        <v>0</v>
      </c>
      <c r="H3372" s="757"/>
      <c r="I3372" s="757"/>
      <c r="J3372" s="758"/>
      <c r="K3372" s="677"/>
    </row>
    <row r="3373" ht="20.1" customHeight="1" spans="1:11">
      <c r="A3373" s="675"/>
      <c r="B3373" s="755">
        <f t="shared" si="61"/>
        <v>4</v>
      </c>
      <c r="C3373" s="755" t="str">
        <f>IFERROR(VLOOKUP(B3373,DATEWISE!$A$3:$BY$27,2,0),0)</f>
        <v>31.07.2026</v>
      </c>
      <c r="D3373" s="755">
        <f>IF($C$3373=0,NA(),VLOOKUP($I$3366&amp;$B$3373,FLNFIX!$AA$4:$EF$103,2,0))</f>
        <v>0</v>
      </c>
      <c r="E3373" s="755">
        <f>IF($C$3373=0,NA(),VLOOKUP($I$3366&amp;$B$3373,FLNFIX!$AA$4:$EF$103,4,0))</f>
        <v>0</v>
      </c>
      <c r="F3373" s="755">
        <f>IF($C$3373=0,NA(),VLOOKUP($I$3366&amp;$B$3373,FLNFIX!$AA$4:$EF$103,3,0))</f>
        <v>0</v>
      </c>
      <c r="G3373" s="756">
        <f>IF($C$3373=0,NA(),VLOOKUP($I$3366&amp;$B$3373,FLNFIX!$AA$4:$EF$103,5,0))</f>
        <v>0</v>
      </c>
      <c r="H3373" s="757"/>
      <c r="I3373" s="757"/>
      <c r="J3373" s="758"/>
      <c r="K3373" s="677"/>
    </row>
    <row r="3374" ht="20.1" customHeight="1" spans="1:11">
      <c r="A3374" s="675"/>
      <c r="B3374" s="755">
        <f t="shared" si="61"/>
        <v>5</v>
      </c>
      <c r="C3374" s="755" t="str">
        <f>IFERROR(VLOOKUP(B3374,DATEWISE!$A$3:$BY$27,2,0),0)</f>
        <v>17.08.2026</v>
      </c>
      <c r="D3374" s="755">
        <f>IF($C$3374=0,NA(),VLOOKUP($I$3366&amp;$B$3374,FLNFIX!$AF$4:$EF$103,2,0))</f>
        <v>0</v>
      </c>
      <c r="E3374" s="755">
        <f>IF($C$3374=0,NA(),VLOOKUP($I$3366&amp;$B$3374,FLNFIX!$AF$4:$EF$103,4,0))</f>
        <v>0</v>
      </c>
      <c r="F3374" s="755">
        <f>IF($C$3374=0,NA(),VLOOKUP($I$3366&amp;$B$3374,FLNFIX!$AF$4:$EF$103,3,0))</f>
        <v>0</v>
      </c>
      <c r="G3374" s="756">
        <f>IF($C$3374=0,NA(),VLOOKUP($I$3366&amp;$B$3374,FLNFIX!$AF$4:$EF$103,5,0))</f>
        <v>0</v>
      </c>
      <c r="H3374" s="757"/>
      <c r="I3374" s="757"/>
      <c r="J3374" s="758"/>
      <c r="K3374" s="677"/>
    </row>
    <row r="3375" ht="20.1" customHeight="1" spans="1:11">
      <c r="A3375" s="675"/>
      <c r="B3375" s="755">
        <f t="shared" si="61"/>
        <v>6</v>
      </c>
      <c r="C3375" s="755" t="str">
        <f>IFERROR(VLOOKUP(B3375,DATEWISE!$A$3:$BY$27,2,0),0)</f>
        <v>31.08.2026</v>
      </c>
      <c r="D3375" s="755">
        <f>IF($C$3375=0,NA(),VLOOKUP($I$3366&amp;$B$3375,FLNFIX!$AK$4:$EF$103,2,0))</f>
        <v>0</v>
      </c>
      <c r="E3375" s="755">
        <f>IF($C$3375=0,NA(),VLOOKUP($I$3366&amp;$B$3375,FLNFIX!$AK$4:$EF$103,4,0))</f>
        <v>0</v>
      </c>
      <c r="F3375" s="755">
        <f>IF($C$3375=0,NA(),VLOOKUP($I$3366&amp;$B$3375,FLNFIX!$AK$4:$EF$103,3,0))</f>
        <v>0</v>
      </c>
      <c r="G3375" s="756">
        <f>IF($C$3375=0,NA(),VLOOKUP($I$3366&amp;$B$3375,FLNFIX!$AK$4:$EF$103,5,0))</f>
        <v>0</v>
      </c>
      <c r="H3375" s="757"/>
      <c r="I3375" s="757"/>
      <c r="J3375" s="758"/>
      <c r="K3375" s="677"/>
    </row>
    <row r="3376" ht="20.1" customHeight="1" spans="1:11">
      <c r="A3376" s="675"/>
      <c r="B3376" s="755">
        <f t="shared" si="61"/>
        <v>7</v>
      </c>
      <c r="C3376" s="755">
        <f>IFERROR(VLOOKUP(B3376,DATEWISE!$A$3:$BY$27,2,0),0)</f>
        <v>0</v>
      </c>
      <c r="D3376" s="755" t="e">
        <f>IF($C$3376=0,NA(),VLOOKUP($I$3366&amp;$B$3376,FLNFIX!$AP$4:$EF$103,2,0))</f>
        <v>#N/A</v>
      </c>
      <c r="E3376" s="755" t="e">
        <f>IF($C$3376=0,NA(),VLOOKUP($I$3366&amp;$B$3376,FLNFIX!$AP$4:$EF$103,4,0))</f>
        <v>#N/A</v>
      </c>
      <c r="F3376" s="755" t="e">
        <f>IF($C$3376=0,NA(),VLOOKUP($I$3366&amp;$B$3376,FLNFIX!$AP$4:$EF$103,3,0))</f>
        <v>#N/A</v>
      </c>
      <c r="G3376" s="756" t="e">
        <f>IF($C$3376=0,NA(),VLOOKUP($I$3366&amp;$B$3376,FLNFIX!$AP$4:$EF$103,5,0))</f>
        <v>#N/A</v>
      </c>
      <c r="H3376" s="757"/>
      <c r="I3376" s="757"/>
      <c r="J3376" s="758"/>
      <c r="K3376" s="677"/>
    </row>
    <row r="3377" ht="20.1" customHeight="1" spans="1:11">
      <c r="A3377" s="675"/>
      <c r="B3377" s="755">
        <f t="shared" si="61"/>
        <v>8</v>
      </c>
      <c r="C3377" s="755">
        <f>IFERROR(VLOOKUP(B3377,DATEWISE!$A$3:$BY$27,2,0),0)</f>
        <v>0</v>
      </c>
      <c r="D3377" s="755" t="e">
        <f>IF($C$3377=0,NA(),VLOOKUP($I$3366&amp;$B$3377,FLNFIX!$AU$4:$EF$103,2,0))</f>
        <v>#N/A</v>
      </c>
      <c r="E3377" s="755" t="e">
        <f>IF($C$3377=0,NA(),VLOOKUP($I$3366&amp;$B$3377,FLNFIX!$AU$4:$EF$103,4,0))</f>
        <v>#N/A</v>
      </c>
      <c r="F3377" s="755" t="e">
        <f>IF($C$3377=0,NA(),VLOOKUP($I$3366&amp;$B$3377,FLNFIX!$AU$4:$EF$103,3,0))</f>
        <v>#N/A</v>
      </c>
      <c r="G3377" s="756" t="e">
        <f>IF($C$3377=0,NA(),VLOOKUP($I$3366&amp;$B$3377,FLNFIX!$AU$4:$EF$103,5,0))</f>
        <v>#N/A</v>
      </c>
      <c r="H3377" s="757"/>
      <c r="I3377" s="757"/>
      <c r="J3377" s="758"/>
      <c r="K3377" s="677"/>
    </row>
    <row r="3378" ht="20.1" customHeight="1" spans="1:11">
      <c r="A3378" s="675"/>
      <c r="B3378" s="755">
        <f t="shared" si="61"/>
        <v>9</v>
      </c>
      <c r="C3378" s="755">
        <f>IFERROR(VLOOKUP(B3378,DATEWISE!$A$3:$BY$27,2,0),0)</f>
        <v>0</v>
      </c>
      <c r="D3378" s="755" t="e">
        <f>IF($C$3378=0,NA(),VLOOKUP($I$3366&amp;$B$3378,FLNFIX!$AZ$4:$EF$103,2,0))</f>
        <v>#N/A</v>
      </c>
      <c r="E3378" s="755" t="e">
        <f>IF($C$3378=0,NA(),VLOOKUP($I$3366&amp;$B$3378,FLNFIX!$AZ$4:$EF$103,4,0))</f>
        <v>#N/A</v>
      </c>
      <c r="F3378" s="755" t="e">
        <f>IF($C$3378=0,NA(),VLOOKUP($I$3366&amp;$B$3378,FLNFIX!$AZ$4:$EF$103,3,0))</f>
        <v>#N/A</v>
      </c>
      <c r="G3378" s="756" t="e">
        <f>IF($C$3378=0,NA(),VLOOKUP($I$3366&amp;$B$3378,FLNFIX!$AZ$4:$EF$103,5,0))</f>
        <v>#N/A</v>
      </c>
      <c r="H3378" s="757"/>
      <c r="I3378" s="757"/>
      <c r="J3378" s="758"/>
      <c r="K3378" s="677"/>
    </row>
    <row r="3379" ht="20.1" customHeight="1" spans="1:11">
      <c r="A3379" s="675"/>
      <c r="B3379" s="755">
        <f t="shared" si="61"/>
        <v>10</v>
      </c>
      <c r="C3379" s="755">
        <f>IFERROR(VLOOKUP(B3379,DATEWISE!$A$3:$BY$27,2,0),0)</f>
        <v>0</v>
      </c>
      <c r="D3379" s="755" t="e">
        <f>IF($C$3379=0,NA(),VLOOKUP($I$3366&amp;$B$3379,FLNFIX!$BE$4:$EF$103,2,0))</f>
        <v>#N/A</v>
      </c>
      <c r="E3379" s="755" t="e">
        <f>IF($C$3379=0,NA(),VLOOKUP($I$3366&amp;$B$3379,FLNFIX!$BE$4:$EF$103,4,0))</f>
        <v>#N/A</v>
      </c>
      <c r="F3379" s="755" t="e">
        <f>IF($C$3379=0,NA(),VLOOKUP($I$3366&amp;$B$3379,FLNFIX!$BE$4:$EF$103,3,0))</f>
        <v>#N/A</v>
      </c>
      <c r="G3379" s="756" t="e">
        <f>IF($C$3379=0,NA(),VLOOKUP($I$3366&amp;$B$3379,FLNFIX!$BE$4:$EF$103,5,0))</f>
        <v>#N/A</v>
      </c>
      <c r="H3379" s="757"/>
      <c r="I3379" s="757"/>
      <c r="J3379" s="758"/>
      <c r="K3379" s="677"/>
    </row>
    <row r="3380" ht="20.1" customHeight="1" spans="1:11">
      <c r="A3380" s="675"/>
      <c r="B3380" s="755">
        <f t="shared" si="61"/>
        <v>11</v>
      </c>
      <c r="C3380" s="755">
        <f>IFERROR(VLOOKUP(B3380,DATEWISE!$A$3:$BY$27,2,0),0)</f>
        <v>0</v>
      </c>
      <c r="D3380" s="755" t="e">
        <f>IF($C$3380=0,NA(),VLOOKUP($I$3366&amp;$B$3380,FLNFIX!$BJ$4:$EF$103,2,0))</f>
        <v>#N/A</v>
      </c>
      <c r="E3380" s="755" t="e">
        <f>IF($C$3380=0,NA(),VLOOKUP($I$3366&amp;$B$3380,FLNFIX!$BJ$4:$EF$103,4,0))</f>
        <v>#N/A</v>
      </c>
      <c r="F3380" s="755" t="e">
        <f>IF($C$3380=0,NA(),VLOOKUP($I$3366&amp;$B$3380,FLNFIX!$BJ$4:$EF$103,3,0))</f>
        <v>#N/A</v>
      </c>
      <c r="G3380" s="756" t="e">
        <f>IF($C$3380=0,NA(),VLOOKUP($I$3366&amp;$B$3380,FLNFIX!$BJ$4:$EF$103,5,0))</f>
        <v>#N/A</v>
      </c>
      <c r="H3380" s="757"/>
      <c r="I3380" s="757"/>
      <c r="J3380" s="758"/>
      <c r="K3380" s="677"/>
    </row>
    <row r="3381" ht="20.1" customHeight="1" spans="1:11">
      <c r="A3381" s="675"/>
      <c r="B3381" s="755">
        <f t="shared" si="61"/>
        <v>12</v>
      </c>
      <c r="C3381" s="755">
        <f>IFERROR(VLOOKUP(B3381,DATEWISE!$A$3:$BY$27,2,0),0)</f>
        <v>0</v>
      </c>
      <c r="D3381" s="755" t="e">
        <f>IF($C$3381=0,NA(),VLOOKUP($I$3366&amp;$B$3381,FLNFIX!$BO$4:$EF$103,2,0))</f>
        <v>#N/A</v>
      </c>
      <c r="E3381" s="755" t="e">
        <f>IF($C$3381=0,NA(),VLOOKUP($I$3366&amp;$B$3381,FLNFIX!$BO$4:$EF$103,4,0))</f>
        <v>#N/A</v>
      </c>
      <c r="F3381" s="755" t="e">
        <f>IF($C$3381=0,NA(),VLOOKUP($I$3366&amp;$B$3381,FLNFIX!$BO$4:$EF$103,3,0))</f>
        <v>#N/A</v>
      </c>
      <c r="G3381" s="756" t="e">
        <f>IF($C$3381=0,NA(),VLOOKUP($I$3366&amp;$B$3381,FLNFIX!$BO$4:$EF$103,5,0))</f>
        <v>#N/A</v>
      </c>
      <c r="H3381" s="757"/>
      <c r="I3381" s="757"/>
      <c r="J3381" s="758"/>
      <c r="K3381" s="677"/>
    </row>
    <row r="3382" ht="20.1" customHeight="1" spans="1:11">
      <c r="A3382" s="675"/>
      <c r="B3382" s="755">
        <f t="shared" si="61"/>
        <v>13</v>
      </c>
      <c r="C3382" s="755">
        <f>IFERROR(VLOOKUP(B3382,DATEWISE!$A$3:$BY$27,2,0),0)</f>
        <v>0</v>
      </c>
      <c r="D3382" s="755" t="e">
        <f>IF($C$3382=0,NA(),VLOOKUP($I$3366&amp;$B$3382,FLNFIX!$BT$4:$EF$103,2,0))</f>
        <v>#N/A</v>
      </c>
      <c r="E3382" s="755" t="e">
        <f>IF($C$3382=0,NA(),VLOOKUP($I$3366&amp;$B$3382,FLNFIX!$BT$4:$EF$103,4,0))</f>
        <v>#N/A</v>
      </c>
      <c r="F3382" s="755" t="e">
        <f>IF($C$3382=0,NA(),VLOOKUP($I$3366&amp;$B$3382,FLNFIX!$BT$4:$EF$103,3,0))</f>
        <v>#N/A</v>
      </c>
      <c r="G3382" s="756" t="e">
        <f>IF($C$3382=0,NA(),VLOOKUP($I$3366&amp;$B$3382,FLNFIX!$BT$4:$EF$103,5,0))</f>
        <v>#N/A</v>
      </c>
      <c r="H3382" s="757"/>
      <c r="I3382" s="757"/>
      <c r="J3382" s="758"/>
      <c r="K3382" s="677"/>
    </row>
    <row r="3383" ht="20.1" customHeight="1" spans="1:11">
      <c r="A3383" s="675"/>
      <c r="B3383" s="755">
        <f t="shared" si="61"/>
        <v>14</v>
      </c>
      <c r="C3383" s="755">
        <f>IFERROR(VLOOKUP(B3383,DATEWISE!$A$3:$BY$27,2,0),0)</f>
        <v>0</v>
      </c>
      <c r="D3383" s="755" t="e">
        <f>IF($C$3383=0,NA(),VLOOKUP($I$3366&amp;$B$3383,FLNFIX!$BY$4:$EF$103,2,0))</f>
        <v>#N/A</v>
      </c>
      <c r="E3383" s="755" t="e">
        <f>IF($C$3383=0,NA(),VLOOKUP($I$3366&amp;$B$3383,FLNFIX!$BY$4:$EF$103,4,0))</f>
        <v>#N/A</v>
      </c>
      <c r="F3383" s="755" t="e">
        <f>IF($C$3383=0,NA(),VLOOKUP($I$3366&amp;$B$3383,FLNFIX!$BY$4:$EF$103,3,0))</f>
        <v>#N/A</v>
      </c>
      <c r="G3383" s="756" t="e">
        <f>IF($C$3383=0,NA(),VLOOKUP($I$3366&amp;$B$3383,FLNFIX!$BY$4:$EF$103,5,0))</f>
        <v>#N/A</v>
      </c>
      <c r="H3383" s="757"/>
      <c r="I3383" s="757"/>
      <c r="J3383" s="758"/>
      <c r="K3383" s="677"/>
    </row>
    <row r="3384" ht="20.1" customHeight="1" spans="1:11">
      <c r="A3384" s="675"/>
      <c r="B3384" s="755">
        <f t="shared" si="61"/>
        <v>15</v>
      </c>
      <c r="C3384" s="755">
        <f>IFERROR(VLOOKUP(B3384,DATEWISE!$A$3:$BY$27,2,0),0)</f>
        <v>0</v>
      </c>
      <c r="D3384" s="755" t="e">
        <f>IF($C$3384=0,NA(),VLOOKUP($I$3366&amp;$B$3384,FLNFIX!$CD$4:$EF$103,2,0))</f>
        <v>#N/A</v>
      </c>
      <c r="E3384" s="755" t="e">
        <f>IF($C$3384=0,NA(),VLOOKUP($I$3366&amp;$B$3384,FLNFIX!$CD$4:$EF$103,4,0))</f>
        <v>#N/A</v>
      </c>
      <c r="F3384" s="755" t="e">
        <f>IF($C$3384=0,NA(),VLOOKUP($I$3366&amp;$B$3384,FLNFIX!$CD$4:$EF$103,3,0))</f>
        <v>#N/A</v>
      </c>
      <c r="G3384" s="756" t="e">
        <f>IF($C$3384=0,NA(),VLOOKUP($I$3366&amp;$B$3384,FLNFIX!$CD$4:$EF$103,5,0))</f>
        <v>#N/A</v>
      </c>
      <c r="H3384" s="757"/>
      <c r="I3384" s="757"/>
      <c r="J3384" s="758"/>
      <c r="K3384" s="677"/>
    </row>
    <row r="3385" ht="20.1" customHeight="1" spans="1:11">
      <c r="A3385" s="675"/>
      <c r="B3385" s="755">
        <f t="shared" si="61"/>
        <v>16</v>
      </c>
      <c r="C3385" s="755">
        <f>IFERROR(VLOOKUP(B3385,DATEWISE!$A$3:$BY$27,2,0),0)</f>
        <v>0</v>
      </c>
      <c r="D3385" s="755" t="e">
        <f>IF($C$3385=0,NA(),VLOOKUP($I$3366&amp;$B$3385,FLNFIX!$CI$4:$EF$103,2,0))</f>
        <v>#N/A</v>
      </c>
      <c r="E3385" s="755" t="e">
        <f>IF($C$3385=0,NA(),VLOOKUP($I$3366&amp;$B$3385,FLNFIX!$CI$4:$EF$103,4,0))</f>
        <v>#N/A</v>
      </c>
      <c r="F3385" s="755" t="e">
        <f>IF($C$3385=0,NA(),VLOOKUP($I$3366&amp;$B$3385,FLNFIX!$CI$4:$EF$103,3,0))</f>
        <v>#N/A</v>
      </c>
      <c r="G3385" s="756" t="e">
        <f>IF($C$3385=0,NA(),VLOOKUP($I$3366&amp;$B$3385,FLNFIX!$CI$4:$EF$103,5,0))</f>
        <v>#N/A</v>
      </c>
      <c r="H3385" s="757"/>
      <c r="I3385" s="757"/>
      <c r="J3385" s="758"/>
      <c r="K3385" s="677"/>
    </row>
    <row r="3386" ht="20.1" customHeight="1" spans="1:11">
      <c r="A3386" s="675"/>
      <c r="B3386" s="755">
        <f t="shared" si="61"/>
        <v>17</v>
      </c>
      <c r="C3386" s="755">
        <f>IFERROR(VLOOKUP(B3386,DATEWISE!$A$3:$BY$27,2,0),0)</f>
        <v>0</v>
      </c>
      <c r="D3386" s="755" t="e">
        <f>IF($C$3386=0,NA(),VLOOKUP($I$3366&amp;$B$3386,FLNFIX!$CN$4:$EF$103,2,0))</f>
        <v>#N/A</v>
      </c>
      <c r="E3386" s="755" t="e">
        <f>IF($C$3386=0,NA(),VLOOKUP($I$3366&amp;$B$3386,FLNFIX!$CN$4:$EF$103,4,0))</f>
        <v>#N/A</v>
      </c>
      <c r="F3386" s="755" t="e">
        <f>IF($C$3386=0,NA(),VLOOKUP($I$3366&amp;$B$3386,FLNFIX!$CN$4:$EF$103,3,0))</f>
        <v>#N/A</v>
      </c>
      <c r="G3386" s="756" t="e">
        <f>IF($C$3386=0,NA(),VLOOKUP($I$3366&amp;$B$3386,FLNFIX!$CN$4:$EF$103,5,0))</f>
        <v>#N/A</v>
      </c>
      <c r="H3386" s="757"/>
      <c r="I3386" s="757"/>
      <c r="J3386" s="758"/>
      <c r="K3386" s="677"/>
    </row>
    <row r="3387" ht="20.1" customHeight="1" spans="1:11">
      <c r="A3387" s="675"/>
      <c r="B3387" s="755">
        <f t="shared" si="61"/>
        <v>18</v>
      </c>
      <c r="C3387" s="755">
        <f>IFERROR(VLOOKUP(B3387,DATEWISE!$A$3:$BY$27,2,0),0)</f>
        <v>0</v>
      </c>
      <c r="D3387" s="755" t="e">
        <f>IF($C$3387=0,NA(),VLOOKUP($I$3366&amp;$B$3387,FLNFIX!$CS$4:$EF$103,2,0))</f>
        <v>#N/A</v>
      </c>
      <c r="E3387" s="755" t="e">
        <f>IF($C$3387=0,NA(),VLOOKUP($I$3366&amp;$B$3387,FLNFIX!$CS$4:$EF$103,4,0))</f>
        <v>#N/A</v>
      </c>
      <c r="F3387" s="755" t="e">
        <f>IF($C$3387=0,NA(),VLOOKUP($I$3366&amp;$B$3387,FLNFIX!$CS$4:$EF$103,3,0))</f>
        <v>#N/A</v>
      </c>
      <c r="G3387" s="756" t="e">
        <f>IF($C$3387=0,NA(),VLOOKUP($I$3366&amp;$B$3387,FLNFIX!$CS$4:$EF$103,5,0))</f>
        <v>#N/A</v>
      </c>
      <c r="H3387" s="757"/>
      <c r="I3387" s="757"/>
      <c r="J3387" s="758"/>
      <c r="K3387" s="677"/>
    </row>
    <row r="3388" ht="20.1" customHeight="1" spans="1:11">
      <c r="A3388" s="675"/>
      <c r="B3388" s="755">
        <f t="shared" si="61"/>
        <v>19</v>
      </c>
      <c r="C3388" s="755">
        <f>IFERROR(VLOOKUP(B3388,DATEWISE!$A$3:$BY$27,2,0),0)</f>
        <v>0</v>
      </c>
      <c r="D3388" s="755" t="e">
        <f>IF($C$3388=0,NA(),VLOOKUP($I$3366&amp;$B$3388,FLNFIX!$CX$4:$EF$103,2,0))</f>
        <v>#N/A</v>
      </c>
      <c r="E3388" s="755" t="e">
        <f>IF($C$3388=0,NA(),VLOOKUP($I$3366&amp;$B$3388,FLNFIX!$CX$4:$EF$103,4,0))</f>
        <v>#N/A</v>
      </c>
      <c r="F3388" s="755" t="e">
        <f>IF($C$3388=0,NA(),VLOOKUP($I$3366&amp;$B$3388,FLNFIX!$CX$4:$EF$103,3,0))</f>
        <v>#N/A</v>
      </c>
      <c r="G3388" s="756" t="e">
        <f>IF($C$3388=0,NA(),VLOOKUP($I$3366&amp;$B$3388,FLNFIX!$CX$4:$EF$103,5,0))</f>
        <v>#N/A</v>
      </c>
      <c r="H3388" s="757"/>
      <c r="I3388" s="757"/>
      <c r="J3388" s="758"/>
      <c r="K3388" s="677"/>
    </row>
    <row r="3389" ht="20.1" customHeight="1" spans="1:11">
      <c r="A3389" s="675"/>
      <c r="B3389" s="755">
        <f t="shared" si="61"/>
        <v>20</v>
      </c>
      <c r="C3389" s="755">
        <f>IFERROR(VLOOKUP(B3389,DATEWISE!$A$3:$BY$27,2,0),0)</f>
        <v>0</v>
      </c>
      <c r="D3389" s="755" t="e">
        <f>IF($C$3389=0,NA(),VLOOKUP($I$3366&amp;$B$3389,FLNFIX!$DC$4:$EF$103,2,0))</f>
        <v>#N/A</v>
      </c>
      <c r="E3389" s="755" t="e">
        <f>IF($C$3389=0,NA(),VLOOKUP($I$3366&amp;$B$3389,FLNFIX!$DC$4:$EF$103,4,0))</f>
        <v>#N/A</v>
      </c>
      <c r="F3389" s="755" t="e">
        <f>IF($C$3389=0,NA(),VLOOKUP($I$3366&amp;$B$3389,FLNFIX!$DC$4:$EF$103,3,0))</f>
        <v>#N/A</v>
      </c>
      <c r="G3389" s="756" t="e">
        <f>IF($C$3389=0,NA(),VLOOKUP($I$3366&amp;$B$3389,FLNFIX!$DC$4:$EF$103,5,0))</f>
        <v>#N/A</v>
      </c>
      <c r="H3389" s="757"/>
      <c r="I3389" s="757"/>
      <c r="J3389" s="758"/>
      <c r="K3389" s="677"/>
    </row>
    <row r="3390" ht="20.1" customHeight="1" spans="1:11">
      <c r="A3390" s="675"/>
      <c r="B3390" s="755">
        <f t="shared" si="61"/>
        <v>21</v>
      </c>
      <c r="C3390" s="755">
        <f>IFERROR(VLOOKUP(B3390,DATEWISE!$A$3:$BY$27,2,0),0)</f>
        <v>0</v>
      </c>
      <c r="D3390" s="755" t="e">
        <f>IF($C$3390=0,NA(),VLOOKUP($I$3366&amp;$B$3390,FLNFIX!$DH$4:$EF$103,2,0))</f>
        <v>#N/A</v>
      </c>
      <c r="E3390" s="755" t="e">
        <f>IF($C$3390=0,NA(),VLOOKUP($I$3366&amp;$B$3390,FLNFIX!$DH$4:$EF$103,4,0))</f>
        <v>#N/A</v>
      </c>
      <c r="F3390" s="755" t="e">
        <f>IF($C$3390=0,NA(),VLOOKUP($I$3366&amp;$B$3390,FLNFIX!$DH$4:$EF$103,3,0))</f>
        <v>#N/A</v>
      </c>
      <c r="G3390" s="756" t="e">
        <f>IF($C$3390=0,NA(),VLOOKUP($I$3366&amp;$B$3390,FLNFIX!$DH$4:$EF$103,5,0))</f>
        <v>#N/A</v>
      </c>
      <c r="H3390" s="757"/>
      <c r="I3390" s="757"/>
      <c r="J3390" s="758"/>
      <c r="K3390" s="677"/>
    </row>
    <row r="3391" ht="5.1" customHeight="1" spans="1:11">
      <c r="A3391" s="675"/>
      <c r="B3391" s="759"/>
      <c r="C3391" s="759"/>
      <c r="D3391" s="760"/>
      <c r="E3391" s="760"/>
      <c r="F3391" s="760"/>
      <c r="G3391" s="761"/>
      <c r="H3391" s="761"/>
      <c r="I3391" s="761"/>
      <c r="J3391" s="761"/>
      <c r="K3391" s="677"/>
    </row>
    <row r="3392" s="667" customFormat="1" ht="24.95" customHeight="1" spans="1:11">
      <c r="A3392" s="711"/>
      <c r="B3392" s="762" t="s">
        <v>431</v>
      </c>
      <c r="C3392" s="763"/>
      <c r="D3392" s="763"/>
      <c r="E3392" s="763"/>
      <c r="F3392" s="763"/>
      <c r="G3392" s="763"/>
      <c r="H3392" s="763"/>
      <c r="I3392" s="763"/>
      <c r="J3392" s="764"/>
      <c r="K3392" s="713"/>
    </row>
    <row r="3393" spans="1:11">
      <c r="A3393" s="675"/>
      <c r="B3393" s="765"/>
      <c r="C3393" s="686"/>
      <c r="D3393" s="686"/>
      <c r="E3393" s="686"/>
      <c r="F3393" s="686"/>
      <c r="G3393" s="686"/>
      <c r="H3393" s="686"/>
      <c r="I3393" s="686"/>
      <c r="J3393" s="766"/>
      <c r="K3393" s="677"/>
    </row>
    <row r="3394" spans="1:11">
      <c r="A3394" s="675"/>
      <c r="B3394" s="765"/>
      <c r="C3394" s="686"/>
      <c r="D3394" s="686"/>
      <c r="E3394" s="686"/>
      <c r="F3394" s="686"/>
      <c r="G3394" s="686"/>
      <c r="H3394" s="686"/>
      <c r="I3394" s="686"/>
      <c r="J3394" s="766"/>
      <c r="K3394" s="677"/>
    </row>
    <row r="3395" spans="1:11">
      <c r="A3395" s="675"/>
      <c r="B3395" s="765"/>
      <c r="C3395" s="686"/>
      <c r="D3395" s="686"/>
      <c r="E3395" s="686"/>
      <c r="F3395" s="686"/>
      <c r="G3395" s="686"/>
      <c r="H3395" s="686"/>
      <c r="I3395" s="686"/>
      <c r="J3395" s="766"/>
      <c r="K3395" s="677"/>
    </row>
    <row r="3396" spans="1:11">
      <c r="A3396" s="675"/>
      <c r="B3396" s="765"/>
      <c r="C3396" s="686"/>
      <c r="D3396" s="686"/>
      <c r="E3396" s="686"/>
      <c r="F3396" s="686"/>
      <c r="G3396" s="686"/>
      <c r="H3396" s="686"/>
      <c r="I3396" s="686"/>
      <c r="J3396" s="766"/>
      <c r="K3396" s="677"/>
    </row>
    <row r="3397" spans="1:11">
      <c r="A3397" s="675"/>
      <c r="B3397" s="765"/>
      <c r="C3397" s="686"/>
      <c r="D3397" s="686"/>
      <c r="E3397" s="686"/>
      <c r="F3397" s="686"/>
      <c r="G3397" s="686"/>
      <c r="H3397" s="686"/>
      <c r="I3397" s="686"/>
      <c r="J3397" s="766"/>
      <c r="K3397" s="677"/>
    </row>
    <row r="3398" spans="1:11">
      <c r="A3398" s="675"/>
      <c r="B3398" s="765"/>
      <c r="C3398" s="686"/>
      <c r="D3398" s="686"/>
      <c r="E3398" s="686"/>
      <c r="F3398" s="686"/>
      <c r="G3398" s="686"/>
      <c r="H3398" s="686"/>
      <c r="I3398" s="686"/>
      <c r="J3398" s="766"/>
      <c r="K3398" s="677"/>
    </row>
    <row r="3399" spans="1:11">
      <c r="A3399" s="675"/>
      <c r="B3399" s="765"/>
      <c r="C3399" s="686"/>
      <c r="D3399" s="686"/>
      <c r="E3399" s="686"/>
      <c r="F3399" s="686"/>
      <c r="G3399" s="686"/>
      <c r="H3399" s="686"/>
      <c r="I3399" s="686"/>
      <c r="J3399" s="766"/>
      <c r="K3399" s="677"/>
    </row>
    <row r="3400" spans="1:11">
      <c r="A3400" s="675"/>
      <c r="B3400" s="765"/>
      <c r="C3400" s="686"/>
      <c r="D3400" s="686"/>
      <c r="E3400" s="686"/>
      <c r="F3400" s="686"/>
      <c r="G3400" s="686"/>
      <c r="H3400" s="686"/>
      <c r="I3400" s="686"/>
      <c r="J3400" s="766"/>
      <c r="K3400" s="677"/>
    </row>
    <row r="3401" spans="1:11">
      <c r="A3401" s="675"/>
      <c r="B3401" s="765"/>
      <c r="C3401" s="686"/>
      <c r="D3401" s="686"/>
      <c r="E3401" s="686"/>
      <c r="F3401" s="686"/>
      <c r="G3401" s="686"/>
      <c r="H3401" s="686"/>
      <c r="I3401" s="686"/>
      <c r="J3401" s="766"/>
      <c r="K3401" s="677"/>
    </row>
    <row r="3402" spans="1:11">
      <c r="A3402" s="675"/>
      <c r="B3402" s="767"/>
      <c r="C3402" s="768"/>
      <c r="D3402" s="768"/>
      <c r="E3402" s="768"/>
      <c r="F3402" s="768"/>
      <c r="G3402" s="768"/>
      <c r="H3402" s="768"/>
      <c r="I3402" s="768"/>
      <c r="J3402" s="769"/>
      <c r="K3402" s="677"/>
    </row>
    <row r="3403" ht="5.1" customHeight="1" spans="1:11">
      <c r="A3403" s="675"/>
      <c r="B3403" s="686"/>
      <c r="C3403" s="686"/>
      <c r="D3403" s="686"/>
      <c r="E3403" s="686"/>
      <c r="F3403" s="686"/>
      <c r="G3403" s="686"/>
      <c r="H3403" s="686"/>
      <c r="I3403" s="686"/>
      <c r="J3403" s="686"/>
      <c r="K3403" s="677"/>
    </row>
    <row r="3404" spans="1:11">
      <c r="A3404" s="675"/>
      <c r="B3404" s="770" t="s">
        <v>432</v>
      </c>
      <c r="C3404" s="770"/>
      <c r="D3404" s="770"/>
      <c r="E3404" s="770"/>
      <c r="F3404" s="770"/>
      <c r="G3404" s="770"/>
      <c r="H3404" s="770"/>
      <c r="I3404" s="770"/>
      <c r="J3404" s="770"/>
      <c r="K3404" s="677"/>
    </row>
    <row r="3405" spans="1:11">
      <c r="A3405" s="675"/>
      <c r="B3405" s="771"/>
      <c r="C3405" s="771"/>
      <c r="D3405" s="771"/>
      <c r="E3405" s="771"/>
      <c r="F3405" s="771"/>
      <c r="G3405" s="771"/>
      <c r="H3405" s="771"/>
      <c r="I3405" s="771"/>
      <c r="J3405" s="771"/>
      <c r="K3405" s="677"/>
    </row>
    <row r="3406" spans="1:11">
      <c r="A3406" s="675"/>
      <c r="B3406" s="771"/>
      <c r="C3406" s="771"/>
      <c r="D3406" s="771"/>
      <c r="E3406" s="771"/>
      <c r="F3406" s="771"/>
      <c r="G3406" s="771"/>
      <c r="H3406" s="771"/>
      <c r="I3406" s="771"/>
      <c r="J3406" s="771"/>
      <c r="K3406" s="677"/>
    </row>
    <row r="3407" spans="1:11">
      <c r="A3407" s="675"/>
      <c r="B3407" s="771"/>
      <c r="C3407" s="771"/>
      <c r="D3407" s="771"/>
      <c r="E3407" s="771"/>
      <c r="F3407" s="771"/>
      <c r="G3407" s="771"/>
      <c r="H3407" s="771"/>
      <c r="I3407" s="771"/>
      <c r="J3407" s="771"/>
      <c r="K3407" s="677"/>
    </row>
    <row r="3408" spans="1:11">
      <c r="A3408" s="675"/>
      <c r="B3408" s="686"/>
      <c r="C3408" s="686"/>
      <c r="D3408" s="686"/>
      <c r="E3408" s="686"/>
      <c r="F3408" s="686"/>
      <c r="G3408" s="686"/>
      <c r="H3408" s="686"/>
      <c r="I3408" s="686"/>
      <c r="J3408" s="686"/>
      <c r="K3408" s="677"/>
    </row>
    <row r="3409" spans="1:11">
      <c r="A3409" s="675"/>
      <c r="B3409" s="686"/>
      <c r="C3409" s="729" t="s">
        <v>433</v>
      </c>
      <c r="D3409" s="729"/>
      <c r="E3409" s="686"/>
      <c r="F3409" s="686"/>
      <c r="G3409" s="729" t="s">
        <v>434</v>
      </c>
      <c r="H3409" s="729"/>
      <c r="I3409" s="729"/>
      <c r="J3409" s="729"/>
      <c r="K3409" s="677"/>
    </row>
    <row r="3410" ht="16.35" spans="1:11">
      <c r="A3410" s="725"/>
      <c r="B3410" s="726"/>
      <c r="C3410" s="732" t="str">
        <f>"("&amp;PROPER(ENTRY!$D$19)&amp;")"</f>
        <v>(Indrajeet)</v>
      </c>
      <c r="D3410" s="732"/>
      <c r="E3410" s="726"/>
      <c r="F3410" s="726"/>
      <c r="G3410" s="732" t="str">
        <f>"("&amp;PROPER(ENTRY!$D$12)&amp;")"</f>
        <v>(Shambhu Dayal Meena)</v>
      </c>
      <c r="H3410" s="732"/>
      <c r="I3410" s="732"/>
      <c r="J3410" s="732"/>
      <c r="K3410" s="728"/>
    </row>
    <row r="3411" ht="24.6" spans="1:11">
      <c r="B3411" s="734"/>
      <c r="C3411" s="734"/>
      <c r="D3411" s="669" t="str">
        <f>ENTRY!$D$3</f>
        <v>MUNICIPAL CORPORATION OF DELHI</v>
      </c>
      <c r="E3411" s="669"/>
      <c r="F3411" s="669"/>
      <c r="G3411" s="669"/>
      <c r="H3411" s="734"/>
      <c r="I3411" s="669"/>
      <c r="J3411" s="669"/>
    </row>
    <row r="3412" ht="20.4" spans="1:11">
      <c r="B3412" s="735"/>
      <c r="C3412" s="735"/>
      <c r="D3412" s="670" t="str">
        <f>ENTRY!$D$4</f>
        <v>EDUCATION DEPARTMENT</v>
      </c>
      <c r="E3412" s="670"/>
      <c r="F3412" s="670"/>
      <c r="G3412" s="670"/>
      <c r="H3412" s="735"/>
      <c r="I3412" s="669"/>
      <c r="J3412" s="669"/>
    </row>
    <row r="3413" ht="22.8" spans="1:11">
      <c r="B3413" s="736"/>
      <c r="C3413" s="736"/>
      <c r="D3413" s="664" t="s">
        <v>417</v>
      </c>
      <c r="E3413" s="664"/>
      <c r="F3413" s="664"/>
      <c r="G3413" s="664"/>
      <c r="H3413" s="736"/>
      <c r="I3413" s="669"/>
      <c r="J3413" s="669"/>
    </row>
    <row r="3414" ht="22.8" spans="1:11">
      <c r="B3414" s="736"/>
      <c r="C3414" s="736"/>
      <c r="D3414" s="664" t="s">
        <v>418</v>
      </c>
      <c r="E3414" s="664"/>
      <c r="F3414" s="664"/>
      <c r="G3414" s="664"/>
      <c r="H3414" s="736"/>
      <c r="I3414" s="669"/>
      <c r="J3414" s="669"/>
    </row>
    <row r="3415" ht="24.95" customHeight="1" spans="1:11">
      <c r="B3415" s="735"/>
      <c r="C3415" s="735"/>
      <c r="D3415" s="737" t="str">
        <f>"SESSION : "&amp;ENTRY!$D$11</f>
        <v>SESSION : 2026-27</v>
      </c>
      <c r="E3415" s="737"/>
      <c r="F3415" s="737"/>
      <c r="G3415" s="737"/>
      <c r="H3415" s="735"/>
      <c r="I3415" s="738"/>
      <c r="J3415" s="738"/>
    </row>
    <row r="3416" ht="3.75" customHeight="1" spans="1:11">
      <c r="A3416" s="672"/>
      <c r="B3416" s="739"/>
      <c r="C3416" s="739"/>
      <c r="D3416" s="739"/>
      <c r="E3416" s="739"/>
      <c r="F3416" s="739"/>
      <c r="G3416" s="739"/>
      <c r="H3416" s="739"/>
      <c r="I3416" s="739"/>
      <c r="J3416" s="739"/>
      <c r="K3416" s="674"/>
    </row>
    <row r="3417" ht="21.95" customHeight="1" spans="1:11">
      <c r="A3417" s="675"/>
      <c r="B3417" s="676" t="s">
        <v>419</v>
      </c>
      <c r="C3417" s="676"/>
      <c r="D3417" s="676" t="str">
        <f>ENTRY!$D$6</f>
        <v>MCP NITHARI NO 1 BOYS</v>
      </c>
      <c r="E3417" s="676"/>
      <c r="F3417" s="676"/>
      <c r="G3417" s="676"/>
      <c r="H3417" s="676"/>
      <c r="I3417" s="676"/>
      <c r="J3417" s="676"/>
      <c r="K3417" s="677"/>
    </row>
    <row r="3418" ht="21.95" customHeight="1" spans="1:11">
      <c r="A3418" s="675"/>
      <c r="B3418" s="676" t="s">
        <v>420</v>
      </c>
      <c r="C3418" s="676"/>
      <c r="D3418" s="740">
        <f>IFERROR(VLOOKUP($I$3421,STUDENT!$A$2:$BP$101,5,0),"")</f>
        <v>0</v>
      </c>
      <c r="E3418" s="740"/>
      <c r="F3418" s="740"/>
      <c r="G3418" s="740"/>
      <c r="H3418" s="740"/>
      <c r="I3418" s="740"/>
      <c r="J3418" s="740"/>
      <c r="K3418" s="677"/>
    </row>
    <row r="3419" ht="21.95" customHeight="1" spans="1:11">
      <c r="A3419" s="675"/>
      <c r="B3419" s="676" t="s">
        <v>421</v>
      </c>
      <c r="C3419" s="676"/>
      <c r="D3419" s="740">
        <f>IFERROR(VLOOKUP($I$3421,STUDENT!$A$2:$BP$101,8,0),"")</f>
        <v>0</v>
      </c>
      <c r="E3419" s="740"/>
      <c r="F3419" s="740"/>
      <c r="G3419" s="740"/>
      <c r="H3419" s="740"/>
      <c r="I3419" s="740"/>
      <c r="J3419" s="740"/>
      <c r="K3419" s="677"/>
    </row>
    <row r="3420" ht="21.95" customHeight="1" spans="1:11">
      <c r="A3420" s="675"/>
      <c r="B3420" s="676" t="s">
        <v>422</v>
      </c>
      <c r="C3420" s="676"/>
      <c r="D3420" s="740">
        <f>IFERROR(VLOOKUP($I$3421,STUDENT!$A$2:$BP$101,6,0),"")</f>
        <v>0</v>
      </c>
      <c r="E3420" s="740"/>
      <c r="F3420" s="740"/>
      <c r="G3420" s="740"/>
      <c r="H3420" s="740"/>
      <c r="I3420" s="740"/>
      <c r="J3420" s="740"/>
      <c r="K3420" s="677"/>
    </row>
    <row r="3421" ht="21.95" customHeight="1" spans="1:11">
      <c r="A3421" s="675"/>
      <c r="B3421" s="676" t="s">
        <v>423</v>
      </c>
      <c r="C3421" s="676"/>
      <c r="D3421" s="741" t="str">
        <f>IFERROR(VLOOKUP($I$3421,STUDENT!$A$2:$BP$101,59,0),"")</f>
        <v/>
      </c>
      <c r="E3421" s="742" t="s">
        <v>424</v>
      </c>
      <c r="F3421" s="704" t="str">
        <f>IFERROR(VLOOKUP($I$3421,STUDENT!$A$2:$BP$101,2,0),"")</f>
        <v>III-A</v>
      </c>
      <c r="G3421" s="742" t="s">
        <v>425</v>
      </c>
      <c r="H3421" s="743"/>
      <c r="I3421" s="733">
        <f>I3366+1</f>
        <v>63</v>
      </c>
      <c r="J3421" s="683"/>
      <c r="K3421" s="677"/>
    </row>
    <row r="3422" ht="5.1" customHeight="1" spans="1:11">
      <c r="A3422" s="675"/>
      <c r="B3422" s="745"/>
      <c r="C3422" s="745"/>
      <c r="D3422" s="746"/>
      <c r="E3422" s="747"/>
      <c r="F3422" s="748"/>
      <c r="G3422" s="747"/>
      <c r="H3422" s="686"/>
      <c r="I3422" s="686"/>
      <c r="J3422" s="686"/>
      <c r="K3422" s="677"/>
    </row>
    <row r="3423" s="664" customFormat="1" ht="32.1" customHeight="1" spans="1:11">
      <c r="A3423" s="688"/>
      <c r="B3423" s="749" t="s">
        <v>426</v>
      </c>
      <c r="C3423" s="750"/>
      <c r="D3423" s="750"/>
      <c r="E3423" s="750"/>
      <c r="F3423" s="750"/>
      <c r="G3423" s="750"/>
      <c r="H3423" s="750"/>
      <c r="I3423" s="750"/>
      <c r="J3423" s="751"/>
      <c r="K3423" s="690"/>
    </row>
    <row r="3424" ht="51.6" spans="1:11">
      <c r="A3424" s="675"/>
      <c r="B3424" s="752">
        <v>21</v>
      </c>
      <c r="C3424" s="753" t="s">
        <v>427</v>
      </c>
      <c r="D3424" s="754" t="s">
        <v>428</v>
      </c>
      <c r="E3424" s="754" t="s">
        <v>429</v>
      </c>
      <c r="F3424" s="754" t="s">
        <v>430</v>
      </c>
      <c r="G3424" s="753" t="s">
        <v>390</v>
      </c>
      <c r="H3424" s="714"/>
      <c r="I3424" s="714"/>
      <c r="J3424" s="714"/>
      <c r="K3424" s="677"/>
    </row>
    <row r="3425" ht="20.1" customHeight="1" spans="1:11">
      <c r="A3425" s="675"/>
      <c r="B3425" s="755">
        <v>1</v>
      </c>
      <c r="C3425" s="755" t="str">
        <f>IFERROR(VLOOKUP(B3425,DATEWISE!$A$3:$BY$27,2,0),0)</f>
        <v>30.04.2026</v>
      </c>
      <c r="D3425" s="755">
        <f>IF($C$3425=0,NA(),VLOOKUP($I$3421&amp;$B$3425,FLNFIX!$L$4:$EF$103,2,0))</f>
        <v>0</v>
      </c>
      <c r="E3425" s="755">
        <f>IF($C$3425=0,NA(),VLOOKUP($I$3421&amp;$B$3425,FLNFIX!$L$4:$EF$103,4,0))</f>
        <v>0</v>
      </c>
      <c r="F3425" s="755">
        <f>IF($C$3425=0,NA(),VLOOKUP($I$3421&amp;$B$3425,FLNFIX!$L$4:$EF$103,3,0))</f>
        <v>0</v>
      </c>
      <c r="G3425" s="756">
        <f>IF($C$3425=0,NA(),VLOOKUP($I$3421&amp;$B$3425,FLNFIX!$L$4:$EF$103,5,0))</f>
        <v>0</v>
      </c>
      <c r="H3425" s="757"/>
      <c r="I3425" s="757"/>
      <c r="J3425" s="758"/>
      <c r="K3425" s="677"/>
    </row>
    <row r="3426" ht="20.1" customHeight="1" spans="1:11">
      <c r="A3426" s="675"/>
      <c r="B3426" s="755">
        <f t="shared" ref="B3426:B3445" si="62">IF(B3425=0,0,IF(B3425&lt;$B$3424,B3425+1,""))</f>
        <v>2</v>
      </c>
      <c r="C3426" s="755" t="str">
        <f>IFERROR(VLOOKUP(B3426,DATEWISE!$A$3:$BY$27,2,0),0)</f>
        <v>08.05.2026</v>
      </c>
      <c r="D3426" s="755">
        <f>IF($C$3426=0,NA(),VLOOKUP($I$3421&amp;$B$3426,FLNFIX!$Q$4:$EF$103,2,0))</f>
        <v>0</v>
      </c>
      <c r="E3426" s="755">
        <f>IF($C$3426=0,NA(),VLOOKUP($I$3421&amp;$B$3426,FLNFIX!$Q$4:$EF$103,4,0))</f>
        <v>0</v>
      </c>
      <c r="F3426" s="755">
        <f>IF($C$3426=0,NA(),VLOOKUP($I$3421&amp;$B$3426,FLNFIX!$Q$4:$EF$103,3,0))</f>
        <v>0</v>
      </c>
      <c r="G3426" s="756">
        <f>IF($C$3426=0,NA(),VLOOKUP($I$3421&amp;$B$3426,FLNFIX!$Q$4:$EF$103,5,0))</f>
        <v>0</v>
      </c>
      <c r="H3426" s="757"/>
      <c r="I3426" s="757"/>
      <c r="J3426" s="758"/>
      <c r="K3426" s="677"/>
    </row>
    <row r="3427" ht="20.1" customHeight="1" spans="1:11">
      <c r="A3427" s="675"/>
      <c r="B3427" s="755">
        <f t="shared" si="62"/>
        <v>3</v>
      </c>
      <c r="C3427" s="755" t="str">
        <f>IFERROR(VLOOKUP(B3427,DATEWISE!$A$3:$BY$27,2,0),0)</f>
        <v>15.07.2026</v>
      </c>
      <c r="D3427" s="755">
        <f>IF($C$3427=0,NA(),VLOOKUP($I$3421&amp;$B$3427,FLNFIX!$V$4:$EF$103,2,0))</f>
        <v>0</v>
      </c>
      <c r="E3427" s="755">
        <f>IF($C$3427=0,NA(),VLOOKUP($I$3421&amp;$B$3427,FLNFIX!$V$4:$EF$103,4,0))</f>
        <v>0</v>
      </c>
      <c r="F3427" s="755">
        <f>IF($C$3427=0,NA(),VLOOKUP($I$3421&amp;$B$3427,FLNFIX!$V$4:$EF$103,3,0))</f>
        <v>0</v>
      </c>
      <c r="G3427" s="756">
        <f>IF($C$3427=0,NA(),VLOOKUP($I$3421&amp;$B$3427,FLNFIX!$V$4:$EF$103,5,0))</f>
        <v>0</v>
      </c>
      <c r="H3427" s="757"/>
      <c r="I3427" s="757"/>
      <c r="J3427" s="758"/>
      <c r="K3427" s="677"/>
    </row>
    <row r="3428" ht="20.1" customHeight="1" spans="1:11">
      <c r="A3428" s="675"/>
      <c r="B3428" s="755">
        <f t="shared" si="62"/>
        <v>4</v>
      </c>
      <c r="C3428" s="755" t="str">
        <f>IFERROR(VLOOKUP(B3428,DATEWISE!$A$3:$BY$27,2,0),0)</f>
        <v>31.07.2026</v>
      </c>
      <c r="D3428" s="755">
        <f>IF($C$3428=0,NA(),VLOOKUP($I$3421&amp;$B$3428,FLNFIX!$AA$4:$EF$103,2,0))</f>
        <v>0</v>
      </c>
      <c r="E3428" s="755">
        <f>IF($C$3428=0,NA(),VLOOKUP($I$3421&amp;$B$3428,FLNFIX!$AA$4:$EF$103,4,0))</f>
        <v>0</v>
      </c>
      <c r="F3428" s="755">
        <f>IF($C$3428=0,NA(),VLOOKUP($I$3421&amp;$B$3428,FLNFIX!$AA$4:$EF$103,3,0))</f>
        <v>0</v>
      </c>
      <c r="G3428" s="756">
        <f>IF($C$3428=0,NA(),VLOOKUP($I$3421&amp;$B$3428,FLNFIX!$AA$4:$EF$103,5,0))</f>
        <v>0</v>
      </c>
      <c r="H3428" s="757"/>
      <c r="I3428" s="757"/>
      <c r="J3428" s="758"/>
      <c r="K3428" s="677"/>
    </row>
    <row r="3429" ht="20.1" customHeight="1" spans="1:11">
      <c r="A3429" s="675"/>
      <c r="B3429" s="755">
        <f t="shared" si="62"/>
        <v>5</v>
      </c>
      <c r="C3429" s="755" t="str">
        <f>IFERROR(VLOOKUP(B3429,DATEWISE!$A$3:$BY$27,2,0),0)</f>
        <v>17.08.2026</v>
      </c>
      <c r="D3429" s="755">
        <f>IF($C$3429=0,NA(),VLOOKUP($I$3421&amp;$B$3429,FLNFIX!$AF$4:$EF$103,2,0))</f>
        <v>0</v>
      </c>
      <c r="E3429" s="755">
        <f>IF($C$3429=0,NA(),VLOOKUP($I$3421&amp;$B$3429,FLNFIX!$AF$4:$EF$103,4,0))</f>
        <v>0</v>
      </c>
      <c r="F3429" s="755">
        <f>IF($C$3429=0,NA(),VLOOKUP($I$3421&amp;$B$3429,FLNFIX!$AF$4:$EF$103,3,0))</f>
        <v>0</v>
      </c>
      <c r="G3429" s="756">
        <f>IF($C$3429=0,NA(),VLOOKUP($I$3421&amp;$B$3429,FLNFIX!$AF$4:$EF$103,5,0))</f>
        <v>0</v>
      </c>
      <c r="H3429" s="757"/>
      <c r="I3429" s="757"/>
      <c r="J3429" s="758"/>
      <c r="K3429" s="677"/>
    </row>
    <row r="3430" ht="20.1" customHeight="1" spans="1:11">
      <c r="A3430" s="675"/>
      <c r="B3430" s="755">
        <f t="shared" si="62"/>
        <v>6</v>
      </c>
      <c r="C3430" s="755" t="str">
        <f>IFERROR(VLOOKUP(B3430,DATEWISE!$A$3:$BY$27,2,0),0)</f>
        <v>31.08.2026</v>
      </c>
      <c r="D3430" s="755">
        <f>IF($C$3430=0,NA(),VLOOKUP($I$3421&amp;$B$3430,FLNFIX!$AK$4:$EF$103,2,0))</f>
        <v>0</v>
      </c>
      <c r="E3430" s="755">
        <f>IF($C$3430=0,NA(),VLOOKUP($I$3421&amp;$B$3430,FLNFIX!$AK$4:$EF$103,4,0))</f>
        <v>0</v>
      </c>
      <c r="F3430" s="755">
        <f>IF($C$3430=0,NA(),VLOOKUP($I$3421&amp;$B$3430,FLNFIX!$AK$4:$EF$103,3,0))</f>
        <v>0</v>
      </c>
      <c r="G3430" s="756">
        <f>IF($C$3430=0,NA(),VLOOKUP($I$3421&amp;$B$3430,FLNFIX!$AK$4:$EF$103,5,0))</f>
        <v>0</v>
      </c>
      <c r="H3430" s="757"/>
      <c r="I3430" s="757"/>
      <c r="J3430" s="758"/>
      <c r="K3430" s="677"/>
    </row>
    <row r="3431" ht="20.1" customHeight="1" spans="1:11">
      <c r="A3431" s="675"/>
      <c r="B3431" s="755">
        <f t="shared" si="62"/>
        <v>7</v>
      </c>
      <c r="C3431" s="755">
        <f>IFERROR(VLOOKUP(B3431,DATEWISE!$A$3:$BY$27,2,0),0)</f>
        <v>0</v>
      </c>
      <c r="D3431" s="755" t="e">
        <f>IF($C$3431=0,NA(),VLOOKUP($I$3421&amp;$B$3431,FLNFIX!$AP$4:$EF$103,2,0))</f>
        <v>#N/A</v>
      </c>
      <c r="E3431" s="755" t="e">
        <f>IF($C$3431=0,NA(),VLOOKUP($I$3421&amp;$B$3431,FLNFIX!$AP$4:$EF$103,4,0))</f>
        <v>#N/A</v>
      </c>
      <c r="F3431" s="755" t="e">
        <f>IF($C$3431=0,NA(),VLOOKUP($I$3421&amp;$B$3431,FLNFIX!$AP$4:$EF$103,3,0))</f>
        <v>#N/A</v>
      </c>
      <c r="G3431" s="756" t="e">
        <f>IF($C$3431=0,NA(),VLOOKUP($I$3421&amp;$B$3431,FLNFIX!$AP$4:$EF$103,5,0))</f>
        <v>#N/A</v>
      </c>
      <c r="H3431" s="757"/>
      <c r="I3431" s="757"/>
      <c r="J3431" s="758"/>
      <c r="K3431" s="677"/>
    </row>
    <row r="3432" ht="20.1" customHeight="1" spans="1:11">
      <c r="A3432" s="675"/>
      <c r="B3432" s="755">
        <f t="shared" si="62"/>
        <v>8</v>
      </c>
      <c r="C3432" s="755">
        <f>IFERROR(VLOOKUP(B3432,DATEWISE!$A$3:$BY$27,2,0),0)</f>
        <v>0</v>
      </c>
      <c r="D3432" s="755" t="e">
        <f>IF($C$3432=0,NA(),VLOOKUP($I$3421&amp;$B$3432,FLNFIX!$AU$4:$EF$103,2,0))</f>
        <v>#N/A</v>
      </c>
      <c r="E3432" s="755" t="e">
        <f>IF($C$3432=0,NA(),VLOOKUP($I$3421&amp;$B$3432,FLNFIX!$AU$4:$EF$103,4,0))</f>
        <v>#N/A</v>
      </c>
      <c r="F3432" s="755" t="e">
        <f>IF($C$3432=0,NA(),VLOOKUP($I$3421&amp;$B$3432,FLNFIX!$AU$4:$EF$103,3,0))</f>
        <v>#N/A</v>
      </c>
      <c r="G3432" s="756" t="e">
        <f>IF($C$3432=0,NA(),VLOOKUP($I$3421&amp;$B$3432,FLNFIX!$AU$4:$EF$103,5,0))</f>
        <v>#N/A</v>
      </c>
      <c r="H3432" s="757"/>
      <c r="I3432" s="757"/>
      <c r="J3432" s="758"/>
      <c r="K3432" s="677"/>
    </row>
    <row r="3433" ht="20.1" customHeight="1" spans="1:11">
      <c r="A3433" s="675"/>
      <c r="B3433" s="755">
        <f t="shared" si="62"/>
        <v>9</v>
      </c>
      <c r="C3433" s="755">
        <f>IFERROR(VLOOKUP(B3433,DATEWISE!$A$3:$BY$27,2,0),0)</f>
        <v>0</v>
      </c>
      <c r="D3433" s="755" t="e">
        <f>IF($C$3433=0,NA(),VLOOKUP($I$3421&amp;$B$3433,FLNFIX!$AZ$4:$EF$103,2,0))</f>
        <v>#N/A</v>
      </c>
      <c r="E3433" s="755" t="e">
        <f>IF($C$3433=0,NA(),VLOOKUP($I$3421&amp;$B$3433,FLNFIX!$AZ$4:$EF$103,4,0))</f>
        <v>#N/A</v>
      </c>
      <c r="F3433" s="755" t="e">
        <f>IF($C$3433=0,NA(),VLOOKUP($I$3421&amp;$B$3433,FLNFIX!$AZ$4:$EF$103,3,0))</f>
        <v>#N/A</v>
      </c>
      <c r="G3433" s="756" t="e">
        <f>IF($C$3433=0,NA(),VLOOKUP($I$3421&amp;$B$3433,FLNFIX!$AZ$4:$EF$103,5,0))</f>
        <v>#N/A</v>
      </c>
      <c r="H3433" s="757"/>
      <c r="I3433" s="757"/>
      <c r="J3433" s="758"/>
      <c r="K3433" s="677"/>
    </row>
    <row r="3434" ht="20.1" customHeight="1" spans="1:11">
      <c r="A3434" s="675"/>
      <c r="B3434" s="755">
        <f t="shared" si="62"/>
        <v>10</v>
      </c>
      <c r="C3434" s="755">
        <f>IFERROR(VLOOKUP(B3434,DATEWISE!$A$3:$BY$27,2,0),0)</f>
        <v>0</v>
      </c>
      <c r="D3434" s="755" t="e">
        <f>IF($C$3434=0,NA(),VLOOKUP($I$3421&amp;$B$3434,FLNFIX!$BE$4:$EF$103,2,0))</f>
        <v>#N/A</v>
      </c>
      <c r="E3434" s="755" t="e">
        <f>IF($C$3434=0,NA(),VLOOKUP($I$3421&amp;$B$3434,FLNFIX!$BE$4:$EF$103,4,0))</f>
        <v>#N/A</v>
      </c>
      <c r="F3434" s="755" t="e">
        <f>IF($C$3434=0,NA(),VLOOKUP($I$3421&amp;$B$3434,FLNFIX!$BE$4:$EF$103,3,0))</f>
        <v>#N/A</v>
      </c>
      <c r="G3434" s="756" t="e">
        <f>IF($C$3434=0,NA(),VLOOKUP($I$3421&amp;$B$3434,FLNFIX!$BE$4:$EF$103,5,0))</f>
        <v>#N/A</v>
      </c>
      <c r="H3434" s="757"/>
      <c r="I3434" s="757"/>
      <c r="J3434" s="758"/>
      <c r="K3434" s="677"/>
    </row>
    <row r="3435" ht="20.1" customHeight="1" spans="1:11">
      <c r="A3435" s="675"/>
      <c r="B3435" s="755">
        <f t="shared" si="62"/>
        <v>11</v>
      </c>
      <c r="C3435" s="755">
        <f>IFERROR(VLOOKUP(B3435,DATEWISE!$A$3:$BY$27,2,0),0)</f>
        <v>0</v>
      </c>
      <c r="D3435" s="755" t="e">
        <f>IF($C$3435=0,NA(),VLOOKUP($I$3421&amp;$B$3435,FLNFIX!$BJ$4:$EF$103,2,0))</f>
        <v>#N/A</v>
      </c>
      <c r="E3435" s="755" t="e">
        <f>IF($C$3435=0,NA(),VLOOKUP($I$3421&amp;$B$3435,FLNFIX!$BJ$4:$EF$103,4,0))</f>
        <v>#N/A</v>
      </c>
      <c r="F3435" s="755" t="e">
        <f>IF($C$3435=0,NA(),VLOOKUP($I$3421&amp;$B$3435,FLNFIX!$BJ$4:$EF$103,3,0))</f>
        <v>#N/A</v>
      </c>
      <c r="G3435" s="756" t="e">
        <f>IF($C$3435=0,NA(),VLOOKUP($I$3421&amp;$B$3435,FLNFIX!$BJ$4:$EF$103,5,0))</f>
        <v>#N/A</v>
      </c>
      <c r="H3435" s="757"/>
      <c r="I3435" s="757"/>
      <c r="J3435" s="758"/>
      <c r="K3435" s="677"/>
    </row>
    <row r="3436" ht="20.1" customHeight="1" spans="1:11">
      <c r="A3436" s="675"/>
      <c r="B3436" s="755">
        <f t="shared" si="62"/>
        <v>12</v>
      </c>
      <c r="C3436" s="755">
        <f>IFERROR(VLOOKUP(B3436,DATEWISE!$A$3:$BY$27,2,0),0)</f>
        <v>0</v>
      </c>
      <c r="D3436" s="755" t="e">
        <f>IF($C$3436=0,NA(),VLOOKUP($I$3421&amp;$B$3436,FLNFIX!$BO$4:$EF$103,2,0))</f>
        <v>#N/A</v>
      </c>
      <c r="E3436" s="755" t="e">
        <f>IF($C$3436=0,NA(),VLOOKUP($I$3421&amp;$B$3436,FLNFIX!$BO$4:$EF$103,4,0))</f>
        <v>#N/A</v>
      </c>
      <c r="F3436" s="755" t="e">
        <f>IF($C$3436=0,NA(),VLOOKUP($I$3421&amp;$B$3436,FLNFIX!$BO$4:$EF$103,3,0))</f>
        <v>#N/A</v>
      </c>
      <c r="G3436" s="756" t="e">
        <f>IF($C$3436=0,NA(),VLOOKUP($I$3421&amp;$B$3436,FLNFIX!$BO$4:$EF$103,5,0))</f>
        <v>#N/A</v>
      </c>
      <c r="H3436" s="757"/>
      <c r="I3436" s="757"/>
      <c r="J3436" s="758"/>
      <c r="K3436" s="677"/>
    </row>
    <row r="3437" ht="20.1" customHeight="1" spans="1:11">
      <c r="A3437" s="675"/>
      <c r="B3437" s="755">
        <f t="shared" si="62"/>
        <v>13</v>
      </c>
      <c r="C3437" s="755">
        <f>IFERROR(VLOOKUP(B3437,DATEWISE!$A$3:$BY$27,2,0),0)</f>
        <v>0</v>
      </c>
      <c r="D3437" s="755" t="e">
        <f>IF($C$3437=0,NA(),VLOOKUP($I$3421&amp;$B$3437,FLNFIX!$BT$4:$EF$103,2,0))</f>
        <v>#N/A</v>
      </c>
      <c r="E3437" s="755" t="e">
        <f>IF($C$3437=0,NA(),VLOOKUP($I$3421&amp;$B$3437,FLNFIX!$BT$4:$EF$103,4,0))</f>
        <v>#N/A</v>
      </c>
      <c r="F3437" s="755" t="e">
        <f>IF($C$3437=0,NA(),VLOOKUP($I$3421&amp;$B$3437,FLNFIX!$BT$4:$EF$103,3,0))</f>
        <v>#N/A</v>
      </c>
      <c r="G3437" s="756" t="e">
        <f>IF($C$3437=0,NA(),VLOOKUP($I$3421&amp;$B$3437,FLNFIX!$BT$4:$EF$103,5,0))</f>
        <v>#N/A</v>
      </c>
      <c r="H3437" s="757"/>
      <c r="I3437" s="757"/>
      <c r="J3437" s="758"/>
      <c r="K3437" s="677"/>
    </row>
    <row r="3438" ht="20.1" customHeight="1" spans="1:11">
      <c r="A3438" s="675"/>
      <c r="B3438" s="755">
        <f t="shared" si="62"/>
        <v>14</v>
      </c>
      <c r="C3438" s="755">
        <f>IFERROR(VLOOKUP(B3438,DATEWISE!$A$3:$BY$27,2,0),0)</f>
        <v>0</v>
      </c>
      <c r="D3438" s="755" t="e">
        <f>IF($C$3438=0,NA(),VLOOKUP($I$3421&amp;$B$3438,FLNFIX!$BY$4:$EF$103,2,0))</f>
        <v>#N/A</v>
      </c>
      <c r="E3438" s="755" t="e">
        <f>IF($C$3438=0,NA(),VLOOKUP($I$3421&amp;$B$3438,FLNFIX!$BY$4:$EF$103,4,0))</f>
        <v>#N/A</v>
      </c>
      <c r="F3438" s="755" t="e">
        <f>IF($C$3438=0,NA(),VLOOKUP($I$3421&amp;$B$3438,FLNFIX!$BY$4:$EF$103,3,0))</f>
        <v>#N/A</v>
      </c>
      <c r="G3438" s="756" t="e">
        <f>IF($C$3438=0,NA(),VLOOKUP($I$3421&amp;$B$3438,FLNFIX!$BY$4:$EF$103,5,0))</f>
        <v>#N/A</v>
      </c>
      <c r="H3438" s="757"/>
      <c r="I3438" s="757"/>
      <c r="J3438" s="758"/>
      <c r="K3438" s="677"/>
    </row>
    <row r="3439" ht="20.1" customHeight="1" spans="1:11">
      <c r="A3439" s="675"/>
      <c r="B3439" s="755">
        <f t="shared" si="62"/>
        <v>15</v>
      </c>
      <c r="C3439" s="755">
        <f>IFERROR(VLOOKUP(B3439,DATEWISE!$A$3:$BY$27,2,0),0)</f>
        <v>0</v>
      </c>
      <c r="D3439" s="755" t="e">
        <f>IF($C$3439=0,NA(),VLOOKUP($I$3421&amp;$B$3439,FLNFIX!$CD$4:$EF$103,2,0))</f>
        <v>#N/A</v>
      </c>
      <c r="E3439" s="755" t="e">
        <f>IF($C$3439=0,NA(),VLOOKUP($I$3421&amp;$B$3439,FLNFIX!$CD$4:$EF$103,4,0))</f>
        <v>#N/A</v>
      </c>
      <c r="F3439" s="755" t="e">
        <f>IF($C$3439=0,NA(),VLOOKUP($I$3421&amp;$B$3439,FLNFIX!$CD$4:$EF$103,3,0))</f>
        <v>#N/A</v>
      </c>
      <c r="G3439" s="756" t="e">
        <f>IF($C$3439=0,NA(),VLOOKUP($I$3421&amp;$B$3439,FLNFIX!$CD$4:$EF$103,5,0))</f>
        <v>#N/A</v>
      </c>
      <c r="H3439" s="757"/>
      <c r="I3439" s="757"/>
      <c r="J3439" s="758"/>
      <c r="K3439" s="677"/>
    </row>
    <row r="3440" ht="20.1" customHeight="1" spans="1:11">
      <c r="A3440" s="675"/>
      <c r="B3440" s="755">
        <f t="shared" si="62"/>
        <v>16</v>
      </c>
      <c r="C3440" s="755">
        <f>IFERROR(VLOOKUP(B3440,DATEWISE!$A$3:$BY$27,2,0),0)</f>
        <v>0</v>
      </c>
      <c r="D3440" s="755" t="e">
        <f>IF($C$3440=0,NA(),VLOOKUP($I$3421&amp;$B$3440,FLNFIX!$CI$4:$EF$103,2,0))</f>
        <v>#N/A</v>
      </c>
      <c r="E3440" s="755" t="e">
        <f>IF($C$3440=0,NA(),VLOOKUP($I$3421&amp;$B$3440,FLNFIX!$CI$4:$EF$103,4,0))</f>
        <v>#N/A</v>
      </c>
      <c r="F3440" s="755" t="e">
        <f>IF($C$3440=0,NA(),VLOOKUP($I$3421&amp;$B$3440,FLNFIX!$CI$4:$EF$103,3,0))</f>
        <v>#N/A</v>
      </c>
      <c r="G3440" s="756" t="e">
        <f>IF($C$3440=0,NA(),VLOOKUP($I$3421&amp;$B$3440,FLNFIX!$CI$4:$EF$103,5,0))</f>
        <v>#N/A</v>
      </c>
      <c r="H3440" s="757"/>
      <c r="I3440" s="757"/>
      <c r="J3440" s="758"/>
      <c r="K3440" s="677"/>
    </row>
    <row r="3441" ht="20.1" customHeight="1" spans="1:11">
      <c r="A3441" s="675"/>
      <c r="B3441" s="755">
        <f t="shared" si="62"/>
        <v>17</v>
      </c>
      <c r="C3441" s="755">
        <f>IFERROR(VLOOKUP(B3441,DATEWISE!$A$3:$BY$27,2,0),0)</f>
        <v>0</v>
      </c>
      <c r="D3441" s="755" t="e">
        <f>IF($C$3441=0,NA(),VLOOKUP($I$3421&amp;$B$3441,FLNFIX!$CN$4:$EF$103,2,0))</f>
        <v>#N/A</v>
      </c>
      <c r="E3441" s="755" t="e">
        <f>IF($C$3441=0,NA(),VLOOKUP($I$3421&amp;$B$3441,FLNFIX!$CN$4:$EF$103,4,0))</f>
        <v>#N/A</v>
      </c>
      <c r="F3441" s="755" t="e">
        <f>IF($C$3441=0,NA(),VLOOKUP($I$3421&amp;$B$3441,FLNFIX!$CN$4:$EF$103,3,0))</f>
        <v>#N/A</v>
      </c>
      <c r="G3441" s="756" t="e">
        <f>IF($C$3441=0,NA(),VLOOKUP($I$3421&amp;$B$3441,FLNFIX!$CN$4:$EF$103,5,0))</f>
        <v>#N/A</v>
      </c>
      <c r="H3441" s="757"/>
      <c r="I3441" s="757"/>
      <c r="J3441" s="758"/>
      <c r="K3441" s="677"/>
    </row>
    <row r="3442" ht="20.1" customHeight="1" spans="1:11">
      <c r="A3442" s="675"/>
      <c r="B3442" s="755">
        <f t="shared" si="62"/>
        <v>18</v>
      </c>
      <c r="C3442" s="755">
        <f>IFERROR(VLOOKUP(B3442,DATEWISE!$A$3:$BY$27,2,0),0)</f>
        <v>0</v>
      </c>
      <c r="D3442" s="755" t="e">
        <f>IF($C$3442=0,NA(),VLOOKUP($I$3421&amp;$B$3442,FLNFIX!$CS$4:$EF$103,2,0))</f>
        <v>#N/A</v>
      </c>
      <c r="E3442" s="755" t="e">
        <f>IF($C$3442=0,NA(),VLOOKUP($I$3421&amp;$B$3442,FLNFIX!$CS$4:$EF$103,4,0))</f>
        <v>#N/A</v>
      </c>
      <c r="F3442" s="755" t="e">
        <f>IF($C$3442=0,NA(),VLOOKUP($I$3421&amp;$B$3442,FLNFIX!$CS$4:$EF$103,3,0))</f>
        <v>#N/A</v>
      </c>
      <c r="G3442" s="756" t="e">
        <f>IF($C$3442=0,NA(),VLOOKUP($I$3421&amp;$B$3442,FLNFIX!$CS$4:$EF$103,5,0))</f>
        <v>#N/A</v>
      </c>
      <c r="H3442" s="757"/>
      <c r="I3442" s="757"/>
      <c r="J3442" s="758"/>
      <c r="K3442" s="677"/>
    </row>
    <row r="3443" ht="20.1" customHeight="1" spans="1:11">
      <c r="A3443" s="675"/>
      <c r="B3443" s="755">
        <f t="shared" si="62"/>
        <v>19</v>
      </c>
      <c r="C3443" s="755">
        <f>IFERROR(VLOOKUP(B3443,DATEWISE!$A$3:$BY$27,2,0),0)</f>
        <v>0</v>
      </c>
      <c r="D3443" s="755" t="e">
        <f>IF($C$3443=0,NA(),VLOOKUP($I$3421&amp;$B$3443,FLNFIX!$CX$4:$EF$103,2,0))</f>
        <v>#N/A</v>
      </c>
      <c r="E3443" s="755" t="e">
        <f>IF($C$3443=0,NA(),VLOOKUP($I$3421&amp;$B$3443,FLNFIX!$CX$4:$EF$103,4,0))</f>
        <v>#N/A</v>
      </c>
      <c r="F3443" s="755" t="e">
        <f>IF($C$3443=0,NA(),VLOOKUP($I$3421&amp;$B$3443,FLNFIX!$CX$4:$EF$103,3,0))</f>
        <v>#N/A</v>
      </c>
      <c r="G3443" s="756" t="e">
        <f>IF($C$3443=0,NA(),VLOOKUP($I$3421&amp;$B$3443,FLNFIX!$CX$4:$EF$103,5,0))</f>
        <v>#N/A</v>
      </c>
      <c r="H3443" s="757"/>
      <c r="I3443" s="757"/>
      <c r="J3443" s="758"/>
      <c r="K3443" s="677"/>
    </row>
    <row r="3444" ht="20.1" customHeight="1" spans="1:11">
      <c r="A3444" s="675"/>
      <c r="B3444" s="755">
        <f t="shared" si="62"/>
        <v>20</v>
      </c>
      <c r="C3444" s="755">
        <f>IFERROR(VLOOKUP(B3444,DATEWISE!$A$3:$BY$27,2,0),0)</f>
        <v>0</v>
      </c>
      <c r="D3444" s="755" t="e">
        <f>IF($C$3444=0,NA(),VLOOKUP($I$3421&amp;$B$3444,FLNFIX!$DC$4:$EF$103,2,0))</f>
        <v>#N/A</v>
      </c>
      <c r="E3444" s="755" t="e">
        <f>IF($C$3444=0,NA(),VLOOKUP($I$3421&amp;$B$3444,FLNFIX!$DC$4:$EF$103,4,0))</f>
        <v>#N/A</v>
      </c>
      <c r="F3444" s="755" t="e">
        <f>IF($C$3444=0,NA(),VLOOKUP($I$3421&amp;$B$3444,FLNFIX!$DC$4:$EF$103,3,0))</f>
        <v>#N/A</v>
      </c>
      <c r="G3444" s="756" t="e">
        <f>IF($C$3444=0,NA(),VLOOKUP($I$3421&amp;$B$3444,FLNFIX!$DC$4:$EF$103,5,0))</f>
        <v>#N/A</v>
      </c>
      <c r="H3444" s="757"/>
      <c r="I3444" s="757"/>
      <c r="J3444" s="758"/>
      <c r="K3444" s="677"/>
    </row>
    <row r="3445" ht="20.1" customHeight="1" spans="1:11">
      <c r="A3445" s="675"/>
      <c r="B3445" s="755">
        <f t="shared" si="62"/>
        <v>21</v>
      </c>
      <c r="C3445" s="755">
        <f>IFERROR(VLOOKUP(B3445,DATEWISE!$A$3:$BY$27,2,0),0)</f>
        <v>0</v>
      </c>
      <c r="D3445" s="755" t="e">
        <f>IF($C$3445=0,NA(),VLOOKUP($I$3421&amp;$B$3445,FLNFIX!$DH$4:$EF$103,2,0))</f>
        <v>#N/A</v>
      </c>
      <c r="E3445" s="755" t="e">
        <f>IF($C$3445=0,NA(),VLOOKUP($I$3421&amp;$B$3445,FLNFIX!$DH$4:$EF$103,4,0))</f>
        <v>#N/A</v>
      </c>
      <c r="F3445" s="755" t="e">
        <f>IF($C$3445=0,NA(),VLOOKUP($I$3421&amp;$B$3445,FLNFIX!$DH$4:$EF$103,3,0))</f>
        <v>#N/A</v>
      </c>
      <c r="G3445" s="756" t="e">
        <f>IF($C$3445=0,NA(),VLOOKUP($I$3421&amp;$B$3445,FLNFIX!$DH$4:$EF$103,5,0))</f>
        <v>#N/A</v>
      </c>
      <c r="H3445" s="757"/>
      <c r="I3445" s="757"/>
      <c r="J3445" s="758"/>
      <c r="K3445" s="677"/>
    </row>
    <row r="3446" ht="5.1" customHeight="1" spans="1:11">
      <c r="A3446" s="675"/>
      <c r="B3446" s="759"/>
      <c r="C3446" s="759"/>
      <c r="D3446" s="760"/>
      <c r="E3446" s="760"/>
      <c r="F3446" s="760"/>
      <c r="G3446" s="761"/>
      <c r="H3446" s="761"/>
      <c r="I3446" s="761"/>
      <c r="J3446" s="761"/>
      <c r="K3446" s="677"/>
    </row>
    <row r="3447" s="667" customFormat="1" ht="24.95" customHeight="1" spans="1:11">
      <c r="A3447" s="711"/>
      <c r="B3447" s="762" t="s">
        <v>431</v>
      </c>
      <c r="C3447" s="763"/>
      <c r="D3447" s="763"/>
      <c r="E3447" s="763"/>
      <c r="F3447" s="763"/>
      <c r="G3447" s="763"/>
      <c r="H3447" s="763"/>
      <c r="I3447" s="763"/>
      <c r="J3447" s="764"/>
      <c r="K3447" s="713"/>
    </row>
    <row r="3448" spans="1:11">
      <c r="A3448" s="675"/>
      <c r="B3448" s="765"/>
      <c r="C3448" s="686"/>
      <c r="D3448" s="686"/>
      <c r="E3448" s="686"/>
      <c r="F3448" s="686"/>
      <c r="G3448" s="686"/>
      <c r="H3448" s="686"/>
      <c r="I3448" s="686"/>
      <c r="J3448" s="766"/>
      <c r="K3448" s="677"/>
    </row>
    <row r="3449" spans="1:11">
      <c r="A3449" s="675"/>
      <c r="B3449" s="765"/>
      <c r="C3449" s="686"/>
      <c r="D3449" s="686"/>
      <c r="E3449" s="686"/>
      <c r="F3449" s="686"/>
      <c r="G3449" s="686"/>
      <c r="H3449" s="686"/>
      <c r="I3449" s="686"/>
      <c r="J3449" s="766"/>
      <c r="K3449" s="677"/>
    </row>
    <row r="3450" spans="1:11">
      <c r="A3450" s="675"/>
      <c r="B3450" s="765"/>
      <c r="C3450" s="686"/>
      <c r="D3450" s="686"/>
      <c r="E3450" s="686"/>
      <c r="F3450" s="686"/>
      <c r="G3450" s="686"/>
      <c r="H3450" s="686"/>
      <c r="I3450" s="686"/>
      <c r="J3450" s="766"/>
      <c r="K3450" s="677"/>
    </row>
    <row r="3451" spans="1:11">
      <c r="A3451" s="675"/>
      <c r="B3451" s="765"/>
      <c r="C3451" s="686"/>
      <c r="D3451" s="686"/>
      <c r="E3451" s="686"/>
      <c r="F3451" s="686"/>
      <c r="G3451" s="686"/>
      <c r="H3451" s="686"/>
      <c r="I3451" s="686"/>
      <c r="J3451" s="766"/>
      <c r="K3451" s="677"/>
    </row>
    <row r="3452" spans="1:11">
      <c r="A3452" s="675"/>
      <c r="B3452" s="765"/>
      <c r="C3452" s="686"/>
      <c r="D3452" s="686"/>
      <c r="E3452" s="686"/>
      <c r="F3452" s="686"/>
      <c r="G3452" s="686"/>
      <c r="H3452" s="686"/>
      <c r="I3452" s="686"/>
      <c r="J3452" s="766"/>
      <c r="K3452" s="677"/>
    </row>
    <row r="3453" spans="1:11">
      <c r="A3453" s="675"/>
      <c r="B3453" s="765"/>
      <c r="C3453" s="686"/>
      <c r="D3453" s="686"/>
      <c r="E3453" s="686"/>
      <c r="F3453" s="686"/>
      <c r="G3453" s="686"/>
      <c r="H3453" s="686"/>
      <c r="I3453" s="686"/>
      <c r="J3453" s="766"/>
      <c r="K3453" s="677"/>
    </row>
    <row r="3454" spans="1:11">
      <c r="A3454" s="675"/>
      <c r="B3454" s="765"/>
      <c r="C3454" s="686"/>
      <c r="D3454" s="686"/>
      <c r="E3454" s="686"/>
      <c r="F3454" s="686"/>
      <c r="G3454" s="686"/>
      <c r="H3454" s="686"/>
      <c r="I3454" s="686"/>
      <c r="J3454" s="766"/>
      <c r="K3454" s="677"/>
    </row>
    <row r="3455" spans="1:11">
      <c r="A3455" s="675"/>
      <c r="B3455" s="765"/>
      <c r="C3455" s="686"/>
      <c r="D3455" s="686"/>
      <c r="E3455" s="686"/>
      <c r="F3455" s="686"/>
      <c r="G3455" s="686"/>
      <c r="H3455" s="686"/>
      <c r="I3455" s="686"/>
      <c r="J3455" s="766"/>
      <c r="K3455" s="677"/>
    </row>
    <row r="3456" spans="1:11">
      <c r="A3456" s="675"/>
      <c r="B3456" s="765"/>
      <c r="C3456" s="686"/>
      <c r="D3456" s="686"/>
      <c r="E3456" s="686"/>
      <c r="F3456" s="686"/>
      <c r="G3456" s="686"/>
      <c r="H3456" s="686"/>
      <c r="I3456" s="686"/>
      <c r="J3456" s="766"/>
      <c r="K3456" s="677"/>
    </row>
    <row r="3457" spans="1:11">
      <c r="A3457" s="675"/>
      <c r="B3457" s="767"/>
      <c r="C3457" s="768"/>
      <c r="D3457" s="768"/>
      <c r="E3457" s="768"/>
      <c r="F3457" s="768"/>
      <c r="G3457" s="768"/>
      <c r="H3457" s="768"/>
      <c r="I3457" s="768"/>
      <c r="J3457" s="769"/>
      <c r="K3457" s="677"/>
    </row>
    <row r="3458" ht="5.1" customHeight="1" spans="1:11">
      <c r="A3458" s="675"/>
      <c r="B3458" s="686"/>
      <c r="C3458" s="686"/>
      <c r="D3458" s="686"/>
      <c r="E3458" s="686"/>
      <c r="F3458" s="686"/>
      <c r="G3458" s="686"/>
      <c r="H3458" s="686"/>
      <c r="I3458" s="686"/>
      <c r="J3458" s="686"/>
      <c r="K3458" s="677"/>
    </row>
    <row r="3459" spans="1:11">
      <c r="A3459" s="675"/>
      <c r="B3459" s="770" t="s">
        <v>432</v>
      </c>
      <c r="C3459" s="770"/>
      <c r="D3459" s="770"/>
      <c r="E3459" s="770"/>
      <c r="F3459" s="770"/>
      <c r="G3459" s="770"/>
      <c r="H3459" s="770"/>
      <c r="I3459" s="770"/>
      <c r="J3459" s="770"/>
      <c r="K3459" s="677"/>
    </row>
    <row r="3460" spans="1:11">
      <c r="A3460" s="675"/>
      <c r="B3460" s="771"/>
      <c r="C3460" s="771"/>
      <c r="D3460" s="771"/>
      <c r="E3460" s="771"/>
      <c r="F3460" s="771"/>
      <c r="G3460" s="771"/>
      <c r="H3460" s="771"/>
      <c r="I3460" s="771"/>
      <c r="J3460" s="771"/>
      <c r="K3460" s="677"/>
    </row>
    <row r="3461" spans="1:11">
      <c r="A3461" s="675"/>
      <c r="B3461" s="771"/>
      <c r="C3461" s="771"/>
      <c r="D3461" s="771"/>
      <c r="E3461" s="771"/>
      <c r="F3461" s="771"/>
      <c r="G3461" s="771"/>
      <c r="H3461" s="771"/>
      <c r="I3461" s="771"/>
      <c r="J3461" s="771"/>
      <c r="K3461" s="677"/>
    </row>
    <row r="3462" spans="1:11">
      <c r="A3462" s="675"/>
      <c r="B3462" s="771"/>
      <c r="C3462" s="771"/>
      <c r="D3462" s="771"/>
      <c r="E3462" s="771"/>
      <c r="F3462" s="771"/>
      <c r="G3462" s="771"/>
      <c r="H3462" s="771"/>
      <c r="I3462" s="771"/>
      <c r="J3462" s="771"/>
      <c r="K3462" s="677"/>
    </row>
    <row r="3463" spans="1:11">
      <c r="A3463" s="675"/>
      <c r="B3463" s="686"/>
      <c r="C3463" s="686"/>
      <c r="D3463" s="686"/>
      <c r="E3463" s="686"/>
      <c r="F3463" s="686"/>
      <c r="G3463" s="686"/>
      <c r="H3463" s="686"/>
      <c r="I3463" s="686"/>
      <c r="J3463" s="686"/>
      <c r="K3463" s="677"/>
    </row>
    <row r="3464" spans="1:11">
      <c r="A3464" s="675"/>
      <c r="B3464" s="686"/>
      <c r="C3464" s="729" t="s">
        <v>433</v>
      </c>
      <c r="D3464" s="729"/>
      <c r="E3464" s="686"/>
      <c r="F3464" s="686"/>
      <c r="G3464" s="729" t="s">
        <v>434</v>
      </c>
      <c r="H3464" s="729"/>
      <c r="I3464" s="729"/>
      <c r="J3464" s="729"/>
      <c r="K3464" s="677"/>
    </row>
    <row r="3465" ht="16.35" spans="1:11">
      <c r="A3465" s="725"/>
      <c r="B3465" s="726"/>
      <c r="C3465" s="732" t="str">
        <f>"("&amp;PROPER(ENTRY!$D$19)&amp;")"</f>
        <v>(Indrajeet)</v>
      </c>
      <c r="D3465" s="732"/>
      <c r="E3465" s="726"/>
      <c r="F3465" s="726"/>
      <c r="G3465" s="732" t="str">
        <f>"("&amp;PROPER(ENTRY!$D$12)&amp;")"</f>
        <v>(Shambhu Dayal Meena)</v>
      </c>
      <c r="H3465" s="732"/>
      <c r="I3465" s="732"/>
      <c r="J3465" s="732"/>
      <c r="K3465" s="728"/>
    </row>
    <row r="3466" ht="24.6" spans="1:11">
      <c r="B3466" s="734"/>
      <c r="C3466" s="734"/>
      <c r="D3466" s="669" t="str">
        <f>ENTRY!$D$3</f>
        <v>MUNICIPAL CORPORATION OF DELHI</v>
      </c>
      <c r="E3466" s="669"/>
      <c r="F3466" s="669"/>
      <c r="G3466" s="669"/>
      <c r="H3466" s="734"/>
      <c r="I3466" s="669"/>
      <c r="J3466" s="669"/>
    </row>
    <row r="3467" ht="20.4" spans="1:11">
      <c r="B3467" s="735"/>
      <c r="C3467" s="735"/>
      <c r="D3467" s="670" t="str">
        <f>ENTRY!$D$4</f>
        <v>EDUCATION DEPARTMENT</v>
      </c>
      <c r="E3467" s="670"/>
      <c r="F3467" s="670"/>
      <c r="G3467" s="670"/>
      <c r="H3467" s="735"/>
      <c r="I3467" s="669"/>
      <c r="J3467" s="669"/>
    </row>
    <row r="3468" ht="22.8" spans="1:11">
      <c r="B3468" s="736"/>
      <c r="C3468" s="736"/>
      <c r="D3468" s="664" t="s">
        <v>417</v>
      </c>
      <c r="E3468" s="664"/>
      <c r="F3468" s="664"/>
      <c r="G3468" s="664"/>
      <c r="H3468" s="736"/>
      <c r="I3468" s="669"/>
      <c r="J3468" s="669"/>
    </row>
    <row r="3469" ht="22.8" spans="1:11">
      <c r="B3469" s="736"/>
      <c r="C3469" s="736"/>
      <c r="D3469" s="664" t="s">
        <v>418</v>
      </c>
      <c r="E3469" s="664"/>
      <c r="F3469" s="664"/>
      <c r="G3469" s="664"/>
      <c r="H3469" s="736"/>
      <c r="I3469" s="669"/>
      <c r="J3469" s="669"/>
    </row>
    <row r="3470" ht="24.95" customHeight="1" spans="1:11">
      <c r="B3470" s="735"/>
      <c r="C3470" s="735"/>
      <c r="D3470" s="737" t="str">
        <f>"SESSION : "&amp;ENTRY!$D$11</f>
        <v>SESSION : 2026-27</v>
      </c>
      <c r="E3470" s="737"/>
      <c r="F3470" s="737"/>
      <c r="G3470" s="737"/>
      <c r="H3470" s="735"/>
      <c r="I3470" s="738"/>
      <c r="J3470" s="738"/>
    </row>
    <row r="3471" ht="3.75" customHeight="1" spans="1:11">
      <c r="A3471" s="672"/>
      <c r="B3471" s="739"/>
      <c r="C3471" s="739"/>
      <c r="D3471" s="739"/>
      <c r="E3471" s="739"/>
      <c r="F3471" s="739"/>
      <c r="G3471" s="739"/>
      <c r="H3471" s="739"/>
      <c r="I3471" s="739"/>
      <c r="J3471" s="739"/>
      <c r="K3471" s="674"/>
    </row>
    <row r="3472" ht="21.95" customHeight="1" spans="1:11">
      <c r="A3472" s="675"/>
      <c r="B3472" s="676" t="s">
        <v>419</v>
      </c>
      <c r="C3472" s="676"/>
      <c r="D3472" s="676" t="str">
        <f>ENTRY!$D$6</f>
        <v>MCP NITHARI NO 1 BOYS</v>
      </c>
      <c r="E3472" s="676"/>
      <c r="F3472" s="676"/>
      <c r="G3472" s="676"/>
      <c r="H3472" s="676"/>
      <c r="I3472" s="676"/>
      <c r="J3472" s="676"/>
      <c r="K3472" s="677"/>
    </row>
    <row r="3473" ht="21.95" customHeight="1" spans="1:11">
      <c r="A3473" s="675"/>
      <c r="B3473" s="676" t="s">
        <v>420</v>
      </c>
      <c r="C3473" s="676"/>
      <c r="D3473" s="740">
        <f>IFERROR(VLOOKUP($I$3476,STUDENT!$A$2:$BP$101,5,0),"")</f>
        <v>0</v>
      </c>
      <c r="E3473" s="740"/>
      <c r="F3473" s="740"/>
      <c r="G3473" s="740"/>
      <c r="H3473" s="740"/>
      <c r="I3473" s="740"/>
      <c r="J3473" s="740"/>
      <c r="K3473" s="677"/>
    </row>
    <row r="3474" ht="21.95" customHeight="1" spans="1:11">
      <c r="A3474" s="675"/>
      <c r="B3474" s="676" t="s">
        <v>421</v>
      </c>
      <c r="C3474" s="676"/>
      <c r="D3474" s="740">
        <f>IFERROR(VLOOKUP($I$3476,STUDENT!$A$2:$BP$101,8,0),"")</f>
        <v>0</v>
      </c>
      <c r="E3474" s="740"/>
      <c r="F3474" s="740"/>
      <c r="G3474" s="740"/>
      <c r="H3474" s="740"/>
      <c r="I3474" s="740"/>
      <c r="J3474" s="740"/>
      <c r="K3474" s="677"/>
    </row>
    <row r="3475" ht="21.95" customHeight="1" spans="1:11">
      <c r="A3475" s="675"/>
      <c r="B3475" s="676" t="s">
        <v>422</v>
      </c>
      <c r="C3475" s="676"/>
      <c r="D3475" s="740">
        <f>IFERROR(VLOOKUP($I$3476,STUDENT!$A$2:$BP$101,6,0),"")</f>
        <v>0</v>
      </c>
      <c r="E3475" s="740"/>
      <c r="F3475" s="740"/>
      <c r="G3475" s="740"/>
      <c r="H3475" s="740"/>
      <c r="I3475" s="740"/>
      <c r="J3475" s="740"/>
      <c r="K3475" s="677"/>
    </row>
    <row r="3476" ht="21.95" customHeight="1" spans="1:11">
      <c r="A3476" s="675"/>
      <c r="B3476" s="676" t="s">
        <v>423</v>
      </c>
      <c r="C3476" s="676"/>
      <c r="D3476" s="741" t="str">
        <f>IFERROR(VLOOKUP($I$3476,STUDENT!$A$2:$BP$101,59,0),"")</f>
        <v/>
      </c>
      <c r="E3476" s="742" t="s">
        <v>424</v>
      </c>
      <c r="F3476" s="704" t="str">
        <f>IFERROR(VLOOKUP($I$3476,STUDENT!$A$2:$BP$101,2,0),"")</f>
        <v>III-A</v>
      </c>
      <c r="G3476" s="742" t="s">
        <v>425</v>
      </c>
      <c r="H3476" s="743"/>
      <c r="I3476" s="733">
        <f>I3421+1</f>
        <v>64</v>
      </c>
      <c r="J3476" s="683"/>
      <c r="K3476" s="677"/>
    </row>
    <row r="3477" ht="5.1" customHeight="1" spans="1:11">
      <c r="A3477" s="675"/>
      <c r="B3477" s="745"/>
      <c r="C3477" s="745"/>
      <c r="D3477" s="746"/>
      <c r="E3477" s="747"/>
      <c r="F3477" s="748"/>
      <c r="G3477" s="747"/>
      <c r="H3477" s="686"/>
      <c r="I3477" s="686"/>
      <c r="J3477" s="686"/>
      <c r="K3477" s="677"/>
    </row>
    <row r="3478" s="664" customFormat="1" ht="32.1" customHeight="1" spans="1:11">
      <c r="A3478" s="688"/>
      <c r="B3478" s="749" t="s">
        <v>426</v>
      </c>
      <c r="C3478" s="750"/>
      <c r="D3478" s="750"/>
      <c r="E3478" s="750"/>
      <c r="F3478" s="750"/>
      <c r="G3478" s="750"/>
      <c r="H3478" s="750"/>
      <c r="I3478" s="750"/>
      <c r="J3478" s="751"/>
      <c r="K3478" s="690"/>
    </row>
    <row r="3479" ht="51.6" spans="1:11">
      <c r="A3479" s="675"/>
      <c r="B3479" s="752">
        <v>21</v>
      </c>
      <c r="C3479" s="753" t="s">
        <v>427</v>
      </c>
      <c r="D3479" s="754" t="s">
        <v>428</v>
      </c>
      <c r="E3479" s="754" t="s">
        <v>429</v>
      </c>
      <c r="F3479" s="754" t="s">
        <v>430</v>
      </c>
      <c r="G3479" s="753" t="s">
        <v>390</v>
      </c>
      <c r="H3479" s="714"/>
      <c r="I3479" s="714"/>
      <c r="J3479" s="714"/>
      <c r="K3479" s="677"/>
    </row>
    <row r="3480" ht="20.1" customHeight="1" spans="1:11">
      <c r="A3480" s="675"/>
      <c r="B3480" s="755">
        <v>1</v>
      </c>
      <c r="C3480" s="755" t="str">
        <f>IFERROR(VLOOKUP(B3480,DATEWISE!$A$3:$BY$27,2,0),0)</f>
        <v>30.04.2026</v>
      </c>
      <c r="D3480" s="755">
        <f>IF($C$3480=0,NA(),VLOOKUP($I$3476&amp;$B$3480,FLNFIX!$L$4:$EF$103,2,0))</f>
        <v>0</v>
      </c>
      <c r="E3480" s="755">
        <f>IF($C$3480=0,NA(),VLOOKUP($I$3476&amp;$B$3480,FLNFIX!$L$4:$EF$103,4,0))</f>
        <v>0</v>
      </c>
      <c r="F3480" s="755">
        <f>IF($C$3480=0,NA(),VLOOKUP($I$3476&amp;$B$3480,FLNFIX!$L$4:$EF$103,3,0))</f>
        <v>0</v>
      </c>
      <c r="G3480" s="756">
        <f>IF($C$3480=0,NA(),VLOOKUP($I$3476&amp;$B$3480,FLNFIX!$L$4:$EF$103,5,0))</f>
        <v>0</v>
      </c>
      <c r="H3480" s="757"/>
      <c r="I3480" s="757"/>
      <c r="J3480" s="758"/>
      <c r="K3480" s="677"/>
    </row>
    <row r="3481" ht="20.1" customHeight="1" spans="1:11">
      <c r="A3481" s="675"/>
      <c r="B3481" s="755">
        <f t="shared" ref="B3481:B3500" si="63">IF(B3480=0,0,IF(B3480&lt;$B$3479,B3480+1,""))</f>
        <v>2</v>
      </c>
      <c r="C3481" s="755" t="str">
        <f>IFERROR(VLOOKUP(B3481,DATEWISE!$A$3:$BY$27,2,0),0)</f>
        <v>08.05.2026</v>
      </c>
      <c r="D3481" s="755">
        <f>IF($C$3481=0,NA(),VLOOKUP($I$3476&amp;$B$3481,FLNFIX!$Q$4:$EF$103,2,0))</f>
        <v>0</v>
      </c>
      <c r="E3481" s="755">
        <f>IF($C$3481=0,NA(),VLOOKUP($I$3476&amp;$B$3481,FLNFIX!$Q$4:$EF$103,4,0))</f>
        <v>0</v>
      </c>
      <c r="F3481" s="755">
        <f>IF($C$3481=0,NA(),VLOOKUP($I$3476&amp;$B$3481,FLNFIX!$Q$4:$EF$103,3,0))</f>
        <v>0</v>
      </c>
      <c r="G3481" s="756">
        <f>IF($C$3481=0,NA(),VLOOKUP($I$3476&amp;$B$3481,FLNFIX!$Q$4:$EF$103,5,0))</f>
        <v>0</v>
      </c>
      <c r="H3481" s="757"/>
      <c r="I3481" s="757"/>
      <c r="J3481" s="758"/>
      <c r="K3481" s="677"/>
    </row>
    <row r="3482" ht="20.1" customHeight="1" spans="1:11">
      <c r="A3482" s="675"/>
      <c r="B3482" s="755">
        <f t="shared" si="63"/>
        <v>3</v>
      </c>
      <c r="C3482" s="755" t="str">
        <f>IFERROR(VLOOKUP(B3482,DATEWISE!$A$3:$BY$27,2,0),0)</f>
        <v>15.07.2026</v>
      </c>
      <c r="D3482" s="755">
        <f>IF($C$3482=0,NA(),VLOOKUP($I$3476&amp;$B$3482,FLNFIX!$V$4:$EF$103,2,0))</f>
        <v>0</v>
      </c>
      <c r="E3482" s="755">
        <f>IF($C$3482=0,NA(),VLOOKUP($I$3476&amp;$B$3482,FLNFIX!$V$4:$EF$103,4,0))</f>
        <v>0</v>
      </c>
      <c r="F3482" s="755">
        <f>IF($C$3482=0,NA(),VLOOKUP($I$3476&amp;$B$3482,FLNFIX!$V$4:$EF$103,3,0))</f>
        <v>0</v>
      </c>
      <c r="G3482" s="756">
        <f>IF($C$3482=0,NA(),VLOOKUP($I$3476&amp;$B$3482,FLNFIX!$V$4:$EF$103,5,0))</f>
        <v>0</v>
      </c>
      <c r="H3482" s="757"/>
      <c r="I3482" s="757"/>
      <c r="J3482" s="758"/>
      <c r="K3482" s="677"/>
    </row>
    <row r="3483" ht="20.1" customHeight="1" spans="1:11">
      <c r="A3483" s="675"/>
      <c r="B3483" s="755">
        <f t="shared" si="63"/>
        <v>4</v>
      </c>
      <c r="C3483" s="755" t="str">
        <f>IFERROR(VLOOKUP(B3483,DATEWISE!$A$3:$BY$27,2,0),0)</f>
        <v>31.07.2026</v>
      </c>
      <c r="D3483" s="755">
        <f>IF($C$3483=0,NA(),VLOOKUP($I$3476&amp;$B$3483,FLNFIX!$AA$4:$EF$103,2,0))</f>
        <v>0</v>
      </c>
      <c r="E3483" s="755">
        <f>IF($C$3483=0,NA(),VLOOKUP($I$3476&amp;$B$3483,FLNFIX!$AA$4:$EF$103,4,0))</f>
        <v>0</v>
      </c>
      <c r="F3483" s="755">
        <f>IF($C$3483=0,NA(),VLOOKUP($I$3476&amp;$B$3483,FLNFIX!$AA$4:$EF$103,3,0))</f>
        <v>0</v>
      </c>
      <c r="G3483" s="756">
        <f>IF($C$3483=0,NA(),VLOOKUP($I$3476&amp;$B$3483,FLNFIX!$AA$4:$EF$103,5,0))</f>
        <v>0</v>
      </c>
      <c r="H3483" s="757"/>
      <c r="I3483" s="757"/>
      <c r="J3483" s="758"/>
      <c r="K3483" s="677"/>
    </row>
    <row r="3484" ht="20.1" customHeight="1" spans="1:11">
      <c r="A3484" s="675"/>
      <c r="B3484" s="755">
        <f t="shared" si="63"/>
        <v>5</v>
      </c>
      <c r="C3484" s="755" t="str">
        <f>IFERROR(VLOOKUP(B3484,DATEWISE!$A$3:$BY$27,2,0),0)</f>
        <v>17.08.2026</v>
      </c>
      <c r="D3484" s="755">
        <f>IF($C$3484=0,NA(),VLOOKUP($I$3476&amp;$B$3484,FLNFIX!$AF$4:$EF$103,2,0))</f>
        <v>0</v>
      </c>
      <c r="E3484" s="755">
        <f>IF($C$3484=0,NA(),VLOOKUP($I$3476&amp;$B$3484,FLNFIX!$AF$4:$EF$103,4,0))</f>
        <v>0</v>
      </c>
      <c r="F3484" s="755">
        <f>IF($C$3484=0,NA(),VLOOKUP($I$3476&amp;$B$3484,FLNFIX!$AF$4:$EF$103,3,0))</f>
        <v>0</v>
      </c>
      <c r="G3484" s="756">
        <f>IF($C$3484=0,NA(),VLOOKUP($I$3476&amp;$B$3484,FLNFIX!$AF$4:$EF$103,5,0))</f>
        <v>0</v>
      </c>
      <c r="H3484" s="757"/>
      <c r="I3484" s="757"/>
      <c r="J3484" s="758"/>
      <c r="K3484" s="677"/>
    </row>
    <row r="3485" ht="20.1" customHeight="1" spans="1:11">
      <c r="A3485" s="675"/>
      <c r="B3485" s="755">
        <f t="shared" si="63"/>
        <v>6</v>
      </c>
      <c r="C3485" s="755" t="str">
        <f>IFERROR(VLOOKUP(B3485,DATEWISE!$A$3:$BY$27,2,0),0)</f>
        <v>31.08.2026</v>
      </c>
      <c r="D3485" s="755">
        <f>IF($C$3485=0,NA(),VLOOKUP($I$3476&amp;$B$3485,FLNFIX!$AK$4:$EF$103,2,0))</f>
        <v>0</v>
      </c>
      <c r="E3485" s="755">
        <f>IF($C$3485=0,NA(),VLOOKUP($I$3476&amp;$B$3485,FLNFIX!$AK$4:$EF$103,4,0))</f>
        <v>0</v>
      </c>
      <c r="F3485" s="755">
        <f>IF($C$3485=0,NA(),VLOOKUP($I$3476&amp;$B$3485,FLNFIX!$AK$4:$EF$103,3,0))</f>
        <v>0</v>
      </c>
      <c r="G3485" s="756">
        <f>IF($C$3485=0,NA(),VLOOKUP($I$3476&amp;$B$3485,FLNFIX!$AK$4:$EF$103,5,0))</f>
        <v>0</v>
      </c>
      <c r="H3485" s="757"/>
      <c r="I3485" s="757"/>
      <c r="J3485" s="758"/>
      <c r="K3485" s="677"/>
    </row>
    <row r="3486" ht="20.1" customHeight="1" spans="1:11">
      <c r="A3486" s="675"/>
      <c r="B3486" s="755">
        <f t="shared" si="63"/>
        <v>7</v>
      </c>
      <c r="C3486" s="755">
        <f>IFERROR(VLOOKUP(B3486,DATEWISE!$A$3:$BY$27,2,0),0)</f>
        <v>0</v>
      </c>
      <c r="D3486" s="755" t="e">
        <f>IF($C$3486=0,NA(),VLOOKUP($I$3476&amp;$B$3486,FLNFIX!$AP$4:$EF$103,2,0))</f>
        <v>#N/A</v>
      </c>
      <c r="E3486" s="755" t="e">
        <f>IF($C$3486=0,NA(),VLOOKUP($I$3476&amp;$B$3486,FLNFIX!$AP$4:$EF$103,4,0))</f>
        <v>#N/A</v>
      </c>
      <c r="F3486" s="755" t="e">
        <f>IF($C$3486=0,NA(),VLOOKUP($I$3476&amp;$B$3486,FLNFIX!$AP$4:$EF$103,3,0))</f>
        <v>#N/A</v>
      </c>
      <c r="G3486" s="756" t="e">
        <f>IF($C$3486=0,NA(),VLOOKUP($I$3476&amp;$B$3486,FLNFIX!$AP$4:$EF$103,5,0))</f>
        <v>#N/A</v>
      </c>
      <c r="H3486" s="757"/>
      <c r="I3486" s="757"/>
      <c r="J3486" s="758"/>
      <c r="K3486" s="677"/>
    </row>
    <row r="3487" ht="20.1" customHeight="1" spans="1:11">
      <c r="A3487" s="675"/>
      <c r="B3487" s="755">
        <f t="shared" si="63"/>
        <v>8</v>
      </c>
      <c r="C3487" s="755">
        <f>IFERROR(VLOOKUP(B3487,DATEWISE!$A$3:$BY$27,2,0),0)</f>
        <v>0</v>
      </c>
      <c r="D3487" s="755" t="e">
        <f>IF($C$3487=0,NA(),VLOOKUP($I$3476&amp;$B$3487,FLNFIX!$AU$4:$EF$103,2,0))</f>
        <v>#N/A</v>
      </c>
      <c r="E3487" s="755" t="e">
        <f>IF($C$3487=0,NA(),VLOOKUP($I$3476&amp;$B$3487,FLNFIX!$AU$4:$EF$103,4,0))</f>
        <v>#N/A</v>
      </c>
      <c r="F3487" s="755" t="e">
        <f>IF($C$3487=0,NA(),VLOOKUP($I$3476&amp;$B$3487,FLNFIX!$AU$4:$EF$103,3,0))</f>
        <v>#N/A</v>
      </c>
      <c r="G3487" s="756" t="e">
        <f>IF($C$3487=0,NA(),VLOOKUP($I$3476&amp;$B$3487,FLNFIX!$AU$4:$EF$103,5,0))</f>
        <v>#N/A</v>
      </c>
      <c r="H3487" s="757"/>
      <c r="I3487" s="757"/>
      <c r="J3487" s="758"/>
      <c r="K3487" s="677"/>
    </row>
    <row r="3488" ht="20.1" customHeight="1" spans="1:11">
      <c r="A3488" s="675"/>
      <c r="B3488" s="755">
        <f t="shared" si="63"/>
        <v>9</v>
      </c>
      <c r="C3488" s="755">
        <f>IFERROR(VLOOKUP(B3488,DATEWISE!$A$3:$BY$27,2,0),0)</f>
        <v>0</v>
      </c>
      <c r="D3488" s="755" t="e">
        <f>IF($C$3488=0,NA(),VLOOKUP($I$3476&amp;$B$3488,FLNFIX!$AZ$4:$EF$103,2,0))</f>
        <v>#N/A</v>
      </c>
      <c r="E3488" s="755" t="e">
        <f>IF($C$3488=0,NA(),VLOOKUP($I$3476&amp;$B$3488,FLNFIX!$AZ$4:$EF$103,4,0))</f>
        <v>#N/A</v>
      </c>
      <c r="F3488" s="755" t="e">
        <f>IF($C$3488=0,NA(),VLOOKUP($I$3476&amp;$B$3488,FLNFIX!$AZ$4:$EF$103,3,0))</f>
        <v>#N/A</v>
      </c>
      <c r="G3488" s="756" t="e">
        <f>IF($C$3488=0,NA(),VLOOKUP($I$3476&amp;$B$3488,FLNFIX!$AZ$4:$EF$103,5,0))</f>
        <v>#N/A</v>
      </c>
      <c r="H3488" s="757"/>
      <c r="I3488" s="757"/>
      <c r="J3488" s="758"/>
      <c r="K3488" s="677"/>
    </row>
    <row r="3489" ht="20.1" customHeight="1" spans="1:11">
      <c r="A3489" s="675"/>
      <c r="B3489" s="755">
        <f t="shared" si="63"/>
        <v>10</v>
      </c>
      <c r="C3489" s="755">
        <f>IFERROR(VLOOKUP(B3489,DATEWISE!$A$3:$BY$27,2,0),0)</f>
        <v>0</v>
      </c>
      <c r="D3489" s="755" t="e">
        <f>IF($C$3489=0,NA(),VLOOKUP($I$3476&amp;$B$3489,FLNFIX!$BE$4:$EF$103,2,0))</f>
        <v>#N/A</v>
      </c>
      <c r="E3489" s="755" t="e">
        <f>IF($C$3489=0,NA(),VLOOKUP($I$3476&amp;$B$3489,FLNFIX!$BE$4:$EF$103,4,0))</f>
        <v>#N/A</v>
      </c>
      <c r="F3489" s="755" t="e">
        <f>IF($C$3489=0,NA(),VLOOKUP($I$3476&amp;$B$3489,FLNFIX!$BE$4:$EF$103,3,0))</f>
        <v>#N/A</v>
      </c>
      <c r="G3489" s="756" t="e">
        <f>IF($C$3489=0,NA(),VLOOKUP($I$3476&amp;$B$3489,FLNFIX!$BE$4:$EF$103,5,0))</f>
        <v>#N/A</v>
      </c>
      <c r="H3489" s="757"/>
      <c r="I3489" s="757"/>
      <c r="J3489" s="758"/>
      <c r="K3489" s="677"/>
    </row>
    <row r="3490" ht="20.1" customHeight="1" spans="1:11">
      <c r="A3490" s="675"/>
      <c r="B3490" s="755">
        <f t="shared" si="63"/>
        <v>11</v>
      </c>
      <c r="C3490" s="755">
        <f>IFERROR(VLOOKUP(B3490,DATEWISE!$A$3:$BY$27,2,0),0)</f>
        <v>0</v>
      </c>
      <c r="D3490" s="755" t="e">
        <f>IF($C$3490=0,NA(),VLOOKUP($I$3476&amp;$B$3490,FLNFIX!$BJ$4:$EF$103,2,0))</f>
        <v>#N/A</v>
      </c>
      <c r="E3490" s="755" t="e">
        <f>IF($C$3490=0,NA(),VLOOKUP($I$3476&amp;$B$3490,FLNFIX!$BJ$4:$EF$103,4,0))</f>
        <v>#N/A</v>
      </c>
      <c r="F3490" s="755" t="e">
        <f>IF($C$3490=0,NA(),VLOOKUP($I$3476&amp;$B$3490,FLNFIX!$BJ$4:$EF$103,3,0))</f>
        <v>#N/A</v>
      </c>
      <c r="G3490" s="756" t="e">
        <f>IF($C$3490=0,NA(),VLOOKUP($I$3476&amp;$B$3490,FLNFIX!$BJ$4:$EF$103,5,0))</f>
        <v>#N/A</v>
      </c>
      <c r="H3490" s="757"/>
      <c r="I3490" s="757"/>
      <c r="J3490" s="758"/>
      <c r="K3490" s="677"/>
    </row>
    <row r="3491" ht="20.1" customHeight="1" spans="1:11">
      <c r="A3491" s="675"/>
      <c r="B3491" s="755">
        <f t="shared" si="63"/>
        <v>12</v>
      </c>
      <c r="C3491" s="755">
        <f>IFERROR(VLOOKUP(B3491,DATEWISE!$A$3:$BY$27,2,0),0)</f>
        <v>0</v>
      </c>
      <c r="D3491" s="755" t="e">
        <f>IF($C$3491=0,NA(),VLOOKUP($I$3476&amp;$B$3491,FLNFIX!$BO$4:$EF$103,2,0))</f>
        <v>#N/A</v>
      </c>
      <c r="E3491" s="755" t="e">
        <f>IF($C$3491=0,NA(),VLOOKUP($I$3476&amp;$B$3491,FLNFIX!$BO$4:$EF$103,4,0))</f>
        <v>#N/A</v>
      </c>
      <c r="F3491" s="755" t="e">
        <f>IF($C$3491=0,NA(),VLOOKUP($I$3476&amp;$B$3491,FLNFIX!$BO$4:$EF$103,3,0))</f>
        <v>#N/A</v>
      </c>
      <c r="G3491" s="756" t="e">
        <f>IF($C$3491=0,NA(),VLOOKUP($I$3476&amp;$B$3491,FLNFIX!$BO$4:$EF$103,5,0))</f>
        <v>#N/A</v>
      </c>
      <c r="H3491" s="757"/>
      <c r="I3491" s="757"/>
      <c r="J3491" s="758"/>
      <c r="K3491" s="677"/>
    </row>
    <row r="3492" ht="20.1" customHeight="1" spans="1:11">
      <c r="A3492" s="675"/>
      <c r="B3492" s="755">
        <f t="shared" si="63"/>
        <v>13</v>
      </c>
      <c r="C3492" s="755">
        <f>IFERROR(VLOOKUP(B3492,DATEWISE!$A$3:$BY$27,2,0),0)</f>
        <v>0</v>
      </c>
      <c r="D3492" s="755" t="e">
        <f>IF($C$3492=0,NA(),VLOOKUP($I$3476&amp;$B$3492,FLNFIX!$BT$4:$EF$103,2,0))</f>
        <v>#N/A</v>
      </c>
      <c r="E3492" s="755" t="e">
        <f>IF($C$3492=0,NA(),VLOOKUP($I$3476&amp;$B$3492,FLNFIX!$BT$4:$EF$103,4,0))</f>
        <v>#N/A</v>
      </c>
      <c r="F3492" s="755" t="e">
        <f>IF($C$3492=0,NA(),VLOOKUP($I$3476&amp;$B$3492,FLNFIX!$BT$4:$EF$103,3,0))</f>
        <v>#N/A</v>
      </c>
      <c r="G3492" s="756" t="e">
        <f>IF($C$3492=0,NA(),VLOOKUP($I$3476&amp;$B$3492,FLNFIX!$BT$4:$EF$103,5,0))</f>
        <v>#N/A</v>
      </c>
      <c r="H3492" s="757"/>
      <c r="I3492" s="757"/>
      <c r="J3492" s="758"/>
      <c r="K3492" s="677"/>
    </row>
    <row r="3493" ht="20.1" customHeight="1" spans="1:11">
      <c r="A3493" s="675"/>
      <c r="B3493" s="755">
        <f t="shared" si="63"/>
        <v>14</v>
      </c>
      <c r="C3493" s="755">
        <f>IFERROR(VLOOKUP(B3493,DATEWISE!$A$3:$BY$27,2,0),0)</f>
        <v>0</v>
      </c>
      <c r="D3493" s="755" t="e">
        <f>IF($C$3493=0,NA(),VLOOKUP($I$3476&amp;$B$3493,FLNFIX!$BY$4:$EF$103,2,0))</f>
        <v>#N/A</v>
      </c>
      <c r="E3493" s="755" t="e">
        <f>IF($C$3493=0,NA(),VLOOKUP($I$3476&amp;$B$3493,FLNFIX!$BY$4:$EF$103,4,0))</f>
        <v>#N/A</v>
      </c>
      <c r="F3493" s="755" t="e">
        <f>IF($C$3493=0,NA(),VLOOKUP($I$3476&amp;$B$3493,FLNFIX!$BY$4:$EF$103,3,0))</f>
        <v>#N/A</v>
      </c>
      <c r="G3493" s="756" t="e">
        <f>IF($C$3493=0,NA(),VLOOKUP($I$3476&amp;$B$3493,FLNFIX!$BY$4:$EF$103,5,0))</f>
        <v>#N/A</v>
      </c>
      <c r="H3493" s="757"/>
      <c r="I3493" s="757"/>
      <c r="J3493" s="758"/>
      <c r="K3493" s="677"/>
    </row>
    <row r="3494" ht="20.1" customHeight="1" spans="1:11">
      <c r="A3494" s="675"/>
      <c r="B3494" s="755">
        <f t="shared" si="63"/>
        <v>15</v>
      </c>
      <c r="C3494" s="755">
        <f>IFERROR(VLOOKUP(B3494,DATEWISE!$A$3:$BY$27,2,0),0)</f>
        <v>0</v>
      </c>
      <c r="D3494" s="755" t="e">
        <f>IF($C$3494=0,NA(),VLOOKUP($I$3476&amp;$B$3494,FLNFIX!$CD$4:$EF$103,2,0))</f>
        <v>#N/A</v>
      </c>
      <c r="E3494" s="755" t="e">
        <f>IF($C$3494=0,NA(),VLOOKUP($I$3476&amp;$B$3494,FLNFIX!$CD$4:$EF$103,4,0))</f>
        <v>#N/A</v>
      </c>
      <c r="F3494" s="755" t="e">
        <f>IF($C$3494=0,NA(),VLOOKUP($I$3476&amp;$B$3494,FLNFIX!$CD$4:$EF$103,3,0))</f>
        <v>#N/A</v>
      </c>
      <c r="G3494" s="756" t="e">
        <f>IF($C$3494=0,NA(),VLOOKUP($I$3476&amp;$B$3494,FLNFIX!$CD$4:$EF$103,5,0))</f>
        <v>#N/A</v>
      </c>
      <c r="H3494" s="757"/>
      <c r="I3494" s="757"/>
      <c r="J3494" s="758"/>
      <c r="K3494" s="677"/>
    </row>
    <row r="3495" ht="20.1" customHeight="1" spans="1:11">
      <c r="A3495" s="675"/>
      <c r="B3495" s="755">
        <f t="shared" si="63"/>
        <v>16</v>
      </c>
      <c r="C3495" s="755">
        <f>IFERROR(VLOOKUP(B3495,DATEWISE!$A$3:$BY$27,2,0),0)</f>
        <v>0</v>
      </c>
      <c r="D3495" s="755" t="e">
        <f>IF($C$3495=0,NA(),VLOOKUP($I$3476&amp;$B$3495,FLNFIX!$CI$4:$EF$103,2,0))</f>
        <v>#N/A</v>
      </c>
      <c r="E3495" s="755" t="e">
        <f>IF($C$3495=0,NA(),VLOOKUP($I$3476&amp;$B$3495,FLNFIX!$CI$4:$EF$103,4,0))</f>
        <v>#N/A</v>
      </c>
      <c r="F3495" s="755" t="e">
        <f>IF($C$3495=0,NA(),VLOOKUP($I$3476&amp;$B$3495,FLNFIX!$CI$4:$EF$103,3,0))</f>
        <v>#N/A</v>
      </c>
      <c r="G3495" s="756" t="e">
        <f>IF($C$3495=0,NA(),VLOOKUP($I$3476&amp;$B$3495,FLNFIX!$CI$4:$EF$103,5,0))</f>
        <v>#N/A</v>
      </c>
      <c r="H3495" s="757"/>
      <c r="I3495" s="757"/>
      <c r="J3495" s="758"/>
      <c r="K3495" s="677"/>
    </row>
    <row r="3496" ht="20.1" customHeight="1" spans="1:11">
      <c r="A3496" s="675"/>
      <c r="B3496" s="755">
        <f t="shared" si="63"/>
        <v>17</v>
      </c>
      <c r="C3496" s="755">
        <f>IFERROR(VLOOKUP(B3496,DATEWISE!$A$3:$BY$27,2,0),0)</f>
        <v>0</v>
      </c>
      <c r="D3496" s="755" t="e">
        <f>IF($C$3496=0,NA(),VLOOKUP($I$3476&amp;$B$3496,FLNFIX!$CN$4:$EF$103,2,0))</f>
        <v>#N/A</v>
      </c>
      <c r="E3496" s="755" t="e">
        <f>IF($C$3496=0,NA(),VLOOKUP($I$3476&amp;$B$3496,FLNFIX!$CN$4:$EF$103,4,0))</f>
        <v>#N/A</v>
      </c>
      <c r="F3496" s="755" t="e">
        <f>IF($C$3496=0,NA(),VLOOKUP($I$3476&amp;$B$3496,FLNFIX!$CN$4:$EF$103,3,0))</f>
        <v>#N/A</v>
      </c>
      <c r="G3496" s="756" t="e">
        <f>IF($C$3496=0,NA(),VLOOKUP($I$3476&amp;$B$3496,FLNFIX!$CN$4:$EF$103,5,0))</f>
        <v>#N/A</v>
      </c>
      <c r="H3496" s="757"/>
      <c r="I3496" s="757"/>
      <c r="J3496" s="758"/>
      <c r="K3496" s="677"/>
    </row>
    <row r="3497" ht="20.1" customHeight="1" spans="1:11">
      <c r="A3497" s="675"/>
      <c r="B3497" s="755">
        <f t="shared" si="63"/>
        <v>18</v>
      </c>
      <c r="C3497" s="755">
        <f>IFERROR(VLOOKUP(B3497,DATEWISE!$A$3:$BY$27,2,0),0)</f>
        <v>0</v>
      </c>
      <c r="D3497" s="755" t="e">
        <f>IF($C$3497=0,NA(),VLOOKUP($I$3476&amp;$B$3497,FLNFIX!$CS$4:$EF$103,2,0))</f>
        <v>#N/A</v>
      </c>
      <c r="E3497" s="755" t="e">
        <f>IF($C$3497=0,NA(),VLOOKUP($I$3476&amp;$B$3497,FLNFIX!$CS$4:$EF$103,4,0))</f>
        <v>#N/A</v>
      </c>
      <c r="F3497" s="755" t="e">
        <f>IF($C$3497=0,NA(),VLOOKUP($I$3476&amp;$B$3497,FLNFIX!$CS$4:$EF$103,3,0))</f>
        <v>#N/A</v>
      </c>
      <c r="G3497" s="756" t="e">
        <f>IF($C$3497=0,NA(),VLOOKUP($I$3476&amp;$B$3497,FLNFIX!$CS$4:$EF$103,5,0))</f>
        <v>#N/A</v>
      </c>
      <c r="H3497" s="757"/>
      <c r="I3497" s="757"/>
      <c r="J3497" s="758"/>
      <c r="K3497" s="677"/>
    </row>
    <row r="3498" ht="20.1" customHeight="1" spans="1:11">
      <c r="A3498" s="675"/>
      <c r="B3498" s="755">
        <f t="shared" si="63"/>
        <v>19</v>
      </c>
      <c r="C3498" s="755">
        <f>IFERROR(VLOOKUP(B3498,DATEWISE!$A$3:$BY$27,2,0),0)</f>
        <v>0</v>
      </c>
      <c r="D3498" s="755" t="e">
        <f>IF($C$3498=0,NA(),VLOOKUP($I$3476&amp;$B$3498,FLNFIX!$CX$4:$EF$103,2,0))</f>
        <v>#N/A</v>
      </c>
      <c r="E3498" s="755" t="e">
        <f>IF($C$3498=0,NA(),VLOOKUP($I$3476&amp;$B$3498,FLNFIX!$CX$4:$EF$103,4,0))</f>
        <v>#N/A</v>
      </c>
      <c r="F3498" s="755" t="e">
        <f>IF($C$3498=0,NA(),VLOOKUP($I$3476&amp;$B$3498,FLNFIX!$CX$4:$EF$103,3,0))</f>
        <v>#N/A</v>
      </c>
      <c r="G3498" s="756" t="e">
        <f>IF($C$3498=0,NA(),VLOOKUP($I$3476&amp;$B$3498,FLNFIX!$CX$4:$EF$103,5,0))</f>
        <v>#N/A</v>
      </c>
      <c r="H3498" s="757"/>
      <c r="I3498" s="757"/>
      <c r="J3498" s="758"/>
      <c r="K3498" s="677"/>
    </row>
    <row r="3499" ht="20.1" customHeight="1" spans="1:11">
      <c r="A3499" s="675"/>
      <c r="B3499" s="755">
        <f t="shared" si="63"/>
        <v>20</v>
      </c>
      <c r="C3499" s="755">
        <f>IFERROR(VLOOKUP(B3499,DATEWISE!$A$3:$BY$27,2,0),0)</f>
        <v>0</v>
      </c>
      <c r="D3499" s="755" t="e">
        <f>IF($C$3499=0,NA(),VLOOKUP($I$3476&amp;$B$3499,FLNFIX!$DC$4:$EF$103,2,0))</f>
        <v>#N/A</v>
      </c>
      <c r="E3499" s="755" t="e">
        <f>IF($C$3499=0,NA(),VLOOKUP($I$3476&amp;$B$3499,FLNFIX!$DC$4:$EF$103,4,0))</f>
        <v>#N/A</v>
      </c>
      <c r="F3499" s="755" t="e">
        <f>IF($C$3499=0,NA(),VLOOKUP($I$3476&amp;$B$3499,FLNFIX!$DC$4:$EF$103,3,0))</f>
        <v>#N/A</v>
      </c>
      <c r="G3499" s="756" t="e">
        <f>IF($C$3499=0,NA(),VLOOKUP($I$3476&amp;$B$3499,FLNFIX!$DC$4:$EF$103,5,0))</f>
        <v>#N/A</v>
      </c>
      <c r="H3499" s="757"/>
      <c r="I3499" s="757"/>
      <c r="J3499" s="758"/>
      <c r="K3499" s="677"/>
    </row>
    <row r="3500" ht="20.1" customHeight="1" spans="1:11">
      <c r="A3500" s="675"/>
      <c r="B3500" s="755">
        <f t="shared" si="63"/>
        <v>21</v>
      </c>
      <c r="C3500" s="755">
        <f>IFERROR(VLOOKUP(B3500,DATEWISE!$A$3:$BY$27,2,0),0)</f>
        <v>0</v>
      </c>
      <c r="D3500" s="755" t="e">
        <f>IF($C$3500=0,NA(),VLOOKUP($I$3476&amp;$B$3500,FLNFIX!$DH$4:$EF$103,2,0))</f>
        <v>#N/A</v>
      </c>
      <c r="E3500" s="755" t="e">
        <f>IF($C$3500=0,NA(),VLOOKUP($I$3476&amp;$B$3500,FLNFIX!$DH$4:$EF$103,4,0))</f>
        <v>#N/A</v>
      </c>
      <c r="F3500" s="755" t="e">
        <f>IF($C$3500=0,NA(),VLOOKUP($I$3476&amp;$B$3500,FLNFIX!$DH$4:$EF$103,3,0))</f>
        <v>#N/A</v>
      </c>
      <c r="G3500" s="756" t="e">
        <f>IF($C$3500=0,NA(),VLOOKUP($I$3476&amp;$B$3500,FLNFIX!$DH$4:$EF$103,5,0))</f>
        <v>#N/A</v>
      </c>
      <c r="H3500" s="757"/>
      <c r="I3500" s="757"/>
      <c r="J3500" s="758"/>
      <c r="K3500" s="677"/>
    </row>
    <row r="3501" ht="5.1" customHeight="1" spans="1:11">
      <c r="A3501" s="675"/>
      <c r="B3501" s="759"/>
      <c r="C3501" s="759"/>
      <c r="D3501" s="760"/>
      <c r="E3501" s="760"/>
      <c r="F3501" s="760"/>
      <c r="G3501" s="761"/>
      <c r="H3501" s="761"/>
      <c r="I3501" s="761"/>
      <c r="J3501" s="761"/>
      <c r="K3501" s="677"/>
    </row>
    <row r="3502" s="667" customFormat="1" ht="24.95" customHeight="1" spans="1:11">
      <c r="A3502" s="711"/>
      <c r="B3502" s="762" t="s">
        <v>431</v>
      </c>
      <c r="C3502" s="763"/>
      <c r="D3502" s="763"/>
      <c r="E3502" s="763"/>
      <c r="F3502" s="763"/>
      <c r="G3502" s="763"/>
      <c r="H3502" s="763"/>
      <c r="I3502" s="763"/>
      <c r="J3502" s="764"/>
      <c r="K3502" s="713"/>
    </row>
    <row r="3503" spans="1:11">
      <c r="A3503" s="675"/>
      <c r="B3503" s="765"/>
      <c r="C3503" s="686"/>
      <c r="D3503" s="686"/>
      <c r="E3503" s="686"/>
      <c r="F3503" s="686"/>
      <c r="G3503" s="686"/>
      <c r="H3503" s="686"/>
      <c r="I3503" s="686"/>
      <c r="J3503" s="766"/>
      <c r="K3503" s="677"/>
    </row>
    <row r="3504" spans="1:11">
      <c r="A3504" s="675"/>
      <c r="B3504" s="765"/>
      <c r="C3504" s="686"/>
      <c r="D3504" s="686"/>
      <c r="E3504" s="686"/>
      <c r="F3504" s="686"/>
      <c r="G3504" s="686"/>
      <c r="H3504" s="686"/>
      <c r="I3504" s="686"/>
      <c r="J3504" s="766"/>
      <c r="K3504" s="677"/>
    </row>
    <row r="3505" spans="1:11">
      <c r="A3505" s="675"/>
      <c r="B3505" s="765"/>
      <c r="C3505" s="686"/>
      <c r="D3505" s="686"/>
      <c r="E3505" s="686"/>
      <c r="F3505" s="686"/>
      <c r="G3505" s="686"/>
      <c r="H3505" s="686"/>
      <c r="I3505" s="686"/>
      <c r="J3505" s="766"/>
      <c r="K3505" s="677"/>
    </row>
    <row r="3506" spans="1:11">
      <c r="A3506" s="675"/>
      <c r="B3506" s="765"/>
      <c r="C3506" s="686"/>
      <c r="D3506" s="686"/>
      <c r="E3506" s="686"/>
      <c r="F3506" s="686"/>
      <c r="G3506" s="686"/>
      <c r="H3506" s="686"/>
      <c r="I3506" s="686"/>
      <c r="J3506" s="766"/>
      <c r="K3506" s="677"/>
    </row>
    <row r="3507" spans="1:11">
      <c r="A3507" s="675"/>
      <c r="B3507" s="765"/>
      <c r="C3507" s="686"/>
      <c r="D3507" s="686"/>
      <c r="E3507" s="686"/>
      <c r="F3507" s="686"/>
      <c r="G3507" s="686"/>
      <c r="H3507" s="686"/>
      <c r="I3507" s="686"/>
      <c r="J3507" s="766"/>
      <c r="K3507" s="677"/>
    </row>
    <row r="3508" spans="1:11">
      <c r="A3508" s="675"/>
      <c r="B3508" s="765"/>
      <c r="C3508" s="686"/>
      <c r="D3508" s="686"/>
      <c r="E3508" s="686"/>
      <c r="F3508" s="686"/>
      <c r="G3508" s="686"/>
      <c r="H3508" s="686"/>
      <c r="I3508" s="686"/>
      <c r="J3508" s="766"/>
      <c r="K3508" s="677"/>
    </row>
    <row r="3509" spans="1:11">
      <c r="A3509" s="675"/>
      <c r="B3509" s="765"/>
      <c r="C3509" s="686"/>
      <c r="D3509" s="686"/>
      <c r="E3509" s="686"/>
      <c r="F3509" s="686"/>
      <c r="G3509" s="686"/>
      <c r="H3509" s="686"/>
      <c r="I3509" s="686"/>
      <c r="J3509" s="766"/>
      <c r="K3509" s="677"/>
    </row>
    <row r="3510" spans="1:11">
      <c r="A3510" s="675"/>
      <c r="B3510" s="765"/>
      <c r="C3510" s="686"/>
      <c r="D3510" s="686"/>
      <c r="E3510" s="686"/>
      <c r="F3510" s="686"/>
      <c r="G3510" s="686"/>
      <c r="H3510" s="686"/>
      <c r="I3510" s="686"/>
      <c r="J3510" s="766"/>
      <c r="K3510" s="677"/>
    </row>
    <row r="3511" spans="1:11">
      <c r="A3511" s="675"/>
      <c r="B3511" s="765"/>
      <c r="C3511" s="686"/>
      <c r="D3511" s="686"/>
      <c r="E3511" s="686"/>
      <c r="F3511" s="686"/>
      <c r="G3511" s="686"/>
      <c r="H3511" s="686"/>
      <c r="I3511" s="686"/>
      <c r="J3511" s="766"/>
      <c r="K3511" s="677"/>
    </row>
    <row r="3512" spans="1:11">
      <c r="A3512" s="675"/>
      <c r="B3512" s="767"/>
      <c r="C3512" s="768"/>
      <c r="D3512" s="768"/>
      <c r="E3512" s="768"/>
      <c r="F3512" s="768"/>
      <c r="G3512" s="768"/>
      <c r="H3512" s="768"/>
      <c r="I3512" s="768"/>
      <c r="J3512" s="769"/>
      <c r="K3512" s="677"/>
    </row>
    <row r="3513" ht="5.1" customHeight="1" spans="1:11">
      <c r="A3513" s="675"/>
      <c r="B3513" s="686"/>
      <c r="C3513" s="686"/>
      <c r="D3513" s="686"/>
      <c r="E3513" s="686"/>
      <c r="F3513" s="686"/>
      <c r="G3513" s="686"/>
      <c r="H3513" s="686"/>
      <c r="I3513" s="686"/>
      <c r="J3513" s="686"/>
      <c r="K3513" s="677"/>
    </row>
    <row r="3514" spans="1:11">
      <c r="A3514" s="675"/>
      <c r="B3514" s="770" t="s">
        <v>432</v>
      </c>
      <c r="C3514" s="770"/>
      <c r="D3514" s="770"/>
      <c r="E3514" s="770"/>
      <c r="F3514" s="770"/>
      <c r="G3514" s="770"/>
      <c r="H3514" s="770"/>
      <c r="I3514" s="770"/>
      <c r="J3514" s="770"/>
      <c r="K3514" s="677"/>
    </row>
    <row r="3515" spans="1:11">
      <c r="A3515" s="675"/>
      <c r="B3515" s="771"/>
      <c r="C3515" s="771"/>
      <c r="D3515" s="771"/>
      <c r="E3515" s="771"/>
      <c r="F3515" s="771"/>
      <c r="G3515" s="771"/>
      <c r="H3515" s="771"/>
      <c r="I3515" s="771"/>
      <c r="J3515" s="771"/>
      <c r="K3515" s="677"/>
    </row>
    <row r="3516" spans="1:11">
      <c r="A3516" s="675"/>
      <c r="B3516" s="771"/>
      <c r="C3516" s="771"/>
      <c r="D3516" s="771"/>
      <c r="E3516" s="771"/>
      <c r="F3516" s="771"/>
      <c r="G3516" s="771"/>
      <c r="H3516" s="771"/>
      <c r="I3516" s="771"/>
      <c r="J3516" s="771"/>
      <c r="K3516" s="677"/>
    </row>
    <row r="3517" spans="1:11">
      <c r="A3517" s="675"/>
      <c r="B3517" s="771"/>
      <c r="C3517" s="771"/>
      <c r="D3517" s="771"/>
      <c r="E3517" s="771"/>
      <c r="F3517" s="771"/>
      <c r="G3517" s="771"/>
      <c r="H3517" s="771"/>
      <c r="I3517" s="771"/>
      <c r="J3517" s="771"/>
      <c r="K3517" s="677"/>
    </row>
    <row r="3518" spans="1:11">
      <c r="A3518" s="675"/>
      <c r="B3518" s="686"/>
      <c r="C3518" s="686"/>
      <c r="D3518" s="686"/>
      <c r="E3518" s="686"/>
      <c r="F3518" s="686"/>
      <c r="G3518" s="686"/>
      <c r="H3518" s="686"/>
      <c r="I3518" s="686"/>
      <c r="J3518" s="686"/>
      <c r="K3518" s="677"/>
    </row>
    <row r="3519" spans="1:11">
      <c r="A3519" s="675"/>
      <c r="B3519" s="686"/>
      <c r="C3519" s="729" t="s">
        <v>433</v>
      </c>
      <c r="D3519" s="729"/>
      <c r="E3519" s="686"/>
      <c r="F3519" s="686"/>
      <c r="G3519" s="729" t="s">
        <v>434</v>
      </c>
      <c r="H3519" s="729"/>
      <c r="I3519" s="729"/>
      <c r="J3519" s="729"/>
      <c r="K3519" s="677"/>
    </row>
    <row r="3520" ht="16.35" spans="1:11">
      <c r="A3520" s="725"/>
      <c r="B3520" s="726"/>
      <c r="C3520" s="732" t="str">
        <f>"("&amp;PROPER(ENTRY!$D$19)&amp;")"</f>
        <v>(Indrajeet)</v>
      </c>
      <c r="D3520" s="732"/>
      <c r="E3520" s="726"/>
      <c r="F3520" s="726"/>
      <c r="G3520" s="732" t="str">
        <f>"("&amp;PROPER(ENTRY!$D$12)&amp;")"</f>
        <v>(Shambhu Dayal Meena)</v>
      </c>
      <c r="H3520" s="732"/>
      <c r="I3520" s="732"/>
      <c r="J3520" s="732"/>
      <c r="K3520" s="728"/>
    </row>
    <row r="3521" ht="24.6" spans="1:11">
      <c r="B3521" s="734"/>
      <c r="C3521" s="734"/>
      <c r="D3521" s="669" t="str">
        <f>ENTRY!$D$3</f>
        <v>MUNICIPAL CORPORATION OF DELHI</v>
      </c>
      <c r="E3521" s="669"/>
      <c r="F3521" s="669"/>
      <c r="G3521" s="669"/>
      <c r="H3521" s="734"/>
      <c r="I3521" s="669"/>
      <c r="J3521" s="669"/>
    </row>
    <row r="3522" ht="20.4" spans="1:11">
      <c r="B3522" s="735"/>
      <c r="C3522" s="735"/>
      <c r="D3522" s="670" t="str">
        <f>ENTRY!$D$4</f>
        <v>EDUCATION DEPARTMENT</v>
      </c>
      <c r="E3522" s="670"/>
      <c r="F3522" s="670"/>
      <c r="G3522" s="670"/>
      <c r="H3522" s="735"/>
      <c r="I3522" s="669"/>
      <c r="J3522" s="669"/>
    </row>
    <row r="3523" ht="22.8" spans="1:11">
      <c r="B3523" s="736"/>
      <c r="C3523" s="736"/>
      <c r="D3523" s="664" t="s">
        <v>417</v>
      </c>
      <c r="E3523" s="664"/>
      <c r="F3523" s="664"/>
      <c r="G3523" s="664"/>
      <c r="H3523" s="736"/>
      <c r="I3523" s="669"/>
      <c r="J3523" s="669"/>
    </row>
    <row r="3524" ht="22.8" spans="1:11">
      <c r="B3524" s="736"/>
      <c r="C3524" s="736"/>
      <c r="D3524" s="664" t="s">
        <v>418</v>
      </c>
      <c r="E3524" s="664"/>
      <c r="F3524" s="664"/>
      <c r="G3524" s="664"/>
      <c r="H3524" s="736"/>
      <c r="I3524" s="669"/>
      <c r="J3524" s="669"/>
    </row>
    <row r="3525" ht="24.95" customHeight="1" spans="1:11">
      <c r="B3525" s="735"/>
      <c r="C3525" s="735"/>
      <c r="D3525" s="737" t="str">
        <f>"SESSION : "&amp;ENTRY!$D$11</f>
        <v>SESSION : 2026-27</v>
      </c>
      <c r="E3525" s="737"/>
      <c r="F3525" s="737"/>
      <c r="G3525" s="737"/>
      <c r="H3525" s="735"/>
      <c r="I3525" s="738"/>
      <c r="J3525" s="738"/>
    </row>
    <row r="3526" ht="3.75" customHeight="1" spans="1:11">
      <c r="A3526" s="672"/>
      <c r="B3526" s="739"/>
      <c r="C3526" s="739"/>
      <c r="D3526" s="739"/>
      <c r="E3526" s="739"/>
      <c r="F3526" s="739"/>
      <c r="G3526" s="739"/>
      <c r="H3526" s="739"/>
      <c r="I3526" s="739"/>
      <c r="J3526" s="739"/>
      <c r="K3526" s="674"/>
    </row>
    <row r="3527" ht="21.95" customHeight="1" spans="1:11">
      <c r="A3527" s="675"/>
      <c r="B3527" s="676" t="s">
        <v>419</v>
      </c>
      <c r="C3527" s="676"/>
      <c r="D3527" s="676" t="str">
        <f>ENTRY!$D$6</f>
        <v>MCP NITHARI NO 1 BOYS</v>
      </c>
      <c r="E3527" s="676"/>
      <c r="F3527" s="676"/>
      <c r="G3527" s="676"/>
      <c r="H3527" s="676"/>
      <c r="I3527" s="676"/>
      <c r="J3527" s="676"/>
      <c r="K3527" s="677"/>
    </row>
    <row r="3528" ht="21.95" customHeight="1" spans="1:11">
      <c r="A3528" s="675"/>
      <c r="B3528" s="676" t="s">
        <v>420</v>
      </c>
      <c r="C3528" s="676"/>
      <c r="D3528" s="740">
        <f>IFERROR(VLOOKUP($I$3531,STUDENT!$A$2:$BP$101,5,0),"")</f>
        <v>0</v>
      </c>
      <c r="E3528" s="740"/>
      <c r="F3528" s="740"/>
      <c r="G3528" s="740"/>
      <c r="H3528" s="740"/>
      <c r="I3528" s="740"/>
      <c r="J3528" s="740"/>
      <c r="K3528" s="677"/>
    </row>
    <row r="3529" ht="21.95" customHeight="1" spans="1:11">
      <c r="A3529" s="675"/>
      <c r="B3529" s="676" t="s">
        <v>421</v>
      </c>
      <c r="C3529" s="676"/>
      <c r="D3529" s="740">
        <f>IFERROR(VLOOKUP($I$3531,STUDENT!$A$2:$BP$101,8,0),"")</f>
        <v>0</v>
      </c>
      <c r="E3529" s="740"/>
      <c r="F3529" s="740"/>
      <c r="G3529" s="740"/>
      <c r="H3529" s="740"/>
      <c r="I3529" s="740"/>
      <c r="J3529" s="740"/>
      <c r="K3529" s="677"/>
    </row>
    <row r="3530" ht="21.95" customHeight="1" spans="1:11">
      <c r="A3530" s="675"/>
      <c r="B3530" s="676" t="s">
        <v>422</v>
      </c>
      <c r="C3530" s="676"/>
      <c r="D3530" s="740">
        <f>IFERROR(VLOOKUP($I$3531,STUDENT!$A$2:$BP$101,6,0),"")</f>
        <v>0</v>
      </c>
      <c r="E3530" s="740"/>
      <c r="F3530" s="740"/>
      <c r="G3530" s="740"/>
      <c r="H3530" s="740"/>
      <c r="I3530" s="740"/>
      <c r="J3530" s="740"/>
      <c r="K3530" s="677"/>
    </row>
    <row r="3531" ht="21.95" customHeight="1" spans="1:11">
      <c r="A3531" s="675"/>
      <c r="B3531" s="676" t="s">
        <v>423</v>
      </c>
      <c r="C3531" s="676"/>
      <c r="D3531" s="741" t="str">
        <f>IFERROR(VLOOKUP($I$3531,STUDENT!$A$2:$BP$101,59,0),"")</f>
        <v/>
      </c>
      <c r="E3531" s="742" t="s">
        <v>424</v>
      </c>
      <c r="F3531" s="704" t="str">
        <f>IFERROR(VLOOKUP($I$3531,STUDENT!$A$2:$BP$101,2,0),"")</f>
        <v>III-A</v>
      </c>
      <c r="G3531" s="742" t="s">
        <v>425</v>
      </c>
      <c r="H3531" s="743"/>
      <c r="I3531" s="733">
        <f>I3476+1</f>
        <v>65</v>
      </c>
      <c r="J3531" s="683"/>
      <c r="K3531" s="677"/>
    </row>
    <row r="3532" ht="5.1" customHeight="1" spans="1:11">
      <c r="A3532" s="675"/>
      <c r="B3532" s="745"/>
      <c r="C3532" s="745"/>
      <c r="D3532" s="746"/>
      <c r="E3532" s="747"/>
      <c r="F3532" s="748"/>
      <c r="G3532" s="747"/>
      <c r="H3532" s="686"/>
      <c r="I3532" s="686"/>
      <c r="J3532" s="686"/>
      <c r="K3532" s="677"/>
    </row>
    <row r="3533" s="664" customFormat="1" ht="32.1" customHeight="1" spans="1:11">
      <c r="A3533" s="688"/>
      <c r="B3533" s="749" t="s">
        <v>426</v>
      </c>
      <c r="C3533" s="750"/>
      <c r="D3533" s="750"/>
      <c r="E3533" s="750"/>
      <c r="F3533" s="750"/>
      <c r="G3533" s="750"/>
      <c r="H3533" s="750"/>
      <c r="I3533" s="750"/>
      <c r="J3533" s="751"/>
      <c r="K3533" s="690"/>
    </row>
    <row r="3534" ht="51.6" spans="1:11">
      <c r="A3534" s="675"/>
      <c r="B3534" s="752">
        <v>21</v>
      </c>
      <c r="C3534" s="753" t="s">
        <v>427</v>
      </c>
      <c r="D3534" s="754" t="s">
        <v>428</v>
      </c>
      <c r="E3534" s="754" t="s">
        <v>429</v>
      </c>
      <c r="F3534" s="754" t="s">
        <v>430</v>
      </c>
      <c r="G3534" s="753" t="s">
        <v>390</v>
      </c>
      <c r="H3534" s="714"/>
      <c r="I3534" s="714"/>
      <c r="J3534" s="714"/>
      <c r="K3534" s="677"/>
    </row>
    <row r="3535" ht="20.1" customHeight="1" spans="1:11">
      <c r="A3535" s="675"/>
      <c r="B3535" s="755">
        <v>1</v>
      </c>
      <c r="C3535" s="755" t="str">
        <f>IFERROR(VLOOKUP(B3535,DATEWISE!$A$3:$BY$27,2,0),0)</f>
        <v>30.04.2026</v>
      </c>
      <c r="D3535" s="755">
        <f>IF($C$3535=0,NA(),VLOOKUP($I$3531&amp;$B$3535,FLNFIX!$L$4:$EF$103,2,0))</f>
        <v>0</v>
      </c>
      <c r="E3535" s="755">
        <f>IF($C$3535=0,NA(),VLOOKUP($I$3531&amp;$B$3535,FLNFIX!$L$4:$EF$103,4,0))</f>
        <v>0</v>
      </c>
      <c r="F3535" s="755">
        <f>IF($C$3535=0,NA(),VLOOKUP($I$3531&amp;$B$3535,FLNFIX!$L$4:$EF$103,3,0))</f>
        <v>0</v>
      </c>
      <c r="G3535" s="756">
        <f>IF($C$3535=0,NA(),VLOOKUP($I$3531&amp;$B$3535,FLNFIX!$L$4:$EF$103,5,0))</f>
        <v>0</v>
      </c>
      <c r="H3535" s="757"/>
      <c r="I3535" s="757"/>
      <c r="J3535" s="758"/>
      <c r="K3535" s="677"/>
    </row>
    <row r="3536" ht="20.1" customHeight="1" spans="1:11">
      <c r="A3536" s="675"/>
      <c r="B3536" s="755">
        <f t="shared" ref="B3536:B3555" si="64">IF(B3535=0,0,IF(B3535&lt;$B$3534,B3535+1,""))</f>
        <v>2</v>
      </c>
      <c r="C3536" s="755" t="str">
        <f>IFERROR(VLOOKUP(B3536,DATEWISE!$A$3:$BY$27,2,0),0)</f>
        <v>08.05.2026</v>
      </c>
      <c r="D3536" s="755">
        <f>IF($C$3536=0,NA(),VLOOKUP($I$3531&amp;$B$3536,FLNFIX!$Q$4:$EF$103,2,0))</f>
        <v>0</v>
      </c>
      <c r="E3536" s="755">
        <f>IF($C$3536=0,NA(),VLOOKUP($I$3531&amp;$B$3536,FLNFIX!$Q$4:$EF$103,4,0))</f>
        <v>0</v>
      </c>
      <c r="F3536" s="755">
        <f>IF($C$3536=0,NA(),VLOOKUP($I$3531&amp;$B$3536,FLNFIX!$Q$4:$EF$103,3,0))</f>
        <v>0</v>
      </c>
      <c r="G3536" s="756">
        <f>IF($C$3536=0,NA(),VLOOKUP($I$3531&amp;$B$3536,FLNFIX!$Q$4:$EF$103,5,0))</f>
        <v>0</v>
      </c>
      <c r="H3536" s="757"/>
      <c r="I3536" s="757"/>
      <c r="J3536" s="758"/>
      <c r="K3536" s="677"/>
    </row>
    <row r="3537" ht="20.1" customHeight="1" spans="1:11">
      <c r="A3537" s="675"/>
      <c r="B3537" s="755">
        <f t="shared" si="64"/>
        <v>3</v>
      </c>
      <c r="C3537" s="755" t="str">
        <f>IFERROR(VLOOKUP(B3537,DATEWISE!$A$3:$BY$27,2,0),0)</f>
        <v>15.07.2026</v>
      </c>
      <c r="D3537" s="755">
        <f>IF($C$3537=0,NA(),VLOOKUP($I$3531&amp;$B$3537,FLNFIX!$V$4:$EF$103,2,0))</f>
        <v>0</v>
      </c>
      <c r="E3537" s="755">
        <f>IF($C$3537=0,NA(),VLOOKUP($I$3531&amp;$B$3537,FLNFIX!$V$4:$EF$103,4,0))</f>
        <v>0</v>
      </c>
      <c r="F3537" s="755">
        <f>IF($C$3537=0,NA(),VLOOKUP($I$3531&amp;$B$3537,FLNFIX!$V$4:$EF$103,3,0))</f>
        <v>0</v>
      </c>
      <c r="G3537" s="756">
        <f>IF($C$3537=0,NA(),VLOOKUP($I$3531&amp;$B$3537,FLNFIX!$V$4:$EF$103,5,0))</f>
        <v>0</v>
      </c>
      <c r="H3537" s="757"/>
      <c r="I3537" s="757"/>
      <c r="J3537" s="758"/>
      <c r="K3537" s="677"/>
    </row>
    <row r="3538" ht="20.1" customHeight="1" spans="1:11">
      <c r="A3538" s="675"/>
      <c r="B3538" s="755">
        <f t="shared" si="64"/>
        <v>4</v>
      </c>
      <c r="C3538" s="755" t="str">
        <f>IFERROR(VLOOKUP(B3538,DATEWISE!$A$3:$BY$27,2,0),0)</f>
        <v>31.07.2026</v>
      </c>
      <c r="D3538" s="755">
        <f>IF($C$3538=0,NA(),VLOOKUP($I$3531&amp;$B$3538,FLNFIX!$AA$4:$EF$103,2,0))</f>
        <v>0</v>
      </c>
      <c r="E3538" s="755">
        <f>IF($C$3538=0,NA(),VLOOKUP($I$3531&amp;$B$3538,FLNFIX!$AA$4:$EF$103,4,0))</f>
        <v>0</v>
      </c>
      <c r="F3538" s="755">
        <f>IF($C$3538=0,NA(),VLOOKUP($I$3531&amp;$B$3538,FLNFIX!$AA$4:$EF$103,3,0))</f>
        <v>0</v>
      </c>
      <c r="G3538" s="756">
        <f>IF($C$3538=0,NA(),VLOOKUP($I$3531&amp;$B$3538,FLNFIX!$AA$4:$EF$103,5,0))</f>
        <v>0</v>
      </c>
      <c r="H3538" s="757"/>
      <c r="I3538" s="757"/>
      <c r="J3538" s="758"/>
      <c r="K3538" s="677"/>
    </row>
    <row r="3539" ht="20.1" customHeight="1" spans="1:11">
      <c r="A3539" s="675"/>
      <c r="B3539" s="755">
        <f t="shared" si="64"/>
        <v>5</v>
      </c>
      <c r="C3539" s="755" t="str">
        <f>IFERROR(VLOOKUP(B3539,DATEWISE!$A$3:$BY$27,2,0),0)</f>
        <v>17.08.2026</v>
      </c>
      <c r="D3539" s="755">
        <f>IF($C$3539=0,NA(),VLOOKUP($I$3531&amp;$B$3539,FLNFIX!$AF$4:$EF$103,2,0))</f>
        <v>0</v>
      </c>
      <c r="E3539" s="755">
        <f>IF($C$3539=0,NA(),VLOOKUP($I$3531&amp;$B$3539,FLNFIX!$AF$4:$EF$103,4,0))</f>
        <v>0</v>
      </c>
      <c r="F3539" s="755">
        <f>IF($C$3539=0,NA(),VLOOKUP($I$3531&amp;$B$3539,FLNFIX!$AF$4:$EF$103,3,0))</f>
        <v>0</v>
      </c>
      <c r="G3539" s="756">
        <f>IF($C$3539=0,NA(),VLOOKUP($I$3531&amp;$B$3539,FLNFIX!$AF$4:$EF$103,5,0))</f>
        <v>0</v>
      </c>
      <c r="H3539" s="757"/>
      <c r="I3539" s="757"/>
      <c r="J3539" s="758"/>
      <c r="K3539" s="677"/>
    </row>
    <row r="3540" ht="20.1" customHeight="1" spans="1:11">
      <c r="A3540" s="675"/>
      <c r="B3540" s="755">
        <f t="shared" si="64"/>
        <v>6</v>
      </c>
      <c r="C3540" s="755" t="str">
        <f>IFERROR(VLOOKUP(B3540,DATEWISE!$A$3:$BY$27,2,0),0)</f>
        <v>31.08.2026</v>
      </c>
      <c r="D3540" s="755">
        <f>IF($C$3540=0,NA(),VLOOKUP($I$3531&amp;$B$3540,FLNFIX!$AK$4:$EF$103,2,0))</f>
        <v>0</v>
      </c>
      <c r="E3540" s="755">
        <f>IF($C$3540=0,NA(),VLOOKUP($I$3531&amp;$B$3540,FLNFIX!$AK$4:$EF$103,4,0))</f>
        <v>0</v>
      </c>
      <c r="F3540" s="755">
        <f>IF($C$3540=0,NA(),VLOOKUP($I$3531&amp;$B$3540,FLNFIX!$AK$4:$EF$103,3,0))</f>
        <v>0</v>
      </c>
      <c r="G3540" s="756">
        <f>IF($C$3540=0,NA(),VLOOKUP($I$3531&amp;$B$3540,FLNFIX!$AK$4:$EF$103,5,0))</f>
        <v>0</v>
      </c>
      <c r="H3540" s="757"/>
      <c r="I3540" s="757"/>
      <c r="J3540" s="758"/>
      <c r="K3540" s="677"/>
    </row>
    <row r="3541" ht="20.1" customHeight="1" spans="1:11">
      <c r="A3541" s="675"/>
      <c r="B3541" s="755">
        <f t="shared" si="64"/>
        <v>7</v>
      </c>
      <c r="C3541" s="755">
        <f>IFERROR(VLOOKUP(B3541,DATEWISE!$A$3:$BY$27,2,0),0)</f>
        <v>0</v>
      </c>
      <c r="D3541" s="755" t="e">
        <f>IF($C$3541=0,NA(),VLOOKUP($I$3531&amp;$B$3541,FLNFIX!$AP$4:$EF$103,2,0))</f>
        <v>#N/A</v>
      </c>
      <c r="E3541" s="755" t="e">
        <f>IF($C$3541=0,NA(),VLOOKUP($I$3531&amp;$B$3541,FLNFIX!$AP$4:$EF$103,4,0))</f>
        <v>#N/A</v>
      </c>
      <c r="F3541" s="755" t="e">
        <f>IF($C$3541=0,NA(),VLOOKUP($I$3531&amp;$B$3541,FLNFIX!$AP$4:$EF$103,3,0))</f>
        <v>#N/A</v>
      </c>
      <c r="G3541" s="756" t="e">
        <f>IF($C$3541=0,NA(),VLOOKUP($I$3531&amp;$B$3541,FLNFIX!$AP$4:$EF$103,5,0))</f>
        <v>#N/A</v>
      </c>
      <c r="H3541" s="757"/>
      <c r="I3541" s="757"/>
      <c r="J3541" s="758"/>
      <c r="K3541" s="677"/>
    </row>
    <row r="3542" ht="20.1" customHeight="1" spans="1:11">
      <c r="A3542" s="675"/>
      <c r="B3542" s="755">
        <f t="shared" si="64"/>
        <v>8</v>
      </c>
      <c r="C3542" s="755">
        <f>IFERROR(VLOOKUP(B3542,DATEWISE!$A$3:$BY$27,2,0),0)</f>
        <v>0</v>
      </c>
      <c r="D3542" s="755" t="e">
        <f>IF($C$3542=0,NA(),VLOOKUP($I$3531&amp;$B$3542,FLNFIX!$AU$4:$EF$103,2,0))</f>
        <v>#N/A</v>
      </c>
      <c r="E3542" s="755" t="e">
        <f>IF($C$3542=0,NA(),VLOOKUP($I$3531&amp;$B$3542,FLNFIX!$AU$4:$EF$103,4,0))</f>
        <v>#N/A</v>
      </c>
      <c r="F3542" s="755" t="e">
        <f>IF($C$3542=0,NA(),VLOOKUP($I$3531&amp;$B$3542,FLNFIX!$AU$4:$EF$103,3,0))</f>
        <v>#N/A</v>
      </c>
      <c r="G3542" s="756" t="e">
        <f>IF($C$3542=0,NA(),VLOOKUP($I$3531&amp;$B$3542,FLNFIX!$AU$4:$EF$103,5,0))</f>
        <v>#N/A</v>
      </c>
      <c r="H3542" s="757"/>
      <c r="I3542" s="757"/>
      <c r="J3542" s="758"/>
      <c r="K3542" s="677"/>
    </row>
    <row r="3543" ht="20.1" customHeight="1" spans="1:11">
      <c r="A3543" s="675"/>
      <c r="B3543" s="755">
        <f t="shared" si="64"/>
        <v>9</v>
      </c>
      <c r="C3543" s="755">
        <f>IFERROR(VLOOKUP(B3543,DATEWISE!$A$3:$BY$27,2,0),0)</f>
        <v>0</v>
      </c>
      <c r="D3543" s="755" t="e">
        <f>IF($C$3543=0,NA(),VLOOKUP($I$3531&amp;$B$3543,FLNFIX!$AZ$4:$EF$103,2,0))</f>
        <v>#N/A</v>
      </c>
      <c r="E3543" s="755" t="e">
        <f>IF($C$3543=0,NA(),VLOOKUP($I$3531&amp;$B$3543,FLNFIX!$AZ$4:$EF$103,4,0))</f>
        <v>#N/A</v>
      </c>
      <c r="F3543" s="755" t="e">
        <f>IF($C$3543=0,NA(),VLOOKUP($I$3531&amp;$B$3543,FLNFIX!$AZ$4:$EF$103,3,0))</f>
        <v>#N/A</v>
      </c>
      <c r="G3543" s="756" t="e">
        <f>IF($C$3543=0,NA(),VLOOKUP($I$3531&amp;$B$3543,FLNFIX!$AZ$4:$EF$103,5,0))</f>
        <v>#N/A</v>
      </c>
      <c r="H3543" s="757"/>
      <c r="I3543" s="757"/>
      <c r="J3543" s="758"/>
      <c r="K3543" s="677"/>
    </row>
    <row r="3544" ht="20.1" customHeight="1" spans="1:11">
      <c r="A3544" s="675"/>
      <c r="B3544" s="755">
        <f t="shared" si="64"/>
        <v>10</v>
      </c>
      <c r="C3544" s="755">
        <f>IFERROR(VLOOKUP(B3544,DATEWISE!$A$3:$BY$27,2,0),0)</f>
        <v>0</v>
      </c>
      <c r="D3544" s="755" t="e">
        <f>IF($C$3544=0,NA(),VLOOKUP($I$3531&amp;$B$3544,FLNFIX!$BE$4:$EF$103,2,0))</f>
        <v>#N/A</v>
      </c>
      <c r="E3544" s="755" t="e">
        <f>IF($C$3544=0,NA(),VLOOKUP($I$3531&amp;$B$3544,FLNFIX!$BE$4:$EF$103,4,0))</f>
        <v>#N/A</v>
      </c>
      <c r="F3544" s="755" t="e">
        <f>IF($C$3544=0,NA(),VLOOKUP($I$3531&amp;$B$3544,FLNFIX!$BE$4:$EF$103,3,0))</f>
        <v>#N/A</v>
      </c>
      <c r="G3544" s="756" t="e">
        <f>IF($C$3544=0,NA(),VLOOKUP($I$3531&amp;$B$3544,FLNFIX!$BE$4:$EF$103,5,0))</f>
        <v>#N/A</v>
      </c>
      <c r="H3544" s="757"/>
      <c r="I3544" s="757"/>
      <c r="J3544" s="758"/>
      <c r="K3544" s="677"/>
    </row>
    <row r="3545" ht="20.1" customHeight="1" spans="1:11">
      <c r="A3545" s="675"/>
      <c r="B3545" s="755">
        <f t="shared" si="64"/>
        <v>11</v>
      </c>
      <c r="C3545" s="755">
        <f>IFERROR(VLOOKUP(B3545,DATEWISE!$A$3:$BY$27,2,0),0)</f>
        <v>0</v>
      </c>
      <c r="D3545" s="755" t="e">
        <f>IF($C$3545=0,NA(),VLOOKUP($I$3531&amp;$B$3545,FLNFIX!$BJ$4:$EF$103,2,0))</f>
        <v>#N/A</v>
      </c>
      <c r="E3545" s="755" t="e">
        <f>IF($C$3545=0,NA(),VLOOKUP($I$3531&amp;$B$3545,FLNFIX!$BJ$4:$EF$103,4,0))</f>
        <v>#N/A</v>
      </c>
      <c r="F3545" s="755" t="e">
        <f>IF($C$3545=0,NA(),VLOOKUP($I$3531&amp;$B$3545,FLNFIX!$BJ$4:$EF$103,3,0))</f>
        <v>#N/A</v>
      </c>
      <c r="G3545" s="756" t="e">
        <f>IF($C$3545=0,NA(),VLOOKUP($I$3531&amp;$B$3545,FLNFIX!$BJ$4:$EF$103,5,0))</f>
        <v>#N/A</v>
      </c>
      <c r="H3545" s="757"/>
      <c r="I3545" s="757"/>
      <c r="J3545" s="758"/>
      <c r="K3545" s="677"/>
    </row>
    <row r="3546" ht="20.1" customHeight="1" spans="1:11">
      <c r="A3546" s="675"/>
      <c r="B3546" s="755">
        <f t="shared" si="64"/>
        <v>12</v>
      </c>
      <c r="C3546" s="755">
        <f>IFERROR(VLOOKUP(B3546,DATEWISE!$A$3:$BY$27,2,0),0)</f>
        <v>0</v>
      </c>
      <c r="D3546" s="755" t="e">
        <f>IF($C$3546=0,NA(),VLOOKUP($I$3531&amp;$B$3546,FLNFIX!$BO$4:$EF$103,2,0))</f>
        <v>#N/A</v>
      </c>
      <c r="E3546" s="755" t="e">
        <f>IF($C$3546=0,NA(),VLOOKUP($I$3531&amp;$B$3546,FLNFIX!$BO$4:$EF$103,4,0))</f>
        <v>#N/A</v>
      </c>
      <c r="F3546" s="755" t="e">
        <f>IF($C$3546=0,NA(),VLOOKUP($I$3531&amp;$B$3546,FLNFIX!$BO$4:$EF$103,3,0))</f>
        <v>#N/A</v>
      </c>
      <c r="G3546" s="756" t="e">
        <f>IF($C$3546=0,NA(),VLOOKUP($I$3531&amp;$B$3546,FLNFIX!$BO$4:$EF$103,5,0))</f>
        <v>#N/A</v>
      </c>
      <c r="H3546" s="757"/>
      <c r="I3546" s="757"/>
      <c r="J3546" s="758"/>
      <c r="K3546" s="677"/>
    </row>
    <row r="3547" ht="20.1" customHeight="1" spans="1:11">
      <c r="A3547" s="675"/>
      <c r="B3547" s="755">
        <f t="shared" si="64"/>
        <v>13</v>
      </c>
      <c r="C3547" s="755">
        <f>IFERROR(VLOOKUP(B3547,DATEWISE!$A$3:$BY$27,2,0),0)</f>
        <v>0</v>
      </c>
      <c r="D3547" s="755" t="e">
        <f>IF($C$3547=0,NA(),VLOOKUP($I$3531&amp;$B$3547,FLNFIX!$BT$4:$EF$103,2,0))</f>
        <v>#N/A</v>
      </c>
      <c r="E3547" s="755" t="e">
        <f>IF($C$3547=0,NA(),VLOOKUP($I$3531&amp;$B$3547,FLNFIX!$BT$4:$EF$103,4,0))</f>
        <v>#N/A</v>
      </c>
      <c r="F3547" s="755" t="e">
        <f>IF($C$3547=0,NA(),VLOOKUP($I$3531&amp;$B$3547,FLNFIX!$BT$4:$EF$103,3,0))</f>
        <v>#N/A</v>
      </c>
      <c r="G3547" s="756" t="e">
        <f>IF($C$3547=0,NA(),VLOOKUP($I$3531&amp;$B$3547,FLNFIX!$BT$4:$EF$103,5,0))</f>
        <v>#N/A</v>
      </c>
      <c r="H3547" s="757"/>
      <c r="I3547" s="757"/>
      <c r="J3547" s="758"/>
      <c r="K3547" s="677"/>
    </row>
    <row r="3548" ht="20.1" customHeight="1" spans="1:11">
      <c r="A3548" s="675"/>
      <c r="B3548" s="755">
        <f t="shared" si="64"/>
        <v>14</v>
      </c>
      <c r="C3548" s="755">
        <f>IFERROR(VLOOKUP(B3548,DATEWISE!$A$3:$BY$27,2,0),0)</f>
        <v>0</v>
      </c>
      <c r="D3548" s="755" t="e">
        <f>IF($C$3548=0,NA(),VLOOKUP($I$3531&amp;$B$3548,FLNFIX!$BY$4:$EF$103,2,0))</f>
        <v>#N/A</v>
      </c>
      <c r="E3548" s="755" t="e">
        <f>IF($C$3548=0,NA(),VLOOKUP($I$3531&amp;$B$3548,FLNFIX!$BY$4:$EF$103,4,0))</f>
        <v>#N/A</v>
      </c>
      <c r="F3548" s="755" t="e">
        <f>IF($C$3548=0,NA(),VLOOKUP($I$3531&amp;$B$3548,FLNFIX!$BY$4:$EF$103,3,0))</f>
        <v>#N/A</v>
      </c>
      <c r="G3548" s="756" t="e">
        <f>IF($C$3548=0,NA(),VLOOKUP($I$3531&amp;$B$3548,FLNFIX!$BY$4:$EF$103,5,0))</f>
        <v>#N/A</v>
      </c>
      <c r="H3548" s="757"/>
      <c r="I3548" s="757"/>
      <c r="J3548" s="758"/>
      <c r="K3548" s="677"/>
    </row>
    <row r="3549" ht="20.1" customHeight="1" spans="1:11">
      <c r="A3549" s="675"/>
      <c r="B3549" s="755">
        <f t="shared" si="64"/>
        <v>15</v>
      </c>
      <c r="C3549" s="755">
        <f>IFERROR(VLOOKUP(B3549,DATEWISE!$A$3:$BY$27,2,0),0)</f>
        <v>0</v>
      </c>
      <c r="D3549" s="755" t="e">
        <f>IF($C$3549=0,NA(),VLOOKUP($I$3531&amp;$B$3549,FLNFIX!$CD$4:$EF$103,2,0))</f>
        <v>#N/A</v>
      </c>
      <c r="E3549" s="755" t="e">
        <f>IF($C$3549=0,NA(),VLOOKUP($I$3531&amp;$B$3549,FLNFIX!$CD$4:$EF$103,4,0))</f>
        <v>#N/A</v>
      </c>
      <c r="F3549" s="755" t="e">
        <f>IF($C$3549=0,NA(),VLOOKUP($I$3531&amp;$B$3549,FLNFIX!$CD$4:$EF$103,3,0))</f>
        <v>#N/A</v>
      </c>
      <c r="G3549" s="756" t="e">
        <f>IF($C$3549=0,NA(),VLOOKUP($I$3531&amp;$B$3549,FLNFIX!$CD$4:$EF$103,5,0))</f>
        <v>#N/A</v>
      </c>
      <c r="H3549" s="757"/>
      <c r="I3549" s="757"/>
      <c r="J3549" s="758"/>
      <c r="K3549" s="677"/>
    </row>
    <row r="3550" ht="20.1" customHeight="1" spans="1:11">
      <c r="A3550" s="675"/>
      <c r="B3550" s="755">
        <f t="shared" si="64"/>
        <v>16</v>
      </c>
      <c r="C3550" s="755">
        <f>IFERROR(VLOOKUP(B3550,DATEWISE!$A$3:$BY$27,2,0),0)</f>
        <v>0</v>
      </c>
      <c r="D3550" s="755" t="e">
        <f>IF($C$3550=0,NA(),VLOOKUP($I$3531&amp;$B$3550,FLNFIX!$CI$4:$EF$103,2,0))</f>
        <v>#N/A</v>
      </c>
      <c r="E3550" s="755" t="e">
        <f>IF($C$3550=0,NA(),VLOOKUP($I$3531&amp;$B$3550,FLNFIX!$CI$4:$EF$103,4,0))</f>
        <v>#N/A</v>
      </c>
      <c r="F3550" s="755" t="e">
        <f>IF($C$3550=0,NA(),VLOOKUP($I$3531&amp;$B$3550,FLNFIX!$CI$4:$EF$103,3,0))</f>
        <v>#N/A</v>
      </c>
      <c r="G3550" s="756" t="e">
        <f>IF($C$3550=0,NA(),VLOOKUP($I$3531&amp;$B$3550,FLNFIX!$CI$4:$EF$103,5,0))</f>
        <v>#N/A</v>
      </c>
      <c r="H3550" s="757"/>
      <c r="I3550" s="757"/>
      <c r="J3550" s="758"/>
      <c r="K3550" s="677"/>
    </row>
    <row r="3551" ht="20.1" customHeight="1" spans="1:11">
      <c r="A3551" s="675"/>
      <c r="B3551" s="755">
        <f t="shared" si="64"/>
        <v>17</v>
      </c>
      <c r="C3551" s="755">
        <f>IFERROR(VLOOKUP(B3551,DATEWISE!$A$3:$BY$27,2,0),0)</f>
        <v>0</v>
      </c>
      <c r="D3551" s="755" t="e">
        <f>IF($C$3551=0,NA(),VLOOKUP($I$3531&amp;$B$3551,FLNFIX!$CN$4:$EF$103,2,0))</f>
        <v>#N/A</v>
      </c>
      <c r="E3551" s="755" t="e">
        <f>IF($C$3551=0,NA(),VLOOKUP($I$3531&amp;$B$3551,FLNFIX!$CN$4:$EF$103,4,0))</f>
        <v>#N/A</v>
      </c>
      <c r="F3551" s="755" t="e">
        <f>IF($C$3551=0,NA(),VLOOKUP($I$3531&amp;$B$3551,FLNFIX!$CN$4:$EF$103,3,0))</f>
        <v>#N/A</v>
      </c>
      <c r="G3551" s="756" t="e">
        <f>IF($C$3551=0,NA(),VLOOKUP($I$3531&amp;$B$3551,FLNFIX!$CN$4:$EF$103,5,0))</f>
        <v>#N/A</v>
      </c>
      <c r="H3551" s="757"/>
      <c r="I3551" s="757"/>
      <c r="J3551" s="758"/>
      <c r="K3551" s="677"/>
    </row>
    <row r="3552" ht="20.1" customHeight="1" spans="1:11">
      <c r="A3552" s="675"/>
      <c r="B3552" s="755">
        <f t="shared" si="64"/>
        <v>18</v>
      </c>
      <c r="C3552" s="755">
        <f>IFERROR(VLOOKUP(B3552,DATEWISE!$A$3:$BY$27,2,0),0)</f>
        <v>0</v>
      </c>
      <c r="D3552" s="755" t="e">
        <f>IF($C$3552=0,NA(),VLOOKUP($I$3531&amp;$B$3552,FLNFIX!$CS$4:$EF$103,2,0))</f>
        <v>#N/A</v>
      </c>
      <c r="E3552" s="755" t="e">
        <f>IF($C$3552=0,NA(),VLOOKUP($I$3531&amp;$B$3552,FLNFIX!$CS$4:$EF$103,4,0))</f>
        <v>#N/A</v>
      </c>
      <c r="F3552" s="755" t="e">
        <f>IF($C$3552=0,NA(),VLOOKUP($I$3531&amp;$B$3552,FLNFIX!$CS$4:$EF$103,3,0))</f>
        <v>#N/A</v>
      </c>
      <c r="G3552" s="756" t="e">
        <f>IF($C$3552=0,NA(),VLOOKUP($I$3531&amp;$B$3552,FLNFIX!$CS$4:$EF$103,5,0))</f>
        <v>#N/A</v>
      </c>
      <c r="H3552" s="757"/>
      <c r="I3552" s="757"/>
      <c r="J3552" s="758"/>
      <c r="K3552" s="677"/>
    </row>
    <row r="3553" ht="20.1" customHeight="1" spans="1:11">
      <c r="A3553" s="675"/>
      <c r="B3553" s="755">
        <f t="shared" si="64"/>
        <v>19</v>
      </c>
      <c r="C3553" s="755">
        <f>IFERROR(VLOOKUP(B3553,DATEWISE!$A$3:$BY$27,2,0),0)</f>
        <v>0</v>
      </c>
      <c r="D3553" s="755" t="e">
        <f>IF($C$3553=0,NA(),VLOOKUP($I$3531&amp;$B$3553,FLNFIX!$CX$4:$EF$103,2,0))</f>
        <v>#N/A</v>
      </c>
      <c r="E3553" s="755" t="e">
        <f>IF($C$3553=0,NA(),VLOOKUP($I$3531&amp;$B$3553,FLNFIX!$CX$4:$EF$103,4,0))</f>
        <v>#N/A</v>
      </c>
      <c r="F3553" s="755" t="e">
        <f>IF($C$3553=0,NA(),VLOOKUP($I$3531&amp;$B$3553,FLNFIX!$CX$4:$EF$103,3,0))</f>
        <v>#N/A</v>
      </c>
      <c r="G3553" s="756" t="e">
        <f>IF($C$3553=0,NA(),VLOOKUP($I$3531&amp;$B$3553,FLNFIX!$CX$4:$EF$103,5,0))</f>
        <v>#N/A</v>
      </c>
      <c r="H3553" s="757"/>
      <c r="I3553" s="757"/>
      <c r="J3553" s="758"/>
      <c r="K3553" s="677"/>
    </row>
    <row r="3554" ht="20.1" customHeight="1" spans="1:11">
      <c r="A3554" s="675"/>
      <c r="B3554" s="755">
        <f t="shared" si="64"/>
        <v>20</v>
      </c>
      <c r="C3554" s="755">
        <f>IFERROR(VLOOKUP(B3554,DATEWISE!$A$3:$BY$27,2,0),0)</f>
        <v>0</v>
      </c>
      <c r="D3554" s="755" t="e">
        <f>IF($C$3554=0,NA(),VLOOKUP($I$3531&amp;$B$3554,FLNFIX!$DC$4:$EF$103,2,0))</f>
        <v>#N/A</v>
      </c>
      <c r="E3554" s="755" t="e">
        <f>IF($C$3554=0,NA(),VLOOKUP($I$3531&amp;$B$3554,FLNFIX!$DC$4:$EF$103,4,0))</f>
        <v>#N/A</v>
      </c>
      <c r="F3554" s="755" t="e">
        <f>IF($C$3554=0,NA(),VLOOKUP($I$3531&amp;$B$3554,FLNFIX!$DC$4:$EF$103,3,0))</f>
        <v>#N/A</v>
      </c>
      <c r="G3554" s="756" t="e">
        <f>IF($C$3554=0,NA(),VLOOKUP($I$3531&amp;$B$3554,FLNFIX!$DC$4:$EF$103,5,0))</f>
        <v>#N/A</v>
      </c>
      <c r="H3554" s="757"/>
      <c r="I3554" s="757"/>
      <c r="J3554" s="758"/>
      <c r="K3554" s="677"/>
    </row>
    <row r="3555" ht="20.1" customHeight="1" spans="1:11">
      <c r="A3555" s="675"/>
      <c r="B3555" s="755">
        <f t="shared" si="64"/>
        <v>21</v>
      </c>
      <c r="C3555" s="755">
        <f>IFERROR(VLOOKUP(B3555,DATEWISE!$A$3:$BY$27,2,0),0)</f>
        <v>0</v>
      </c>
      <c r="D3555" s="755" t="e">
        <f>IF($C$3555=0,NA(),VLOOKUP($I$3531&amp;$B$3555,FLNFIX!$DH$4:$EF$103,2,0))</f>
        <v>#N/A</v>
      </c>
      <c r="E3555" s="755" t="e">
        <f>IF($C$3555=0,NA(),VLOOKUP($I$3531&amp;$B$3555,FLNFIX!$DH$4:$EF$103,4,0))</f>
        <v>#N/A</v>
      </c>
      <c r="F3555" s="755" t="e">
        <f>IF($C$3555=0,NA(),VLOOKUP($I$3531&amp;$B$3555,FLNFIX!$DH$4:$EF$103,3,0))</f>
        <v>#N/A</v>
      </c>
      <c r="G3555" s="756" t="e">
        <f>IF($C$3555=0,NA(),VLOOKUP($I$3531&amp;$B$3555,FLNFIX!$DH$4:$EF$103,5,0))</f>
        <v>#N/A</v>
      </c>
      <c r="H3555" s="757"/>
      <c r="I3555" s="757"/>
      <c r="J3555" s="758"/>
      <c r="K3555" s="677"/>
    </row>
    <row r="3556" ht="5.1" customHeight="1" spans="1:11">
      <c r="A3556" s="675"/>
      <c r="B3556" s="759"/>
      <c r="C3556" s="759"/>
      <c r="D3556" s="760"/>
      <c r="E3556" s="760"/>
      <c r="F3556" s="760"/>
      <c r="G3556" s="761"/>
      <c r="H3556" s="761"/>
      <c r="I3556" s="761"/>
      <c r="J3556" s="761"/>
      <c r="K3556" s="677"/>
    </row>
    <row r="3557" s="667" customFormat="1" ht="24.95" customHeight="1" spans="1:11">
      <c r="A3557" s="711"/>
      <c r="B3557" s="762" t="s">
        <v>431</v>
      </c>
      <c r="C3557" s="763"/>
      <c r="D3557" s="763"/>
      <c r="E3557" s="763"/>
      <c r="F3557" s="763"/>
      <c r="G3557" s="763"/>
      <c r="H3557" s="763"/>
      <c r="I3557" s="763"/>
      <c r="J3557" s="764"/>
      <c r="K3557" s="713"/>
    </row>
    <row r="3558" spans="1:11">
      <c r="A3558" s="675"/>
      <c r="B3558" s="765"/>
      <c r="C3558" s="686"/>
      <c r="D3558" s="686"/>
      <c r="E3558" s="686"/>
      <c r="F3558" s="686"/>
      <c r="G3558" s="686"/>
      <c r="H3558" s="686"/>
      <c r="I3558" s="686"/>
      <c r="J3558" s="766"/>
      <c r="K3558" s="677"/>
    </row>
    <row r="3559" spans="1:11">
      <c r="A3559" s="675"/>
      <c r="B3559" s="765"/>
      <c r="C3559" s="686"/>
      <c r="D3559" s="686"/>
      <c r="E3559" s="686"/>
      <c r="F3559" s="686"/>
      <c r="G3559" s="686"/>
      <c r="H3559" s="686"/>
      <c r="I3559" s="686"/>
      <c r="J3559" s="766"/>
      <c r="K3559" s="677"/>
    </row>
    <row r="3560" spans="1:11">
      <c r="A3560" s="675"/>
      <c r="B3560" s="765"/>
      <c r="C3560" s="686"/>
      <c r="D3560" s="686"/>
      <c r="E3560" s="686"/>
      <c r="F3560" s="686"/>
      <c r="G3560" s="686"/>
      <c r="H3560" s="686"/>
      <c r="I3560" s="686"/>
      <c r="J3560" s="766"/>
      <c r="K3560" s="677"/>
    </row>
    <row r="3561" spans="1:11">
      <c r="A3561" s="675"/>
      <c r="B3561" s="765"/>
      <c r="C3561" s="686"/>
      <c r="D3561" s="686"/>
      <c r="E3561" s="686"/>
      <c r="F3561" s="686"/>
      <c r="G3561" s="686"/>
      <c r="H3561" s="686"/>
      <c r="I3561" s="686"/>
      <c r="J3561" s="766"/>
      <c r="K3561" s="677"/>
    </row>
    <row r="3562" spans="1:11">
      <c r="A3562" s="675"/>
      <c r="B3562" s="765"/>
      <c r="C3562" s="686"/>
      <c r="D3562" s="686"/>
      <c r="E3562" s="686"/>
      <c r="F3562" s="686"/>
      <c r="G3562" s="686"/>
      <c r="H3562" s="686"/>
      <c r="I3562" s="686"/>
      <c r="J3562" s="766"/>
      <c r="K3562" s="677"/>
    </row>
    <row r="3563" spans="1:11">
      <c r="A3563" s="675"/>
      <c r="B3563" s="765"/>
      <c r="C3563" s="686"/>
      <c r="D3563" s="686"/>
      <c r="E3563" s="686"/>
      <c r="F3563" s="686"/>
      <c r="G3563" s="686"/>
      <c r="H3563" s="686"/>
      <c r="I3563" s="686"/>
      <c r="J3563" s="766"/>
      <c r="K3563" s="677"/>
    </row>
    <row r="3564" spans="1:11">
      <c r="A3564" s="675"/>
      <c r="B3564" s="765"/>
      <c r="C3564" s="686"/>
      <c r="D3564" s="686"/>
      <c r="E3564" s="686"/>
      <c r="F3564" s="686"/>
      <c r="G3564" s="686"/>
      <c r="H3564" s="686"/>
      <c r="I3564" s="686"/>
      <c r="J3564" s="766"/>
      <c r="K3564" s="677"/>
    </row>
    <row r="3565" spans="1:11">
      <c r="A3565" s="675"/>
      <c r="B3565" s="765"/>
      <c r="C3565" s="686"/>
      <c r="D3565" s="686"/>
      <c r="E3565" s="686"/>
      <c r="F3565" s="686"/>
      <c r="G3565" s="686"/>
      <c r="H3565" s="686"/>
      <c r="I3565" s="686"/>
      <c r="J3565" s="766"/>
      <c r="K3565" s="677"/>
    </row>
    <row r="3566" spans="1:11">
      <c r="A3566" s="675"/>
      <c r="B3566" s="765"/>
      <c r="C3566" s="686"/>
      <c r="D3566" s="686"/>
      <c r="E3566" s="686"/>
      <c r="F3566" s="686"/>
      <c r="G3566" s="686"/>
      <c r="H3566" s="686"/>
      <c r="I3566" s="686"/>
      <c r="J3566" s="766"/>
      <c r="K3566" s="677"/>
    </row>
    <row r="3567" spans="1:11">
      <c r="A3567" s="675"/>
      <c r="B3567" s="767"/>
      <c r="C3567" s="768"/>
      <c r="D3567" s="768"/>
      <c r="E3567" s="768"/>
      <c r="F3567" s="768"/>
      <c r="G3567" s="768"/>
      <c r="H3567" s="768"/>
      <c r="I3567" s="768"/>
      <c r="J3567" s="769"/>
      <c r="K3567" s="677"/>
    </row>
    <row r="3568" ht="5.1" customHeight="1" spans="1:11">
      <c r="A3568" s="675"/>
      <c r="B3568" s="686"/>
      <c r="C3568" s="686"/>
      <c r="D3568" s="686"/>
      <c r="E3568" s="686"/>
      <c r="F3568" s="686"/>
      <c r="G3568" s="686"/>
      <c r="H3568" s="686"/>
      <c r="I3568" s="686"/>
      <c r="J3568" s="686"/>
      <c r="K3568" s="677"/>
    </row>
    <row r="3569" spans="1:11">
      <c r="A3569" s="675"/>
      <c r="B3569" s="770" t="s">
        <v>432</v>
      </c>
      <c r="C3569" s="770"/>
      <c r="D3569" s="770"/>
      <c r="E3569" s="770"/>
      <c r="F3569" s="770"/>
      <c r="G3569" s="770"/>
      <c r="H3569" s="770"/>
      <c r="I3569" s="770"/>
      <c r="J3569" s="770"/>
      <c r="K3569" s="677"/>
    </row>
    <row r="3570" spans="1:11">
      <c r="A3570" s="675"/>
      <c r="B3570" s="771"/>
      <c r="C3570" s="771"/>
      <c r="D3570" s="771"/>
      <c r="E3570" s="771"/>
      <c r="F3570" s="771"/>
      <c r="G3570" s="771"/>
      <c r="H3570" s="771"/>
      <c r="I3570" s="771"/>
      <c r="J3570" s="771"/>
      <c r="K3570" s="677"/>
    </row>
    <row r="3571" spans="1:11">
      <c r="A3571" s="675"/>
      <c r="B3571" s="771"/>
      <c r="C3571" s="771"/>
      <c r="D3571" s="771"/>
      <c r="E3571" s="771"/>
      <c r="F3571" s="771"/>
      <c r="G3571" s="771"/>
      <c r="H3571" s="771"/>
      <c r="I3571" s="771"/>
      <c r="J3571" s="771"/>
      <c r="K3571" s="677"/>
    </row>
    <row r="3572" spans="1:11">
      <c r="A3572" s="675"/>
      <c r="B3572" s="771"/>
      <c r="C3572" s="771"/>
      <c r="D3572" s="771"/>
      <c r="E3572" s="771"/>
      <c r="F3572" s="771"/>
      <c r="G3572" s="771"/>
      <c r="H3572" s="771"/>
      <c r="I3572" s="771"/>
      <c r="J3572" s="771"/>
      <c r="K3572" s="677"/>
    </row>
    <row r="3573" spans="1:11">
      <c r="A3573" s="675"/>
      <c r="B3573" s="686"/>
      <c r="C3573" s="686"/>
      <c r="D3573" s="686"/>
      <c r="E3573" s="686"/>
      <c r="F3573" s="686"/>
      <c r="G3573" s="686"/>
      <c r="H3573" s="686"/>
      <c r="I3573" s="686"/>
      <c r="J3573" s="686"/>
      <c r="K3573" s="677"/>
    </row>
    <row r="3574" spans="1:11">
      <c r="A3574" s="675"/>
      <c r="B3574" s="686"/>
      <c r="C3574" s="729" t="s">
        <v>433</v>
      </c>
      <c r="D3574" s="729"/>
      <c r="E3574" s="686"/>
      <c r="F3574" s="686"/>
      <c r="G3574" s="729" t="s">
        <v>434</v>
      </c>
      <c r="H3574" s="729"/>
      <c r="I3574" s="729"/>
      <c r="J3574" s="729"/>
      <c r="K3574" s="677"/>
    </row>
    <row r="3575" ht="16.35" spans="1:11">
      <c r="A3575" s="725"/>
      <c r="B3575" s="726"/>
      <c r="C3575" s="732" t="str">
        <f>"("&amp;PROPER(ENTRY!$D$19)&amp;")"</f>
        <v>(Indrajeet)</v>
      </c>
      <c r="D3575" s="732"/>
      <c r="E3575" s="726"/>
      <c r="F3575" s="726"/>
      <c r="G3575" s="732" t="str">
        <f>"("&amp;PROPER(ENTRY!$D$12)&amp;")"</f>
        <v>(Shambhu Dayal Meena)</v>
      </c>
      <c r="H3575" s="732"/>
      <c r="I3575" s="732"/>
      <c r="J3575" s="732"/>
      <c r="K3575" s="728"/>
    </row>
    <row r="3576" ht="24.6" spans="1:11">
      <c r="B3576" s="734"/>
      <c r="C3576" s="734"/>
      <c r="D3576" s="669" t="str">
        <f>ENTRY!$D$3</f>
        <v>MUNICIPAL CORPORATION OF DELHI</v>
      </c>
      <c r="E3576" s="669"/>
      <c r="F3576" s="669"/>
      <c r="G3576" s="669"/>
      <c r="H3576" s="734"/>
      <c r="I3576" s="669"/>
      <c r="J3576" s="669"/>
    </row>
    <row r="3577" ht="20.4" spans="1:11">
      <c r="B3577" s="735"/>
      <c r="C3577" s="735"/>
      <c r="D3577" s="670" t="str">
        <f>ENTRY!$D$4</f>
        <v>EDUCATION DEPARTMENT</v>
      </c>
      <c r="E3577" s="670"/>
      <c r="F3577" s="670"/>
      <c r="G3577" s="670"/>
      <c r="H3577" s="735"/>
      <c r="I3577" s="669"/>
      <c r="J3577" s="669"/>
    </row>
    <row r="3578" ht="22.8" spans="1:11">
      <c r="B3578" s="736"/>
      <c r="C3578" s="736"/>
      <c r="D3578" s="664" t="s">
        <v>417</v>
      </c>
      <c r="E3578" s="664"/>
      <c r="F3578" s="664"/>
      <c r="G3578" s="664"/>
      <c r="H3578" s="736"/>
      <c r="I3578" s="669"/>
      <c r="J3578" s="669"/>
    </row>
    <row r="3579" ht="22.8" spans="1:11">
      <c r="B3579" s="736"/>
      <c r="C3579" s="736"/>
      <c r="D3579" s="664" t="s">
        <v>418</v>
      </c>
      <c r="E3579" s="664"/>
      <c r="F3579" s="664"/>
      <c r="G3579" s="664"/>
      <c r="H3579" s="736"/>
      <c r="I3579" s="669"/>
      <c r="J3579" s="669"/>
    </row>
    <row r="3580" ht="24.95" customHeight="1" spans="1:11">
      <c r="B3580" s="735"/>
      <c r="C3580" s="735"/>
      <c r="D3580" s="737" t="str">
        <f>"SESSION : "&amp;ENTRY!$D$11</f>
        <v>SESSION : 2026-27</v>
      </c>
      <c r="E3580" s="737"/>
      <c r="F3580" s="737"/>
      <c r="G3580" s="737"/>
      <c r="H3580" s="735"/>
      <c r="I3580" s="738"/>
      <c r="J3580" s="738"/>
    </row>
    <row r="3581" ht="3.75" customHeight="1" spans="1:11">
      <c r="A3581" s="672"/>
      <c r="B3581" s="739"/>
      <c r="C3581" s="739"/>
      <c r="D3581" s="739"/>
      <c r="E3581" s="739"/>
      <c r="F3581" s="739"/>
      <c r="G3581" s="739"/>
      <c r="H3581" s="739"/>
      <c r="I3581" s="739"/>
      <c r="J3581" s="739"/>
      <c r="K3581" s="674"/>
    </row>
    <row r="3582" ht="21.95" customHeight="1" spans="1:11">
      <c r="A3582" s="675"/>
      <c r="B3582" s="676" t="s">
        <v>419</v>
      </c>
      <c r="C3582" s="676"/>
      <c r="D3582" s="676" t="str">
        <f>ENTRY!$D$6</f>
        <v>MCP NITHARI NO 1 BOYS</v>
      </c>
      <c r="E3582" s="676"/>
      <c r="F3582" s="676"/>
      <c r="G3582" s="676"/>
      <c r="H3582" s="676"/>
      <c r="I3582" s="676"/>
      <c r="J3582" s="676"/>
      <c r="K3582" s="677"/>
    </row>
    <row r="3583" ht="21.95" customHeight="1" spans="1:11">
      <c r="A3583" s="675"/>
      <c r="B3583" s="676" t="s">
        <v>420</v>
      </c>
      <c r="C3583" s="676"/>
      <c r="D3583" s="740">
        <f>IFERROR(VLOOKUP($I$3586,STUDENT!$A$2:$BP$101,5,0),"")</f>
        <v>0</v>
      </c>
      <c r="E3583" s="740"/>
      <c r="F3583" s="740"/>
      <c r="G3583" s="740"/>
      <c r="H3583" s="740"/>
      <c r="I3583" s="740"/>
      <c r="J3583" s="740"/>
      <c r="K3583" s="677"/>
    </row>
    <row r="3584" ht="21.95" customHeight="1" spans="1:11">
      <c r="A3584" s="675"/>
      <c r="B3584" s="676" t="s">
        <v>421</v>
      </c>
      <c r="C3584" s="676"/>
      <c r="D3584" s="740">
        <f>IFERROR(VLOOKUP($I$3586,STUDENT!$A$2:$BP$101,8,0),"")</f>
        <v>0</v>
      </c>
      <c r="E3584" s="740"/>
      <c r="F3584" s="740"/>
      <c r="G3584" s="740"/>
      <c r="H3584" s="740"/>
      <c r="I3584" s="740"/>
      <c r="J3584" s="740"/>
      <c r="K3584" s="677"/>
    </row>
    <row r="3585" ht="21.95" customHeight="1" spans="1:11">
      <c r="A3585" s="675"/>
      <c r="B3585" s="676" t="s">
        <v>422</v>
      </c>
      <c r="C3585" s="676"/>
      <c r="D3585" s="740">
        <f>IFERROR(VLOOKUP($I$3586,STUDENT!$A$2:$BP$101,6,0),"")</f>
        <v>0</v>
      </c>
      <c r="E3585" s="740"/>
      <c r="F3585" s="740"/>
      <c r="G3585" s="740"/>
      <c r="H3585" s="740"/>
      <c r="I3585" s="740"/>
      <c r="J3585" s="740"/>
      <c r="K3585" s="677"/>
    </row>
    <row r="3586" ht="21.95" customHeight="1" spans="1:11">
      <c r="A3586" s="675"/>
      <c r="B3586" s="676" t="s">
        <v>423</v>
      </c>
      <c r="C3586" s="676"/>
      <c r="D3586" s="741" t="str">
        <f>IFERROR(VLOOKUP($I$3586,STUDENT!$A$2:$BP$101,59,0),"")</f>
        <v/>
      </c>
      <c r="E3586" s="742" t="s">
        <v>424</v>
      </c>
      <c r="F3586" s="704" t="str">
        <f>IFERROR(VLOOKUP($I$3586,STUDENT!$A$2:$BP$101,2,0),"")</f>
        <v>III-A</v>
      </c>
      <c r="G3586" s="742" t="s">
        <v>425</v>
      </c>
      <c r="H3586" s="743"/>
      <c r="I3586" s="733">
        <f>I3531+1</f>
        <v>66</v>
      </c>
      <c r="J3586" s="683"/>
      <c r="K3586" s="677"/>
    </row>
    <row r="3587" ht="5.1" customHeight="1" spans="1:11">
      <c r="A3587" s="675"/>
      <c r="B3587" s="745"/>
      <c r="C3587" s="745"/>
      <c r="D3587" s="746"/>
      <c r="E3587" s="747"/>
      <c r="F3587" s="748"/>
      <c r="G3587" s="747"/>
      <c r="H3587" s="686"/>
      <c r="I3587" s="686"/>
      <c r="J3587" s="686"/>
      <c r="K3587" s="677"/>
    </row>
    <row r="3588" s="664" customFormat="1" ht="32.1" customHeight="1" spans="1:11">
      <c r="A3588" s="688"/>
      <c r="B3588" s="749" t="s">
        <v>426</v>
      </c>
      <c r="C3588" s="750"/>
      <c r="D3588" s="750"/>
      <c r="E3588" s="750"/>
      <c r="F3588" s="750"/>
      <c r="G3588" s="750"/>
      <c r="H3588" s="750"/>
      <c r="I3588" s="750"/>
      <c r="J3588" s="751"/>
      <c r="K3588" s="690"/>
    </row>
    <row r="3589" ht="51.6" spans="1:11">
      <c r="A3589" s="675"/>
      <c r="B3589" s="752">
        <v>21</v>
      </c>
      <c r="C3589" s="753" t="s">
        <v>427</v>
      </c>
      <c r="D3589" s="754" t="s">
        <v>428</v>
      </c>
      <c r="E3589" s="754" t="s">
        <v>429</v>
      </c>
      <c r="F3589" s="754" t="s">
        <v>430</v>
      </c>
      <c r="G3589" s="753" t="s">
        <v>390</v>
      </c>
      <c r="H3589" s="714"/>
      <c r="I3589" s="714"/>
      <c r="J3589" s="714"/>
      <c r="K3589" s="677"/>
    </row>
    <row r="3590" ht="20.1" customHeight="1" spans="1:11">
      <c r="A3590" s="675"/>
      <c r="B3590" s="755">
        <v>1</v>
      </c>
      <c r="C3590" s="755" t="str">
        <f>IFERROR(VLOOKUP(B3590,DATEWISE!$A$3:$BY$27,2,0),0)</f>
        <v>30.04.2026</v>
      </c>
      <c r="D3590" s="755">
        <f>IF($C$3590=0,NA(),VLOOKUP($I$3586&amp;$B$3590,FLNFIX!$L$4:$EF$103,2,0))</f>
        <v>0</v>
      </c>
      <c r="E3590" s="755">
        <f>IF($C$3590=0,NA(),VLOOKUP($I$3586&amp;$B$3590,FLNFIX!$L$4:$EF$103,4,0))</f>
        <v>0</v>
      </c>
      <c r="F3590" s="755">
        <f>IF($C$3590=0,NA(),VLOOKUP($I$3586&amp;$B$3590,FLNFIX!$L$4:$EF$103,3,0))</f>
        <v>0</v>
      </c>
      <c r="G3590" s="756">
        <f>IF($C$3590=0,NA(),VLOOKUP($I$3586&amp;$B$3590,FLNFIX!$L$4:$EF$103,5,0))</f>
        <v>0</v>
      </c>
      <c r="H3590" s="757"/>
      <c r="I3590" s="757"/>
      <c r="J3590" s="758"/>
      <c r="K3590" s="677"/>
    </row>
    <row r="3591" ht="20.1" customHeight="1" spans="1:11">
      <c r="A3591" s="675"/>
      <c r="B3591" s="755">
        <f t="shared" ref="B3591:B3610" si="65">IF(B3590=0,0,IF(B3590&lt;$B$3589,B3590+1,""))</f>
        <v>2</v>
      </c>
      <c r="C3591" s="755" t="str">
        <f>IFERROR(VLOOKUP(B3591,DATEWISE!$A$3:$BY$27,2,0),0)</f>
        <v>08.05.2026</v>
      </c>
      <c r="D3591" s="755">
        <f>IF($C$3591=0,NA(),VLOOKUP($I$3586&amp;$B$3591,FLNFIX!$Q$4:$EF$103,2,0))</f>
        <v>0</v>
      </c>
      <c r="E3591" s="755">
        <f>IF($C$3591=0,NA(),VLOOKUP($I$3586&amp;$B$3591,FLNFIX!$Q$4:$EF$103,4,0))</f>
        <v>0</v>
      </c>
      <c r="F3591" s="755">
        <f>IF($C$3591=0,NA(),VLOOKUP($I$3586&amp;$B$3591,FLNFIX!$Q$4:$EF$103,3,0))</f>
        <v>0</v>
      </c>
      <c r="G3591" s="756">
        <f>IF($C$3591=0,NA(),VLOOKUP($I$3586&amp;$B$3591,FLNFIX!$Q$4:$EF$103,5,0))</f>
        <v>0</v>
      </c>
      <c r="H3591" s="757"/>
      <c r="I3591" s="757"/>
      <c r="J3591" s="758"/>
      <c r="K3591" s="677"/>
    </row>
    <row r="3592" ht="20.1" customHeight="1" spans="1:11">
      <c r="A3592" s="675"/>
      <c r="B3592" s="755">
        <f t="shared" si="65"/>
        <v>3</v>
      </c>
      <c r="C3592" s="755" t="str">
        <f>IFERROR(VLOOKUP(B3592,DATEWISE!$A$3:$BY$27,2,0),0)</f>
        <v>15.07.2026</v>
      </c>
      <c r="D3592" s="755">
        <f>IF($C$3592=0,NA(),VLOOKUP($I$3586&amp;$B$3592,FLNFIX!$V$4:$EF$103,2,0))</f>
        <v>0</v>
      </c>
      <c r="E3592" s="755">
        <f>IF($C$3592=0,NA(),VLOOKUP($I$3586&amp;$B$3592,FLNFIX!$V$4:$EF$103,4,0))</f>
        <v>0</v>
      </c>
      <c r="F3592" s="755">
        <f>IF($C$3592=0,NA(),VLOOKUP($I$3586&amp;$B$3592,FLNFIX!$V$4:$EF$103,3,0))</f>
        <v>0</v>
      </c>
      <c r="G3592" s="756">
        <f>IF($C$3592=0,NA(),VLOOKUP($I$3586&amp;$B$3592,FLNFIX!$V$4:$EF$103,5,0))</f>
        <v>0</v>
      </c>
      <c r="H3592" s="757"/>
      <c r="I3592" s="757"/>
      <c r="J3592" s="758"/>
      <c r="K3592" s="677"/>
    </row>
    <row r="3593" ht="20.1" customHeight="1" spans="1:11">
      <c r="A3593" s="675"/>
      <c r="B3593" s="755">
        <f t="shared" si="65"/>
        <v>4</v>
      </c>
      <c r="C3593" s="755" t="str">
        <f>IFERROR(VLOOKUP(B3593,DATEWISE!$A$3:$BY$27,2,0),0)</f>
        <v>31.07.2026</v>
      </c>
      <c r="D3593" s="755">
        <f>IF($C$3593=0,NA(),VLOOKUP($I$3586&amp;$B$3593,FLNFIX!$AA$4:$EF$103,2,0))</f>
        <v>0</v>
      </c>
      <c r="E3593" s="755">
        <f>IF($C$3593=0,NA(),VLOOKUP($I$3586&amp;$B$3593,FLNFIX!$AA$4:$EF$103,4,0))</f>
        <v>0</v>
      </c>
      <c r="F3593" s="755">
        <f>IF($C$3593=0,NA(),VLOOKUP($I$3586&amp;$B$3593,FLNFIX!$AA$4:$EF$103,3,0))</f>
        <v>0</v>
      </c>
      <c r="G3593" s="756">
        <f>IF($C$3593=0,NA(),VLOOKUP($I$3586&amp;$B$3593,FLNFIX!$AA$4:$EF$103,5,0))</f>
        <v>0</v>
      </c>
      <c r="H3593" s="757"/>
      <c r="I3593" s="757"/>
      <c r="J3593" s="758"/>
      <c r="K3593" s="677"/>
    </row>
    <row r="3594" ht="20.1" customHeight="1" spans="1:11">
      <c r="A3594" s="675"/>
      <c r="B3594" s="755">
        <f t="shared" si="65"/>
        <v>5</v>
      </c>
      <c r="C3594" s="755" t="str">
        <f>IFERROR(VLOOKUP(B3594,DATEWISE!$A$3:$BY$27,2,0),0)</f>
        <v>17.08.2026</v>
      </c>
      <c r="D3594" s="755">
        <f>IF($C$3594=0,NA(),VLOOKUP($I$3586&amp;$B$3594,FLNFIX!$AF$4:$EF$103,2,0))</f>
        <v>0</v>
      </c>
      <c r="E3594" s="755">
        <f>IF($C$3594=0,NA(),VLOOKUP($I$3586&amp;$B$3594,FLNFIX!$AF$4:$EF$103,4,0))</f>
        <v>0</v>
      </c>
      <c r="F3594" s="755">
        <f>IF($C$3594=0,NA(),VLOOKUP($I$3586&amp;$B$3594,FLNFIX!$AF$4:$EF$103,3,0))</f>
        <v>0</v>
      </c>
      <c r="G3594" s="756">
        <f>IF($C$3594=0,NA(),VLOOKUP($I$3586&amp;$B$3594,FLNFIX!$AF$4:$EF$103,5,0))</f>
        <v>0</v>
      </c>
      <c r="H3594" s="757"/>
      <c r="I3594" s="757"/>
      <c r="J3594" s="758"/>
      <c r="K3594" s="677"/>
    </row>
    <row r="3595" ht="20.1" customHeight="1" spans="1:11">
      <c r="A3595" s="675"/>
      <c r="B3595" s="755">
        <f t="shared" si="65"/>
        <v>6</v>
      </c>
      <c r="C3595" s="755" t="str">
        <f>IFERROR(VLOOKUP(B3595,DATEWISE!$A$3:$BY$27,2,0),0)</f>
        <v>31.08.2026</v>
      </c>
      <c r="D3595" s="755">
        <f>IF($C$3595=0,NA(),VLOOKUP($I$3586&amp;$B$3595,FLNFIX!$AK$4:$EF$103,2,0))</f>
        <v>0</v>
      </c>
      <c r="E3595" s="755">
        <f>IF($C$3595=0,NA(),VLOOKUP($I$3586&amp;$B$3595,FLNFIX!$AK$4:$EF$103,4,0))</f>
        <v>0</v>
      </c>
      <c r="F3595" s="755">
        <f>IF($C$3595=0,NA(),VLOOKUP($I$3586&amp;$B$3595,FLNFIX!$AK$4:$EF$103,3,0))</f>
        <v>0</v>
      </c>
      <c r="G3595" s="756">
        <f>IF($C$3595=0,NA(),VLOOKUP($I$3586&amp;$B$3595,FLNFIX!$AK$4:$EF$103,5,0))</f>
        <v>0</v>
      </c>
      <c r="H3595" s="757"/>
      <c r="I3595" s="757"/>
      <c r="J3595" s="758"/>
      <c r="K3595" s="677"/>
    </row>
    <row r="3596" ht="20.1" customHeight="1" spans="1:11">
      <c r="A3596" s="675"/>
      <c r="B3596" s="755">
        <f t="shared" si="65"/>
        <v>7</v>
      </c>
      <c r="C3596" s="755">
        <f>IFERROR(VLOOKUP(B3596,DATEWISE!$A$3:$BY$27,2,0),0)</f>
        <v>0</v>
      </c>
      <c r="D3596" s="755" t="e">
        <f>IF($C$3596=0,NA(),VLOOKUP($I$3586&amp;$B$3596,FLNFIX!$AP$4:$EF$103,2,0))</f>
        <v>#N/A</v>
      </c>
      <c r="E3596" s="755" t="e">
        <f>IF($C$3596=0,NA(),VLOOKUP($I$3586&amp;$B$3596,FLNFIX!$AP$4:$EF$103,4,0))</f>
        <v>#N/A</v>
      </c>
      <c r="F3596" s="755" t="e">
        <f>IF($C$3596=0,NA(),VLOOKUP($I$3586&amp;$B$3596,FLNFIX!$AP$4:$EF$103,3,0))</f>
        <v>#N/A</v>
      </c>
      <c r="G3596" s="756" t="e">
        <f>IF($C$3596=0,NA(),VLOOKUP($I$3586&amp;$B$3596,FLNFIX!$AP$4:$EF$103,5,0))</f>
        <v>#N/A</v>
      </c>
      <c r="H3596" s="757"/>
      <c r="I3596" s="757"/>
      <c r="J3596" s="758"/>
      <c r="K3596" s="677"/>
    </row>
    <row r="3597" ht="20.1" customHeight="1" spans="1:11">
      <c r="A3597" s="675"/>
      <c r="B3597" s="755">
        <f t="shared" si="65"/>
        <v>8</v>
      </c>
      <c r="C3597" s="755">
        <f>IFERROR(VLOOKUP(B3597,DATEWISE!$A$3:$BY$27,2,0),0)</f>
        <v>0</v>
      </c>
      <c r="D3597" s="755" t="e">
        <f>IF($C$3597=0,NA(),VLOOKUP($I$3586&amp;$B$3597,FLNFIX!$AU$4:$EF$103,2,0))</f>
        <v>#N/A</v>
      </c>
      <c r="E3597" s="755" t="e">
        <f>IF($C$3597=0,NA(),VLOOKUP($I$3586&amp;$B$3597,FLNFIX!$AU$4:$EF$103,4,0))</f>
        <v>#N/A</v>
      </c>
      <c r="F3597" s="755" t="e">
        <f>IF($C$3597=0,NA(),VLOOKUP($I$3586&amp;$B$3597,FLNFIX!$AU$4:$EF$103,3,0))</f>
        <v>#N/A</v>
      </c>
      <c r="G3597" s="756" t="e">
        <f>IF($C$3597=0,NA(),VLOOKUP($I$3586&amp;$B$3597,FLNFIX!$AU$4:$EF$103,5,0))</f>
        <v>#N/A</v>
      </c>
      <c r="H3597" s="757"/>
      <c r="I3597" s="757"/>
      <c r="J3597" s="758"/>
      <c r="K3597" s="677"/>
    </row>
    <row r="3598" ht="20.1" customHeight="1" spans="1:11">
      <c r="A3598" s="675"/>
      <c r="B3598" s="755">
        <f t="shared" si="65"/>
        <v>9</v>
      </c>
      <c r="C3598" s="755">
        <f>IFERROR(VLOOKUP(B3598,DATEWISE!$A$3:$BY$27,2,0),0)</f>
        <v>0</v>
      </c>
      <c r="D3598" s="755" t="e">
        <f>IF($C$3598=0,NA(),VLOOKUP($I$3586&amp;$B$3598,FLNFIX!$AZ$4:$EF$103,2,0))</f>
        <v>#N/A</v>
      </c>
      <c r="E3598" s="755" t="e">
        <f>IF($C$3598=0,NA(),VLOOKUP($I$3586&amp;$B$3598,FLNFIX!$AZ$4:$EF$103,4,0))</f>
        <v>#N/A</v>
      </c>
      <c r="F3598" s="755" t="e">
        <f>IF($C$3598=0,NA(),VLOOKUP($I$3586&amp;$B$3598,FLNFIX!$AZ$4:$EF$103,3,0))</f>
        <v>#N/A</v>
      </c>
      <c r="G3598" s="756" t="e">
        <f>IF($C$3598=0,NA(),VLOOKUP($I$3586&amp;$B$3598,FLNFIX!$AZ$4:$EF$103,5,0))</f>
        <v>#N/A</v>
      </c>
      <c r="H3598" s="757"/>
      <c r="I3598" s="757"/>
      <c r="J3598" s="758"/>
      <c r="K3598" s="677"/>
    </row>
    <row r="3599" ht="20.1" customHeight="1" spans="1:11">
      <c r="A3599" s="675"/>
      <c r="B3599" s="755">
        <f t="shared" si="65"/>
        <v>10</v>
      </c>
      <c r="C3599" s="755">
        <f>IFERROR(VLOOKUP(B3599,DATEWISE!$A$3:$BY$27,2,0),0)</f>
        <v>0</v>
      </c>
      <c r="D3599" s="755" t="e">
        <f>IF($C$3599=0,NA(),VLOOKUP($I$3586&amp;$B$3599,FLNFIX!$BE$4:$EF$103,2,0))</f>
        <v>#N/A</v>
      </c>
      <c r="E3599" s="755" t="e">
        <f>IF($C$3599=0,NA(),VLOOKUP($I$3586&amp;$B$3599,FLNFIX!$BE$4:$EF$103,4,0))</f>
        <v>#N/A</v>
      </c>
      <c r="F3599" s="755" t="e">
        <f>IF($C$3599=0,NA(),VLOOKUP($I$3586&amp;$B$3599,FLNFIX!$BE$4:$EF$103,3,0))</f>
        <v>#N/A</v>
      </c>
      <c r="G3599" s="756" t="e">
        <f>IF($C$3599=0,NA(),VLOOKUP($I$3586&amp;$B$3599,FLNFIX!$BE$4:$EF$103,5,0))</f>
        <v>#N/A</v>
      </c>
      <c r="H3599" s="757"/>
      <c r="I3599" s="757"/>
      <c r="J3599" s="758"/>
      <c r="K3599" s="677"/>
    </row>
    <row r="3600" ht="20.1" customHeight="1" spans="1:11">
      <c r="A3600" s="675"/>
      <c r="B3600" s="755">
        <f t="shared" si="65"/>
        <v>11</v>
      </c>
      <c r="C3600" s="755">
        <f>IFERROR(VLOOKUP(B3600,DATEWISE!$A$3:$BY$27,2,0),0)</f>
        <v>0</v>
      </c>
      <c r="D3600" s="755" t="e">
        <f>IF($C$3600=0,NA(),VLOOKUP($I$3586&amp;$B$3600,FLNFIX!$BJ$4:$EF$103,2,0))</f>
        <v>#N/A</v>
      </c>
      <c r="E3600" s="755" t="e">
        <f>IF($C$3600=0,NA(),VLOOKUP($I$3586&amp;$B$3600,FLNFIX!$BJ$4:$EF$103,4,0))</f>
        <v>#N/A</v>
      </c>
      <c r="F3600" s="755" t="e">
        <f>IF($C$3600=0,NA(),VLOOKUP($I$3586&amp;$B$3600,FLNFIX!$BJ$4:$EF$103,3,0))</f>
        <v>#N/A</v>
      </c>
      <c r="G3600" s="756" t="e">
        <f>IF($C$3600=0,NA(),VLOOKUP($I$3586&amp;$B$3600,FLNFIX!$BJ$4:$EF$103,5,0))</f>
        <v>#N/A</v>
      </c>
      <c r="H3600" s="757"/>
      <c r="I3600" s="757"/>
      <c r="J3600" s="758"/>
      <c r="K3600" s="677"/>
    </row>
    <row r="3601" ht="20.1" customHeight="1" spans="1:11">
      <c r="A3601" s="675"/>
      <c r="B3601" s="755">
        <f t="shared" si="65"/>
        <v>12</v>
      </c>
      <c r="C3601" s="755">
        <f>IFERROR(VLOOKUP(B3601,DATEWISE!$A$3:$BY$27,2,0),0)</f>
        <v>0</v>
      </c>
      <c r="D3601" s="755" t="e">
        <f>IF($C$3601=0,NA(),VLOOKUP($I$3586&amp;$B$3601,FLNFIX!$BO$4:$EF$103,2,0))</f>
        <v>#N/A</v>
      </c>
      <c r="E3601" s="755" t="e">
        <f>IF($C$3601=0,NA(),VLOOKUP($I$3586&amp;$B$3601,FLNFIX!$BO$4:$EF$103,4,0))</f>
        <v>#N/A</v>
      </c>
      <c r="F3601" s="755" t="e">
        <f>IF($C$3601=0,NA(),VLOOKUP($I$3586&amp;$B$3601,FLNFIX!$BO$4:$EF$103,3,0))</f>
        <v>#N/A</v>
      </c>
      <c r="G3601" s="756" t="e">
        <f>IF($C$3601=0,NA(),VLOOKUP($I$3586&amp;$B$3601,FLNFIX!$BO$4:$EF$103,5,0))</f>
        <v>#N/A</v>
      </c>
      <c r="H3601" s="757"/>
      <c r="I3601" s="757"/>
      <c r="J3601" s="758"/>
      <c r="K3601" s="677"/>
    </row>
    <row r="3602" ht="20.1" customHeight="1" spans="1:11">
      <c r="A3602" s="675"/>
      <c r="B3602" s="755">
        <f t="shared" si="65"/>
        <v>13</v>
      </c>
      <c r="C3602" s="755">
        <f>IFERROR(VLOOKUP(B3602,DATEWISE!$A$3:$BY$27,2,0),0)</f>
        <v>0</v>
      </c>
      <c r="D3602" s="755" t="e">
        <f>IF($C$3602=0,NA(),VLOOKUP($I$3586&amp;$B$3602,FLNFIX!$BT$4:$EF$103,2,0))</f>
        <v>#N/A</v>
      </c>
      <c r="E3602" s="755" t="e">
        <f>IF($C$3602=0,NA(),VLOOKUP($I$3586&amp;$B$3602,FLNFIX!$BT$4:$EF$103,4,0))</f>
        <v>#N/A</v>
      </c>
      <c r="F3602" s="755" t="e">
        <f>IF($C$3602=0,NA(),VLOOKUP($I$3586&amp;$B$3602,FLNFIX!$BT$4:$EF$103,3,0))</f>
        <v>#N/A</v>
      </c>
      <c r="G3602" s="756" t="e">
        <f>IF($C$3602=0,NA(),VLOOKUP($I$3586&amp;$B$3602,FLNFIX!$BT$4:$EF$103,5,0))</f>
        <v>#N/A</v>
      </c>
      <c r="H3602" s="757"/>
      <c r="I3602" s="757"/>
      <c r="J3602" s="758"/>
      <c r="K3602" s="677"/>
    </row>
    <row r="3603" ht="20.1" customHeight="1" spans="1:11">
      <c r="A3603" s="675"/>
      <c r="B3603" s="755">
        <f t="shared" si="65"/>
        <v>14</v>
      </c>
      <c r="C3603" s="755">
        <f>IFERROR(VLOOKUP(B3603,DATEWISE!$A$3:$BY$27,2,0),0)</f>
        <v>0</v>
      </c>
      <c r="D3603" s="755" t="e">
        <f>IF($C$3603=0,NA(),VLOOKUP($I$3586&amp;$B$3603,FLNFIX!$BY$4:$EF$103,2,0))</f>
        <v>#N/A</v>
      </c>
      <c r="E3603" s="755" t="e">
        <f>IF($C$3603=0,NA(),VLOOKUP($I$3586&amp;$B$3603,FLNFIX!$BY$4:$EF$103,4,0))</f>
        <v>#N/A</v>
      </c>
      <c r="F3603" s="755" t="e">
        <f>IF($C$3603=0,NA(),VLOOKUP($I$3586&amp;$B$3603,FLNFIX!$BY$4:$EF$103,3,0))</f>
        <v>#N/A</v>
      </c>
      <c r="G3603" s="756" t="e">
        <f>IF($C$3603=0,NA(),VLOOKUP($I$3586&amp;$B$3603,FLNFIX!$BY$4:$EF$103,5,0))</f>
        <v>#N/A</v>
      </c>
      <c r="H3603" s="757"/>
      <c r="I3603" s="757"/>
      <c r="J3603" s="758"/>
      <c r="K3603" s="677"/>
    </row>
    <row r="3604" ht="20.1" customHeight="1" spans="1:11">
      <c r="A3604" s="675"/>
      <c r="B3604" s="755">
        <f t="shared" si="65"/>
        <v>15</v>
      </c>
      <c r="C3604" s="755">
        <f>IFERROR(VLOOKUP(B3604,DATEWISE!$A$3:$BY$27,2,0),0)</f>
        <v>0</v>
      </c>
      <c r="D3604" s="755" t="e">
        <f>IF($C$3604=0,NA(),VLOOKUP($I$3586&amp;$B$3604,FLNFIX!$CD$4:$EF$103,2,0))</f>
        <v>#N/A</v>
      </c>
      <c r="E3604" s="755" t="e">
        <f>IF($C$3604=0,NA(),VLOOKUP($I$3586&amp;$B$3604,FLNFIX!$CD$4:$EF$103,4,0))</f>
        <v>#N/A</v>
      </c>
      <c r="F3604" s="755" t="e">
        <f>IF($C$3604=0,NA(),VLOOKUP($I$3586&amp;$B$3604,FLNFIX!$CD$4:$EF$103,3,0))</f>
        <v>#N/A</v>
      </c>
      <c r="G3604" s="756" t="e">
        <f>IF($C$3604=0,NA(),VLOOKUP($I$3586&amp;$B$3604,FLNFIX!$CD$4:$EF$103,5,0))</f>
        <v>#N/A</v>
      </c>
      <c r="H3604" s="757"/>
      <c r="I3604" s="757"/>
      <c r="J3604" s="758"/>
      <c r="K3604" s="677"/>
    </row>
    <row r="3605" ht="20.1" customHeight="1" spans="1:11">
      <c r="A3605" s="675"/>
      <c r="B3605" s="755">
        <f t="shared" si="65"/>
        <v>16</v>
      </c>
      <c r="C3605" s="755">
        <f>IFERROR(VLOOKUP(B3605,DATEWISE!$A$3:$BY$27,2,0),0)</f>
        <v>0</v>
      </c>
      <c r="D3605" s="755" t="e">
        <f>IF($C$3605=0,NA(),VLOOKUP($I$3586&amp;$B$3605,FLNFIX!$CI$4:$EF$103,2,0))</f>
        <v>#N/A</v>
      </c>
      <c r="E3605" s="755" t="e">
        <f>IF($C$3605=0,NA(),VLOOKUP($I$3586&amp;$B$3605,FLNFIX!$CI$4:$EF$103,4,0))</f>
        <v>#N/A</v>
      </c>
      <c r="F3605" s="755" t="e">
        <f>IF($C$3605=0,NA(),VLOOKUP($I$3586&amp;$B$3605,FLNFIX!$CI$4:$EF$103,3,0))</f>
        <v>#N/A</v>
      </c>
      <c r="G3605" s="756" t="e">
        <f>IF($C$3605=0,NA(),VLOOKUP($I$3586&amp;$B$3605,FLNFIX!$CI$4:$EF$103,5,0))</f>
        <v>#N/A</v>
      </c>
      <c r="H3605" s="757"/>
      <c r="I3605" s="757"/>
      <c r="J3605" s="758"/>
      <c r="K3605" s="677"/>
    </row>
    <row r="3606" ht="20.1" customHeight="1" spans="1:11">
      <c r="A3606" s="675"/>
      <c r="B3606" s="755">
        <f t="shared" si="65"/>
        <v>17</v>
      </c>
      <c r="C3606" s="755">
        <f>IFERROR(VLOOKUP(B3606,DATEWISE!$A$3:$BY$27,2,0),0)</f>
        <v>0</v>
      </c>
      <c r="D3606" s="755" t="e">
        <f>IF($C$3606=0,NA(),VLOOKUP($I$3586&amp;$B$3606,FLNFIX!$CN$4:$EF$103,2,0))</f>
        <v>#N/A</v>
      </c>
      <c r="E3606" s="755" t="e">
        <f>IF($C$3606=0,NA(),VLOOKUP($I$3586&amp;$B$3606,FLNFIX!$CN$4:$EF$103,4,0))</f>
        <v>#N/A</v>
      </c>
      <c r="F3606" s="755" t="e">
        <f>IF($C$3606=0,NA(),VLOOKUP($I$3586&amp;$B$3606,FLNFIX!$CN$4:$EF$103,3,0))</f>
        <v>#N/A</v>
      </c>
      <c r="G3606" s="756" t="e">
        <f>IF($C$3606=0,NA(),VLOOKUP($I$3586&amp;$B$3606,FLNFIX!$CN$4:$EF$103,5,0))</f>
        <v>#N/A</v>
      </c>
      <c r="H3606" s="757"/>
      <c r="I3606" s="757"/>
      <c r="J3606" s="758"/>
      <c r="K3606" s="677"/>
    </row>
    <row r="3607" ht="20.1" customHeight="1" spans="1:11">
      <c r="A3607" s="675"/>
      <c r="B3607" s="755">
        <f t="shared" si="65"/>
        <v>18</v>
      </c>
      <c r="C3607" s="755">
        <f>IFERROR(VLOOKUP(B3607,DATEWISE!$A$3:$BY$27,2,0),0)</f>
        <v>0</v>
      </c>
      <c r="D3607" s="755" t="e">
        <f>IF($C$3607=0,NA(),VLOOKUP($I$3586&amp;$B$3607,FLNFIX!$CS$4:$EF$103,2,0))</f>
        <v>#N/A</v>
      </c>
      <c r="E3607" s="755" t="e">
        <f>IF($C$3607=0,NA(),VLOOKUP($I$3586&amp;$B$3607,FLNFIX!$CS$4:$EF$103,4,0))</f>
        <v>#N/A</v>
      </c>
      <c r="F3607" s="755" t="e">
        <f>IF($C$3607=0,NA(),VLOOKUP($I$3586&amp;$B$3607,FLNFIX!$CS$4:$EF$103,3,0))</f>
        <v>#N/A</v>
      </c>
      <c r="G3607" s="756" t="e">
        <f>IF($C$3607=0,NA(),VLOOKUP($I$3586&amp;$B$3607,FLNFIX!$CS$4:$EF$103,5,0))</f>
        <v>#N/A</v>
      </c>
      <c r="H3607" s="757"/>
      <c r="I3607" s="757"/>
      <c r="J3607" s="758"/>
      <c r="K3607" s="677"/>
    </row>
    <row r="3608" ht="20.1" customHeight="1" spans="1:11">
      <c r="A3608" s="675"/>
      <c r="B3608" s="755">
        <f t="shared" si="65"/>
        <v>19</v>
      </c>
      <c r="C3608" s="755">
        <f>IFERROR(VLOOKUP(B3608,DATEWISE!$A$3:$BY$27,2,0),0)</f>
        <v>0</v>
      </c>
      <c r="D3608" s="755" t="e">
        <f>IF($C$3608=0,NA(),VLOOKUP($I$3586&amp;$B$3608,FLNFIX!$CX$4:$EF$103,2,0))</f>
        <v>#N/A</v>
      </c>
      <c r="E3608" s="755" t="e">
        <f>IF($C$3608=0,NA(),VLOOKUP($I$3586&amp;$B$3608,FLNFIX!$CX$4:$EF$103,4,0))</f>
        <v>#N/A</v>
      </c>
      <c r="F3608" s="755" t="e">
        <f>IF($C$3608=0,NA(),VLOOKUP($I$3586&amp;$B$3608,FLNFIX!$CX$4:$EF$103,3,0))</f>
        <v>#N/A</v>
      </c>
      <c r="G3608" s="756" t="e">
        <f>IF($C$3608=0,NA(),VLOOKUP($I$3586&amp;$B$3608,FLNFIX!$CX$4:$EF$103,5,0))</f>
        <v>#N/A</v>
      </c>
      <c r="H3608" s="757"/>
      <c r="I3608" s="757"/>
      <c r="J3608" s="758"/>
      <c r="K3608" s="677"/>
    </row>
    <row r="3609" ht="20.1" customHeight="1" spans="1:11">
      <c r="A3609" s="675"/>
      <c r="B3609" s="755">
        <f t="shared" si="65"/>
        <v>20</v>
      </c>
      <c r="C3609" s="755">
        <f>IFERROR(VLOOKUP(B3609,DATEWISE!$A$3:$BY$27,2,0),0)</f>
        <v>0</v>
      </c>
      <c r="D3609" s="755" t="e">
        <f>IF($C$3609=0,NA(),VLOOKUP($I$3586&amp;$B$3609,FLNFIX!$DC$4:$EF$103,2,0))</f>
        <v>#N/A</v>
      </c>
      <c r="E3609" s="755" t="e">
        <f>IF($C$3609=0,NA(),VLOOKUP($I$3586&amp;$B$3609,FLNFIX!$DC$4:$EF$103,4,0))</f>
        <v>#N/A</v>
      </c>
      <c r="F3609" s="755" t="e">
        <f>IF($C$3609=0,NA(),VLOOKUP($I$3586&amp;$B$3609,FLNFIX!$DC$4:$EF$103,3,0))</f>
        <v>#N/A</v>
      </c>
      <c r="G3609" s="756" t="e">
        <f>IF($C$3609=0,NA(),VLOOKUP($I$3586&amp;$B$3609,FLNFIX!$DC$4:$EF$103,5,0))</f>
        <v>#N/A</v>
      </c>
      <c r="H3609" s="757"/>
      <c r="I3609" s="757"/>
      <c r="J3609" s="758"/>
      <c r="K3609" s="677"/>
    </row>
    <row r="3610" ht="20.1" customHeight="1" spans="1:11">
      <c r="A3610" s="675"/>
      <c r="B3610" s="755">
        <f t="shared" si="65"/>
        <v>21</v>
      </c>
      <c r="C3610" s="755">
        <f>IFERROR(VLOOKUP(B3610,DATEWISE!$A$3:$BY$27,2,0),0)</f>
        <v>0</v>
      </c>
      <c r="D3610" s="755" t="e">
        <f>IF($C$3610=0,NA(),VLOOKUP($I$3586&amp;$B$3610,FLNFIX!$DH$4:$EF$103,2,0))</f>
        <v>#N/A</v>
      </c>
      <c r="E3610" s="755" t="e">
        <f>IF($C$3610=0,NA(),VLOOKUP($I$3586&amp;$B$3610,FLNFIX!$DH$4:$EF$103,4,0))</f>
        <v>#N/A</v>
      </c>
      <c r="F3610" s="755" t="e">
        <f>IF($C$3610=0,NA(),VLOOKUP($I$3586&amp;$B$3610,FLNFIX!$DH$4:$EF$103,3,0))</f>
        <v>#N/A</v>
      </c>
      <c r="G3610" s="756" t="e">
        <f>IF($C$3610=0,NA(),VLOOKUP($I$3586&amp;$B$3610,FLNFIX!$DH$4:$EF$103,5,0))</f>
        <v>#N/A</v>
      </c>
      <c r="H3610" s="757"/>
      <c r="I3610" s="757"/>
      <c r="J3610" s="758"/>
      <c r="K3610" s="677"/>
    </row>
    <row r="3611" ht="5.1" customHeight="1" spans="1:11">
      <c r="A3611" s="675"/>
      <c r="B3611" s="759"/>
      <c r="C3611" s="759"/>
      <c r="D3611" s="760"/>
      <c r="E3611" s="760"/>
      <c r="F3611" s="760"/>
      <c r="G3611" s="761"/>
      <c r="H3611" s="761"/>
      <c r="I3611" s="761"/>
      <c r="J3611" s="761"/>
      <c r="K3611" s="677"/>
    </row>
    <row r="3612" s="667" customFormat="1" ht="24.95" customHeight="1" spans="1:11">
      <c r="A3612" s="711"/>
      <c r="B3612" s="762" t="s">
        <v>431</v>
      </c>
      <c r="C3612" s="763"/>
      <c r="D3612" s="763"/>
      <c r="E3612" s="763"/>
      <c r="F3612" s="763"/>
      <c r="G3612" s="763"/>
      <c r="H3612" s="763"/>
      <c r="I3612" s="763"/>
      <c r="J3612" s="764"/>
      <c r="K3612" s="713"/>
    </row>
    <row r="3613" spans="1:11">
      <c r="A3613" s="675"/>
      <c r="B3613" s="765"/>
      <c r="C3613" s="686"/>
      <c r="D3613" s="686"/>
      <c r="E3613" s="686"/>
      <c r="F3613" s="686"/>
      <c r="G3613" s="686"/>
      <c r="H3613" s="686"/>
      <c r="I3613" s="686"/>
      <c r="J3613" s="766"/>
      <c r="K3613" s="677"/>
    </row>
    <row r="3614" spans="1:11">
      <c r="A3614" s="675"/>
      <c r="B3614" s="765"/>
      <c r="C3614" s="686"/>
      <c r="D3614" s="686"/>
      <c r="E3614" s="686"/>
      <c r="F3614" s="686"/>
      <c r="G3614" s="686"/>
      <c r="H3614" s="686"/>
      <c r="I3614" s="686"/>
      <c r="J3614" s="766"/>
      <c r="K3614" s="677"/>
    </row>
    <row r="3615" spans="1:11">
      <c r="A3615" s="675"/>
      <c r="B3615" s="765"/>
      <c r="C3615" s="686"/>
      <c r="D3615" s="686"/>
      <c r="E3615" s="686"/>
      <c r="F3615" s="686"/>
      <c r="G3615" s="686"/>
      <c r="H3615" s="686"/>
      <c r="I3615" s="686"/>
      <c r="J3615" s="766"/>
      <c r="K3615" s="677"/>
    </row>
    <row r="3616" spans="1:11">
      <c r="A3616" s="675"/>
      <c r="B3616" s="765"/>
      <c r="C3616" s="686"/>
      <c r="D3616" s="686"/>
      <c r="E3616" s="686"/>
      <c r="F3616" s="686"/>
      <c r="G3616" s="686"/>
      <c r="H3616" s="686"/>
      <c r="I3616" s="686"/>
      <c r="J3616" s="766"/>
      <c r="K3616" s="677"/>
    </row>
    <row r="3617" spans="1:11">
      <c r="A3617" s="675"/>
      <c r="B3617" s="765"/>
      <c r="C3617" s="686"/>
      <c r="D3617" s="686"/>
      <c r="E3617" s="686"/>
      <c r="F3617" s="686"/>
      <c r="G3617" s="686"/>
      <c r="H3617" s="686"/>
      <c r="I3617" s="686"/>
      <c r="J3617" s="766"/>
      <c r="K3617" s="677"/>
    </row>
    <row r="3618" spans="1:11">
      <c r="A3618" s="675"/>
      <c r="B3618" s="765"/>
      <c r="C3618" s="686"/>
      <c r="D3618" s="686"/>
      <c r="E3618" s="686"/>
      <c r="F3618" s="686"/>
      <c r="G3618" s="686"/>
      <c r="H3618" s="686"/>
      <c r="I3618" s="686"/>
      <c r="J3618" s="766"/>
      <c r="K3618" s="677"/>
    </row>
    <row r="3619" spans="1:11">
      <c r="A3619" s="675"/>
      <c r="B3619" s="765"/>
      <c r="C3619" s="686"/>
      <c r="D3619" s="686"/>
      <c r="E3619" s="686"/>
      <c r="F3619" s="686"/>
      <c r="G3619" s="686"/>
      <c r="H3619" s="686"/>
      <c r="I3619" s="686"/>
      <c r="J3619" s="766"/>
      <c r="K3619" s="677"/>
    </row>
    <row r="3620" spans="1:11">
      <c r="A3620" s="675"/>
      <c r="B3620" s="765"/>
      <c r="C3620" s="686"/>
      <c r="D3620" s="686"/>
      <c r="E3620" s="686"/>
      <c r="F3620" s="686"/>
      <c r="G3620" s="686"/>
      <c r="H3620" s="686"/>
      <c r="I3620" s="686"/>
      <c r="J3620" s="766"/>
      <c r="K3620" s="677"/>
    </row>
    <row r="3621" spans="1:11">
      <c r="A3621" s="675"/>
      <c r="B3621" s="765"/>
      <c r="C3621" s="686"/>
      <c r="D3621" s="686"/>
      <c r="E3621" s="686"/>
      <c r="F3621" s="686"/>
      <c r="G3621" s="686"/>
      <c r="H3621" s="686"/>
      <c r="I3621" s="686"/>
      <c r="J3621" s="766"/>
      <c r="K3621" s="677"/>
    </row>
    <row r="3622" spans="1:11">
      <c r="A3622" s="675"/>
      <c r="B3622" s="767"/>
      <c r="C3622" s="768"/>
      <c r="D3622" s="768"/>
      <c r="E3622" s="768"/>
      <c r="F3622" s="768"/>
      <c r="G3622" s="768"/>
      <c r="H3622" s="768"/>
      <c r="I3622" s="768"/>
      <c r="J3622" s="769"/>
      <c r="K3622" s="677"/>
    </row>
    <row r="3623" ht="5.1" customHeight="1" spans="1:11">
      <c r="A3623" s="675"/>
      <c r="B3623" s="686"/>
      <c r="C3623" s="686"/>
      <c r="D3623" s="686"/>
      <c r="E3623" s="686"/>
      <c r="F3623" s="686"/>
      <c r="G3623" s="686"/>
      <c r="H3623" s="686"/>
      <c r="I3623" s="686"/>
      <c r="J3623" s="686"/>
      <c r="K3623" s="677"/>
    </row>
    <row r="3624" spans="1:11">
      <c r="A3624" s="675"/>
      <c r="B3624" s="770" t="s">
        <v>432</v>
      </c>
      <c r="C3624" s="770"/>
      <c r="D3624" s="770"/>
      <c r="E3624" s="770"/>
      <c r="F3624" s="770"/>
      <c r="G3624" s="770"/>
      <c r="H3624" s="770"/>
      <c r="I3624" s="770"/>
      <c r="J3624" s="770"/>
      <c r="K3624" s="677"/>
    </row>
    <row r="3625" spans="1:11">
      <c r="A3625" s="675"/>
      <c r="B3625" s="771"/>
      <c r="C3625" s="771"/>
      <c r="D3625" s="771"/>
      <c r="E3625" s="771"/>
      <c r="F3625" s="771"/>
      <c r="G3625" s="771"/>
      <c r="H3625" s="771"/>
      <c r="I3625" s="771"/>
      <c r="J3625" s="771"/>
      <c r="K3625" s="677"/>
    </row>
    <row r="3626" spans="1:11">
      <c r="A3626" s="675"/>
      <c r="B3626" s="771"/>
      <c r="C3626" s="771"/>
      <c r="D3626" s="771"/>
      <c r="E3626" s="771"/>
      <c r="F3626" s="771"/>
      <c r="G3626" s="771"/>
      <c r="H3626" s="771"/>
      <c r="I3626" s="771"/>
      <c r="J3626" s="771"/>
      <c r="K3626" s="677"/>
    </row>
    <row r="3627" spans="1:11">
      <c r="A3627" s="675"/>
      <c r="B3627" s="771"/>
      <c r="C3627" s="771"/>
      <c r="D3627" s="771"/>
      <c r="E3627" s="771"/>
      <c r="F3627" s="771"/>
      <c r="G3627" s="771"/>
      <c r="H3627" s="771"/>
      <c r="I3627" s="771"/>
      <c r="J3627" s="771"/>
      <c r="K3627" s="677"/>
    </row>
    <row r="3628" spans="1:11">
      <c r="A3628" s="675"/>
      <c r="B3628" s="686"/>
      <c r="C3628" s="686"/>
      <c r="D3628" s="686"/>
      <c r="E3628" s="686"/>
      <c r="F3628" s="686"/>
      <c r="G3628" s="686"/>
      <c r="H3628" s="686"/>
      <c r="I3628" s="686"/>
      <c r="J3628" s="686"/>
      <c r="K3628" s="677"/>
    </row>
    <row r="3629" spans="1:11">
      <c r="A3629" s="675"/>
      <c r="B3629" s="686"/>
      <c r="C3629" s="729" t="s">
        <v>433</v>
      </c>
      <c r="D3629" s="729"/>
      <c r="E3629" s="686"/>
      <c r="F3629" s="686"/>
      <c r="G3629" s="729" t="s">
        <v>434</v>
      </c>
      <c r="H3629" s="729"/>
      <c r="I3629" s="729"/>
      <c r="J3629" s="729"/>
      <c r="K3629" s="677"/>
    </row>
    <row r="3630" ht="16.35" spans="1:11">
      <c r="A3630" s="725"/>
      <c r="B3630" s="726"/>
      <c r="C3630" s="732" t="str">
        <f>"("&amp;PROPER(ENTRY!$D$19)&amp;")"</f>
        <v>(Indrajeet)</v>
      </c>
      <c r="D3630" s="732"/>
      <c r="E3630" s="726"/>
      <c r="F3630" s="726"/>
      <c r="G3630" s="732" t="str">
        <f>"("&amp;PROPER(ENTRY!$D$12)&amp;")"</f>
        <v>(Shambhu Dayal Meena)</v>
      </c>
      <c r="H3630" s="732"/>
      <c r="I3630" s="732"/>
      <c r="J3630" s="732"/>
      <c r="K3630" s="728"/>
    </row>
    <row r="3631" ht="24.6" spans="1:11">
      <c r="B3631" s="734"/>
      <c r="C3631" s="734"/>
      <c r="D3631" s="669" t="str">
        <f>ENTRY!$D$3</f>
        <v>MUNICIPAL CORPORATION OF DELHI</v>
      </c>
      <c r="E3631" s="669"/>
      <c r="F3631" s="669"/>
      <c r="G3631" s="669"/>
      <c r="H3631" s="734"/>
      <c r="I3631" s="669"/>
      <c r="J3631" s="669"/>
    </row>
    <row r="3632" ht="20.4" spans="1:11">
      <c r="B3632" s="735"/>
      <c r="C3632" s="735"/>
      <c r="D3632" s="670" t="str">
        <f>ENTRY!$D$4</f>
        <v>EDUCATION DEPARTMENT</v>
      </c>
      <c r="E3632" s="670"/>
      <c r="F3632" s="670"/>
      <c r="G3632" s="670"/>
      <c r="H3632" s="735"/>
      <c r="I3632" s="669"/>
      <c r="J3632" s="669"/>
    </row>
    <row r="3633" ht="22.8" spans="1:11">
      <c r="B3633" s="736"/>
      <c r="C3633" s="736"/>
      <c r="D3633" s="664" t="s">
        <v>417</v>
      </c>
      <c r="E3633" s="664"/>
      <c r="F3633" s="664"/>
      <c r="G3633" s="664"/>
      <c r="H3633" s="736"/>
      <c r="I3633" s="669"/>
      <c r="J3633" s="669"/>
    </row>
    <row r="3634" ht="22.8" spans="1:11">
      <c r="B3634" s="736"/>
      <c r="C3634" s="736"/>
      <c r="D3634" s="664" t="s">
        <v>418</v>
      </c>
      <c r="E3634" s="664"/>
      <c r="F3634" s="664"/>
      <c r="G3634" s="664"/>
      <c r="H3634" s="736"/>
      <c r="I3634" s="669"/>
      <c r="J3634" s="669"/>
    </row>
    <row r="3635" ht="24.95" customHeight="1" spans="1:11">
      <c r="B3635" s="735"/>
      <c r="C3635" s="735"/>
      <c r="D3635" s="737" t="str">
        <f>"SESSION : "&amp;ENTRY!$D$11</f>
        <v>SESSION : 2026-27</v>
      </c>
      <c r="E3635" s="737"/>
      <c r="F3635" s="737"/>
      <c r="G3635" s="737"/>
      <c r="H3635" s="735"/>
      <c r="I3635" s="738"/>
      <c r="J3635" s="738"/>
    </row>
    <row r="3636" ht="3.75" customHeight="1" spans="1:11">
      <c r="A3636" s="672"/>
      <c r="B3636" s="739"/>
      <c r="C3636" s="739"/>
      <c r="D3636" s="739"/>
      <c r="E3636" s="739"/>
      <c r="F3636" s="739"/>
      <c r="G3636" s="739"/>
      <c r="H3636" s="739"/>
      <c r="I3636" s="739"/>
      <c r="J3636" s="739"/>
      <c r="K3636" s="674"/>
    </row>
    <row r="3637" ht="21.95" customHeight="1" spans="1:11">
      <c r="A3637" s="675"/>
      <c r="B3637" s="676" t="s">
        <v>419</v>
      </c>
      <c r="C3637" s="676"/>
      <c r="D3637" s="676" t="str">
        <f>ENTRY!$D$6</f>
        <v>MCP NITHARI NO 1 BOYS</v>
      </c>
      <c r="E3637" s="676"/>
      <c r="F3637" s="676"/>
      <c r="G3637" s="676"/>
      <c r="H3637" s="676"/>
      <c r="I3637" s="676"/>
      <c r="J3637" s="676"/>
      <c r="K3637" s="677"/>
    </row>
    <row r="3638" ht="21.95" customHeight="1" spans="1:11">
      <c r="A3638" s="675"/>
      <c r="B3638" s="676" t="s">
        <v>420</v>
      </c>
      <c r="C3638" s="676"/>
      <c r="D3638" s="740">
        <f>IFERROR(VLOOKUP($I$3641,STUDENT!$A$2:$BP$101,5,0),"")</f>
        <v>0</v>
      </c>
      <c r="E3638" s="740"/>
      <c r="F3638" s="740"/>
      <c r="G3638" s="740"/>
      <c r="H3638" s="740"/>
      <c r="I3638" s="740"/>
      <c r="J3638" s="740"/>
      <c r="K3638" s="677"/>
    </row>
    <row r="3639" ht="21.95" customHeight="1" spans="1:11">
      <c r="A3639" s="675"/>
      <c r="B3639" s="676" t="s">
        <v>421</v>
      </c>
      <c r="C3639" s="676"/>
      <c r="D3639" s="740">
        <f>IFERROR(VLOOKUP($I$3641,STUDENT!$A$2:$BP$101,8,0),"")</f>
        <v>0</v>
      </c>
      <c r="E3639" s="740"/>
      <c r="F3639" s="740"/>
      <c r="G3639" s="740"/>
      <c r="H3639" s="740"/>
      <c r="I3639" s="740"/>
      <c r="J3639" s="740"/>
      <c r="K3639" s="677"/>
    </row>
    <row r="3640" ht="21.95" customHeight="1" spans="1:11">
      <c r="A3640" s="675"/>
      <c r="B3640" s="676" t="s">
        <v>422</v>
      </c>
      <c r="C3640" s="676"/>
      <c r="D3640" s="740">
        <f>IFERROR(VLOOKUP($I$3641,STUDENT!$A$2:$BP$101,6,0),"")</f>
        <v>0</v>
      </c>
      <c r="E3640" s="740"/>
      <c r="F3640" s="740"/>
      <c r="G3640" s="740"/>
      <c r="H3640" s="740"/>
      <c r="I3640" s="740"/>
      <c r="J3640" s="740"/>
      <c r="K3640" s="677"/>
    </row>
    <row r="3641" ht="21.95" customHeight="1" spans="1:11">
      <c r="A3641" s="675"/>
      <c r="B3641" s="676" t="s">
        <v>423</v>
      </c>
      <c r="C3641" s="676"/>
      <c r="D3641" s="741" t="str">
        <f>IFERROR(VLOOKUP($I$3641,STUDENT!$A$2:$BP$101,59,0),"")</f>
        <v/>
      </c>
      <c r="E3641" s="742" t="s">
        <v>424</v>
      </c>
      <c r="F3641" s="704" t="str">
        <f>IFERROR(VLOOKUP($I$3641,STUDENT!$A$2:$BP$101,2,0),"")</f>
        <v>III-A</v>
      </c>
      <c r="G3641" s="742" t="s">
        <v>425</v>
      </c>
      <c r="H3641" s="743"/>
      <c r="I3641" s="733">
        <f>I3586+1</f>
        <v>67</v>
      </c>
      <c r="J3641" s="683"/>
      <c r="K3641" s="677"/>
    </row>
    <row r="3642" ht="5.1" customHeight="1" spans="1:11">
      <c r="A3642" s="675"/>
      <c r="B3642" s="745"/>
      <c r="C3642" s="745"/>
      <c r="D3642" s="746"/>
      <c r="E3642" s="747"/>
      <c r="F3642" s="748"/>
      <c r="G3642" s="747"/>
      <c r="H3642" s="686"/>
      <c r="I3642" s="686"/>
      <c r="J3642" s="686"/>
      <c r="K3642" s="677"/>
    </row>
    <row r="3643" s="664" customFormat="1" ht="32.1" customHeight="1" spans="1:11">
      <c r="A3643" s="688"/>
      <c r="B3643" s="749" t="s">
        <v>426</v>
      </c>
      <c r="C3643" s="750"/>
      <c r="D3643" s="750"/>
      <c r="E3643" s="750"/>
      <c r="F3643" s="750"/>
      <c r="G3643" s="750"/>
      <c r="H3643" s="750"/>
      <c r="I3643" s="750"/>
      <c r="J3643" s="751"/>
      <c r="K3643" s="690"/>
    </row>
    <row r="3644" ht="51.6" spans="1:11">
      <c r="A3644" s="675"/>
      <c r="B3644" s="752">
        <v>21</v>
      </c>
      <c r="C3644" s="753" t="s">
        <v>427</v>
      </c>
      <c r="D3644" s="754" t="s">
        <v>428</v>
      </c>
      <c r="E3644" s="754" t="s">
        <v>429</v>
      </c>
      <c r="F3644" s="754" t="s">
        <v>430</v>
      </c>
      <c r="G3644" s="753" t="s">
        <v>390</v>
      </c>
      <c r="H3644" s="714"/>
      <c r="I3644" s="714"/>
      <c r="J3644" s="714"/>
      <c r="K3644" s="677"/>
    </row>
    <row r="3645" ht="20.1" customHeight="1" spans="1:11">
      <c r="A3645" s="675"/>
      <c r="B3645" s="755">
        <v>1</v>
      </c>
      <c r="C3645" s="755" t="str">
        <f>IFERROR(VLOOKUP(B3645,DATEWISE!$A$3:$BY$27,2,0),0)</f>
        <v>30.04.2026</v>
      </c>
      <c r="D3645" s="755">
        <f>IF($C$3645=0,NA(),VLOOKUP($I$3641&amp;$B$3645,FLNFIX!$L$4:$EF$103,2,0))</f>
        <v>0</v>
      </c>
      <c r="E3645" s="755">
        <f>IF($C$3645=0,NA(),VLOOKUP($I$3641&amp;$B$3645,FLNFIX!$L$4:$EF$103,4,0))</f>
        <v>0</v>
      </c>
      <c r="F3645" s="755">
        <f>IF($C$3645=0,NA(),VLOOKUP($I$3641&amp;$B$3645,FLNFIX!$L$4:$EF$103,3,0))</f>
        <v>0</v>
      </c>
      <c r="G3645" s="756">
        <f>IF($C$3645=0,NA(),VLOOKUP($I$3641&amp;$B$3645,FLNFIX!$L$4:$EF$103,5,0))</f>
        <v>0</v>
      </c>
      <c r="H3645" s="757"/>
      <c r="I3645" s="757"/>
      <c r="J3645" s="758"/>
      <c r="K3645" s="677"/>
    </row>
    <row r="3646" ht="20.1" customHeight="1" spans="1:11">
      <c r="A3646" s="675"/>
      <c r="B3646" s="755">
        <f t="shared" ref="B3646:B3665" si="66">IF(B3645=0,0,IF(B3645&lt;$B$3644,B3645+1,""))</f>
        <v>2</v>
      </c>
      <c r="C3646" s="755" t="str">
        <f>IFERROR(VLOOKUP(B3646,DATEWISE!$A$3:$BY$27,2,0),0)</f>
        <v>08.05.2026</v>
      </c>
      <c r="D3646" s="755">
        <f>IF($C$3646=0,NA(),VLOOKUP($I$3641&amp;$B$3646,FLNFIX!$Q$4:$EF$103,2,0))</f>
        <v>0</v>
      </c>
      <c r="E3646" s="755">
        <f>IF($C$3646=0,NA(),VLOOKUP($I$3641&amp;$B$3646,FLNFIX!$Q$4:$EF$103,4,0))</f>
        <v>0</v>
      </c>
      <c r="F3646" s="755">
        <f>IF($C$3646=0,NA(),VLOOKUP($I$3641&amp;$B$3646,FLNFIX!$Q$4:$EF$103,3,0))</f>
        <v>0</v>
      </c>
      <c r="G3646" s="756">
        <f>IF($C$3646=0,NA(),VLOOKUP($I$3641&amp;$B$3646,FLNFIX!$Q$4:$EF$103,5,0))</f>
        <v>0</v>
      </c>
      <c r="H3646" s="757"/>
      <c r="I3646" s="757"/>
      <c r="J3646" s="758"/>
      <c r="K3646" s="677"/>
    </row>
    <row r="3647" ht="20.1" customHeight="1" spans="1:11">
      <c r="A3647" s="675"/>
      <c r="B3647" s="755">
        <f t="shared" si="66"/>
        <v>3</v>
      </c>
      <c r="C3647" s="755" t="str">
        <f>IFERROR(VLOOKUP(B3647,DATEWISE!$A$3:$BY$27,2,0),0)</f>
        <v>15.07.2026</v>
      </c>
      <c r="D3647" s="755">
        <f>IF($C$3647=0,NA(),VLOOKUP($I$3641&amp;$B$3647,FLNFIX!$V$4:$EF$103,2,0))</f>
        <v>0</v>
      </c>
      <c r="E3647" s="755">
        <f>IF($C$3647=0,NA(),VLOOKUP($I$3641&amp;$B$3647,FLNFIX!$V$4:$EF$103,4,0))</f>
        <v>0</v>
      </c>
      <c r="F3647" s="755">
        <f>IF($C$3647=0,NA(),VLOOKUP($I$3641&amp;$B$3647,FLNFIX!$V$4:$EF$103,3,0))</f>
        <v>0</v>
      </c>
      <c r="G3647" s="756">
        <f>IF($C$3647=0,NA(),VLOOKUP($I$3641&amp;$B$3647,FLNFIX!$V$4:$EF$103,5,0))</f>
        <v>0</v>
      </c>
      <c r="H3647" s="757"/>
      <c r="I3647" s="757"/>
      <c r="J3647" s="758"/>
      <c r="K3647" s="677"/>
    </row>
    <row r="3648" ht="20.1" customHeight="1" spans="1:11">
      <c r="A3648" s="675"/>
      <c r="B3648" s="755">
        <f t="shared" si="66"/>
        <v>4</v>
      </c>
      <c r="C3648" s="755" t="str">
        <f>IFERROR(VLOOKUP(B3648,DATEWISE!$A$3:$BY$27,2,0),0)</f>
        <v>31.07.2026</v>
      </c>
      <c r="D3648" s="755">
        <f>IF($C$3648=0,NA(),VLOOKUP($I$3641&amp;$B$3648,FLNFIX!$AA$4:$EF$103,2,0))</f>
        <v>0</v>
      </c>
      <c r="E3648" s="755">
        <f>IF($C$3648=0,NA(),VLOOKUP($I$3641&amp;$B$3648,FLNFIX!$AA$4:$EF$103,4,0))</f>
        <v>0</v>
      </c>
      <c r="F3648" s="755">
        <f>IF($C$3648=0,NA(),VLOOKUP($I$3641&amp;$B$3648,FLNFIX!$AA$4:$EF$103,3,0))</f>
        <v>0</v>
      </c>
      <c r="G3648" s="756">
        <f>IF($C$3648=0,NA(),VLOOKUP($I$3641&amp;$B$3648,FLNFIX!$AA$4:$EF$103,5,0))</f>
        <v>0</v>
      </c>
      <c r="H3648" s="757"/>
      <c r="I3648" s="757"/>
      <c r="J3648" s="758"/>
      <c r="K3648" s="677"/>
    </row>
    <row r="3649" ht="20.1" customHeight="1" spans="1:11">
      <c r="A3649" s="675"/>
      <c r="B3649" s="755">
        <f t="shared" si="66"/>
        <v>5</v>
      </c>
      <c r="C3649" s="755" t="str">
        <f>IFERROR(VLOOKUP(B3649,DATEWISE!$A$3:$BY$27,2,0),0)</f>
        <v>17.08.2026</v>
      </c>
      <c r="D3649" s="755">
        <f>IF($C$3649=0,NA(),VLOOKUP($I$3641&amp;$B$3649,FLNFIX!$AF$4:$EF$103,2,0))</f>
        <v>0</v>
      </c>
      <c r="E3649" s="755">
        <f>IF($C$3649=0,NA(),VLOOKUP($I$3641&amp;$B$3649,FLNFIX!$AF$4:$EF$103,4,0))</f>
        <v>0</v>
      </c>
      <c r="F3649" s="755">
        <f>IF($C$3649=0,NA(),VLOOKUP($I$3641&amp;$B$3649,FLNFIX!$AF$4:$EF$103,3,0))</f>
        <v>0</v>
      </c>
      <c r="G3649" s="756">
        <f>IF($C$3649=0,NA(),VLOOKUP($I$3641&amp;$B$3649,FLNFIX!$AF$4:$EF$103,5,0))</f>
        <v>0</v>
      </c>
      <c r="H3649" s="757"/>
      <c r="I3649" s="757"/>
      <c r="J3649" s="758"/>
      <c r="K3649" s="677"/>
    </row>
    <row r="3650" ht="20.1" customHeight="1" spans="1:11">
      <c r="A3650" s="675"/>
      <c r="B3650" s="755">
        <f t="shared" si="66"/>
        <v>6</v>
      </c>
      <c r="C3650" s="755" t="str">
        <f>IFERROR(VLOOKUP(B3650,DATEWISE!$A$3:$BY$27,2,0),0)</f>
        <v>31.08.2026</v>
      </c>
      <c r="D3650" s="755">
        <f>IF($C$3650=0,NA(),VLOOKUP($I$3641&amp;$B$3650,FLNFIX!$AK$4:$EF$103,2,0))</f>
        <v>0</v>
      </c>
      <c r="E3650" s="755">
        <f>IF($C$3650=0,NA(),VLOOKUP($I$3641&amp;$B$3650,FLNFIX!$AK$4:$EF$103,4,0))</f>
        <v>0</v>
      </c>
      <c r="F3650" s="755">
        <f>IF($C$3650=0,NA(),VLOOKUP($I$3641&amp;$B$3650,FLNFIX!$AK$4:$EF$103,3,0))</f>
        <v>0</v>
      </c>
      <c r="G3650" s="756">
        <f>IF($C$3650=0,NA(),VLOOKUP($I$3641&amp;$B$3650,FLNFIX!$AK$4:$EF$103,5,0))</f>
        <v>0</v>
      </c>
      <c r="H3650" s="757"/>
      <c r="I3650" s="757"/>
      <c r="J3650" s="758"/>
      <c r="K3650" s="677"/>
    </row>
    <row r="3651" ht="20.1" customHeight="1" spans="1:11">
      <c r="A3651" s="675"/>
      <c r="B3651" s="755">
        <f t="shared" si="66"/>
        <v>7</v>
      </c>
      <c r="C3651" s="755">
        <f>IFERROR(VLOOKUP(B3651,DATEWISE!$A$3:$BY$27,2,0),0)</f>
        <v>0</v>
      </c>
      <c r="D3651" s="755" t="e">
        <f>IF($C$3651=0,NA(),VLOOKUP($I$3641&amp;$B$3651,FLNFIX!$AP$4:$EF$103,2,0))</f>
        <v>#N/A</v>
      </c>
      <c r="E3651" s="755" t="e">
        <f>IF($C$3651=0,NA(),VLOOKUP($I$3641&amp;$B$3651,FLNFIX!$AP$4:$EF$103,4,0))</f>
        <v>#N/A</v>
      </c>
      <c r="F3651" s="755" t="e">
        <f>IF($C$3651=0,NA(),VLOOKUP($I$3641&amp;$B$3651,FLNFIX!$AP$4:$EF$103,3,0))</f>
        <v>#N/A</v>
      </c>
      <c r="G3651" s="756" t="e">
        <f>IF($C$3651=0,NA(),VLOOKUP($I$3641&amp;$B$3651,FLNFIX!$AP$4:$EF$103,5,0))</f>
        <v>#N/A</v>
      </c>
      <c r="H3651" s="757"/>
      <c r="I3651" s="757"/>
      <c r="J3651" s="758"/>
      <c r="K3651" s="677"/>
    </row>
    <row r="3652" ht="20.1" customHeight="1" spans="1:11">
      <c r="A3652" s="675"/>
      <c r="B3652" s="755">
        <f t="shared" si="66"/>
        <v>8</v>
      </c>
      <c r="C3652" s="755">
        <f>IFERROR(VLOOKUP(B3652,DATEWISE!$A$3:$BY$27,2,0),0)</f>
        <v>0</v>
      </c>
      <c r="D3652" s="755" t="e">
        <f>IF($C$3652=0,NA(),VLOOKUP($I$3641&amp;$B$3652,FLNFIX!$AU$4:$EF$103,2,0))</f>
        <v>#N/A</v>
      </c>
      <c r="E3652" s="755" t="e">
        <f>IF($C$3652=0,NA(),VLOOKUP($I$3641&amp;$B$3652,FLNFIX!$AU$4:$EF$103,4,0))</f>
        <v>#N/A</v>
      </c>
      <c r="F3652" s="755" t="e">
        <f>IF($C$3652=0,NA(),VLOOKUP($I$3641&amp;$B$3652,FLNFIX!$AU$4:$EF$103,3,0))</f>
        <v>#N/A</v>
      </c>
      <c r="G3652" s="756" t="e">
        <f>IF($C$3652=0,NA(),VLOOKUP($I$3641&amp;$B$3652,FLNFIX!$AU$4:$EF$103,5,0))</f>
        <v>#N/A</v>
      </c>
      <c r="H3652" s="757"/>
      <c r="I3652" s="757"/>
      <c r="J3652" s="758"/>
      <c r="K3652" s="677"/>
    </row>
    <row r="3653" ht="20.1" customHeight="1" spans="1:11">
      <c r="A3653" s="675"/>
      <c r="B3653" s="755">
        <f t="shared" si="66"/>
        <v>9</v>
      </c>
      <c r="C3653" s="755">
        <f>IFERROR(VLOOKUP(B3653,DATEWISE!$A$3:$BY$27,2,0),0)</f>
        <v>0</v>
      </c>
      <c r="D3653" s="755" t="e">
        <f>IF($C$3653=0,NA(),VLOOKUP($I$3641&amp;$B$3653,FLNFIX!$AZ$4:$EF$103,2,0))</f>
        <v>#N/A</v>
      </c>
      <c r="E3653" s="755" t="e">
        <f>IF($C$3653=0,NA(),VLOOKUP($I$3641&amp;$B$3653,FLNFIX!$AZ$4:$EF$103,4,0))</f>
        <v>#N/A</v>
      </c>
      <c r="F3653" s="755" t="e">
        <f>IF($C$3653=0,NA(),VLOOKUP($I$3641&amp;$B$3653,FLNFIX!$AZ$4:$EF$103,3,0))</f>
        <v>#N/A</v>
      </c>
      <c r="G3653" s="756" t="e">
        <f>IF($C$3653=0,NA(),VLOOKUP($I$3641&amp;$B$3653,FLNFIX!$AZ$4:$EF$103,5,0))</f>
        <v>#N/A</v>
      </c>
      <c r="H3653" s="757"/>
      <c r="I3653" s="757"/>
      <c r="J3653" s="758"/>
      <c r="K3653" s="677"/>
    </row>
    <row r="3654" ht="20.1" customHeight="1" spans="1:11">
      <c r="A3654" s="675"/>
      <c r="B3654" s="755">
        <f t="shared" si="66"/>
        <v>10</v>
      </c>
      <c r="C3654" s="755">
        <f>IFERROR(VLOOKUP(B3654,DATEWISE!$A$3:$BY$27,2,0),0)</f>
        <v>0</v>
      </c>
      <c r="D3654" s="755" t="e">
        <f>IF($C$3654=0,NA(),VLOOKUP($I$3641&amp;$B$3654,FLNFIX!$BE$4:$EF$103,2,0))</f>
        <v>#N/A</v>
      </c>
      <c r="E3654" s="755" t="e">
        <f>IF($C$3654=0,NA(),VLOOKUP($I$3641&amp;$B$3654,FLNFIX!$BE$4:$EF$103,4,0))</f>
        <v>#N/A</v>
      </c>
      <c r="F3654" s="755" t="e">
        <f>IF($C$3654=0,NA(),VLOOKUP($I$3641&amp;$B$3654,FLNFIX!$BE$4:$EF$103,3,0))</f>
        <v>#N/A</v>
      </c>
      <c r="G3654" s="756" t="e">
        <f>IF($C$3654=0,NA(),VLOOKUP($I$3641&amp;$B$3654,FLNFIX!$BE$4:$EF$103,5,0))</f>
        <v>#N/A</v>
      </c>
      <c r="H3654" s="757"/>
      <c r="I3654" s="757"/>
      <c r="J3654" s="758"/>
      <c r="K3654" s="677"/>
    </row>
    <row r="3655" ht="20.1" customHeight="1" spans="1:11">
      <c r="A3655" s="675"/>
      <c r="B3655" s="755">
        <f t="shared" si="66"/>
        <v>11</v>
      </c>
      <c r="C3655" s="755">
        <f>IFERROR(VLOOKUP(B3655,DATEWISE!$A$3:$BY$27,2,0),0)</f>
        <v>0</v>
      </c>
      <c r="D3655" s="755" t="e">
        <f>IF($C$3655=0,NA(),VLOOKUP($I$3641&amp;$B$3655,FLNFIX!$BJ$4:$EF$103,2,0))</f>
        <v>#N/A</v>
      </c>
      <c r="E3655" s="755" t="e">
        <f>IF($C$3655=0,NA(),VLOOKUP($I$3641&amp;$B$3655,FLNFIX!$BJ$4:$EF$103,4,0))</f>
        <v>#N/A</v>
      </c>
      <c r="F3655" s="755" t="e">
        <f>IF($C$3655=0,NA(),VLOOKUP($I$3641&amp;$B$3655,FLNFIX!$BJ$4:$EF$103,3,0))</f>
        <v>#N/A</v>
      </c>
      <c r="G3655" s="756" t="e">
        <f>IF($C$3655=0,NA(),VLOOKUP($I$3641&amp;$B$3655,FLNFIX!$BJ$4:$EF$103,5,0))</f>
        <v>#N/A</v>
      </c>
      <c r="H3655" s="757"/>
      <c r="I3655" s="757"/>
      <c r="J3655" s="758"/>
      <c r="K3655" s="677"/>
    </row>
    <row r="3656" ht="20.1" customHeight="1" spans="1:11">
      <c r="A3656" s="675"/>
      <c r="B3656" s="755">
        <f t="shared" si="66"/>
        <v>12</v>
      </c>
      <c r="C3656" s="755">
        <f>IFERROR(VLOOKUP(B3656,DATEWISE!$A$3:$BY$27,2,0),0)</f>
        <v>0</v>
      </c>
      <c r="D3656" s="755" t="e">
        <f>IF($C$3656=0,NA(),VLOOKUP($I$3641&amp;$B$3656,FLNFIX!$BO$4:$EF$103,2,0))</f>
        <v>#N/A</v>
      </c>
      <c r="E3656" s="755" t="e">
        <f>IF($C$3656=0,NA(),VLOOKUP($I$3641&amp;$B$3656,FLNFIX!$BO$4:$EF$103,4,0))</f>
        <v>#N/A</v>
      </c>
      <c r="F3656" s="755" t="e">
        <f>IF($C$3656=0,NA(),VLOOKUP($I$3641&amp;$B$3656,FLNFIX!$BO$4:$EF$103,3,0))</f>
        <v>#N/A</v>
      </c>
      <c r="G3656" s="756" t="e">
        <f>IF($C$3656=0,NA(),VLOOKUP($I$3641&amp;$B$3656,FLNFIX!$BO$4:$EF$103,5,0))</f>
        <v>#N/A</v>
      </c>
      <c r="H3656" s="757"/>
      <c r="I3656" s="757"/>
      <c r="J3656" s="758"/>
      <c r="K3656" s="677"/>
    </row>
    <row r="3657" ht="20.1" customHeight="1" spans="1:11">
      <c r="A3657" s="675"/>
      <c r="B3657" s="755">
        <f t="shared" si="66"/>
        <v>13</v>
      </c>
      <c r="C3657" s="755">
        <f>IFERROR(VLOOKUP(B3657,DATEWISE!$A$3:$BY$27,2,0),0)</f>
        <v>0</v>
      </c>
      <c r="D3657" s="755" t="e">
        <f>IF($C$3657=0,NA(),VLOOKUP($I$3641&amp;$B$3657,FLNFIX!$BT$4:$EF$103,2,0))</f>
        <v>#N/A</v>
      </c>
      <c r="E3657" s="755" t="e">
        <f>IF($C$3657=0,NA(),VLOOKUP($I$3641&amp;$B$3657,FLNFIX!$BT$4:$EF$103,4,0))</f>
        <v>#N/A</v>
      </c>
      <c r="F3657" s="755" t="e">
        <f>IF($C$3657=0,NA(),VLOOKUP($I$3641&amp;$B$3657,FLNFIX!$BT$4:$EF$103,3,0))</f>
        <v>#N/A</v>
      </c>
      <c r="G3657" s="756" t="e">
        <f>IF($C$3657=0,NA(),VLOOKUP($I$3641&amp;$B$3657,FLNFIX!$BT$4:$EF$103,5,0))</f>
        <v>#N/A</v>
      </c>
      <c r="H3657" s="757"/>
      <c r="I3657" s="757"/>
      <c r="J3657" s="758"/>
      <c r="K3657" s="677"/>
    </row>
    <row r="3658" ht="20.1" customHeight="1" spans="1:11">
      <c r="A3658" s="675"/>
      <c r="B3658" s="755">
        <f t="shared" si="66"/>
        <v>14</v>
      </c>
      <c r="C3658" s="755">
        <f>IFERROR(VLOOKUP(B3658,DATEWISE!$A$3:$BY$27,2,0),0)</f>
        <v>0</v>
      </c>
      <c r="D3658" s="755" t="e">
        <f>IF($C$3658=0,NA(),VLOOKUP($I$3641&amp;$B$3658,FLNFIX!$BY$4:$EF$103,2,0))</f>
        <v>#N/A</v>
      </c>
      <c r="E3658" s="755" t="e">
        <f>IF($C$3658=0,NA(),VLOOKUP($I$3641&amp;$B$3658,FLNFIX!$BY$4:$EF$103,4,0))</f>
        <v>#N/A</v>
      </c>
      <c r="F3658" s="755" t="e">
        <f>IF($C$3658=0,NA(),VLOOKUP($I$3641&amp;$B$3658,FLNFIX!$BY$4:$EF$103,3,0))</f>
        <v>#N/A</v>
      </c>
      <c r="G3658" s="756" t="e">
        <f>IF($C$3658=0,NA(),VLOOKUP($I$3641&amp;$B$3658,FLNFIX!$BY$4:$EF$103,5,0))</f>
        <v>#N/A</v>
      </c>
      <c r="H3658" s="757"/>
      <c r="I3658" s="757"/>
      <c r="J3658" s="758"/>
      <c r="K3658" s="677"/>
    </row>
    <row r="3659" ht="20.1" customHeight="1" spans="1:11">
      <c r="A3659" s="675"/>
      <c r="B3659" s="755">
        <f t="shared" si="66"/>
        <v>15</v>
      </c>
      <c r="C3659" s="755">
        <f>IFERROR(VLOOKUP(B3659,DATEWISE!$A$3:$BY$27,2,0),0)</f>
        <v>0</v>
      </c>
      <c r="D3659" s="755" t="e">
        <f>IF($C$3659=0,NA(),VLOOKUP($I$3641&amp;$B$3659,FLNFIX!$CD$4:$EF$103,2,0))</f>
        <v>#N/A</v>
      </c>
      <c r="E3659" s="755" t="e">
        <f>IF($C$3659=0,NA(),VLOOKUP($I$3641&amp;$B$3659,FLNFIX!$CD$4:$EF$103,4,0))</f>
        <v>#N/A</v>
      </c>
      <c r="F3659" s="755" t="e">
        <f>IF($C$3659=0,NA(),VLOOKUP($I$3641&amp;$B$3659,FLNFIX!$CD$4:$EF$103,3,0))</f>
        <v>#N/A</v>
      </c>
      <c r="G3659" s="756" t="e">
        <f>IF($C$3659=0,NA(),VLOOKUP($I$3641&amp;$B$3659,FLNFIX!$CD$4:$EF$103,5,0))</f>
        <v>#N/A</v>
      </c>
      <c r="H3659" s="757"/>
      <c r="I3659" s="757"/>
      <c r="J3659" s="758"/>
      <c r="K3659" s="677"/>
    </row>
    <row r="3660" ht="20.1" customHeight="1" spans="1:11">
      <c r="A3660" s="675"/>
      <c r="B3660" s="755">
        <f t="shared" si="66"/>
        <v>16</v>
      </c>
      <c r="C3660" s="755">
        <f>IFERROR(VLOOKUP(B3660,DATEWISE!$A$3:$BY$27,2,0),0)</f>
        <v>0</v>
      </c>
      <c r="D3660" s="755" t="e">
        <f>IF($C$3660=0,NA(),VLOOKUP($I$3641&amp;$B$3660,FLNFIX!$CI$4:$EF$103,2,0))</f>
        <v>#N/A</v>
      </c>
      <c r="E3660" s="755" t="e">
        <f>IF($C$3660=0,NA(),VLOOKUP($I$3641&amp;$B$3660,FLNFIX!$CI$4:$EF$103,4,0))</f>
        <v>#N/A</v>
      </c>
      <c r="F3660" s="755" t="e">
        <f>IF($C$3660=0,NA(),VLOOKUP($I$3641&amp;$B$3660,FLNFIX!$CI$4:$EF$103,3,0))</f>
        <v>#N/A</v>
      </c>
      <c r="G3660" s="756" t="e">
        <f>IF($C$3660=0,NA(),VLOOKUP($I$3641&amp;$B$3660,FLNFIX!$CI$4:$EF$103,5,0))</f>
        <v>#N/A</v>
      </c>
      <c r="H3660" s="757"/>
      <c r="I3660" s="757"/>
      <c r="J3660" s="758"/>
      <c r="K3660" s="677"/>
    </row>
    <row r="3661" ht="20.1" customHeight="1" spans="1:11">
      <c r="A3661" s="675"/>
      <c r="B3661" s="755">
        <f t="shared" si="66"/>
        <v>17</v>
      </c>
      <c r="C3661" s="755">
        <f>IFERROR(VLOOKUP(B3661,DATEWISE!$A$3:$BY$27,2,0),0)</f>
        <v>0</v>
      </c>
      <c r="D3661" s="755" t="e">
        <f>IF($C$3661=0,NA(),VLOOKUP($I$3641&amp;$B$3661,FLNFIX!$CN$4:$EF$103,2,0))</f>
        <v>#N/A</v>
      </c>
      <c r="E3661" s="755" t="e">
        <f>IF($C$3661=0,NA(),VLOOKUP($I$3641&amp;$B$3661,FLNFIX!$CN$4:$EF$103,4,0))</f>
        <v>#N/A</v>
      </c>
      <c r="F3661" s="755" t="e">
        <f>IF($C$3661=0,NA(),VLOOKUP($I$3641&amp;$B$3661,FLNFIX!$CN$4:$EF$103,3,0))</f>
        <v>#N/A</v>
      </c>
      <c r="G3661" s="756" t="e">
        <f>IF($C$3661=0,NA(),VLOOKUP($I$3641&amp;$B$3661,FLNFIX!$CN$4:$EF$103,5,0))</f>
        <v>#N/A</v>
      </c>
      <c r="H3661" s="757"/>
      <c r="I3661" s="757"/>
      <c r="J3661" s="758"/>
      <c r="K3661" s="677"/>
    </row>
    <row r="3662" ht="20.1" customHeight="1" spans="1:11">
      <c r="A3662" s="675"/>
      <c r="B3662" s="755">
        <f t="shared" si="66"/>
        <v>18</v>
      </c>
      <c r="C3662" s="755">
        <f>IFERROR(VLOOKUP(B3662,DATEWISE!$A$3:$BY$27,2,0),0)</f>
        <v>0</v>
      </c>
      <c r="D3662" s="755" t="e">
        <f>IF($C$3662=0,NA(),VLOOKUP($I$3641&amp;$B$3662,FLNFIX!$CS$4:$EF$103,2,0))</f>
        <v>#N/A</v>
      </c>
      <c r="E3662" s="755" t="e">
        <f>IF($C$3662=0,NA(),VLOOKUP($I$3641&amp;$B$3662,FLNFIX!$CS$4:$EF$103,4,0))</f>
        <v>#N/A</v>
      </c>
      <c r="F3662" s="755" t="e">
        <f>IF($C$3662=0,NA(),VLOOKUP($I$3641&amp;$B$3662,FLNFIX!$CS$4:$EF$103,3,0))</f>
        <v>#N/A</v>
      </c>
      <c r="G3662" s="756" t="e">
        <f>IF($C$3662=0,NA(),VLOOKUP($I$3641&amp;$B$3662,FLNFIX!$CS$4:$EF$103,5,0))</f>
        <v>#N/A</v>
      </c>
      <c r="H3662" s="757"/>
      <c r="I3662" s="757"/>
      <c r="J3662" s="758"/>
      <c r="K3662" s="677"/>
    </row>
    <row r="3663" ht="20.1" customHeight="1" spans="1:11">
      <c r="A3663" s="675"/>
      <c r="B3663" s="755">
        <f t="shared" si="66"/>
        <v>19</v>
      </c>
      <c r="C3663" s="755">
        <f>IFERROR(VLOOKUP(B3663,DATEWISE!$A$3:$BY$27,2,0),0)</f>
        <v>0</v>
      </c>
      <c r="D3663" s="755" t="e">
        <f>IF($C$3663=0,NA(),VLOOKUP($I$3641&amp;$B$3663,FLNFIX!$CX$4:$EF$103,2,0))</f>
        <v>#N/A</v>
      </c>
      <c r="E3663" s="755" t="e">
        <f>IF($C$3663=0,NA(),VLOOKUP($I$3641&amp;$B$3663,FLNFIX!$CX$4:$EF$103,4,0))</f>
        <v>#N/A</v>
      </c>
      <c r="F3663" s="755" t="e">
        <f>IF($C$3663=0,NA(),VLOOKUP($I$3641&amp;$B$3663,FLNFIX!$CX$4:$EF$103,3,0))</f>
        <v>#N/A</v>
      </c>
      <c r="G3663" s="756" t="e">
        <f>IF($C$3663=0,NA(),VLOOKUP($I$3641&amp;$B$3663,FLNFIX!$CX$4:$EF$103,5,0))</f>
        <v>#N/A</v>
      </c>
      <c r="H3663" s="757"/>
      <c r="I3663" s="757"/>
      <c r="J3663" s="758"/>
      <c r="K3663" s="677"/>
    </row>
    <row r="3664" ht="20.1" customHeight="1" spans="1:11">
      <c r="A3664" s="675"/>
      <c r="B3664" s="755">
        <f t="shared" si="66"/>
        <v>20</v>
      </c>
      <c r="C3664" s="755">
        <f>IFERROR(VLOOKUP(B3664,DATEWISE!$A$3:$BY$27,2,0),0)</f>
        <v>0</v>
      </c>
      <c r="D3664" s="755" t="e">
        <f>IF($C$3664=0,NA(),VLOOKUP($I$3641&amp;$B$3664,FLNFIX!$DC$4:$EF$103,2,0))</f>
        <v>#N/A</v>
      </c>
      <c r="E3664" s="755" t="e">
        <f>IF($C$3664=0,NA(),VLOOKUP($I$3641&amp;$B$3664,FLNFIX!$DC$4:$EF$103,4,0))</f>
        <v>#N/A</v>
      </c>
      <c r="F3664" s="755" t="e">
        <f>IF($C$3664=0,NA(),VLOOKUP($I$3641&amp;$B$3664,FLNFIX!$DC$4:$EF$103,3,0))</f>
        <v>#N/A</v>
      </c>
      <c r="G3664" s="756" t="e">
        <f>IF($C$3664=0,NA(),VLOOKUP($I$3641&amp;$B$3664,FLNFIX!$DC$4:$EF$103,5,0))</f>
        <v>#N/A</v>
      </c>
      <c r="H3664" s="757"/>
      <c r="I3664" s="757"/>
      <c r="J3664" s="758"/>
      <c r="K3664" s="677"/>
    </row>
    <row r="3665" ht="20.1" customHeight="1" spans="1:11">
      <c r="A3665" s="675"/>
      <c r="B3665" s="755">
        <f t="shared" si="66"/>
        <v>21</v>
      </c>
      <c r="C3665" s="755">
        <f>IFERROR(VLOOKUP(B3665,DATEWISE!$A$3:$BY$27,2,0),0)</f>
        <v>0</v>
      </c>
      <c r="D3665" s="755" t="e">
        <f>IF($C$3665=0,NA(),VLOOKUP($I$3641&amp;$B$3665,FLNFIX!$DH$4:$EF$103,2,0))</f>
        <v>#N/A</v>
      </c>
      <c r="E3665" s="755" t="e">
        <f>IF($C$3665=0,NA(),VLOOKUP($I$3641&amp;$B$3665,FLNFIX!$DH$4:$EF$103,4,0))</f>
        <v>#N/A</v>
      </c>
      <c r="F3665" s="755" t="e">
        <f>IF($C$3665=0,NA(),VLOOKUP($I$3641&amp;$B$3665,FLNFIX!$DH$4:$EF$103,3,0))</f>
        <v>#N/A</v>
      </c>
      <c r="G3665" s="756" t="e">
        <f>IF($C$3665=0,NA(),VLOOKUP($I$3641&amp;$B$3665,FLNFIX!$DH$4:$EF$103,5,0))</f>
        <v>#N/A</v>
      </c>
      <c r="H3665" s="757"/>
      <c r="I3665" s="757"/>
      <c r="J3665" s="758"/>
      <c r="K3665" s="677"/>
    </row>
    <row r="3666" ht="5.1" customHeight="1" spans="1:11">
      <c r="A3666" s="675"/>
      <c r="B3666" s="759"/>
      <c r="C3666" s="759"/>
      <c r="D3666" s="760"/>
      <c r="E3666" s="760"/>
      <c r="F3666" s="760"/>
      <c r="G3666" s="761"/>
      <c r="H3666" s="761"/>
      <c r="I3666" s="761"/>
      <c r="J3666" s="761"/>
      <c r="K3666" s="677"/>
    </row>
    <row r="3667" s="667" customFormat="1" ht="24.95" customHeight="1" spans="1:11">
      <c r="A3667" s="711"/>
      <c r="B3667" s="762" t="s">
        <v>431</v>
      </c>
      <c r="C3667" s="763"/>
      <c r="D3667" s="763"/>
      <c r="E3667" s="763"/>
      <c r="F3667" s="763"/>
      <c r="G3667" s="763"/>
      <c r="H3667" s="763"/>
      <c r="I3667" s="763"/>
      <c r="J3667" s="764"/>
      <c r="K3667" s="713"/>
    </row>
    <row r="3668" spans="1:11">
      <c r="A3668" s="675"/>
      <c r="B3668" s="765"/>
      <c r="C3668" s="686"/>
      <c r="D3668" s="686"/>
      <c r="E3668" s="686"/>
      <c r="F3668" s="686"/>
      <c r="G3668" s="686"/>
      <c r="H3668" s="686"/>
      <c r="I3668" s="686"/>
      <c r="J3668" s="766"/>
      <c r="K3668" s="677"/>
    </row>
    <row r="3669" spans="1:11">
      <c r="A3669" s="675"/>
      <c r="B3669" s="765"/>
      <c r="C3669" s="686"/>
      <c r="D3669" s="686"/>
      <c r="E3669" s="686"/>
      <c r="F3669" s="686"/>
      <c r="G3669" s="686"/>
      <c r="H3669" s="686"/>
      <c r="I3669" s="686"/>
      <c r="J3669" s="766"/>
      <c r="K3669" s="677"/>
    </row>
    <row r="3670" spans="1:11">
      <c r="A3670" s="675"/>
      <c r="B3670" s="765"/>
      <c r="C3670" s="686"/>
      <c r="D3670" s="686"/>
      <c r="E3670" s="686"/>
      <c r="F3670" s="686"/>
      <c r="G3670" s="686"/>
      <c r="H3670" s="686"/>
      <c r="I3670" s="686"/>
      <c r="J3670" s="766"/>
      <c r="K3670" s="677"/>
    </row>
    <row r="3671" spans="1:11">
      <c r="A3671" s="675"/>
      <c r="B3671" s="765"/>
      <c r="C3671" s="686"/>
      <c r="D3671" s="686"/>
      <c r="E3671" s="686"/>
      <c r="F3671" s="686"/>
      <c r="G3671" s="686"/>
      <c r="H3671" s="686"/>
      <c r="I3671" s="686"/>
      <c r="J3671" s="766"/>
      <c r="K3671" s="677"/>
    </row>
    <row r="3672" spans="1:11">
      <c r="A3672" s="675"/>
      <c r="B3672" s="765"/>
      <c r="C3672" s="686"/>
      <c r="D3672" s="686"/>
      <c r="E3672" s="686"/>
      <c r="F3672" s="686"/>
      <c r="G3672" s="686"/>
      <c r="H3672" s="686"/>
      <c r="I3672" s="686"/>
      <c r="J3672" s="766"/>
      <c r="K3672" s="677"/>
    </row>
    <row r="3673" spans="1:11">
      <c r="A3673" s="675"/>
      <c r="B3673" s="765"/>
      <c r="C3673" s="686"/>
      <c r="D3673" s="686"/>
      <c r="E3673" s="686"/>
      <c r="F3673" s="686"/>
      <c r="G3673" s="686"/>
      <c r="H3673" s="686"/>
      <c r="I3673" s="686"/>
      <c r="J3673" s="766"/>
      <c r="K3673" s="677"/>
    </row>
    <row r="3674" spans="1:11">
      <c r="A3674" s="675"/>
      <c r="B3674" s="765"/>
      <c r="C3674" s="686"/>
      <c r="D3674" s="686"/>
      <c r="E3674" s="686"/>
      <c r="F3674" s="686"/>
      <c r="G3674" s="686"/>
      <c r="H3674" s="686"/>
      <c r="I3674" s="686"/>
      <c r="J3674" s="766"/>
      <c r="K3674" s="677"/>
    </row>
    <row r="3675" spans="1:11">
      <c r="A3675" s="675"/>
      <c r="B3675" s="765"/>
      <c r="C3675" s="686"/>
      <c r="D3675" s="686"/>
      <c r="E3675" s="686"/>
      <c r="F3675" s="686"/>
      <c r="G3675" s="686"/>
      <c r="H3675" s="686"/>
      <c r="I3675" s="686"/>
      <c r="J3675" s="766"/>
      <c r="K3675" s="677"/>
    </row>
    <row r="3676" spans="1:11">
      <c r="A3676" s="675"/>
      <c r="B3676" s="765"/>
      <c r="C3676" s="686"/>
      <c r="D3676" s="686"/>
      <c r="E3676" s="686"/>
      <c r="F3676" s="686"/>
      <c r="G3676" s="686"/>
      <c r="H3676" s="686"/>
      <c r="I3676" s="686"/>
      <c r="J3676" s="766"/>
      <c r="K3676" s="677"/>
    </row>
    <row r="3677" spans="1:11">
      <c r="A3677" s="675"/>
      <c r="B3677" s="767"/>
      <c r="C3677" s="768"/>
      <c r="D3677" s="768"/>
      <c r="E3677" s="768"/>
      <c r="F3677" s="768"/>
      <c r="G3677" s="768"/>
      <c r="H3677" s="768"/>
      <c r="I3677" s="768"/>
      <c r="J3677" s="769"/>
      <c r="K3677" s="677"/>
    </row>
    <row r="3678" ht="5.1" customHeight="1" spans="1:11">
      <c r="A3678" s="675"/>
      <c r="B3678" s="686"/>
      <c r="C3678" s="686"/>
      <c r="D3678" s="686"/>
      <c r="E3678" s="686"/>
      <c r="F3678" s="686"/>
      <c r="G3678" s="686"/>
      <c r="H3678" s="686"/>
      <c r="I3678" s="686"/>
      <c r="J3678" s="686"/>
      <c r="K3678" s="677"/>
    </row>
    <row r="3679" spans="1:11">
      <c r="A3679" s="675"/>
      <c r="B3679" s="770" t="s">
        <v>432</v>
      </c>
      <c r="C3679" s="770"/>
      <c r="D3679" s="770"/>
      <c r="E3679" s="770"/>
      <c r="F3679" s="770"/>
      <c r="G3679" s="770"/>
      <c r="H3679" s="770"/>
      <c r="I3679" s="770"/>
      <c r="J3679" s="770"/>
      <c r="K3679" s="677"/>
    </row>
    <row r="3680" spans="1:11">
      <c r="A3680" s="675"/>
      <c r="B3680" s="771"/>
      <c r="C3680" s="771"/>
      <c r="D3680" s="771"/>
      <c r="E3680" s="771"/>
      <c r="F3680" s="771"/>
      <c r="G3680" s="771"/>
      <c r="H3680" s="771"/>
      <c r="I3680" s="771"/>
      <c r="J3680" s="771"/>
      <c r="K3680" s="677"/>
    </row>
    <row r="3681" spans="1:11">
      <c r="A3681" s="675"/>
      <c r="B3681" s="771"/>
      <c r="C3681" s="771"/>
      <c r="D3681" s="771"/>
      <c r="E3681" s="771"/>
      <c r="F3681" s="771"/>
      <c r="G3681" s="771"/>
      <c r="H3681" s="771"/>
      <c r="I3681" s="771"/>
      <c r="J3681" s="771"/>
      <c r="K3681" s="677"/>
    </row>
    <row r="3682" spans="1:11">
      <c r="A3682" s="675"/>
      <c r="B3682" s="771"/>
      <c r="C3682" s="771"/>
      <c r="D3682" s="771"/>
      <c r="E3682" s="771"/>
      <c r="F3682" s="771"/>
      <c r="G3682" s="771"/>
      <c r="H3682" s="771"/>
      <c r="I3682" s="771"/>
      <c r="J3682" s="771"/>
      <c r="K3682" s="677"/>
    </row>
    <row r="3683" spans="1:11">
      <c r="A3683" s="675"/>
      <c r="B3683" s="686"/>
      <c r="C3683" s="686"/>
      <c r="D3683" s="686"/>
      <c r="E3683" s="686"/>
      <c r="F3683" s="686"/>
      <c r="G3683" s="686"/>
      <c r="H3683" s="686"/>
      <c r="I3683" s="686"/>
      <c r="J3683" s="686"/>
      <c r="K3683" s="677"/>
    </row>
    <row r="3684" spans="1:11">
      <c r="A3684" s="675"/>
      <c r="B3684" s="686"/>
      <c r="C3684" s="729" t="s">
        <v>433</v>
      </c>
      <c r="D3684" s="729"/>
      <c r="E3684" s="686"/>
      <c r="F3684" s="686"/>
      <c r="G3684" s="729" t="s">
        <v>434</v>
      </c>
      <c r="H3684" s="729"/>
      <c r="I3684" s="729"/>
      <c r="J3684" s="729"/>
      <c r="K3684" s="677"/>
    </row>
    <row r="3685" ht="16.35" spans="1:11">
      <c r="A3685" s="725"/>
      <c r="B3685" s="726"/>
      <c r="C3685" s="732" t="str">
        <f>"("&amp;PROPER(ENTRY!$D$19)&amp;")"</f>
        <v>(Indrajeet)</v>
      </c>
      <c r="D3685" s="732"/>
      <c r="E3685" s="726"/>
      <c r="F3685" s="726"/>
      <c r="G3685" s="732" t="str">
        <f>"("&amp;PROPER(ENTRY!$D$12)&amp;")"</f>
        <v>(Shambhu Dayal Meena)</v>
      </c>
      <c r="H3685" s="732"/>
      <c r="I3685" s="732"/>
      <c r="J3685" s="732"/>
      <c r="K3685" s="728"/>
    </row>
    <row r="3686" ht="24.6" spans="1:11">
      <c r="B3686" s="734"/>
      <c r="C3686" s="734"/>
      <c r="D3686" s="669" t="str">
        <f>ENTRY!$D$3</f>
        <v>MUNICIPAL CORPORATION OF DELHI</v>
      </c>
      <c r="E3686" s="669"/>
      <c r="F3686" s="669"/>
      <c r="G3686" s="669"/>
      <c r="H3686" s="734"/>
      <c r="I3686" s="669"/>
      <c r="J3686" s="669"/>
    </row>
    <row r="3687" ht="20.4" spans="1:11">
      <c r="B3687" s="735"/>
      <c r="C3687" s="735"/>
      <c r="D3687" s="670" t="str">
        <f>ENTRY!$D$4</f>
        <v>EDUCATION DEPARTMENT</v>
      </c>
      <c r="E3687" s="670"/>
      <c r="F3687" s="670"/>
      <c r="G3687" s="670"/>
      <c r="H3687" s="735"/>
      <c r="I3687" s="669"/>
      <c r="J3687" s="669"/>
    </row>
    <row r="3688" ht="22.8" spans="1:11">
      <c r="B3688" s="736"/>
      <c r="C3688" s="736"/>
      <c r="D3688" s="664" t="s">
        <v>417</v>
      </c>
      <c r="E3688" s="664"/>
      <c r="F3688" s="664"/>
      <c r="G3688" s="664"/>
      <c r="H3688" s="736"/>
      <c r="I3688" s="669"/>
      <c r="J3688" s="669"/>
    </row>
    <row r="3689" ht="22.8" spans="1:11">
      <c r="B3689" s="736"/>
      <c r="C3689" s="736"/>
      <c r="D3689" s="664" t="s">
        <v>418</v>
      </c>
      <c r="E3689" s="664"/>
      <c r="F3689" s="664"/>
      <c r="G3689" s="664"/>
      <c r="H3689" s="736"/>
      <c r="I3689" s="669"/>
      <c r="J3689" s="669"/>
    </row>
    <row r="3690" ht="24.95" customHeight="1" spans="1:11">
      <c r="B3690" s="735"/>
      <c r="C3690" s="735"/>
      <c r="D3690" s="737" t="str">
        <f>"SESSION : "&amp;ENTRY!$D$11</f>
        <v>SESSION : 2026-27</v>
      </c>
      <c r="E3690" s="737"/>
      <c r="F3690" s="737"/>
      <c r="G3690" s="737"/>
      <c r="H3690" s="735"/>
      <c r="I3690" s="738"/>
      <c r="J3690" s="738"/>
    </row>
    <row r="3691" ht="3.75" customHeight="1" spans="1:11">
      <c r="A3691" s="672"/>
      <c r="B3691" s="739"/>
      <c r="C3691" s="739"/>
      <c r="D3691" s="739"/>
      <c r="E3691" s="739"/>
      <c r="F3691" s="739"/>
      <c r="G3691" s="739"/>
      <c r="H3691" s="739"/>
      <c r="I3691" s="739"/>
      <c r="J3691" s="739"/>
      <c r="K3691" s="674"/>
    </row>
    <row r="3692" ht="21.95" customHeight="1" spans="1:11">
      <c r="A3692" s="675"/>
      <c r="B3692" s="676" t="s">
        <v>419</v>
      </c>
      <c r="C3692" s="676"/>
      <c r="D3692" s="676" t="str">
        <f>ENTRY!$D$6</f>
        <v>MCP NITHARI NO 1 BOYS</v>
      </c>
      <c r="E3692" s="676"/>
      <c r="F3692" s="676"/>
      <c r="G3692" s="676"/>
      <c r="H3692" s="676"/>
      <c r="I3692" s="676"/>
      <c r="J3692" s="676"/>
      <c r="K3692" s="677"/>
    </row>
    <row r="3693" ht="21.95" customHeight="1" spans="1:11">
      <c r="A3693" s="675"/>
      <c r="B3693" s="676" t="s">
        <v>420</v>
      </c>
      <c r="C3693" s="676"/>
      <c r="D3693" s="740">
        <f>IFERROR(VLOOKUP($I$3696,STUDENT!$A$2:$BP$101,5,0),"")</f>
        <v>0</v>
      </c>
      <c r="E3693" s="740"/>
      <c r="F3693" s="740"/>
      <c r="G3693" s="740"/>
      <c r="H3693" s="740"/>
      <c r="I3693" s="740"/>
      <c r="J3693" s="740"/>
      <c r="K3693" s="677"/>
    </row>
    <row r="3694" ht="21.95" customHeight="1" spans="1:11">
      <c r="A3694" s="675"/>
      <c r="B3694" s="676" t="s">
        <v>421</v>
      </c>
      <c r="C3694" s="676"/>
      <c r="D3694" s="740">
        <f>IFERROR(VLOOKUP($I$3696,STUDENT!$A$2:$BP$101,8,0),"")</f>
        <v>0</v>
      </c>
      <c r="E3694" s="740"/>
      <c r="F3694" s="740"/>
      <c r="G3694" s="740"/>
      <c r="H3694" s="740"/>
      <c r="I3694" s="740"/>
      <c r="J3694" s="740"/>
      <c r="K3694" s="677"/>
    </row>
    <row r="3695" ht="21.95" customHeight="1" spans="1:11">
      <c r="A3695" s="675"/>
      <c r="B3695" s="676" t="s">
        <v>422</v>
      </c>
      <c r="C3695" s="676"/>
      <c r="D3695" s="740">
        <f>IFERROR(VLOOKUP($I$3696,STUDENT!$A$2:$BP$101,6,0),"")</f>
        <v>0</v>
      </c>
      <c r="E3695" s="740"/>
      <c r="F3695" s="740"/>
      <c r="G3695" s="740"/>
      <c r="H3695" s="740"/>
      <c r="I3695" s="740"/>
      <c r="J3695" s="740"/>
      <c r="K3695" s="677"/>
    </row>
    <row r="3696" ht="21.95" customHeight="1" spans="1:11">
      <c r="A3696" s="675"/>
      <c r="B3696" s="676" t="s">
        <v>423</v>
      </c>
      <c r="C3696" s="676"/>
      <c r="D3696" s="741" t="str">
        <f>IFERROR(VLOOKUP($I$3696,STUDENT!$A$2:$BP$101,59,0),"")</f>
        <v/>
      </c>
      <c r="E3696" s="742" t="s">
        <v>424</v>
      </c>
      <c r="F3696" s="704" t="str">
        <f>IFERROR(VLOOKUP($I$3696,STUDENT!$A$2:$BP$101,2,0),"")</f>
        <v>III-A</v>
      </c>
      <c r="G3696" s="742" t="s">
        <v>425</v>
      </c>
      <c r="H3696" s="743"/>
      <c r="I3696" s="733">
        <f>I3641+1</f>
        <v>68</v>
      </c>
      <c r="J3696" s="683"/>
      <c r="K3696" s="677"/>
    </row>
    <row r="3697" ht="5.1" customHeight="1" spans="1:11">
      <c r="A3697" s="675"/>
      <c r="B3697" s="745"/>
      <c r="C3697" s="745"/>
      <c r="D3697" s="746"/>
      <c r="E3697" s="747"/>
      <c r="F3697" s="748"/>
      <c r="G3697" s="747"/>
      <c r="H3697" s="686"/>
      <c r="I3697" s="686"/>
      <c r="J3697" s="686"/>
      <c r="K3697" s="677"/>
    </row>
    <row r="3698" s="664" customFormat="1" ht="32.1" customHeight="1" spans="1:11">
      <c r="A3698" s="688"/>
      <c r="B3698" s="749" t="s">
        <v>426</v>
      </c>
      <c r="C3698" s="750"/>
      <c r="D3698" s="750"/>
      <c r="E3698" s="750"/>
      <c r="F3698" s="750"/>
      <c r="G3698" s="750"/>
      <c r="H3698" s="750"/>
      <c r="I3698" s="750"/>
      <c r="J3698" s="751"/>
      <c r="K3698" s="690"/>
    </row>
    <row r="3699" ht="51.6" spans="1:11">
      <c r="A3699" s="675"/>
      <c r="B3699" s="752">
        <v>21</v>
      </c>
      <c r="C3699" s="753" t="s">
        <v>427</v>
      </c>
      <c r="D3699" s="754" t="s">
        <v>428</v>
      </c>
      <c r="E3699" s="754" t="s">
        <v>429</v>
      </c>
      <c r="F3699" s="754" t="s">
        <v>430</v>
      </c>
      <c r="G3699" s="753" t="s">
        <v>390</v>
      </c>
      <c r="H3699" s="714"/>
      <c r="I3699" s="714"/>
      <c r="J3699" s="714"/>
      <c r="K3699" s="677"/>
    </row>
    <row r="3700" ht="20.1" customHeight="1" spans="1:11">
      <c r="A3700" s="675"/>
      <c r="B3700" s="755">
        <v>1</v>
      </c>
      <c r="C3700" s="755" t="str">
        <f>IFERROR(VLOOKUP(B3700,DATEWISE!$A$3:$BY$27,2,0),0)</f>
        <v>30.04.2026</v>
      </c>
      <c r="D3700" s="755">
        <f>IF($C$3700=0,NA(),VLOOKUP($I$3696&amp;$B$3700,FLNFIX!$L$4:$EF$103,2,0))</f>
        <v>0</v>
      </c>
      <c r="E3700" s="755">
        <f>IF($C$3700=0,NA(),VLOOKUP($I$3696&amp;$B$3700,FLNFIX!$L$4:$EF$103,4,0))</f>
        <v>0</v>
      </c>
      <c r="F3700" s="755">
        <f>IF($C$3700=0,NA(),VLOOKUP($I$3696&amp;$B$3700,FLNFIX!$L$4:$EF$103,3,0))</f>
        <v>0</v>
      </c>
      <c r="G3700" s="756">
        <f>IF($C$3700=0,NA(),VLOOKUP($I$3696&amp;$B$3700,FLNFIX!$L$4:$EF$103,5,0))</f>
        <v>0</v>
      </c>
      <c r="H3700" s="757"/>
      <c r="I3700" s="757"/>
      <c r="J3700" s="758"/>
      <c r="K3700" s="677"/>
    </row>
    <row r="3701" ht="20.1" customHeight="1" spans="1:11">
      <c r="A3701" s="675"/>
      <c r="B3701" s="755">
        <f t="shared" ref="B3701:B3720" si="67">IF(B3700=0,0,IF(B3700&lt;$B$3699,B3700+1,""))</f>
        <v>2</v>
      </c>
      <c r="C3701" s="755" t="str">
        <f>IFERROR(VLOOKUP(B3701,DATEWISE!$A$3:$BY$27,2,0),0)</f>
        <v>08.05.2026</v>
      </c>
      <c r="D3701" s="755">
        <f>IF($C$3701=0,NA(),VLOOKUP($I$3696&amp;$B$3701,FLNFIX!$Q$4:$EF$103,2,0))</f>
        <v>0</v>
      </c>
      <c r="E3701" s="755">
        <f>IF($C$3701=0,NA(),VLOOKUP($I$3696&amp;$B$3701,FLNFIX!$Q$4:$EF$103,4,0))</f>
        <v>0</v>
      </c>
      <c r="F3701" s="755">
        <f>IF($C$3701=0,NA(),VLOOKUP($I$3696&amp;$B$3701,FLNFIX!$Q$4:$EF$103,3,0))</f>
        <v>0</v>
      </c>
      <c r="G3701" s="756">
        <f>IF($C$3701=0,NA(),VLOOKUP($I$3696&amp;$B$3701,FLNFIX!$Q$4:$EF$103,5,0))</f>
        <v>0</v>
      </c>
      <c r="H3701" s="757"/>
      <c r="I3701" s="757"/>
      <c r="J3701" s="758"/>
      <c r="K3701" s="677"/>
    </row>
    <row r="3702" ht="20.1" customHeight="1" spans="1:11">
      <c r="A3702" s="675"/>
      <c r="B3702" s="755">
        <f t="shared" si="67"/>
        <v>3</v>
      </c>
      <c r="C3702" s="755" t="str">
        <f>IFERROR(VLOOKUP(B3702,DATEWISE!$A$3:$BY$27,2,0),0)</f>
        <v>15.07.2026</v>
      </c>
      <c r="D3702" s="755">
        <f>IF($C$3702=0,NA(),VLOOKUP($I$3696&amp;$B$3702,FLNFIX!$V$4:$EF$103,2,0))</f>
        <v>0</v>
      </c>
      <c r="E3702" s="755">
        <f>IF($C$3702=0,NA(),VLOOKUP($I$3696&amp;$B$3702,FLNFIX!$V$4:$EF$103,4,0))</f>
        <v>0</v>
      </c>
      <c r="F3702" s="755">
        <f>IF($C$3702=0,NA(),VLOOKUP($I$3696&amp;$B$3702,FLNFIX!$V$4:$EF$103,3,0))</f>
        <v>0</v>
      </c>
      <c r="G3702" s="756">
        <f>IF($C$3702=0,NA(),VLOOKUP($I$3696&amp;$B$3702,FLNFIX!$V$4:$EF$103,5,0))</f>
        <v>0</v>
      </c>
      <c r="H3702" s="757"/>
      <c r="I3702" s="757"/>
      <c r="J3702" s="758"/>
      <c r="K3702" s="677"/>
    </row>
    <row r="3703" ht="20.1" customHeight="1" spans="1:11">
      <c r="A3703" s="675"/>
      <c r="B3703" s="755">
        <f t="shared" si="67"/>
        <v>4</v>
      </c>
      <c r="C3703" s="755" t="str">
        <f>IFERROR(VLOOKUP(B3703,DATEWISE!$A$3:$BY$27,2,0),0)</f>
        <v>31.07.2026</v>
      </c>
      <c r="D3703" s="755">
        <f>IF($C$3703=0,NA(),VLOOKUP($I$3696&amp;$B$3703,FLNFIX!$AA$4:$EF$103,2,0))</f>
        <v>0</v>
      </c>
      <c r="E3703" s="755">
        <f>IF($C$3703=0,NA(),VLOOKUP($I$3696&amp;$B$3703,FLNFIX!$AA$4:$EF$103,4,0))</f>
        <v>0</v>
      </c>
      <c r="F3703" s="755">
        <f>IF($C$3703=0,NA(),VLOOKUP($I$3696&amp;$B$3703,FLNFIX!$AA$4:$EF$103,3,0))</f>
        <v>0</v>
      </c>
      <c r="G3703" s="756">
        <f>IF($C$3703=0,NA(),VLOOKUP($I$3696&amp;$B$3703,FLNFIX!$AA$4:$EF$103,5,0))</f>
        <v>0</v>
      </c>
      <c r="H3703" s="757"/>
      <c r="I3703" s="757"/>
      <c r="J3703" s="758"/>
      <c r="K3703" s="677"/>
    </row>
    <row r="3704" ht="20.1" customHeight="1" spans="1:11">
      <c r="A3704" s="675"/>
      <c r="B3704" s="755">
        <f t="shared" si="67"/>
        <v>5</v>
      </c>
      <c r="C3704" s="755" t="str">
        <f>IFERROR(VLOOKUP(B3704,DATEWISE!$A$3:$BY$27,2,0),0)</f>
        <v>17.08.2026</v>
      </c>
      <c r="D3704" s="755">
        <f>IF($C$3704=0,NA(),VLOOKUP($I$3696&amp;$B$3704,FLNFIX!$AF$4:$EF$103,2,0))</f>
        <v>0</v>
      </c>
      <c r="E3704" s="755">
        <f>IF($C$3704=0,NA(),VLOOKUP($I$3696&amp;$B$3704,FLNFIX!$AF$4:$EF$103,4,0))</f>
        <v>0</v>
      </c>
      <c r="F3704" s="755">
        <f>IF($C$3704=0,NA(),VLOOKUP($I$3696&amp;$B$3704,FLNFIX!$AF$4:$EF$103,3,0))</f>
        <v>0</v>
      </c>
      <c r="G3704" s="756">
        <f>IF($C$3704=0,NA(),VLOOKUP($I$3696&amp;$B$3704,FLNFIX!$AF$4:$EF$103,5,0))</f>
        <v>0</v>
      </c>
      <c r="H3704" s="757"/>
      <c r="I3704" s="757"/>
      <c r="J3704" s="758"/>
      <c r="K3704" s="677"/>
    </row>
    <row r="3705" ht="20.1" customHeight="1" spans="1:11">
      <c r="A3705" s="675"/>
      <c r="B3705" s="755">
        <f t="shared" si="67"/>
        <v>6</v>
      </c>
      <c r="C3705" s="755" t="str">
        <f>IFERROR(VLOOKUP(B3705,DATEWISE!$A$3:$BY$27,2,0),0)</f>
        <v>31.08.2026</v>
      </c>
      <c r="D3705" s="755">
        <f>IF($C$3705=0,NA(),VLOOKUP($I$3696&amp;$B$3705,FLNFIX!$AK$4:$EF$103,2,0))</f>
        <v>0</v>
      </c>
      <c r="E3705" s="755">
        <f>IF($C$3705=0,NA(),VLOOKUP($I$3696&amp;$B$3705,FLNFIX!$AK$4:$EF$103,4,0))</f>
        <v>0</v>
      </c>
      <c r="F3705" s="755">
        <f>IF($C$3705=0,NA(),VLOOKUP($I$3696&amp;$B$3705,FLNFIX!$AK$4:$EF$103,3,0))</f>
        <v>0</v>
      </c>
      <c r="G3705" s="756">
        <f>IF($C$3705=0,NA(),VLOOKUP($I$3696&amp;$B$3705,FLNFIX!$AK$4:$EF$103,5,0))</f>
        <v>0</v>
      </c>
      <c r="H3705" s="757"/>
      <c r="I3705" s="757"/>
      <c r="J3705" s="758"/>
      <c r="K3705" s="677"/>
    </row>
    <row r="3706" ht="20.1" customHeight="1" spans="1:11">
      <c r="A3706" s="675"/>
      <c r="B3706" s="755">
        <f t="shared" si="67"/>
        <v>7</v>
      </c>
      <c r="C3706" s="755">
        <f>IFERROR(VLOOKUP(B3706,DATEWISE!$A$3:$BY$27,2,0),0)</f>
        <v>0</v>
      </c>
      <c r="D3706" s="755" t="e">
        <f>IF($C$3706=0,NA(),VLOOKUP($I$3696&amp;$B$3706,FLNFIX!$AP$4:$EF$103,2,0))</f>
        <v>#N/A</v>
      </c>
      <c r="E3706" s="755" t="e">
        <f>IF($C$3706=0,NA(),VLOOKUP($I$3696&amp;$B$3706,FLNFIX!$AP$4:$EF$103,4,0))</f>
        <v>#N/A</v>
      </c>
      <c r="F3706" s="755" t="e">
        <f>IF($C$3706=0,NA(),VLOOKUP($I$3696&amp;$B$3706,FLNFIX!$AP$4:$EF$103,3,0))</f>
        <v>#N/A</v>
      </c>
      <c r="G3706" s="756" t="e">
        <f>IF($C$3706=0,NA(),VLOOKUP($I$3696&amp;$B$3706,FLNFIX!$AP$4:$EF$103,5,0))</f>
        <v>#N/A</v>
      </c>
      <c r="H3706" s="757"/>
      <c r="I3706" s="757"/>
      <c r="J3706" s="758"/>
      <c r="K3706" s="677"/>
    </row>
    <row r="3707" ht="20.1" customHeight="1" spans="1:11">
      <c r="A3707" s="675"/>
      <c r="B3707" s="755">
        <f t="shared" si="67"/>
        <v>8</v>
      </c>
      <c r="C3707" s="755">
        <f>IFERROR(VLOOKUP(B3707,DATEWISE!$A$3:$BY$27,2,0),0)</f>
        <v>0</v>
      </c>
      <c r="D3707" s="755" t="e">
        <f>IF($C$3707=0,NA(),VLOOKUP($I$3696&amp;$B$3707,FLNFIX!$AU$4:$EF$103,2,0))</f>
        <v>#N/A</v>
      </c>
      <c r="E3707" s="755" t="e">
        <f>IF($C$3707=0,NA(),VLOOKUP($I$3696&amp;$B$3707,FLNFIX!$AU$4:$EF$103,4,0))</f>
        <v>#N/A</v>
      </c>
      <c r="F3707" s="755" t="e">
        <f>IF($C$3707=0,NA(),VLOOKUP($I$3696&amp;$B$3707,FLNFIX!$AU$4:$EF$103,3,0))</f>
        <v>#N/A</v>
      </c>
      <c r="G3707" s="756" t="e">
        <f>IF($C$3707=0,NA(),VLOOKUP($I$3696&amp;$B$3707,FLNFIX!$AU$4:$EF$103,5,0))</f>
        <v>#N/A</v>
      </c>
      <c r="H3707" s="757"/>
      <c r="I3707" s="757"/>
      <c r="J3707" s="758"/>
      <c r="K3707" s="677"/>
    </row>
    <row r="3708" ht="20.1" customHeight="1" spans="1:11">
      <c r="A3708" s="675"/>
      <c r="B3708" s="755">
        <f t="shared" si="67"/>
        <v>9</v>
      </c>
      <c r="C3708" s="755">
        <f>IFERROR(VLOOKUP(B3708,DATEWISE!$A$3:$BY$27,2,0),0)</f>
        <v>0</v>
      </c>
      <c r="D3708" s="755" t="e">
        <f>IF($C$3708=0,NA(),VLOOKUP($I$3696&amp;$B$3708,FLNFIX!$AZ$4:$EF$103,2,0))</f>
        <v>#N/A</v>
      </c>
      <c r="E3708" s="755" t="e">
        <f>IF($C$3708=0,NA(),VLOOKUP($I$3696&amp;$B$3708,FLNFIX!$AZ$4:$EF$103,4,0))</f>
        <v>#N/A</v>
      </c>
      <c r="F3708" s="755" t="e">
        <f>IF($C$3708=0,NA(),VLOOKUP($I$3696&amp;$B$3708,FLNFIX!$AZ$4:$EF$103,3,0))</f>
        <v>#N/A</v>
      </c>
      <c r="G3708" s="756" t="e">
        <f>IF($C$3708=0,NA(),VLOOKUP($I$3696&amp;$B$3708,FLNFIX!$AZ$4:$EF$103,5,0))</f>
        <v>#N/A</v>
      </c>
      <c r="H3708" s="757"/>
      <c r="I3708" s="757"/>
      <c r="J3708" s="758"/>
      <c r="K3708" s="677"/>
    </row>
    <row r="3709" ht="20.1" customHeight="1" spans="1:11">
      <c r="A3709" s="675"/>
      <c r="B3709" s="755">
        <f t="shared" si="67"/>
        <v>10</v>
      </c>
      <c r="C3709" s="755">
        <f>IFERROR(VLOOKUP(B3709,DATEWISE!$A$3:$BY$27,2,0),0)</f>
        <v>0</v>
      </c>
      <c r="D3709" s="755" t="e">
        <f>IF($C$3709=0,NA(),VLOOKUP($I$3696&amp;$B$3709,FLNFIX!$BE$4:$EF$103,2,0))</f>
        <v>#N/A</v>
      </c>
      <c r="E3709" s="755" t="e">
        <f>IF($C$3709=0,NA(),VLOOKUP($I$3696&amp;$B$3709,FLNFIX!$BE$4:$EF$103,4,0))</f>
        <v>#N/A</v>
      </c>
      <c r="F3709" s="755" t="e">
        <f>IF($C$3709=0,NA(),VLOOKUP($I$3696&amp;$B$3709,FLNFIX!$BE$4:$EF$103,3,0))</f>
        <v>#N/A</v>
      </c>
      <c r="G3709" s="756" t="e">
        <f>IF($C$3709=0,NA(),VLOOKUP($I$3696&amp;$B$3709,FLNFIX!$BE$4:$EF$103,5,0))</f>
        <v>#N/A</v>
      </c>
      <c r="H3709" s="757"/>
      <c r="I3709" s="757"/>
      <c r="J3709" s="758"/>
      <c r="K3709" s="677"/>
    </row>
    <row r="3710" ht="20.1" customHeight="1" spans="1:11">
      <c r="A3710" s="675"/>
      <c r="B3710" s="755">
        <f t="shared" si="67"/>
        <v>11</v>
      </c>
      <c r="C3710" s="755">
        <f>IFERROR(VLOOKUP(B3710,DATEWISE!$A$3:$BY$27,2,0),0)</f>
        <v>0</v>
      </c>
      <c r="D3710" s="755" t="e">
        <f>IF($C$3710=0,NA(),VLOOKUP($I$3696&amp;$B$3710,FLNFIX!$BJ$4:$EF$103,2,0))</f>
        <v>#N/A</v>
      </c>
      <c r="E3710" s="755" t="e">
        <f>IF($C$3710=0,NA(),VLOOKUP($I$3696&amp;$B$3710,FLNFIX!$BJ$4:$EF$103,4,0))</f>
        <v>#N/A</v>
      </c>
      <c r="F3710" s="755" t="e">
        <f>IF($C$3710=0,NA(),VLOOKUP($I$3696&amp;$B$3710,FLNFIX!$BJ$4:$EF$103,3,0))</f>
        <v>#N/A</v>
      </c>
      <c r="G3710" s="756" t="e">
        <f>IF($C$3710=0,NA(),VLOOKUP($I$3696&amp;$B$3710,FLNFIX!$BJ$4:$EF$103,5,0))</f>
        <v>#N/A</v>
      </c>
      <c r="H3710" s="757"/>
      <c r="I3710" s="757"/>
      <c r="J3710" s="758"/>
      <c r="K3710" s="677"/>
    </row>
    <row r="3711" ht="20.1" customHeight="1" spans="1:11">
      <c r="A3711" s="675"/>
      <c r="B3711" s="755">
        <f t="shared" si="67"/>
        <v>12</v>
      </c>
      <c r="C3711" s="755">
        <f>IFERROR(VLOOKUP(B3711,DATEWISE!$A$3:$BY$27,2,0),0)</f>
        <v>0</v>
      </c>
      <c r="D3711" s="755" t="e">
        <f>IF($C$3711=0,NA(),VLOOKUP($I$3696&amp;$B$3711,FLNFIX!$BO$4:$EF$103,2,0))</f>
        <v>#N/A</v>
      </c>
      <c r="E3711" s="755" t="e">
        <f>IF($C$3711=0,NA(),VLOOKUP($I$3696&amp;$B$3711,FLNFIX!$BO$4:$EF$103,4,0))</f>
        <v>#N/A</v>
      </c>
      <c r="F3711" s="755" t="e">
        <f>IF($C$3711=0,NA(),VLOOKUP($I$3696&amp;$B$3711,FLNFIX!$BO$4:$EF$103,3,0))</f>
        <v>#N/A</v>
      </c>
      <c r="G3711" s="756" t="e">
        <f>IF($C$3711=0,NA(),VLOOKUP($I$3696&amp;$B$3711,FLNFIX!$BO$4:$EF$103,5,0))</f>
        <v>#N/A</v>
      </c>
      <c r="H3711" s="757"/>
      <c r="I3711" s="757"/>
      <c r="J3711" s="758"/>
      <c r="K3711" s="677"/>
    </row>
    <row r="3712" ht="20.1" customHeight="1" spans="1:11">
      <c r="A3712" s="675"/>
      <c r="B3712" s="755">
        <f t="shared" si="67"/>
        <v>13</v>
      </c>
      <c r="C3712" s="755">
        <f>IFERROR(VLOOKUP(B3712,DATEWISE!$A$3:$BY$27,2,0),0)</f>
        <v>0</v>
      </c>
      <c r="D3712" s="755" t="e">
        <f>IF($C$3712=0,NA(),VLOOKUP($I$3696&amp;$B$3712,FLNFIX!$BT$4:$EF$103,2,0))</f>
        <v>#N/A</v>
      </c>
      <c r="E3712" s="755" t="e">
        <f>IF($C$3712=0,NA(),VLOOKUP($I$3696&amp;$B$3712,FLNFIX!$BT$4:$EF$103,4,0))</f>
        <v>#N/A</v>
      </c>
      <c r="F3712" s="755" t="e">
        <f>IF($C$3712=0,NA(),VLOOKUP($I$3696&amp;$B$3712,FLNFIX!$BT$4:$EF$103,3,0))</f>
        <v>#N/A</v>
      </c>
      <c r="G3712" s="756" t="e">
        <f>IF($C$3712=0,NA(),VLOOKUP($I$3696&amp;$B$3712,FLNFIX!$BT$4:$EF$103,5,0))</f>
        <v>#N/A</v>
      </c>
      <c r="H3712" s="757"/>
      <c r="I3712" s="757"/>
      <c r="J3712" s="758"/>
      <c r="K3712" s="677"/>
    </row>
    <row r="3713" ht="20.1" customHeight="1" spans="1:11">
      <c r="A3713" s="675"/>
      <c r="B3713" s="755">
        <f t="shared" si="67"/>
        <v>14</v>
      </c>
      <c r="C3713" s="755">
        <f>IFERROR(VLOOKUP(B3713,DATEWISE!$A$3:$BY$27,2,0),0)</f>
        <v>0</v>
      </c>
      <c r="D3713" s="755" t="e">
        <f>IF($C$3713=0,NA(),VLOOKUP($I$3696&amp;$B$3713,FLNFIX!$BY$4:$EF$103,2,0))</f>
        <v>#N/A</v>
      </c>
      <c r="E3713" s="755" t="e">
        <f>IF($C$3713=0,NA(),VLOOKUP($I$3696&amp;$B$3713,FLNFIX!$BY$4:$EF$103,4,0))</f>
        <v>#N/A</v>
      </c>
      <c r="F3713" s="755" t="e">
        <f>IF($C$3713=0,NA(),VLOOKUP($I$3696&amp;$B$3713,FLNFIX!$BY$4:$EF$103,3,0))</f>
        <v>#N/A</v>
      </c>
      <c r="G3713" s="756" t="e">
        <f>IF($C$3713=0,NA(),VLOOKUP($I$3696&amp;$B$3713,FLNFIX!$BY$4:$EF$103,5,0))</f>
        <v>#N/A</v>
      </c>
      <c r="H3713" s="757"/>
      <c r="I3713" s="757"/>
      <c r="J3713" s="758"/>
      <c r="K3713" s="677"/>
    </row>
    <row r="3714" ht="20.1" customHeight="1" spans="1:11">
      <c r="A3714" s="675"/>
      <c r="B3714" s="755">
        <f t="shared" si="67"/>
        <v>15</v>
      </c>
      <c r="C3714" s="755">
        <f>IFERROR(VLOOKUP(B3714,DATEWISE!$A$3:$BY$27,2,0),0)</f>
        <v>0</v>
      </c>
      <c r="D3714" s="755" t="e">
        <f>IF($C$3714=0,NA(),VLOOKUP($I$3696&amp;$B$3714,FLNFIX!$CD$4:$EF$103,2,0))</f>
        <v>#N/A</v>
      </c>
      <c r="E3714" s="755" t="e">
        <f>IF($C$3714=0,NA(),VLOOKUP($I$3696&amp;$B$3714,FLNFIX!$CD$4:$EF$103,4,0))</f>
        <v>#N/A</v>
      </c>
      <c r="F3714" s="755" t="e">
        <f>IF($C$3714=0,NA(),VLOOKUP($I$3696&amp;$B$3714,FLNFIX!$CD$4:$EF$103,3,0))</f>
        <v>#N/A</v>
      </c>
      <c r="G3714" s="756" t="e">
        <f>IF($C$3714=0,NA(),VLOOKUP($I$3696&amp;$B$3714,FLNFIX!$CD$4:$EF$103,5,0))</f>
        <v>#N/A</v>
      </c>
      <c r="H3714" s="757"/>
      <c r="I3714" s="757"/>
      <c r="J3714" s="758"/>
      <c r="K3714" s="677"/>
    </row>
    <row r="3715" ht="20.1" customHeight="1" spans="1:11">
      <c r="A3715" s="675"/>
      <c r="B3715" s="755">
        <f t="shared" si="67"/>
        <v>16</v>
      </c>
      <c r="C3715" s="755">
        <f>IFERROR(VLOOKUP(B3715,DATEWISE!$A$3:$BY$27,2,0),0)</f>
        <v>0</v>
      </c>
      <c r="D3715" s="755" t="e">
        <f>IF($C$3715=0,NA(),VLOOKUP($I$3696&amp;$B$3715,FLNFIX!$CI$4:$EF$103,2,0))</f>
        <v>#N/A</v>
      </c>
      <c r="E3715" s="755" t="e">
        <f>IF($C$3715=0,NA(),VLOOKUP($I$3696&amp;$B$3715,FLNFIX!$CI$4:$EF$103,4,0))</f>
        <v>#N/A</v>
      </c>
      <c r="F3715" s="755" t="e">
        <f>IF($C$3715=0,NA(),VLOOKUP($I$3696&amp;$B$3715,FLNFIX!$CI$4:$EF$103,3,0))</f>
        <v>#N/A</v>
      </c>
      <c r="G3715" s="756" t="e">
        <f>IF($C$3715=0,NA(),VLOOKUP($I$3696&amp;$B$3715,FLNFIX!$CI$4:$EF$103,5,0))</f>
        <v>#N/A</v>
      </c>
      <c r="H3715" s="757"/>
      <c r="I3715" s="757"/>
      <c r="J3715" s="758"/>
      <c r="K3715" s="677"/>
    </row>
    <row r="3716" ht="20.1" customHeight="1" spans="1:11">
      <c r="A3716" s="675"/>
      <c r="B3716" s="755">
        <f t="shared" si="67"/>
        <v>17</v>
      </c>
      <c r="C3716" s="755">
        <f>IFERROR(VLOOKUP(B3716,DATEWISE!$A$3:$BY$27,2,0),0)</f>
        <v>0</v>
      </c>
      <c r="D3716" s="755" t="e">
        <f>IF($C$3716=0,NA(),VLOOKUP($I$3696&amp;$B$3716,FLNFIX!$CN$4:$EF$103,2,0))</f>
        <v>#N/A</v>
      </c>
      <c r="E3716" s="755" t="e">
        <f>IF($C$3716=0,NA(),VLOOKUP($I$3696&amp;$B$3716,FLNFIX!$CN$4:$EF$103,4,0))</f>
        <v>#N/A</v>
      </c>
      <c r="F3716" s="755" t="e">
        <f>IF($C$3716=0,NA(),VLOOKUP($I$3696&amp;$B$3716,FLNFIX!$CN$4:$EF$103,3,0))</f>
        <v>#N/A</v>
      </c>
      <c r="G3716" s="756" t="e">
        <f>IF($C$3716=0,NA(),VLOOKUP($I$3696&amp;$B$3716,FLNFIX!$CN$4:$EF$103,5,0))</f>
        <v>#N/A</v>
      </c>
      <c r="H3716" s="757"/>
      <c r="I3716" s="757"/>
      <c r="J3716" s="758"/>
      <c r="K3716" s="677"/>
    </row>
    <row r="3717" ht="20.1" customHeight="1" spans="1:11">
      <c r="A3717" s="675"/>
      <c r="B3717" s="755">
        <f t="shared" si="67"/>
        <v>18</v>
      </c>
      <c r="C3717" s="755">
        <f>IFERROR(VLOOKUP(B3717,DATEWISE!$A$3:$BY$27,2,0),0)</f>
        <v>0</v>
      </c>
      <c r="D3717" s="755" t="e">
        <f>IF($C$3717=0,NA(),VLOOKUP($I$3696&amp;$B$3717,FLNFIX!$CS$4:$EF$103,2,0))</f>
        <v>#N/A</v>
      </c>
      <c r="E3717" s="755" t="e">
        <f>IF($C$3717=0,NA(),VLOOKUP($I$3696&amp;$B$3717,FLNFIX!$CS$4:$EF$103,4,0))</f>
        <v>#N/A</v>
      </c>
      <c r="F3717" s="755" t="e">
        <f>IF($C$3717=0,NA(),VLOOKUP($I$3696&amp;$B$3717,FLNFIX!$CS$4:$EF$103,3,0))</f>
        <v>#N/A</v>
      </c>
      <c r="G3717" s="756" t="e">
        <f>IF($C$3717=0,NA(),VLOOKUP($I$3696&amp;$B$3717,FLNFIX!$CS$4:$EF$103,5,0))</f>
        <v>#N/A</v>
      </c>
      <c r="H3717" s="757"/>
      <c r="I3717" s="757"/>
      <c r="J3717" s="758"/>
      <c r="K3717" s="677"/>
    </row>
    <row r="3718" ht="20.1" customHeight="1" spans="1:11">
      <c r="A3718" s="675"/>
      <c r="B3718" s="755">
        <f t="shared" si="67"/>
        <v>19</v>
      </c>
      <c r="C3718" s="755">
        <f>IFERROR(VLOOKUP(B3718,DATEWISE!$A$3:$BY$27,2,0),0)</f>
        <v>0</v>
      </c>
      <c r="D3718" s="755" t="e">
        <f>IF($C$3718=0,NA(),VLOOKUP($I$3696&amp;$B$3718,FLNFIX!$CX$4:$EF$103,2,0))</f>
        <v>#N/A</v>
      </c>
      <c r="E3718" s="755" t="e">
        <f>IF($C$3718=0,NA(),VLOOKUP($I$3696&amp;$B$3718,FLNFIX!$CX$4:$EF$103,4,0))</f>
        <v>#N/A</v>
      </c>
      <c r="F3718" s="755" t="e">
        <f>IF($C$3718=0,NA(),VLOOKUP($I$3696&amp;$B$3718,FLNFIX!$CX$4:$EF$103,3,0))</f>
        <v>#N/A</v>
      </c>
      <c r="G3718" s="756" t="e">
        <f>IF($C$3718=0,NA(),VLOOKUP($I$3696&amp;$B$3718,FLNFIX!$CX$4:$EF$103,5,0))</f>
        <v>#N/A</v>
      </c>
      <c r="H3718" s="757"/>
      <c r="I3718" s="757"/>
      <c r="J3718" s="758"/>
      <c r="K3718" s="677"/>
    </row>
    <row r="3719" ht="20.1" customHeight="1" spans="1:11">
      <c r="A3719" s="675"/>
      <c r="B3719" s="755">
        <f t="shared" si="67"/>
        <v>20</v>
      </c>
      <c r="C3719" s="755">
        <f>IFERROR(VLOOKUP(B3719,DATEWISE!$A$3:$BY$27,2,0),0)</f>
        <v>0</v>
      </c>
      <c r="D3719" s="755" t="e">
        <f>IF($C$3719=0,NA(),VLOOKUP($I$3696&amp;$B$3719,FLNFIX!$DC$4:$EF$103,2,0))</f>
        <v>#N/A</v>
      </c>
      <c r="E3719" s="755" t="e">
        <f>IF($C$3719=0,NA(),VLOOKUP($I$3696&amp;$B$3719,FLNFIX!$DC$4:$EF$103,4,0))</f>
        <v>#N/A</v>
      </c>
      <c r="F3719" s="755" t="e">
        <f>IF($C$3719=0,NA(),VLOOKUP($I$3696&amp;$B$3719,FLNFIX!$DC$4:$EF$103,3,0))</f>
        <v>#N/A</v>
      </c>
      <c r="G3719" s="756" t="e">
        <f>IF($C$3719=0,NA(),VLOOKUP($I$3696&amp;$B$3719,FLNFIX!$DC$4:$EF$103,5,0))</f>
        <v>#N/A</v>
      </c>
      <c r="H3719" s="757"/>
      <c r="I3719" s="757"/>
      <c r="J3719" s="758"/>
      <c r="K3719" s="677"/>
    </row>
    <row r="3720" ht="20.1" customHeight="1" spans="1:11">
      <c r="A3720" s="675"/>
      <c r="B3720" s="755">
        <f t="shared" si="67"/>
        <v>21</v>
      </c>
      <c r="C3720" s="755">
        <f>IFERROR(VLOOKUP(B3720,DATEWISE!$A$3:$BY$27,2,0),0)</f>
        <v>0</v>
      </c>
      <c r="D3720" s="755" t="e">
        <f>IF($C$3720=0,NA(),VLOOKUP($I$3696&amp;$B$3720,FLNFIX!$DH$4:$EF$103,2,0))</f>
        <v>#N/A</v>
      </c>
      <c r="E3720" s="755" t="e">
        <f>IF($C$3720=0,NA(),VLOOKUP($I$3696&amp;$B$3720,FLNFIX!$DH$4:$EF$103,4,0))</f>
        <v>#N/A</v>
      </c>
      <c r="F3720" s="755" t="e">
        <f>IF($C$3720=0,NA(),VLOOKUP($I$3696&amp;$B$3720,FLNFIX!$DH$4:$EF$103,3,0))</f>
        <v>#N/A</v>
      </c>
      <c r="G3720" s="756" t="e">
        <f>IF($C$3720=0,NA(),VLOOKUP($I$3696&amp;$B$3720,FLNFIX!$DH$4:$EF$103,5,0))</f>
        <v>#N/A</v>
      </c>
      <c r="H3720" s="757"/>
      <c r="I3720" s="757"/>
      <c r="J3720" s="758"/>
      <c r="K3720" s="677"/>
    </row>
    <row r="3721" ht="5.1" customHeight="1" spans="1:11">
      <c r="A3721" s="675"/>
      <c r="B3721" s="759"/>
      <c r="C3721" s="759"/>
      <c r="D3721" s="760"/>
      <c r="E3721" s="760"/>
      <c r="F3721" s="760"/>
      <c r="G3721" s="761"/>
      <c r="H3721" s="761"/>
      <c r="I3721" s="761"/>
      <c r="J3721" s="761"/>
      <c r="K3721" s="677"/>
    </row>
    <row r="3722" s="667" customFormat="1" ht="24.95" customHeight="1" spans="1:11">
      <c r="A3722" s="711"/>
      <c r="B3722" s="762" t="s">
        <v>431</v>
      </c>
      <c r="C3722" s="763"/>
      <c r="D3722" s="763"/>
      <c r="E3722" s="763"/>
      <c r="F3722" s="763"/>
      <c r="G3722" s="763"/>
      <c r="H3722" s="763"/>
      <c r="I3722" s="763"/>
      <c r="J3722" s="764"/>
      <c r="K3722" s="713"/>
    </row>
    <row r="3723" spans="1:11">
      <c r="A3723" s="675"/>
      <c r="B3723" s="765"/>
      <c r="C3723" s="686"/>
      <c r="D3723" s="686"/>
      <c r="E3723" s="686"/>
      <c r="F3723" s="686"/>
      <c r="G3723" s="686"/>
      <c r="H3723" s="686"/>
      <c r="I3723" s="686"/>
      <c r="J3723" s="766"/>
      <c r="K3723" s="677"/>
    </row>
    <row r="3724" spans="1:11">
      <c r="A3724" s="675"/>
      <c r="B3724" s="765"/>
      <c r="C3724" s="686"/>
      <c r="D3724" s="686"/>
      <c r="E3724" s="686"/>
      <c r="F3724" s="686"/>
      <c r="G3724" s="686"/>
      <c r="H3724" s="686"/>
      <c r="I3724" s="686"/>
      <c r="J3724" s="766"/>
      <c r="K3724" s="677"/>
    </row>
    <row r="3725" spans="1:11">
      <c r="A3725" s="675"/>
      <c r="B3725" s="765"/>
      <c r="C3725" s="686"/>
      <c r="D3725" s="686"/>
      <c r="E3725" s="686"/>
      <c r="F3725" s="686"/>
      <c r="G3725" s="686"/>
      <c r="H3725" s="686"/>
      <c r="I3725" s="686"/>
      <c r="J3725" s="766"/>
      <c r="K3725" s="677"/>
    </row>
    <row r="3726" spans="1:11">
      <c r="A3726" s="675"/>
      <c r="B3726" s="765"/>
      <c r="C3726" s="686"/>
      <c r="D3726" s="686"/>
      <c r="E3726" s="686"/>
      <c r="F3726" s="686"/>
      <c r="G3726" s="686"/>
      <c r="H3726" s="686"/>
      <c r="I3726" s="686"/>
      <c r="J3726" s="766"/>
      <c r="K3726" s="677"/>
    </row>
    <row r="3727" spans="1:11">
      <c r="A3727" s="675"/>
      <c r="B3727" s="765"/>
      <c r="C3727" s="686"/>
      <c r="D3727" s="686"/>
      <c r="E3727" s="686"/>
      <c r="F3727" s="686"/>
      <c r="G3727" s="686"/>
      <c r="H3727" s="686"/>
      <c r="I3727" s="686"/>
      <c r="J3727" s="766"/>
      <c r="K3727" s="677"/>
    </row>
    <row r="3728" spans="1:11">
      <c r="A3728" s="675"/>
      <c r="B3728" s="765"/>
      <c r="C3728" s="686"/>
      <c r="D3728" s="686"/>
      <c r="E3728" s="686"/>
      <c r="F3728" s="686"/>
      <c r="G3728" s="686"/>
      <c r="H3728" s="686"/>
      <c r="I3728" s="686"/>
      <c r="J3728" s="766"/>
      <c r="K3728" s="677"/>
    </row>
    <row r="3729" spans="1:11">
      <c r="A3729" s="675"/>
      <c r="B3729" s="765"/>
      <c r="C3729" s="686"/>
      <c r="D3729" s="686"/>
      <c r="E3729" s="686"/>
      <c r="F3729" s="686"/>
      <c r="G3729" s="686"/>
      <c r="H3729" s="686"/>
      <c r="I3729" s="686"/>
      <c r="J3729" s="766"/>
      <c r="K3729" s="677"/>
    </row>
    <row r="3730" spans="1:11">
      <c r="A3730" s="675"/>
      <c r="B3730" s="765"/>
      <c r="C3730" s="686"/>
      <c r="D3730" s="686"/>
      <c r="E3730" s="686"/>
      <c r="F3730" s="686"/>
      <c r="G3730" s="686"/>
      <c r="H3730" s="686"/>
      <c r="I3730" s="686"/>
      <c r="J3730" s="766"/>
      <c r="K3730" s="677"/>
    </row>
    <row r="3731" spans="1:11">
      <c r="A3731" s="675"/>
      <c r="B3731" s="765"/>
      <c r="C3731" s="686"/>
      <c r="D3731" s="686"/>
      <c r="E3731" s="686"/>
      <c r="F3731" s="686"/>
      <c r="G3731" s="686"/>
      <c r="H3731" s="686"/>
      <c r="I3731" s="686"/>
      <c r="J3731" s="766"/>
      <c r="K3731" s="677"/>
    </row>
    <row r="3732" spans="1:11">
      <c r="A3732" s="675"/>
      <c r="B3732" s="767"/>
      <c r="C3732" s="768"/>
      <c r="D3732" s="768"/>
      <c r="E3732" s="768"/>
      <c r="F3732" s="768"/>
      <c r="G3732" s="768"/>
      <c r="H3732" s="768"/>
      <c r="I3732" s="768"/>
      <c r="J3732" s="769"/>
      <c r="K3732" s="677"/>
    </row>
    <row r="3733" ht="5.1" customHeight="1" spans="1:11">
      <c r="A3733" s="675"/>
      <c r="B3733" s="686"/>
      <c r="C3733" s="686"/>
      <c r="D3733" s="686"/>
      <c r="E3733" s="686"/>
      <c r="F3733" s="686"/>
      <c r="G3733" s="686"/>
      <c r="H3733" s="686"/>
      <c r="I3733" s="686"/>
      <c r="J3733" s="686"/>
      <c r="K3733" s="677"/>
    </row>
    <row r="3734" spans="1:11">
      <c r="A3734" s="675"/>
      <c r="B3734" s="770" t="s">
        <v>432</v>
      </c>
      <c r="C3734" s="770"/>
      <c r="D3734" s="770"/>
      <c r="E3734" s="770"/>
      <c r="F3734" s="770"/>
      <c r="G3734" s="770"/>
      <c r="H3734" s="770"/>
      <c r="I3734" s="770"/>
      <c r="J3734" s="770"/>
      <c r="K3734" s="677"/>
    </row>
    <row r="3735" spans="1:11">
      <c r="A3735" s="675"/>
      <c r="B3735" s="771"/>
      <c r="C3735" s="771"/>
      <c r="D3735" s="771"/>
      <c r="E3735" s="771"/>
      <c r="F3735" s="771"/>
      <c r="G3735" s="771"/>
      <c r="H3735" s="771"/>
      <c r="I3735" s="771"/>
      <c r="J3735" s="771"/>
      <c r="K3735" s="677"/>
    </row>
    <row r="3736" spans="1:11">
      <c r="A3736" s="675"/>
      <c r="B3736" s="771"/>
      <c r="C3736" s="771"/>
      <c r="D3736" s="771"/>
      <c r="E3736" s="771"/>
      <c r="F3736" s="771"/>
      <c r="G3736" s="771"/>
      <c r="H3736" s="771"/>
      <c r="I3736" s="771"/>
      <c r="J3736" s="771"/>
      <c r="K3736" s="677"/>
    </row>
    <row r="3737" spans="1:11">
      <c r="A3737" s="675"/>
      <c r="B3737" s="771"/>
      <c r="C3737" s="771"/>
      <c r="D3737" s="771"/>
      <c r="E3737" s="771"/>
      <c r="F3737" s="771"/>
      <c r="G3737" s="771"/>
      <c r="H3737" s="771"/>
      <c r="I3737" s="771"/>
      <c r="J3737" s="771"/>
      <c r="K3737" s="677"/>
    </row>
    <row r="3738" spans="1:11">
      <c r="A3738" s="675"/>
      <c r="B3738" s="686"/>
      <c r="C3738" s="686"/>
      <c r="D3738" s="686"/>
      <c r="E3738" s="686"/>
      <c r="F3738" s="686"/>
      <c r="G3738" s="686"/>
      <c r="H3738" s="686"/>
      <c r="I3738" s="686"/>
      <c r="J3738" s="686"/>
      <c r="K3738" s="677"/>
    </row>
    <row r="3739" spans="1:11">
      <c r="A3739" s="675"/>
      <c r="B3739" s="686"/>
      <c r="C3739" s="729" t="s">
        <v>433</v>
      </c>
      <c r="D3739" s="729"/>
      <c r="E3739" s="686"/>
      <c r="F3739" s="686"/>
      <c r="G3739" s="729" t="s">
        <v>434</v>
      </c>
      <c r="H3739" s="729"/>
      <c r="I3739" s="729"/>
      <c r="J3739" s="729"/>
      <c r="K3739" s="677"/>
    </row>
    <row r="3740" ht="16.35" spans="1:11">
      <c r="A3740" s="725"/>
      <c r="B3740" s="726"/>
      <c r="C3740" s="732" t="str">
        <f>"("&amp;PROPER(ENTRY!$D$19)&amp;")"</f>
        <v>(Indrajeet)</v>
      </c>
      <c r="D3740" s="732"/>
      <c r="E3740" s="726"/>
      <c r="F3740" s="726"/>
      <c r="G3740" s="732" t="str">
        <f>"("&amp;PROPER(ENTRY!$D$12)&amp;")"</f>
        <v>(Shambhu Dayal Meena)</v>
      </c>
      <c r="H3740" s="732"/>
      <c r="I3740" s="732"/>
      <c r="J3740" s="732"/>
      <c r="K3740" s="728"/>
    </row>
    <row r="3741" ht="24.6" spans="1:11">
      <c r="B3741" s="734"/>
      <c r="C3741" s="734"/>
      <c r="D3741" s="669" t="str">
        <f>ENTRY!$D$3</f>
        <v>MUNICIPAL CORPORATION OF DELHI</v>
      </c>
      <c r="E3741" s="669"/>
      <c r="F3741" s="669"/>
      <c r="G3741" s="669"/>
      <c r="H3741" s="734"/>
      <c r="I3741" s="669"/>
      <c r="J3741" s="669"/>
    </row>
    <row r="3742" ht="20.4" spans="1:11">
      <c r="B3742" s="735"/>
      <c r="C3742" s="735"/>
      <c r="D3742" s="670" t="str">
        <f>ENTRY!$D$4</f>
        <v>EDUCATION DEPARTMENT</v>
      </c>
      <c r="E3742" s="670"/>
      <c r="F3742" s="670"/>
      <c r="G3742" s="670"/>
      <c r="H3742" s="735"/>
      <c r="I3742" s="669"/>
      <c r="J3742" s="669"/>
    </row>
    <row r="3743" ht="22.8" spans="1:11">
      <c r="B3743" s="736"/>
      <c r="C3743" s="736"/>
      <c r="D3743" s="664" t="s">
        <v>417</v>
      </c>
      <c r="E3743" s="664"/>
      <c r="F3743" s="664"/>
      <c r="G3743" s="664"/>
      <c r="H3743" s="736"/>
      <c r="I3743" s="669"/>
      <c r="J3743" s="669"/>
    </row>
    <row r="3744" ht="22.8" spans="1:11">
      <c r="B3744" s="736"/>
      <c r="C3744" s="736"/>
      <c r="D3744" s="664" t="s">
        <v>418</v>
      </c>
      <c r="E3744" s="664"/>
      <c r="F3744" s="664"/>
      <c r="G3744" s="664"/>
      <c r="H3744" s="736"/>
      <c r="I3744" s="669"/>
      <c r="J3744" s="669"/>
    </row>
    <row r="3745" ht="24.95" customHeight="1" spans="1:11">
      <c r="B3745" s="735"/>
      <c r="C3745" s="735"/>
      <c r="D3745" s="737" t="str">
        <f>"SESSION : "&amp;ENTRY!$D$11</f>
        <v>SESSION : 2026-27</v>
      </c>
      <c r="E3745" s="737"/>
      <c r="F3745" s="737"/>
      <c r="G3745" s="737"/>
      <c r="H3745" s="735"/>
      <c r="I3745" s="738"/>
      <c r="J3745" s="738"/>
    </row>
    <row r="3746" ht="3.75" customHeight="1" spans="1:11">
      <c r="A3746" s="672"/>
      <c r="B3746" s="739"/>
      <c r="C3746" s="739"/>
      <c r="D3746" s="739"/>
      <c r="E3746" s="739"/>
      <c r="F3746" s="739"/>
      <c r="G3746" s="739"/>
      <c r="H3746" s="739"/>
      <c r="I3746" s="739"/>
      <c r="J3746" s="739"/>
      <c r="K3746" s="674"/>
    </row>
    <row r="3747" ht="21.95" customHeight="1" spans="1:11">
      <c r="A3747" s="675"/>
      <c r="B3747" s="676" t="s">
        <v>419</v>
      </c>
      <c r="C3747" s="676"/>
      <c r="D3747" s="676" t="str">
        <f>ENTRY!$D$6</f>
        <v>MCP NITHARI NO 1 BOYS</v>
      </c>
      <c r="E3747" s="676"/>
      <c r="F3747" s="676"/>
      <c r="G3747" s="676"/>
      <c r="H3747" s="676"/>
      <c r="I3747" s="676"/>
      <c r="J3747" s="676"/>
      <c r="K3747" s="677"/>
    </row>
    <row r="3748" ht="21.95" customHeight="1" spans="1:11">
      <c r="A3748" s="675"/>
      <c r="B3748" s="676" t="s">
        <v>420</v>
      </c>
      <c r="C3748" s="676"/>
      <c r="D3748" s="740">
        <f>IFERROR(VLOOKUP($I$3751,STUDENT!$A$2:$BP$101,5,0),"")</f>
        <v>0</v>
      </c>
      <c r="E3748" s="740"/>
      <c r="F3748" s="740"/>
      <c r="G3748" s="740"/>
      <c r="H3748" s="740"/>
      <c r="I3748" s="740"/>
      <c r="J3748" s="740"/>
      <c r="K3748" s="677"/>
    </row>
    <row r="3749" ht="21.95" customHeight="1" spans="1:11">
      <c r="A3749" s="675"/>
      <c r="B3749" s="676" t="s">
        <v>421</v>
      </c>
      <c r="C3749" s="676"/>
      <c r="D3749" s="740">
        <f>IFERROR(VLOOKUP($I$3751,STUDENT!$A$2:$BP$101,8,0),"")</f>
        <v>0</v>
      </c>
      <c r="E3749" s="740"/>
      <c r="F3749" s="740"/>
      <c r="G3749" s="740"/>
      <c r="H3749" s="740"/>
      <c r="I3749" s="740"/>
      <c r="J3749" s="740"/>
      <c r="K3749" s="677"/>
    </row>
    <row r="3750" ht="21.95" customHeight="1" spans="1:11">
      <c r="A3750" s="675"/>
      <c r="B3750" s="676" t="s">
        <v>422</v>
      </c>
      <c r="C3750" s="676"/>
      <c r="D3750" s="740">
        <f>IFERROR(VLOOKUP($I$3751,STUDENT!$A$2:$BP$101,6,0),"")</f>
        <v>0</v>
      </c>
      <c r="E3750" s="740"/>
      <c r="F3750" s="740"/>
      <c r="G3750" s="740"/>
      <c r="H3750" s="740"/>
      <c r="I3750" s="740"/>
      <c r="J3750" s="740"/>
      <c r="K3750" s="677"/>
    </row>
    <row r="3751" ht="21.95" customHeight="1" spans="1:11">
      <c r="A3751" s="675"/>
      <c r="B3751" s="676" t="s">
        <v>423</v>
      </c>
      <c r="C3751" s="676"/>
      <c r="D3751" s="741" t="str">
        <f>IFERROR(VLOOKUP($I$3751,STUDENT!$A$2:$BP$101,59,0),"")</f>
        <v/>
      </c>
      <c r="E3751" s="742" t="s">
        <v>424</v>
      </c>
      <c r="F3751" s="704" t="str">
        <f>IFERROR(VLOOKUP($I$3751,STUDENT!$A$2:$BP$101,2,0),"")</f>
        <v>III-A</v>
      </c>
      <c r="G3751" s="742" t="s">
        <v>425</v>
      </c>
      <c r="H3751" s="743"/>
      <c r="I3751" s="733">
        <f>I3696+1</f>
        <v>69</v>
      </c>
      <c r="J3751" s="683"/>
      <c r="K3751" s="677"/>
    </row>
    <row r="3752" ht="5.1" customHeight="1" spans="1:11">
      <c r="A3752" s="675"/>
      <c r="B3752" s="745"/>
      <c r="C3752" s="745"/>
      <c r="D3752" s="746"/>
      <c r="E3752" s="747"/>
      <c r="F3752" s="748"/>
      <c r="G3752" s="747"/>
      <c r="H3752" s="686"/>
      <c r="I3752" s="686"/>
      <c r="J3752" s="686"/>
      <c r="K3752" s="677"/>
    </row>
    <row r="3753" s="664" customFormat="1" ht="32.1" customHeight="1" spans="1:11">
      <c r="A3753" s="688"/>
      <c r="B3753" s="749" t="s">
        <v>426</v>
      </c>
      <c r="C3753" s="750"/>
      <c r="D3753" s="750"/>
      <c r="E3753" s="750"/>
      <c r="F3753" s="750"/>
      <c r="G3753" s="750"/>
      <c r="H3753" s="750"/>
      <c r="I3753" s="750"/>
      <c r="J3753" s="751"/>
      <c r="K3753" s="690"/>
    </row>
    <row r="3754" ht="51.6" spans="1:11">
      <c r="A3754" s="675"/>
      <c r="B3754" s="752">
        <v>21</v>
      </c>
      <c r="C3754" s="753" t="s">
        <v>427</v>
      </c>
      <c r="D3754" s="754" t="s">
        <v>428</v>
      </c>
      <c r="E3754" s="754" t="s">
        <v>429</v>
      </c>
      <c r="F3754" s="754" t="s">
        <v>430</v>
      </c>
      <c r="G3754" s="753" t="s">
        <v>390</v>
      </c>
      <c r="H3754" s="714"/>
      <c r="I3754" s="714"/>
      <c r="J3754" s="714"/>
      <c r="K3754" s="677"/>
    </row>
    <row r="3755" ht="20.1" customHeight="1" spans="1:11">
      <c r="A3755" s="675"/>
      <c r="B3755" s="755">
        <v>1</v>
      </c>
      <c r="C3755" s="755" t="str">
        <f>IFERROR(VLOOKUP(B3755,DATEWISE!$A$3:$BY$27,2,0),0)</f>
        <v>30.04.2026</v>
      </c>
      <c r="D3755" s="755">
        <f>IF($C$3755=0,NA(),VLOOKUP($I$3751&amp;$B$3755,FLNFIX!$L$4:$EF$103,2,0))</f>
        <v>0</v>
      </c>
      <c r="E3755" s="755">
        <f>IF($C$3755=0,NA(),VLOOKUP($I$3751&amp;$B$3755,FLNFIX!$L$4:$EF$103,4,0))</f>
        <v>0</v>
      </c>
      <c r="F3755" s="755">
        <f>IF($C$3755=0,NA(),VLOOKUP($I$3751&amp;$B$3755,FLNFIX!$L$4:$EF$103,3,0))</f>
        <v>0</v>
      </c>
      <c r="G3755" s="756">
        <f>IF($C$3755=0,NA(),VLOOKUP($I$3751&amp;$B$3755,FLNFIX!$L$4:$EF$103,5,0))</f>
        <v>0</v>
      </c>
      <c r="H3755" s="757"/>
      <c r="I3755" s="757"/>
      <c r="J3755" s="758"/>
      <c r="K3755" s="677"/>
    </row>
    <row r="3756" ht="20.1" customHeight="1" spans="1:11">
      <c r="A3756" s="675"/>
      <c r="B3756" s="755">
        <f t="shared" ref="B3756:B3775" si="68">IF(B3755=0,0,IF(B3755&lt;$B$3754,B3755+1,""))</f>
        <v>2</v>
      </c>
      <c r="C3756" s="755" t="str">
        <f>IFERROR(VLOOKUP(B3756,DATEWISE!$A$3:$BY$27,2,0),0)</f>
        <v>08.05.2026</v>
      </c>
      <c r="D3756" s="755">
        <f>IF($C$3756=0,NA(),VLOOKUP($I$3751&amp;$B$3756,FLNFIX!$Q$4:$EF$103,2,0))</f>
        <v>0</v>
      </c>
      <c r="E3756" s="755">
        <f>IF($C$3756=0,NA(),VLOOKUP($I$3751&amp;$B$3756,FLNFIX!$Q$4:$EF$103,4,0))</f>
        <v>0</v>
      </c>
      <c r="F3756" s="755">
        <f>IF($C$3756=0,NA(),VLOOKUP($I$3751&amp;$B$3756,FLNFIX!$Q$4:$EF$103,3,0))</f>
        <v>0</v>
      </c>
      <c r="G3756" s="756">
        <f>IF($C$3756=0,NA(),VLOOKUP($I$3751&amp;$B$3756,FLNFIX!$Q$4:$EF$103,5,0))</f>
        <v>0</v>
      </c>
      <c r="H3756" s="757"/>
      <c r="I3756" s="757"/>
      <c r="J3756" s="758"/>
      <c r="K3756" s="677"/>
    </row>
    <row r="3757" ht="20.1" customHeight="1" spans="1:11">
      <c r="A3757" s="675"/>
      <c r="B3757" s="755">
        <f t="shared" si="68"/>
        <v>3</v>
      </c>
      <c r="C3757" s="755" t="str">
        <f>IFERROR(VLOOKUP(B3757,DATEWISE!$A$3:$BY$27,2,0),0)</f>
        <v>15.07.2026</v>
      </c>
      <c r="D3757" s="755">
        <f>IF($C$3757=0,NA(),VLOOKUP($I$3751&amp;$B$3757,FLNFIX!$V$4:$EF$103,2,0))</f>
        <v>0</v>
      </c>
      <c r="E3757" s="755">
        <f>IF($C$3757=0,NA(),VLOOKUP($I$3751&amp;$B$3757,FLNFIX!$V$4:$EF$103,4,0))</f>
        <v>0</v>
      </c>
      <c r="F3757" s="755">
        <f>IF($C$3757=0,NA(),VLOOKUP($I$3751&amp;$B$3757,FLNFIX!$V$4:$EF$103,3,0))</f>
        <v>0</v>
      </c>
      <c r="G3757" s="756">
        <f>IF($C$3757=0,NA(),VLOOKUP($I$3751&amp;$B$3757,FLNFIX!$V$4:$EF$103,5,0))</f>
        <v>0</v>
      </c>
      <c r="H3757" s="757"/>
      <c r="I3757" s="757"/>
      <c r="J3757" s="758"/>
      <c r="K3757" s="677"/>
    </row>
    <row r="3758" ht="20.1" customHeight="1" spans="1:11">
      <c r="A3758" s="675"/>
      <c r="B3758" s="755">
        <f t="shared" si="68"/>
        <v>4</v>
      </c>
      <c r="C3758" s="755" t="str">
        <f>IFERROR(VLOOKUP(B3758,DATEWISE!$A$3:$BY$27,2,0),0)</f>
        <v>31.07.2026</v>
      </c>
      <c r="D3758" s="755">
        <f>IF($C$3758=0,NA(),VLOOKUP($I$3751&amp;$B$3758,FLNFIX!$AA$4:$EF$103,2,0))</f>
        <v>0</v>
      </c>
      <c r="E3758" s="755">
        <f>IF($C$3758=0,NA(),VLOOKUP($I$3751&amp;$B$3758,FLNFIX!$AA$4:$EF$103,4,0))</f>
        <v>0</v>
      </c>
      <c r="F3758" s="755">
        <f>IF($C$3758=0,NA(),VLOOKUP($I$3751&amp;$B$3758,FLNFIX!$AA$4:$EF$103,3,0))</f>
        <v>0</v>
      </c>
      <c r="G3758" s="756">
        <f>IF($C$3758=0,NA(),VLOOKUP($I$3751&amp;$B$3758,FLNFIX!$AA$4:$EF$103,5,0))</f>
        <v>0</v>
      </c>
      <c r="H3758" s="757"/>
      <c r="I3758" s="757"/>
      <c r="J3758" s="758"/>
      <c r="K3758" s="677"/>
    </row>
    <row r="3759" ht="20.1" customHeight="1" spans="1:11">
      <c r="A3759" s="675"/>
      <c r="B3759" s="755">
        <f t="shared" si="68"/>
        <v>5</v>
      </c>
      <c r="C3759" s="755" t="str">
        <f>IFERROR(VLOOKUP(B3759,DATEWISE!$A$3:$BY$27,2,0),0)</f>
        <v>17.08.2026</v>
      </c>
      <c r="D3759" s="755">
        <f>IF($C$3759=0,NA(),VLOOKUP($I$3751&amp;$B$3759,FLNFIX!$AF$4:$EF$103,2,0))</f>
        <v>0</v>
      </c>
      <c r="E3759" s="755">
        <f>IF($C$3759=0,NA(),VLOOKUP($I$3751&amp;$B$3759,FLNFIX!$AF$4:$EF$103,4,0))</f>
        <v>0</v>
      </c>
      <c r="F3759" s="755">
        <f>IF($C$3759=0,NA(),VLOOKUP($I$3751&amp;$B$3759,FLNFIX!$AF$4:$EF$103,3,0))</f>
        <v>0</v>
      </c>
      <c r="G3759" s="756">
        <f>IF($C$3759=0,NA(),VLOOKUP($I$3751&amp;$B$3759,FLNFIX!$AF$4:$EF$103,5,0))</f>
        <v>0</v>
      </c>
      <c r="H3759" s="757"/>
      <c r="I3759" s="757"/>
      <c r="J3759" s="758"/>
      <c r="K3759" s="677"/>
    </row>
    <row r="3760" ht="20.1" customHeight="1" spans="1:11">
      <c r="A3760" s="675"/>
      <c r="B3760" s="755">
        <f t="shared" si="68"/>
        <v>6</v>
      </c>
      <c r="C3760" s="755" t="str">
        <f>IFERROR(VLOOKUP(B3760,DATEWISE!$A$3:$BY$27,2,0),0)</f>
        <v>31.08.2026</v>
      </c>
      <c r="D3760" s="755">
        <f>IF($C$3760=0,NA(),VLOOKUP($I$3751&amp;$B$3760,FLNFIX!$AK$4:$EF$103,2,0))</f>
        <v>0</v>
      </c>
      <c r="E3760" s="755">
        <f>IF($C$3760=0,NA(),VLOOKUP($I$3751&amp;$B$3760,FLNFIX!$AK$4:$EF$103,4,0))</f>
        <v>0</v>
      </c>
      <c r="F3760" s="755">
        <f>IF($C$3760=0,NA(),VLOOKUP($I$3751&amp;$B$3760,FLNFIX!$AK$4:$EF$103,3,0))</f>
        <v>0</v>
      </c>
      <c r="G3760" s="756">
        <f>IF($C$3760=0,NA(),VLOOKUP($I$3751&amp;$B$3760,FLNFIX!$AK$4:$EF$103,5,0))</f>
        <v>0</v>
      </c>
      <c r="H3760" s="757"/>
      <c r="I3760" s="757"/>
      <c r="J3760" s="758"/>
      <c r="K3760" s="677"/>
    </row>
    <row r="3761" ht="20.1" customHeight="1" spans="1:11">
      <c r="A3761" s="675"/>
      <c r="B3761" s="755">
        <f t="shared" si="68"/>
        <v>7</v>
      </c>
      <c r="C3761" s="755">
        <f>IFERROR(VLOOKUP(B3761,DATEWISE!$A$3:$BY$27,2,0),0)</f>
        <v>0</v>
      </c>
      <c r="D3761" s="755" t="e">
        <f>IF($C$3761=0,NA(),VLOOKUP($I$3751&amp;$B$3761,FLNFIX!$AP$4:$EF$103,2,0))</f>
        <v>#N/A</v>
      </c>
      <c r="E3761" s="755" t="e">
        <f>IF($C$3761=0,NA(),VLOOKUP($I$3751&amp;$B$3761,FLNFIX!$AP$4:$EF$103,4,0))</f>
        <v>#N/A</v>
      </c>
      <c r="F3761" s="755" t="e">
        <f>IF($C$3761=0,NA(),VLOOKUP($I$3751&amp;$B$3761,FLNFIX!$AP$4:$EF$103,3,0))</f>
        <v>#N/A</v>
      </c>
      <c r="G3761" s="756" t="e">
        <f>IF($C$3761=0,NA(),VLOOKUP($I$3751&amp;$B$3761,FLNFIX!$AP$4:$EF$103,5,0))</f>
        <v>#N/A</v>
      </c>
      <c r="H3761" s="757"/>
      <c r="I3761" s="757"/>
      <c r="J3761" s="758"/>
      <c r="K3761" s="677"/>
    </row>
    <row r="3762" ht="20.1" customHeight="1" spans="1:11">
      <c r="A3762" s="675"/>
      <c r="B3762" s="755">
        <f t="shared" si="68"/>
        <v>8</v>
      </c>
      <c r="C3762" s="755">
        <f>IFERROR(VLOOKUP(B3762,DATEWISE!$A$3:$BY$27,2,0),0)</f>
        <v>0</v>
      </c>
      <c r="D3762" s="755" t="e">
        <f>IF($C$3762=0,NA(),VLOOKUP($I$3751&amp;$B$3762,FLNFIX!$AU$4:$EF$103,2,0))</f>
        <v>#N/A</v>
      </c>
      <c r="E3762" s="755" t="e">
        <f>IF($C$3762=0,NA(),VLOOKUP($I$3751&amp;$B$3762,FLNFIX!$AU$4:$EF$103,4,0))</f>
        <v>#N/A</v>
      </c>
      <c r="F3762" s="755" t="e">
        <f>IF($C$3762=0,NA(),VLOOKUP($I$3751&amp;$B$3762,FLNFIX!$AU$4:$EF$103,3,0))</f>
        <v>#N/A</v>
      </c>
      <c r="G3762" s="756" t="e">
        <f>IF($C$3762=0,NA(),VLOOKUP($I$3751&amp;$B$3762,FLNFIX!$AU$4:$EF$103,5,0))</f>
        <v>#N/A</v>
      </c>
      <c r="H3762" s="757"/>
      <c r="I3762" s="757"/>
      <c r="J3762" s="758"/>
      <c r="K3762" s="677"/>
    </row>
    <row r="3763" ht="20.1" customHeight="1" spans="1:11">
      <c r="A3763" s="675"/>
      <c r="B3763" s="755">
        <f t="shared" si="68"/>
        <v>9</v>
      </c>
      <c r="C3763" s="755">
        <f>IFERROR(VLOOKUP(B3763,DATEWISE!$A$3:$BY$27,2,0),0)</f>
        <v>0</v>
      </c>
      <c r="D3763" s="755" t="e">
        <f>IF($C$3763=0,NA(),VLOOKUP($I$3751&amp;$B$3763,FLNFIX!$AZ$4:$EF$103,2,0))</f>
        <v>#N/A</v>
      </c>
      <c r="E3763" s="755" t="e">
        <f>IF($C$3763=0,NA(),VLOOKUP($I$3751&amp;$B$3763,FLNFIX!$AZ$4:$EF$103,4,0))</f>
        <v>#N/A</v>
      </c>
      <c r="F3763" s="755" t="e">
        <f>IF($C$3763=0,NA(),VLOOKUP($I$3751&amp;$B$3763,FLNFIX!$AZ$4:$EF$103,3,0))</f>
        <v>#N/A</v>
      </c>
      <c r="G3763" s="756" t="e">
        <f>IF($C$3763=0,NA(),VLOOKUP($I$3751&amp;$B$3763,FLNFIX!$AZ$4:$EF$103,5,0))</f>
        <v>#N/A</v>
      </c>
      <c r="H3763" s="757"/>
      <c r="I3763" s="757"/>
      <c r="J3763" s="758"/>
      <c r="K3763" s="677"/>
    </row>
    <row r="3764" ht="20.1" customHeight="1" spans="1:11">
      <c r="A3764" s="675"/>
      <c r="B3764" s="755">
        <f t="shared" si="68"/>
        <v>10</v>
      </c>
      <c r="C3764" s="755">
        <f>IFERROR(VLOOKUP(B3764,DATEWISE!$A$3:$BY$27,2,0),0)</f>
        <v>0</v>
      </c>
      <c r="D3764" s="755" t="e">
        <f>IF($C$3764=0,NA(),VLOOKUP($I$3751&amp;$B$3764,FLNFIX!$BE$4:$EF$103,2,0))</f>
        <v>#N/A</v>
      </c>
      <c r="E3764" s="755" t="e">
        <f>IF($C$3764=0,NA(),VLOOKUP($I$3751&amp;$B$3764,FLNFIX!$BE$4:$EF$103,4,0))</f>
        <v>#N/A</v>
      </c>
      <c r="F3764" s="755" t="e">
        <f>IF($C$3764=0,NA(),VLOOKUP($I$3751&amp;$B$3764,FLNFIX!$BE$4:$EF$103,3,0))</f>
        <v>#N/A</v>
      </c>
      <c r="G3764" s="756" t="e">
        <f>IF($C$3764=0,NA(),VLOOKUP($I$3751&amp;$B$3764,FLNFIX!$BE$4:$EF$103,5,0))</f>
        <v>#N/A</v>
      </c>
      <c r="H3764" s="757"/>
      <c r="I3764" s="757"/>
      <c r="J3764" s="758"/>
      <c r="K3764" s="677"/>
    </row>
    <row r="3765" ht="20.1" customHeight="1" spans="1:11">
      <c r="A3765" s="675"/>
      <c r="B3765" s="755">
        <f t="shared" si="68"/>
        <v>11</v>
      </c>
      <c r="C3765" s="755">
        <f>IFERROR(VLOOKUP(B3765,DATEWISE!$A$3:$BY$27,2,0),0)</f>
        <v>0</v>
      </c>
      <c r="D3765" s="755" t="e">
        <f>IF($C$3765=0,NA(),VLOOKUP($I$3751&amp;$B$3765,FLNFIX!$BJ$4:$EF$103,2,0))</f>
        <v>#N/A</v>
      </c>
      <c r="E3765" s="755" t="e">
        <f>IF($C$3765=0,NA(),VLOOKUP($I$3751&amp;$B$3765,FLNFIX!$BJ$4:$EF$103,4,0))</f>
        <v>#N/A</v>
      </c>
      <c r="F3765" s="755" t="e">
        <f>IF($C$3765=0,NA(),VLOOKUP($I$3751&amp;$B$3765,FLNFIX!$BJ$4:$EF$103,3,0))</f>
        <v>#N/A</v>
      </c>
      <c r="G3765" s="756" t="e">
        <f>IF($C$3765=0,NA(),VLOOKUP($I$3751&amp;$B$3765,FLNFIX!$BJ$4:$EF$103,5,0))</f>
        <v>#N/A</v>
      </c>
      <c r="H3765" s="757"/>
      <c r="I3765" s="757"/>
      <c r="J3765" s="758"/>
      <c r="K3765" s="677"/>
    </row>
    <row r="3766" ht="20.1" customHeight="1" spans="1:11">
      <c r="A3766" s="675"/>
      <c r="B3766" s="755">
        <f t="shared" si="68"/>
        <v>12</v>
      </c>
      <c r="C3766" s="755">
        <f>IFERROR(VLOOKUP(B3766,DATEWISE!$A$3:$BY$27,2,0),0)</f>
        <v>0</v>
      </c>
      <c r="D3766" s="755" t="e">
        <f>IF($C$3766=0,NA(),VLOOKUP($I$3751&amp;$B$3766,FLNFIX!$BO$4:$EF$103,2,0))</f>
        <v>#N/A</v>
      </c>
      <c r="E3766" s="755" t="e">
        <f>IF($C$3766=0,NA(),VLOOKUP($I$3751&amp;$B$3766,FLNFIX!$BO$4:$EF$103,4,0))</f>
        <v>#N/A</v>
      </c>
      <c r="F3766" s="755" t="e">
        <f>IF($C$3766=0,NA(),VLOOKUP($I$3751&amp;$B$3766,FLNFIX!$BO$4:$EF$103,3,0))</f>
        <v>#N/A</v>
      </c>
      <c r="G3766" s="756" t="e">
        <f>IF($C$3766=0,NA(),VLOOKUP($I$3751&amp;$B$3766,FLNFIX!$BO$4:$EF$103,5,0))</f>
        <v>#N/A</v>
      </c>
      <c r="H3766" s="757"/>
      <c r="I3766" s="757"/>
      <c r="J3766" s="758"/>
      <c r="K3766" s="677"/>
    </row>
    <row r="3767" ht="20.1" customHeight="1" spans="1:11">
      <c r="A3767" s="675"/>
      <c r="B3767" s="755">
        <f t="shared" si="68"/>
        <v>13</v>
      </c>
      <c r="C3767" s="755">
        <f>IFERROR(VLOOKUP(B3767,DATEWISE!$A$3:$BY$27,2,0),0)</f>
        <v>0</v>
      </c>
      <c r="D3767" s="755" t="e">
        <f>IF($C$3767=0,NA(),VLOOKUP($I$3751&amp;$B$3767,FLNFIX!$BT$4:$EF$103,2,0))</f>
        <v>#N/A</v>
      </c>
      <c r="E3767" s="755" t="e">
        <f>IF($C$3767=0,NA(),VLOOKUP($I$3751&amp;$B$3767,FLNFIX!$BT$4:$EF$103,4,0))</f>
        <v>#N/A</v>
      </c>
      <c r="F3767" s="755" t="e">
        <f>IF($C$3767=0,NA(),VLOOKUP($I$3751&amp;$B$3767,FLNFIX!$BT$4:$EF$103,3,0))</f>
        <v>#N/A</v>
      </c>
      <c r="G3767" s="756" t="e">
        <f>IF($C$3767=0,NA(),VLOOKUP($I$3751&amp;$B$3767,FLNFIX!$BT$4:$EF$103,5,0))</f>
        <v>#N/A</v>
      </c>
      <c r="H3767" s="757"/>
      <c r="I3767" s="757"/>
      <c r="J3767" s="758"/>
      <c r="K3767" s="677"/>
    </row>
    <row r="3768" ht="20.1" customHeight="1" spans="1:11">
      <c r="A3768" s="675"/>
      <c r="B3768" s="755">
        <f t="shared" si="68"/>
        <v>14</v>
      </c>
      <c r="C3768" s="755">
        <f>IFERROR(VLOOKUP(B3768,DATEWISE!$A$3:$BY$27,2,0),0)</f>
        <v>0</v>
      </c>
      <c r="D3768" s="755" t="e">
        <f>IF($C$3768=0,NA(),VLOOKUP($I$3751&amp;$B$3768,FLNFIX!$BY$4:$EF$103,2,0))</f>
        <v>#N/A</v>
      </c>
      <c r="E3768" s="755" t="e">
        <f>IF($C$3768=0,NA(),VLOOKUP($I$3751&amp;$B$3768,FLNFIX!$BY$4:$EF$103,4,0))</f>
        <v>#N/A</v>
      </c>
      <c r="F3768" s="755" t="e">
        <f>IF($C$3768=0,NA(),VLOOKUP($I$3751&amp;$B$3768,FLNFIX!$BY$4:$EF$103,3,0))</f>
        <v>#N/A</v>
      </c>
      <c r="G3768" s="756" t="e">
        <f>IF($C$3768=0,NA(),VLOOKUP($I$3751&amp;$B$3768,FLNFIX!$BY$4:$EF$103,5,0))</f>
        <v>#N/A</v>
      </c>
      <c r="H3768" s="757"/>
      <c r="I3768" s="757"/>
      <c r="J3768" s="758"/>
      <c r="K3768" s="677"/>
    </row>
    <row r="3769" ht="20.1" customHeight="1" spans="1:11">
      <c r="A3769" s="675"/>
      <c r="B3769" s="755">
        <f t="shared" si="68"/>
        <v>15</v>
      </c>
      <c r="C3769" s="755">
        <f>IFERROR(VLOOKUP(B3769,DATEWISE!$A$3:$BY$27,2,0),0)</f>
        <v>0</v>
      </c>
      <c r="D3769" s="755" t="e">
        <f>IF($C$3769=0,NA(),VLOOKUP($I$3751&amp;$B$3769,FLNFIX!$CD$4:$EF$103,2,0))</f>
        <v>#N/A</v>
      </c>
      <c r="E3769" s="755" t="e">
        <f>IF($C$3769=0,NA(),VLOOKUP($I$3751&amp;$B$3769,FLNFIX!$CD$4:$EF$103,4,0))</f>
        <v>#N/A</v>
      </c>
      <c r="F3769" s="755" t="e">
        <f>IF($C$3769=0,NA(),VLOOKUP($I$3751&amp;$B$3769,FLNFIX!$CD$4:$EF$103,3,0))</f>
        <v>#N/A</v>
      </c>
      <c r="G3769" s="756" t="e">
        <f>IF($C$3769=0,NA(),VLOOKUP($I$3751&amp;$B$3769,FLNFIX!$CD$4:$EF$103,5,0))</f>
        <v>#N/A</v>
      </c>
      <c r="H3769" s="757"/>
      <c r="I3769" s="757"/>
      <c r="J3769" s="758"/>
      <c r="K3769" s="677"/>
    </row>
    <row r="3770" ht="20.1" customHeight="1" spans="1:11">
      <c r="A3770" s="675"/>
      <c r="B3770" s="755">
        <f t="shared" si="68"/>
        <v>16</v>
      </c>
      <c r="C3770" s="755">
        <f>IFERROR(VLOOKUP(B3770,DATEWISE!$A$3:$BY$27,2,0),0)</f>
        <v>0</v>
      </c>
      <c r="D3770" s="755" t="e">
        <f>IF($C$3770=0,NA(),VLOOKUP($I$3751&amp;$B$3770,FLNFIX!$CI$4:$EF$103,2,0))</f>
        <v>#N/A</v>
      </c>
      <c r="E3770" s="755" t="e">
        <f>IF($C$3770=0,NA(),VLOOKUP($I$3751&amp;$B$3770,FLNFIX!$CI$4:$EF$103,4,0))</f>
        <v>#N/A</v>
      </c>
      <c r="F3770" s="755" t="e">
        <f>IF($C$3770=0,NA(),VLOOKUP($I$3751&amp;$B$3770,FLNFIX!$CI$4:$EF$103,3,0))</f>
        <v>#N/A</v>
      </c>
      <c r="G3770" s="756" t="e">
        <f>IF($C$3770=0,NA(),VLOOKUP($I$3751&amp;$B$3770,FLNFIX!$CI$4:$EF$103,5,0))</f>
        <v>#N/A</v>
      </c>
      <c r="H3770" s="757"/>
      <c r="I3770" s="757"/>
      <c r="J3770" s="758"/>
      <c r="K3770" s="677"/>
    </row>
    <row r="3771" ht="20.1" customHeight="1" spans="1:11">
      <c r="A3771" s="675"/>
      <c r="B3771" s="755">
        <f t="shared" si="68"/>
        <v>17</v>
      </c>
      <c r="C3771" s="755">
        <f>IFERROR(VLOOKUP(B3771,DATEWISE!$A$3:$BY$27,2,0),0)</f>
        <v>0</v>
      </c>
      <c r="D3771" s="755" t="e">
        <f>IF($C$3771=0,NA(),VLOOKUP($I$3751&amp;$B$3771,FLNFIX!$CN$4:$EF$103,2,0))</f>
        <v>#N/A</v>
      </c>
      <c r="E3771" s="755" t="e">
        <f>IF($C$3771=0,NA(),VLOOKUP($I$3751&amp;$B$3771,FLNFIX!$CN$4:$EF$103,4,0))</f>
        <v>#N/A</v>
      </c>
      <c r="F3771" s="755" t="e">
        <f>IF($C$3771=0,NA(),VLOOKUP($I$3751&amp;$B$3771,FLNFIX!$CN$4:$EF$103,3,0))</f>
        <v>#N/A</v>
      </c>
      <c r="G3771" s="756" t="e">
        <f>IF($C$3771=0,NA(),VLOOKUP($I$3751&amp;$B$3771,FLNFIX!$CN$4:$EF$103,5,0))</f>
        <v>#N/A</v>
      </c>
      <c r="H3771" s="757"/>
      <c r="I3771" s="757"/>
      <c r="J3771" s="758"/>
      <c r="K3771" s="677"/>
    </row>
    <row r="3772" ht="20.1" customHeight="1" spans="1:11">
      <c r="A3772" s="675"/>
      <c r="B3772" s="755">
        <f t="shared" si="68"/>
        <v>18</v>
      </c>
      <c r="C3772" s="755">
        <f>IFERROR(VLOOKUP(B3772,DATEWISE!$A$3:$BY$27,2,0),0)</f>
        <v>0</v>
      </c>
      <c r="D3772" s="755" t="e">
        <f>IF($C$3772=0,NA(),VLOOKUP($I$3751&amp;$B$3772,FLNFIX!$CS$4:$EF$103,2,0))</f>
        <v>#N/A</v>
      </c>
      <c r="E3772" s="755" t="e">
        <f>IF($C$3772=0,NA(),VLOOKUP($I$3751&amp;$B$3772,FLNFIX!$CS$4:$EF$103,4,0))</f>
        <v>#N/A</v>
      </c>
      <c r="F3772" s="755" t="e">
        <f>IF($C$3772=0,NA(),VLOOKUP($I$3751&amp;$B$3772,FLNFIX!$CS$4:$EF$103,3,0))</f>
        <v>#N/A</v>
      </c>
      <c r="G3772" s="756" t="e">
        <f>IF($C$3772=0,NA(),VLOOKUP($I$3751&amp;$B$3772,FLNFIX!$CS$4:$EF$103,5,0))</f>
        <v>#N/A</v>
      </c>
      <c r="H3772" s="757"/>
      <c r="I3772" s="757"/>
      <c r="J3772" s="758"/>
      <c r="K3772" s="677"/>
    </row>
    <row r="3773" ht="20.1" customHeight="1" spans="1:11">
      <c r="A3773" s="675"/>
      <c r="B3773" s="755">
        <f t="shared" si="68"/>
        <v>19</v>
      </c>
      <c r="C3773" s="755">
        <f>IFERROR(VLOOKUP(B3773,DATEWISE!$A$3:$BY$27,2,0),0)</f>
        <v>0</v>
      </c>
      <c r="D3773" s="755" t="e">
        <f>IF($C$3773=0,NA(),VLOOKUP($I$3751&amp;$B$3773,FLNFIX!$CX$4:$EF$103,2,0))</f>
        <v>#N/A</v>
      </c>
      <c r="E3773" s="755" t="e">
        <f>IF($C$3773=0,NA(),VLOOKUP($I$3751&amp;$B$3773,FLNFIX!$CX$4:$EF$103,4,0))</f>
        <v>#N/A</v>
      </c>
      <c r="F3773" s="755" t="e">
        <f>IF($C$3773=0,NA(),VLOOKUP($I$3751&amp;$B$3773,FLNFIX!$CX$4:$EF$103,3,0))</f>
        <v>#N/A</v>
      </c>
      <c r="G3773" s="756" t="e">
        <f>IF($C$3773=0,NA(),VLOOKUP($I$3751&amp;$B$3773,FLNFIX!$CX$4:$EF$103,5,0))</f>
        <v>#N/A</v>
      </c>
      <c r="H3773" s="757"/>
      <c r="I3773" s="757"/>
      <c r="J3773" s="758"/>
      <c r="K3773" s="677"/>
    </row>
    <row r="3774" ht="20.1" customHeight="1" spans="1:11">
      <c r="A3774" s="675"/>
      <c r="B3774" s="755">
        <f t="shared" si="68"/>
        <v>20</v>
      </c>
      <c r="C3774" s="755">
        <f>IFERROR(VLOOKUP(B3774,DATEWISE!$A$3:$BY$27,2,0),0)</f>
        <v>0</v>
      </c>
      <c r="D3774" s="755" t="e">
        <f>IF($C$3774=0,NA(),VLOOKUP($I$3751&amp;$B$3774,FLNFIX!$DC$4:$EF$103,2,0))</f>
        <v>#N/A</v>
      </c>
      <c r="E3774" s="755" t="e">
        <f>IF($C$3774=0,NA(),VLOOKUP($I$3751&amp;$B$3774,FLNFIX!$DC$4:$EF$103,4,0))</f>
        <v>#N/A</v>
      </c>
      <c r="F3774" s="755" t="e">
        <f>IF($C$3774=0,NA(),VLOOKUP($I$3751&amp;$B$3774,FLNFIX!$DC$4:$EF$103,3,0))</f>
        <v>#N/A</v>
      </c>
      <c r="G3774" s="756" t="e">
        <f>IF($C$3774=0,NA(),VLOOKUP($I$3751&amp;$B$3774,FLNFIX!$DC$4:$EF$103,5,0))</f>
        <v>#N/A</v>
      </c>
      <c r="H3774" s="757"/>
      <c r="I3774" s="757"/>
      <c r="J3774" s="758"/>
      <c r="K3774" s="677"/>
    </row>
    <row r="3775" ht="20.1" customHeight="1" spans="1:11">
      <c r="A3775" s="675"/>
      <c r="B3775" s="755">
        <f t="shared" si="68"/>
        <v>21</v>
      </c>
      <c r="C3775" s="755">
        <f>IFERROR(VLOOKUP(B3775,DATEWISE!$A$3:$BY$27,2,0),0)</f>
        <v>0</v>
      </c>
      <c r="D3775" s="755" t="e">
        <f>IF($C$3775=0,NA(),VLOOKUP($I$3751&amp;$B$3775,FLNFIX!$DH$4:$EF$103,2,0))</f>
        <v>#N/A</v>
      </c>
      <c r="E3775" s="755" t="e">
        <f>IF($C$3775=0,NA(),VLOOKUP($I$3751&amp;$B$3775,FLNFIX!$DH$4:$EF$103,4,0))</f>
        <v>#N/A</v>
      </c>
      <c r="F3775" s="755" t="e">
        <f>IF($C$3775=0,NA(),VLOOKUP($I$3751&amp;$B$3775,FLNFIX!$DH$4:$EF$103,3,0))</f>
        <v>#N/A</v>
      </c>
      <c r="G3775" s="756" t="e">
        <f>IF($C$3775=0,NA(),VLOOKUP($I$3751&amp;$B$3775,FLNFIX!$DH$4:$EF$103,5,0))</f>
        <v>#N/A</v>
      </c>
      <c r="H3775" s="757"/>
      <c r="I3775" s="757"/>
      <c r="J3775" s="758"/>
      <c r="K3775" s="677"/>
    </row>
    <row r="3776" ht="5.1" customHeight="1" spans="1:11">
      <c r="A3776" s="675"/>
      <c r="B3776" s="759"/>
      <c r="C3776" s="759"/>
      <c r="D3776" s="760"/>
      <c r="E3776" s="760"/>
      <c r="F3776" s="760"/>
      <c r="G3776" s="761"/>
      <c r="H3776" s="761"/>
      <c r="I3776" s="761"/>
      <c r="J3776" s="761"/>
      <c r="K3776" s="677"/>
    </row>
    <row r="3777" s="667" customFormat="1" ht="24.95" customHeight="1" spans="1:11">
      <c r="A3777" s="711"/>
      <c r="B3777" s="762" t="s">
        <v>431</v>
      </c>
      <c r="C3777" s="763"/>
      <c r="D3777" s="763"/>
      <c r="E3777" s="763"/>
      <c r="F3777" s="763"/>
      <c r="G3777" s="763"/>
      <c r="H3777" s="763"/>
      <c r="I3777" s="763"/>
      <c r="J3777" s="764"/>
      <c r="K3777" s="713"/>
    </row>
    <row r="3778" spans="1:11">
      <c r="A3778" s="675"/>
      <c r="B3778" s="765"/>
      <c r="C3778" s="686"/>
      <c r="D3778" s="686"/>
      <c r="E3778" s="686"/>
      <c r="F3778" s="686"/>
      <c r="G3778" s="686"/>
      <c r="H3778" s="686"/>
      <c r="I3778" s="686"/>
      <c r="J3778" s="766"/>
      <c r="K3778" s="677"/>
    </row>
    <row r="3779" spans="1:11">
      <c r="A3779" s="675"/>
      <c r="B3779" s="765"/>
      <c r="C3779" s="686"/>
      <c r="D3779" s="686"/>
      <c r="E3779" s="686"/>
      <c r="F3779" s="686"/>
      <c r="G3779" s="686"/>
      <c r="H3779" s="686"/>
      <c r="I3779" s="686"/>
      <c r="J3779" s="766"/>
      <c r="K3779" s="677"/>
    </row>
    <row r="3780" spans="1:11">
      <c r="A3780" s="675"/>
      <c r="B3780" s="765"/>
      <c r="C3780" s="686"/>
      <c r="D3780" s="686"/>
      <c r="E3780" s="686"/>
      <c r="F3780" s="686"/>
      <c r="G3780" s="686"/>
      <c r="H3780" s="686"/>
      <c r="I3780" s="686"/>
      <c r="J3780" s="766"/>
      <c r="K3780" s="677"/>
    </row>
    <row r="3781" spans="1:11">
      <c r="A3781" s="675"/>
      <c r="B3781" s="765"/>
      <c r="C3781" s="686"/>
      <c r="D3781" s="686"/>
      <c r="E3781" s="686"/>
      <c r="F3781" s="686"/>
      <c r="G3781" s="686"/>
      <c r="H3781" s="686"/>
      <c r="I3781" s="686"/>
      <c r="J3781" s="766"/>
      <c r="K3781" s="677"/>
    </row>
    <row r="3782" spans="1:11">
      <c r="A3782" s="675"/>
      <c r="B3782" s="765"/>
      <c r="C3782" s="686"/>
      <c r="D3782" s="686"/>
      <c r="E3782" s="686"/>
      <c r="F3782" s="686"/>
      <c r="G3782" s="686"/>
      <c r="H3782" s="686"/>
      <c r="I3782" s="686"/>
      <c r="J3782" s="766"/>
      <c r="K3782" s="677"/>
    </row>
    <row r="3783" spans="1:11">
      <c r="A3783" s="675"/>
      <c r="B3783" s="765"/>
      <c r="C3783" s="686"/>
      <c r="D3783" s="686"/>
      <c r="E3783" s="686"/>
      <c r="F3783" s="686"/>
      <c r="G3783" s="686"/>
      <c r="H3783" s="686"/>
      <c r="I3783" s="686"/>
      <c r="J3783" s="766"/>
      <c r="K3783" s="677"/>
    </row>
    <row r="3784" spans="1:11">
      <c r="A3784" s="675"/>
      <c r="B3784" s="765"/>
      <c r="C3784" s="686"/>
      <c r="D3784" s="686"/>
      <c r="E3784" s="686"/>
      <c r="F3784" s="686"/>
      <c r="G3784" s="686"/>
      <c r="H3784" s="686"/>
      <c r="I3784" s="686"/>
      <c r="J3784" s="766"/>
      <c r="K3784" s="677"/>
    </row>
    <row r="3785" spans="1:11">
      <c r="A3785" s="675"/>
      <c r="B3785" s="765"/>
      <c r="C3785" s="686"/>
      <c r="D3785" s="686"/>
      <c r="E3785" s="686"/>
      <c r="F3785" s="686"/>
      <c r="G3785" s="686"/>
      <c r="H3785" s="686"/>
      <c r="I3785" s="686"/>
      <c r="J3785" s="766"/>
      <c r="K3785" s="677"/>
    </row>
    <row r="3786" spans="1:11">
      <c r="A3786" s="675"/>
      <c r="B3786" s="765"/>
      <c r="C3786" s="686"/>
      <c r="D3786" s="686"/>
      <c r="E3786" s="686"/>
      <c r="F3786" s="686"/>
      <c r="G3786" s="686"/>
      <c r="H3786" s="686"/>
      <c r="I3786" s="686"/>
      <c r="J3786" s="766"/>
      <c r="K3786" s="677"/>
    </row>
    <row r="3787" spans="1:11">
      <c r="A3787" s="675"/>
      <c r="B3787" s="767"/>
      <c r="C3787" s="768"/>
      <c r="D3787" s="768"/>
      <c r="E3787" s="768"/>
      <c r="F3787" s="768"/>
      <c r="G3787" s="768"/>
      <c r="H3787" s="768"/>
      <c r="I3787" s="768"/>
      <c r="J3787" s="769"/>
      <c r="K3787" s="677"/>
    </row>
    <row r="3788" ht="5.1" customHeight="1" spans="1:11">
      <c r="A3788" s="675"/>
      <c r="B3788" s="686"/>
      <c r="C3788" s="686"/>
      <c r="D3788" s="686"/>
      <c r="E3788" s="686"/>
      <c r="F3788" s="686"/>
      <c r="G3788" s="686"/>
      <c r="H3788" s="686"/>
      <c r="I3788" s="686"/>
      <c r="J3788" s="686"/>
      <c r="K3788" s="677"/>
    </row>
    <row r="3789" spans="1:11">
      <c r="A3789" s="675"/>
      <c r="B3789" s="770" t="s">
        <v>432</v>
      </c>
      <c r="C3789" s="770"/>
      <c r="D3789" s="770"/>
      <c r="E3789" s="770"/>
      <c r="F3789" s="770"/>
      <c r="G3789" s="770"/>
      <c r="H3789" s="770"/>
      <c r="I3789" s="770"/>
      <c r="J3789" s="770"/>
      <c r="K3789" s="677"/>
    </row>
    <row r="3790" spans="1:11">
      <c r="A3790" s="675"/>
      <c r="B3790" s="771"/>
      <c r="C3790" s="771"/>
      <c r="D3790" s="771"/>
      <c r="E3790" s="771"/>
      <c r="F3790" s="771"/>
      <c r="G3790" s="771"/>
      <c r="H3790" s="771"/>
      <c r="I3790" s="771"/>
      <c r="J3790" s="771"/>
      <c r="K3790" s="677"/>
    </row>
    <row r="3791" spans="1:11">
      <c r="A3791" s="675"/>
      <c r="B3791" s="771"/>
      <c r="C3791" s="771"/>
      <c r="D3791" s="771"/>
      <c r="E3791" s="771"/>
      <c r="F3791" s="771"/>
      <c r="G3791" s="771"/>
      <c r="H3791" s="771"/>
      <c r="I3791" s="771"/>
      <c r="J3791" s="771"/>
      <c r="K3791" s="677"/>
    </row>
    <row r="3792" spans="1:11">
      <c r="A3792" s="675"/>
      <c r="B3792" s="771"/>
      <c r="C3792" s="771"/>
      <c r="D3792" s="771"/>
      <c r="E3792" s="771"/>
      <c r="F3792" s="771"/>
      <c r="G3792" s="771"/>
      <c r="H3792" s="771"/>
      <c r="I3792" s="771"/>
      <c r="J3792" s="771"/>
      <c r="K3792" s="677"/>
    </row>
    <row r="3793" spans="1:11">
      <c r="A3793" s="675"/>
      <c r="B3793" s="686"/>
      <c r="C3793" s="686"/>
      <c r="D3793" s="686"/>
      <c r="E3793" s="686"/>
      <c r="F3793" s="686"/>
      <c r="G3793" s="686"/>
      <c r="H3793" s="686"/>
      <c r="I3793" s="686"/>
      <c r="J3793" s="686"/>
      <c r="K3793" s="677"/>
    </row>
    <row r="3794" spans="1:11">
      <c r="A3794" s="675"/>
      <c r="B3794" s="686"/>
      <c r="C3794" s="729" t="s">
        <v>433</v>
      </c>
      <c r="D3794" s="729"/>
      <c r="E3794" s="686"/>
      <c r="F3794" s="686"/>
      <c r="G3794" s="729" t="s">
        <v>434</v>
      </c>
      <c r="H3794" s="729"/>
      <c r="I3794" s="729"/>
      <c r="J3794" s="729"/>
      <c r="K3794" s="677"/>
    </row>
    <row r="3795" ht="16.35" spans="1:11">
      <c r="A3795" s="725"/>
      <c r="B3795" s="726"/>
      <c r="C3795" s="732" t="str">
        <f>"("&amp;PROPER(ENTRY!$D$19)&amp;")"</f>
        <v>(Indrajeet)</v>
      </c>
      <c r="D3795" s="732"/>
      <c r="E3795" s="726"/>
      <c r="F3795" s="726"/>
      <c r="G3795" s="732" t="str">
        <f>"("&amp;PROPER(ENTRY!$D$12)&amp;")"</f>
        <v>(Shambhu Dayal Meena)</v>
      </c>
      <c r="H3795" s="732"/>
      <c r="I3795" s="732"/>
      <c r="J3795" s="732"/>
      <c r="K3795" s="728"/>
    </row>
    <row r="3796" ht="24.6" spans="1:11">
      <c r="B3796" s="734"/>
      <c r="C3796" s="734"/>
      <c r="D3796" s="669" t="str">
        <f>ENTRY!$D$3</f>
        <v>MUNICIPAL CORPORATION OF DELHI</v>
      </c>
      <c r="E3796" s="669"/>
      <c r="F3796" s="669"/>
      <c r="G3796" s="669"/>
      <c r="H3796" s="734"/>
      <c r="I3796" s="669"/>
      <c r="J3796" s="669"/>
    </row>
    <row r="3797" ht="20.4" spans="1:11">
      <c r="B3797" s="735"/>
      <c r="C3797" s="735"/>
      <c r="D3797" s="670" t="str">
        <f>ENTRY!$D$4</f>
        <v>EDUCATION DEPARTMENT</v>
      </c>
      <c r="E3797" s="670"/>
      <c r="F3797" s="670"/>
      <c r="G3797" s="670"/>
      <c r="H3797" s="735"/>
      <c r="I3797" s="669"/>
      <c r="J3797" s="669"/>
    </row>
    <row r="3798" ht="22.8" spans="1:11">
      <c r="B3798" s="736"/>
      <c r="C3798" s="736"/>
      <c r="D3798" s="664" t="s">
        <v>417</v>
      </c>
      <c r="E3798" s="664"/>
      <c r="F3798" s="664"/>
      <c r="G3798" s="664"/>
      <c r="H3798" s="736"/>
      <c r="I3798" s="669"/>
      <c r="J3798" s="669"/>
    </row>
    <row r="3799" ht="22.8" spans="1:11">
      <c r="B3799" s="736"/>
      <c r="C3799" s="736"/>
      <c r="D3799" s="664" t="s">
        <v>418</v>
      </c>
      <c r="E3799" s="664"/>
      <c r="F3799" s="664"/>
      <c r="G3799" s="664"/>
      <c r="H3799" s="736"/>
      <c r="I3799" s="669"/>
      <c r="J3799" s="669"/>
    </row>
    <row r="3800" ht="24.95" customHeight="1" spans="1:11">
      <c r="B3800" s="735"/>
      <c r="C3800" s="735"/>
      <c r="D3800" s="737" t="str">
        <f>"SESSION : "&amp;ENTRY!$D$11</f>
        <v>SESSION : 2026-27</v>
      </c>
      <c r="E3800" s="737"/>
      <c r="F3800" s="737"/>
      <c r="G3800" s="737"/>
      <c r="H3800" s="735"/>
      <c r="I3800" s="738"/>
      <c r="J3800" s="738"/>
    </row>
    <row r="3801" ht="3.75" customHeight="1" spans="1:11">
      <c r="A3801" s="672"/>
      <c r="B3801" s="739"/>
      <c r="C3801" s="739"/>
      <c r="D3801" s="739"/>
      <c r="E3801" s="739"/>
      <c r="F3801" s="739"/>
      <c r="G3801" s="739"/>
      <c r="H3801" s="739"/>
      <c r="I3801" s="739"/>
      <c r="J3801" s="739"/>
      <c r="K3801" s="674"/>
    </row>
    <row r="3802" ht="21.95" customHeight="1" spans="1:11">
      <c r="A3802" s="675"/>
      <c r="B3802" s="676" t="s">
        <v>419</v>
      </c>
      <c r="C3802" s="676"/>
      <c r="D3802" s="676" t="str">
        <f>ENTRY!$D$6</f>
        <v>MCP NITHARI NO 1 BOYS</v>
      </c>
      <c r="E3802" s="676"/>
      <c r="F3802" s="676"/>
      <c r="G3802" s="676"/>
      <c r="H3802" s="676"/>
      <c r="I3802" s="676"/>
      <c r="J3802" s="676"/>
      <c r="K3802" s="677"/>
    </row>
    <row r="3803" ht="21.95" customHeight="1" spans="1:11">
      <c r="A3803" s="675"/>
      <c r="B3803" s="676" t="s">
        <v>420</v>
      </c>
      <c r="C3803" s="676"/>
      <c r="D3803" s="740">
        <f>IFERROR(VLOOKUP($I$3806,STUDENT!$A$2:$BP$101,5,0),"")</f>
        <v>0</v>
      </c>
      <c r="E3803" s="740"/>
      <c r="F3803" s="740"/>
      <c r="G3803" s="740"/>
      <c r="H3803" s="740"/>
      <c r="I3803" s="740"/>
      <c r="J3803" s="740"/>
      <c r="K3803" s="677"/>
    </row>
    <row r="3804" ht="21.95" customHeight="1" spans="1:11">
      <c r="A3804" s="675"/>
      <c r="B3804" s="676" t="s">
        <v>421</v>
      </c>
      <c r="C3804" s="676"/>
      <c r="D3804" s="740">
        <f>IFERROR(VLOOKUP($I$3806,STUDENT!$A$2:$BP$101,8,0),"")</f>
        <v>0</v>
      </c>
      <c r="E3804" s="740"/>
      <c r="F3804" s="740"/>
      <c r="G3804" s="740"/>
      <c r="H3804" s="740"/>
      <c r="I3804" s="740"/>
      <c r="J3804" s="740"/>
      <c r="K3804" s="677"/>
    </row>
    <row r="3805" ht="21.95" customHeight="1" spans="1:11">
      <c r="A3805" s="675"/>
      <c r="B3805" s="676" t="s">
        <v>422</v>
      </c>
      <c r="C3805" s="676"/>
      <c r="D3805" s="740">
        <f>IFERROR(VLOOKUP($I$3806,STUDENT!$A$2:$BP$101,6,0),"")</f>
        <v>0</v>
      </c>
      <c r="E3805" s="740"/>
      <c r="F3805" s="740"/>
      <c r="G3805" s="740"/>
      <c r="H3805" s="740"/>
      <c r="I3805" s="740"/>
      <c r="J3805" s="740"/>
      <c r="K3805" s="677"/>
    </row>
    <row r="3806" ht="21.95" customHeight="1" spans="1:11">
      <c r="A3806" s="675"/>
      <c r="B3806" s="676" t="s">
        <v>423</v>
      </c>
      <c r="C3806" s="676"/>
      <c r="D3806" s="741" t="str">
        <f>IFERROR(VLOOKUP($I$3806,STUDENT!$A$2:$BP$101,59,0),"")</f>
        <v/>
      </c>
      <c r="E3806" s="742" t="s">
        <v>424</v>
      </c>
      <c r="F3806" s="704" t="str">
        <f>IFERROR(VLOOKUP($I$3806,STUDENT!$A$2:$BP$101,2,0),"")</f>
        <v>III-A</v>
      </c>
      <c r="G3806" s="742" t="s">
        <v>425</v>
      </c>
      <c r="H3806" s="743"/>
      <c r="I3806" s="733">
        <f>I3751+1</f>
        <v>70</v>
      </c>
      <c r="J3806" s="683"/>
      <c r="K3806" s="677"/>
    </row>
    <row r="3807" ht="5.1" customHeight="1" spans="1:11">
      <c r="A3807" s="675"/>
      <c r="B3807" s="745"/>
      <c r="C3807" s="745"/>
      <c r="D3807" s="746"/>
      <c r="E3807" s="747"/>
      <c r="F3807" s="748"/>
      <c r="G3807" s="747"/>
      <c r="H3807" s="686"/>
      <c r="I3807" s="686"/>
      <c r="J3807" s="686"/>
      <c r="K3807" s="677"/>
    </row>
    <row r="3808" s="664" customFormat="1" ht="32.1" customHeight="1" spans="1:11">
      <c r="A3808" s="688"/>
      <c r="B3808" s="749" t="s">
        <v>426</v>
      </c>
      <c r="C3808" s="750"/>
      <c r="D3808" s="750"/>
      <c r="E3808" s="750"/>
      <c r="F3808" s="750"/>
      <c r="G3808" s="750"/>
      <c r="H3808" s="750"/>
      <c r="I3808" s="750"/>
      <c r="J3808" s="751"/>
      <c r="K3808" s="690"/>
    </row>
    <row r="3809" ht="51.6" spans="1:11">
      <c r="A3809" s="675"/>
      <c r="B3809" s="752">
        <v>21</v>
      </c>
      <c r="C3809" s="753" t="s">
        <v>427</v>
      </c>
      <c r="D3809" s="754" t="s">
        <v>428</v>
      </c>
      <c r="E3809" s="754" t="s">
        <v>429</v>
      </c>
      <c r="F3809" s="754" t="s">
        <v>430</v>
      </c>
      <c r="G3809" s="753" t="s">
        <v>390</v>
      </c>
      <c r="H3809" s="714"/>
      <c r="I3809" s="714"/>
      <c r="J3809" s="714"/>
      <c r="K3809" s="677"/>
    </row>
    <row r="3810" ht="20.1" customHeight="1" spans="1:11">
      <c r="A3810" s="675"/>
      <c r="B3810" s="755">
        <v>1</v>
      </c>
      <c r="C3810" s="755" t="str">
        <f>IFERROR(VLOOKUP(B3810,DATEWISE!$A$3:$BY$27,2,0),0)</f>
        <v>30.04.2026</v>
      </c>
      <c r="D3810" s="755">
        <f>IF($C$3810=0,NA(),VLOOKUP($I$3806&amp;$B$3810,FLNFIX!$L$4:$EF$103,2,0))</f>
        <v>0</v>
      </c>
      <c r="E3810" s="755">
        <f>IF($C$3810=0,NA(),VLOOKUP($I$3806&amp;$B$3810,FLNFIX!$L$4:$EF$103,4,0))</f>
        <v>0</v>
      </c>
      <c r="F3810" s="755">
        <f>IF($C$3810=0,NA(),VLOOKUP($I$3806&amp;$B$3810,FLNFIX!$L$4:$EF$103,3,0))</f>
        <v>0</v>
      </c>
      <c r="G3810" s="756">
        <f>IF($C$3810=0,NA(),VLOOKUP($I$3806&amp;$B$3810,FLNFIX!$L$4:$EF$103,5,0))</f>
        <v>0</v>
      </c>
      <c r="H3810" s="757"/>
      <c r="I3810" s="757"/>
      <c r="J3810" s="758"/>
      <c r="K3810" s="677"/>
    </row>
    <row r="3811" ht="20.1" customHeight="1" spans="1:11">
      <c r="A3811" s="675"/>
      <c r="B3811" s="755">
        <f t="shared" ref="B3811:B3830" si="69">IF(B3810=0,0,IF(B3810&lt;$B$3809,B3810+1,""))</f>
        <v>2</v>
      </c>
      <c r="C3811" s="755" t="str">
        <f>IFERROR(VLOOKUP(B3811,DATEWISE!$A$3:$BY$27,2,0),0)</f>
        <v>08.05.2026</v>
      </c>
      <c r="D3811" s="755">
        <f>IF($C$3811=0,NA(),VLOOKUP($I$3806&amp;$B$3811,FLNFIX!$Q$4:$EF$103,2,0))</f>
        <v>0</v>
      </c>
      <c r="E3811" s="755">
        <f>IF($C$3811=0,NA(),VLOOKUP($I$3806&amp;$B$3811,FLNFIX!$Q$4:$EF$103,4,0))</f>
        <v>0</v>
      </c>
      <c r="F3811" s="755">
        <f>IF($C$3811=0,NA(),VLOOKUP($I$3806&amp;$B$3811,FLNFIX!$Q$4:$EF$103,3,0))</f>
        <v>0</v>
      </c>
      <c r="G3811" s="756">
        <f>IF($C$3811=0,NA(),VLOOKUP($I$3806&amp;$B$3811,FLNFIX!$Q$4:$EF$103,5,0))</f>
        <v>0</v>
      </c>
      <c r="H3811" s="757"/>
      <c r="I3811" s="757"/>
      <c r="J3811" s="758"/>
      <c r="K3811" s="677"/>
    </row>
    <row r="3812" ht="20.1" customHeight="1" spans="1:11">
      <c r="A3812" s="675"/>
      <c r="B3812" s="755">
        <f t="shared" si="69"/>
        <v>3</v>
      </c>
      <c r="C3812" s="755" t="str">
        <f>IFERROR(VLOOKUP(B3812,DATEWISE!$A$3:$BY$27,2,0),0)</f>
        <v>15.07.2026</v>
      </c>
      <c r="D3812" s="755">
        <f>IF($C$3812=0,NA(),VLOOKUP($I$3806&amp;$B$3812,FLNFIX!$V$4:$EF$103,2,0))</f>
        <v>0</v>
      </c>
      <c r="E3812" s="755">
        <f>IF($C$3812=0,NA(),VLOOKUP($I$3806&amp;$B$3812,FLNFIX!$V$4:$EF$103,4,0))</f>
        <v>0</v>
      </c>
      <c r="F3812" s="755">
        <f>IF($C$3812=0,NA(),VLOOKUP($I$3806&amp;$B$3812,FLNFIX!$V$4:$EF$103,3,0))</f>
        <v>0</v>
      </c>
      <c r="G3812" s="756">
        <f>IF($C$3812=0,NA(),VLOOKUP($I$3806&amp;$B$3812,FLNFIX!$V$4:$EF$103,5,0))</f>
        <v>0</v>
      </c>
      <c r="H3812" s="757"/>
      <c r="I3812" s="757"/>
      <c r="J3812" s="758"/>
      <c r="K3812" s="677"/>
    </row>
    <row r="3813" ht="20.1" customHeight="1" spans="1:11">
      <c r="A3813" s="675"/>
      <c r="B3813" s="755">
        <f t="shared" si="69"/>
        <v>4</v>
      </c>
      <c r="C3813" s="755" t="str">
        <f>IFERROR(VLOOKUP(B3813,DATEWISE!$A$3:$BY$27,2,0),0)</f>
        <v>31.07.2026</v>
      </c>
      <c r="D3813" s="755">
        <f>IF($C$3813=0,NA(),VLOOKUP($I$3806&amp;$B$3813,FLNFIX!$AA$4:$EF$103,2,0))</f>
        <v>0</v>
      </c>
      <c r="E3813" s="755">
        <f>IF($C$3813=0,NA(),VLOOKUP($I$3806&amp;$B$3813,FLNFIX!$AA$4:$EF$103,4,0))</f>
        <v>0</v>
      </c>
      <c r="F3813" s="755">
        <f>IF($C$3813=0,NA(),VLOOKUP($I$3806&amp;$B$3813,FLNFIX!$AA$4:$EF$103,3,0))</f>
        <v>0</v>
      </c>
      <c r="G3813" s="756">
        <f>IF($C$3813=0,NA(),VLOOKUP($I$3806&amp;$B$3813,FLNFIX!$AA$4:$EF$103,5,0))</f>
        <v>0</v>
      </c>
      <c r="H3813" s="757"/>
      <c r="I3813" s="757"/>
      <c r="J3813" s="758"/>
      <c r="K3813" s="677"/>
    </row>
    <row r="3814" ht="20.1" customHeight="1" spans="1:11">
      <c r="A3814" s="675"/>
      <c r="B3814" s="755">
        <f t="shared" si="69"/>
        <v>5</v>
      </c>
      <c r="C3814" s="755" t="str">
        <f>IFERROR(VLOOKUP(B3814,DATEWISE!$A$3:$BY$27,2,0),0)</f>
        <v>17.08.2026</v>
      </c>
      <c r="D3814" s="755">
        <f>IF($C$3814=0,NA(),VLOOKUP($I$3806&amp;$B$3814,FLNFIX!$AF$4:$EF$103,2,0))</f>
        <v>0</v>
      </c>
      <c r="E3814" s="755">
        <f>IF($C$3814=0,NA(),VLOOKUP($I$3806&amp;$B$3814,FLNFIX!$AF$4:$EF$103,4,0))</f>
        <v>0</v>
      </c>
      <c r="F3814" s="755">
        <f>IF($C$3814=0,NA(),VLOOKUP($I$3806&amp;$B$3814,FLNFIX!$AF$4:$EF$103,3,0))</f>
        <v>0</v>
      </c>
      <c r="G3814" s="756">
        <f>IF($C$3814=0,NA(),VLOOKUP($I$3806&amp;$B$3814,FLNFIX!$AF$4:$EF$103,5,0))</f>
        <v>0</v>
      </c>
      <c r="H3814" s="757"/>
      <c r="I3814" s="757"/>
      <c r="J3814" s="758"/>
      <c r="K3814" s="677"/>
    </row>
    <row r="3815" ht="20.1" customHeight="1" spans="1:11">
      <c r="A3815" s="675"/>
      <c r="B3815" s="755">
        <f t="shared" si="69"/>
        <v>6</v>
      </c>
      <c r="C3815" s="755" t="str">
        <f>IFERROR(VLOOKUP(B3815,DATEWISE!$A$3:$BY$27,2,0),0)</f>
        <v>31.08.2026</v>
      </c>
      <c r="D3815" s="755">
        <f>IF($C$3815=0,NA(),VLOOKUP($I$3806&amp;$B$3815,FLNFIX!$AK$4:$EF$103,2,0))</f>
        <v>0</v>
      </c>
      <c r="E3815" s="755">
        <f>IF($C$3815=0,NA(),VLOOKUP($I$3806&amp;$B$3815,FLNFIX!$AK$4:$EF$103,4,0))</f>
        <v>0</v>
      </c>
      <c r="F3815" s="755">
        <f>IF($C$3815=0,NA(),VLOOKUP($I$3806&amp;$B$3815,FLNFIX!$AK$4:$EF$103,3,0))</f>
        <v>0</v>
      </c>
      <c r="G3815" s="756">
        <f>IF($C$3815=0,NA(),VLOOKUP($I$3806&amp;$B$3815,FLNFIX!$AK$4:$EF$103,5,0))</f>
        <v>0</v>
      </c>
      <c r="H3815" s="757"/>
      <c r="I3815" s="757"/>
      <c r="J3815" s="758"/>
      <c r="K3815" s="677"/>
    </row>
    <row r="3816" ht="20.1" customHeight="1" spans="1:11">
      <c r="A3816" s="675"/>
      <c r="B3816" s="755">
        <f t="shared" si="69"/>
        <v>7</v>
      </c>
      <c r="C3816" s="755">
        <f>IFERROR(VLOOKUP(B3816,DATEWISE!$A$3:$BY$27,2,0),0)</f>
        <v>0</v>
      </c>
      <c r="D3816" s="755" t="e">
        <f>IF($C$3816=0,NA(),VLOOKUP($I$3806&amp;$B$3816,FLNFIX!$AP$4:$EF$103,2,0))</f>
        <v>#N/A</v>
      </c>
      <c r="E3816" s="755" t="e">
        <f>IF($C$3816=0,NA(),VLOOKUP($I$3806&amp;$B$3816,FLNFIX!$AP$4:$EF$103,4,0))</f>
        <v>#N/A</v>
      </c>
      <c r="F3816" s="755" t="e">
        <f>IF($C$3816=0,NA(),VLOOKUP($I$3806&amp;$B$3816,FLNFIX!$AP$4:$EF$103,3,0))</f>
        <v>#N/A</v>
      </c>
      <c r="G3816" s="756" t="e">
        <f>IF($C$3816=0,NA(),VLOOKUP($I$3806&amp;$B$3816,FLNFIX!$AP$4:$EF$103,5,0))</f>
        <v>#N/A</v>
      </c>
      <c r="H3816" s="757"/>
      <c r="I3816" s="757"/>
      <c r="J3816" s="758"/>
      <c r="K3816" s="677"/>
    </row>
    <row r="3817" ht="20.1" customHeight="1" spans="1:11">
      <c r="A3817" s="675"/>
      <c r="B3817" s="755">
        <f t="shared" si="69"/>
        <v>8</v>
      </c>
      <c r="C3817" s="755">
        <f>IFERROR(VLOOKUP(B3817,DATEWISE!$A$3:$BY$27,2,0),0)</f>
        <v>0</v>
      </c>
      <c r="D3817" s="755" t="e">
        <f>IF($C$3817=0,NA(),VLOOKUP($I$3806&amp;$B$3817,FLNFIX!$AU$4:$EF$103,2,0))</f>
        <v>#N/A</v>
      </c>
      <c r="E3817" s="755" t="e">
        <f>IF($C$3817=0,NA(),VLOOKUP($I$3806&amp;$B$3817,FLNFIX!$AU$4:$EF$103,4,0))</f>
        <v>#N/A</v>
      </c>
      <c r="F3817" s="755" t="e">
        <f>IF($C$3817=0,NA(),VLOOKUP($I$3806&amp;$B$3817,FLNFIX!$AU$4:$EF$103,3,0))</f>
        <v>#N/A</v>
      </c>
      <c r="G3817" s="756" t="e">
        <f>IF($C$3817=0,NA(),VLOOKUP($I$3806&amp;$B$3817,FLNFIX!$AU$4:$EF$103,5,0))</f>
        <v>#N/A</v>
      </c>
      <c r="H3817" s="757"/>
      <c r="I3817" s="757"/>
      <c r="J3817" s="758"/>
      <c r="K3817" s="677"/>
    </row>
    <row r="3818" ht="20.1" customHeight="1" spans="1:11">
      <c r="A3818" s="675"/>
      <c r="B3818" s="755">
        <f t="shared" si="69"/>
        <v>9</v>
      </c>
      <c r="C3818" s="755">
        <f>IFERROR(VLOOKUP(B3818,DATEWISE!$A$3:$BY$27,2,0),0)</f>
        <v>0</v>
      </c>
      <c r="D3818" s="755" t="e">
        <f>IF($C$3818=0,NA(),VLOOKUP($I$3806&amp;$B$3818,FLNFIX!$AZ$4:$EF$103,2,0))</f>
        <v>#N/A</v>
      </c>
      <c r="E3818" s="755" t="e">
        <f>IF($C$3818=0,NA(),VLOOKUP($I$3806&amp;$B$3818,FLNFIX!$AZ$4:$EF$103,4,0))</f>
        <v>#N/A</v>
      </c>
      <c r="F3818" s="755" t="e">
        <f>IF($C$3818=0,NA(),VLOOKUP($I$3806&amp;$B$3818,FLNFIX!$AZ$4:$EF$103,3,0))</f>
        <v>#N/A</v>
      </c>
      <c r="G3818" s="756" t="e">
        <f>IF($C$3818=0,NA(),VLOOKUP($I$3806&amp;$B$3818,FLNFIX!$AZ$4:$EF$103,5,0))</f>
        <v>#N/A</v>
      </c>
      <c r="H3818" s="757"/>
      <c r="I3818" s="757"/>
      <c r="J3818" s="758"/>
      <c r="K3818" s="677"/>
    </row>
    <row r="3819" ht="20.1" customHeight="1" spans="1:11">
      <c r="A3819" s="675"/>
      <c r="B3819" s="755">
        <f t="shared" si="69"/>
        <v>10</v>
      </c>
      <c r="C3819" s="755">
        <f>IFERROR(VLOOKUP(B3819,DATEWISE!$A$3:$BY$27,2,0),0)</f>
        <v>0</v>
      </c>
      <c r="D3819" s="755" t="e">
        <f>IF($C$3819=0,NA(),VLOOKUP($I$3806&amp;$B$3819,FLNFIX!$BE$4:$EF$103,2,0))</f>
        <v>#N/A</v>
      </c>
      <c r="E3819" s="755" t="e">
        <f>IF($C$3819=0,NA(),VLOOKUP($I$3806&amp;$B$3819,FLNFIX!$BE$4:$EF$103,4,0))</f>
        <v>#N/A</v>
      </c>
      <c r="F3819" s="755" t="e">
        <f>IF($C$3819=0,NA(),VLOOKUP($I$3806&amp;$B$3819,FLNFIX!$BE$4:$EF$103,3,0))</f>
        <v>#N/A</v>
      </c>
      <c r="G3819" s="756" t="e">
        <f>IF($C$3819=0,NA(),VLOOKUP($I$3806&amp;$B$3819,FLNFIX!$BE$4:$EF$103,5,0))</f>
        <v>#N/A</v>
      </c>
      <c r="H3819" s="757"/>
      <c r="I3819" s="757"/>
      <c r="J3819" s="758"/>
      <c r="K3819" s="677"/>
    </row>
    <row r="3820" ht="20.1" customHeight="1" spans="1:11">
      <c r="A3820" s="675"/>
      <c r="B3820" s="755">
        <f t="shared" si="69"/>
        <v>11</v>
      </c>
      <c r="C3820" s="755">
        <f>IFERROR(VLOOKUP(B3820,DATEWISE!$A$3:$BY$27,2,0),0)</f>
        <v>0</v>
      </c>
      <c r="D3820" s="755" t="e">
        <f>IF($C$3820=0,NA(),VLOOKUP($I$3806&amp;$B$3820,FLNFIX!$BJ$4:$EF$103,2,0))</f>
        <v>#N/A</v>
      </c>
      <c r="E3820" s="755" t="e">
        <f>IF($C$3820=0,NA(),VLOOKUP($I$3806&amp;$B$3820,FLNFIX!$BJ$4:$EF$103,4,0))</f>
        <v>#N/A</v>
      </c>
      <c r="F3820" s="755" t="e">
        <f>IF($C$3820=0,NA(),VLOOKUP($I$3806&amp;$B$3820,FLNFIX!$BJ$4:$EF$103,3,0))</f>
        <v>#N/A</v>
      </c>
      <c r="G3820" s="756" t="e">
        <f>IF($C$3820=0,NA(),VLOOKUP($I$3806&amp;$B$3820,FLNFIX!$BJ$4:$EF$103,5,0))</f>
        <v>#N/A</v>
      </c>
      <c r="H3820" s="757"/>
      <c r="I3820" s="757"/>
      <c r="J3820" s="758"/>
      <c r="K3820" s="677"/>
    </row>
    <row r="3821" ht="20.1" customHeight="1" spans="1:11">
      <c r="A3821" s="675"/>
      <c r="B3821" s="755">
        <f t="shared" si="69"/>
        <v>12</v>
      </c>
      <c r="C3821" s="755">
        <f>IFERROR(VLOOKUP(B3821,DATEWISE!$A$3:$BY$27,2,0),0)</f>
        <v>0</v>
      </c>
      <c r="D3821" s="755" t="e">
        <f>IF($C$3821=0,NA(),VLOOKUP($I$3806&amp;$B$3821,FLNFIX!$BO$4:$EF$103,2,0))</f>
        <v>#N/A</v>
      </c>
      <c r="E3821" s="755" t="e">
        <f>IF($C$3821=0,NA(),VLOOKUP($I$3806&amp;$B$3821,FLNFIX!$BO$4:$EF$103,4,0))</f>
        <v>#N/A</v>
      </c>
      <c r="F3821" s="755" t="e">
        <f>IF($C$3821=0,NA(),VLOOKUP($I$3806&amp;$B$3821,FLNFIX!$BO$4:$EF$103,3,0))</f>
        <v>#N/A</v>
      </c>
      <c r="G3821" s="756" t="e">
        <f>IF($C$3821=0,NA(),VLOOKUP($I$3806&amp;$B$3821,FLNFIX!$BO$4:$EF$103,5,0))</f>
        <v>#N/A</v>
      </c>
      <c r="H3821" s="757"/>
      <c r="I3821" s="757"/>
      <c r="J3821" s="758"/>
      <c r="K3821" s="677"/>
    </row>
    <row r="3822" ht="20.1" customHeight="1" spans="1:11">
      <c r="A3822" s="675"/>
      <c r="B3822" s="755">
        <f t="shared" si="69"/>
        <v>13</v>
      </c>
      <c r="C3822" s="755">
        <f>IFERROR(VLOOKUP(B3822,DATEWISE!$A$3:$BY$27,2,0),0)</f>
        <v>0</v>
      </c>
      <c r="D3822" s="755" t="e">
        <f>IF($C$3822=0,NA(),VLOOKUP($I$3806&amp;$B$3822,FLNFIX!$BT$4:$EF$103,2,0))</f>
        <v>#N/A</v>
      </c>
      <c r="E3822" s="755" t="e">
        <f>IF($C$3822=0,NA(),VLOOKUP($I$3806&amp;$B$3822,FLNFIX!$BT$4:$EF$103,4,0))</f>
        <v>#N/A</v>
      </c>
      <c r="F3822" s="755" t="e">
        <f>IF($C$3822=0,NA(),VLOOKUP($I$3806&amp;$B$3822,FLNFIX!$BT$4:$EF$103,3,0))</f>
        <v>#N/A</v>
      </c>
      <c r="G3822" s="756" t="e">
        <f>IF($C$3822=0,NA(),VLOOKUP($I$3806&amp;$B$3822,FLNFIX!$BT$4:$EF$103,5,0))</f>
        <v>#N/A</v>
      </c>
      <c r="H3822" s="757"/>
      <c r="I3822" s="757"/>
      <c r="J3822" s="758"/>
      <c r="K3822" s="677"/>
    </row>
    <row r="3823" ht="20.1" customHeight="1" spans="1:11">
      <c r="A3823" s="675"/>
      <c r="B3823" s="755">
        <f t="shared" si="69"/>
        <v>14</v>
      </c>
      <c r="C3823" s="755">
        <f>IFERROR(VLOOKUP(B3823,DATEWISE!$A$3:$BY$27,2,0),0)</f>
        <v>0</v>
      </c>
      <c r="D3823" s="755" t="e">
        <f>IF($C$3823=0,NA(),VLOOKUP($I$3806&amp;$B$3823,FLNFIX!$BY$4:$EF$103,2,0))</f>
        <v>#N/A</v>
      </c>
      <c r="E3823" s="755" t="e">
        <f>IF($C$3823=0,NA(),VLOOKUP($I$3806&amp;$B$3823,FLNFIX!$BY$4:$EF$103,4,0))</f>
        <v>#N/A</v>
      </c>
      <c r="F3823" s="755" t="e">
        <f>IF($C$3823=0,NA(),VLOOKUP($I$3806&amp;$B$3823,FLNFIX!$BY$4:$EF$103,3,0))</f>
        <v>#N/A</v>
      </c>
      <c r="G3823" s="756" t="e">
        <f>IF($C$3823=0,NA(),VLOOKUP($I$3806&amp;$B$3823,FLNFIX!$BY$4:$EF$103,5,0))</f>
        <v>#N/A</v>
      </c>
      <c r="H3823" s="757"/>
      <c r="I3823" s="757"/>
      <c r="J3823" s="758"/>
      <c r="K3823" s="677"/>
    </row>
    <row r="3824" ht="20.1" customHeight="1" spans="1:11">
      <c r="A3824" s="675"/>
      <c r="B3824" s="755">
        <f t="shared" si="69"/>
        <v>15</v>
      </c>
      <c r="C3824" s="755">
        <f>IFERROR(VLOOKUP(B3824,DATEWISE!$A$3:$BY$27,2,0),0)</f>
        <v>0</v>
      </c>
      <c r="D3824" s="755" t="e">
        <f>IF($C$3824=0,NA(),VLOOKUP($I$3806&amp;$B$3824,FLNFIX!$CD$4:$EF$103,2,0))</f>
        <v>#N/A</v>
      </c>
      <c r="E3824" s="755" t="e">
        <f>IF($C$3824=0,NA(),VLOOKUP($I$3806&amp;$B$3824,FLNFIX!$CD$4:$EF$103,4,0))</f>
        <v>#N/A</v>
      </c>
      <c r="F3824" s="755" t="e">
        <f>IF($C$3824=0,NA(),VLOOKUP($I$3806&amp;$B$3824,FLNFIX!$CD$4:$EF$103,3,0))</f>
        <v>#N/A</v>
      </c>
      <c r="G3824" s="756" t="e">
        <f>IF($C$3824=0,NA(),VLOOKUP($I$3806&amp;$B$3824,FLNFIX!$CD$4:$EF$103,5,0))</f>
        <v>#N/A</v>
      </c>
      <c r="H3824" s="757"/>
      <c r="I3824" s="757"/>
      <c r="J3824" s="758"/>
      <c r="K3824" s="677"/>
    </row>
    <row r="3825" ht="20.1" customHeight="1" spans="1:11">
      <c r="A3825" s="675"/>
      <c r="B3825" s="755">
        <f t="shared" si="69"/>
        <v>16</v>
      </c>
      <c r="C3825" s="755">
        <f>IFERROR(VLOOKUP(B3825,DATEWISE!$A$3:$BY$27,2,0),0)</f>
        <v>0</v>
      </c>
      <c r="D3825" s="755" t="e">
        <f>IF($C$3825=0,NA(),VLOOKUP($I$3806&amp;$B$3825,FLNFIX!$CI$4:$EF$103,2,0))</f>
        <v>#N/A</v>
      </c>
      <c r="E3825" s="755" t="e">
        <f>IF($C$3825=0,NA(),VLOOKUP($I$3806&amp;$B$3825,FLNFIX!$CI$4:$EF$103,4,0))</f>
        <v>#N/A</v>
      </c>
      <c r="F3825" s="755" t="e">
        <f>IF($C$3825=0,NA(),VLOOKUP($I$3806&amp;$B$3825,FLNFIX!$CI$4:$EF$103,3,0))</f>
        <v>#N/A</v>
      </c>
      <c r="G3825" s="756" t="e">
        <f>IF($C$3825=0,NA(),VLOOKUP($I$3806&amp;$B$3825,FLNFIX!$CI$4:$EF$103,5,0))</f>
        <v>#N/A</v>
      </c>
      <c r="H3825" s="757"/>
      <c r="I3825" s="757"/>
      <c r="J3825" s="758"/>
      <c r="K3825" s="677"/>
    </row>
    <row r="3826" ht="20.1" customHeight="1" spans="1:11">
      <c r="A3826" s="675"/>
      <c r="B3826" s="755">
        <f t="shared" si="69"/>
        <v>17</v>
      </c>
      <c r="C3826" s="755">
        <f>IFERROR(VLOOKUP(B3826,DATEWISE!$A$3:$BY$27,2,0),0)</f>
        <v>0</v>
      </c>
      <c r="D3826" s="755" t="e">
        <f>IF($C$3826=0,NA(),VLOOKUP($I$3806&amp;$B$3826,FLNFIX!$CN$4:$EF$103,2,0))</f>
        <v>#N/A</v>
      </c>
      <c r="E3826" s="755" t="e">
        <f>IF($C$3826=0,NA(),VLOOKUP($I$3806&amp;$B$3826,FLNFIX!$CN$4:$EF$103,4,0))</f>
        <v>#N/A</v>
      </c>
      <c r="F3826" s="755" t="e">
        <f>IF($C$3826=0,NA(),VLOOKUP($I$3806&amp;$B$3826,FLNFIX!$CN$4:$EF$103,3,0))</f>
        <v>#N/A</v>
      </c>
      <c r="G3826" s="756" t="e">
        <f>IF($C$3826=0,NA(),VLOOKUP($I$3806&amp;$B$3826,FLNFIX!$CN$4:$EF$103,5,0))</f>
        <v>#N/A</v>
      </c>
      <c r="H3826" s="757"/>
      <c r="I3826" s="757"/>
      <c r="J3826" s="758"/>
      <c r="K3826" s="677"/>
    </row>
    <row r="3827" ht="20.1" customHeight="1" spans="1:11">
      <c r="A3827" s="675"/>
      <c r="B3827" s="755">
        <f t="shared" si="69"/>
        <v>18</v>
      </c>
      <c r="C3827" s="755">
        <f>IFERROR(VLOOKUP(B3827,DATEWISE!$A$3:$BY$27,2,0),0)</f>
        <v>0</v>
      </c>
      <c r="D3827" s="755" t="e">
        <f>IF($C$3827=0,NA(),VLOOKUP($I$3806&amp;$B$3827,FLNFIX!$CS$4:$EF$103,2,0))</f>
        <v>#N/A</v>
      </c>
      <c r="E3827" s="755" t="e">
        <f>IF($C$3827=0,NA(),VLOOKUP($I$3806&amp;$B$3827,FLNFIX!$CS$4:$EF$103,4,0))</f>
        <v>#N/A</v>
      </c>
      <c r="F3827" s="755" t="e">
        <f>IF($C$3827=0,NA(),VLOOKUP($I$3806&amp;$B$3827,FLNFIX!$CS$4:$EF$103,3,0))</f>
        <v>#N/A</v>
      </c>
      <c r="G3827" s="756" t="e">
        <f>IF($C$3827=0,NA(),VLOOKUP($I$3806&amp;$B$3827,FLNFIX!$CS$4:$EF$103,5,0))</f>
        <v>#N/A</v>
      </c>
      <c r="H3827" s="757"/>
      <c r="I3827" s="757"/>
      <c r="J3827" s="758"/>
      <c r="K3827" s="677"/>
    </row>
    <row r="3828" ht="20.1" customHeight="1" spans="1:11">
      <c r="A3828" s="675"/>
      <c r="B3828" s="755">
        <f t="shared" si="69"/>
        <v>19</v>
      </c>
      <c r="C3828" s="755">
        <f>IFERROR(VLOOKUP(B3828,DATEWISE!$A$3:$BY$27,2,0),0)</f>
        <v>0</v>
      </c>
      <c r="D3828" s="755" t="e">
        <f>IF($C$3828=0,NA(),VLOOKUP($I$3806&amp;$B$3828,FLNFIX!$CX$4:$EF$103,2,0))</f>
        <v>#N/A</v>
      </c>
      <c r="E3828" s="755" t="e">
        <f>IF($C$3828=0,NA(),VLOOKUP($I$3806&amp;$B$3828,FLNFIX!$CX$4:$EF$103,4,0))</f>
        <v>#N/A</v>
      </c>
      <c r="F3828" s="755" t="e">
        <f>IF($C$3828=0,NA(),VLOOKUP($I$3806&amp;$B$3828,FLNFIX!$CX$4:$EF$103,3,0))</f>
        <v>#N/A</v>
      </c>
      <c r="G3828" s="756" t="e">
        <f>IF($C$3828=0,NA(),VLOOKUP($I$3806&amp;$B$3828,FLNFIX!$CX$4:$EF$103,5,0))</f>
        <v>#N/A</v>
      </c>
      <c r="H3828" s="757"/>
      <c r="I3828" s="757"/>
      <c r="J3828" s="758"/>
      <c r="K3828" s="677"/>
    </row>
    <row r="3829" ht="20.1" customHeight="1" spans="1:11">
      <c r="A3829" s="675"/>
      <c r="B3829" s="755">
        <f t="shared" si="69"/>
        <v>20</v>
      </c>
      <c r="C3829" s="755">
        <f>IFERROR(VLOOKUP(B3829,DATEWISE!$A$3:$BY$27,2,0),0)</f>
        <v>0</v>
      </c>
      <c r="D3829" s="755" t="e">
        <f>IF($C$3829=0,NA(),VLOOKUP($I$3806&amp;$B$3829,FLNFIX!$DC$4:$EF$103,2,0))</f>
        <v>#N/A</v>
      </c>
      <c r="E3829" s="755" t="e">
        <f>IF($C$3829=0,NA(),VLOOKUP($I$3806&amp;$B$3829,FLNFIX!$DC$4:$EF$103,4,0))</f>
        <v>#N/A</v>
      </c>
      <c r="F3829" s="755" t="e">
        <f>IF($C$3829=0,NA(),VLOOKUP($I$3806&amp;$B$3829,FLNFIX!$DC$4:$EF$103,3,0))</f>
        <v>#N/A</v>
      </c>
      <c r="G3829" s="756" t="e">
        <f>IF($C$3829=0,NA(),VLOOKUP($I$3806&amp;$B$3829,FLNFIX!$DC$4:$EF$103,5,0))</f>
        <v>#N/A</v>
      </c>
      <c r="H3829" s="757"/>
      <c r="I3829" s="757"/>
      <c r="J3829" s="758"/>
      <c r="K3829" s="677"/>
    </row>
    <row r="3830" ht="20.1" customHeight="1" spans="1:11">
      <c r="A3830" s="675"/>
      <c r="B3830" s="755">
        <f t="shared" si="69"/>
        <v>21</v>
      </c>
      <c r="C3830" s="755">
        <f>IFERROR(VLOOKUP(B3830,DATEWISE!$A$3:$BY$27,2,0),0)</f>
        <v>0</v>
      </c>
      <c r="D3830" s="755" t="e">
        <f>IF($C$3830=0,NA(),VLOOKUP($I$3806&amp;$B$3830,FLNFIX!$DH$4:$EF$103,2,0))</f>
        <v>#N/A</v>
      </c>
      <c r="E3830" s="755" t="e">
        <f>IF($C$3830=0,NA(),VLOOKUP($I$3806&amp;$B$3830,FLNFIX!$DH$4:$EF$103,4,0))</f>
        <v>#N/A</v>
      </c>
      <c r="F3830" s="755" t="e">
        <f>IF($C$3830=0,NA(),VLOOKUP($I$3806&amp;$B$3830,FLNFIX!$DH$4:$EF$103,3,0))</f>
        <v>#N/A</v>
      </c>
      <c r="G3830" s="756" t="e">
        <f>IF($C$3830=0,NA(),VLOOKUP($I$3806&amp;$B$3830,FLNFIX!$DH$4:$EF$103,5,0))</f>
        <v>#N/A</v>
      </c>
      <c r="H3830" s="757"/>
      <c r="I3830" s="757"/>
      <c r="J3830" s="758"/>
      <c r="K3830" s="677"/>
    </row>
    <row r="3831" ht="5.1" customHeight="1" spans="1:11">
      <c r="A3831" s="675"/>
      <c r="B3831" s="759"/>
      <c r="C3831" s="759"/>
      <c r="D3831" s="760"/>
      <c r="E3831" s="760"/>
      <c r="F3831" s="760"/>
      <c r="G3831" s="761"/>
      <c r="H3831" s="761"/>
      <c r="I3831" s="761"/>
      <c r="J3831" s="761"/>
      <c r="K3831" s="677"/>
    </row>
    <row r="3832" s="667" customFormat="1" ht="24.95" customHeight="1" spans="1:11">
      <c r="A3832" s="711"/>
      <c r="B3832" s="762" t="s">
        <v>431</v>
      </c>
      <c r="C3832" s="763"/>
      <c r="D3832" s="763"/>
      <c r="E3832" s="763"/>
      <c r="F3832" s="763"/>
      <c r="G3832" s="763"/>
      <c r="H3832" s="763"/>
      <c r="I3832" s="763"/>
      <c r="J3832" s="764"/>
      <c r="K3832" s="713"/>
    </row>
    <row r="3833" spans="1:11">
      <c r="A3833" s="675"/>
      <c r="B3833" s="765"/>
      <c r="C3833" s="686"/>
      <c r="D3833" s="686"/>
      <c r="E3833" s="686"/>
      <c r="F3833" s="686"/>
      <c r="G3833" s="686"/>
      <c r="H3833" s="686"/>
      <c r="I3833" s="686"/>
      <c r="J3833" s="766"/>
      <c r="K3833" s="677"/>
    </row>
    <row r="3834" spans="1:11">
      <c r="A3834" s="675"/>
      <c r="B3834" s="765"/>
      <c r="C3834" s="686"/>
      <c r="D3834" s="686"/>
      <c r="E3834" s="686"/>
      <c r="F3834" s="686"/>
      <c r="G3834" s="686"/>
      <c r="H3834" s="686"/>
      <c r="I3834" s="686"/>
      <c r="J3834" s="766"/>
      <c r="K3834" s="677"/>
    </row>
    <row r="3835" spans="1:11">
      <c r="A3835" s="675"/>
      <c r="B3835" s="765"/>
      <c r="C3835" s="686"/>
      <c r="D3835" s="686"/>
      <c r="E3835" s="686"/>
      <c r="F3835" s="686"/>
      <c r="G3835" s="686"/>
      <c r="H3835" s="686"/>
      <c r="I3835" s="686"/>
      <c r="J3835" s="766"/>
      <c r="K3835" s="677"/>
    </row>
    <row r="3836" spans="1:11">
      <c r="A3836" s="675"/>
      <c r="B3836" s="765"/>
      <c r="C3836" s="686"/>
      <c r="D3836" s="686"/>
      <c r="E3836" s="686"/>
      <c r="F3836" s="686"/>
      <c r="G3836" s="686"/>
      <c r="H3836" s="686"/>
      <c r="I3836" s="686"/>
      <c r="J3836" s="766"/>
      <c r="K3836" s="677"/>
    </row>
    <row r="3837" spans="1:11">
      <c r="A3837" s="675"/>
      <c r="B3837" s="765"/>
      <c r="C3837" s="686"/>
      <c r="D3837" s="686"/>
      <c r="E3837" s="686"/>
      <c r="F3837" s="686"/>
      <c r="G3837" s="686"/>
      <c r="H3837" s="686"/>
      <c r="I3837" s="686"/>
      <c r="J3837" s="766"/>
      <c r="K3837" s="677"/>
    </row>
    <row r="3838" spans="1:11">
      <c r="A3838" s="675"/>
      <c r="B3838" s="765"/>
      <c r="C3838" s="686"/>
      <c r="D3838" s="686"/>
      <c r="E3838" s="686"/>
      <c r="F3838" s="686"/>
      <c r="G3838" s="686"/>
      <c r="H3838" s="686"/>
      <c r="I3838" s="686"/>
      <c r="J3838" s="766"/>
      <c r="K3838" s="677"/>
    </row>
    <row r="3839" spans="1:11">
      <c r="A3839" s="675"/>
      <c r="B3839" s="765"/>
      <c r="C3839" s="686"/>
      <c r="D3839" s="686"/>
      <c r="E3839" s="686"/>
      <c r="F3839" s="686"/>
      <c r="G3839" s="686"/>
      <c r="H3839" s="686"/>
      <c r="I3839" s="686"/>
      <c r="J3839" s="766"/>
      <c r="K3839" s="677"/>
    </row>
    <row r="3840" spans="1:11">
      <c r="A3840" s="675"/>
      <c r="B3840" s="765"/>
      <c r="C3840" s="686"/>
      <c r="D3840" s="686"/>
      <c r="E3840" s="686"/>
      <c r="F3840" s="686"/>
      <c r="G3840" s="686"/>
      <c r="H3840" s="686"/>
      <c r="I3840" s="686"/>
      <c r="J3840" s="766"/>
      <c r="K3840" s="677"/>
    </row>
    <row r="3841" spans="1:11">
      <c r="A3841" s="675"/>
      <c r="B3841" s="765"/>
      <c r="C3841" s="686"/>
      <c r="D3841" s="686"/>
      <c r="E3841" s="686"/>
      <c r="F3841" s="686"/>
      <c r="G3841" s="686"/>
      <c r="H3841" s="686"/>
      <c r="I3841" s="686"/>
      <c r="J3841" s="766"/>
      <c r="K3841" s="677"/>
    </row>
    <row r="3842" spans="1:11">
      <c r="A3842" s="675"/>
      <c r="B3842" s="767"/>
      <c r="C3842" s="768"/>
      <c r="D3842" s="768"/>
      <c r="E3842" s="768"/>
      <c r="F3842" s="768"/>
      <c r="G3842" s="768"/>
      <c r="H3842" s="768"/>
      <c r="I3842" s="768"/>
      <c r="J3842" s="769"/>
      <c r="K3842" s="677"/>
    </row>
    <row r="3843" ht="5.1" customHeight="1" spans="1:11">
      <c r="A3843" s="675"/>
      <c r="B3843" s="686"/>
      <c r="C3843" s="686"/>
      <c r="D3843" s="686"/>
      <c r="E3843" s="686"/>
      <c r="F3843" s="686"/>
      <c r="G3843" s="686"/>
      <c r="H3843" s="686"/>
      <c r="I3843" s="686"/>
      <c r="J3843" s="686"/>
      <c r="K3843" s="677"/>
    </row>
    <row r="3844" spans="1:11">
      <c r="A3844" s="675"/>
      <c r="B3844" s="770" t="s">
        <v>432</v>
      </c>
      <c r="C3844" s="770"/>
      <c r="D3844" s="770"/>
      <c r="E3844" s="770"/>
      <c r="F3844" s="770"/>
      <c r="G3844" s="770"/>
      <c r="H3844" s="770"/>
      <c r="I3844" s="770"/>
      <c r="J3844" s="770"/>
      <c r="K3844" s="677"/>
    </row>
    <row r="3845" spans="1:11">
      <c r="A3845" s="675"/>
      <c r="B3845" s="771"/>
      <c r="C3845" s="771"/>
      <c r="D3845" s="771"/>
      <c r="E3845" s="771"/>
      <c r="F3845" s="771"/>
      <c r="G3845" s="771"/>
      <c r="H3845" s="771"/>
      <c r="I3845" s="771"/>
      <c r="J3845" s="771"/>
      <c r="K3845" s="677"/>
    </row>
    <row r="3846" spans="1:11">
      <c r="A3846" s="675"/>
      <c r="B3846" s="771"/>
      <c r="C3846" s="771"/>
      <c r="D3846" s="771"/>
      <c r="E3846" s="771"/>
      <c r="F3846" s="771"/>
      <c r="G3846" s="771"/>
      <c r="H3846" s="771"/>
      <c r="I3846" s="771"/>
      <c r="J3846" s="771"/>
      <c r="K3846" s="677"/>
    </row>
    <row r="3847" spans="1:11">
      <c r="A3847" s="675"/>
      <c r="B3847" s="771"/>
      <c r="C3847" s="771"/>
      <c r="D3847" s="771"/>
      <c r="E3847" s="771"/>
      <c r="F3847" s="771"/>
      <c r="G3847" s="771"/>
      <c r="H3847" s="771"/>
      <c r="I3847" s="771"/>
      <c r="J3847" s="771"/>
      <c r="K3847" s="677"/>
    </row>
    <row r="3848" spans="1:11">
      <c r="A3848" s="675"/>
      <c r="B3848" s="686"/>
      <c r="C3848" s="686"/>
      <c r="D3848" s="686"/>
      <c r="E3848" s="686"/>
      <c r="F3848" s="686"/>
      <c r="G3848" s="686"/>
      <c r="H3848" s="686"/>
      <c r="I3848" s="686"/>
      <c r="J3848" s="686"/>
      <c r="K3848" s="677"/>
    </row>
    <row r="3849" spans="1:11">
      <c r="A3849" s="675"/>
      <c r="B3849" s="686"/>
      <c r="C3849" s="729" t="s">
        <v>433</v>
      </c>
      <c r="D3849" s="729"/>
      <c r="E3849" s="686"/>
      <c r="F3849" s="686"/>
      <c r="G3849" s="729" t="s">
        <v>434</v>
      </c>
      <c r="H3849" s="729"/>
      <c r="I3849" s="729"/>
      <c r="J3849" s="729"/>
      <c r="K3849" s="677"/>
    </row>
    <row r="3850" ht="16.35" spans="1:11">
      <c r="A3850" s="725"/>
      <c r="B3850" s="726"/>
      <c r="C3850" s="732" t="str">
        <f>"("&amp;PROPER(ENTRY!$D$19)&amp;")"</f>
        <v>(Indrajeet)</v>
      </c>
      <c r="D3850" s="732"/>
      <c r="E3850" s="726"/>
      <c r="F3850" s="726"/>
      <c r="G3850" s="732" t="str">
        <f>"("&amp;PROPER(ENTRY!$D$12)&amp;")"</f>
        <v>(Shambhu Dayal Meena)</v>
      </c>
      <c r="H3850" s="732"/>
      <c r="I3850" s="732"/>
      <c r="J3850" s="732"/>
      <c r="K3850" s="728"/>
    </row>
    <row r="3851" ht="24.6" spans="1:11">
      <c r="B3851" s="734"/>
      <c r="C3851" s="734"/>
      <c r="D3851" s="669" t="str">
        <f>ENTRY!$D$3</f>
        <v>MUNICIPAL CORPORATION OF DELHI</v>
      </c>
      <c r="E3851" s="669"/>
      <c r="F3851" s="669"/>
      <c r="G3851" s="669"/>
      <c r="H3851" s="734"/>
      <c r="I3851" s="669"/>
      <c r="J3851" s="669"/>
    </row>
    <row r="3852" ht="20.4" spans="1:11">
      <c r="B3852" s="735"/>
      <c r="C3852" s="735"/>
      <c r="D3852" s="670" t="str">
        <f>ENTRY!$D$4</f>
        <v>EDUCATION DEPARTMENT</v>
      </c>
      <c r="E3852" s="670"/>
      <c r="F3852" s="670"/>
      <c r="G3852" s="670"/>
      <c r="H3852" s="735"/>
      <c r="I3852" s="669"/>
      <c r="J3852" s="669"/>
    </row>
    <row r="3853" ht="22.8" spans="1:11">
      <c r="B3853" s="736"/>
      <c r="C3853" s="736"/>
      <c r="D3853" s="664" t="s">
        <v>417</v>
      </c>
      <c r="E3853" s="664"/>
      <c r="F3853" s="664"/>
      <c r="G3853" s="664"/>
      <c r="H3853" s="736"/>
      <c r="I3853" s="669"/>
      <c r="J3853" s="669"/>
    </row>
    <row r="3854" ht="22.8" spans="1:11">
      <c r="B3854" s="736"/>
      <c r="C3854" s="736"/>
      <c r="D3854" s="664" t="s">
        <v>418</v>
      </c>
      <c r="E3854" s="664"/>
      <c r="F3854" s="664"/>
      <c r="G3854" s="664"/>
      <c r="H3854" s="736"/>
      <c r="I3854" s="669"/>
      <c r="J3854" s="669"/>
    </row>
    <row r="3855" ht="24.95" customHeight="1" spans="1:11">
      <c r="B3855" s="735"/>
      <c r="C3855" s="735"/>
      <c r="D3855" s="737" t="str">
        <f>"SESSION : "&amp;ENTRY!$D$11</f>
        <v>SESSION : 2026-27</v>
      </c>
      <c r="E3855" s="737"/>
      <c r="F3855" s="737"/>
      <c r="G3855" s="737"/>
      <c r="H3855" s="735"/>
      <c r="I3855" s="738"/>
      <c r="J3855" s="738"/>
    </row>
    <row r="3856" ht="3.75" customHeight="1" spans="1:11">
      <c r="A3856" s="672"/>
      <c r="B3856" s="739"/>
      <c r="C3856" s="739"/>
      <c r="D3856" s="739"/>
      <c r="E3856" s="739"/>
      <c r="F3856" s="739"/>
      <c r="G3856" s="739"/>
      <c r="H3856" s="739"/>
      <c r="I3856" s="739"/>
      <c r="J3856" s="739"/>
      <c r="K3856" s="674"/>
    </row>
    <row r="3857" ht="21.95" customHeight="1" spans="1:11">
      <c r="A3857" s="675"/>
      <c r="B3857" s="676" t="s">
        <v>419</v>
      </c>
      <c r="C3857" s="676"/>
      <c r="D3857" s="676" t="str">
        <f>ENTRY!$D$6</f>
        <v>MCP NITHARI NO 1 BOYS</v>
      </c>
      <c r="E3857" s="676"/>
      <c r="F3857" s="676"/>
      <c r="G3857" s="676"/>
      <c r="H3857" s="676"/>
      <c r="I3857" s="676"/>
      <c r="J3857" s="676"/>
      <c r="K3857" s="677"/>
    </row>
    <row r="3858" ht="21.95" customHeight="1" spans="1:11">
      <c r="A3858" s="675"/>
      <c r="B3858" s="676" t="s">
        <v>420</v>
      </c>
      <c r="C3858" s="676"/>
      <c r="D3858" s="740">
        <f>IFERROR(VLOOKUP($I$3861,STUDENT!$A$2:$BP$101,5,0),"")</f>
        <v>0</v>
      </c>
      <c r="E3858" s="740"/>
      <c r="F3858" s="740"/>
      <c r="G3858" s="740"/>
      <c r="H3858" s="740"/>
      <c r="I3858" s="740"/>
      <c r="J3858" s="740"/>
      <c r="K3858" s="677"/>
    </row>
    <row r="3859" ht="21.95" customHeight="1" spans="1:11">
      <c r="A3859" s="675"/>
      <c r="B3859" s="676" t="s">
        <v>421</v>
      </c>
      <c r="C3859" s="676"/>
      <c r="D3859" s="740">
        <f>IFERROR(VLOOKUP($I$3861,STUDENT!$A$2:$BP$101,8,0),"")</f>
        <v>0</v>
      </c>
      <c r="E3859" s="740"/>
      <c r="F3859" s="740"/>
      <c r="G3859" s="740"/>
      <c r="H3859" s="740"/>
      <c r="I3859" s="740"/>
      <c r="J3859" s="740"/>
      <c r="K3859" s="677"/>
    </row>
    <row r="3860" ht="21.95" customHeight="1" spans="1:11">
      <c r="A3860" s="675"/>
      <c r="B3860" s="676" t="s">
        <v>422</v>
      </c>
      <c r="C3860" s="676"/>
      <c r="D3860" s="740">
        <f>IFERROR(VLOOKUP($I$3861,STUDENT!$A$2:$BP$101,6,0),"")</f>
        <v>0</v>
      </c>
      <c r="E3860" s="740"/>
      <c r="F3860" s="740"/>
      <c r="G3860" s="740"/>
      <c r="H3860" s="740"/>
      <c r="I3860" s="740"/>
      <c r="J3860" s="740"/>
      <c r="K3860" s="677"/>
    </row>
    <row r="3861" ht="21.95" customHeight="1" spans="1:11">
      <c r="A3861" s="675"/>
      <c r="B3861" s="676" t="s">
        <v>423</v>
      </c>
      <c r="C3861" s="676"/>
      <c r="D3861" s="741" t="str">
        <f>IFERROR(VLOOKUP($I$3861,STUDENT!$A$2:$BP$101,59,0),"")</f>
        <v/>
      </c>
      <c r="E3861" s="742" t="s">
        <v>424</v>
      </c>
      <c r="F3861" s="704" t="str">
        <f>IFERROR(VLOOKUP($I$3861,STUDENT!$A$2:$BP$101,2,0),"")</f>
        <v>III-A</v>
      </c>
      <c r="G3861" s="742" t="s">
        <v>425</v>
      </c>
      <c r="H3861" s="743"/>
      <c r="I3861" s="733">
        <f>I3806+1</f>
        <v>71</v>
      </c>
      <c r="J3861" s="683"/>
      <c r="K3861" s="677"/>
    </row>
    <row r="3862" ht="5.1" customHeight="1" spans="1:11">
      <c r="A3862" s="675"/>
      <c r="B3862" s="745"/>
      <c r="C3862" s="745"/>
      <c r="D3862" s="746"/>
      <c r="E3862" s="747"/>
      <c r="F3862" s="748"/>
      <c r="G3862" s="747"/>
      <c r="H3862" s="686"/>
      <c r="I3862" s="686"/>
      <c r="J3862" s="686"/>
      <c r="K3862" s="677"/>
    </row>
    <row r="3863" s="664" customFormat="1" ht="32.1" customHeight="1" spans="1:11">
      <c r="A3863" s="688"/>
      <c r="B3863" s="749" t="s">
        <v>426</v>
      </c>
      <c r="C3863" s="750"/>
      <c r="D3863" s="750"/>
      <c r="E3863" s="750"/>
      <c r="F3863" s="750"/>
      <c r="G3863" s="750"/>
      <c r="H3863" s="750"/>
      <c r="I3863" s="750"/>
      <c r="J3863" s="751"/>
      <c r="K3863" s="690"/>
    </row>
    <row r="3864" ht="51.6" spans="1:11">
      <c r="A3864" s="675"/>
      <c r="B3864" s="752">
        <v>21</v>
      </c>
      <c r="C3864" s="753" t="s">
        <v>427</v>
      </c>
      <c r="D3864" s="754" t="s">
        <v>428</v>
      </c>
      <c r="E3864" s="754" t="s">
        <v>429</v>
      </c>
      <c r="F3864" s="754" t="s">
        <v>430</v>
      </c>
      <c r="G3864" s="753" t="s">
        <v>390</v>
      </c>
      <c r="H3864" s="714"/>
      <c r="I3864" s="714"/>
      <c r="J3864" s="714"/>
      <c r="K3864" s="677"/>
    </row>
    <row r="3865" ht="20.1" customHeight="1" spans="1:11">
      <c r="A3865" s="675"/>
      <c r="B3865" s="755">
        <v>1</v>
      </c>
      <c r="C3865" s="755" t="str">
        <f>IFERROR(VLOOKUP(B3865,DATEWISE!$A$3:$BY$27,2,0),0)</f>
        <v>30.04.2026</v>
      </c>
      <c r="D3865" s="755">
        <f>IF($C$3865=0,NA(),VLOOKUP($I$3861&amp;$B$3865,FLNFIX!$L$4:$EF$103,2,0))</f>
        <v>0</v>
      </c>
      <c r="E3865" s="755">
        <f>IF($C$3865=0,NA(),VLOOKUP($I$3861&amp;$B$3865,FLNFIX!$L$4:$EF$103,4,0))</f>
        <v>0</v>
      </c>
      <c r="F3865" s="755">
        <f>IF($C$3865=0,NA(),VLOOKUP($I$3861&amp;$B$3865,FLNFIX!$L$4:$EF$103,3,0))</f>
        <v>0</v>
      </c>
      <c r="G3865" s="756">
        <f>IF($C$3865=0,NA(),VLOOKUP($I$3861&amp;$B$3865,FLNFIX!$L$4:$EF$103,5,0))</f>
        <v>0</v>
      </c>
      <c r="H3865" s="757"/>
      <c r="I3865" s="757"/>
      <c r="J3865" s="758"/>
      <c r="K3865" s="677"/>
    </row>
    <row r="3866" ht="20.1" customHeight="1" spans="1:11">
      <c r="A3866" s="675"/>
      <c r="B3866" s="755">
        <f t="shared" ref="B3866:B3885" si="70">IF(B3865=0,0,IF(B3865&lt;$B$3864,B3865+1,""))</f>
        <v>2</v>
      </c>
      <c r="C3866" s="755" t="str">
        <f>IFERROR(VLOOKUP(B3866,DATEWISE!$A$3:$BY$27,2,0),0)</f>
        <v>08.05.2026</v>
      </c>
      <c r="D3866" s="755">
        <f>IF($C$3866=0,NA(),VLOOKUP($I$3861&amp;$B$3866,FLNFIX!$Q$4:$EF$103,2,0))</f>
        <v>0</v>
      </c>
      <c r="E3866" s="755">
        <f>IF($C$3866=0,NA(),VLOOKUP($I$3861&amp;$B$3866,FLNFIX!$Q$4:$EF$103,4,0))</f>
        <v>0</v>
      </c>
      <c r="F3866" s="755">
        <f>IF($C$3866=0,NA(),VLOOKUP($I$3861&amp;$B$3866,FLNFIX!$Q$4:$EF$103,3,0))</f>
        <v>0</v>
      </c>
      <c r="G3866" s="756">
        <f>IF($C$3866=0,NA(),VLOOKUP($I$3861&amp;$B$3866,FLNFIX!$Q$4:$EF$103,5,0))</f>
        <v>0</v>
      </c>
      <c r="H3866" s="757"/>
      <c r="I3866" s="757"/>
      <c r="J3866" s="758"/>
      <c r="K3866" s="677"/>
    </row>
    <row r="3867" ht="20.1" customHeight="1" spans="1:11">
      <c r="A3867" s="675"/>
      <c r="B3867" s="755">
        <f t="shared" si="70"/>
        <v>3</v>
      </c>
      <c r="C3867" s="755" t="str">
        <f>IFERROR(VLOOKUP(B3867,DATEWISE!$A$3:$BY$27,2,0),0)</f>
        <v>15.07.2026</v>
      </c>
      <c r="D3867" s="755">
        <f>IF($C$3867=0,NA(),VLOOKUP($I$3861&amp;$B$3867,FLNFIX!$V$4:$EF$103,2,0))</f>
        <v>0</v>
      </c>
      <c r="E3867" s="755">
        <f>IF($C$3867=0,NA(),VLOOKUP($I$3861&amp;$B$3867,FLNFIX!$V$4:$EF$103,4,0))</f>
        <v>0</v>
      </c>
      <c r="F3867" s="755">
        <f>IF($C$3867=0,NA(),VLOOKUP($I$3861&amp;$B$3867,FLNFIX!$V$4:$EF$103,3,0))</f>
        <v>0</v>
      </c>
      <c r="G3867" s="756">
        <f>IF($C$3867=0,NA(),VLOOKUP($I$3861&amp;$B$3867,FLNFIX!$V$4:$EF$103,5,0))</f>
        <v>0</v>
      </c>
      <c r="H3867" s="757"/>
      <c r="I3867" s="757"/>
      <c r="J3867" s="758"/>
      <c r="K3867" s="677"/>
    </row>
    <row r="3868" ht="20.1" customHeight="1" spans="1:11">
      <c r="A3868" s="675"/>
      <c r="B3868" s="755">
        <f t="shared" si="70"/>
        <v>4</v>
      </c>
      <c r="C3868" s="755" t="str">
        <f>IFERROR(VLOOKUP(B3868,DATEWISE!$A$3:$BY$27,2,0),0)</f>
        <v>31.07.2026</v>
      </c>
      <c r="D3868" s="755">
        <f>IF($C$3868=0,NA(),VLOOKUP($I$3861&amp;$B$3868,FLNFIX!$AA$4:$EF$103,2,0))</f>
        <v>0</v>
      </c>
      <c r="E3868" s="755">
        <f>IF($C$3868=0,NA(),VLOOKUP($I$3861&amp;$B$3868,FLNFIX!$AA$4:$EF$103,4,0))</f>
        <v>0</v>
      </c>
      <c r="F3868" s="755">
        <f>IF($C$3868=0,NA(),VLOOKUP($I$3861&amp;$B$3868,FLNFIX!$AA$4:$EF$103,3,0))</f>
        <v>0</v>
      </c>
      <c r="G3868" s="756">
        <f>IF($C$3868=0,NA(),VLOOKUP($I$3861&amp;$B$3868,FLNFIX!$AA$4:$EF$103,5,0))</f>
        <v>0</v>
      </c>
      <c r="H3868" s="757"/>
      <c r="I3868" s="757"/>
      <c r="J3868" s="758"/>
      <c r="K3868" s="677"/>
    </row>
    <row r="3869" ht="20.1" customHeight="1" spans="1:11">
      <c r="A3869" s="675"/>
      <c r="B3869" s="755">
        <f t="shared" si="70"/>
        <v>5</v>
      </c>
      <c r="C3869" s="755" t="str">
        <f>IFERROR(VLOOKUP(B3869,DATEWISE!$A$3:$BY$27,2,0),0)</f>
        <v>17.08.2026</v>
      </c>
      <c r="D3869" s="755">
        <f>IF($C$3869=0,NA(),VLOOKUP($I$3861&amp;$B$3869,FLNFIX!$AF$4:$EF$103,2,0))</f>
        <v>0</v>
      </c>
      <c r="E3869" s="755">
        <f>IF($C$3869=0,NA(),VLOOKUP($I$3861&amp;$B$3869,FLNFIX!$AF$4:$EF$103,4,0))</f>
        <v>0</v>
      </c>
      <c r="F3869" s="755">
        <f>IF($C$3869=0,NA(),VLOOKUP($I$3861&amp;$B$3869,FLNFIX!$AF$4:$EF$103,3,0))</f>
        <v>0</v>
      </c>
      <c r="G3869" s="756">
        <f>IF($C$3869=0,NA(),VLOOKUP($I$3861&amp;$B$3869,FLNFIX!$AF$4:$EF$103,5,0))</f>
        <v>0</v>
      </c>
      <c r="H3869" s="757"/>
      <c r="I3869" s="757"/>
      <c r="J3869" s="758"/>
      <c r="K3869" s="677"/>
    </row>
    <row r="3870" ht="20.1" customHeight="1" spans="1:11">
      <c r="A3870" s="675"/>
      <c r="B3870" s="755">
        <f t="shared" si="70"/>
        <v>6</v>
      </c>
      <c r="C3870" s="755" t="str">
        <f>IFERROR(VLOOKUP(B3870,DATEWISE!$A$3:$BY$27,2,0),0)</f>
        <v>31.08.2026</v>
      </c>
      <c r="D3870" s="755">
        <f>IF($C$3870=0,NA(),VLOOKUP($I$3861&amp;$B$3870,FLNFIX!$AK$4:$EF$103,2,0))</f>
        <v>0</v>
      </c>
      <c r="E3870" s="755">
        <f>IF($C$3870=0,NA(),VLOOKUP($I$3861&amp;$B$3870,FLNFIX!$AK$4:$EF$103,4,0))</f>
        <v>0</v>
      </c>
      <c r="F3870" s="755">
        <f>IF($C$3870=0,NA(),VLOOKUP($I$3861&amp;$B$3870,FLNFIX!$AK$4:$EF$103,3,0))</f>
        <v>0</v>
      </c>
      <c r="G3870" s="756">
        <f>IF($C$3870=0,NA(),VLOOKUP($I$3861&amp;$B$3870,FLNFIX!$AK$4:$EF$103,5,0))</f>
        <v>0</v>
      </c>
      <c r="H3870" s="757"/>
      <c r="I3870" s="757"/>
      <c r="J3870" s="758"/>
      <c r="K3870" s="677"/>
    </row>
    <row r="3871" ht="20.1" customHeight="1" spans="1:11">
      <c r="A3871" s="675"/>
      <c r="B3871" s="755">
        <f t="shared" si="70"/>
        <v>7</v>
      </c>
      <c r="C3871" s="755">
        <f>IFERROR(VLOOKUP(B3871,DATEWISE!$A$3:$BY$27,2,0),0)</f>
        <v>0</v>
      </c>
      <c r="D3871" s="755" t="e">
        <f>IF($C$3871=0,NA(),VLOOKUP($I$3861&amp;$B$3871,FLNFIX!$AP$4:$EF$103,2,0))</f>
        <v>#N/A</v>
      </c>
      <c r="E3871" s="755" t="e">
        <f>IF($C$3871=0,NA(),VLOOKUP($I$3861&amp;$B$3871,FLNFIX!$AP$4:$EF$103,4,0))</f>
        <v>#N/A</v>
      </c>
      <c r="F3871" s="755" t="e">
        <f>IF($C$3871=0,NA(),VLOOKUP($I$3861&amp;$B$3871,FLNFIX!$AP$4:$EF$103,3,0))</f>
        <v>#N/A</v>
      </c>
      <c r="G3871" s="756" t="e">
        <f>IF($C$3871=0,NA(),VLOOKUP($I$3861&amp;$B$3871,FLNFIX!$AP$4:$EF$103,5,0))</f>
        <v>#N/A</v>
      </c>
      <c r="H3871" s="757"/>
      <c r="I3871" s="757"/>
      <c r="J3871" s="758"/>
      <c r="K3871" s="677"/>
    </row>
    <row r="3872" ht="20.1" customHeight="1" spans="1:11">
      <c r="A3872" s="675"/>
      <c r="B3872" s="755">
        <f t="shared" si="70"/>
        <v>8</v>
      </c>
      <c r="C3872" s="755">
        <f>IFERROR(VLOOKUP(B3872,DATEWISE!$A$3:$BY$27,2,0),0)</f>
        <v>0</v>
      </c>
      <c r="D3872" s="755" t="e">
        <f>IF($C$3872=0,NA(),VLOOKUP($I$3861&amp;$B$3872,FLNFIX!$AU$4:$EF$103,2,0))</f>
        <v>#N/A</v>
      </c>
      <c r="E3872" s="755" t="e">
        <f>IF($C$3872=0,NA(),VLOOKUP($I$3861&amp;$B$3872,FLNFIX!$AU$4:$EF$103,4,0))</f>
        <v>#N/A</v>
      </c>
      <c r="F3872" s="755" t="e">
        <f>IF($C$3872=0,NA(),VLOOKUP($I$3861&amp;$B$3872,FLNFIX!$AU$4:$EF$103,3,0))</f>
        <v>#N/A</v>
      </c>
      <c r="G3872" s="756" t="e">
        <f>IF($C$3872=0,NA(),VLOOKUP($I$3861&amp;$B$3872,FLNFIX!$AU$4:$EF$103,5,0))</f>
        <v>#N/A</v>
      </c>
      <c r="H3872" s="757"/>
      <c r="I3872" s="757"/>
      <c r="J3872" s="758"/>
      <c r="K3872" s="677"/>
    </row>
    <row r="3873" ht="20.1" customHeight="1" spans="1:11">
      <c r="A3873" s="675"/>
      <c r="B3873" s="755">
        <f t="shared" si="70"/>
        <v>9</v>
      </c>
      <c r="C3873" s="755">
        <f>IFERROR(VLOOKUP(B3873,DATEWISE!$A$3:$BY$27,2,0),0)</f>
        <v>0</v>
      </c>
      <c r="D3873" s="755" t="e">
        <f>IF($C$3873=0,NA(),VLOOKUP($I$3861&amp;$B$3873,FLNFIX!$AZ$4:$EF$103,2,0))</f>
        <v>#N/A</v>
      </c>
      <c r="E3873" s="755" t="e">
        <f>IF($C$3873=0,NA(),VLOOKUP($I$3861&amp;$B$3873,FLNFIX!$AZ$4:$EF$103,4,0))</f>
        <v>#N/A</v>
      </c>
      <c r="F3873" s="755" t="e">
        <f>IF($C$3873=0,NA(),VLOOKUP($I$3861&amp;$B$3873,FLNFIX!$AZ$4:$EF$103,3,0))</f>
        <v>#N/A</v>
      </c>
      <c r="G3873" s="756" t="e">
        <f>IF($C$3873=0,NA(),VLOOKUP($I$3861&amp;$B$3873,FLNFIX!$AZ$4:$EF$103,5,0))</f>
        <v>#N/A</v>
      </c>
      <c r="H3873" s="757"/>
      <c r="I3873" s="757"/>
      <c r="J3873" s="758"/>
      <c r="K3873" s="677"/>
    </row>
    <row r="3874" ht="20.1" customHeight="1" spans="1:11">
      <c r="A3874" s="675"/>
      <c r="B3874" s="755">
        <f t="shared" si="70"/>
        <v>10</v>
      </c>
      <c r="C3874" s="755">
        <f>IFERROR(VLOOKUP(B3874,DATEWISE!$A$3:$BY$27,2,0),0)</f>
        <v>0</v>
      </c>
      <c r="D3874" s="755" t="e">
        <f>IF($C$3874=0,NA(),VLOOKUP($I$3861&amp;$B$3874,FLNFIX!$BE$4:$EF$103,2,0))</f>
        <v>#N/A</v>
      </c>
      <c r="E3874" s="755" t="e">
        <f>IF($C$3874=0,NA(),VLOOKUP($I$3861&amp;$B$3874,FLNFIX!$BE$4:$EF$103,4,0))</f>
        <v>#N/A</v>
      </c>
      <c r="F3874" s="755" t="e">
        <f>IF($C$3874=0,NA(),VLOOKUP($I$3861&amp;$B$3874,FLNFIX!$BE$4:$EF$103,3,0))</f>
        <v>#N/A</v>
      </c>
      <c r="G3874" s="756" t="e">
        <f>IF($C$3874=0,NA(),VLOOKUP($I$3861&amp;$B$3874,FLNFIX!$BE$4:$EF$103,5,0))</f>
        <v>#N/A</v>
      </c>
      <c r="H3874" s="757"/>
      <c r="I3874" s="757"/>
      <c r="J3874" s="758"/>
      <c r="K3874" s="677"/>
    </row>
    <row r="3875" ht="20.1" customHeight="1" spans="1:11">
      <c r="A3875" s="675"/>
      <c r="B3875" s="755">
        <f t="shared" si="70"/>
        <v>11</v>
      </c>
      <c r="C3875" s="755">
        <f>IFERROR(VLOOKUP(B3875,DATEWISE!$A$3:$BY$27,2,0),0)</f>
        <v>0</v>
      </c>
      <c r="D3875" s="755" t="e">
        <f>IF($C$3875=0,NA(),VLOOKUP($I$3861&amp;$B$3875,FLNFIX!$BJ$4:$EF$103,2,0))</f>
        <v>#N/A</v>
      </c>
      <c r="E3875" s="755" t="e">
        <f>IF($C$3875=0,NA(),VLOOKUP($I$3861&amp;$B$3875,FLNFIX!$BJ$4:$EF$103,4,0))</f>
        <v>#N/A</v>
      </c>
      <c r="F3875" s="755" t="e">
        <f>IF($C$3875=0,NA(),VLOOKUP($I$3861&amp;$B$3875,FLNFIX!$BJ$4:$EF$103,3,0))</f>
        <v>#N/A</v>
      </c>
      <c r="G3875" s="756" t="e">
        <f>IF($C$3875=0,NA(),VLOOKUP($I$3861&amp;$B$3875,FLNFIX!$BJ$4:$EF$103,5,0))</f>
        <v>#N/A</v>
      </c>
      <c r="H3875" s="757"/>
      <c r="I3875" s="757"/>
      <c r="J3875" s="758"/>
      <c r="K3875" s="677"/>
    </row>
    <row r="3876" ht="20.1" customHeight="1" spans="1:11">
      <c r="A3876" s="675"/>
      <c r="B3876" s="755">
        <f t="shared" si="70"/>
        <v>12</v>
      </c>
      <c r="C3876" s="755">
        <f>IFERROR(VLOOKUP(B3876,DATEWISE!$A$3:$BY$27,2,0),0)</f>
        <v>0</v>
      </c>
      <c r="D3876" s="755" t="e">
        <f>IF($C$3876=0,NA(),VLOOKUP($I$3861&amp;$B$3876,FLNFIX!$BO$4:$EF$103,2,0))</f>
        <v>#N/A</v>
      </c>
      <c r="E3876" s="755" t="e">
        <f>IF($C$3876=0,NA(),VLOOKUP($I$3861&amp;$B$3876,FLNFIX!$BO$4:$EF$103,4,0))</f>
        <v>#N/A</v>
      </c>
      <c r="F3876" s="755" t="e">
        <f>IF($C$3876=0,NA(),VLOOKUP($I$3861&amp;$B$3876,FLNFIX!$BO$4:$EF$103,3,0))</f>
        <v>#N/A</v>
      </c>
      <c r="G3876" s="756" t="e">
        <f>IF($C$3876=0,NA(),VLOOKUP($I$3861&amp;$B$3876,FLNFIX!$BO$4:$EF$103,5,0))</f>
        <v>#N/A</v>
      </c>
      <c r="H3876" s="757"/>
      <c r="I3876" s="757"/>
      <c r="J3876" s="758"/>
      <c r="K3876" s="677"/>
    </row>
    <row r="3877" ht="20.1" customHeight="1" spans="1:11">
      <c r="A3877" s="675"/>
      <c r="B3877" s="755">
        <f t="shared" si="70"/>
        <v>13</v>
      </c>
      <c r="C3877" s="755">
        <f>IFERROR(VLOOKUP(B3877,DATEWISE!$A$3:$BY$27,2,0),0)</f>
        <v>0</v>
      </c>
      <c r="D3877" s="755" t="e">
        <f>IF($C$3877=0,NA(),VLOOKUP($I$3861&amp;$B$3877,FLNFIX!$BT$4:$EF$103,2,0))</f>
        <v>#N/A</v>
      </c>
      <c r="E3877" s="755" t="e">
        <f>IF($C$3877=0,NA(),VLOOKUP($I$3861&amp;$B$3877,FLNFIX!$BT$4:$EF$103,4,0))</f>
        <v>#N/A</v>
      </c>
      <c r="F3877" s="755" t="e">
        <f>IF($C$3877=0,NA(),VLOOKUP($I$3861&amp;$B$3877,FLNFIX!$BT$4:$EF$103,3,0))</f>
        <v>#N/A</v>
      </c>
      <c r="G3877" s="756" t="e">
        <f>IF($C$3877=0,NA(),VLOOKUP($I$3861&amp;$B$3877,FLNFIX!$BT$4:$EF$103,5,0))</f>
        <v>#N/A</v>
      </c>
      <c r="H3877" s="757"/>
      <c r="I3877" s="757"/>
      <c r="J3877" s="758"/>
      <c r="K3877" s="677"/>
    </row>
    <row r="3878" ht="20.1" customHeight="1" spans="1:11">
      <c r="A3878" s="675"/>
      <c r="B3878" s="755">
        <f t="shared" si="70"/>
        <v>14</v>
      </c>
      <c r="C3878" s="755">
        <f>IFERROR(VLOOKUP(B3878,DATEWISE!$A$3:$BY$27,2,0),0)</f>
        <v>0</v>
      </c>
      <c r="D3878" s="755" t="e">
        <f>IF($C$3878=0,NA(),VLOOKUP($I$3861&amp;$B$3878,FLNFIX!$BY$4:$EF$103,2,0))</f>
        <v>#N/A</v>
      </c>
      <c r="E3878" s="755" t="e">
        <f>IF($C$3878=0,NA(),VLOOKUP($I$3861&amp;$B$3878,FLNFIX!$BY$4:$EF$103,4,0))</f>
        <v>#N/A</v>
      </c>
      <c r="F3878" s="755" t="e">
        <f>IF($C$3878=0,NA(),VLOOKUP($I$3861&amp;$B$3878,FLNFIX!$BY$4:$EF$103,3,0))</f>
        <v>#N/A</v>
      </c>
      <c r="G3878" s="756" t="e">
        <f>IF($C$3878=0,NA(),VLOOKUP($I$3861&amp;$B$3878,FLNFIX!$BY$4:$EF$103,5,0))</f>
        <v>#N/A</v>
      </c>
      <c r="H3878" s="757"/>
      <c r="I3878" s="757"/>
      <c r="J3878" s="758"/>
      <c r="K3878" s="677"/>
    </row>
    <row r="3879" ht="20.1" customHeight="1" spans="1:11">
      <c r="A3879" s="675"/>
      <c r="B3879" s="755">
        <f t="shared" si="70"/>
        <v>15</v>
      </c>
      <c r="C3879" s="755">
        <f>IFERROR(VLOOKUP(B3879,DATEWISE!$A$3:$BY$27,2,0),0)</f>
        <v>0</v>
      </c>
      <c r="D3879" s="755" t="e">
        <f>IF($C$3879=0,NA(),VLOOKUP($I$3861&amp;$B$3879,FLNFIX!$CD$4:$EF$103,2,0))</f>
        <v>#N/A</v>
      </c>
      <c r="E3879" s="755" t="e">
        <f>IF($C$3879=0,NA(),VLOOKUP($I$3861&amp;$B$3879,FLNFIX!$CD$4:$EF$103,4,0))</f>
        <v>#N/A</v>
      </c>
      <c r="F3879" s="755" t="e">
        <f>IF($C$3879=0,NA(),VLOOKUP($I$3861&amp;$B$3879,FLNFIX!$CD$4:$EF$103,3,0))</f>
        <v>#N/A</v>
      </c>
      <c r="G3879" s="756" t="e">
        <f>IF($C$3879=0,NA(),VLOOKUP($I$3861&amp;$B$3879,FLNFIX!$CD$4:$EF$103,5,0))</f>
        <v>#N/A</v>
      </c>
      <c r="H3879" s="757"/>
      <c r="I3879" s="757"/>
      <c r="J3879" s="758"/>
      <c r="K3879" s="677"/>
    </row>
    <row r="3880" ht="20.1" customHeight="1" spans="1:11">
      <c r="A3880" s="675"/>
      <c r="B3880" s="755">
        <f t="shared" si="70"/>
        <v>16</v>
      </c>
      <c r="C3880" s="755">
        <f>IFERROR(VLOOKUP(B3880,DATEWISE!$A$3:$BY$27,2,0),0)</f>
        <v>0</v>
      </c>
      <c r="D3880" s="755" t="e">
        <f>IF($C$3880=0,NA(),VLOOKUP($I$3861&amp;$B$3880,FLNFIX!$CI$4:$EF$103,2,0))</f>
        <v>#N/A</v>
      </c>
      <c r="E3880" s="755" t="e">
        <f>IF($C$3880=0,NA(),VLOOKUP($I$3861&amp;$B$3880,FLNFIX!$CI$4:$EF$103,4,0))</f>
        <v>#N/A</v>
      </c>
      <c r="F3880" s="755" t="e">
        <f>IF($C$3880=0,NA(),VLOOKUP($I$3861&amp;$B$3880,FLNFIX!$CI$4:$EF$103,3,0))</f>
        <v>#N/A</v>
      </c>
      <c r="G3880" s="756" t="e">
        <f>IF($C$3880=0,NA(),VLOOKUP($I$3861&amp;$B$3880,FLNFIX!$CI$4:$EF$103,5,0))</f>
        <v>#N/A</v>
      </c>
      <c r="H3880" s="757"/>
      <c r="I3880" s="757"/>
      <c r="J3880" s="758"/>
      <c r="K3880" s="677"/>
    </row>
    <row r="3881" ht="20.1" customHeight="1" spans="1:11">
      <c r="A3881" s="675"/>
      <c r="B3881" s="755">
        <f t="shared" si="70"/>
        <v>17</v>
      </c>
      <c r="C3881" s="755">
        <f>IFERROR(VLOOKUP(B3881,DATEWISE!$A$3:$BY$27,2,0),0)</f>
        <v>0</v>
      </c>
      <c r="D3881" s="755" t="e">
        <f>IF($C$3881=0,NA(),VLOOKUP($I$3861&amp;$B$3881,FLNFIX!$CN$4:$EF$103,2,0))</f>
        <v>#N/A</v>
      </c>
      <c r="E3881" s="755" t="e">
        <f>IF($C$3881=0,NA(),VLOOKUP($I$3861&amp;$B$3881,FLNFIX!$CN$4:$EF$103,4,0))</f>
        <v>#N/A</v>
      </c>
      <c r="F3881" s="755" t="e">
        <f>IF($C$3881=0,NA(),VLOOKUP($I$3861&amp;$B$3881,FLNFIX!$CN$4:$EF$103,3,0))</f>
        <v>#N/A</v>
      </c>
      <c r="G3881" s="756" t="e">
        <f>IF($C$3881=0,NA(),VLOOKUP($I$3861&amp;$B$3881,FLNFIX!$CN$4:$EF$103,5,0))</f>
        <v>#N/A</v>
      </c>
      <c r="H3881" s="757"/>
      <c r="I3881" s="757"/>
      <c r="J3881" s="758"/>
      <c r="K3881" s="677"/>
    </row>
    <row r="3882" ht="20.1" customHeight="1" spans="1:11">
      <c r="A3882" s="675"/>
      <c r="B3882" s="755">
        <f t="shared" si="70"/>
        <v>18</v>
      </c>
      <c r="C3882" s="755">
        <f>IFERROR(VLOOKUP(B3882,DATEWISE!$A$3:$BY$27,2,0),0)</f>
        <v>0</v>
      </c>
      <c r="D3882" s="755" t="e">
        <f>IF($C$3882=0,NA(),VLOOKUP($I$3861&amp;$B$3882,FLNFIX!$CS$4:$EF$103,2,0))</f>
        <v>#N/A</v>
      </c>
      <c r="E3882" s="755" t="e">
        <f>IF($C$3882=0,NA(),VLOOKUP($I$3861&amp;$B$3882,FLNFIX!$CS$4:$EF$103,4,0))</f>
        <v>#N/A</v>
      </c>
      <c r="F3882" s="755" t="e">
        <f>IF($C$3882=0,NA(),VLOOKUP($I$3861&amp;$B$3882,FLNFIX!$CS$4:$EF$103,3,0))</f>
        <v>#N/A</v>
      </c>
      <c r="G3882" s="756" t="e">
        <f>IF($C$3882=0,NA(),VLOOKUP($I$3861&amp;$B$3882,FLNFIX!$CS$4:$EF$103,5,0))</f>
        <v>#N/A</v>
      </c>
      <c r="H3882" s="757"/>
      <c r="I3882" s="757"/>
      <c r="J3882" s="758"/>
      <c r="K3882" s="677"/>
    </row>
    <row r="3883" ht="20.1" customHeight="1" spans="1:11">
      <c r="A3883" s="675"/>
      <c r="B3883" s="755">
        <f t="shared" si="70"/>
        <v>19</v>
      </c>
      <c r="C3883" s="755">
        <f>IFERROR(VLOOKUP(B3883,DATEWISE!$A$3:$BY$27,2,0),0)</f>
        <v>0</v>
      </c>
      <c r="D3883" s="755" t="e">
        <f>IF($C$3883=0,NA(),VLOOKUP($I$3861&amp;$B$3883,FLNFIX!$CX$4:$EF$103,2,0))</f>
        <v>#N/A</v>
      </c>
      <c r="E3883" s="755" t="e">
        <f>IF($C$3883=0,NA(),VLOOKUP($I$3861&amp;$B$3883,FLNFIX!$CX$4:$EF$103,4,0))</f>
        <v>#N/A</v>
      </c>
      <c r="F3883" s="755" t="e">
        <f>IF($C$3883=0,NA(),VLOOKUP($I$3861&amp;$B$3883,FLNFIX!$CX$4:$EF$103,3,0))</f>
        <v>#N/A</v>
      </c>
      <c r="G3883" s="756" t="e">
        <f>IF($C$3883=0,NA(),VLOOKUP($I$3861&amp;$B$3883,FLNFIX!$CX$4:$EF$103,5,0))</f>
        <v>#N/A</v>
      </c>
      <c r="H3883" s="757"/>
      <c r="I3883" s="757"/>
      <c r="J3883" s="758"/>
      <c r="K3883" s="677"/>
    </row>
    <row r="3884" ht="20.1" customHeight="1" spans="1:11">
      <c r="A3884" s="675"/>
      <c r="B3884" s="755">
        <f t="shared" si="70"/>
        <v>20</v>
      </c>
      <c r="C3884" s="755">
        <f>IFERROR(VLOOKUP(B3884,DATEWISE!$A$3:$BY$27,2,0),0)</f>
        <v>0</v>
      </c>
      <c r="D3884" s="755" t="e">
        <f>IF($C$3884=0,NA(),VLOOKUP($I$3861&amp;$B$3884,FLNFIX!$DC$4:$EF$103,2,0))</f>
        <v>#N/A</v>
      </c>
      <c r="E3884" s="755" t="e">
        <f>IF($C$3884=0,NA(),VLOOKUP($I$3861&amp;$B$3884,FLNFIX!$DC$4:$EF$103,4,0))</f>
        <v>#N/A</v>
      </c>
      <c r="F3884" s="755" t="e">
        <f>IF($C$3884=0,NA(),VLOOKUP($I$3861&amp;$B$3884,FLNFIX!$DC$4:$EF$103,3,0))</f>
        <v>#N/A</v>
      </c>
      <c r="G3884" s="756" t="e">
        <f>IF($C$3884=0,NA(),VLOOKUP($I$3861&amp;$B$3884,FLNFIX!$DC$4:$EF$103,5,0))</f>
        <v>#N/A</v>
      </c>
      <c r="H3884" s="757"/>
      <c r="I3884" s="757"/>
      <c r="J3884" s="758"/>
      <c r="K3884" s="677"/>
    </row>
    <row r="3885" ht="20.1" customHeight="1" spans="1:11">
      <c r="A3885" s="675"/>
      <c r="B3885" s="755">
        <f t="shared" si="70"/>
        <v>21</v>
      </c>
      <c r="C3885" s="755">
        <f>IFERROR(VLOOKUP(B3885,DATEWISE!$A$3:$BY$27,2,0),0)</f>
        <v>0</v>
      </c>
      <c r="D3885" s="755" t="e">
        <f>IF($C$3885=0,NA(),VLOOKUP($I$3861&amp;$B$3885,FLNFIX!$DH$4:$EF$103,2,0))</f>
        <v>#N/A</v>
      </c>
      <c r="E3885" s="755" t="e">
        <f>IF($C$3885=0,NA(),VLOOKUP($I$3861&amp;$B$3885,FLNFIX!$DH$4:$EF$103,4,0))</f>
        <v>#N/A</v>
      </c>
      <c r="F3885" s="755" t="e">
        <f>IF($C$3885=0,NA(),VLOOKUP($I$3861&amp;$B$3885,FLNFIX!$DH$4:$EF$103,3,0))</f>
        <v>#N/A</v>
      </c>
      <c r="G3885" s="756" t="e">
        <f>IF($C$3885=0,NA(),VLOOKUP($I$3861&amp;$B$3885,FLNFIX!$DH$4:$EF$103,5,0))</f>
        <v>#N/A</v>
      </c>
      <c r="H3885" s="757"/>
      <c r="I3885" s="757"/>
      <c r="J3885" s="758"/>
      <c r="K3885" s="677"/>
    </row>
    <row r="3886" ht="5.1" customHeight="1" spans="1:11">
      <c r="A3886" s="675"/>
      <c r="B3886" s="759"/>
      <c r="C3886" s="759"/>
      <c r="D3886" s="760"/>
      <c r="E3886" s="760"/>
      <c r="F3886" s="760"/>
      <c r="G3886" s="761"/>
      <c r="H3886" s="761"/>
      <c r="I3886" s="761"/>
      <c r="J3886" s="761"/>
      <c r="K3886" s="677"/>
    </row>
    <row r="3887" s="667" customFormat="1" ht="24.95" customHeight="1" spans="1:11">
      <c r="A3887" s="711"/>
      <c r="B3887" s="762" t="s">
        <v>431</v>
      </c>
      <c r="C3887" s="763"/>
      <c r="D3887" s="763"/>
      <c r="E3887" s="763"/>
      <c r="F3887" s="763"/>
      <c r="G3887" s="763"/>
      <c r="H3887" s="763"/>
      <c r="I3887" s="763"/>
      <c r="J3887" s="764"/>
      <c r="K3887" s="713"/>
    </row>
    <row r="3888" spans="1:11">
      <c r="A3888" s="675"/>
      <c r="B3888" s="765"/>
      <c r="C3888" s="686"/>
      <c r="D3888" s="686"/>
      <c r="E3888" s="686"/>
      <c r="F3888" s="686"/>
      <c r="G3888" s="686"/>
      <c r="H3888" s="686"/>
      <c r="I3888" s="686"/>
      <c r="J3888" s="766"/>
      <c r="K3888" s="677"/>
    </row>
    <row r="3889" spans="1:11">
      <c r="A3889" s="675"/>
      <c r="B3889" s="765"/>
      <c r="C3889" s="686"/>
      <c r="D3889" s="686"/>
      <c r="E3889" s="686"/>
      <c r="F3889" s="686"/>
      <c r="G3889" s="686"/>
      <c r="H3889" s="686"/>
      <c r="I3889" s="686"/>
      <c r="J3889" s="766"/>
      <c r="K3889" s="677"/>
    </row>
    <row r="3890" spans="1:11">
      <c r="A3890" s="675"/>
      <c r="B3890" s="765"/>
      <c r="C3890" s="686"/>
      <c r="D3890" s="686"/>
      <c r="E3890" s="686"/>
      <c r="F3890" s="686"/>
      <c r="G3890" s="686"/>
      <c r="H3890" s="686"/>
      <c r="I3890" s="686"/>
      <c r="J3890" s="766"/>
      <c r="K3890" s="677"/>
    </row>
    <row r="3891" spans="1:11">
      <c r="A3891" s="675"/>
      <c r="B3891" s="765"/>
      <c r="C3891" s="686"/>
      <c r="D3891" s="686"/>
      <c r="E3891" s="686"/>
      <c r="F3891" s="686"/>
      <c r="G3891" s="686"/>
      <c r="H3891" s="686"/>
      <c r="I3891" s="686"/>
      <c r="J3891" s="766"/>
      <c r="K3891" s="677"/>
    </row>
    <row r="3892" spans="1:11">
      <c r="A3892" s="675"/>
      <c r="B3892" s="765"/>
      <c r="C3892" s="686"/>
      <c r="D3892" s="686"/>
      <c r="E3892" s="686"/>
      <c r="F3892" s="686"/>
      <c r="G3892" s="686"/>
      <c r="H3892" s="686"/>
      <c r="I3892" s="686"/>
      <c r="J3892" s="766"/>
      <c r="K3892" s="677"/>
    </row>
    <row r="3893" spans="1:11">
      <c r="A3893" s="675"/>
      <c r="B3893" s="765"/>
      <c r="C3893" s="686"/>
      <c r="D3893" s="686"/>
      <c r="E3893" s="686"/>
      <c r="F3893" s="686"/>
      <c r="G3893" s="686"/>
      <c r="H3893" s="686"/>
      <c r="I3893" s="686"/>
      <c r="J3893" s="766"/>
      <c r="K3893" s="677"/>
    </row>
    <row r="3894" spans="1:11">
      <c r="A3894" s="675"/>
      <c r="B3894" s="765"/>
      <c r="C3894" s="686"/>
      <c r="D3894" s="686"/>
      <c r="E3894" s="686"/>
      <c r="F3894" s="686"/>
      <c r="G3894" s="686"/>
      <c r="H3894" s="686"/>
      <c r="I3894" s="686"/>
      <c r="J3894" s="766"/>
      <c r="K3894" s="677"/>
    </row>
    <row r="3895" spans="1:11">
      <c r="A3895" s="675"/>
      <c r="B3895" s="765"/>
      <c r="C3895" s="686"/>
      <c r="D3895" s="686"/>
      <c r="E3895" s="686"/>
      <c r="F3895" s="686"/>
      <c r="G3895" s="686"/>
      <c r="H3895" s="686"/>
      <c r="I3895" s="686"/>
      <c r="J3895" s="766"/>
      <c r="K3895" s="677"/>
    </row>
    <row r="3896" spans="1:11">
      <c r="A3896" s="675"/>
      <c r="B3896" s="765"/>
      <c r="C3896" s="686"/>
      <c r="D3896" s="686"/>
      <c r="E3896" s="686"/>
      <c r="F3896" s="686"/>
      <c r="G3896" s="686"/>
      <c r="H3896" s="686"/>
      <c r="I3896" s="686"/>
      <c r="J3896" s="766"/>
      <c r="K3896" s="677"/>
    </row>
    <row r="3897" spans="1:11">
      <c r="A3897" s="675"/>
      <c r="B3897" s="767"/>
      <c r="C3897" s="768"/>
      <c r="D3897" s="768"/>
      <c r="E3897" s="768"/>
      <c r="F3897" s="768"/>
      <c r="G3897" s="768"/>
      <c r="H3897" s="768"/>
      <c r="I3897" s="768"/>
      <c r="J3897" s="769"/>
      <c r="K3897" s="677"/>
    </row>
    <row r="3898" ht="5.1" customHeight="1" spans="1:11">
      <c r="A3898" s="675"/>
      <c r="B3898" s="686"/>
      <c r="C3898" s="686"/>
      <c r="D3898" s="686"/>
      <c r="E3898" s="686"/>
      <c r="F3898" s="686"/>
      <c r="G3898" s="686"/>
      <c r="H3898" s="686"/>
      <c r="I3898" s="686"/>
      <c r="J3898" s="686"/>
      <c r="K3898" s="677"/>
    </row>
    <row r="3899" spans="1:11">
      <c r="A3899" s="675"/>
      <c r="B3899" s="770" t="s">
        <v>432</v>
      </c>
      <c r="C3899" s="770"/>
      <c r="D3899" s="770"/>
      <c r="E3899" s="770"/>
      <c r="F3899" s="770"/>
      <c r="G3899" s="770"/>
      <c r="H3899" s="770"/>
      <c r="I3899" s="770"/>
      <c r="J3899" s="770"/>
      <c r="K3899" s="677"/>
    </row>
    <row r="3900" spans="1:11">
      <c r="A3900" s="675"/>
      <c r="B3900" s="771"/>
      <c r="C3900" s="771"/>
      <c r="D3900" s="771"/>
      <c r="E3900" s="771"/>
      <c r="F3900" s="771"/>
      <c r="G3900" s="771"/>
      <c r="H3900" s="771"/>
      <c r="I3900" s="771"/>
      <c r="J3900" s="771"/>
      <c r="K3900" s="677"/>
    </row>
    <row r="3901" spans="1:11">
      <c r="A3901" s="675"/>
      <c r="B3901" s="771"/>
      <c r="C3901" s="771"/>
      <c r="D3901" s="771"/>
      <c r="E3901" s="771"/>
      <c r="F3901" s="771"/>
      <c r="G3901" s="771"/>
      <c r="H3901" s="771"/>
      <c r="I3901" s="771"/>
      <c r="J3901" s="771"/>
      <c r="K3901" s="677"/>
    </row>
    <row r="3902" spans="1:11">
      <c r="A3902" s="675"/>
      <c r="B3902" s="771"/>
      <c r="C3902" s="771"/>
      <c r="D3902" s="771"/>
      <c r="E3902" s="771"/>
      <c r="F3902" s="771"/>
      <c r="G3902" s="771"/>
      <c r="H3902" s="771"/>
      <c r="I3902" s="771"/>
      <c r="J3902" s="771"/>
      <c r="K3902" s="677"/>
    </row>
    <row r="3903" spans="1:11">
      <c r="A3903" s="675"/>
      <c r="B3903" s="686"/>
      <c r="C3903" s="686"/>
      <c r="D3903" s="686"/>
      <c r="E3903" s="686"/>
      <c r="F3903" s="686"/>
      <c r="G3903" s="686"/>
      <c r="H3903" s="686"/>
      <c r="I3903" s="686"/>
      <c r="J3903" s="686"/>
      <c r="K3903" s="677"/>
    </row>
    <row r="3904" spans="1:11">
      <c r="A3904" s="675"/>
      <c r="B3904" s="686"/>
      <c r="C3904" s="729" t="s">
        <v>433</v>
      </c>
      <c r="D3904" s="729"/>
      <c r="E3904" s="686"/>
      <c r="F3904" s="686"/>
      <c r="G3904" s="729" t="s">
        <v>434</v>
      </c>
      <c r="H3904" s="729"/>
      <c r="I3904" s="729"/>
      <c r="J3904" s="729"/>
      <c r="K3904" s="677"/>
    </row>
    <row r="3905" ht="16.35" spans="1:11">
      <c r="A3905" s="725"/>
      <c r="B3905" s="726"/>
      <c r="C3905" s="732" t="str">
        <f>"("&amp;PROPER(ENTRY!$D$19)&amp;")"</f>
        <v>(Indrajeet)</v>
      </c>
      <c r="D3905" s="732"/>
      <c r="E3905" s="726"/>
      <c r="F3905" s="726"/>
      <c r="G3905" s="732" t="str">
        <f>"("&amp;PROPER(ENTRY!$D$12)&amp;")"</f>
        <v>(Shambhu Dayal Meena)</v>
      </c>
      <c r="H3905" s="732"/>
      <c r="I3905" s="732"/>
      <c r="J3905" s="732"/>
      <c r="K3905" s="728"/>
    </row>
    <row r="3906" ht="24.6" spans="1:11">
      <c r="B3906" s="734"/>
      <c r="C3906" s="734"/>
      <c r="D3906" s="669" t="str">
        <f>ENTRY!$D$3</f>
        <v>MUNICIPAL CORPORATION OF DELHI</v>
      </c>
      <c r="E3906" s="669"/>
      <c r="F3906" s="669"/>
      <c r="G3906" s="669"/>
      <c r="H3906" s="734"/>
      <c r="I3906" s="669"/>
      <c r="J3906" s="669"/>
    </row>
    <row r="3907" ht="20.4" spans="1:11">
      <c r="B3907" s="735"/>
      <c r="C3907" s="735"/>
      <c r="D3907" s="670" t="str">
        <f>ENTRY!$D$4</f>
        <v>EDUCATION DEPARTMENT</v>
      </c>
      <c r="E3907" s="670"/>
      <c r="F3907" s="670"/>
      <c r="G3907" s="670"/>
      <c r="H3907" s="735"/>
      <c r="I3907" s="669"/>
      <c r="J3907" s="669"/>
    </row>
    <row r="3908" ht="22.8" spans="1:11">
      <c r="B3908" s="736"/>
      <c r="C3908" s="736"/>
      <c r="D3908" s="664" t="s">
        <v>417</v>
      </c>
      <c r="E3908" s="664"/>
      <c r="F3908" s="664"/>
      <c r="G3908" s="664"/>
      <c r="H3908" s="736"/>
      <c r="I3908" s="669"/>
      <c r="J3908" s="669"/>
    </row>
    <row r="3909" ht="22.8" spans="1:11">
      <c r="B3909" s="736"/>
      <c r="C3909" s="736"/>
      <c r="D3909" s="664" t="s">
        <v>418</v>
      </c>
      <c r="E3909" s="664"/>
      <c r="F3909" s="664"/>
      <c r="G3909" s="664"/>
      <c r="H3909" s="736"/>
      <c r="I3909" s="669"/>
      <c r="J3909" s="669"/>
    </row>
    <row r="3910" ht="24.95" customHeight="1" spans="1:11">
      <c r="B3910" s="735"/>
      <c r="C3910" s="735"/>
      <c r="D3910" s="737" t="str">
        <f>"SESSION : "&amp;ENTRY!$D$11</f>
        <v>SESSION : 2026-27</v>
      </c>
      <c r="E3910" s="737"/>
      <c r="F3910" s="737"/>
      <c r="G3910" s="737"/>
      <c r="H3910" s="735"/>
      <c r="I3910" s="738"/>
      <c r="J3910" s="738"/>
    </row>
    <row r="3911" ht="3.75" customHeight="1" spans="1:11">
      <c r="A3911" s="672"/>
      <c r="B3911" s="739"/>
      <c r="C3911" s="739"/>
      <c r="D3911" s="739"/>
      <c r="E3911" s="739"/>
      <c r="F3911" s="739"/>
      <c r="G3911" s="739"/>
      <c r="H3911" s="739"/>
      <c r="I3911" s="739"/>
      <c r="J3911" s="739"/>
      <c r="K3911" s="674"/>
    </row>
    <row r="3912" ht="21.95" customHeight="1" spans="1:11">
      <c r="A3912" s="675"/>
      <c r="B3912" s="676" t="s">
        <v>419</v>
      </c>
      <c r="C3912" s="676"/>
      <c r="D3912" s="676" t="str">
        <f>ENTRY!$D$6</f>
        <v>MCP NITHARI NO 1 BOYS</v>
      </c>
      <c r="E3912" s="676"/>
      <c r="F3912" s="676"/>
      <c r="G3912" s="676"/>
      <c r="H3912" s="676"/>
      <c r="I3912" s="676"/>
      <c r="J3912" s="676"/>
      <c r="K3912" s="677"/>
    </row>
    <row r="3913" ht="21.95" customHeight="1" spans="1:11">
      <c r="A3913" s="675"/>
      <c r="B3913" s="676" t="s">
        <v>420</v>
      </c>
      <c r="C3913" s="676"/>
      <c r="D3913" s="740">
        <f>IFERROR(VLOOKUP($I$3916,STUDENT!$A$2:$BP$101,5,0),"")</f>
        <v>0</v>
      </c>
      <c r="E3913" s="740"/>
      <c r="F3913" s="740"/>
      <c r="G3913" s="740"/>
      <c r="H3913" s="740"/>
      <c r="I3913" s="740"/>
      <c r="J3913" s="740"/>
      <c r="K3913" s="677"/>
    </row>
    <row r="3914" ht="21.95" customHeight="1" spans="1:11">
      <c r="A3914" s="675"/>
      <c r="B3914" s="676" t="s">
        <v>421</v>
      </c>
      <c r="C3914" s="676"/>
      <c r="D3914" s="740">
        <f>IFERROR(VLOOKUP($I$3916,STUDENT!$A$2:$BP$101,8,0),"")</f>
        <v>0</v>
      </c>
      <c r="E3914" s="740"/>
      <c r="F3914" s="740"/>
      <c r="G3914" s="740"/>
      <c r="H3914" s="740"/>
      <c r="I3914" s="740"/>
      <c r="J3914" s="740"/>
      <c r="K3914" s="677"/>
    </row>
    <row r="3915" ht="21.95" customHeight="1" spans="1:11">
      <c r="A3915" s="675"/>
      <c r="B3915" s="676" t="s">
        <v>422</v>
      </c>
      <c r="C3915" s="676"/>
      <c r="D3915" s="740">
        <f>IFERROR(VLOOKUP($I$3916,STUDENT!$A$2:$BP$101,6,0),"")</f>
        <v>0</v>
      </c>
      <c r="E3915" s="740"/>
      <c r="F3915" s="740"/>
      <c r="G3915" s="740"/>
      <c r="H3915" s="740"/>
      <c r="I3915" s="740"/>
      <c r="J3915" s="740"/>
      <c r="K3915" s="677"/>
    </row>
    <row r="3916" ht="21.95" customHeight="1" spans="1:11">
      <c r="A3916" s="675"/>
      <c r="B3916" s="676" t="s">
        <v>423</v>
      </c>
      <c r="C3916" s="676"/>
      <c r="D3916" s="741" t="str">
        <f>IFERROR(VLOOKUP($I$3916,STUDENT!$A$2:$BP$101,59,0),"")</f>
        <v/>
      </c>
      <c r="E3916" s="742" t="s">
        <v>424</v>
      </c>
      <c r="F3916" s="704" t="str">
        <f>IFERROR(VLOOKUP($I$3916,STUDENT!$A$2:$BP$101,2,0),"")</f>
        <v>III-A</v>
      </c>
      <c r="G3916" s="742" t="s">
        <v>425</v>
      </c>
      <c r="H3916" s="743"/>
      <c r="I3916" s="733">
        <f>I3861+1</f>
        <v>72</v>
      </c>
      <c r="J3916" s="683"/>
      <c r="K3916" s="677"/>
    </row>
    <row r="3917" ht="5.1" customHeight="1" spans="1:11">
      <c r="A3917" s="675"/>
      <c r="B3917" s="745"/>
      <c r="C3917" s="745"/>
      <c r="D3917" s="746"/>
      <c r="E3917" s="747"/>
      <c r="F3917" s="748"/>
      <c r="G3917" s="747"/>
      <c r="H3917" s="686"/>
      <c r="I3917" s="686"/>
      <c r="J3917" s="686"/>
      <c r="K3917" s="677"/>
    </row>
    <row r="3918" s="664" customFormat="1" ht="32.1" customHeight="1" spans="1:11">
      <c r="A3918" s="688"/>
      <c r="B3918" s="749" t="s">
        <v>426</v>
      </c>
      <c r="C3918" s="750"/>
      <c r="D3918" s="750"/>
      <c r="E3918" s="750"/>
      <c r="F3918" s="750"/>
      <c r="G3918" s="750"/>
      <c r="H3918" s="750"/>
      <c r="I3918" s="750"/>
      <c r="J3918" s="751"/>
      <c r="K3918" s="690"/>
    </row>
    <row r="3919" ht="51.6" spans="1:11">
      <c r="A3919" s="675"/>
      <c r="B3919" s="752">
        <v>21</v>
      </c>
      <c r="C3919" s="753" t="s">
        <v>427</v>
      </c>
      <c r="D3919" s="754" t="s">
        <v>428</v>
      </c>
      <c r="E3919" s="754" t="s">
        <v>429</v>
      </c>
      <c r="F3919" s="754" t="s">
        <v>430</v>
      </c>
      <c r="G3919" s="753" t="s">
        <v>390</v>
      </c>
      <c r="H3919" s="714"/>
      <c r="I3919" s="714"/>
      <c r="J3919" s="714"/>
      <c r="K3919" s="677"/>
    </row>
    <row r="3920" ht="20.1" customHeight="1" spans="1:11">
      <c r="A3920" s="675"/>
      <c r="B3920" s="755">
        <v>1</v>
      </c>
      <c r="C3920" s="755" t="str">
        <f>IFERROR(VLOOKUP(B3920,DATEWISE!$A$3:$BY$27,2,0),0)</f>
        <v>30.04.2026</v>
      </c>
      <c r="D3920" s="755">
        <f>IF($C$3920=0,NA(),VLOOKUP($I$3916&amp;$B$3920,FLNFIX!$L$4:$EF$103,2,0))</f>
        <v>0</v>
      </c>
      <c r="E3920" s="755">
        <f>IF($C$3920=0,NA(),VLOOKUP($I$3916&amp;$B$3920,FLNFIX!$L$4:$EF$103,4,0))</f>
        <v>0</v>
      </c>
      <c r="F3920" s="755">
        <f>IF($C$3920=0,NA(),VLOOKUP($I$3916&amp;$B$3920,FLNFIX!$L$4:$EF$103,3,0))</f>
        <v>0</v>
      </c>
      <c r="G3920" s="756">
        <f>IF($C$3920=0,NA(),VLOOKUP($I$3916&amp;$B$3920,FLNFIX!$L$4:$EF$103,5,0))</f>
        <v>0</v>
      </c>
      <c r="H3920" s="757"/>
      <c r="I3920" s="757"/>
      <c r="J3920" s="758"/>
      <c r="K3920" s="677"/>
    </row>
    <row r="3921" ht="20.1" customHeight="1" spans="1:11">
      <c r="A3921" s="675"/>
      <c r="B3921" s="755">
        <f t="shared" ref="B3921:B3940" si="71">IF(B3920=0,0,IF(B3920&lt;$B$3919,B3920+1,""))</f>
        <v>2</v>
      </c>
      <c r="C3921" s="755" t="str">
        <f>IFERROR(VLOOKUP(B3921,DATEWISE!$A$3:$BY$27,2,0),0)</f>
        <v>08.05.2026</v>
      </c>
      <c r="D3921" s="755">
        <f>IF($C$3921=0,NA(),VLOOKUP($I$3916&amp;$B$3921,FLNFIX!$Q$4:$EF$103,2,0))</f>
        <v>0</v>
      </c>
      <c r="E3921" s="755">
        <f>IF($C$3921=0,NA(),VLOOKUP($I$3916&amp;$B$3921,FLNFIX!$Q$4:$EF$103,4,0))</f>
        <v>0</v>
      </c>
      <c r="F3921" s="755">
        <f>IF($C$3921=0,NA(),VLOOKUP($I$3916&amp;$B$3921,FLNFIX!$Q$4:$EF$103,3,0))</f>
        <v>0</v>
      </c>
      <c r="G3921" s="756">
        <f>IF($C$3921=0,NA(),VLOOKUP($I$3916&amp;$B$3921,FLNFIX!$Q$4:$EF$103,5,0))</f>
        <v>0</v>
      </c>
      <c r="H3921" s="757"/>
      <c r="I3921" s="757"/>
      <c r="J3921" s="758"/>
      <c r="K3921" s="677"/>
    </row>
    <row r="3922" ht="20.1" customHeight="1" spans="1:11">
      <c r="A3922" s="675"/>
      <c r="B3922" s="755">
        <f t="shared" si="71"/>
        <v>3</v>
      </c>
      <c r="C3922" s="755" t="str">
        <f>IFERROR(VLOOKUP(B3922,DATEWISE!$A$3:$BY$27,2,0),0)</f>
        <v>15.07.2026</v>
      </c>
      <c r="D3922" s="755">
        <f>IF($C$3922=0,NA(),VLOOKUP($I$3916&amp;$B$3922,FLNFIX!$V$4:$EF$103,2,0))</f>
        <v>0</v>
      </c>
      <c r="E3922" s="755">
        <f>IF($C$3922=0,NA(),VLOOKUP($I$3916&amp;$B$3922,FLNFIX!$V$4:$EF$103,4,0))</f>
        <v>0</v>
      </c>
      <c r="F3922" s="755">
        <f>IF($C$3922=0,NA(),VLOOKUP($I$3916&amp;$B$3922,FLNFIX!$V$4:$EF$103,3,0))</f>
        <v>0</v>
      </c>
      <c r="G3922" s="756">
        <f>IF($C$3922=0,NA(),VLOOKUP($I$3916&amp;$B$3922,FLNFIX!$V$4:$EF$103,5,0))</f>
        <v>0</v>
      </c>
      <c r="H3922" s="757"/>
      <c r="I3922" s="757"/>
      <c r="J3922" s="758"/>
      <c r="K3922" s="677"/>
    </row>
    <row r="3923" ht="20.1" customHeight="1" spans="1:11">
      <c r="A3923" s="675"/>
      <c r="B3923" s="755">
        <f t="shared" si="71"/>
        <v>4</v>
      </c>
      <c r="C3923" s="755" t="str">
        <f>IFERROR(VLOOKUP(B3923,DATEWISE!$A$3:$BY$27,2,0),0)</f>
        <v>31.07.2026</v>
      </c>
      <c r="D3923" s="755">
        <f>IF($C$3923=0,NA(),VLOOKUP($I$3916&amp;$B$3923,FLNFIX!$AA$4:$EF$103,2,0))</f>
        <v>0</v>
      </c>
      <c r="E3923" s="755">
        <f>IF($C$3923=0,NA(),VLOOKUP($I$3916&amp;$B$3923,FLNFIX!$AA$4:$EF$103,4,0))</f>
        <v>0</v>
      </c>
      <c r="F3923" s="755">
        <f>IF($C$3923=0,NA(),VLOOKUP($I$3916&amp;$B$3923,FLNFIX!$AA$4:$EF$103,3,0))</f>
        <v>0</v>
      </c>
      <c r="G3923" s="756">
        <f>IF($C$3923=0,NA(),VLOOKUP($I$3916&amp;$B$3923,FLNFIX!$AA$4:$EF$103,5,0))</f>
        <v>0</v>
      </c>
      <c r="H3923" s="757"/>
      <c r="I3923" s="757"/>
      <c r="J3923" s="758"/>
      <c r="K3923" s="677"/>
    </row>
    <row r="3924" ht="20.1" customHeight="1" spans="1:11">
      <c r="A3924" s="675"/>
      <c r="B3924" s="755">
        <f t="shared" si="71"/>
        <v>5</v>
      </c>
      <c r="C3924" s="755" t="str">
        <f>IFERROR(VLOOKUP(B3924,DATEWISE!$A$3:$BY$27,2,0),0)</f>
        <v>17.08.2026</v>
      </c>
      <c r="D3924" s="755">
        <f>IF($C$3924=0,NA(),VLOOKUP($I$3916&amp;$B$3924,FLNFIX!$AF$4:$EF$103,2,0))</f>
        <v>0</v>
      </c>
      <c r="E3924" s="755">
        <f>IF($C$3924=0,NA(),VLOOKUP($I$3916&amp;$B$3924,FLNFIX!$AF$4:$EF$103,4,0))</f>
        <v>0</v>
      </c>
      <c r="F3924" s="755">
        <f>IF($C$3924=0,NA(),VLOOKUP($I$3916&amp;$B$3924,FLNFIX!$AF$4:$EF$103,3,0))</f>
        <v>0</v>
      </c>
      <c r="G3924" s="756">
        <f>IF($C$3924=0,NA(),VLOOKUP($I$3916&amp;$B$3924,FLNFIX!$AF$4:$EF$103,5,0))</f>
        <v>0</v>
      </c>
      <c r="H3924" s="757"/>
      <c r="I3924" s="757"/>
      <c r="J3924" s="758"/>
      <c r="K3924" s="677"/>
    </row>
    <row r="3925" ht="20.1" customHeight="1" spans="1:11">
      <c r="A3925" s="675"/>
      <c r="B3925" s="755">
        <f t="shared" si="71"/>
        <v>6</v>
      </c>
      <c r="C3925" s="755" t="str">
        <f>IFERROR(VLOOKUP(B3925,DATEWISE!$A$3:$BY$27,2,0),0)</f>
        <v>31.08.2026</v>
      </c>
      <c r="D3925" s="755">
        <f>IF($C$3925=0,NA(),VLOOKUP($I$3916&amp;$B$3925,FLNFIX!$AK$4:$EF$103,2,0))</f>
        <v>0</v>
      </c>
      <c r="E3925" s="755">
        <f>IF($C$3925=0,NA(),VLOOKUP($I$3916&amp;$B$3925,FLNFIX!$AK$4:$EF$103,4,0))</f>
        <v>0</v>
      </c>
      <c r="F3925" s="755">
        <f>IF($C$3925=0,NA(),VLOOKUP($I$3916&amp;$B$3925,FLNFIX!$AK$4:$EF$103,3,0))</f>
        <v>0</v>
      </c>
      <c r="G3925" s="756">
        <f>IF($C$3925=0,NA(),VLOOKUP($I$3916&amp;$B$3925,FLNFIX!$AK$4:$EF$103,5,0))</f>
        <v>0</v>
      </c>
      <c r="H3925" s="757"/>
      <c r="I3925" s="757"/>
      <c r="J3925" s="758"/>
      <c r="K3925" s="677"/>
    </row>
    <row r="3926" ht="20.1" customHeight="1" spans="1:11">
      <c r="A3926" s="675"/>
      <c r="B3926" s="755">
        <f t="shared" si="71"/>
        <v>7</v>
      </c>
      <c r="C3926" s="755">
        <f>IFERROR(VLOOKUP(B3926,DATEWISE!$A$3:$BY$27,2,0),0)</f>
        <v>0</v>
      </c>
      <c r="D3926" s="755" t="e">
        <f>IF($C$3926=0,NA(),VLOOKUP($I$3916&amp;$B$3926,FLNFIX!$AP$4:$EF$103,2,0))</f>
        <v>#N/A</v>
      </c>
      <c r="E3926" s="755" t="e">
        <f>IF($C$3926=0,NA(),VLOOKUP($I$3916&amp;$B$3926,FLNFIX!$AP$4:$EF$103,4,0))</f>
        <v>#N/A</v>
      </c>
      <c r="F3926" s="755" t="e">
        <f>IF($C$3926=0,NA(),VLOOKUP($I$3916&amp;$B$3926,FLNFIX!$AP$4:$EF$103,3,0))</f>
        <v>#N/A</v>
      </c>
      <c r="G3926" s="756" t="e">
        <f>IF($C$3926=0,NA(),VLOOKUP($I$3916&amp;$B$3926,FLNFIX!$AP$4:$EF$103,5,0))</f>
        <v>#N/A</v>
      </c>
      <c r="H3926" s="757"/>
      <c r="I3926" s="757"/>
      <c r="J3926" s="758"/>
      <c r="K3926" s="677"/>
    </row>
    <row r="3927" ht="20.1" customHeight="1" spans="1:11">
      <c r="A3927" s="675"/>
      <c r="B3927" s="755">
        <f t="shared" si="71"/>
        <v>8</v>
      </c>
      <c r="C3927" s="755">
        <f>IFERROR(VLOOKUP(B3927,DATEWISE!$A$3:$BY$27,2,0),0)</f>
        <v>0</v>
      </c>
      <c r="D3927" s="755" t="e">
        <f>IF($C$3927=0,NA(),VLOOKUP($I$3916&amp;$B$3927,FLNFIX!$AU$4:$EF$103,2,0))</f>
        <v>#N/A</v>
      </c>
      <c r="E3927" s="755" t="e">
        <f>IF($C$3927=0,NA(),VLOOKUP($I$3916&amp;$B$3927,FLNFIX!$AU$4:$EF$103,4,0))</f>
        <v>#N/A</v>
      </c>
      <c r="F3927" s="755" t="e">
        <f>IF($C$3927=0,NA(),VLOOKUP($I$3916&amp;$B$3927,FLNFIX!$AU$4:$EF$103,3,0))</f>
        <v>#N/A</v>
      </c>
      <c r="G3927" s="756" t="e">
        <f>IF($C$3927=0,NA(),VLOOKUP($I$3916&amp;$B$3927,FLNFIX!$AU$4:$EF$103,5,0))</f>
        <v>#N/A</v>
      </c>
      <c r="H3927" s="757"/>
      <c r="I3927" s="757"/>
      <c r="J3927" s="758"/>
      <c r="K3927" s="677"/>
    </row>
    <row r="3928" ht="20.1" customHeight="1" spans="1:11">
      <c r="A3928" s="675"/>
      <c r="B3928" s="755">
        <f t="shared" si="71"/>
        <v>9</v>
      </c>
      <c r="C3928" s="755">
        <f>IFERROR(VLOOKUP(B3928,DATEWISE!$A$3:$BY$27,2,0),0)</f>
        <v>0</v>
      </c>
      <c r="D3928" s="755" t="e">
        <f>IF($C$3928=0,NA(),VLOOKUP($I$3916&amp;$B$3928,FLNFIX!$AZ$4:$EF$103,2,0))</f>
        <v>#N/A</v>
      </c>
      <c r="E3928" s="755" t="e">
        <f>IF($C$3928=0,NA(),VLOOKUP($I$3916&amp;$B$3928,FLNFIX!$AZ$4:$EF$103,4,0))</f>
        <v>#N/A</v>
      </c>
      <c r="F3928" s="755" t="e">
        <f>IF($C$3928=0,NA(),VLOOKUP($I$3916&amp;$B$3928,FLNFIX!$AZ$4:$EF$103,3,0))</f>
        <v>#N/A</v>
      </c>
      <c r="G3928" s="756" t="e">
        <f>IF($C$3928=0,NA(),VLOOKUP($I$3916&amp;$B$3928,FLNFIX!$AZ$4:$EF$103,5,0))</f>
        <v>#N/A</v>
      </c>
      <c r="H3928" s="757"/>
      <c r="I3928" s="757"/>
      <c r="J3928" s="758"/>
      <c r="K3928" s="677"/>
    </row>
    <row r="3929" ht="20.1" customHeight="1" spans="1:11">
      <c r="A3929" s="675"/>
      <c r="B3929" s="755">
        <f t="shared" si="71"/>
        <v>10</v>
      </c>
      <c r="C3929" s="755">
        <f>IFERROR(VLOOKUP(B3929,DATEWISE!$A$3:$BY$27,2,0),0)</f>
        <v>0</v>
      </c>
      <c r="D3929" s="755" t="e">
        <f>IF($C$3929=0,NA(),VLOOKUP($I$3916&amp;$B$3929,FLNFIX!$BE$4:$EF$103,2,0))</f>
        <v>#N/A</v>
      </c>
      <c r="E3929" s="755" t="e">
        <f>IF($C$3929=0,NA(),VLOOKUP($I$3916&amp;$B$3929,FLNFIX!$BE$4:$EF$103,4,0))</f>
        <v>#N/A</v>
      </c>
      <c r="F3929" s="755" t="e">
        <f>IF($C$3929=0,NA(),VLOOKUP($I$3916&amp;$B$3929,FLNFIX!$BE$4:$EF$103,3,0))</f>
        <v>#N/A</v>
      </c>
      <c r="G3929" s="756" t="e">
        <f>IF($C$3929=0,NA(),VLOOKUP($I$3916&amp;$B$3929,FLNFIX!$BE$4:$EF$103,5,0))</f>
        <v>#N/A</v>
      </c>
      <c r="H3929" s="757"/>
      <c r="I3929" s="757"/>
      <c r="J3929" s="758"/>
      <c r="K3929" s="677"/>
    </row>
    <row r="3930" ht="20.1" customHeight="1" spans="1:11">
      <c r="A3930" s="675"/>
      <c r="B3930" s="755">
        <f t="shared" si="71"/>
        <v>11</v>
      </c>
      <c r="C3930" s="755">
        <f>IFERROR(VLOOKUP(B3930,DATEWISE!$A$3:$BY$27,2,0),0)</f>
        <v>0</v>
      </c>
      <c r="D3930" s="755" t="e">
        <f>IF($C$3930=0,NA(),VLOOKUP($I$3916&amp;$B$3930,FLNFIX!$BJ$4:$EF$103,2,0))</f>
        <v>#N/A</v>
      </c>
      <c r="E3930" s="755" t="e">
        <f>IF($C$3930=0,NA(),VLOOKUP($I$3916&amp;$B$3930,FLNFIX!$BJ$4:$EF$103,4,0))</f>
        <v>#N/A</v>
      </c>
      <c r="F3930" s="755" t="e">
        <f>IF($C$3930=0,NA(),VLOOKUP($I$3916&amp;$B$3930,FLNFIX!$BJ$4:$EF$103,3,0))</f>
        <v>#N/A</v>
      </c>
      <c r="G3930" s="756" t="e">
        <f>IF($C$3930=0,NA(),VLOOKUP($I$3916&amp;$B$3930,FLNFIX!$BJ$4:$EF$103,5,0))</f>
        <v>#N/A</v>
      </c>
      <c r="H3930" s="757"/>
      <c r="I3930" s="757"/>
      <c r="J3930" s="758"/>
      <c r="K3930" s="677"/>
    </row>
    <row r="3931" ht="20.1" customHeight="1" spans="1:11">
      <c r="A3931" s="675"/>
      <c r="B3931" s="755">
        <f t="shared" si="71"/>
        <v>12</v>
      </c>
      <c r="C3931" s="755">
        <f>IFERROR(VLOOKUP(B3931,DATEWISE!$A$3:$BY$27,2,0),0)</f>
        <v>0</v>
      </c>
      <c r="D3931" s="755" t="e">
        <f>IF($C$3931=0,NA(),VLOOKUP($I$3916&amp;$B$3931,FLNFIX!$BO$4:$EF$103,2,0))</f>
        <v>#N/A</v>
      </c>
      <c r="E3931" s="755" t="e">
        <f>IF($C$3931=0,NA(),VLOOKUP($I$3916&amp;$B$3931,FLNFIX!$BO$4:$EF$103,4,0))</f>
        <v>#N/A</v>
      </c>
      <c r="F3931" s="755" t="e">
        <f>IF($C$3931=0,NA(),VLOOKUP($I$3916&amp;$B$3931,FLNFIX!$BO$4:$EF$103,3,0))</f>
        <v>#N/A</v>
      </c>
      <c r="G3931" s="756" t="e">
        <f>IF($C$3931=0,NA(),VLOOKUP($I$3916&amp;$B$3931,FLNFIX!$BO$4:$EF$103,5,0))</f>
        <v>#N/A</v>
      </c>
      <c r="H3931" s="757"/>
      <c r="I3931" s="757"/>
      <c r="J3931" s="758"/>
      <c r="K3931" s="677"/>
    </row>
    <row r="3932" ht="20.1" customHeight="1" spans="1:11">
      <c r="A3932" s="675"/>
      <c r="B3932" s="755">
        <f t="shared" si="71"/>
        <v>13</v>
      </c>
      <c r="C3932" s="755">
        <f>IFERROR(VLOOKUP(B3932,DATEWISE!$A$3:$BY$27,2,0),0)</f>
        <v>0</v>
      </c>
      <c r="D3932" s="755" t="e">
        <f>IF($C$3932=0,NA(),VLOOKUP($I$3916&amp;$B$3932,FLNFIX!$BT$4:$EF$103,2,0))</f>
        <v>#N/A</v>
      </c>
      <c r="E3932" s="755" t="e">
        <f>IF($C$3932=0,NA(),VLOOKUP($I$3916&amp;$B$3932,FLNFIX!$BT$4:$EF$103,4,0))</f>
        <v>#N/A</v>
      </c>
      <c r="F3932" s="755" t="e">
        <f>IF($C$3932=0,NA(),VLOOKUP($I$3916&amp;$B$3932,FLNFIX!$BT$4:$EF$103,3,0))</f>
        <v>#N/A</v>
      </c>
      <c r="G3932" s="756" t="e">
        <f>IF($C$3932=0,NA(),VLOOKUP($I$3916&amp;$B$3932,FLNFIX!$BT$4:$EF$103,5,0))</f>
        <v>#N/A</v>
      </c>
      <c r="H3932" s="757"/>
      <c r="I3932" s="757"/>
      <c r="J3932" s="758"/>
      <c r="K3932" s="677"/>
    </row>
    <row r="3933" ht="20.1" customHeight="1" spans="1:11">
      <c r="A3933" s="675"/>
      <c r="B3933" s="755">
        <f t="shared" si="71"/>
        <v>14</v>
      </c>
      <c r="C3933" s="755">
        <f>IFERROR(VLOOKUP(B3933,DATEWISE!$A$3:$BY$27,2,0),0)</f>
        <v>0</v>
      </c>
      <c r="D3933" s="755" t="e">
        <f>IF($C$3933=0,NA(),VLOOKUP($I$3916&amp;$B$3933,FLNFIX!$BY$4:$EF$103,2,0))</f>
        <v>#N/A</v>
      </c>
      <c r="E3933" s="755" t="e">
        <f>IF($C$3933=0,NA(),VLOOKUP($I$3916&amp;$B$3933,FLNFIX!$BY$4:$EF$103,4,0))</f>
        <v>#N/A</v>
      </c>
      <c r="F3933" s="755" t="e">
        <f>IF($C$3933=0,NA(),VLOOKUP($I$3916&amp;$B$3933,FLNFIX!$BY$4:$EF$103,3,0))</f>
        <v>#N/A</v>
      </c>
      <c r="G3933" s="756" t="e">
        <f>IF($C$3933=0,NA(),VLOOKUP($I$3916&amp;$B$3933,FLNFIX!$BY$4:$EF$103,5,0))</f>
        <v>#N/A</v>
      </c>
      <c r="H3933" s="757"/>
      <c r="I3933" s="757"/>
      <c r="J3933" s="758"/>
      <c r="K3933" s="677"/>
    </row>
    <row r="3934" ht="20.1" customHeight="1" spans="1:11">
      <c r="A3934" s="675"/>
      <c r="B3934" s="755">
        <f t="shared" si="71"/>
        <v>15</v>
      </c>
      <c r="C3934" s="755">
        <f>IFERROR(VLOOKUP(B3934,DATEWISE!$A$3:$BY$27,2,0),0)</f>
        <v>0</v>
      </c>
      <c r="D3934" s="755" t="e">
        <f>IF($C$3934=0,NA(),VLOOKUP($I$3916&amp;$B$3934,FLNFIX!$CD$4:$EF$103,2,0))</f>
        <v>#N/A</v>
      </c>
      <c r="E3934" s="755" t="e">
        <f>IF($C$3934=0,NA(),VLOOKUP($I$3916&amp;$B$3934,FLNFIX!$CD$4:$EF$103,4,0))</f>
        <v>#N/A</v>
      </c>
      <c r="F3934" s="755" t="e">
        <f>IF($C$3934=0,NA(),VLOOKUP($I$3916&amp;$B$3934,FLNFIX!$CD$4:$EF$103,3,0))</f>
        <v>#N/A</v>
      </c>
      <c r="G3934" s="756" t="e">
        <f>IF($C$3934=0,NA(),VLOOKUP($I$3916&amp;$B$3934,FLNFIX!$CD$4:$EF$103,5,0))</f>
        <v>#N/A</v>
      </c>
      <c r="H3934" s="757"/>
      <c r="I3934" s="757"/>
      <c r="J3934" s="758"/>
      <c r="K3934" s="677"/>
    </row>
    <row r="3935" ht="20.1" customHeight="1" spans="1:11">
      <c r="A3935" s="675"/>
      <c r="B3935" s="755">
        <f t="shared" si="71"/>
        <v>16</v>
      </c>
      <c r="C3935" s="755">
        <f>IFERROR(VLOOKUP(B3935,DATEWISE!$A$3:$BY$27,2,0),0)</f>
        <v>0</v>
      </c>
      <c r="D3935" s="755" t="e">
        <f>IF($C$3935=0,NA(),VLOOKUP($I$3916&amp;$B$3935,FLNFIX!$CI$4:$EF$103,2,0))</f>
        <v>#N/A</v>
      </c>
      <c r="E3935" s="755" t="e">
        <f>IF($C$3935=0,NA(),VLOOKUP($I$3916&amp;$B$3935,FLNFIX!$CI$4:$EF$103,4,0))</f>
        <v>#N/A</v>
      </c>
      <c r="F3935" s="755" t="e">
        <f>IF($C$3935=0,NA(),VLOOKUP($I$3916&amp;$B$3935,FLNFIX!$CI$4:$EF$103,3,0))</f>
        <v>#N/A</v>
      </c>
      <c r="G3935" s="756" t="e">
        <f>IF($C$3935=0,NA(),VLOOKUP($I$3916&amp;$B$3935,FLNFIX!$CI$4:$EF$103,5,0))</f>
        <v>#N/A</v>
      </c>
      <c r="H3935" s="757"/>
      <c r="I3935" s="757"/>
      <c r="J3935" s="758"/>
      <c r="K3935" s="677"/>
    </row>
    <row r="3936" ht="20.1" customHeight="1" spans="1:11">
      <c r="A3936" s="675"/>
      <c r="B3936" s="755">
        <f t="shared" si="71"/>
        <v>17</v>
      </c>
      <c r="C3936" s="755">
        <f>IFERROR(VLOOKUP(B3936,DATEWISE!$A$3:$BY$27,2,0),0)</f>
        <v>0</v>
      </c>
      <c r="D3936" s="755" t="e">
        <f>IF($C$3936=0,NA(),VLOOKUP($I$3916&amp;$B$3936,FLNFIX!$CN$4:$EF$103,2,0))</f>
        <v>#N/A</v>
      </c>
      <c r="E3936" s="755" t="e">
        <f>IF($C$3936=0,NA(),VLOOKUP($I$3916&amp;$B$3936,FLNFIX!$CN$4:$EF$103,4,0))</f>
        <v>#N/A</v>
      </c>
      <c r="F3936" s="755" t="e">
        <f>IF($C$3936=0,NA(),VLOOKUP($I$3916&amp;$B$3936,FLNFIX!$CN$4:$EF$103,3,0))</f>
        <v>#N/A</v>
      </c>
      <c r="G3936" s="756" t="e">
        <f>IF($C$3936=0,NA(),VLOOKUP($I$3916&amp;$B$3936,FLNFIX!$CN$4:$EF$103,5,0))</f>
        <v>#N/A</v>
      </c>
      <c r="H3936" s="757"/>
      <c r="I3936" s="757"/>
      <c r="J3936" s="758"/>
      <c r="K3936" s="677"/>
    </row>
    <row r="3937" ht="20.1" customHeight="1" spans="1:11">
      <c r="A3937" s="675"/>
      <c r="B3937" s="755">
        <f t="shared" si="71"/>
        <v>18</v>
      </c>
      <c r="C3937" s="755">
        <f>IFERROR(VLOOKUP(B3937,DATEWISE!$A$3:$BY$27,2,0),0)</f>
        <v>0</v>
      </c>
      <c r="D3937" s="755" t="e">
        <f>IF($C$3937=0,NA(),VLOOKUP($I$3916&amp;$B$3937,FLNFIX!$CS$4:$EF$103,2,0))</f>
        <v>#N/A</v>
      </c>
      <c r="E3937" s="755" t="e">
        <f>IF($C$3937=0,NA(),VLOOKUP($I$3916&amp;$B$3937,FLNFIX!$CS$4:$EF$103,4,0))</f>
        <v>#N/A</v>
      </c>
      <c r="F3937" s="755" t="e">
        <f>IF($C$3937=0,NA(),VLOOKUP($I$3916&amp;$B$3937,FLNFIX!$CS$4:$EF$103,3,0))</f>
        <v>#N/A</v>
      </c>
      <c r="G3937" s="756" t="e">
        <f>IF($C$3937=0,NA(),VLOOKUP($I$3916&amp;$B$3937,FLNFIX!$CS$4:$EF$103,5,0))</f>
        <v>#N/A</v>
      </c>
      <c r="H3937" s="757"/>
      <c r="I3937" s="757"/>
      <c r="J3937" s="758"/>
      <c r="K3937" s="677"/>
    </row>
    <row r="3938" ht="20.1" customHeight="1" spans="1:11">
      <c r="A3938" s="675"/>
      <c r="B3938" s="755">
        <f t="shared" si="71"/>
        <v>19</v>
      </c>
      <c r="C3938" s="755">
        <f>IFERROR(VLOOKUP(B3938,DATEWISE!$A$3:$BY$27,2,0),0)</f>
        <v>0</v>
      </c>
      <c r="D3938" s="755" t="e">
        <f>IF($C$3938=0,NA(),VLOOKUP($I$3916&amp;$B$3938,FLNFIX!$CX$4:$EF$103,2,0))</f>
        <v>#N/A</v>
      </c>
      <c r="E3938" s="755" t="e">
        <f>IF($C$3938=0,NA(),VLOOKUP($I$3916&amp;$B$3938,FLNFIX!$CX$4:$EF$103,4,0))</f>
        <v>#N/A</v>
      </c>
      <c r="F3938" s="755" t="e">
        <f>IF($C$3938=0,NA(),VLOOKUP($I$3916&amp;$B$3938,FLNFIX!$CX$4:$EF$103,3,0))</f>
        <v>#N/A</v>
      </c>
      <c r="G3938" s="756" t="e">
        <f>IF($C$3938=0,NA(),VLOOKUP($I$3916&amp;$B$3938,FLNFIX!$CX$4:$EF$103,5,0))</f>
        <v>#N/A</v>
      </c>
      <c r="H3938" s="757"/>
      <c r="I3938" s="757"/>
      <c r="J3938" s="758"/>
      <c r="K3938" s="677"/>
    </row>
    <row r="3939" ht="20.1" customHeight="1" spans="1:11">
      <c r="A3939" s="675"/>
      <c r="B3939" s="755">
        <f t="shared" si="71"/>
        <v>20</v>
      </c>
      <c r="C3939" s="755">
        <f>IFERROR(VLOOKUP(B3939,DATEWISE!$A$3:$BY$27,2,0),0)</f>
        <v>0</v>
      </c>
      <c r="D3939" s="755" t="e">
        <f>IF($C$3939=0,NA(),VLOOKUP($I$3916&amp;$B$3939,FLNFIX!$DC$4:$EF$103,2,0))</f>
        <v>#N/A</v>
      </c>
      <c r="E3939" s="755" t="e">
        <f>IF($C$3939=0,NA(),VLOOKUP($I$3916&amp;$B$3939,FLNFIX!$DC$4:$EF$103,4,0))</f>
        <v>#N/A</v>
      </c>
      <c r="F3939" s="755" t="e">
        <f>IF($C$3939=0,NA(),VLOOKUP($I$3916&amp;$B$3939,FLNFIX!$DC$4:$EF$103,3,0))</f>
        <v>#N/A</v>
      </c>
      <c r="G3939" s="756" t="e">
        <f>IF($C$3939=0,NA(),VLOOKUP($I$3916&amp;$B$3939,FLNFIX!$DC$4:$EF$103,5,0))</f>
        <v>#N/A</v>
      </c>
      <c r="H3939" s="757"/>
      <c r="I3939" s="757"/>
      <c r="J3939" s="758"/>
      <c r="K3939" s="677"/>
    </row>
    <row r="3940" ht="20.1" customHeight="1" spans="1:11">
      <c r="A3940" s="675"/>
      <c r="B3940" s="755">
        <f t="shared" si="71"/>
        <v>21</v>
      </c>
      <c r="C3940" s="755">
        <f>IFERROR(VLOOKUP(B3940,DATEWISE!$A$3:$BY$27,2,0),0)</f>
        <v>0</v>
      </c>
      <c r="D3940" s="755" t="e">
        <f>IF($C$3940=0,NA(),VLOOKUP($I$3916&amp;$B$3940,FLNFIX!$DH$4:$EF$103,2,0))</f>
        <v>#N/A</v>
      </c>
      <c r="E3940" s="755" t="e">
        <f>IF($C$3940=0,NA(),VLOOKUP($I$3916&amp;$B$3940,FLNFIX!$DH$4:$EF$103,4,0))</f>
        <v>#N/A</v>
      </c>
      <c r="F3940" s="755" t="e">
        <f>IF($C$3940=0,NA(),VLOOKUP($I$3916&amp;$B$3940,FLNFIX!$DH$4:$EF$103,3,0))</f>
        <v>#N/A</v>
      </c>
      <c r="G3940" s="756" t="e">
        <f>IF($C$3940=0,NA(),VLOOKUP($I$3916&amp;$B$3940,FLNFIX!$DH$4:$EF$103,5,0))</f>
        <v>#N/A</v>
      </c>
      <c r="H3940" s="757"/>
      <c r="I3940" s="757"/>
      <c r="J3940" s="758"/>
      <c r="K3940" s="677"/>
    </row>
    <row r="3941" ht="5.1" customHeight="1" spans="1:11">
      <c r="A3941" s="675"/>
      <c r="B3941" s="759"/>
      <c r="C3941" s="759"/>
      <c r="D3941" s="760"/>
      <c r="E3941" s="760"/>
      <c r="F3941" s="760"/>
      <c r="G3941" s="761"/>
      <c r="H3941" s="761"/>
      <c r="I3941" s="761"/>
      <c r="J3941" s="761"/>
      <c r="K3941" s="677"/>
    </row>
    <row r="3942" s="667" customFormat="1" ht="24.95" customHeight="1" spans="1:11">
      <c r="A3942" s="711"/>
      <c r="B3942" s="762" t="s">
        <v>431</v>
      </c>
      <c r="C3942" s="763"/>
      <c r="D3942" s="763"/>
      <c r="E3942" s="763"/>
      <c r="F3942" s="763"/>
      <c r="G3942" s="763"/>
      <c r="H3942" s="763"/>
      <c r="I3942" s="763"/>
      <c r="J3942" s="764"/>
      <c r="K3942" s="713"/>
    </row>
    <row r="3943" spans="1:11">
      <c r="A3943" s="675"/>
      <c r="B3943" s="765"/>
      <c r="C3943" s="686"/>
      <c r="D3943" s="686"/>
      <c r="E3943" s="686"/>
      <c r="F3943" s="686"/>
      <c r="G3943" s="686"/>
      <c r="H3943" s="686"/>
      <c r="I3943" s="686"/>
      <c r="J3943" s="766"/>
      <c r="K3943" s="677"/>
    </row>
    <row r="3944" spans="1:11">
      <c r="A3944" s="675"/>
      <c r="B3944" s="765"/>
      <c r="C3944" s="686"/>
      <c r="D3944" s="686"/>
      <c r="E3944" s="686"/>
      <c r="F3944" s="686"/>
      <c r="G3944" s="686"/>
      <c r="H3944" s="686"/>
      <c r="I3944" s="686"/>
      <c r="J3944" s="766"/>
      <c r="K3944" s="677"/>
    </row>
    <row r="3945" spans="1:11">
      <c r="A3945" s="675"/>
      <c r="B3945" s="765"/>
      <c r="C3945" s="686"/>
      <c r="D3945" s="686"/>
      <c r="E3945" s="686"/>
      <c r="F3945" s="686"/>
      <c r="G3945" s="686"/>
      <c r="H3945" s="686"/>
      <c r="I3945" s="686"/>
      <c r="J3945" s="766"/>
      <c r="K3945" s="677"/>
    </row>
    <row r="3946" spans="1:11">
      <c r="A3946" s="675"/>
      <c r="B3946" s="765"/>
      <c r="C3946" s="686"/>
      <c r="D3946" s="686"/>
      <c r="E3946" s="686"/>
      <c r="F3946" s="686"/>
      <c r="G3946" s="686"/>
      <c r="H3946" s="686"/>
      <c r="I3946" s="686"/>
      <c r="J3946" s="766"/>
      <c r="K3946" s="677"/>
    </row>
    <row r="3947" spans="1:11">
      <c r="A3947" s="675"/>
      <c r="B3947" s="765"/>
      <c r="C3947" s="686"/>
      <c r="D3947" s="686"/>
      <c r="E3947" s="686"/>
      <c r="F3947" s="686"/>
      <c r="G3947" s="686"/>
      <c r="H3947" s="686"/>
      <c r="I3947" s="686"/>
      <c r="J3947" s="766"/>
      <c r="K3947" s="677"/>
    </row>
    <row r="3948" spans="1:11">
      <c r="A3948" s="675"/>
      <c r="B3948" s="765"/>
      <c r="C3948" s="686"/>
      <c r="D3948" s="686"/>
      <c r="E3948" s="686"/>
      <c r="F3948" s="686"/>
      <c r="G3948" s="686"/>
      <c r="H3948" s="686"/>
      <c r="I3948" s="686"/>
      <c r="J3948" s="766"/>
      <c r="K3948" s="677"/>
    </row>
    <row r="3949" spans="1:11">
      <c r="A3949" s="675"/>
      <c r="B3949" s="765"/>
      <c r="C3949" s="686"/>
      <c r="D3949" s="686"/>
      <c r="E3949" s="686"/>
      <c r="F3949" s="686"/>
      <c r="G3949" s="686"/>
      <c r="H3949" s="686"/>
      <c r="I3949" s="686"/>
      <c r="J3949" s="766"/>
      <c r="K3949" s="677"/>
    </row>
    <row r="3950" spans="1:11">
      <c r="A3950" s="675"/>
      <c r="B3950" s="765"/>
      <c r="C3950" s="686"/>
      <c r="D3950" s="686"/>
      <c r="E3950" s="686"/>
      <c r="F3950" s="686"/>
      <c r="G3950" s="686"/>
      <c r="H3950" s="686"/>
      <c r="I3950" s="686"/>
      <c r="J3950" s="766"/>
      <c r="K3950" s="677"/>
    </row>
    <row r="3951" spans="1:11">
      <c r="A3951" s="675"/>
      <c r="B3951" s="765"/>
      <c r="C3951" s="686"/>
      <c r="D3951" s="686"/>
      <c r="E3951" s="686"/>
      <c r="F3951" s="686"/>
      <c r="G3951" s="686"/>
      <c r="H3951" s="686"/>
      <c r="I3951" s="686"/>
      <c r="J3951" s="766"/>
      <c r="K3951" s="677"/>
    </row>
    <row r="3952" spans="1:11">
      <c r="A3952" s="675"/>
      <c r="B3952" s="767"/>
      <c r="C3952" s="768"/>
      <c r="D3952" s="768"/>
      <c r="E3952" s="768"/>
      <c r="F3952" s="768"/>
      <c r="G3952" s="768"/>
      <c r="H3952" s="768"/>
      <c r="I3952" s="768"/>
      <c r="J3952" s="769"/>
      <c r="K3952" s="677"/>
    </row>
    <row r="3953" ht="5.1" customHeight="1" spans="1:11">
      <c r="A3953" s="675"/>
      <c r="B3953" s="686"/>
      <c r="C3953" s="686"/>
      <c r="D3953" s="686"/>
      <c r="E3953" s="686"/>
      <c r="F3953" s="686"/>
      <c r="G3953" s="686"/>
      <c r="H3953" s="686"/>
      <c r="I3953" s="686"/>
      <c r="J3953" s="686"/>
      <c r="K3953" s="677"/>
    </row>
    <row r="3954" spans="1:11">
      <c r="A3954" s="675"/>
      <c r="B3954" s="770" t="s">
        <v>432</v>
      </c>
      <c r="C3954" s="770"/>
      <c r="D3954" s="770"/>
      <c r="E3954" s="770"/>
      <c r="F3954" s="770"/>
      <c r="G3954" s="770"/>
      <c r="H3954" s="770"/>
      <c r="I3954" s="770"/>
      <c r="J3954" s="770"/>
      <c r="K3954" s="677"/>
    </row>
    <row r="3955" spans="1:11">
      <c r="A3955" s="675"/>
      <c r="B3955" s="771"/>
      <c r="C3955" s="771"/>
      <c r="D3955" s="771"/>
      <c r="E3955" s="771"/>
      <c r="F3955" s="771"/>
      <c r="G3955" s="771"/>
      <c r="H3955" s="771"/>
      <c r="I3955" s="771"/>
      <c r="J3955" s="771"/>
      <c r="K3955" s="677"/>
    </row>
    <row r="3956" spans="1:11">
      <c r="A3956" s="675"/>
      <c r="B3956" s="771"/>
      <c r="C3956" s="771"/>
      <c r="D3956" s="771"/>
      <c r="E3956" s="771"/>
      <c r="F3956" s="771"/>
      <c r="G3956" s="771"/>
      <c r="H3956" s="771"/>
      <c r="I3956" s="771"/>
      <c r="J3956" s="771"/>
      <c r="K3956" s="677"/>
    </row>
    <row r="3957" spans="1:11">
      <c r="A3957" s="675"/>
      <c r="B3957" s="771"/>
      <c r="C3957" s="771"/>
      <c r="D3957" s="771"/>
      <c r="E3957" s="771"/>
      <c r="F3957" s="771"/>
      <c r="G3957" s="771"/>
      <c r="H3957" s="771"/>
      <c r="I3957" s="771"/>
      <c r="J3957" s="771"/>
      <c r="K3957" s="677"/>
    </row>
    <row r="3958" spans="1:11">
      <c r="A3958" s="675"/>
      <c r="B3958" s="686"/>
      <c r="C3958" s="686"/>
      <c r="D3958" s="686"/>
      <c r="E3958" s="686"/>
      <c r="F3958" s="686"/>
      <c r="G3958" s="686"/>
      <c r="H3958" s="686"/>
      <c r="I3958" s="686"/>
      <c r="J3958" s="686"/>
      <c r="K3958" s="677"/>
    </row>
    <row r="3959" spans="1:11">
      <c r="A3959" s="675"/>
      <c r="B3959" s="686"/>
      <c r="C3959" s="729" t="s">
        <v>433</v>
      </c>
      <c r="D3959" s="729"/>
      <c r="E3959" s="686"/>
      <c r="F3959" s="686"/>
      <c r="G3959" s="729" t="s">
        <v>434</v>
      </c>
      <c r="H3959" s="729"/>
      <c r="I3959" s="729"/>
      <c r="J3959" s="729"/>
      <c r="K3959" s="677"/>
    </row>
    <row r="3960" ht="16.35" spans="1:11">
      <c r="A3960" s="725"/>
      <c r="B3960" s="726"/>
      <c r="C3960" s="732" t="str">
        <f>"("&amp;PROPER(ENTRY!$D$19)&amp;")"</f>
        <v>(Indrajeet)</v>
      </c>
      <c r="D3960" s="732"/>
      <c r="E3960" s="726"/>
      <c r="F3960" s="726"/>
      <c r="G3960" s="732" t="str">
        <f>"("&amp;PROPER(ENTRY!$D$12)&amp;")"</f>
        <v>(Shambhu Dayal Meena)</v>
      </c>
      <c r="H3960" s="732"/>
      <c r="I3960" s="732"/>
      <c r="J3960" s="732"/>
      <c r="K3960" s="728"/>
    </row>
    <row r="3961" ht="24.6" spans="1:11">
      <c r="B3961" s="734"/>
      <c r="C3961" s="734"/>
      <c r="D3961" s="669" t="str">
        <f>ENTRY!$D$3</f>
        <v>MUNICIPAL CORPORATION OF DELHI</v>
      </c>
      <c r="E3961" s="669"/>
      <c r="F3961" s="669"/>
      <c r="G3961" s="669"/>
      <c r="H3961" s="734"/>
      <c r="I3961" s="669"/>
      <c r="J3961" s="669"/>
    </row>
    <row r="3962" ht="20.4" spans="1:11">
      <c r="B3962" s="735"/>
      <c r="C3962" s="735"/>
      <c r="D3962" s="670" t="str">
        <f>ENTRY!$D$4</f>
        <v>EDUCATION DEPARTMENT</v>
      </c>
      <c r="E3962" s="670"/>
      <c r="F3962" s="670"/>
      <c r="G3962" s="670"/>
      <c r="H3962" s="735"/>
      <c r="I3962" s="669"/>
      <c r="J3962" s="669"/>
    </row>
    <row r="3963" ht="22.8" spans="1:11">
      <c r="B3963" s="736"/>
      <c r="C3963" s="736"/>
      <c r="D3963" s="664" t="s">
        <v>417</v>
      </c>
      <c r="E3963" s="664"/>
      <c r="F3963" s="664"/>
      <c r="G3963" s="664"/>
      <c r="H3963" s="736"/>
      <c r="I3963" s="669"/>
      <c r="J3963" s="669"/>
    </row>
    <row r="3964" ht="22.8" spans="1:11">
      <c r="B3964" s="736"/>
      <c r="C3964" s="736"/>
      <c r="D3964" s="664" t="s">
        <v>418</v>
      </c>
      <c r="E3964" s="664"/>
      <c r="F3964" s="664"/>
      <c r="G3964" s="664"/>
      <c r="H3964" s="736"/>
      <c r="I3964" s="669"/>
      <c r="J3964" s="669"/>
    </row>
    <row r="3965" ht="24.95" customHeight="1" spans="1:11">
      <c r="B3965" s="735"/>
      <c r="C3965" s="735"/>
      <c r="D3965" s="737" t="str">
        <f>"SESSION : "&amp;ENTRY!$D$11</f>
        <v>SESSION : 2026-27</v>
      </c>
      <c r="E3965" s="737"/>
      <c r="F3965" s="737"/>
      <c r="G3965" s="737"/>
      <c r="H3965" s="735"/>
      <c r="I3965" s="738"/>
      <c r="J3965" s="738"/>
    </row>
    <row r="3966" ht="3.75" customHeight="1" spans="1:11">
      <c r="A3966" s="672"/>
      <c r="B3966" s="739"/>
      <c r="C3966" s="739"/>
      <c r="D3966" s="739"/>
      <c r="E3966" s="739"/>
      <c r="F3966" s="739"/>
      <c r="G3966" s="739"/>
      <c r="H3966" s="739"/>
      <c r="I3966" s="739"/>
      <c r="J3966" s="739"/>
      <c r="K3966" s="674"/>
    </row>
    <row r="3967" ht="21.95" customHeight="1" spans="1:11">
      <c r="A3967" s="675"/>
      <c r="B3967" s="676" t="s">
        <v>419</v>
      </c>
      <c r="C3967" s="676"/>
      <c r="D3967" s="676" t="str">
        <f>ENTRY!$D$6</f>
        <v>MCP NITHARI NO 1 BOYS</v>
      </c>
      <c r="E3967" s="676"/>
      <c r="F3967" s="676"/>
      <c r="G3967" s="676"/>
      <c r="H3967" s="676"/>
      <c r="I3967" s="676"/>
      <c r="J3967" s="676"/>
      <c r="K3967" s="677"/>
    </row>
    <row r="3968" ht="21.95" customHeight="1" spans="1:11">
      <c r="A3968" s="675"/>
      <c r="B3968" s="676" t="s">
        <v>420</v>
      </c>
      <c r="C3968" s="676"/>
      <c r="D3968" s="740">
        <f>IFERROR(VLOOKUP($I$3971,STUDENT!$A$2:$BP$101,5,0),"")</f>
        <v>0</v>
      </c>
      <c r="E3968" s="740"/>
      <c r="F3968" s="740"/>
      <c r="G3968" s="740"/>
      <c r="H3968" s="740"/>
      <c r="I3968" s="740"/>
      <c r="J3968" s="740"/>
      <c r="K3968" s="677"/>
    </row>
    <row r="3969" ht="21.95" customHeight="1" spans="1:11">
      <c r="A3969" s="675"/>
      <c r="B3969" s="676" t="s">
        <v>421</v>
      </c>
      <c r="C3969" s="676"/>
      <c r="D3969" s="740">
        <f>IFERROR(VLOOKUP($I$3971,STUDENT!$A$2:$BP$101,8,0),"")</f>
        <v>0</v>
      </c>
      <c r="E3969" s="740"/>
      <c r="F3969" s="740"/>
      <c r="G3969" s="740"/>
      <c r="H3969" s="740"/>
      <c r="I3969" s="740"/>
      <c r="J3969" s="740"/>
      <c r="K3969" s="677"/>
    </row>
    <row r="3970" ht="21.95" customHeight="1" spans="1:11">
      <c r="A3970" s="675"/>
      <c r="B3970" s="676" t="s">
        <v>422</v>
      </c>
      <c r="C3970" s="676"/>
      <c r="D3970" s="740">
        <f>IFERROR(VLOOKUP($I$3971,STUDENT!$A$2:$BP$101,6,0),"")</f>
        <v>0</v>
      </c>
      <c r="E3970" s="740"/>
      <c r="F3970" s="740"/>
      <c r="G3970" s="740"/>
      <c r="H3970" s="740"/>
      <c r="I3970" s="740"/>
      <c r="J3970" s="740"/>
      <c r="K3970" s="677"/>
    </row>
    <row r="3971" ht="21.95" customHeight="1" spans="1:11">
      <c r="A3971" s="675"/>
      <c r="B3971" s="676" t="s">
        <v>423</v>
      </c>
      <c r="C3971" s="676"/>
      <c r="D3971" s="741" t="str">
        <f>IFERROR(VLOOKUP($I$3971,STUDENT!$A$2:$BP$101,59,0),"")</f>
        <v/>
      </c>
      <c r="E3971" s="742" t="s">
        <v>424</v>
      </c>
      <c r="F3971" s="704" t="str">
        <f>IFERROR(VLOOKUP($I$3971,STUDENT!$A$2:$BP$101,2,0),"")</f>
        <v>III-A</v>
      </c>
      <c r="G3971" s="742" t="s">
        <v>425</v>
      </c>
      <c r="H3971" s="743"/>
      <c r="I3971" s="733">
        <f>I3916+1</f>
        <v>73</v>
      </c>
      <c r="J3971" s="683"/>
      <c r="K3971" s="677"/>
    </row>
    <row r="3972" ht="5.1" customHeight="1" spans="1:11">
      <c r="A3972" s="675"/>
      <c r="B3972" s="745"/>
      <c r="C3972" s="745"/>
      <c r="D3972" s="746"/>
      <c r="E3972" s="747"/>
      <c r="F3972" s="748"/>
      <c r="G3972" s="747"/>
      <c r="H3972" s="686"/>
      <c r="I3972" s="686"/>
      <c r="J3972" s="686"/>
      <c r="K3972" s="677"/>
    </row>
    <row r="3973" s="664" customFormat="1" ht="32.1" customHeight="1" spans="1:11">
      <c r="A3973" s="688"/>
      <c r="B3973" s="749" t="s">
        <v>426</v>
      </c>
      <c r="C3973" s="750"/>
      <c r="D3973" s="750"/>
      <c r="E3973" s="750"/>
      <c r="F3973" s="750"/>
      <c r="G3973" s="750"/>
      <c r="H3973" s="750"/>
      <c r="I3973" s="750"/>
      <c r="J3973" s="751"/>
      <c r="K3973" s="690"/>
    </row>
    <row r="3974" ht="51.6" spans="1:11">
      <c r="A3974" s="675"/>
      <c r="B3974" s="752">
        <v>21</v>
      </c>
      <c r="C3974" s="753" t="s">
        <v>427</v>
      </c>
      <c r="D3974" s="754" t="s">
        <v>428</v>
      </c>
      <c r="E3974" s="754" t="s">
        <v>429</v>
      </c>
      <c r="F3974" s="754" t="s">
        <v>430</v>
      </c>
      <c r="G3974" s="753" t="s">
        <v>390</v>
      </c>
      <c r="H3974" s="714"/>
      <c r="I3974" s="714"/>
      <c r="J3974" s="714"/>
      <c r="K3974" s="677"/>
    </row>
    <row r="3975" ht="20.1" customHeight="1" spans="1:11">
      <c r="A3975" s="675"/>
      <c r="B3975" s="755">
        <v>1</v>
      </c>
      <c r="C3975" s="755" t="str">
        <f>IFERROR(VLOOKUP(B3975,DATEWISE!$A$3:$BY$27,2,0),0)</f>
        <v>30.04.2026</v>
      </c>
      <c r="D3975" s="755">
        <f>IF($C$3975=0,NA(),VLOOKUP($I$3971&amp;$B$3975,FLNFIX!$L$4:$EF$103,2,0))</f>
        <v>0</v>
      </c>
      <c r="E3975" s="755">
        <f>IF($C$3975=0,NA(),VLOOKUP($I$3971&amp;$B$3975,FLNFIX!$L$4:$EF$103,4,0))</f>
        <v>0</v>
      </c>
      <c r="F3975" s="755">
        <f>IF($C$3975=0,NA(),VLOOKUP($I$3971&amp;$B$3975,FLNFIX!$L$4:$EF$103,3,0))</f>
        <v>0</v>
      </c>
      <c r="G3975" s="756">
        <f>IF($C$3975=0,NA(),VLOOKUP($I$3971&amp;$B$3975,FLNFIX!$L$4:$EF$103,5,0))</f>
        <v>0</v>
      </c>
      <c r="H3975" s="757"/>
      <c r="I3975" s="757"/>
      <c r="J3975" s="758"/>
      <c r="K3975" s="677"/>
    </row>
    <row r="3976" ht="20.1" customHeight="1" spans="1:11">
      <c r="A3976" s="675"/>
      <c r="B3976" s="755">
        <f t="shared" ref="B3976:B3995" si="72">IF(B3975=0,0,IF(B3975&lt;$B$3974,B3975+1,""))</f>
        <v>2</v>
      </c>
      <c r="C3976" s="755" t="str">
        <f>IFERROR(VLOOKUP(B3976,DATEWISE!$A$3:$BY$27,2,0),0)</f>
        <v>08.05.2026</v>
      </c>
      <c r="D3976" s="755">
        <f>IF($C$3976=0,NA(),VLOOKUP($I$3971&amp;$B$3976,FLNFIX!$Q$4:$EF$103,2,0))</f>
        <v>0</v>
      </c>
      <c r="E3976" s="755">
        <f>IF($C$3976=0,NA(),VLOOKUP($I$3971&amp;$B$3976,FLNFIX!$Q$4:$EF$103,4,0))</f>
        <v>0</v>
      </c>
      <c r="F3976" s="755">
        <f>IF($C$3976=0,NA(),VLOOKUP($I$3971&amp;$B$3976,FLNFIX!$Q$4:$EF$103,3,0))</f>
        <v>0</v>
      </c>
      <c r="G3976" s="756">
        <f>IF($C$3976=0,NA(),VLOOKUP($I$3971&amp;$B$3976,FLNFIX!$Q$4:$EF$103,5,0))</f>
        <v>0</v>
      </c>
      <c r="H3976" s="757"/>
      <c r="I3976" s="757"/>
      <c r="J3976" s="758"/>
      <c r="K3976" s="677"/>
    </row>
    <row r="3977" ht="20.1" customHeight="1" spans="1:11">
      <c r="A3977" s="675"/>
      <c r="B3977" s="755">
        <f t="shared" si="72"/>
        <v>3</v>
      </c>
      <c r="C3977" s="755" t="str">
        <f>IFERROR(VLOOKUP(B3977,DATEWISE!$A$3:$BY$27,2,0),0)</f>
        <v>15.07.2026</v>
      </c>
      <c r="D3977" s="755">
        <f>IF($C$3977=0,NA(),VLOOKUP($I$3971&amp;$B$3977,FLNFIX!$V$4:$EF$103,2,0))</f>
        <v>0</v>
      </c>
      <c r="E3977" s="755">
        <f>IF($C$3977=0,NA(),VLOOKUP($I$3971&amp;$B$3977,FLNFIX!$V$4:$EF$103,4,0))</f>
        <v>0</v>
      </c>
      <c r="F3977" s="755">
        <f>IF($C$3977=0,NA(),VLOOKUP($I$3971&amp;$B$3977,FLNFIX!$V$4:$EF$103,3,0))</f>
        <v>0</v>
      </c>
      <c r="G3977" s="756">
        <f>IF($C$3977=0,NA(),VLOOKUP($I$3971&amp;$B$3977,FLNFIX!$V$4:$EF$103,5,0))</f>
        <v>0</v>
      </c>
      <c r="H3977" s="757"/>
      <c r="I3977" s="757"/>
      <c r="J3977" s="758"/>
      <c r="K3977" s="677"/>
    </row>
    <row r="3978" ht="20.1" customHeight="1" spans="1:11">
      <c r="A3978" s="675"/>
      <c r="B3978" s="755">
        <f t="shared" si="72"/>
        <v>4</v>
      </c>
      <c r="C3978" s="755" t="str">
        <f>IFERROR(VLOOKUP(B3978,DATEWISE!$A$3:$BY$27,2,0),0)</f>
        <v>31.07.2026</v>
      </c>
      <c r="D3978" s="755">
        <f>IF($C$3978=0,NA(),VLOOKUP($I$3971&amp;$B$3978,FLNFIX!$AA$4:$EF$103,2,0))</f>
        <v>0</v>
      </c>
      <c r="E3978" s="755">
        <f>IF($C$3978=0,NA(),VLOOKUP($I$3971&amp;$B$3978,FLNFIX!$AA$4:$EF$103,4,0))</f>
        <v>0</v>
      </c>
      <c r="F3978" s="755">
        <f>IF($C$3978=0,NA(),VLOOKUP($I$3971&amp;$B$3978,FLNFIX!$AA$4:$EF$103,3,0))</f>
        <v>0</v>
      </c>
      <c r="G3978" s="756">
        <f>IF($C$3978=0,NA(),VLOOKUP($I$3971&amp;$B$3978,FLNFIX!$AA$4:$EF$103,5,0))</f>
        <v>0</v>
      </c>
      <c r="H3978" s="757"/>
      <c r="I3978" s="757"/>
      <c r="J3978" s="758"/>
      <c r="K3978" s="677"/>
    </row>
    <row r="3979" ht="20.1" customHeight="1" spans="1:11">
      <c r="A3979" s="675"/>
      <c r="B3979" s="755">
        <f t="shared" si="72"/>
        <v>5</v>
      </c>
      <c r="C3979" s="755" t="str">
        <f>IFERROR(VLOOKUP(B3979,DATEWISE!$A$3:$BY$27,2,0),0)</f>
        <v>17.08.2026</v>
      </c>
      <c r="D3979" s="755">
        <f>IF($C$3979=0,NA(),VLOOKUP($I$3971&amp;$B$3979,FLNFIX!$AF$4:$EF$103,2,0))</f>
        <v>0</v>
      </c>
      <c r="E3979" s="755">
        <f>IF($C$3979=0,NA(),VLOOKUP($I$3971&amp;$B$3979,FLNFIX!$AF$4:$EF$103,4,0))</f>
        <v>0</v>
      </c>
      <c r="F3979" s="755">
        <f>IF($C$3979=0,NA(),VLOOKUP($I$3971&amp;$B$3979,FLNFIX!$AF$4:$EF$103,3,0))</f>
        <v>0</v>
      </c>
      <c r="G3979" s="756">
        <f>IF($C$3979=0,NA(),VLOOKUP($I$3971&amp;$B$3979,FLNFIX!$AF$4:$EF$103,5,0))</f>
        <v>0</v>
      </c>
      <c r="H3979" s="757"/>
      <c r="I3979" s="757"/>
      <c r="J3979" s="758"/>
      <c r="K3979" s="677"/>
    </row>
    <row r="3980" ht="20.1" customHeight="1" spans="1:11">
      <c r="A3980" s="675"/>
      <c r="B3980" s="755">
        <f t="shared" si="72"/>
        <v>6</v>
      </c>
      <c r="C3980" s="755" t="str">
        <f>IFERROR(VLOOKUP(B3980,DATEWISE!$A$3:$BY$27,2,0),0)</f>
        <v>31.08.2026</v>
      </c>
      <c r="D3980" s="755">
        <f>IF($C$3980=0,NA(),VLOOKUP($I$3971&amp;$B$3980,FLNFIX!$AK$4:$EF$103,2,0))</f>
        <v>0</v>
      </c>
      <c r="E3980" s="755">
        <f>IF($C$3980=0,NA(),VLOOKUP($I$3971&amp;$B$3980,FLNFIX!$AK$4:$EF$103,4,0))</f>
        <v>0</v>
      </c>
      <c r="F3980" s="755">
        <f>IF($C$3980=0,NA(),VLOOKUP($I$3971&amp;$B$3980,FLNFIX!$AK$4:$EF$103,3,0))</f>
        <v>0</v>
      </c>
      <c r="G3980" s="756">
        <f>IF($C$3980=0,NA(),VLOOKUP($I$3971&amp;$B$3980,FLNFIX!$AK$4:$EF$103,5,0))</f>
        <v>0</v>
      </c>
      <c r="H3980" s="757"/>
      <c r="I3980" s="757"/>
      <c r="J3980" s="758"/>
      <c r="K3980" s="677"/>
    </row>
    <row r="3981" ht="20.1" customHeight="1" spans="1:11">
      <c r="A3981" s="675"/>
      <c r="B3981" s="755">
        <f t="shared" si="72"/>
        <v>7</v>
      </c>
      <c r="C3981" s="755">
        <f>IFERROR(VLOOKUP(B3981,DATEWISE!$A$3:$BY$27,2,0),0)</f>
        <v>0</v>
      </c>
      <c r="D3981" s="755" t="e">
        <f>IF($C$3981=0,NA(),VLOOKUP($I$3971&amp;$B$3981,FLNFIX!$AP$4:$EF$103,2,0))</f>
        <v>#N/A</v>
      </c>
      <c r="E3981" s="755" t="e">
        <f>IF($C$3981=0,NA(),VLOOKUP($I$3971&amp;$B$3981,FLNFIX!$AP$4:$EF$103,4,0))</f>
        <v>#N/A</v>
      </c>
      <c r="F3981" s="755" t="e">
        <f>IF($C$3981=0,NA(),VLOOKUP($I$3971&amp;$B$3981,FLNFIX!$AP$4:$EF$103,3,0))</f>
        <v>#N/A</v>
      </c>
      <c r="G3981" s="756" t="e">
        <f>IF($C$3981=0,NA(),VLOOKUP($I$3971&amp;$B$3981,FLNFIX!$AP$4:$EF$103,5,0))</f>
        <v>#N/A</v>
      </c>
      <c r="H3981" s="757"/>
      <c r="I3981" s="757"/>
      <c r="J3981" s="758"/>
      <c r="K3981" s="677"/>
    </row>
    <row r="3982" ht="20.1" customHeight="1" spans="1:11">
      <c r="A3982" s="675"/>
      <c r="B3982" s="755">
        <f t="shared" si="72"/>
        <v>8</v>
      </c>
      <c r="C3982" s="755">
        <f>IFERROR(VLOOKUP(B3982,DATEWISE!$A$3:$BY$27,2,0),0)</f>
        <v>0</v>
      </c>
      <c r="D3982" s="755" t="e">
        <f>IF($C$3982=0,NA(),VLOOKUP($I$3971&amp;$B$3982,FLNFIX!$AU$4:$EF$103,2,0))</f>
        <v>#N/A</v>
      </c>
      <c r="E3982" s="755" t="e">
        <f>IF($C$3982=0,NA(),VLOOKUP($I$3971&amp;$B$3982,FLNFIX!$AU$4:$EF$103,4,0))</f>
        <v>#N/A</v>
      </c>
      <c r="F3982" s="755" t="e">
        <f>IF($C$3982=0,NA(),VLOOKUP($I$3971&amp;$B$3982,FLNFIX!$AU$4:$EF$103,3,0))</f>
        <v>#N/A</v>
      </c>
      <c r="G3982" s="756" t="e">
        <f>IF($C$3982=0,NA(),VLOOKUP($I$3971&amp;$B$3982,FLNFIX!$AU$4:$EF$103,5,0))</f>
        <v>#N/A</v>
      </c>
      <c r="H3982" s="757"/>
      <c r="I3982" s="757"/>
      <c r="J3982" s="758"/>
      <c r="K3982" s="677"/>
    </row>
    <row r="3983" ht="20.1" customHeight="1" spans="1:11">
      <c r="A3983" s="675"/>
      <c r="B3983" s="755">
        <f t="shared" si="72"/>
        <v>9</v>
      </c>
      <c r="C3983" s="755">
        <f>IFERROR(VLOOKUP(B3983,DATEWISE!$A$3:$BY$27,2,0),0)</f>
        <v>0</v>
      </c>
      <c r="D3983" s="755" t="e">
        <f>IF($C$3983=0,NA(),VLOOKUP($I$3971&amp;$B$3983,FLNFIX!$AZ$4:$EF$103,2,0))</f>
        <v>#N/A</v>
      </c>
      <c r="E3983" s="755" t="e">
        <f>IF($C$3983=0,NA(),VLOOKUP($I$3971&amp;$B$3983,FLNFIX!$AZ$4:$EF$103,4,0))</f>
        <v>#N/A</v>
      </c>
      <c r="F3983" s="755" t="e">
        <f>IF($C$3983=0,NA(),VLOOKUP($I$3971&amp;$B$3983,FLNFIX!$AZ$4:$EF$103,3,0))</f>
        <v>#N/A</v>
      </c>
      <c r="G3983" s="756" t="e">
        <f>IF($C$3983=0,NA(),VLOOKUP($I$3971&amp;$B$3983,FLNFIX!$AZ$4:$EF$103,5,0))</f>
        <v>#N/A</v>
      </c>
      <c r="H3983" s="757"/>
      <c r="I3983" s="757"/>
      <c r="J3983" s="758"/>
      <c r="K3983" s="677"/>
    </row>
    <row r="3984" ht="20.1" customHeight="1" spans="1:11">
      <c r="A3984" s="675"/>
      <c r="B3984" s="755">
        <f t="shared" si="72"/>
        <v>10</v>
      </c>
      <c r="C3984" s="755">
        <f>IFERROR(VLOOKUP(B3984,DATEWISE!$A$3:$BY$27,2,0),0)</f>
        <v>0</v>
      </c>
      <c r="D3984" s="755" t="e">
        <f>IF($C$3984=0,NA(),VLOOKUP($I$3971&amp;$B$3984,FLNFIX!$BE$4:$EF$103,2,0))</f>
        <v>#N/A</v>
      </c>
      <c r="E3984" s="755" t="e">
        <f>IF($C$3984=0,NA(),VLOOKUP($I$3971&amp;$B$3984,FLNFIX!$BE$4:$EF$103,4,0))</f>
        <v>#N/A</v>
      </c>
      <c r="F3984" s="755" t="e">
        <f>IF($C$3984=0,NA(),VLOOKUP($I$3971&amp;$B$3984,FLNFIX!$BE$4:$EF$103,3,0))</f>
        <v>#N/A</v>
      </c>
      <c r="G3984" s="756" t="e">
        <f>IF($C$3984=0,NA(),VLOOKUP($I$3971&amp;$B$3984,FLNFIX!$BE$4:$EF$103,5,0))</f>
        <v>#N/A</v>
      </c>
      <c r="H3984" s="757"/>
      <c r="I3984" s="757"/>
      <c r="J3984" s="758"/>
      <c r="K3984" s="677"/>
    </row>
    <row r="3985" ht="20.1" customHeight="1" spans="1:11">
      <c r="A3985" s="675"/>
      <c r="B3985" s="755">
        <f t="shared" si="72"/>
        <v>11</v>
      </c>
      <c r="C3985" s="755">
        <f>IFERROR(VLOOKUP(B3985,DATEWISE!$A$3:$BY$27,2,0),0)</f>
        <v>0</v>
      </c>
      <c r="D3985" s="755" t="e">
        <f>IF($C$3985=0,NA(),VLOOKUP($I$3971&amp;$B$3985,FLNFIX!$BJ$4:$EF$103,2,0))</f>
        <v>#N/A</v>
      </c>
      <c r="E3985" s="755" t="e">
        <f>IF($C$3985=0,NA(),VLOOKUP($I$3971&amp;$B$3985,FLNFIX!$BJ$4:$EF$103,4,0))</f>
        <v>#N/A</v>
      </c>
      <c r="F3985" s="755" t="e">
        <f>IF($C$3985=0,NA(),VLOOKUP($I$3971&amp;$B$3985,FLNFIX!$BJ$4:$EF$103,3,0))</f>
        <v>#N/A</v>
      </c>
      <c r="G3985" s="756" t="e">
        <f>IF($C$3985=0,NA(),VLOOKUP($I$3971&amp;$B$3985,FLNFIX!$BJ$4:$EF$103,5,0))</f>
        <v>#N/A</v>
      </c>
      <c r="H3985" s="757"/>
      <c r="I3985" s="757"/>
      <c r="J3985" s="758"/>
      <c r="K3985" s="677"/>
    </row>
    <row r="3986" ht="20.1" customHeight="1" spans="1:11">
      <c r="A3986" s="675"/>
      <c r="B3986" s="755">
        <f t="shared" si="72"/>
        <v>12</v>
      </c>
      <c r="C3986" s="755">
        <f>IFERROR(VLOOKUP(B3986,DATEWISE!$A$3:$BY$27,2,0),0)</f>
        <v>0</v>
      </c>
      <c r="D3986" s="755" t="e">
        <f>IF($C$3986=0,NA(),VLOOKUP($I$3971&amp;$B$3986,FLNFIX!$BO$4:$EF$103,2,0))</f>
        <v>#N/A</v>
      </c>
      <c r="E3986" s="755" t="e">
        <f>IF($C$3986=0,NA(),VLOOKUP($I$3971&amp;$B$3986,FLNFIX!$BO$4:$EF$103,4,0))</f>
        <v>#N/A</v>
      </c>
      <c r="F3986" s="755" t="e">
        <f>IF($C$3986=0,NA(),VLOOKUP($I$3971&amp;$B$3986,FLNFIX!$BO$4:$EF$103,3,0))</f>
        <v>#N/A</v>
      </c>
      <c r="G3986" s="756" t="e">
        <f>IF($C$3986=0,NA(),VLOOKUP($I$3971&amp;$B$3986,FLNFIX!$BO$4:$EF$103,5,0))</f>
        <v>#N/A</v>
      </c>
      <c r="H3986" s="757"/>
      <c r="I3986" s="757"/>
      <c r="J3986" s="758"/>
      <c r="K3986" s="677"/>
    </row>
    <row r="3987" ht="20.1" customHeight="1" spans="1:11">
      <c r="A3987" s="675"/>
      <c r="B3987" s="755">
        <f t="shared" si="72"/>
        <v>13</v>
      </c>
      <c r="C3987" s="755">
        <f>IFERROR(VLOOKUP(B3987,DATEWISE!$A$3:$BY$27,2,0),0)</f>
        <v>0</v>
      </c>
      <c r="D3987" s="755" t="e">
        <f>IF($C$3987=0,NA(),VLOOKUP($I$3971&amp;$B$3987,FLNFIX!$BT$4:$EF$103,2,0))</f>
        <v>#N/A</v>
      </c>
      <c r="E3987" s="755" t="e">
        <f>IF($C$3987=0,NA(),VLOOKUP($I$3971&amp;$B$3987,FLNFIX!$BT$4:$EF$103,4,0))</f>
        <v>#N/A</v>
      </c>
      <c r="F3987" s="755" t="e">
        <f>IF($C$3987=0,NA(),VLOOKUP($I$3971&amp;$B$3987,FLNFIX!$BT$4:$EF$103,3,0))</f>
        <v>#N/A</v>
      </c>
      <c r="G3987" s="756" t="e">
        <f>IF($C$3987=0,NA(),VLOOKUP($I$3971&amp;$B$3987,FLNFIX!$BT$4:$EF$103,5,0))</f>
        <v>#N/A</v>
      </c>
      <c r="H3987" s="757"/>
      <c r="I3987" s="757"/>
      <c r="J3987" s="758"/>
      <c r="K3987" s="677"/>
    </row>
    <row r="3988" ht="20.1" customHeight="1" spans="1:11">
      <c r="A3988" s="675"/>
      <c r="B3988" s="755">
        <f t="shared" si="72"/>
        <v>14</v>
      </c>
      <c r="C3988" s="755">
        <f>IFERROR(VLOOKUP(B3988,DATEWISE!$A$3:$BY$27,2,0),0)</f>
        <v>0</v>
      </c>
      <c r="D3988" s="755" t="e">
        <f>IF($C$3988=0,NA(),VLOOKUP($I$3971&amp;$B$3988,FLNFIX!$BY$4:$EF$103,2,0))</f>
        <v>#N/A</v>
      </c>
      <c r="E3988" s="755" t="e">
        <f>IF($C$3988=0,NA(),VLOOKUP($I$3971&amp;$B$3988,FLNFIX!$BY$4:$EF$103,4,0))</f>
        <v>#N/A</v>
      </c>
      <c r="F3988" s="755" t="e">
        <f>IF($C$3988=0,NA(),VLOOKUP($I$3971&amp;$B$3988,FLNFIX!$BY$4:$EF$103,3,0))</f>
        <v>#N/A</v>
      </c>
      <c r="G3988" s="756" t="e">
        <f>IF($C$3988=0,NA(),VLOOKUP($I$3971&amp;$B$3988,FLNFIX!$BY$4:$EF$103,5,0))</f>
        <v>#N/A</v>
      </c>
      <c r="H3988" s="757"/>
      <c r="I3988" s="757"/>
      <c r="J3988" s="758"/>
      <c r="K3988" s="677"/>
    </row>
    <row r="3989" ht="20.1" customHeight="1" spans="1:11">
      <c r="A3989" s="675"/>
      <c r="B3989" s="755">
        <f t="shared" si="72"/>
        <v>15</v>
      </c>
      <c r="C3989" s="755">
        <f>IFERROR(VLOOKUP(B3989,DATEWISE!$A$3:$BY$27,2,0),0)</f>
        <v>0</v>
      </c>
      <c r="D3989" s="755" t="e">
        <f>IF($C$3989=0,NA(),VLOOKUP($I$3971&amp;$B$3989,FLNFIX!$CD$4:$EF$103,2,0))</f>
        <v>#N/A</v>
      </c>
      <c r="E3989" s="755" t="e">
        <f>IF($C$3989=0,NA(),VLOOKUP($I$3971&amp;$B$3989,FLNFIX!$CD$4:$EF$103,4,0))</f>
        <v>#N/A</v>
      </c>
      <c r="F3989" s="755" t="e">
        <f>IF($C$3989=0,NA(),VLOOKUP($I$3971&amp;$B$3989,FLNFIX!$CD$4:$EF$103,3,0))</f>
        <v>#N/A</v>
      </c>
      <c r="G3989" s="756" t="e">
        <f>IF($C$3989=0,NA(),VLOOKUP($I$3971&amp;$B$3989,FLNFIX!$CD$4:$EF$103,5,0))</f>
        <v>#N/A</v>
      </c>
      <c r="H3989" s="757"/>
      <c r="I3989" s="757"/>
      <c r="J3989" s="758"/>
      <c r="K3989" s="677"/>
    </row>
    <row r="3990" ht="20.1" customHeight="1" spans="1:11">
      <c r="A3990" s="675"/>
      <c r="B3990" s="755">
        <f t="shared" si="72"/>
        <v>16</v>
      </c>
      <c r="C3990" s="755">
        <f>IFERROR(VLOOKUP(B3990,DATEWISE!$A$3:$BY$27,2,0),0)</f>
        <v>0</v>
      </c>
      <c r="D3990" s="755" t="e">
        <f>IF($C$3990=0,NA(),VLOOKUP($I$3971&amp;$B$3990,FLNFIX!$CI$4:$EF$103,2,0))</f>
        <v>#N/A</v>
      </c>
      <c r="E3990" s="755" t="e">
        <f>IF($C$3990=0,NA(),VLOOKUP($I$3971&amp;$B$3990,FLNFIX!$CI$4:$EF$103,4,0))</f>
        <v>#N/A</v>
      </c>
      <c r="F3990" s="755" t="e">
        <f>IF($C$3990=0,NA(),VLOOKUP($I$3971&amp;$B$3990,FLNFIX!$CI$4:$EF$103,3,0))</f>
        <v>#N/A</v>
      </c>
      <c r="G3990" s="756" t="e">
        <f>IF($C$3990=0,NA(),VLOOKUP($I$3971&amp;$B$3990,FLNFIX!$CI$4:$EF$103,5,0))</f>
        <v>#N/A</v>
      </c>
      <c r="H3990" s="757"/>
      <c r="I3990" s="757"/>
      <c r="J3990" s="758"/>
      <c r="K3990" s="677"/>
    </row>
    <row r="3991" ht="20.1" customHeight="1" spans="1:11">
      <c r="A3991" s="675"/>
      <c r="B3991" s="755">
        <f t="shared" si="72"/>
        <v>17</v>
      </c>
      <c r="C3991" s="755">
        <f>IFERROR(VLOOKUP(B3991,DATEWISE!$A$3:$BY$27,2,0),0)</f>
        <v>0</v>
      </c>
      <c r="D3991" s="755" t="e">
        <f>IF($C$3991=0,NA(),VLOOKUP($I$3971&amp;$B$3991,FLNFIX!$CN$4:$EF$103,2,0))</f>
        <v>#N/A</v>
      </c>
      <c r="E3991" s="755" t="e">
        <f>IF($C$3991=0,NA(),VLOOKUP($I$3971&amp;$B$3991,FLNFIX!$CN$4:$EF$103,4,0))</f>
        <v>#N/A</v>
      </c>
      <c r="F3991" s="755" t="e">
        <f>IF($C$3991=0,NA(),VLOOKUP($I$3971&amp;$B$3991,FLNFIX!$CN$4:$EF$103,3,0))</f>
        <v>#N/A</v>
      </c>
      <c r="G3991" s="756" t="e">
        <f>IF($C$3991=0,NA(),VLOOKUP($I$3971&amp;$B$3991,FLNFIX!$CN$4:$EF$103,5,0))</f>
        <v>#N/A</v>
      </c>
      <c r="H3991" s="757"/>
      <c r="I3991" s="757"/>
      <c r="J3991" s="758"/>
      <c r="K3991" s="677"/>
    </row>
    <row r="3992" ht="20.1" customHeight="1" spans="1:11">
      <c r="A3992" s="675"/>
      <c r="B3992" s="755">
        <f t="shared" si="72"/>
        <v>18</v>
      </c>
      <c r="C3992" s="755">
        <f>IFERROR(VLOOKUP(B3992,DATEWISE!$A$3:$BY$27,2,0),0)</f>
        <v>0</v>
      </c>
      <c r="D3992" s="755" t="e">
        <f>IF($C$3992=0,NA(),VLOOKUP($I$3971&amp;$B$3992,FLNFIX!$CS$4:$EF$103,2,0))</f>
        <v>#N/A</v>
      </c>
      <c r="E3992" s="755" t="e">
        <f>IF($C$3992=0,NA(),VLOOKUP($I$3971&amp;$B$3992,FLNFIX!$CS$4:$EF$103,4,0))</f>
        <v>#N/A</v>
      </c>
      <c r="F3992" s="755" t="e">
        <f>IF($C$3992=0,NA(),VLOOKUP($I$3971&amp;$B$3992,FLNFIX!$CS$4:$EF$103,3,0))</f>
        <v>#N/A</v>
      </c>
      <c r="G3992" s="756" t="e">
        <f>IF($C$3992=0,NA(),VLOOKUP($I$3971&amp;$B$3992,FLNFIX!$CS$4:$EF$103,5,0))</f>
        <v>#N/A</v>
      </c>
      <c r="H3992" s="757"/>
      <c r="I3992" s="757"/>
      <c r="J3992" s="758"/>
      <c r="K3992" s="677"/>
    </row>
    <row r="3993" ht="20.1" customHeight="1" spans="1:11">
      <c r="A3993" s="675"/>
      <c r="B3993" s="755">
        <f t="shared" si="72"/>
        <v>19</v>
      </c>
      <c r="C3993" s="755">
        <f>IFERROR(VLOOKUP(B3993,DATEWISE!$A$3:$BY$27,2,0),0)</f>
        <v>0</v>
      </c>
      <c r="D3993" s="755" t="e">
        <f>IF($C$3993=0,NA(),VLOOKUP($I$3971&amp;$B$3993,FLNFIX!$CX$4:$EF$103,2,0))</f>
        <v>#N/A</v>
      </c>
      <c r="E3993" s="755" t="e">
        <f>IF($C$3993=0,NA(),VLOOKUP($I$3971&amp;$B$3993,FLNFIX!$CX$4:$EF$103,4,0))</f>
        <v>#N/A</v>
      </c>
      <c r="F3993" s="755" t="e">
        <f>IF($C$3993=0,NA(),VLOOKUP($I$3971&amp;$B$3993,FLNFIX!$CX$4:$EF$103,3,0))</f>
        <v>#N/A</v>
      </c>
      <c r="G3993" s="756" t="e">
        <f>IF($C$3993=0,NA(),VLOOKUP($I$3971&amp;$B$3993,FLNFIX!$CX$4:$EF$103,5,0))</f>
        <v>#N/A</v>
      </c>
      <c r="H3993" s="757"/>
      <c r="I3993" s="757"/>
      <c r="J3993" s="758"/>
      <c r="K3993" s="677"/>
    </row>
    <row r="3994" ht="20.1" customHeight="1" spans="1:11">
      <c r="A3994" s="675"/>
      <c r="B3994" s="755">
        <f t="shared" si="72"/>
        <v>20</v>
      </c>
      <c r="C3994" s="755">
        <f>IFERROR(VLOOKUP(B3994,DATEWISE!$A$3:$BY$27,2,0),0)</f>
        <v>0</v>
      </c>
      <c r="D3994" s="755" t="e">
        <f>IF($C$3994=0,NA(),VLOOKUP($I$3971&amp;$B$3994,FLNFIX!$DC$4:$EF$103,2,0))</f>
        <v>#N/A</v>
      </c>
      <c r="E3994" s="755" t="e">
        <f>IF($C$3994=0,NA(),VLOOKUP($I$3971&amp;$B$3994,FLNFIX!$DC$4:$EF$103,4,0))</f>
        <v>#N/A</v>
      </c>
      <c r="F3994" s="755" t="e">
        <f>IF($C$3994=0,NA(),VLOOKUP($I$3971&amp;$B$3994,FLNFIX!$DC$4:$EF$103,3,0))</f>
        <v>#N/A</v>
      </c>
      <c r="G3994" s="756" t="e">
        <f>IF($C$3994=0,NA(),VLOOKUP($I$3971&amp;$B$3994,FLNFIX!$DC$4:$EF$103,5,0))</f>
        <v>#N/A</v>
      </c>
      <c r="H3994" s="757"/>
      <c r="I3994" s="757"/>
      <c r="J3994" s="758"/>
      <c r="K3994" s="677"/>
    </row>
    <row r="3995" ht="20.1" customHeight="1" spans="1:11">
      <c r="A3995" s="675"/>
      <c r="B3995" s="755">
        <f t="shared" si="72"/>
        <v>21</v>
      </c>
      <c r="C3995" s="755">
        <f>IFERROR(VLOOKUP(B3995,DATEWISE!$A$3:$BY$27,2,0),0)</f>
        <v>0</v>
      </c>
      <c r="D3995" s="755" t="e">
        <f>IF($C$3995=0,NA(),VLOOKUP($I$3971&amp;$B$3995,FLNFIX!$DH$4:$EF$103,2,0))</f>
        <v>#N/A</v>
      </c>
      <c r="E3995" s="755" t="e">
        <f>IF($C$3995=0,NA(),VLOOKUP($I$3971&amp;$B$3995,FLNFIX!$DH$4:$EF$103,4,0))</f>
        <v>#N/A</v>
      </c>
      <c r="F3995" s="755" t="e">
        <f>IF($C$3995=0,NA(),VLOOKUP($I$3971&amp;$B$3995,FLNFIX!$DH$4:$EF$103,3,0))</f>
        <v>#N/A</v>
      </c>
      <c r="G3995" s="756" t="e">
        <f>IF($C$3995=0,NA(),VLOOKUP($I$3971&amp;$B$3995,FLNFIX!$DH$4:$EF$103,5,0))</f>
        <v>#N/A</v>
      </c>
      <c r="H3995" s="757"/>
      <c r="I3995" s="757"/>
      <c r="J3995" s="758"/>
      <c r="K3995" s="677"/>
    </row>
    <row r="3996" ht="5.1" customHeight="1" spans="1:11">
      <c r="A3996" s="675"/>
      <c r="B3996" s="759"/>
      <c r="C3996" s="759"/>
      <c r="D3996" s="760"/>
      <c r="E3996" s="760"/>
      <c r="F3996" s="760"/>
      <c r="G3996" s="761"/>
      <c r="H3996" s="761"/>
      <c r="I3996" s="761"/>
      <c r="J3996" s="761"/>
      <c r="K3996" s="677"/>
    </row>
    <row r="3997" s="667" customFormat="1" ht="24.95" customHeight="1" spans="1:11">
      <c r="A3997" s="711"/>
      <c r="B3997" s="762" t="s">
        <v>431</v>
      </c>
      <c r="C3997" s="763"/>
      <c r="D3997" s="763"/>
      <c r="E3997" s="763"/>
      <c r="F3997" s="763"/>
      <c r="G3997" s="763"/>
      <c r="H3997" s="763"/>
      <c r="I3997" s="763"/>
      <c r="J3997" s="764"/>
      <c r="K3997" s="713"/>
    </row>
    <row r="3998" spans="1:11">
      <c r="A3998" s="675"/>
      <c r="B3998" s="765"/>
      <c r="C3998" s="686"/>
      <c r="D3998" s="686"/>
      <c r="E3998" s="686"/>
      <c r="F3998" s="686"/>
      <c r="G3998" s="686"/>
      <c r="H3998" s="686"/>
      <c r="I3998" s="686"/>
      <c r="J3998" s="766"/>
      <c r="K3998" s="677"/>
    </row>
    <row r="3999" spans="1:11">
      <c r="A3999" s="675"/>
      <c r="B3999" s="765"/>
      <c r="C3999" s="686"/>
      <c r="D3999" s="686"/>
      <c r="E3999" s="686"/>
      <c r="F3999" s="686"/>
      <c r="G3999" s="686"/>
      <c r="H3999" s="686"/>
      <c r="I3999" s="686"/>
      <c r="J3999" s="766"/>
      <c r="K3999" s="677"/>
    </row>
    <row r="4000" spans="1:11">
      <c r="A4000" s="675"/>
      <c r="B4000" s="765"/>
      <c r="C4000" s="686"/>
      <c r="D4000" s="686"/>
      <c r="E4000" s="686"/>
      <c r="F4000" s="686"/>
      <c r="G4000" s="686"/>
      <c r="H4000" s="686"/>
      <c r="I4000" s="686"/>
      <c r="J4000" s="766"/>
      <c r="K4000" s="677"/>
    </row>
    <row r="4001" spans="1:11">
      <c r="A4001" s="675"/>
      <c r="B4001" s="765"/>
      <c r="C4001" s="686"/>
      <c r="D4001" s="686"/>
      <c r="E4001" s="686"/>
      <c r="F4001" s="686"/>
      <c r="G4001" s="686"/>
      <c r="H4001" s="686"/>
      <c r="I4001" s="686"/>
      <c r="J4001" s="766"/>
      <c r="K4001" s="677"/>
    </row>
    <row r="4002" spans="1:11">
      <c r="A4002" s="675"/>
      <c r="B4002" s="765"/>
      <c r="C4002" s="686"/>
      <c r="D4002" s="686"/>
      <c r="E4002" s="686"/>
      <c r="F4002" s="686"/>
      <c r="G4002" s="686"/>
      <c r="H4002" s="686"/>
      <c r="I4002" s="686"/>
      <c r="J4002" s="766"/>
      <c r="K4002" s="677"/>
    </row>
    <row r="4003" spans="1:11">
      <c r="A4003" s="675"/>
      <c r="B4003" s="765"/>
      <c r="C4003" s="686"/>
      <c r="D4003" s="686"/>
      <c r="E4003" s="686"/>
      <c r="F4003" s="686"/>
      <c r="G4003" s="686"/>
      <c r="H4003" s="686"/>
      <c r="I4003" s="686"/>
      <c r="J4003" s="766"/>
      <c r="K4003" s="677"/>
    </row>
    <row r="4004" spans="1:11">
      <c r="A4004" s="675"/>
      <c r="B4004" s="765"/>
      <c r="C4004" s="686"/>
      <c r="D4004" s="686"/>
      <c r="E4004" s="686"/>
      <c r="F4004" s="686"/>
      <c r="G4004" s="686"/>
      <c r="H4004" s="686"/>
      <c r="I4004" s="686"/>
      <c r="J4004" s="766"/>
      <c r="K4004" s="677"/>
    </row>
    <row r="4005" spans="1:11">
      <c r="A4005" s="675"/>
      <c r="B4005" s="765"/>
      <c r="C4005" s="686"/>
      <c r="D4005" s="686"/>
      <c r="E4005" s="686"/>
      <c r="F4005" s="686"/>
      <c r="G4005" s="686"/>
      <c r="H4005" s="686"/>
      <c r="I4005" s="686"/>
      <c r="J4005" s="766"/>
      <c r="K4005" s="677"/>
    </row>
    <row r="4006" spans="1:11">
      <c r="A4006" s="675"/>
      <c r="B4006" s="765"/>
      <c r="C4006" s="686"/>
      <c r="D4006" s="686"/>
      <c r="E4006" s="686"/>
      <c r="F4006" s="686"/>
      <c r="G4006" s="686"/>
      <c r="H4006" s="686"/>
      <c r="I4006" s="686"/>
      <c r="J4006" s="766"/>
      <c r="K4006" s="677"/>
    </row>
    <row r="4007" spans="1:11">
      <c r="A4007" s="675"/>
      <c r="B4007" s="767"/>
      <c r="C4007" s="768"/>
      <c r="D4007" s="768"/>
      <c r="E4007" s="768"/>
      <c r="F4007" s="768"/>
      <c r="G4007" s="768"/>
      <c r="H4007" s="768"/>
      <c r="I4007" s="768"/>
      <c r="J4007" s="769"/>
      <c r="K4007" s="677"/>
    </row>
    <row r="4008" ht="5.1" customHeight="1" spans="1:11">
      <c r="A4008" s="675"/>
      <c r="B4008" s="686"/>
      <c r="C4008" s="686"/>
      <c r="D4008" s="686"/>
      <c r="E4008" s="686"/>
      <c r="F4008" s="686"/>
      <c r="G4008" s="686"/>
      <c r="H4008" s="686"/>
      <c r="I4008" s="686"/>
      <c r="J4008" s="686"/>
      <c r="K4008" s="677"/>
    </row>
    <row r="4009" spans="1:11">
      <c r="A4009" s="675"/>
      <c r="B4009" s="770" t="s">
        <v>432</v>
      </c>
      <c r="C4009" s="770"/>
      <c r="D4009" s="770"/>
      <c r="E4009" s="770"/>
      <c r="F4009" s="770"/>
      <c r="G4009" s="770"/>
      <c r="H4009" s="770"/>
      <c r="I4009" s="770"/>
      <c r="J4009" s="770"/>
      <c r="K4009" s="677"/>
    </row>
    <row r="4010" spans="1:11">
      <c r="A4010" s="675"/>
      <c r="B4010" s="771"/>
      <c r="C4010" s="771"/>
      <c r="D4010" s="771"/>
      <c r="E4010" s="771"/>
      <c r="F4010" s="771"/>
      <c r="G4010" s="771"/>
      <c r="H4010" s="771"/>
      <c r="I4010" s="771"/>
      <c r="J4010" s="771"/>
      <c r="K4010" s="677"/>
    </row>
    <row r="4011" spans="1:11">
      <c r="A4011" s="675"/>
      <c r="B4011" s="771"/>
      <c r="C4011" s="771"/>
      <c r="D4011" s="771"/>
      <c r="E4011" s="771"/>
      <c r="F4011" s="771"/>
      <c r="G4011" s="771"/>
      <c r="H4011" s="771"/>
      <c r="I4011" s="771"/>
      <c r="J4011" s="771"/>
      <c r="K4011" s="677"/>
    </row>
    <row r="4012" spans="1:11">
      <c r="A4012" s="675"/>
      <c r="B4012" s="771"/>
      <c r="C4012" s="771"/>
      <c r="D4012" s="771"/>
      <c r="E4012" s="771"/>
      <c r="F4012" s="771"/>
      <c r="G4012" s="771"/>
      <c r="H4012" s="771"/>
      <c r="I4012" s="771"/>
      <c r="J4012" s="771"/>
      <c r="K4012" s="677"/>
    </row>
    <row r="4013" spans="1:11">
      <c r="A4013" s="675"/>
      <c r="B4013" s="686"/>
      <c r="C4013" s="686"/>
      <c r="D4013" s="686"/>
      <c r="E4013" s="686"/>
      <c r="F4013" s="686"/>
      <c r="G4013" s="686"/>
      <c r="H4013" s="686"/>
      <c r="I4013" s="686"/>
      <c r="J4013" s="686"/>
      <c r="K4013" s="677"/>
    </row>
    <row r="4014" spans="1:11">
      <c r="A4014" s="675"/>
      <c r="B4014" s="686"/>
      <c r="C4014" s="729" t="s">
        <v>433</v>
      </c>
      <c r="D4014" s="729"/>
      <c r="E4014" s="686"/>
      <c r="F4014" s="686"/>
      <c r="G4014" s="729" t="s">
        <v>434</v>
      </c>
      <c r="H4014" s="729"/>
      <c r="I4014" s="729"/>
      <c r="J4014" s="729"/>
      <c r="K4014" s="677"/>
    </row>
    <row r="4015" ht="16.35" spans="1:11">
      <c r="A4015" s="725"/>
      <c r="B4015" s="726"/>
      <c r="C4015" s="732" t="str">
        <f>"("&amp;PROPER(ENTRY!$D$19)&amp;")"</f>
        <v>(Indrajeet)</v>
      </c>
      <c r="D4015" s="732"/>
      <c r="E4015" s="726"/>
      <c r="F4015" s="726"/>
      <c r="G4015" s="732" t="str">
        <f>"("&amp;PROPER(ENTRY!$D$12)&amp;")"</f>
        <v>(Shambhu Dayal Meena)</v>
      </c>
      <c r="H4015" s="732"/>
      <c r="I4015" s="732"/>
      <c r="J4015" s="732"/>
      <c r="K4015" s="728"/>
    </row>
    <row r="4016" ht="24.6" spans="1:11">
      <c r="B4016" s="734"/>
      <c r="C4016" s="734"/>
      <c r="D4016" s="669" t="str">
        <f>ENTRY!$D$3</f>
        <v>MUNICIPAL CORPORATION OF DELHI</v>
      </c>
      <c r="E4016" s="669"/>
      <c r="F4016" s="669"/>
      <c r="G4016" s="669"/>
      <c r="H4016" s="734"/>
      <c r="I4016" s="669"/>
      <c r="J4016" s="669"/>
    </row>
    <row r="4017" ht="20.4" spans="1:11">
      <c r="B4017" s="735"/>
      <c r="C4017" s="735"/>
      <c r="D4017" s="670" t="str">
        <f>ENTRY!$D$4</f>
        <v>EDUCATION DEPARTMENT</v>
      </c>
      <c r="E4017" s="670"/>
      <c r="F4017" s="670"/>
      <c r="G4017" s="670"/>
      <c r="H4017" s="735"/>
      <c r="I4017" s="669"/>
      <c r="J4017" s="669"/>
    </row>
    <row r="4018" ht="22.8" spans="1:11">
      <c r="B4018" s="736"/>
      <c r="C4018" s="736"/>
      <c r="D4018" s="664" t="s">
        <v>417</v>
      </c>
      <c r="E4018" s="664"/>
      <c r="F4018" s="664"/>
      <c r="G4018" s="664"/>
      <c r="H4018" s="736"/>
      <c r="I4018" s="669"/>
      <c r="J4018" s="669"/>
    </row>
    <row r="4019" ht="22.8" spans="1:11">
      <c r="B4019" s="736"/>
      <c r="C4019" s="736"/>
      <c r="D4019" s="664" t="s">
        <v>418</v>
      </c>
      <c r="E4019" s="664"/>
      <c r="F4019" s="664"/>
      <c r="G4019" s="664"/>
      <c r="H4019" s="736"/>
      <c r="I4019" s="669"/>
      <c r="J4019" s="669"/>
    </row>
    <row r="4020" ht="24.95" customHeight="1" spans="1:11">
      <c r="B4020" s="735"/>
      <c r="C4020" s="735"/>
      <c r="D4020" s="737" t="str">
        <f>"SESSION : "&amp;ENTRY!$D$11</f>
        <v>SESSION : 2026-27</v>
      </c>
      <c r="E4020" s="737"/>
      <c r="F4020" s="737"/>
      <c r="G4020" s="737"/>
      <c r="H4020" s="735"/>
      <c r="I4020" s="738"/>
      <c r="J4020" s="738"/>
    </row>
    <row r="4021" ht="3.75" customHeight="1" spans="1:11">
      <c r="A4021" s="672"/>
      <c r="B4021" s="739"/>
      <c r="C4021" s="739"/>
      <c r="D4021" s="739"/>
      <c r="E4021" s="739"/>
      <c r="F4021" s="739"/>
      <c r="G4021" s="739"/>
      <c r="H4021" s="739"/>
      <c r="I4021" s="739"/>
      <c r="J4021" s="739"/>
      <c r="K4021" s="674"/>
    </row>
    <row r="4022" ht="21.95" customHeight="1" spans="1:11">
      <c r="A4022" s="675"/>
      <c r="B4022" s="676" t="s">
        <v>419</v>
      </c>
      <c r="C4022" s="676"/>
      <c r="D4022" s="676" t="str">
        <f>ENTRY!$D$6</f>
        <v>MCP NITHARI NO 1 BOYS</v>
      </c>
      <c r="E4022" s="676"/>
      <c r="F4022" s="676"/>
      <c r="G4022" s="676"/>
      <c r="H4022" s="676"/>
      <c r="I4022" s="676"/>
      <c r="J4022" s="676"/>
      <c r="K4022" s="677"/>
    </row>
    <row r="4023" ht="21.95" customHeight="1" spans="1:11">
      <c r="A4023" s="675"/>
      <c r="B4023" s="676" t="s">
        <v>420</v>
      </c>
      <c r="C4023" s="676"/>
      <c r="D4023" s="740">
        <f>IFERROR(VLOOKUP($I$4026,STUDENT!$A$2:$BP$101,5,0),"")</f>
        <v>0</v>
      </c>
      <c r="E4023" s="740"/>
      <c r="F4023" s="740"/>
      <c r="G4023" s="740"/>
      <c r="H4023" s="740"/>
      <c r="I4023" s="740"/>
      <c r="J4023" s="740"/>
      <c r="K4023" s="677"/>
    </row>
    <row r="4024" ht="21.95" customHeight="1" spans="1:11">
      <c r="A4024" s="675"/>
      <c r="B4024" s="676" t="s">
        <v>421</v>
      </c>
      <c r="C4024" s="676"/>
      <c r="D4024" s="740">
        <f>IFERROR(VLOOKUP($I$4026,STUDENT!$A$2:$BP$101,8,0),"")</f>
        <v>0</v>
      </c>
      <c r="E4024" s="740"/>
      <c r="F4024" s="740"/>
      <c r="G4024" s="740"/>
      <c r="H4024" s="740"/>
      <c r="I4024" s="740"/>
      <c r="J4024" s="740"/>
      <c r="K4024" s="677"/>
    </row>
    <row r="4025" ht="21.95" customHeight="1" spans="1:11">
      <c r="A4025" s="675"/>
      <c r="B4025" s="676" t="s">
        <v>422</v>
      </c>
      <c r="C4025" s="676"/>
      <c r="D4025" s="740">
        <f>IFERROR(VLOOKUP($I$4026,STUDENT!$A$2:$BP$101,6,0),"")</f>
        <v>0</v>
      </c>
      <c r="E4025" s="740"/>
      <c r="F4025" s="740"/>
      <c r="G4025" s="740"/>
      <c r="H4025" s="740"/>
      <c r="I4025" s="740"/>
      <c r="J4025" s="740"/>
      <c r="K4025" s="677"/>
    </row>
    <row r="4026" ht="21.95" customHeight="1" spans="1:11">
      <c r="A4026" s="675"/>
      <c r="B4026" s="676" t="s">
        <v>423</v>
      </c>
      <c r="C4026" s="676"/>
      <c r="D4026" s="741" t="str">
        <f>IFERROR(VLOOKUP($I$4026,STUDENT!$A$2:$BP$101,59,0),"")</f>
        <v/>
      </c>
      <c r="E4026" s="742" t="s">
        <v>424</v>
      </c>
      <c r="F4026" s="704" t="str">
        <f>IFERROR(VLOOKUP($I$4026,STUDENT!$A$2:$BP$101,2,0),"")</f>
        <v>III-A</v>
      </c>
      <c r="G4026" s="742" t="s">
        <v>425</v>
      </c>
      <c r="H4026" s="743"/>
      <c r="I4026" s="733">
        <f>I3971+1</f>
        <v>74</v>
      </c>
      <c r="J4026" s="683"/>
      <c r="K4026" s="677"/>
    </row>
    <row r="4027" ht="5.1" customHeight="1" spans="1:11">
      <c r="A4027" s="675"/>
      <c r="B4027" s="745"/>
      <c r="C4027" s="745"/>
      <c r="D4027" s="746"/>
      <c r="E4027" s="747"/>
      <c r="F4027" s="748"/>
      <c r="G4027" s="747"/>
      <c r="H4027" s="686"/>
      <c r="I4027" s="686"/>
      <c r="J4027" s="686"/>
      <c r="K4027" s="677"/>
    </row>
    <row r="4028" s="664" customFormat="1" ht="32.1" customHeight="1" spans="1:11">
      <c r="A4028" s="688"/>
      <c r="B4028" s="749" t="s">
        <v>426</v>
      </c>
      <c r="C4028" s="750"/>
      <c r="D4028" s="750"/>
      <c r="E4028" s="750"/>
      <c r="F4028" s="750"/>
      <c r="G4028" s="750"/>
      <c r="H4028" s="750"/>
      <c r="I4028" s="750"/>
      <c r="J4028" s="751"/>
      <c r="K4028" s="690"/>
    </row>
    <row r="4029" ht="51.6" spans="1:11">
      <c r="A4029" s="675"/>
      <c r="B4029" s="752">
        <v>21</v>
      </c>
      <c r="C4029" s="753" t="s">
        <v>427</v>
      </c>
      <c r="D4029" s="754" t="s">
        <v>428</v>
      </c>
      <c r="E4029" s="754" t="s">
        <v>429</v>
      </c>
      <c r="F4029" s="754" t="s">
        <v>430</v>
      </c>
      <c r="G4029" s="753" t="s">
        <v>390</v>
      </c>
      <c r="H4029" s="714"/>
      <c r="I4029" s="714"/>
      <c r="J4029" s="714"/>
      <c r="K4029" s="677"/>
    </row>
    <row r="4030" ht="20.1" customHeight="1" spans="1:11">
      <c r="A4030" s="675"/>
      <c r="B4030" s="755">
        <v>1</v>
      </c>
      <c r="C4030" s="755" t="str">
        <f>IFERROR(VLOOKUP(B4030,DATEWISE!$A$3:$BY$27,2,0),0)</f>
        <v>30.04.2026</v>
      </c>
      <c r="D4030" s="755">
        <f>IF($C$4030=0,NA(),VLOOKUP($I$4026&amp;$B$4030,FLNFIX!$L$4:$EF$103,2,0))</f>
        <v>0</v>
      </c>
      <c r="E4030" s="755">
        <f>IF($C$4030=0,NA(),VLOOKUP($I$4026&amp;$B$4030,FLNFIX!$L$4:$EF$103,4,0))</f>
        <v>0</v>
      </c>
      <c r="F4030" s="755">
        <f>IF($C$4030=0,NA(),VLOOKUP($I$4026&amp;$B$4030,FLNFIX!$L$4:$EF$103,3,0))</f>
        <v>0</v>
      </c>
      <c r="G4030" s="756">
        <f>IF($C$4030=0,NA(),VLOOKUP($I$4026&amp;$B$4030,FLNFIX!$L$4:$EF$103,5,0))</f>
        <v>0</v>
      </c>
      <c r="H4030" s="757"/>
      <c r="I4030" s="757"/>
      <c r="J4030" s="758"/>
      <c r="K4030" s="677"/>
    </row>
    <row r="4031" ht="20.1" customHeight="1" spans="1:11">
      <c r="A4031" s="675"/>
      <c r="B4031" s="755">
        <f t="shared" ref="B4031:B4050" si="73">IF(B4030=0,0,IF(B4030&lt;$B$4029,B4030+1,""))</f>
        <v>2</v>
      </c>
      <c r="C4031" s="755" t="str">
        <f>IFERROR(VLOOKUP(B4031,DATEWISE!$A$3:$BY$27,2,0),0)</f>
        <v>08.05.2026</v>
      </c>
      <c r="D4031" s="755">
        <f>IF($C$4031=0,NA(),VLOOKUP($I$4026&amp;$B$4031,FLNFIX!$Q$4:$EF$103,2,0))</f>
        <v>0</v>
      </c>
      <c r="E4031" s="755">
        <f>IF($C$4031=0,NA(),VLOOKUP($I$4026&amp;$B$4031,FLNFIX!$Q$4:$EF$103,4,0))</f>
        <v>0</v>
      </c>
      <c r="F4031" s="755">
        <f>IF($C$4031=0,NA(),VLOOKUP($I$4026&amp;$B$4031,FLNFIX!$Q$4:$EF$103,3,0))</f>
        <v>0</v>
      </c>
      <c r="G4031" s="756">
        <f>IF($C$4031=0,NA(),VLOOKUP($I$4026&amp;$B$4031,FLNFIX!$Q$4:$EF$103,5,0))</f>
        <v>0</v>
      </c>
      <c r="H4031" s="757"/>
      <c r="I4031" s="757"/>
      <c r="J4031" s="758"/>
      <c r="K4031" s="677"/>
    </row>
    <row r="4032" ht="20.1" customHeight="1" spans="1:11">
      <c r="A4032" s="675"/>
      <c r="B4032" s="755">
        <f t="shared" si="73"/>
        <v>3</v>
      </c>
      <c r="C4032" s="755" t="str">
        <f>IFERROR(VLOOKUP(B4032,DATEWISE!$A$3:$BY$27,2,0),0)</f>
        <v>15.07.2026</v>
      </c>
      <c r="D4032" s="755">
        <f>IF($C$4032=0,NA(),VLOOKUP($I$4026&amp;$B$4032,FLNFIX!$V$4:$EF$103,2,0))</f>
        <v>0</v>
      </c>
      <c r="E4032" s="755">
        <f>IF($C$4032=0,NA(),VLOOKUP($I$4026&amp;$B$4032,FLNFIX!$V$4:$EF$103,4,0))</f>
        <v>0</v>
      </c>
      <c r="F4032" s="755">
        <f>IF($C$4032=0,NA(),VLOOKUP($I$4026&amp;$B$4032,FLNFIX!$V$4:$EF$103,3,0))</f>
        <v>0</v>
      </c>
      <c r="G4032" s="756">
        <f>IF($C$4032=0,NA(),VLOOKUP($I$4026&amp;$B$4032,FLNFIX!$V$4:$EF$103,5,0))</f>
        <v>0</v>
      </c>
      <c r="H4032" s="757"/>
      <c r="I4032" s="757"/>
      <c r="J4032" s="758"/>
      <c r="K4032" s="677"/>
    </row>
    <row r="4033" ht="20.1" customHeight="1" spans="1:11">
      <c r="A4033" s="675"/>
      <c r="B4033" s="755">
        <f t="shared" si="73"/>
        <v>4</v>
      </c>
      <c r="C4033" s="755" t="str">
        <f>IFERROR(VLOOKUP(B4033,DATEWISE!$A$3:$BY$27,2,0),0)</f>
        <v>31.07.2026</v>
      </c>
      <c r="D4033" s="755">
        <f>IF($C$4033=0,NA(),VLOOKUP($I$4026&amp;$B$4033,FLNFIX!$AA$4:$EF$103,2,0))</f>
        <v>0</v>
      </c>
      <c r="E4033" s="755">
        <f>IF($C$4033=0,NA(),VLOOKUP($I$4026&amp;$B$4033,FLNFIX!$AA$4:$EF$103,4,0))</f>
        <v>0</v>
      </c>
      <c r="F4033" s="755">
        <f>IF($C$4033=0,NA(),VLOOKUP($I$4026&amp;$B$4033,FLNFIX!$AA$4:$EF$103,3,0))</f>
        <v>0</v>
      </c>
      <c r="G4033" s="756">
        <f>IF($C$4033=0,NA(),VLOOKUP($I$4026&amp;$B$4033,FLNFIX!$AA$4:$EF$103,5,0))</f>
        <v>0</v>
      </c>
      <c r="H4033" s="757"/>
      <c r="I4033" s="757"/>
      <c r="J4033" s="758"/>
      <c r="K4033" s="677"/>
    </row>
    <row r="4034" ht="20.1" customHeight="1" spans="1:11">
      <c r="A4034" s="675"/>
      <c r="B4034" s="755">
        <f t="shared" si="73"/>
        <v>5</v>
      </c>
      <c r="C4034" s="755" t="str">
        <f>IFERROR(VLOOKUP(B4034,DATEWISE!$A$3:$BY$27,2,0),0)</f>
        <v>17.08.2026</v>
      </c>
      <c r="D4034" s="755">
        <f>IF($C$4034=0,NA(),VLOOKUP($I$4026&amp;$B$4034,FLNFIX!$AF$4:$EF$103,2,0))</f>
        <v>0</v>
      </c>
      <c r="E4034" s="755">
        <f>IF($C$4034=0,NA(),VLOOKUP($I$4026&amp;$B$4034,FLNFIX!$AF$4:$EF$103,4,0))</f>
        <v>0</v>
      </c>
      <c r="F4034" s="755">
        <f>IF($C$4034=0,NA(),VLOOKUP($I$4026&amp;$B$4034,FLNFIX!$AF$4:$EF$103,3,0))</f>
        <v>0</v>
      </c>
      <c r="G4034" s="756">
        <f>IF($C$4034=0,NA(),VLOOKUP($I$4026&amp;$B$4034,FLNFIX!$AF$4:$EF$103,5,0))</f>
        <v>0</v>
      </c>
      <c r="H4034" s="757"/>
      <c r="I4034" s="757"/>
      <c r="J4034" s="758"/>
      <c r="K4034" s="677"/>
    </row>
    <row r="4035" ht="20.1" customHeight="1" spans="1:11">
      <c r="A4035" s="675"/>
      <c r="B4035" s="755">
        <f t="shared" si="73"/>
        <v>6</v>
      </c>
      <c r="C4035" s="755" t="str">
        <f>IFERROR(VLOOKUP(B4035,DATEWISE!$A$3:$BY$27,2,0),0)</f>
        <v>31.08.2026</v>
      </c>
      <c r="D4035" s="755">
        <f>IF($C$4035=0,NA(),VLOOKUP($I$4026&amp;$B$4035,FLNFIX!$AK$4:$EF$103,2,0))</f>
        <v>0</v>
      </c>
      <c r="E4035" s="755">
        <f>IF($C$4035=0,NA(),VLOOKUP($I$4026&amp;$B$4035,FLNFIX!$AK$4:$EF$103,4,0))</f>
        <v>0</v>
      </c>
      <c r="F4035" s="755">
        <f>IF($C$4035=0,NA(),VLOOKUP($I$4026&amp;$B$4035,FLNFIX!$AK$4:$EF$103,3,0))</f>
        <v>0</v>
      </c>
      <c r="G4035" s="756">
        <f>IF($C$4035=0,NA(),VLOOKUP($I$4026&amp;$B$4035,FLNFIX!$AK$4:$EF$103,5,0))</f>
        <v>0</v>
      </c>
      <c r="H4035" s="757"/>
      <c r="I4035" s="757"/>
      <c r="J4035" s="758"/>
      <c r="K4035" s="677"/>
    </row>
    <row r="4036" ht="20.1" customHeight="1" spans="1:11">
      <c r="A4036" s="675"/>
      <c r="B4036" s="755">
        <f t="shared" si="73"/>
        <v>7</v>
      </c>
      <c r="C4036" s="755">
        <f>IFERROR(VLOOKUP(B4036,DATEWISE!$A$3:$BY$27,2,0),0)</f>
        <v>0</v>
      </c>
      <c r="D4036" s="755" t="e">
        <f>IF($C$4036=0,NA(),VLOOKUP($I$4026&amp;$B$4036,FLNFIX!$AP$4:$EF$103,2,0))</f>
        <v>#N/A</v>
      </c>
      <c r="E4036" s="755" t="e">
        <f>IF($C$4036=0,NA(),VLOOKUP($I$4026&amp;$B$4036,FLNFIX!$AP$4:$EF$103,4,0))</f>
        <v>#N/A</v>
      </c>
      <c r="F4036" s="755" t="e">
        <f>IF($C$4036=0,NA(),VLOOKUP($I$4026&amp;$B$4036,FLNFIX!$AP$4:$EF$103,3,0))</f>
        <v>#N/A</v>
      </c>
      <c r="G4036" s="756" t="e">
        <f>IF($C$4036=0,NA(),VLOOKUP($I$4026&amp;$B$4036,FLNFIX!$AP$4:$EF$103,5,0))</f>
        <v>#N/A</v>
      </c>
      <c r="H4036" s="757"/>
      <c r="I4036" s="757"/>
      <c r="J4036" s="758"/>
      <c r="K4036" s="677"/>
    </row>
    <row r="4037" ht="20.1" customHeight="1" spans="1:11">
      <c r="A4037" s="675"/>
      <c r="B4037" s="755">
        <f t="shared" si="73"/>
        <v>8</v>
      </c>
      <c r="C4037" s="755">
        <f>IFERROR(VLOOKUP(B4037,DATEWISE!$A$3:$BY$27,2,0),0)</f>
        <v>0</v>
      </c>
      <c r="D4037" s="755" t="e">
        <f>IF($C$4037=0,NA(),VLOOKUP($I$4026&amp;$B$4037,FLNFIX!$AU$4:$EF$103,2,0))</f>
        <v>#N/A</v>
      </c>
      <c r="E4037" s="755" t="e">
        <f>IF($C$4037=0,NA(),VLOOKUP($I$4026&amp;$B$4037,FLNFIX!$AU$4:$EF$103,4,0))</f>
        <v>#N/A</v>
      </c>
      <c r="F4037" s="755" t="e">
        <f>IF($C$4037=0,NA(),VLOOKUP($I$4026&amp;$B$4037,FLNFIX!$AU$4:$EF$103,3,0))</f>
        <v>#N/A</v>
      </c>
      <c r="G4037" s="756" t="e">
        <f>IF($C$4037=0,NA(),VLOOKUP($I$4026&amp;$B$4037,FLNFIX!$AU$4:$EF$103,5,0))</f>
        <v>#N/A</v>
      </c>
      <c r="H4037" s="757"/>
      <c r="I4037" s="757"/>
      <c r="J4037" s="758"/>
      <c r="K4037" s="677"/>
    </row>
    <row r="4038" ht="20.1" customHeight="1" spans="1:11">
      <c r="A4038" s="675"/>
      <c r="B4038" s="755">
        <f t="shared" si="73"/>
        <v>9</v>
      </c>
      <c r="C4038" s="755">
        <f>IFERROR(VLOOKUP(B4038,DATEWISE!$A$3:$BY$27,2,0),0)</f>
        <v>0</v>
      </c>
      <c r="D4038" s="755" t="e">
        <f>IF($C$4038=0,NA(),VLOOKUP($I$4026&amp;$B$4038,FLNFIX!$AZ$4:$EF$103,2,0))</f>
        <v>#N/A</v>
      </c>
      <c r="E4038" s="755" t="e">
        <f>IF($C$4038=0,NA(),VLOOKUP($I$4026&amp;$B$4038,FLNFIX!$AZ$4:$EF$103,4,0))</f>
        <v>#N/A</v>
      </c>
      <c r="F4038" s="755" t="e">
        <f>IF($C$4038=0,NA(),VLOOKUP($I$4026&amp;$B$4038,FLNFIX!$AZ$4:$EF$103,3,0))</f>
        <v>#N/A</v>
      </c>
      <c r="G4038" s="756" t="e">
        <f>IF($C$4038=0,NA(),VLOOKUP($I$4026&amp;$B$4038,FLNFIX!$AZ$4:$EF$103,5,0))</f>
        <v>#N/A</v>
      </c>
      <c r="H4038" s="757"/>
      <c r="I4038" s="757"/>
      <c r="J4038" s="758"/>
      <c r="K4038" s="677"/>
    </row>
    <row r="4039" ht="20.1" customHeight="1" spans="1:11">
      <c r="A4039" s="675"/>
      <c r="B4039" s="755">
        <f t="shared" si="73"/>
        <v>10</v>
      </c>
      <c r="C4039" s="755">
        <f>IFERROR(VLOOKUP(B4039,DATEWISE!$A$3:$BY$27,2,0),0)</f>
        <v>0</v>
      </c>
      <c r="D4039" s="755" t="e">
        <f>IF($C$4039=0,NA(),VLOOKUP($I$4026&amp;$B$4039,FLNFIX!$BE$4:$EF$103,2,0))</f>
        <v>#N/A</v>
      </c>
      <c r="E4039" s="755" t="e">
        <f>IF($C$4039=0,NA(),VLOOKUP($I$4026&amp;$B$4039,FLNFIX!$BE$4:$EF$103,4,0))</f>
        <v>#N/A</v>
      </c>
      <c r="F4039" s="755" t="e">
        <f>IF($C$4039=0,NA(),VLOOKUP($I$4026&amp;$B$4039,FLNFIX!$BE$4:$EF$103,3,0))</f>
        <v>#N/A</v>
      </c>
      <c r="G4039" s="756" t="e">
        <f>IF($C$4039=0,NA(),VLOOKUP($I$4026&amp;$B$4039,FLNFIX!$BE$4:$EF$103,5,0))</f>
        <v>#N/A</v>
      </c>
      <c r="H4039" s="757"/>
      <c r="I4039" s="757"/>
      <c r="J4039" s="758"/>
      <c r="K4039" s="677"/>
    </row>
    <row r="4040" ht="20.1" customHeight="1" spans="1:11">
      <c r="A4040" s="675"/>
      <c r="B4040" s="755">
        <f t="shared" si="73"/>
        <v>11</v>
      </c>
      <c r="C4040" s="755">
        <f>IFERROR(VLOOKUP(B4040,DATEWISE!$A$3:$BY$27,2,0),0)</f>
        <v>0</v>
      </c>
      <c r="D4040" s="755" t="e">
        <f>IF($C$4040=0,NA(),VLOOKUP($I$4026&amp;$B$4040,FLNFIX!$BJ$4:$EF$103,2,0))</f>
        <v>#N/A</v>
      </c>
      <c r="E4040" s="755" t="e">
        <f>IF($C$4040=0,NA(),VLOOKUP($I$4026&amp;$B$4040,FLNFIX!$BJ$4:$EF$103,4,0))</f>
        <v>#N/A</v>
      </c>
      <c r="F4040" s="755" t="e">
        <f>IF($C$4040=0,NA(),VLOOKUP($I$4026&amp;$B$4040,FLNFIX!$BJ$4:$EF$103,3,0))</f>
        <v>#N/A</v>
      </c>
      <c r="G4040" s="756" t="e">
        <f>IF($C$4040=0,NA(),VLOOKUP($I$4026&amp;$B$4040,FLNFIX!$BJ$4:$EF$103,5,0))</f>
        <v>#N/A</v>
      </c>
      <c r="H4040" s="757"/>
      <c r="I4040" s="757"/>
      <c r="J4040" s="758"/>
      <c r="K4040" s="677"/>
    </row>
    <row r="4041" ht="20.1" customHeight="1" spans="1:11">
      <c r="A4041" s="675"/>
      <c r="B4041" s="755">
        <f t="shared" si="73"/>
        <v>12</v>
      </c>
      <c r="C4041" s="755">
        <f>IFERROR(VLOOKUP(B4041,DATEWISE!$A$3:$BY$27,2,0),0)</f>
        <v>0</v>
      </c>
      <c r="D4041" s="755" t="e">
        <f>IF($C$4041=0,NA(),VLOOKUP($I$4026&amp;$B$4041,FLNFIX!$BO$4:$EF$103,2,0))</f>
        <v>#N/A</v>
      </c>
      <c r="E4041" s="755" t="e">
        <f>IF($C$4041=0,NA(),VLOOKUP($I$4026&amp;$B$4041,FLNFIX!$BO$4:$EF$103,4,0))</f>
        <v>#N/A</v>
      </c>
      <c r="F4041" s="755" t="e">
        <f>IF($C$4041=0,NA(),VLOOKUP($I$4026&amp;$B$4041,FLNFIX!$BO$4:$EF$103,3,0))</f>
        <v>#N/A</v>
      </c>
      <c r="G4041" s="756" t="e">
        <f>IF($C$4041=0,NA(),VLOOKUP($I$4026&amp;$B$4041,FLNFIX!$BO$4:$EF$103,5,0))</f>
        <v>#N/A</v>
      </c>
      <c r="H4041" s="757"/>
      <c r="I4041" s="757"/>
      <c r="J4041" s="758"/>
      <c r="K4041" s="677"/>
    </row>
    <row r="4042" ht="20.1" customHeight="1" spans="1:11">
      <c r="A4042" s="675"/>
      <c r="B4042" s="755">
        <f t="shared" si="73"/>
        <v>13</v>
      </c>
      <c r="C4042" s="755">
        <f>IFERROR(VLOOKUP(B4042,DATEWISE!$A$3:$BY$27,2,0),0)</f>
        <v>0</v>
      </c>
      <c r="D4042" s="755" t="e">
        <f>IF($C$4042=0,NA(),VLOOKUP($I$4026&amp;$B$4042,FLNFIX!$BT$4:$EF$103,2,0))</f>
        <v>#N/A</v>
      </c>
      <c r="E4042" s="755" t="e">
        <f>IF($C$4042=0,NA(),VLOOKUP($I$4026&amp;$B$4042,FLNFIX!$BT$4:$EF$103,4,0))</f>
        <v>#N/A</v>
      </c>
      <c r="F4042" s="755" t="e">
        <f>IF($C$4042=0,NA(),VLOOKUP($I$4026&amp;$B$4042,FLNFIX!$BT$4:$EF$103,3,0))</f>
        <v>#N/A</v>
      </c>
      <c r="G4042" s="756" t="e">
        <f>IF($C$4042=0,NA(),VLOOKUP($I$4026&amp;$B$4042,FLNFIX!$BT$4:$EF$103,5,0))</f>
        <v>#N/A</v>
      </c>
      <c r="H4042" s="757"/>
      <c r="I4042" s="757"/>
      <c r="J4042" s="758"/>
      <c r="K4042" s="677"/>
    </row>
    <row r="4043" ht="20.1" customHeight="1" spans="1:11">
      <c r="A4043" s="675"/>
      <c r="B4043" s="755">
        <f t="shared" si="73"/>
        <v>14</v>
      </c>
      <c r="C4043" s="755">
        <f>IFERROR(VLOOKUP(B4043,DATEWISE!$A$3:$BY$27,2,0),0)</f>
        <v>0</v>
      </c>
      <c r="D4043" s="755" t="e">
        <f>IF($C$4043=0,NA(),VLOOKUP($I$4026&amp;$B$4043,FLNFIX!$BY$4:$EF$103,2,0))</f>
        <v>#N/A</v>
      </c>
      <c r="E4043" s="755" t="e">
        <f>IF($C$4043=0,NA(),VLOOKUP($I$4026&amp;$B$4043,FLNFIX!$BY$4:$EF$103,4,0))</f>
        <v>#N/A</v>
      </c>
      <c r="F4043" s="755" t="e">
        <f>IF($C$4043=0,NA(),VLOOKUP($I$4026&amp;$B$4043,FLNFIX!$BY$4:$EF$103,3,0))</f>
        <v>#N/A</v>
      </c>
      <c r="G4043" s="756" t="e">
        <f>IF($C$4043=0,NA(),VLOOKUP($I$4026&amp;$B$4043,FLNFIX!$BY$4:$EF$103,5,0))</f>
        <v>#N/A</v>
      </c>
      <c r="H4043" s="757"/>
      <c r="I4043" s="757"/>
      <c r="J4043" s="758"/>
      <c r="K4043" s="677"/>
    </row>
    <row r="4044" ht="20.1" customHeight="1" spans="1:11">
      <c r="A4044" s="675"/>
      <c r="B4044" s="755">
        <f t="shared" si="73"/>
        <v>15</v>
      </c>
      <c r="C4044" s="755">
        <f>IFERROR(VLOOKUP(B4044,DATEWISE!$A$3:$BY$27,2,0),0)</f>
        <v>0</v>
      </c>
      <c r="D4044" s="755" t="e">
        <f>IF($C$4044=0,NA(),VLOOKUP($I$4026&amp;$B$4044,FLNFIX!$CD$4:$EF$103,2,0))</f>
        <v>#N/A</v>
      </c>
      <c r="E4044" s="755" t="e">
        <f>IF($C$4044=0,NA(),VLOOKUP($I$4026&amp;$B$4044,FLNFIX!$CD$4:$EF$103,4,0))</f>
        <v>#N/A</v>
      </c>
      <c r="F4044" s="755" t="e">
        <f>IF($C$4044=0,NA(),VLOOKUP($I$4026&amp;$B$4044,FLNFIX!$CD$4:$EF$103,3,0))</f>
        <v>#N/A</v>
      </c>
      <c r="G4044" s="756" t="e">
        <f>IF($C$4044=0,NA(),VLOOKUP($I$4026&amp;$B$4044,FLNFIX!$CD$4:$EF$103,5,0))</f>
        <v>#N/A</v>
      </c>
      <c r="H4044" s="757"/>
      <c r="I4044" s="757"/>
      <c r="J4044" s="758"/>
      <c r="K4044" s="677"/>
    </row>
    <row r="4045" ht="20.1" customHeight="1" spans="1:11">
      <c r="A4045" s="675"/>
      <c r="B4045" s="755">
        <f t="shared" si="73"/>
        <v>16</v>
      </c>
      <c r="C4045" s="755">
        <f>IFERROR(VLOOKUP(B4045,DATEWISE!$A$3:$BY$27,2,0),0)</f>
        <v>0</v>
      </c>
      <c r="D4045" s="755" t="e">
        <f>IF($C$4045=0,NA(),VLOOKUP($I$4026&amp;$B$4045,FLNFIX!$CI$4:$EF$103,2,0))</f>
        <v>#N/A</v>
      </c>
      <c r="E4045" s="755" t="e">
        <f>IF($C$4045=0,NA(),VLOOKUP($I$4026&amp;$B$4045,FLNFIX!$CI$4:$EF$103,4,0))</f>
        <v>#N/A</v>
      </c>
      <c r="F4045" s="755" t="e">
        <f>IF($C$4045=0,NA(),VLOOKUP($I$4026&amp;$B$4045,FLNFIX!$CI$4:$EF$103,3,0))</f>
        <v>#N/A</v>
      </c>
      <c r="G4045" s="756" t="e">
        <f>IF($C$4045=0,NA(),VLOOKUP($I$4026&amp;$B$4045,FLNFIX!$CI$4:$EF$103,5,0))</f>
        <v>#N/A</v>
      </c>
      <c r="H4045" s="757"/>
      <c r="I4045" s="757"/>
      <c r="J4045" s="758"/>
      <c r="K4045" s="677"/>
    </row>
    <row r="4046" ht="20.1" customHeight="1" spans="1:11">
      <c r="A4046" s="675"/>
      <c r="B4046" s="755">
        <f t="shared" si="73"/>
        <v>17</v>
      </c>
      <c r="C4046" s="755">
        <f>IFERROR(VLOOKUP(B4046,DATEWISE!$A$3:$BY$27,2,0),0)</f>
        <v>0</v>
      </c>
      <c r="D4046" s="755" t="e">
        <f>IF($C$4046=0,NA(),VLOOKUP($I$4026&amp;$B$4046,FLNFIX!$CN$4:$EF$103,2,0))</f>
        <v>#N/A</v>
      </c>
      <c r="E4046" s="755" t="e">
        <f>IF($C$4046=0,NA(),VLOOKUP($I$4026&amp;$B$4046,FLNFIX!$CN$4:$EF$103,4,0))</f>
        <v>#N/A</v>
      </c>
      <c r="F4046" s="755" t="e">
        <f>IF($C$4046=0,NA(),VLOOKUP($I$4026&amp;$B$4046,FLNFIX!$CN$4:$EF$103,3,0))</f>
        <v>#N/A</v>
      </c>
      <c r="G4046" s="756" t="e">
        <f>IF($C$4046=0,NA(),VLOOKUP($I$4026&amp;$B$4046,FLNFIX!$CN$4:$EF$103,5,0))</f>
        <v>#N/A</v>
      </c>
      <c r="H4046" s="757"/>
      <c r="I4046" s="757"/>
      <c r="J4046" s="758"/>
      <c r="K4046" s="677"/>
    </row>
    <row r="4047" ht="20.1" customHeight="1" spans="1:11">
      <c r="A4047" s="675"/>
      <c r="B4047" s="755">
        <f t="shared" si="73"/>
        <v>18</v>
      </c>
      <c r="C4047" s="755">
        <f>IFERROR(VLOOKUP(B4047,DATEWISE!$A$3:$BY$27,2,0),0)</f>
        <v>0</v>
      </c>
      <c r="D4047" s="755" t="e">
        <f>IF($C$4047=0,NA(),VLOOKUP($I$4026&amp;$B$4047,FLNFIX!$CS$4:$EF$103,2,0))</f>
        <v>#N/A</v>
      </c>
      <c r="E4047" s="755" t="e">
        <f>IF($C$4047=0,NA(),VLOOKUP($I$4026&amp;$B$4047,FLNFIX!$CS$4:$EF$103,4,0))</f>
        <v>#N/A</v>
      </c>
      <c r="F4047" s="755" t="e">
        <f>IF($C$4047=0,NA(),VLOOKUP($I$4026&amp;$B$4047,FLNFIX!$CS$4:$EF$103,3,0))</f>
        <v>#N/A</v>
      </c>
      <c r="G4047" s="756" t="e">
        <f>IF($C$4047=0,NA(),VLOOKUP($I$4026&amp;$B$4047,FLNFIX!$CS$4:$EF$103,5,0))</f>
        <v>#N/A</v>
      </c>
      <c r="H4047" s="757"/>
      <c r="I4047" s="757"/>
      <c r="J4047" s="758"/>
      <c r="K4047" s="677"/>
    </row>
    <row r="4048" ht="20.1" customHeight="1" spans="1:11">
      <c r="A4048" s="675"/>
      <c r="B4048" s="755">
        <f t="shared" si="73"/>
        <v>19</v>
      </c>
      <c r="C4048" s="755">
        <f>IFERROR(VLOOKUP(B4048,DATEWISE!$A$3:$BY$27,2,0),0)</f>
        <v>0</v>
      </c>
      <c r="D4048" s="755" t="e">
        <f>IF($C$4048=0,NA(),VLOOKUP($I$4026&amp;$B$4048,FLNFIX!$CX$4:$EF$103,2,0))</f>
        <v>#N/A</v>
      </c>
      <c r="E4048" s="755" t="e">
        <f>IF($C$4048=0,NA(),VLOOKUP($I$4026&amp;$B$4048,FLNFIX!$CX$4:$EF$103,4,0))</f>
        <v>#N/A</v>
      </c>
      <c r="F4048" s="755" t="e">
        <f>IF($C$4048=0,NA(),VLOOKUP($I$4026&amp;$B$4048,FLNFIX!$CX$4:$EF$103,3,0))</f>
        <v>#N/A</v>
      </c>
      <c r="G4048" s="756" t="e">
        <f>IF($C$4048=0,NA(),VLOOKUP($I$4026&amp;$B$4048,FLNFIX!$CX$4:$EF$103,5,0))</f>
        <v>#N/A</v>
      </c>
      <c r="H4048" s="757"/>
      <c r="I4048" s="757"/>
      <c r="J4048" s="758"/>
      <c r="K4048" s="677"/>
    </row>
    <row r="4049" ht="20.1" customHeight="1" spans="1:11">
      <c r="A4049" s="675"/>
      <c r="B4049" s="755">
        <f t="shared" si="73"/>
        <v>20</v>
      </c>
      <c r="C4049" s="755">
        <f>IFERROR(VLOOKUP(B4049,DATEWISE!$A$3:$BY$27,2,0),0)</f>
        <v>0</v>
      </c>
      <c r="D4049" s="755" t="e">
        <f>IF($C$4049=0,NA(),VLOOKUP($I$4026&amp;$B$4049,FLNFIX!$DC$4:$EF$103,2,0))</f>
        <v>#N/A</v>
      </c>
      <c r="E4049" s="755" t="e">
        <f>IF($C$4049=0,NA(),VLOOKUP($I$4026&amp;$B$4049,FLNFIX!$DC$4:$EF$103,4,0))</f>
        <v>#N/A</v>
      </c>
      <c r="F4049" s="755" t="e">
        <f>IF($C$4049=0,NA(),VLOOKUP($I$4026&amp;$B$4049,FLNFIX!$DC$4:$EF$103,3,0))</f>
        <v>#N/A</v>
      </c>
      <c r="G4049" s="756" t="e">
        <f>IF($C$4049=0,NA(),VLOOKUP($I$4026&amp;$B$4049,FLNFIX!$DC$4:$EF$103,5,0))</f>
        <v>#N/A</v>
      </c>
      <c r="H4049" s="757"/>
      <c r="I4049" s="757"/>
      <c r="J4049" s="758"/>
      <c r="K4049" s="677"/>
    </row>
    <row r="4050" ht="20.1" customHeight="1" spans="1:11">
      <c r="A4050" s="675"/>
      <c r="B4050" s="755">
        <f t="shared" si="73"/>
        <v>21</v>
      </c>
      <c r="C4050" s="755">
        <f>IFERROR(VLOOKUP(B4050,DATEWISE!$A$3:$BY$27,2,0),0)</f>
        <v>0</v>
      </c>
      <c r="D4050" s="755" t="e">
        <f>IF($C$4050=0,NA(),VLOOKUP($I$4026&amp;$B$4050,FLNFIX!$DH$4:$EF$103,2,0))</f>
        <v>#N/A</v>
      </c>
      <c r="E4050" s="755" t="e">
        <f>IF($C$4050=0,NA(),VLOOKUP($I$4026&amp;$B$4050,FLNFIX!$DH$4:$EF$103,4,0))</f>
        <v>#N/A</v>
      </c>
      <c r="F4050" s="755" t="e">
        <f>IF($C$4050=0,NA(),VLOOKUP($I$4026&amp;$B$4050,FLNFIX!$DH$4:$EF$103,3,0))</f>
        <v>#N/A</v>
      </c>
      <c r="G4050" s="756" t="e">
        <f>IF($C$4050=0,NA(),VLOOKUP($I$4026&amp;$B$4050,FLNFIX!$DH$4:$EF$103,5,0))</f>
        <v>#N/A</v>
      </c>
      <c r="H4050" s="757"/>
      <c r="I4050" s="757"/>
      <c r="J4050" s="758"/>
      <c r="K4050" s="677"/>
    </row>
    <row r="4051" ht="5.1" customHeight="1" spans="1:11">
      <c r="A4051" s="675"/>
      <c r="B4051" s="759"/>
      <c r="C4051" s="759"/>
      <c r="D4051" s="760"/>
      <c r="E4051" s="760"/>
      <c r="F4051" s="760"/>
      <c r="G4051" s="761"/>
      <c r="H4051" s="761"/>
      <c r="I4051" s="761"/>
      <c r="J4051" s="761"/>
      <c r="K4051" s="677"/>
    </row>
    <row r="4052" s="667" customFormat="1" ht="24.95" customHeight="1" spans="1:11">
      <c r="A4052" s="711"/>
      <c r="B4052" s="762" t="s">
        <v>431</v>
      </c>
      <c r="C4052" s="763"/>
      <c r="D4052" s="763"/>
      <c r="E4052" s="763"/>
      <c r="F4052" s="763"/>
      <c r="G4052" s="763"/>
      <c r="H4052" s="763"/>
      <c r="I4052" s="763"/>
      <c r="J4052" s="764"/>
      <c r="K4052" s="713"/>
    </row>
    <row r="4053" spans="1:11">
      <c r="A4053" s="675"/>
      <c r="B4053" s="765"/>
      <c r="C4053" s="686"/>
      <c r="D4053" s="686"/>
      <c r="E4053" s="686"/>
      <c r="F4053" s="686"/>
      <c r="G4053" s="686"/>
      <c r="H4053" s="686"/>
      <c r="I4053" s="686"/>
      <c r="J4053" s="766"/>
      <c r="K4053" s="677"/>
    </row>
    <row r="4054" spans="1:11">
      <c r="A4054" s="675"/>
      <c r="B4054" s="765"/>
      <c r="C4054" s="686"/>
      <c r="D4054" s="686"/>
      <c r="E4054" s="686"/>
      <c r="F4054" s="686"/>
      <c r="G4054" s="686"/>
      <c r="H4054" s="686"/>
      <c r="I4054" s="686"/>
      <c r="J4054" s="766"/>
      <c r="K4054" s="677"/>
    </row>
    <row r="4055" spans="1:11">
      <c r="A4055" s="675"/>
      <c r="B4055" s="765"/>
      <c r="C4055" s="686"/>
      <c r="D4055" s="686"/>
      <c r="E4055" s="686"/>
      <c r="F4055" s="686"/>
      <c r="G4055" s="686"/>
      <c r="H4055" s="686"/>
      <c r="I4055" s="686"/>
      <c r="J4055" s="766"/>
      <c r="K4055" s="677"/>
    </row>
    <row r="4056" spans="1:11">
      <c r="A4056" s="675"/>
      <c r="B4056" s="765"/>
      <c r="C4056" s="686"/>
      <c r="D4056" s="686"/>
      <c r="E4056" s="686"/>
      <c r="F4056" s="686"/>
      <c r="G4056" s="686"/>
      <c r="H4056" s="686"/>
      <c r="I4056" s="686"/>
      <c r="J4056" s="766"/>
      <c r="K4056" s="677"/>
    </row>
    <row r="4057" spans="1:11">
      <c r="A4057" s="675"/>
      <c r="B4057" s="765"/>
      <c r="C4057" s="686"/>
      <c r="D4057" s="686"/>
      <c r="E4057" s="686"/>
      <c r="F4057" s="686"/>
      <c r="G4057" s="686"/>
      <c r="H4057" s="686"/>
      <c r="I4057" s="686"/>
      <c r="J4057" s="766"/>
      <c r="K4057" s="677"/>
    </row>
    <row r="4058" spans="1:11">
      <c r="A4058" s="675"/>
      <c r="B4058" s="765"/>
      <c r="C4058" s="686"/>
      <c r="D4058" s="686"/>
      <c r="E4058" s="686"/>
      <c r="F4058" s="686"/>
      <c r="G4058" s="686"/>
      <c r="H4058" s="686"/>
      <c r="I4058" s="686"/>
      <c r="J4058" s="766"/>
      <c r="K4058" s="677"/>
    </row>
    <row r="4059" spans="1:11">
      <c r="A4059" s="675"/>
      <c r="B4059" s="765"/>
      <c r="C4059" s="686"/>
      <c r="D4059" s="686"/>
      <c r="E4059" s="686"/>
      <c r="F4059" s="686"/>
      <c r="G4059" s="686"/>
      <c r="H4059" s="686"/>
      <c r="I4059" s="686"/>
      <c r="J4059" s="766"/>
      <c r="K4059" s="677"/>
    </row>
    <row r="4060" spans="1:11">
      <c r="A4060" s="675"/>
      <c r="B4060" s="765"/>
      <c r="C4060" s="686"/>
      <c r="D4060" s="686"/>
      <c r="E4060" s="686"/>
      <c r="F4060" s="686"/>
      <c r="G4060" s="686"/>
      <c r="H4060" s="686"/>
      <c r="I4060" s="686"/>
      <c r="J4060" s="766"/>
      <c r="K4060" s="677"/>
    </row>
    <row r="4061" spans="1:11">
      <c r="A4061" s="675"/>
      <c r="B4061" s="765"/>
      <c r="C4061" s="686"/>
      <c r="D4061" s="686"/>
      <c r="E4061" s="686"/>
      <c r="F4061" s="686"/>
      <c r="G4061" s="686"/>
      <c r="H4061" s="686"/>
      <c r="I4061" s="686"/>
      <c r="J4061" s="766"/>
      <c r="K4061" s="677"/>
    </row>
    <row r="4062" spans="1:11">
      <c r="A4062" s="675"/>
      <c r="B4062" s="767"/>
      <c r="C4062" s="768"/>
      <c r="D4062" s="768"/>
      <c r="E4062" s="768"/>
      <c r="F4062" s="768"/>
      <c r="G4062" s="768"/>
      <c r="H4062" s="768"/>
      <c r="I4062" s="768"/>
      <c r="J4062" s="769"/>
      <c r="K4062" s="677"/>
    </row>
    <row r="4063" ht="5.1" customHeight="1" spans="1:11">
      <c r="A4063" s="675"/>
      <c r="B4063" s="686"/>
      <c r="C4063" s="686"/>
      <c r="D4063" s="686"/>
      <c r="E4063" s="686"/>
      <c r="F4063" s="686"/>
      <c r="G4063" s="686"/>
      <c r="H4063" s="686"/>
      <c r="I4063" s="686"/>
      <c r="J4063" s="686"/>
      <c r="K4063" s="677"/>
    </row>
    <row r="4064" spans="1:11">
      <c r="A4064" s="675"/>
      <c r="B4064" s="770" t="s">
        <v>432</v>
      </c>
      <c r="C4064" s="770"/>
      <c r="D4064" s="770"/>
      <c r="E4064" s="770"/>
      <c r="F4064" s="770"/>
      <c r="G4064" s="770"/>
      <c r="H4064" s="770"/>
      <c r="I4064" s="770"/>
      <c r="J4064" s="770"/>
      <c r="K4064" s="677"/>
    </row>
    <row r="4065" spans="1:11">
      <c r="A4065" s="675"/>
      <c r="B4065" s="771"/>
      <c r="C4065" s="771"/>
      <c r="D4065" s="771"/>
      <c r="E4065" s="771"/>
      <c r="F4065" s="771"/>
      <c r="G4065" s="771"/>
      <c r="H4065" s="771"/>
      <c r="I4065" s="771"/>
      <c r="J4065" s="771"/>
      <c r="K4065" s="677"/>
    </row>
    <row r="4066" spans="1:11">
      <c r="A4066" s="675"/>
      <c r="B4066" s="771"/>
      <c r="C4066" s="771"/>
      <c r="D4066" s="771"/>
      <c r="E4066" s="771"/>
      <c r="F4066" s="771"/>
      <c r="G4066" s="771"/>
      <c r="H4066" s="771"/>
      <c r="I4066" s="771"/>
      <c r="J4066" s="771"/>
      <c r="K4066" s="677"/>
    </row>
    <row r="4067" spans="1:11">
      <c r="A4067" s="675"/>
      <c r="B4067" s="771"/>
      <c r="C4067" s="771"/>
      <c r="D4067" s="771"/>
      <c r="E4067" s="771"/>
      <c r="F4067" s="771"/>
      <c r="G4067" s="771"/>
      <c r="H4067" s="771"/>
      <c r="I4067" s="771"/>
      <c r="J4067" s="771"/>
      <c r="K4067" s="677"/>
    </row>
    <row r="4068" spans="1:11">
      <c r="A4068" s="675"/>
      <c r="B4068" s="686"/>
      <c r="C4068" s="686"/>
      <c r="D4068" s="686"/>
      <c r="E4068" s="686"/>
      <c r="F4068" s="686"/>
      <c r="G4068" s="686"/>
      <c r="H4068" s="686"/>
      <c r="I4068" s="686"/>
      <c r="J4068" s="686"/>
      <c r="K4068" s="677"/>
    </row>
    <row r="4069" spans="1:11">
      <c r="A4069" s="675"/>
      <c r="B4069" s="686"/>
      <c r="C4069" s="729" t="s">
        <v>433</v>
      </c>
      <c r="D4069" s="729"/>
      <c r="E4069" s="686"/>
      <c r="F4069" s="686"/>
      <c r="G4069" s="729" t="s">
        <v>434</v>
      </c>
      <c r="H4069" s="729"/>
      <c r="I4069" s="729"/>
      <c r="J4069" s="729"/>
      <c r="K4069" s="677"/>
    </row>
    <row r="4070" ht="16.35" spans="1:11">
      <c r="A4070" s="725"/>
      <c r="B4070" s="726"/>
      <c r="C4070" s="732" t="str">
        <f>"("&amp;PROPER(ENTRY!$D$19)&amp;")"</f>
        <v>(Indrajeet)</v>
      </c>
      <c r="D4070" s="732"/>
      <c r="E4070" s="726"/>
      <c r="F4070" s="726"/>
      <c r="G4070" s="732" t="str">
        <f>"("&amp;PROPER(ENTRY!$D$12)&amp;")"</f>
        <v>(Shambhu Dayal Meena)</v>
      </c>
      <c r="H4070" s="732"/>
      <c r="I4070" s="732"/>
      <c r="J4070" s="732"/>
      <c r="K4070" s="728"/>
    </row>
    <row r="4071" ht="24.6" spans="1:11">
      <c r="B4071" s="734"/>
      <c r="C4071" s="734"/>
      <c r="D4071" s="669" t="str">
        <f>ENTRY!$D$3</f>
        <v>MUNICIPAL CORPORATION OF DELHI</v>
      </c>
      <c r="E4071" s="669"/>
      <c r="F4071" s="669"/>
      <c r="G4071" s="669"/>
      <c r="H4071" s="734"/>
      <c r="I4071" s="669"/>
      <c r="J4071" s="669"/>
    </row>
    <row r="4072" ht="20.4" spans="1:11">
      <c r="B4072" s="735"/>
      <c r="C4072" s="735"/>
      <c r="D4072" s="670" t="str">
        <f>ENTRY!$D$4</f>
        <v>EDUCATION DEPARTMENT</v>
      </c>
      <c r="E4072" s="670"/>
      <c r="F4072" s="670"/>
      <c r="G4072" s="670"/>
      <c r="H4072" s="735"/>
      <c r="I4072" s="669"/>
      <c r="J4072" s="669"/>
    </row>
    <row r="4073" ht="22.8" spans="1:11">
      <c r="B4073" s="736"/>
      <c r="C4073" s="736"/>
      <c r="D4073" s="664" t="s">
        <v>417</v>
      </c>
      <c r="E4073" s="664"/>
      <c r="F4073" s="664"/>
      <c r="G4073" s="664"/>
      <c r="H4073" s="736"/>
      <c r="I4073" s="669"/>
      <c r="J4073" s="669"/>
    </row>
    <row r="4074" ht="22.8" spans="1:11">
      <c r="B4074" s="736"/>
      <c r="C4074" s="736"/>
      <c r="D4074" s="664" t="s">
        <v>418</v>
      </c>
      <c r="E4074" s="664"/>
      <c r="F4074" s="664"/>
      <c r="G4074" s="664"/>
      <c r="H4074" s="736"/>
      <c r="I4074" s="669"/>
      <c r="J4074" s="669"/>
    </row>
    <row r="4075" ht="24.95" customHeight="1" spans="1:11">
      <c r="B4075" s="735"/>
      <c r="C4075" s="735"/>
      <c r="D4075" s="737" t="str">
        <f>"SESSION : "&amp;ENTRY!$D$11</f>
        <v>SESSION : 2026-27</v>
      </c>
      <c r="E4075" s="737"/>
      <c r="F4075" s="737"/>
      <c r="G4075" s="737"/>
      <c r="H4075" s="735"/>
      <c r="I4075" s="738"/>
      <c r="J4075" s="738"/>
    </row>
    <row r="4076" ht="3.75" customHeight="1" spans="1:11">
      <c r="A4076" s="672"/>
      <c r="B4076" s="739"/>
      <c r="C4076" s="739"/>
      <c r="D4076" s="739"/>
      <c r="E4076" s="739"/>
      <c r="F4076" s="739"/>
      <c r="G4076" s="739"/>
      <c r="H4076" s="739"/>
      <c r="I4076" s="739"/>
      <c r="J4076" s="739"/>
      <c r="K4076" s="674"/>
    </row>
    <row r="4077" ht="21.95" customHeight="1" spans="1:11">
      <c r="A4077" s="675"/>
      <c r="B4077" s="676" t="s">
        <v>419</v>
      </c>
      <c r="C4077" s="676"/>
      <c r="D4077" s="676" t="str">
        <f>ENTRY!$D$6</f>
        <v>MCP NITHARI NO 1 BOYS</v>
      </c>
      <c r="E4077" s="676"/>
      <c r="F4077" s="676"/>
      <c r="G4077" s="676"/>
      <c r="H4077" s="676"/>
      <c r="I4077" s="676"/>
      <c r="J4077" s="676"/>
      <c r="K4077" s="677"/>
    </row>
    <row r="4078" ht="21.95" customHeight="1" spans="1:11">
      <c r="A4078" s="675"/>
      <c r="B4078" s="676" t="s">
        <v>420</v>
      </c>
      <c r="C4078" s="676"/>
      <c r="D4078" s="740">
        <f>IFERROR(VLOOKUP($I$4081,STUDENT!$A$2:$BP$101,5,0),"")</f>
        <v>0</v>
      </c>
      <c r="E4078" s="740"/>
      <c r="F4078" s="740"/>
      <c r="G4078" s="740"/>
      <c r="H4078" s="740"/>
      <c r="I4078" s="740"/>
      <c r="J4078" s="740"/>
      <c r="K4078" s="677"/>
    </row>
    <row r="4079" ht="21.95" customHeight="1" spans="1:11">
      <c r="A4079" s="675"/>
      <c r="B4079" s="676" t="s">
        <v>421</v>
      </c>
      <c r="C4079" s="676"/>
      <c r="D4079" s="740">
        <f>IFERROR(VLOOKUP($I$4081,STUDENT!$A$2:$BP$101,8,0),"")</f>
        <v>0</v>
      </c>
      <c r="E4079" s="740"/>
      <c r="F4079" s="740"/>
      <c r="G4079" s="740"/>
      <c r="H4079" s="740"/>
      <c r="I4079" s="740"/>
      <c r="J4079" s="740"/>
      <c r="K4079" s="677"/>
    </row>
    <row r="4080" ht="21.95" customHeight="1" spans="1:11">
      <c r="A4080" s="675"/>
      <c r="B4080" s="676" t="s">
        <v>422</v>
      </c>
      <c r="C4080" s="676"/>
      <c r="D4080" s="740">
        <f>IFERROR(VLOOKUP($I$4081,STUDENT!$A$2:$BP$101,6,0),"")</f>
        <v>0</v>
      </c>
      <c r="E4080" s="740"/>
      <c r="F4080" s="740"/>
      <c r="G4080" s="740"/>
      <c r="H4080" s="740"/>
      <c r="I4080" s="740"/>
      <c r="J4080" s="740"/>
      <c r="K4080" s="677"/>
    </row>
    <row r="4081" ht="21.95" customHeight="1" spans="1:11">
      <c r="A4081" s="675"/>
      <c r="B4081" s="676" t="s">
        <v>423</v>
      </c>
      <c r="C4081" s="676"/>
      <c r="D4081" s="741" t="str">
        <f>IFERROR(VLOOKUP($I$4081,STUDENT!$A$2:$BP$101,59,0),"")</f>
        <v/>
      </c>
      <c r="E4081" s="742" t="s">
        <v>424</v>
      </c>
      <c r="F4081" s="704" t="str">
        <f>IFERROR(VLOOKUP($I$4081,STUDENT!$A$2:$BP$101,2,0),"")</f>
        <v>III-A</v>
      </c>
      <c r="G4081" s="742" t="s">
        <v>425</v>
      </c>
      <c r="H4081" s="743"/>
      <c r="I4081" s="733">
        <f>I4026+1</f>
        <v>75</v>
      </c>
      <c r="J4081" s="683"/>
      <c r="K4081" s="677"/>
    </row>
    <row r="4082" ht="5.1" customHeight="1" spans="1:11">
      <c r="A4082" s="675"/>
      <c r="B4082" s="745"/>
      <c r="C4082" s="745"/>
      <c r="D4082" s="746"/>
      <c r="E4082" s="747"/>
      <c r="F4082" s="748"/>
      <c r="G4082" s="747"/>
      <c r="H4082" s="686"/>
      <c r="I4082" s="686"/>
      <c r="J4082" s="686"/>
      <c r="K4082" s="677"/>
    </row>
    <row r="4083" s="664" customFormat="1" ht="32.1" customHeight="1" spans="1:11">
      <c r="A4083" s="688"/>
      <c r="B4083" s="749" t="s">
        <v>426</v>
      </c>
      <c r="C4083" s="750"/>
      <c r="D4083" s="750"/>
      <c r="E4083" s="750"/>
      <c r="F4083" s="750"/>
      <c r="G4083" s="750"/>
      <c r="H4083" s="750"/>
      <c r="I4083" s="750"/>
      <c r="J4083" s="751"/>
      <c r="K4083" s="690"/>
    </row>
    <row r="4084" ht="51.6" spans="1:11">
      <c r="A4084" s="675"/>
      <c r="B4084" s="752">
        <v>21</v>
      </c>
      <c r="C4084" s="753" t="s">
        <v>427</v>
      </c>
      <c r="D4084" s="754" t="s">
        <v>428</v>
      </c>
      <c r="E4084" s="754" t="s">
        <v>429</v>
      </c>
      <c r="F4084" s="754" t="s">
        <v>430</v>
      </c>
      <c r="G4084" s="753" t="s">
        <v>390</v>
      </c>
      <c r="H4084" s="714"/>
      <c r="I4084" s="714"/>
      <c r="J4084" s="714"/>
      <c r="K4084" s="677"/>
    </row>
    <row r="4085" ht="20.1" customHeight="1" spans="1:11">
      <c r="A4085" s="675"/>
      <c r="B4085" s="755">
        <v>1</v>
      </c>
      <c r="C4085" s="755" t="str">
        <f>IFERROR(VLOOKUP(B4085,DATEWISE!$A$3:$BY$27,2,0),0)</f>
        <v>30.04.2026</v>
      </c>
      <c r="D4085" s="755">
        <f>IF($C$4085=0,NA(),VLOOKUP($I$4081&amp;$B$4085,FLNFIX!$L$4:$EF$103,2,0))</f>
        <v>0</v>
      </c>
      <c r="E4085" s="755">
        <f>IF($C$4085=0,NA(),VLOOKUP($I$4081&amp;$B$4085,FLNFIX!$L$4:$EF$103,4,0))</f>
        <v>0</v>
      </c>
      <c r="F4085" s="755">
        <f>IF($C$4085=0,NA(),VLOOKUP($I$4081&amp;$B$4085,FLNFIX!$L$4:$EF$103,3,0))</f>
        <v>0</v>
      </c>
      <c r="G4085" s="756">
        <f>IF($C$4085=0,NA(),VLOOKUP($I$4081&amp;$B$4085,FLNFIX!$L$4:$EF$103,5,0))</f>
        <v>0</v>
      </c>
      <c r="H4085" s="757"/>
      <c r="I4085" s="757"/>
      <c r="J4085" s="758"/>
      <c r="K4085" s="677"/>
    </row>
    <row r="4086" ht="20.1" customHeight="1" spans="1:11">
      <c r="A4086" s="675"/>
      <c r="B4086" s="755">
        <f t="shared" ref="B4086:B4105" si="74">IF(B4085=0,0,IF(B4085&lt;$B$4084,B4085+1,""))</f>
        <v>2</v>
      </c>
      <c r="C4086" s="755" t="str">
        <f>IFERROR(VLOOKUP(B4086,DATEWISE!$A$3:$BY$27,2,0),0)</f>
        <v>08.05.2026</v>
      </c>
      <c r="D4086" s="755">
        <f>IF($C$4086=0,NA(),VLOOKUP($I$4081&amp;$B$4086,FLNFIX!$Q$4:$EF$103,2,0))</f>
        <v>0</v>
      </c>
      <c r="E4086" s="755">
        <f>IF($C$4086=0,NA(),VLOOKUP($I$4081&amp;$B$4086,FLNFIX!$Q$4:$EF$103,4,0))</f>
        <v>0</v>
      </c>
      <c r="F4086" s="755">
        <f>IF($C$4086=0,NA(),VLOOKUP($I$4081&amp;$B$4086,FLNFIX!$Q$4:$EF$103,3,0))</f>
        <v>0</v>
      </c>
      <c r="G4086" s="756">
        <f>IF($C$4086=0,NA(),VLOOKUP($I$4081&amp;$B$4086,FLNFIX!$Q$4:$EF$103,5,0))</f>
        <v>0</v>
      </c>
      <c r="H4086" s="757"/>
      <c r="I4086" s="757"/>
      <c r="J4086" s="758"/>
      <c r="K4086" s="677"/>
    </row>
    <row r="4087" ht="20.1" customHeight="1" spans="1:11">
      <c r="A4087" s="675"/>
      <c r="B4087" s="755">
        <f t="shared" si="74"/>
        <v>3</v>
      </c>
      <c r="C4087" s="755" t="str">
        <f>IFERROR(VLOOKUP(B4087,DATEWISE!$A$3:$BY$27,2,0),0)</f>
        <v>15.07.2026</v>
      </c>
      <c r="D4087" s="755">
        <f>IF($C$4087=0,NA(),VLOOKUP($I$4081&amp;$B$4087,FLNFIX!$V$4:$EF$103,2,0))</f>
        <v>0</v>
      </c>
      <c r="E4087" s="755">
        <f>IF($C$4087=0,NA(),VLOOKUP($I$4081&amp;$B$4087,FLNFIX!$V$4:$EF$103,4,0))</f>
        <v>0</v>
      </c>
      <c r="F4087" s="755">
        <f>IF($C$4087=0,NA(),VLOOKUP($I$4081&amp;$B$4087,FLNFIX!$V$4:$EF$103,3,0))</f>
        <v>0</v>
      </c>
      <c r="G4087" s="756">
        <f>IF($C$4087=0,NA(),VLOOKUP($I$4081&amp;$B$4087,FLNFIX!$V$4:$EF$103,5,0))</f>
        <v>0</v>
      </c>
      <c r="H4087" s="757"/>
      <c r="I4087" s="757"/>
      <c r="J4087" s="758"/>
      <c r="K4087" s="677"/>
    </row>
    <row r="4088" ht="20.1" customHeight="1" spans="1:11">
      <c r="A4088" s="675"/>
      <c r="B4088" s="755">
        <f t="shared" si="74"/>
        <v>4</v>
      </c>
      <c r="C4088" s="755" t="str">
        <f>IFERROR(VLOOKUP(B4088,DATEWISE!$A$3:$BY$27,2,0),0)</f>
        <v>31.07.2026</v>
      </c>
      <c r="D4088" s="755">
        <f>IF($C$4088=0,NA(),VLOOKUP($I$4081&amp;$B$4088,FLNFIX!$AA$4:$EF$103,2,0))</f>
        <v>0</v>
      </c>
      <c r="E4088" s="755">
        <f>IF($C$4088=0,NA(),VLOOKUP($I$4081&amp;$B$4088,FLNFIX!$AA$4:$EF$103,4,0))</f>
        <v>0</v>
      </c>
      <c r="F4088" s="755">
        <f>IF($C$4088=0,NA(),VLOOKUP($I$4081&amp;$B$4088,FLNFIX!$AA$4:$EF$103,3,0))</f>
        <v>0</v>
      </c>
      <c r="G4088" s="756">
        <f>IF($C$4088=0,NA(),VLOOKUP($I$4081&amp;$B$4088,FLNFIX!$AA$4:$EF$103,5,0))</f>
        <v>0</v>
      </c>
      <c r="H4088" s="757"/>
      <c r="I4088" s="757"/>
      <c r="J4088" s="758"/>
      <c r="K4088" s="677"/>
    </row>
    <row r="4089" ht="20.1" customHeight="1" spans="1:11">
      <c r="A4089" s="675"/>
      <c r="B4089" s="755">
        <f t="shared" si="74"/>
        <v>5</v>
      </c>
      <c r="C4089" s="755" t="str">
        <f>IFERROR(VLOOKUP(B4089,DATEWISE!$A$3:$BY$27,2,0),0)</f>
        <v>17.08.2026</v>
      </c>
      <c r="D4089" s="755">
        <f>IF($C$4089=0,NA(),VLOOKUP($I$4081&amp;$B$4089,FLNFIX!$AF$4:$EF$103,2,0))</f>
        <v>0</v>
      </c>
      <c r="E4089" s="755">
        <f>IF($C$4089=0,NA(),VLOOKUP($I$4081&amp;$B$4089,FLNFIX!$AF$4:$EF$103,4,0))</f>
        <v>0</v>
      </c>
      <c r="F4089" s="755">
        <f>IF($C$4089=0,NA(),VLOOKUP($I$4081&amp;$B$4089,FLNFIX!$AF$4:$EF$103,3,0))</f>
        <v>0</v>
      </c>
      <c r="G4089" s="756">
        <f>IF($C$4089=0,NA(),VLOOKUP($I$4081&amp;$B$4089,FLNFIX!$AF$4:$EF$103,5,0))</f>
        <v>0</v>
      </c>
      <c r="H4089" s="757"/>
      <c r="I4089" s="757"/>
      <c r="J4089" s="758"/>
      <c r="K4089" s="677"/>
    </row>
    <row r="4090" ht="20.1" customHeight="1" spans="1:11">
      <c r="A4090" s="675"/>
      <c r="B4090" s="755">
        <f t="shared" si="74"/>
        <v>6</v>
      </c>
      <c r="C4090" s="755" t="str">
        <f>IFERROR(VLOOKUP(B4090,DATEWISE!$A$3:$BY$27,2,0),0)</f>
        <v>31.08.2026</v>
      </c>
      <c r="D4090" s="755">
        <f>IF($C$4090=0,NA(),VLOOKUP($I$4081&amp;$B$4090,FLNFIX!$AK$4:$EF$103,2,0))</f>
        <v>0</v>
      </c>
      <c r="E4090" s="755">
        <f>IF($C$4090=0,NA(),VLOOKUP($I$4081&amp;$B$4090,FLNFIX!$AK$4:$EF$103,4,0))</f>
        <v>0</v>
      </c>
      <c r="F4090" s="755">
        <f>IF($C$4090=0,NA(),VLOOKUP($I$4081&amp;$B$4090,FLNFIX!$AK$4:$EF$103,3,0))</f>
        <v>0</v>
      </c>
      <c r="G4090" s="756">
        <f>IF($C$4090=0,NA(),VLOOKUP($I$4081&amp;$B$4090,FLNFIX!$AK$4:$EF$103,5,0))</f>
        <v>0</v>
      </c>
      <c r="H4090" s="757"/>
      <c r="I4090" s="757"/>
      <c r="J4090" s="758"/>
      <c r="K4090" s="677"/>
    </row>
    <row r="4091" ht="20.1" customHeight="1" spans="1:11">
      <c r="A4091" s="675"/>
      <c r="B4091" s="755">
        <f t="shared" si="74"/>
        <v>7</v>
      </c>
      <c r="C4091" s="755">
        <f>IFERROR(VLOOKUP(B4091,DATEWISE!$A$3:$BY$27,2,0),0)</f>
        <v>0</v>
      </c>
      <c r="D4091" s="755" t="e">
        <f>IF($C$4091=0,NA(),VLOOKUP($I$4081&amp;$B$4091,FLNFIX!$AP$4:$EF$103,2,0))</f>
        <v>#N/A</v>
      </c>
      <c r="E4091" s="755" t="e">
        <f>IF($C$4091=0,NA(),VLOOKUP($I$4081&amp;$B$4091,FLNFIX!$AP$4:$EF$103,4,0))</f>
        <v>#N/A</v>
      </c>
      <c r="F4091" s="755" t="e">
        <f>IF($C$4091=0,NA(),VLOOKUP($I$4081&amp;$B$4091,FLNFIX!$AP$4:$EF$103,3,0))</f>
        <v>#N/A</v>
      </c>
      <c r="G4091" s="756" t="e">
        <f>IF($C$4091=0,NA(),VLOOKUP($I$4081&amp;$B$4091,FLNFIX!$AP$4:$EF$103,5,0))</f>
        <v>#N/A</v>
      </c>
      <c r="H4091" s="757"/>
      <c r="I4091" s="757"/>
      <c r="J4091" s="758"/>
      <c r="K4091" s="677"/>
    </row>
    <row r="4092" ht="20.1" customHeight="1" spans="1:11">
      <c r="A4092" s="675"/>
      <c r="B4092" s="755">
        <f t="shared" si="74"/>
        <v>8</v>
      </c>
      <c r="C4092" s="755">
        <f>IFERROR(VLOOKUP(B4092,DATEWISE!$A$3:$BY$27,2,0),0)</f>
        <v>0</v>
      </c>
      <c r="D4092" s="755" t="e">
        <f>IF($C$4092=0,NA(),VLOOKUP($I$4081&amp;$B$4092,FLNFIX!$AU$4:$EF$103,2,0))</f>
        <v>#N/A</v>
      </c>
      <c r="E4092" s="755" t="e">
        <f>IF($C$4092=0,NA(),VLOOKUP($I$4081&amp;$B$4092,FLNFIX!$AU$4:$EF$103,4,0))</f>
        <v>#N/A</v>
      </c>
      <c r="F4092" s="755" t="e">
        <f>IF($C$4092=0,NA(),VLOOKUP($I$4081&amp;$B$4092,FLNFIX!$AU$4:$EF$103,3,0))</f>
        <v>#N/A</v>
      </c>
      <c r="G4092" s="756" t="e">
        <f>IF($C$4092=0,NA(),VLOOKUP($I$4081&amp;$B$4092,FLNFIX!$AU$4:$EF$103,5,0))</f>
        <v>#N/A</v>
      </c>
      <c r="H4092" s="757"/>
      <c r="I4092" s="757"/>
      <c r="J4092" s="758"/>
      <c r="K4092" s="677"/>
    </row>
    <row r="4093" ht="20.1" customHeight="1" spans="1:11">
      <c r="A4093" s="675"/>
      <c r="B4093" s="755">
        <f t="shared" si="74"/>
        <v>9</v>
      </c>
      <c r="C4093" s="755">
        <f>IFERROR(VLOOKUP(B4093,DATEWISE!$A$3:$BY$27,2,0),0)</f>
        <v>0</v>
      </c>
      <c r="D4093" s="755" t="e">
        <f>IF($C$4093=0,NA(),VLOOKUP($I$4081&amp;$B$4093,FLNFIX!$AZ$4:$EF$103,2,0))</f>
        <v>#N/A</v>
      </c>
      <c r="E4093" s="755" t="e">
        <f>IF($C$4093=0,NA(),VLOOKUP($I$4081&amp;$B$4093,FLNFIX!$AZ$4:$EF$103,4,0))</f>
        <v>#N/A</v>
      </c>
      <c r="F4093" s="755" t="e">
        <f>IF($C$4093=0,NA(),VLOOKUP($I$4081&amp;$B$4093,FLNFIX!$AZ$4:$EF$103,3,0))</f>
        <v>#N/A</v>
      </c>
      <c r="G4093" s="756" t="e">
        <f>IF($C$4093=0,NA(),VLOOKUP($I$4081&amp;$B$4093,FLNFIX!$AZ$4:$EF$103,5,0))</f>
        <v>#N/A</v>
      </c>
      <c r="H4093" s="757"/>
      <c r="I4093" s="757"/>
      <c r="J4093" s="758"/>
      <c r="K4093" s="677"/>
    </row>
    <row r="4094" ht="20.1" customHeight="1" spans="1:11">
      <c r="A4094" s="675"/>
      <c r="B4094" s="755">
        <f t="shared" si="74"/>
        <v>10</v>
      </c>
      <c r="C4094" s="755">
        <f>IFERROR(VLOOKUP(B4094,DATEWISE!$A$3:$BY$27,2,0),0)</f>
        <v>0</v>
      </c>
      <c r="D4094" s="755" t="e">
        <f>IF($C$4094=0,NA(),VLOOKUP($I$4081&amp;$B$4094,FLNFIX!$BE$4:$EF$103,2,0))</f>
        <v>#N/A</v>
      </c>
      <c r="E4094" s="755" t="e">
        <f>IF($C$4094=0,NA(),VLOOKUP($I$4081&amp;$B$4094,FLNFIX!$BE$4:$EF$103,4,0))</f>
        <v>#N/A</v>
      </c>
      <c r="F4094" s="755" t="e">
        <f>IF($C$4094=0,NA(),VLOOKUP($I$4081&amp;$B$4094,FLNFIX!$BE$4:$EF$103,3,0))</f>
        <v>#N/A</v>
      </c>
      <c r="G4094" s="756" t="e">
        <f>IF($C$4094=0,NA(),VLOOKUP($I$4081&amp;$B$4094,FLNFIX!$BE$4:$EF$103,5,0))</f>
        <v>#N/A</v>
      </c>
      <c r="H4094" s="757"/>
      <c r="I4094" s="757"/>
      <c r="J4094" s="758"/>
      <c r="K4094" s="677"/>
    </row>
    <row r="4095" ht="20.1" customHeight="1" spans="1:11">
      <c r="A4095" s="675"/>
      <c r="B4095" s="755">
        <f t="shared" si="74"/>
        <v>11</v>
      </c>
      <c r="C4095" s="755">
        <f>IFERROR(VLOOKUP(B4095,DATEWISE!$A$3:$BY$27,2,0),0)</f>
        <v>0</v>
      </c>
      <c r="D4095" s="755" t="e">
        <f>IF($C$4095=0,NA(),VLOOKUP($I$4081&amp;$B$4095,FLNFIX!$BJ$4:$EF$103,2,0))</f>
        <v>#N/A</v>
      </c>
      <c r="E4095" s="755" t="e">
        <f>IF($C$4095=0,NA(),VLOOKUP($I$4081&amp;$B$4095,FLNFIX!$BJ$4:$EF$103,4,0))</f>
        <v>#N/A</v>
      </c>
      <c r="F4095" s="755" t="e">
        <f>IF($C$4095=0,NA(),VLOOKUP($I$4081&amp;$B$4095,FLNFIX!$BJ$4:$EF$103,3,0))</f>
        <v>#N/A</v>
      </c>
      <c r="G4095" s="756" t="e">
        <f>IF($C$4095=0,NA(),VLOOKUP($I$4081&amp;$B$4095,FLNFIX!$BJ$4:$EF$103,5,0))</f>
        <v>#N/A</v>
      </c>
      <c r="H4095" s="757"/>
      <c r="I4095" s="757"/>
      <c r="J4095" s="758"/>
      <c r="K4095" s="677"/>
    </row>
    <row r="4096" ht="20.1" customHeight="1" spans="1:11">
      <c r="A4096" s="675"/>
      <c r="B4096" s="755">
        <f t="shared" si="74"/>
        <v>12</v>
      </c>
      <c r="C4096" s="755">
        <f>IFERROR(VLOOKUP(B4096,DATEWISE!$A$3:$BY$27,2,0),0)</f>
        <v>0</v>
      </c>
      <c r="D4096" s="755" t="e">
        <f>IF($C$4096=0,NA(),VLOOKUP($I$4081&amp;$B$4096,FLNFIX!$BO$4:$EF$103,2,0))</f>
        <v>#N/A</v>
      </c>
      <c r="E4096" s="755" t="e">
        <f>IF($C$4096=0,NA(),VLOOKUP($I$4081&amp;$B$4096,FLNFIX!$BO$4:$EF$103,4,0))</f>
        <v>#N/A</v>
      </c>
      <c r="F4096" s="755" t="e">
        <f>IF($C$4096=0,NA(),VLOOKUP($I$4081&amp;$B$4096,FLNFIX!$BO$4:$EF$103,3,0))</f>
        <v>#N/A</v>
      </c>
      <c r="G4096" s="756" t="e">
        <f>IF($C$4096=0,NA(),VLOOKUP($I$4081&amp;$B$4096,FLNFIX!$BO$4:$EF$103,5,0))</f>
        <v>#N/A</v>
      </c>
      <c r="H4096" s="757"/>
      <c r="I4096" s="757"/>
      <c r="J4096" s="758"/>
      <c r="K4096" s="677"/>
    </row>
    <row r="4097" ht="20.1" customHeight="1" spans="1:11">
      <c r="A4097" s="675"/>
      <c r="B4097" s="755">
        <f t="shared" si="74"/>
        <v>13</v>
      </c>
      <c r="C4097" s="755">
        <f>IFERROR(VLOOKUP(B4097,DATEWISE!$A$3:$BY$27,2,0),0)</f>
        <v>0</v>
      </c>
      <c r="D4097" s="755" t="e">
        <f>IF($C$4097=0,NA(),VLOOKUP($I$4081&amp;$B$4097,FLNFIX!$BT$4:$EF$103,2,0))</f>
        <v>#N/A</v>
      </c>
      <c r="E4097" s="755" t="e">
        <f>IF($C$4097=0,NA(),VLOOKUP($I$4081&amp;$B$4097,FLNFIX!$BT$4:$EF$103,4,0))</f>
        <v>#N/A</v>
      </c>
      <c r="F4097" s="755" t="e">
        <f>IF($C$4097=0,NA(),VLOOKUP($I$4081&amp;$B$4097,FLNFIX!$BT$4:$EF$103,3,0))</f>
        <v>#N/A</v>
      </c>
      <c r="G4097" s="756" t="e">
        <f>IF($C$4097=0,NA(),VLOOKUP($I$4081&amp;$B$4097,FLNFIX!$BT$4:$EF$103,5,0))</f>
        <v>#N/A</v>
      </c>
      <c r="H4097" s="757"/>
      <c r="I4097" s="757"/>
      <c r="J4097" s="758"/>
      <c r="K4097" s="677"/>
    </row>
    <row r="4098" ht="20.1" customHeight="1" spans="1:11">
      <c r="A4098" s="675"/>
      <c r="B4098" s="755">
        <f t="shared" si="74"/>
        <v>14</v>
      </c>
      <c r="C4098" s="755">
        <f>IFERROR(VLOOKUP(B4098,DATEWISE!$A$3:$BY$27,2,0),0)</f>
        <v>0</v>
      </c>
      <c r="D4098" s="755" t="e">
        <f>IF($C$4098=0,NA(),VLOOKUP($I$4081&amp;$B$4098,FLNFIX!$BY$4:$EF$103,2,0))</f>
        <v>#N/A</v>
      </c>
      <c r="E4098" s="755" t="e">
        <f>IF($C$4098=0,NA(),VLOOKUP($I$4081&amp;$B$4098,FLNFIX!$BY$4:$EF$103,4,0))</f>
        <v>#N/A</v>
      </c>
      <c r="F4098" s="755" t="e">
        <f>IF($C$4098=0,NA(),VLOOKUP($I$4081&amp;$B$4098,FLNFIX!$BY$4:$EF$103,3,0))</f>
        <v>#N/A</v>
      </c>
      <c r="G4098" s="756" t="e">
        <f>IF($C$4098=0,NA(),VLOOKUP($I$4081&amp;$B$4098,FLNFIX!$BY$4:$EF$103,5,0))</f>
        <v>#N/A</v>
      </c>
      <c r="H4098" s="757"/>
      <c r="I4098" s="757"/>
      <c r="J4098" s="758"/>
      <c r="K4098" s="677"/>
    </row>
    <row r="4099" ht="20.1" customHeight="1" spans="1:11">
      <c r="A4099" s="675"/>
      <c r="B4099" s="755">
        <f t="shared" si="74"/>
        <v>15</v>
      </c>
      <c r="C4099" s="755">
        <f>IFERROR(VLOOKUP(B4099,DATEWISE!$A$3:$BY$27,2,0),0)</f>
        <v>0</v>
      </c>
      <c r="D4099" s="755" t="e">
        <f>IF($C$4099=0,NA(),VLOOKUP($I$4081&amp;$B$4099,FLNFIX!$CD$4:$EF$103,2,0))</f>
        <v>#N/A</v>
      </c>
      <c r="E4099" s="755" t="e">
        <f>IF($C$4099=0,NA(),VLOOKUP($I$4081&amp;$B$4099,FLNFIX!$CD$4:$EF$103,4,0))</f>
        <v>#N/A</v>
      </c>
      <c r="F4099" s="755" t="e">
        <f>IF($C$4099=0,NA(),VLOOKUP($I$4081&amp;$B$4099,FLNFIX!$CD$4:$EF$103,3,0))</f>
        <v>#N/A</v>
      </c>
      <c r="G4099" s="756" t="e">
        <f>IF($C$4099=0,NA(),VLOOKUP($I$4081&amp;$B$4099,FLNFIX!$CD$4:$EF$103,5,0))</f>
        <v>#N/A</v>
      </c>
      <c r="H4099" s="757"/>
      <c r="I4099" s="757"/>
      <c r="J4099" s="758"/>
      <c r="K4099" s="677"/>
    </row>
    <row r="4100" ht="20.1" customHeight="1" spans="1:11">
      <c r="A4100" s="675"/>
      <c r="B4100" s="755">
        <f t="shared" si="74"/>
        <v>16</v>
      </c>
      <c r="C4100" s="755">
        <f>IFERROR(VLOOKUP(B4100,DATEWISE!$A$3:$BY$27,2,0),0)</f>
        <v>0</v>
      </c>
      <c r="D4100" s="755" t="e">
        <f>IF($C$4100=0,NA(),VLOOKUP($I$4081&amp;$B$4100,FLNFIX!$CI$4:$EF$103,2,0))</f>
        <v>#N/A</v>
      </c>
      <c r="E4100" s="755" t="e">
        <f>IF($C$4100=0,NA(),VLOOKUP($I$4081&amp;$B$4100,FLNFIX!$CI$4:$EF$103,4,0))</f>
        <v>#N/A</v>
      </c>
      <c r="F4100" s="755" t="e">
        <f>IF($C$4100=0,NA(),VLOOKUP($I$4081&amp;$B$4100,FLNFIX!$CI$4:$EF$103,3,0))</f>
        <v>#N/A</v>
      </c>
      <c r="G4100" s="756" t="e">
        <f>IF($C$4100=0,NA(),VLOOKUP($I$4081&amp;$B$4100,FLNFIX!$CI$4:$EF$103,5,0))</f>
        <v>#N/A</v>
      </c>
      <c r="H4100" s="757"/>
      <c r="I4100" s="757"/>
      <c r="J4100" s="758"/>
      <c r="K4100" s="677"/>
    </row>
    <row r="4101" ht="20.1" customHeight="1" spans="1:11">
      <c r="A4101" s="675"/>
      <c r="B4101" s="755">
        <f t="shared" si="74"/>
        <v>17</v>
      </c>
      <c r="C4101" s="755">
        <f>IFERROR(VLOOKUP(B4101,DATEWISE!$A$3:$BY$27,2,0),0)</f>
        <v>0</v>
      </c>
      <c r="D4101" s="755" t="e">
        <f>IF($C$4101=0,NA(),VLOOKUP($I$4081&amp;$B$4101,FLNFIX!$CN$4:$EF$103,2,0))</f>
        <v>#N/A</v>
      </c>
      <c r="E4101" s="755" t="e">
        <f>IF($C$4101=0,NA(),VLOOKUP($I$4081&amp;$B$4101,FLNFIX!$CN$4:$EF$103,4,0))</f>
        <v>#N/A</v>
      </c>
      <c r="F4101" s="755" t="e">
        <f>IF($C$4101=0,NA(),VLOOKUP($I$4081&amp;$B$4101,FLNFIX!$CN$4:$EF$103,3,0))</f>
        <v>#N/A</v>
      </c>
      <c r="G4101" s="756" t="e">
        <f>IF($C$4101=0,NA(),VLOOKUP($I$4081&amp;$B$4101,FLNFIX!$CN$4:$EF$103,5,0))</f>
        <v>#N/A</v>
      </c>
      <c r="H4101" s="757"/>
      <c r="I4101" s="757"/>
      <c r="J4101" s="758"/>
      <c r="K4101" s="677"/>
    </row>
    <row r="4102" ht="20.1" customHeight="1" spans="1:11">
      <c r="A4102" s="675"/>
      <c r="B4102" s="755">
        <f t="shared" si="74"/>
        <v>18</v>
      </c>
      <c r="C4102" s="755">
        <f>IFERROR(VLOOKUP(B4102,DATEWISE!$A$3:$BY$27,2,0),0)</f>
        <v>0</v>
      </c>
      <c r="D4102" s="755" t="e">
        <f>IF($C$4102=0,NA(),VLOOKUP($I$4081&amp;$B$4102,FLNFIX!$CS$4:$EF$103,2,0))</f>
        <v>#N/A</v>
      </c>
      <c r="E4102" s="755" t="e">
        <f>IF($C$4102=0,NA(),VLOOKUP($I$4081&amp;$B$4102,FLNFIX!$CS$4:$EF$103,4,0))</f>
        <v>#N/A</v>
      </c>
      <c r="F4102" s="755" t="e">
        <f>IF($C$4102=0,NA(),VLOOKUP($I$4081&amp;$B$4102,FLNFIX!$CS$4:$EF$103,3,0))</f>
        <v>#N/A</v>
      </c>
      <c r="G4102" s="756" t="e">
        <f>IF($C$4102=0,NA(),VLOOKUP($I$4081&amp;$B$4102,FLNFIX!$CS$4:$EF$103,5,0))</f>
        <v>#N/A</v>
      </c>
      <c r="H4102" s="757"/>
      <c r="I4102" s="757"/>
      <c r="J4102" s="758"/>
      <c r="K4102" s="677"/>
    </row>
    <row r="4103" ht="20.1" customHeight="1" spans="1:11">
      <c r="A4103" s="675"/>
      <c r="B4103" s="755">
        <f t="shared" si="74"/>
        <v>19</v>
      </c>
      <c r="C4103" s="755">
        <f>IFERROR(VLOOKUP(B4103,DATEWISE!$A$3:$BY$27,2,0),0)</f>
        <v>0</v>
      </c>
      <c r="D4103" s="755" t="e">
        <f>IF($C$4103=0,NA(),VLOOKUP($I$4081&amp;$B$4103,FLNFIX!$CX$4:$EF$103,2,0))</f>
        <v>#N/A</v>
      </c>
      <c r="E4103" s="755" t="e">
        <f>IF($C$4103=0,NA(),VLOOKUP($I$4081&amp;$B$4103,FLNFIX!$CX$4:$EF$103,4,0))</f>
        <v>#N/A</v>
      </c>
      <c r="F4103" s="755" t="e">
        <f>IF($C$4103=0,NA(),VLOOKUP($I$4081&amp;$B$4103,FLNFIX!$CX$4:$EF$103,3,0))</f>
        <v>#N/A</v>
      </c>
      <c r="G4103" s="756" t="e">
        <f>IF($C$4103=0,NA(),VLOOKUP($I$4081&amp;$B$4103,FLNFIX!$CX$4:$EF$103,5,0))</f>
        <v>#N/A</v>
      </c>
      <c r="H4103" s="757"/>
      <c r="I4103" s="757"/>
      <c r="J4103" s="758"/>
      <c r="K4103" s="677"/>
    </row>
    <row r="4104" ht="20.1" customHeight="1" spans="1:11">
      <c r="A4104" s="675"/>
      <c r="B4104" s="755">
        <f t="shared" si="74"/>
        <v>20</v>
      </c>
      <c r="C4104" s="755">
        <f>IFERROR(VLOOKUP(B4104,DATEWISE!$A$3:$BY$27,2,0),0)</f>
        <v>0</v>
      </c>
      <c r="D4104" s="755" t="e">
        <f>IF($C$4104=0,NA(),VLOOKUP($I$4081&amp;$B$4104,FLNFIX!$DC$4:$EF$103,2,0))</f>
        <v>#N/A</v>
      </c>
      <c r="E4104" s="755" t="e">
        <f>IF($C$4104=0,NA(),VLOOKUP($I$4081&amp;$B$4104,FLNFIX!$DC$4:$EF$103,4,0))</f>
        <v>#N/A</v>
      </c>
      <c r="F4104" s="755" t="e">
        <f>IF($C$4104=0,NA(),VLOOKUP($I$4081&amp;$B$4104,FLNFIX!$DC$4:$EF$103,3,0))</f>
        <v>#N/A</v>
      </c>
      <c r="G4104" s="756" t="e">
        <f>IF($C$4104=0,NA(),VLOOKUP($I$4081&amp;$B$4104,FLNFIX!$DC$4:$EF$103,5,0))</f>
        <v>#N/A</v>
      </c>
      <c r="H4104" s="757"/>
      <c r="I4104" s="757"/>
      <c r="J4104" s="758"/>
      <c r="K4104" s="677"/>
    </row>
    <row r="4105" ht="20.1" customHeight="1" spans="1:11">
      <c r="A4105" s="675"/>
      <c r="B4105" s="755">
        <f t="shared" si="74"/>
        <v>21</v>
      </c>
      <c r="C4105" s="755">
        <f>IFERROR(VLOOKUP(B4105,DATEWISE!$A$3:$BY$27,2,0),0)</f>
        <v>0</v>
      </c>
      <c r="D4105" s="755" t="e">
        <f>IF($C$4105=0,NA(),VLOOKUP($I$4081&amp;$B$4105,FLNFIX!$DH$4:$EF$103,2,0))</f>
        <v>#N/A</v>
      </c>
      <c r="E4105" s="755" t="e">
        <f>IF($C$4105=0,NA(),VLOOKUP($I$4081&amp;$B$4105,FLNFIX!$DH$4:$EF$103,4,0))</f>
        <v>#N/A</v>
      </c>
      <c r="F4105" s="755" t="e">
        <f>IF($C$4105=0,NA(),VLOOKUP($I$4081&amp;$B$4105,FLNFIX!$DH$4:$EF$103,3,0))</f>
        <v>#N/A</v>
      </c>
      <c r="G4105" s="756" t="e">
        <f>IF($C$4105=0,NA(),VLOOKUP($I$4081&amp;$B$4105,FLNFIX!$DH$4:$EF$103,5,0))</f>
        <v>#N/A</v>
      </c>
      <c r="H4105" s="757"/>
      <c r="I4105" s="757"/>
      <c r="J4105" s="758"/>
      <c r="K4105" s="677"/>
    </row>
    <row r="4106" ht="5.1" customHeight="1" spans="1:11">
      <c r="A4106" s="675"/>
      <c r="B4106" s="759"/>
      <c r="C4106" s="759"/>
      <c r="D4106" s="760"/>
      <c r="E4106" s="760"/>
      <c r="F4106" s="760"/>
      <c r="G4106" s="761"/>
      <c r="H4106" s="761"/>
      <c r="I4106" s="761"/>
      <c r="J4106" s="761"/>
      <c r="K4106" s="677"/>
    </row>
    <row r="4107" s="667" customFormat="1" ht="24.95" customHeight="1" spans="1:11">
      <c r="A4107" s="711"/>
      <c r="B4107" s="762" t="s">
        <v>431</v>
      </c>
      <c r="C4107" s="763"/>
      <c r="D4107" s="763"/>
      <c r="E4107" s="763"/>
      <c r="F4107" s="763"/>
      <c r="G4107" s="763"/>
      <c r="H4107" s="763"/>
      <c r="I4107" s="763"/>
      <c r="J4107" s="764"/>
      <c r="K4107" s="713"/>
    </row>
    <row r="4108" spans="1:11">
      <c r="A4108" s="675"/>
      <c r="B4108" s="765"/>
      <c r="C4108" s="686"/>
      <c r="D4108" s="686"/>
      <c r="E4108" s="686"/>
      <c r="F4108" s="686"/>
      <c r="G4108" s="686"/>
      <c r="H4108" s="686"/>
      <c r="I4108" s="686"/>
      <c r="J4108" s="766"/>
      <c r="K4108" s="677"/>
    </row>
    <row r="4109" spans="1:11">
      <c r="A4109" s="675"/>
      <c r="B4109" s="765"/>
      <c r="C4109" s="686"/>
      <c r="D4109" s="686"/>
      <c r="E4109" s="686"/>
      <c r="F4109" s="686"/>
      <c r="G4109" s="686"/>
      <c r="H4109" s="686"/>
      <c r="I4109" s="686"/>
      <c r="J4109" s="766"/>
      <c r="K4109" s="677"/>
    </row>
    <row r="4110" spans="1:11">
      <c r="A4110" s="675"/>
      <c r="B4110" s="765"/>
      <c r="C4110" s="686"/>
      <c r="D4110" s="686"/>
      <c r="E4110" s="686"/>
      <c r="F4110" s="686"/>
      <c r="G4110" s="686"/>
      <c r="H4110" s="686"/>
      <c r="I4110" s="686"/>
      <c r="J4110" s="766"/>
      <c r="K4110" s="677"/>
    </row>
    <row r="4111" spans="1:11">
      <c r="A4111" s="675"/>
      <c r="B4111" s="765"/>
      <c r="C4111" s="686"/>
      <c r="D4111" s="686"/>
      <c r="E4111" s="686"/>
      <c r="F4111" s="686"/>
      <c r="G4111" s="686"/>
      <c r="H4111" s="686"/>
      <c r="I4111" s="686"/>
      <c r="J4111" s="766"/>
      <c r="K4111" s="677"/>
    </row>
    <row r="4112" spans="1:11">
      <c r="A4112" s="675"/>
      <c r="B4112" s="765"/>
      <c r="C4112" s="686"/>
      <c r="D4112" s="686"/>
      <c r="E4112" s="686"/>
      <c r="F4112" s="686"/>
      <c r="G4112" s="686"/>
      <c r="H4112" s="686"/>
      <c r="I4112" s="686"/>
      <c r="J4112" s="766"/>
      <c r="K4112" s="677"/>
    </row>
    <row r="4113" spans="1:11">
      <c r="A4113" s="675"/>
      <c r="B4113" s="765"/>
      <c r="C4113" s="686"/>
      <c r="D4113" s="686"/>
      <c r="E4113" s="686"/>
      <c r="F4113" s="686"/>
      <c r="G4113" s="686"/>
      <c r="H4113" s="686"/>
      <c r="I4113" s="686"/>
      <c r="J4113" s="766"/>
      <c r="K4113" s="677"/>
    </row>
    <row r="4114" spans="1:11">
      <c r="A4114" s="675"/>
      <c r="B4114" s="765"/>
      <c r="C4114" s="686"/>
      <c r="D4114" s="686"/>
      <c r="E4114" s="686"/>
      <c r="F4114" s="686"/>
      <c r="G4114" s="686"/>
      <c r="H4114" s="686"/>
      <c r="I4114" s="686"/>
      <c r="J4114" s="766"/>
      <c r="K4114" s="677"/>
    </row>
    <row r="4115" spans="1:11">
      <c r="A4115" s="675"/>
      <c r="B4115" s="765"/>
      <c r="C4115" s="686"/>
      <c r="D4115" s="686"/>
      <c r="E4115" s="686"/>
      <c r="F4115" s="686"/>
      <c r="G4115" s="686"/>
      <c r="H4115" s="686"/>
      <c r="I4115" s="686"/>
      <c r="J4115" s="766"/>
      <c r="K4115" s="677"/>
    </row>
    <row r="4116" spans="1:11">
      <c r="A4116" s="675"/>
      <c r="B4116" s="765"/>
      <c r="C4116" s="686"/>
      <c r="D4116" s="686"/>
      <c r="E4116" s="686"/>
      <c r="F4116" s="686"/>
      <c r="G4116" s="686"/>
      <c r="H4116" s="686"/>
      <c r="I4116" s="686"/>
      <c r="J4116" s="766"/>
      <c r="K4116" s="677"/>
    </row>
    <row r="4117" spans="1:11">
      <c r="A4117" s="675"/>
      <c r="B4117" s="767"/>
      <c r="C4117" s="768"/>
      <c r="D4117" s="768"/>
      <c r="E4117" s="768"/>
      <c r="F4117" s="768"/>
      <c r="G4117" s="768"/>
      <c r="H4117" s="768"/>
      <c r="I4117" s="768"/>
      <c r="J4117" s="769"/>
      <c r="K4117" s="677"/>
    </row>
    <row r="4118" ht="5.1" customHeight="1" spans="1:11">
      <c r="A4118" s="675"/>
      <c r="B4118" s="686"/>
      <c r="C4118" s="686"/>
      <c r="D4118" s="686"/>
      <c r="E4118" s="686"/>
      <c r="F4118" s="686"/>
      <c r="G4118" s="686"/>
      <c r="H4118" s="686"/>
      <c r="I4118" s="686"/>
      <c r="J4118" s="686"/>
      <c r="K4118" s="677"/>
    </row>
    <row r="4119" spans="1:11">
      <c r="A4119" s="675"/>
      <c r="B4119" s="770" t="s">
        <v>432</v>
      </c>
      <c r="C4119" s="770"/>
      <c r="D4119" s="770"/>
      <c r="E4119" s="770"/>
      <c r="F4119" s="770"/>
      <c r="G4119" s="770"/>
      <c r="H4119" s="770"/>
      <c r="I4119" s="770"/>
      <c r="J4119" s="770"/>
      <c r="K4119" s="677"/>
    </row>
    <row r="4120" spans="1:11">
      <c r="A4120" s="675"/>
      <c r="B4120" s="771"/>
      <c r="C4120" s="771"/>
      <c r="D4120" s="771"/>
      <c r="E4120" s="771"/>
      <c r="F4120" s="771"/>
      <c r="G4120" s="771"/>
      <c r="H4120" s="771"/>
      <c r="I4120" s="771"/>
      <c r="J4120" s="771"/>
      <c r="K4120" s="677"/>
    </row>
    <row r="4121" spans="1:11">
      <c r="A4121" s="675"/>
      <c r="B4121" s="771"/>
      <c r="C4121" s="771"/>
      <c r="D4121" s="771"/>
      <c r="E4121" s="771"/>
      <c r="F4121" s="771"/>
      <c r="G4121" s="771"/>
      <c r="H4121" s="771"/>
      <c r="I4121" s="771"/>
      <c r="J4121" s="771"/>
      <c r="K4121" s="677"/>
    </row>
    <row r="4122" spans="1:11">
      <c r="A4122" s="675"/>
      <c r="B4122" s="771"/>
      <c r="C4122" s="771"/>
      <c r="D4122" s="771"/>
      <c r="E4122" s="771"/>
      <c r="F4122" s="771"/>
      <c r="G4122" s="771"/>
      <c r="H4122" s="771"/>
      <c r="I4122" s="771"/>
      <c r="J4122" s="771"/>
      <c r="K4122" s="677"/>
    </row>
    <row r="4123" spans="1:11">
      <c r="A4123" s="675"/>
      <c r="B4123" s="686"/>
      <c r="C4123" s="686"/>
      <c r="D4123" s="686"/>
      <c r="E4123" s="686"/>
      <c r="F4123" s="686"/>
      <c r="G4123" s="686"/>
      <c r="H4123" s="686"/>
      <c r="I4123" s="686"/>
      <c r="J4123" s="686"/>
      <c r="K4123" s="677"/>
    </row>
    <row r="4124" spans="1:11">
      <c r="A4124" s="675"/>
      <c r="B4124" s="686"/>
      <c r="C4124" s="729" t="s">
        <v>433</v>
      </c>
      <c r="D4124" s="729"/>
      <c r="E4124" s="686"/>
      <c r="F4124" s="686"/>
      <c r="G4124" s="729" t="s">
        <v>434</v>
      </c>
      <c r="H4124" s="729"/>
      <c r="I4124" s="729"/>
      <c r="J4124" s="729"/>
      <c r="K4124" s="677"/>
    </row>
    <row r="4125" ht="16.35" spans="1:11">
      <c r="A4125" s="725"/>
      <c r="B4125" s="726"/>
      <c r="C4125" s="732" t="str">
        <f>"("&amp;PROPER(ENTRY!$D$19)&amp;")"</f>
        <v>(Indrajeet)</v>
      </c>
      <c r="D4125" s="732"/>
      <c r="E4125" s="726"/>
      <c r="F4125" s="726"/>
      <c r="G4125" s="732" t="str">
        <f>"("&amp;PROPER(ENTRY!$D$12)&amp;")"</f>
        <v>(Shambhu Dayal Meena)</v>
      </c>
      <c r="H4125" s="732"/>
      <c r="I4125" s="732"/>
      <c r="J4125" s="732"/>
      <c r="K4125" s="728"/>
    </row>
  </sheetData>
  <sheetProtection password="BF6F" sheet="1" formatCells="0" formatColumns="0" formatRows="0" objects="1" scenarios="1"/>
  <mergeCells count="3300">
    <mergeCell ref="D1:G1"/>
    <mergeCell ref="D2:G2"/>
    <mergeCell ref="D3:G3"/>
    <mergeCell ref="D4:G4"/>
    <mergeCell ref="D5:G5"/>
    <mergeCell ref="B7:C7"/>
    <mergeCell ref="D7:J7"/>
    <mergeCell ref="B8:C8"/>
    <mergeCell ref="D8:J8"/>
    <mergeCell ref="B9:C9"/>
    <mergeCell ref="D9:J9"/>
    <mergeCell ref="B10:C10"/>
    <mergeCell ref="D10:J10"/>
    <mergeCell ref="B11:C11"/>
    <mergeCell ref="B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B37:J37"/>
    <mergeCell ref="B49:J49"/>
    <mergeCell ref="C54:D54"/>
    <mergeCell ref="G54:J54"/>
    <mergeCell ref="C55:D55"/>
    <mergeCell ref="G55:J55"/>
    <mergeCell ref="D56:G56"/>
    <mergeCell ref="D57:G57"/>
    <mergeCell ref="D58:G58"/>
    <mergeCell ref="D59:G59"/>
    <mergeCell ref="D60:G60"/>
    <mergeCell ref="B62:C62"/>
    <mergeCell ref="D62:J62"/>
    <mergeCell ref="B63:C63"/>
    <mergeCell ref="D63:J63"/>
    <mergeCell ref="B64:C64"/>
    <mergeCell ref="D64:J64"/>
    <mergeCell ref="B65:C65"/>
    <mergeCell ref="D65:J65"/>
    <mergeCell ref="B66:C66"/>
    <mergeCell ref="B68:J68"/>
    <mergeCell ref="G69:J69"/>
    <mergeCell ref="G70:J70"/>
    <mergeCell ref="G71:J71"/>
    <mergeCell ref="G72:J72"/>
    <mergeCell ref="G73:J73"/>
    <mergeCell ref="G74:J74"/>
    <mergeCell ref="G75:J75"/>
    <mergeCell ref="G76:J76"/>
    <mergeCell ref="G77:J77"/>
    <mergeCell ref="G78:J78"/>
    <mergeCell ref="G79:J79"/>
    <mergeCell ref="G80:J80"/>
    <mergeCell ref="G81:J81"/>
    <mergeCell ref="G82:J82"/>
    <mergeCell ref="G83:J83"/>
    <mergeCell ref="G84:J84"/>
    <mergeCell ref="G85:J85"/>
    <mergeCell ref="G86:J86"/>
    <mergeCell ref="G87:J87"/>
    <mergeCell ref="G88:J88"/>
    <mergeCell ref="G89:J89"/>
    <mergeCell ref="G90:J90"/>
    <mergeCell ref="B92:J92"/>
    <mergeCell ref="B104:J104"/>
    <mergeCell ref="C109:D109"/>
    <mergeCell ref="G109:J109"/>
    <mergeCell ref="C110:D110"/>
    <mergeCell ref="G110:J110"/>
    <mergeCell ref="D111:G111"/>
    <mergeCell ref="D112:G112"/>
    <mergeCell ref="D113:G113"/>
    <mergeCell ref="D114:G114"/>
    <mergeCell ref="D115:G115"/>
    <mergeCell ref="B117:C117"/>
    <mergeCell ref="D117:J117"/>
    <mergeCell ref="B118:C118"/>
    <mergeCell ref="D118:J118"/>
    <mergeCell ref="B119:C119"/>
    <mergeCell ref="D119:J119"/>
    <mergeCell ref="B120:C120"/>
    <mergeCell ref="D120:J120"/>
    <mergeCell ref="B121:C121"/>
    <mergeCell ref="B123:J123"/>
    <mergeCell ref="G124:J124"/>
    <mergeCell ref="G125:J125"/>
    <mergeCell ref="G126:J126"/>
    <mergeCell ref="G127:J127"/>
    <mergeCell ref="G128:J128"/>
    <mergeCell ref="G129:J129"/>
    <mergeCell ref="G130:J130"/>
    <mergeCell ref="G131:J131"/>
    <mergeCell ref="G132:J132"/>
    <mergeCell ref="G133:J133"/>
    <mergeCell ref="G134:J134"/>
    <mergeCell ref="G135:J135"/>
    <mergeCell ref="G136:J136"/>
    <mergeCell ref="G137:J137"/>
    <mergeCell ref="G138:J138"/>
    <mergeCell ref="G139:J139"/>
    <mergeCell ref="G140:J140"/>
    <mergeCell ref="G141:J141"/>
    <mergeCell ref="G142:J142"/>
    <mergeCell ref="G143:J143"/>
    <mergeCell ref="G144:J144"/>
    <mergeCell ref="G145:J145"/>
    <mergeCell ref="B147:J147"/>
    <mergeCell ref="B159:J159"/>
    <mergeCell ref="C164:D164"/>
    <mergeCell ref="G164:J164"/>
    <mergeCell ref="C165:D165"/>
    <mergeCell ref="G165:J165"/>
    <mergeCell ref="D166:G166"/>
    <mergeCell ref="D167:G167"/>
    <mergeCell ref="D168:G168"/>
    <mergeCell ref="D169:G169"/>
    <mergeCell ref="D170:G170"/>
    <mergeCell ref="B172:C172"/>
    <mergeCell ref="D172:J172"/>
    <mergeCell ref="B173:C173"/>
    <mergeCell ref="D173:J173"/>
    <mergeCell ref="B174:C174"/>
    <mergeCell ref="D174:J174"/>
    <mergeCell ref="B175:C175"/>
    <mergeCell ref="D175:J175"/>
    <mergeCell ref="B176:C176"/>
    <mergeCell ref="B178:J178"/>
    <mergeCell ref="G179:J179"/>
    <mergeCell ref="G180:J180"/>
    <mergeCell ref="G181:J181"/>
    <mergeCell ref="G182:J182"/>
    <mergeCell ref="G183:J183"/>
    <mergeCell ref="G184:J184"/>
    <mergeCell ref="G185:J185"/>
    <mergeCell ref="G186:J186"/>
    <mergeCell ref="G187:J187"/>
    <mergeCell ref="G188:J188"/>
    <mergeCell ref="G189:J189"/>
    <mergeCell ref="G190:J190"/>
    <mergeCell ref="G191:J191"/>
    <mergeCell ref="G192:J192"/>
    <mergeCell ref="G193:J193"/>
    <mergeCell ref="G194:J194"/>
    <mergeCell ref="G195:J195"/>
    <mergeCell ref="G196:J196"/>
    <mergeCell ref="G197:J197"/>
    <mergeCell ref="G198:J198"/>
    <mergeCell ref="G199:J199"/>
    <mergeCell ref="G200:J200"/>
    <mergeCell ref="B202:J202"/>
    <mergeCell ref="B214:J214"/>
    <mergeCell ref="C219:D219"/>
    <mergeCell ref="G219:J219"/>
    <mergeCell ref="C220:D220"/>
    <mergeCell ref="G220:J220"/>
    <mergeCell ref="D221:G221"/>
    <mergeCell ref="D222:G222"/>
    <mergeCell ref="D223:G223"/>
    <mergeCell ref="D224:G224"/>
    <mergeCell ref="D225:G225"/>
    <mergeCell ref="B227:C227"/>
    <mergeCell ref="D227:J227"/>
    <mergeCell ref="B228:C228"/>
    <mergeCell ref="D228:J228"/>
    <mergeCell ref="B229:C229"/>
    <mergeCell ref="D229:J229"/>
    <mergeCell ref="B230:C230"/>
    <mergeCell ref="D230:J230"/>
    <mergeCell ref="B231:C231"/>
    <mergeCell ref="B233:J233"/>
    <mergeCell ref="G234:J234"/>
    <mergeCell ref="G235:J235"/>
    <mergeCell ref="G236:J236"/>
    <mergeCell ref="G237:J237"/>
    <mergeCell ref="G238:J238"/>
    <mergeCell ref="G239:J239"/>
    <mergeCell ref="G240:J240"/>
    <mergeCell ref="G241:J241"/>
    <mergeCell ref="G242:J242"/>
    <mergeCell ref="G243:J243"/>
    <mergeCell ref="G244:J244"/>
    <mergeCell ref="G245:J245"/>
    <mergeCell ref="G246:J246"/>
    <mergeCell ref="G247:J247"/>
    <mergeCell ref="G248:J248"/>
    <mergeCell ref="G249:J249"/>
    <mergeCell ref="G250:J250"/>
    <mergeCell ref="G251:J251"/>
    <mergeCell ref="G252:J252"/>
    <mergeCell ref="G253:J253"/>
    <mergeCell ref="G254:J254"/>
    <mergeCell ref="G255:J255"/>
    <mergeCell ref="B257:J257"/>
    <mergeCell ref="B269:J269"/>
    <mergeCell ref="C274:D274"/>
    <mergeCell ref="G274:J274"/>
    <mergeCell ref="C275:D275"/>
    <mergeCell ref="G275:J275"/>
    <mergeCell ref="D276:G276"/>
    <mergeCell ref="D277:G277"/>
    <mergeCell ref="D278:G278"/>
    <mergeCell ref="D279:G279"/>
    <mergeCell ref="D280:G280"/>
    <mergeCell ref="B282:C282"/>
    <mergeCell ref="D282:J282"/>
    <mergeCell ref="B283:C283"/>
    <mergeCell ref="D283:J283"/>
    <mergeCell ref="B284:C284"/>
    <mergeCell ref="D284:J284"/>
    <mergeCell ref="B285:C285"/>
    <mergeCell ref="D285:J285"/>
    <mergeCell ref="B286:C286"/>
    <mergeCell ref="B288:J288"/>
    <mergeCell ref="G289:J289"/>
    <mergeCell ref="G290:J290"/>
    <mergeCell ref="G291:J291"/>
    <mergeCell ref="G292:J292"/>
    <mergeCell ref="G293:J293"/>
    <mergeCell ref="G294:J294"/>
    <mergeCell ref="G295:J295"/>
    <mergeCell ref="G296:J296"/>
    <mergeCell ref="G297:J297"/>
    <mergeCell ref="G298:J298"/>
    <mergeCell ref="G299:J299"/>
    <mergeCell ref="G300:J300"/>
    <mergeCell ref="G301:J301"/>
    <mergeCell ref="G302:J302"/>
    <mergeCell ref="G303:J303"/>
    <mergeCell ref="G304:J304"/>
    <mergeCell ref="G305:J305"/>
    <mergeCell ref="G306:J306"/>
    <mergeCell ref="G307:J307"/>
    <mergeCell ref="G308:J308"/>
    <mergeCell ref="G309:J309"/>
    <mergeCell ref="G310:J310"/>
    <mergeCell ref="B312:J312"/>
    <mergeCell ref="B324:J324"/>
    <mergeCell ref="C329:D329"/>
    <mergeCell ref="G329:J329"/>
    <mergeCell ref="C330:D330"/>
    <mergeCell ref="G330:J330"/>
    <mergeCell ref="D331:G331"/>
    <mergeCell ref="D332:G332"/>
    <mergeCell ref="D333:G333"/>
    <mergeCell ref="D334:G334"/>
    <mergeCell ref="D335:G335"/>
    <mergeCell ref="B337:C337"/>
    <mergeCell ref="D337:J337"/>
    <mergeCell ref="B338:C338"/>
    <mergeCell ref="D338:J338"/>
    <mergeCell ref="B339:C339"/>
    <mergeCell ref="D339:J339"/>
    <mergeCell ref="B340:C340"/>
    <mergeCell ref="D340:J340"/>
    <mergeCell ref="B341:C341"/>
    <mergeCell ref="B343:J343"/>
    <mergeCell ref="G344:J344"/>
    <mergeCell ref="G345:J345"/>
    <mergeCell ref="G346:J346"/>
    <mergeCell ref="G347:J347"/>
    <mergeCell ref="G348:J348"/>
    <mergeCell ref="G349:J349"/>
    <mergeCell ref="G350:J350"/>
    <mergeCell ref="G351:J351"/>
    <mergeCell ref="G352:J352"/>
    <mergeCell ref="G353:J353"/>
    <mergeCell ref="G354:J354"/>
    <mergeCell ref="G355:J355"/>
    <mergeCell ref="G356:J356"/>
    <mergeCell ref="G357:J357"/>
    <mergeCell ref="G358:J358"/>
    <mergeCell ref="G359:J359"/>
    <mergeCell ref="G360:J360"/>
    <mergeCell ref="G361:J361"/>
    <mergeCell ref="G362:J362"/>
    <mergeCell ref="G363:J363"/>
    <mergeCell ref="G364:J364"/>
    <mergeCell ref="G365:J365"/>
    <mergeCell ref="B367:J367"/>
    <mergeCell ref="B379:J379"/>
    <mergeCell ref="C384:D384"/>
    <mergeCell ref="G384:J384"/>
    <mergeCell ref="C385:D385"/>
    <mergeCell ref="G385:J385"/>
    <mergeCell ref="D386:G386"/>
    <mergeCell ref="D387:G387"/>
    <mergeCell ref="D388:G388"/>
    <mergeCell ref="D389:G389"/>
    <mergeCell ref="D390:G390"/>
    <mergeCell ref="B392:C392"/>
    <mergeCell ref="D392:J392"/>
    <mergeCell ref="B393:C393"/>
    <mergeCell ref="D393:J393"/>
    <mergeCell ref="B394:C394"/>
    <mergeCell ref="D394:J394"/>
    <mergeCell ref="B395:C395"/>
    <mergeCell ref="D395:J395"/>
    <mergeCell ref="B396:C396"/>
    <mergeCell ref="B398:J398"/>
    <mergeCell ref="G399:J399"/>
    <mergeCell ref="G400:J400"/>
    <mergeCell ref="G401:J401"/>
    <mergeCell ref="G402:J402"/>
    <mergeCell ref="G403:J403"/>
    <mergeCell ref="G404:J404"/>
    <mergeCell ref="G405:J405"/>
    <mergeCell ref="G406:J406"/>
    <mergeCell ref="G407:J407"/>
    <mergeCell ref="G408:J408"/>
    <mergeCell ref="G409:J409"/>
    <mergeCell ref="G410:J410"/>
    <mergeCell ref="G411:J411"/>
    <mergeCell ref="G412:J412"/>
    <mergeCell ref="G413:J413"/>
    <mergeCell ref="G414:J414"/>
    <mergeCell ref="G415:J415"/>
    <mergeCell ref="G416:J416"/>
    <mergeCell ref="G417:J417"/>
    <mergeCell ref="G418:J418"/>
    <mergeCell ref="G419:J419"/>
    <mergeCell ref="G420:J420"/>
    <mergeCell ref="B422:J422"/>
    <mergeCell ref="B434:J434"/>
    <mergeCell ref="C439:D439"/>
    <mergeCell ref="G439:J439"/>
    <mergeCell ref="C440:D440"/>
    <mergeCell ref="G440:J440"/>
    <mergeCell ref="D441:G441"/>
    <mergeCell ref="D442:G442"/>
    <mergeCell ref="D443:G443"/>
    <mergeCell ref="D444:G444"/>
    <mergeCell ref="D445:G445"/>
    <mergeCell ref="B447:C447"/>
    <mergeCell ref="D447:J447"/>
    <mergeCell ref="B448:C448"/>
    <mergeCell ref="D448:J448"/>
    <mergeCell ref="B449:C449"/>
    <mergeCell ref="D449:J449"/>
    <mergeCell ref="B450:C450"/>
    <mergeCell ref="D450:J450"/>
    <mergeCell ref="B451:C451"/>
    <mergeCell ref="B453:J453"/>
    <mergeCell ref="G454:J454"/>
    <mergeCell ref="G455:J455"/>
    <mergeCell ref="G456:J456"/>
    <mergeCell ref="G457:J457"/>
    <mergeCell ref="G458:J458"/>
    <mergeCell ref="G459:J459"/>
    <mergeCell ref="G460:J460"/>
    <mergeCell ref="G461:J461"/>
    <mergeCell ref="G462:J462"/>
    <mergeCell ref="G463:J463"/>
    <mergeCell ref="G464:J464"/>
    <mergeCell ref="G465:J465"/>
    <mergeCell ref="G466:J466"/>
    <mergeCell ref="G467:J467"/>
    <mergeCell ref="G468:J468"/>
    <mergeCell ref="G469:J469"/>
    <mergeCell ref="G470:J470"/>
    <mergeCell ref="G471:J471"/>
    <mergeCell ref="G472:J472"/>
    <mergeCell ref="G473:J473"/>
    <mergeCell ref="G474:J474"/>
    <mergeCell ref="G475:J475"/>
    <mergeCell ref="B477:J477"/>
    <mergeCell ref="B489:J489"/>
    <mergeCell ref="C494:D494"/>
    <mergeCell ref="G494:J494"/>
    <mergeCell ref="C495:D495"/>
    <mergeCell ref="G495:J495"/>
    <mergeCell ref="D496:G496"/>
    <mergeCell ref="D497:G497"/>
    <mergeCell ref="D498:G498"/>
    <mergeCell ref="D499:G499"/>
    <mergeCell ref="D500:G500"/>
    <mergeCell ref="B502:C502"/>
    <mergeCell ref="D502:J502"/>
    <mergeCell ref="B503:C503"/>
    <mergeCell ref="D503:J503"/>
    <mergeCell ref="B504:C504"/>
    <mergeCell ref="D504:J504"/>
    <mergeCell ref="B505:C505"/>
    <mergeCell ref="D505:J505"/>
    <mergeCell ref="B506:C506"/>
    <mergeCell ref="B508:J508"/>
    <mergeCell ref="G509:J509"/>
    <mergeCell ref="G510:J510"/>
    <mergeCell ref="G511:J511"/>
    <mergeCell ref="G512:J512"/>
    <mergeCell ref="G513:J513"/>
    <mergeCell ref="G514:J514"/>
    <mergeCell ref="G515:J515"/>
    <mergeCell ref="G516:J516"/>
    <mergeCell ref="G517:J517"/>
    <mergeCell ref="G518:J518"/>
    <mergeCell ref="G519:J519"/>
    <mergeCell ref="G520:J520"/>
    <mergeCell ref="G521:J521"/>
    <mergeCell ref="G522:J522"/>
    <mergeCell ref="G523:J523"/>
    <mergeCell ref="G524:J524"/>
    <mergeCell ref="G525:J525"/>
    <mergeCell ref="G526:J526"/>
    <mergeCell ref="G527:J527"/>
    <mergeCell ref="G528:J528"/>
    <mergeCell ref="G529:J529"/>
    <mergeCell ref="G530:J530"/>
    <mergeCell ref="B532:J532"/>
    <mergeCell ref="B544:J544"/>
    <mergeCell ref="C549:D549"/>
    <mergeCell ref="G549:J549"/>
    <mergeCell ref="C550:D550"/>
    <mergeCell ref="G550:J550"/>
    <mergeCell ref="D551:G551"/>
    <mergeCell ref="D552:G552"/>
    <mergeCell ref="D553:G553"/>
    <mergeCell ref="D554:G554"/>
    <mergeCell ref="D555:G555"/>
    <mergeCell ref="B557:C557"/>
    <mergeCell ref="D557:J557"/>
    <mergeCell ref="B558:C558"/>
    <mergeCell ref="D558:J558"/>
    <mergeCell ref="B559:C559"/>
    <mergeCell ref="D559:J559"/>
    <mergeCell ref="B560:C560"/>
    <mergeCell ref="D560:J560"/>
    <mergeCell ref="B561:C561"/>
    <mergeCell ref="B563:J563"/>
    <mergeCell ref="G564:J564"/>
    <mergeCell ref="G565:J565"/>
    <mergeCell ref="G566:J566"/>
    <mergeCell ref="G567:J567"/>
    <mergeCell ref="G568:J568"/>
    <mergeCell ref="G569:J569"/>
    <mergeCell ref="G570:J570"/>
    <mergeCell ref="G571:J571"/>
    <mergeCell ref="G572:J572"/>
    <mergeCell ref="G573:J573"/>
    <mergeCell ref="G574:J574"/>
    <mergeCell ref="G575:J575"/>
    <mergeCell ref="G576:J576"/>
    <mergeCell ref="G577:J577"/>
    <mergeCell ref="G578:J578"/>
    <mergeCell ref="G579:J579"/>
    <mergeCell ref="G580:J580"/>
    <mergeCell ref="G581:J581"/>
    <mergeCell ref="G582:J582"/>
    <mergeCell ref="G583:J583"/>
    <mergeCell ref="G584:J584"/>
    <mergeCell ref="G585:J585"/>
    <mergeCell ref="B587:J587"/>
    <mergeCell ref="B599:J599"/>
    <mergeCell ref="C604:D604"/>
    <mergeCell ref="G604:J604"/>
    <mergeCell ref="C605:D605"/>
    <mergeCell ref="G605:J605"/>
    <mergeCell ref="D606:G606"/>
    <mergeCell ref="D607:G607"/>
    <mergeCell ref="D608:G608"/>
    <mergeCell ref="D609:G609"/>
    <mergeCell ref="D610:G610"/>
    <mergeCell ref="B612:C612"/>
    <mergeCell ref="D612:J612"/>
    <mergeCell ref="B613:C613"/>
    <mergeCell ref="D613:J613"/>
    <mergeCell ref="B614:C614"/>
    <mergeCell ref="D614:J614"/>
    <mergeCell ref="B615:C615"/>
    <mergeCell ref="D615:J615"/>
    <mergeCell ref="B616:C616"/>
    <mergeCell ref="B618:J618"/>
    <mergeCell ref="G619:J619"/>
    <mergeCell ref="G620:J620"/>
    <mergeCell ref="G621:J621"/>
    <mergeCell ref="G622:J622"/>
    <mergeCell ref="G623:J623"/>
    <mergeCell ref="G624:J624"/>
    <mergeCell ref="G625:J625"/>
    <mergeCell ref="G626:J626"/>
    <mergeCell ref="G627:J627"/>
    <mergeCell ref="G628:J628"/>
    <mergeCell ref="G629:J629"/>
    <mergeCell ref="G630:J630"/>
    <mergeCell ref="G631:J631"/>
    <mergeCell ref="G632:J632"/>
    <mergeCell ref="G633:J633"/>
    <mergeCell ref="G634:J634"/>
    <mergeCell ref="G635:J635"/>
    <mergeCell ref="G636:J636"/>
    <mergeCell ref="G637:J637"/>
    <mergeCell ref="G638:J638"/>
    <mergeCell ref="G639:J639"/>
    <mergeCell ref="G640:J640"/>
    <mergeCell ref="B642:J642"/>
    <mergeCell ref="B654:J654"/>
    <mergeCell ref="C659:D659"/>
    <mergeCell ref="G659:J659"/>
    <mergeCell ref="C660:D660"/>
    <mergeCell ref="G660:J660"/>
    <mergeCell ref="D661:G661"/>
    <mergeCell ref="D662:G662"/>
    <mergeCell ref="D663:G663"/>
    <mergeCell ref="D664:G664"/>
    <mergeCell ref="D665:G665"/>
    <mergeCell ref="B667:C667"/>
    <mergeCell ref="D667:J667"/>
    <mergeCell ref="B668:C668"/>
    <mergeCell ref="D668:J668"/>
    <mergeCell ref="B669:C669"/>
    <mergeCell ref="D669:J669"/>
    <mergeCell ref="B670:C670"/>
    <mergeCell ref="D670:J670"/>
    <mergeCell ref="B671:C671"/>
    <mergeCell ref="B673:J673"/>
    <mergeCell ref="G674:J674"/>
    <mergeCell ref="G675:J675"/>
    <mergeCell ref="G676:J676"/>
    <mergeCell ref="G677:J677"/>
    <mergeCell ref="G678:J678"/>
    <mergeCell ref="G679:J679"/>
    <mergeCell ref="G680:J680"/>
    <mergeCell ref="G681:J681"/>
    <mergeCell ref="G682:J682"/>
    <mergeCell ref="G683:J683"/>
    <mergeCell ref="G684:J684"/>
    <mergeCell ref="G685:J685"/>
    <mergeCell ref="G686:J686"/>
    <mergeCell ref="G687:J687"/>
    <mergeCell ref="G688:J688"/>
    <mergeCell ref="G689:J689"/>
    <mergeCell ref="G690:J690"/>
    <mergeCell ref="G691:J691"/>
    <mergeCell ref="G692:J692"/>
    <mergeCell ref="G693:J693"/>
    <mergeCell ref="G694:J694"/>
    <mergeCell ref="G695:J695"/>
    <mergeCell ref="B697:J697"/>
    <mergeCell ref="B709:J709"/>
    <mergeCell ref="C714:D714"/>
    <mergeCell ref="G714:J714"/>
    <mergeCell ref="C715:D715"/>
    <mergeCell ref="G715:J715"/>
    <mergeCell ref="D716:G716"/>
    <mergeCell ref="D717:G717"/>
    <mergeCell ref="D718:G718"/>
    <mergeCell ref="D719:G719"/>
    <mergeCell ref="D720:G720"/>
    <mergeCell ref="B722:C722"/>
    <mergeCell ref="D722:J722"/>
    <mergeCell ref="B723:C723"/>
    <mergeCell ref="D723:J723"/>
    <mergeCell ref="B724:C724"/>
    <mergeCell ref="D724:J724"/>
    <mergeCell ref="B725:C725"/>
    <mergeCell ref="D725:J725"/>
    <mergeCell ref="B726:C726"/>
    <mergeCell ref="B728:J728"/>
    <mergeCell ref="G729:J729"/>
    <mergeCell ref="G730:J730"/>
    <mergeCell ref="G731:J731"/>
    <mergeCell ref="G732:J732"/>
    <mergeCell ref="G733:J733"/>
    <mergeCell ref="G734:J734"/>
    <mergeCell ref="G735:J735"/>
    <mergeCell ref="G736:J736"/>
    <mergeCell ref="G737:J737"/>
    <mergeCell ref="G738:J738"/>
    <mergeCell ref="G739:J739"/>
    <mergeCell ref="G740:J740"/>
    <mergeCell ref="G741:J741"/>
    <mergeCell ref="G742:J742"/>
    <mergeCell ref="G743:J743"/>
    <mergeCell ref="G744:J744"/>
    <mergeCell ref="G745:J745"/>
    <mergeCell ref="G746:J746"/>
    <mergeCell ref="G747:J747"/>
    <mergeCell ref="G748:J748"/>
    <mergeCell ref="G749:J749"/>
    <mergeCell ref="G750:J750"/>
    <mergeCell ref="B752:J752"/>
    <mergeCell ref="B764:J764"/>
    <mergeCell ref="C769:D769"/>
    <mergeCell ref="G769:J769"/>
    <mergeCell ref="C770:D770"/>
    <mergeCell ref="G770:J770"/>
    <mergeCell ref="D771:G771"/>
    <mergeCell ref="D772:G772"/>
    <mergeCell ref="D773:G773"/>
    <mergeCell ref="D774:G774"/>
    <mergeCell ref="D775:G775"/>
    <mergeCell ref="B777:C777"/>
    <mergeCell ref="D777:J777"/>
    <mergeCell ref="B778:C778"/>
    <mergeCell ref="D778:J778"/>
    <mergeCell ref="B779:C779"/>
    <mergeCell ref="D779:J779"/>
    <mergeCell ref="B780:C780"/>
    <mergeCell ref="D780:J780"/>
    <mergeCell ref="B781:C781"/>
    <mergeCell ref="B783:J783"/>
    <mergeCell ref="G784:J784"/>
    <mergeCell ref="G785:J785"/>
    <mergeCell ref="G786:J786"/>
    <mergeCell ref="G787:J787"/>
    <mergeCell ref="G788:J788"/>
    <mergeCell ref="G789:J789"/>
    <mergeCell ref="G790:J790"/>
    <mergeCell ref="G791:J791"/>
    <mergeCell ref="G792:J792"/>
    <mergeCell ref="G793:J793"/>
    <mergeCell ref="G794:J794"/>
    <mergeCell ref="G795:J795"/>
    <mergeCell ref="G796:J796"/>
    <mergeCell ref="G797:J797"/>
    <mergeCell ref="G798:J798"/>
    <mergeCell ref="G799:J799"/>
    <mergeCell ref="G800:J800"/>
    <mergeCell ref="G801:J801"/>
    <mergeCell ref="G802:J802"/>
    <mergeCell ref="G803:J803"/>
    <mergeCell ref="G804:J804"/>
    <mergeCell ref="G805:J805"/>
    <mergeCell ref="B807:J807"/>
    <mergeCell ref="B819:J819"/>
    <mergeCell ref="C824:D824"/>
    <mergeCell ref="G824:J824"/>
    <mergeCell ref="C825:D825"/>
    <mergeCell ref="G825:J825"/>
    <mergeCell ref="D826:G826"/>
    <mergeCell ref="D827:G827"/>
    <mergeCell ref="D828:G828"/>
    <mergeCell ref="D829:G829"/>
    <mergeCell ref="D830:G830"/>
    <mergeCell ref="B832:C832"/>
    <mergeCell ref="D832:J832"/>
    <mergeCell ref="B833:C833"/>
    <mergeCell ref="D833:J833"/>
    <mergeCell ref="B834:C834"/>
    <mergeCell ref="D834:J834"/>
    <mergeCell ref="B835:C835"/>
    <mergeCell ref="D835:J835"/>
    <mergeCell ref="B836:C836"/>
    <mergeCell ref="B838:J838"/>
    <mergeCell ref="G839:J839"/>
    <mergeCell ref="G840:J840"/>
    <mergeCell ref="G841:J841"/>
    <mergeCell ref="G842:J842"/>
    <mergeCell ref="G843:J843"/>
    <mergeCell ref="G844:J844"/>
    <mergeCell ref="G845:J845"/>
    <mergeCell ref="G846:J846"/>
    <mergeCell ref="G847:J847"/>
    <mergeCell ref="G848:J848"/>
    <mergeCell ref="G849:J849"/>
    <mergeCell ref="G850:J850"/>
    <mergeCell ref="G851:J851"/>
    <mergeCell ref="G852:J852"/>
    <mergeCell ref="G853:J853"/>
    <mergeCell ref="G854:J854"/>
    <mergeCell ref="G855:J855"/>
    <mergeCell ref="G856:J856"/>
    <mergeCell ref="G857:J857"/>
    <mergeCell ref="G858:J858"/>
    <mergeCell ref="G859:J859"/>
    <mergeCell ref="G860:J860"/>
    <mergeCell ref="B862:J862"/>
    <mergeCell ref="B874:J874"/>
    <mergeCell ref="C879:D879"/>
    <mergeCell ref="G879:J879"/>
    <mergeCell ref="C880:D880"/>
    <mergeCell ref="G880:J880"/>
    <mergeCell ref="D881:G881"/>
    <mergeCell ref="D882:G882"/>
    <mergeCell ref="D883:G883"/>
    <mergeCell ref="D884:G884"/>
    <mergeCell ref="D885:G885"/>
    <mergeCell ref="B887:C887"/>
    <mergeCell ref="D887:J887"/>
    <mergeCell ref="B888:C888"/>
    <mergeCell ref="D888:J888"/>
    <mergeCell ref="B889:C889"/>
    <mergeCell ref="D889:J889"/>
    <mergeCell ref="B890:C890"/>
    <mergeCell ref="D890:J890"/>
    <mergeCell ref="B891:C891"/>
    <mergeCell ref="B893:J893"/>
    <mergeCell ref="G894:J894"/>
    <mergeCell ref="G895:J895"/>
    <mergeCell ref="G896:J896"/>
    <mergeCell ref="G897:J897"/>
    <mergeCell ref="G898:J898"/>
    <mergeCell ref="G899:J899"/>
    <mergeCell ref="G900:J900"/>
    <mergeCell ref="G901:J901"/>
    <mergeCell ref="G902:J902"/>
    <mergeCell ref="G903:J903"/>
    <mergeCell ref="G904:J904"/>
    <mergeCell ref="G905:J905"/>
    <mergeCell ref="G906:J906"/>
    <mergeCell ref="G907:J907"/>
    <mergeCell ref="G908:J908"/>
    <mergeCell ref="G909:J909"/>
    <mergeCell ref="G910:J910"/>
    <mergeCell ref="G911:J911"/>
    <mergeCell ref="G912:J912"/>
    <mergeCell ref="G913:J913"/>
    <mergeCell ref="G914:J914"/>
    <mergeCell ref="G915:J915"/>
    <mergeCell ref="B917:J917"/>
    <mergeCell ref="B929:J929"/>
    <mergeCell ref="C934:D934"/>
    <mergeCell ref="G934:J934"/>
    <mergeCell ref="C935:D935"/>
    <mergeCell ref="G935:J935"/>
    <mergeCell ref="D936:G936"/>
    <mergeCell ref="D937:G937"/>
    <mergeCell ref="D938:G938"/>
    <mergeCell ref="D939:G939"/>
    <mergeCell ref="D940:G940"/>
    <mergeCell ref="B942:C942"/>
    <mergeCell ref="D942:J942"/>
    <mergeCell ref="B943:C943"/>
    <mergeCell ref="D943:J943"/>
    <mergeCell ref="B944:C944"/>
    <mergeCell ref="D944:J944"/>
    <mergeCell ref="B945:C945"/>
    <mergeCell ref="D945:J945"/>
    <mergeCell ref="B946:C946"/>
    <mergeCell ref="B948:J948"/>
    <mergeCell ref="G949:J949"/>
    <mergeCell ref="G950:J950"/>
    <mergeCell ref="G951:J951"/>
    <mergeCell ref="G952:J952"/>
    <mergeCell ref="G953:J953"/>
    <mergeCell ref="G954:J954"/>
    <mergeCell ref="G955:J955"/>
    <mergeCell ref="G956:J956"/>
    <mergeCell ref="G957:J957"/>
    <mergeCell ref="G958:J958"/>
    <mergeCell ref="G959:J959"/>
    <mergeCell ref="G960:J960"/>
    <mergeCell ref="G961:J961"/>
    <mergeCell ref="G962:J962"/>
    <mergeCell ref="G963:J963"/>
    <mergeCell ref="G964:J964"/>
    <mergeCell ref="G965:J965"/>
    <mergeCell ref="G966:J966"/>
    <mergeCell ref="G967:J967"/>
    <mergeCell ref="G968:J968"/>
    <mergeCell ref="G969:J969"/>
    <mergeCell ref="G970:J970"/>
    <mergeCell ref="B972:J972"/>
    <mergeCell ref="B984:J984"/>
    <mergeCell ref="C989:D989"/>
    <mergeCell ref="G989:J989"/>
    <mergeCell ref="C990:D990"/>
    <mergeCell ref="G990:J990"/>
    <mergeCell ref="D991:G991"/>
    <mergeCell ref="D992:G992"/>
    <mergeCell ref="D993:G993"/>
    <mergeCell ref="D994:G994"/>
    <mergeCell ref="D995:G995"/>
    <mergeCell ref="B997:C997"/>
    <mergeCell ref="D997:J997"/>
    <mergeCell ref="B998:C998"/>
    <mergeCell ref="D998:J998"/>
    <mergeCell ref="B999:C999"/>
    <mergeCell ref="D999:J999"/>
    <mergeCell ref="B1000:C1000"/>
    <mergeCell ref="D1000:J1000"/>
    <mergeCell ref="B1001:C1001"/>
    <mergeCell ref="B1003:J1003"/>
    <mergeCell ref="G1004:J1004"/>
    <mergeCell ref="G1005:J1005"/>
    <mergeCell ref="G1006:J1006"/>
    <mergeCell ref="G1007:J1007"/>
    <mergeCell ref="G1008:J1008"/>
    <mergeCell ref="G1009:J1009"/>
    <mergeCell ref="G1010:J1010"/>
    <mergeCell ref="G1011:J1011"/>
    <mergeCell ref="G1012:J1012"/>
    <mergeCell ref="G1013:J1013"/>
    <mergeCell ref="G1014:J1014"/>
    <mergeCell ref="G1015:J1015"/>
    <mergeCell ref="G1016:J1016"/>
    <mergeCell ref="G1017:J1017"/>
    <mergeCell ref="G1018:J1018"/>
    <mergeCell ref="G1019:J1019"/>
    <mergeCell ref="G1020:J1020"/>
    <mergeCell ref="G1021:J1021"/>
    <mergeCell ref="G1022:J1022"/>
    <mergeCell ref="G1023:J1023"/>
    <mergeCell ref="G1024:J1024"/>
    <mergeCell ref="G1025:J1025"/>
    <mergeCell ref="B1027:J1027"/>
    <mergeCell ref="B1039:J1039"/>
    <mergeCell ref="C1044:D1044"/>
    <mergeCell ref="G1044:J1044"/>
    <mergeCell ref="C1045:D1045"/>
    <mergeCell ref="G1045:J1045"/>
    <mergeCell ref="D1046:G1046"/>
    <mergeCell ref="D1047:G1047"/>
    <mergeCell ref="D1048:G1048"/>
    <mergeCell ref="D1049:G1049"/>
    <mergeCell ref="D1050:G1050"/>
    <mergeCell ref="B1052:C1052"/>
    <mergeCell ref="D1052:J1052"/>
    <mergeCell ref="B1053:C1053"/>
    <mergeCell ref="D1053:J1053"/>
    <mergeCell ref="B1054:C1054"/>
    <mergeCell ref="D1054:J1054"/>
    <mergeCell ref="B1055:C1055"/>
    <mergeCell ref="D1055:J1055"/>
    <mergeCell ref="B1056:C1056"/>
    <mergeCell ref="B1058:J1058"/>
    <mergeCell ref="G1059:J1059"/>
    <mergeCell ref="G1060:J1060"/>
    <mergeCell ref="G1061:J1061"/>
    <mergeCell ref="G1062:J1062"/>
    <mergeCell ref="G1063:J1063"/>
    <mergeCell ref="G1064:J1064"/>
    <mergeCell ref="G1065:J1065"/>
    <mergeCell ref="G1066:J1066"/>
    <mergeCell ref="G1067:J1067"/>
    <mergeCell ref="G1068:J1068"/>
    <mergeCell ref="G1069:J1069"/>
    <mergeCell ref="G1070:J1070"/>
    <mergeCell ref="G1071:J1071"/>
    <mergeCell ref="G1072:J1072"/>
    <mergeCell ref="G1073:J1073"/>
    <mergeCell ref="G1074:J1074"/>
    <mergeCell ref="G1075:J1075"/>
    <mergeCell ref="G1076:J1076"/>
    <mergeCell ref="G1077:J1077"/>
    <mergeCell ref="G1078:J1078"/>
    <mergeCell ref="G1079:J1079"/>
    <mergeCell ref="G1080:J1080"/>
    <mergeCell ref="B1082:J1082"/>
    <mergeCell ref="B1094:J1094"/>
    <mergeCell ref="C1099:D1099"/>
    <mergeCell ref="G1099:J1099"/>
    <mergeCell ref="C1100:D1100"/>
    <mergeCell ref="G1100:J1100"/>
    <mergeCell ref="D1101:G1101"/>
    <mergeCell ref="D1102:G1102"/>
    <mergeCell ref="D1103:G1103"/>
    <mergeCell ref="D1104:G1104"/>
    <mergeCell ref="D1105:G1105"/>
    <mergeCell ref="B1107:C1107"/>
    <mergeCell ref="D1107:J1107"/>
    <mergeCell ref="B1108:C1108"/>
    <mergeCell ref="D1108:J1108"/>
    <mergeCell ref="B1109:C1109"/>
    <mergeCell ref="D1109:J1109"/>
    <mergeCell ref="B1110:C1110"/>
    <mergeCell ref="D1110:J1110"/>
    <mergeCell ref="B1111:C1111"/>
    <mergeCell ref="B1113:J1113"/>
    <mergeCell ref="G1114:J1114"/>
    <mergeCell ref="G1115:J1115"/>
    <mergeCell ref="G1116:J1116"/>
    <mergeCell ref="G1117:J1117"/>
    <mergeCell ref="G1118:J1118"/>
    <mergeCell ref="G1119:J1119"/>
    <mergeCell ref="G1120:J1120"/>
    <mergeCell ref="G1121:J1121"/>
    <mergeCell ref="G1122:J1122"/>
    <mergeCell ref="G1123:J1123"/>
    <mergeCell ref="G1124:J1124"/>
    <mergeCell ref="G1125:J1125"/>
    <mergeCell ref="G1126:J1126"/>
    <mergeCell ref="G1127:J1127"/>
    <mergeCell ref="G1128:J1128"/>
    <mergeCell ref="G1129:J1129"/>
    <mergeCell ref="G1130:J1130"/>
    <mergeCell ref="G1131:J1131"/>
    <mergeCell ref="G1132:J1132"/>
    <mergeCell ref="G1133:J1133"/>
    <mergeCell ref="G1134:J1134"/>
    <mergeCell ref="G1135:J1135"/>
    <mergeCell ref="B1137:J1137"/>
    <mergeCell ref="B1149:J1149"/>
    <mergeCell ref="C1154:D1154"/>
    <mergeCell ref="G1154:J1154"/>
    <mergeCell ref="C1155:D1155"/>
    <mergeCell ref="G1155:J1155"/>
    <mergeCell ref="D1156:G1156"/>
    <mergeCell ref="D1157:G1157"/>
    <mergeCell ref="D1158:G1158"/>
    <mergeCell ref="D1159:G1159"/>
    <mergeCell ref="D1160:G1160"/>
    <mergeCell ref="B1162:C1162"/>
    <mergeCell ref="D1162:J1162"/>
    <mergeCell ref="B1163:C1163"/>
    <mergeCell ref="D1163:J1163"/>
    <mergeCell ref="B1164:C1164"/>
    <mergeCell ref="D1164:J1164"/>
    <mergeCell ref="B1165:C1165"/>
    <mergeCell ref="D1165:J1165"/>
    <mergeCell ref="B1166:C1166"/>
    <mergeCell ref="B1168:J1168"/>
    <mergeCell ref="G1169:J1169"/>
    <mergeCell ref="G1170:J1170"/>
    <mergeCell ref="G1171:J1171"/>
    <mergeCell ref="G1172:J1172"/>
    <mergeCell ref="G1173:J1173"/>
    <mergeCell ref="G1174:J1174"/>
    <mergeCell ref="G1175:J1175"/>
    <mergeCell ref="G1176:J1176"/>
    <mergeCell ref="G1177:J1177"/>
    <mergeCell ref="G1178:J1178"/>
    <mergeCell ref="G1179:J1179"/>
    <mergeCell ref="G1180:J1180"/>
    <mergeCell ref="G1181:J1181"/>
    <mergeCell ref="G1182:J1182"/>
    <mergeCell ref="G1183:J1183"/>
    <mergeCell ref="G1184:J1184"/>
    <mergeCell ref="G1185:J1185"/>
    <mergeCell ref="G1186:J1186"/>
    <mergeCell ref="G1187:J1187"/>
    <mergeCell ref="G1188:J1188"/>
    <mergeCell ref="G1189:J1189"/>
    <mergeCell ref="G1190:J1190"/>
    <mergeCell ref="B1192:J1192"/>
    <mergeCell ref="B1204:J1204"/>
    <mergeCell ref="C1209:D1209"/>
    <mergeCell ref="G1209:J1209"/>
    <mergeCell ref="C1210:D1210"/>
    <mergeCell ref="G1210:J1210"/>
    <mergeCell ref="D1211:G1211"/>
    <mergeCell ref="D1212:G1212"/>
    <mergeCell ref="D1213:G1213"/>
    <mergeCell ref="D1214:G1214"/>
    <mergeCell ref="D1215:G1215"/>
    <mergeCell ref="B1217:C1217"/>
    <mergeCell ref="D1217:J1217"/>
    <mergeCell ref="B1218:C1218"/>
    <mergeCell ref="D1218:J1218"/>
    <mergeCell ref="B1219:C1219"/>
    <mergeCell ref="D1219:J1219"/>
    <mergeCell ref="B1220:C1220"/>
    <mergeCell ref="D1220:J1220"/>
    <mergeCell ref="B1221:C1221"/>
    <mergeCell ref="B1223:J1223"/>
    <mergeCell ref="G1224:J1224"/>
    <mergeCell ref="G1225:J1225"/>
    <mergeCell ref="G1226:J1226"/>
    <mergeCell ref="G1227:J1227"/>
    <mergeCell ref="G1228:J1228"/>
    <mergeCell ref="G1229:J1229"/>
    <mergeCell ref="G1230:J1230"/>
    <mergeCell ref="G1231:J1231"/>
    <mergeCell ref="G1232:J1232"/>
    <mergeCell ref="G1233:J1233"/>
    <mergeCell ref="G1234:J1234"/>
    <mergeCell ref="G1235:J1235"/>
    <mergeCell ref="G1236:J1236"/>
    <mergeCell ref="G1237:J1237"/>
    <mergeCell ref="G1238:J1238"/>
    <mergeCell ref="G1239:J1239"/>
    <mergeCell ref="G1240:J1240"/>
    <mergeCell ref="G1241:J1241"/>
    <mergeCell ref="G1242:J1242"/>
    <mergeCell ref="G1243:J1243"/>
    <mergeCell ref="G1244:J1244"/>
    <mergeCell ref="G1245:J1245"/>
    <mergeCell ref="B1247:J1247"/>
    <mergeCell ref="B1259:J1259"/>
    <mergeCell ref="C1264:D1264"/>
    <mergeCell ref="G1264:J1264"/>
    <mergeCell ref="C1265:D1265"/>
    <mergeCell ref="G1265:J1265"/>
    <mergeCell ref="D1266:G1266"/>
    <mergeCell ref="D1267:G1267"/>
    <mergeCell ref="D1268:G1268"/>
    <mergeCell ref="D1269:G1269"/>
    <mergeCell ref="D1270:G1270"/>
    <mergeCell ref="B1272:C1272"/>
    <mergeCell ref="D1272:J1272"/>
    <mergeCell ref="B1273:C1273"/>
    <mergeCell ref="D1273:J1273"/>
    <mergeCell ref="B1274:C1274"/>
    <mergeCell ref="D1274:J1274"/>
    <mergeCell ref="B1275:C1275"/>
    <mergeCell ref="D1275:J1275"/>
    <mergeCell ref="B1276:C1276"/>
    <mergeCell ref="B1278:J1278"/>
    <mergeCell ref="G1279:J1279"/>
    <mergeCell ref="G1280:J1280"/>
    <mergeCell ref="G1281:J1281"/>
    <mergeCell ref="G1282:J1282"/>
    <mergeCell ref="G1283:J1283"/>
    <mergeCell ref="G1284:J1284"/>
    <mergeCell ref="G1285:J1285"/>
    <mergeCell ref="G1286:J1286"/>
    <mergeCell ref="G1287:J1287"/>
    <mergeCell ref="G1288:J1288"/>
    <mergeCell ref="G1289:J1289"/>
    <mergeCell ref="G1290:J1290"/>
    <mergeCell ref="G1291:J1291"/>
    <mergeCell ref="G1292:J1292"/>
    <mergeCell ref="G1293:J1293"/>
    <mergeCell ref="G1294:J1294"/>
    <mergeCell ref="G1295:J1295"/>
    <mergeCell ref="G1296:J1296"/>
    <mergeCell ref="G1297:J1297"/>
    <mergeCell ref="G1298:J1298"/>
    <mergeCell ref="G1299:J1299"/>
    <mergeCell ref="G1300:J1300"/>
    <mergeCell ref="B1302:J1302"/>
    <mergeCell ref="B1314:J1314"/>
    <mergeCell ref="C1319:D1319"/>
    <mergeCell ref="G1319:J1319"/>
    <mergeCell ref="C1320:D1320"/>
    <mergeCell ref="G1320:J1320"/>
    <mergeCell ref="D1321:G1321"/>
    <mergeCell ref="D1322:G1322"/>
    <mergeCell ref="D1323:G1323"/>
    <mergeCell ref="D1324:G1324"/>
    <mergeCell ref="D1325:G1325"/>
    <mergeCell ref="B1327:C1327"/>
    <mergeCell ref="D1327:J1327"/>
    <mergeCell ref="B1328:C1328"/>
    <mergeCell ref="D1328:J1328"/>
    <mergeCell ref="B1329:C1329"/>
    <mergeCell ref="D1329:J1329"/>
    <mergeCell ref="B1330:C1330"/>
    <mergeCell ref="D1330:J1330"/>
    <mergeCell ref="B1331:C1331"/>
    <mergeCell ref="B1333:J1333"/>
    <mergeCell ref="G1334:J1334"/>
    <mergeCell ref="G1335:J1335"/>
    <mergeCell ref="G1336:J1336"/>
    <mergeCell ref="G1337:J1337"/>
    <mergeCell ref="G1338:J1338"/>
    <mergeCell ref="G1339:J1339"/>
    <mergeCell ref="G1340:J1340"/>
    <mergeCell ref="G1341:J1341"/>
    <mergeCell ref="G1342:J1342"/>
    <mergeCell ref="G1343:J1343"/>
    <mergeCell ref="G1344:J1344"/>
    <mergeCell ref="G1345:J1345"/>
    <mergeCell ref="G1346:J1346"/>
    <mergeCell ref="G1347:J1347"/>
    <mergeCell ref="G1348:J1348"/>
    <mergeCell ref="G1349:J1349"/>
    <mergeCell ref="G1350:J1350"/>
    <mergeCell ref="G1351:J1351"/>
    <mergeCell ref="G1352:J1352"/>
    <mergeCell ref="G1353:J1353"/>
    <mergeCell ref="G1354:J1354"/>
    <mergeCell ref="G1355:J1355"/>
    <mergeCell ref="B1357:J1357"/>
    <mergeCell ref="B1369:J1369"/>
    <mergeCell ref="C1374:D1374"/>
    <mergeCell ref="G1374:J1374"/>
    <mergeCell ref="C1375:D1375"/>
    <mergeCell ref="G1375:J1375"/>
    <mergeCell ref="D1376:G1376"/>
    <mergeCell ref="D1377:G1377"/>
    <mergeCell ref="D1378:G1378"/>
    <mergeCell ref="D1379:G1379"/>
    <mergeCell ref="D1380:G1380"/>
    <mergeCell ref="B1382:C1382"/>
    <mergeCell ref="D1382:J1382"/>
    <mergeCell ref="B1383:C1383"/>
    <mergeCell ref="D1383:J1383"/>
    <mergeCell ref="B1384:C1384"/>
    <mergeCell ref="D1384:J1384"/>
    <mergeCell ref="B1385:C1385"/>
    <mergeCell ref="D1385:J1385"/>
    <mergeCell ref="B1386:C1386"/>
    <mergeCell ref="B1388:J1388"/>
    <mergeCell ref="G1389:J1389"/>
    <mergeCell ref="G1390:J1390"/>
    <mergeCell ref="G1391:J1391"/>
    <mergeCell ref="G1392:J1392"/>
    <mergeCell ref="G1393:J1393"/>
    <mergeCell ref="G1394:J1394"/>
    <mergeCell ref="G1395:J1395"/>
    <mergeCell ref="G1396:J1396"/>
    <mergeCell ref="G1397:J1397"/>
    <mergeCell ref="G1398:J1398"/>
    <mergeCell ref="G1399:J1399"/>
    <mergeCell ref="G1400:J1400"/>
    <mergeCell ref="G1401:J1401"/>
    <mergeCell ref="G1402:J1402"/>
    <mergeCell ref="G1403:J1403"/>
    <mergeCell ref="G1404:J1404"/>
    <mergeCell ref="G1405:J1405"/>
    <mergeCell ref="G1406:J1406"/>
    <mergeCell ref="G1407:J1407"/>
    <mergeCell ref="G1408:J1408"/>
    <mergeCell ref="G1409:J1409"/>
    <mergeCell ref="G1410:J1410"/>
    <mergeCell ref="B1412:J1412"/>
    <mergeCell ref="B1424:J1424"/>
    <mergeCell ref="C1429:D1429"/>
    <mergeCell ref="G1429:J1429"/>
    <mergeCell ref="C1430:D1430"/>
    <mergeCell ref="G1430:J1430"/>
    <mergeCell ref="D1431:G1431"/>
    <mergeCell ref="D1432:G1432"/>
    <mergeCell ref="D1433:G1433"/>
    <mergeCell ref="D1434:G1434"/>
    <mergeCell ref="D1435:G1435"/>
    <mergeCell ref="B1437:C1437"/>
    <mergeCell ref="D1437:J1437"/>
    <mergeCell ref="B1438:C1438"/>
    <mergeCell ref="D1438:J1438"/>
    <mergeCell ref="B1439:C1439"/>
    <mergeCell ref="D1439:J1439"/>
    <mergeCell ref="B1440:C1440"/>
    <mergeCell ref="D1440:J1440"/>
    <mergeCell ref="B1441:C1441"/>
    <mergeCell ref="B1443:J1443"/>
    <mergeCell ref="G1444:J1444"/>
    <mergeCell ref="G1445:J1445"/>
    <mergeCell ref="G1446:J1446"/>
    <mergeCell ref="G1447:J1447"/>
    <mergeCell ref="G1448:J1448"/>
    <mergeCell ref="G1449:J1449"/>
    <mergeCell ref="G1450:J1450"/>
    <mergeCell ref="G1451:J1451"/>
    <mergeCell ref="G1452:J1452"/>
    <mergeCell ref="G1453:J1453"/>
    <mergeCell ref="G1454:J1454"/>
    <mergeCell ref="G1455:J1455"/>
    <mergeCell ref="G1456:J1456"/>
    <mergeCell ref="G1457:J1457"/>
    <mergeCell ref="G1458:J1458"/>
    <mergeCell ref="G1459:J1459"/>
    <mergeCell ref="G1460:J1460"/>
    <mergeCell ref="G1461:J1461"/>
    <mergeCell ref="G1462:J1462"/>
    <mergeCell ref="G1463:J1463"/>
    <mergeCell ref="G1464:J1464"/>
    <mergeCell ref="G1465:J1465"/>
    <mergeCell ref="B1467:J1467"/>
    <mergeCell ref="B1479:J1479"/>
    <mergeCell ref="C1484:D1484"/>
    <mergeCell ref="G1484:J1484"/>
    <mergeCell ref="C1485:D1485"/>
    <mergeCell ref="G1485:J1485"/>
    <mergeCell ref="D1486:G1486"/>
    <mergeCell ref="D1487:G1487"/>
    <mergeCell ref="D1488:G1488"/>
    <mergeCell ref="D1489:G1489"/>
    <mergeCell ref="D1490:G1490"/>
    <mergeCell ref="B1492:C1492"/>
    <mergeCell ref="D1492:J1492"/>
    <mergeCell ref="B1493:C1493"/>
    <mergeCell ref="D1493:J1493"/>
    <mergeCell ref="B1494:C1494"/>
    <mergeCell ref="D1494:J1494"/>
    <mergeCell ref="B1495:C1495"/>
    <mergeCell ref="D1495:J1495"/>
    <mergeCell ref="B1496:C1496"/>
    <mergeCell ref="B1498:J1498"/>
    <mergeCell ref="G1499:J1499"/>
    <mergeCell ref="G1500:J1500"/>
    <mergeCell ref="G1501:J1501"/>
    <mergeCell ref="G1502:J1502"/>
    <mergeCell ref="G1503:J1503"/>
    <mergeCell ref="G1504:J1504"/>
    <mergeCell ref="G1505:J1505"/>
    <mergeCell ref="G1506:J1506"/>
    <mergeCell ref="G1507:J1507"/>
    <mergeCell ref="G1508:J1508"/>
    <mergeCell ref="G1509:J1509"/>
    <mergeCell ref="G1510:J1510"/>
    <mergeCell ref="G1511:J1511"/>
    <mergeCell ref="G1512:J1512"/>
    <mergeCell ref="G1513:J1513"/>
    <mergeCell ref="G1514:J1514"/>
    <mergeCell ref="G1515:J1515"/>
    <mergeCell ref="G1516:J1516"/>
    <mergeCell ref="G1517:J1517"/>
    <mergeCell ref="G1518:J1518"/>
    <mergeCell ref="G1519:J1519"/>
    <mergeCell ref="G1520:J1520"/>
    <mergeCell ref="B1522:J1522"/>
    <mergeCell ref="B1534:J1534"/>
    <mergeCell ref="C1539:D1539"/>
    <mergeCell ref="G1539:J1539"/>
    <mergeCell ref="C1540:D1540"/>
    <mergeCell ref="G1540:J1540"/>
    <mergeCell ref="D1541:G1541"/>
    <mergeCell ref="D1542:G1542"/>
    <mergeCell ref="D1543:G1543"/>
    <mergeCell ref="D1544:G1544"/>
    <mergeCell ref="D1545:G1545"/>
    <mergeCell ref="B1547:C1547"/>
    <mergeCell ref="D1547:J1547"/>
    <mergeCell ref="B1548:C1548"/>
    <mergeCell ref="D1548:J1548"/>
    <mergeCell ref="B1549:C1549"/>
    <mergeCell ref="D1549:J1549"/>
    <mergeCell ref="B1550:C1550"/>
    <mergeCell ref="D1550:J1550"/>
    <mergeCell ref="B1551:C1551"/>
    <mergeCell ref="B1553:J1553"/>
    <mergeCell ref="G1554:J1554"/>
    <mergeCell ref="G1555:J1555"/>
    <mergeCell ref="G1556:J1556"/>
    <mergeCell ref="G1557:J1557"/>
    <mergeCell ref="G1558:J1558"/>
    <mergeCell ref="G1559:J1559"/>
    <mergeCell ref="G1560:J1560"/>
    <mergeCell ref="G1561:J1561"/>
    <mergeCell ref="G1562:J1562"/>
    <mergeCell ref="G1563:J1563"/>
    <mergeCell ref="G1564:J1564"/>
    <mergeCell ref="G1565:J1565"/>
    <mergeCell ref="G1566:J1566"/>
    <mergeCell ref="G1567:J1567"/>
    <mergeCell ref="G1568:J1568"/>
    <mergeCell ref="G1569:J1569"/>
    <mergeCell ref="G1570:J1570"/>
    <mergeCell ref="G1571:J1571"/>
    <mergeCell ref="G1572:J1572"/>
    <mergeCell ref="G1573:J1573"/>
    <mergeCell ref="G1574:J1574"/>
    <mergeCell ref="G1575:J1575"/>
    <mergeCell ref="B1577:J1577"/>
    <mergeCell ref="B1589:J1589"/>
    <mergeCell ref="C1594:D1594"/>
    <mergeCell ref="G1594:J1594"/>
    <mergeCell ref="C1595:D1595"/>
    <mergeCell ref="G1595:J1595"/>
    <mergeCell ref="D1596:G1596"/>
    <mergeCell ref="D1597:G1597"/>
    <mergeCell ref="D1598:G1598"/>
    <mergeCell ref="D1599:G1599"/>
    <mergeCell ref="D1600:G1600"/>
    <mergeCell ref="B1602:C1602"/>
    <mergeCell ref="D1602:J1602"/>
    <mergeCell ref="B1603:C1603"/>
    <mergeCell ref="D1603:J1603"/>
    <mergeCell ref="B1604:C1604"/>
    <mergeCell ref="D1604:J1604"/>
    <mergeCell ref="B1605:C1605"/>
    <mergeCell ref="D1605:J1605"/>
    <mergeCell ref="B1606:C1606"/>
    <mergeCell ref="B1608:J1608"/>
    <mergeCell ref="G1609:J1609"/>
    <mergeCell ref="G1610:J1610"/>
    <mergeCell ref="G1611:J1611"/>
    <mergeCell ref="G1612:J1612"/>
    <mergeCell ref="G1613:J1613"/>
    <mergeCell ref="G1614:J1614"/>
    <mergeCell ref="G1615:J1615"/>
    <mergeCell ref="G1616:J1616"/>
    <mergeCell ref="G1617:J1617"/>
    <mergeCell ref="G1618:J1618"/>
    <mergeCell ref="G1619:J1619"/>
    <mergeCell ref="G1620:J1620"/>
    <mergeCell ref="G1621:J1621"/>
    <mergeCell ref="G1622:J1622"/>
    <mergeCell ref="G1623:J1623"/>
    <mergeCell ref="G1624:J1624"/>
    <mergeCell ref="G1625:J1625"/>
    <mergeCell ref="G1626:J1626"/>
    <mergeCell ref="G1627:J1627"/>
    <mergeCell ref="G1628:J1628"/>
    <mergeCell ref="G1629:J1629"/>
    <mergeCell ref="G1630:J1630"/>
    <mergeCell ref="B1632:J1632"/>
    <mergeCell ref="B1644:J1644"/>
    <mergeCell ref="C1649:D1649"/>
    <mergeCell ref="G1649:J1649"/>
    <mergeCell ref="C1650:D1650"/>
    <mergeCell ref="G1650:J1650"/>
    <mergeCell ref="D1651:G1651"/>
    <mergeCell ref="D1652:G1652"/>
    <mergeCell ref="D1653:G1653"/>
    <mergeCell ref="D1654:G1654"/>
    <mergeCell ref="D1655:G1655"/>
    <mergeCell ref="B1657:C1657"/>
    <mergeCell ref="D1657:J1657"/>
    <mergeCell ref="B1658:C1658"/>
    <mergeCell ref="D1658:J1658"/>
    <mergeCell ref="B1659:C1659"/>
    <mergeCell ref="D1659:J1659"/>
    <mergeCell ref="B1660:C1660"/>
    <mergeCell ref="D1660:J1660"/>
    <mergeCell ref="B1661:C1661"/>
    <mergeCell ref="B1663:J1663"/>
    <mergeCell ref="G1664:J1664"/>
    <mergeCell ref="G1665:J1665"/>
    <mergeCell ref="G1666:J1666"/>
    <mergeCell ref="G1667:J1667"/>
    <mergeCell ref="G1668:J1668"/>
    <mergeCell ref="G1669:J1669"/>
    <mergeCell ref="G1670:J1670"/>
    <mergeCell ref="G1671:J1671"/>
    <mergeCell ref="G1672:J1672"/>
    <mergeCell ref="G1673:J1673"/>
    <mergeCell ref="G1674:J1674"/>
    <mergeCell ref="G1675:J1675"/>
    <mergeCell ref="G1676:J1676"/>
    <mergeCell ref="G1677:J1677"/>
    <mergeCell ref="G1678:J1678"/>
    <mergeCell ref="G1679:J1679"/>
    <mergeCell ref="G1680:J1680"/>
    <mergeCell ref="G1681:J1681"/>
    <mergeCell ref="G1682:J1682"/>
    <mergeCell ref="G1683:J1683"/>
    <mergeCell ref="G1684:J1684"/>
    <mergeCell ref="G1685:J1685"/>
    <mergeCell ref="B1687:J1687"/>
    <mergeCell ref="B1699:J1699"/>
    <mergeCell ref="C1704:D1704"/>
    <mergeCell ref="G1704:J1704"/>
    <mergeCell ref="C1705:D1705"/>
    <mergeCell ref="G1705:J1705"/>
    <mergeCell ref="D1706:G1706"/>
    <mergeCell ref="D1707:G1707"/>
    <mergeCell ref="D1708:G1708"/>
    <mergeCell ref="D1709:G1709"/>
    <mergeCell ref="D1710:G1710"/>
    <mergeCell ref="B1712:C1712"/>
    <mergeCell ref="D1712:J1712"/>
    <mergeCell ref="B1713:C1713"/>
    <mergeCell ref="D1713:J1713"/>
    <mergeCell ref="B1714:C1714"/>
    <mergeCell ref="D1714:J1714"/>
    <mergeCell ref="B1715:C1715"/>
    <mergeCell ref="D1715:J1715"/>
    <mergeCell ref="B1716:C1716"/>
    <mergeCell ref="B1718:J1718"/>
    <mergeCell ref="G1719:J1719"/>
    <mergeCell ref="G1720:J1720"/>
    <mergeCell ref="G1721:J1721"/>
    <mergeCell ref="G1722:J1722"/>
    <mergeCell ref="G1723:J1723"/>
    <mergeCell ref="G1724:J1724"/>
    <mergeCell ref="G1725:J1725"/>
    <mergeCell ref="G1726:J1726"/>
    <mergeCell ref="G1727:J1727"/>
    <mergeCell ref="G1728:J1728"/>
    <mergeCell ref="G1729:J1729"/>
    <mergeCell ref="G1730:J1730"/>
    <mergeCell ref="G1731:J1731"/>
    <mergeCell ref="G1732:J1732"/>
    <mergeCell ref="G1733:J1733"/>
    <mergeCell ref="G1734:J1734"/>
    <mergeCell ref="G1735:J1735"/>
    <mergeCell ref="G1736:J1736"/>
    <mergeCell ref="G1737:J1737"/>
    <mergeCell ref="G1738:J1738"/>
    <mergeCell ref="G1739:J1739"/>
    <mergeCell ref="G1740:J1740"/>
    <mergeCell ref="B1742:J1742"/>
    <mergeCell ref="B1754:J1754"/>
    <mergeCell ref="C1759:D1759"/>
    <mergeCell ref="G1759:J1759"/>
    <mergeCell ref="C1760:D1760"/>
    <mergeCell ref="G1760:J1760"/>
    <mergeCell ref="D1761:G1761"/>
    <mergeCell ref="D1762:G1762"/>
    <mergeCell ref="D1763:G1763"/>
    <mergeCell ref="D1764:G1764"/>
    <mergeCell ref="D1765:G1765"/>
    <mergeCell ref="B1767:C1767"/>
    <mergeCell ref="D1767:J1767"/>
    <mergeCell ref="B1768:C1768"/>
    <mergeCell ref="D1768:J1768"/>
    <mergeCell ref="B1769:C1769"/>
    <mergeCell ref="D1769:J1769"/>
    <mergeCell ref="B1770:C1770"/>
    <mergeCell ref="D1770:J1770"/>
    <mergeCell ref="B1771:C1771"/>
    <mergeCell ref="B1773:J1773"/>
    <mergeCell ref="G1774:J1774"/>
    <mergeCell ref="G1775:J1775"/>
    <mergeCell ref="G1776:J1776"/>
    <mergeCell ref="G1777:J1777"/>
    <mergeCell ref="G1778:J1778"/>
    <mergeCell ref="G1779:J1779"/>
    <mergeCell ref="G1780:J1780"/>
    <mergeCell ref="G1781:J1781"/>
    <mergeCell ref="G1782:J1782"/>
    <mergeCell ref="G1783:J1783"/>
    <mergeCell ref="G1784:J1784"/>
    <mergeCell ref="G1785:J1785"/>
    <mergeCell ref="G1786:J1786"/>
    <mergeCell ref="G1787:J1787"/>
    <mergeCell ref="G1788:J1788"/>
    <mergeCell ref="G1789:J1789"/>
    <mergeCell ref="G1790:J1790"/>
    <mergeCell ref="G1791:J1791"/>
    <mergeCell ref="G1792:J1792"/>
    <mergeCell ref="G1793:J1793"/>
    <mergeCell ref="G1794:J1794"/>
    <mergeCell ref="G1795:J1795"/>
    <mergeCell ref="B1797:J1797"/>
    <mergeCell ref="B1809:J1809"/>
    <mergeCell ref="C1814:D1814"/>
    <mergeCell ref="G1814:J1814"/>
    <mergeCell ref="C1815:D1815"/>
    <mergeCell ref="G1815:J1815"/>
    <mergeCell ref="D1816:G1816"/>
    <mergeCell ref="D1817:G1817"/>
    <mergeCell ref="D1818:G1818"/>
    <mergeCell ref="D1819:G1819"/>
    <mergeCell ref="D1820:G1820"/>
    <mergeCell ref="B1822:C1822"/>
    <mergeCell ref="D1822:J1822"/>
    <mergeCell ref="B1823:C1823"/>
    <mergeCell ref="D1823:J1823"/>
    <mergeCell ref="B1824:C1824"/>
    <mergeCell ref="D1824:J1824"/>
    <mergeCell ref="B1825:C1825"/>
    <mergeCell ref="D1825:J1825"/>
    <mergeCell ref="B1826:C1826"/>
    <mergeCell ref="B1828:J1828"/>
    <mergeCell ref="G1829:J1829"/>
    <mergeCell ref="G1830:J1830"/>
    <mergeCell ref="G1831:J1831"/>
    <mergeCell ref="G1832:J1832"/>
    <mergeCell ref="G1833:J1833"/>
    <mergeCell ref="G1834:J1834"/>
    <mergeCell ref="G1835:J1835"/>
    <mergeCell ref="G1836:J1836"/>
    <mergeCell ref="G1837:J1837"/>
    <mergeCell ref="G1838:J1838"/>
    <mergeCell ref="G1839:J1839"/>
    <mergeCell ref="G1840:J1840"/>
    <mergeCell ref="G1841:J1841"/>
    <mergeCell ref="G1842:J1842"/>
    <mergeCell ref="G1843:J1843"/>
    <mergeCell ref="G1844:J1844"/>
    <mergeCell ref="G1845:J1845"/>
    <mergeCell ref="G1846:J1846"/>
    <mergeCell ref="G1847:J1847"/>
    <mergeCell ref="G1848:J1848"/>
    <mergeCell ref="G1849:J1849"/>
    <mergeCell ref="G1850:J1850"/>
    <mergeCell ref="B1852:J1852"/>
    <mergeCell ref="B1864:J1864"/>
    <mergeCell ref="C1869:D1869"/>
    <mergeCell ref="G1869:J1869"/>
    <mergeCell ref="C1870:D1870"/>
    <mergeCell ref="G1870:J1870"/>
    <mergeCell ref="D1871:G1871"/>
    <mergeCell ref="D1872:G1872"/>
    <mergeCell ref="D1873:G1873"/>
    <mergeCell ref="D1874:G1874"/>
    <mergeCell ref="D1875:G1875"/>
    <mergeCell ref="B1877:C1877"/>
    <mergeCell ref="D1877:J1877"/>
    <mergeCell ref="B1878:C1878"/>
    <mergeCell ref="D1878:J1878"/>
    <mergeCell ref="B1879:C1879"/>
    <mergeCell ref="D1879:J1879"/>
    <mergeCell ref="B1880:C1880"/>
    <mergeCell ref="D1880:J1880"/>
    <mergeCell ref="B1881:C1881"/>
    <mergeCell ref="B1883:J1883"/>
    <mergeCell ref="G1884:J1884"/>
    <mergeCell ref="G1885:J1885"/>
    <mergeCell ref="G1886:J1886"/>
    <mergeCell ref="G1887:J1887"/>
    <mergeCell ref="G1888:J1888"/>
    <mergeCell ref="G1889:J1889"/>
    <mergeCell ref="G1890:J1890"/>
    <mergeCell ref="G1891:J1891"/>
    <mergeCell ref="G1892:J1892"/>
    <mergeCell ref="G1893:J1893"/>
    <mergeCell ref="G1894:J1894"/>
    <mergeCell ref="G1895:J1895"/>
    <mergeCell ref="G1896:J1896"/>
    <mergeCell ref="G1897:J1897"/>
    <mergeCell ref="G1898:J1898"/>
    <mergeCell ref="G1899:J1899"/>
    <mergeCell ref="G1900:J1900"/>
    <mergeCell ref="G1901:J1901"/>
    <mergeCell ref="G1902:J1902"/>
    <mergeCell ref="G1903:J1903"/>
    <mergeCell ref="G1904:J1904"/>
    <mergeCell ref="G1905:J1905"/>
    <mergeCell ref="B1907:J1907"/>
    <mergeCell ref="B1919:J1919"/>
    <mergeCell ref="C1924:D1924"/>
    <mergeCell ref="G1924:J1924"/>
    <mergeCell ref="C1925:D1925"/>
    <mergeCell ref="G1925:J1925"/>
    <mergeCell ref="D1926:G1926"/>
    <mergeCell ref="D1927:G1927"/>
    <mergeCell ref="D1928:G1928"/>
    <mergeCell ref="D1929:G1929"/>
    <mergeCell ref="D1930:G1930"/>
    <mergeCell ref="B1932:C1932"/>
    <mergeCell ref="D1932:J1932"/>
    <mergeCell ref="B1933:C1933"/>
    <mergeCell ref="D1933:J1933"/>
    <mergeCell ref="B1934:C1934"/>
    <mergeCell ref="D1934:J1934"/>
    <mergeCell ref="B1935:C1935"/>
    <mergeCell ref="D1935:J1935"/>
    <mergeCell ref="B1936:C1936"/>
    <mergeCell ref="B1938:J1938"/>
    <mergeCell ref="G1939:J1939"/>
    <mergeCell ref="G1940:J1940"/>
    <mergeCell ref="G1941:J1941"/>
    <mergeCell ref="G1942:J1942"/>
    <mergeCell ref="G1943:J1943"/>
    <mergeCell ref="G1944:J1944"/>
    <mergeCell ref="G1945:J1945"/>
    <mergeCell ref="G1946:J1946"/>
    <mergeCell ref="G1947:J1947"/>
    <mergeCell ref="G1948:J1948"/>
    <mergeCell ref="G1949:J1949"/>
    <mergeCell ref="G1950:J1950"/>
    <mergeCell ref="G1951:J1951"/>
    <mergeCell ref="G1952:J1952"/>
    <mergeCell ref="G1953:J1953"/>
    <mergeCell ref="G1954:J1954"/>
    <mergeCell ref="G1955:J1955"/>
    <mergeCell ref="G1956:J1956"/>
    <mergeCell ref="G1957:J1957"/>
    <mergeCell ref="G1958:J1958"/>
    <mergeCell ref="G1959:J1959"/>
    <mergeCell ref="G1960:J1960"/>
    <mergeCell ref="B1962:J1962"/>
    <mergeCell ref="B1974:J1974"/>
    <mergeCell ref="C1979:D1979"/>
    <mergeCell ref="G1979:J1979"/>
    <mergeCell ref="C1980:D1980"/>
    <mergeCell ref="G1980:J1980"/>
    <mergeCell ref="D1981:G1981"/>
    <mergeCell ref="D1982:G1982"/>
    <mergeCell ref="D1983:G1983"/>
    <mergeCell ref="D1984:G1984"/>
    <mergeCell ref="D1985:G1985"/>
    <mergeCell ref="B1987:C1987"/>
    <mergeCell ref="D1987:J1987"/>
    <mergeCell ref="B1988:C1988"/>
    <mergeCell ref="D1988:J1988"/>
    <mergeCell ref="B1989:C1989"/>
    <mergeCell ref="D1989:J1989"/>
    <mergeCell ref="B1990:C1990"/>
    <mergeCell ref="D1990:J1990"/>
    <mergeCell ref="B1991:C1991"/>
    <mergeCell ref="B1993:J1993"/>
    <mergeCell ref="G1994:J1994"/>
    <mergeCell ref="G1995:J1995"/>
    <mergeCell ref="G1996:J1996"/>
    <mergeCell ref="G1997:J1997"/>
    <mergeCell ref="G1998:J1998"/>
    <mergeCell ref="G1999:J1999"/>
    <mergeCell ref="G2000:J2000"/>
    <mergeCell ref="G2001:J2001"/>
    <mergeCell ref="G2002:J2002"/>
    <mergeCell ref="G2003:J2003"/>
    <mergeCell ref="G2004:J2004"/>
    <mergeCell ref="G2005:J2005"/>
    <mergeCell ref="G2006:J2006"/>
    <mergeCell ref="G2007:J2007"/>
    <mergeCell ref="G2008:J2008"/>
    <mergeCell ref="G2009:J2009"/>
    <mergeCell ref="G2010:J2010"/>
    <mergeCell ref="G2011:J2011"/>
    <mergeCell ref="G2012:J2012"/>
    <mergeCell ref="G2013:J2013"/>
    <mergeCell ref="G2014:J2014"/>
    <mergeCell ref="G2015:J2015"/>
    <mergeCell ref="B2017:J2017"/>
    <mergeCell ref="B2029:J2029"/>
    <mergeCell ref="C2034:D2034"/>
    <mergeCell ref="G2034:J2034"/>
    <mergeCell ref="C2035:D2035"/>
    <mergeCell ref="G2035:J2035"/>
    <mergeCell ref="D2036:G2036"/>
    <mergeCell ref="D2037:G2037"/>
    <mergeCell ref="D2038:G2038"/>
    <mergeCell ref="D2039:G2039"/>
    <mergeCell ref="D2040:G2040"/>
    <mergeCell ref="B2042:C2042"/>
    <mergeCell ref="D2042:J2042"/>
    <mergeCell ref="B2043:C2043"/>
    <mergeCell ref="D2043:J2043"/>
    <mergeCell ref="B2044:C2044"/>
    <mergeCell ref="D2044:J2044"/>
    <mergeCell ref="B2045:C2045"/>
    <mergeCell ref="D2045:J2045"/>
    <mergeCell ref="B2046:C2046"/>
    <mergeCell ref="B2048:J2048"/>
    <mergeCell ref="G2049:J2049"/>
    <mergeCell ref="G2050:J2050"/>
    <mergeCell ref="G2051:J2051"/>
    <mergeCell ref="G2052:J2052"/>
    <mergeCell ref="G2053:J2053"/>
    <mergeCell ref="G2054:J2054"/>
    <mergeCell ref="G2055:J2055"/>
    <mergeCell ref="G2056:J2056"/>
    <mergeCell ref="G2057:J2057"/>
    <mergeCell ref="G2058:J2058"/>
    <mergeCell ref="G2059:J2059"/>
    <mergeCell ref="G2060:J2060"/>
    <mergeCell ref="G2061:J2061"/>
    <mergeCell ref="G2062:J2062"/>
    <mergeCell ref="G2063:J2063"/>
    <mergeCell ref="G2064:J2064"/>
    <mergeCell ref="G2065:J2065"/>
    <mergeCell ref="G2066:J2066"/>
    <mergeCell ref="G2067:J2067"/>
    <mergeCell ref="G2068:J2068"/>
    <mergeCell ref="G2069:J2069"/>
    <mergeCell ref="G2070:J2070"/>
    <mergeCell ref="B2072:J2072"/>
    <mergeCell ref="B2084:J2084"/>
    <mergeCell ref="C2089:D2089"/>
    <mergeCell ref="G2089:J2089"/>
    <mergeCell ref="C2090:D2090"/>
    <mergeCell ref="G2090:J2090"/>
    <mergeCell ref="D2091:G2091"/>
    <mergeCell ref="D2092:G2092"/>
    <mergeCell ref="D2093:G2093"/>
    <mergeCell ref="D2094:G2094"/>
    <mergeCell ref="D2095:G2095"/>
    <mergeCell ref="B2097:C2097"/>
    <mergeCell ref="D2097:J2097"/>
    <mergeCell ref="B2098:C2098"/>
    <mergeCell ref="D2098:J2098"/>
    <mergeCell ref="B2099:C2099"/>
    <mergeCell ref="D2099:J2099"/>
    <mergeCell ref="B2100:C2100"/>
    <mergeCell ref="D2100:J2100"/>
    <mergeCell ref="B2101:C2101"/>
    <mergeCell ref="B2103:J2103"/>
    <mergeCell ref="G2104:J2104"/>
    <mergeCell ref="G2105:J2105"/>
    <mergeCell ref="G2106:J2106"/>
    <mergeCell ref="G2107:J2107"/>
    <mergeCell ref="G2108:J2108"/>
    <mergeCell ref="G2109:J2109"/>
    <mergeCell ref="G2110:J2110"/>
    <mergeCell ref="G2111:J2111"/>
    <mergeCell ref="G2112:J2112"/>
    <mergeCell ref="G2113:J2113"/>
    <mergeCell ref="G2114:J2114"/>
    <mergeCell ref="G2115:J2115"/>
    <mergeCell ref="G2116:J2116"/>
    <mergeCell ref="G2117:J2117"/>
    <mergeCell ref="G2118:J2118"/>
    <mergeCell ref="G2119:J2119"/>
    <mergeCell ref="G2120:J2120"/>
    <mergeCell ref="G2121:J2121"/>
    <mergeCell ref="G2122:J2122"/>
    <mergeCell ref="G2123:J2123"/>
    <mergeCell ref="G2124:J2124"/>
    <mergeCell ref="G2125:J2125"/>
    <mergeCell ref="B2127:J2127"/>
    <mergeCell ref="B2139:J2139"/>
    <mergeCell ref="C2144:D2144"/>
    <mergeCell ref="G2144:J2144"/>
    <mergeCell ref="C2145:D2145"/>
    <mergeCell ref="G2145:J2145"/>
    <mergeCell ref="D2146:G2146"/>
    <mergeCell ref="D2147:G2147"/>
    <mergeCell ref="D2148:G2148"/>
    <mergeCell ref="D2149:G2149"/>
    <mergeCell ref="D2150:G2150"/>
    <mergeCell ref="B2152:C2152"/>
    <mergeCell ref="D2152:J2152"/>
    <mergeCell ref="B2153:C2153"/>
    <mergeCell ref="D2153:J2153"/>
    <mergeCell ref="B2154:C2154"/>
    <mergeCell ref="D2154:J2154"/>
    <mergeCell ref="B2155:C2155"/>
    <mergeCell ref="D2155:J2155"/>
    <mergeCell ref="B2156:C2156"/>
    <mergeCell ref="B2158:J2158"/>
    <mergeCell ref="G2159:J2159"/>
    <mergeCell ref="G2160:J2160"/>
    <mergeCell ref="G2161:J2161"/>
    <mergeCell ref="G2162:J2162"/>
    <mergeCell ref="G2163:J2163"/>
    <mergeCell ref="G2164:J2164"/>
    <mergeCell ref="G2165:J2165"/>
    <mergeCell ref="G2166:J2166"/>
    <mergeCell ref="G2167:J2167"/>
    <mergeCell ref="G2168:J2168"/>
    <mergeCell ref="G2169:J2169"/>
    <mergeCell ref="G2170:J2170"/>
    <mergeCell ref="G2171:J2171"/>
    <mergeCell ref="G2172:J2172"/>
    <mergeCell ref="G2173:J2173"/>
    <mergeCell ref="G2174:J2174"/>
    <mergeCell ref="G2175:J2175"/>
    <mergeCell ref="G2176:J2176"/>
    <mergeCell ref="G2177:J2177"/>
    <mergeCell ref="G2178:J2178"/>
    <mergeCell ref="G2179:J2179"/>
    <mergeCell ref="G2180:J2180"/>
    <mergeCell ref="B2182:J2182"/>
    <mergeCell ref="B2194:J2194"/>
    <mergeCell ref="C2199:D2199"/>
    <mergeCell ref="G2199:J2199"/>
    <mergeCell ref="C2200:D2200"/>
    <mergeCell ref="G2200:J2200"/>
    <mergeCell ref="D2201:G2201"/>
    <mergeCell ref="D2202:G2202"/>
    <mergeCell ref="D2203:G2203"/>
    <mergeCell ref="D2204:G2204"/>
    <mergeCell ref="D2205:G2205"/>
    <mergeCell ref="B2207:C2207"/>
    <mergeCell ref="D2207:J2207"/>
    <mergeCell ref="B2208:C2208"/>
    <mergeCell ref="D2208:J2208"/>
    <mergeCell ref="B2209:C2209"/>
    <mergeCell ref="D2209:J2209"/>
    <mergeCell ref="B2210:C2210"/>
    <mergeCell ref="D2210:J2210"/>
    <mergeCell ref="B2211:C2211"/>
    <mergeCell ref="B2213:J2213"/>
    <mergeCell ref="G2214:J2214"/>
    <mergeCell ref="G2215:J2215"/>
    <mergeCell ref="G2216:J2216"/>
    <mergeCell ref="G2217:J2217"/>
    <mergeCell ref="G2218:J2218"/>
    <mergeCell ref="G2219:J2219"/>
    <mergeCell ref="G2220:J2220"/>
    <mergeCell ref="G2221:J2221"/>
    <mergeCell ref="G2222:J2222"/>
    <mergeCell ref="G2223:J2223"/>
    <mergeCell ref="G2224:J2224"/>
    <mergeCell ref="G2225:J2225"/>
    <mergeCell ref="G2226:J2226"/>
    <mergeCell ref="G2227:J2227"/>
    <mergeCell ref="G2228:J2228"/>
    <mergeCell ref="G2229:J2229"/>
    <mergeCell ref="G2230:J2230"/>
    <mergeCell ref="G2231:J2231"/>
    <mergeCell ref="G2232:J2232"/>
    <mergeCell ref="G2233:J2233"/>
    <mergeCell ref="G2234:J2234"/>
    <mergeCell ref="G2235:J2235"/>
    <mergeCell ref="B2237:J2237"/>
    <mergeCell ref="B2249:J2249"/>
    <mergeCell ref="C2254:D2254"/>
    <mergeCell ref="G2254:J2254"/>
    <mergeCell ref="C2255:D2255"/>
    <mergeCell ref="G2255:J2255"/>
    <mergeCell ref="D2256:G2256"/>
    <mergeCell ref="D2257:G2257"/>
    <mergeCell ref="D2258:G2258"/>
    <mergeCell ref="D2259:G2259"/>
    <mergeCell ref="D2260:G2260"/>
    <mergeCell ref="B2262:C2262"/>
    <mergeCell ref="D2262:J2262"/>
    <mergeCell ref="B2263:C2263"/>
    <mergeCell ref="D2263:J2263"/>
    <mergeCell ref="B2264:C2264"/>
    <mergeCell ref="D2264:J2264"/>
    <mergeCell ref="B2265:C2265"/>
    <mergeCell ref="D2265:J2265"/>
    <mergeCell ref="B2266:C2266"/>
    <mergeCell ref="B2268:J2268"/>
    <mergeCell ref="G2269:J2269"/>
    <mergeCell ref="G2270:J2270"/>
    <mergeCell ref="G2271:J2271"/>
    <mergeCell ref="G2272:J2272"/>
    <mergeCell ref="G2273:J2273"/>
    <mergeCell ref="G2274:J2274"/>
    <mergeCell ref="G2275:J2275"/>
    <mergeCell ref="G2276:J2276"/>
    <mergeCell ref="G2277:J2277"/>
    <mergeCell ref="G2278:J2278"/>
    <mergeCell ref="G2279:J2279"/>
    <mergeCell ref="G2280:J2280"/>
    <mergeCell ref="G2281:J2281"/>
    <mergeCell ref="G2282:J2282"/>
    <mergeCell ref="G2283:J2283"/>
    <mergeCell ref="G2284:J2284"/>
    <mergeCell ref="G2285:J2285"/>
    <mergeCell ref="G2286:J2286"/>
    <mergeCell ref="G2287:J2287"/>
    <mergeCell ref="G2288:J2288"/>
    <mergeCell ref="G2289:J2289"/>
    <mergeCell ref="G2290:J2290"/>
    <mergeCell ref="B2292:J2292"/>
    <mergeCell ref="B2304:J2304"/>
    <mergeCell ref="C2309:D2309"/>
    <mergeCell ref="G2309:J2309"/>
    <mergeCell ref="C2310:D2310"/>
    <mergeCell ref="G2310:J2310"/>
    <mergeCell ref="D2311:G2311"/>
    <mergeCell ref="D2312:G2312"/>
    <mergeCell ref="D2313:G2313"/>
    <mergeCell ref="D2314:G2314"/>
    <mergeCell ref="D2315:G2315"/>
    <mergeCell ref="B2317:C2317"/>
    <mergeCell ref="D2317:J2317"/>
    <mergeCell ref="B2318:C2318"/>
    <mergeCell ref="D2318:J2318"/>
    <mergeCell ref="B2319:C2319"/>
    <mergeCell ref="D2319:J2319"/>
    <mergeCell ref="B2320:C2320"/>
    <mergeCell ref="D2320:J2320"/>
    <mergeCell ref="B2321:C2321"/>
    <mergeCell ref="B2323:J2323"/>
    <mergeCell ref="G2324:J2324"/>
    <mergeCell ref="G2325:J2325"/>
    <mergeCell ref="G2326:J2326"/>
    <mergeCell ref="G2327:J2327"/>
    <mergeCell ref="G2328:J2328"/>
    <mergeCell ref="G2329:J2329"/>
    <mergeCell ref="G2330:J2330"/>
    <mergeCell ref="G2331:J2331"/>
    <mergeCell ref="G2332:J2332"/>
    <mergeCell ref="G2333:J2333"/>
    <mergeCell ref="G2334:J2334"/>
    <mergeCell ref="G2335:J2335"/>
    <mergeCell ref="G2336:J2336"/>
    <mergeCell ref="G2337:J2337"/>
    <mergeCell ref="G2338:J2338"/>
    <mergeCell ref="G2339:J2339"/>
    <mergeCell ref="G2340:J2340"/>
    <mergeCell ref="G2341:J2341"/>
    <mergeCell ref="G2342:J2342"/>
    <mergeCell ref="G2343:J2343"/>
    <mergeCell ref="G2344:J2344"/>
    <mergeCell ref="G2345:J2345"/>
    <mergeCell ref="B2347:J2347"/>
    <mergeCell ref="B2359:J2359"/>
    <mergeCell ref="C2364:D2364"/>
    <mergeCell ref="G2364:J2364"/>
    <mergeCell ref="C2365:D2365"/>
    <mergeCell ref="G2365:J2365"/>
    <mergeCell ref="D2366:G2366"/>
    <mergeCell ref="D2367:G2367"/>
    <mergeCell ref="D2368:G2368"/>
    <mergeCell ref="D2369:G2369"/>
    <mergeCell ref="D2370:G2370"/>
    <mergeCell ref="B2372:C2372"/>
    <mergeCell ref="D2372:J2372"/>
    <mergeCell ref="B2373:C2373"/>
    <mergeCell ref="D2373:J2373"/>
    <mergeCell ref="B2374:C2374"/>
    <mergeCell ref="D2374:J2374"/>
    <mergeCell ref="B2375:C2375"/>
    <mergeCell ref="D2375:J2375"/>
    <mergeCell ref="B2376:C2376"/>
    <mergeCell ref="B2378:J2378"/>
    <mergeCell ref="G2379:J2379"/>
    <mergeCell ref="G2380:J2380"/>
    <mergeCell ref="G2381:J2381"/>
    <mergeCell ref="G2382:J2382"/>
    <mergeCell ref="G2383:J2383"/>
    <mergeCell ref="G2384:J2384"/>
    <mergeCell ref="G2385:J2385"/>
    <mergeCell ref="G2386:J2386"/>
    <mergeCell ref="G2387:J2387"/>
    <mergeCell ref="G2388:J2388"/>
    <mergeCell ref="G2389:J2389"/>
    <mergeCell ref="G2390:J2390"/>
    <mergeCell ref="G2391:J2391"/>
    <mergeCell ref="G2392:J2392"/>
    <mergeCell ref="G2393:J2393"/>
    <mergeCell ref="G2394:J2394"/>
    <mergeCell ref="G2395:J2395"/>
    <mergeCell ref="G2396:J2396"/>
    <mergeCell ref="G2397:J2397"/>
    <mergeCell ref="G2398:J2398"/>
    <mergeCell ref="G2399:J2399"/>
    <mergeCell ref="G2400:J2400"/>
    <mergeCell ref="B2402:J2402"/>
    <mergeCell ref="B2414:J2414"/>
    <mergeCell ref="C2419:D2419"/>
    <mergeCell ref="G2419:J2419"/>
    <mergeCell ref="C2420:D2420"/>
    <mergeCell ref="G2420:J2420"/>
    <mergeCell ref="D2421:G2421"/>
    <mergeCell ref="D2422:G2422"/>
    <mergeCell ref="D2423:G2423"/>
    <mergeCell ref="D2424:G2424"/>
    <mergeCell ref="D2425:G2425"/>
    <mergeCell ref="B2427:C2427"/>
    <mergeCell ref="D2427:J2427"/>
    <mergeCell ref="B2428:C2428"/>
    <mergeCell ref="D2428:J2428"/>
    <mergeCell ref="B2429:C2429"/>
    <mergeCell ref="D2429:J2429"/>
    <mergeCell ref="B2430:C2430"/>
    <mergeCell ref="D2430:J2430"/>
    <mergeCell ref="B2431:C2431"/>
    <mergeCell ref="B2433:J2433"/>
    <mergeCell ref="G2434:J2434"/>
    <mergeCell ref="G2435:J2435"/>
    <mergeCell ref="G2436:J2436"/>
    <mergeCell ref="G2437:J2437"/>
    <mergeCell ref="G2438:J2438"/>
    <mergeCell ref="G2439:J2439"/>
    <mergeCell ref="G2440:J2440"/>
    <mergeCell ref="G2441:J2441"/>
    <mergeCell ref="G2442:J2442"/>
    <mergeCell ref="G2443:J2443"/>
    <mergeCell ref="G2444:J2444"/>
    <mergeCell ref="G2445:J2445"/>
    <mergeCell ref="G2446:J2446"/>
    <mergeCell ref="G2447:J2447"/>
    <mergeCell ref="G2448:J2448"/>
    <mergeCell ref="G2449:J2449"/>
    <mergeCell ref="G2450:J2450"/>
    <mergeCell ref="G2451:J2451"/>
    <mergeCell ref="G2452:J2452"/>
    <mergeCell ref="G2453:J2453"/>
    <mergeCell ref="G2454:J2454"/>
    <mergeCell ref="G2455:J2455"/>
    <mergeCell ref="B2457:J2457"/>
    <mergeCell ref="B2469:J2469"/>
    <mergeCell ref="C2474:D2474"/>
    <mergeCell ref="G2474:J2474"/>
    <mergeCell ref="C2475:D2475"/>
    <mergeCell ref="G2475:J2475"/>
    <mergeCell ref="D2476:G2476"/>
    <mergeCell ref="D2477:G2477"/>
    <mergeCell ref="D2478:G2478"/>
    <mergeCell ref="D2479:G2479"/>
    <mergeCell ref="D2480:G2480"/>
    <mergeCell ref="B2482:C2482"/>
    <mergeCell ref="D2482:J2482"/>
    <mergeCell ref="B2483:C2483"/>
    <mergeCell ref="D2483:J2483"/>
    <mergeCell ref="B2484:C2484"/>
    <mergeCell ref="D2484:J2484"/>
    <mergeCell ref="B2485:C2485"/>
    <mergeCell ref="D2485:J2485"/>
    <mergeCell ref="B2486:C2486"/>
    <mergeCell ref="B2488:J2488"/>
    <mergeCell ref="G2489:J2489"/>
    <mergeCell ref="G2490:J2490"/>
    <mergeCell ref="G2491:J2491"/>
    <mergeCell ref="G2492:J2492"/>
    <mergeCell ref="G2493:J2493"/>
    <mergeCell ref="G2494:J2494"/>
    <mergeCell ref="G2495:J2495"/>
    <mergeCell ref="G2496:J2496"/>
    <mergeCell ref="G2497:J2497"/>
    <mergeCell ref="G2498:J2498"/>
    <mergeCell ref="G2499:J2499"/>
    <mergeCell ref="G2500:J2500"/>
    <mergeCell ref="G2501:J2501"/>
    <mergeCell ref="G2502:J2502"/>
    <mergeCell ref="G2503:J2503"/>
    <mergeCell ref="G2504:J2504"/>
    <mergeCell ref="G2505:J2505"/>
    <mergeCell ref="G2506:J2506"/>
    <mergeCell ref="G2507:J2507"/>
    <mergeCell ref="G2508:J2508"/>
    <mergeCell ref="G2509:J2509"/>
    <mergeCell ref="G2510:J2510"/>
    <mergeCell ref="B2512:J2512"/>
    <mergeCell ref="B2524:J2524"/>
    <mergeCell ref="C2529:D2529"/>
    <mergeCell ref="G2529:J2529"/>
    <mergeCell ref="C2530:D2530"/>
    <mergeCell ref="G2530:J2530"/>
    <mergeCell ref="D2531:G2531"/>
    <mergeCell ref="D2532:G2532"/>
    <mergeCell ref="D2533:G2533"/>
    <mergeCell ref="D2534:G2534"/>
    <mergeCell ref="D2535:G2535"/>
    <mergeCell ref="B2537:C2537"/>
    <mergeCell ref="D2537:J2537"/>
    <mergeCell ref="B2538:C2538"/>
    <mergeCell ref="D2538:J2538"/>
    <mergeCell ref="B2539:C2539"/>
    <mergeCell ref="D2539:J2539"/>
    <mergeCell ref="B2540:C2540"/>
    <mergeCell ref="D2540:J2540"/>
    <mergeCell ref="B2541:C2541"/>
    <mergeCell ref="B2543:J2543"/>
    <mergeCell ref="G2544:J2544"/>
    <mergeCell ref="G2545:J2545"/>
    <mergeCell ref="G2546:J2546"/>
    <mergeCell ref="G2547:J2547"/>
    <mergeCell ref="G2548:J2548"/>
    <mergeCell ref="G2549:J2549"/>
    <mergeCell ref="G2550:J2550"/>
    <mergeCell ref="G2551:J2551"/>
    <mergeCell ref="G2552:J2552"/>
    <mergeCell ref="G2553:J2553"/>
    <mergeCell ref="G2554:J2554"/>
    <mergeCell ref="G2555:J2555"/>
    <mergeCell ref="G2556:J2556"/>
    <mergeCell ref="G2557:J2557"/>
    <mergeCell ref="G2558:J2558"/>
    <mergeCell ref="G2559:J2559"/>
    <mergeCell ref="G2560:J2560"/>
    <mergeCell ref="G2561:J2561"/>
    <mergeCell ref="G2562:J2562"/>
    <mergeCell ref="G2563:J2563"/>
    <mergeCell ref="G2564:J2564"/>
    <mergeCell ref="G2565:J2565"/>
    <mergeCell ref="B2567:J2567"/>
    <mergeCell ref="B2579:J2579"/>
    <mergeCell ref="C2584:D2584"/>
    <mergeCell ref="G2584:J2584"/>
    <mergeCell ref="C2585:D2585"/>
    <mergeCell ref="G2585:J2585"/>
    <mergeCell ref="D2586:G2586"/>
    <mergeCell ref="D2587:G2587"/>
    <mergeCell ref="D2588:G2588"/>
    <mergeCell ref="D2589:G2589"/>
    <mergeCell ref="D2590:G2590"/>
    <mergeCell ref="B2592:C2592"/>
    <mergeCell ref="D2592:J2592"/>
    <mergeCell ref="B2593:C2593"/>
    <mergeCell ref="D2593:J2593"/>
    <mergeCell ref="B2594:C2594"/>
    <mergeCell ref="D2594:J2594"/>
    <mergeCell ref="B2595:C2595"/>
    <mergeCell ref="D2595:J2595"/>
    <mergeCell ref="B2596:C2596"/>
    <mergeCell ref="B2598:J2598"/>
    <mergeCell ref="G2599:J2599"/>
    <mergeCell ref="G2600:J2600"/>
    <mergeCell ref="G2601:J2601"/>
    <mergeCell ref="G2602:J2602"/>
    <mergeCell ref="G2603:J2603"/>
    <mergeCell ref="G2604:J2604"/>
    <mergeCell ref="G2605:J2605"/>
    <mergeCell ref="G2606:J2606"/>
    <mergeCell ref="G2607:J2607"/>
    <mergeCell ref="G2608:J2608"/>
    <mergeCell ref="G2609:J2609"/>
    <mergeCell ref="G2610:J2610"/>
    <mergeCell ref="G2611:J2611"/>
    <mergeCell ref="G2612:J2612"/>
    <mergeCell ref="G2613:J2613"/>
    <mergeCell ref="G2614:J2614"/>
    <mergeCell ref="G2615:J2615"/>
    <mergeCell ref="G2616:J2616"/>
    <mergeCell ref="G2617:J2617"/>
    <mergeCell ref="G2618:J2618"/>
    <mergeCell ref="G2619:J2619"/>
    <mergeCell ref="G2620:J2620"/>
    <mergeCell ref="B2622:J2622"/>
    <mergeCell ref="B2634:J2634"/>
    <mergeCell ref="C2639:D2639"/>
    <mergeCell ref="G2639:J2639"/>
    <mergeCell ref="C2640:D2640"/>
    <mergeCell ref="G2640:J2640"/>
    <mergeCell ref="D2641:G2641"/>
    <mergeCell ref="D2642:G2642"/>
    <mergeCell ref="D2643:G2643"/>
    <mergeCell ref="D2644:G2644"/>
    <mergeCell ref="D2645:G2645"/>
    <mergeCell ref="B2647:C2647"/>
    <mergeCell ref="D2647:J2647"/>
    <mergeCell ref="B2648:C2648"/>
    <mergeCell ref="D2648:J2648"/>
    <mergeCell ref="B2649:C2649"/>
    <mergeCell ref="D2649:J2649"/>
    <mergeCell ref="B2650:C2650"/>
    <mergeCell ref="D2650:J2650"/>
    <mergeCell ref="B2651:C2651"/>
    <mergeCell ref="B2653:J2653"/>
    <mergeCell ref="G2654:J2654"/>
    <mergeCell ref="G2655:J2655"/>
    <mergeCell ref="G2656:J2656"/>
    <mergeCell ref="G2657:J2657"/>
    <mergeCell ref="G2658:J2658"/>
    <mergeCell ref="G2659:J2659"/>
    <mergeCell ref="G2660:J2660"/>
    <mergeCell ref="G2661:J2661"/>
    <mergeCell ref="G2662:J2662"/>
    <mergeCell ref="G2663:J2663"/>
    <mergeCell ref="G2664:J2664"/>
    <mergeCell ref="G2665:J2665"/>
    <mergeCell ref="G2666:J2666"/>
    <mergeCell ref="G2667:J2667"/>
    <mergeCell ref="G2668:J2668"/>
    <mergeCell ref="G2669:J2669"/>
    <mergeCell ref="G2670:J2670"/>
    <mergeCell ref="G2671:J2671"/>
    <mergeCell ref="G2672:J2672"/>
    <mergeCell ref="G2673:J2673"/>
    <mergeCell ref="G2674:J2674"/>
    <mergeCell ref="G2675:J2675"/>
    <mergeCell ref="B2677:J2677"/>
    <mergeCell ref="B2689:J2689"/>
    <mergeCell ref="C2694:D2694"/>
    <mergeCell ref="G2694:J2694"/>
    <mergeCell ref="C2695:D2695"/>
    <mergeCell ref="G2695:J2695"/>
    <mergeCell ref="D2696:G2696"/>
    <mergeCell ref="D2697:G2697"/>
    <mergeCell ref="D2698:G2698"/>
    <mergeCell ref="D2699:G2699"/>
    <mergeCell ref="D2700:G2700"/>
    <mergeCell ref="B2702:C2702"/>
    <mergeCell ref="D2702:J2702"/>
    <mergeCell ref="B2703:C2703"/>
    <mergeCell ref="D2703:J2703"/>
    <mergeCell ref="B2704:C2704"/>
    <mergeCell ref="D2704:J2704"/>
    <mergeCell ref="B2705:C2705"/>
    <mergeCell ref="D2705:J2705"/>
    <mergeCell ref="B2706:C2706"/>
    <mergeCell ref="B2708:J2708"/>
    <mergeCell ref="G2709:J2709"/>
    <mergeCell ref="G2710:J2710"/>
    <mergeCell ref="G2711:J2711"/>
    <mergeCell ref="G2712:J2712"/>
    <mergeCell ref="G2713:J2713"/>
    <mergeCell ref="G2714:J2714"/>
    <mergeCell ref="G2715:J2715"/>
    <mergeCell ref="G2716:J2716"/>
    <mergeCell ref="G2717:J2717"/>
    <mergeCell ref="G2718:J2718"/>
    <mergeCell ref="G2719:J2719"/>
    <mergeCell ref="G2720:J2720"/>
    <mergeCell ref="G2721:J2721"/>
    <mergeCell ref="G2722:J2722"/>
    <mergeCell ref="G2723:J2723"/>
    <mergeCell ref="G2724:J2724"/>
    <mergeCell ref="G2725:J2725"/>
    <mergeCell ref="G2726:J2726"/>
    <mergeCell ref="G2727:J2727"/>
    <mergeCell ref="G2728:J2728"/>
    <mergeCell ref="G2729:J2729"/>
    <mergeCell ref="G2730:J2730"/>
    <mergeCell ref="B2732:J2732"/>
    <mergeCell ref="B2744:J2744"/>
    <mergeCell ref="C2749:D2749"/>
    <mergeCell ref="G2749:J2749"/>
    <mergeCell ref="C2750:D2750"/>
    <mergeCell ref="G2750:J2750"/>
    <mergeCell ref="D2751:G2751"/>
    <mergeCell ref="D2752:G2752"/>
    <mergeCell ref="D2753:G2753"/>
    <mergeCell ref="D2754:G2754"/>
    <mergeCell ref="D2755:G2755"/>
    <mergeCell ref="B2757:C2757"/>
    <mergeCell ref="D2757:J2757"/>
    <mergeCell ref="B2758:C2758"/>
    <mergeCell ref="D2758:J2758"/>
    <mergeCell ref="B2759:C2759"/>
    <mergeCell ref="D2759:J2759"/>
    <mergeCell ref="B2760:C2760"/>
    <mergeCell ref="D2760:J2760"/>
    <mergeCell ref="B2761:C2761"/>
    <mergeCell ref="B2763:J2763"/>
    <mergeCell ref="G2764:J2764"/>
    <mergeCell ref="G2765:J2765"/>
    <mergeCell ref="G2766:J2766"/>
    <mergeCell ref="G2767:J2767"/>
    <mergeCell ref="G2768:J2768"/>
    <mergeCell ref="G2769:J2769"/>
    <mergeCell ref="G2770:J2770"/>
    <mergeCell ref="G2771:J2771"/>
    <mergeCell ref="G2772:J2772"/>
    <mergeCell ref="G2773:J2773"/>
    <mergeCell ref="G2774:J2774"/>
    <mergeCell ref="G2775:J2775"/>
    <mergeCell ref="G2776:J2776"/>
    <mergeCell ref="G2777:J2777"/>
    <mergeCell ref="G2778:J2778"/>
    <mergeCell ref="G2779:J2779"/>
    <mergeCell ref="G2780:J2780"/>
    <mergeCell ref="G2781:J2781"/>
    <mergeCell ref="G2782:J2782"/>
    <mergeCell ref="G2783:J2783"/>
    <mergeCell ref="G2784:J2784"/>
    <mergeCell ref="G2785:J2785"/>
    <mergeCell ref="B2787:J2787"/>
    <mergeCell ref="B2799:J2799"/>
    <mergeCell ref="C2804:D2804"/>
    <mergeCell ref="G2804:J2804"/>
    <mergeCell ref="C2805:D2805"/>
    <mergeCell ref="G2805:J2805"/>
    <mergeCell ref="D2806:G2806"/>
    <mergeCell ref="D2807:G2807"/>
    <mergeCell ref="D2808:G2808"/>
    <mergeCell ref="D2809:G2809"/>
    <mergeCell ref="D2810:G2810"/>
    <mergeCell ref="B2812:C2812"/>
    <mergeCell ref="D2812:J2812"/>
    <mergeCell ref="B2813:C2813"/>
    <mergeCell ref="D2813:J2813"/>
    <mergeCell ref="B2814:C2814"/>
    <mergeCell ref="D2814:J2814"/>
    <mergeCell ref="B2815:C2815"/>
    <mergeCell ref="D2815:J2815"/>
    <mergeCell ref="B2816:C2816"/>
    <mergeCell ref="B2818:J2818"/>
    <mergeCell ref="G2819:J2819"/>
    <mergeCell ref="G2820:J2820"/>
    <mergeCell ref="G2821:J2821"/>
    <mergeCell ref="G2822:J2822"/>
    <mergeCell ref="G2823:J2823"/>
    <mergeCell ref="G2824:J2824"/>
    <mergeCell ref="G2825:J2825"/>
    <mergeCell ref="G2826:J2826"/>
    <mergeCell ref="G2827:J2827"/>
    <mergeCell ref="G2828:J2828"/>
    <mergeCell ref="G2829:J2829"/>
    <mergeCell ref="G2830:J2830"/>
    <mergeCell ref="G2831:J2831"/>
    <mergeCell ref="G2832:J2832"/>
    <mergeCell ref="G2833:J2833"/>
    <mergeCell ref="G2834:J2834"/>
    <mergeCell ref="G2835:J2835"/>
    <mergeCell ref="G2836:J2836"/>
    <mergeCell ref="G2837:J2837"/>
    <mergeCell ref="G2838:J2838"/>
    <mergeCell ref="G2839:J2839"/>
    <mergeCell ref="G2840:J2840"/>
    <mergeCell ref="B2842:J2842"/>
    <mergeCell ref="B2854:J2854"/>
    <mergeCell ref="C2859:D2859"/>
    <mergeCell ref="G2859:J2859"/>
    <mergeCell ref="C2860:D2860"/>
    <mergeCell ref="G2860:J2860"/>
    <mergeCell ref="D2861:G2861"/>
    <mergeCell ref="D2862:G2862"/>
    <mergeCell ref="D2863:G2863"/>
    <mergeCell ref="D2864:G2864"/>
    <mergeCell ref="D2865:G2865"/>
    <mergeCell ref="B2867:C2867"/>
    <mergeCell ref="D2867:J2867"/>
    <mergeCell ref="B2868:C2868"/>
    <mergeCell ref="D2868:J2868"/>
    <mergeCell ref="B2869:C2869"/>
    <mergeCell ref="D2869:J2869"/>
    <mergeCell ref="B2870:C2870"/>
    <mergeCell ref="D2870:J2870"/>
    <mergeCell ref="B2871:C2871"/>
    <mergeCell ref="B2873:J2873"/>
    <mergeCell ref="G2874:J2874"/>
    <mergeCell ref="G2875:J2875"/>
    <mergeCell ref="G2876:J2876"/>
    <mergeCell ref="G2877:J2877"/>
    <mergeCell ref="G2878:J2878"/>
    <mergeCell ref="G2879:J2879"/>
    <mergeCell ref="G2880:J2880"/>
    <mergeCell ref="G2881:J2881"/>
    <mergeCell ref="G2882:J2882"/>
    <mergeCell ref="G2883:J2883"/>
    <mergeCell ref="G2884:J2884"/>
    <mergeCell ref="G2885:J2885"/>
    <mergeCell ref="G2886:J2886"/>
    <mergeCell ref="G2887:J2887"/>
    <mergeCell ref="G2888:J2888"/>
    <mergeCell ref="G2889:J2889"/>
    <mergeCell ref="G2890:J2890"/>
    <mergeCell ref="G2891:J2891"/>
    <mergeCell ref="G2892:J2892"/>
    <mergeCell ref="G2893:J2893"/>
    <mergeCell ref="G2894:J2894"/>
    <mergeCell ref="G2895:J2895"/>
    <mergeCell ref="B2897:J2897"/>
    <mergeCell ref="B2909:J2909"/>
    <mergeCell ref="C2914:D2914"/>
    <mergeCell ref="G2914:J2914"/>
    <mergeCell ref="C2915:D2915"/>
    <mergeCell ref="G2915:J2915"/>
    <mergeCell ref="D2916:G2916"/>
    <mergeCell ref="D2917:G2917"/>
    <mergeCell ref="D2918:G2918"/>
    <mergeCell ref="D2919:G2919"/>
    <mergeCell ref="D2920:G2920"/>
    <mergeCell ref="B2922:C2922"/>
    <mergeCell ref="D2922:J2922"/>
    <mergeCell ref="B2923:C2923"/>
    <mergeCell ref="D2923:J2923"/>
    <mergeCell ref="B2924:C2924"/>
    <mergeCell ref="D2924:J2924"/>
    <mergeCell ref="B2925:C2925"/>
    <mergeCell ref="D2925:J2925"/>
    <mergeCell ref="B2926:C2926"/>
    <mergeCell ref="B2928:J2928"/>
    <mergeCell ref="G2929:J2929"/>
    <mergeCell ref="G2930:J2930"/>
    <mergeCell ref="G2931:J2931"/>
    <mergeCell ref="G2932:J2932"/>
    <mergeCell ref="G2933:J2933"/>
    <mergeCell ref="G2934:J2934"/>
    <mergeCell ref="G2935:J2935"/>
    <mergeCell ref="G2936:J2936"/>
    <mergeCell ref="G2937:J2937"/>
    <mergeCell ref="G2938:J2938"/>
    <mergeCell ref="G2939:J2939"/>
    <mergeCell ref="G2940:J2940"/>
    <mergeCell ref="G2941:J2941"/>
    <mergeCell ref="G2942:J2942"/>
    <mergeCell ref="G2943:J2943"/>
    <mergeCell ref="G2944:J2944"/>
    <mergeCell ref="G2945:J2945"/>
    <mergeCell ref="G2946:J2946"/>
    <mergeCell ref="G2947:J2947"/>
    <mergeCell ref="G2948:J2948"/>
    <mergeCell ref="G2949:J2949"/>
    <mergeCell ref="G2950:J2950"/>
    <mergeCell ref="B2952:J2952"/>
    <mergeCell ref="B2964:J2964"/>
    <mergeCell ref="C2969:D2969"/>
    <mergeCell ref="G2969:J2969"/>
    <mergeCell ref="C2970:D2970"/>
    <mergeCell ref="G2970:J2970"/>
    <mergeCell ref="D2971:G2971"/>
    <mergeCell ref="D2972:G2972"/>
    <mergeCell ref="D2973:G2973"/>
    <mergeCell ref="D2974:G2974"/>
    <mergeCell ref="D2975:G2975"/>
    <mergeCell ref="B2977:C2977"/>
    <mergeCell ref="D2977:J2977"/>
    <mergeCell ref="B2978:C2978"/>
    <mergeCell ref="D2978:J2978"/>
    <mergeCell ref="B2979:C2979"/>
    <mergeCell ref="D2979:J2979"/>
    <mergeCell ref="B2980:C2980"/>
    <mergeCell ref="D2980:J2980"/>
    <mergeCell ref="B2981:C2981"/>
    <mergeCell ref="B2983:J2983"/>
    <mergeCell ref="G2984:J2984"/>
    <mergeCell ref="G2985:J2985"/>
    <mergeCell ref="G2986:J2986"/>
    <mergeCell ref="G2987:J2987"/>
    <mergeCell ref="G2988:J2988"/>
    <mergeCell ref="G2989:J2989"/>
    <mergeCell ref="G2990:J2990"/>
    <mergeCell ref="G2991:J2991"/>
    <mergeCell ref="G2992:J2992"/>
    <mergeCell ref="G2993:J2993"/>
    <mergeCell ref="G2994:J2994"/>
    <mergeCell ref="G2995:J2995"/>
    <mergeCell ref="G2996:J2996"/>
    <mergeCell ref="G2997:J2997"/>
    <mergeCell ref="G2998:J2998"/>
    <mergeCell ref="G2999:J2999"/>
    <mergeCell ref="G3000:J3000"/>
    <mergeCell ref="G3001:J3001"/>
    <mergeCell ref="G3002:J3002"/>
    <mergeCell ref="G3003:J3003"/>
    <mergeCell ref="G3004:J3004"/>
    <mergeCell ref="G3005:J3005"/>
    <mergeCell ref="B3007:J3007"/>
    <mergeCell ref="B3019:J3019"/>
    <mergeCell ref="C3024:D3024"/>
    <mergeCell ref="G3024:J3024"/>
    <mergeCell ref="C3025:D3025"/>
    <mergeCell ref="G3025:J3025"/>
    <mergeCell ref="D3026:G3026"/>
    <mergeCell ref="D3027:G3027"/>
    <mergeCell ref="D3028:G3028"/>
    <mergeCell ref="D3029:G3029"/>
    <mergeCell ref="D3030:G3030"/>
    <mergeCell ref="B3032:C3032"/>
    <mergeCell ref="D3032:J3032"/>
    <mergeCell ref="B3033:C3033"/>
    <mergeCell ref="D3033:J3033"/>
    <mergeCell ref="B3034:C3034"/>
    <mergeCell ref="D3034:J3034"/>
    <mergeCell ref="B3035:C3035"/>
    <mergeCell ref="D3035:J3035"/>
    <mergeCell ref="B3036:C3036"/>
    <mergeCell ref="B3038:J3038"/>
    <mergeCell ref="G3039:J3039"/>
    <mergeCell ref="G3040:J3040"/>
    <mergeCell ref="G3041:J3041"/>
    <mergeCell ref="G3042:J3042"/>
    <mergeCell ref="G3043:J3043"/>
    <mergeCell ref="G3044:J3044"/>
    <mergeCell ref="G3045:J3045"/>
    <mergeCell ref="G3046:J3046"/>
    <mergeCell ref="G3047:J3047"/>
    <mergeCell ref="G3048:J3048"/>
    <mergeCell ref="G3049:J3049"/>
    <mergeCell ref="G3050:J3050"/>
    <mergeCell ref="G3051:J3051"/>
    <mergeCell ref="G3052:J3052"/>
    <mergeCell ref="G3053:J3053"/>
    <mergeCell ref="G3054:J3054"/>
    <mergeCell ref="G3055:J3055"/>
    <mergeCell ref="G3056:J3056"/>
    <mergeCell ref="G3057:J3057"/>
    <mergeCell ref="G3058:J3058"/>
    <mergeCell ref="G3059:J3059"/>
    <mergeCell ref="G3060:J3060"/>
    <mergeCell ref="B3062:J3062"/>
    <mergeCell ref="B3074:J3074"/>
    <mergeCell ref="C3079:D3079"/>
    <mergeCell ref="G3079:J3079"/>
    <mergeCell ref="C3080:D3080"/>
    <mergeCell ref="G3080:J3080"/>
    <mergeCell ref="D3081:G3081"/>
    <mergeCell ref="D3082:G3082"/>
    <mergeCell ref="D3083:G3083"/>
    <mergeCell ref="D3084:G3084"/>
    <mergeCell ref="D3085:G3085"/>
    <mergeCell ref="B3087:C3087"/>
    <mergeCell ref="D3087:J3087"/>
    <mergeCell ref="B3088:C3088"/>
    <mergeCell ref="D3088:J3088"/>
    <mergeCell ref="B3089:C3089"/>
    <mergeCell ref="D3089:J3089"/>
    <mergeCell ref="B3090:C3090"/>
    <mergeCell ref="D3090:J3090"/>
    <mergeCell ref="B3091:C3091"/>
    <mergeCell ref="B3093:J3093"/>
    <mergeCell ref="G3094:J3094"/>
    <mergeCell ref="G3095:J3095"/>
    <mergeCell ref="G3096:J3096"/>
    <mergeCell ref="G3097:J3097"/>
    <mergeCell ref="G3098:J3098"/>
    <mergeCell ref="G3099:J3099"/>
    <mergeCell ref="G3100:J3100"/>
    <mergeCell ref="G3101:J3101"/>
    <mergeCell ref="G3102:J3102"/>
    <mergeCell ref="G3103:J3103"/>
    <mergeCell ref="G3104:J3104"/>
    <mergeCell ref="G3105:J3105"/>
    <mergeCell ref="G3106:J3106"/>
    <mergeCell ref="G3107:J3107"/>
    <mergeCell ref="G3108:J3108"/>
    <mergeCell ref="G3109:J3109"/>
    <mergeCell ref="G3110:J3110"/>
    <mergeCell ref="G3111:J3111"/>
    <mergeCell ref="G3112:J3112"/>
    <mergeCell ref="G3113:J3113"/>
    <mergeCell ref="G3114:J3114"/>
    <mergeCell ref="G3115:J3115"/>
    <mergeCell ref="B3117:J3117"/>
    <mergeCell ref="B3129:J3129"/>
    <mergeCell ref="C3134:D3134"/>
    <mergeCell ref="G3134:J3134"/>
    <mergeCell ref="C3135:D3135"/>
    <mergeCell ref="G3135:J3135"/>
    <mergeCell ref="D3136:G3136"/>
    <mergeCell ref="D3137:G3137"/>
    <mergeCell ref="D3138:G3138"/>
    <mergeCell ref="D3139:G3139"/>
    <mergeCell ref="D3140:G3140"/>
    <mergeCell ref="B3142:C3142"/>
    <mergeCell ref="D3142:J3142"/>
    <mergeCell ref="B3143:C3143"/>
    <mergeCell ref="D3143:J3143"/>
    <mergeCell ref="B3144:C3144"/>
    <mergeCell ref="D3144:J3144"/>
    <mergeCell ref="B3145:C3145"/>
    <mergeCell ref="D3145:J3145"/>
    <mergeCell ref="B3146:C3146"/>
    <mergeCell ref="B3148:J3148"/>
    <mergeCell ref="G3149:J3149"/>
    <mergeCell ref="G3150:J3150"/>
    <mergeCell ref="G3151:J3151"/>
    <mergeCell ref="G3152:J3152"/>
    <mergeCell ref="G3153:J3153"/>
    <mergeCell ref="G3154:J3154"/>
    <mergeCell ref="G3155:J3155"/>
    <mergeCell ref="G3156:J3156"/>
    <mergeCell ref="G3157:J3157"/>
    <mergeCell ref="G3158:J3158"/>
    <mergeCell ref="G3159:J3159"/>
    <mergeCell ref="G3160:J3160"/>
    <mergeCell ref="G3161:J3161"/>
    <mergeCell ref="G3162:J3162"/>
    <mergeCell ref="G3163:J3163"/>
    <mergeCell ref="G3164:J3164"/>
    <mergeCell ref="G3165:J3165"/>
    <mergeCell ref="G3166:J3166"/>
    <mergeCell ref="G3167:J3167"/>
    <mergeCell ref="G3168:J3168"/>
    <mergeCell ref="G3169:J3169"/>
    <mergeCell ref="G3170:J3170"/>
    <mergeCell ref="B3172:J3172"/>
    <mergeCell ref="B3184:J3184"/>
    <mergeCell ref="C3189:D3189"/>
    <mergeCell ref="G3189:J3189"/>
    <mergeCell ref="C3190:D3190"/>
    <mergeCell ref="G3190:J3190"/>
    <mergeCell ref="D3191:G3191"/>
    <mergeCell ref="D3192:G3192"/>
    <mergeCell ref="D3193:G3193"/>
    <mergeCell ref="D3194:G3194"/>
    <mergeCell ref="D3195:G3195"/>
    <mergeCell ref="B3197:C3197"/>
    <mergeCell ref="D3197:J3197"/>
    <mergeCell ref="B3198:C3198"/>
    <mergeCell ref="D3198:J3198"/>
    <mergeCell ref="B3199:C3199"/>
    <mergeCell ref="D3199:J3199"/>
    <mergeCell ref="B3200:C3200"/>
    <mergeCell ref="D3200:J3200"/>
    <mergeCell ref="B3201:C3201"/>
    <mergeCell ref="B3203:J3203"/>
    <mergeCell ref="G3204:J3204"/>
    <mergeCell ref="G3205:J3205"/>
    <mergeCell ref="G3206:J3206"/>
    <mergeCell ref="G3207:J3207"/>
    <mergeCell ref="G3208:J3208"/>
    <mergeCell ref="G3209:J3209"/>
    <mergeCell ref="G3210:J3210"/>
    <mergeCell ref="G3211:J3211"/>
    <mergeCell ref="G3212:J3212"/>
    <mergeCell ref="G3213:J3213"/>
    <mergeCell ref="G3214:J3214"/>
    <mergeCell ref="G3215:J3215"/>
    <mergeCell ref="G3216:J3216"/>
    <mergeCell ref="G3217:J3217"/>
    <mergeCell ref="G3218:J3218"/>
    <mergeCell ref="G3219:J3219"/>
    <mergeCell ref="G3220:J3220"/>
    <mergeCell ref="G3221:J3221"/>
    <mergeCell ref="G3222:J3222"/>
    <mergeCell ref="G3223:J3223"/>
    <mergeCell ref="G3224:J3224"/>
    <mergeCell ref="G3225:J3225"/>
    <mergeCell ref="B3227:J3227"/>
    <mergeCell ref="B3239:J3239"/>
    <mergeCell ref="C3244:D3244"/>
    <mergeCell ref="G3244:J3244"/>
    <mergeCell ref="C3245:D3245"/>
    <mergeCell ref="G3245:J3245"/>
    <mergeCell ref="D3246:G3246"/>
    <mergeCell ref="D3247:G3247"/>
    <mergeCell ref="D3248:G3248"/>
    <mergeCell ref="D3249:G3249"/>
    <mergeCell ref="D3250:G3250"/>
    <mergeCell ref="B3252:C3252"/>
    <mergeCell ref="D3252:J3252"/>
    <mergeCell ref="B3253:C3253"/>
    <mergeCell ref="D3253:J3253"/>
    <mergeCell ref="B3254:C3254"/>
    <mergeCell ref="D3254:J3254"/>
    <mergeCell ref="B3255:C3255"/>
    <mergeCell ref="D3255:J3255"/>
    <mergeCell ref="B3256:C3256"/>
    <mergeCell ref="B3258:J3258"/>
    <mergeCell ref="G3259:J3259"/>
    <mergeCell ref="G3260:J3260"/>
    <mergeCell ref="G3261:J3261"/>
    <mergeCell ref="G3262:J3262"/>
    <mergeCell ref="G3263:J3263"/>
    <mergeCell ref="G3264:J3264"/>
    <mergeCell ref="G3265:J3265"/>
    <mergeCell ref="G3266:J3266"/>
    <mergeCell ref="G3267:J3267"/>
    <mergeCell ref="G3268:J3268"/>
    <mergeCell ref="G3269:J3269"/>
    <mergeCell ref="G3270:J3270"/>
    <mergeCell ref="G3271:J3271"/>
    <mergeCell ref="G3272:J3272"/>
    <mergeCell ref="G3273:J3273"/>
    <mergeCell ref="G3274:J3274"/>
    <mergeCell ref="G3275:J3275"/>
    <mergeCell ref="G3276:J3276"/>
    <mergeCell ref="G3277:J3277"/>
    <mergeCell ref="G3278:J3278"/>
    <mergeCell ref="G3279:J3279"/>
    <mergeCell ref="G3280:J3280"/>
    <mergeCell ref="B3282:J3282"/>
    <mergeCell ref="B3294:J3294"/>
    <mergeCell ref="C3299:D3299"/>
    <mergeCell ref="G3299:J3299"/>
    <mergeCell ref="C3300:D3300"/>
    <mergeCell ref="G3300:J3300"/>
    <mergeCell ref="D3301:G3301"/>
    <mergeCell ref="D3302:G3302"/>
    <mergeCell ref="D3303:G3303"/>
    <mergeCell ref="D3304:G3304"/>
    <mergeCell ref="D3305:G3305"/>
    <mergeCell ref="B3307:C3307"/>
    <mergeCell ref="D3307:J3307"/>
    <mergeCell ref="B3308:C3308"/>
    <mergeCell ref="D3308:J3308"/>
    <mergeCell ref="B3309:C3309"/>
    <mergeCell ref="D3309:J3309"/>
    <mergeCell ref="B3310:C3310"/>
    <mergeCell ref="D3310:J3310"/>
    <mergeCell ref="B3311:C3311"/>
    <mergeCell ref="B3313:J3313"/>
    <mergeCell ref="G3314:J3314"/>
    <mergeCell ref="G3315:J3315"/>
    <mergeCell ref="G3316:J3316"/>
    <mergeCell ref="G3317:J3317"/>
    <mergeCell ref="G3318:J3318"/>
    <mergeCell ref="G3319:J3319"/>
    <mergeCell ref="G3320:J3320"/>
    <mergeCell ref="G3321:J3321"/>
    <mergeCell ref="G3322:J3322"/>
    <mergeCell ref="G3323:J3323"/>
    <mergeCell ref="G3324:J3324"/>
    <mergeCell ref="G3325:J3325"/>
    <mergeCell ref="G3326:J3326"/>
    <mergeCell ref="G3327:J3327"/>
    <mergeCell ref="G3328:J3328"/>
    <mergeCell ref="G3329:J3329"/>
    <mergeCell ref="G3330:J3330"/>
    <mergeCell ref="G3331:J3331"/>
    <mergeCell ref="G3332:J3332"/>
    <mergeCell ref="G3333:J3333"/>
    <mergeCell ref="G3334:J3334"/>
    <mergeCell ref="G3335:J3335"/>
    <mergeCell ref="B3337:J3337"/>
    <mergeCell ref="B3349:J3349"/>
    <mergeCell ref="C3354:D3354"/>
    <mergeCell ref="G3354:J3354"/>
    <mergeCell ref="C3355:D3355"/>
    <mergeCell ref="G3355:J3355"/>
    <mergeCell ref="D3356:G3356"/>
    <mergeCell ref="D3357:G3357"/>
    <mergeCell ref="D3358:G3358"/>
    <mergeCell ref="D3359:G3359"/>
    <mergeCell ref="D3360:G3360"/>
    <mergeCell ref="B3362:C3362"/>
    <mergeCell ref="D3362:J3362"/>
    <mergeCell ref="B3363:C3363"/>
    <mergeCell ref="D3363:J3363"/>
    <mergeCell ref="B3364:C3364"/>
    <mergeCell ref="D3364:J3364"/>
    <mergeCell ref="B3365:C3365"/>
    <mergeCell ref="D3365:J3365"/>
    <mergeCell ref="B3366:C3366"/>
    <mergeCell ref="B3368:J3368"/>
    <mergeCell ref="G3369:J3369"/>
    <mergeCell ref="G3370:J3370"/>
    <mergeCell ref="G3371:J3371"/>
    <mergeCell ref="G3372:J3372"/>
    <mergeCell ref="G3373:J3373"/>
    <mergeCell ref="G3374:J3374"/>
    <mergeCell ref="G3375:J3375"/>
    <mergeCell ref="G3376:J3376"/>
    <mergeCell ref="G3377:J3377"/>
    <mergeCell ref="G3378:J3378"/>
    <mergeCell ref="G3379:J3379"/>
    <mergeCell ref="G3380:J3380"/>
    <mergeCell ref="G3381:J3381"/>
    <mergeCell ref="G3382:J3382"/>
    <mergeCell ref="G3383:J3383"/>
    <mergeCell ref="G3384:J3384"/>
    <mergeCell ref="G3385:J3385"/>
    <mergeCell ref="G3386:J3386"/>
    <mergeCell ref="G3387:J3387"/>
    <mergeCell ref="G3388:J3388"/>
    <mergeCell ref="G3389:J3389"/>
    <mergeCell ref="G3390:J3390"/>
    <mergeCell ref="B3392:J3392"/>
    <mergeCell ref="B3404:J3404"/>
    <mergeCell ref="C3409:D3409"/>
    <mergeCell ref="G3409:J3409"/>
    <mergeCell ref="C3410:D3410"/>
    <mergeCell ref="G3410:J3410"/>
    <mergeCell ref="D3411:G3411"/>
    <mergeCell ref="D3412:G3412"/>
    <mergeCell ref="D3413:G3413"/>
    <mergeCell ref="D3414:G3414"/>
    <mergeCell ref="D3415:G3415"/>
    <mergeCell ref="B3417:C3417"/>
    <mergeCell ref="D3417:J3417"/>
    <mergeCell ref="B3418:C3418"/>
    <mergeCell ref="D3418:J3418"/>
    <mergeCell ref="B3419:C3419"/>
    <mergeCell ref="D3419:J3419"/>
    <mergeCell ref="B3420:C3420"/>
    <mergeCell ref="D3420:J3420"/>
    <mergeCell ref="B3421:C3421"/>
    <mergeCell ref="B3423:J3423"/>
    <mergeCell ref="G3424:J3424"/>
    <mergeCell ref="G3425:J3425"/>
    <mergeCell ref="G3426:J3426"/>
    <mergeCell ref="G3427:J3427"/>
    <mergeCell ref="G3428:J3428"/>
    <mergeCell ref="G3429:J3429"/>
    <mergeCell ref="G3430:J3430"/>
    <mergeCell ref="G3431:J3431"/>
    <mergeCell ref="G3432:J3432"/>
    <mergeCell ref="G3433:J3433"/>
    <mergeCell ref="G3434:J3434"/>
    <mergeCell ref="G3435:J3435"/>
    <mergeCell ref="G3436:J3436"/>
    <mergeCell ref="G3437:J3437"/>
    <mergeCell ref="G3438:J3438"/>
    <mergeCell ref="G3439:J3439"/>
    <mergeCell ref="G3440:J3440"/>
    <mergeCell ref="G3441:J3441"/>
    <mergeCell ref="G3442:J3442"/>
    <mergeCell ref="G3443:J3443"/>
    <mergeCell ref="G3444:J3444"/>
    <mergeCell ref="G3445:J3445"/>
    <mergeCell ref="B3447:J3447"/>
    <mergeCell ref="B3459:J3459"/>
    <mergeCell ref="C3464:D3464"/>
    <mergeCell ref="G3464:J3464"/>
    <mergeCell ref="C3465:D3465"/>
    <mergeCell ref="G3465:J3465"/>
    <mergeCell ref="D3466:G3466"/>
    <mergeCell ref="D3467:G3467"/>
    <mergeCell ref="D3468:G3468"/>
    <mergeCell ref="D3469:G3469"/>
    <mergeCell ref="D3470:G3470"/>
    <mergeCell ref="B3472:C3472"/>
    <mergeCell ref="D3472:J3472"/>
    <mergeCell ref="B3473:C3473"/>
    <mergeCell ref="D3473:J3473"/>
    <mergeCell ref="B3474:C3474"/>
    <mergeCell ref="D3474:J3474"/>
    <mergeCell ref="B3475:C3475"/>
    <mergeCell ref="D3475:J3475"/>
    <mergeCell ref="B3476:C3476"/>
    <mergeCell ref="B3478:J3478"/>
    <mergeCell ref="G3479:J3479"/>
    <mergeCell ref="G3480:J3480"/>
    <mergeCell ref="G3481:J3481"/>
    <mergeCell ref="G3482:J3482"/>
    <mergeCell ref="G3483:J3483"/>
    <mergeCell ref="G3484:J3484"/>
    <mergeCell ref="G3485:J3485"/>
    <mergeCell ref="G3486:J3486"/>
    <mergeCell ref="G3487:J3487"/>
    <mergeCell ref="G3488:J3488"/>
    <mergeCell ref="G3489:J3489"/>
    <mergeCell ref="G3490:J3490"/>
    <mergeCell ref="G3491:J3491"/>
    <mergeCell ref="G3492:J3492"/>
    <mergeCell ref="G3493:J3493"/>
    <mergeCell ref="G3494:J3494"/>
    <mergeCell ref="G3495:J3495"/>
    <mergeCell ref="G3496:J3496"/>
    <mergeCell ref="G3497:J3497"/>
    <mergeCell ref="G3498:J3498"/>
    <mergeCell ref="G3499:J3499"/>
    <mergeCell ref="G3500:J3500"/>
    <mergeCell ref="B3502:J3502"/>
    <mergeCell ref="B3514:J3514"/>
    <mergeCell ref="C3519:D3519"/>
    <mergeCell ref="G3519:J3519"/>
    <mergeCell ref="C3520:D3520"/>
    <mergeCell ref="G3520:J3520"/>
    <mergeCell ref="D3521:G3521"/>
    <mergeCell ref="D3522:G3522"/>
    <mergeCell ref="D3523:G3523"/>
    <mergeCell ref="D3524:G3524"/>
    <mergeCell ref="D3525:G3525"/>
    <mergeCell ref="B3527:C3527"/>
    <mergeCell ref="D3527:J3527"/>
    <mergeCell ref="B3528:C3528"/>
    <mergeCell ref="D3528:J3528"/>
    <mergeCell ref="B3529:C3529"/>
    <mergeCell ref="D3529:J3529"/>
    <mergeCell ref="B3530:C3530"/>
    <mergeCell ref="D3530:J3530"/>
    <mergeCell ref="B3531:C3531"/>
    <mergeCell ref="B3533:J3533"/>
    <mergeCell ref="G3534:J3534"/>
    <mergeCell ref="G3535:J3535"/>
    <mergeCell ref="G3536:J3536"/>
    <mergeCell ref="G3537:J3537"/>
    <mergeCell ref="G3538:J3538"/>
    <mergeCell ref="G3539:J3539"/>
    <mergeCell ref="G3540:J3540"/>
    <mergeCell ref="G3541:J3541"/>
    <mergeCell ref="G3542:J3542"/>
    <mergeCell ref="G3543:J3543"/>
    <mergeCell ref="G3544:J3544"/>
    <mergeCell ref="G3545:J3545"/>
    <mergeCell ref="G3546:J3546"/>
    <mergeCell ref="G3547:J3547"/>
    <mergeCell ref="G3548:J3548"/>
    <mergeCell ref="G3549:J3549"/>
    <mergeCell ref="G3550:J3550"/>
    <mergeCell ref="G3551:J3551"/>
    <mergeCell ref="G3552:J3552"/>
    <mergeCell ref="G3553:J3553"/>
    <mergeCell ref="G3554:J3554"/>
    <mergeCell ref="G3555:J3555"/>
    <mergeCell ref="B3557:J3557"/>
    <mergeCell ref="B3569:J3569"/>
    <mergeCell ref="C3574:D3574"/>
    <mergeCell ref="G3574:J3574"/>
    <mergeCell ref="C3575:D3575"/>
    <mergeCell ref="G3575:J3575"/>
    <mergeCell ref="D3576:G3576"/>
    <mergeCell ref="D3577:G3577"/>
    <mergeCell ref="D3578:G3578"/>
    <mergeCell ref="D3579:G3579"/>
    <mergeCell ref="D3580:G3580"/>
    <mergeCell ref="B3582:C3582"/>
    <mergeCell ref="D3582:J3582"/>
    <mergeCell ref="B3583:C3583"/>
    <mergeCell ref="D3583:J3583"/>
    <mergeCell ref="B3584:C3584"/>
    <mergeCell ref="D3584:J3584"/>
    <mergeCell ref="B3585:C3585"/>
    <mergeCell ref="D3585:J3585"/>
    <mergeCell ref="B3586:C3586"/>
    <mergeCell ref="B3588:J3588"/>
    <mergeCell ref="G3589:J3589"/>
    <mergeCell ref="G3590:J3590"/>
    <mergeCell ref="G3591:J3591"/>
    <mergeCell ref="G3592:J3592"/>
    <mergeCell ref="G3593:J3593"/>
    <mergeCell ref="G3594:J3594"/>
    <mergeCell ref="G3595:J3595"/>
    <mergeCell ref="G3596:J3596"/>
    <mergeCell ref="G3597:J3597"/>
    <mergeCell ref="G3598:J3598"/>
    <mergeCell ref="G3599:J3599"/>
    <mergeCell ref="G3600:J3600"/>
    <mergeCell ref="G3601:J3601"/>
    <mergeCell ref="G3602:J3602"/>
    <mergeCell ref="G3603:J3603"/>
    <mergeCell ref="G3604:J3604"/>
    <mergeCell ref="G3605:J3605"/>
    <mergeCell ref="G3606:J3606"/>
    <mergeCell ref="G3607:J3607"/>
    <mergeCell ref="G3608:J3608"/>
    <mergeCell ref="G3609:J3609"/>
    <mergeCell ref="G3610:J3610"/>
    <mergeCell ref="B3612:J3612"/>
    <mergeCell ref="B3624:J3624"/>
    <mergeCell ref="C3629:D3629"/>
    <mergeCell ref="G3629:J3629"/>
    <mergeCell ref="C3630:D3630"/>
    <mergeCell ref="G3630:J3630"/>
    <mergeCell ref="D3631:G3631"/>
    <mergeCell ref="D3632:G3632"/>
    <mergeCell ref="D3633:G3633"/>
    <mergeCell ref="D3634:G3634"/>
    <mergeCell ref="D3635:G3635"/>
    <mergeCell ref="B3637:C3637"/>
    <mergeCell ref="D3637:J3637"/>
    <mergeCell ref="B3638:C3638"/>
    <mergeCell ref="D3638:J3638"/>
    <mergeCell ref="B3639:C3639"/>
    <mergeCell ref="D3639:J3639"/>
    <mergeCell ref="B3640:C3640"/>
    <mergeCell ref="D3640:J3640"/>
    <mergeCell ref="B3641:C3641"/>
    <mergeCell ref="B3643:J3643"/>
    <mergeCell ref="G3644:J3644"/>
    <mergeCell ref="G3645:J3645"/>
    <mergeCell ref="G3646:J3646"/>
    <mergeCell ref="G3647:J3647"/>
    <mergeCell ref="G3648:J3648"/>
    <mergeCell ref="G3649:J3649"/>
    <mergeCell ref="G3650:J3650"/>
    <mergeCell ref="G3651:J3651"/>
    <mergeCell ref="G3652:J3652"/>
    <mergeCell ref="G3653:J3653"/>
    <mergeCell ref="G3654:J3654"/>
    <mergeCell ref="G3655:J3655"/>
    <mergeCell ref="G3656:J3656"/>
    <mergeCell ref="G3657:J3657"/>
    <mergeCell ref="G3658:J3658"/>
    <mergeCell ref="G3659:J3659"/>
    <mergeCell ref="G3660:J3660"/>
    <mergeCell ref="G3661:J3661"/>
    <mergeCell ref="G3662:J3662"/>
    <mergeCell ref="G3663:J3663"/>
    <mergeCell ref="G3664:J3664"/>
    <mergeCell ref="G3665:J3665"/>
    <mergeCell ref="B3667:J3667"/>
    <mergeCell ref="B3679:J3679"/>
    <mergeCell ref="C3684:D3684"/>
    <mergeCell ref="G3684:J3684"/>
    <mergeCell ref="C3685:D3685"/>
    <mergeCell ref="G3685:J3685"/>
    <mergeCell ref="D3686:G3686"/>
    <mergeCell ref="D3687:G3687"/>
    <mergeCell ref="D3688:G3688"/>
    <mergeCell ref="D3689:G3689"/>
    <mergeCell ref="D3690:G3690"/>
    <mergeCell ref="B3692:C3692"/>
    <mergeCell ref="D3692:J3692"/>
    <mergeCell ref="B3693:C3693"/>
    <mergeCell ref="D3693:J3693"/>
    <mergeCell ref="B3694:C3694"/>
    <mergeCell ref="D3694:J3694"/>
    <mergeCell ref="B3695:C3695"/>
    <mergeCell ref="D3695:J3695"/>
    <mergeCell ref="B3696:C3696"/>
    <mergeCell ref="B3698:J3698"/>
    <mergeCell ref="G3699:J3699"/>
    <mergeCell ref="G3700:J3700"/>
    <mergeCell ref="G3701:J3701"/>
    <mergeCell ref="G3702:J3702"/>
    <mergeCell ref="G3703:J3703"/>
    <mergeCell ref="G3704:J3704"/>
    <mergeCell ref="G3705:J3705"/>
    <mergeCell ref="G3706:J3706"/>
    <mergeCell ref="G3707:J3707"/>
    <mergeCell ref="G3708:J3708"/>
    <mergeCell ref="G3709:J3709"/>
    <mergeCell ref="G3710:J3710"/>
    <mergeCell ref="G3711:J3711"/>
    <mergeCell ref="G3712:J3712"/>
    <mergeCell ref="G3713:J3713"/>
    <mergeCell ref="G3714:J3714"/>
    <mergeCell ref="G3715:J3715"/>
    <mergeCell ref="G3716:J3716"/>
    <mergeCell ref="G3717:J3717"/>
    <mergeCell ref="G3718:J3718"/>
    <mergeCell ref="G3719:J3719"/>
    <mergeCell ref="G3720:J3720"/>
    <mergeCell ref="B3722:J3722"/>
    <mergeCell ref="B3734:J3734"/>
    <mergeCell ref="C3739:D3739"/>
    <mergeCell ref="G3739:J3739"/>
    <mergeCell ref="C3740:D3740"/>
    <mergeCell ref="G3740:J3740"/>
    <mergeCell ref="D3741:G3741"/>
    <mergeCell ref="D3742:G3742"/>
    <mergeCell ref="D3743:G3743"/>
    <mergeCell ref="D3744:G3744"/>
    <mergeCell ref="D3745:G3745"/>
    <mergeCell ref="B3747:C3747"/>
    <mergeCell ref="D3747:J3747"/>
    <mergeCell ref="B3748:C3748"/>
    <mergeCell ref="D3748:J3748"/>
    <mergeCell ref="B3749:C3749"/>
    <mergeCell ref="D3749:J3749"/>
    <mergeCell ref="B3750:C3750"/>
    <mergeCell ref="D3750:J3750"/>
    <mergeCell ref="B3751:C3751"/>
    <mergeCell ref="B3753:J3753"/>
    <mergeCell ref="G3754:J3754"/>
    <mergeCell ref="G3755:J3755"/>
    <mergeCell ref="G3756:J3756"/>
    <mergeCell ref="G3757:J3757"/>
    <mergeCell ref="G3758:J3758"/>
    <mergeCell ref="G3759:J3759"/>
    <mergeCell ref="G3760:J3760"/>
    <mergeCell ref="G3761:J3761"/>
    <mergeCell ref="G3762:J3762"/>
    <mergeCell ref="G3763:J3763"/>
    <mergeCell ref="G3764:J3764"/>
    <mergeCell ref="G3765:J3765"/>
    <mergeCell ref="G3766:J3766"/>
    <mergeCell ref="G3767:J3767"/>
    <mergeCell ref="G3768:J3768"/>
    <mergeCell ref="G3769:J3769"/>
    <mergeCell ref="G3770:J3770"/>
    <mergeCell ref="G3771:J3771"/>
    <mergeCell ref="G3772:J3772"/>
    <mergeCell ref="G3773:J3773"/>
    <mergeCell ref="G3774:J3774"/>
    <mergeCell ref="G3775:J3775"/>
    <mergeCell ref="B3777:J3777"/>
    <mergeCell ref="B3789:J3789"/>
    <mergeCell ref="C3794:D3794"/>
    <mergeCell ref="G3794:J3794"/>
    <mergeCell ref="C3795:D3795"/>
    <mergeCell ref="G3795:J3795"/>
    <mergeCell ref="D3796:G3796"/>
    <mergeCell ref="D3797:G3797"/>
    <mergeCell ref="D3798:G3798"/>
    <mergeCell ref="D3799:G3799"/>
    <mergeCell ref="D3800:G3800"/>
    <mergeCell ref="B3802:C3802"/>
    <mergeCell ref="D3802:J3802"/>
    <mergeCell ref="B3803:C3803"/>
    <mergeCell ref="D3803:J3803"/>
    <mergeCell ref="B3804:C3804"/>
    <mergeCell ref="D3804:J3804"/>
    <mergeCell ref="B3805:C3805"/>
    <mergeCell ref="D3805:J3805"/>
    <mergeCell ref="B3806:C3806"/>
    <mergeCell ref="B3808:J3808"/>
    <mergeCell ref="G3809:J3809"/>
    <mergeCell ref="G3810:J3810"/>
    <mergeCell ref="G3811:J3811"/>
    <mergeCell ref="G3812:J3812"/>
    <mergeCell ref="G3813:J3813"/>
    <mergeCell ref="G3814:J3814"/>
    <mergeCell ref="G3815:J3815"/>
    <mergeCell ref="G3816:J3816"/>
    <mergeCell ref="G3817:J3817"/>
    <mergeCell ref="G3818:J3818"/>
    <mergeCell ref="G3819:J3819"/>
    <mergeCell ref="G3820:J3820"/>
    <mergeCell ref="G3821:J3821"/>
    <mergeCell ref="G3822:J3822"/>
    <mergeCell ref="G3823:J3823"/>
    <mergeCell ref="G3824:J3824"/>
    <mergeCell ref="G3825:J3825"/>
    <mergeCell ref="G3826:J3826"/>
    <mergeCell ref="G3827:J3827"/>
    <mergeCell ref="G3828:J3828"/>
    <mergeCell ref="G3829:J3829"/>
    <mergeCell ref="G3830:J3830"/>
    <mergeCell ref="B3832:J3832"/>
    <mergeCell ref="B3844:J3844"/>
    <mergeCell ref="C3849:D3849"/>
    <mergeCell ref="G3849:J3849"/>
    <mergeCell ref="C3850:D3850"/>
    <mergeCell ref="G3850:J3850"/>
    <mergeCell ref="D3851:G3851"/>
    <mergeCell ref="D3852:G3852"/>
    <mergeCell ref="D3853:G3853"/>
    <mergeCell ref="D3854:G3854"/>
    <mergeCell ref="D3855:G3855"/>
    <mergeCell ref="B3857:C3857"/>
    <mergeCell ref="D3857:J3857"/>
    <mergeCell ref="B3858:C3858"/>
    <mergeCell ref="D3858:J3858"/>
    <mergeCell ref="B3859:C3859"/>
    <mergeCell ref="D3859:J3859"/>
    <mergeCell ref="B3860:C3860"/>
    <mergeCell ref="D3860:J3860"/>
    <mergeCell ref="B3861:C3861"/>
    <mergeCell ref="B3863:J3863"/>
    <mergeCell ref="G3864:J3864"/>
    <mergeCell ref="G3865:J3865"/>
    <mergeCell ref="G3866:J3866"/>
    <mergeCell ref="G3867:J3867"/>
    <mergeCell ref="G3868:J3868"/>
    <mergeCell ref="G3869:J3869"/>
    <mergeCell ref="G3870:J3870"/>
    <mergeCell ref="G3871:J3871"/>
    <mergeCell ref="G3872:J3872"/>
    <mergeCell ref="G3873:J3873"/>
    <mergeCell ref="G3874:J3874"/>
    <mergeCell ref="G3875:J3875"/>
    <mergeCell ref="G3876:J3876"/>
    <mergeCell ref="G3877:J3877"/>
    <mergeCell ref="G3878:J3878"/>
    <mergeCell ref="G3879:J3879"/>
    <mergeCell ref="G3880:J3880"/>
    <mergeCell ref="G3881:J3881"/>
    <mergeCell ref="G3882:J3882"/>
    <mergeCell ref="G3883:J3883"/>
    <mergeCell ref="G3884:J3884"/>
    <mergeCell ref="G3885:J3885"/>
    <mergeCell ref="B3887:J3887"/>
    <mergeCell ref="B3899:J3899"/>
    <mergeCell ref="C3904:D3904"/>
    <mergeCell ref="G3904:J3904"/>
    <mergeCell ref="C3905:D3905"/>
    <mergeCell ref="G3905:J3905"/>
    <mergeCell ref="D3906:G3906"/>
    <mergeCell ref="D3907:G3907"/>
    <mergeCell ref="D3908:G3908"/>
    <mergeCell ref="D3909:G3909"/>
    <mergeCell ref="D3910:G3910"/>
    <mergeCell ref="B3912:C3912"/>
    <mergeCell ref="D3912:J3912"/>
    <mergeCell ref="B3913:C3913"/>
    <mergeCell ref="D3913:J3913"/>
    <mergeCell ref="B3914:C3914"/>
    <mergeCell ref="D3914:J3914"/>
    <mergeCell ref="B3915:C3915"/>
    <mergeCell ref="D3915:J3915"/>
    <mergeCell ref="B3916:C3916"/>
    <mergeCell ref="B3918:J3918"/>
    <mergeCell ref="G3919:J3919"/>
    <mergeCell ref="G3920:J3920"/>
    <mergeCell ref="G3921:J3921"/>
    <mergeCell ref="G3922:J3922"/>
    <mergeCell ref="G3923:J3923"/>
    <mergeCell ref="G3924:J3924"/>
    <mergeCell ref="G3925:J3925"/>
    <mergeCell ref="G3926:J3926"/>
    <mergeCell ref="G3927:J3927"/>
    <mergeCell ref="G3928:J3928"/>
    <mergeCell ref="G3929:J3929"/>
    <mergeCell ref="G3930:J3930"/>
    <mergeCell ref="G3931:J3931"/>
    <mergeCell ref="G3932:J3932"/>
    <mergeCell ref="G3933:J3933"/>
    <mergeCell ref="G3934:J3934"/>
    <mergeCell ref="G3935:J3935"/>
    <mergeCell ref="G3936:J3936"/>
    <mergeCell ref="G3937:J3937"/>
    <mergeCell ref="G3938:J3938"/>
    <mergeCell ref="G3939:J3939"/>
    <mergeCell ref="G3940:J3940"/>
    <mergeCell ref="B3942:J3942"/>
    <mergeCell ref="B3954:J3954"/>
    <mergeCell ref="C3959:D3959"/>
    <mergeCell ref="G3959:J3959"/>
    <mergeCell ref="C3960:D3960"/>
    <mergeCell ref="G3960:J3960"/>
    <mergeCell ref="D3961:G3961"/>
    <mergeCell ref="D3962:G3962"/>
    <mergeCell ref="D3963:G3963"/>
    <mergeCell ref="D3964:G3964"/>
    <mergeCell ref="D3965:G3965"/>
    <mergeCell ref="B3967:C3967"/>
    <mergeCell ref="D3967:J3967"/>
    <mergeCell ref="B3968:C3968"/>
    <mergeCell ref="D3968:J3968"/>
    <mergeCell ref="B3969:C3969"/>
    <mergeCell ref="D3969:J3969"/>
    <mergeCell ref="B3970:C3970"/>
    <mergeCell ref="D3970:J3970"/>
    <mergeCell ref="B3971:C3971"/>
    <mergeCell ref="B3973:J3973"/>
    <mergeCell ref="G3974:J3974"/>
    <mergeCell ref="G3975:J3975"/>
    <mergeCell ref="G3976:J3976"/>
    <mergeCell ref="G3977:J3977"/>
    <mergeCell ref="G3978:J3978"/>
    <mergeCell ref="G3979:J3979"/>
    <mergeCell ref="G3980:J3980"/>
    <mergeCell ref="G3981:J3981"/>
    <mergeCell ref="G3982:J3982"/>
    <mergeCell ref="G3983:J3983"/>
    <mergeCell ref="G3984:J3984"/>
    <mergeCell ref="G3985:J3985"/>
    <mergeCell ref="G3986:J3986"/>
    <mergeCell ref="G3987:J3987"/>
    <mergeCell ref="G3988:J3988"/>
    <mergeCell ref="G3989:J3989"/>
    <mergeCell ref="G3990:J3990"/>
    <mergeCell ref="G3991:J3991"/>
    <mergeCell ref="G3992:J3992"/>
    <mergeCell ref="G3993:J3993"/>
    <mergeCell ref="G3994:J3994"/>
    <mergeCell ref="G3995:J3995"/>
    <mergeCell ref="B3997:J3997"/>
    <mergeCell ref="B4009:J4009"/>
    <mergeCell ref="C4014:D4014"/>
    <mergeCell ref="G4014:J4014"/>
    <mergeCell ref="C4015:D4015"/>
    <mergeCell ref="G4015:J4015"/>
    <mergeCell ref="D4016:G4016"/>
    <mergeCell ref="D4017:G4017"/>
    <mergeCell ref="D4018:G4018"/>
    <mergeCell ref="D4019:G4019"/>
    <mergeCell ref="D4020:G4020"/>
    <mergeCell ref="B4022:C4022"/>
    <mergeCell ref="D4022:J4022"/>
    <mergeCell ref="B4023:C4023"/>
    <mergeCell ref="D4023:J4023"/>
    <mergeCell ref="B4024:C4024"/>
    <mergeCell ref="D4024:J4024"/>
    <mergeCell ref="B4025:C4025"/>
    <mergeCell ref="D4025:J4025"/>
    <mergeCell ref="B4026:C4026"/>
    <mergeCell ref="B4028:J4028"/>
    <mergeCell ref="G4029:J4029"/>
    <mergeCell ref="G4030:J4030"/>
    <mergeCell ref="G4031:J4031"/>
    <mergeCell ref="G4032:J4032"/>
    <mergeCell ref="G4033:J4033"/>
    <mergeCell ref="G4034:J4034"/>
    <mergeCell ref="G4035:J4035"/>
    <mergeCell ref="G4036:J4036"/>
    <mergeCell ref="G4037:J4037"/>
    <mergeCell ref="G4038:J4038"/>
    <mergeCell ref="G4039:J4039"/>
    <mergeCell ref="G4040:J4040"/>
    <mergeCell ref="G4041:J4041"/>
    <mergeCell ref="G4042:J4042"/>
    <mergeCell ref="G4043:J4043"/>
    <mergeCell ref="G4044:J4044"/>
    <mergeCell ref="G4045:J4045"/>
    <mergeCell ref="G4046:J4046"/>
    <mergeCell ref="G4047:J4047"/>
    <mergeCell ref="G4048:J4048"/>
    <mergeCell ref="G4049:J4049"/>
    <mergeCell ref="G4050:J4050"/>
    <mergeCell ref="B4052:J4052"/>
    <mergeCell ref="B4064:J4064"/>
    <mergeCell ref="C4069:D4069"/>
    <mergeCell ref="G4069:J4069"/>
    <mergeCell ref="C4070:D4070"/>
    <mergeCell ref="G4070:J4070"/>
    <mergeCell ref="D4071:G4071"/>
    <mergeCell ref="D4072:G4072"/>
    <mergeCell ref="D4073:G4073"/>
    <mergeCell ref="D4074:G4074"/>
    <mergeCell ref="D4075:G4075"/>
    <mergeCell ref="B4077:C4077"/>
    <mergeCell ref="D4077:J4077"/>
    <mergeCell ref="B4078:C4078"/>
    <mergeCell ref="D4078:J4078"/>
    <mergeCell ref="B4079:C4079"/>
    <mergeCell ref="D4079:J4079"/>
    <mergeCell ref="B4080:C4080"/>
    <mergeCell ref="D4080:J4080"/>
    <mergeCell ref="B4081:C4081"/>
    <mergeCell ref="B4083:J4083"/>
    <mergeCell ref="G4084:J4084"/>
    <mergeCell ref="G4085:J4085"/>
    <mergeCell ref="G4086:J4086"/>
    <mergeCell ref="G4087:J4087"/>
    <mergeCell ref="G4088:J4088"/>
    <mergeCell ref="G4089:J4089"/>
    <mergeCell ref="G4090:J4090"/>
    <mergeCell ref="G4091:J4091"/>
    <mergeCell ref="G4092:J4092"/>
    <mergeCell ref="G4093:J4093"/>
    <mergeCell ref="G4094:J4094"/>
    <mergeCell ref="G4095:J4095"/>
    <mergeCell ref="G4096:J4096"/>
    <mergeCell ref="G4097:J4097"/>
    <mergeCell ref="G4098:J4098"/>
    <mergeCell ref="G4099:J4099"/>
    <mergeCell ref="G4100:J4100"/>
    <mergeCell ref="G4101:J4101"/>
    <mergeCell ref="G4102:J4102"/>
    <mergeCell ref="G4103:J4103"/>
    <mergeCell ref="G4104:J4104"/>
    <mergeCell ref="G4105:J4105"/>
    <mergeCell ref="B4107:J4107"/>
    <mergeCell ref="B4119:J4119"/>
    <mergeCell ref="C4124:D4124"/>
    <mergeCell ref="G4124:J4124"/>
    <mergeCell ref="C4125:D4125"/>
    <mergeCell ref="G4125:J4125"/>
    <mergeCell ref="I1:J5"/>
    <mergeCell ref="I56:J60"/>
    <mergeCell ref="I111:J115"/>
    <mergeCell ref="I221:J225"/>
    <mergeCell ref="I166:J170"/>
    <mergeCell ref="I441:J445"/>
    <mergeCell ref="I386:J390"/>
    <mergeCell ref="I331:J335"/>
    <mergeCell ref="I276:J280"/>
    <mergeCell ref="I881:J885"/>
    <mergeCell ref="I826:J830"/>
    <mergeCell ref="I771:J775"/>
    <mergeCell ref="I716:J720"/>
    <mergeCell ref="I661:J665"/>
    <mergeCell ref="I606:J610"/>
    <mergeCell ref="I551:J555"/>
    <mergeCell ref="I496:J500"/>
    <mergeCell ref="I1761:J1765"/>
    <mergeCell ref="I1706:J1710"/>
    <mergeCell ref="I1651:J1655"/>
    <mergeCell ref="I1596:J1600"/>
    <mergeCell ref="I1541:J1545"/>
    <mergeCell ref="I1486:J1490"/>
    <mergeCell ref="I4071:J4075"/>
    <mergeCell ref="I4016:J4020"/>
    <mergeCell ref="I3961:J3965"/>
    <mergeCell ref="I3906:J3910"/>
    <mergeCell ref="I3851:J3855"/>
    <mergeCell ref="I3796:J3800"/>
    <mergeCell ref="I3741:J3745"/>
    <mergeCell ref="I3686:J3690"/>
    <mergeCell ref="I3631:J3635"/>
    <mergeCell ref="I3576:J3580"/>
    <mergeCell ref="I3521:J3525"/>
    <mergeCell ref="I3466:J3470"/>
    <mergeCell ref="I3411:J3415"/>
    <mergeCell ref="I3356:J3360"/>
    <mergeCell ref="I3301:J3305"/>
    <mergeCell ref="I3246:J3250"/>
    <mergeCell ref="I3191:J3195"/>
    <mergeCell ref="I3136:J3140"/>
    <mergeCell ref="I3081:J3085"/>
    <mergeCell ref="I3026:J3030"/>
    <mergeCell ref="I2971:J2975"/>
    <mergeCell ref="I2916:J2920"/>
    <mergeCell ref="I2861:J2865"/>
    <mergeCell ref="I2806:J2810"/>
    <mergeCell ref="I2751:J2755"/>
    <mergeCell ref="I2696:J2700"/>
    <mergeCell ref="I2641:J2645"/>
    <mergeCell ref="I2586:J2590"/>
    <mergeCell ref="I2531:J2535"/>
    <mergeCell ref="I2476:J2480"/>
    <mergeCell ref="I2421:J2425"/>
    <mergeCell ref="I2366:J2370"/>
    <mergeCell ref="I2311:J2315"/>
    <mergeCell ref="I2256:J2260"/>
    <mergeCell ref="I2201:J2205"/>
    <mergeCell ref="I2146:J2150"/>
    <mergeCell ref="I2091:J2095"/>
    <mergeCell ref="I2036:J2040"/>
    <mergeCell ref="I1981:J1985"/>
    <mergeCell ref="I1926:J1930"/>
    <mergeCell ref="I1871:J1875"/>
    <mergeCell ref="I1816:J1820"/>
    <mergeCell ref="I1431:J1435"/>
    <mergeCell ref="I1376:J1380"/>
    <mergeCell ref="I1321:J1325"/>
    <mergeCell ref="I1266:J1270"/>
    <mergeCell ref="I1211:J1215"/>
    <mergeCell ref="I1156:J1160"/>
    <mergeCell ref="I1101:J1105"/>
    <mergeCell ref="I1046:J1050"/>
    <mergeCell ref="I991:J995"/>
    <mergeCell ref="I936:J940"/>
  </mergeCells>
  <conditionalFormatting sqref="G36">
    <cfRule type="expression" dxfId="3" priority="227">
      <formula>ISNA(G36)</formula>
    </cfRule>
  </conditionalFormatting>
  <conditionalFormatting sqref="G91">
    <cfRule type="expression" dxfId="3" priority="224">
      <formula>ISNA(G91)</formula>
    </cfRule>
  </conditionalFormatting>
  <conditionalFormatting sqref="G146">
    <cfRule type="expression" dxfId="3" priority="221">
      <formula>ISNA(G146)</formula>
    </cfRule>
  </conditionalFormatting>
  <conditionalFormatting sqref="G201">
    <cfRule type="expression" dxfId="3" priority="218">
      <formula>ISNA(G201)</formula>
    </cfRule>
  </conditionalFormatting>
  <conditionalFormatting sqref="G256">
    <cfRule type="expression" dxfId="3" priority="215">
      <formula>ISNA(G256)</formula>
    </cfRule>
  </conditionalFormatting>
  <conditionalFormatting sqref="G311">
    <cfRule type="expression" dxfId="3" priority="212">
      <formula>ISNA(G311)</formula>
    </cfRule>
  </conditionalFormatting>
  <conditionalFormatting sqref="G366">
    <cfRule type="expression" dxfId="3" priority="209">
      <formula>ISNA(G366)</formula>
    </cfRule>
  </conditionalFormatting>
  <conditionalFormatting sqref="G421">
    <cfRule type="expression" dxfId="3" priority="206">
      <formula>ISNA(G421)</formula>
    </cfRule>
  </conditionalFormatting>
  <conditionalFormatting sqref="G476">
    <cfRule type="expression" dxfId="3" priority="203">
      <formula>ISNA(G476)</formula>
    </cfRule>
  </conditionalFormatting>
  <conditionalFormatting sqref="G531">
    <cfRule type="expression" dxfId="3" priority="200">
      <formula>ISNA(G531)</formula>
    </cfRule>
  </conditionalFormatting>
  <conditionalFormatting sqref="G586">
    <cfRule type="expression" dxfId="3" priority="197">
      <formula>ISNA(G586)</formula>
    </cfRule>
  </conditionalFormatting>
  <conditionalFormatting sqref="G641">
    <cfRule type="expression" dxfId="3" priority="194">
      <formula>ISNA(G641)</formula>
    </cfRule>
  </conditionalFormatting>
  <conditionalFormatting sqref="G696">
    <cfRule type="expression" dxfId="3" priority="191">
      <formula>ISNA(G696)</formula>
    </cfRule>
  </conditionalFormatting>
  <conditionalFormatting sqref="G751">
    <cfRule type="expression" dxfId="3" priority="188">
      <formula>ISNA(G751)</formula>
    </cfRule>
  </conditionalFormatting>
  <conditionalFormatting sqref="G806">
    <cfRule type="expression" dxfId="3" priority="185">
      <formula>ISNA(G806)</formula>
    </cfRule>
  </conditionalFormatting>
  <conditionalFormatting sqref="G861">
    <cfRule type="expression" dxfId="3" priority="182">
      <formula>ISNA(G861)</formula>
    </cfRule>
  </conditionalFormatting>
  <conditionalFormatting sqref="G916">
    <cfRule type="expression" dxfId="3" priority="179">
      <formula>ISNA(G916)</formula>
    </cfRule>
  </conditionalFormatting>
  <conditionalFormatting sqref="G971">
    <cfRule type="expression" dxfId="3" priority="176">
      <formula>ISNA(G971)</formula>
    </cfRule>
  </conditionalFormatting>
  <conditionalFormatting sqref="G1026">
    <cfRule type="expression" dxfId="3" priority="173">
      <formula>ISNA(G1026)</formula>
    </cfRule>
  </conditionalFormatting>
  <conditionalFormatting sqref="G1081">
    <cfRule type="expression" dxfId="3" priority="170">
      <formula>ISNA(G1081)</formula>
    </cfRule>
  </conditionalFormatting>
  <conditionalFormatting sqref="G1136">
    <cfRule type="expression" dxfId="3" priority="167">
      <formula>ISNA(G1136)</formula>
    </cfRule>
  </conditionalFormatting>
  <conditionalFormatting sqref="G1191">
    <cfRule type="expression" dxfId="3" priority="164">
      <formula>ISNA(G1191)</formula>
    </cfRule>
  </conditionalFormatting>
  <conditionalFormatting sqref="G1246">
    <cfRule type="expression" dxfId="3" priority="161">
      <formula>ISNA(G1246)</formula>
    </cfRule>
  </conditionalFormatting>
  <conditionalFormatting sqref="G1301">
    <cfRule type="expression" dxfId="3" priority="158">
      <formula>ISNA(G1301)</formula>
    </cfRule>
  </conditionalFormatting>
  <conditionalFormatting sqref="G1356">
    <cfRule type="expression" dxfId="3" priority="155">
      <formula>ISNA(G1356)</formula>
    </cfRule>
  </conditionalFormatting>
  <conditionalFormatting sqref="G1411">
    <cfRule type="expression" dxfId="3" priority="152">
      <formula>ISNA(G1411)</formula>
    </cfRule>
  </conditionalFormatting>
  <conditionalFormatting sqref="G1466">
    <cfRule type="expression" dxfId="3" priority="149">
      <formula>ISNA(G1466)</formula>
    </cfRule>
  </conditionalFormatting>
  <conditionalFormatting sqref="G1521">
    <cfRule type="expression" dxfId="3" priority="146">
      <formula>ISNA(G1521)</formula>
    </cfRule>
  </conditionalFormatting>
  <conditionalFormatting sqref="G1576">
    <cfRule type="expression" dxfId="3" priority="143">
      <formula>ISNA(G1576)</formula>
    </cfRule>
  </conditionalFormatting>
  <conditionalFormatting sqref="G1631">
    <cfRule type="expression" dxfId="3" priority="140">
      <formula>ISNA(G1631)</formula>
    </cfRule>
  </conditionalFormatting>
  <conditionalFormatting sqref="G1686">
    <cfRule type="expression" dxfId="3" priority="137">
      <formula>ISNA(G1686)</formula>
    </cfRule>
  </conditionalFormatting>
  <conditionalFormatting sqref="G1741">
    <cfRule type="expression" dxfId="3" priority="134">
      <formula>ISNA(G1741)</formula>
    </cfRule>
  </conditionalFormatting>
  <conditionalFormatting sqref="G1796">
    <cfRule type="expression" dxfId="3" priority="131">
      <formula>ISNA(G1796)</formula>
    </cfRule>
  </conditionalFormatting>
  <conditionalFormatting sqref="G1851">
    <cfRule type="expression" dxfId="3" priority="128">
      <formula>ISNA(G1851)</formula>
    </cfRule>
  </conditionalFormatting>
  <conditionalFormatting sqref="G1906">
    <cfRule type="expression" dxfId="3" priority="125">
      <formula>ISNA(G1906)</formula>
    </cfRule>
  </conditionalFormatting>
  <conditionalFormatting sqref="G1961">
    <cfRule type="expression" dxfId="3" priority="122">
      <formula>ISNA(G1961)</formula>
    </cfRule>
  </conditionalFormatting>
  <conditionalFormatting sqref="G2016">
    <cfRule type="expression" dxfId="3" priority="119">
      <formula>ISNA(G2016)</formula>
    </cfRule>
  </conditionalFormatting>
  <conditionalFormatting sqref="G2071">
    <cfRule type="expression" dxfId="3" priority="116">
      <formula>ISNA(G2071)</formula>
    </cfRule>
  </conditionalFormatting>
  <conditionalFormatting sqref="G2126">
    <cfRule type="expression" dxfId="3" priority="113">
      <formula>ISNA(G2126)</formula>
    </cfRule>
  </conditionalFormatting>
  <conditionalFormatting sqref="G2181">
    <cfRule type="expression" dxfId="3" priority="110">
      <formula>ISNA(G2181)</formula>
    </cfRule>
  </conditionalFormatting>
  <conditionalFormatting sqref="G2236">
    <cfRule type="expression" dxfId="3" priority="107">
      <formula>ISNA(G2236)</formula>
    </cfRule>
  </conditionalFormatting>
  <conditionalFormatting sqref="G2291">
    <cfRule type="expression" dxfId="3" priority="104">
      <formula>ISNA(G2291)</formula>
    </cfRule>
  </conditionalFormatting>
  <conditionalFormatting sqref="G2346">
    <cfRule type="expression" dxfId="3" priority="101">
      <formula>ISNA(G2346)</formula>
    </cfRule>
  </conditionalFormatting>
  <conditionalFormatting sqref="G2401">
    <cfRule type="expression" dxfId="3" priority="98">
      <formula>ISNA(G2401)</formula>
    </cfRule>
  </conditionalFormatting>
  <conditionalFormatting sqref="G2456">
    <cfRule type="expression" dxfId="3" priority="95">
      <formula>ISNA(G2456)</formula>
    </cfRule>
  </conditionalFormatting>
  <conditionalFormatting sqref="G2511">
    <cfRule type="expression" dxfId="3" priority="92">
      <formula>ISNA(G2511)</formula>
    </cfRule>
  </conditionalFormatting>
  <conditionalFormatting sqref="G2566">
    <cfRule type="expression" dxfId="3" priority="89">
      <formula>ISNA(G2566)</formula>
    </cfRule>
  </conditionalFormatting>
  <conditionalFormatting sqref="G2621">
    <cfRule type="expression" dxfId="3" priority="86">
      <formula>ISNA(G2621)</formula>
    </cfRule>
  </conditionalFormatting>
  <conditionalFormatting sqref="G2676">
    <cfRule type="expression" dxfId="3" priority="83">
      <formula>ISNA(G2676)</formula>
    </cfRule>
  </conditionalFormatting>
  <conditionalFormatting sqref="G2731">
    <cfRule type="expression" dxfId="3" priority="80">
      <formula>ISNA(G2731)</formula>
    </cfRule>
  </conditionalFormatting>
  <conditionalFormatting sqref="G2786">
    <cfRule type="expression" dxfId="3" priority="77">
      <formula>ISNA(G2786)</formula>
    </cfRule>
  </conditionalFormatting>
  <conditionalFormatting sqref="G2841">
    <cfRule type="expression" dxfId="3" priority="74">
      <formula>ISNA(G2841)</formula>
    </cfRule>
  </conditionalFormatting>
  <conditionalFormatting sqref="G2896">
    <cfRule type="expression" dxfId="3" priority="71">
      <formula>ISNA(G2896)</formula>
    </cfRule>
  </conditionalFormatting>
  <conditionalFormatting sqref="G2951">
    <cfRule type="expression" dxfId="3" priority="68">
      <formula>ISNA(G2951)</formula>
    </cfRule>
  </conditionalFormatting>
  <conditionalFormatting sqref="G3006">
    <cfRule type="expression" dxfId="3" priority="65">
      <formula>ISNA(G3006)</formula>
    </cfRule>
  </conditionalFormatting>
  <conditionalFormatting sqref="G3061">
    <cfRule type="expression" dxfId="3" priority="62">
      <formula>ISNA(G3061)</formula>
    </cfRule>
  </conditionalFormatting>
  <conditionalFormatting sqref="G3116">
    <cfRule type="expression" dxfId="3" priority="59">
      <formula>ISNA(G3116)</formula>
    </cfRule>
  </conditionalFormatting>
  <conditionalFormatting sqref="G3171">
    <cfRule type="expression" dxfId="3" priority="56">
      <formula>ISNA(G3171)</formula>
    </cfRule>
  </conditionalFormatting>
  <conditionalFormatting sqref="G3226">
    <cfRule type="expression" dxfId="3" priority="53">
      <formula>ISNA(G3226)</formula>
    </cfRule>
  </conditionalFormatting>
  <conditionalFormatting sqref="G3281">
    <cfRule type="expression" dxfId="3" priority="50">
      <formula>ISNA(G3281)</formula>
    </cfRule>
  </conditionalFormatting>
  <conditionalFormatting sqref="G3336">
    <cfRule type="expression" dxfId="3" priority="47">
      <formula>ISNA(G3336)</formula>
    </cfRule>
  </conditionalFormatting>
  <conditionalFormatting sqref="G3391">
    <cfRule type="expression" dxfId="3" priority="44">
      <formula>ISNA(G3391)</formula>
    </cfRule>
  </conditionalFormatting>
  <conditionalFormatting sqref="G3446">
    <cfRule type="expression" dxfId="3" priority="41">
      <formula>ISNA(G3446)</formula>
    </cfRule>
  </conditionalFormatting>
  <conditionalFormatting sqref="G3501">
    <cfRule type="expression" dxfId="3" priority="38">
      <formula>ISNA(G3501)</formula>
    </cfRule>
  </conditionalFormatting>
  <conditionalFormatting sqref="G3556">
    <cfRule type="expression" dxfId="3" priority="35">
      <formula>ISNA(G3556)</formula>
    </cfRule>
  </conditionalFormatting>
  <conditionalFormatting sqref="G3611">
    <cfRule type="expression" dxfId="3" priority="32">
      <formula>ISNA(G3611)</formula>
    </cfRule>
  </conditionalFormatting>
  <conditionalFormatting sqref="G3666">
    <cfRule type="expression" dxfId="3" priority="29">
      <formula>ISNA(G3666)</formula>
    </cfRule>
  </conditionalFormatting>
  <conditionalFormatting sqref="G3721">
    <cfRule type="expression" dxfId="3" priority="26">
      <formula>ISNA(G3721)</formula>
    </cfRule>
  </conditionalFormatting>
  <conditionalFormatting sqref="G3776">
    <cfRule type="expression" dxfId="3" priority="23">
      <formula>ISNA(G3776)</formula>
    </cfRule>
  </conditionalFormatting>
  <conditionalFormatting sqref="G3831">
    <cfRule type="expression" dxfId="3" priority="20">
      <formula>ISNA(G3831)</formula>
    </cfRule>
  </conditionalFormatting>
  <conditionalFormatting sqref="G3886">
    <cfRule type="expression" dxfId="3" priority="17">
      <formula>ISNA(G3886)</formula>
    </cfRule>
  </conditionalFormatting>
  <conditionalFormatting sqref="G3941">
    <cfRule type="expression" dxfId="3" priority="14">
      <formula>ISNA(G3941)</formula>
    </cfRule>
  </conditionalFormatting>
  <conditionalFormatting sqref="G3996">
    <cfRule type="expression" dxfId="3" priority="11">
      <formula>ISNA(G3996)</formula>
    </cfRule>
  </conditionalFormatting>
  <conditionalFormatting sqref="G4051">
    <cfRule type="expression" dxfId="3" priority="8">
      <formula>ISNA(G4051)</formula>
    </cfRule>
  </conditionalFormatting>
  <conditionalFormatting sqref="G4106">
    <cfRule type="expression" dxfId="3" priority="5">
      <formula>ISNA(G4106)</formula>
    </cfRule>
  </conditionalFormatting>
  <conditionalFormatting sqref="G15:G35">
    <cfRule type="expression" dxfId="3" priority="226">
      <formula>ISNA(G15)</formula>
    </cfRule>
  </conditionalFormatting>
  <conditionalFormatting sqref="G70:G90">
    <cfRule type="expression" dxfId="3" priority="223">
      <formula>ISNA(G70)</formula>
    </cfRule>
  </conditionalFormatting>
  <conditionalFormatting sqref="G125:G145">
    <cfRule type="expression" dxfId="3" priority="220">
      <formula>ISNA(G125)</formula>
    </cfRule>
  </conditionalFormatting>
  <conditionalFormatting sqref="G180:G200">
    <cfRule type="expression" dxfId="3" priority="217">
      <formula>ISNA(G180)</formula>
    </cfRule>
  </conditionalFormatting>
  <conditionalFormatting sqref="G235:G255">
    <cfRule type="expression" dxfId="3" priority="214">
      <formula>ISNA(G235)</formula>
    </cfRule>
  </conditionalFormatting>
  <conditionalFormatting sqref="G290:G310">
    <cfRule type="expression" dxfId="3" priority="211">
      <formula>ISNA(G290)</formula>
    </cfRule>
  </conditionalFormatting>
  <conditionalFormatting sqref="G345:G365">
    <cfRule type="expression" dxfId="3" priority="208">
      <formula>ISNA(G345)</formula>
    </cfRule>
  </conditionalFormatting>
  <conditionalFormatting sqref="G400:G420">
    <cfRule type="expression" dxfId="3" priority="205">
      <formula>ISNA(G400)</formula>
    </cfRule>
  </conditionalFormatting>
  <conditionalFormatting sqref="G455:G475">
    <cfRule type="expression" dxfId="3" priority="202">
      <formula>ISNA(G455)</formula>
    </cfRule>
  </conditionalFormatting>
  <conditionalFormatting sqref="G510:G530">
    <cfRule type="expression" dxfId="3" priority="199">
      <formula>ISNA(G510)</formula>
    </cfRule>
  </conditionalFormatting>
  <conditionalFormatting sqref="G565:G585">
    <cfRule type="expression" dxfId="3" priority="196">
      <formula>ISNA(G565)</formula>
    </cfRule>
  </conditionalFormatting>
  <conditionalFormatting sqref="G620:G640">
    <cfRule type="expression" dxfId="3" priority="193">
      <formula>ISNA(G620)</formula>
    </cfRule>
  </conditionalFormatting>
  <conditionalFormatting sqref="G675:G695">
    <cfRule type="expression" dxfId="3" priority="190">
      <formula>ISNA(G675)</formula>
    </cfRule>
  </conditionalFormatting>
  <conditionalFormatting sqref="G730:G750">
    <cfRule type="expression" dxfId="3" priority="187">
      <formula>ISNA(G730)</formula>
    </cfRule>
  </conditionalFormatting>
  <conditionalFormatting sqref="G785:G805">
    <cfRule type="expression" dxfId="3" priority="184">
      <formula>ISNA(G785)</formula>
    </cfRule>
  </conditionalFormatting>
  <conditionalFormatting sqref="G840:G860">
    <cfRule type="expression" dxfId="3" priority="181">
      <formula>ISNA(G840)</formula>
    </cfRule>
  </conditionalFormatting>
  <conditionalFormatting sqref="G895:G915">
    <cfRule type="expression" dxfId="3" priority="178">
      <formula>ISNA(G895)</formula>
    </cfRule>
  </conditionalFormatting>
  <conditionalFormatting sqref="G950:G970">
    <cfRule type="expression" dxfId="3" priority="175">
      <formula>ISNA(G950)</formula>
    </cfRule>
  </conditionalFormatting>
  <conditionalFormatting sqref="G1005:G1025">
    <cfRule type="expression" dxfId="3" priority="172">
      <formula>ISNA(G1005)</formula>
    </cfRule>
  </conditionalFormatting>
  <conditionalFormatting sqref="G1060:G1080">
    <cfRule type="expression" dxfId="3" priority="169">
      <formula>ISNA(G1060)</formula>
    </cfRule>
  </conditionalFormatting>
  <conditionalFormatting sqref="G1115:G1135">
    <cfRule type="expression" dxfId="3" priority="166">
      <formula>ISNA(G1115)</formula>
    </cfRule>
  </conditionalFormatting>
  <conditionalFormatting sqref="G1170:G1190">
    <cfRule type="expression" dxfId="3" priority="163">
      <formula>ISNA(G1170)</formula>
    </cfRule>
  </conditionalFormatting>
  <conditionalFormatting sqref="G1225:G1245">
    <cfRule type="expression" dxfId="3" priority="160">
      <formula>ISNA(G1225)</formula>
    </cfRule>
  </conditionalFormatting>
  <conditionalFormatting sqref="G1280:G1300">
    <cfRule type="expression" dxfId="3" priority="157">
      <formula>ISNA(G1280)</formula>
    </cfRule>
  </conditionalFormatting>
  <conditionalFormatting sqref="G1335:G1355">
    <cfRule type="expression" dxfId="3" priority="154">
      <formula>ISNA(G1335)</formula>
    </cfRule>
  </conditionalFormatting>
  <conditionalFormatting sqref="G1390:G1410">
    <cfRule type="expression" dxfId="3" priority="151">
      <formula>ISNA(G1390)</formula>
    </cfRule>
  </conditionalFormatting>
  <conditionalFormatting sqref="G1445:G1465">
    <cfRule type="expression" dxfId="3" priority="148">
      <formula>ISNA(G1445)</formula>
    </cfRule>
  </conditionalFormatting>
  <conditionalFormatting sqref="G1500:G1520">
    <cfRule type="expression" dxfId="3" priority="145">
      <formula>ISNA(G1500)</formula>
    </cfRule>
  </conditionalFormatting>
  <conditionalFormatting sqref="G1555:G1575">
    <cfRule type="expression" dxfId="3" priority="142">
      <formula>ISNA(G1555)</formula>
    </cfRule>
  </conditionalFormatting>
  <conditionalFormatting sqref="G1610:G1630">
    <cfRule type="expression" dxfId="3" priority="139">
      <formula>ISNA(G1610)</formula>
    </cfRule>
  </conditionalFormatting>
  <conditionalFormatting sqref="G1665:G1685">
    <cfRule type="expression" dxfId="3" priority="136">
      <formula>ISNA(G1665)</formula>
    </cfRule>
  </conditionalFormatting>
  <conditionalFormatting sqref="G1720:G1740">
    <cfRule type="expression" dxfId="3" priority="133">
      <formula>ISNA(G1720)</formula>
    </cfRule>
  </conditionalFormatting>
  <conditionalFormatting sqref="G1775:G1795">
    <cfRule type="expression" dxfId="3" priority="130">
      <formula>ISNA(G1775)</formula>
    </cfRule>
  </conditionalFormatting>
  <conditionalFormatting sqref="G1830:G1850">
    <cfRule type="expression" dxfId="3" priority="127">
      <formula>ISNA(G1830)</formula>
    </cfRule>
  </conditionalFormatting>
  <conditionalFormatting sqref="G1885:G1905">
    <cfRule type="expression" dxfId="3" priority="124">
      <formula>ISNA(G1885)</formula>
    </cfRule>
  </conditionalFormatting>
  <conditionalFormatting sqref="G1940:G1960">
    <cfRule type="expression" dxfId="3" priority="121">
      <formula>ISNA(G1940)</formula>
    </cfRule>
  </conditionalFormatting>
  <conditionalFormatting sqref="G1995:G2015">
    <cfRule type="expression" dxfId="3" priority="118">
      <formula>ISNA(G1995)</formula>
    </cfRule>
  </conditionalFormatting>
  <conditionalFormatting sqref="G2050:G2070">
    <cfRule type="expression" dxfId="3" priority="115">
      <formula>ISNA(G2050)</formula>
    </cfRule>
  </conditionalFormatting>
  <conditionalFormatting sqref="G2105:G2125">
    <cfRule type="expression" dxfId="3" priority="112">
      <formula>ISNA(G2105)</formula>
    </cfRule>
  </conditionalFormatting>
  <conditionalFormatting sqref="G2160:G2180">
    <cfRule type="expression" dxfId="3" priority="109">
      <formula>ISNA(G2160)</formula>
    </cfRule>
  </conditionalFormatting>
  <conditionalFormatting sqref="G2215:G2235">
    <cfRule type="expression" dxfId="3" priority="106">
      <formula>ISNA(G2215)</formula>
    </cfRule>
  </conditionalFormatting>
  <conditionalFormatting sqref="G2270:G2290">
    <cfRule type="expression" dxfId="3" priority="103">
      <formula>ISNA(G2270)</formula>
    </cfRule>
  </conditionalFormatting>
  <conditionalFormatting sqref="G2325:G2345">
    <cfRule type="expression" dxfId="3" priority="100">
      <formula>ISNA(G2325)</formula>
    </cfRule>
  </conditionalFormatting>
  <conditionalFormatting sqref="G2380:G2400">
    <cfRule type="expression" dxfId="3" priority="97">
      <formula>ISNA(G2380)</formula>
    </cfRule>
  </conditionalFormatting>
  <conditionalFormatting sqref="G2435:G2455">
    <cfRule type="expression" dxfId="3" priority="94">
      <formula>ISNA(G2435)</formula>
    </cfRule>
  </conditionalFormatting>
  <conditionalFormatting sqref="G2490:G2510">
    <cfRule type="expression" dxfId="3" priority="91">
      <formula>ISNA(G2490)</formula>
    </cfRule>
  </conditionalFormatting>
  <conditionalFormatting sqref="G2545:G2565">
    <cfRule type="expression" dxfId="3" priority="88">
      <formula>ISNA(G2545)</formula>
    </cfRule>
  </conditionalFormatting>
  <conditionalFormatting sqref="G2600:G2620">
    <cfRule type="expression" dxfId="3" priority="85">
      <formula>ISNA(G2600)</formula>
    </cfRule>
  </conditionalFormatting>
  <conditionalFormatting sqref="G2655:G2675">
    <cfRule type="expression" dxfId="3" priority="82">
      <formula>ISNA(G2655)</formula>
    </cfRule>
  </conditionalFormatting>
  <conditionalFormatting sqref="G2710:G2730">
    <cfRule type="expression" dxfId="3" priority="79">
      <formula>ISNA(G2710)</formula>
    </cfRule>
  </conditionalFormatting>
  <conditionalFormatting sqref="G2765:G2785">
    <cfRule type="expression" dxfId="3" priority="76">
      <formula>ISNA(G2765)</formula>
    </cfRule>
  </conditionalFormatting>
  <conditionalFormatting sqref="G2820:G2840">
    <cfRule type="expression" dxfId="3" priority="73">
      <formula>ISNA(G2820)</formula>
    </cfRule>
  </conditionalFormatting>
  <conditionalFormatting sqref="G2875:G2895">
    <cfRule type="expression" dxfId="3" priority="70">
      <formula>ISNA(G2875)</formula>
    </cfRule>
  </conditionalFormatting>
  <conditionalFormatting sqref="G2930:G2950">
    <cfRule type="expression" dxfId="3" priority="67">
      <formula>ISNA(G2930)</formula>
    </cfRule>
  </conditionalFormatting>
  <conditionalFormatting sqref="G2985:G3005">
    <cfRule type="expression" dxfId="3" priority="64">
      <formula>ISNA(G2985)</formula>
    </cfRule>
  </conditionalFormatting>
  <conditionalFormatting sqref="G3040:G3060">
    <cfRule type="expression" dxfId="3" priority="61">
      <formula>ISNA(G3040)</formula>
    </cfRule>
  </conditionalFormatting>
  <conditionalFormatting sqref="G3095:G3115">
    <cfRule type="expression" dxfId="3" priority="58">
      <formula>ISNA(G3095)</formula>
    </cfRule>
  </conditionalFormatting>
  <conditionalFormatting sqref="G3150:G3170">
    <cfRule type="expression" dxfId="3" priority="55">
      <formula>ISNA(G3150)</formula>
    </cfRule>
  </conditionalFormatting>
  <conditionalFormatting sqref="G3205:G3225">
    <cfRule type="expression" dxfId="3" priority="52">
      <formula>ISNA(G3205)</formula>
    </cfRule>
  </conditionalFormatting>
  <conditionalFormatting sqref="G3260:G3280">
    <cfRule type="expression" dxfId="3" priority="49">
      <formula>ISNA(G3260)</formula>
    </cfRule>
  </conditionalFormatting>
  <conditionalFormatting sqref="G3315:G3335">
    <cfRule type="expression" dxfId="3" priority="46">
      <formula>ISNA(G3315)</formula>
    </cfRule>
  </conditionalFormatting>
  <conditionalFormatting sqref="G3370:G3390">
    <cfRule type="expression" dxfId="3" priority="43">
      <formula>ISNA(G3370)</formula>
    </cfRule>
  </conditionalFormatting>
  <conditionalFormatting sqref="G3425:G3445">
    <cfRule type="expression" dxfId="3" priority="40">
      <formula>ISNA(G3425)</formula>
    </cfRule>
  </conditionalFormatting>
  <conditionalFormatting sqref="G3480:G3500">
    <cfRule type="expression" dxfId="3" priority="37">
      <formula>ISNA(G3480)</formula>
    </cfRule>
  </conditionalFormatting>
  <conditionalFormatting sqref="G3535:G3555">
    <cfRule type="expression" dxfId="3" priority="34">
      <formula>ISNA(G3535)</formula>
    </cfRule>
  </conditionalFormatting>
  <conditionalFormatting sqref="G3590:G3610">
    <cfRule type="expression" dxfId="3" priority="31">
      <formula>ISNA(G3590)</formula>
    </cfRule>
  </conditionalFormatting>
  <conditionalFormatting sqref="G3645:G3665">
    <cfRule type="expression" dxfId="3" priority="28">
      <formula>ISNA(G3645)</formula>
    </cfRule>
  </conditionalFormatting>
  <conditionalFormatting sqref="G3700:G3720">
    <cfRule type="expression" dxfId="3" priority="25">
      <formula>ISNA(G3700)</formula>
    </cfRule>
  </conditionalFormatting>
  <conditionalFormatting sqref="G3755:G3775">
    <cfRule type="expression" dxfId="3" priority="22">
      <formula>ISNA(G3755)</formula>
    </cfRule>
  </conditionalFormatting>
  <conditionalFormatting sqref="G3810:G3830">
    <cfRule type="expression" dxfId="3" priority="19">
      <formula>ISNA(G3810)</formula>
    </cfRule>
  </conditionalFormatting>
  <conditionalFormatting sqref="G3865:G3885">
    <cfRule type="expression" dxfId="3" priority="16">
      <formula>ISNA(G3865)</formula>
    </cfRule>
  </conditionalFormatting>
  <conditionalFormatting sqref="G3920:G3940">
    <cfRule type="expression" dxfId="3" priority="13">
      <formula>ISNA(G3920)</formula>
    </cfRule>
  </conditionalFormatting>
  <conditionalFormatting sqref="G3975:G3995">
    <cfRule type="expression" dxfId="3" priority="10">
      <formula>ISNA(G3975)</formula>
    </cfRule>
  </conditionalFormatting>
  <conditionalFormatting sqref="G4030:G4050">
    <cfRule type="expression" dxfId="3" priority="7">
      <formula>ISNA(G4030)</formula>
    </cfRule>
  </conditionalFormatting>
  <conditionalFormatting sqref="G4085:G4105">
    <cfRule type="expression" dxfId="3" priority="4">
      <formula>ISNA(G4085)</formula>
    </cfRule>
  </conditionalFormatting>
  <conditionalFormatting sqref="D15:F36">
    <cfRule type="expression" dxfId="3" priority="228">
      <formula>ISNA(D15)</formula>
    </cfRule>
  </conditionalFormatting>
  <conditionalFormatting sqref="D70:F91">
    <cfRule type="expression" dxfId="3" priority="225">
      <formula>ISNA(D70)</formula>
    </cfRule>
  </conditionalFormatting>
  <conditionalFormatting sqref="D125:F146">
    <cfRule type="expression" dxfId="3" priority="222">
      <formula>ISNA(D125)</formula>
    </cfRule>
  </conditionalFormatting>
  <conditionalFormatting sqref="D180:F201">
    <cfRule type="expression" dxfId="3" priority="219">
      <formula>ISNA(D180)</formula>
    </cfRule>
  </conditionalFormatting>
  <conditionalFormatting sqref="D235:F256">
    <cfRule type="expression" dxfId="3" priority="216">
      <formula>ISNA(D235)</formula>
    </cfRule>
  </conditionalFormatting>
  <conditionalFormatting sqref="D290:F311">
    <cfRule type="expression" dxfId="3" priority="213">
      <formula>ISNA(D290)</formula>
    </cfRule>
  </conditionalFormatting>
  <conditionalFormatting sqref="D345:F366">
    <cfRule type="expression" dxfId="3" priority="210">
      <formula>ISNA(D345)</formula>
    </cfRule>
  </conditionalFormatting>
  <conditionalFormatting sqref="D400:F421">
    <cfRule type="expression" dxfId="3" priority="207">
      <formula>ISNA(D400)</formula>
    </cfRule>
  </conditionalFormatting>
  <conditionalFormatting sqref="D455:F476">
    <cfRule type="expression" dxfId="3" priority="204">
      <formula>ISNA(D455)</formula>
    </cfRule>
  </conditionalFormatting>
  <conditionalFormatting sqref="D510:F531">
    <cfRule type="expression" dxfId="3" priority="201">
      <formula>ISNA(D510)</formula>
    </cfRule>
  </conditionalFormatting>
  <conditionalFormatting sqref="D565:F586">
    <cfRule type="expression" dxfId="3" priority="198">
      <formula>ISNA(D565)</formula>
    </cfRule>
  </conditionalFormatting>
  <conditionalFormatting sqref="D620:F641">
    <cfRule type="expression" dxfId="3" priority="195">
      <formula>ISNA(D620)</formula>
    </cfRule>
  </conditionalFormatting>
  <conditionalFormatting sqref="D675:F696">
    <cfRule type="expression" dxfId="3" priority="192">
      <formula>ISNA(D675)</formula>
    </cfRule>
  </conditionalFormatting>
  <conditionalFormatting sqref="D730:F751">
    <cfRule type="expression" dxfId="3" priority="189">
      <formula>ISNA(D730)</formula>
    </cfRule>
  </conditionalFormatting>
  <conditionalFormatting sqref="D785:F806">
    <cfRule type="expression" dxfId="3" priority="186">
      <formula>ISNA(D785)</formula>
    </cfRule>
  </conditionalFormatting>
  <conditionalFormatting sqref="D840:F861">
    <cfRule type="expression" dxfId="3" priority="183">
      <formula>ISNA(D840)</formula>
    </cfRule>
  </conditionalFormatting>
  <conditionalFormatting sqref="D895:F916">
    <cfRule type="expression" dxfId="3" priority="180">
      <formula>ISNA(D895)</formula>
    </cfRule>
  </conditionalFormatting>
  <conditionalFormatting sqref="D950:F971">
    <cfRule type="expression" dxfId="3" priority="177">
      <formula>ISNA(D950)</formula>
    </cfRule>
  </conditionalFormatting>
  <conditionalFormatting sqref="D1005:F1026">
    <cfRule type="expression" dxfId="3" priority="174">
      <formula>ISNA(D1005)</formula>
    </cfRule>
  </conditionalFormatting>
  <conditionalFormatting sqref="D1060:F1081">
    <cfRule type="expression" dxfId="3" priority="171">
      <formula>ISNA(D1060)</formula>
    </cfRule>
  </conditionalFormatting>
  <conditionalFormatting sqref="D1115:F1136">
    <cfRule type="expression" dxfId="3" priority="168">
      <formula>ISNA(D1115)</formula>
    </cfRule>
  </conditionalFormatting>
  <conditionalFormatting sqref="D1170:F1191">
    <cfRule type="expression" dxfId="3" priority="165">
      <formula>ISNA(D1170)</formula>
    </cfRule>
  </conditionalFormatting>
  <conditionalFormatting sqref="D1225:F1246">
    <cfRule type="expression" dxfId="3" priority="162">
      <formula>ISNA(D1225)</formula>
    </cfRule>
  </conditionalFormatting>
  <conditionalFormatting sqref="D1280:F1301">
    <cfRule type="expression" dxfId="3" priority="159">
      <formula>ISNA(D1280)</formula>
    </cfRule>
  </conditionalFormatting>
  <conditionalFormatting sqref="D1335:F1356">
    <cfRule type="expression" dxfId="3" priority="156">
      <formula>ISNA(D1335)</formula>
    </cfRule>
  </conditionalFormatting>
  <conditionalFormatting sqref="D1390:F1411">
    <cfRule type="expression" dxfId="3" priority="153">
      <formula>ISNA(D1390)</formula>
    </cfRule>
  </conditionalFormatting>
  <conditionalFormatting sqref="D1445:F1466">
    <cfRule type="expression" dxfId="3" priority="150">
      <formula>ISNA(D1445)</formula>
    </cfRule>
  </conditionalFormatting>
  <conditionalFormatting sqref="D1500:F1521">
    <cfRule type="expression" dxfId="3" priority="147">
      <formula>ISNA(D1500)</formula>
    </cfRule>
  </conditionalFormatting>
  <conditionalFormatting sqref="D1555:F1576">
    <cfRule type="expression" dxfId="3" priority="144">
      <formula>ISNA(D1555)</formula>
    </cfRule>
  </conditionalFormatting>
  <conditionalFormatting sqref="D1610:F1631">
    <cfRule type="expression" dxfId="3" priority="141">
      <formula>ISNA(D1610)</formula>
    </cfRule>
  </conditionalFormatting>
  <conditionalFormatting sqref="D1665:F1686">
    <cfRule type="expression" dxfId="3" priority="138">
      <formula>ISNA(D1665)</formula>
    </cfRule>
  </conditionalFormatting>
  <conditionalFormatting sqref="D1720:F1741">
    <cfRule type="expression" dxfId="3" priority="135">
      <formula>ISNA(D1720)</formula>
    </cfRule>
  </conditionalFormatting>
  <conditionalFormatting sqref="D1775:F1796">
    <cfRule type="expression" dxfId="3" priority="132">
      <formula>ISNA(D1775)</formula>
    </cfRule>
  </conditionalFormatting>
  <conditionalFormatting sqref="D1830:F1851">
    <cfRule type="expression" dxfId="3" priority="129">
      <formula>ISNA(D1830)</formula>
    </cfRule>
  </conditionalFormatting>
  <conditionalFormatting sqref="D1885:F1906">
    <cfRule type="expression" dxfId="3" priority="126">
      <formula>ISNA(D1885)</formula>
    </cfRule>
  </conditionalFormatting>
  <conditionalFormatting sqref="D1940:F1961">
    <cfRule type="expression" dxfId="3" priority="123">
      <formula>ISNA(D1940)</formula>
    </cfRule>
  </conditionalFormatting>
  <conditionalFormatting sqref="D1995:F2016">
    <cfRule type="expression" dxfId="3" priority="120">
      <formula>ISNA(D1995)</formula>
    </cfRule>
  </conditionalFormatting>
  <conditionalFormatting sqref="D2050:F2071">
    <cfRule type="expression" dxfId="3" priority="117">
      <formula>ISNA(D2050)</formula>
    </cfRule>
  </conditionalFormatting>
  <conditionalFormatting sqref="D2105:F2126">
    <cfRule type="expression" dxfId="3" priority="114">
      <formula>ISNA(D2105)</formula>
    </cfRule>
  </conditionalFormatting>
  <conditionalFormatting sqref="D2160:F2181">
    <cfRule type="expression" dxfId="3" priority="111">
      <formula>ISNA(D2160)</formula>
    </cfRule>
  </conditionalFormatting>
  <conditionalFormatting sqref="D2215:F2236">
    <cfRule type="expression" dxfId="3" priority="108">
      <formula>ISNA(D2215)</formula>
    </cfRule>
  </conditionalFormatting>
  <conditionalFormatting sqref="D2270:F2291">
    <cfRule type="expression" dxfId="3" priority="105">
      <formula>ISNA(D2270)</formula>
    </cfRule>
  </conditionalFormatting>
  <conditionalFormatting sqref="D2325:F2346">
    <cfRule type="expression" dxfId="3" priority="102">
      <formula>ISNA(D2325)</formula>
    </cfRule>
  </conditionalFormatting>
  <conditionalFormatting sqref="D2380:F2401">
    <cfRule type="expression" dxfId="3" priority="99">
      <formula>ISNA(D2380)</formula>
    </cfRule>
  </conditionalFormatting>
  <conditionalFormatting sqref="D2435:F2456">
    <cfRule type="expression" dxfId="3" priority="96">
      <formula>ISNA(D2435)</formula>
    </cfRule>
  </conditionalFormatting>
  <conditionalFormatting sqref="D2490:F2511">
    <cfRule type="expression" dxfId="3" priority="93">
      <formula>ISNA(D2490)</formula>
    </cfRule>
  </conditionalFormatting>
  <conditionalFormatting sqref="D2545:F2566">
    <cfRule type="expression" dxfId="3" priority="90">
      <formula>ISNA(D2545)</formula>
    </cfRule>
  </conditionalFormatting>
  <conditionalFormatting sqref="D2600:F2621">
    <cfRule type="expression" dxfId="3" priority="87">
      <formula>ISNA(D2600)</formula>
    </cfRule>
  </conditionalFormatting>
  <conditionalFormatting sqref="D2655:F2676">
    <cfRule type="expression" dxfId="3" priority="84">
      <formula>ISNA(D2655)</formula>
    </cfRule>
  </conditionalFormatting>
  <conditionalFormatting sqref="D2710:F2731">
    <cfRule type="expression" dxfId="3" priority="81">
      <formula>ISNA(D2710)</formula>
    </cfRule>
  </conditionalFormatting>
  <conditionalFormatting sqref="D2765:F2786">
    <cfRule type="expression" dxfId="3" priority="78">
      <formula>ISNA(D2765)</formula>
    </cfRule>
  </conditionalFormatting>
  <conditionalFormatting sqref="D2820:F2841">
    <cfRule type="expression" dxfId="3" priority="75">
      <formula>ISNA(D2820)</formula>
    </cfRule>
  </conditionalFormatting>
  <conditionalFormatting sqref="D2875:F2896">
    <cfRule type="expression" dxfId="3" priority="72">
      <formula>ISNA(D2875)</formula>
    </cfRule>
  </conditionalFormatting>
  <conditionalFormatting sqref="D2930:F2951">
    <cfRule type="expression" dxfId="3" priority="69">
      <formula>ISNA(D2930)</formula>
    </cfRule>
  </conditionalFormatting>
  <conditionalFormatting sqref="D2985:F3006">
    <cfRule type="expression" dxfId="3" priority="66">
      <formula>ISNA(D2985)</formula>
    </cfRule>
  </conditionalFormatting>
  <conditionalFormatting sqref="D3040:F3061">
    <cfRule type="expression" dxfId="3" priority="63">
      <formula>ISNA(D3040)</formula>
    </cfRule>
  </conditionalFormatting>
  <conditionalFormatting sqref="D3095:F3116">
    <cfRule type="expression" dxfId="3" priority="60">
      <formula>ISNA(D3095)</formula>
    </cfRule>
  </conditionalFormatting>
  <conditionalFormatting sqref="D3150:F3171">
    <cfRule type="expression" dxfId="3" priority="57">
      <formula>ISNA(D3150)</formula>
    </cfRule>
  </conditionalFormatting>
  <conditionalFormatting sqref="D3205:F3226">
    <cfRule type="expression" dxfId="3" priority="54">
      <formula>ISNA(D3205)</formula>
    </cfRule>
  </conditionalFormatting>
  <conditionalFormatting sqref="D3260:F3281">
    <cfRule type="expression" dxfId="3" priority="51">
      <formula>ISNA(D3260)</formula>
    </cfRule>
  </conditionalFormatting>
  <conditionalFormatting sqref="D3315:F3336">
    <cfRule type="expression" dxfId="3" priority="48">
      <formula>ISNA(D3315)</formula>
    </cfRule>
  </conditionalFormatting>
  <conditionalFormatting sqref="D3370:F3391">
    <cfRule type="expression" dxfId="3" priority="45">
      <formula>ISNA(D3370)</formula>
    </cfRule>
  </conditionalFormatting>
  <conditionalFormatting sqref="D3425:F3446">
    <cfRule type="expression" dxfId="3" priority="42">
      <formula>ISNA(D3425)</formula>
    </cfRule>
  </conditionalFormatting>
  <conditionalFormatting sqref="D3480:F3501">
    <cfRule type="expression" dxfId="3" priority="39">
      <formula>ISNA(D3480)</formula>
    </cfRule>
  </conditionalFormatting>
  <conditionalFormatting sqref="D3535:F3556">
    <cfRule type="expression" dxfId="3" priority="36">
      <formula>ISNA(D3535)</formula>
    </cfRule>
  </conditionalFormatting>
  <conditionalFormatting sqref="D3590:F3611">
    <cfRule type="expression" dxfId="3" priority="33">
      <formula>ISNA(D3590)</formula>
    </cfRule>
  </conditionalFormatting>
  <conditionalFormatting sqref="D3645:F3666">
    <cfRule type="expression" dxfId="3" priority="30">
      <formula>ISNA(D3645)</formula>
    </cfRule>
  </conditionalFormatting>
  <conditionalFormatting sqref="D3700:F3721">
    <cfRule type="expression" dxfId="3" priority="27">
      <formula>ISNA(D3700)</formula>
    </cfRule>
  </conditionalFormatting>
  <conditionalFormatting sqref="D3755:F3776">
    <cfRule type="expression" dxfId="3" priority="24">
      <formula>ISNA(D3755)</formula>
    </cfRule>
  </conditionalFormatting>
  <conditionalFormatting sqref="D3810:F3831">
    <cfRule type="expression" dxfId="3" priority="21">
      <formula>ISNA(D3810)</formula>
    </cfRule>
  </conditionalFormatting>
  <conditionalFormatting sqref="D3865:F3886">
    <cfRule type="expression" dxfId="3" priority="18">
      <formula>ISNA(D3865)</formula>
    </cfRule>
  </conditionalFormatting>
  <conditionalFormatting sqref="D3920:F3941">
    <cfRule type="expression" dxfId="3" priority="15">
      <formula>ISNA(D3920)</formula>
    </cfRule>
  </conditionalFormatting>
  <conditionalFormatting sqref="D3975:F3996">
    <cfRule type="expression" dxfId="3" priority="12">
      <formula>ISNA(D3975)</formula>
    </cfRule>
  </conditionalFormatting>
  <conditionalFormatting sqref="D4030:F4051">
    <cfRule type="expression" dxfId="3" priority="9">
      <formula>ISNA(D4030)</formula>
    </cfRule>
  </conditionalFormatting>
  <conditionalFormatting sqref="D4085:F4106">
    <cfRule type="expression" dxfId="3" priority="6">
      <formula>ISNA(D4085)</formula>
    </cfRule>
  </conditionalFormatting>
  <pageMargins left="0.25" right="0.21" top="0.21" bottom="0.2" header="0.15" footer="0.15"/>
  <pageSetup paperSize="9" scale="80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workbookViewId="0">
      <selection activeCell="I12" sqref="I12"/>
    </sheetView>
  </sheetViews>
  <sheetFormatPr defaultColWidth="9.13888888888889" defaultRowHeight="15.6"/>
  <cols>
    <col min="1" max="1" width="0.574074074074074" style="668" customWidth="1"/>
    <col min="2" max="2" width="4.13888888888889" style="668" customWidth="1"/>
    <col min="3" max="3" width="21.287037037037" style="668" customWidth="1"/>
    <col min="4" max="6" width="16.712962962963" style="668" customWidth="1"/>
    <col min="7" max="7" width="28" style="668" customWidth="1"/>
    <col min="8" max="8" width="1" style="668" customWidth="1"/>
    <col min="9" max="10" width="9.71296296296296" style="668" customWidth="1"/>
    <col min="11" max="11" width="0.861111111111111" style="668" customWidth="1"/>
    <col min="12" max="16384" width="9.13888888888889" style="668"/>
  </cols>
  <sheetData>
    <row r="1" ht="24.6" spans="1:11">
      <c r="B1" s="734"/>
      <c r="C1" s="734"/>
      <c r="D1" s="669" t="str">
        <f>ENTRY!$D$3</f>
        <v>MUNICIPAL CORPORATION OF DELHI</v>
      </c>
      <c r="E1" s="669"/>
      <c r="F1" s="669"/>
      <c r="G1" s="669"/>
      <c r="H1" s="734"/>
      <c r="I1" s="669"/>
      <c r="J1" s="669"/>
    </row>
    <row r="2" ht="20.4" spans="1:11">
      <c r="B2" s="735"/>
      <c r="C2" s="735"/>
      <c r="D2" s="670" t="str">
        <f>ENTRY!$D$4</f>
        <v>EDUCATION DEPARTMENT</v>
      </c>
      <c r="E2" s="670"/>
      <c r="F2" s="670"/>
      <c r="G2" s="670"/>
      <c r="H2" s="735"/>
      <c r="I2" s="669"/>
      <c r="J2" s="669"/>
    </row>
    <row r="3" ht="22.8" spans="1:11">
      <c r="B3" s="736"/>
      <c r="C3" s="736"/>
      <c r="D3" s="664" t="s">
        <v>417</v>
      </c>
      <c r="E3" s="664"/>
      <c r="F3" s="664"/>
      <c r="G3" s="664"/>
      <c r="H3" s="736"/>
      <c r="I3" s="669"/>
      <c r="J3" s="669"/>
    </row>
    <row r="4" ht="22.8" spans="1:11">
      <c r="B4" s="736"/>
      <c r="C4" s="736"/>
      <c r="D4" s="664" t="s">
        <v>418</v>
      </c>
      <c r="E4" s="664"/>
      <c r="F4" s="664"/>
      <c r="G4" s="664"/>
      <c r="H4" s="736"/>
      <c r="I4" s="669"/>
      <c r="J4" s="669"/>
    </row>
    <row r="5" ht="24.95" customHeight="1" spans="1:11">
      <c r="B5" s="735"/>
      <c r="C5" s="735"/>
      <c r="D5" s="737" t="str">
        <f>"SESSION : "&amp;ENTRY!$D$11</f>
        <v>SESSION : 2026-27</v>
      </c>
      <c r="E5" s="737"/>
      <c r="F5" s="737"/>
      <c r="G5" s="737"/>
      <c r="H5" s="735"/>
      <c r="I5" s="738"/>
      <c r="J5" s="738"/>
    </row>
    <row r="6" ht="3.75" customHeight="1" spans="1:11">
      <c r="A6" s="672"/>
      <c r="B6" s="739"/>
      <c r="C6" s="739"/>
      <c r="D6" s="739"/>
      <c r="E6" s="739"/>
      <c r="F6" s="739"/>
      <c r="G6" s="739"/>
      <c r="H6" s="739"/>
      <c r="I6" s="739"/>
      <c r="J6" s="739"/>
      <c r="K6" s="674"/>
    </row>
    <row r="7" ht="21.95" customHeight="1" spans="1:11">
      <c r="A7" s="675"/>
      <c r="B7" s="676" t="s">
        <v>419</v>
      </c>
      <c r="C7" s="676"/>
      <c r="D7" s="740" t="str">
        <f>ENTRY!$D$6</f>
        <v>MCP NITHARI NO 1 BOYS</v>
      </c>
      <c r="E7" s="740"/>
      <c r="F7" s="740"/>
      <c r="G7" s="740"/>
      <c r="H7" s="740"/>
      <c r="I7" s="740"/>
      <c r="J7" s="740"/>
      <c r="K7" s="677"/>
    </row>
    <row r="8" ht="21.95" customHeight="1" spans="1:11">
      <c r="A8" s="675"/>
      <c r="B8" s="676" t="s">
        <v>420</v>
      </c>
      <c r="C8" s="676"/>
      <c r="D8" s="740" t="str">
        <f>IFERROR(VLOOKUP($I$11,STUDENT!$A$2:$BP$101,5,0),"")</f>
        <v>KIRSHNA</v>
      </c>
      <c r="E8" s="740"/>
      <c r="F8" s="740"/>
      <c r="G8" s="740"/>
      <c r="H8" s="740"/>
      <c r="I8" s="740"/>
      <c r="J8" s="740"/>
      <c r="K8" s="677"/>
    </row>
    <row r="9" ht="21.95" customHeight="1" spans="1:11">
      <c r="A9" s="675"/>
      <c r="B9" s="676" t="s">
        <v>421</v>
      </c>
      <c r="C9" s="676"/>
      <c r="D9" s="740" t="str">
        <f>IFERROR(VLOOKUP($I$11,STUDENT!$A$2:$BP$101,8,0),"")</f>
        <v>VISHNU KASHYAP</v>
      </c>
      <c r="E9" s="740"/>
      <c r="F9" s="740"/>
      <c r="G9" s="740"/>
      <c r="H9" s="740"/>
      <c r="I9" s="740"/>
      <c r="J9" s="740"/>
      <c r="K9" s="677"/>
    </row>
    <row r="10" ht="21.95" customHeight="1" spans="1:11">
      <c r="A10" s="675"/>
      <c r="B10" s="676" t="s">
        <v>422</v>
      </c>
      <c r="C10" s="676"/>
      <c r="D10" s="740">
        <f>IFERROR(VLOOKUP($I$11,STUDENT!$A$2:$BP$101,6,0),"")</f>
        <v>14785</v>
      </c>
      <c r="E10" s="740"/>
      <c r="F10" s="740"/>
      <c r="G10" s="740"/>
      <c r="H10" s="740"/>
      <c r="I10" s="740"/>
      <c r="J10" s="740"/>
      <c r="K10" s="677"/>
    </row>
    <row r="11" ht="21.95" customHeight="1" spans="1:11">
      <c r="A11" s="675"/>
      <c r="B11" s="676" t="s">
        <v>423</v>
      </c>
      <c r="C11" s="676"/>
      <c r="D11" s="741" t="str">
        <f>IFERROR(VLOOKUP($I$11,STUDENT!$A$2:$BP$101,59,0),"")</f>
        <v/>
      </c>
      <c r="E11" s="742" t="s">
        <v>424</v>
      </c>
      <c r="F11" s="704" t="str">
        <f>IFERROR(VLOOKUP($I$11,STUDENT!$A$2:$BP$101,2,0),"")</f>
        <v>III-A</v>
      </c>
      <c r="G11" s="742" t="s">
        <v>425</v>
      </c>
      <c r="H11" s="743"/>
      <c r="I11" s="744">
        <v>5</v>
      </c>
      <c r="J11" s="683"/>
      <c r="K11" s="677"/>
    </row>
    <row r="12" ht="5.1" customHeight="1" spans="1:11">
      <c r="A12" s="675"/>
      <c r="B12" s="745"/>
      <c r="C12" s="745"/>
      <c r="D12" s="746"/>
      <c r="E12" s="747"/>
      <c r="F12" s="748"/>
      <c r="G12" s="747"/>
      <c r="H12" s="686"/>
      <c r="I12" s="686"/>
      <c r="J12" s="686"/>
      <c r="K12" s="677"/>
    </row>
    <row r="13" s="664" customFormat="1" ht="32.1" customHeight="1" spans="1:11">
      <c r="A13" s="688"/>
      <c r="B13" s="749" t="s">
        <v>426</v>
      </c>
      <c r="C13" s="750"/>
      <c r="D13" s="750"/>
      <c r="E13" s="750"/>
      <c r="F13" s="750"/>
      <c r="G13" s="750"/>
      <c r="H13" s="750"/>
      <c r="I13" s="750"/>
      <c r="J13" s="751"/>
      <c r="K13" s="690"/>
    </row>
    <row r="14" ht="51.6" spans="1:11">
      <c r="A14" s="675"/>
      <c r="B14" s="752">
        <v>21</v>
      </c>
      <c r="C14" s="753" t="s">
        <v>427</v>
      </c>
      <c r="D14" s="754" t="s">
        <v>428</v>
      </c>
      <c r="E14" s="754" t="s">
        <v>429</v>
      </c>
      <c r="F14" s="754" t="s">
        <v>430</v>
      </c>
      <c r="G14" s="753" t="s">
        <v>390</v>
      </c>
      <c r="H14" s="714"/>
      <c r="I14" s="714"/>
      <c r="J14" s="714"/>
      <c r="K14" s="677"/>
    </row>
    <row r="15" ht="20.1" customHeight="1" spans="1:11">
      <c r="A15" s="675"/>
      <c r="B15" s="755">
        <v>1</v>
      </c>
      <c r="C15" s="755" t="str">
        <f>IFERROR(VLOOKUP(B15,DATEWISE!$A$3:$BY$27,2,0),0)</f>
        <v>30.04.2026</v>
      </c>
      <c r="D15" s="755">
        <f>IF($C$15=0,NA(),VLOOKUP($I$11&amp;$B$15,FLNFIX!$L$4:$EF$103,2,0))</f>
        <v>2</v>
      </c>
      <c r="E15" s="755">
        <f>IF($C$15=0,NA(),VLOOKUP($I$11&amp;$B$15,FLNFIX!$L$4:$EF$103,4,0))</f>
        <v>3</v>
      </c>
      <c r="F15" s="755">
        <f>IF($C$15=0,NA(),VLOOKUP($I$11&amp;$B$15,FLNFIX!$L$4:$EF$103,3,0))</f>
        <v>2</v>
      </c>
      <c r="G15" s="756">
        <f>IF($C$15=0,NA(),VLOOKUP($I$11&amp;$B$15,FLNFIX!$L$4:$EF$103,5,0))</f>
        <v>0</v>
      </c>
      <c r="H15" s="757"/>
      <c r="I15" s="757"/>
      <c r="J15" s="758"/>
      <c r="K15" s="677"/>
    </row>
    <row r="16" ht="20.1" customHeight="1" spans="1:11">
      <c r="A16" s="675"/>
      <c r="B16" s="755">
        <f>IF(B15=0,0,IF(B15&lt;$B$14,B15+1,""))</f>
        <v>2</v>
      </c>
      <c r="C16" s="755" t="str">
        <f>IFERROR(VLOOKUP(B16,DATEWISE!$A$3:$BY$27,2,0),0)</f>
        <v>08.05.2026</v>
      </c>
      <c r="D16" s="755">
        <f>IF($C$16=0,NA(),VLOOKUP($I$11&amp;$B$16,FLNFIX!$Q$4:$EF$103,2,0))</f>
        <v>2</v>
      </c>
      <c r="E16" s="755">
        <f>IF($C$16=0,NA(),VLOOKUP($I$11&amp;$B$16,FLNFIX!$Q$4:$EF$103,4,0))</f>
        <v>3</v>
      </c>
      <c r="F16" s="755">
        <f>IF($C$16=0,NA(),VLOOKUP($I$11&amp;$B$16,FLNFIX!$Q$4:$EF$103,3,0))</f>
        <v>2</v>
      </c>
      <c r="G16" s="756">
        <f>IF($C$16=0,NA(),VLOOKUP($I$11&amp;$B$16,FLNFIX!$Q$4:$EF$103,5,0))</f>
        <v>0</v>
      </c>
      <c r="H16" s="757"/>
      <c r="I16" s="757"/>
      <c r="J16" s="758"/>
      <c r="K16" s="677"/>
    </row>
    <row r="17" ht="20.1" customHeight="1" spans="1:11">
      <c r="A17" s="675"/>
      <c r="B17" s="755">
        <f t="shared" ref="B17:B35" si="0">IF(B16=0,0,IF(B16&lt;$B$14,B16+1,""))</f>
        <v>3</v>
      </c>
      <c r="C17" s="755" t="str">
        <f>IFERROR(VLOOKUP(B17,DATEWISE!$A$3:$BY$27,2,0),0)</f>
        <v>15.07.2026</v>
      </c>
      <c r="D17" s="755">
        <f>IF($C$17=0,NA(),VLOOKUP($I$11&amp;$B$17,FLNFIX!$V$4:$EF$103,2,0))</f>
        <v>2</v>
      </c>
      <c r="E17" s="755">
        <f>IF($C$17=0,NA(),VLOOKUP($I$11&amp;$B$17,FLNFIX!$V$4:$EF$103,4,0))</f>
        <v>3</v>
      </c>
      <c r="F17" s="755">
        <f>IF($C$17=0,NA(),VLOOKUP($I$11&amp;$B$17,FLNFIX!$V$4:$EF$103,3,0))</f>
        <v>2</v>
      </c>
      <c r="G17" s="756">
        <f>IF($C$17=0,NA(),VLOOKUP($I$11&amp;$B$17,FLNFIX!$V$4:$EF$103,5,0))</f>
        <v>0</v>
      </c>
      <c r="H17" s="757"/>
      <c r="I17" s="757"/>
      <c r="J17" s="758"/>
      <c r="K17" s="677"/>
    </row>
    <row r="18" ht="20.1" customHeight="1" spans="1:11">
      <c r="A18" s="675"/>
      <c r="B18" s="755">
        <f t="shared" si="0"/>
        <v>4</v>
      </c>
      <c r="C18" s="755" t="str">
        <f>IFERROR(VLOOKUP(B18,DATEWISE!$A$3:$BY$27,2,0),0)</f>
        <v>31.07.2026</v>
      </c>
      <c r="D18" s="755">
        <f>IF($C$18=0,NA(),VLOOKUP($I$11&amp;$B$18,FLNFIX!$AA$4:$EF$103,2,0))</f>
        <v>2</v>
      </c>
      <c r="E18" s="755">
        <f>IF($C$18=0,NA(),VLOOKUP($I$11&amp;$B$18,FLNFIX!$AA$4:$EF$103,4,0))</f>
        <v>3</v>
      </c>
      <c r="F18" s="755">
        <f>IF($C$18=0,NA(),VLOOKUP($I$11&amp;$B$18,FLNFIX!$AA$4:$EF$103,3,0))</f>
        <v>2</v>
      </c>
      <c r="G18" s="756">
        <f>IF($C$18=0,NA(),VLOOKUP($I$11&amp;$B$18,FLNFIX!$AA$4:$EF$103,5,0))</f>
        <v>0</v>
      </c>
      <c r="H18" s="757"/>
      <c r="I18" s="757"/>
      <c r="J18" s="758"/>
      <c r="K18" s="677"/>
    </row>
    <row r="19" ht="20.1" customHeight="1" spans="1:11">
      <c r="A19" s="675"/>
      <c r="B19" s="755">
        <f t="shared" si="0"/>
        <v>5</v>
      </c>
      <c r="C19" s="755" t="str">
        <f>IFERROR(VLOOKUP(B19,DATEWISE!$A$3:$BY$27,2,0),0)</f>
        <v>17.08.2026</v>
      </c>
      <c r="D19" s="755">
        <f>IF($C$19=0,NA(),VLOOKUP($I$11&amp;$B$19,FLNFIX!$AF$4:$EF$103,2,0))</f>
        <v>2</v>
      </c>
      <c r="E19" s="755">
        <f>IF($C$19=0,NA(),VLOOKUP($I$11&amp;$B$19,FLNFIX!$AF$4:$EF$103,4,0))</f>
        <v>3</v>
      </c>
      <c r="F19" s="755">
        <f>IF($C$19=0,NA(),VLOOKUP($I$11&amp;$B$19,FLNFIX!$AF$4:$EF$103,3,0))</f>
        <v>2</v>
      </c>
      <c r="G19" s="756">
        <f>IF($C$19=0,NA(),VLOOKUP($I$11&amp;$B$19,FLNFIX!$AF$4:$EF$103,5,0))</f>
        <v>0</v>
      </c>
      <c r="H19" s="757"/>
      <c r="I19" s="757"/>
      <c r="J19" s="758"/>
      <c r="K19" s="677"/>
    </row>
    <row r="20" ht="20.1" customHeight="1" spans="1:11">
      <c r="A20" s="675"/>
      <c r="B20" s="755">
        <f t="shared" si="0"/>
        <v>6</v>
      </c>
      <c r="C20" s="755" t="str">
        <f>IFERROR(VLOOKUP(B20,DATEWISE!$A$3:$BY$27,2,0),0)</f>
        <v>31.08.2026</v>
      </c>
      <c r="D20" s="755">
        <f>IF($C$20=0,NA(),VLOOKUP($I$11&amp;$B$20,FLNFIX!$AK$4:$EF$103,2,0))</f>
        <v>3</v>
      </c>
      <c r="E20" s="755">
        <f>IF($C$20=0,NA(),VLOOKUP($I$11&amp;$B$20,FLNFIX!$AK$4:$EF$103,4,0))</f>
        <v>4</v>
      </c>
      <c r="F20" s="755">
        <f>IF($C$20=0,NA(),VLOOKUP($I$11&amp;$B$20,FLNFIX!$AK$4:$EF$103,3,0))</f>
        <v>2</v>
      </c>
      <c r="G20" s="756">
        <f>IF($C$20=0,NA(),VLOOKUP($I$11&amp;$B$20,FLNFIX!$AK$4:$EF$103,5,0))</f>
        <v>0</v>
      </c>
      <c r="H20" s="757"/>
      <c r="I20" s="757"/>
      <c r="J20" s="758"/>
      <c r="K20" s="677"/>
    </row>
    <row r="21" ht="20.1" customHeight="1" spans="1:11">
      <c r="A21" s="675"/>
      <c r="B21" s="755">
        <f t="shared" si="0"/>
        <v>7</v>
      </c>
      <c r="C21" s="755">
        <f>IFERROR(VLOOKUP(B21,DATEWISE!$A$3:$BY$27,2,0),0)</f>
        <v>0</v>
      </c>
      <c r="D21" s="755" t="e">
        <f>IF($C$21=0,NA(),VLOOKUP($I$11&amp;$B$21,FLNFIX!$AP$4:$EF$103,2,0))</f>
        <v>#N/A</v>
      </c>
      <c r="E21" s="755" t="e">
        <f>IF($C$21=0,NA(),VLOOKUP($I$11&amp;$B$21,FLNFIX!$AP$4:$EF$103,4,0))</f>
        <v>#N/A</v>
      </c>
      <c r="F21" s="755" t="e">
        <f>IF($C$21=0,NA(),VLOOKUP($I$11&amp;$B$21,FLNFIX!$AP$4:$EF$103,3,0))</f>
        <v>#N/A</v>
      </c>
      <c r="G21" s="756" t="e">
        <f>IF($C$21=0,NA(),VLOOKUP($I$11&amp;$B$21,FLNFIX!$AP$4:$EF$103,5,0))</f>
        <v>#N/A</v>
      </c>
      <c r="H21" s="757"/>
      <c r="I21" s="757"/>
      <c r="J21" s="758"/>
      <c r="K21" s="677"/>
    </row>
    <row r="22" ht="20.1" customHeight="1" spans="1:11">
      <c r="A22" s="675"/>
      <c r="B22" s="755">
        <f t="shared" si="0"/>
        <v>8</v>
      </c>
      <c r="C22" s="755">
        <f>IFERROR(VLOOKUP(B22,DATEWISE!$A$3:$BY$27,2,0),0)</f>
        <v>0</v>
      </c>
      <c r="D22" s="755" t="e">
        <f>IF($C$22=0,NA(),VLOOKUP($I$11&amp;$B$22,FLNFIX!$AU$4:$EF$103,2,0))</f>
        <v>#N/A</v>
      </c>
      <c r="E22" s="755" t="e">
        <f>IF($C$22=0,NA(),VLOOKUP($I$11&amp;$B$22,FLNFIX!$AU$4:$EF$103,4,0))</f>
        <v>#N/A</v>
      </c>
      <c r="F22" s="755" t="e">
        <f>IF($C$22=0,NA(),VLOOKUP($I$11&amp;$B$22,FLNFIX!$AU$4:$EF$103,3,0))</f>
        <v>#N/A</v>
      </c>
      <c r="G22" s="756" t="e">
        <f>IF($C$22=0,NA(),VLOOKUP($I$11&amp;$B$22,FLNFIX!$AU$4:$EF$103,5,0))</f>
        <v>#N/A</v>
      </c>
      <c r="H22" s="757"/>
      <c r="I22" s="757"/>
      <c r="J22" s="758"/>
      <c r="K22" s="677"/>
    </row>
    <row r="23" ht="20.1" customHeight="1" spans="1:11">
      <c r="A23" s="675"/>
      <c r="B23" s="755">
        <f t="shared" si="0"/>
        <v>9</v>
      </c>
      <c r="C23" s="755">
        <f>IFERROR(VLOOKUP(B23,DATEWISE!$A$3:$BY$27,2,0),0)</f>
        <v>0</v>
      </c>
      <c r="D23" s="755" t="e">
        <f>IF($C$23=0,NA(),VLOOKUP($I$11&amp;$B$23,FLNFIX!$AZ$4:$EF$103,2,0))</f>
        <v>#N/A</v>
      </c>
      <c r="E23" s="755" t="e">
        <f>IF($C$23=0,NA(),VLOOKUP($I$11&amp;$B$23,FLNFIX!$AZ$4:$EF$103,4,0))</f>
        <v>#N/A</v>
      </c>
      <c r="F23" s="755" t="e">
        <f>IF($C$23=0,NA(),VLOOKUP($I$11&amp;$B$23,FLNFIX!$AZ$4:$EF$103,3,0))</f>
        <v>#N/A</v>
      </c>
      <c r="G23" s="756" t="e">
        <f>IF($C$23=0,NA(),VLOOKUP($I$11&amp;$B$23,FLNFIX!$AZ$4:$EF$103,5,0))</f>
        <v>#N/A</v>
      </c>
      <c r="H23" s="757"/>
      <c r="I23" s="757"/>
      <c r="J23" s="758"/>
      <c r="K23" s="677"/>
    </row>
    <row r="24" ht="20.1" customHeight="1" spans="1:11">
      <c r="A24" s="675"/>
      <c r="B24" s="755">
        <f t="shared" si="0"/>
        <v>10</v>
      </c>
      <c r="C24" s="755">
        <f>IFERROR(VLOOKUP(B24,DATEWISE!$A$3:$BY$27,2,0),0)</f>
        <v>0</v>
      </c>
      <c r="D24" s="755" t="e">
        <f>IF($C$24=0,NA(),VLOOKUP($I$11&amp;$B$24,FLNFIX!$BE$4:$EF$103,2,0))</f>
        <v>#N/A</v>
      </c>
      <c r="E24" s="755" t="e">
        <f>IF($C$24=0,NA(),VLOOKUP($I$11&amp;$B$24,FLNFIX!$BE$4:$EF$103,4,0))</f>
        <v>#N/A</v>
      </c>
      <c r="F24" s="755" t="e">
        <f>IF($C$24=0,NA(),VLOOKUP($I$11&amp;$B$24,FLNFIX!$BE$4:$EF$103,3,0))</f>
        <v>#N/A</v>
      </c>
      <c r="G24" s="756" t="e">
        <f>IF($C$24=0,NA(),VLOOKUP($I$11&amp;$B$24,FLNFIX!$BE$4:$EF$103,5,0))</f>
        <v>#N/A</v>
      </c>
      <c r="H24" s="757"/>
      <c r="I24" s="757"/>
      <c r="J24" s="758"/>
      <c r="K24" s="677"/>
    </row>
    <row r="25" ht="20.1" customHeight="1" spans="1:11">
      <c r="A25" s="675"/>
      <c r="B25" s="755">
        <f t="shared" si="0"/>
        <v>11</v>
      </c>
      <c r="C25" s="755">
        <f>IFERROR(VLOOKUP(B25,DATEWISE!$A$3:$BY$27,2,0),0)</f>
        <v>0</v>
      </c>
      <c r="D25" s="755" t="e">
        <f>IF($C$25=0,NA(),VLOOKUP($I$11&amp;$B$25,FLNFIX!$BJ$4:$EF$103,2,0))</f>
        <v>#N/A</v>
      </c>
      <c r="E25" s="755" t="e">
        <f>IF($C$25=0,NA(),VLOOKUP($I$11&amp;$B$25,FLNFIX!$BJ$4:$EF$103,4,0))</f>
        <v>#N/A</v>
      </c>
      <c r="F25" s="755" t="e">
        <f>IF($C$25=0,NA(),VLOOKUP($I$11&amp;$B$25,FLNFIX!$BJ$4:$EF$103,3,0))</f>
        <v>#N/A</v>
      </c>
      <c r="G25" s="756" t="e">
        <f>IF($C$25=0,NA(),VLOOKUP($I$11&amp;$B$25,FLNFIX!$BJ$4:$EF$103,5,0))</f>
        <v>#N/A</v>
      </c>
      <c r="H25" s="757"/>
      <c r="I25" s="757"/>
      <c r="J25" s="758"/>
      <c r="K25" s="677"/>
    </row>
    <row r="26" ht="20.1" customHeight="1" spans="1:11">
      <c r="A26" s="675"/>
      <c r="B26" s="755">
        <f t="shared" si="0"/>
        <v>12</v>
      </c>
      <c r="C26" s="755">
        <f>IFERROR(VLOOKUP(B26,DATEWISE!$A$3:$BY$27,2,0),0)</f>
        <v>0</v>
      </c>
      <c r="D26" s="755" t="e">
        <f>IF($C$26=0,NA(),VLOOKUP($I$11&amp;$B$26,FLNFIX!$BO$4:$EF$103,2,0))</f>
        <v>#N/A</v>
      </c>
      <c r="E26" s="755" t="e">
        <f>IF($C$26=0,NA(),VLOOKUP($I$11&amp;$B$26,FLNFIX!$BO$4:$EF$103,4,0))</f>
        <v>#N/A</v>
      </c>
      <c r="F26" s="755" t="e">
        <f>IF($C$26=0,NA(),VLOOKUP($I$11&amp;$B$26,FLNFIX!$BO$4:$EF$103,3,0))</f>
        <v>#N/A</v>
      </c>
      <c r="G26" s="756" t="e">
        <f>IF($C$26=0,NA(),VLOOKUP($I$11&amp;$B$26,FLNFIX!$BO$4:$EF$103,5,0))</f>
        <v>#N/A</v>
      </c>
      <c r="H26" s="757"/>
      <c r="I26" s="757"/>
      <c r="J26" s="758"/>
      <c r="K26" s="677"/>
    </row>
    <row r="27" ht="20.1" customHeight="1" spans="1:11">
      <c r="A27" s="675"/>
      <c r="B27" s="755">
        <f t="shared" si="0"/>
        <v>13</v>
      </c>
      <c r="C27" s="755">
        <f>IFERROR(VLOOKUP(B27,DATEWISE!$A$3:$BY$27,2,0),0)</f>
        <v>0</v>
      </c>
      <c r="D27" s="755" t="e">
        <f>IF($C$27=0,NA(),VLOOKUP($I$11&amp;$B$27,FLNFIX!$BT$4:$EF$103,2,0))</f>
        <v>#N/A</v>
      </c>
      <c r="E27" s="755" t="e">
        <f>IF($C$27=0,NA(),VLOOKUP($I$11&amp;$B$27,FLNFIX!$BT$4:$EF$103,4,0))</f>
        <v>#N/A</v>
      </c>
      <c r="F27" s="755" t="e">
        <f>IF($C$27=0,NA(),VLOOKUP($I$11&amp;$B$27,FLNFIX!$BT$4:$EF$103,3,0))</f>
        <v>#N/A</v>
      </c>
      <c r="G27" s="756" t="e">
        <f>IF($C$27=0,NA(),VLOOKUP($I$11&amp;$B$27,FLNFIX!$BT$4:$EF$103,5,0))</f>
        <v>#N/A</v>
      </c>
      <c r="H27" s="757"/>
      <c r="I27" s="757"/>
      <c r="J27" s="758"/>
      <c r="K27" s="677"/>
    </row>
    <row r="28" ht="20.1" customHeight="1" spans="1:11">
      <c r="A28" s="675"/>
      <c r="B28" s="755">
        <f t="shared" si="0"/>
        <v>14</v>
      </c>
      <c r="C28" s="755">
        <f>IFERROR(VLOOKUP(B28,DATEWISE!$A$3:$BY$27,2,0),0)</f>
        <v>0</v>
      </c>
      <c r="D28" s="755" t="e">
        <f>IF($C$28=0,NA(),VLOOKUP($I$11&amp;$B$28,FLNFIX!$BY$4:$EF$103,2,0))</f>
        <v>#N/A</v>
      </c>
      <c r="E28" s="755" t="e">
        <f>IF($C$28=0,NA(),VLOOKUP($I$11&amp;$B$28,FLNFIX!$BY$4:$EF$103,4,0))</f>
        <v>#N/A</v>
      </c>
      <c r="F28" s="755" t="e">
        <f>IF($C$28=0,NA(),VLOOKUP($I$11&amp;$B$28,FLNFIX!$BY$4:$EF$103,3,0))</f>
        <v>#N/A</v>
      </c>
      <c r="G28" s="756" t="e">
        <f>IF($C$28=0,NA(),VLOOKUP($I$11&amp;$B$28,FLNFIX!$BY$4:$EF$103,5,0))</f>
        <v>#N/A</v>
      </c>
      <c r="H28" s="757"/>
      <c r="I28" s="757"/>
      <c r="J28" s="758"/>
      <c r="K28" s="677"/>
    </row>
    <row r="29" ht="20.1" customHeight="1" spans="1:11">
      <c r="A29" s="675"/>
      <c r="B29" s="755">
        <f t="shared" si="0"/>
        <v>15</v>
      </c>
      <c r="C29" s="755">
        <f>IFERROR(VLOOKUP(B29,DATEWISE!$A$3:$BY$27,2,0),0)</f>
        <v>0</v>
      </c>
      <c r="D29" s="755" t="e">
        <f>IF($C$29=0,NA(),VLOOKUP($I$11&amp;$B$29,FLNFIX!$CD$4:$EF$103,2,0))</f>
        <v>#N/A</v>
      </c>
      <c r="E29" s="755" t="e">
        <f>IF($C$29=0,NA(),VLOOKUP($I$11&amp;$B$29,FLNFIX!$CD$4:$EF$103,4,0))</f>
        <v>#N/A</v>
      </c>
      <c r="F29" s="755" t="e">
        <f>IF($C$29=0,NA(),VLOOKUP($I$11&amp;$B$29,FLNFIX!$CD$4:$EF$103,3,0))</f>
        <v>#N/A</v>
      </c>
      <c r="G29" s="756" t="e">
        <f>IF($C$29=0,NA(),VLOOKUP($I$11&amp;$B$29,FLNFIX!$CD$4:$EF$103,5,0))</f>
        <v>#N/A</v>
      </c>
      <c r="H29" s="757"/>
      <c r="I29" s="757"/>
      <c r="J29" s="758"/>
      <c r="K29" s="677"/>
    </row>
    <row r="30" ht="20.1" customHeight="1" spans="1:11">
      <c r="A30" s="675"/>
      <c r="B30" s="755">
        <f t="shared" si="0"/>
        <v>16</v>
      </c>
      <c r="C30" s="755">
        <f>IFERROR(VLOOKUP(B30,DATEWISE!$A$3:$BY$27,2,0),0)</f>
        <v>0</v>
      </c>
      <c r="D30" s="755" t="e">
        <f>IF($C$30=0,NA(),VLOOKUP($I$11&amp;$B$30,FLNFIX!$CI$4:$EF$103,2,0))</f>
        <v>#N/A</v>
      </c>
      <c r="E30" s="755" t="e">
        <f>IF($C$30=0,NA(),VLOOKUP($I$11&amp;$B$30,FLNFIX!$CI$4:$EF$103,4,0))</f>
        <v>#N/A</v>
      </c>
      <c r="F30" s="755" t="e">
        <f>IF($C$30=0,NA(),VLOOKUP($I$11&amp;$B$30,FLNFIX!$CI$4:$EF$103,3,0))</f>
        <v>#N/A</v>
      </c>
      <c r="G30" s="756" t="e">
        <f>IF($C$30=0,NA(),VLOOKUP($I$11&amp;$B$30,FLNFIX!$CI$4:$EF$103,5,0))</f>
        <v>#N/A</v>
      </c>
      <c r="H30" s="757"/>
      <c r="I30" s="757"/>
      <c r="J30" s="758"/>
      <c r="K30" s="677"/>
    </row>
    <row r="31" ht="20.1" customHeight="1" spans="1:11">
      <c r="A31" s="675"/>
      <c r="B31" s="755">
        <f t="shared" si="0"/>
        <v>17</v>
      </c>
      <c r="C31" s="755">
        <f>IFERROR(VLOOKUP(B31,DATEWISE!$A$3:$BY$27,2,0),0)</f>
        <v>0</v>
      </c>
      <c r="D31" s="755" t="e">
        <f>IF($C$31=0,NA(),VLOOKUP($I$11&amp;$B$31,FLNFIX!$CN$4:$EF$103,2,0))</f>
        <v>#N/A</v>
      </c>
      <c r="E31" s="755" t="e">
        <f>IF($C$31=0,NA(),VLOOKUP($I$11&amp;$B$31,FLNFIX!$CN$4:$EF$103,4,0))</f>
        <v>#N/A</v>
      </c>
      <c r="F31" s="755" t="e">
        <f>IF($C$31=0,NA(),VLOOKUP($I$11&amp;$B$31,FLNFIX!$CN$4:$EF$103,3,0))</f>
        <v>#N/A</v>
      </c>
      <c r="G31" s="756" t="e">
        <f>IF($C$31=0,NA(),VLOOKUP($I$11&amp;$B$31,FLNFIX!$CN$4:$EF$103,5,0))</f>
        <v>#N/A</v>
      </c>
      <c r="H31" s="757"/>
      <c r="I31" s="757"/>
      <c r="J31" s="758"/>
      <c r="K31" s="677"/>
    </row>
    <row r="32" ht="20.1" customHeight="1" spans="1:11">
      <c r="A32" s="675"/>
      <c r="B32" s="755">
        <f t="shared" si="0"/>
        <v>18</v>
      </c>
      <c r="C32" s="755">
        <f>IFERROR(VLOOKUP(B32,DATEWISE!$A$3:$BY$27,2,0),0)</f>
        <v>0</v>
      </c>
      <c r="D32" s="755" t="e">
        <f>IF($C$32=0,NA(),VLOOKUP($I$11&amp;$B$32,FLNFIX!$CS$4:$EF$103,2,0))</f>
        <v>#N/A</v>
      </c>
      <c r="E32" s="755" t="e">
        <f>IF($C$32=0,NA(),VLOOKUP($I$11&amp;$B$32,FLNFIX!$CS$4:$EF$103,4,0))</f>
        <v>#N/A</v>
      </c>
      <c r="F32" s="755" t="e">
        <f>IF($C$32=0,NA(),VLOOKUP($I$11&amp;$B$32,FLNFIX!$CS$4:$EF$103,3,0))</f>
        <v>#N/A</v>
      </c>
      <c r="G32" s="756" t="e">
        <f>IF($C$32=0,NA(),VLOOKUP($I$11&amp;$B$32,FLNFIX!$CS$4:$EF$103,5,0))</f>
        <v>#N/A</v>
      </c>
      <c r="H32" s="757"/>
      <c r="I32" s="757"/>
      <c r="J32" s="758"/>
      <c r="K32" s="677"/>
    </row>
    <row r="33" ht="20.1" customHeight="1" spans="1:11">
      <c r="A33" s="675"/>
      <c r="B33" s="755">
        <f t="shared" si="0"/>
        <v>19</v>
      </c>
      <c r="C33" s="755">
        <f>IFERROR(VLOOKUP(B33,DATEWISE!$A$3:$BY$27,2,0),0)</f>
        <v>0</v>
      </c>
      <c r="D33" s="755" t="e">
        <f>IF($C$33=0,NA(),VLOOKUP($I$11&amp;$B$33,FLNFIX!$CX$4:$EF$103,2,0))</f>
        <v>#N/A</v>
      </c>
      <c r="E33" s="755" t="e">
        <f>IF($C$33=0,NA(),VLOOKUP($I$11&amp;$B$33,FLNFIX!$CX$4:$EF$103,4,0))</f>
        <v>#N/A</v>
      </c>
      <c r="F33" s="755" t="e">
        <f>IF($C$33=0,NA(),VLOOKUP($I$11&amp;$B$33,FLNFIX!$CX$4:$EF$103,3,0))</f>
        <v>#N/A</v>
      </c>
      <c r="G33" s="756" t="e">
        <f>IF($C$33=0,NA(),VLOOKUP($I$11&amp;$B$33,FLNFIX!$CX$4:$EF$103,5,0))</f>
        <v>#N/A</v>
      </c>
      <c r="H33" s="757"/>
      <c r="I33" s="757"/>
      <c r="J33" s="758"/>
      <c r="K33" s="677"/>
    </row>
    <row r="34" ht="20.1" customHeight="1" spans="1:11">
      <c r="A34" s="675"/>
      <c r="B34" s="755">
        <f t="shared" si="0"/>
        <v>20</v>
      </c>
      <c r="C34" s="755">
        <f>IFERROR(VLOOKUP(B34,DATEWISE!$A$3:$BY$27,2,0),0)</f>
        <v>0</v>
      </c>
      <c r="D34" s="755" t="e">
        <f>IF($C$34=0,NA(),VLOOKUP($I$11&amp;$B$34,FLNFIX!$DC$4:$EF$103,2,0))</f>
        <v>#N/A</v>
      </c>
      <c r="E34" s="755" t="e">
        <f>IF($C$34=0,NA(),VLOOKUP($I$11&amp;$B$34,FLNFIX!$DC$4:$EF$103,4,0))</f>
        <v>#N/A</v>
      </c>
      <c r="F34" s="755" t="e">
        <f>IF($C$34=0,NA(),VLOOKUP($I$11&amp;$B$34,FLNFIX!$DC$4:$EF$103,3,0))</f>
        <v>#N/A</v>
      </c>
      <c r="G34" s="756" t="e">
        <f>IF($C$34=0,NA(),VLOOKUP($I$11&amp;$B$34,FLNFIX!$DC$4:$EF$103,5,0))</f>
        <v>#N/A</v>
      </c>
      <c r="H34" s="757"/>
      <c r="I34" s="757"/>
      <c r="J34" s="758"/>
      <c r="K34" s="677"/>
    </row>
    <row r="35" ht="20.1" customHeight="1" spans="1:11">
      <c r="A35" s="675"/>
      <c r="B35" s="755">
        <f t="shared" si="0"/>
        <v>21</v>
      </c>
      <c r="C35" s="755">
        <f>IFERROR(VLOOKUP(B35,DATEWISE!$A$3:$BY$27,2,0),0)</f>
        <v>0</v>
      </c>
      <c r="D35" s="755" t="e">
        <f>IF($C$35=0,NA(),VLOOKUP($I$11&amp;$B$35,FLNFIX!$DH$4:$EF$103,2,0))</f>
        <v>#N/A</v>
      </c>
      <c r="E35" s="755" t="e">
        <f>IF($C$35=0,NA(),VLOOKUP($I$11&amp;$B$35,FLNFIX!$DH$4:$EF$103,4,0))</f>
        <v>#N/A</v>
      </c>
      <c r="F35" s="755" t="e">
        <f>IF($C$35=0,NA(),VLOOKUP($I$11&amp;$B$35,FLNFIX!$DH$4:$EF$103,3,0))</f>
        <v>#N/A</v>
      </c>
      <c r="G35" s="756" t="e">
        <f>IF($C$35=0,NA(),VLOOKUP($I$11&amp;$B$35,FLNFIX!$DH$4:$EF$103,5,0))</f>
        <v>#N/A</v>
      </c>
      <c r="H35" s="757"/>
      <c r="I35" s="757"/>
      <c r="J35" s="758"/>
      <c r="K35" s="677"/>
    </row>
    <row r="36" ht="5.1" customHeight="1" spans="1:11">
      <c r="A36" s="675"/>
      <c r="B36" s="759"/>
      <c r="C36" s="759"/>
      <c r="D36" s="760"/>
      <c r="E36" s="760"/>
      <c r="F36" s="760"/>
      <c r="G36" s="761"/>
      <c r="H36" s="761"/>
      <c r="I36" s="761"/>
      <c r="J36" s="761"/>
      <c r="K36" s="677"/>
    </row>
    <row r="37" s="667" customFormat="1" ht="24.95" customHeight="1" spans="1:11">
      <c r="A37" s="711"/>
      <c r="B37" s="762" t="s">
        <v>431</v>
      </c>
      <c r="C37" s="763"/>
      <c r="D37" s="763"/>
      <c r="E37" s="763"/>
      <c r="F37" s="763"/>
      <c r="G37" s="763"/>
      <c r="H37" s="763"/>
      <c r="I37" s="763"/>
      <c r="J37" s="764"/>
      <c r="K37" s="713"/>
    </row>
    <row r="38" spans="1:11">
      <c r="A38" s="675"/>
      <c r="B38" s="765"/>
      <c r="C38" s="686"/>
      <c r="D38" s="686"/>
      <c r="E38" s="686"/>
      <c r="F38" s="686"/>
      <c r="G38" s="686"/>
      <c r="H38" s="686"/>
      <c r="I38" s="686"/>
      <c r="J38" s="766"/>
      <c r="K38" s="677"/>
    </row>
    <row r="39" spans="1:11">
      <c r="A39" s="675"/>
      <c r="B39" s="765"/>
      <c r="C39" s="686"/>
      <c r="D39" s="686"/>
      <c r="E39" s="686"/>
      <c r="F39" s="686"/>
      <c r="G39" s="686"/>
      <c r="H39" s="686"/>
      <c r="I39" s="686"/>
      <c r="J39" s="766"/>
      <c r="K39" s="677"/>
    </row>
    <row r="40" spans="1:11">
      <c r="A40" s="675"/>
      <c r="B40" s="765"/>
      <c r="C40" s="686"/>
      <c r="D40" s="686"/>
      <c r="E40" s="686"/>
      <c r="F40" s="686"/>
      <c r="G40" s="686"/>
      <c r="H40" s="686"/>
      <c r="I40" s="686"/>
      <c r="J40" s="766"/>
      <c r="K40" s="677"/>
    </row>
    <row r="41" spans="1:11">
      <c r="A41" s="675"/>
      <c r="B41" s="765"/>
      <c r="C41" s="686"/>
      <c r="D41" s="686"/>
      <c r="E41" s="686"/>
      <c r="F41" s="686"/>
      <c r="G41" s="686"/>
      <c r="H41" s="686"/>
      <c r="I41" s="686"/>
      <c r="J41" s="766"/>
      <c r="K41" s="677"/>
    </row>
    <row r="42" spans="1:11">
      <c r="A42" s="675"/>
      <c r="B42" s="765"/>
      <c r="C42" s="686"/>
      <c r="D42" s="686"/>
      <c r="E42" s="686"/>
      <c r="F42" s="686"/>
      <c r="G42" s="686"/>
      <c r="H42" s="686"/>
      <c r="I42" s="686"/>
      <c r="J42" s="766"/>
      <c r="K42" s="677"/>
    </row>
    <row r="43" spans="1:11">
      <c r="A43" s="675"/>
      <c r="B43" s="765"/>
      <c r="C43" s="686"/>
      <c r="D43" s="686"/>
      <c r="E43" s="686"/>
      <c r="F43" s="686"/>
      <c r="G43" s="686"/>
      <c r="H43" s="686"/>
      <c r="I43" s="686"/>
      <c r="J43" s="766"/>
      <c r="K43" s="677"/>
    </row>
    <row r="44" spans="1:11">
      <c r="A44" s="675"/>
      <c r="B44" s="765"/>
      <c r="C44" s="686"/>
      <c r="D44" s="686"/>
      <c r="E44" s="686"/>
      <c r="F44" s="686"/>
      <c r="G44" s="686"/>
      <c r="H44" s="686"/>
      <c r="I44" s="686"/>
      <c r="J44" s="766"/>
      <c r="K44" s="677"/>
    </row>
    <row r="45" spans="1:11">
      <c r="A45" s="675"/>
      <c r="B45" s="765"/>
      <c r="C45" s="686"/>
      <c r="D45" s="686"/>
      <c r="E45" s="686"/>
      <c r="F45" s="686"/>
      <c r="G45" s="686"/>
      <c r="H45" s="686"/>
      <c r="I45" s="686"/>
      <c r="J45" s="766"/>
      <c r="K45" s="677"/>
    </row>
    <row r="46" spans="1:11">
      <c r="A46" s="675"/>
      <c r="B46" s="765"/>
      <c r="C46" s="686"/>
      <c r="D46" s="686"/>
      <c r="E46" s="686"/>
      <c r="F46" s="686"/>
      <c r="G46" s="686"/>
      <c r="H46" s="686"/>
      <c r="I46" s="686"/>
      <c r="J46" s="766"/>
      <c r="K46" s="677"/>
    </row>
    <row r="47" spans="1:11">
      <c r="A47" s="675"/>
      <c r="B47" s="767"/>
      <c r="C47" s="768"/>
      <c r="D47" s="768"/>
      <c r="E47" s="768"/>
      <c r="F47" s="768"/>
      <c r="G47" s="768"/>
      <c r="H47" s="768"/>
      <c r="I47" s="768"/>
      <c r="J47" s="769"/>
      <c r="K47" s="677"/>
    </row>
    <row r="48" ht="5.1" customHeight="1" spans="1:11">
      <c r="A48" s="675"/>
      <c r="B48" s="686"/>
      <c r="C48" s="686"/>
      <c r="D48" s="686"/>
      <c r="E48" s="686"/>
      <c r="F48" s="686"/>
      <c r="G48" s="686"/>
      <c r="H48" s="686"/>
      <c r="I48" s="686"/>
      <c r="J48" s="686"/>
      <c r="K48" s="677"/>
    </row>
    <row r="49" spans="1:11">
      <c r="A49" s="675"/>
      <c r="B49" s="770" t="s">
        <v>432</v>
      </c>
      <c r="C49" s="770"/>
      <c r="D49" s="770"/>
      <c r="E49" s="770"/>
      <c r="F49" s="770"/>
      <c r="G49" s="770"/>
      <c r="H49" s="770"/>
      <c r="I49" s="770"/>
      <c r="J49" s="770"/>
      <c r="K49" s="677"/>
    </row>
    <row r="50" spans="1:11">
      <c r="A50" s="675"/>
      <c r="B50" s="771"/>
      <c r="C50" s="771"/>
      <c r="D50" s="771"/>
      <c r="E50" s="771"/>
      <c r="F50" s="771"/>
      <c r="G50" s="771"/>
      <c r="H50" s="771"/>
      <c r="I50" s="771"/>
      <c r="J50" s="771"/>
      <c r="K50" s="677"/>
    </row>
    <row r="51" spans="1:11">
      <c r="A51" s="675"/>
      <c r="B51" s="771"/>
      <c r="C51" s="771"/>
      <c r="D51" s="771"/>
      <c r="E51" s="771"/>
      <c r="F51" s="771"/>
      <c r="G51" s="771"/>
      <c r="H51" s="771"/>
      <c r="I51" s="771"/>
      <c r="J51" s="771"/>
      <c r="K51" s="677"/>
    </row>
    <row r="52" spans="1:11">
      <c r="A52" s="675"/>
      <c r="B52" s="771"/>
      <c r="C52" s="771"/>
      <c r="D52" s="771"/>
      <c r="E52" s="771"/>
      <c r="F52" s="771"/>
      <c r="G52" s="771"/>
      <c r="H52" s="771"/>
      <c r="I52" s="771"/>
      <c r="J52" s="771"/>
      <c r="K52" s="677"/>
    </row>
    <row r="53" spans="1:11">
      <c r="A53" s="675"/>
      <c r="B53" s="686"/>
      <c r="C53" s="686"/>
      <c r="D53" s="686"/>
      <c r="E53" s="686"/>
      <c r="F53" s="686"/>
      <c r="G53" s="686"/>
      <c r="H53" s="686"/>
      <c r="I53" s="686"/>
      <c r="J53" s="686"/>
      <c r="K53" s="677"/>
    </row>
    <row r="54" spans="1:11">
      <c r="A54" s="675"/>
      <c r="B54" s="686"/>
      <c r="C54" s="729" t="s">
        <v>433</v>
      </c>
      <c r="D54" s="729"/>
      <c r="E54" s="686"/>
      <c r="F54" s="686"/>
      <c r="G54" s="729" t="s">
        <v>434</v>
      </c>
      <c r="H54" s="729"/>
      <c r="I54" s="729"/>
      <c r="J54" s="729"/>
      <c r="K54" s="677"/>
    </row>
    <row r="55" ht="16.35" spans="1:11">
      <c r="A55" s="725"/>
      <c r="B55" s="726"/>
      <c r="C55" s="732" t="str">
        <f>"("&amp;PROPER(ENTRY!$D$19)&amp;")"</f>
        <v>(Indrajeet)</v>
      </c>
      <c r="D55" s="732"/>
      <c r="E55" s="726"/>
      <c r="F55" s="726"/>
      <c r="G55" s="732" t="str">
        <f>"("&amp;PROPER(ENTRY!$D$12)&amp;")"</f>
        <v>(Shambhu Dayal Meena)</v>
      </c>
      <c r="H55" s="732"/>
      <c r="I55" s="732"/>
      <c r="J55" s="732"/>
      <c r="K55" s="728"/>
    </row>
  </sheetData>
  <sheetProtection password="BF6F" sheet="1" formatCells="0" formatColumns="0" formatRows="0" objects="1" scenarios="1"/>
  <mergeCells count="44">
    <mergeCell ref="D1:G1"/>
    <mergeCell ref="D2:G2"/>
    <mergeCell ref="D3:G3"/>
    <mergeCell ref="D4:G4"/>
    <mergeCell ref="D5:G5"/>
    <mergeCell ref="B7:C7"/>
    <mergeCell ref="D7:J7"/>
    <mergeCell ref="B8:C8"/>
    <mergeCell ref="D8:J8"/>
    <mergeCell ref="B9:C9"/>
    <mergeCell ref="D9:J9"/>
    <mergeCell ref="B10:C10"/>
    <mergeCell ref="D10:J10"/>
    <mergeCell ref="B11:C11"/>
    <mergeCell ref="B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G24:J24"/>
    <mergeCell ref="G25:J25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  <mergeCell ref="G35:J35"/>
    <mergeCell ref="B37:J37"/>
    <mergeCell ref="B49:J49"/>
    <mergeCell ref="C54:D54"/>
    <mergeCell ref="G54:J54"/>
    <mergeCell ref="C55:D55"/>
    <mergeCell ref="G55:J55"/>
    <mergeCell ref="I1:J5"/>
  </mergeCells>
  <conditionalFormatting sqref="G36">
    <cfRule type="expression" dxfId="3" priority="2">
      <formula>ISNA(G36)</formula>
    </cfRule>
  </conditionalFormatting>
  <conditionalFormatting sqref="G15:G35">
    <cfRule type="expression" dxfId="3" priority="1">
      <formula>ISNA(G15)</formula>
    </cfRule>
  </conditionalFormatting>
  <conditionalFormatting sqref="D15:F36">
    <cfRule type="expression" dxfId="3" priority="3">
      <formula>ISNA(D15)</formula>
    </cfRule>
  </conditionalFormatting>
  <pageMargins left="0.25" right="0.21" top="0.26" bottom="0.28" header="0.15" footer="0.15"/>
  <pageSetup paperSize="9" scale="75" orientation="portrait"/>
  <headerFooter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1"/>
  <sheetViews>
    <sheetView workbookViewId="0">
      <selection activeCell="C15" sqref="C15:C16"/>
    </sheetView>
  </sheetViews>
  <sheetFormatPr defaultColWidth="9.13888888888889" defaultRowHeight="15.6"/>
  <cols>
    <col min="1" max="1" width="0.861111111111111" style="668" customWidth="1"/>
    <col min="2" max="2" width="5.57407407407407" style="668" customWidth="1"/>
    <col min="3" max="3" width="15.287037037037" style="668" customWidth="1"/>
    <col min="4" max="4" width="10.5740740740741" style="668" customWidth="1"/>
    <col min="5" max="6" width="10.287037037037" style="668" customWidth="1"/>
    <col min="7" max="7" width="7" style="666" customWidth="1"/>
    <col min="8" max="22" width="6.71296296296296" style="668" customWidth="1"/>
    <col min="23" max="23" width="0.861111111111111" style="668" customWidth="1"/>
    <col min="24" max="26" width="9.13888888888889" style="668"/>
    <col min="27" max="27" width="14" style="668" customWidth="1"/>
    <col min="28" max="37" width="11.712962962963" style="668" customWidth="1"/>
    <col min="38" max="16384" width="9.13888888888889" style="668"/>
  </cols>
  <sheetData>
    <row r="1" ht="24.6" spans="1:37">
      <c r="E1" s="669" t="str">
        <f>ENTRY!$D$3</f>
        <v>MUNICIPAL CORPORATION OF DELHI</v>
      </c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</row>
    <row r="2" ht="20.4" spans="1:37">
      <c r="E2" s="670" t="str">
        <f>ENTRY!$D$4</f>
        <v>EDUCATION DEPARTMENT</v>
      </c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</row>
    <row r="3" ht="22.8" spans="1:37">
      <c r="E3" s="664" t="s">
        <v>435</v>
      </c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</row>
    <row r="4" ht="22.8" spans="1:37">
      <c r="E4" s="664" t="s">
        <v>436</v>
      </c>
      <c r="F4" s="664"/>
      <c r="G4" s="664"/>
      <c r="H4" s="664"/>
      <c r="I4" s="664"/>
      <c r="J4" s="664"/>
      <c r="K4" s="664"/>
      <c r="L4" s="664"/>
      <c r="M4" s="664"/>
      <c r="N4" s="664"/>
      <c r="O4" s="664"/>
      <c r="P4" s="664"/>
      <c r="Q4" s="664"/>
    </row>
    <row r="5" ht="24.75" customHeight="1" spans="1:37">
      <c r="E5" s="671" t="str">
        <f>"SESSION : "&amp;ENTRY!$D$11</f>
        <v>SESSION : 2026-27</v>
      </c>
      <c r="F5" s="671"/>
      <c r="G5" s="671"/>
      <c r="H5" s="671"/>
      <c r="I5" s="671"/>
      <c r="J5" s="671"/>
      <c r="K5" s="671"/>
      <c r="L5" s="671"/>
      <c r="M5" s="671"/>
      <c r="N5" s="671"/>
      <c r="O5" s="671"/>
      <c r="P5" s="671"/>
      <c r="Q5" s="671"/>
    </row>
    <row r="6" ht="5.1" customHeight="1" spans="1:37">
      <c r="A6" s="672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3"/>
      <c r="Q6" s="673"/>
      <c r="R6" s="673"/>
      <c r="S6" s="673"/>
      <c r="T6" s="673"/>
      <c r="U6" s="673"/>
      <c r="V6" s="673"/>
      <c r="W6" s="674"/>
    </row>
    <row r="7" ht="21.95" customHeight="1" spans="1:37">
      <c r="A7" s="675"/>
      <c r="B7" s="676" t="s">
        <v>419</v>
      </c>
      <c r="C7" s="676"/>
      <c r="D7" s="676"/>
      <c r="E7" s="676" t="str">
        <f>ENTRY!$D$6</f>
        <v>MCP NITHARI NO 1 BOYS</v>
      </c>
      <c r="F7" s="676"/>
      <c r="G7" s="676"/>
      <c r="H7" s="676"/>
      <c r="I7" s="676"/>
      <c r="J7" s="676"/>
      <c r="K7" s="676"/>
      <c r="L7" s="676"/>
      <c r="M7" s="676"/>
      <c r="N7" s="676"/>
      <c r="O7" s="676"/>
      <c r="P7" s="676"/>
      <c r="Q7" s="676"/>
      <c r="R7" s="676"/>
      <c r="S7" s="676"/>
      <c r="T7" s="676"/>
      <c r="U7" s="676"/>
      <c r="V7" s="676"/>
      <c r="W7" s="677"/>
    </row>
    <row r="8" ht="21.95" customHeight="1" spans="1:37">
      <c r="A8" s="675"/>
      <c r="B8" s="678" t="s">
        <v>437</v>
      </c>
      <c r="C8" s="679"/>
      <c r="D8" s="679">
        <f>ENTRY!$D$7</f>
        <v>0</v>
      </c>
      <c r="E8" s="679"/>
      <c r="F8" s="680"/>
      <c r="G8" s="678" t="s">
        <v>438</v>
      </c>
      <c r="H8" s="679"/>
      <c r="I8" s="681">
        <f>ENTRY!$D$10</f>
        <v>40</v>
      </c>
      <c r="J8" s="681"/>
      <c r="K8" s="682"/>
      <c r="L8" s="683"/>
      <c r="M8" s="678" t="s">
        <v>439</v>
      </c>
      <c r="N8" s="679"/>
      <c r="O8" s="684" t="str">
        <f>ENTRY!$D$5</f>
        <v>ROHINI ZONE</v>
      </c>
      <c r="P8" s="684"/>
      <c r="Q8" s="684"/>
      <c r="R8" s="684"/>
      <c r="S8" s="684"/>
      <c r="T8" s="684"/>
      <c r="U8" s="684"/>
      <c r="V8" s="685"/>
      <c r="W8" s="677"/>
    </row>
    <row r="9" ht="21.95" customHeight="1" spans="1:37">
      <c r="A9" s="675"/>
      <c r="B9" s="678" t="s">
        <v>440</v>
      </c>
      <c r="C9" s="679"/>
      <c r="D9" s="679"/>
      <c r="E9" s="679" t="str">
        <f>ENTRY!$D$19</f>
        <v>INDRAJEET</v>
      </c>
      <c r="F9" s="679"/>
      <c r="G9" s="679"/>
      <c r="H9" s="679"/>
      <c r="I9" s="679"/>
      <c r="J9" s="679"/>
      <c r="K9" s="679"/>
      <c r="L9" s="679"/>
      <c r="M9" s="679"/>
      <c r="N9" s="679"/>
      <c r="O9" s="679"/>
      <c r="P9" s="679"/>
      <c r="Q9" s="679"/>
      <c r="R9" s="679"/>
      <c r="S9" s="679"/>
      <c r="T9" s="679"/>
      <c r="U9" s="679"/>
      <c r="V9" s="680"/>
      <c r="W9" s="677"/>
    </row>
    <row r="10" ht="21.95" customHeight="1" spans="1:37">
      <c r="A10" s="675"/>
      <c r="B10" s="678" t="s">
        <v>441</v>
      </c>
      <c r="C10" s="679"/>
      <c r="D10" s="733" t="str">
        <f>ENTRY!$D$20&amp;"-"&amp;ENTRY!$D$21</f>
        <v>III-A</v>
      </c>
      <c r="E10" s="733"/>
      <c r="F10" s="683"/>
      <c r="G10" s="678" t="s">
        <v>442</v>
      </c>
      <c r="H10" s="679"/>
      <c r="I10" s="679">
        <f>ENTRY!$D$29</f>
        <v>95032137</v>
      </c>
      <c r="J10" s="679"/>
      <c r="K10" s="679"/>
      <c r="L10" s="680"/>
      <c r="M10" s="678" t="s">
        <v>443</v>
      </c>
      <c r="N10" s="679"/>
      <c r="O10" s="679"/>
      <c r="P10" s="679">
        <f>ENTRY!$D$30</f>
        <v>9958606952</v>
      </c>
      <c r="Q10" s="679"/>
      <c r="R10" s="679"/>
      <c r="S10" s="679"/>
      <c r="T10" s="679"/>
      <c r="U10" s="679"/>
      <c r="V10" s="680"/>
      <c r="W10" s="677"/>
    </row>
    <row r="11" ht="5.1" customHeight="1" spans="1:37">
      <c r="A11" s="675"/>
      <c r="B11" s="686"/>
      <c r="C11" s="686"/>
      <c r="D11" s="686"/>
      <c r="E11" s="686"/>
      <c r="F11" s="686"/>
      <c r="G11" s="687"/>
      <c r="H11" s="686"/>
      <c r="I11" s="686"/>
      <c r="J11" s="686"/>
      <c r="K11" s="686"/>
      <c r="L11" s="686"/>
      <c r="M11" s="686"/>
      <c r="N11" s="686"/>
      <c r="O11" s="686"/>
      <c r="P11" s="686"/>
      <c r="Q11" s="686"/>
      <c r="R11" s="686"/>
      <c r="S11" s="686"/>
      <c r="T11" s="686"/>
      <c r="U11" s="686"/>
      <c r="V11" s="686"/>
      <c r="W11" s="677"/>
    </row>
    <row r="12" s="664" customFormat="1" ht="24.95" customHeight="1" spans="1:37">
      <c r="A12" s="688"/>
      <c r="B12" s="689" t="s">
        <v>444</v>
      </c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90"/>
    </row>
    <row r="13" s="665" customFormat="1" ht="27.95" customHeight="1" spans="1:37">
      <c r="A13" s="691"/>
      <c r="B13" s="692">
        <v>10</v>
      </c>
      <c r="C13" s="693" t="s">
        <v>427</v>
      </c>
      <c r="D13" s="693" t="s">
        <v>445</v>
      </c>
      <c r="E13" s="693" t="s">
        <v>446</v>
      </c>
      <c r="F13" s="693" t="s">
        <v>447</v>
      </c>
      <c r="G13" s="694" t="s">
        <v>448</v>
      </c>
      <c r="H13" s="695" t="s">
        <v>87</v>
      </c>
      <c r="I13" s="695"/>
      <c r="J13" s="695"/>
      <c r="K13" s="695"/>
      <c r="L13" s="695"/>
      <c r="M13" s="695" t="s">
        <v>88</v>
      </c>
      <c r="N13" s="695"/>
      <c r="O13" s="695"/>
      <c r="P13" s="695"/>
      <c r="Q13" s="695"/>
      <c r="R13" s="695" t="s">
        <v>89</v>
      </c>
      <c r="S13" s="695"/>
      <c r="T13" s="695"/>
      <c r="U13" s="695"/>
      <c r="V13" s="695"/>
      <c r="W13" s="696"/>
      <c r="AA13" s="695" t="s">
        <v>87</v>
      </c>
      <c r="AB13" s="695"/>
      <c r="AC13" s="695"/>
      <c r="AD13" s="695"/>
      <c r="AE13" s="695"/>
      <c r="AF13" s="695"/>
      <c r="AG13" s="695"/>
      <c r="AH13" s="695"/>
      <c r="AI13" s="695"/>
      <c r="AJ13" s="695"/>
      <c r="AK13" s="695"/>
    </row>
    <row r="14" s="666" customFormat="1" ht="27.95" customHeight="1" spans="1:37">
      <c r="A14" s="697"/>
      <c r="B14" s="692"/>
      <c r="C14" s="698"/>
      <c r="D14" s="698"/>
      <c r="E14" s="698"/>
      <c r="F14" s="698"/>
      <c r="G14" s="694" t="s">
        <v>449</v>
      </c>
      <c r="H14" s="699" t="s">
        <v>96</v>
      </c>
      <c r="I14" s="699" t="s">
        <v>97</v>
      </c>
      <c r="J14" s="699" t="s">
        <v>98</v>
      </c>
      <c r="K14" s="699" t="s">
        <v>99</v>
      </c>
      <c r="L14" s="699" t="s">
        <v>100</v>
      </c>
      <c r="M14" s="699" t="s">
        <v>96</v>
      </c>
      <c r="N14" s="699" t="s">
        <v>97</v>
      </c>
      <c r="O14" s="699" t="s">
        <v>98</v>
      </c>
      <c r="P14" s="699" t="s">
        <v>99</v>
      </c>
      <c r="Q14" s="699" t="s">
        <v>100</v>
      </c>
      <c r="R14" s="699" t="s">
        <v>96</v>
      </c>
      <c r="S14" s="699" t="s">
        <v>97</v>
      </c>
      <c r="T14" s="699" t="s">
        <v>98</v>
      </c>
      <c r="U14" s="699" t="s">
        <v>99</v>
      </c>
      <c r="V14" s="699" t="s">
        <v>100</v>
      </c>
      <c r="W14" s="700"/>
      <c r="AA14" s="699" t="s">
        <v>450</v>
      </c>
      <c r="AB14" s="699" t="str">
        <f>$C$15</f>
        <v>30.04.2026</v>
      </c>
      <c r="AC14" s="699" t="str">
        <f>$C$17</f>
        <v>08.05.2026</v>
      </c>
      <c r="AD14" s="699" t="str">
        <f>$C$19</f>
        <v>15.07.2026</v>
      </c>
      <c r="AE14" s="699" t="str">
        <f>$C$21</f>
        <v>31.07.2026</v>
      </c>
      <c r="AF14" s="699" t="str">
        <f>$C$23</f>
        <v>17.08.2026</v>
      </c>
      <c r="AG14" s="699" t="str">
        <f>$C$25</f>
        <v>31.08.2026</v>
      </c>
      <c r="AH14" s="699">
        <f>$C$27</f>
        <v>0</v>
      </c>
      <c r="AI14" s="699">
        <f>$C$29</f>
        <v>0</v>
      </c>
      <c r="AJ14" s="699">
        <f>$C$31</f>
        <v>0</v>
      </c>
      <c r="AK14" s="699">
        <f>$C$33</f>
        <v>0</v>
      </c>
    </row>
    <row r="15" spans="1:37">
      <c r="A15" s="675"/>
      <c r="B15" s="701">
        <v>1</v>
      </c>
      <c r="C15" s="702" t="str">
        <f>IFERROR(VLOOKUP(B15,DATEWISE!$A$3:$BY$27,2,0),0)</f>
        <v>30.04.2026</v>
      </c>
      <c r="D15" s="702">
        <f>IFERROR(VLOOKUP(C15,DATEWISE!$B$3:$BY$27,2,0),0)</f>
        <v>39</v>
      </c>
      <c r="E15" s="702">
        <f>IFERROR(VLOOKUP(C15,DATEWISE!$B$3:$BY$27,3,0),0)</f>
        <v>3</v>
      </c>
      <c r="F15" s="702">
        <f>IFERROR(VLOOKUP(C15,DATEWISE!$B$3:$BY$27,4,0),0)</f>
        <v>36</v>
      </c>
      <c r="G15" s="703" t="str">
        <f>IF(B15="","",IF(B15&gt;0,"NUM",""))</f>
        <v>NUM</v>
      </c>
      <c r="H15" s="702">
        <f>VLOOKUP(C15&amp;$H$13,FLNTRANSPOSE!$F$3:$DP$102,105,0)</f>
        <v>0</v>
      </c>
      <c r="I15" s="702">
        <f>VLOOKUP(C15&amp;$H$13,FLNTRANSPOSE!$F$3:$DP$102,107,0)</f>
        <v>28</v>
      </c>
      <c r="J15" s="702">
        <f>VLOOKUP(C15&amp;$H$13,FLNTRANSPOSE!$F$3:$DP$102,109,0)</f>
        <v>5</v>
      </c>
      <c r="K15" s="702">
        <f>VLOOKUP(C15&amp;$H$13,FLNTRANSPOSE!$F$3:$DP$102,111,0)</f>
        <v>3</v>
      </c>
      <c r="L15" s="702">
        <f>VLOOKUP(C15&amp;$H$13,FLNTRANSPOSE!$F$3:$DP$102,113,0)</f>
        <v>0</v>
      </c>
      <c r="M15" s="702">
        <f>VLOOKUP(C15&amp;$M$13,FLNTRANSPOSE!$F$3:$DP$102,105,0)</f>
        <v>0</v>
      </c>
      <c r="N15" s="702">
        <f>VLOOKUP(C15&amp;$M$13,FLNTRANSPOSE!$F$3:$DP$102,107,0)</f>
        <v>0</v>
      </c>
      <c r="O15" s="702">
        <f>VLOOKUP(C15&amp;$M$13,FLNTRANSPOSE!$F$3:$DP$102,109,0)</f>
        <v>27</v>
      </c>
      <c r="P15" s="702">
        <f>VLOOKUP(C15&amp;$M$13,FLNTRANSPOSE!$F$3:$DP$102,111,0)</f>
        <v>9</v>
      </c>
      <c r="Q15" s="702">
        <f>VLOOKUP(C15&amp;$M$13,FLNTRANSPOSE!$F$3:$DP$102,113,0)</f>
        <v>0</v>
      </c>
      <c r="R15" s="702">
        <f>VLOOKUP(C15&amp;$R$13,FLNTRANSPOSE!$F$3:$DP$102,105,0)</f>
        <v>0</v>
      </c>
      <c r="S15" s="702">
        <f>VLOOKUP(C15&amp;$R$13,FLNTRANSPOSE!$F$3:$DP$102,107,0)</f>
        <v>31</v>
      </c>
      <c r="T15" s="702">
        <f>VLOOKUP(C15&amp;$R$13,FLNTRANSPOSE!$F$3:$DP$102,109,0)</f>
        <v>5</v>
      </c>
      <c r="U15" s="702">
        <f>VLOOKUP(C15&amp;$R$13,FLNTRANSPOSE!$F$3:$DP$102,111,0)</f>
        <v>0</v>
      </c>
      <c r="V15" s="702">
        <f>VLOOKUP(C15&amp;$R$13,FLNTRANSPOSE!$F$3:$DP$102,113,0)</f>
        <v>0</v>
      </c>
      <c r="W15" s="677"/>
      <c r="AA15" s="704" t="s">
        <v>96</v>
      </c>
      <c r="AB15" s="705" t="e">
        <f t="array" ref="AB15:AB19">TRANSPOSE(H16:L16)</f>
        <v>#N/A</v>
      </c>
      <c r="AC15" s="705" t="e">
        <f t="array" ref="AC15:AC19">TRANSPOSE(H18:L18)</f>
        <v>#N/A</v>
      </c>
      <c r="AD15" s="705" t="e">
        <f t="array" ref="AD15:AD19">TRANSPOSE(H20:L20)</f>
        <v>#N/A</v>
      </c>
      <c r="AE15" s="705" t="e">
        <f t="array" ref="AE15:AE19">TRANSPOSE(H22:L22)</f>
        <v>#N/A</v>
      </c>
      <c r="AF15" s="705" t="e">
        <f t="array" ref="AF15:AF19">TRANSPOSE(H24:L24)</f>
        <v>#N/A</v>
      </c>
      <c r="AG15" s="705" t="e">
        <f t="array" ref="AG15:AG19">TRANSPOSE(H26:L26)</f>
        <v>#N/A</v>
      </c>
      <c r="AH15" s="705" t="e">
        <f t="array" ref="AH15:AH19">TRANSPOSE(H28:L28)</f>
        <v>#N/A</v>
      </c>
      <c r="AI15" s="705" t="e">
        <f t="array" ref="AI15:AI19">TRANSPOSE(H30:L30)</f>
        <v>#N/A</v>
      </c>
      <c r="AJ15" s="705" t="e">
        <f t="array" ref="AJ15:AJ19">TRANSPOSE(H32:L32)</f>
        <v>#N/A</v>
      </c>
      <c r="AK15" s="705" t="e">
        <f t="array" ref="AK15:AK19">TRANSPOSE(H34:L34)</f>
        <v>#N/A</v>
      </c>
    </row>
    <row r="16" spans="1:37">
      <c r="A16" s="675"/>
      <c r="B16" s="706"/>
      <c r="C16" s="702"/>
      <c r="D16" s="702"/>
      <c r="E16" s="702"/>
      <c r="F16" s="702"/>
      <c r="G16" s="703" t="str">
        <f>IF(B15="","",IF(B15&gt;0,"%",""))</f>
        <v>%</v>
      </c>
      <c r="H16" s="707" t="e">
        <f>IF(H15=0,NA(),(H15/$F$15*100))</f>
        <v>#N/A</v>
      </c>
      <c r="I16" s="707">
        <f t="shared" ref="I16:V16" si="0">IF(I15=0,NA(),(I15/$F$15*100))</f>
        <v>77.7777777777778</v>
      </c>
      <c r="J16" s="707">
        <f t="shared" si="0"/>
        <v>13.8888888888889</v>
      </c>
      <c r="K16" s="707">
        <f t="shared" si="0"/>
        <v>8.33333333333333</v>
      </c>
      <c r="L16" s="707" t="e">
        <f t="shared" si="0"/>
        <v>#N/A</v>
      </c>
      <c r="M16" s="707" t="e">
        <f t="shared" si="0"/>
        <v>#N/A</v>
      </c>
      <c r="N16" s="707" t="e">
        <f t="shared" si="0"/>
        <v>#N/A</v>
      </c>
      <c r="O16" s="707">
        <f t="shared" si="0"/>
        <v>75</v>
      </c>
      <c r="P16" s="707">
        <f t="shared" si="0"/>
        <v>25</v>
      </c>
      <c r="Q16" s="707" t="e">
        <f t="shared" si="0"/>
        <v>#N/A</v>
      </c>
      <c r="R16" s="707" t="e">
        <f t="shared" si="0"/>
        <v>#N/A</v>
      </c>
      <c r="S16" s="707">
        <f t="shared" si="0"/>
        <v>86.1111111111111</v>
      </c>
      <c r="T16" s="707">
        <f t="shared" si="0"/>
        <v>13.8888888888889</v>
      </c>
      <c r="U16" s="707" t="e">
        <f t="shared" si="0"/>
        <v>#N/A</v>
      </c>
      <c r="V16" s="707" t="e">
        <f t="shared" si="0"/>
        <v>#N/A</v>
      </c>
      <c r="W16" s="677"/>
      <c r="AA16" s="704" t="s">
        <v>97</v>
      </c>
      <c r="AB16" s="705">
        <v>77.7777777777778</v>
      </c>
      <c r="AC16" s="705">
        <v>77.7777777777778</v>
      </c>
      <c r="AD16" s="705">
        <v>77.7777777777778</v>
      </c>
      <c r="AE16" s="705">
        <v>77.7777777777778</v>
      </c>
      <c r="AF16" s="705">
        <v>77.7777777777778</v>
      </c>
      <c r="AG16" s="705">
        <v>44.4444444444444</v>
      </c>
      <c r="AH16" s="705" t="e">
        <v>#N/A</v>
      </c>
      <c r="AI16" s="705" t="e">
        <v>#N/A</v>
      </c>
      <c r="AJ16" s="705" t="e">
        <v>#N/A</v>
      </c>
      <c r="AK16" s="705" t="e">
        <v>#N/A</v>
      </c>
    </row>
    <row r="17" spans="1:37">
      <c r="A17" s="675"/>
      <c r="B17" s="708">
        <f>IF(B15=0,0,IF(B15&lt;$B$13,B15+1,""))</f>
        <v>2</v>
      </c>
      <c r="C17" s="702" t="str">
        <f>IFERROR(VLOOKUP(B17,DATEWISE!$A$3:$BY$27,2,0),0)</f>
        <v>08.05.2026</v>
      </c>
      <c r="D17" s="702">
        <f>IFERROR(VLOOKUP(C17,DATEWISE!$B$3:$BY$27,2,0),0)</f>
        <v>39</v>
      </c>
      <c r="E17" s="702">
        <f>IFERROR(VLOOKUP(C17,DATEWISE!$B$3:$BY$27,3,0),0)</f>
        <v>3</v>
      </c>
      <c r="F17" s="702">
        <f>IFERROR(VLOOKUP(C17,DATEWISE!$B$3:$BY$27,4,0),0)</f>
        <v>36</v>
      </c>
      <c r="G17" s="703" t="str">
        <f t="shared" ref="G17" si="1">IF(B17="","",IF(B17&gt;0,"NUM",""))</f>
        <v>NUM</v>
      </c>
      <c r="H17" s="702">
        <f>VLOOKUP(C17&amp;$H$13,FLNTRANSPOSE!$F$3:$DP$102,105,0)</f>
        <v>0</v>
      </c>
      <c r="I17" s="702">
        <f>VLOOKUP(C17&amp;$H$13,FLNTRANSPOSE!$F$3:$DP$102,107,0)</f>
        <v>28</v>
      </c>
      <c r="J17" s="702">
        <f>VLOOKUP(C17&amp;$H$13,FLNTRANSPOSE!$F$3:$DP$102,109,0)</f>
        <v>5</v>
      </c>
      <c r="K17" s="702">
        <f>VLOOKUP(C17&amp;$H$13,FLNTRANSPOSE!$F$3:$DP$102,111,0)</f>
        <v>3</v>
      </c>
      <c r="L17" s="702">
        <f>VLOOKUP(C17&amp;$H$13,FLNTRANSPOSE!$F$3:$DP$102,113,0)</f>
        <v>0</v>
      </c>
      <c r="M17" s="702">
        <f>VLOOKUP(C17&amp;$M$13,FLNTRANSPOSE!$F$3:$DP$102,105,0)</f>
        <v>0</v>
      </c>
      <c r="N17" s="702">
        <f>VLOOKUP(C17&amp;$M$13,FLNTRANSPOSE!$F$3:$DP$102,107,0)</f>
        <v>0</v>
      </c>
      <c r="O17" s="702">
        <f>VLOOKUP(C17&amp;$M$13,FLNTRANSPOSE!$F$3:$DP$102,109,0)</f>
        <v>27</v>
      </c>
      <c r="P17" s="702">
        <f>VLOOKUP(C17&amp;$M$13,FLNTRANSPOSE!$F$3:$DP$102,111,0)</f>
        <v>9</v>
      </c>
      <c r="Q17" s="702">
        <f>VLOOKUP(C17&amp;$M$13,FLNTRANSPOSE!$F$3:$DP$102,113,0)</f>
        <v>0</v>
      </c>
      <c r="R17" s="702">
        <f>VLOOKUP(C17&amp;$R$13,FLNTRANSPOSE!$F$3:$DP$102,105,0)</f>
        <v>0</v>
      </c>
      <c r="S17" s="702">
        <f>VLOOKUP(C17&amp;$R$13,FLNTRANSPOSE!$F$3:$DP$102,107,0)</f>
        <v>31</v>
      </c>
      <c r="T17" s="702">
        <f>VLOOKUP(C17&amp;$R$13,FLNTRANSPOSE!$F$3:$DP$102,109,0)</f>
        <v>5</v>
      </c>
      <c r="U17" s="702">
        <f>VLOOKUP(C17&amp;$R$13,FLNTRANSPOSE!$F$3:$DP$102,111,0)</f>
        <v>0</v>
      </c>
      <c r="V17" s="702">
        <f>VLOOKUP(C17&amp;$R$13,FLNTRANSPOSE!$F$3:$DP$102,113,0)</f>
        <v>0</v>
      </c>
      <c r="W17" s="677"/>
      <c r="AA17" s="704" t="s">
        <v>98</v>
      </c>
      <c r="AB17" s="705">
        <v>13.8888888888889</v>
      </c>
      <c r="AC17" s="705">
        <v>13.8888888888889</v>
      </c>
      <c r="AD17" s="705">
        <v>13.8888888888889</v>
      </c>
      <c r="AE17" s="705">
        <v>13.8888888888889</v>
      </c>
      <c r="AF17" s="705">
        <v>13.8888888888889</v>
      </c>
      <c r="AG17" s="705">
        <v>33.3333333333333</v>
      </c>
      <c r="AH17" s="705" t="e">
        <v>#N/A</v>
      </c>
      <c r="AI17" s="705" t="e">
        <v>#N/A</v>
      </c>
      <c r="AJ17" s="705" t="e">
        <v>#N/A</v>
      </c>
      <c r="AK17" s="705" t="e">
        <v>#N/A</v>
      </c>
    </row>
    <row r="18" spans="1:37">
      <c r="A18" s="675"/>
      <c r="B18" s="709"/>
      <c r="C18" s="702"/>
      <c r="D18" s="702"/>
      <c r="E18" s="702"/>
      <c r="F18" s="702"/>
      <c r="G18" s="703" t="str">
        <f t="shared" ref="G18" si="2">IF(B17="","",IF(B17&gt;0,"%",""))</f>
        <v>%</v>
      </c>
      <c r="H18" s="707" t="e">
        <f>IF(H17=0,NA(),(H17/$F$17*100))</f>
        <v>#N/A</v>
      </c>
      <c r="I18" s="707">
        <f t="shared" ref="I18:V18" si="3">IF(I17=0,NA(),(I17/$F$17*100))</f>
        <v>77.7777777777778</v>
      </c>
      <c r="J18" s="707">
        <f t="shared" si="3"/>
        <v>13.8888888888889</v>
      </c>
      <c r="K18" s="707">
        <f t="shared" si="3"/>
        <v>8.33333333333333</v>
      </c>
      <c r="L18" s="707" t="e">
        <f t="shared" si="3"/>
        <v>#N/A</v>
      </c>
      <c r="M18" s="707" t="e">
        <f t="shared" si="3"/>
        <v>#N/A</v>
      </c>
      <c r="N18" s="707" t="e">
        <f t="shared" si="3"/>
        <v>#N/A</v>
      </c>
      <c r="O18" s="707">
        <f t="shared" si="3"/>
        <v>75</v>
      </c>
      <c r="P18" s="707">
        <f t="shared" si="3"/>
        <v>25</v>
      </c>
      <c r="Q18" s="707" t="e">
        <f t="shared" si="3"/>
        <v>#N/A</v>
      </c>
      <c r="R18" s="707" t="e">
        <f t="shared" si="3"/>
        <v>#N/A</v>
      </c>
      <c r="S18" s="707">
        <f t="shared" si="3"/>
        <v>86.1111111111111</v>
      </c>
      <c r="T18" s="707">
        <f t="shared" si="3"/>
        <v>13.8888888888889</v>
      </c>
      <c r="U18" s="707" t="e">
        <f t="shared" si="3"/>
        <v>#N/A</v>
      </c>
      <c r="V18" s="707" t="e">
        <f t="shared" si="3"/>
        <v>#N/A</v>
      </c>
      <c r="W18" s="677"/>
      <c r="AA18" s="704" t="s">
        <v>99</v>
      </c>
      <c r="AB18" s="705">
        <v>8.33333333333333</v>
      </c>
      <c r="AC18" s="705">
        <v>8.33333333333333</v>
      </c>
      <c r="AD18" s="705">
        <v>8.33333333333333</v>
      </c>
      <c r="AE18" s="705">
        <v>8.33333333333333</v>
      </c>
      <c r="AF18" s="705">
        <v>8.33333333333333</v>
      </c>
      <c r="AG18" s="705">
        <v>22.2222222222222</v>
      </c>
      <c r="AH18" s="705" t="e">
        <v>#N/A</v>
      </c>
      <c r="AI18" s="705" t="e">
        <v>#N/A</v>
      </c>
      <c r="AJ18" s="705" t="e">
        <v>#N/A</v>
      </c>
      <c r="AK18" s="705" t="e">
        <v>#N/A</v>
      </c>
    </row>
    <row r="19" spans="1:37">
      <c r="A19" s="675"/>
      <c r="B19" s="708">
        <f>IF(B17=0,0,IF(B17&lt;$B$13,B17+1,""))</f>
        <v>3</v>
      </c>
      <c r="C19" s="702" t="str">
        <f>IFERROR(VLOOKUP(B19,DATEWISE!$A$3:$BY$27,2,0),0)</f>
        <v>15.07.2026</v>
      </c>
      <c r="D19" s="702">
        <f>IFERROR(VLOOKUP(C19,DATEWISE!$B$3:$BY$27,2,0),0)</f>
        <v>39</v>
      </c>
      <c r="E19" s="702">
        <f>IFERROR(VLOOKUP(C19,DATEWISE!$B$3:$BY$27,3,0),0)</f>
        <v>3</v>
      </c>
      <c r="F19" s="702">
        <f>IFERROR(VLOOKUP(C19,DATEWISE!$B$3:$BY$27,4,0),0)</f>
        <v>36</v>
      </c>
      <c r="G19" s="703" t="str">
        <f t="shared" ref="G19" si="4">IF(B19="","",IF(B19&gt;0,"NUM",""))</f>
        <v>NUM</v>
      </c>
      <c r="H19" s="702">
        <f>VLOOKUP(C19&amp;$H$13,FLNTRANSPOSE!$F$3:$DP$102,105,0)</f>
        <v>0</v>
      </c>
      <c r="I19" s="702">
        <f>VLOOKUP(C19&amp;$H$13,FLNTRANSPOSE!$F$3:$DP$102,107,0)</f>
        <v>28</v>
      </c>
      <c r="J19" s="702">
        <f>VLOOKUP(C19&amp;$H$13,FLNTRANSPOSE!$F$3:$DP$102,109,0)</f>
        <v>5</v>
      </c>
      <c r="K19" s="702">
        <f>VLOOKUP(C19&amp;$H$13,FLNTRANSPOSE!$F$3:$DP$102,111,0)</f>
        <v>3</v>
      </c>
      <c r="L19" s="702">
        <f>VLOOKUP(C19&amp;$H$13,FLNTRANSPOSE!$F$3:$DP$102,113,0)</f>
        <v>0</v>
      </c>
      <c r="M19" s="702">
        <f>VLOOKUP(C19&amp;$M$13,FLNTRANSPOSE!$F$3:$DP$102,105,0)</f>
        <v>0</v>
      </c>
      <c r="N19" s="702">
        <f>VLOOKUP(C19&amp;$M$13,FLNTRANSPOSE!$F$3:$DP$102,107,0)</f>
        <v>0</v>
      </c>
      <c r="O19" s="702">
        <f>VLOOKUP(C19&amp;$M$13,FLNTRANSPOSE!$F$3:$DP$102,109,0)</f>
        <v>27</v>
      </c>
      <c r="P19" s="702">
        <f>VLOOKUP(C19&amp;$M$13,FLNTRANSPOSE!$F$3:$DP$102,111,0)</f>
        <v>9</v>
      </c>
      <c r="Q19" s="702">
        <f>VLOOKUP(C19&amp;$M$13,FLNTRANSPOSE!$F$3:$DP$102,113,0)</f>
        <v>0</v>
      </c>
      <c r="R19" s="702">
        <f>VLOOKUP(C19&amp;$R$13,FLNTRANSPOSE!$F$3:$DP$102,105,0)</f>
        <v>0</v>
      </c>
      <c r="S19" s="702">
        <f>VLOOKUP(C19&amp;$R$13,FLNTRANSPOSE!$F$3:$DP$102,107,0)</f>
        <v>31</v>
      </c>
      <c r="T19" s="702">
        <f>VLOOKUP(C19&amp;$R$13,FLNTRANSPOSE!$F$3:$DP$102,109,0)</f>
        <v>5</v>
      </c>
      <c r="U19" s="702">
        <f>VLOOKUP(C19&amp;$R$13,FLNTRANSPOSE!$F$3:$DP$102,111,0)</f>
        <v>0</v>
      </c>
      <c r="V19" s="702">
        <f>VLOOKUP(C19&amp;$R$13,FLNTRANSPOSE!$F$3:$DP$102,113,0)</f>
        <v>0</v>
      </c>
      <c r="W19" s="677"/>
      <c r="AA19" s="704" t="s">
        <v>100</v>
      </c>
      <c r="AB19" s="705" t="e">
        <v>#N/A</v>
      </c>
      <c r="AC19" s="705" t="e">
        <v>#N/A</v>
      </c>
      <c r="AD19" s="705" t="e">
        <v>#N/A</v>
      </c>
      <c r="AE19" s="705" t="e">
        <v>#N/A</v>
      </c>
      <c r="AF19" s="705" t="e">
        <v>#N/A</v>
      </c>
      <c r="AG19" s="705" t="e">
        <v>#N/A</v>
      </c>
      <c r="AH19" s="705" t="e">
        <v>#N/A</v>
      </c>
      <c r="AI19" s="705" t="e">
        <v>#N/A</v>
      </c>
      <c r="AJ19" s="705" t="e">
        <v>#N/A</v>
      </c>
      <c r="AK19" s="705" t="e">
        <v>#N/A</v>
      </c>
    </row>
    <row r="20" spans="1:37">
      <c r="A20" s="675"/>
      <c r="B20" s="709"/>
      <c r="C20" s="702"/>
      <c r="D20" s="702"/>
      <c r="E20" s="702"/>
      <c r="F20" s="702"/>
      <c r="G20" s="703" t="str">
        <f t="shared" ref="G20" si="5">IF(B19="","",IF(B19&gt;0,"%",""))</f>
        <v>%</v>
      </c>
      <c r="H20" s="707" t="e">
        <f>IF(H19=0,NA(),((H19/$F$19*100)))</f>
        <v>#N/A</v>
      </c>
      <c r="I20" s="707">
        <f t="shared" ref="I20:V20" si="6">IF(I19=0,NA(),((I19/$F$19*100)))</f>
        <v>77.7777777777778</v>
      </c>
      <c r="J20" s="707">
        <f t="shared" si="6"/>
        <v>13.8888888888889</v>
      </c>
      <c r="K20" s="707">
        <f t="shared" si="6"/>
        <v>8.33333333333333</v>
      </c>
      <c r="L20" s="707" t="e">
        <f t="shared" si="6"/>
        <v>#N/A</v>
      </c>
      <c r="M20" s="707" t="e">
        <f t="shared" si="6"/>
        <v>#N/A</v>
      </c>
      <c r="N20" s="707" t="e">
        <f t="shared" si="6"/>
        <v>#N/A</v>
      </c>
      <c r="O20" s="707">
        <f t="shared" si="6"/>
        <v>75</v>
      </c>
      <c r="P20" s="707">
        <f t="shared" si="6"/>
        <v>25</v>
      </c>
      <c r="Q20" s="707" t="e">
        <f t="shared" si="6"/>
        <v>#N/A</v>
      </c>
      <c r="R20" s="707" t="e">
        <f t="shared" si="6"/>
        <v>#N/A</v>
      </c>
      <c r="S20" s="707">
        <f t="shared" si="6"/>
        <v>86.1111111111111</v>
      </c>
      <c r="T20" s="707">
        <f t="shared" si="6"/>
        <v>13.8888888888889</v>
      </c>
      <c r="U20" s="707" t="e">
        <f t="shared" si="6"/>
        <v>#N/A</v>
      </c>
      <c r="V20" s="707" t="e">
        <f t="shared" si="6"/>
        <v>#N/A</v>
      </c>
      <c r="W20" s="677"/>
      <c r="AA20" s="686"/>
      <c r="AB20" s="710"/>
      <c r="AC20" s="710"/>
      <c r="AD20" s="710"/>
      <c r="AE20" s="710"/>
      <c r="AF20" s="710"/>
      <c r="AG20" s="710"/>
      <c r="AH20" s="710"/>
      <c r="AI20" s="710"/>
      <c r="AJ20" s="710"/>
      <c r="AK20" s="710"/>
    </row>
    <row r="21" spans="1:37">
      <c r="A21" s="675"/>
      <c r="B21" s="708">
        <f t="shared" ref="B21" si="7">IF(B19=0,0,IF(B19&lt;$B$13,B19+1,""))</f>
        <v>4</v>
      </c>
      <c r="C21" s="702" t="str">
        <f>IFERROR(VLOOKUP(B21,DATEWISE!$A$3:$BY$27,2,0),0)</f>
        <v>31.07.2026</v>
      </c>
      <c r="D21" s="702">
        <f>IFERROR(VLOOKUP(C21,DATEWISE!$B$3:$BY$27,2,0),0)</f>
        <v>39</v>
      </c>
      <c r="E21" s="702">
        <f>IFERROR(VLOOKUP(C21,DATEWISE!$B$3:$BY$27,3,0),0)</f>
        <v>3</v>
      </c>
      <c r="F21" s="702">
        <f>IFERROR(VLOOKUP(C21,DATEWISE!$B$3:$BY$27,4,0),0)</f>
        <v>36</v>
      </c>
      <c r="G21" s="703" t="str">
        <f t="shared" ref="G21" si="8">IF(B21="","",IF(B21&gt;0,"NUM",""))</f>
        <v>NUM</v>
      </c>
      <c r="H21" s="702">
        <f>VLOOKUP(C21&amp;$H$13,FLNTRANSPOSE!$F$3:$DP$102,105,0)</f>
        <v>0</v>
      </c>
      <c r="I21" s="702">
        <f>VLOOKUP(C21&amp;$H$13,FLNTRANSPOSE!$F$3:$DP$102,107,0)</f>
        <v>28</v>
      </c>
      <c r="J21" s="702">
        <f>VLOOKUP(C21&amp;$H$13,FLNTRANSPOSE!$F$3:$DP$102,109,0)</f>
        <v>5</v>
      </c>
      <c r="K21" s="702">
        <f>VLOOKUP(C21&amp;$H$13,FLNTRANSPOSE!$F$3:$DP$102,111,0)</f>
        <v>3</v>
      </c>
      <c r="L21" s="702">
        <f>VLOOKUP(C21&amp;$H$13,FLNTRANSPOSE!$F$3:$DP$102,113,0)</f>
        <v>0</v>
      </c>
      <c r="M21" s="702">
        <f>VLOOKUP(C21&amp;$M$13,FLNTRANSPOSE!$F$3:$DP$102,105,0)</f>
        <v>0</v>
      </c>
      <c r="N21" s="702">
        <f>VLOOKUP(C21&amp;$M$13,FLNTRANSPOSE!$F$3:$DP$102,107,0)</f>
        <v>0</v>
      </c>
      <c r="O21" s="702">
        <f>VLOOKUP(C21&amp;$M$13,FLNTRANSPOSE!$F$3:$DP$102,109,0)</f>
        <v>27</v>
      </c>
      <c r="P21" s="702">
        <f>VLOOKUP(C21&amp;$M$13,FLNTRANSPOSE!$F$3:$DP$102,111,0)</f>
        <v>9</v>
      </c>
      <c r="Q21" s="702">
        <f>VLOOKUP(C21&amp;$M$13,FLNTRANSPOSE!$F$3:$DP$102,113,0)</f>
        <v>0</v>
      </c>
      <c r="R21" s="702">
        <f>VLOOKUP(C21&amp;$R$13,FLNTRANSPOSE!$F$3:$DP$102,105,0)</f>
        <v>0</v>
      </c>
      <c r="S21" s="702">
        <f>VLOOKUP(C21&amp;$R$13,FLNTRANSPOSE!$F$3:$DP$102,107,0)</f>
        <v>31</v>
      </c>
      <c r="T21" s="702">
        <f>VLOOKUP(C21&amp;$R$13,FLNTRANSPOSE!$F$3:$DP$102,109,0)</f>
        <v>5</v>
      </c>
      <c r="U21" s="702">
        <f>VLOOKUP(C21&amp;$R$13,FLNTRANSPOSE!$F$3:$DP$102,111,0)</f>
        <v>0</v>
      </c>
      <c r="V21" s="702">
        <f>VLOOKUP(C21&amp;$R$13,FLNTRANSPOSE!$F$3:$DP$102,113,0)</f>
        <v>0</v>
      </c>
      <c r="W21" s="677"/>
      <c r="AA21" s="695" t="s">
        <v>88</v>
      </c>
      <c r="AB21" s="695"/>
      <c r="AC21" s="695"/>
      <c r="AD21" s="695"/>
      <c r="AE21" s="695"/>
      <c r="AF21" s="695"/>
      <c r="AG21" s="695"/>
      <c r="AH21" s="695"/>
      <c r="AI21" s="695"/>
      <c r="AJ21" s="695"/>
      <c r="AK21" s="695"/>
    </row>
    <row r="22" spans="1:37">
      <c r="A22" s="675"/>
      <c r="B22" s="709"/>
      <c r="C22" s="702"/>
      <c r="D22" s="702"/>
      <c r="E22" s="702"/>
      <c r="F22" s="702"/>
      <c r="G22" s="703" t="str">
        <f t="shared" ref="G22" si="9">IF(B21="","",IF(B21&gt;0,"%",""))</f>
        <v>%</v>
      </c>
      <c r="H22" s="707" t="e">
        <f>IF(H21=0,NA(),(H21/$F$21*100))</f>
        <v>#N/A</v>
      </c>
      <c r="I22" s="707">
        <f t="shared" ref="I22:V22" si="10">IF(I21=0,NA(),(I21/$F$21*100))</f>
        <v>77.7777777777778</v>
      </c>
      <c r="J22" s="707">
        <f t="shared" si="10"/>
        <v>13.8888888888889</v>
      </c>
      <c r="K22" s="707">
        <f t="shared" si="10"/>
        <v>8.33333333333333</v>
      </c>
      <c r="L22" s="707" t="e">
        <f t="shared" si="10"/>
        <v>#N/A</v>
      </c>
      <c r="M22" s="707" t="e">
        <f t="shared" si="10"/>
        <v>#N/A</v>
      </c>
      <c r="N22" s="707" t="e">
        <f t="shared" si="10"/>
        <v>#N/A</v>
      </c>
      <c r="O22" s="707">
        <f t="shared" si="10"/>
        <v>75</v>
      </c>
      <c r="P22" s="707">
        <f t="shared" si="10"/>
        <v>25</v>
      </c>
      <c r="Q22" s="707" t="e">
        <f t="shared" si="10"/>
        <v>#N/A</v>
      </c>
      <c r="R22" s="707" t="e">
        <f t="shared" si="10"/>
        <v>#N/A</v>
      </c>
      <c r="S22" s="707">
        <f t="shared" si="10"/>
        <v>86.1111111111111</v>
      </c>
      <c r="T22" s="707">
        <f t="shared" si="10"/>
        <v>13.8888888888889</v>
      </c>
      <c r="U22" s="707" t="e">
        <f t="shared" si="10"/>
        <v>#N/A</v>
      </c>
      <c r="V22" s="707" t="e">
        <f t="shared" si="10"/>
        <v>#N/A</v>
      </c>
      <c r="W22" s="677"/>
      <c r="AA22" s="699" t="s">
        <v>450</v>
      </c>
      <c r="AB22" s="699" t="str">
        <f>$C$15</f>
        <v>30.04.2026</v>
      </c>
      <c r="AC22" s="699" t="str">
        <f>$C$17</f>
        <v>08.05.2026</v>
      </c>
      <c r="AD22" s="699" t="str">
        <f>$C$19</f>
        <v>15.07.2026</v>
      </c>
      <c r="AE22" s="699" t="str">
        <f>$C$21</f>
        <v>31.07.2026</v>
      </c>
      <c r="AF22" s="699" t="str">
        <f>$C$23</f>
        <v>17.08.2026</v>
      </c>
      <c r="AG22" s="699" t="str">
        <f>$C$25</f>
        <v>31.08.2026</v>
      </c>
      <c r="AH22" s="699">
        <f>$C$27</f>
        <v>0</v>
      </c>
      <c r="AI22" s="699">
        <f>$C$29</f>
        <v>0</v>
      </c>
      <c r="AJ22" s="699">
        <f>$C$31</f>
        <v>0</v>
      </c>
      <c r="AK22" s="699">
        <f>$C$33</f>
        <v>0</v>
      </c>
    </row>
    <row r="23" spans="1:37">
      <c r="A23" s="675"/>
      <c r="B23" s="708">
        <f t="shared" ref="B23" si="11">IF(B21=0,0,IF(B21&lt;$B$13,B21+1,""))</f>
        <v>5</v>
      </c>
      <c r="C23" s="702" t="str">
        <f>IFERROR(VLOOKUP(B23,DATEWISE!$A$3:$BY$27,2,0),0)</f>
        <v>17.08.2026</v>
      </c>
      <c r="D23" s="702">
        <f>IFERROR(VLOOKUP(C23,DATEWISE!$B$3:$BY$27,2,0),0)</f>
        <v>39</v>
      </c>
      <c r="E23" s="702">
        <f>IFERROR(VLOOKUP(C23,DATEWISE!$B$3:$BY$27,3,0),0)</f>
        <v>3</v>
      </c>
      <c r="F23" s="702">
        <f>IFERROR(VLOOKUP(C23,DATEWISE!$B$3:$BY$27,4,0),0)</f>
        <v>36</v>
      </c>
      <c r="G23" s="703" t="str">
        <f t="shared" ref="G23" si="12">IF(B23="","",IF(B23&gt;0,"NUM",""))</f>
        <v>NUM</v>
      </c>
      <c r="H23" s="702">
        <f>VLOOKUP(C23&amp;$H$13,FLNTRANSPOSE!$F$3:$DP$102,105,0)</f>
        <v>0</v>
      </c>
      <c r="I23" s="702">
        <f>VLOOKUP(C23&amp;$H$13,FLNTRANSPOSE!$F$3:$DP$102,107,0)</f>
        <v>28</v>
      </c>
      <c r="J23" s="702">
        <f>VLOOKUP(C23&amp;$H$13,FLNTRANSPOSE!$F$3:$DP$102,109,0)</f>
        <v>5</v>
      </c>
      <c r="K23" s="702">
        <f>VLOOKUP(C23&amp;$H$13,FLNTRANSPOSE!$F$3:$DP$102,111,0)</f>
        <v>3</v>
      </c>
      <c r="L23" s="702">
        <f>VLOOKUP(C23&amp;$H$13,FLNTRANSPOSE!$F$3:$DP$102,113,0)</f>
        <v>0</v>
      </c>
      <c r="M23" s="702">
        <f>VLOOKUP(C23&amp;$M$13,FLNTRANSPOSE!$F$3:$DP$102,105,0)</f>
        <v>0</v>
      </c>
      <c r="N23" s="702">
        <f>VLOOKUP(C23&amp;$M$13,FLNTRANSPOSE!$F$3:$DP$102,107,0)</f>
        <v>0</v>
      </c>
      <c r="O23" s="702">
        <f>VLOOKUP(C23&amp;$M$13,FLNTRANSPOSE!$F$3:$DP$102,109,0)</f>
        <v>27</v>
      </c>
      <c r="P23" s="702">
        <f>VLOOKUP(C23&amp;$M$13,FLNTRANSPOSE!$F$3:$DP$102,111,0)</f>
        <v>9</v>
      </c>
      <c r="Q23" s="702">
        <f>VLOOKUP(C23&amp;$M$13,FLNTRANSPOSE!$F$3:$DP$102,113,0)</f>
        <v>0</v>
      </c>
      <c r="R23" s="702">
        <f>VLOOKUP(C23&amp;$R$13,FLNTRANSPOSE!$F$3:$DP$102,105,0)</f>
        <v>0</v>
      </c>
      <c r="S23" s="702">
        <f>VLOOKUP(C23&amp;$R$13,FLNTRANSPOSE!$F$3:$DP$102,107,0)</f>
        <v>31</v>
      </c>
      <c r="T23" s="702">
        <f>VLOOKUP(C23&amp;$R$13,FLNTRANSPOSE!$F$3:$DP$102,109,0)</f>
        <v>5</v>
      </c>
      <c r="U23" s="702">
        <f>VLOOKUP(C23&amp;$R$13,FLNTRANSPOSE!$F$3:$DP$102,111,0)</f>
        <v>0</v>
      </c>
      <c r="V23" s="702">
        <f>VLOOKUP(C23&amp;$R$13,FLNTRANSPOSE!$F$3:$DP$102,113,0)</f>
        <v>0</v>
      </c>
      <c r="W23" s="677"/>
      <c r="AA23" s="704" t="s">
        <v>96</v>
      </c>
      <c r="AB23" s="705" t="e">
        <f t="array" ref="AB23:AB27">TRANSPOSE(M16:Q16)</f>
        <v>#N/A</v>
      </c>
      <c r="AC23" s="705" t="e">
        <f t="array" ref="AC23:AC27">TRANSPOSE(M18:Q18)</f>
        <v>#N/A</v>
      </c>
      <c r="AD23" s="705" t="e">
        <f t="array" ref="AD23:AD27">TRANSPOSE(M20:Q20)</f>
        <v>#N/A</v>
      </c>
      <c r="AE23" s="705" t="e">
        <f t="array" ref="AE23:AE27">TRANSPOSE(M22:Q22)</f>
        <v>#N/A</v>
      </c>
      <c r="AF23" s="705" t="e">
        <f t="array" ref="AF23:AF27">TRANSPOSE(M24:Q24)</f>
        <v>#N/A</v>
      </c>
      <c r="AG23" s="705" t="e">
        <f t="array" ref="AG23:AG27">TRANSPOSE(M26:Q26)</f>
        <v>#N/A</v>
      </c>
      <c r="AH23" s="705" t="e">
        <f t="array" ref="AH23:AH27">TRANSPOSE(M28:Q28)</f>
        <v>#N/A</v>
      </c>
      <c r="AI23" s="705" t="e">
        <f t="array" ref="AI23:AI27">TRANSPOSE(M30:Q30)</f>
        <v>#N/A</v>
      </c>
      <c r="AJ23" s="705" t="e">
        <f t="array" ref="AJ23:AJ27">TRANSPOSE(M32:Q32)</f>
        <v>#N/A</v>
      </c>
      <c r="AK23" s="705" t="e">
        <f t="array" ref="AK23:AK27">TRANSPOSE(M34:Q34)</f>
        <v>#N/A</v>
      </c>
    </row>
    <row r="24" spans="1:37">
      <c r="A24" s="675"/>
      <c r="B24" s="709"/>
      <c r="C24" s="702"/>
      <c r="D24" s="702"/>
      <c r="E24" s="702"/>
      <c r="F24" s="702"/>
      <c r="G24" s="703" t="str">
        <f t="shared" ref="G24" si="13">IF(B23="","",IF(B23&gt;0,"%",""))</f>
        <v>%</v>
      </c>
      <c r="H24" s="707" t="e">
        <f>IF(H23=0,NA(),(H23/$F$23*100))</f>
        <v>#N/A</v>
      </c>
      <c r="I24" s="707">
        <f t="shared" ref="I24:V24" si="14">IF(I23=0,NA(),(I23/$F$23*100))</f>
        <v>77.7777777777778</v>
      </c>
      <c r="J24" s="707">
        <f t="shared" si="14"/>
        <v>13.8888888888889</v>
      </c>
      <c r="K24" s="707">
        <f t="shared" si="14"/>
        <v>8.33333333333333</v>
      </c>
      <c r="L24" s="707" t="e">
        <f t="shared" si="14"/>
        <v>#N/A</v>
      </c>
      <c r="M24" s="707" t="e">
        <f t="shared" si="14"/>
        <v>#N/A</v>
      </c>
      <c r="N24" s="707" t="e">
        <f t="shared" si="14"/>
        <v>#N/A</v>
      </c>
      <c r="O24" s="707">
        <f t="shared" si="14"/>
        <v>75</v>
      </c>
      <c r="P24" s="707">
        <f t="shared" si="14"/>
        <v>25</v>
      </c>
      <c r="Q24" s="707" t="e">
        <f t="shared" si="14"/>
        <v>#N/A</v>
      </c>
      <c r="R24" s="707" t="e">
        <f t="shared" si="14"/>
        <v>#N/A</v>
      </c>
      <c r="S24" s="707">
        <f t="shared" si="14"/>
        <v>86.1111111111111</v>
      </c>
      <c r="T24" s="707">
        <f t="shared" si="14"/>
        <v>13.8888888888889</v>
      </c>
      <c r="U24" s="707" t="e">
        <f t="shared" si="14"/>
        <v>#N/A</v>
      </c>
      <c r="V24" s="707" t="e">
        <f t="shared" si="14"/>
        <v>#N/A</v>
      </c>
      <c r="W24" s="677"/>
      <c r="AA24" s="704" t="s">
        <v>97</v>
      </c>
      <c r="AB24" s="705" t="e">
        <v>#N/A</v>
      </c>
      <c r="AC24" s="705" t="e">
        <v>#N/A</v>
      </c>
      <c r="AD24" s="705" t="e">
        <v>#N/A</v>
      </c>
      <c r="AE24" s="705" t="e">
        <v>#N/A</v>
      </c>
      <c r="AF24" s="705" t="e">
        <v>#N/A</v>
      </c>
      <c r="AG24" s="705" t="e">
        <v>#N/A</v>
      </c>
      <c r="AH24" s="705" t="e">
        <v>#N/A</v>
      </c>
      <c r="AI24" s="705" t="e">
        <v>#N/A</v>
      </c>
      <c r="AJ24" s="705" t="e">
        <v>#N/A</v>
      </c>
      <c r="AK24" s="705" t="e">
        <v>#N/A</v>
      </c>
    </row>
    <row r="25" spans="1:37">
      <c r="A25" s="675"/>
      <c r="B25" s="708">
        <f t="shared" ref="B25" si="15">IF(B23=0,0,IF(B23&lt;$B$13,B23+1,""))</f>
        <v>6</v>
      </c>
      <c r="C25" s="702" t="str">
        <f>IFERROR(VLOOKUP(B25,DATEWISE!$A$3:$BY$27,2,0),0)</f>
        <v>31.08.2026</v>
      </c>
      <c r="D25" s="702">
        <f>IFERROR(VLOOKUP(C25,DATEWISE!$B$3:$BY$27,2,0),0)</f>
        <v>39</v>
      </c>
      <c r="E25" s="702">
        <f>IFERROR(VLOOKUP(C25,DATEWISE!$B$3:$BY$27,3,0),0)</f>
        <v>3</v>
      </c>
      <c r="F25" s="702">
        <f>IFERROR(VLOOKUP(C25,DATEWISE!$B$3:$BY$27,4,0),0)</f>
        <v>36</v>
      </c>
      <c r="G25" s="703" t="str">
        <f t="shared" ref="G25" si="16">IF(B25="","",IF(B25&gt;0,"NUM",""))</f>
        <v>NUM</v>
      </c>
      <c r="H25" s="702">
        <f>VLOOKUP(C25&amp;$H$13,FLNTRANSPOSE!$F$3:$DP$102,105,0)</f>
        <v>0</v>
      </c>
      <c r="I25" s="702">
        <f>VLOOKUP(C25&amp;$H$13,FLNTRANSPOSE!$F$3:$DP$102,107,0)</f>
        <v>16</v>
      </c>
      <c r="J25" s="702">
        <f>VLOOKUP(C25&amp;$H$13,FLNTRANSPOSE!$F$3:$DP$102,109,0)</f>
        <v>12</v>
      </c>
      <c r="K25" s="702">
        <f>VLOOKUP(C25&amp;$H$13,FLNTRANSPOSE!$F$3:$DP$102,111,0)</f>
        <v>8</v>
      </c>
      <c r="L25" s="702">
        <f>VLOOKUP(C25&amp;$H$13,FLNTRANSPOSE!$F$3:$DP$102,113,0)</f>
        <v>0</v>
      </c>
      <c r="M25" s="702">
        <f>VLOOKUP(C25&amp;$M$13,FLNTRANSPOSE!$F$3:$DP$102,105,0)</f>
        <v>0</v>
      </c>
      <c r="N25" s="702">
        <f>VLOOKUP(C25&amp;$M$13,FLNTRANSPOSE!$F$3:$DP$102,107,0)</f>
        <v>0</v>
      </c>
      <c r="O25" s="702">
        <f>VLOOKUP(C25&amp;$M$13,FLNTRANSPOSE!$F$3:$DP$102,109,0)</f>
        <v>23</v>
      </c>
      <c r="P25" s="702">
        <f>VLOOKUP(C25&amp;$M$13,FLNTRANSPOSE!$F$3:$DP$102,111,0)</f>
        <v>13</v>
      </c>
      <c r="Q25" s="702">
        <f>VLOOKUP(C25&amp;$M$13,FLNTRANSPOSE!$F$3:$DP$102,113,0)</f>
        <v>0</v>
      </c>
      <c r="R25" s="702">
        <f>VLOOKUP(C25&amp;$R$13,FLNTRANSPOSE!$F$3:$DP$102,105,0)</f>
        <v>0</v>
      </c>
      <c r="S25" s="702">
        <f>VLOOKUP(C25&amp;$R$13,FLNTRANSPOSE!$F$3:$DP$102,107,0)</f>
        <v>27</v>
      </c>
      <c r="T25" s="702">
        <f>VLOOKUP(C25&amp;$R$13,FLNTRANSPOSE!$F$3:$DP$102,109,0)</f>
        <v>6</v>
      </c>
      <c r="U25" s="702">
        <f>VLOOKUP(C25&amp;$R$13,FLNTRANSPOSE!$F$3:$DP$102,111,0)</f>
        <v>3</v>
      </c>
      <c r="V25" s="702">
        <f>VLOOKUP(C25&amp;$R$13,FLNTRANSPOSE!$F$3:$DP$102,113,0)</f>
        <v>0</v>
      </c>
      <c r="W25" s="677"/>
      <c r="AA25" s="704" t="s">
        <v>98</v>
      </c>
      <c r="AB25" s="705">
        <v>75</v>
      </c>
      <c r="AC25" s="705">
        <v>75</v>
      </c>
      <c r="AD25" s="705">
        <v>75</v>
      </c>
      <c r="AE25" s="705">
        <v>75</v>
      </c>
      <c r="AF25" s="705">
        <v>75</v>
      </c>
      <c r="AG25" s="705">
        <v>63.8888888888889</v>
      </c>
      <c r="AH25" s="705" t="e">
        <v>#N/A</v>
      </c>
      <c r="AI25" s="705" t="e">
        <v>#N/A</v>
      </c>
      <c r="AJ25" s="705" t="e">
        <v>#N/A</v>
      </c>
      <c r="AK25" s="705" t="e">
        <v>#N/A</v>
      </c>
    </row>
    <row r="26" spans="1:37">
      <c r="A26" s="675"/>
      <c r="B26" s="709"/>
      <c r="C26" s="702"/>
      <c r="D26" s="702"/>
      <c r="E26" s="702"/>
      <c r="F26" s="702"/>
      <c r="G26" s="703" t="str">
        <f t="shared" ref="G26" si="17">IF(B25="","",IF(B25&gt;0,"%",""))</f>
        <v>%</v>
      </c>
      <c r="H26" s="707" t="e">
        <f>IF(H25=0,NA(),(H25/$F$25*100))</f>
        <v>#N/A</v>
      </c>
      <c r="I26" s="707">
        <f t="shared" ref="I26:V26" si="18">IF(I25=0,NA(),(I25/$F$25*100))</f>
        <v>44.4444444444444</v>
      </c>
      <c r="J26" s="707">
        <f t="shared" si="18"/>
        <v>33.3333333333333</v>
      </c>
      <c r="K26" s="707">
        <f t="shared" si="18"/>
        <v>22.2222222222222</v>
      </c>
      <c r="L26" s="707" t="e">
        <f t="shared" si="18"/>
        <v>#N/A</v>
      </c>
      <c r="M26" s="707" t="e">
        <f t="shared" si="18"/>
        <v>#N/A</v>
      </c>
      <c r="N26" s="707" t="e">
        <f t="shared" si="18"/>
        <v>#N/A</v>
      </c>
      <c r="O26" s="707">
        <f t="shared" si="18"/>
        <v>63.8888888888889</v>
      </c>
      <c r="P26" s="707">
        <f t="shared" si="18"/>
        <v>36.1111111111111</v>
      </c>
      <c r="Q26" s="707" t="e">
        <f t="shared" si="18"/>
        <v>#N/A</v>
      </c>
      <c r="R26" s="707" t="e">
        <f t="shared" si="18"/>
        <v>#N/A</v>
      </c>
      <c r="S26" s="707">
        <f t="shared" si="18"/>
        <v>75</v>
      </c>
      <c r="T26" s="707">
        <f t="shared" si="18"/>
        <v>16.6666666666667</v>
      </c>
      <c r="U26" s="707">
        <f t="shared" si="18"/>
        <v>8.33333333333333</v>
      </c>
      <c r="V26" s="707" t="e">
        <f t="shared" si="18"/>
        <v>#N/A</v>
      </c>
      <c r="W26" s="677"/>
      <c r="AA26" s="704" t="s">
        <v>99</v>
      </c>
      <c r="AB26" s="705">
        <v>25</v>
      </c>
      <c r="AC26" s="705">
        <v>25</v>
      </c>
      <c r="AD26" s="705">
        <v>25</v>
      </c>
      <c r="AE26" s="705">
        <v>25</v>
      </c>
      <c r="AF26" s="705">
        <v>25</v>
      </c>
      <c r="AG26" s="705">
        <v>36.1111111111111</v>
      </c>
      <c r="AH26" s="705" t="e">
        <v>#N/A</v>
      </c>
      <c r="AI26" s="705" t="e">
        <v>#N/A</v>
      </c>
      <c r="AJ26" s="705" t="e">
        <v>#N/A</v>
      </c>
      <c r="AK26" s="705" t="e">
        <v>#N/A</v>
      </c>
    </row>
    <row r="27" spans="1:37">
      <c r="A27" s="675"/>
      <c r="B27" s="708">
        <f t="shared" ref="B27" si="19">IF(B25=0,0,IF(B25&lt;$B$13,B25+1,""))</f>
        <v>7</v>
      </c>
      <c r="C27" s="702">
        <f>IFERROR(VLOOKUP(B27,DATEWISE!$A$3:$BY$27,2,0),0)</f>
        <v>0</v>
      </c>
      <c r="D27" s="702">
        <f>IFERROR(VLOOKUP(C27,DATEWISE!$B$3:$BY$27,2,0),0)</f>
        <v>0</v>
      </c>
      <c r="E27" s="702">
        <f>IFERROR(VLOOKUP(C27,DATEWISE!$B$3:$BY$27,3,0),0)</f>
        <v>0</v>
      </c>
      <c r="F27" s="702">
        <f>IFERROR(VLOOKUP(C27,DATEWISE!$B$3:$BY$27,4,0),0)</f>
        <v>0</v>
      </c>
      <c r="G27" s="703" t="str">
        <f t="shared" ref="G27" si="20">IF(B27="","",IF(B27&gt;0,"NUM",""))</f>
        <v>NUM</v>
      </c>
      <c r="H27" s="702">
        <f>VLOOKUP(C27&amp;$H$13,FLNTRANSPOSE!$F$3:$DP$102,105,0)</f>
        <v>0</v>
      </c>
      <c r="I27" s="702">
        <f>VLOOKUP(C27&amp;$H$13,FLNTRANSPOSE!$F$3:$DP$102,107,0)</f>
        <v>0</v>
      </c>
      <c r="J27" s="702">
        <f>VLOOKUP(C27&amp;$H$13,FLNTRANSPOSE!$F$3:$DP$102,109,0)</f>
        <v>0</v>
      </c>
      <c r="K27" s="702">
        <f>VLOOKUP(C27&amp;$H$13,FLNTRANSPOSE!$F$3:$DP$102,111,0)</f>
        <v>0</v>
      </c>
      <c r="L27" s="702">
        <f>VLOOKUP(C27&amp;$H$13,FLNTRANSPOSE!$F$3:$DP$102,113,0)</f>
        <v>0</v>
      </c>
      <c r="M27" s="702">
        <f>VLOOKUP(C27&amp;$M$13,FLNTRANSPOSE!$F$3:$DP$102,105,0)</f>
        <v>0</v>
      </c>
      <c r="N27" s="702">
        <f>VLOOKUP(C27&amp;$M$13,FLNTRANSPOSE!$F$3:$DP$102,107,0)</f>
        <v>0</v>
      </c>
      <c r="O27" s="702">
        <f>VLOOKUP(C27&amp;$M$13,FLNTRANSPOSE!$F$3:$DP$102,109,0)</f>
        <v>0</v>
      </c>
      <c r="P27" s="702">
        <f>VLOOKUP(C27&amp;$M$13,FLNTRANSPOSE!$F$3:$DP$102,111,0)</f>
        <v>0</v>
      </c>
      <c r="Q27" s="702">
        <f>VLOOKUP(C27&amp;$M$13,FLNTRANSPOSE!$F$3:$DP$102,113,0)</f>
        <v>0</v>
      </c>
      <c r="R27" s="702">
        <f>VLOOKUP(C27&amp;$R$13,FLNTRANSPOSE!$F$3:$DP$102,105,0)</f>
        <v>0</v>
      </c>
      <c r="S27" s="702">
        <f>VLOOKUP(C27&amp;$R$13,FLNTRANSPOSE!$F$3:$DP$102,107,0)</f>
        <v>0</v>
      </c>
      <c r="T27" s="702">
        <f>VLOOKUP(C27&amp;$R$13,FLNTRANSPOSE!$F$3:$DP$102,109,0)</f>
        <v>0</v>
      </c>
      <c r="U27" s="702">
        <f>VLOOKUP(C27&amp;$R$13,FLNTRANSPOSE!$F$3:$DP$102,111,0)</f>
        <v>0</v>
      </c>
      <c r="V27" s="702">
        <f>VLOOKUP(C27&amp;$R$13,FLNTRANSPOSE!$F$3:$DP$102,113,0)</f>
        <v>0</v>
      </c>
      <c r="W27" s="677"/>
      <c r="AA27" s="704" t="s">
        <v>100</v>
      </c>
      <c r="AB27" s="705" t="e">
        <v>#N/A</v>
      </c>
      <c r="AC27" s="705" t="e">
        <v>#N/A</v>
      </c>
      <c r="AD27" s="705" t="e">
        <v>#N/A</v>
      </c>
      <c r="AE27" s="705" t="e">
        <v>#N/A</v>
      </c>
      <c r="AF27" s="705" t="e">
        <v>#N/A</v>
      </c>
      <c r="AG27" s="705" t="e">
        <v>#N/A</v>
      </c>
      <c r="AH27" s="705" t="e">
        <v>#N/A</v>
      </c>
      <c r="AI27" s="705" t="e">
        <v>#N/A</v>
      </c>
      <c r="AJ27" s="705" t="e">
        <v>#N/A</v>
      </c>
      <c r="AK27" s="705" t="e">
        <v>#N/A</v>
      </c>
    </row>
    <row r="28" spans="1:37">
      <c r="A28" s="675"/>
      <c r="B28" s="709"/>
      <c r="C28" s="702"/>
      <c r="D28" s="702"/>
      <c r="E28" s="702"/>
      <c r="F28" s="702"/>
      <c r="G28" s="703" t="str">
        <f t="shared" ref="G28" si="21">IF(B27="","",IF(B27&gt;0,"%",""))</f>
        <v>%</v>
      </c>
      <c r="H28" s="707" t="e">
        <f>IF(H27=0,NA(),(H27/$F$27*100))</f>
        <v>#N/A</v>
      </c>
      <c r="I28" s="707" t="e">
        <f t="shared" ref="I28:V28" si="22">IF(I27=0,NA(),(I27/$F$27*100))</f>
        <v>#N/A</v>
      </c>
      <c r="J28" s="707" t="e">
        <f t="shared" si="22"/>
        <v>#N/A</v>
      </c>
      <c r="K28" s="707" t="e">
        <f t="shared" si="22"/>
        <v>#N/A</v>
      </c>
      <c r="L28" s="707" t="e">
        <f t="shared" si="22"/>
        <v>#N/A</v>
      </c>
      <c r="M28" s="707" t="e">
        <f t="shared" si="22"/>
        <v>#N/A</v>
      </c>
      <c r="N28" s="707" t="e">
        <f t="shared" si="22"/>
        <v>#N/A</v>
      </c>
      <c r="O28" s="707" t="e">
        <f t="shared" si="22"/>
        <v>#N/A</v>
      </c>
      <c r="P28" s="707" t="e">
        <f t="shared" si="22"/>
        <v>#N/A</v>
      </c>
      <c r="Q28" s="707" t="e">
        <f t="shared" si="22"/>
        <v>#N/A</v>
      </c>
      <c r="R28" s="707" t="e">
        <f t="shared" si="22"/>
        <v>#N/A</v>
      </c>
      <c r="S28" s="707" t="e">
        <f t="shared" si="22"/>
        <v>#N/A</v>
      </c>
      <c r="T28" s="707" t="e">
        <f t="shared" si="22"/>
        <v>#N/A</v>
      </c>
      <c r="U28" s="707" t="e">
        <f t="shared" si="22"/>
        <v>#N/A</v>
      </c>
      <c r="V28" s="707" t="e">
        <f t="shared" si="22"/>
        <v>#N/A</v>
      </c>
      <c r="W28" s="677"/>
    </row>
    <row r="29" spans="1:37">
      <c r="A29" s="675"/>
      <c r="B29" s="708">
        <f t="shared" ref="B29" si="23">IF(B27=0,0,IF(B27&lt;$B$13,B27+1,""))</f>
        <v>8</v>
      </c>
      <c r="C29" s="702">
        <f>IFERROR(VLOOKUP(B29,DATEWISE!$A$3:$BY$27,2,0),0)</f>
        <v>0</v>
      </c>
      <c r="D29" s="702">
        <f>IFERROR(VLOOKUP(C29,DATEWISE!$B$3:$BY$27,2,0),0)</f>
        <v>0</v>
      </c>
      <c r="E29" s="702">
        <f>IFERROR(VLOOKUP(C29,DATEWISE!$B$3:$BY$27,3,0),0)</f>
        <v>0</v>
      </c>
      <c r="F29" s="702">
        <f>IFERROR(VLOOKUP(C29,DATEWISE!$B$3:$BY$27,4,0),0)</f>
        <v>0</v>
      </c>
      <c r="G29" s="703" t="str">
        <f t="shared" ref="G29" si="24">IF(B29="","",IF(B29&gt;0,"NUM",""))</f>
        <v>NUM</v>
      </c>
      <c r="H29" s="702">
        <f>VLOOKUP(C29&amp;$H$13,FLNTRANSPOSE!$F$3:$DP$102,105,0)</f>
        <v>0</v>
      </c>
      <c r="I29" s="702">
        <f>VLOOKUP(C29&amp;$H$13,FLNTRANSPOSE!$F$3:$DP$102,107,0)</f>
        <v>0</v>
      </c>
      <c r="J29" s="702">
        <f>VLOOKUP(C29&amp;$H$13,FLNTRANSPOSE!$F$3:$DP$102,109,0)</f>
        <v>0</v>
      </c>
      <c r="K29" s="702">
        <f>VLOOKUP(C29&amp;$H$13,FLNTRANSPOSE!$F$3:$DP$102,111,0)</f>
        <v>0</v>
      </c>
      <c r="L29" s="702">
        <f>VLOOKUP(C29&amp;$H$13,FLNTRANSPOSE!$F$3:$DP$102,113,0)</f>
        <v>0</v>
      </c>
      <c r="M29" s="702">
        <f>VLOOKUP(C29&amp;$M$13,FLNTRANSPOSE!$F$3:$DP$102,105,0)</f>
        <v>0</v>
      </c>
      <c r="N29" s="702">
        <f>VLOOKUP(C29&amp;$M$13,FLNTRANSPOSE!$F$3:$DP$102,107,0)</f>
        <v>0</v>
      </c>
      <c r="O29" s="702">
        <f>VLOOKUP(C29&amp;$M$13,FLNTRANSPOSE!$F$3:$DP$102,109,0)</f>
        <v>0</v>
      </c>
      <c r="P29" s="702">
        <f>VLOOKUP(C29&amp;$M$13,FLNTRANSPOSE!$F$3:$DP$102,111,0)</f>
        <v>0</v>
      </c>
      <c r="Q29" s="702">
        <f>VLOOKUP(C29&amp;$M$13,FLNTRANSPOSE!$F$3:$DP$102,113,0)</f>
        <v>0</v>
      </c>
      <c r="R29" s="702">
        <f>VLOOKUP(C29&amp;$R$13,FLNTRANSPOSE!$F$3:$DP$102,105,0)</f>
        <v>0</v>
      </c>
      <c r="S29" s="702">
        <f>VLOOKUP(C29&amp;$R$13,FLNTRANSPOSE!$F$3:$DP$102,107,0)</f>
        <v>0</v>
      </c>
      <c r="T29" s="702">
        <f>VLOOKUP(C29&amp;$R$13,FLNTRANSPOSE!$F$3:$DP$102,109,0)</f>
        <v>0</v>
      </c>
      <c r="U29" s="702">
        <f>VLOOKUP(C29&amp;$R$13,FLNTRANSPOSE!$F$3:$DP$102,111,0)</f>
        <v>0</v>
      </c>
      <c r="V29" s="702">
        <f>VLOOKUP(C29&amp;$R$13,FLNTRANSPOSE!$F$3:$DP$102,113,0)</f>
        <v>0</v>
      </c>
      <c r="W29" s="677"/>
      <c r="AA29" s="695" t="s">
        <v>89</v>
      </c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</row>
    <row r="30" spans="1:37">
      <c r="A30" s="675"/>
      <c r="B30" s="709"/>
      <c r="C30" s="702"/>
      <c r="D30" s="702"/>
      <c r="E30" s="702"/>
      <c r="F30" s="702"/>
      <c r="G30" s="703" t="str">
        <f t="shared" ref="G30" si="25">IF(B29="","",IF(B29&gt;0,"%",""))</f>
        <v>%</v>
      </c>
      <c r="H30" s="707" t="e">
        <f>IF(H29=0,NA(),(H29/$F$29*100))</f>
        <v>#N/A</v>
      </c>
      <c r="I30" s="707" t="e">
        <f t="shared" ref="I30:V30" si="26">IF(I29=0,NA(),(I29/$F$29*100))</f>
        <v>#N/A</v>
      </c>
      <c r="J30" s="707" t="e">
        <f t="shared" si="26"/>
        <v>#N/A</v>
      </c>
      <c r="K30" s="707" t="e">
        <f t="shared" si="26"/>
        <v>#N/A</v>
      </c>
      <c r="L30" s="707" t="e">
        <f t="shared" si="26"/>
        <v>#N/A</v>
      </c>
      <c r="M30" s="707" t="e">
        <f t="shared" si="26"/>
        <v>#N/A</v>
      </c>
      <c r="N30" s="707" t="e">
        <f t="shared" si="26"/>
        <v>#N/A</v>
      </c>
      <c r="O30" s="707" t="e">
        <f t="shared" si="26"/>
        <v>#N/A</v>
      </c>
      <c r="P30" s="707" t="e">
        <f t="shared" si="26"/>
        <v>#N/A</v>
      </c>
      <c r="Q30" s="707" t="e">
        <f t="shared" si="26"/>
        <v>#N/A</v>
      </c>
      <c r="R30" s="707" t="e">
        <f t="shared" si="26"/>
        <v>#N/A</v>
      </c>
      <c r="S30" s="707" t="e">
        <f t="shared" si="26"/>
        <v>#N/A</v>
      </c>
      <c r="T30" s="707" t="e">
        <f t="shared" si="26"/>
        <v>#N/A</v>
      </c>
      <c r="U30" s="707" t="e">
        <f t="shared" si="26"/>
        <v>#N/A</v>
      </c>
      <c r="V30" s="707" t="e">
        <f t="shared" si="26"/>
        <v>#N/A</v>
      </c>
      <c r="W30" s="677"/>
      <c r="AA30" s="699" t="s">
        <v>450</v>
      </c>
      <c r="AB30" s="699" t="str">
        <f>$C$15</f>
        <v>30.04.2026</v>
      </c>
      <c r="AC30" s="699" t="str">
        <f>$C$17</f>
        <v>08.05.2026</v>
      </c>
      <c r="AD30" s="699" t="str">
        <f>$C$19</f>
        <v>15.07.2026</v>
      </c>
      <c r="AE30" s="699" t="str">
        <f>$C$21</f>
        <v>31.07.2026</v>
      </c>
      <c r="AF30" s="699" t="str">
        <f>$C$23</f>
        <v>17.08.2026</v>
      </c>
      <c r="AG30" s="699" t="str">
        <f>$C$25</f>
        <v>31.08.2026</v>
      </c>
      <c r="AH30" s="699">
        <f>$C$27</f>
        <v>0</v>
      </c>
      <c r="AI30" s="699">
        <f>$C$29</f>
        <v>0</v>
      </c>
      <c r="AJ30" s="699">
        <f>$C$31</f>
        <v>0</v>
      </c>
      <c r="AK30" s="699">
        <f>$C$33</f>
        <v>0</v>
      </c>
    </row>
    <row r="31" spans="1:37">
      <c r="A31" s="675"/>
      <c r="B31" s="708">
        <f t="shared" ref="B31" si="27">IF(B29=0,0,IF(B29&lt;$B$13,B29+1,""))</f>
        <v>9</v>
      </c>
      <c r="C31" s="702">
        <f>IFERROR(VLOOKUP(B31,DATEWISE!$A$3:$BY$27,2,0),0)</f>
        <v>0</v>
      </c>
      <c r="D31" s="702">
        <f>IFERROR(VLOOKUP(C31,DATEWISE!$B$3:$BY$27,2,0),0)</f>
        <v>0</v>
      </c>
      <c r="E31" s="702">
        <f>IFERROR(VLOOKUP(C31,DATEWISE!$B$3:$BY$27,3,0),0)</f>
        <v>0</v>
      </c>
      <c r="F31" s="702">
        <f>IFERROR(VLOOKUP(C31,DATEWISE!$B$3:$BY$27,4,0),0)</f>
        <v>0</v>
      </c>
      <c r="G31" s="703" t="str">
        <f t="shared" ref="G31" si="28">IF(B31="","",IF(B31&gt;0,"NUM",""))</f>
        <v>NUM</v>
      </c>
      <c r="H31" s="702">
        <f>VLOOKUP(C31&amp;$H$13,FLNTRANSPOSE!$F$3:$DP$102,105,0)</f>
        <v>0</v>
      </c>
      <c r="I31" s="702">
        <f>VLOOKUP(C31&amp;$H$13,FLNTRANSPOSE!$F$3:$DP$102,107,0)</f>
        <v>0</v>
      </c>
      <c r="J31" s="702">
        <f>VLOOKUP(C31&amp;$H$13,FLNTRANSPOSE!$F$3:$DP$102,109,0)</f>
        <v>0</v>
      </c>
      <c r="K31" s="702">
        <f>VLOOKUP(C31&amp;$H$13,FLNTRANSPOSE!$F$3:$DP$102,111,0)</f>
        <v>0</v>
      </c>
      <c r="L31" s="702">
        <f>VLOOKUP(C31&amp;$H$13,FLNTRANSPOSE!$F$3:$DP$102,113,0)</f>
        <v>0</v>
      </c>
      <c r="M31" s="702">
        <f>VLOOKUP(C31&amp;$M$13,FLNTRANSPOSE!$F$3:$DP$102,105,0)</f>
        <v>0</v>
      </c>
      <c r="N31" s="702">
        <f>VLOOKUP(C31&amp;$M$13,FLNTRANSPOSE!$F$3:$DP$102,107,0)</f>
        <v>0</v>
      </c>
      <c r="O31" s="702">
        <f>VLOOKUP(C31&amp;$M$13,FLNTRANSPOSE!$F$3:$DP$102,109,0)</f>
        <v>0</v>
      </c>
      <c r="P31" s="702">
        <f>VLOOKUP(C31&amp;$M$13,FLNTRANSPOSE!$F$3:$DP$102,111,0)</f>
        <v>0</v>
      </c>
      <c r="Q31" s="702">
        <f>VLOOKUP(C31&amp;$M$13,FLNTRANSPOSE!$F$3:$DP$102,113,0)</f>
        <v>0</v>
      </c>
      <c r="R31" s="702">
        <f>VLOOKUP(C31&amp;$R$13,FLNTRANSPOSE!$F$3:$DP$102,105,0)</f>
        <v>0</v>
      </c>
      <c r="S31" s="702">
        <f>VLOOKUP(C31&amp;$R$13,FLNTRANSPOSE!$F$3:$DP$102,107,0)</f>
        <v>0</v>
      </c>
      <c r="T31" s="702">
        <f>VLOOKUP(C31&amp;$R$13,FLNTRANSPOSE!$F$3:$DP$102,109,0)</f>
        <v>0</v>
      </c>
      <c r="U31" s="702">
        <f>VLOOKUP(C31&amp;$R$13,FLNTRANSPOSE!$F$3:$DP$102,111,0)</f>
        <v>0</v>
      </c>
      <c r="V31" s="702">
        <f>VLOOKUP(C31&amp;$R$13,FLNTRANSPOSE!$F$3:$DP$102,113,0)</f>
        <v>0</v>
      </c>
      <c r="W31" s="677"/>
      <c r="AA31" s="704" t="s">
        <v>96</v>
      </c>
      <c r="AB31" s="705" t="e">
        <f t="array" ref="AB31:AB35">TRANSPOSE(R16:V16)</f>
        <v>#N/A</v>
      </c>
      <c r="AC31" s="705" t="e">
        <f t="array" ref="AC31:AC35">TRANSPOSE(R18:V18)</f>
        <v>#N/A</v>
      </c>
      <c r="AD31" s="705" t="e">
        <f t="array" ref="AD31:AD35">TRANSPOSE(R20:V20)</f>
        <v>#N/A</v>
      </c>
      <c r="AE31" s="705" t="e">
        <f t="array" ref="AE31:AE35">TRANSPOSE(R22:V22)</f>
        <v>#N/A</v>
      </c>
      <c r="AF31" s="705" t="e">
        <f t="array" ref="AF31:AF35">TRANSPOSE(R24:V24)</f>
        <v>#N/A</v>
      </c>
      <c r="AG31" s="705" t="e">
        <f t="array" ref="AG31:AG35">TRANSPOSE(R26:V26)</f>
        <v>#N/A</v>
      </c>
      <c r="AH31" s="705" t="e">
        <f t="array" ref="AH31:AH35">TRANSPOSE(R28:V28)</f>
        <v>#N/A</v>
      </c>
      <c r="AI31" s="705" t="e">
        <f t="array" ref="AI31:AI35">TRANSPOSE(R30:V30)</f>
        <v>#N/A</v>
      </c>
      <c r="AJ31" s="705" t="e">
        <f t="array" ref="AJ31:AJ35">TRANSPOSE(R32:V32)</f>
        <v>#N/A</v>
      </c>
      <c r="AK31" s="705" t="e">
        <f t="array" ref="AK31:AK35">TRANSPOSE(R34:V34)</f>
        <v>#N/A</v>
      </c>
    </row>
    <row r="32" spans="1:37">
      <c r="A32" s="675"/>
      <c r="B32" s="709"/>
      <c r="C32" s="702"/>
      <c r="D32" s="702"/>
      <c r="E32" s="702"/>
      <c r="F32" s="702"/>
      <c r="G32" s="703" t="str">
        <f t="shared" ref="G32" si="29">IF(B31="","",IF(B31&gt;0,"%",""))</f>
        <v>%</v>
      </c>
      <c r="H32" s="707" t="e">
        <f>IF(H31=0,NA(),(H31/$F$31*100))</f>
        <v>#N/A</v>
      </c>
      <c r="I32" s="707" t="e">
        <f t="shared" ref="I32:V32" si="30">IF(I31=0,NA(),(I31/$F$31*100))</f>
        <v>#N/A</v>
      </c>
      <c r="J32" s="707" t="e">
        <f t="shared" si="30"/>
        <v>#N/A</v>
      </c>
      <c r="K32" s="707" t="e">
        <f t="shared" si="30"/>
        <v>#N/A</v>
      </c>
      <c r="L32" s="707" t="e">
        <f t="shared" si="30"/>
        <v>#N/A</v>
      </c>
      <c r="M32" s="707" t="e">
        <f t="shared" si="30"/>
        <v>#N/A</v>
      </c>
      <c r="N32" s="707" t="e">
        <f t="shared" si="30"/>
        <v>#N/A</v>
      </c>
      <c r="O32" s="707" t="e">
        <f t="shared" si="30"/>
        <v>#N/A</v>
      </c>
      <c r="P32" s="707" t="e">
        <f t="shared" si="30"/>
        <v>#N/A</v>
      </c>
      <c r="Q32" s="707" t="e">
        <f t="shared" si="30"/>
        <v>#N/A</v>
      </c>
      <c r="R32" s="707" t="e">
        <f t="shared" si="30"/>
        <v>#N/A</v>
      </c>
      <c r="S32" s="707" t="e">
        <f t="shared" si="30"/>
        <v>#N/A</v>
      </c>
      <c r="T32" s="707" t="e">
        <f t="shared" si="30"/>
        <v>#N/A</v>
      </c>
      <c r="U32" s="707" t="e">
        <f t="shared" si="30"/>
        <v>#N/A</v>
      </c>
      <c r="V32" s="707" t="e">
        <f t="shared" si="30"/>
        <v>#N/A</v>
      </c>
      <c r="W32" s="677"/>
      <c r="AA32" s="704" t="s">
        <v>97</v>
      </c>
      <c r="AB32" s="705">
        <v>86.1111111111111</v>
      </c>
      <c r="AC32" s="705">
        <v>86.1111111111111</v>
      </c>
      <c r="AD32" s="705">
        <v>86.1111111111111</v>
      </c>
      <c r="AE32" s="705">
        <v>86.1111111111111</v>
      </c>
      <c r="AF32" s="705">
        <v>86.1111111111111</v>
      </c>
      <c r="AG32" s="705">
        <v>75</v>
      </c>
      <c r="AH32" s="705" t="e">
        <v>#N/A</v>
      </c>
      <c r="AI32" s="705" t="e">
        <v>#N/A</v>
      </c>
      <c r="AJ32" s="705" t="e">
        <v>#N/A</v>
      </c>
      <c r="AK32" s="705" t="e">
        <v>#N/A</v>
      </c>
    </row>
    <row r="33" spans="1:37">
      <c r="A33" s="675"/>
      <c r="B33" s="702">
        <f t="shared" ref="B33" si="31">IF(B31=0,0,IF(B31&lt;$B$13,B31+1,""))</f>
        <v>10</v>
      </c>
      <c r="C33" s="702">
        <f>IFERROR(VLOOKUP(B33,DATEWISE!$A$3:$BY$27,2,0),0)</f>
        <v>0</v>
      </c>
      <c r="D33" s="702">
        <f>IFERROR(VLOOKUP(C33,DATEWISE!$B$3:$BY$27,2,0),0)</f>
        <v>0</v>
      </c>
      <c r="E33" s="702">
        <f>IFERROR(VLOOKUP(C33,DATEWISE!$B$3:$BY$27,3,0),0)</f>
        <v>0</v>
      </c>
      <c r="F33" s="702">
        <f>IFERROR(VLOOKUP(C33,DATEWISE!$B$3:$BY$27,4,0),0)</f>
        <v>0</v>
      </c>
      <c r="G33" s="703" t="str">
        <f t="shared" ref="G33" si="32">IF(B33="","",IF(B33&gt;0,"NUM",""))</f>
        <v>NUM</v>
      </c>
      <c r="H33" s="702">
        <f>VLOOKUP(C33&amp;$H$13,FLNTRANSPOSE!$F$3:$DP$102,105,0)</f>
        <v>0</v>
      </c>
      <c r="I33" s="702">
        <f>VLOOKUP(C33&amp;$H$13,FLNTRANSPOSE!$F$3:$DP$102,107,0)</f>
        <v>0</v>
      </c>
      <c r="J33" s="702">
        <f>VLOOKUP(C33&amp;$H$13,FLNTRANSPOSE!$F$3:$DP$102,109,0)</f>
        <v>0</v>
      </c>
      <c r="K33" s="702">
        <f>VLOOKUP(C33&amp;$H$13,FLNTRANSPOSE!$F$3:$DP$102,111,0)</f>
        <v>0</v>
      </c>
      <c r="L33" s="702">
        <f>VLOOKUP(C33&amp;$H$13,FLNTRANSPOSE!$F$3:$DP$102,113,0)</f>
        <v>0</v>
      </c>
      <c r="M33" s="702">
        <f>VLOOKUP(C33&amp;$M$13,FLNTRANSPOSE!$F$3:$DP$102,105,0)</f>
        <v>0</v>
      </c>
      <c r="N33" s="702">
        <f>VLOOKUP(C33&amp;$M$13,FLNTRANSPOSE!$F$3:$DP$102,107,0)</f>
        <v>0</v>
      </c>
      <c r="O33" s="702">
        <f>VLOOKUP(C33&amp;$M$13,FLNTRANSPOSE!$F$3:$DP$102,109,0)</f>
        <v>0</v>
      </c>
      <c r="P33" s="702">
        <f>VLOOKUP(C33&amp;$M$13,FLNTRANSPOSE!$F$3:$DP$102,111,0)</f>
        <v>0</v>
      </c>
      <c r="Q33" s="702">
        <f>VLOOKUP(C33&amp;$M$13,FLNTRANSPOSE!$F$3:$DP$102,113,0)</f>
        <v>0</v>
      </c>
      <c r="R33" s="702">
        <f>VLOOKUP(C33&amp;$R$13,FLNTRANSPOSE!$F$3:$DP$102,105,0)</f>
        <v>0</v>
      </c>
      <c r="S33" s="702">
        <f>VLOOKUP(C33&amp;$R$13,FLNTRANSPOSE!$F$3:$DP$102,107,0)</f>
        <v>0</v>
      </c>
      <c r="T33" s="702">
        <f>VLOOKUP(C33&amp;$R$13,FLNTRANSPOSE!$F$3:$DP$102,109,0)</f>
        <v>0</v>
      </c>
      <c r="U33" s="702">
        <f>VLOOKUP(C33&amp;$R$13,FLNTRANSPOSE!$F$3:$DP$102,111,0)</f>
        <v>0</v>
      </c>
      <c r="V33" s="702">
        <f>VLOOKUP(C33&amp;$R$13,FLNTRANSPOSE!$F$3:$DP$102,113,0)</f>
        <v>0</v>
      </c>
      <c r="W33" s="677"/>
      <c r="AA33" s="704" t="s">
        <v>98</v>
      </c>
      <c r="AB33" s="705">
        <v>13.8888888888889</v>
      </c>
      <c r="AC33" s="705">
        <v>13.8888888888889</v>
      </c>
      <c r="AD33" s="705">
        <v>13.8888888888889</v>
      </c>
      <c r="AE33" s="705">
        <v>13.8888888888889</v>
      </c>
      <c r="AF33" s="705">
        <v>13.8888888888889</v>
      </c>
      <c r="AG33" s="705">
        <v>16.6666666666667</v>
      </c>
      <c r="AH33" s="705" t="e">
        <v>#N/A</v>
      </c>
      <c r="AI33" s="705" t="e">
        <v>#N/A</v>
      </c>
      <c r="AJ33" s="705" t="e">
        <v>#N/A</v>
      </c>
      <c r="AK33" s="705" t="e">
        <v>#N/A</v>
      </c>
    </row>
    <row r="34" spans="1:37">
      <c r="A34" s="675"/>
      <c r="B34" s="702"/>
      <c r="C34" s="702"/>
      <c r="D34" s="702"/>
      <c r="E34" s="702"/>
      <c r="F34" s="702"/>
      <c r="G34" s="703" t="str">
        <f t="shared" ref="G34" si="33">IF(B33="","",IF(B33&gt;0,"%",""))</f>
        <v>%</v>
      </c>
      <c r="H34" s="707" t="e">
        <f>IF(H33=0,NA(),(H33/$F$31*100))</f>
        <v>#N/A</v>
      </c>
      <c r="I34" s="707" t="e">
        <f t="shared" ref="I34:V34" si="34">IF(I33=0,NA(),(I33/$F$31*100))</f>
        <v>#N/A</v>
      </c>
      <c r="J34" s="707" t="e">
        <f t="shared" si="34"/>
        <v>#N/A</v>
      </c>
      <c r="K34" s="707" t="e">
        <f t="shared" si="34"/>
        <v>#N/A</v>
      </c>
      <c r="L34" s="707" t="e">
        <f t="shared" si="34"/>
        <v>#N/A</v>
      </c>
      <c r="M34" s="707" t="e">
        <f t="shared" si="34"/>
        <v>#N/A</v>
      </c>
      <c r="N34" s="707" t="e">
        <f t="shared" si="34"/>
        <v>#N/A</v>
      </c>
      <c r="O34" s="707" t="e">
        <f t="shared" si="34"/>
        <v>#N/A</v>
      </c>
      <c r="P34" s="707" t="e">
        <f t="shared" si="34"/>
        <v>#N/A</v>
      </c>
      <c r="Q34" s="707" t="e">
        <f t="shared" si="34"/>
        <v>#N/A</v>
      </c>
      <c r="R34" s="707" t="e">
        <f t="shared" si="34"/>
        <v>#N/A</v>
      </c>
      <c r="S34" s="707" t="e">
        <f t="shared" si="34"/>
        <v>#N/A</v>
      </c>
      <c r="T34" s="707" t="e">
        <f t="shared" si="34"/>
        <v>#N/A</v>
      </c>
      <c r="U34" s="707" t="e">
        <f t="shared" si="34"/>
        <v>#N/A</v>
      </c>
      <c r="V34" s="707" t="e">
        <f t="shared" si="34"/>
        <v>#N/A</v>
      </c>
      <c r="W34" s="677"/>
      <c r="AA34" s="704" t="s">
        <v>99</v>
      </c>
      <c r="AB34" s="705" t="e">
        <v>#N/A</v>
      </c>
      <c r="AC34" s="705" t="e">
        <v>#N/A</v>
      </c>
      <c r="AD34" s="705" t="e">
        <v>#N/A</v>
      </c>
      <c r="AE34" s="705" t="e">
        <v>#N/A</v>
      </c>
      <c r="AF34" s="705" t="e">
        <v>#N/A</v>
      </c>
      <c r="AG34" s="705">
        <v>8.33333333333333</v>
      </c>
      <c r="AH34" s="705" t="e">
        <v>#N/A</v>
      </c>
      <c r="AI34" s="705" t="e">
        <v>#N/A</v>
      </c>
      <c r="AJ34" s="705" t="e">
        <v>#N/A</v>
      </c>
      <c r="AK34" s="705" t="e">
        <v>#N/A</v>
      </c>
    </row>
    <row r="35" s="667" customFormat="1" ht="24.95" customHeight="1" spans="1:37">
      <c r="A35" s="711"/>
      <c r="B35" s="712" t="s">
        <v>451</v>
      </c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3"/>
      <c r="AA35" s="714" t="s">
        <v>100</v>
      </c>
      <c r="AB35" s="715" t="e">
        <v>#N/A</v>
      </c>
      <c r="AC35" s="715" t="e">
        <v>#N/A</v>
      </c>
      <c r="AD35" s="715" t="e">
        <v>#N/A</v>
      </c>
      <c r="AE35" s="715" t="e">
        <v>#N/A</v>
      </c>
      <c r="AF35" s="715" t="e">
        <v>#N/A</v>
      </c>
      <c r="AG35" s="715" t="e">
        <v>#N/A</v>
      </c>
      <c r="AH35" s="715" t="e">
        <v>#N/A</v>
      </c>
      <c r="AI35" s="715" t="e">
        <v>#N/A</v>
      </c>
      <c r="AJ35" s="715" t="e">
        <v>#N/A</v>
      </c>
      <c r="AK35" s="715" t="e">
        <v>#N/A</v>
      </c>
    </row>
    <row r="36" s="667" customFormat="1" ht="18.15" spans="1:37">
      <c r="A36" s="711"/>
      <c r="B36" s="716" t="s">
        <v>452</v>
      </c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8"/>
      <c r="W36" s="713"/>
      <c r="AA36" s="719"/>
      <c r="AB36" s="720"/>
      <c r="AC36" s="720"/>
      <c r="AD36" s="720"/>
      <c r="AE36" s="720"/>
      <c r="AF36" s="720"/>
      <c r="AG36" s="720"/>
      <c r="AH36" s="720"/>
      <c r="AI36" s="720"/>
      <c r="AJ36" s="720"/>
      <c r="AK36" s="720"/>
    </row>
    <row r="37" spans="1:37">
      <c r="A37" s="675"/>
      <c r="B37" s="675"/>
      <c r="C37" s="686"/>
      <c r="D37" s="686"/>
      <c r="E37" s="686"/>
      <c r="F37" s="686"/>
      <c r="G37" s="687"/>
      <c r="H37" s="686"/>
      <c r="I37" s="686"/>
      <c r="J37" s="686"/>
      <c r="K37" s="686"/>
      <c r="L37" s="686"/>
      <c r="M37" s="686"/>
      <c r="N37" s="686"/>
      <c r="O37" s="686"/>
      <c r="P37" s="686"/>
      <c r="Q37" s="686"/>
      <c r="R37" s="686"/>
      <c r="S37" s="686"/>
      <c r="T37" s="686"/>
      <c r="U37" s="686"/>
      <c r="V37" s="677"/>
      <c r="W37" s="677"/>
    </row>
    <row r="38" spans="1:37">
      <c r="A38" s="675"/>
      <c r="B38" s="675"/>
      <c r="C38" s="686"/>
      <c r="D38" s="686"/>
      <c r="E38" s="686"/>
      <c r="F38" s="686"/>
      <c r="G38" s="687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77"/>
      <c r="W38" s="677"/>
    </row>
    <row r="39" spans="1:37">
      <c r="A39" s="675"/>
      <c r="B39" s="675"/>
      <c r="C39" s="686"/>
      <c r="D39" s="686"/>
      <c r="E39" s="686"/>
      <c r="F39" s="686"/>
      <c r="G39" s="687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77"/>
      <c r="W39" s="677"/>
    </row>
    <row r="40" spans="1:37">
      <c r="A40" s="675"/>
      <c r="B40" s="675"/>
      <c r="C40" s="686"/>
      <c r="D40" s="686"/>
      <c r="E40" s="686"/>
      <c r="F40" s="686"/>
      <c r="G40" s="687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77"/>
      <c r="W40" s="677"/>
    </row>
    <row r="41" spans="1:37">
      <c r="A41" s="675"/>
      <c r="B41" s="675"/>
      <c r="C41" s="686"/>
      <c r="D41" s="686"/>
      <c r="E41" s="686"/>
      <c r="F41" s="686"/>
      <c r="G41" s="687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77"/>
      <c r="W41" s="677"/>
    </row>
    <row r="42" spans="1:37">
      <c r="A42" s="675"/>
      <c r="B42" s="675"/>
      <c r="C42" s="686"/>
      <c r="D42" s="686"/>
      <c r="E42" s="686"/>
      <c r="F42" s="686"/>
      <c r="G42" s="687"/>
      <c r="H42" s="686"/>
      <c r="I42" s="686"/>
      <c r="J42" s="686"/>
      <c r="K42" s="686"/>
      <c r="L42" s="686"/>
      <c r="M42" s="686"/>
      <c r="N42" s="686"/>
      <c r="O42" s="686"/>
      <c r="P42" s="686"/>
      <c r="Q42" s="686"/>
      <c r="R42" s="686"/>
      <c r="S42" s="686"/>
      <c r="T42" s="686"/>
      <c r="U42" s="686"/>
      <c r="V42" s="677"/>
      <c r="W42" s="677"/>
    </row>
    <row r="43" spans="1:37">
      <c r="A43" s="675"/>
      <c r="B43" s="675"/>
      <c r="C43" s="686"/>
      <c r="D43" s="686"/>
      <c r="E43" s="686"/>
      <c r="F43" s="686"/>
      <c r="G43" s="687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6"/>
      <c r="U43" s="686"/>
      <c r="V43" s="677"/>
      <c r="W43" s="677"/>
    </row>
    <row r="44" spans="1:37">
      <c r="A44" s="675"/>
      <c r="B44" s="675"/>
      <c r="C44" s="686"/>
      <c r="D44" s="686"/>
      <c r="E44" s="686"/>
      <c r="F44" s="686"/>
      <c r="G44" s="687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77"/>
      <c r="W44" s="677"/>
    </row>
    <row r="45" spans="1:37">
      <c r="A45" s="675"/>
      <c r="B45" s="675"/>
      <c r="C45" s="686"/>
      <c r="D45" s="686"/>
      <c r="E45" s="686"/>
      <c r="F45" s="686"/>
      <c r="G45" s="687"/>
      <c r="H45" s="686"/>
      <c r="I45" s="686"/>
      <c r="J45" s="686"/>
      <c r="K45" s="686"/>
      <c r="L45" s="686"/>
      <c r="M45" s="686"/>
      <c r="N45" s="686"/>
      <c r="O45" s="686"/>
      <c r="P45" s="686"/>
      <c r="Q45" s="686"/>
      <c r="R45" s="686"/>
      <c r="S45" s="686"/>
      <c r="T45" s="686"/>
      <c r="U45" s="686"/>
      <c r="V45" s="677"/>
      <c r="W45" s="677"/>
    </row>
    <row r="46" spans="1:37">
      <c r="A46" s="675"/>
      <c r="B46" s="675"/>
      <c r="C46" s="686"/>
      <c r="D46" s="686"/>
      <c r="E46" s="686"/>
      <c r="F46" s="686"/>
      <c r="G46" s="687"/>
      <c r="H46" s="686"/>
      <c r="I46" s="686"/>
      <c r="J46" s="686"/>
      <c r="K46" s="686"/>
      <c r="L46" s="686"/>
      <c r="M46" s="686"/>
      <c r="N46" s="686"/>
      <c r="O46" s="686"/>
      <c r="P46" s="686"/>
      <c r="Q46" s="686"/>
      <c r="R46" s="686"/>
      <c r="S46" s="686"/>
      <c r="T46" s="686"/>
      <c r="U46" s="686"/>
      <c r="V46" s="677"/>
      <c r="W46" s="677"/>
    </row>
    <row r="47" ht="16.35" spans="1:37">
      <c r="A47" s="675"/>
      <c r="B47" s="725"/>
      <c r="C47" s="726"/>
      <c r="D47" s="726"/>
      <c r="E47" s="726"/>
      <c r="F47" s="726"/>
      <c r="G47" s="727"/>
      <c r="H47" s="726"/>
      <c r="I47" s="726"/>
      <c r="J47" s="726"/>
      <c r="K47" s="726"/>
      <c r="L47" s="726"/>
      <c r="M47" s="726"/>
      <c r="N47" s="726"/>
      <c r="O47" s="726"/>
      <c r="P47" s="726"/>
      <c r="Q47" s="726"/>
      <c r="R47" s="726"/>
      <c r="S47" s="726"/>
      <c r="T47" s="726"/>
      <c r="U47" s="726"/>
      <c r="V47" s="728"/>
      <c r="W47" s="677"/>
    </row>
    <row r="48" ht="5.1" customHeight="1" spans="1:37">
      <c r="A48" s="675"/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77"/>
    </row>
    <row r="49" s="667" customFormat="1" ht="18.15" spans="1:23">
      <c r="A49" s="711"/>
      <c r="B49" s="716" t="s">
        <v>453</v>
      </c>
      <c r="C49" s="717"/>
      <c r="D49" s="717"/>
      <c r="E49" s="717"/>
      <c r="F49" s="717"/>
      <c r="G49" s="717"/>
      <c r="H49" s="717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8"/>
      <c r="W49" s="713"/>
    </row>
    <row r="50" spans="1:23">
      <c r="A50" s="675"/>
      <c r="B50" s="721"/>
      <c r="C50" s="722"/>
      <c r="D50" s="722"/>
      <c r="E50" s="722"/>
      <c r="F50" s="722"/>
      <c r="G50" s="723"/>
      <c r="H50" s="722"/>
      <c r="I50" s="722"/>
      <c r="J50" s="722"/>
      <c r="K50" s="722"/>
      <c r="L50" s="722"/>
      <c r="M50" s="722"/>
      <c r="N50" s="722"/>
      <c r="O50" s="722"/>
      <c r="P50" s="722"/>
      <c r="Q50" s="722"/>
      <c r="R50" s="722"/>
      <c r="S50" s="722"/>
      <c r="T50" s="722"/>
      <c r="U50" s="722"/>
      <c r="V50" s="724"/>
      <c r="W50" s="677"/>
    </row>
    <row r="51" spans="1:23">
      <c r="A51" s="675"/>
      <c r="B51" s="675"/>
      <c r="C51" s="686"/>
      <c r="D51" s="686"/>
      <c r="E51" s="686"/>
      <c r="F51" s="686"/>
      <c r="G51" s="687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77"/>
      <c r="W51" s="677"/>
    </row>
    <row r="52" spans="1:23">
      <c r="A52" s="675"/>
      <c r="B52" s="675"/>
      <c r="C52" s="686"/>
      <c r="D52" s="686"/>
      <c r="E52" s="686"/>
      <c r="F52" s="686"/>
      <c r="G52" s="687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77"/>
      <c r="W52" s="677"/>
    </row>
    <row r="53" spans="1:23">
      <c r="A53" s="675"/>
      <c r="B53" s="675"/>
      <c r="C53" s="686"/>
      <c r="D53" s="686"/>
      <c r="E53" s="686"/>
      <c r="F53" s="686"/>
      <c r="G53" s="687"/>
      <c r="H53" s="686"/>
      <c r="I53" s="686"/>
      <c r="J53" s="686"/>
      <c r="K53" s="686"/>
      <c r="L53" s="686"/>
      <c r="M53" s="686"/>
      <c r="N53" s="686"/>
      <c r="O53" s="686"/>
      <c r="P53" s="686"/>
      <c r="Q53" s="686"/>
      <c r="R53" s="686"/>
      <c r="S53" s="686"/>
      <c r="T53" s="686"/>
      <c r="U53" s="686"/>
      <c r="V53" s="677"/>
      <c r="W53" s="677"/>
    </row>
    <row r="54" spans="1:23">
      <c r="A54" s="675"/>
      <c r="B54" s="675"/>
      <c r="C54" s="686"/>
      <c r="D54" s="686"/>
      <c r="E54" s="686"/>
      <c r="F54" s="686"/>
      <c r="G54" s="687"/>
      <c r="H54" s="686"/>
      <c r="I54" s="686"/>
      <c r="J54" s="686"/>
      <c r="K54" s="686"/>
      <c r="L54" s="686"/>
      <c r="M54" s="686"/>
      <c r="N54" s="686"/>
      <c r="O54" s="686"/>
      <c r="P54" s="686"/>
      <c r="Q54" s="686"/>
      <c r="R54" s="686"/>
      <c r="S54" s="686"/>
      <c r="T54" s="686"/>
      <c r="U54" s="686"/>
      <c r="V54" s="677"/>
      <c r="W54" s="677"/>
    </row>
    <row r="55" spans="1:23">
      <c r="A55" s="675"/>
      <c r="B55" s="675"/>
      <c r="C55" s="686"/>
      <c r="D55" s="686"/>
      <c r="E55" s="686"/>
      <c r="F55" s="686"/>
      <c r="G55" s="687"/>
      <c r="H55" s="686"/>
      <c r="I55" s="686"/>
      <c r="J55" s="686"/>
      <c r="K55" s="686"/>
      <c r="L55" s="686"/>
      <c r="M55" s="686"/>
      <c r="N55" s="686"/>
      <c r="O55" s="686"/>
      <c r="P55" s="686"/>
      <c r="Q55" s="686"/>
      <c r="R55" s="686"/>
      <c r="S55" s="686"/>
      <c r="T55" s="686"/>
      <c r="U55" s="686"/>
      <c r="V55" s="677"/>
      <c r="W55" s="677"/>
    </row>
    <row r="56" spans="1:23">
      <c r="A56" s="675"/>
      <c r="B56" s="675"/>
      <c r="C56" s="686"/>
      <c r="D56" s="686"/>
      <c r="E56" s="686"/>
      <c r="F56" s="686"/>
      <c r="G56" s="687"/>
      <c r="H56" s="686"/>
      <c r="I56" s="686"/>
      <c r="J56" s="686"/>
      <c r="K56" s="686"/>
      <c r="L56" s="686"/>
      <c r="M56" s="686"/>
      <c r="N56" s="686"/>
      <c r="O56" s="686"/>
      <c r="P56" s="686"/>
      <c r="Q56" s="686"/>
      <c r="R56" s="686"/>
      <c r="S56" s="686"/>
      <c r="T56" s="686"/>
      <c r="U56" s="686"/>
      <c r="V56" s="677"/>
      <c r="W56" s="677"/>
    </row>
    <row r="57" spans="1:23">
      <c r="A57" s="675"/>
      <c r="B57" s="675"/>
      <c r="C57" s="686"/>
      <c r="D57" s="686"/>
      <c r="E57" s="686"/>
      <c r="F57" s="686"/>
      <c r="G57" s="687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77"/>
      <c r="W57" s="677"/>
    </row>
    <row r="58" spans="1:23">
      <c r="A58" s="675"/>
      <c r="B58" s="675"/>
      <c r="C58" s="686"/>
      <c r="D58" s="686"/>
      <c r="E58" s="686"/>
      <c r="F58" s="686"/>
      <c r="G58" s="687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77"/>
      <c r="W58" s="677"/>
    </row>
    <row r="59" spans="1:23">
      <c r="A59" s="675"/>
      <c r="B59" s="675"/>
      <c r="C59" s="686"/>
      <c r="D59" s="686"/>
      <c r="E59" s="686"/>
      <c r="F59" s="686"/>
      <c r="G59" s="687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77"/>
      <c r="W59" s="677"/>
    </row>
    <row r="60" ht="16.35" spans="1:23">
      <c r="A60" s="675"/>
      <c r="B60" s="725"/>
      <c r="C60" s="726"/>
      <c r="D60" s="726"/>
      <c r="E60" s="726"/>
      <c r="F60" s="726"/>
      <c r="G60" s="727"/>
      <c r="H60" s="726"/>
      <c r="I60" s="726"/>
      <c r="J60" s="726"/>
      <c r="K60" s="726"/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8"/>
      <c r="W60" s="677"/>
    </row>
    <row r="61" ht="5.1" customHeight="1" spans="1:23">
      <c r="A61" s="675"/>
      <c r="B61" s="687"/>
      <c r="C61" s="687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687"/>
      <c r="S61" s="687"/>
      <c r="T61" s="687"/>
      <c r="U61" s="687"/>
      <c r="V61" s="687"/>
      <c r="W61" s="677"/>
    </row>
    <row r="62" s="667" customFormat="1" ht="18.15" spans="1:23">
      <c r="A62" s="711"/>
      <c r="B62" s="716" t="s">
        <v>454</v>
      </c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8"/>
      <c r="W62" s="713"/>
    </row>
    <row r="63" spans="1:23">
      <c r="A63" s="675"/>
      <c r="B63" s="721"/>
      <c r="C63" s="722"/>
      <c r="D63" s="722"/>
      <c r="E63" s="722"/>
      <c r="F63" s="722"/>
      <c r="G63" s="723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4"/>
      <c r="W63" s="677"/>
    </row>
    <row r="64" spans="1:23">
      <c r="A64" s="675"/>
      <c r="B64" s="675"/>
      <c r="C64" s="686"/>
      <c r="D64" s="686"/>
      <c r="E64" s="686"/>
      <c r="F64" s="686"/>
      <c r="G64" s="687"/>
      <c r="H64" s="686"/>
      <c r="I64" s="686"/>
      <c r="J64" s="686"/>
      <c r="K64" s="686"/>
      <c r="L64" s="686"/>
      <c r="M64" s="686"/>
      <c r="N64" s="686"/>
      <c r="O64" s="686"/>
      <c r="P64" s="686"/>
      <c r="Q64" s="686"/>
      <c r="R64" s="686"/>
      <c r="S64" s="686"/>
      <c r="T64" s="686"/>
      <c r="U64" s="686"/>
      <c r="V64" s="677"/>
      <c r="W64" s="677"/>
    </row>
    <row r="65" spans="1:23">
      <c r="A65" s="675"/>
      <c r="B65" s="675"/>
      <c r="C65" s="686"/>
      <c r="D65" s="686"/>
      <c r="E65" s="686"/>
      <c r="F65" s="686"/>
      <c r="G65" s="687"/>
      <c r="H65" s="686"/>
      <c r="I65" s="686"/>
      <c r="J65" s="686"/>
      <c r="K65" s="686"/>
      <c r="L65" s="686"/>
      <c r="M65" s="686"/>
      <c r="N65" s="686"/>
      <c r="O65" s="686"/>
      <c r="P65" s="686"/>
      <c r="Q65" s="686"/>
      <c r="R65" s="686"/>
      <c r="S65" s="686"/>
      <c r="T65" s="686"/>
      <c r="U65" s="686"/>
      <c r="V65" s="677"/>
      <c r="W65" s="677"/>
    </row>
    <row r="66" spans="1:23">
      <c r="A66" s="675"/>
      <c r="B66" s="675"/>
      <c r="C66" s="686"/>
      <c r="D66" s="686"/>
      <c r="E66" s="686"/>
      <c r="F66" s="686"/>
      <c r="G66" s="687"/>
      <c r="H66" s="686"/>
      <c r="I66" s="686"/>
      <c r="J66" s="686"/>
      <c r="K66" s="686"/>
      <c r="L66" s="686"/>
      <c r="M66" s="686"/>
      <c r="N66" s="686"/>
      <c r="O66" s="686"/>
      <c r="P66" s="686"/>
      <c r="Q66" s="686"/>
      <c r="R66" s="686"/>
      <c r="S66" s="686"/>
      <c r="T66" s="686"/>
      <c r="U66" s="686"/>
      <c r="V66" s="677"/>
      <c r="W66" s="677"/>
    </row>
    <row r="67" spans="1:23">
      <c r="A67" s="675"/>
      <c r="B67" s="675"/>
      <c r="C67" s="686"/>
      <c r="D67" s="686"/>
      <c r="E67" s="686"/>
      <c r="F67" s="686"/>
      <c r="G67" s="687"/>
      <c r="H67" s="686"/>
      <c r="I67" s="686"/>
      <c r="J67" s="686"/>
      <c r="K67" s="686"/>
      <c r="L67" s="686"/>
      <c r="M67" s="686"/>
      <c r="N67" s="686"/>
      <c r="O67" s="686"/>
      <c r="P67" s="686"/>
      <c r="Q67" s="686"/>
      <c r="R67" s="686"/>
      <c r="S67" s="686"/>
      <c r="T67" s="686"/>
      <c r="U67" s="686"/>
      <c r="V67" s="677"/>
      <c r="W67" s="677"/>
    </row>
    <row r="68" spans="1:23">
      <c r="A68" s="675"/>
      <c r="B68" s="675"/>
      <c r="C68" s="686"/>
      <c r="D68" s="686"/>
      <c r="E68" s="686"/>
      <c r="F68" s="686"/>
      <c r="G68" s="687"/>
      <c r="H68" s="686"/>
      <c r="I68" s="686"/>
      <c r="J68" s="686"/>
      <c r="K68" s="686"/>
      <c r="L68" s="686"/>
      <c r="M68" s="686"/>
      <c r="N68" s="686"/>
      <c r="O68" s="686"/>
      <c r="P68" s="686"/>
      <c r="Q68" s="686"/>
      <c r="R68" s="686"/>
      <c r="S68" s="686"/>
      <c r="T68" s="686"/>
      <c r="U68" s="686"/>
      <c r="V68" s="677"/>
      <c r="W68" s="677"/>
    </row>
    <row r="69" spans="1:23">
      <c r="A69" s="675"/>
      <c r="B69" s="675"/>
      <c r="C69" s="686"/>
      <c r="D69" s="686"/>
      <c r="E69" s="686"/>
      <c r="F69" s="686"/>
      <c r="G69" s="687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77"/>
      <c r="W69" s="677"/>
    </row>
    <row r="70" spans="1:23">
      <c r="A70" s="675"/>
      <c r="B70" s="675"/>
      <c r="C70" s="686"/>
      <c r="D70" s="686"/>
      <c r="E70" s="686"/>
      <c r="F70" s="686"/>
      <c r="G70" s="687"/>
      <c r="H70" s="686"/>
      <c r="I70" s="686"/>
      <c r="J70" s="686"/>
      <c r="K70" s="686"/>
      <c r="L70" s="686"/>
      <c r="M70" s="686"/>
      <c r="N70" s="686"/>
      <c r="O70" s="686"/>
      <c r="P70" s="686"/>
      <c r="Q70" s="686"/>
      <c r="R70" s="686"/>
      <c r="S70" s="686"/>
      <c r="T70" s="686"/>
      <c r="U70" s="686"/>
      <c r="V70" s="677"/>
      <c r="W70" s="677"/>
    </row>
    <row r="71" spans="1:23">
      <c r="A71" s="675"/>
      <c r="B71" s="675"/>
      <c r="C71" s="686"/>
      <c r="D71" s="686"/>
      <c r="E71" s="686"/>
      <c r="F71" s="686"/>
      <c r="G71" s="687"/>
      <c r="H71" s="686"/>
      <c r="I71" s="686"/>
      <c r="J71" s="686"/>
      <c r="K71" s="686"/>
      <c r="L71" s="686"/>
      <c r="M71" s="686"/>
      <c r="N71" s="686"/>
      <c r="O71" s="686"/>
      <c r="P71" s="686"/>
      <c r="Q71" s="686"/>
      <c r="R71" s="686"/>
      <c r="S71" s="686"/>
      <c r="T71" s="686"/>
      <c r="U71" s="686"/>
      <c r="V71" s="677"/>
      <c r="W71" s="677"/>
    </row>
    <row r="72" spans="1:23">
      <c r="A72" s="675"/>
      <c r="B72" s="675"/>
      <c r="C72" s="686"/>
      <c r="D72" s="686"/>
      <c r="E72" s="686"/>
      <c r="F72" s="686"/>
      <c r="G72" s="687"/>
      <c r="H72" s="686"/>
      <c r="I72" s="686"/>
      <c r="J72" s="686"/>
      <c r="K72" s="686"/>
      <c r="L72" s="686"/>
      <c r="M72" s="686"/>
      <c r="N72" s="686"/>
      <c r="O72" s="686"/>
      <c r="P72" s="686"/>
      <c r="Q72" s="686"/>
      <c r="R72" s="686"/>
      <c r="S72" s="686"/>
      <c r="T72" s="686"/>
      <c r="U72" s="686"/>
      <c r="V72" s="677"/>
      <c r="W72" s="677"/>
    </row>
    <row r="73" ht="16.35" spans="1:23">
      <c r="A73" s="675"/>
      <c r="B73" s="725"/>
      <c r="C73" s="726"/>
      <c r="D73" s="726"/>
      <c r="E73" s="726"/>
      <c r="F73" s="726"/>
      <c r="G73" s="727"/>
      <c r="H73" s="726"/>
      <c r="I73" s="726"/>
      <c r="J73" s="726"/>
      <c r="K73" s="726"/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8"/>
      <c r="W73" s="677"/>
    </row>
    <row r="74" spans="1:23">
      <c r="A74" s="675"/>
      <c r="B74" s="729" t="s">
        <v>455</v>
      </c>
      <c r="C74" s="729"/>
      <c r="D74" s="729"/>
      <c r="E74" s="729"/>
      <c r="F74" s="729"/>
      <c r="G74" s="729"/>
      <c r="H74" s="729"/>
      <c r="I74" s="729"/>
      <c r="J74" s="729"/>
      <c r="K74" s="729"/>
      <c r="L74" s="729"/>
      <c r="M74" s="729"/>
      <c r="N74" s="729"/>
      <c r="O74" s="729"/>
      <c r="P74" s="729"/>
      <c r="Q74" s="729"/>
      <c r="R74" s="729"/>
      <c r="S74" s="729"/>
      <c r="T74" s="729"/>
      <c r="U74" s="729"/>
      <c r="V74" s="729"/>
      <c r="W74" s="677"/>
    </row>
    <row r="75" spans="1:23">
      <c r="A75" s="675"/>
      <c r="B75" s="687"/>
      <c r="C75" s="687"/>
      <c r="D75" s="687"/>
      <c r="E75" s="687"/>
      <c r="F75" s="687"/>
      <c r="G75" s="687"/>
      <c r="H75" s="687"/>
      <c r="I75" s="687"/>
      <c r="J75" s="687"/>
      <c r="K75" s="687"/>
      <c r="L75" s="687"/>
      <c r="M75" s="687"/>
      <c r="N75" s="687"/>
      <c r="O75" s="687"/>
      <c r="P75" s="687"/>
      <c r="Q75" s="687"/>
      <c r="R75" s="687"/>
      <c r="S75" s="687"/>
      <c r="T75" s="687"/>
      <c r="U75" s="687"/>
      <c r="V75" s="687"/>
      <c r="W75" s="677"/>
    </row>
    <row r="76" spans="1:23">
      <c r="A76" s="675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77"/>
    </row>
    <row r="77" spans="1:23">
      <c r="A77" s="675"/>
      <c r="B77" s="686"/>
      <c r="C77" s="686"/>
      <c r="D77" s="686"/>
      <c r="E77" s="686"/>
      <c r="F77" s="686"/>
      <c r="G77" s="687"/>
      <c r="H77" s="686"/>
      <c r="I77" s="686"/>
      <c r="J77" s="686"/>
      <c r="K77" s="686"/>
      <c r="L77" s="686"/>
      <c r="M77" s="686"/>
      <c r="N77" s="686"/>
      <c r="O77" s="686"/>
      <c r="P77" s="686"/>
      <c r="Q77" s="686"/>
      <c r="R77" s="686"/>
      <c r="S77" s="686"/>
      <c r="T77" s="686"/>
      <c r="U77" s="686"/>
      <c r="V77" s="686"/>
      <c r="W77" s="677"/>
    </row>
    <row r="78" spans="1:23">
      <c r="A78" s="675"/>
      <c r="B78" s="686"/>
      <c r="C78" s="686"/>
      <c r="D78" s="686"/>
      <c r="E78" s="686"/>
      <c r="F78" s="686"/>
      <c r="G78" s="687"/>
      <c r="H78" s="686"/>
      <c r="I78" s="686"/>
      <c r="J78" s="686"/>
      <c r="K78" s="686"/>
      <c r="L78" s="686"/>
      <c r="M78" s="686"/>
      <c r="N78" s="686"/>
      <c r="O78" s="686"/>
      <c r="P78" s="686"/>
      <c r="Q78" s="686"/>
      <c r="R78" s="686"/>
      <c r="S78" s="686"/>
      <c r="T78" s="686"/>
      <c r="U78" s="686"/>
      <c r="V78" s="686"/>
      <c r="W78" s="677"/>
    </row>
    <row r="79" spans="1:23">
      <c r="A79" s="675"/>
      <c r="B79" s="730" t="s">
        <v>456</v>
      </c>
      <c r="C79" s="730"/>
      <c r="D79" s="730"/>
      <c r="E79" s="730"/>
      <c r="F79" s="730"/>
      <c r="G79" s="729"/>
      <c r="H79" s="730" t="s">
        <v>456</v>
      </c>
      <c r="I79" s="730"/>
      <c r="J79" s="730"/>
      <c r="K79" s="730"/>
      <c r="L79" s="730"/>
      <c r="M79" s="730"/>
      <c r="N79" s="730"/>
      <c r="O79" s="730"/>
      <c r="P79" s="730"/>
      <c r="Q79" s="730"/>
      <c r="R79" s="730"/>
      <c r="S79" s="730"/>
      <c r="T79" s="730"/>
      <c r="U79" s="730"/>
      <c r="V79" s="730"/>
      <c r="W79" s="677"/>
    </row>
    <row r="80" spans="1:23">
      <c r="A80" s="675"/>
      <c r="B80" s="731" t="s">
        <v>457</v>
      </c>
      <c r="C80" s="731"/>
      <c r="D80" s="731"/>
      <c r="E80" s="731"/>
      <c r="F80" s="730"/>
      <c r="G80" s="729"/>
      <c r="H80" s="731" t="s">
        <v>458</v>
      </c>
      <c r="I80" s="731"/>
      <c r="J80" s="731"/>
      <c r="K80" s="731"/>
      <c r="L80" s="731"/>
      <c r="M80" s="730"/>
      <c r="N80" s="730"/>
      <c r="O80" s="730"/>
      <c r="P80" s="731" t="s">
        <v>434</v>
      </c>
      <c r="Q80" s="731"/>
      <c r="R80" s="731"/>
      <c r="S80" s="731"/>
      <c r="T80" s="731"/>
      <c r="U80" s="731"/>
      <c r="V80" s="731"/>
      <c r="W80" s="677"/>
    </row>
    <row r="81" ht="16.35" spans="1:23">
      <c r="A81" s="725"/>
      <c r="B81" s="732" t="str">
        <f>"-"&amp;PROPER(ENTRY!$D$19)&amp;"-"</f>
        <v>-Indrajeet-</v>
      </c>
      <c r="C81" s="732"/>
      <c r="D81" s="732"/>
      <c r="E81" s="732"/>
      <c r="F81" s="726"/>
      <c r="G81" s="727"/>
      <c r="H81" s="732" t="str">
        <f>"-"&amp;PROPER(ENTRY!$D$13)&amp;"-"</f>
        <v>-Devender Singh-</v>
      </c>
      <c r="I81" s="732"/>
      <c r="J81" s="732"/>
      <c r="K81" s="732"/>
      <c r="L81" s="732"/>
      <c r="M81" s="726"/>
      <c r="N81" s="726"/>
      <c r="O81" s="726"/>
      <c r="P81" s="732" t="str">
        <f>"-"&amp;PROPER(ENTRY!$D$12)&amp;"-"</f>
        <v>-Shambhu Dayal Meena-</v>
      </c>
      <c r="Q81" s="732"/>
      <c r="R81" s="732"/>
      <c r="S81" s="732"/>
      <c r="T81" s="732"/>
      <c r="U81" s="732"/>
      <c r="V81" s="732"/>
      <c r="W81" s="728"/>
    </row>
  </sheetData>
  <sheetProtection password="BF6F" sheet="1" formatCells="0" formatColumns="0" formatRows="0" objects="1" scenarios="1"/>
  <mergeCells count="99">
    <mergeCell ref="E1:Q1"/>
    <mergeCell ref="E2:Q2"/>
    <mergeCell ref="E3:Q3"/>
    <mergeCell ref="E4:Q4"/>
    <mergeCell ref="E5:Q5"/>
    <mergeCell ref="B6:V6"/>
    <mergeCell ref="B7:D7"/>
    <mergeCell ref="E7:V7"/>
    <mergeCell ref="B8:C8"/>
    <mergeCell ref="D8:F8"/>
    <mergeCell ref="G8:H8"/>
    <mergeCell ref="I8:J8"/>
    <mergeCell ref="M8:N8"/>
    <mergeCell ref="O8:V8"/>
    <mergeCell ref="B9:D9"/>
    <mergeCell ref="E9:V9"/>
    <mergeCell ref="B10:C10"/>
    <mergeCell ref="D10:E10"/>
    <mergeCell ref="G10:H10"/>
    <mergeCell ref="I10:L10"/>
    <mergeCell ref="M10:O10"/>
    <mergeCell ref="P10:V10"/>
    <mergeCell ref="B12:V12"/>
    <mergeCell ref="H13:L13"/>
    <mergeCell ref="M13:Q13"/>
    <mergeCell ref="R13:V13"/>
    <mergeCell ref="AA13:AK13"/>
    <mergeCell ref="AA21:AK21"/>
    <mergeCell ref="AA29:AK29"/>
    <mergeCell ref="B35:V35"/>
    <mergeCell ref="B36:V36"/>
    <mergeCell ref="B48:V48"/>
    <mergeCell ref="B49:V49"/>
    <mergeCell ref="B61:V61"/>
    <mergeCell ref="B62:V62"/>
    <mergeCell ref="B74:V74"/>
    <mergeCell ref="B79:E79"/>
    <mergeCell ref="H79:L79"/>
    <mergeCell ref="B80:E80"/>
    <mergeCell ref="H80:L80"/>
    <mergeCell ref="P80:V80"/>
    <mergeCell ref="B81:E81"/>
    <mergeCell ref="H81:L81"/>
    <mergeCell ref="P81:V81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</mergeCells>
  <conditionalFormatting sqref="H15:V34">
    <cfRule type="expression" dxfId="3" priority="1">
      <formula>ISNA(H15)</formula>
    </cfRule>
  </conditionalFormatting>
  <pageMargins left="0.17" right="0.15" top="0.22" bottom="0.23" header="0.14" footer="0.16"/>
  <pageSetup paperSize="9" scale="62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1"/>
  <sheetViews>
    <sheetView topLeftCell="A24" workbookViewId="0">
      <selection activeCell="B13" sqref="B13:B14"/>
    </sheetView>
  </sheetViews>
  <sheetFormatPr defaultColWidth="9.13888888888889" defaultRowHeight="15.6"/>
  <cols>
    <col min="1" max="1" width="0.861111111111111" style="668" customWidth="1"/>
    <col min="2" max="2" width="5.57407407407407" style="668" customWidth="1"/>
    <col min="3" max="3" width="15.287037037037" style="668" customWidth="1"/>
    <col min="4" max="4" width="10.5740740740741" style="668" customWidth="1"/>
    <col min="5" max="6" width="10.287037037037" style="668" customWidth="1"/>
    <col min="7" max="7" width="7" style="666" customWidth="1"/>
    <col min="8" max="22" width="6.71296296296296" style="668" customWidth="1"/>
    <col min="23" max="23" width="0.861111111111111" style="668" customWidth="1"/>
    <col min="24" max="26" width="9.13888888888889" style="668"/>
    <col min="27" max="27" width="14" style="668" customWidth="1"/>
    <col min="28" max="37" width="11.712962962963" style="668" customWidth="1"/>
    <col min="38" max="16384" width="9.13888888888889" style="668"/>
  </cols>
  <sheetData>
    <row r="1" ht="24.6" spans="1:37">
      <c r="E1" s="669" t="str">
        <f>ENTRY!$D$3</f>
        <v>MUNICIPAL CORPORATION OF DELHI</v>
      </c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</row>
    <row r="2" ht="20.4" spans="1:37">
      <c r="E2" s="670" t="str">
        <f>ENTRY!$D$4</f>
        <v>EDUCATION DEPARTMENT</v>
      </c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</row>
    <row r="3" ht="22.8" spans="1:37">
      <c r="E3" s="664" t="s">
        <v>459</v>
      </c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</row>
    <row r="4" ht="22.8" spans="1:37">
      <c r="E4" s="664" t="s">
        <v>460</v>
      </c>
      <c r="F4" s="664"/>
      <c r="G4" s="664"/>
      <c r="H4" s="664"/>
      <c r="I4" s="664"/>
      <c r="J4" s="664"/>
      <c r="K4" s="664"/>
      <c r="L4" s="664"/>
      <c r="M4" s="664"/>
      <c r="N4" s="664"/>
      <c r="O4" s="664"/>
      <c r="P4" s="664"/>
      <c r="Q4" s="664"/>
    </row>
    <row r="5" ht="24.75" customHeight="1" spans="1:37">
      <c r="E5" s="671" t="str">
        <f>"SESSION : "&amp;ENTRY!$D$11</f>
        <v>SESSION : 2026-27</v>
      </c>
      <c r="F5" s="671"/>
      <c r="G5" s="671"/>
      <c r="H5" s="671"/>
      <c r="I5" s="671"/>
      <c r="J5" s="671"/>
      <c r="K5" s="671"/>
      <c r="L5" s="671"/>
      <c r="M5" s="671"/>
      <c r="N5" s="671"/>
      <c r="O5" s="671"/>
      <c r="P5" s="671"/>
      <c r="Q5" s="671"/>
    </row>
    <row r="6" ht="5.1" customHeight="1" spans="1:37">
      <c r="A6" s="672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3"/>
      <c r="Q6" s="673"/>
      <c r="R6" s="673"/>
      <c r="S6" s="673"/>
      <c r="T6" s="673"/>
      <c r="U6" s="673"/>
      <c r="V6" s="673"/>
      <c r="W6" s="674"/>
    </row>
    <row r="7" ht="18" customHeight="1" spans="1:37">
      <c r="A7" s="675"/>
      <c r="B7" s="676" t="s">
        <v>419</v>
      </c>
      <c r="C7" s="676"/>
      <c r="D7" s="676"/>
      <c r="E7" s="676" t="str">
        <f>ENTRY!$D$6</f>
        <v>MCP NITHARI NO 1 BOYS</v>
      </c>
      <c r="F7" s="676"/>
      <c r="G7" s="676"/>
      <c r="H7" s="676"/>
      <c r="I7" s="676"/>
      <c r="J7" s="676"/>
      <c r="K7" s="676"/>
      <c r="L7" s="676"/>
      <c r="M7" s="676"/>
      <c r="N7" s="676"/>
      <c r="O7" s="676"/>
      <c r="P7" s="676"/>
      <c r="Q7" s="676"/>
      <c r="R7" s="676"/>
      <c r="S7" s="676"/>
      <c r="T7" s="676"/>
      <c r="U7" s="676"/>
      <c r="V7" s="676"/>
      <c r="W7" s="677"/>
    </row>
    <row r="8" ht="18" customHeight="1" spans="1:37">
      <c r="A8" s="675"/>
      <c r="B8" s="678" t="s">
        <v>437</v>
      </c>
      <c r="C8" s="679"/>
      <c r="D8" s="679">
        <f>ENTRY!$D$7</f>
        <v>0</v>
      </c>
      <c r="E8" s="679"/>
      <c r="F8" s="680"/>
      <c r="G8" s="678" t="s">
        <v>438</v>
      </c>
      <c r="H8" s="679"/>
      <c r="I8" s="681">
        <f>ENTRY!$D$10</f>
        <v>40</v>
      </c>
      <c r="J8" s="681"/>
      <c r="K8" s="682"/>
      <c r="L8" s="683"/>
      <c r="M8" s="678" t="s">
        <v>439</v>
      </c>
      <c r="N8" s="679"/>
      <c r="O8" s="684" t="str">
        <f>ENTRY!$D$5</f>
        <v>ROHINI ZONE</v>
      </c>
      <c r="P8" s="684"/>
      <c r="Q8" s="684"/>
      <c r="R8" s="684"/>
      <c r="S8" s="684"/>
      <c r="T8" s="684"/>
      <c r="U8" s="684"/>
      <c r="V8" s="685"/>
      <c r="W8" s="677"/>
    </row>
    <row r="9" ht="18" customHeight="1" spans="1:37">
      <c r="A9" s="675"/>
      <c r="B9" s="678" t="s">
        <v>461</v>
      </c>
      <c r="C9" s="679"/>
      <c r="D9" s="679"/>
      <c r="E9" s="678" t="str">
        <f>ENTRY!$D$12</f>
        <v>SHAMBHU DAYAL MEENA</v>
      </c>
      <c r="F9" s="679"/>
      <c r="G9" s="679"/>
      <c r="H9" s="679"/>
      <c r="I9" s="679"/>
      <c r="J9" s="679"/>
      <c r="K9" s="679"/>
      <c r="L9" s="680"/>
      <c r="M9" s="678" t="s">
        <v>443</v>
      </c>
      <c r="N9" s="679"/>
      <c r="O9" s="679"/>
      <c r="P9" s="679">
        <f>ENTRY!$D$33</f>
        <v>0</v>
      </c>
      <c r="Q9" s="679"/>
      <c r="R9" s="679"/>
      <c r="S9" s="679"/>
      <c r="T9" s="679"/>
      <c r="U9" s="679"/>
      <c r="V9" s="680"/>
      <c r="W9" s="677"/>
    </row>
    <row r="10" ht="18" customHeight="1" spans="1:37">
      <c r="A10" s="675"/>
      <c r="B10" s="678" t="s">
        <v>462</v>
      </c>
      <c r="C10" s="679"/>
      <c r="D10" s="679"/>
      <c r="E10" s="680"/>
      <c r="F10" s="679">
        <f>ENTRY!$D$31</f>
        <v>0</v>
      </c>
      <c r="G10" s="679"/>
      <c r="H10" s="679"/>
      <c r="I10" s="679"/>
      <c r="J10" s="679"/>
      <c r="K10" s="679"/>
      <c r="L10" s="680"/>
      <c r="M10" s="678" t="s">
        <v>443</v>
      </c>
      <c r="N10" s="679"/>
      <c r="O10" s="679"/>
      <c r="P10" s="679">
        <f>ENTRY!$D$32</f>
        <v>0</v>
      </c>
      <c r="Q10" s="679"/>
      <c r="R10" s="679"/>
      <c r="S10" s="679"/>
      <c r="T10" s="679"/>
      <c r="U10" s="679"/>
      <c r="V10" s="680"/>
      <c r="W10" s="677"/>
    </row>
    <row r="11" spans="1:37">
      <c r="A11" s="675"/>
      <c r="B11" s="686"/>
      <c r="C11" s="686"/>
      <c r="D11" s="686"/>
      <c r="E11" s="686"/>
      <c r="F11" s="686"/>
      <c r="G11" s="687"/>
      <c r="H11" s="686"/>
      <c r="I11" s="686"/>
      <c r="J11" s="686"/>
      <c r="K11" s="686"/>
      <c r="L11" s="686"/>
      <c r="M11" s="686"/>
      <c r="N11" s="686"/>
      <c r="O11" s="686"/>
      <c r="P11" s="686"/>
      <c r="Q11" s="686"/>
      <c r="R11" s="686"/>
      <c r="S11" s="686"/>
      <c r="T11" s="686"/>
      <c r="U11" s="686"/>
      <c r="V11" s="686"/>
      <c r="W11" s="677"/>
    </row>
    <row r="12" s="664" customFormat="1" ht="32.1" customHeight="1" spans="1:37">
      <c r="A12" s="688"/>
      <c r="B12" s="689" t="s">
        <v>463</v>
      </c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90"/>
    </row>
    <row r="13" s="665" customFormat="1" ht="27.95" customHeight="1" spans="1:37">
      <c r="A13" s="691"/>
      <c r="B13" s="692">
        <v>10</v>
      </c>
      <c r="C13" s="693" t="s">
        <v>427</v>
      </c>
      <c r="D13" s="693" t="s">
        <v>445</v>
      </c>
      <c r="E13" s="693" t="s">
        <v>446</v>
      </c>
      <c r="F13" s="693" t="s">
        <v>447</v>
      </c>
      <c r="G13" s="694" t="s">
        <v>448</v>
      </c>
      <c r="H13" s="695" t="s">
        <v>87</v>
      </c>
      <c r="I13" s="695"/>
      <c r="J13" s="695"/>
      <c r="K13" s="695"/>
      <c r="L13" s="695"/>
      <c r="M13" s="695" t="s">
        <v>88</v>
      </c>
      <c r="N13" s="695"/>
      <c r="O13" s="695"/>
      <c r="P13" s="695"/>
      <c r="Q13" s="695"/>
      <c r="R13" s="695" t="s">
        <v>89</v>
      </c>
      <c r="S13" s="695"/>
      <c r="T13" s="695"/>
      <c r="U13" s="695"/>
      <c r="V13" s="695"/>
      <c r="W13" s="696"/>
      <c r="AA13" s="695" t="s">
        <v>87</v>
      </c>
      <c r="AB13" s="695"/>
      <c r="AC13" s="695"/>
      <c r="AD13" s="695"/>
      <c r="AE13" s="695"/>
      <c r="AF13" s="695"/>
      <c r="AG13" s="695"/>
      <c r="AH13" s="695"/>
      <c r="AI13" s="695"/>
      <c r="AJ13" s="695"/>
      <c r="AK13" s="695"/>
    </row>
    <row r="14" s="666" customFormat="1" ht="27.95" customHeight="1" spans="1:37">
      <c r="A14" s="697"/>
      <c r="B14" s="692"/>
      <c r="C14" s="698"/>
      <c r="D14" s="698"/>
      <c r="E14" s="698"/>
      <c r="F14" s="698"/>
      <c r="G14" s="694" t="s">
        <v>449</v>
      </c>
      <c r="H14" s="699" t="s">
        <v>96</v>
      </c>
      <c r="I14" s="699" t="s">
        <v>97</v>
      </c>
      <c r="J14" s="699" t="s">
        <v>98</v>
      </c>
      <c r="K14" s="699" t="s">
        <v>99</v>
      </c>
      <c r="L14" s="699" t="s">
        <v>100</v>
      </c>
      <c r="M14" s="699" t="s">
        <v>96</v>
      </c>
      <c r="N14" s="699" t="s">
        <v>97</v>
      </c>
      <c r="O14" s="699" t="s">
        <v>98</v>
      </c>
      <c r="P14" s="699" t="s">
        <v>99</v>
      </c>
      <c r="Q14" s="699" t="s">
        <v>100</v>
      </c>
      <c r="R14" s="699" t="s">
        <v>96</v>
      </c>
      <c r="S14" s="699" t="s">
        <v>97</v>
      </c>
      <c r="T14" s="699" t="s">
        <v>98</v>
      </c>
      <c r="U14" s="699" t="s">
        <v>99</v>
      </c>
      <c r="V14" s="699" t="s">
        <v>100</v>
      </c>
      <c r="W14" s="700"/>
      <c r="AA14" s="699" t="s">
        <v>450</v>
      </c>
      <c r="AB14" s="699" t="str">
        <f>$C$15</f>
        <v>30.04.2026</v>
      </c>
      <c r="AC14" s="699" t="str">
        <f>$C$17</f>
        <v>08.05.2026</v>
      </c>
      <c r="AD14" s="699" t="str">
        <f>$C$19</f>
        <v>15.07.2026</v>
      </c>
      <c r="AE14" s="699" t="str">
        <f>$C$21</f>
        <v>31.07.2026</v>
      </c>
      <c r="AF14" s="699" t="str">
        <f>$C$23</f>
        <v>17.08.2026</v>
      </c>
      <c r="AG14" s="699" t="str">
        <f>$C$25</f>
        <v>31.08.2026</v>
      </c>
      <c r="AH14" s="699">
        <f>$C$27</f>
        <v>0</v>
      </c>
      <c r="AI14" s="699">
        <f>$C$29</f>
        <v>0</v>
      </c>
      <c r="AJ14" s="699">
        <f>$C$31</f>
        <v>0</v>
      </c>
      <c r="AK14" s="699">
        <f>$C$33</f>
        <v>0</v>
      </c>
    </row>
    <row r="15" spans="1:37">
      <c r="A15" s="675"/>
      <c r="B15" s="701">
        <v>1</v>
      </c>
      <c r="C15" s="702" t="str">
        <f>IFERROR(VLOOKUP(B15,DATEWISE!$A$3:$BY$27,2,0),0)</f>
        <v>30.04.2026</v>
      </c>
      <c r="D15" s="702">
        <f>IFERROR(VLOOKUP(C15,DATEWISE!$B$3:$BY$27,5,0),0)</f>
        <v>0</v>
      </c>
      <c r="E15" s="702">
        <f>IFERROR(VLOOKUP(C15,DATEWISE!$B$3:$BY$27,6,0),0)</f>
        <v>0</v>
      </c>
      <c r="F15" s="702" t="str">
        <f>IFERROR(VLOOKUP(C15,DATEWISE!$B$3:$BY$27,7,0),0)</f>
        <v/>
      </c>
      <c r="G15" s="703" t="str">
        <f>IF(B15="","",IF(B15&gt;0,"NUM",""))</f>
        <v>NUM</v>
      </c>
      <c r="H15" s="702">
        <f>IFERROR(VLOOKUP(C15&amp;$H$13,DATEWISE!$I$3:$BY$27,2,0),0)</f>
        <v>8</v>
      </c>
      <c r="I15" s="702">
        <f>IFERROR(VLOOKUP(C15&amp;$H$13,DATEWISE!$I$3:$BY$27,3,0),0)</f>
        <v>24</v>
      </c>
      <c r="J15" s="702">
        <f>IFERROR(VLOOKUP(C15&amp;$H$13,DATEWISE!$I$3:$BY$27,4,0),0)</f>
        <v>7</v>
      </c>
      <c r="K15" s="702">
        <f>IFERROR(VLOOKUP(C15&amp;$H$13,DATEWISE!$I$3:$BY$27,5,0),0)</f>
        <v>0</v>
      </c>
      <c r="L15" s="702">
        <f>IFERROR(VLOOKUP(C15&amp;$H$13,DATEWISE!$I$3:$BY$27,6,0),0)</f>
        <v>0</v>
      </c>
      <c r="M15" s="702">
        <f>IFERROR(VLOOKUP(C15&amp;$M$13,DATEWISE!$P$3:$BY$27,2,0),0)</f>
        <v>8</v>
      </c>
      <c r="N15" s="702">
        <f>IFERROR(VLOOKUP(C15&amp;$M$13,DATEWISE!$P$3:$BY$27,3,0),0)</f>
        <v>24</v>
      </c>
      <c r="O15" s="702">
        <f>IFERROR(VLOOKUP(C15&amp;$M$13,DATEWISE!$P$3:$BY$27,4,0),0)</f>
        <v>7</v>
      </c>
      <c r="P15" s="702">
        <f>IFERROR(VLOOKUP(C15&amp;$M$13,DATEWISE!$P$3:$BY$27,5,0),0)</f>
        <v>0</v>
      </c>
      <c r="Q15" s="702">
        <f>IFERROR(VLOOKUP(C15&amp;$M$13,DATEWISE!$P$3:$BY$27,6,0),0)</f>
        <v>0</v>
      </c>
      <c r="R15" s="702">
        <f>IFERROR(VLOOKUP(C15&amp;$R$13,DATEWISE!$W$3:$BY$27,2,0),0)</f>
        <v>8</v>
      </c>
      <c r="S15" s="702">
        <f>IFERROR(VLOOKUP(C15&amp;$R$13,DATEWISE!$W$3:$BY$27,3,0),0)</f>
        <v>24</v>
      </c>
      <c r="T15" s="702">
        <f>IFERROR(VLOOKUP(C15&amp;$R$13,DATEWISE!$W$3:$BY$27,4,0),0)</f>
        <v>7</v>
      </c>
      <c r="U15" s="702">
        <f>IFERROR(VLOOKUP(C15&amp;$R$13,DATEWISE!$W$3:$BY$27,5,0),0)</f>
        <v>0</v>
      </c>
      <c r="V15" s="702">
        <f>IFERROR(VLOOKUP(C15&amp;$R$13,DATEWISE!$W$3:$BY$27,6,0),0)</f>
        <v>0</v>
      </c>
      <c r="W15" s="677"/>
      <c r="AA15" s="704" t="s">
        <v>96</v>
      </c>
      <c r="AB15" s="705" t="e">
        <f t="array" ref="AB15:AB19">TRANSPOSE(H16:L16)</f>
        <v>#VALUE!</v>
      </c>
      <c r="AC15" s="705" t="e">
        <f t="array" ref="AC15:AC19">TRANSPOSE(H18:L18)</f>
        <v>#N/A</v>
      </c>
      <c r="AD15" s="705" t="e">
        <f t="array" ref="AD15:AD19">TRANSPOSE(H20:L20)</f>
        <v>#N/A</v>
      </c>
      <c r="AE15" s="705" t="e">
        <f t="array" ref="AE15:AE19">TRANSPOSE(H22:L22)</f>
        <v>#N/A</v>
      </c>
      <c r="AF15" s="705" t="e">
        <f t="array" ref="AF15:AF19">TRANSPOSE(H24:L24)</f>
        <v>#N/A</v>
      </c>
      <c r="AG15" s="705" t="e">
        <f t="array" ref="AG15:AG19">TRANSPOSE(H26:L26)</f>
        <v>#N/A</v>
      </c>
      <c r="AH15" s="705" t="e">
        <f t="array" ref="AH15:AH19">TRANSPOSE(H28:L28)</f>
        <v>#N/A</v>
      </c>
      <c r="AI15" s="705" t="e">
        <f t="array" ref="AI15:AI19">TRANSPOSE(H30:L30)</f>
        <v>#N/A</v>
      </c>
      <c r="AJ15" s="705" t="e">
        <f t="array" ref="AJ15:AJ19">TRANSPOSE(H32:L32)</f>
        <v>#N/A</v>
      </c>
      <c r="AK15" s="705" t="e">
        <f t="array" ref="AK15:AK19">TRANSPOSE(H34:L34)</f>
        <v>#N/A</v>
      </c>
    </row>
    <row r="16" spans="1:37">
      <c r="A16" s="675"/>
      <c r="B16" s="706"/>
      <c r="C16" s="702"/>
      <c r="D16" s="702"/>
      <c r="E16" s="702"/>
      <c r="F16" s="702"/>
      <c r="G16" s="703" t="str">
        <f>IF(B15="","",IF(B15&gt;0,"%",""))</f>
        <v>%</v>
      </c>
      <c r="H16" s="707" t="e">
        <f>IF(H15=0,NA(),(H15/$F$15*100))</f>
        <v>#VALUE!</v>
      </c>
      <c r="I16" s="707" t="e">
        <f t="shared" ref="I16:V16" si="0">IF(I15=0,NA(),(I15/$F$15*100))</f>
        <v>#VALUE!</v>
      </c>
      <c r="J16" s="707" t="e">
        <f t="shared" si="0"/>
        <v>#VALUE!</v>
      </c>
      <c r="K16" s="707" t="e">
        <f t="shared" si="0"/>
        <v>#N/A</v>
      </c>
      <c r="L16" s="707" t="e">
        <f t="shared" si="0"/>
        <v>#N/A</v>
      </c>
      <c r="M16" s="707" t="e">
        <f t="shared" si="0"/>
        <v>#VALUE!</v>
      </c>
      <c r="N16" s="707" t="e">
        <f t="shared" si="0"/>
        <v>#VALUE!</v>
      </c>
      <c r="O16" s="707" t="e">
        <f t="shared" si="0"/>
        <v>#VALUE!</v>
      </c>
      <c r="P16" s="707" t="e">
        <f t="shared" si="0"/>
        <v>#N/A</v>
      </c>
      <c r="Q16" s="707" t="e">
        <f t="shared" si="0"/>
        <v>#N/A</v>
      </c>
      <c r="R16" s="707" t="e">
        <f t="shared" si="0"/>
        <v>#VALUE!</v>
      </c>
      <c r="S16" s="707" t="e">
        <f t="shared" si="0"/>
        <v>#VALUE!</v>
      </c>
      <c r="T16" s="707" t="e">
        <f t="shared" si="0"/>
        <v>#VALUE!</v>
      </c>
      <c r="U16" s="707" t="e">
        <f t="shared" si="0"/>
        <v>#N/A</v>
      </c>
      <c r="V16" s="707" t="e">
        <f t="shared" si="0"/>
        <v>#N/A</v>
      </c>
      <c r="W16" s="677"/>
      <c r="AA16" s="704" t="s">
        <v>97</v>
      </c>
      <c r="AB16" s="705" t="e">
        <v>#VALUE!</v>
      </c>
      <c r="AC16" s="705" t="e">
        <v>#VALUE!</v>
      </c>
      <c r="AD16" s="705" t="e">
        <v>#VALUE!</v>
      </c>
      <c r="AE16" s="705" t="e">
        <v>#VALUE!</v>
      </c>
      <c r="AF16" s="705" t="e">
        <v>#VALUE!</v>
      </c>
      <c r="AG16" s="705" t="e">
        <v>#N/A</v>
      </c>
      <c r="AH16" s="705" t="e">
        <v>#N/A</v>
      </c>
      <c r="AI16" s="705" t="e">
        <v>#N/A</v>
      </c>
      <c r="AJ16" s="705" t="e">
        <v>#N/A</v>
      </c>
      <c r="AK16" s="705" t="e">
        <v>#N/A</v>
      </c>
    </row>
    <row r="17" spans="1:37">
      <c r="A17" s="675"/>
      <c r="B17" s="708">
        <f>IF(B15=0,0,IF(B15&lt;$B$13,B15+1,""))</f>
        <v>2</v>
      </c>
      <c r="C17" s="702" t="str">
        <f>IFERROR(VLOOKUP(B17,DATEWISE!$A$3:$BY$27,2,0),0)</f>
        <v>08.05.2026</v>
      </c>
      <c r="D17" s="702">
        <f>IFERROR(VLOOKUP(C17,DATEWISE!$B$3:$BY$27,5,0),0)</f>
        <v>0</v>
      </c>
      <c r="E17" s="702">
        <f>IFERROR(VLOOKUP(C17,DATEWISE!$B$3:$BY$27,6,0),0)</f>
        <v>0</v>
      </c>
      <c r="F17" s="702" t="str">
        <f>IFERROR(VLOOKUP(C17,DATEWISE!$B$3:$BY$27,7,0),0)</f>
        <v/>
      </c>
      <c r="G17" s="703" t="str">
        <f t="shared" ref="G17" si="1">IF(B17="","",IF(B17&gt;0,"NUM",""))</f>
        <v>NUM</v>
      </c>
      <c r="H17" s="702">
        <f>IFERROR(VLOOKUP(C17&amp;$H$13,DATEWISE!$I$3:$BY$27,2,0),0)</f>
        <v>0</v>
      </c>
      <c r="I17" s="702">
        <f>IFERROR(VLOOKUP(C17&amp;$H$13,DATEWISE!$I$3:$BY$27,3,0),0)</f>
        <v>24</v>
      </c>
      <c r="J17" s="702">
        <f>IFERROR(VLOOKUP(C17&amp;$H$13,DATEWISE!$I$3:$BY$27,4,0),0)</f>
        <v>15</v>
      </c>
      <c r="K17" s="702">
        <f>IFERROR(VLOOKUP(C17&amp;$H$13,DATEWISE!$I$3:$BY$27,5,0),0)</f>
        <v>0</v>
      </c>
      <c r="L17" s="702">
        <f>IFERROR(VLOOKUP(C17&amp;$H$13,DATEWISE!$I$3:$BY$27,6,0),0)</f>
        <v>0</v>
      </c>
      <c r="M17" s="702">
        <f>IFERROR(VLOOKUP(C17&amp;$M$13,DATEWISE!$P$3:$BY$27,2,0),0)</f>
        <v>110</v>
      </c>
      <c r="N17" s="702">
        <f>IFERROR(VLOOKUP(C17&amp;$M$13,DATEWISE!$P$3:$BY$27,3,0),0)</f>
        <v>72</v>
      </c>
      <c r="O17" s="702">
        <f>IFERROR(VLOOKUP(C17&amp;$M$13,DATEWISE!$P$3:$BY$27,4,0),0)</f>
        <v>18</v>
      </c>
      <c r="P17" s="702">
        <f>IFERROR(VLOOKUP(C17&amp;$M$13,DATEWISE!$P$3:$BY$27,5,0),0)</f>
        <v>0</v>
      </c>
      <c r="Q17" s="702">
        <f>IFERROR(VLOOKUP(C17&amp;$M$13,DATEWISE!$P$3:$BY$27,6,0),0)</f>
        <v>0</v>
      </c>
      <c r="R17" s="702">
        <f>IFERROR(VLOOKUP(C17&amp;$R$13,DATEWISE!$W$3:$BY$27,2,0),0)</f>
        <v>110</v>
      </c>
      <c r="S17" s="702">
        <f>IFERROR(VLOOKUP(C17&amp;$R$13,DATEWISE!$W$3:$BY$27,3,0),0)</f>
        <v>72</v>
      </c>
      <c r="T17" s="702">
        <f>IFERROR(VLOOKUP(C17&amp;$R$13,DATEWISE!$W$3:$BY$27,4,0),0)</f>
        <v>18</v>
      </c>
      <c r="U17" s="702">
        <f>IFERROR(VLOOKUP(C17&amp;$R$13,DATEWISE!$W$3:$BY$27,5,0),0)</f>
        <v>0</v>
      </c>
      <c r="V17" s="702">
        <f>IFERROR(VLOOKUP(C17&amp;$R$13,DATEWISE!$W$3:$BY$27,6,0),0)</f>
        <v>0</v>
      </c>
      <c r="W17" s="677"/>
      <c r="AA17" s="704" t="s">
        <v>98</v>
      </c>
      <c r="AB17" s="705" t="e">
        <v>#VALUE!</v>
      </c>
      <c r="AC17" s="705" t="e">
        <v>#VALUE!</v>
      </c>
      <c r="AD17" s="705" t="e">
        <v>#VALUE!</v>
      </c>
      <c r="AE17" s="705" t="e">
        <v>#VALUE!</v>
      </c>
      <c r="AF17" s="705" t="e">
        <v>#VALUE!</v>
      </c>
      <c r="AG17" s="705" t="e">
        <v>#N/A</v>
      </c>
      <c r="AH17" s="705" t="e">
        <v>#N/A</v>
      </c>
      <c r="AI17" s="705" t="e">
        <v>#N/A</v>
      </c>
      <c r="AJ17" s="705" t="e">
        <v>#N/A</v>
      </c>
      <c r="AK17" s="705" t="e">
        <v>#N/A</v>
      </c>
    </row>
    <row r="18" spans="1:37">
      <c r="A18" s="675"/>
      <c r="B18" s="709"/>
      <c r="C18" s="702"/>
      <c r="D18" s="702"/>
      <c r="E18" s="702"/>
      <c r="F18" s="702"/>
      <c r="G18" s="703" t="str">
        <f t="shared" ref="G18" si="2">IF(B17="","",IF(B17&gt;0,"%",""))</f>
        <v>%</v>
      </c>
      <c r="H18" s="707" t="e">
        <f>IF(H17=0,NA(),(H17/$F$17*100))</f>
        <v>#N/A</v>
      </c>
      <c r="I18" s="707" t="e">
        <f t="shared" ref="I18:V18" si="3">IF(I17=0,NA(),(I17/$F$17*100))</f>
        <v>#VALUE!</v>
      </c>
      <c r="J18" s="707" t="e">
        <f t="shared" si="3"/>
        <v>#VALUE!</v>
      </c>
      <c r="K18" s="707" t="e">
        <f t="shared" si="3"/>
        <v>#N/A</v>
      </c>
      <c r="L18" s="707" t="e">
        <f t="shared" si="3"/>
        <v>#N/A</v>
      </c>
      <c r="M18" s="707" t="e">
        <f t="shared" si="3"/>
        <v>#VALUE!</v>
      </c>
      <c r="N18" s="707" t="e">
        <f t="shared" si="3"/>
        <v>#VALUE!</v>
      </c>
      <c r="O18" s="707" t="e">
        <f t="shared" si="3"/>
        <v>#VALUE!</v>
      </c>
      <c r="P18" s="707" t="e">
        <f t="shared" si="3"/>
        <v>#N/A</v>
      </c>
      <c r="Q18" s="707" t="e">
        <f t="shared" si="3"/>
        <v>#N/A</v>
      </c>
      <c r="R18" s="707" t="e">
        <f t="shared" si="3"/>
        <v>#VALUE!</v>
      </c>
      <c r="S18" s="707" t="e">
        <f t="shared" si="3"/>
        <v>#VALUE!</v>
      </c>
      <c r="T18" s="707" t="e">
        <f t="shared" si="3"/>
        <v>#VALUE!</v>
      </c>
      <c r="U18" s="707" t="e">
        <f t="shared" si="3"/>
        <v>#N/A</v>
      </c>
      <c r="V18" s="707" t="e">
        <f t="shared" si="3"/>
        <v>#N/A</v>
      </c>
      <c r="W18" s="677"/>
      <c r="AA18" s="704" t="s">
        <v>99</v>
      </c>
      <c r="AB18" s="705" t="e">
        <v>#N/A</v>
      </c>
      <c r="AC18" s="705" t="e">
        <v>#N/A</v>
      </c>
      <c r="AD18" s="705" t="e">
        <v>#N/A</v>
      </c>
      <c r="AE18" s="705" t="e">
        <v>#N/A</v>
      </c>
      <c r="AF18" s="705" t="e">
        <v>#VALUE!</v>
      </c>
      <c r="AG18" s="705" t="e">
        <v>#N/A</v>
      </c>
      <c r="AH18" s="705" t="e">
        <v>#N/A</v>
      </c>
      <c r="AI18" s="705" t="e">
        <v>#N/A</v>
      </c>
      <c r="AJ18" s="705" t="e">
        <v>#N/A</v>
      </c>
      <c r="AK18" s="705" t="e">
        <v>#N/A</v>
      </c>
    </row>
    <row r="19" spans="1:37">
      <c r="A19" s="675"/>
      <c r="B19" s="708">
        <f>IF(B17=0,0,IF(B17&lt;$B$13,B17+1,""))</f>
        <v>3</v>
      </c>
      <c r="C19" s="702" t="str">
        <f>IFERROR(VLOOKUP(B19,DATEWISE!$A$3:$BY$27,2,0),0)</f>
        <v>15.07.2026</v>
      </c>
      <c r="D19" s="702">
        <f>IFERROR(VLOOKUP(C19,DATEWISE!$B$3:$BY$27,5,0),0)</f>
        <v>0</v>
      </c>
      <c r="E19" s="702">
        <f>IFERROR(VLOOKUP(C19,DATEWISE!$B$3:$BY$27,6,0),0)</f>
        <v>0</v>
      </c>
      <c r="F19" s="702" t="str">
        <f>IFERROR(VLOOKUP(C19,DATEWISE!$B$3:$BY$27,7,0),0)</f>
        <v/>
      </c>
      <c r="G19" s="703" t="str">
        <f t="shared" ref="G19" si="4">IF(B19="","",IF(B19&gt;0,"NUM",""))</f>
        <v>NUM</v>
      </c>
      <c r="H19" s="702">
        <f>IFERROR(VLOOKUP(C19&amp;$H$13,DATEWISE!$I$3:$BY$27,2,0),0)</f>
        <v>0</v>
      </c>
      <c r="I19" s="702">
        <f>IFERROR(VLOOKUP(C19&amp;$H$13,DATEWISE!$I$3:$BY$27,3,0),0)</f>
        <v>24</v>
      </c>
      <c r="J19" s="702">
        <f>IFERROR(VLOOKUP(C19&amp;$H$13,DATEWISE!$I$3:$BY$27,4,0),0)</f>
        <v>15</v>
      </c>
      <c r="K19" s="702">
        <f>IFERROR(VLOOKUP(C19&amp;$H$13,DATEWISE!$I$3:$BY$27,5,0),0)</f>
        <v>0</v>
      </c>
      <c r="L19" s="702">
        <f>IFERROR(VLOOKUP(C19&amp;$H$13,DATEWISE!$I$3:$BY$27,6,0),0)</f>
        <v>0</v>
      </c>
      <c r="M19" s="702">
        <f>IFERROR(VLOOKUP(C19&amp;$M$13,DATEWISE!$P$3:$BY$27,2,0),0)</f>
        <v>129</v>
      </c>
      <c r="N19" s="702">
        <f>IFERROR(VLOOKUP(C19&amp;$M$13,DATEWISE!$P$3:$BY$27,3,0),0)</f>
        <v>74</v>
      </c>
      <c r="O19" s="702">
        <f>IFERROR(VLOOKUP(C19&amp;$M$13,DATEWISE!$P$3:$BY$27,4,0),0)</f>
        <v>23</v>
      </c>
      <c r="P19" s="702">
        <f>IFERROR(VLOOKUP(C19&amp;$M$13,DATEWISE!$P$3:$BY$27,5,0),0)</f>
        <v>5</v>
      </c>
      <c r="Q19" s="702">
        <f>IFERROR(VLOOKUP(C19&amp;$M$13,DATEWISE!$P$3:$BY$27,6,0),0)</f>
        <v>0</v>
      </c>
      <c r="R19" s="702">
        <f>IFERROR(VLOOKUP(C19&amp;$R$13,DATEWISE!$W$3:$BY$27,2,0),0)</f>
        <v>131</v>
      </c>
      <c r="S19" s="702">
        <f>IFERROR(VLOOKUP(C19&amp;$R$13,DATEWISE!$W$3:$BY$27,3,0),0)</f>
        <v>75</v>
      </c>
      <c r="T19" s="702">
        <f>IFERROR(VLOOKUP(C19&amp;$R$13,DATEWISE!$W$3:$BY$27,4,0),0)</f>
        <v>25</v>
      </c>
      <c r="U19" s="702">
        <f>IFERROR(VLOOKUP(C19&amp;$R$13,DATEWISE!$W$3:$BY$27,5,0),0)</f>
        <v>0</v>
      </c>
      <c r="V19" s="702">
        <f>IFERROR(VLOOKUP(C19&amp;$R$13,DATEWISE!$W$3:$BY$27,6,0),0)</f>
        <v>0</v>
      </c>
      <c r="W19" s="677"/>
      <c r="AA19" s="704" t="s">
        <v>100</v>
      </c>
      <c r="AB19" s="705" t="e">
        <v>#N/A</v>
      </c>
      <c r="AC19" s="705" t="e">
        <v>#N/A</v>
      </c>
      <c r="AD19" s="705" t="e">
        <v>#N/A</v>
      </c>
      <c r="AE19" s="705" t="e">
        <v>#N/A</v>
      </c>
      <c r="AF19" s="705" t="e">
        <v>#N/A</v>
      </c>
      <c r="AG19" s="705" t="e">
        <v>#N/A</v>
      </c>
      <c r="AH19" s="705" t="e">
        <v>#N/A</v>
      </c>
      <c r="AI19" s="705" t="e">
        <v>#N/A</v>
      </c>
      <c r="AJ19" s="705" t="e">
        <v>#N/A</v>
      </c>
      <c r="AK19" s="705" t="e">
        <v>#N/A</v>
      </c>
    </row>
    <row r="20" spans="1:37">
      <c r="A20" s="675"/>
      <c r="B20" s="709"/>
      <c r="C20" s="702"/>
      <c r="D20" s="702"/>
      <c r="E20" s="702"/>
      <c r="F20" s="702"/>
      <c r="G20" s="703" t="str">
        <f t="shared" ref="G20" si="5">IF(B19="","",IF(B19&gt;0,"%",""))</f>
        <v>%</v>
      </c>
      <c r="H20" s="707" t="e">
        <f>IF(H19=0,NA(),(H19/$F$19*100))</f>
        <v>#N/A</v>
      </c>
      <c r="I20" s="707" t="e">
        <f t="shared" ref="I20:V20" si="6">IF(I19=0,NA(),(I19/$F$19*100))</f>
        <v>#VALUE!</v>
      </c>
      <c r="J20" s="707" t="e">
        <f t="shared" si="6"/>
        <v>#VALUE!</v>
      </c>
      <c r="K20" s="707" t="e">
        <f t="shared" si="6"/>
        <v>#N/A</v>
      </c>
      <c r="L20" s="707" t="e">
        <f t="shared" si="6"/>
        <v>#N/A</v>
      </c>
      <c r="M20" s="707" t="e">
        <f t="shared" si="6"/>
        <v>#VALUE!</v>
      </c>
      <c r="N20" s="707" t="e">
        <f t="shared" si="6"/>
        <v>#VALUE!</v>
      </c>
      <c r="O20" s="707" t="e">
        <f t="shared" si="6"/>
        <v>#VALUE!</v>
      </c>
      <c r="P20" s="707" t="e">
        <f t="shared" si="6"/>
        <v>#VALUE!</v>
      </c>
      <c r="Q20" s="707" t="e">
        <f t="shared" si="6"/>
        <v>#N/A</v>
      </c>
      <c r="R20" s="707" t="e">
        <f t="shared" si="6"/>
        <v>#VALUE!</v>
      </c>
      <c r="S20" s="707" t="e">
        <f t="shared" si="6"/>
        <v>#VALUE!</v>
      </c>
      <c r="T20" s="707" t="e">
        <f t="shared" si="6"/>
        <v>#VALUE!</v>
      </c>
      <c r="U20" s="707" t="e">
        <f t="shared" si="6"/>
        <v>#N/A</v>
      </c>
      <c r="V20" s="707" t="e">
        <f t="shared" si="6"/>
        <v>#N/A</v>
      </c>
      <c r="W20" s="677"/>
      <c r="AA20" s="686"/>
      <c r="AB20" s="710"/>
      <c r="AC20" s="710"/>
      <c r="AD20" s="710"/>
      <c r="AE20" s="710"/>
      <c r="AF20" s="710"/>
      <c r="AG20" s="710"/>
      <c r="AH20" s="710"/>
      <c r="AI20" s="710"/>
      <c r="AJ20" s="710"/>
      <c r="AK20" s="710"/>
    </row>
    <row r="21" spans="1:37">
      <c r="A21" s="675"/>
      <c r="B21" s="708">
        <f t="shared" ref="B21" si="7">IF(B19=0,0,IF(B19&lt;$B$13,B19+1,""))</f>
        <v>4</v>
      </c>
      <c r="C21" s="702" t="str">
        <f>IFERROR(VLOOKUP(B21,DATEWISE!$A$3:$BY$27,2,0),0)</f>
        <v>31.07.2026</v>
      </c>
      <c r="D21" s="702">
        <f>IFERROR(VLOOKUP(C21,DATEWISE!$B$3:$BY$27,5,0),0)</f>
        <v>0</v>
      </c>
      <c r="E21" s="702">
        <f>IFERROR(VLOOKUP(C21,DATEWISE!$B$3:$BY$27,6,0),0)</f>
        <v>0</v>
      </c>
      <c r="F21" s="702" t="str">
        <f>IFERROR(VLOOKUP(C21,DATEWISE!$B$3:$BY$27,7,0),0)</f>
        <v/>
      </c>
      <c r="G21" s="703" t="str">
        <f t="shared" ref="G21" si="8">IF(B21="","",IF(B21&gt;0,"NUM",""))</f>
        <v>NUM</v>
      </c>
      <c r="H21" s="702">
        <f>IFERROR(VLOOKUP(C21&amp;$H$13,DATEWISE!$I$3:$BY$27,2,0),0)</f>
        <v>0</v>
      </c>
      <c r="I21" s="702">
        <f>IFERROR(VLOOKUP(C21&amp;$H$13,DATEWISE!$I$3:$BY$27,3,0),0)</f>
        <v>24</v>
      </c>
      <c r="J21" s="702">
        <f>IFERROR(VLOOKUP(C21&amp;$H$13,DATEWISE!$I$3:$BY$27,4,0),0)</f>
        <v>15</v>
      </c>
      <c r="K21" s="702">
        <f>IFERROR(VLOOKUP(C21&amp;$H$13,DATEWISE!$I$3:$BY$27,5,0),0)</f>
        <v>0</v>
      </c>
      <c r="L21" s="702">
        <f>IFERROR(VLOOKUP(C21&amp;$H$13,DATEWISE!$I$3:$BY$27,6,0),0)</f>
        <v>0</v>
      </c>
      <c r="M21" s="702">
        <f>IFERROR(VLOOKUP(C21&amp;$M$13,DATEWISE!$P$3:$BY$27,2,0),0)</f>
        <v>129</v>
      </c>
      <c r="N21" s="702">
        <f>IFERROR(VLOOKUP(C21&amp;$M$13,DATEWISE!$P$3:$BY$27,3,0),0)</f>
        <v>99</v>
      </c>
      <c r="O21" s="702">
        <f>IFERROR(VLOOKUP(C21&amp;$M$13,DATEWISE!$P$3:$BY$27,4,0),0)</f>
        <v>23</v>
      </c>
      <c r="P21" s="702">
        <f>IFERROR(VLOOKUP(C21&amp;$M$13,DATEWISE!$P$3:$BY$27,5,0),0)</f>
        <v>5</v>
      </c>
      <c r="Q21" s="702">
        <f>IFERROR(VLOOKUP(C21&amp;$M$13,DATEWISE!$P$3:$BY$27,6,0),0)</f>
        <v>0</v>
      </c>
      <c r="R21" s="702">
        <f>IFERROR(VLOOKUP(C21&amp;$R$13,DATEWISE!$W$3:$BY$27,2,0),0)</f>
        <v>131</v>
      </c>
      <c r="S21" s="702">
        <f>IFERROR(VLOOKUP(C21&amp;$R$13,DATEWISE!$W$3:$BY$27,3,0),0)</f>
        <v>100</v>
      </c>
      <c r="T21" s="702">
        <f>IFERROR(VLOOKUP(C21&amp;$R$13,DATEWISE!$W$3:$BY$27,4,0),0)</f>
        <v>25</v>
      </c>
      <c r="U21" s="702">
        <f>IFERROR(VLOOKUP(C21&amp;$R$13,DATEWISE!$W$3:$BY$27,5,0),0)</f>
        <v>0</v>
      </c>
      <c r="V21" s="702">
        <f>IFERROR(VLOOKUP(C21&amp;$R$13,DATEWISE!$W$3:$BY$27,6,0),0)</f>
        <v>0</v>
      </c>
      <c r="W21" s="677"/>
      <c r="AA21" s="695" t="s">
        <v>88</v>
      </c>
      <c r="AB21" s="695"/>
      <c r="AC21" s="695"/>
      <c r="AD21" s="695"/>
      <c r="AE21" s="695"/>
      <c r="AF21" s="695"/>
      <c r="AG21" s="695"/>
      <c r="AH21" s="695"/>
      <c r="AI21" s="695"/>
      <c r="AJ21" s="695"/>
      <c r="AK21" s="695"/>
    </row>
    <row r="22" spans="1:37">
      <c r="A22" s="675"/>
      <c r="B22" s="709"/>
      <c r="C22" s="702"/>
      <c r="D22" s="702"/>
      <c r="E22" s="702"/>
      <c r="F22" s="702"/>
      <c r="G22" s="703" t="str">
        <f t="shared" ref="G22" si="9">IF(B21="","",IF(B21&gt;0,"%",""))</f>
        <v>%</v>
      </c>
      <c r="H22" s="707" t="e">
        <f>IF(H21=0,NA(),(H21/$F$21*100))</f>
        <v>#N/A</v>
      </c>
      <c r="I22" s="707" t="e">
        <f t="shared" ref="I22:V22" si="10">IF(I21=0,NA(),(I21/$F$21*100))</f>
        <v>#VALUE!</v>
      </c>
      <c r="J22" s="707" t="e">
        <f t="shared" si="10"/>
        <v>#VALUE!</v>
      </c>
      <c r="K22" s="707" t="e">
        <f t="shared" si="10"/>
        <v>#N/A</v>
      </c>
      <c r="L22" s="707" t="e">
        <f t="shared" si="10"/>
        <v>#N/A</v>
      </c>
      <c r="M22" s="707" t="e">
        <f t="shared" si="10"/>
        <v>#VALUE!</v>
      </c>
      <c r="N22" s="707" t="e">
        <f t="shared" si="10"/>
        <v>#VALUE!</v>
      </c>
      <c r="O22" s="707" t="e">
        <f t="shared" si="10"/>
        <v>#VALUE!</v>
      </c>
      <c r="P22" s="707" t="e">
        <f t="shared" si="10"/>
        <v>#VALUE!</v>
      </c>
      <c r="Q22" s="707" t="e">
        <f t="shared" si="10"/>
        <v>#N/A</v>
      </c>
      <c r="R22" s="707" t="e">
        <f t="shared" si="10"/>
        <v>#VALUE!</v>
      </c>
      <c r="S22" s="707" t="e">
        <f t="shared" si="10"/>
        <v>#VALUE!</v>
      </c>
      <c r="T22" s="707" t="e">
        <f t="shared" si="10"/>
        <v>#VALUE!</v>
      </c>
      <c r="U22" s="707" t="e">
        <f t="shared" si="10"/>
        <v>#N/A</v>
      </c>
      <c r="V22" s="707" t="e">
        <f t="shared" si="10"/>
        <v>#N/A</v>
      </c>
      <c r="W22" s="677"/>
      <c r="AA22" s="699" t="s">
        <v>450</v>
      </c>
      <c r="AB22" s="699" t="str">
        <f>$C$15</f>
        <v>30.04.2026</v>
      </c>
      <c r="AC22" s="699" t="str">
        <f>$C$17</f>
        <v>08.05.2026</v>
      </c>
      <c r="AD22" s="699" t="str">
        <f>$C$19</f>
        <v>15.07.2026</v>
      </c>
      <c r="AE22" s="699" t="str">
        <f>$C$21</f>
        <v>31.07.2026</v>
      </c>
      <c r="AF22" s="699" t="str">
        <f>$C$23</f>
        <v>17.08.2026</v>
      </c>
      <c r="AG22" s="699" t="str">
        <f>$C$25</f>
        <v>31.08.2026</v>
      </c>
      <c r="AH22" s="699">
        <f>$C$27</f>
        <v>0</v>
      </c>
      <c r="AI22" s="699">
        <f>$C$29</f>
        <v>0</v>
      </c>
      <c r="AJ22" s="699">
        <f>$C$31</f>
        <v>0</v>
      </c>
      <c r="AK22" s="699">
        <f>$C$33</f>
        <v>0</v>
      </c>
    </row>
    <row r="23" spans="1:37">
      <c r="A23" s="675"/>
      <c r="B23" s="708">
        <f t="shared" ref="B23" si="11">IF(B21=0,0,IF(B21&lt;$B$13,B21+1,""))</f>
        <v>5</v>
      </c>
      <c r="C23" s="702" t="str">
        <f>IFERROR(VLOOKUP(B23,DATEWISE!$A$3:$BY$27,2,0),0)</f>
        <v>17.08.2026</v>
      </c>
      <c r="D23" s="702">
        <f>IFERROR(VLOOKUP(C23,DATEWISE!$B$3:$BY$27,5,0),0)</f>
        <v>0</v>
      </c>
      <c r="E23" s="702">
        <f>IFERROR(VLOOKUP(C23,DATEWISE!$B$3:$BY$27,6,0),0)</f>
        <v>0</v>
      </c>
      <c r="F23" s="702" t="str">
        <f>IFERROR(VLOOKUP(C23,DATEWISE!$B$3:$BY$27,7,0),0)</f>
        <v/>
      </c>
      <c r="G23" s="703" t="str">
        <f t="shared" ref="G23" si="12">IF(B23="","",IF(B23&gt;0,"NUM",""))</f>
        <v>NUM</v>
      </c>
      <c r="H23" s="702">
        <f>IFERROR(VLOOKUP(C23&amp;$H$13,DATEWISE!$I$3:$BY$27,2,0),0)</f>
        <v>0</v>
      </c>
      <c r="I23" s="702">
        <f>IFERROR(VLOOKUP(C23&amp;$H$13,DATEWISE!$I$3:$BY$27,3,0),0)</f>
        <v>18</v>
      </c>
      <c r="J23" s="702">
        <f>IFERROR(VLOOKUP(C23&amp;$H$13,DATEWISE!$I$3:$BY$27,4,0),0)</f>
        <v>20</v>
      </c>
      <c r="K23" s="702">
        <f>IFERROR(VLOOKUP(C23&amp;$H$13,DATEWISE!$I$3:$BY$27,5,0),0)</f>
        <v>1</v>
      </c>
      <c r="L23" s="702">
        <f>IFERROR(VLOOKUP(C23&amp;$H$13,DATEWISE!$I$3:$BY$27,6,0),0)</f>
        <v>0</v>
      </c>
      <c r="M23" s="702">
        <f>IFERROR(VLOOKUP(C23&amp;$M$13,DATEWISE!$P$3:$BY$27,2,0),0)</f>
        <v>0</v>
      </c>
      <c r="N23" s="702">
        <f>IFERROR(VLOOKUP(C23&amp;$M$13,DATEWISE!$P$3:$BY$27,3,0),0)</f>
        <v>0</v>
      </c>
      <c r="O23" s="702">
        <f>IFERROR(VLOOKUP(C23&amp;$M$13,DATEWISE!$P$3:$BY$27,4,0),0)</f>
        <v>0</v>
      </c>
      <c r="P23" s="702">
        <f>IFERROR(VLOOKUP(C23&amp;$M$13,DATEWISE!$P$3:$BY$27,5,0),0)</f>
        <v>0</v>
      </c>
      <c r="Q23" s="702">
        <f>IFERROR(VLOOKUP(C23&amp;$M$13,DATEWISE!$P$3:$BY$27,6,0),0)</f>
        <v>0</v>
      </c>
      <c r="R23" s="702">
        <f>IFERROR(VLOOKUP(C23&amp;$R$13,DATEWISE!$W$3:$BY$27,2,0),0)</f>
        <v>0</v>
      </c>
      <c r="S23" s="702">
        <f>IFERROR(VLOOKUP(C23&amp;$R$13,DATEWISE!$W$3:$BY$27,3,0),0)</f>
        <v>0</v>
      </c>
      <c r="T23" s="702">
        <f>IFERROR(VLOOKUP(C23&amp;$R$13,DATEWISE!$W$3:$BY$27,4,0),0)</f>
        <v>0</v>
      </c>
      <c r="U23" s="702">
        <f>IFERROR(VLOOKUP(C23&amp;$R$13,DATEWISE!$W$3:$BY$27,5,0),0)</f>
        <v>0</v>
      </c>
      <c r="V23" s="702">
        <f>IFERROR(VLOOKUP(C23&amp;$R$13,DATEWISE!$W$3:$BY$27,6,0),0)</f>
        <v>0</v>
      </c>
      <c r="W23" s="677"/>
      <c r="AA23" s="704" t="s">
        <v>96</v>
      </c>
      <c r="AB23" s="705" t="e">
        <f t="array" ref="AB23:AB27">TRANSPOSE(M16:Q16)</f>
        <v>#VALUE!</v>
      </c>
      <c r="AC23" s="705" t="e">
        <f t="array" ref="AC23:AC27">TRANSPOSE(M18:Q18)</f>
        <v>#VALUE!</v>
      </c>
      <c r="AD23" s="705" t="e">
        <f t="array" ref="AD23:AD27">TRANSPOSE(M20:Q20)</f>
        <v>#VALUE!</v>
      </c>
      <c r="AE23" s="705" t="e">
        <f t="array" ref="AE23:AE27">TRANSPOSE(M22:Q22)</f>
        <v>#VALUE!</v>
      </c>
      <c r="AF23" s="705" t="e">
        <f t="array" ref="AF23:AF27">TRANSPOSE(M24:Q24)</f>
        <v>#N/A</v>
      </c>
      <c r="AG23" s="705" t="e">
        <f t="array" ref="AG23:AG27">TRANSPOSE(M26:Q26)</f>
        <v>#N/A</v>
      </c>
      <c r="AH23" s="705" t="e">
        <f t="array" ref="AH23:AH27">TRANSPOSE(M28:Q28)</f>
        <v>#N/A</v>
      </c>
      <c r="AI23" s="705" t="e">
        <f t="array" ref="AI23:AI27">TRANSPOSE(M30:Q30)</f>
        <v>#N/A</v>
      </c>
      <c r="AJ23" s="705" t="e">
        <f t="array" ref="AJ23:AJ27">TRANSPOSE(M32:Q32)</f>
        <v>#N/A</v>
      </c>
      <c r="AK23" s="705" t="e">
        <f t="array" ref="AK23:AK27">TRANSPOSE(M34:Q34)</f>
        <v>#N/A</v>
      </c>
    </row>
    <row r="24" spans="1:37">
      <c r="A24" s="675"/>
      <c r="B24" s="709"/>
      <c r="C24" s="702"/>
      <c r="D24" s="702"/>
      <c r="E24" s="702"/>
      <c r="F24" s="702"/>
      <c r="G24" s="703" t="str">
        <f t="shared" ref="G24" si="13">IF(B23="","",IF(B23&gt;0,"%",""))</f>
        <v>%</v>
      </c>
      <c r="H24" s="707" t="e">
        <f>IF(H23=0,NA(),(H23/$F$23*100))</f>
        <v>#N/A</v>
      </c>
      <c r="I24" s="707" t="e">
        <f t="shared" ref="I24:V24" si="14">IF(I23=0,NA(),(I23/$F$23*100))</f>
        <v>#VALUE!</v>
      </c>
      <c r="J24" s="707" t="e">
        <f t="shared" si="14"/>
        <v>#VALUE!</v>
      </c>
      <c r="K24" s="707" t="e">
        <f t="shared" si="14"/>
        <v>#VALUE!</v>
      </c>
      <c r="L24" s="707" t="e">
        <f t="shared" si="14"/>
        <v>#N/A</v>
      </c>
      <c r="M24" s="707" t="e">
        <f t="shared" si="14"/>
        <v>#N/A</v>
      </c>
      <c r="N24" s="707" t="e">
        <f t="shared" si="14"/>
        <v>#N/A</v>
      </c>
      <c r="O24" s="707" t="e">
        <f t="shared" si="14"/>
        <v>#N/A</v>
      </c>
      <c r="P24" s="707" t="e">
        <f t="shared" si="14"/>
        <v>#N/A</v>
      </c>
      <c r="Q24" s="707" t="e">
        <f t="shared" si="14"/>
        <v>#N/A</v>
      </c>
      <c r="R24" s="707" t="e">
        <f t="shared" si="14"/>
        <v>#N/A</v>
      </c>
      <c r="S24" s="707" t="e">
        <f t="shared" si="14"/>
        <v>#N/A</v>
      </c>
      <c r="T24" s="707" t="e">
        <f t="shared" si="14"/>
        <v>#N/A</v>
      </c>
      <c r="U24" s="707" t="e">
        <f t="shared" si="14"/>
        <v>#N/A</v>
      </c>
      <c r="V24" s="707" t="e">
        <f t="shared" si="14"/>
        <v>#N/A</v>
      </c>
      <c r="W24" s="677"/>
      <c r="AA24" s="704" t="s">
        <v>97</v>
      </c>
      <c r="AB24" s="705" t="e">
        <v>#VALUE!</v>
      </c>
      <c r="AC24" s="705" t="e">
        <v>#VALUE!</v>
      </c>
      <c r="AD24" s="705" t="e">
        <v>#VALUE!</v>
      </c>
      <c r="AE24" s="705" t="e">
        <v>#VALUE!</v>
      </c>
      <c r="AF24" s="705" t="e">
        <v>#N/A</v>
      </c>
      <c r="AG24" s="705" t="e">
        <v>#N/A</v>
      </c>
      <c r="AH24" s="705" t="e">
        <v>#N/A</v>
      </c>
      <c r="AI24" s="705" t="e">
        <v>#N/A</v>
      </c>
      <c r="AJ24" s="705" t="e">
        <v>#N/A</v>
      </c>
      <c r="AK24" s="705" t="e">
        <v>#N/A</v>
      </c>
    </row>
    <row r="25" spans="1:37">
      <c r="A25" s="675"/>
      <c r="B25" s="708">
        <f t="shared" ref="B25" si="15">IF(B23=0,0,IF(B23&lt;$B$13,B23+1,""))</f>
        <v>6</v>
      </c>
      <c r="C25" s="702" t="str">
        <f>IFERROR(VLOOKUP(B25,DATEWISE!$A$3:$BY$27,2,0),0)</f>
        <v>31.08.2026</v>
      </c>
      <c r="D25" s="702">
        <f>IFERROR(VLOOKUP(C25,DATEWISE!$B$3:$BY$27,5,0),0)</f>
        <v>0</v>
      </c>
      <c r="E25" s="702">
        <f>IFERROR(VLOOKUP(C25,DATEWISE!$B$3:$BY$27,6,0),0)</f>
        <v>0</v>
      </c>
      <c r="F25" s="702" t="str">
        <f>IFERROR(VLOOKUP(C25,DATEWISE!$B$3:$BY$27,7,0),0)</f>
        <v/>
      </c>
      <c r="G25" s="703" t="str">
        <f t="shared" ref="G25" si="16">IF(B25="","",IF(B25&gt;0,"NUM",""))</f>
        <v>NUM</v>
      </c>
      <c r="H25" s="702">
        <f>IFERROR(VLOOKUP(C25&amp;$H$13,DATEWISE!$I$3:$BY$27,2,0),0)</f>
        <v>0</v>
      </c>
      <c r="I25" s="702">
        <f>IFERROR(VLOOKUP(C25&amp;$H$13,DATEWISE!$I$3:$BY$27,3,0),0)</f>
        <v>0</v>
      </c>
      <c r="J25" s="702">
        <f>IFERROR(VLOOKUP(C25&amp;$H$13,DATEWISE!$I$3:$BY$27,4,0),0)</f>
        <v>0</v>
      </c>
      <c r="K25" s="702">
        <f>IFERROR(VLOOKUP(C25&amp;$H$13,DATEWISE!$I$3:$BY$27,5,0),0)</f>
        <v>0</v>
      </c>
      <c r="L25" s="702">
        <f>IFERROR(VLOOKUP(C25&amp;$H$13,DATEWISE!$I$3:$BY$27,6,0),0)</f>
        <v>0</v>
      </c>
      <c r="M25" s="702">
        <f>IFERROR(VLOOKUP(C25&amp;$M$13,DATEWISE!$P$3:$BY$27,2,0),0)</f>
        <v>0</v>
      </c>
      <c r="N25" s="702">
        <f>IFERROR(VLOOKUP(C25&amp;$M$13,DATEWISE!$P$3:$BY$27,3,0),0)</f>
        <v>0</v>
      </c>
      <c r="O25" s="702">
        <f>IFERROR(VLOOKUP(C25&amp;$M$13,DATEWISE!$P$3:$BY$27,4,0),0)</f>
        <v>0</v>
      </c>
      <c r="P25" s="702">
        <f>IFERROR(VLOOKUP(C25&amp;$M$13,DATEWISE!$P$3:$BY$27,5,0),0)</f>
        <v>0</v>
      </c>
      <c r="Q25" s="702">
        <f>IFERROR(VLOOKUP(C25&amp;$M$13,DATEWISE!$P$3:$BY$27,6,0),0)</f>
        <v>0</v>
      </c>
      <c r="R25" s="702">
        <f>IFERROR(VLOOKUP(C25&amp;$R$13,DATEWISE!$W$3:$BY$27,2,0),0)</f>
        <v>0</v>
      </c>
      <c r="S25" s="702">
        <f>IFERROR(VLOOKUP(C25&amp;$R$13,DATEWISE!$W$3:$BY$27,3,0),0)</f>
        <v>0</v>
      </c>
      <c r="T25" s="702">
        <f>IFERROR(VLOOKUP(C25&amp;$R$13,DATEWISE!$W$3:$BY$27,4,0),0)</f>
        <v>0</v>
      </c>
      <c r="U25" s="702">
        <f>IFERROR(VLOOKUP(C25&amp;$R$13,DATEWISE!$W$3:$BY$27,5,0),0)</f>
        <v>0</v>
      </c>
      <c r="V25" s="702">
        <f>IFERROR(VLOOKUP(C25&amp;$R$13,DATEWISE!$W$3:$BY$27,6,0),0)</f>
        <v>0</v>
      </c>
      <c r="W25" s="677"/>
      <c r="AA25" s="704" t="s">
        <v>98</v>
      </c>
      <c r="AB25" s="705" t="e">
        <v>#VALUE!</v>
      </c>
      <c r="AC25" s="705" t="e">
        <v>#VALUE!</v>
      </c>
      <c r="AD25" s="705" t="e">
        <v>#VALUE!</v>
      </c>
      <c r="AE25" s="705" t="e">
        <v>#VALUE!</v>
      </c>
      <c r="AF25" s="705" t="e">
        <v>#N/A</v>
      </c>
      <c r="AG25" s="705" t="e">
        <v>#N/A</v>
      </c>
      <c r="AH25" s="705" t="e">
        <v>#N/A</v>
      </c>
      <c r="AI25" s="705" t="e">
        <v>#N/A</v>
      </c>
      <c r="AJ25" s="705" t="e">
        <v>#N/A</v>
      </c>
      <c r="AK25" s="705" t="e">
        <v>#N/A</v>
      </c>
    </row>
    <row r="26" spans="1:37">
      <c r="A26" s="675"/>
      <c r="B26" s="709"/>
      <c r="C26" s="702"/>
      <c r="D26" s="702"/>
      <c r="E26" s="702"/>
      <c r="F26" s="702"/>
      <c r="G26" s="703" t="str">
        <f t="shared" ref="G26" si="17">IF(B25="","",IF(B25&gt;0,"%",""))</f>
        <v>%</v>
      </c>
      <c r="H26" s="707" t="e">
        <f>IF(H25=0,NA(),(H25/$F$25*100))</f>
        <v>#N/A</v>
      </c>
      <c r="I26" s="707" t="e">
        <f t="shared" ref="I26:V26" si="18">IF(I25=0,NA(),(I25/$F$25*100))</f>
        <v>#N/A</v>
      </c>
      <c r="J26" s="707" t="e">
        <f t="shared" si="18"/>
        <v>#N/A</v>
      </c>
      <c r="K26" s="707" t="e">
        <f t="shared" si="18"/>
        <v>#N/A</v>
      </c>
      <c r="L26" s="707" t="e">
        <f t="shared" si="18"/>
        <v>#N/A</v>
      </c>
      <c r="M26" s="707" t="e">
        <f t="shared" si="18"/>
        <v>#N/A</v>
      </c>
      <c r="N26" s="707" t="e">
        <f t="shared" si="18"/>
        <v>#N/A</v>
      </c>
      <c r="O26" s="707" t="e">
        <f t="shared" si="18"/>
        <v>#N/A</v>
      </c>
      <c r="P26" s="707" t="e">
        <f t="shared" si="18"/>
        <v>#N/A</v>
      </c>
      <c r="Q26" s="707" t="e">
        <f t="shared" si="18"/>
        <v>#N/A</v>
      </c>
      <c r="R26" s="707" t="e">
        <f t="shared" si="18"/>
        <v>#N/A</v>
      </c>
      <c r="S26" s="707" t="e">
        <f t="shared" si="18"/>
        <v>#N/A</v>
      </c>
      <c r="T26" s="707" t="e">
        <f t="shared" si="18"/>
        <v>#N/A</v>
      </c>
      <c r="U26" s="707" t="e">
        <f t="shared" si="18"/>
        <v>#N/A</v>
      </c>
      <c r="V26" s="707" t="e">
        <f t="shared" si="18"/>
        <v>#N/A</v>
      </c>
      <c r="W26" s="677"/>
      <c r="AA26" s="704" t="s">
        <v>99</v>
      </c>
      <c r="AB26" s="705" t="e">
        <v>#N/A</v>
      </c>
      <c r="AC26" s="705" t="e">
        <v>#N/A</v>
      </c>
      <c r="AD26" s="705" t="e">
        <v>#VALUE!</v>
      </c>
      <c r="AE26" s="705" t="e">
        <v>#VALUE!</v>
      </c>
      <c r="AF26" s="705" t="e">
        <v>#N/A</v>
      </c>
      <c r="AG26" s="705" t="e">
        <v>#N/A</v>
      </c>
      <c r="AH26" s="705" t="e">
        <v>#N/A</v>
      </c>
      <c r="AI26" s="705" t="e">
        <v>#N/A</v>
      </c>
      <c r="AJ26" s="705" t="e">
        <v>#N/A</v>
      </c>
      <c r="AK26" s="705" t="e">
        <v>#N/A</v>
      </c>
    </row>
    <row r="27" spans="1:37">
      <c r="A27" s="675"/>
      <c r="B27" s="708">
        <f t="shared" ref="B27" si="19">IF(B25=0,0,IF(B25&lt;$B$13,B25+1,""))</f>
        <v>7</v>
      </c>
      <c r="C27" s="702">
        <f>IFERROR(VLOOKUP(B27,DATEWISE!$A$3:$BY$27,2,0),0)</f>
        <v>0</v>
      </c>
      <c r="D27" s="702">
        <f>IFERROR(VLOOKUP(C27,DATEWISE!$B$3:$BY$27,5,0),0)</f>
        <v>0</v>
      </c>
      <c r="E27" s="702">
        <f>IFERROR(VLOOKUP(C27,DATEWISE!$B$3:$BY$27,6,0),0)</f>
        <v>0</v>
      </c>
      <c r="F27" s="702">
        <f>IFERROR(VLOOKUP(C27,DATEWISE!$B$3:$BY$27,7,0),0)</f>
        <v>0</v>
      </c>
      <c r="G27" s="703" t="str">
        <f t="shared" ref="G27" si="20">IF(B27="","",IF(B27&gt;0,"NUM",""))</f>
        <v>NUM</v>
      </c>
      <c r="H27" s="702">
        <f>IFERROR(VLOOKUP(C27&amp;$H$13,DATEWISE!$I$3:$BY$27,2,0),0)</f>
        <v>0</v>
      </c>
      <c r="I27" s="702">
        <f>IFERROR(VLOOKUP(C27&amp;$H$13,DATEWISE!$I$3:$BY$27,3,0),0)</f>
        <v>0</v>
      </c>
      <c r="J27" s="702">
        <f>IFERROR(VLOOKUP(C27&amp;$H$13,DATEWISE!$I$3:$BY$27,4,0),0)</f>
        <v>0</v>
      </c>
      <c r="K27" s="702">
        <f>IFERROR(VLOOKUP(C27&amp;$H$13,DATEWISE!$I$3:$BY$27,5,0),0)</f>
        <v>0</v>
      </c>
      <c r="L27" s="702">
        <f>IFERROR(VLOOKUP(C27&amp;$H$13,DATEWISE!$I$3:$BY$27,6,0),0)</f>
        <v>0</v>
      </c>
      <c r="M27" s="702">
        <f>IFERROR(VLOOKUP(C27&amp;$M$13,DATEWISE!$P$3:$BY$27,2,0),0)</f>
        <v>0</v>
      </c>
      <c r="N27" s="702">
        <f>IFERROR(VLOOKUP(C27&amp;$M$13,DATEWISE!$P$3:$BY$27,3,0),0)</f>
        <v>0</v>
      </c>
      <c r="O27" s="702">
        <f>IFERROR(VLOOKUP(C27&amp;$M$13,DATEWISE!$P$3:$BY$27,4,0),0)</f>
        <v>0</v>
      </c>
      <c r="P27" s="702">
        <f>IFERROR(VLOOKUP(C27&amp;$M$13,DATEWISE!$P$3:$BY$27,5,0),0)</f>
        <v>0</v>
      </c>
      <c r="Q27" s="702">
        <f>IFERROR(VLOOKUP(C27&amp;$M$13,DATEWISE!$P$3:$BY$27,6,0),0)</f>
        <v>0</v>
      </c>
      <c r="R27" s="702">
        <f>IFERROR(VLOOKUP(C27&amp;$R$13,DATEWISE!$W$3:$BY$27,2,0),0)</f>
        <v>0</v>
      </c>
      <c r="S27" s="702">
        <f>IFERROR(VLOOKUP(C27&amp;$R$13,DATEWISE!$W$3:$BY$27,3,0),0)</f>
        <v>0</v>
      </c>
      <c r="T27" s="702">
        <f>IFERROR(VLOOKUP(C27&amp;$R$13,DATEWISE!$W$3:$BY$27,4,0),0)</f>
        <v>0</v>
      </c>
      <c r="U27" s="702">
        <f>IFERROR(VLOOKUP(C27&amp;$R$13,DATEWISE!$W$3:$BY$27,5,0),0)</f>
        <v>0</v>
      </c>
      <c r="V27" s="702">
        <f>IFERROR(VLOOKUP(C27&amp;$R$13,DATEWISE!$W$3:$BY$27,6,0),0)</f>
        <v>0</v>
      </c>
      <c r="W27" s="677"/>
      <c r="AA27" s="704" t="s">
        <v>100</v>
      </c>
      <c r="AB27" s="705" t="e">
        <v>#N/A</v>
      </c>
      <c r="AC27" s="705" t="e">
        <v>#N/A</v>
      </c>
      <c r="AD27" s="705" t="e">
        <v>#N/A</v>
      </c>
      <c r="AE27" s="705" t="e">
        <v>#N/A</v>
      </c>
      <c r="AF27" s="705" t="e">
        <v>#N/A</v>
      </c>
      <c r="AG27" s="705" t="e">
        <v>#N/A</v>
      </c>
      <c r="AH27" s="705" t="e">
        <v>#N/A</v>
      </c>
      <c r="AI27" s="705" t="e">
        <v>#N/A</v>
      </c>
      <c r="AJ27" s="705" t="e">
        <v>#N/A</v>
      </c>
      <c r="AK27" s="705" t="e">
        <v>#N/A</v>
      </c>
    </row>
    <row r="28" spans="1:37">
      <c r="A28" s="675"/>
      <c r="B28" s="709"/>
      <c r="C28" s="702"/>
      <c r="D28" s="702"/>
      <c r="E28" s="702"/>
      <c r="F28" s="702"/>
      <c r="G28" s="703" t="str">
        <f t="shared" ref="G28" si="21">IF(B27="","",IF(B27&gt;0,"%",""))</f>
        <v>%</v>
      </c>
      <c r="H28" s="707" t="e">
        <f>IF(H27=0,NA(),(H27/$F$27*100))</f>
        <v>#N/A</v>
      </c>
      <c r="I28" s="707" t="e">
        <f t="shared" ref="I28:V28" si="22">IF(I27=0,NA(),(I27/$F$27*100))</f>
        <v>#N/A</v>
      </c>
      <c r="J28" s="707" t="e">
        <f t="shared" si="22"/>
        <v>#N/A</v>
      </c>
      <c r="K28" s="707" t="e">
        <f t="shared" si="22"/>
        <v>#N/A</v>
      </c>
      <c r="L28" s="707" t="e">
        <f t="shared" si="22"/>
        <v>#N/A</v>
      </c>
      <c r="M28" s="707" t="e">
        <f t="shared" si="22"/>
        <v>#N/A</v>
      </c>
      <c r="N28" s="707" t="e">
        <f t="shared" si="22"/>
        <v>#N/A</v>
      </c>
      <c r="O28" s="707" t="e">
        <f t="shared" si="22"/>
        <v>#N/A</v>
      </c>
      <c r="P28" s="707" t="e">
        <f t="shared" si="22"/>
        <v>#N/A</v>
      </c>
      <c r="Q28" s="707" t="e">
        <f t="shared" si="22"/>
        <v>#N/A</v>
      </c>
      <c r="R28" s="707" t="e">
        <f t="shared" si="22"/>
        <v>#N/A</v>
      </c>
      <c r="S28" s="707" t="e">
        <f t="shared" si="22"/>
        <v>#N/A</v>
      </c>
      <c r="T28" s="707" t="e">
        <f t="shared" si="22"/>
        <v>#N/A</v>
      </c>
      <c r="U28" s="707" t="e">
        <f t="shared" si="22"/>
        <v>#N/A</v>
      </c>
      <c r="V28" s="707" t="e">
        <f t="shared" si="22"/>
        <v>#N/A</v>
      </c>
      <c r="W28" s="677"/>
    </row>
    <row r="29" spans="1:37">
      <c r="A29" s="675"/>
      <c r="B29" s="708">
        <f t="shared" ref="B29" si="23">IF(B27=0,0,IF(B27&lt;$B$13,B27+1,""))</f>
        <v>8</v>
      </c>
      <c r="C29" s="702">
        <f>IFERROR(VLOOKUP(B29,DATEWISE!$A$3:$BY$27,2,0),0)</f>
        <v>0</v>
      </c>
      <c r="D29" s="702">
        <f>IFERROR(VLOOKUP(C29,DATEWISE!$B$3:$BY$27,5,0),0)</f>
        <v>0</v>
      </c>
      <c r="E29" s="702">
        <f>IFERROR(VLOOKUP(C29,DATEWISE!$B$3:$BY$27,6,0),0)</f>
        <v>0</v>
      </c>
      <c r="F29" s="702">
        <f>IFERROR(VLOOKUP(C29,DATEWISE!$B$3:$BY$27,7,0),0)</f>
        <v>0</v>
      </c>
      <c r="G29" s="703" t="str">
        <f t="shared" ref="G29" si="24">IF(B29="","",IF(B29&gt;0,"NUM",""))</f>
        <v>NUM</v>
      </c>
      <c r="H29" s="702">
        <f>IFERROR(VLOOKUP(C29&amp;$H$13,DATEWISE!$I$3:$BY$27,2,0),0)</f>
        <v>0</v>
      </c>
      <c r="I29" s="702">
        <f>IFERROR(VLOOKUP(C29&amp;$H$13,DATEWISE!$I$3:$BY$27,3,0),0)</f>
        <v>0</v>
      </c>
      <c r="J29" s="702">
        <f>IFERROR(VLOOKUP(C29&amp;$H$13,DATEWISE!$I$3:$BY$27,4,0),0)</f>
        <v>0</v>
      </c>
      <c r="K29" s="702">
        <f>IFERROR(VLOOKUP(C29&amp;$H$13,DATEWISE!$I$3:$BY$27,5,0),0)</f>
        <v>0</v>
      </c>
      <c r="L29" s="702">
        <f>IFERROR(VLOOKUP(C29&amp;$H$13,DATEWISE!$I$3:$BY$27,6,0),0)</f>
        <v>0</v>
      </c>
      <c r="M29" s="702">
        <f>IFERROR(VLOOKUP(C29&amp;$M$13,DATEWISE!$P$3:$BY$27,2,0),0)</f>
        <v>0</v>
      </c>
      <c r="N29" s="702">
        <f>IFERROR(VLOOKUP(C29&amp;$M$13,DATEWISE!$P$3:$BY$27,3,0),0)</f>
        <v>0</v>
      </c>
      <c r="O29" s="702">
        <f>IFERROR(VLOOKUP(C29&amp;$M$13,DATEWISE!$P$3:$BY$27,4,0),0)</f>
        <v>0</v>
      </c>
      <c r="P29" s="702">
        <f>IFERROR(VLOOKUP(C29&amp;$M$13,DATEWISE!$P$3:$BY$27,5,0),0)</f>
        <v>0</v>
      </c>
      <c r="Q29" s="702">
        <f>IFERROR(VLOOKUP(C29&amp;$M$13,DATEWISE!$P$3:$BY$27,6,0),0)</f>
        <v>0</v>
      </c>
      <c r="R29" s="702">
        <f>IFERROR(VLOOKUP(C29&amp;$R$13,DATEWISE!$W$3:$BY$27,2,0),0)</f>
        <v>0</v>
      </c>
      <c r="S29" s="702">
        <f>IFERROR(VLOOKUP(C29&amp;$R$13,DATEWISE!$W$3:$BY$27,3,0),0)</f>
        <v>0</v>
      </c>
      <c r="T29" s="702">
        <f>IFERROR(VLOOKUP(C29&amp;$R$13,DATEWISE!$W$3:$BY$27,4,0),0)</f>
        <v>0</v>
      </c>
      <c r="U29" s="702">
        <f>IFERROR(VLOOKUP(C29&amp;$R$13,DATEWISE!$W$3:$BY$27,5,0),0)</f>
        <v>0</v>
      </c>
      <c r="V29" s="702">
        <f>IFERROR(VLOOKUP(C29&amp;$R$13,DATEWISE!$W$3:$BY$27,6,0),0)</f>
        <v>0</v>
      </c>
      <c r="W29" s="677"/>
      <c r="AA29" s="695" t="s">
        <v>89</v>
      </c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</row>
    <row r="30" spans="1:37">
      <c r="A30" s="675"/>
      <c r="B30" s="709"/>
      <c r="C30" s="702"/>
      <c r="D30" s="702"/>
      <c r="E30" s="702"/>
      <c r="F30" s="702"/>
      <c r="G30" s="703" t="str">
        <f t="shared" ref="G30" si="25">IF(B29="","",IF(B29&gt;0,"%",""))</f>
        <v>%</v>
      </c>
      <c r="H30" s="707" t="e">
        <f>IF(H29=0,NA(),(H29/$F$29*100))</f>
        <v>#N/A</v>
      </c>
      <c r="I30" s="707" t="e">
        <f t="shared" ref="I30:V30" si="26">IF(I29=0,NA(),(I29/$F$29*100))</f>
        <v>#N/A</v>
      </c>
      <c r="J30" s="707" t="e">
        <f t="shared" si="26"/>
        <v>#N/A</v>
      </c>
      <c r="K30" s="707" t="e">
        <f t="shared" si="26"/>
        <v>#N/A</v>
      </c>
      <c r="L30" s="707" t="e">
        <f t="shared" si="26"/>
        <v>#N/A</v>
      </c>
      <c r="M30" s="707" t="e">
        <f t="shared" si="26"/>
        <v>#N/A</v>
      </c>
      <c r="N30" s="707" t="e">
        <f t="shared" si="26"/>
        <v>#N/A</v>
      </c>
      <c r="O30" s="707" t="e">
        <f t="shared" si="26"/>
        <v>#N/A</v>
      </c>
      <c r="P30" s="707" t="e">
        <f t="shared" si="26"/>
        <v>#N/A</v>
      </c>
      <c r="Q30" s="707" t="e">
        <f t="shared" si="26"/>
        <v>#N/A</v>
      </c>
      <c r="R30" s="707" t="e">
        <f t="shared" si="26"/>
        <v>#N/A</v>
      </c>
      <c r="S30" s="707" t="e">
        <f t="shared" si="26"/>
        <v>#N/A</v>
      </c>
      <c r="T30" s="707" t="e">
        <f t="shared" si="26"/>
        <v>#N/A</v>
      </c>
      <c r="U30" s="707" t="e">
        <f t="shared" si="26"/>
        <v>#N/A</v>
      </c>
      <c r="V30" s="707" t="e">
        <f t="shared" si="26"/>
        <v>#N/A</v>
      </c>
      <c r="W30" s="677"/>
      <c r="AA30" s="699" t="s">
        <v>450</v>
      </c>
      <c r="AB30" s="699" t="str">
        <f>$C$15</f>
        <v>30.04.2026</v>
      </c>
      <c r="AC30" s="699" t="str">
        <f>$C$17</f>
        <v>08.05.2026</v>
      </c>
      <c r="AD30" s="699" t="str">
        <f>$C$19</f>
        <v>15.07.2026</v>
      </c>
      <c r="AE30" s="699" t="str">
        <f>$C$21</f>
        <v>31.07.2026</v>
      </c>
      <c r="AF30" s="699" t="str">
        <f>$C$23</f>
        <v>17.08.2026</v>
      </c>
      <c r="AG30" s="699" t="str">
        <f>$C$25</f>
        <v>31.08.2026</v>
      </c>
      <c r="AH30" s="699">
        <f>$C$27</f>
        <v>0</v>
      </c>
      <c r="AI30" s="699">
        <f>$C$29</f>
        <v>0</v>
      </c>
      <c r="AJ30" s="699">
        <f>$C$31</f>
        <v>0</v>
      </c>
      <c r="AK30" s="699">
        <f>$C$33</f>
        <v>0</v>
      </c>
    </row>
    <row r="31" spans="1:37">
      <c r="A31" s="675"/>
      <c r="B31" s="708">
        <f t="shared" ref="B31" si="27">IF(B29=0,0,IF(B29&lt;$B$13,B29+1,""))</f>
        <v>9</v>
      </c>
      <c r="C31" s="702">
        <f>IFERROR(VLOOKUP(B31,DATEWISE!$A$3:$BY$27,2,0),0)</f>
        <v>0</v>
      </c>
      <c r="D31" s="702">
        <f>IFERROR(VLOOKUP(C31,DATEWISE!$B$3:$BY$27,5,0),0)</f>
        <v>0</v>
      </c>
      <c r="E31" s="702">
        <f>IFERROR(VLOOKUP(C31,DATEWISE!$B$3:$BY$27,6,0),0)</f>
        <v>0</v>
      </c>
      <c r="F31" s="702">
        <f>IFERROR(VLOOKUP(C31,DATEWISE!$B$3:$BY$27,7,0),0)</f>
        <v>0</v>
      </c>
      <c r="G31" s="703" t="str">
        <f t="shared" ref="G31" si="28">IF(B31="","",IF(B31&gt;0,"NUM",""))</f>
        <v>NUM</v>
      </c>
      <c r="H31" s="702">
        <f>IFERROR(VLOOKUP(C31&amp;$H$13,DATEWISE!$I$3:$BY$27,2,0),0)</f>
        <v>0</v>
      </c>
      <c r="I31" s="702">
        <f>IFERROR(VLOOKUP(C31&amp;$H$13,DATEWISE!$I$3:$BY$27,3,0),0)</f>
        <v>0</v>
      </c>
      <c r="J31" s="702">
        <f>IFERROR(VLOOKUP(C31&amp;$H$13,DATEWISE!$I$3:$BY$27,4,0),0)</f>
        <v>0</v>
      </c>
      <c r="K31" s="702">
        <f>IFERROR(VLOOKUP(C31&amp;$H$13,DATEWISE!$I$3:$BY$27,5,0),0)</f>
        <v>0</v>
      </c>
      <c r="L31" s="702">
        <f>IFERROR(VLOOKUP(C31&amp;$H$13,DATEWISE!$I$3:$BY$27,6,0),0)</f>
        <v>0</v>
      </c>
      <c r="M31" s="702">
        <f>IFERROR(VLOOKUP(C31&amp;$M$13,DATEWISE!$P$3:$BY$27,2,0),0)</f>
        <v>0</v>
      </c>
      <c r="N31" s="702">
        <f>IFERROR(VLOOKUP(C31&amp;$M$13,DATEWISE!$P$3:$BY$27,3,0),0)</f>
        <v>0</v>
      </c>
      <c r="O31" s="702">
        <f>IFERROR(VLOOKUP(C31&amp;$M$13,DATEWISE!$P$3:$BY$27,4,0),0)</f>
        <v>0</v>
      </c>
      <c r="P31" s="702">
        <f>IFERROR(VLOOKUP(C31&amp;$M$13,DATEWISE!$P$3:$BY$27,5,0),0)</f>
        <v>0</v>
      </c>
      <c r="Q31" s="702">
        <f>IFERROR(VLOOKUP(C31&amp;$M$13,DATEWISE!$P$3:$BY$27,6,0),0)</f>
        <v>0</v>
      </c>
      <c r="R31" s="702">
        <f>IFERROR(VLOOKUP(C31&amp;$R$13,DATEWISE!$W$3:$BY$27,2,0),0)</f>
        <v>0</v>
      </c>
      <c r="S31" s="702">
        <f>IFERROR(VLOOKUP(C31&amp;$R$13,DATEWISE!$W$3:$BY$27,3,0),0)</f>
        <v>0</v>
      </c>
      <c r="T31" s="702">
        <f>IFERROR(VLOOKUP(C31&amp;$R$13,DATEWISE!$W$3:$BY$27,4,0),0)</f>
        <v>0</v>
      </c>
      <c r="U31" s="702">
        <f>IFERROR(VLOOKUP(C31&amp;$R$13,DATEWISE!$W$3:$BY$27,5,0),0)</f>
        <v>0</v>
      </c>
      <c r="V31" s="702">
        <f>IFERROR(VLOOKUP(C31&amp;$R$13,DATEWISE!$W$3:$BY$27,6,0),0)</f>
        <v>0</v>
      </c>
      <c r="W31" s="677"/>
      <c r="AA31" s="704" t="s">
        <v>96</v>
      </c>
      <c r="AB31" s="705" t="e">
        <f t="array" ref="AB31:AB35">TRANSPOSE(R16:V16)</f>
        <v>#VALUE!</v>
      </c>
      <c r="AC31" s="705" t="e">
        <f t="array" ref="AC31:AC35">TRANSPOSE(R18:V18)</f>
        <v>#VALUE!</v>
      </c>
      <c r="AD31" s="705" t="e">
        <f t="array" ref="AD31:AD35">TRANSPOSE(R20:V20)</f>
        <v>#VALUE!</v>
      </c>
      <c r="AE31" s="705" t="e">
        <f t="array" ref="AE31:AE35">TRANSPOSE(R22:V22)</f>
        <v>#VALUE!</v>
      </c>
      <c r="AF31" s="705" t="e">
        <f t="array" ref="AF31:AF35">TRANSPOSE(R24:V24)</f>
        <v>#N/A</v>
      </c>
      <c r="AG31" s="705" t="e">
        <f t="array" ref="AG31:AG35">TRANSPOSE(R26:V26)</f>
        <v>#N/A</v>
      </c>
      <c r="AH31" s="705" t="e">
        <f t="array" ref="AH31:AH35">TRANSPOSE(R28:V28)</f>
        <v>#N/A</v>
      </c>
      <c r="AI31" s="705" t="e">
        <f t="array" ref="AI31:AI35">TRANSPOSE(R30:V30)</f>
        <v>#N/A</v>
      </c>
      <c r="AJ31" s="705" t="e">
        <f t="array" ref="AJ31:AJ35">TRANSPOSE(R32:V32)</f>
        <v>#N/A</v>
      </c>
      <c r="AK31" s="705" t="e">
        <f t="array" ref="AK31:AK35">TRANSPOSE(R34:V34)</f>
        <v>#N/A</v>
      </c>
    </row>
    <row r="32" spans="1:37">
      <c r="A32" s="675"/>
      <c r="B32" s="709"/>
      <c r="C32" s="702"/>
      <c r="D32" s="702"/>
      <c r="E32" s="702"/>
      <c r="F32" s="702"/>
      <c r="G32" s="703" t="str">
        <f t="shared" ref="G32" si="29">IF(B31="","",IF(B31&gt;0,"%",""))</f>
        <v>%</v>
      </c>
      <c r="H32" s="707" t="e">
        <f>IF(H31=0,NA(),(H31/$F$31*100))</f>
        <v>#N/A</v>
      </c>
      <c r="I32" s="707" t="e">
        <f t="shared" ref="I32:V32" si="30">IF(I31=0,NA(),(I31/$F$31*100))</f>
        <v>#N/A</v>
      </c>
      <c r="J32" s="707" t="e">
        <f t="shared" si="30"/>
        <v>#N/A</v>
      </c>
      <c r="K32" s="707" t="e">
        <f t="shared" si="30"/>
        <v>#N/A</v>
      </c>
      <c r="L32" s="707" t="e">
        <f t="shared" si="30"/>
        <v>#N/A</v>
      </c>
      <c r="M32" s="707" t="e">
        <f t="shared" si="30"/>
        <v>#N/A</v>
      </c>
      <c r="N32" s="707" t="e">
        <f t="shared" si="30"/>
        <v>#N/A</v>
      </c>
      <c r="O32" s="707" t="e">
        <f t="shared" si="30"/>
        <v>#N/A</v>
      </c>
      <c r="P32" s="707" t="e">
        <f t="shared" si="30"/>
        <v>#N/A</v>
      </c>
      <c r="Q32" s="707" t="e">
        <f t="shared" si="30"/>
        <v>#N/A</v>
      </c>
      <c r="R32" s="707" t="e">
        <f t="shared" si="30"/>
        <v>#N/A</v>
      </c>
      <c r="S32" s="707" t="e">
        <f t="shared" si="30"/>
        <v>#N/A</v>
      </c>
      <c r="T32" s="707" t="e">
        <f t="shared" si="30"/>
        <v>#N/A</v>
      </c>
      <c r="U32" s="707" t="e">
        <f t="shared" si="30"/>
        <v>#N/A</v>
      </c>
      <c r="V32" s="707" t="e">
        <f t="shared" si="30"/>
        <v>#N/A</v>
      </c>
      <c r="W32" s="677"/>
      <c r="AA32" s="704" t="s">
        <v>97</v>
      </c>
      <c r="AB32" s="705" t="e">
        <v>#VALUE!</v>
      </c>
      <c r="AC32" s="705" t="e">
        <v>#VALUE!</v>
      </c>
      <c r="AD32" s="705" t="e">
        <v>#VALUE!</v>
      </c>
      <c r="AE32" s="705" t="e">
        <v>#VALUE!</v>
      </c>
      <c r="AF32" s="705" t="e">
        <v>#N/A</v>
      </c>
      <c r="AG32" s="705" t="e">
        <v>#N/A</v>
      </c>
      <c r="AH32" s="705" t="e">
        <v>#N/A</v>
      </c>
      <c r="AI32" s="705" t="e">
        <v>#N/A</v>
      </c>
      <c r="AJ32" s="705" t="e">
        <v>#N/A</v>
      </c>
      <c r="AK32" s="705" t="e">
        <v>#N/A</v>
      </c>
    </row>
    <row r="33" spans="1:37">
      <c r="A33" s="675"/>
      <c r="B33" s="708">
        <f t="shared" ref="B33" si="31">IF(B31=0,0,IF(B31&lt;$B$13,B31+1,""))</f>
        <v>10</v>
      </c>
      <c r="C33" s="702">
        <f>IFERROR(VLOOKUP(B33,DATEWISE!$A$3:$BY$27,2,0),0)</f>
        <v>0</v>
      </c>
      <c r="D33" s="702">
        <f>IFERROR(VLOOKUP(C33,DATEWISE!$B$3:$BY$27,5,0),0)</f>
        <v>0</v>
      </c>
      <c r="E33" s="702">
        <f>IFERROR(VLOOKUP(C33,DATEWISE!$B$3:$BY$27,6,0),0)</f>
        <v>0</v>
      </c>
      <c r="F33" s="702">
        <f>IFERROR(VLOOKUP(C33,DATEWISE!$B$3:$BY$27,7,0),0)</f>
        <v>0</v>
      </c>
      <c r="G33" s="703" t="str">
        <f t="shared" ref="G33" si="32">IF(B33="","",IF(B33&gt;0,"NUM",""))</f>
        <v>NUM</v>
      </c>
      <c r="H33" s="702">
        <f>IFERROR(VLOOKUP(C33&amp;$H$13,DATEWISE!$I$3:$BY$27,2,0),0)</f>
        <v>0</v>
      </c>
      <c r="I33" s="702">
        <f>IFERROR(VLOOKUP(C33&amp;$H$13,DATEWISE!$I$3:$BY$27,3,0),0)</f>
        <v>0</v>
      </c>
      <c r="J33" s="702">
        <f>IFERROR(VLOOKUP(C33&amp;$H$13,DATEWISE!$I$3:$BY$27,4,0),0)</f>
        <v>0</v>
      </c>
      <c r="K33" s="702">
        <f>IFERROR(VLOOKUP(C33&amp;$H$13,DATEWISE!$I$3:$BY$27,5,0),0)</f>
        <v>0</v>
      </c>
      <c r="L33" s="702">
        <f>IFERROR(VLOOKUP(C33&amp;$H$13,DATEWISE!$I$3:$BY$27,6,0),0)</f>
        <v>0</v>
      </c>
      <c r="M33" s="702">
        <f>IFERROR(VLOOKUP(C33&amp;$M$13,DATEWISE!$P$3:$BY$27,2,0),0)</f>
        <v>0</v>
      </c>
      <c r="N33" s="702">
        <f>IFERROR(VLOOKUP(C33&amp;$M$13,DATEWISE!$P$3:$BY$27,3,0),0)</f>
        <v>0</v>
      </c>
      <c r="O33" s="702">
        <f>IFERROR(VLOOKUP(C33&amp;$M$13,DATEWISE!$P$3:$BY$27,4,0),0)</f>
        <v>0</v>
      </c>
      <c r="P33" s="702">
        <f>IFERROR(VLOOKUP(C33&amp;$M$13,DATEWISE!$P$3:$BY$27,5,0),0)</f>
        <v>0</v>
      </c>
      <c r="Q33" s="702">
        <f>IFERROR(VLOOKUP(C33&amp;$M$13,DATEWISE!$P$3:$BY$27,6,0),0)</f>
        <v>0</v>
      </c>
      <c r="R33" s="702">
        <f>IFERROR(VLOOKUP(C33&amp;$R$13,DATEWISE!$W$3:$BY$27,2,0),0)</f>
        <v>0</v>
      </c>
      <c r="S33" s="702">
        <f>IFERROR(VLOOKUP(C33&amp;$R$13,DATEWISE!$W$3:$BY$27,3,0),0)</f>
        <v>0</v>
      </c>
      <c r="T33" s="702">
        <f>IFERROR(VLOOKUP(C33&amp;$R$13,DATEWISE!$W$3:$BY$27,4,0),0)</f>
        <v>0</v>
      </c>
      <c r="U33" s="702">
        <f>IFERROR(VLOOKUP(C33&amp;$R$13,DATEWISE!$W$3:$BY$27,5,0),0)</f>
        <v>0</v>
      </c>
      <c r="V33" s="702">
        <f>IFERROR(VLOOKUP(C33&amp;$R$13,DATEWISE!$W$3:$BY$27,6,0),0)</f>
        <v>0</v>
      </c>
      <c r="W33" s="677"/>
      <c r="AA33" s="704" t="s">
        <v>98</v>
      </c>
      <c r="AB33" s="705" t="e">
        <v>#VALUE!</v>
      </c>
      <c r="AC33" s="705" t="e">
        <v>#VALUE!</v>
      </c>
      <c r="AD33" s="705" t="e">
        <v>#VALUE!</v>
      </c>
      <c r="AE33" s="705" t="e">
        <v>#VALUE!</v>
      </c>
      <c r="AF33" s="705" t="e">
        <v>#N/A</v>
      </c>
      <c r="AG33" s="705" t="e">
        <v>#N/A</v>
      </c>
      <c r="AH33" s="705" t="e">
        <v>#N/A</v>
      </c>
      <c r="AI33" s="705" t="e">
        <v>#N/A</v>
      </c>
      <c r="AJ33" s="705" t="e">
        <v>#N/A</v>
      </c>
      <c r="AK33" s="705" t="e">
        <v>#N/A</v>
      </c>
    </row>
    <row r="34" spans="1:37">
      <c r="A34" s="675"/>
      <c r="B34" s="709"/>
      <c r="C34" s="702"/>
      <c r="D34" s="702"/>
      <c r="E34" s="702"/>
      <c r="F34" s="702"/>
      <c r="G34" s="703" t="str">
        <f t="shared" ref="G34" si="33">IF(B33="","",IF(B33&gt;0,"%",""))</f>
        <v>%</v>
      </c>
      <c r="H34" s="707" t="e">
        <f>IF(H33=0,NA(),(H33/$F$31*100))</f>
        <v>#N/A</v>
      </c>
      <c r="I34" s="707" t="e">
        <f t="shared" ref="I34:V34" si="34">IF(I33=0,NA(),(I33/$F$31*100))</f>
        <v>#N/A</v>
      </c>
      <c r="J34" s="707" t="e">
        <f t="shared" si="34"/>
        <v>#N/A</v>
      </c>
      <c r="K34" s="707" t="e">
        <f t="shared" si="34"/>
        <v>#N/A</v>
      </c>
      <c r="L34" s="707" t="e">
        <f t="shared" si="34"/>
        <v>#N/A</v>
      </c>
      <c r="M34" s="707" t="e">
        <f t="shared" si="34"/>
        <v>#N/A</v>
      </c>
      <c r="N34" s="707" t="e">
        <f t="shared" si="34"/>
        <v>#N/A</v>
      </c>
      <c r="O34" s="707" t="e">
        <f t="shared" si="34"/>
        <v>#N/A</v>
      </c>
      <c r="P34" s="707" t="e">
        <f t="shared" si="34"/>
        <v>#N/A</v>
      </c>
      <c r="Q34" s="707" t="e">
        <f t="shared" si="34"/>
        <v>#N/A</v>
      </c>
      <c r="R34" s="707" t="e">
        <f t="shared" si="34"/>
        <v>#N/A</v>
      </c>
      <c r="S34" s="707" t="e">
        <f t="shared" si="34"/>
        <v>#N/A</v>
      </c>
      <c r="T34" s="707" t="e">
        <f t="shared" si="34"/>
        <v>#N/A</v>
      </c>
      <c r="U34" s="707" t="e">
        <f t="shared" si="34"/>
        <v>#N/A</v>
      </c>
      <c r="V34" s="707" t="e">
        <f t="shared" si="34"/>
        <v>#N/A</v>
      </c>
      <c r="W34" s="677"/>
      <c r="AA34" s="704" t="s">
        <v>99</v>
      </c>
      <c r="AB34" s="705" t="e">
        <v>#N/A</v>
      </c>
      <c r="AC34" s="705" t="e">
        <v>#N/A</v>
      </c>
      <c r="AD34" s="705" t="e">
        <v>#N/A</v>
      </c>
      <c r="AE34" s="705" t="e">
        <v>#N/A</v>
      </c>
      <c r="AF34" s="705" t="e">
        <v>#N/A</v>
      </c>
      <c r="AG34" s="705" t="e">
        <v>#N/A</v>
      </c>
      <c r="AH34" s="705" t="e">
        <v>#N/A</v>
      </c>
      <c r="AI34" s="705" t="e">
        <v>#N/A</v>
      </c>
      <c r="AJ34" s="705" t="e">
        <v>#N/A</v>
      </c>
      <c r="AK34" s="705" t="e">
        <v>#N/A</v>
      </c>
    </row>
    <row r="35" s="667" customFormat="1" ht="24.95" customHeight="1" spans="1:37">
      <c r="A35" s="711"/>
      <c r="B35" s="712" t="s">
        <v>464</v>
      </c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3"/>
      <c r="AA35" s="714" t="s">
        <v>100</v>
      </c>
      <c r="AB35" s="715" t="e">
        <v>#N/A</v>
      </c>
      <c r="AC35" s="715" t="e">
        <v>#N/A</v>
      </c>
      <c r="AD35" s="715" t="e">
        <v>#N/A</v>
      </c>
      <c r="AE35" s="715" t="e">
        <v>#N/A</v>
      </c>
      <c r="AF35" s="715" t="e">
        <v>#N/A</v>
      </c>
      <c r="AG35" s="715" t="e">
        <v>#N/A</v>
      </c>
      <c r="AH35" s="715" t="e">
        <v>#N/A</v>
      </c>
      <c r="AI35" s="715" t="e">
        <v>#N/A</v>
      </c>
      <c r="AJ35" s="715" t="e">
        <v>#N/A</v>
      </c>
      <c r="AK35" s="715" t="e">
        <v>#N/A</v>
      </c>
    </row>
    <row r="36" s="667" customFormat="1" ht="18.15" spans="1:37">
      <c r="A36" s="711"/>
      <c r="B36" s="716" t="s">
        <v>452</v>
      </c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8"/>
      <c r="W36" s="713"/>
      <c r="AA36" s="719"/>
      <c r="AB36" s="720"/>
      <c r="AC36" s="720"/>
      <c r="AD36" s="720"/>
      <c r="AE36" s="720"/>
      <c r="AF36" s="720"/>
      <c r="AG36" s="720"/>
      <c r="AH36" s="720"/>
      <c r="AI36" s="720"/>
      <c r="AJ36" s="720"/>
      <c r="AK36" s="720"/>
    </row>
    <row r="37" spans="1:37">
      <c r="A37" s="675"/>
      <c r="B37" s="721"/>
      <c r="C37" s="722"/>
      <c r="D37" s="722"/>
      <c r="E37" s="722"/>
      <c r="F37" s="722"/>
      <c r="G37" s="723"/>
      <c r="H37" s="722"/>
      <c r="I37" s="722"/>
      <c r="J37" s="722"/>
      <c r="K37" s="722"/>
      <c r="L37" s="722"/>
      <c r="M37" s="722"/>
      <c r="N37" s="722"/>
      <c r="O37" s="722"/>
      <c r="P37" s="722"/>
      <c r="Q37" s="722"/>
      <c r="R37" s="722"/>
      <c r="S37" s="722"/>
      <c r="T37" s="722"/>
      <c r="U37" s="722"/>
      <c r="V37" s="724"/>
      <c r="W37" s="677"/>
    </row>
    <row r="38" spans="1:37">
      <c r="A38" s="675"/>
      <c r="B38" s="675"/>
      <c r="C38" s="686"/>
      <c r="D38" s="686"/>
      <c r="E38" s="686"/>
      <c r="F38" s="686"/>
      <c r="G38" s="687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77"/>
      <c r="W38" s="677"/>
    </row>
    <row r="39" spans="1:37">
      <c r="A39" s="675"/>
      <c r="B39" s="675"/>
      <c r="C39" s="686"/>
      <c r="D39" s="686"/>
      <c r="E39" s="686"/>
      <c r="F39" s="686"/>
      <c r="G39" s="687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77"/>
      <c r="W39" s="677"/>
    </row>
    <row r="40" spans="1:37">
      <c r="A40" s="675"/>
      <c r="B40" s="675"/>
      <c r="C40" s="686"/>
      <c r="D40" s="686"/>
      <c r="E40" s="686"/>
      <c r="F40" s="686"/>
      <c r="G40" s="687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77"/>
      <c r="W40" s="677"/>
    </row>
    <row r="41" spans="1:37">
      <c r="A41" s="675"/>
      <c r="B41" s="675"/>
      <c r="C41" s="686"/>
      <c r="D41" s="686"/>
      <c r="E41" s="686"/>
      <c r="F41" s="686"/>
      <c r="G41" s="687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77"/>
      <c r="W41" s="677"/>
    </row>
    <row r="42" spans="1:37">
      <c r="A42" s="675"/>
      <c r="B42" s="675"/>
      <c r="C42" s="686"/>
      <c r="D42" s="686"/>
      <c r="E42" s="686"/>
      <c r="F42" s="686"/>
      <c r="G42" s="687"/>
      <c r="H42" s="686"/>
      <c r="I42" s="686"/>
      <c r="J42" s="686"/>
      <c r="K42" s="686"/>
      <c r="L42" s="686"/>
      <c r="M42" s="686"/>
      <c r="N42" s="686"/>
      <c r="O42" s="686"/>
      <c r="P42" s="686"/>
      <c r="Q42" s="686"/>
      <c r="R42" s="686"/>
      <c r="S42" s="686"/>
      <c r="T42" s="686"/>
      <c r="U42" s="686"/>
      <c r="V42" s="677"/>
      <c r="W42" s="677"/>
    </row>
    <row r="43" spans="1:37">
      <c r="A43" s="675"/>
      <c r="B43" s="675"/>
      <c r="C43" s="686"/>
      <c r="D43" s="686"/>
      <c r="E43" s="686"/>
      <c r="F43" s="686"/>
      <c r="G43" s="687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6"/>
      <c r="U43" s="686"/>
      <c r="V43" s="677"/>
      <c r="W43" s="677"/>
    </row>
    <row r="44" spans="1:37">
      <c r="A44" s="675"/>
      <c r="B44" s="675"/>
      <c r="C44" s="686"/>
      <c r="D44" s="686"/>
      <c r="E44" s="686"/>
      <c r="F44" s="686"/>
      <c r="G44" s="687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77"/>
      <c r="W44" s="677"/>
    </row>
    <row r="45" spans="1:37">
      <c r="A45" s="675"/>
      <c r="B45" s="675"/>
      <c r="C45" s="686"/>
      <c r="D45" s="686"/>
      <c r="E45" s="686"/>
      <c r="F45" s="686"/>
      <c r="G45" s="687"/>
      <c r="H45" s="686"/>
      <c r="I45" s="686"/>
      <c r="J45" s="686"/>
      <c r="K45" s="686"/>
      <c r="L45" s="686"/>
      <c r="M45" s="686"/>
      <c r="N45" s="686"/>
      <c r="O45" s="686"/>
      <c r="P45" s="686"/>
      <c r="Q45" s="686"/>
      <c r="R45" s="686"/>
      <c r="S45" s="686"/>
      <c r="T45" s="686"/>
      <c r="U45" s="686"/>
      <c r="V45" s="677"/>
      <c r="W45" s="677"/>
    </row>
    <row r="46" spans="1:37">
      <c r="A46" s="675"/>
      <c r="B46" s="675"/>
      <c r="C46" s="686"/>
      <c r="D46" s="686"/>
      <c r="E46" s="686"/>
      <c r="F46" s="686"/>
      <c r="G46" s="687"/>
      <c r="H46" s="686"/>
      <c r="I46" s="686"/>
      <c r="J46" s="686"/>
      <c r="K46" s="686"/>
      <c r="L46" s="686"/>
      <c r="M46" s="686"/>
      <c r="N46" s="686"/>
      <c r="O46" s="686"/>
      <c r="P46" s="686"/>
      <c r="Q46" s="686"/>
      <c r="R46" s="686"/>
      <c r="S46" s="686"/>
      <c r="T46" s="686"/>
      <c r="U46" s="686"/>
      <c r="V46" s="677"/>
      <c r="W46" s="677"/>
    </row>
    <row r="47" ht="16.35" spans="1:37">
      <c r="A47" s="675"/>
      <c r="B47" s="725"/>
      <c r="C47" s="726"/>
      <c r="D47" s="726"/>
      <c r="E47" s="726"/>
      <c r="F47" s="726"/>
      <c r="G47" s="727"/>
      <c r="H47" s="726"/>
      <c r="I47" s="726"/>
      <c r="J47" s="726"/>
      <c r="K47" s="726"/>
      <c r="L47" s="726"/>
      <c r="M47" s="726"/>
      <c r="N47" s="726"/>
      <c r="O47" s="726"/>
      <c r="P47" s="726"/>
      <c r="Q47" s="726"/>
      <c r="R47" s="726"/>
      <c r="S47" s="726"/>
      <c r="T47" s="726"/>
      <c r="U47" s="726"/>
      <c r="V47" s="728"/>
      <c r="W47" s="677"/>
    </row>
    <row r="48" ht="5.1" customHeight="1" spans="1:37">
      <c r="A48" s="675"/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77"/>
    </row>
    <row r="49" s="667" customFormat="1" ht="18.15" spans="1:23">
      <c r="A49" s="711"/>
      <c r="B49" s="716" t="s">
        <v>453</v>
      </c>
      <c r="C49" s="717"/>
      <c r="D49" s="717"/>
      <c r="E49" s="717"/>
      <c r="F49" s="717"/>
      <c r="G49" s="717"/>
      <c r="H49" s="717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8"/>
      <c r="W49" s="713"/>
    </row>
    <row r="50" spans="1:23">
      <c r="A50" s="675"/>
      <c r="B50" s="721"/>
      <c r="C50" s="722"/>
      <c r="D50" s="722"/>
      <c r="E50" s="722"/>
      <c r="F50" s="722"/>
      <c r="G50" s="723"/>
      <c r="H50" s="722"/>
      <c r="I50" s="722"/>
      <c r="J50" s="722"/>
      <c r="K50" s="722"/>
      <c r="L50" s="722"/>
      <c r="M50" s="722"/>
      <c r="N50" s="722"/>
      <c r="O50" s="722"/>
      <c r="P50" s="722"/>
      <c r="Q50" s="722"/>
      <c r="R50" s="722"/>
      <c r="S50" s="722"/>
      <c r="T50" s="722"/>
      <c r="U50" s="722"/>
      <c r="V50" s="724"/>
      <c r="W50" s="677"/>
    </row>
    <row r="51" spans="1:23">
      <c r="A51" s="675"/>
      <c r="B51" s="675"/>
      <c r="C51" s="686"/>
      <c r="D51" s="686"/>
      <c r="E51" s="686"/>
      <c r="F51" s="686"/>
      <c r="G51" s="687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77"/>
      <c r="W51" s="677"/>
    </row>
    <row r="52" spans="1:23">
      <c r="A52" s="675"/>
      <c r="B52" s="675"/>
      <c r="C52" s="686"/>
      <c r="D52" s="686"/>
      <c r="E52" s="686"/>
      <c r="F52" s="686"/>
      <c r="G52" s="687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77"/>
      <c r="W52" s="677"/>
    </row>
    <row r="53" spans="1:23">
      <c r="A53" s="675"/>
      <c r="B53" s="675"/>
      <c r="C53" s="686"/>
      <c r="D53" s="686"/>
      <c r="E53" s="686"/>
      <c r="F53" s="686"/>
      <c r="G53" s="687"/>
      <c r="H53" s="686"/>
      <c r="I53" s="686"/>
      <c r="J53" s="686"/>
      <c r="K53" s="686"/>
      <c r="L53" s="686"/>
      <c r="M53" s="686"/>
      <c r="N53" s="686"/>
      <c r="O53" s="686"/>
      <c r="P53" s="686"/>
      <c r="Q53" s="686"/>
      <c r="R53" s="686"/>
      <c r="S53" s="686"/>
      <c r="T53" s="686"/>
      <c r="U53" s="686"/>
      <c r="V53" s="677"/>
      <c r="W53" s="677"/>
    </row>
    <row r="54" spans="1:23">
      <c r="A54" s="675"/>
      <c r="B54" s="675"/>
      <c r="C54" s="686"/>
      <c r="D54" s="686"/>
      <c r="E54" s="686"/>
      <c r="F54" s="686"/>
      <c r="G54" s="687"/>
      <c r="H54" s="686"/>
      <c r="I54" s="686"/>
      <c r="J54" s="686"/>
      <c r="K54" s="686"/>
      <c r="L54" s="686"/>
      <c r="M54" s="686"/>
      <c r="N54" s="686"/>
      <c r="O54" s="686"/>
      <c r="P54" s="686"/>
      <c r="Q54" s="686"/>
      <c r="R54" s="686"/>
      <c r="S54" s="686"/>
      <c r="T54" s="686"/>
      <c r="U54" s="686"/>
      <c r="V54" s="677"/>
      <c r="W54" s="677"/>
    </row>
    <row r="55" spans="1:23">
      <c r="A55" s="675"/>
      <c r="B55" s="675"/>
      <c r="C55" s="686"/>
      <c r="D55" s="686"/>
      <c r="E55" s="686"/>
      <c r="F55" s="686"/>
      <c r="G55" s="687"/>
      <c r="H55" s="686"/>
      <c r="I55" s="686"/>
      <c r="J55" s="686"/>
      <c r="K55" s="686"/>
      <c r="L55" s="686"/>
      <c r="M55" s="686"/>
      <c r="N55" s="686"/>
      <c r="O55" s="686"/>
      <c r="P55" s="686"/>
      <c r="Q55" s="686"/>
      <c r="R55" s="686"/>
      <c r="S55" s="686"/>
      <c r="T55" s="686"/>
      <c r="U55" s="686"/>
      <c r="V55" s="677"/>
      <c r="W55" s="677"/>
    </row>
    <row r="56" spans="1:23">
      <c r="A56" s="675"/>
      <c r="B56" s="675"/>
      <c r="C56" s="686"/>
      <c r="D56" s="686"/>
      <c r="E56" s="686"/>
      <c r="F56" s="686"/>
      <c r="G56" s="687"/>
      <c r="H56" s="686"/>
      <c r="I56" s="686"/>
      <c r="J56" s="686"/>
      <c r="K56" s="686"/>
      <c r="L56" s="686"/>
      <c r="M56" s="686"/>
      <c r="N56" s="686"/>
      <c r="O56" s="686"/>
      <c r="P56" s="686"/>
      <c r="Q56" s="686"/>
      <c r="R56" s="686"/>
      <c r="S56" s="686"/>
      <c r="T56" s="686"/>
      <c r="U56" s="686"/>
      <c r="V56" s="677"/>
      <c r="W56" s="677"/>
    </row>
    <row r="57" spans="1:23">
      <c r="A57" s="675"/>
      <c r="B57" s="675"/>
      <c r="C57" s="686"/>
      <c r="D57" s="686"/>
      <c r="E57" s="686"/>
      <c r="F57" s="686"/>
      <c r="G57" s="687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77"/>
      <c r="W57" s="677"/>
    </row>
    <row r="58" spans="1:23">
      <c r="A58" s="675"/>
      <c r="B58" s="675"/>
      <c r="C58" s="686"/>
      <c r="D58" s="686"/>
      <c r="E58" s="686"/>
      <c r="F58" s="686"/>
      <c r="G58" s="687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77"/>
      <c r="W58" s="677"/>
    </row>
    <row r="59" spans="1:23">
      <c r="A59" s="675"/>
      <c r="B59" s="675"/>
      <c r="C59" s="686"/>
      <c r="D59" s="686"/>
      <c r="E59" s="686"/>
      <c r="F59" s="686"/>
      <c r="G59" s="687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77"/>
      <c r="W59" s="677"/>
    </row>
    <row r="60" ht="16.35" spans="1:23">
      <c r="A60" s="675"/>
      <c r="B60" s="725"/>
      <c r="C60" s="726"/>
      <c r="D60" s="726"/>
      <c r="E60" s="726"/>
      <c r="F60" s="726"/>
      <c r="G60" s="727"/>
      <c r="H60" s="726"/>
      <c r="I60" s="726"/>
      <c r="J60" s="726"/>
      <c r="K60" s="726"/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8"/>
      <c r="W60" s="677"/>
    </row>
    <row r="61" ht="5.1" customHeight="1" spans="1:23">
      <c r="A61" s="675"/>
      <c r="B61" s="687"/>
      <c r="C61" s="687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687"/>
      <c r="S61" s="687"/>
      <c r="T61" s="687"/>
      <c r="U61" s="687"/>
      <c r="V61" s="687"/>
      <c r="W61" s="677"/>
    </row>
    <row r="62" s="667" customFormat="1" ht="18.15" spans="1:23">
      <c r="A62" s="711"/>
      <c r="B62" s="716" t="s">
        <v>454</v>
      </c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8"/>
      <c r="W62" s="713"/>
    </row>
    <row r="63" spans="1:23">
      <c r="A63" s="675"/>
      <c r="B63" s="721"/>
      <c r="C63" s="722"/>
      <c r="D63" s="722"/>
      <c r="E63" s="722"/>
      <c r="F63" s="722"/>
      <c r="G63" s="723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4"/>
      <c r="W63" s="677"/>
    </row>
    <row r="64" spans="1:23">
      <c r="A64" s="675"/>
      <c r="B64" s="675"/>
      <c r="C64" s="686"/>
      <c r="D64" s="686"/>
      <c r="E64" s="686"/>
      <c r="F64" s="686"/>
      <c r="G64" s="687"/>
      <c r="H64" s="686"/>
      <c r="I64" s="686"/>
      <c r="J64" s="686"/>
      <c r="K64" s="686"/>
      <c r="L64" s="686"/>
      <c r="M64" s="686"/>
      <c r="N64" s="686"/>
      <c r="O64" s="686"/>
      <c r="P64" s="686"/>
      <c r="Q64" s="686"/>
      <c r="R64" s="686"/>
      <c r="S64" s="686"/>
      <c r="T64" s="686"/>
      <c r="U64" s="686"/>
      <c r="V64" s="677"/>
      <c r="W64" s="677"/>
    </row>
    <row r="65" spans="1:23">
      <c r="A65" s="675"/>
      <c r="B65" s="675"/>
      <c r="C65" s="686"/>
      <c r="D65" s="686"/>
      <c r="E65" s="686"/>
      <c r="F65" s="686"/>
      <c r="G65" s="687"/>
      <c r="H65" s="686"/>
      <c r="I65" s="686"/>
      <c r="J65" s="686"/>
      <c r="K65" s="686"/>
      <c r="L65" s="686"/>
      <c r="M65" s="686"/>
      <c r="N65" s="686"/>
      <c r="O65" s="686"/>
      <c r="P65" s="686"/>
      <c r="Q65" s="686"/>
      <c r="R65" s="686"/>
      <c r="S65" s="686"/>
      <c r="T65" s="686"/>
      <c r="U65" s="686"/>
      <c r="V65" s="677"/>
      <c r="W65" s="677"/>
    </row>
    <row r="66" spans="1:23">
      <c r="A66" s="675"/>
      <c r="B66" s="675"/>
      <c r="C66" s="686"/>
      <c r="D66" s="686"/>
      <c r="E66" s="686"/>
      <c r="F66" s="686"/>
      <c r="G66" s="687"/>
      <c r="H66" s="686"/>
      <c r="I66" s="686"/>
      <c r="J66" s="686"/>
      <c r="K66" s="686"/>
      <c r="L66" s="686"/>
      <c r="M66" s="686"/>
      <c r="N66" s="686"/>
      <c r="O66" s="686"/>
      <c r="P66" s="686"/>
      <c r="Q66" s="686"/>
      <c r="R66" s="686"/>
      <c r="S66" s="686"/>
      <c r="T66" s="686"/>
      <c r="U66" s="686"/>
      <c r="V66" s="677"/>
      <c r="W66" s="677"/>
    </row>
    <row r="67" spans="1:23">
      <c r="A67" s="675"/>
      <c r="B67" s="675"/>
      <c r="C67" s="686"/>
      <c r="D67" s="686"/>
      <c r="E67" s="686"/>
      <c r="F67" s="686"/>
      <c r="G67" s="687"/>
      <c r="H67" s="686"/>
      <c r="I67" s="686"/>
      <c r="J67" s="686"/>
      <c r="K67" s="686"/>
      <c r="L67" s="686"/>
      <c r="M67" s="686"/>
      <c r="N67" s="686"/>
      <c r="O67" s="686"/>
      <c r="P67" s="686"/>
      <c r="Q67" s="686"/>
      <c r="R67" s="686"/>
      <c r="S67" s="686"/>
      <c r="T67" s="686"/>
      <c r="U67" s="686"/>
      <c r="V67" s="677"/>
      <c r="W67" s="677"/>
    </row>
    <row r="68" spans="1:23">
      <c r="A68" s="675"/>
      <c r="B68" s="675"/>
      <c r="C68" s="686"/>
      <c r="D68" s="686"/>
      <c r="E68" s="686"/>
      <c r="F68" s="686"/>
      <c r="G68" s="687"/>
      <c r="H68" s="686"/>
      <c r="I68" s="686"/>
      <c r="J68" s="686"/>
      <c r="K68" s="686"/>
      <c r="L68" s="686"/>
      <c r="M68" s="686"/>
      <c r="N68" s="686"/>
      <c r="O68" s="686"/>
      <c r="P68" s="686"/>
      <c r="Q68" s="686"/>
      <c r="R68" s="686"/>
      <c r="S68" s="686"/>
      <c r="T68" s="686"/>
      <c r="U68" s="686"/>
      <c r="V68" s="677"/>
      <c r="W68" s="677"/>
    </row>
    <row r="69" spans="1:23">
      <c r="A69" s="675"/>
      <c r="B69" s="675"/>
      <c r="C69" s="686"/>
      <c r="D69" s="686"/>
      <c r="E69" s="686"/>
      <c r="F69" s="686"/>
      <c r="G69" s="687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77"/>
      <c r="W69" s="677"/>
    </row>
    <row r="70" spans="1:23">
      <c r="A70" s="675"/>
      <c r="B70" s="675"/>
      <c r="C70" s="686"/>
      <c r="D70" s="686"/>
      <c r="E70" s="686"/>
      <c r="F70" s="686"/>
      <c r="G70" s="687"/>
      <c r="H70" s="686"/>
      <c r="I70" s="686"/>
      <c r="J70" s="686"/>
      <c r="K70" s="686"/>
      <c r="L70" s="686"/>
      <c r="M70" s="686"/>
      <c r="N70" s="686"/>
      <c r="O70" s="686"/>
      <c r="P70" s="686"/>
      <c r="Q70" s="686"/>
      <c r="R70" s="686"/>
      <c r="S70" s="686"/>
      <c r="T70" s="686"/>
      <c r="U70" s="686"/>
      <c r="V70" s="677"/>
      <c r="W70" s="677"/>
    </row>
    <row r="71" spans="1:23">
      <c r="A71" s="675"/>
      <c r="B71" s="675"/>
      <c r="C71" s="686"/>
      <c r="D71" s="686"/>
      <c r="E71" s="686"/>
      <c r="F71" s="686"/>
      <c r="G71" s="687"/>
      <c r="H71" s="686"/>
      <c r="I71" s="686"/>
      <c r="J71" s="686"/>
      <c r="K71" s="686"/>
      <c r="L71" s="686"/>
      <c r="M71" s="686"/>
      <c r="N71" s="686"/>
      <c r="O71" s="686"/>
      <c r="P71" s="686"/>
      <c r="Q71" s="686"/>
      <c r="R71" s="686"/>
      <c r="S71" s="686"/>
      <c r="T71" s="686"/>
      <c r="U71" s="686"/>
      <c r="V71" s="677"/>
      <c r="W71" s="677"/>
    </row>
    <row r="72" spans="1:23">
      <c r="A72" s="675"/>
      <c r="B72" s="675"/>
      <c r="C72" s="686"/>
      <c r="D72" s="686"/>
      <c r="E72" s="686"/>
      <c r="F72" s="686"/>
      <c r="G72" s="687"/>
      <c r="H72" s="686"/>
      <c r="I72" s="686"/>
      <c r="J72" s="686"/>
      <c r="K72" s="686"/>
      <c r="L72" s="686"/>
      <c r="M72" s="686"/>
      <c r="N72" s="686"/>
      <c r="O72" s="686"/>
      <c r="P72" s="686"/>
      <c r="Q72" s="686"/>
      <c r="R72" s="686"/>
      <c r="S72" s="686"/>
      <c r="T72" s="686"/>
      <c r="U72" s="686"/>
      <c r="V72" s="677"/>
      <c r="W72" s="677"/>
    </row>
    <row r="73" ht="16.35" spans="1:23">
      <c r="A73" s="675"/>
      <c r="B73" s="725"/>
      <c r="C73" s="726"/>
      <c r="D73" s="726"/>
      <c r="E73" s="726"/>
      <c r="F73" s="726"/>
      <c r="G73" s="727"/>
      <c r="H73" s="726"/>
      <c r="I73" s="726"/>
      <c r="J73" s="726"/>
      <c r="K73" s="726"/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8"/>
      <c r="W73" s="677"/>
    </row>
    <row r="74" spans="1:23">
      <c r="A74" s="675"/>
      <c r="B74" s="729" t="s">
        <v>455</v>
      </c>
      <c r="C74" s="729"/>
      <c r="D74" s="729"/>
      <c r="E74" s="729"/>
      <c r="F74" s="729"/>
      <c r="G74" s="729"/>
      <c r="H74" s="729"/>
      <c r="I74" s="729"/>
      <c r="J74" s="729"/>
      <c r="K74" s="729"/>
      <c r="L74" s="729"/>
      <c r="M74" s="729"/>
      <c r="N74" s="729"/>
      <c r="O74" s="729"/>
      <c r="P74" s="729"/>
      <c r="Q74" s="729"/>
      <c r="R74" s="729"/>
      <c r="S74" s="729"/>
      <c r="T74" s="729"/>
      <c r="U74" s="729"/>
      <c r="V74" s="729"/>
      <c r="W74" s="677"/>
    </row>
    <row r="75" spans="1:23">
      <c r="A75" s="675"/>
      <c r="B75" s="687"/>
      <c r="C75" s="687"/>
      <c r="D75" s="687"/>
      <c r="E75" s="687"/>
      <c r="F75" s="687"/>
      <c r="G75" s="687"/>
      <c r="H75" s="687"/>
      <c r="I75" s="687"/>
      <c r="J75" s="687"/>
      <c r="K75" s="687"/>
      <c r="L75" s="687"/>
      <c r="M75" s="687"/>
      <c r="N75" s="687"/>
      <c r="O75" s="687"/>
      <c r="P75" s="687"/>
      <c r="Q75" s="687"/>
      <c r="R75" s="687"/>
      <c r="S75" s="687"/>
      <c r="T75" s="687"/>
      <c r="U75" s="687"/>
      <c r="V75" s="687"/>
      <c r="W75" s="677"/>
    </row>
    <row r="76" spans="1:23">
      <c r="A76" s="675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77"/>
    </row>
    <row r="77" spans="1:23">
      <c r="A77" s="675"/>
      <c r="B77" s="686"/>
      <c r="C77" s="686"/>
      <c r="D77" s="686"/>
      <c r="E77" s="686"/>
      <c r="F77" s="686"/>
      <c r="G77" s="687"/>
      <c r="H77" s="686"/>
      <c r="I77" s="686"/>
      <c r="J77" s="686"/>
      <c r="K77" s="686"/>
      <c r="L77" s="686"/>
      <c r="M77" s="686"/>
      <c r="N77" s="686"/>
      <c r="O77" s="686"/>
      <c r="P77" s="686"/>
      <c r="Q77" s="686"/>
      <c r="R77" s="686"/>
      <c r="S77" s="686"/>
      <c r="T77" s="686"/>
      <c r="U77" s="686"/>
      <c r="V77" s="686"/>
      <c r="W77" s="677"/>
    </row>
    <row r="78" spans="1:23">
      <c r="A78" s="675"/>
      <c r="B78" s="686"/>
      <c r="C78" s="686"/>
      <c r="D78" s="686"/>
      <c r="E78" s="686"/>
      <c r="F78" s="686"/>
      <c r="G78" s="687"/>
      <c r="H78" s="686"/>
      <c r="I78" s="686"/>
      <c r="J78" s="686"/>
      <c r="K78" s="686"/>
      <c r="L78" s="686"/>
      <c r="M78" s="686"/>
      <c r="N78" s="686"/>
      <c r="O78" s="686"/>
      <c r="P78" s="686"/>
      <c r="Q78" s="686"/>
      <c r="R78" s="686"/>
      <c r="S78" s="686"/>
      <c r="T78" s="686"/>
      <c r="U78" s="686"/>
      <c r="V78" s="686"/>
      <c r="W78" s="677"/>
    </row>
    <row r="79" spans="1:23">
      <c r="A79" s="675"/>
      <c r="B79" s="730" t="s">
        <v>456</v>
      </c>
      <c r="C79" s="730"/>
      <c r="D79" s="730"/>
      <c r="E79" s="730"/>
      <c r="F79" s="730"/>
      <c r="G79" s="729"/>
      <c r="H79" s="730" t="s">
        <v>456</v>
      </c>
      <c r="I79" s="730"/>
      <c r="J79" s="730"/>
      <c r="K79" s="730"/>
      <c r="L79" s="730"/>
      <c r="M79" s="730"/>
      <c r="N79" s="730"/>
      <c r="O79" s="730"/>
      <c r="P79" s="730"/>
      <c r="Q79" s="730"/>
      <c r="R79" s="730"/>
      <c r="S79" s="730"/>
      <c r="T79" s="730"/>
      <c r="U79" s="730"/>
      <c r="V79" s="730"/>
      <c r="W79" s="677"/>
    </row>
    <row r="80" spans="1:23">
      <c r="A80" s="675"/>
      <c r="B80" s="731" t="s">
        <v>465</v>
      </c>
      <c r="C80" s="731"/>
      <c r="D80" s="731"/>
      <c r="E80" s="731"/>
      <c r="F80" s="730"/>
      <c r="G80" s="729"/>
      <c r="H80" s="731" t="s">
        <v>458</v>
      </c>
      <c r="I80" s="731"/>
      <c r="J80" s="731"/>
      <c r="K80" s="731"/>
      <c r="L80" s="731"/>
      <c r="M80" s="730"/>
      <c r="N80" s="730"/>
      <c r="O80" s="730"/>
      <c r="P80" s="731" t="s">
        <v>434</v>
      </c>
      <c r="Q80" s="731"/>
      <c r="R80" s="731"/>
      <c r="S80" s="731"/>
      <c r="T80" s="731"/>
      <c r="U80" s="731"/>
      <c r="V80" s="731"/>
      <c r="W80" s="677"/>
    </row>
    <row r="81" ht="16.35" spans="1:23">
      <c r="A81" s="725"/>
      <c r="B81" s="732" t="str">
        <f>"-"&amp;PROPER(ENTRY!$D$31)&amp;"-"</f>
        <v>--</v>
      </c>
      <c r="C81" s="732"/>
      <c r="D81" s="732"/>
      <c r="E81" s="732"/>
      <c r="F81" s="726"/>
      <c r="G81" s="727"/>
      <c r="H81" s="732" t="str">
        <f>"-"&amp;PROPER(ENTRY!$D$13)&amp;"-"</f>
        <v>-Devender Singh-</v>
      </c>
      <c r="I81" s="732"/>
      <c r="J81" s="732"/>
      <c r="K81" s="732"/>
      <c r="L81" s="732"/>
      <c r="M81" s="726"/>
      <c r="N81" s="726"/>
      <c r="O81" s="726"/>
      <c r="P81" s="732" t="str">
        <f>"-"&amp;PROPER(ENTRY!$D$12)&amp;"-"</f>
        <v>-Shambhu Dayal Meena-</v>
      </c>
      <c r="Q81" s="732"/>
      <c r="R81" s="732"/>
      <c r="S81" s="732"/>
      <c r="T81" s="732"/>
      <c r="U81" s="732"/>
      <c r="V81" s="732"/>
      <c r="W81" s="728"/>
    </row>
  </sheetData>
  <sheetProtection password="BF6F" sheet="1" formatCells="0" formatColumns="0" formatRows="0" objects="1" scenarios="1"/>
  <mergeCells count="99">
    <mergeCell ref="E1:Q1"/>
    <mergeCell ref="E2:Q2"/>
    <mergeCell ref="E3:Q3"/>
    <mergeCell ref="E4:Q4"/>
    <mergeCell ref="E5:Q5"/>
    <mergeCell ref="B6:V6"/>
    <mergeCell ref="B7:D7"/>
    <mergeCell ref="E7:V7"/>
    <mergeCell ref="B8:C8"/>
    <mergeCell ref="D8:F8"/>
    <mergeCell ref="G8:H8"/>
    <mergeCell ref="I8:J8"/>
    <mergeCell ref="M8:N8"/>
    <mergeCell ref="O8:V8"/>
    <mergeCell ref="B9:D9"/>
    <mergeCell ref="E9:L9"/>
    <mergeCell ref="M9:O9"/>
    <mergeCell ref="P9:V9"/>
    <mergeCell ref="B10:E10"/>
    <mergeCell ref="F10:L10"/>
    <mergeCell ref="M10:O10"/>
    <mergeCell ref="P10:V10"/>
    <mergeCell ref="B12:V12"/>
    <mergeCell ref="H13:L13"/>
    <mergeCell ref="M13:Q13"/>
    <mergeCell ref="R13:V13"/>
    <mergeCell ref="AA13:AK13"/>
    <mergeCell ref="AA21:AK21"/>
    <mergeCell ref="AA29:AK29"/>
    <mergeCell ref="B35:V35"/>
    <mergeCell ref="B36:V36"/>
    <mergeCell ref="B48:V48"/>
    <mergeCell ref="B49:V49"/>
    <mergeCell ref="B61:V61"/>
    <mergeCell ref="B62:V62"/>
    <mergeCell ref="B74:V74"/>
    <mergeCell ref="B79:E79"/>
    <mergeCell ref="H79:L79"/>
    <mergeCell ref="B80:E80"/>
    <mergeCell ref="H80:L80"/>
    <mergeCell ref="P80:V80"/>
    <mergeCell ref="B81:E81"/>
    <mergeCell ref="H81:L81"/>
    <mergeCell ref="P81:V81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</mergeCells>
  <conditionalFormatting sqref="H15:V34">
    <cfRule type="expression" dxfId="3" priority="1">
      <formula>ISNA(H15)</formula>
    </cfRule>
  </conditionalFormatting>
  <pageMargins left="0.23" right="0.21" top="0.22" bottom="0.25" header="0.13" footer="0.17"/>
  <pageSetup paperSize="9" scale="62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81"/>
  <sheetViews>
    <sheetView workbookViewId="0">
      <selection activeCell="C13" sqref="C13:C14"/>
    </sheetView>
  </sheetViews>
  <sheetFormatPr defaultColWidth="9.13888888888889" defaultRowHeight="15.6"/>
  <cols>
    <col min="1" max="1" width="0.861111111111111" style="668" customWidth="1"/>
    <col min="2" max="2" width="5.57407407407407" style="668" customWidth="1"/>
    <col min="3" max="3" width="15.287037037037" style="668" customWidth="1"/>
    <col min="4" max="4" width="10.5740740740741" style="668" customWidth="1"/>
    <col min="5" max="6" width="10.287037037037" style="668" customWidth="1"/>
    <col min="7" max="7" width="7" style="666" customWidth="1"/>
    <col min="8" max="22" width="6.71296296296296" style="668" customWidth="1"/>
    <col min="23" max="23" width="0.861111111111111" style="668" customWidth="1"/>
    <col min="24" max="26" width="9.13888888888889" style="668"/>
    <col min="27" max="27" width="14" style="668" customWidth="1"/>
    <col min="28" max="37" width="11.712962962963" style="668" customWidth="1"/>
    <col min="38" max="16384" width="9.13888888888889" style="668"/>
  </cols>
  <sheetData>
    <row r="1" ht="24.6" spans="1:37">
      <c r="E1" s="669" t="str">
        <f>ENTRY!$D$3</f>
        <v>MUNICIPAL CORPORATION OF DELHI</v>
      </c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</row>
    <row r="2" ht="20.4" spans="1:37">
      <c r="E2" s="670" t="str">
        <f>ENTRY!$D$4</f>
        <v>EDUCATION DEPARTMENT</v>
      </c>
      <c r="F2" s="670"/>
      <c r="G2" s="670"/>
      <c r="H2" s="670"/>
      <c r="I2" s="670"/>
      <c r="J2" s="670"/>
      <c r="K2" s="670"/>
      <c r="L2" s="670"/>
      <c r="M2" s="670"/>
      <c r="N2" s="670"/>
      <c r="O2" s="670"/>
      <c r="P2" s="670"/>
      <c r="Q2" s="670"/>
    </row>
    <row r="3" ht="22.8" spans="1:37">
      <c r="E3" s="664" t="s">
        <v>459</v>
      </c>
      <c r="F3" s="664"/>
      <c r="G3" s="664"/>
      <c r="H3" s="664"/>
      <c r="I3" s="664"/>
      <c r="J3" s="664"/>
      <c r="K3" s="664"/>
      <c r="L3" s="664"/>
      <c r="M3" s="664"/>
      <c r="N3" s="664"/>
      <c r="O3" s="664"/>
      <c r="P3" s="664"/>
      <c r="Q3" s="664"/>
    </row>
    <row r="4" ht="22.8" spans="1:37">
      <c r="E4" s="664" t="s">
        <v>466</v>
      </c>
      <c r="F4" s="664"/>
      <c r="G4" s="664"/>
      <c r="H4" s="664"/>
      <c r="I4" s="664"/>
      <c r="J4" s="664"/>
      <c r="K4" s="664"/>
      <c r="L4" s="664"/>
      <c r="M4" s="664"/>
      <c r="N4" s="664"/>
      <c r="O4" s="664"/>
      <c r="P4" s="664"/>
      <c r="Q4" s="664"/>
    </row>
    <row r="5" ht="24.75" customHeight="1" spans="1:37">
      <c r="E5" s="671" t="str">
        <f>"SESSION : "&amp;ENTRY!$D$11</f>
        <v>SESSION : 2026-27</v>
      </c>
      <c r="F5" s="671"/>
      <c r="G5" s="671"/>
      <c r="H5" s="671"/>
      <c r="I5" s="671"/>
      <c r="J5" s="671"/>
      <c r="K5" s="671"/>
      <c r="L5" s="671"/>
      <c r="M5" s="671"/>
      <c r="N5" s="671"/>
      <c r="O5" s="671"/>
      <c r="P5" s="671"/>
      <c r="Q5" s="671"/>
    </row>
    <row r="6" ht="5.1" customHeight="1" spans="1:37">
      <c r="A6" s="672"/>
      <c r="B6" s="673"/>
      <c r="C6" s="673"/>
      <c r="D6" s="673"/>
      <c r="E6" s="673"/>
      <c r="F6" s="673"/>
      <c r="G6" s="673"/>
      <c r="H6" s="673"/>
      <c r="I6" s="673"/>
      <c r="J6" s="673"/>
      <c r="K6" s="673"/>
      <c r="L6" s="673"/>
      <c r="M6" s="673"/>
      <c r="N6" s="673"/>
      <c r="O6" s="673"/>
      <c r="P6" s="673"/>
      <c r="Q6" s="673"/>
      <c r="R6" s="673"/>
      <c r="S6" s="673"/>
      <c r="T6" s="673"/>
      <c r="U6" s="673"/>
      <c r="V6" s="673"/>
      <c r="W6" s="674"/>
    </row>
    <row r="7" ht="18" customHeight="1" spans="1:37">
      <c r="A7" s="675"/>
      <c r="B7" s="676" t="s">
        <v>419</v>
      </c>
      <c r="C7" s="676"/>
      <c r="D7" s="676"/>
      <c r="E7" s="676" t="str">
        <f>ENTRY!$D$6</f>
        <v>MCP NITHARI NO 1 BOYS</v>
      </c>
      <c r="F7" s="676"/>
      <c r="G7" s="676"/>
      <c r="H7" s="676"/>
      <c r="I7" s="676"/>
      <c r="J7" s="676"/>
      <c r="K7" s="676"/>
      <c r="L7" s="676"/>
      <c r="M7" s="676"/>
      <c r="N7" s="676"/>
      <c r="O7" s="676"/>
      <c r="P7" s="676"/>
      <c r="Q7" s="676"/>
      <c r="R7" s="676"/>
      <c r="S7" s="676"/>
      <c r="T7" s="676"/>
      <c r="U7" s="676"/>
      <c r="V7" s="676"/>
      <c r="W7" s="677"/>
    </row>
    <row r="8" ht="18" customHeight="1" spans="1:37">
      <c r="A8" s="675"/>
      <c r="B8" s="678" t="s">
        <v>437</v>
      </c>
      <c r="C8" s="679"/>
      <c r="D8" s="679">
        <f>ENTRY!$D$7</f>
        <v>0</v>
      </c>
      <c r="E8" s="679"/>
      <c r="F8" s="680"/>
      <c r="G8" s="678" t="s">
        <v>438</v>
      </c>
      <c r="H8" s="679"/>
      <c r="I8" s="681">
        <f>ENTRY!$D$10</f>
        <v>40</v>
      </c>
      <c r="J8" s="681"/>
      <c r="K8" s="682"/>
      <c r="L8" s="683"/>
      <c r="M8" s="678" t="s">
        <v>439</v>
      </c>
      <c r="N8" s="679"/>
      <c r="O8" s="684" t="str">
        <f>ENTRY!$D$5</f>
        <v>ROHINI ZONE</v>
      </c>
      <c r="P8" s="684"/>
      <c r="Q8" s="684"/>
      <c r="R8" s="684"/>
      <c r="S8" s="684"/>
      <c r="T8" s="684"/>
      <c r="U8" s="684"/>
      <c r="V8" s="685"/>
      <c r="W8" s="677"/>
    </row>
    <row r="9" ht="18" customHeight="1" spans="1:37">
      <c r="A9" s="675"/>
      <c r="B9" s="678" t="s">
        <v>461</v>
      </c>
      <c r="C9" s="679"/>
      <c r="D9" s="679"/>
      <c r="E9" s="678" t="str">
        <f>ENTRY!$D$12</f>
        <v>SHAMBHU DAYAL MEENA</v>
      </c>
      <c r="F9" s="679"/>
      <c r="G9" s="679"/>
      <c r="H9" s="679"/>
      <c r="I9" s="679"/>
      <c r="J9" s="679"/>
      <c r="K9" s="679"/>
      <c r="L9" s="680"/>
      <c r="M9" s="678" t="s">
        <v>443</v>
      </c>
      <c r="N9" s="679"/>
      <c r="O9" s="679"/>
      <c r="P9" s="679">
        <f>ENTRY!$D$33</f>
        <v>0</v>
      </c>
      <c r="Q9" s="679"/>
      <c r="R9" s="679"/>
      <c r="S9" s="679"/>
      <c r="T9" s="679"/>
      <c r="U9" s="679"/>
      <c r="V9" s="680"/>
      <c r="W9" s="677"/>
    </row>
    <row r="10" ht="18" customHeight="1" spans="1:37">
      <c r="A10" s="675"/>
      <c r="B10" s="678" t="s">
        <v>462</v>
      </c>
      <c r="C10" s="679"/>
      <c r="D10" s="679"/>
      <c r="E10" s="680"/>
      <c r="F10" s="679">
        <f>ENTRY!$D$31</f>
        <v>0</v>
      </c>
      <c r="G10" s="679"/>
      <c r="H10" s="679"/>
      <c r="I10" s="679"/>
      <c r="J10" s="679"/>
      <c r="K10" s="679"/>
      <c r="L10" s="680"/>
      <c r="M10" s="678" t="s">
        <v>443</v>
      </c>
      <c r="N10" s="679"/>
      <c r="O10" s="679"/>
      <c r="P10" s="679">
        <f>ENTRY!$D$32</f>
        <v>0</v>
      </c>
      <c r="Q10" s="679"/>
      <c r="R10" s="679"/>
      <c r="S10" s="679"/>
      <c r="T10" s="679"/>
      <c r="U10" s="679"/>
      <c r="V10" s="680"/>
      <c r="W10" s="677"/>
    </row>
    <row r="11" spans="1:37">
      <c r="A11" s="675"/>
      <c r="B11" s="686"/>
      <c r="C11" s="686"/>
      <c r="D11" s="686"/>
      <c r="E11" s="686"/>
      <c r="F11" s="686"/>
      <c r="G11" s="687"/>
      <c r="H11" s="686"/>
      <c r="I11" s="686"/>
      <c r="J11" s="686"/>
      <c r="K11" s="686"/>
      <c r="L11" s="686"/>
      <c r="M11" s="686"/>
      <c r="N11" s="686"/>
      <c r="O11" s="686"/>
      <c r="P11" s="686"/>
      <c r="Q11" s="686"/>
      <c r="R11" s="686"/>
      <c r="S11" s="686"/>
      <c r="T11" s="686"/>
      <c r="U11" s="686"/>
      <c r="V11" s="686"/>
      <c r="W11" s="677"/>
    </row>
    <row r="12" s="664" customFormat="1" ht="32.1" customHeight="1" spans="1:37">
      <c r="A12" s="688"/>
      <c r="B12" s="689" t="s">
        <v>467</v>
      </c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689"/>
      <c r="O12" s="689"/>
      <c r="P12" s="689"/>
      <c r="Q12" s="689"/>
      <c r="R12" s="689"/>
      <c r="S12" s="689"/>
      <c r="T12" s="689"/>
      <c r="U12" s="689"/>
      <c r="V12" s="689"/>
      <c r="W12" s="690"/>
    </row>
    <row r="13" s="665" customFormat="1" ht="27.95" customHeight="1" spans="1:37">
      <c r="A13" s="691"/>
      <c r="B13" s="692">
        <v>10</v>
      </c>
      <c r="C13" s="693" t="s">
        <v>427</v>
      </c>
      <c r="D13" s="693" t="s">
        <v>445</v>
      </c>
      <c r="E13" s="693" t="s">
        <v>446</v>
      </c>
      <c r="F13" s="693" t="s">
        <v>447</v>
      </c>
      <c r="G13" s="694" t="s">
        <v>448</v>
      </c>
      <c r="H13" s="695" t="s">
        <v>87</v>
      </c>
      <c r="I13" s="695"/>
      <c r="J13" s="695"/>
      <c r="K13" s="695"/>
      <c r="L13" s="695"/>
      <c r="M13" s="695" t="s">
        <v>88</v>
      </c>
      <c r="N13" s="695"/>
      <c r="O13" s="695"/>
      <c r="P13" s="695"/>
      <c r="Q13" s="695"/>
      <c r="R13" s="695" t="s">
        <v>89</v>
      </c>
      <c r="S13" s="695"/>
      <c r="T13" s="695"/>
      <c r="U13" s="695"/>
      <c r="V13" s="695"/>
      <c r="W13" s="696"/>
      <c r="AA13" s="695" t="s">
        <v>87</v>
      </c>
      <c r="AB13" s="695"/>
      <c r="AC13" s="695"/>
      <c r="AD13" s="695"/>
      <c r="AE13" s="695"/>
      <c r="AF13" s="695"/>
      <c r="AG13" s="695"/>
      <c r="AH13" s="695"/>
      <c r="AI13" s="695"/>
      <c r="AJ13" s="695"/>
      <c r="AK13" s="695"/>
    </row>
    <row r="14" s="666" customFormat="1" ht="27.95" customHeight="1" spans="1:37">
      <c r="A14" s="697"/>
      <c r="B14" s="692"/>
      <c r="C14" s="698"/>
      <c r="D14" s="698"/>
      <c r="E14" s="698"/>
      <c r="F14" s="698"/>
      <c r="G14" s="694" t="s">
        <v>449</v>
      </c>
      <c r="H14" s="699" t="s">
        <v>96</v>
      </c>
      <c r="I14" s="699" t="s">
        <v>97</v>
      </c>
      <c r="J14" s="699" t="s">
        <v>98</v>
      </c>
      <c r="K14" s="699" t="s">
        <v>99</v>
      </c>
      <c r="L14" s="699" t="s">
        <v>100</v>
      </c>
      <c r="M14" s="699" t="s">
        <v>96</v>
      </c>
      <c r="N14" s="699" t="s">
        <v>97</v>
      </c>
      <c r="O14" s="699" t="s">
        <v>98</v>
      </c>
      <c r="P14" s="699" t="s">
        <v>99</v>
      </c>
      <c r="Q14" s="699" t="s">
        <v>100</v>
      </c>
      <c r="R14" s="699" t="s">
        <v>96</v>
      </c>
      <c r="S14" s="699" t="s">
        <v>97</v>
      </c>
      <c r="T14" s="699" t="s">
        <v>98</v>
      </c>
      <c r="U14" s="699" t="s">
        <v>99</v>
      </c>
      <c r="V14" s="699" t="s">
        <v>100</v>
      </c>
      <c r="W14" s="700"/>
      <c r="AA14" s="699" t="s">
        <v>450</v>
      </c>
      <c r="AB14" s="699" t="str">
        <f>$C$15</f>
        <v>30.04.2026</v>
      </c>
      <c r="AC14" s="699" t="str">
        <f>$C$17</f>
        <v>08.05.2026</v>
      </c>
      <c r="AD14" s="699" t="str">
        <f>$C$19</f>
        <v>15.07.2026</v>
      </c>
      <c r="AE14" s="699" t="str">
        <f>$C$21</f>
        <v>31.07.2026</v>
      </c>
      <c r="AF14" s="699" t="str">
        <f>$C$23</f>
        <v>17.08.2026</v>
      </c>
      <c r="AG14" s="699" t="str">
        <f>$C$25</f>
        <v>31.08.2026</v>
      </c>
      <c r="AH14" s="699">
        <f>$C$27</f>
        <v>0</v>
      </c>
      <c r="AI14" s="699">
        <f>$C$29</f>
        <v>0</v>
      </c>
      <c r="AJ14" s="699">
        <f>$C$31</f>
        <v>0</v>
      </c>
      <c r="AK14" s="699">
        <f>$C$33</f>
        <v>0</v>
      </c>
    </row>
    <row r="15" spans="1:37">
      <c r="A15" s="675"/>
      <c r="B15" s="701">
        <v>1</v>
      </c>
      <c r="C15" s="702" t="str">
        <f>IFERROR(VLOOKUP(B15,DATEWISE!$A$3:$BY$27,2,0),0)</f>
        <v>30.04.2026</v>
      </c>
      <c r="D15" s="702">
        <f>IFERROR(VLOOKUP(C15,DATEWISE!$B$3:$BY$27,29,0),0)</f>
        <v>687</v>
      </c>
      <c r="E15" s="702">
        <f>IFERROR(VLOOKUP(C15,DATEWISE!$B$3:$BY$27,30,0),0)</f>
        <v>3</v>
      </c>
      <c r="F15" s="702">
        <f>IFERROR(VLOOKUP(C15,DATEWISE!$B$3:$BY$27,31,0),0)</f>
        <v>684</v>
      </c>
      <c r="G15" s="703" t="str">
        <f>IF(B15="","",IF(B15&gt;0,"NUM",""))</f>
        <v>NUM</v>
      </c>
      <c r="H15" s="702">
        <f>IFERROR(VLOOKUP(C15&amp;$H$13,DATEWISE!$AG$3:$BY$27,2,0),0)</f>
        <v>12</v>
      </c>
      <c r="I15" s="702">
        <f>IFERROR(VLOOKUP(C15&amp;$H$13,DATEWISE!$AG$3:$BY$27,3,0),0)</f>
        <v>106</v>
      </c>
      <c r="J15" s="702">
        <f>IFERROR(VLOOKUP(C15&amp;$H$13,DATEWISE!$AG$3:$BY$27,4,0),0)</f>
        <v>388</v>
      </c>
      <c r="K15" s="702">
        <f>IFERROR(VLOOKUP(C15&amp;$H$13,DATEWISE!$AG$3:$BY$27,5,0),0)</f>
        <v>155</v>
      </c>
      <c r="L15" s="702">
        <f>IFERROR(VLOOKUP(C15&amp;$H$13,DATEWISE!$AG$3:$BY$27,6,0),0)</f>
        <v>23</v>
      </c>
      <c r="M15" s="702">
        <f>IFERROR(VLOOKUP(C15&amp;$M$13,DATEWISE!$AN$3:$BY$27,2,0),0)</f>
        <v>12</v>
      </c>
      <c r="N15" s="702">
        <f>IFERROR(VLOOKUP(C15&amp;$M$13,DATEWISE!$AN$3:$BY$27,3,0),0)</f>
        <v>96</v>
      </c>
      <c r="O15" s="702">
        <f>IFERROR(VLOOKUP(C15&amp;$M$13,DATEWISE!$AN$3:$BY$27,4,0),0)</f>
        <v>384</v>
      </c>
      <c r="P15" s="702">
        <f>IFERROR(VLOOKUP(C15&amp;$M$13,DATEWISE!$AN$3:$BY$27,5,0),0)</f>
        <v>169</v>
      </c>
      <c r="Q15" s="702">
        <f>IFERROR(VLOOKUP(C15&amp;$M$13,DATEWISE!$AN$3:$BY$27,6,0),0)</f>
        <v>23</v>
      </c>
      <c r="R15" s="702">
        <f>IFERROR(VLOOKUP(C15&amp;$R$13,DATEWISE!$AU$3:$BY$27,2,0),0)</f>
        <v>12</v>
      </c>
      <c r="S15" s="702">
        <f>IFERROR(VLOOKUP(C15&amp;$R$13,DATEWISE!$AU$3:$BY$27,3,0),0)</f>
        <v>138</v>
      </c>
      <c r="T15" s="702">
        <f>IFERROR(VLOOKUP(C15&amp;$R$13,DATEWISE!$AU$3:$BY$27,4,0),0)</f>
        <v>374</v>
      </c>
      <c r="U15" s="702">
        <f>IFERROR(VLOOKUP(C15&amp;$R$13,DATEWISE!$AU$3:$BY$27,5,0),0)</f>
        <v>137</v>
      </c>
      <c r="V15" s="702">
        <f>IFERROR(VLOOKUP(C15&amp;$R$13,DATEWISE!$AU$3:$BY$27,6,0),0)</f>
        <v>23</v>
      </c>
      <c r="W15" s="677"/>
      <c r="AA15" s="704" t="s">
        <v>96</v>
      </c>
      <c r="AB15" s="705">
        <f t="array" ref="AB15:AB19">TRANSPOSE(H16:L16)</f>
        <v>1.75438596491228</v>
      </c>
      <c r="AC15" s="705">
        <f t="array" ref="AC15:AC19">TRANSPOSE(H18:L18)</f>
        <v>1.68776371308017</v>
      </c>
      <c r="AD15" s="705">
        <f t="array" ref="AD15:AD19">TRANSPOSE(H20:L20)</f>
        <v>1.19047619047619</v>
      </c>
      <c r="AE15" s="705">
        <f t="array" ref="AE15:AE19">TRANSPOSE(H22:L22)</f>
        <v>1.15681233933162</v>
      </c>
      <c r="AF15" s="705" t="e">
        <f t="array" ref="AF15:AF19">TRANSPOSE(H24:L24)</f>
        <v>#N/A</v>
      </c>
      <c r="AG15" s="705" t="e">
        <f t="array" ref="AG15:AG19">TRANSPOSE(H26:L26)</f>
        <v>#N/A</v>
      </c>
      <c r="AH15" s="705" t="e">
        <f t="array" ref="AH15:AH19">TRANSPOSE(H28:L28)</f>
        <v>#N/A</v>
      </c>
      <c r="AI15" s="705" t="e">
        <f t="array" ref="AI15:AI19">TRANSPOSE(H30:L30)</f>
        <v>#N/A</v>
      </c>
      <c r="AJ15" s="705" t="e">
        <f t="array" ref="AJ15:AJ19">TRANSPOSE(H32:L32)</f>
        <v>#N/A</v>
      </c>
      <c r="AK15" s="705" t="e">
        <f t="array" ref="AK15:AK19">TRANSPOSE(H34:L34)</f>
        <v>#N/A</v>
      </c>
    </row>
    <row r="16" spans="1:37">
      <c r="A16" s="675"/>
      <c r="B16" s="706"/>
      <c r="C16" s="702"/>
      <c r="D16" s="702"/>
      <c r="E16" s="702"/>
      <c r="F16" s="702"/>
      <c r="G16" s="703" t="str">
        <f>IF(B15="","",IF(B15&gt;0,"%",""))</f>
        <v>%</v>
      </c>
      <c r="H16" s="707">
        <f>IF(H15=0,NA(),(H15/$F$15*100))</f>
        <v>1.75438596491228</v>
      </c>
      <c r="I16" s="707">
        <f t="shared" ref="I16:V16" si="0">IF(I15=0,NA(),(I15/$F$15*100))</f>
        <v>15.4970760233918</v>
      </c>
      <c r="J16" s="707">
        <f t="shared" si="0"/>
        <v>56.7251461988304</v>
      </c>
      <c r="K16" s="707">
        <f t="shared" si="0"/>
        <v>22.6608187134503</v>
      </c>
      <c r="L16" s="707">
        <f t="shared" si="0"/>
        <v>3.3625730994152</v>
      </c>
      <c r="M16" s="707">
        <f t="shared" si="0"/>
        <v>1.75438596491228</v>
      </c>
      <c r="N16" s="707">
        <f t="shared" si="0"/>
        <v>14.0350877192982</v>
      </c>
      <c r="O16" s="707">
        <f t="shared" si="0"/>
        <v>56.140350877193</v>
      </c>
      <c r="P16" s="707">
        <f t="shared" si="0"/>
        <v>24.7076023391813</v>
      </c>
      <c r="Q16" s="707">
        <f t="shared" si="0"/>
        <v>3.3625730994152</v>
      </c>
      <c r="R16" s="707">
        <f t="shared" si="0"/>
        <v>1.75438596491228</v>
      </c>
      <c r="S16" s="707">
        <f t="shared" si="0"/>
        <v>20.1754385964912</v>
      </c>
      <c r="T16" s="707">
        <f t="shared" si="0"/>
        <v>54.6783625730994</v>
      </c>
      <c r="U16" s="707">
        <f t="shared" si="0"/>
        <v>20.0292397660819</v>
      </c>
      <c r="V16" s="707">
        <f t="shared" si="0"/>
        <v>3.3625730994152</v>
      </c>
      <c r="W16" s="677"/>
      <c r="AA16" s="704" t="s">
        <v>97</v>
      </c>
      <c r="AB16" s="705">
        <v>15.4970760233918</v>
      </c>
      <c r="AC16" s="705">
        <v>19.2686357243319</v>
      </c>
      <c r="AD16" s="705">
        <v>17.1957671957672</v>
      </c>
      <c r="AE16" s="705">
        <v>16.452442159383</v>
      </c>
      <c r="AF16" s="705" t="e">
        <v>#N/A</v>
      </c>
      <c r="AG16" s="705" t="e">
        <v>#N/A</v>
      </c>
      <c r="AH16" s="705" t="e">
        <v>#N/A</v>
      </c>
      <c r="AI16" s="705" t="e">
        <v>#N/A</v>
      </c>
      <c r="AJ16" s="705" t="e">
        <v>#N/A</v>
      </c>
      <c r="AK16" s="705" t="e">
        <v>#N/A</v>
      </c>
    </row>
    <row r="17" spans="1:37">
      <c r="A17" s="675"/>
      <c r="B17" s="708">
        <f>IF(B15=0,0,IF(B15&lt;$B$13,B15+1,""))</f>
        <v>2</v>
      </c>
      <c r="C17" s="702" t="str">
        <f>IFERROR(VLOOKUP(B17,DATEWISE!$A$3:$BY$27,2,0),0)</f>
        <v>08.05.2026</v>
      </c>
      <c r="D17" s="702">
        <f>IFERROR(VLOOKUP(C17,DATEWISE!$B$3:$BY$27,29,0),0)</f>
        <v>711</v>
      </c>
      <c r="E17" s="702">
        <f>IFERROR(VLOOKUP(C17,DATEWISE!$B$3:$BY$27,30,0),0)</f>
        <v>0</v>
      </c>
      <c r="F17" s="702">
        <f>IFERROR(VLOOKUP(C17,DATEWISE!$B$3:$BY$27,31,0),0)</f>
        <v>711</v>
      </c>
      <c r="G17" s="703" t="str">
        <f t="shared" ref="G17" si="1">IF(B17="","",IF(B17&gt;0,"NUM",""))</f>
        <v>NUM</v>
      </c>
      <c r="H17" s="702">
        <f>IFERROR(VLOOKUP(C17&amp;$H$13,DATEWISE!$AG$3:$BY$27,2,0),0)</f>
        <v>12</v>
      </c>
      <c r="I17" s="702">
        <f>IFERROR(VLOOKUP(C17&amp;$H$13,DATEWISE!$AG$3:$BY$27,3,0),0)</f>
        <v>137</v>
      </c>
      <c r="J17" s="702">
        <f>IFERROR(VLOOKUP(C17&amp;$H$13,DATEWISE!$AG$3:$BY$27,4,0),0)</f>
        <v>388</v>
      </c>
      <c r="K17" s="702">
        <f>IFERROR(VLOOKUP(C17&amp;$H$13,DATEWISE!$AG$3:$BY$27,5,0),0)</f>
        <v>151</v>
      </c>
      <c r="L17" s="702">
        <f>IFERROR(VLOOKUP(C17&amp;$H$13,DATEWISE!$AG$3:$BY$27,6,0),0)</f>
        <v>23</v>
      </c>
      <c r="M17" s="702">
        <f>IFERROR(VLOOKUP(C17&amp;$M$13,DATEWISE!$AN$3:$BY$27,2,0),0)</f>
        <v>12</v>
      </c>
      <c r="N17" s="702">
        <f>IFERROR(VLOOKUP(C17&amp;$M$13,DATEWISE!$AN$3:$BY$27,3,0),0)</f>
        <v>127</v>
      </c>
      <c r="O17" s="702">
        <f>IFERROR(VLOOKUP(C17&amp;$M$13,DATEWISE!$AN$3:$BY$27,4,0),0)</f>
        <v>384</v>
      </c>
      <c r="P17" s="702">
        <f>IFERROR(VLOOKUP(C17&amp;$M$13,DATEWISE!$AN$3:$BY$27,5,0),0)</f>
        <v>165</v>
      </c>
      <c r="Q17" s="702">
        <f>IFERROR(VLOOKUP(C17&amp;$M$13,DATEWISE!$AN$3:$BY$27,6,0),0)</f>
        <v>23</v>
      </c>
      <c r="R17" s="702">
        <f>IFERROR(VLOOKUP(C17&amp;$R$13,DATEWISE!$AU$3:$BY$27,2,0),0)</f>
        <v>12</v>
      </c>
      <c r="S17" s="702">
        <f>IFERROR(VLOOKUP(C17&amp;$R$13,DATEWISE!$AU$3:$BY$27,3,0),0)</f>
        <v>169</v>
      </c>
      <c r="T17" s="702">
        <f>IFERROR(VLOOKUP(C17&amp;$R$13,DATEWISE!$AU$3:$BY$27,4,0),0)</f>
        <v>374</v>
      </c>
      <c r="U17" s="702">
        <f>IFERROR(VLOOKUP(C17&amp;$R$13,DATEWISE!$AU$3:$BY$27,5,0),0)</f>
        <v>133</v>
      </c>
      <c r="V17" s="702">
        <f>IFERROR(VLOOKUP(C17&amp;$R$13,DATEWISE!$AU$3:$BY$27,6,0),0)</f>
        <v>23</v>
      </c>
      <c r="W17" s="677"/>
      <c r="AA17" s="704" t="s">
        <v>98</v>
      </c>
      <c r="AB17" s="705">
        <v>56.7251461988304</v>
      </c>
      <c r="AC17" s="705">
        <v>54.5710267229255</v>
      </c>
      <c r="AD17" s="705">
        <v>57.4074074074074</v>
      </c>
      <c r="AE17" s="705">
        <v>59.3830334190231</v>
      </c>
      <c r="AF17" s="705" t="e">
        <v>#N/A</v>
      </c>
      <c r="AG17" s="705" t="e">
        <v>#N/A</v>
      </c>
      <c r="AH17" s="705" t="e">
        <v>#N/A</v>
      </c>
      <c r="AI17" s="705" t="e">
        <v>#N/A</v>
      </c>
      <c r="AJ17" s="705" t="e">
        <v>#N/A</v>
      </c>
      <c r="AK17" s="705" t="e">
        <v>#N/A</v>
      </c>
    </row>
    <row r="18" spans="1:37">
      <c r="A18" s="675"/>
      <c r="B18" s="709"/>
      <c r="C18" s="702"/>
      <c r="D18" s="702"/>
      <c r="E18" s="702"/>
      <c r="F18" s="702"/>
      <c r="G18" s="703" t="str">
        <f t="shared" ref="G18" si="2">IF(B17="","",IF(B17&gt;0,"%",""))</f>
        <v>%</v>
      </c>
      <c r="H18" s="707">
        <f>IF(H17=0,NA(),(H17/$F$17*100))</f>
        <v>1.68776371308017</v>
      </c>
      <c r="I18" s="707">
        <f t="shared" ref="I18:V18" si="3">IF(I17=0,NA(),(I17/$F$17*100))</f>
        <v>19.2686357243319</v>
      </c>
      <c r="J18" s="707">
        <f t="shared" si="3"/>
        <v>54.5710267229255</v>
      </c>
      <c r="K18" s="707">
        <f t="shared" si="3"/>
        <v>21.2376933895921</v>
      </c>
      <c r="L18" s="707">
        <f t="shared" si="3"/>
        <v>3.23488045007032</v>
      </c>
      <c r="M18" s="707">
        <f t="shared" si="3"/>
        <v>1.68776371308017</v>
      </c>
      <c r="N18" s="707">
        <f t="shared" si="3"/>
        <v>17.8621659634318</v>
      </c>
      <c r="O18" s="707">
        <f t="shared" si="3"/>
        <v>54.0084388185654</v>
      </c>
      <c r="P18" s="707">
        <f t="shared" si="3"/>
        <v>23.2067510548523</v>
      </c>
      <c r="Q18" s="707">
        <f t="shared" si="3"/>
        <v>3.23488045007032</v>
      </c>
      <c r="R18" s="707">
        <f t="shared" si="3"/>
        <v>1.68776371308017</v>
      </c>
      <c r="S18" s="707">
        <f t="shared" si="3"/>
        <v>23.7693389592124</v>
      </c>
      <c r="T18" s="707">
        <f t="shared" si="3"/>
        <v>52.6019690576653</v>
      </c>
      <c r="U18" s="707">
        <f t="shared" si="3"/>
        <v>18.7060478199719</v>
      </c>
      <c r="V18" s="707">
        <f t="shared" si="3"/>
        <v>3.23488045007032</v>
      </c>
      <c r="W18" s="677"/>
      <c r="AA18" s="704" t="s">
        <v>99</v>
      </c>
      <c r="AB18" s="705">
        <v>22.6608187134503</v>
      </c>
      <c r="AC18" s="705">
        <v>21.2376933895921</v>
      </c>
      <c r="AD18" s="705">
        <v>20.3703703703704</v>
      </c>
      <c r="AE18" s="705">
        <v>19.280205655527</v>
      </c>
      <c r="AF18" s="705" t="e">
        <v>#N/A</v>
      </c>
      <c r="AG18" s="705" t="e">
        <v>#N/A</v>
      </c>
      <c r="AH18" s="705" t="e">
        <v>#N/A</v>
      </c>
      <c r="AI18" s="705" t="e">
        <v>#N/A</v>
      </c>
      <c r="AJ18" s="705" t="e">
        <v>#N/A</v>
      </c>
      <c r="AK18" s="705" t="e">
        <v>#N/A</v>
      </c>
    </row>
    <row r="19" spans="1:37">
      <c r="A19" s="675"/>
      <c r="B19" s="708">
        <f>IF(B17=0,0,IF(B17&lt;$B$13,B17+1,""))</f>
        <v>3</v>
      </c>
      <c r="C19" s="702" t="str">
        <f>IFERROR(VLOOKUP(B19,DATEWISE!$A$3:$BY$27,2,0),0)</f>
        <v>15.07.2026</v>
      </c>
      <c r="D19" s="702">
        <f>IFERROR(VLOOKUP(C19,DATEWISE!$B$3:$BY$27,29,0),0)</f>
        <v>756</v>
      </c>
      <c r="E19" s="702">
        <f>IFERROR(VLOOKUP(C19,DATEWISE!$B$3:$BY$27,30,0),0)</f>
        <v>0</v>
      </c>
      <c r="F19" s="702">
        <f>IFERROR(VLOOKUP(C19,DATEWISE!$B$3:$BY$27,31,0),0)</f>
        <v>756</v>
      </c>
      <c r="G19" s="703" t="str">
        <f t="shared" ref="G19" si="4">IF(B19="","",IF(B19&gt;0,"NUM",""))</f>
        <v>NUM</v>
      </c>
      <c r="H19" s="702">
        <f>IFERROR(VLOOKUP(C19&amp;$H$13,DATEWISE!$AG$3:$BY$27,2,0),0)</f>
        <v>9</v>
      </c>
      <c r="I19" s="702">
        <f>IFERROR(VLOOKUP(C19&amp;$H$13,DATEWISE!$AG$3:$BY$27,3,0),0)</f>
        <v>130</v>
      </c>
      <c r="J19" s="702">
        <f>IFERROR(VLOOKUP(C19&amp;$H$13,DATEWISE!$AG$3:$BY$27,4,0),0)</f>
        <v>434</v>
      </c>
      <c r="K19" s="702">
        <f>IFERROR(VLOOKUP(C19&amp;$H$13,DATEWISE!$AG$3:$BY$27,5,0),0)</f>
        <v>154</v>
      </c>
      <c r="L19" s="702">
        <f>IFERROR(VLOOKUP(C19&amp;$H$13,DATEWISE!$AG$3:$BY$27,6,0),0)</f>
        <v>29</v>
      </c>
      <c r="M19" s="702">
        <f>IFERROR(VLOOKUP(C19&amp;$M$13,DATEWISE!$AN$3:$BY$27,2,0),0)</f>
        <v>9</v>
      </c>
      <c r="N19" s="702">
        <f>IFERROR(VLOOKUP(C19&amp;$M$13,DATEWISE!$AN$3:$BY$27,3,0),0)</f>
        <v>117</v>
      </c>
      <c r="O19" s="702">
        <f>IFERROR(VLOOKUP(C19&amp;$M$13,DATEWISE!$AN$3:$BY$27,4,0),0)</f>
        <v>416</v>
      </c>
      <c r="P19" s="702">
        <f>IFERROR(VLOOKUP(C19&amp;$M$13,DATEWISE!$AN$3:$BY$27,5,0),0)</f>
        <v>189</v>
      </c>
      <c r="Q19" s="702">
        <f>IFERROR(VLOOKUP(C19&amp;$M$13,DATEWISE!$AN$3:$BY$27,6,0),0)</f>
        <v>25</v>
      </c>
      <c r="R19" s="702">
        <f>IFERROR(VLOOKUP(C19&amp;$R$13,DATEWISE!$AU$3:$BY$27,2,0),0)</f>
        <v>9</v>
      </c>
      <c r="S19" s="702">
        <f>IFERROR(VLOOKUP(C19&amp;$R$13,DATEWISE!$AU$3:$BY$27,3,0),0)</f>
        <v>179</v>
      </c>
      <c r="T19" s="702">
        <f>IFERROR(VLOOKUP(C19&amp;$R$13,DATEWISE!$AU$3:$BY$27,4,0),0)</f>
        <v>411</v>
      </c>
      <c r="U19" s="702">
        <f>IFERROR(VLOOKUP(C19&amp;$R$13,DATEWISE!$AU$3:$BY$27,5,0),0)</f>
        <v>133</v>
      </c>
      <c r="V19" s="702">
        <f>IFERROR(VLOOKUP(C19&amp;$R$13,DATEWISE!$AU$3:$BY$27,6,0),0)</f>
        <v>24</v>
      </c>
      <c r="W19" s="677"/>
      <c r="AA19" s="704" t="s">
        <v>100</v>
      </c>
      <c r="AB19" s="705">
        <v>3.3625730994152</v>
      </c>
      <c r="AC19" s="705">
        <v>3.23488045007032</v>
      </c>
      <c r="AD19" s="705">
        <v>3.83597883597884</v>
      </c>
      <c r="AE19" s="705">
        <v>3.72750642673522</v>
      </c>
      <c r="AF19" s="705" t="e">
        <v>#N/A</v>
      </c>
      <c r="AG19" s="705" t="e">
        <v>#N/A</v>
      </c>
      <c r="AH19" s="705" t="e">
        <v>#N/A</v>
      </c>
      <c r="AI19" s="705" t="e">
        <v>#N/A</v>
      </c>
      <c r="AJ19" s="705" t="e">
        <v>#N/A</v>
      </c>
      <c r="AK19" s="705" t="e">
        <v>#N/A</v>
      </c>
    </row>
    <row r="20" spans="1:37">
      <c r="A20" s="675"/>
      <c r="B20" s="709"/>
      <c r="C20" s="702"/>
      <c r="D20" s="702"/>
      <c r="E20" s="702"/>
      <c r="F20" s="702"/>
      <c r="G20" s="703" t="str">
        <f t="shared" ref="G20" si="5">IF(B19="","",IF(B19&gt;0,"%",""))</f>
        <v>%</v>
      </c>
      <c r="H20" s="707">
        <f>IF(H19=0,NA(),(H19/$F$19*100))</f>
        <v>1.19047619047619</v>
      </c>
      <c r="I20" s="707">
        <f t="shared" ref="I20:V20" si="6">IF(I19=0,NA(),(I19/$F$19*100))</f>
        <v>17.1957671957672</v>
      </c>
      <c r="J20" s="707">
        <f t="shared" si="6"/>
        <v>57.4074074074074</v>
      </c>
      <c r="K20" s="707">
        <f t="shared" si="6"/>
        <v>20.3703703703704</v>
      </c>
      <c r="L20" s="707">
        <f t="shared" si="6"/>
        <v>3.83597883597884</v>
      </c>
      <c r="M20" s="707">
        <f t="shared" si="6"/>
        <v>1.19047619047619</v>
      </c>
      <c r="N20" s="707">
        <f t="shared" si="6"/>
        <v>15.4761904761905</v>
      </c>
      <c r="O20" s="707">
        <f t="shared" si="6"/>
        <v>55.026455026455</v>
      </c>
      <c r="P20" s="707">
        <f t="shared" si="6"/>
        <v>25</v>
      </c>
      <c r="Q20" s="707">
        <f t="shared" si="6"/>
        <v>3.30687830687831</v>
      </c>
      <c r="R20" s="707">
        <f t="shared" si="6"/>
        <v>1.19047619047619</v>
      </c>
      <c r="S20" s="707">
        <f t="shared" si="6"/>
        <v>23.6772486772487</v>
      </c>
      <c r="T20" s="707">
        <f t="shared" si="6"/>
        <v>54.3650793650794</v>
      </c>
      <c r="U20" s="707">
        <f t="shared" si="6"/>
        <v>17.5925925925926</v>
      </c>
      <c r="V20" s="707">
        <f t="shared" si="6"/>
        <v>3.17460317460317</v>
      </c>
      <c r="W20" s="677"/>
      <c r="AA20" s="686"/>
      <c r="AB20" s="710"/>
      <c r="AC20" s="710"/>
      <c r="AD20" s="710"/>
      <c r="AE20" s="710"/>
      <c r="AF20" s="710"/>
      <c r="AG20" s="710"/>
      <c r="AH20" s="710"/>
      <c r="AI20" s="710"/>
      <c r="AJ20" s="710"/>
      <c r="AK20" s="710"/>
    </row>
    <row r="21" spans="1:37">
      <c r="A21" s="675"/>
      <c r="B21" s="708">
        <f t="shared" ref="B21" si="7">IF(B19=0,0,IF(B19&lt;$B$13,B19+1,""))</f>
        <v>4</v>
      </c>
      <c r="C21" s="702" t="str">
        <f>IFERROR(VLOOKUP(B21,DATEWISE!$A$3:$BY$27,2,0),0)</f>
        <v>31.07.2026</v>
      </c>
      <c r="D21" s="702">
        <f>IFERROR(VLOOKUP(C21,DATEWISE!$B$3:$BY$27,29,0),0)</f>
        <v>778</v>
      </c>
      <c r="E21" s="702">
        <f>IFERROR(VLOOKUP(C21,DATEWISE!$B$3:$BY$27,30,0),0)</f>
        <v>0</v>
      </c>
      <c r="F21" s="702">
        <f>IFERROR(VLOOKUP(C21,DATEWISE!$B$3:$BY$27,31,0),0)</f>
        <v>778</v>
      </c>
      <c r="G21" s="703" t="str">
        <f t="shared" ref="G21" si="8">IF(B21="","",IF(B21&gt;0,"NUM",""))</f>
        <v>NUM</v>
      </c>
      <c r="H21" s="702">
        <f>IFERROR(VLOOKUP(C21&amp;$H$13,DATEWISE!$AG$3:$BY$27,2,0),0)</f>
        <v>9</v>
      </c>
      <c r="I21" s="702">
        <f>IFERROR(VLOOKUP(C21&amp;$H$13,DATEWISE!$AG$3:$BY$27,3,0),0)</f>
        <v>128</v>
      </c>
      <c r="J21" s="702">
        <f>IFERROR(VLOOKUP(C21&amp;$H$13,DATEWISE!$AG$3:$BY$27,4,0),0)</f>
        <v>462</v>
      </c>
      <c r="K21" s="702">
        <f>IFERROR(VLOOKUP(C21&amp;$H$13,DATEWISE!$AG$3:$BY$27,5,0),0)</f>
        <v>150</v>
      </c>
      <c r="L21" s="702">
        <f>IFERROR(VLOOKUP(C21&amp;$H$13,DATEWISE!$AG$3:$BY$27,6,0),0)</f>
        <v>29</v>
      </c>
      <c r="M21" s="702">
        <f>IFERROR(VLOOKUP(C21&amp;$M$13,DATEWISE!$AN$3:$BY$27,2,0),0)</f>
        <v>9</v>
      </c>
      <c r="N21" s="702">
        <f>IFERROR(VLOOKUP(C21&amp;$M$13,DATEWISE!$AN$3:$BY$27,3,0),0)</f>
        <v>115</v>
      </c>
      <c r="O21" s="702">
        <f>IFERROR(VLOOKUP(C21&amp;$M$13,DATEWISE!$AN$3:$BY$27,4,0),0)</f>
        <v>444</v>
      </c>
      <c r="P21" s="702">
        <f>IFERROR(VLOOKUP(C21&amp;$M$13,DATEWISE!$AN$3:$BY$27,5,0),0)</f>
        <v>185</v>
      </c>
      <c r="Q21" s="702">
        <f>IFERROR(VLOOKUP(C21&amp;$M$13,DATEWISE!$AN$3:$BY$27,6,0),0)</f>
        <v>25</v>
      </c>
      <c r="R21" s="702">
        <f>IFERROR(VLOOKUP(C21&amp;$R$13,DATEWISE!$AU$3:$BY$27,2,0),0)</f>
        <v>9</v>
      </c>
      <c r="S21" s="702">
        <f>IFERROR(VLOOKUP(C21&amp;$R$13,DATEWISE!$AU$3:$BY$27,3,0),0)</f>
        <v>176</v>
      </c>
      <c r="T21" s="702">
        <f>IFERROR(VLOOKUP(C21&amp;$R$13,DATEWISE!$AU$3:$BY$27,4,0),0)</f>
        <v>440</v>
      </c>
      <c r="U21" s="702">
        <f>IFERROR(VLOOKUP(C21&amp;$R$13,DATEWISE!$AU$3:$BY$27,5,0),0)</f>
        <v>129</v>
      </c>
      <c r="V21" s="702">
        <f>IFERROR(VLOOKUP(C21&amp;$R$13,DATEWISE!$AU$3:$BY$27,6,0),0)</f>
        <v>24</v>
      </c>
      <c r="W21" s="677"/>
      <c r="AA21" s="695" t="s">
        <v>88</v>
      </c>
      <c r="AB21" s="695"/>
      <c r="AC21" s="695"/>
      <c r="AD21" s="695"/>
      <c r="AE21" s="695"/>
      <c r="AF21" s="695"/>
      <c r="AG21" s="695"/>
      <c r="AH21" s="695"/>
      <c r="AI21" s="695"/>
      <c r="AJ21" s="695"/>
      <c r="AK21" s="695"/>
    </row>
    <row r="22" spans="1:37">
      <c r="A22" s="675"/>
      <c r="B22" s="709"/>
      <c r="C22" s="702"/>
      <c r="D22" s="702"/>
      <c r="E22" s="702"/>
      <c r="F22" s="702"/>
      <c r="G22" s="703" t="str">
        <f t="shared" ref="G22" si="9">IF(B21="","",IF(B21&gt;0,"%",""))</f>
        <v>%</v>
      </c>
      <c r="H22" s="707">
        <f>IF(H21=0,NA(),(H21/$F$21*100))</f>
        <v>1.15681233933162</v>
      </c>
      <c r="I22" s="707">
        <f t="shared" ref="I22:V22" si="10">IF(I21=0,NA(),(I21/$F$21*100))</f>
        <v>16.452442159383</v>
      </c>
      <c r="J22" s="707">
        <f t="shared" si="10"/>
        <v>59.3830334190231</v>
      </c>
      <c r="K22" s="707">
        <f t="shared" si="10"/>
        <v>19.280205655527</v>
      </c>
      <c r="L22" s="707">
        <f t="shared" si="10"/>
        <v>3.72750642673522</v>
      </c>
      <c r="M22" s="707">
        <f t="shared" si="10"/>
        <v>1.15681233933162</v>
      </c>
      <c r="N22" s="707">
        <f t="shared" si="10"/>
        <v>14.7814910025707</v>
      </c>
      <c r="O22" s="707">
        <f t="shared" si="10"/>
        <v>57.0694087403599</v>
      </c>
      <c r="P22" s="707">
        <f t="shared" si="10"/>
        <v>23.7789203084833</v>
      </c>
      <c r="Q22" s="707">
        <f t="shared" si="10"/>
        <v>3.2133676092545</v>
      </c>
      <c r="R22" s="707">
        <f t="shared" si="10"/>
        <v>1.15681233933162</v>
      </c>
      <c r="S22" s="707">
        <f t="shared" si="10"/>
        <v>22.6221079691517</v>
      </c>
      <c r="T22" s="707">
        <f t="shared" si="10"/>
        <v>56.5552699228792</v>
      </c>
      <c r="U22" s="707">
        <f t="shared" si="10"/>
        <v>16.5809768637532</v>
      </c>
      <c r="V22" s="707">
        <f t="shared" si="10"/>
        <v>3.08483290488432</v>
      </c>
      <c r="W22" s="677"/>
      <c r="AA22" s="699" t="s">
        <v>450</v>
      </c>
      <c r="AB22" s="699" t="str">
        <f>$C$15</f>
        <v>30.04.2026</v>
      </c>
      <c r="AC22" s="699" t="str">
        <f>$C$17</f>
        <v>08.05.2026</v>
      </c>
      <c r="AD22" s="699" t="str">
        <f>$C$19</f>
        <v>15.07.2026</v>
      </c>
      <c r="AE22" s="699" t="str">
        <f>$C$21</f>
        <v>31.07.2026</v>
      </c>
      <c r="AF22" s="699" t="str">
        <f>$C$23</f>
        <v>17.08.2026</v>
      </c>
      <c r="AG22" s="699" t="str">
        <f>$C$25</f>
        <v>31.08.2026</v>
      </c>
      <c r="AH22" s="699">
        <f>$C$27</f>
        <v>0</v>
      </c>
      <c r="AI22" s="699">
        <f>$C$29</f>
        <v>0</v>
      </c>
      <c r="AJ22" s="699">
        <f>$C$31</f>
        <v>0</v>
      </c>
      <c r="AK22" s="699">
        <f>$C$33</f>
        <v>0</v>
      </c>
    </row>
    <row r="23" spans="1:37">
      <c r="A23" s="675"/>
      <c r="B23" s="708">
        <f t="shared" ref="B23" si="11">IF(B21=0,0,IF(B21&lt;$B$13,B21+1,""))</f>
        <v>5</v>
      </c>
      <c r="C23" s="702" t="str">
        <f>IFERROR(VLOOKUP(B23,DATEWISE!$A$3:$BY$27,2,0),0)</f>
        <v>17.08.2026</v>
      </c>
      <c r="D23" s="702">
        <f>IFERROR(VLOOKUP(C23,DATEWISE!$B$3:$BY$27,29,0),0)</f>
        <v>0</v>
      </c>
      <c r="E23" s="702">
        <f>IFERROR(VLOOKUP(C23,DATEWISE!$B$3:$BY$27,30,0),0)</f>
        <v>0</v>
      </c>
      <c r="F23" s="702" t="str">
        <f>IFERROR(VLOOKUP(C23,DATEWISE!$B$3:$BY$27,31,0),0)</f>
        <v/>
      </c>
      <c r="G23" s="703" t="str">
        <f t="shared" ref="G23" si="12">IF(B23="","",IF(B23&gt;0,"NUM",""))</f>
        <v>NUM</v>
      </c>
      <c r="H23" s="702">
        <f>IFERROR(VLOOKUP(C23&amp;$H$13,DATEWISE!$AG$3:$BY$27,2,0),0)</f>
        <v>0</v>
      </c>
      <c r="I23" s="702">
        <f>IFERROR(VLOOKUP(C23&amp;$H$13,DATEWISE!$AG$3:$BY$27,3,0),0)</f>
        <v>0</v>
      </c>
      <c r="J23" s="702">
        <f>IFERROR(VLOOKUP(C23&amp;$H$13,DATEWISE!$AG$3:$BY$27,4,0),0)</f>
        <v>0</v>
      </c>
      <c r="K23" s="702">
        <f>IFERROR(VLOOKUP(C23&amp;$H$13,DATEWISE!$AG$3:$BY$27,5,0),0)</f>
        <v>0</v>
      </c>
      <c r="L23" s="702">
        <f>IFERROR(VLOOKUP(C23&amp;$H$13,DATEWISE!$AG$3:$BY$27,6,0),0)</f>
        <v>0</v>
      </c>
      <c r="M23" s="702">
        <f>IFERROR(VLOOKUP(C23&amp;$M$13,DATEWISE!$AN$3:$BY$27,2,0),0)</f>
        <v>0</v>
      </c>
      <c r="N23" s="702">
        <f>IFERROR(VLOOKUP(C23&amp;$M$13,DATEWISE!$AN$3:$BY$27,3,0),0)</f>
        <v>0</v>
      </c>
      <c r="O23" s="702">
        <f>IFERROR(VLOOKUP(C23&amp;$M$13,DATEWISE!$AN$3:$BY$27,4,0),0)</f>
        <v>0</v>
      </c>
      <c r="P23" s="702">
        <f>IFERROR(VLOOKUP(C23&amp;$M$13,DATEWISE!$AN$3:$BY$27,5,0),0)</f>
        <v>0</v>
      </c>
      <c r="Q23" s="702">
        <f>IFERROR(VLOOKUP(C23&amp;$M$13,DATEWISE!$AN$3:$BY$27,6,0),0)</f>
        <v>0</v>
      </c>
      <c r="R23" s="702">
        <f>IFERROR(VLOOKUP(C23&amp;$R$13,DATEWISE!$AU$3:$BY$27,2,0),0)</f>
        <v>0</v>
      </c>
      <c r="S23" s="702">
        <f>IFERROR(VLOOKUP(C23&amp;$R$13,DATEWISE!$AU$3:$BY$27,3,0),0)</f>
        <v>0</v>
      </c>
      <c r="T23" s="702">
        <f>IFERROR(VLOOKUP(C23&amp;$R$13,DATEWISE!$AU$3:$BY$27,4,0),0)</f>
        <v>0</v>
      </c>
      <c r="U23" s="702">
        <f>IFERROR(VLOOKUP(C23&amp;$R$13,DATEWISE!$AU$3:$BY$27,5,0),0)</f>
        <v>0</v>
      </c>
      <c r="V23" s="702">
        <f>IFERROR(VLOOKUP(C23&amp;$R$13,DATEWISE!$AU$3:$BY$27,6,0),0)</f>
        <v>0</v>
      </c>
      <c r="W23" s="677"/>
      <c r="AA23" s="704" t="s">
        <v>96</v>
      </c>
      <c r="AB23" s="705">
        <f t="array" ref="AB23:AB27">TRANSPOSE(M16:Q16)</f>
        <v>1.75438596491228</v>
      </c>
      <c r="AC23" s="705">
        <f t="array" ref="AC23:AC27">TRANSPOSE(M18:Q18)</f>
        <v>1.68776371308017</v>
      </c>
      <c r="AD23" s="705">
        <f t="array" ref="AD23:AD27">TRANSPOSE(M20:Q20)</f>
        <v>1.19047619047619</v>
      </c>
      <c r="AE23" s="705">
        <f t="array" ref="AE23:AE27">TRANSPOSE(M22:Q22)</f>
        <v>1.15681233933162</v>
      </c>
      <c r="AF23" s="705" t="e">
        <f t="array" ref="AF23:AF27">TRANSPOSE(M24:Q24)</f>
        <v>#N/A</v>
      </c>
      <c r="AG23" s="705" t="e">
        <f t="array" ref="AG23:AG27">TRANSPOSE(M26:Q26)</f>
        <v>#N/A</v>
      </c>
      <c r="AH23" s="705" t="e">
        <f t="array" ref="AH23:AH27">TRANSPOSE(M28:Q28)</f>
        <v>#N/A</v>
      </c>
      <c r="AI23" s="705" t="e">
        <f t="array" ref="AI23:AI27">TRANSPOSE(M30:Q30)</f>
        <v>#N/A</v>
      </c>
      <c r="AJ23" s="705" t="e">
        <f t="array" ref="AJ23:AJ27">TRANSPOSE(M32:Q32)</f>
        <v>#N/A</v>
      </c>
      <c r="AK23" s="705" t="e">
        <f t="array" ref="AK23:AK27">TRANSPOSE(M34:Q34)</f>
        <v>#N/A</v>
      </c>
    </row>
    <row r="24" spans="1:37">
      <c r="A24" s="675"/>
      <c r="B24" s="709"/>
      <c r="C24" s="702"/>
      <c r="D24" s="702"/>
      <c r="E24" s="702"/>
      <c r="F24" s="702"/>
      <c r="G24" s="703" t="str">
        <f t="shared" ref="G24" si="13">IF(B23="","",IF(B23&gt;0,"%",""))</f>
        <v>%</v>
      </c>
      <c r="H24" s="707" t="e">
        <f>IF(H23=0,NA(),(H23/$F$23*100))</f>
        <v>#N/A</v>
      </c>
      <c r="I24" s="707" t="e">
        <f t="shared" ref="I24:V24" si="14">IF(I23=0,NA(),(I23/$F$23*100))</f>
        <v>#N/A</v>
      </c>
      <c r="J24" s="707" t="e">
        <f t="shared" si="14"/>
        <v>#N/A</v>
      </c>
      <c r="K24" s="707" t="e">
        <f t="shared" si="14"/>
        <v>#N/A</v>
      </c>
      <c r="L24" s="707" t="e">
        <f t="shared" si="14"/>
        <v>#N/A</v>
      </c>
      <c r="M24" s="707" t="e">
        <f t="shared" si="14"/>
        <v>#N/A</v>
      </c>
      <c r="N24" s="707" t="e">
        <f t="shared" si="14"/>
        <v>#N/A</v>
      </c>
      <c r="O24" s="707" t="e">
        <f t="shared" si="14"/>
        <v>#N/A</v>
      </c>
      <c r="P24" s="707" t="e">
        <f t="shared" si="14"/>
        <v>#N/A</v>
      </c>
      <c r="Q24" s="707" t="e">
        <f t="shared" si="14"/>
        <v>#N/A</v>
      </c>
      <c r="R24" s="707" t="e">
        <f t="shared" si="14"/>
        <v>#N/A</v>
      </c>
      <c r="S24" s="707" t="e">
        <f t="shared" si="14"/>
        <v>#N/A</v>
      </c>
      <c r="T24" s="707" t="e">
        <f t="shared" si="14"/>
        <v>#N/A</v>
      </c>
      <c r="U24" s="707" t="e">
        <f t="shared" si="14"/>
        <v>#N/A</v>
      </c>
      <c r="V24" s="707" t="e">
        <f t="shared" si="14"/>
        <v>#N/A</v>
      </c>
      <c r="W24" s="677"/>
      <c r="AA24" s="704" t="s">
        <v>97</v>
      </c>
      <c r="AB24" s="705">
        <v>14.0350877192982</v>
      </c>
      <c r="AC24" s="705">
        <v>17.8621659634318</v>
      </c>
      <c r="AD24" s="705">
        <v>15.4761904761905</v>
      </c>
      <c r="AE24" s="705">
        <v>14.7814910025707</v>
      </c>
      <c r="AF24" s="705" t="e">
        <v>#N/A</v>
      </c>
      <c r="AG24" s="705" t="e">
        <v>#N/A</v>
      </c>
      <c r="AH24" s="705" t="e">
        <v>#N/A</v>
      </c>
      <c r="AI24" s="705" t="e">
        <v>#N/A</v>
      </c>
      <c r="AJ24" s="705" t="e">
        <v>#N/A</v>
      </c>
      <c r="AK24" s="705" t="e">
        <v>#N/A</v>
      </c>
    </row>
    <row r="25" spans="1:37">
      <c r="A25" s="675"/>
      <c r="B25" s="708">
        <f t="shared" ref="B25" si="15">IF(B23=0,0,IF(B23&lt;$B$13,B23+1,""))</f>
        <v>6</v>
      </c>
      <c r="C25" s="702" t="str">
        <f>IFERROR(VLOOKUP(B25,DATEWISE!$A$3:$BY$27,2,0),0)</f>
        <v>31.08.2026</v>
      </c>
      <c r="D25" s="702">
        <f>IFERROR(VLOOKUP(C25,DATEWISE!$B$3:$BY$27,29,0),0)</f>
        <v>0</v>
      </c>
      <c r="E25" s="702">
        <f>IFERROR(VLOOKUP(C25,DATEWISE!$B$3:$BY$27,30,0),0)</f>
        <v>0</v>
      </c>
      <c r="F25" s="702" t="str">
        <f>IFERROR(VLOOKUP(C25,DATEWISE!$B$3:$BY$27,31,0),0)</f>
        <v/>
      </c>
      <c r="G25" s="703" t="str">
        <f t="shared" ref="G25" si="16">IF(B25="","",IF(B25&gt;0,"NUM",""))</f>
        <v>NUM</v>
      </c>
      <c r="H25" s="702">
        <f>IFERROR(VLOOKUP(C25&amp;$H$13,DATEWISE!$AG$3:$BY$27,2,0),0)</f>
        <v>0</v>
      </c>
      <c r="I25" s="702">
        <f>IFERROR(VLOOKUP(C25&amp;$H$13,DATEWISE!$AG$3:$BY$27,3,0),0)</f>
        <v>0</v>
      </c>
      <c r="J25" s="702">
        <f>IFERROR(VLOOKUP(C25&amp;$H$13,DATEWISE!$AG$3:$BY$27,4,0),0)</f>
        <v>0</v>
      </c>
      <c r="K25" s="702">
        <f>IFERROR(VLOOKUP(C25&amp;$H$13,DATEWISE!$AG$3:$BY$27,5,0),0)</f>
        <v>0</v>
      </c>
      <c r="L25" s="702">
        <f>IFERROR(VLOOKUP(C25&amp;$H$13,DATEWISE!$AG$3:$BY$27,6,0),0)</f>
        <v>0</v>
      </c>
      <c r="M25" s="702">
        <f>IFERROR(VLOOKUP(C25&amp;$M$13,DATEWISE!$AN$3:$BY$27,2,0),0)</f>
        <v>0</v>
      </c>
      <c r="N25" s="702">
        <f>IFERROR(VLOOKUP(C25&amp;$M$13,DATEWISE!$AN$3:$BY$27,3,0),0)</f>
        <v>0</v>
      </c>
      <c r="O25" s="702">
        <f>IFERROR(VLOOKUP(C25&amp;$M$13,DATEWISE!$AN$3:$BY$27,4,0),0)</f>
        <v>0</v>
      </c>
      <c r="P25" s="702">
        <f>IFERROR(VLOOKUP(C25&amp;$M$13,DATEWISE!$AN$3:$BY$27,5,0),0)</f>
        <v>0</v>
      </c>
      <c r="Q25" s="702">
        <f>IFERROR(VLOOKUP(C25&amp;$M$13,DATEWISE!$AN$3:$BY$27,6,0),0)</f>
        <v>0</v>
      </c>
      <c r="R25" s="702">
        <f>IFERROR(VLOOKUP(C25&amp;$R$13,DATEWISE!$AU$3:$BY$27,2,0),0)</f>
        <v>0</v>
      </c>
      <c r="S25" s="702">
        <f>IFERROR(VLOOKUP(C25&amp;$R$13,DATEWISE!$AU$3:$BY$27,3,0),0)</f>
        <v>0</v>
      </c>
      <c r="T25" s="702">
        <f>IFERROR(VLOOKUP(C25&amp;$R$13,DATEWISE!$AU$3:$BY$27,4,0),0)</f>
        <v>0</v>
      </c>
      <c r="U25" s="702">
        <f>IFERROR(VLOOKUP(C25&amp;$R$13,DATEWISE!$AU$3:$BY$27,5,0),0)</f>
        <v>0</v>
      </c>
      <c r="V25" s="702">
        <f>IFERROR(VLOOKUP(C25&amp;$R$13,DATEWISE!$AU$3:$BY$27,6,0),0)</f>
        <v>0</v>
      </c>
      <c r="W25" s="677"/>
      <c r="AA25" s="704" t="s">
        <v>98</v>
      </c>
      <c r="AB25" s="705">
        <v>56.140350877193</v>
      </c>
      <c r="AC25" s="705">
        <v>54.0084388185654</v>
      </c>
      <c r="AD25" s="705">
        <v>55.026455026455</v>
      </c>
      <c r="AE25" s="705">
        <v>57.0694087403599</v>
      </c>
      <c r="AF25" s="705" t="e">
        <v>#N/A</v>
      </c>
      <c r="AG25" s="705" t="e">
        <v>#N/A</v>
      </c>
      <c r="AH25" s="705" t="e">
        <v>#N/A</v>
      </c>
      <c r="AI25" s="705" t="e">
        <v>#N/A</v>
      </c>
      <c r="AJ25" s="705" t="e">
        <v>#N/A</v>
      </c>
      <c r="AK25" s="705" t="e">
        <v>#N/A</v>
      </c>
    </row>
    <row r="26" spans="1:37">
      <c r="A26" s="675"/>
      <c r="B26" s="709"/>
      <c r="C26" s="702"/>
      <c r="D26" s="702"/>
      <c r="E26" s="702"/>
      <c r="F26" s="702"/>
      <c r="G26" s="703" t="str">
        <f t="shared" ref="G26" si="17">IF(B25="","",IF(B25&gt;0,"%",""))</f>
        <v>%</v>
      </c>
      <c r="H26" s="707" t="e">
        <f>IF(H25=0,NA(),(H25/$F$25*100))</f>
        <v>#N/A</v>
      </c>
      <c r="I26" s="707" t="e">
        <f t="shared" ref="I26:V26" si="18">IF(I25=0,NA(),(I25/$F$25*100))</f>
        <v>#N/A</v>
      </c>
      <c r="J26" s="707" t="e">
        <f t="shared" si="18"/>
        <v>#N/A</v>
      </c>
      <c r="K26" s="707" t="e">
        <f t="shared" si="18"/>
        <v>#N/A</v>
      </c>
      <c r="L26" s="707" t="e">
        <f t="shared" si="18"/>
        <v>#N/A</v>
      </c>
      <c r="M26" s="707" t="e">
        <f t="shared" si="18"/>
        <v>#N/A</v>
      </c>
      <c r="N26" s="707" t="e">
        <f t="shared" si="18"/>
        <v>#N/A</v>
      </c>
      <c r="O26" s="707" t="e">
        <f t="shared" si="18"/>
        <v>#N/A</v>
      </c>
      <c r="P26" s="707" t="e">
        <f t="shared" si="18"/>
        <v>#N/A</v>
      </c>
      <c r="Q26" s="707" t="e">
        <f t="shared" si="18"/>
        <v>#N/A</v>
      </c>
      <c r="R26" s="707" t="e">
        <f t="shared" si="18"/>
        <v>#N/A</v>
      </c>
      <c r="S26" s="707" t="e">
        <f t="shared" si="18"/>
        <v>#N/A</v>
      </c>
      <c r="T26" s="707" t="e">
        <f t="shared" si="18"/>
        <v>#N/A</v>
      </c>
      <c r="U26" s="707" t="e">
        <f t="shared" si="18"/>
        <v>#N/A</v>
      </c>
      <c r="V26" s="707" t="e">
        <f t="shared" si="18"/>
        <v>#N/A</v>
      </c>
      <c r="W26" s="677"/>
      <c r="AA26" s="704" t="s">
        <v>99</v>
      </c>
      <c r="AB26" s="705">
        <v>24.7076023391813</v>
      </c>
      <c r="AC26" s="705">
        <v>23.2067510548523</v>
      </c>
      <c r="AD26" s="705">
        <v>25</v>
      </c>
      <c r="AE26" s="705">
        <v>23.7789203084833</v>
      </c>
      <c r="AF26" s="705" t="e">
        <v>#N/A</v>
      </c>
      <c r="AG26" s="705" t="e">
        <v>#N/A</v>
      </c>
      <c r="AH26" s="705" t="e">
        <v>#N/A</v>
      </c>
      <c r="AI26" s="705" t="e">
        <v>#N/A</v>
      </c>
      <c r="AJ26" s="705" t="e">
        <v>#N/A</v>
      </c>
      <c r="AK26" s="705" t="e">
        <v>#N/A</v>
      </c>
    </row>
    <row r="27" spans="1:37">
      <c r="A27" s="675"/>
      <c r="B27" s="708">
        <f t="shared" ref="B27" si="19">IF(B25=0,0,IF(B25&lt;$B$13,B25+1,""))</f>
        <v>7</v>
      </c>
      <c r="C27" s="702">
        <f>IFERROR(VLOOKUP(B27,DATEWISE!$A$3:$BY$27,2,0),0)</f>
        <v>0</v>
      </c>
      <c r="D27" s="702">
        <f>IFERROR(VLOOKUP(C27,DATEWISE!$B$3:$BY$27,29,0),0)</f>
        <v>0</v>
      </c>
      <c r="E27" s="702">
        <f>IFERROR(VLOOKUP(C27,DATEWISE!$B$3:$BY$27,30,0),0)</f>
        <v>0</v>
      </c>
      <c r="F27" s="702">
        <f>IFERROR(VLOOKUP(C27,DATEWISE!$B$3:$BY$27,31,0),0)</f>
        <v>0</v>
      </c>
      <c r="G27" s="703" t="str">
        <f t="shared" ref="G27" si="20">IF(B27="","",IF(B27&gt;0,"NUM",""))</f>
        <v>NUM</v>
      </c>
      <c r="H27" s="702">
        <f>IFERROR(VLOOKUP(C27&amp;$H$13,DATEWISE!$AG$3:$BY$27,2,0),0)</f>
        <v>0</v>
      </c>
      <c r="I27" s="702">
        <f>IFERROR(VLOOKUP(C27&amp;$H$13,DATEWISE!$AG$3:$BY$27,3,0),0)</f>
        <v>0</v>
      </c>
      <c r="J27" s="702">
        <f>IFERROR(VLOOKUP(C27&amp;$H$13,DATEWISE!$AG$3:$BY$27,4,0),0)</f>
        <v>0</v>
      </c>
      <c r="K27" s="702">
        <f>IFERROR(VLOOKUP(C27&amp;$H$13,DATEWISE!$AG$3:$BY$27,5,0),0)</f>
        <v>0</v>
      </c>
      <c r="L27" s="702">
        <f>IFERROR(VLOOKUP(C27&amp;$H$13,DATEWISE!$AG$3:$BY$27,6,0),0)</f>
        <v>0</v>
      </c>
      <c r="M27" s="702">
        <f>IFERROR(VLOOKUP(C27&amp;$M$13,DATEWISE!$AN$3:$BY$27,2,0),0)</f>
        <v>0</v>
      </c>
      <c r="N27" s="702">
        <f>IFERROR(VLOOKUP(C27&amp;$M$13,DATEWISE!$AN$3:$BY$27,3,0),0)</f>
        <v>0</v>
      </c>
      <c r="O27" s="702">
        <f>IFERROR(VLOOKUP(C27&amp;$M$13,DATEWISE!$AN$3:$BY$27,4,0),0)</f>
        <v>0</v>
      </c>
      <c r="P27" s="702">
        <f>IFERROR(VLOOKUP(C27&amp;$M$13,DATEWISE!$AN$3:$BY$27,5,0),0)</f>
        <v>0</v>
      </c>
      <c r="Q27" s="702">
        <f>IFERROR(VLOOKUP(C27&amp;$M$13,DATEWISE!$AN$3:$BY$27,6,0),0)</f>
        <v>0</v>
      </c>
      <c r="R27" s="702">
        <f>IFERROR(VLOOKUP(C27&amp;$R$13,DATEWISE!$AU$3:$BY$27,2,0),0)</f>
        <v>0</v>
      </c>
      <c r="S27" s="702">
        <f>IFERROR(VLOOKUP(C27&amp;$R$13,DATEWISE!$AU$3:$BY$27,3,0),0)</f>
        <v>0</v>
      </c>
      <c r="T27" s="702">
        <f>IFERROR(VLOOKUP(C27&amp;$R$13,DATEWISE!$AU$3:$BY$27,4,0),0)</f>
        <v>0</v>
      </c>
      <c r="U27" s="702">
        <f>IFERROR(VLOOKUP(C27&amp;$R$13,DATEWISE!$AU$3:$BY$27,5,0),0)</f>
        <v>0</v>
      </c>
      <c r="V27" s="702">
        <f>IFERROR(VLOOKUP(C27&amp;$R$13,DATEWISE!$AU$3:$BY$27,6,0),0)</f>
        <v>0</v>
      </c>
      <c r="W27" s="677"/>
      <c r="AA27" s="704" t="s">
        <v>100</v>
      </c>
      <c r="AB27" s="705">
        <v>3.3625730994152</v>
      </c>
      <c r="AC27" s="705">
        <v>3.23488045007032</v>
      </c>
      <c r="AD27" s="705">
        <v>3.30687830687831</v>
      </c>
      <c r="AE27" s="705">
        <v>3.2133676092545</v>
      </c>
      <c r="AF27" s="705" t="e">
        <v>#N/A</v>
      </c>
      <c r="AG27" s="705" t="e">
        <v>#N/A</v>
      </c>
      <c r="AH27" s="705" t="e">
        <v>#N/A</v>
      </c>
      <c r="AI27" s="705" t="e">
        <v>#N/A</v>
      </c>
      <c r="AJ27" s="705" t="e">
        <v>#N/A</v>
      </c>
      <c r="AK27" s="705" t="e">
        <v>#N/A</v>
      </c>
    </row>
    <row r="28" spans="1:37">
      <c r="A28" s="675"/>
      <c r="B28" s="709"/>
      <c r="C28" s="702"/>
      <c r="D28" s="702"/>
      <c r="E28" s="702"/>
      <c r="F28" s="702"/>
      <c r="G28" s="703" t="str">
        <f t="shared" ref="G28" si="21">IF(B27="","",IF(B27&gt;0,"%",""))</f>
        <v>%</v>
      </c>
      <c r="H28" s="707" t="e">
        <f>IF(H27=0,NA(),(H27/$F$27*100))</f>
        <v>#N/A</v>
      </c>
      <c r="I28" s="707" t="e">
        <f t="shared" ref="I28:V28" si="22">IF(I27=0,NA(),(I27/$F$27*100))</f>
        <v>#N/A</v>
      </c>
      <c r="J28" s="707" t="e">
        <f t="shared" si="22"/>
        <v>#N/A</v>
      </c>
      <c r="K28" s="707" t="e">
        <f t="shared" si="22"/>
        <v>#N/A</v>
      </c>
      <c r="L28" s="707" t="e">
        <f t="shared" si="22"/>
        <v>#N/A</v>
      </c>
      <c r="M28" s="707" t="e">
        <f t="shared" si="22"/>
        <v>#N/A</v>
      </c>
      <c r="N28" s="707" t="e">
        <f t="shared" si="22"/>
        <v>#N/A</v>
      </c>
      <c r="O28" s="707" t="e">
        <f t="shared" si="22"/>
        <v>#N/A</v>
      </c>
      <c r="P28" s="707" t="e">
        <f t="shared" si="22"/>
        <v>#N/A</v>
      </c>
      <c r="Q28" s="707" t="e">
        <f t="shared" si="22"/>
        <v>#N/A</v>
      </c>
      <c r="R28" s="707" t="e">
        <f t="shared" si="22"/>
        <v>#N/A</v>
      </c>
      <c r="S28" s="707" t="e">
        <f t="shared" si="22"/>
        <v>#N/A</v>
      </c>
      <c r="T28" s="707" t="e">
        <f t="shared" si="22"/>
        <v>#N/A</v>
      </c>
      <c r="U28" s="707" t="e">
        <f t="shared" si="22"/>
        <v>#N/A</v>
      </c>
      <c r="V28" s="707" t="e">
        <f t="shared" si="22"/>
        <v>#N/A</v>
      </c>
      <c r="W28" s="677"/>
    </row>
    <row r="29" spans="1:37">
      <c r="A29" s="675"/>
      <c r="B29" s="708">
        <f t="shared" ref="B29" si="23">IF(B27=0,0,IF(B27&lt;$B$13,B27+1,""))</f>
        <v>8</v>
      </c>
      <c r="C29" s="702">
        <f>IFERROR(VLOOKUP(B29,DATEWISE!$A$3:$BY$27,2,0),0)</f>
        <v>0</v>
      </c>
      <c r="D29" s="702">
        <f>IFERROR(VLOOKUP(C29,DATEWISE!$B$3:$BY$27,29,0),0)</f>
        <v>0</v>
      </c>
      <c r="E29" s="702">
        <f>IFERROR(VLOOKUP(C29,DATEWISE!$B$3:$BY$27,30,0),0)</f>
        <v>0</v>
      </c>
      <c r="F29" s="702">
        <f>IFERROR(VLOOKUP(C29,DATEWISE!$B$3:$BY$27,31,0),0)</f>
        <v>0</v>
      </c>
      <c r="G29" s="703" t="str">
        <f t="shared" ref="G29" si="24">IF(B29="","",IF(B29&gt;0,"NUM",""))</f>
        <v>NUM</v>
      </c>
      <c r="H29" s="702">
        <f>IFERROR(VLOOKUP(C29&amp;$H$13,DATEWISE!$AG$3:$BY$27,2,0),0)</f>
        <v>0</v>
      </c>
      <c r="I29" s="702">
        <f>IFERROR(VLOOKUP(C29&amp;$H$13,DATEWISE!$AG$3:$BY$27,3,0),0)</f>
        <v>0</v>
      </c>
      <c r="J29" s="702">
        <f>IFERROR(VLOOKUP(C29&amp;$H$13,DATEWISE!$AG$3:$BY$27,4,0),0)</f>
        <v>0</v>
      </c>
      <c r="K29" s="702">
        <f>IFERROR(VLOOKUP(C29&amp;$H$13,DATEWISE!$AG$3:$BY$27,5,0),0)</f>
        <v>0</v>
      </c>
      <c r="L29" s="702">
        <f>IFERROR(VLOOKUP(C29&amp;$H$13,DATEWISE!$AG$3:$BY$27,6,0),0)</f>
        <v>0</v>
      </c>
      <c r="M29" s="702">
        <f>IFERROR(VLOOKUP(C29&amp;$M$13,DATEWISE!$AN$3:$BY$27,2,0),0)</f>
        <v>0</v>
      </c>
      <c r="N29" s="702">
        <f>IFERROR(VLOOKUP(C29&amp;$M$13,DATEWISE!$AN$3:$BY$27,3,0),0)</f>
        <v>0</v>
      </c>
      <c r="O29" s="702">
        <f>IFERROR(VLOOKUP(C29&amp;$M$13,DATEWISE!$AN$3:$BY$27,4,0),0)</f>
        <v>0</v>
      </c>
      <c r="P29" s="702">
        <f>IFERROR(VLOOKUP(C29&amp;$M$13,DATEWISE!$AN$3:$BY$27,5,0),0)</f>
        <v>0</v>
      </c>
      <c r="Q29" s="702">
        <f>IFERROR(VLOOKUP(C29&amp;$M$13,DATEWISE!$AN$3:$BY$27,6,0),0)</f>
        <v>0</v>
      </c>
      <c r="R29" s="702">
        <f>IFERROR(VLOOKUP(C29&amp;$R$13,DATEWISE!$AU$3:$BY$27,2,0),0)</f>
        <v>0</v>
      </c>
      <c r="S29" s="702">
        <f>IFERROR(VLOOKUP(C29&amp;$R$13,DATEWISE!$AU$3:$BY$27,3,0),0)</f>
        <v>0</v>
      </c>
      <c r="T29" s="702">
        <f>IFERROR(VLOOKUP(C29&amp;$R$13,DATEWISE!$AU$3:$BY$27,4,0),0)</f>
        <v>0</v>
      </c>
      <c r="U29" s="702">
        <f>IFERROR(VLOOKUP(C29&amp;$R$13,DATEWISE!$AU$3:$BY$27,5,0),0)</f>
        <v>0</v>
      </c>
      <c r="V29" s="702">
        <f>IFERROR(VLOOKUP(C29&amp;$R$13,DATEWISE!$AU$3:$BY$27,6,0),0)</f>
        <v>0</v>
      </c>
      <c r="W29" s="677"/>
      <c r="AA29" s="695" t="s">
        <v>89</v>
      </c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</row>
    <row r="30" spans="1:37">
      <c r="A30" s="675"/>
      <c r="B30" s="709"/>
      <c r="C30" s="702"/>
      <c r="D30" s="702"/>
      <c r="E30" s="702"/>
      <c r="F30" s="702"/>
      <c r="G30" s="703" t="str">
        <f t="shared" ref="G30" si="25">IF(B29="","",IF(B29&gt;0,"%",""))</f>
        <v>%</v>
      </c>
      <c r="H30" s="707" t="e">
        <f>IF(H29=0,NA(),(H29/$F$29*100))</f>
        <v>#N/A</v>
      </c>
      <c r="I30" s="707" t="e">
        <f t="shared" ref="I30:V30" si="26">IF(I29=0,NA(),(I29/$F$29*100))</f>
        <v>#N/A</v>
      </c>
      <c r="J30" s="707" t="e">
        <f t="shared" si="26"/>
        <v>#N/A</v>
      </c>
      <c r="K30" s="707" t="e">
        <f t="shared" si="26"/>
        <v>#N/A</v>
      </c>
      <c r="L30" s="707" t="e">
        <f t="shared" si="26"/>
        <v>#N/A</v>
      </c>
      <c r="M30" s="707" t="e">
        <f t="shared" si="26"/>
        <v>#N/A</v>
      </c>
      <c r="N30" s="707" t="e">
        <f t="shared" si="26"/>
        <v>#N/A</v>
      </c>
      <c r="O30" s="707" t="e">
        <f t="shared" si="26"/>
        <v>#N/A</v>
      </c>
      <c r="P30" s="707" t="e">
        <f t="shared" si="26"/>
        <v>#N/A</v>
      </c>
      <c r="Q30" s="707" t="e">
        <f t="shared" si="26"/>
        <v>#N/A</v>
      </c>
      <c r="R30" s="707" t="e">
        <f t="shared" si="26"/>
        <v>#N/A</v>
      </c>
      <c r="S30" s="707" t="e">
        <f t="shared" si="26"/>
        <v>#N/A</v>
      </c>
      <c r="T30" s="707" t="e">
        <f t="shared" si="26"/>
        <v>#N/A</v>
      </c>
      <c r="U30" s="707" t="e">
        <f t="shared" si="26"/>
        <v>#N/A</v>
      </c>
      <c r="V30" s="707" t="e">
        <f t="shared" si="26"/>
        <v>#N/A</v>
      </c>
      <c r="W30" s="677"/>
      <c r="AA30" s="699" t="s">
        <v>450</v>
      </c>
      <c r="AB30" s="699" t="str">
        <f>$C$15</f>
        <v>30.04.2026</v>
      </c>
      <c r="AC30" s="699" t="str">
        <f>$C$17</f>
        <v>08.05.2026</v>
      </c>
      <c r="AD30" s="699" t="str">
        <f>$C$19</f>
        <v>15.07.2026</v>
      </c>
      <c r="AE30" s="699" t="str">
        <f>$C$21</f>
        <v>31.07.2026</v>
      </c>
      <c r="AF30" s="699" t="str">
        <f>$C$23</f>
        <v>17.08.2026</v>
      </c>
      <c r="AG30" s="699" t="str">
        <f>$C$25</f>
        <v>31.08.2026</v>
      </c>
      <c r="AH30" s="699">
        <f>$C$27</f>
        <v>0</v>
      </c>
      <c r="AI30" s="699">
        <f>$C$29</f>
        <v>0</v>
      </c>
      <c r="AJ30" s="699">
        <f>$C$31</f>
        <v>0</v>
      </c>
      <c r="AK30" s="699">
        <f>$C$33</f>
        <v>0</v>
      </c>
    </row>
    <row r="31" spans="1:37">
      <c r="A31" s="675"/>
      <c r="B31" s="708">
        <f t="shared" ref="B31" si="27">IF(B29=0,0,IF(B29&lt;$B$13,B29+1,""))</f>
        <v>9</v>
      </c>
      <c r="C31" s="702">
        <f>IFERROR(VLOOKUP(B31,DATEWISE!$A$3:$BY$27,2,0),0)</f>
        <v>0</v>
      </c>
      <c r="D31" s="702">
        <f>IFERROR(VLOOKUP(C31,DATEWISE!$B$3:$BY$27,29,0),0)</f>
        <v>0</v>
      </c>
      <c r="E31" s="702">
        <f>IFERROR(VLOOKUP(C31,DATEWISE!$B$3:$BY$27,30,0),0)</f>
        <v>0</v>
      </c>
      <c r="F31" s="702">
        <f>IFERROR(VLOOKUP(C31,DATEWISE!$B$3:$BY$27,31,0),0)</f>
        <v>0</v>
      </c>
      <c r="G31" s="703" t="str">
        <f t="shared" ref="G31" si="28">IF(B31="","",IF(B31&gt;0,"NUM",""))</f>
        <v>NUM</v>
      </c>
      <c r="H31" s="702">
        <f>IFERROR(VLOOKUP(C31&amp;$H$13,DATEWISE!$AG$3:$BY$27,2,0),0)</f>
        <v>0</v>
      </c>
      <c r="I31" s="702">
        <f>IFERROR(VLOOKUP(C31&amp;$H$13,DATEWISE!$AG$3:$BY$27,3,0),0)</f>
        <v>0</v>
      </c>
      <c r="J31" s="702">
        <f>IFERROR(VLOOKUP(C31&amp;$H$13,DATEWISE!$AG$3:$BY$27,4,0),0)</f>
        <v>0</v>
      </c>
      <c r="K31" s="702">
        <f>IFERROR(VLOOKUP(C31&amp;$H$13,DATEWISE!$AG$3:$BY$27,5,0),0)</f>
        <v>0</v>
      </c>
      <c r="L31" s="702">
        <f>IFERROR(VLOOKUP(C31&amp;$H$13,DATEWISE!$AG$3:$BY$27,6,0),0)</f>
        <v>0</v>
      </c>
      <c r="M31" s="702">
        <f>IFERROR(VLOOKUP(C31&amp;$M$13,DATEWISE!$AN$3:$BY$27,2,0),0)</f>
        <v>0</v>
      </c>
      <c r="N31" s="702">
        <f>IFERROR(VLOOKUP(C31&amp;$M$13,DATEWISE!$AN$3:$BY$27,3,0),0)</f>
        <v>0</v>
      </c>
      <c r="O31" s="702">
        <f>IFERROR(VLOOKUP(C31&amp;$M$13,DATEWISE!$AN$3:$BY$27,4,0),0)</f>
        <v>0</v>
      </c>
      <c r="P31" s="702">
        <f>IFERROR(VLOOKUP(C31&amp;$M$13,DATEWISE!$AN$3:$BY$27,5,0),0)</f>
        <v>0</v>
      </c>
      <c r="Q31" s="702">
        <f>IFERROR(VLOOKUP(C31&amp;$M$13,DATEWISE!$AN$3:$BY$27,6,0),0)</f>
        <v>0</v>
      </c>
      <c r="R31" s="702">
        <f>IFERROR(VLOOKUP(C31&amp;$R$13,DATEWISE!$AU$3:$BY$27,2,0),0)</f>
        <v>0</v>
      </c>
      <c r="S31" s="702">
        <f>IFERROR(VLOOKUP(C31&amp;$R$13,DATEWISE!$AU$3:$BY$27,3,0),0)</f>
        <v>0</v>
      </c>
      <c r="T31" s="702">
        <f>IFERROR(VLOOKUP(C31&amp;$R$13,DATEWISE!$AU$3:$BY$27,4,0),0)</f>
        <v>0</v>
      </c>
      <c r="U31" s="702">
        <f>IFERROR(VLOOKUP(C31&amp;$R$13,DATEWISE!$AU$3:$BY$27,5,0),0)</f>
        <v>0</v>
      </c>
      <c r="V31" s="702">
        <f>IFERROR(VLOOKUP(C31&amp;$R$13,DATEWISE!$AU$3:$BY$27,6,0),0)</f>
        <v>0</v>
      </c>
      <c r="W31" s="677"/>
      <c r="AA31" s="704" t="s">
        <v>96</v>
      </c>
      <c r="AB31" s="705">
        <f t="array" ref="AB31:AB35">TRANSPOSE(R16:V16)</f>
        <v>1.75438596491228</v>
      </c>
      <c r="AC31" s="705">
        <f t="array" ref="AC31:AC35">TRANSPOSE(R18:V18)</f>
        <v>1.68776371308017</v>
      </c>
      <c r="AD31" s="705">
        <f t="array" ref="AD31:AD35">TRANSPOSE(R20:V20)</f>
        <v>1.19047619047619</v>
      </c>
      <c r="AE31" s="705">
        <f t="array" ref="AE31:AE35">TRANSPOSE(R22:V22)</f>
        <v>1.15681233933162</v>
      </c>
      <c r="AF31" s="705" t="e">
        <f t="array" ref="AF31:AF35">TRANSPOSE(R24:V24)</f>
        <v>#N/A</v>
      </c>
      <c r="AG31" s="705" t="e">
        <f t="array" ref="AG31:AG35">TRANSPOSE(R26:V26)</f>
        <v>#N/A</v>
      </c>
      <c r="AH31" s="705" t="e">
        <f t="array" ref="AH31:AH35">TRANSPOSE(R28:V28)</f>
        <v>#N/A</v>
      </c>
      <c r="AI31" s="705" t="e">
        <f t="array" ref="AI31:AI35">TRANSPOSE(R30:V30)</f>
        <v>#N/A</v>
      </c>
      <c r="AJ31" s="705" t="e">
        <f t="array" ref="AJ31:AJ35">TRANSPOSE(R32:V32)</f>
        <v>#N/A</v>
      </c>
      <c r="AK31" s="705" t="e">
        <f t="array" ref="AK31:AK35">TRANSPOSE(R34:V34)</f>
        <v>#N/A</v>
      </c>
    </row>
    <row r="32" spans="1:37">
      <c r="A32" s="675"/>
      <c r="B32" s="709"/>
      <c r="C32" s="702"/>
      <c r="D32" s="702"/>
      <c r="E32" s="702"/>
      <c r="F32" s="702"/>
      <c r="G32" s="703" t="str">
        <f t="shared" ref="G32" si="29">IF(B31="","",IF(B31&gt;0,"%",""))</f>
        <v>%</v>
      </c>
      <c r="H32" s="707" t="e">
        <f>IF(H31=0,NA(),(H31/$F$31*100))</f>
        <v>#N/A</v>
      </c>
      <c r="I32" s="707" t="e">
        <f t="shared" ref="I32:V32" si="30">IF(I31=0,NA(),(I31/$F$31*100))</f>
        <v>#N/A</v>
      </c>
      <c r="J32" s="707" t="e">
        <f t="shared" si="30"/>
        <v>#N/A</v>
      </c>
      <c r="K32" s="707" t="e">
        <f t="shared" si="30"/>
        <v>#N/A</v>
      </c>
      <c r="L32" s="707" t="e">
        <f t="shared" si="30"/>
        <v>#N/A</v>
      </c>
      <c r="M32" s="707" t="e">
        <f t="shared" si="30"/>
        <v>#N/A</v>
      </c>
      <c r="N32" s="707" t="e">
        <f t="shared" si="30"/>
        <v>#N/A</v>
      </c>
      <c r="O32" s="707" t="e">
        <f t="shared" si="30"/>
        <v>#N/A</v>
      </c>
      <c r="P32" s="707" t="e">
        <f t="shared" si="30"/>
        <v>#N/A</v>
      </c>
      <c r="Q32" s="707" t="e">
        <f t="shared" si="30"/>
        <v>#N/A</v>
      </c>
      <c r="R32" s="707" t="e">
        <f t="shared" si="30"/>
        <v>#N/A</v>
      </c>
      <c r="S32" s="707" t="e">
        <f t="shared" si="30"/>
        <v>#N/A</v>
      </c>
      <c r="T32" s="707" t="e">
        <f t="shared" si="30"/>
        <v>#N/A</v>
      </c>
      <c r="U32" s="707" t="e">
        <f t="shared" si="30"/>
        <v>#N/A</v>
      </c>
      <c r="V32" s="707" t="e">
        <f t="shared" si="30"/>
        <v>#N/A</v>
      </c>
      <c r="W32" s="677"/>
      <c r="AA32" s="704" t="s">
        <v>97</v>
      </c>
      <c r="AB32" s="705">
        <v>20.1754385964912</v>
      </c>
      <c r="AC32" s="705">
        <v>23.7693389592124</v>
      </c>
      <c r="AD32" s="705">
        <v>23.6772486772487</v>
      </c>
      <c r="AE32" s="705">
        <v>22.6221079691517</v>
      </c>
      <c r="AF32" s="705" t="e">
        <v>#N/A</v>
      </c>
      <c r="AG32" s="705" t="e">
        <v>#N/A</v>
      </c>
      <c r="AH32" s="705" t="e">
        <v>#N/A</v>
      </c>
      <c r="AI32" s="705" t="e">
        <v>#N/A</v>
      </c>
      <c r="AJ32" s="705" t="e">
        <v>#N/A</v>
      </c>
      <c r="AK32" s="705" t="e">
        <v>#N/A</v>
      </c>
    </row>
    <row r="33" spans="1:37">
      <c r="A33" s="675"/>
      <c r="B33" s="708">
        <f t="shared" ref="B33" si="31">IF(B31=0,0,IF(B31&lt;$B$13,B31+1,""))</f>
        <v>10</v>
      </c>
      <c r="C33" s="702">
        <f>IFERROR(VLOOKUP(B33,DATEWISE!$A$3:$BY$27,2,0),0)</f>
        <v>0</v>
      </c>
      <c r="D33" s="702">
        <f>IFERROR(VLOOKUP(C33,DATEWISE!$B$3:$BY$27,29,0),0)</f>
        <v>0</v>
      </c>
      <c r="E33" s="702">
        <f>IFERROR(VLOOKUP(C33,DATEWISE!$B$3:$BY$27,30,0),0)</f>
        <v>0</v>
      </c>
      <c r="F33" s="702">
        <f>IFERROR(VLOOKUP(C33,DATEWISE!$B$3:$BY$27,31,0),0)</f>
        <v>0</v>
      </c>
      <c r="G33" s="703" t="str">
        <f t="shared" ref="G33" si="32">IF(B33="","",IF(B33&gt;0,"NUM",""))</f>
        <v>NUM</v>
      </c>
      <c r="H33" s="702">
        <f>IFERROR(VLOOKUP(C33&amp;$H$13,DATEWISE!$AG$3:$BY$27,2,0),0)</f>
        <v>0</v>
      </c>
      <c r="I33" s="702">
        <f>IFERROR(VLOOKUP(C33&amp;$H$13,DATEWISE!$AG$3:$BY$27,3,0),0)</f>
        <v>0</v>
      </c>
      <c r="J33" s="702">
        <f>IFERROR(VLOOKUP(C33&amp;$H$13,DATEWISE!$AG$3:$BY$27,4,0),0)</f>
        <v>0</v>
      </c>
      <c r="K33" s="702">
        <f>IFERROR(VLOOKUP(C33&amp;$H$13,DATEWISE!$AG$3:$BY$27,5,0),0)</f>
        <v>0</v>
      </c>
      <c r="L33" s="702">
        <f>IFERROR(VLOOKUP(C33&amp;$H$13,DATEWISE!$AG$3:$BY$27,6,0),0)</f>
        <v>0</v>
      </c>
      <c r="M33" s="702">
        <f>IFERROR(VLOOKUP(C33&amp;$M$13,DATEWISE!$AN$3:$BY$27,2,0),0)</f>
        <v>0</v>
      </c>
      <c r="N33" s="702">
        <f>IFERROR(VLOOKUP(C33&amp;$M$13,DATEWISE!$AN$3:$BY$27,3,0),0)</f>
        <v>0</v>
      </c>
      <c r="O33" s="702">
        <f>IFERROR(VLOOKUP(C33&amp;$M$13,DATEWISE!$AN$3:$BY$27,4,0),0)</f>
        <v>0</v>
      </c>
      <c r="P33" s="702">
        <f>IFERROR(VLOOKUP(C33&amp;$M$13,DATEWISE!$AN$3:$BY$27,5,0),0)</f>
        <v>0</v>
      </c>
      <c r="Q33" s="702">
        <f>IFERROR(VLOOKUP(C33&amp;$M$13,DATEWISE!$AN$3:$BY$27,6,0),0)</f>
        <v>0</v>
      </c>
      <c r="R33" s="702">
        <f>IFERROR(VLOOKUP(C33&amp;$R$13,DATEWISE!$AU$3:$BY$27,2,0),0)</f>
        <v>0</v>
      </c>
      <c r="S33" s="702">
        <f>IFERROR(VLOOKUP(C33&amp;$R$13,DATEWISE!$AU$3:$BY$27,3,0),0)</f>
        <v>0</v>
      </c>
      <c r="T33" s="702">
        <f>IFERROR(VLOOKUP(C33&amp;$R$13,DATEWISE!$AU$3:$BY$27,4,0),0)</f>
        <v>0</v>
      </c>
      <c r="U33" s="702">
        <f>IFERROR(VLOOKUP(C33&amp;$R$13,DATEWISE!$AU$3:$BY$27,5,0),0)</f>
        <v>0</v>
      </c>
      <c r="V33" s="702">
        <f>IFERROR(VLOOKUP(C33&amp;$R$13,DATEWISE!$AU$3:$BY$27,6,0),0)</f>
        <v>0</v>
      </c>
      <c r="W33" s="677"/>
      <c r="AA33" s="704" t="s">
        <v>98</v>
      </c>
      <c r="AB33" s="705">
        <v>54.6783625730994</v>
      </c>
      <c r="AC33" s="705">
        <v>52.6019690576653</v>
      </c>
      <c r="AD33" s="705">
        <v>54.3650793650794</v>
      </c>
      <c r="AE33" s="705">
        <v>56.5552699228792</v>
      </c>
      <c r="AF33" s="705" t="e">
        <v>#N/A</v>
      </c>
      <c r="AG33" s="705" t="e">
        <v>#N/A</v>
      </c>
      <c r="AH33" s="705" t="e">
        <v>#N/A</v>
      </c>
      <c r="AI33" s="705" t="e">
        <v>#N/A</v>
      </c>
      <c r="AJ33" s="705" t="e">
        <v>#N/A</v>
      </c>
      <c r="AK33" s="705" t="e">
        <v>#N/A</v>
      </c>
    </row>
    <row r="34" spans="1:37">
      <c r="A34" s="675"/>
      <c r="B34" s="709"/>
      <c r="C34" s="702"/>
      <c r="D34" s="702"/>
      <c r="E34" s="702"/>
      <c r="F34" s="702"/>
      <c r="G34" s="703" t="str">
        <f t="shared" ref="G34" si="33">IF(B33="","",IF(B33&gt;0,"%",""))</f>
        <v>%</v>
      </c>
      <c r="H34" s="707" t="e">
        <f>IF(H33=0,NA(),(H33/$F$31*100))</f>
        <v>#N/A</v>
      </c>
      <c r="I34" s="707" t="e">
        <f t="shared" ref="I34:V34" si="34">IF(I33=0,NA(),(I33/$F$31*100))</f>
        <v>#N/A</v>
      </c>
      <c r="J34" s="707" t="e">
        <f t="shared" si="34"/>
        <v>#N/A</v>
      </c>
      <c r="K34" s="707" t="e">
        <f t="shared" si="34"/>
        <v>#N/A</v>
      </c>
      <c r="L34" s="707" t="e">
        <f t="shared" si="34"/>
        <v>#N/A</v>
      </c>
      <c r="M34" s="707" t="e">
        <f t="shared" si="34"/>
        <v>#N/A</v>
      </c>
      <c r="N34" s="707" t="e">
        <f t="shared" si="34"/>
        <v>#N/A</v>
      </c>
      <c r="O34" s="707" t="e">
        <f t="shared" si="34"/>
        <v>#N/A</v>
      </c>
      <c r="P34" s="707" t="e">
        <f t="shared" si="34"/>
        <v>#N/A</v>
      </c>
      <c r="Q34" s="707" t="e">
        <f t="shared" si="34"/>
        <v>#N/A</v>
      </c>
      <c r="R34" s="707" t="e">
        <f t="shared" si="34"/>
        <v>#N/A</v>
      </c>
      <c r="S34" s="707" t="e">
        <f t="shared" si="34"/>
        <v>#N/A</v>
      </c>
      <c r="T34" s="707" t="e">
        <f t="shared" si="34"/>
        <v>#N/A</v>
      </c>
      <c r="U34" s="707" t="e">
        <f t="shared" si="34"/>
        <v>#N/A</v>
      </c>
      <c r="V34" s="707" t="e">
        <f t="shared" si="34"/>
        <v>#N/A</v>
      </c>
      <c r="W34" s="677"/>
      <c r="AA34" s="704" t="s">
        <v>99</v>
      </c>
      <c r="AB34" s="705">
        <v>20.0292397660819</v>
      </c>
      <c r="AC34" s="705">
        <v>18.7060478199719</v>
      </c>
      <c r="AD34" s="705">
        <v>17.5925925925926</v>
      </c>
      <c r="AE34" s="705">
        <v>16.5809768637532</v>
      </c>
      <c r="AF34" s="705" t="e">
        <v>#N/A</v>
      </c>
      <c r="AG34" s="705" t="e">
        <v>#N/A</v>
      </c>
      <c r="AH34" s="705" t="e">
        <v>#N/A</v>
      </c>
      <c r="AI34" s="705" t="e">
        <v>#N/A</v>
      </c>
      <c r="AJ34" s="705" t="e">
        <v>#N/A</v>
      </c>
      <c r="AK34" s="705" t="e">
        <v>#N/A</v>
      </c>
    </row>
    <row r="35" s="667" customFormat="1" ht="24.95" customHeight="1" spans="1:37">
      <c r="A35" s="711"/>
      <c r="B35" s="712" t="s">
        <v>464</v>
      </c>
      <c r="C35" s="712"/>
      <c r="D35" s="712"/>
      <c r="E35" s="712"/>
      <c r="F35" s="712"/>
      <c r="G35" s="712"/>
      <c r="H35" s="712"/>
      <c r="I35" s="712"/>
      <c r="J35" s="712"/>
      <c r="K35" s="712"/>
      <c r="L35" s="712"/>
      <c r="M35" s="712"/>
      <c r="N35" s="712"/>
      <c r="O35" s="712"/>
      <c r="P35" s="712"/>
      <c r="Q35" s="712"/>
      <c r="R35" s="712"/>
      <c r="S35" s="712"/>
      <c r="T35" s="712"/>
      <c r="U35" s="712"/>
      <c r="V35" s="712"/>
      <c r="W35" s="713"/>
      <c r="AA35" s="714" t="s">
        <v>100</v>
      </c>
      <c r="AB35" s="715">
        <v>3.3625730994152</v>
      </c>
      <c r="AC35" s="715">
        <v>3.23488045007032</v>
      </c>
      <c r="AD35" s="715">
        <v>3.17460317460317</v>
      </c>
      <c r="AE35" s="715">
        <v>3.08483290488432</v>
      </c>
      <c r="AF35" s="715" t="e">
        <v>#N/A</v>
      </c>
      <c r="AG35" s="715" t="e">
        <v>#N/A</v>
      </c>
      <c r="AH35" s="715" t="e">
        <v>#N/A</v>
      </c>
      <c r="AI35" s="715" t="e">
        <v>#N/A</v>
      </c>
      <c r="AJ35" s="715" t="e">
        <v>#N/A</v>
      </c>
      <c r="AK35" s="715" t="e">
        <v>#N/A</v>
      </c>
    </row>
    <row r="36" s="667" customFormat="1" ht="18.15" spans="1:37">
      <c r="A36" s="711"/>
      <c r="B36" s="716" t="s">
        <v>452</v>
      </c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8"/>
      <c r="W36" s="713"/>
      <c r="AA36" s="719"/>
      <c r="AB36" s="720"/>
      <c r="AC36" s="720"/>
      <c r="AD36" s="720"/>
      <c r="AE36" s="720"/>
      <c r="AF36" s="720"/>
      <c r="AG36" s="720"/>
      <c r="AH36" s="720"/>
      <c r="AI36" s="720"/>
      <c r="AJ36" s="720"/>
      <c r="AK36" s="720"/>
    </row>
    <row r="37" spans="1:37">
      <c r="A37" s="675"/>
      <c r="B37" s="721"/>
      <c r="C37" s="722"/>
      <c r="D37" s="722"/>
      <c r="E37" s="722"/>
      <c r="F37" s="722"/>
      <c r="G37" s="723"/>
      <c r="H37" s="722"/>
      <c r="I37" s="722"/>
      <c r="J37" s="722"/>
      <c r="K37" s="722"/>
      <c r="L37" s="722"/>
      <c r="M37" s="722"/>
      <c r="N37" s="722"/>
      <c r="O37" s="722"/>
      <c r="P37" s="722"/>
      <c r="Q37" s="722"/>
      <c r="R37" s="722"/>
      <c r="S37" s="722"/>
      <c r="T37" s="722"/>
      <c r="U37" s="722"/>
      <c r="V37" s="724"/>
      <c r="W37" s="677"/>
    </row>
    <row r="38" spans="1:37">
      <c r="A38" s="675"/>
      <c r="B38" s="675"/>
      <c r="C38" s="686"/>
      <c r="D38" s="686"/>
      <c r="E38" s="686"/>
      <c r="F38" s="686"/>
      <c r="G38" s="687"/>
      <c r="H38" s="686"/>
      <c r="I38" s="686"/>
      <c r="J38" s="686"/>
      <c r="K38" s="686"/>
      <c r="L38" s="686"/>
      <c r="M38" s="686"/>
      <c r="N38" s="686"/>
      <c r="O38" s="686"/>
      <c r="P38" s="686"/>
      <c r="Q38" s="686"/>
      <c r="R38" s="686"/>
      <c r="S38" s="686"/>
      <c r="T38" s="686"/>
      <c r="U38" s="686"/>
      <c r="V38" s="677"/>
      <c r="W38" s="677"/>
    </row>
    <row r="39" spans="1:37">
      <c r="A39" s="675"/>
      <c r="B39" s="675"/>
      <c r="C39" s="686"/>
      <c r="D39" s="686"/>
      <c r="E39" s="686"/>
      <c r="F39" s="686"/>
      <c r="G39" s="687"/>
      <c r="H39" s="686"/>
      <c r="I39" s="686"/>
      <c r="J39" s="686"/>
      <c r="K39" s="686"/>
      <c r="L39" s="686"/>
      <c r="M39" s="686"/>
      <c r="N39" s="686"/>
      <c r="O39" s="686"/>
      <c r="P39" s="686"/>
      <c r="Q39" s="686"/>
      <c r="R39" s="686"/>
      <c r="S39" s="686"/>
      <c r="T39" s="686"/>
      <c r="U39" s="686"/>
      <c r="V39" s="677"/>
      <c r="W39" s="677"/>
    </row>
    <row r="40" spans="1:37">
      <c r="A40" s="675"/>
      <c r="B40" s="675"/>
      <c r="C40" s="686"/>
      <c r="D40" s="686"/>
      <c r="E40" s="686"/>
      <c r="F40" s="686"/>
      <c r="G40" s="687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77"/>
      <c r="W40" s="677"/>
    </row>
    <row r="41" spans="1:37">
      <c r="A41" s="675"/>
      <c r="B41" s="675"/>
      <c r="C41" s="686"/>
      <c r="D41" s="686"/>
      <c r="E41" s="686"/>
      <c r="F41" s="686"/>
      <c r="G41" s="687"/>
      <c r="H41" s="686"/>
      <c r="I41" s="686"/>
      <c r="J41" s="686"/>
      <c r="K41" s="686"/>
      <c r="L41" s="686"/>
      <c r="M41" s="686"/>
      <c r="N41" s="686"/>
      <c r="O41" s="686"/>
      <c r="P41" s="686"/>
      <c r="Q41" s="686"/>
      <c r="R41" s="686"/>
      <c r="S41" s="686"/>
      <c r="T41" s="686"/>
      <c r="U41" s="686"/>
      <c r="V41" s="677"/>
      <c r="W41" s="677"/>
    </row>
    <row r="42" spans="1:37">
      <c r="A42" s="675"/>
      <c r="B42" s="675"/>
      <c r="C42" s="686"/>
      <c r="D42" s="686"/>
      <c r="E42" s="686"/>
      <c r="F42" s="686"/>
      <c r="G42" s="687"/>
      <c r="H42" s="686"/>
      <c r="I42" s="686"/>
      <c r="J42" s="686"/>
      <c r="K42" s="686"/>
      <c r="L42" s="686"/>
      <c r="M42" s="686"/>
      <c r="N42" s="686"/>
      <c r="O42" s="686"/>
      <c r="P42" s="686"/>
      <c r="Q42" s="686"/>
      <c r="R42" s="686"/>
      <c r="S42" s="686"/>
      <c r="T42" s="686"/>
      <c r="U42" s="686"/>
      <c r="V42" s="677"/>
      <c r="W42" s="677"/>
    </row>
    <row r="43" spans="1:37">
      <c r="A43" s="675"/>
      <c r="B43" s="675"/>
      <c r="C43" s="686"/>
      <c r="D43" s="686"/>
      <c r="E43" s="686"/>
      <c r="F43" s="686"/>
      <c r="G43" s="687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6"/>
      <c r="U43" s="686"/>
      <c r="V43" s="677"/>
      <c r="W43" s="677"/>
    </row>
    <row r="44" spans="1:37">
      <c r="A44" s="675"/>
      <c r="B44" s="675"/>
      <c r="C44" s="686"/>
      <c r="D44" s="686"/>
      <c r="E44" s="686"/>
      <c r="F44" s="686"/>
      <c r="G44" s="687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77"/>
      <c r="W44" s="677"/>
    </row>
    <row r="45" spans="1:37">
      <c r="A45" s="675"/>
      <c r="B45" s="675"/>
      <c r="C45" s="686"/>
      <c r="D45" s="686"/>
      <c r="E45" s="686"/>
      <c r="F45" s="686"/>
      <c r="G45" s="687"/>
      <c r="H45" s="686"/>
      <c r="I45" s="686"/>
      <c r="J45" s="686"/>
      <c r="K45" s="686"/>
      <c r="L45" s="686"/>
      <c r="M45" s="686"/>
      <c r="N45" s="686"/>
      <c r="O45" s="686"/>
      <c r="P45" s="686"/>
      <c r="Q45" s="686"/>
      <c r="R45" s="686"/>
      <c r="S45" s="686"/>
      <c r="T45" s="686"/>
      <c r="U45" s="686"/>
      <c r="V45" s="677"/>
      <c r="W45" s="677"/>
    </row>
    <row r="46" spans="1:37">
      <c r="A46" s="675"/>
      <c r="B46" s="675"/>
      <c r="C46" s="686"/>
      <c r="D46" s="686"/>
      <c r="E46" s="686"/>
      <c r="F46" s="686"/>
      <c r="G46" s="687"/>
      <c r="H46" s="686"/>
      <c r="I46" s="686"/>
      <c r="J46" s="686"/>
      <c r="K46" s="686"/>
      <c r="L46" s="686"/>
      <c r="M46" s="686"/>
      <c r="N46" s="686"/>
      <c r="O46" s="686"/>
      <c r="P46" s="686"/>
      <c r="Q46" s="686"/>
      <c r="R46" s="686"/>
      <c r="S46" s="686"/>
      <c r="T46" s="686"/>
      <c r="U46" s="686"/>
      <c r="V46" s="677"/>
      <c r="W46" s="677"/>
    </row>
    <row r="47" ht="16.35" spans="1:37">
      <c r="A47" s="675"/>
      <c r="B47" s="725"/>
      <c r="C47" s="726"/>
      <c r="D47" s="726"/>
      <c r="E47" s="726"/>
      <c r="F47" s="726"/>
      <c r="G47" s="727"/>
      <c r="H47" s="726"/>
      <c r="I47" s="726"/>
      <c r="J47" s="726"/>
      <c r="K47" s="726"/>
      <c r="L47" s="726"/>
      <c r="M47" s="726"/>
      <c r="N47" s="726"/>
      <c r="O47" s="726"/>
      <c r="P47" s="726"/>
      <c r="Q47" s="726"/>
      <c r="R47" s="726"/>
      <c r="S47" s="726"/>
      <c r="T47" s="726"/>
      <c r="U47" s="726"/>
      <c r="V47" s="728"/>
      <c r="W47" s="677"/>
    </row>
    <row r="48" ht="5.1" customHeight="1" spans="1:37">
      <c r="A48" s="675"/>
      <c r="B48" s="687"/>
      <c r="C48" s="687"/>
      <c r="D48" s="687"/>
      <c r="E48" s="687"/>
      <c r="F48" s="687"/>
      <c r="G48" s="687"/>
      <c r="H48" s="687"/>
      <c r="I48" s="687"/>
      <c r="J48" s="687"/>
      <c r="K48" s="687"/>
      <c r="L48" s="687"/>
      <c r="M48" s="687"/>
      <c r="N48" s="687"/>
      <c r="O48" s="687"/>
      <c r="P48" s="687"/>
      <c r="Q48" s="687"/>
      <c r="R48" s="687"/>
      <c r="S48" s="687"/>
      <c r="T48" s="687"/>
      <c r="U48" s="687"/>
      <c r="V48" s="687"/>
      <c r="W48" s="677"/>
    </row>
    <row r="49" s="667" customFormat="1" ht="18.15" spans="1:23">
      <c r="A49" s="711"/>
      <c r="B49" s="716" t="s">
        <v>453</v>
      </c>
      <c r="C49" s="717"/>
      <c r="D49" s="717"/>
      <c r="E49" s="717"/>
      <c r="F49" s="717"/>
      <c r="G49" s="717"/>
      <c r="H49" s="717"/>
      <c r="I49" s="717"/>
      <c r="J49" s="717"/>
      <c r="K49" s="717"/>
      <c r="L49" s="717"/>
      <c r="M49" s="717"/>
      <c r="N49" s="717"/>
      <c r="O49" s="717"/>
      <c r="P49" s="717"/>
      <c r="Q49" s="717"/>
      <c r="R49" s="717"/>
      <c r="S49" s="717"/>
      <c r="T49" s="717"/>
      <c r="U49" s="717"/>
      <c r="V49" s="718"/>
      <c r="W49" s="713"/>
    </row>
    <row r="50" spans="1:23">
      <c r="A50" s="675"/>
      <c r="B50" s="721"/>
      <c r="C50" s="722"/>
      <c r="D50" s="722"/>
      <c r="E50" s="722"/>
      <c r="F50" s="722"/>
      <c r="G50" s="723"/>
      <c r="H50" s="722"/>
      <c r="I50" s="722"/>
      <c r="J50" s="722"/>
      <c r="K50" s="722"/>
      <c r="L50" s="722"/>
      <c r="M50" s="722"/>
      <c r="N50" s="722"/>
      <c r="O50" s="722"/>
      <c r="P50" s="722"/>
      <c r="Q50" s="722"/>
      <c r="R50" s="722"/>
      <c r="S50" s="722"/>
      <c r="T50" s="722"/>
      <c r="U50" s="722"/>
      <c r="V50" s="724"/>
      <c r="W50" s="677"/>
    </row>
    <row r="51" spans="1:23">
      <c r="A51" s="675"/>
      <c r="B51" s="675"/>
      <c r="C51" s="686"/>
      <c r="D51" s="686"/>
      <c r="E51" s="686"/>
      <c r="F51" s="686"/>
      <c r="G51" s="687"/>
      <c r="H51" s="686"/>
      <c r="I51" s="686"/>
      <c r="J51" s="686"/>
      <c r="K51" s="686"/>
      <c r="L51" s="686"/>
      <c r="M51" s="686"/>
      <c r="N51" s="686"/>
      <c r="O51" s="686"/>
      <c r="P51" s="686"/>
      <c r="Q51" s="686"/>
      <c r="R51" s="686"/>
      <c r="S51" s="686"/>
      <c r="T51" s="686"/>
      <c r="U51" s="686"/>
      <c r="V51" s="677"/>
      <c r="W51" s="677"/>
    </row>
    <row r="52" spans="1:23">
      <c r="A52" s="675"/>
      <c r="B52" s="675"/>
      <c r="C52" s="686"/>
      <c r="D52" s="686"/>
      <c r="E52" s="686"/>
      <c r="F52" s="686"/>
      <c r="G52" s="687"/>
      <c r="H52" s="686"/>
      <c r="I52" s="686"/>
      <c r="J52" s="686"/>
      <c r="K52" s="686"/>
      <c r="L52" s="686"/>
      <c r="M52" s="686"/>
      <c r="N52" s="686"/>
      <c r="O52" s="686"/>
      <c r="P52" s="686"/>
      <c r="Q52" s="686"/>
      <c r="R52" s="686"/>
      <c r="S52" s="686"/>
      <c r="T52" s="686"/>
      <c r="U52" s="686"/>
      <c r="V52" s="677"/>
      <c r="W52" s="677"/>
    </row>
    <row r="53" spans="1:23">
      <c r="A53" s="675"/>
      <c r="B53" s="675"/>
      <c r="C53" s="686"/>
      <c r="D53" s="686"/>
      <c r="E53" s="686"/>
      <c r="F53" s="686"/>
      <c r="G53" s="687"/>
      <c r="H53" s="686"/>
      <c r="I53" s="686"/>
      <c r="J53" s="686"/>
      <c r="K53" s="686"/>
      <c r="L53" s="686"/>
      <c r="M53" s="686"/>
      <c r="N53" s="686"/>
      <c r="O53" s="686"/>
      <c r="P53" s="686"/>
      <c r="Q53" s="686"/>
      <c r="R53" s="686"/>
      <c r="S53" s="686"/>
      <c r="T53" s="686"/>
      <c r="U53" s="686"/>
      <c r="V53" s="677"/>
      <c r="W53" s="677"/>
    </row>
    <row r="54" spans="1:23">
      <c r="A54" s="675"/>
      <c r="B54" s="675"/>
      <c r="C54" s="686"/>
      <c r="D54" s="686"/>
      <c r="E54" s="686"/>
      <c r="F54" s="686"/>
      <c r="G54" s="687"/>
      <c r="H54" s="686"/>
      <c r="I54" s="686"/>
      <c r="J54" s="686"/>
      <c r="K54" s="686"/>
      <c r="L54" s="686"/>
      <c r="M54" s="686"/>
      <c r="N54" s="686"/>
      <c r="O54" s="686"/>
      <c r="P54" s="686"/>
      <c r="Q54" s="686"/>
      <c r="R54" s="686"/>
      <c r="S54" s="686"/>
      <c r="T54" s="686"/>
      <c r="U54" s="686"/>
      <c r="V54" s="677"/>
      <c r="W54" s="677"/>
    </row>
    <row r="55" spans="1:23">
      <c r="A55" s="675"/>
      <c r="B55" s="675"/>
      <c r="C55" s="686"/>
      <c r="D55" s="686"/>
      <c r="E55" s="686"/>
      <c r="F55" s="686"/>
      <c r="G55" s="687"/>
      <c r="H55" s="686"/>
      <c r="I55" s="686"/>
      <c r="J55" s="686"/>
      <c r="K55" s="686"/>
      <c r="L55" s="686"/>
      <c r="M55" s="686"/>
      <c r="N55" s="686"/>
      <c r="O55" s="686"/>
      <c r="P55" s="686"/>
      <c r="Q55" s="686"/>
      <c r="R55" s="686"/>
      <c r="S55" s="686"/>
      <c r="T55" s="686"/>
      <c r="U55" s="686"/>
      <c r="V55" s="677"/>
      <c r="W55" s="677"/>
    </row>
    <row r="56" spans="1:23">
      <c r="A56" s="675"/>
      <c r="B56" s="675"/>
      <c r="C56" s="686"/>
      <c r="D56" s="686"/>
      <c r="E56" s="686"/>
      <c r="F56" s="686"/>
      <c r="G56" s="687"/>
      <c r="H56" s="686"/>
      <c r="I56" s="686"/>
      <c r="J56" s="686"/>
      <c r="K56" s="686"/>
      <c r="L56" s="686"/>
      <c r="M56" s="686"/>
      <c r="N56" s="686"/>
      <c r="O56" s="686"/>
      <c r="P56" s="686"/>
      <c r="Q56" s="686"/>
      <c r="R56" s="686"/>
      <c r="S56" s="686"/>
      <c r="T56" s="686"/>
      <c r="U56" s="686"/>
      <c r="V56" s="677"/>
      <c r="W56" s="677"/>
    </row>
    <row r="57" spans="1:23">
      <c r="A57" s="675"/>
      <c r="B57" s="675"/>
      <c r="C57" s="686"/>
      <c r="D57" s="686"/>
      <c r="E57" s="686"/>
      <c r="F57" s="686"/>
      <c r="G57" s="687"/>
      <c r="H57" s="686"/>
      <c r="I57" s="686"/>
      <c r="J57" s="686"/>
      <c r="K57" s="686"/>
      <c r="L57" s="686"/>
      <c r="M57" s="686"/>
      <c r="N57" s="686"/>
      <c r="O57" s="686"/>
      <c r="P57" s="686"/>
      <c r="Q57" s="686"/>
      <c r="R57" s="686"/>
      <c r="S57" s="686"/>
      <c r="T57" s="686"/>
      <c r="U57" s="686"/>
      <c r="V57" s="677"/>
      <c r="W57" s="677"/>
    </row>
    <row r="58" spans="1:23">
      <c r="A58" s="675"/>
      <c r="B58" s="675"/>
      <c r="C58" s="686"/>
      <c r="D58" s="686"/>
      <c r="E58" s="686"/>
      <c r="F58" s="686"/>
      <c r="G58" s="687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77"/>
      <c r="W58" s="677"/>
    </row>
    <row r="59" spans="1:23">
      <c r="A59" s="675"/>
      <c r="B59" s="675"/>
      <c r="C59" s="686"/>
      <c r="D59" s="686"/>
      <c r="E59" s="686"/>
      <c r="F59" s="686"/>
      <c r="G59" s="687"/>
      <c r="H59" s="686"/>
      <c r="I59" s="686"/>
      <c r="J59" s="686"/>
      <c r="K59" s="686"/>
      <c r="L59" s="686"/>
      <c r="M59" s="686"/>
      <c r="N59" s="686"/>
      <c r="O59" s="686"/>
      <c r="P59" s="686"/>
      <c r="Q59" s="686"/>
      <c r="R59" s="686"/>
      <c r="S59" s="686"/>
      <c r="T59" s="686"/>
      <c r="U59" s="686"/>
      <c r="V59" s="677"/>
      <c r="W59" s="677"/>
    </row>
    <row r="60" ht="16.35" spans="1:23">
      <c r="A60" s="675"/>
      <c r="B60" s="725"/>
      <c r="C60" s="726"/>
      <c r="D60" s="726"/>
      <c r="E60" s="726"/>
      <c r="F60" s="726"/>
      <c r="G60" s="727"/>
      <c r="H60" s="726"/>
      <c r="I60" s="726"/>
      <c r="J60" s="726"/>
      <c r="K60" s="726"/>
      <c r="L60" s="726"/>
      <c r="M60" s="726"/>
      <c r="N60" s="726"/>
      <c r="O60" s="726"/>
      <c r="P60" s="726"/>
      <c r="Q60" s="726"/>
      <c r="R60" s="726"/>
      <c r="S60" s="726"/>
      <c r="T60" s="726"/>
      <c r="U60" s="726"/>
      <c r="V60" s="728"/>
      <c r="W60" s="677"/>
    </row>
    <row r="61" ht="5.1" customHeight="1" spans="1:23">
      <c r="A61" s="675"/>
      <c r="B61" s="687"/>
      <c r="C61" s="687"/>
      <c r="D61" s="687"/>
      <c r="E61" s="687"/>
      <c r="F61" s="687"/>
      <c r="G61" s="687"/>
      <c r="H61" s="687"/>
      <c r="I61" s="687"/>
      <c r="J61" s="687"/>
      <c r="K61" s="687"/>
      <c r="L61" s="687"/>
      <c r="M61" s="687"/>
      <c r="N61" s="687"/>
      <c r="O61" s="687"/>
      <c r="P61" s="687"/>
      <c r="Q61" s="687"/>
      <c r="R61" s="687"/>
      <c r="S61" s="687"/>
      <c r="T61" s="687"/>
      <c r="U61" s="687"/>
      <c r="V61" s="687"/>
      <c r="W61" s="677"/>
    </row>
    <row r="62" s="667" customFormat="1" ht="18.15" spans="1:23">
      <c r="A62" s="711"/>
      <c r="B62" s="716" t="s">
        <v>454</v>
      </c>
      <c r="C62" s="717"/>
      <c r="D62" s="717"/>
      <c r="E62" s="717"/>
      <c r="F62" s="717"/>
      <c r="G62" s="717"/>
      <c r="H62" s="717"/>
      <c r="I62" s="717"/>
      <c r="J62" s="717"/>
      <c r="K62" s="717"/>
      <c r="L62" s="717"/>
      <c r="M62" s="717"/>
      <c r="N62" s="717"/>
      <c r="O62" s="717"/>
      <c r="P62" s="717"/>
      <c r="Q62" s="717"/>
      <c r="R62" s="717"/>
      <c r="S62" s="717"/>
      <c r="T62" s="717"/>
      <c r="U62" s="717"/>
      <c r="V62" s="718"/>
      <c r="W62" s="713"/>
    </row>
    <row r="63" spans="1:23">
      <c r="A63" s="675"/>
      <c r="B63" s="721"/>
      <c r="C63" s="722"/>
      <c r="D63" s="722"/>
      <c r="E63" s="722"/>
      <c r="F63" s="722"/>
      <c r="G63" s="723"/>
      <c r="H63" s="722"/>
      <c r="I63" s="722"/>
      <c r="J63" s="722"/>
      <c r="K63" s="722"/>
      <c r="L63" s="722"/>
      <c r="M63" s="722"/>
      <c r="N63" s="722"/>
      <c r="O63" s="722"/>
      <c r="P63" s="722"/>
      <c r="Q63" s="722"/>
      <c r="R63" s="722"/>
      <c r="S63" s="722"/>
      <c r="T63" s="722"/>
      <c r="U63" s="722"/>
      <c r="V63" s="724"/>
      <c r="W63" s="677"/>
    </row>
    <row r="64" spans="1:23">
      <c r="A64" s="675"/>
      <c r="B64" s="675"/>
      <c r="C64" s="686"/>
      <c r="D64" s="686"/>
      <c r="E64" s="686"/>
      <c r="F64" s="686"/>
      <c r="G64" s="687"/>
      <c r="H64" s="686"/>
      <c r="I64" s="686"/>
      <c r="J64" s="686"/>
      <c r="K64" s="686"/>
      <c r="L64" s="686"/>
      <c r="M64" s="686"/>
      <c r="N64" s="686"/>
      <c r="O64" s="686"/>
      <c r="P64" s="686"/>
      <c r="Q64" s="686"/>
      <c r="R64" s="686"/>
      <c r="S64" s="686"/>
      <c r="T64" s="686"/>
      <c r="U64" s="686"/>
      <c r="V64" s="677"/>
      <c r="W64" s="677"/>
    </row>
    <row r="65" spans="1:23">
      <c r="A65" s="675"/>
      <c r="B65" s="675"/>
      <c r="C65" s="686"/>
      <c r="D65" s="686"/>
      <c r="E65" s="686"/>
      <c r="F65" s="686"/>
      <c r="G65" s="687"/>
      <c r="H65" s="686"/>
      <c r="I65" s="686"/>
      <c r="J65" s="686"/>
      <c r="K65" s="686"/>
      <c r="L65" s="686"/>
      <c r="M65" s="686"/>
      <c r="N65" s="686"/>
      <c r="O65" s="686"/>
      <c r="P65" s="686"/>
      <c r="Q65" s="686"/>
      <c r="R65" s="686"/>
      <c r="S65" s="686"/>
      <c r="T65" s="686"/>
      <c r="U65" s="686"/>
      <c r="V65" s="677"/>
      <c r="W65" s="677"/>
    </row>
    <row r="66" spans="1:23">
      <c r="A66" s="675"/>
      <c r="B66" s="675"/>
      <c r="C66" s="686"/>
      <c r="D66" s="686"/>
      <c r="E66" s="686"/>
      <c r="F66" s="686"/>
      <c r="G66" s="687"/>
      <c r="H66" s="686"/>
      <c r="I66" s="686"/>
      <c r="J66" s="686"/>
      <c r="K66" s="686"/>
      <c r="L66" s="686"/>
      <c r="M66" s="686"/>
      <c r="N66" s="686"/>
      <c r="O66" s="686"/>
      <c r="P66" s="686"/>
      <c r="Q66" s="686"/>
      <c r="R66" s="686"/>
      <c r="S66" s="686"/>
      <c r="T66" s="686"/>
      <c r="U66" s="686"/>
      <c r="V66" s="677"/>
      <c r="W66" s="677"/>
    </row>
    <row r="67" spans="1:23">
      <c r="A67" s="675"/>
      <c r="B67" s="675"/>
      <c r="C67" s="686"/>
      <c r="D67" s="686"/>
      <c r="E67" s="686"/>
      <c r="F67" s="686"/>
      <c r="G67" s="687"/>
      <c r="H67" s="686"/>
      <c r="I67" s="686"/>
      <c r="J67" s="686"/>
      <c r="K67" s="686"/>
      <c r="L67" s="686"/>
      <c r="M67" s="686"/>
      <c r="N67" s="686"/>
      <c r="O67" s="686"/>
      <c r="P67" s="686"/>
      <c r="Q67" s="686"/>
      <c r="R67" s="686"/>
      <c r="S67" s="686"/>
      <c r="T67" s="686"/>
      <c r="U67" s="686"/>
      <c r="V67" s="677"/>
      <c r="W67" s="677"/>
    </row>
    <row r="68" spans="1:23">
      <c r="A68" s="675"/>
      <c r="B68" s="675"/>
      <c r="C68" s="686"/>
      <c r="D68" s="686"/>
      <c r="E68" s="686"/>
      <c r="F68" s="686"/>
      <c r="G68" s="687"/>
      <c r="H68" s="686"/>
      <c r="I68" s="686"/>
      <c r="J68" s="686"/>
      <c r="K68" s="686"/>
      <c r="L68" s="686"/>
      <c r="M68" s="686"/>
      <c r="N68" s="686"/>
      <c r="O68" s="686"/>
      <c r="P68" s="686"/>
      <c r="Q68" s="686"/>
      <c r="R68" s="686"/>
      <c r="S68" s="686"/>
      <c r="T68" s="686"/>
      <c r="U68" s="686"/>
      <c r="V68" s="677"/>
      <c r="W68" s="677"/>
    </row>
    <row r="69" spans="1:23">
      <c r="A69" s="675"/>
      <c r="B69" s="675"/>
      <c r="C69" s="686"/>
      <c r="D69" s="686"/>
      <c r="E69" s="686"/>
      <c r="F69" s="686"/>
      <c r="G69" s="687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77"/>
      <c r="W69" s="677"/>
    </row>
    <row r="70" spans="1:23">
      <c r="A70" s="675"/>
      <c r="B70" s="675"/>
      <c r="C70" s="686"/>
      <c r="D70" s="686"/>
      <c r="E70" s="686"/>
      <c r="F70" s="686"/>
      <c r="G70" s="687"/>
      <c r="H70" s="686"/>
      <c r="I70" s="686"/>
      <c r="J70" s="686"/>
      <c r="K70" s="686"/>
      <c r="L70" s="686"/>
      <c r="M70" s="686"/>
      <c r="N70" s="686"/>
      <c r="O70" s="686"/>
      <c r="P70" s="686"/>
      <c r="Q70" s="686"/>
      <c r="R70" s="686"/>
      <c r="S70" s="686"/>
      <c r="T70" s="686"/>
      <c r="U70" s="686"/>
      <c r="V70" s="677"/>
      <c r="W70" s="677"/>
    </row>
    <row r="71" spans="1:23">
      <c r="A71" s="675"/>
      <c r="B71" s="675"/>
      <c r="C71" s="686"/>
      <c r="D71" s="686"/>
      <c r="E71" s="686"/>
      <c r="F71" s="686"/>
      <c r="G71" s="687"/>
      <c r="H71" s="686"/>
      <c r="I71" s="686"/>
      <c r="J71" s="686"/>
      <c r="K71" s="686"/>
      <c r="L71" s="686"/>
      <c r="M71" s="686"/>
      <c r="N71" s="686"/>
      <c r="O71" s="686"/>
      <c r="P71" s="686"/>
      <c r="Q71" s="686"/>
      <c r="R71" s="686"/>
      <c r="S71" s="686"/>
      <c r="T71" s="686"/>
      <c r="U71" s="686"/>
      <c r="V71" s="677"/>
      <c r="W71" s="677"/>
    </row>
    <row r="72" spans="1:23">
      <c r="A72" s="675"/>
      <c r="B72" s="675"/>
      <c r="C72" s="686"/>
      <c r="D72" s="686"/>
      <c r="E72" s="686"/>
      <c r="F72" s="686"/>
      <c r="G72" s="687"/>
      <c r="H72" s="686"/>
      <c r="I72" s="686"/>
      <c r="J72" s="686"/>
      <c r="K72" s="686"/>
      <c r="L72" s="686"/>
      <c r="M72" s="686"/>
      <c r="N72" s="686"/>
      <c r="O72" s="686"/>
      <c r="P72" s="686"/>
      <c r="Q72" s="686"/>
      <c r="R72" s="686"/>
      <c r="S72" s="686"/>
      <c r="T72" s="686"/>
      <c r="U72" s="686"/>
      <c r="V72" s="677"/>
      <c r="W72" s="677"/>
    </row>
    <row r="73" ht="16.35" spans="1:23">
      <c r="A73" s="675"/>
      <c r="B73" s="725"/>
      <c r="C73" s="726"/>
      <c r="D73" s="726"/>
      <c r="E73" s="726"/>
      <c r="F73" s="726"/>
      <c r="G73" s="727"/>
      <c r="H73" s="726"/>
      <c r="I73" s="726"/>
      <c r="J73" s="726"/>
      <c r="K73" s="726"/>
      <c r="L73" s="726"/>
      <c r="M73" s="726"/>
      <c r="N73" s="726"/>
      <c r="O73" s="726"/>
      <c r="P73" s="726"/>
      <c r="Q73" s="726"/>
      <c r="R73" s="726"/>
      <c r="S73" s="726"/>
      <c r="T73" s="726"/>
      <c r="U73" s="726"/>
      <c r="V73" s="728"/>
      <c r="W73" s="677"/>
    </row>
    <row r="74" spans="1:23">
      <c r="A74" s="675"/>
      <c r="B74" s="729" t="s">
        <v>455</v>
      </c>
      <c r="C74" s="729"/>
      <c r="D74" s="729"/>
      <c r="E74" s="729"/>
      <c r="F74" s="729"/>
      <c r="G74" s="729"/>
      <c r="H74" s="729"/>
      <c r="I74" s="729"/>
      <c r="J74" s="729"/>
      <c r="K74" s="729"/>
      <c r="L74" s="729"/>
      <c r="M74" s="729"/>
      <c r="N74" s="729"/>
      <c r="O74" s="729"/>
      <c r="P74" s="729"/>
      <c r="Q74" s="729"/>
      <c r="R74" s="729"/>
      <c r="S74" s="729"/>
      <c r="T74" s="729"/>
      <c r="U74" s="729"/>
      <c r="V74" s="729"/>
      <c r="W74" s="677"/>
    </row>
    <row r="75" spans="1:23">
      <c r="A75" s="675"/>
      <c r="B75" s="687"/>
      <c r="C75" s="687"/>
      <c r="D75" s="687"/>
      <c r="E75" s="687"/>
      <c r="F75" s="687"/>
      <c r="G75" s="687"/>
      <c r="H75" s="687"/>
      <c r="I75" s="687"/>
      <c r="J75" s="687"/>
      <c r="K75" s="687"/>
      <c r="L75" s="687"/>
      <c r="M75" s="687"/>
      <c r="N75" s="687"/>
      <c r="O75" s="687"/>
      <c r="P75" s="687"/>
      <c r="Q75" s="687"/>
      <c r="R75" s="687"/>
      <c r="S75" s="687"/>
      <c r="T75" s="687"/>
      <c r="U75" s="687"/>
      <c r="V75" s="687"/>
      <c r="W75" s="677"/>
    </row>
    <row r="76" spans="1:23">
      <c r="A76" s="675"/>
      <c r="B76" s="687"/>
      <c r="C76" s="687"/>
      <c r="D76" s="687"/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687"/>
      <c r="S76" s="687"/>
      <c r="T76" s="687"/>
      <c r="U76" s="687"/>
      <c r="V76" s="687"/>
      <c r="W76" s="677"/>
    </row>
    <row r="77" spans="1:23">
      <c r="A77" s="675"/>
      <c r="B77" s="686"/>
      <c r="C77" s="686"/>
      <c r="D77" s="686"/>
      <c r="E77" s="686"/>
      <c r="F77" s="686"/>
      <c r="G77" s="687"/>
      <c r="H77" s="686"/>
      <c r="I77" s="686"/>
      <c r="J77" s="686"/>
      <c r="K77" s="686"/>
      <c r="L77" s="686"/>
      <c r="M77" s="686"/>
      <c r="N77" s="686"/>
      <c r="O77" s="686"/>
      <c r="P77" s="686"/>
      <c r="Q77" s="686"/>
      <c r="R77" s="686"/>
      <c r="S77" s="686"/>
      <c r="T77" s="686"/>
      <c r="U77" s="686"/>
      <c r="V77" s="686"/>
      <c r="W77" s="677"/>
    </row>
    <row r="78" spans="1:23">
      <c r="A78" s="675"/>
      <c r="B78" s="686"/>
      <c r="C78" s="686"/>
      <c r="D78" s="686"/>
      <c r="E78" s="686"/>
      <c r="F78" s="686"/>
      <c r="G78" s="687"/>
      <c r="H78" s="686"/>
      <c r="I78" s="686"/>
      <c r="J78" s="686"/>
      <c r="K78" s="686"/>
      <c r="L78" s="686"/>
      <c r="M78" s="686"/>
      <c r="N78" s="686"/>
      <c r="O78" s="686"/>
      <c r="P78" s="686"/>
      <c r="Q78" s="686"/>
      <c r="R78" s="686"/>
      <c r="S78" s="686"/>
      <c r="T78" s="686"/>
      <c r="U78" s="686"/>
      <c r="V78" s="686"/>
      <c r="W78" s="677"/>
    </row>
    <row r="79" spans="1:23">
      <c r="A79" s="675"/>
      <c r="B79" s="730" t="s">
        <v>456</v>
      </c>
      <c r="C79" s="730"/>
      <c r="D79" s="730"/>
      <c r="E79" s="730"/>
      <c r="F79" s="730"/>
      <c r="G79" s="729"/>
      <c r="H79" s="730" t="s">
        <v>456</v>
      </c>
      <c r="I79" s="730"/>
      <c r="J79" s="730"/>
      <c r="K79" s="730"/>
      <c r="L79" s="730"/>
      <c r="M79" s="730"/>
      <c r="N79" s="730"/>
      <c r="O79" s="730"/>
      <c r="P79" s="730"/>
      <c r="Q79" s="730"/>
      <c r="R79" s="730"/>
      <c r="S79" s="730"/>
      <c r="T79" s="730"/>
      <c r="U79" s="730"/>
      <c r="V79" s="730"/>
      <c r="W79" s="677"/>
    </row>
    <row r="80" spans="1:23">
      <c r="A80" s="675"/>
      <c r="B80" s="731" t="s">
        <v>465</v>
      </c>
      <c r="C80" s="731"/>
      <c r="D80" s="731"/>
      <c r="E80" s="731"/>
      <c r="F80" s="730"/>
      <c r="G80" s="729"/>
      <c r="H80" s="731" t="s">
        <v>458</v>
      </c>
      <c r="I80" s="731"/>
      <c r="J80" s="731"/>
      <c r="K80" s="731"/>
      <c r="L80" s="731"/>
      <c r="M80" s="730"/>
      <c r="N80" s="730"/>
      <c r="O80" s="730"/>
      <c r="P80" s="731" t="s">
        <v>434</v>
      </c>
      <c r="Q80" s="731"/>
      <c r="R80" s="731"/>
      <c r="S80" s="731"/>
      <c r="T80" s="731"/>
      <c r="U80" s="731"/>
      <c r="V80" s="731"/>
      <c r="W80" s="677"/>
    </row>
    <row r="81" ht="16.35" spans="1:23">
      <c r="A81" s="725"/>
      <c r="B81" s="732" t="str">
        <f>"-"&amp;PROPER(ENTRY!$D$31)&amp;"-"</f>
        <v>--</v>
      </c>
      <c r="C81" s="732"/>
      <c r="D81" s="732"/>
      <c r="E81" s="732"/>
      <c r="F81" s="726"/>
      <c r="G81" s="727"/>
      <c r="H81" s="732" t="str">
        <f>"-"&amp;PROPER(ENTRY!$D$13)&amp;"-"</f>
        <v>-Devender Singh-</v>
      </c>
      <c r="I81" s="732"/>
      <c r="J81" s="732"/>
      <c r="K81" s="732"/>
      <c r="L81" s="732"/>
      <c r="M81" s="726"/>
      <c r="N81" s="726"/>
      <c r="O81" s="726"/>
      <c r="P81" s="732" t="str">
        <f>"-"&amp;PROPER(ENTRY!$D$12)&amp;"-"</f>
        <v>-Shambhu Dayal Meena-</v>
      </c>
      <c r="Q81" s="732"/>
      <c r="R81" s="732"/>
      <c r="S81" s="732"/>
      <c r="T81" s="732"/>
      <c r="U81" s="732"/>
      <c r="V81" s="732"/>
      <c r="W81" s="728"/>
    </row>
  </sheetData>
  <sheetProtection password="BF6F" sheet="1" formatCells="0" formatColumns="0" formatRows="0" objects="1" scenarios="1"/>
  <mergeCells count="99">
    <mergeCell ref="E1:Q1"/>
    <mergeCell ref="E2:Q2"/>
    <mergeCell ref="E3:Q3"/>
    <mergeCell ref="E4:Q4"/>
    <mergeCell ref="E5:Q5"/>
    <mergeCell ref="B6:V6"/>
    <mergeCell ref="B7:D7"/>
    <mergeCell ref="E7:V7"/>
    <mergeCell ref="B8:C8"/>
    <mergeCell ref="D8:F8"/>
    <mergeCell ref="G8:H8"/>
    <mergeCell ref="I8:J8"/>
    <mergeCell ref="M8:N8"/>
    <mergeCell ref="O8:V8"/>
    <mergeCell ref="B9:D9"/>
    <mergeCell ref="E9:L9"/>
    <mergeCell ref="M9:O9"/>
    <mergeCell ref="P9:V9"/>
    <mergeCell ref="B10:E10"/>
    <mergeCell ref="F10:L10"/>
    <mergeCell ref="M10:O10"/>
    <mergeCell ref="P10:V10"/>
    <mergeCell ref="B12:V12"/>
    <mergeCell ref="H13:L13"/>
    <mergeCell ref="M13:Q13"/>
    <mergeCell ref="R13:V13"/>
    <mergeCell ref="AA13:AK13"/>
    <mergeCell ref="AA21:AK21"/>
    <mergeCell ref="AA29:AK29"/>
    <mergeCell ref="B35:V35"/>
    <mergeCell ref="B36:V36"/>
    <mergeCell ref="B48:V48"/>
    <mergeCell ref="B49:V49"/>
    <mergeCell ref="B61:V61"/>
    <mergeCell ref="B62:V62"/>
    <mergeCell ref="B74:V74"/>
    <mergeCell ref="B79:E79"/>
    <mergeCell ref="H79:L79"/>
    <mergeCell ref="B80:E80"/>
    <mergeCell ref="H80:L80"/>
    <mergeCell ref="P80:V80"/>
    <mergeCell ref="B81:E81"/>
    <mergeCell ref="H81:L81"/>
    <mergeCell ref="P81:V81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</mergeCells>
  <conditionalFormatting sqref="H15:V34">
    <cfRule type="expression" dxfId="3" priority="1">
      <formula>ISNA(H15)</formula>
    </cfRule>
  </conditionalFormatting>
  <pageMargins left="0.23" right="0.21" top="0.22" bottom="0.25" header="0.13" footer="0.17"/>
  <pageSetup paperSize="9" scale="62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D3:Q27"/>
  <sheetViews>
    <sheetView workbookViewId="0">
      <selection activeCell="Q10" sqref="Q10"/>
    </sheetView>
  </sheetViews>
  <sheetFormatPr defaultColWidth="9.13888888888889" defaultRowHeight="14.4"/>
  <cols>
    <col min="1" max="16384" width="9.13888888888889" style="3"/>
  </cols>
  <sheetData>
    <row r="3" spans="4:17">
      <c r="N3" s="657"/>
      <c r="O3" s="657"/>
      <c r="P3" s="657"/>
      <c r="Q3" s="657"/>
    </row>
    <row r="4" spans="4:17">
      <c r="N4" s="657"/>
      <c r="O4" s="657"/>
      <c r="P4" s="657"/>
      <c r="Q4" s="657"/>
    </row>
    <row r="8" ht="17.4" spans="4:17">
      <c r="E8" s="409" t="str">
        <f>"SESSION : "&amp;ENTRY!$D$11</f>
        <v>SESSION : 2026-27</v>
      </c>
      <c r="F8" s="409"/>
      <c r="G8" s="409"/>
      <c r="H8" s="409"/>
      <c r="I8" s="409"/>
      <c r="J8" s="409"/>
    </row>
    <row r="9" spans="4:17">
      <c r="E9" s="658" t="str">
        <f>ENTRY!$D$6</f>
        <v>MCP NITHARI NO 1 BOYS</v>
      </c>
      <c r="F9" s="658"/>
      <c r="G9" s="658"/>
      <c r="H9" s="658"/>
      <c r="I9" s="658"/>
      <c r="J9" s="658"/>
      <c r="K9" s="658"/>
    </row>
    <row r="10" spans="4:17">
      <c r="E10" s="658"/>
      <c r="F10" s="658"/>
      <c r="G10" s="658"/>
      <c r="H10" s="658"/>
      <c r="I10" s="658"/>
      <c r="J10" s="658"/>
      <c r="K10" s="658"/>
    </row>
    <row r="14" spans="4:17">
      <c r="D14" s="659" t="str">
        <f>ENTRY!D20&amp;"-"&amp;ENTRY!D21</f>
        <v>III-A</v>
      </c>
      <c r="E14" s="659"/>
      <c r="F14" s="659"/>
      <c r="I14" s="660">
        <f>N3</f>
        <v>0</v>
      </c>
      <c r="J14" s="660"/>
      <c r="K14" s="660"/>
    </row>
    <row r="15" spans="4:17">
      <c r="D15" s="659"/>
      <c r="E15" s="659"/>
      <c r="F15" s="659"/>
      <c r="I15" s="660"/>
      <c r="J15" s="660"/>
      <c r="K15" s="660"/>
    </row>
    <row r="16" spans="4:17">
      <c r="F16" s="661" t="str">
        <f>UPPER(ENTRY!$D$19)</f>
        <v>INDRAJEET</v>
      </c>
      <c r="G16" s="661"/>
      <c r="H16" s="661"/>
      <c r="I16" s="661"/>
      <c r="J16" s="661"/>
    </row>
    <row r="17" spans="6:11">
      <c r="F17" s="661"/>
      <c r="G17" s="661"/>
      <c r="H17" s="661"/>
      <c r="I17" s="661"/>
      <c r="J17" s="661"/>
    </row>
    <row r="19" spans="6:11">
      <c r="J19" s="662"/>
      <c r="K19" s="662"/>
    </row>
    <row r="20" spans="6:11">
      <c r="J20" s="663" t="str">
        <f>IFERROR(VLOOKUP($I$14,DATEWISE!$B$3:$CT$27,2,0),"")</f>
        <v/>
      </c>
      <c r="K20" s="663"/>
    </row>
    <row r="21" spans="6:11">
      <c r="J21" s="663"/>
      <c r="K21" s="663"/>
    </row>
    <row r="22" spans="6:11">
      <c r="J22" s="663" t="str">
        <f>IFERROR(VLOOKUP($I$14,DATEWISE!$B$3:$CT$27,3,0),"")</f>
        <v/>
      </c>
      <c r="K22" s="663"/>
    </row>
    <row r="23" spans="6:11">
      <c r="J23" s="663"/>
      <c r="K23" s="663"/>
    </row>
    <row r="24" spans="6:11">
      <c r="J24" s="663"/>
      <c r="K24" s="663"/>
    </row>
    <row r="25" spans="6:11">
      <c r="J25" s="663"/>
      <c r="K25" s="663"/>
    </row>
    <row r="26" spans="6:11">
      <c r="J26" s="663"/>
      <c r="K26" s="663"/>
    </row>
    <row r="27" spans="6:11">
      <c r="J27" s="663"/>
      <c r="K27" s="663"/>
    </row>
  </sheetData>
  <sheetProtection password="BF6F" sheet="1" formatCells="0" formatColumns="0" formatRows="0" objects="1" scenarios="1"/>
  <mergeCells count="10">
    <mergeCell ref="E8:J8"/>
    <mergeCell ref="J22:K23"/>
    <mergeCell ref="J24:K25"/>
    <mergeCell ref="J26:K27"/>
    <mergeCell ref="N3:Q4"/>
    <mergeCell ref="E9:K10"/>
    <mergeCell ref="D14:F15"/>
    <mergeCell ref="I14:K15"/>
    <mergeCell ref="F16:J17"/>
    <mergeCell ref="J20:K21"/>
  </mergeCells>
  <pageMargins left="0.37" right="0.25" top="0.36" bottom="0.38" header="0.3" footer="0.3"/>
  <pageSetup paperSize="9" scale="82" orientation="portrait" horizontalDpi="300" verticalDpi="300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6"/>
  <sheetViews>
    <sheetView workbookViewId="0">
      <selection activeCell="N12" sqref="N12"/>
    </sheetView>
  </sheetViews>
  <sheetFormatPr defaultColWidth="9.13888888888889" defaultRowHeight="14.4"/>
  <cols>
    <col min="1" max="3" width="9.13888888888889" style="3"/>
    <col min="4" max="4" width="9.71296296296296" style="3" customWidth="1"/>
    <col min="5" max="16384" width="9.13888888888889" style="3"/>
  </cols>
  <sheetData>
    <row r="1" ht="15" customHeight="1" spans="2:16">
      <c r="I1" s="614" t="str">
        <f>M6</f>
        <v>ANNEXURE - CB</v>
      </c>
      <c r="J1" s="614"/>
      <c r="K1" s="614"/>
      <c r="L1" s="615"/>
    </row>
    <row r="2" ht="15" customHeight="1" spans="2:16">
      <c r="I2" s="614"/>
      <c r="J2" s="614"/>
      <c r="K2" s="614"/>
      <c r="L2" s="615"/>
    </row>
    <row r="3" spans="2:16">
      <c r="M3" s="616"/>
      <c r="N3" s="616"/>
      <c r="O3" s="616"/>
      <c r="P3" s="616"/>
    </row>
    <row r="4" spans="2:16">
      <c r="M4" s="616"/>
      <c r="N4" s="616"/>
      <c r="O4" s="616"/>
      <c r="P4" s="616"/>
    </row>
    <row r="6" spans="2:16">
      <c r="D6" s="617"/>
      <c r="E6" s="617"/>
      <c r="F6" s="617"/>
      <c r="G6" s="617"/>
      <c r="H6" s="617"/>
      <c r="I6" s="617"/>
      <c r="J6" s="617"/>
      <c r="K6" s="617"/>
      <c r="M6" s="618" t="s">
        <v>468</v>
      </c>
      <c r="N6" s="618"/>
      <c r="O6" s="618"/>
      <c r="P6" s="618"/>
    </row>
    <row r="7" ht="16.8" spans="2:16">
      <c r="D7" s="617"/>
      <c r="E7" s="617"/>
      <c r="F7" s="619" t="str">
        <f>"SESSION : "&amp;ENTRY!$D$11</f>
        <v>SESSION : 2026-27</v>
      </c>
      <c r="G7" s="619"/>
      <c r="H7" s="619"/>
      <c r="I7" s="617"/>
      <c r="J7" s="617"/>
      <c r="K7" s="617"/>
      <c r="M7" s="618"/>
      <c r="N7" s="618"/>
      <c r="O7" s="618"/>
      <c r="P7" s="618"/>
    </row>
    <row r="8" ht="16.8" spans="2:16">
      <c r="D8" s="620"/>
      <c r="E8" s="621" t="str">
        <f>ENTRY!$D$6</f>
        <v>MCP NITHARI NO 1 BOYS</v>
      </c>
      <c r="F8" s="621"/>
      <c r="G8" s="621"/>
      <c r="H8" s="621"/>
      <c r="I8" s="621"/>
      <c r="J8" s="621"/>
      <c r="K8" s="620"/>
    </row>
    <row r="9" spans="2:16">
      <c r="B9" s="639" t="str">
        <f>IFERROR(IF(I1="ANNEXURE - CB","CLASS","SCHOOL"),"")</f>
        <v>CLASS</v>
      </c>
      <c r="C9" s="639"/>
      <c r="D9" s="639"/>
    </row>
    <row r="10" spans="2:16">
      <c r="B10" s="639"/>
      <c r="C10" s="639"/>
      <c r="D10" s="639"/>
    </row>
    <row r="12" ht="18" spans="2:16">
      <c r="C12" s="623" t="str">
        <f>ENTRY!D20&amp;"-"&amp;ENTRY!D21</f>
        <v>III-A</v>
      </c>
      <c r="D12" s="623"/>
      <c r="E12" s="625"/>
      <c r="F12" s="625"/>
      <c r="G12" s="625"/>
      <c r="H12" s="625"/>
      <c r="I12" s="624">
        <f>IF(ATTENDANCEINFO!N3="",'INFODESK-1'!M3,ATTENDANCEINFO!N3)</f>
        <v>0</v>
      </c>
      <c r="J12" s="624"/>
      <c r="K12" s="624"/>
    </row>
    <row r="13" ht="15" customHeight="1" spans="2:16">
      <c r="C13" s="640" t="e">
        <f>IF($B$9="CLASS",VLOOKUP($I$12,DATEWISE!$B$3:$CT$27,2,0),IF($B$9="SCHOOL",VLOOKUP($I$12,DATEWISE!$B$3:$CT$27,5,0),""))</f>
        <v>#N/A</v>
      </c>
      <c r="D13" s="640"/>
      <c r="E13" s="625"/>
      <c r="F13" s="640" t="e">
        <f>IF($B$9="CLASS",VLOOKUP($I$12,DATEWISE!$B$3:$CT$27,3,0),IF($B$9="SCHOOL",VLOOKUP($I$12,DATEWISE!$B$3:$CT$27,6,0),""))</f>
        <v>#N/A</v>
      </c>
      <c r="G13" s="627"/>
      <c r="H13" s="625"/>
      <c r="I13" s="625"/>
      <c r="J13" s="640" t="e">
        <f>IF($B$9="CLASS",VLOOKUP($I$12,DATEWISE!$B$3:$CT$27,4,0),IF($B$9="SCHOOL",VLOOKUP($I$12,DATEWISE!$B$3:$CT$27,7,0),""))</f>
        <v>#N/A</v>
      </c>
      <c r="K13" s="640"/>
    </row>
    <row r="14" ht="15" customHeight="1" spans="2:16">
      <c r="C14" s="640"/>
      <c r="D14" s="640"/>
      <c r="E14" s="625"/>
      <c r="F14" s="640"/>
      <c r="G14" s="627"/>
      <c r="H14" s="625"/>
      <c r="I14" s="625"/>
      <c r="J14" s="640"/>
      <c r="K14" s="640"/>
    </row>
    <row r="16" spans="2:16">
      <c r="J16" s="640" t="e">
        <f>IF($B$9="CLASS",VLOOKUP($I$12,DATEWISE!$B$3:$CT$27,4,0),IF($B$9="SCHOOL",VLOOKUP($I$12,DATEWISE!$B$3:$CT$27,7,0),""))</f>
        <v>#N/A</v>
      </c>
      <c r="K16" s="625"/>
    </row>
    <row r="17" spans="2:11">
      <c r="J17" s="640"/>
      <c r="K17" s="625"/>
    </row>
    <row r="22" spans="2:11">
      <c r="B22" s="641" t="e">
        <f>IF($B$9="CLASS",VLOOKUP($I$12,DATEWISE!$B$3:$CT$27,77,0),IF($B$9="SCHOOL",VLOOKUP($I$12,DATEWISE!$B$3:$CT$27,9,0),""))</f>
        <v>#N/A</v>
      </c>
      <c r="D22" s="642" t="e">
        <f>IF($B$9="CLASS",VLOOKUP($I$12,DATEWISE!$B$3:$CT$27,78,0),IF($B$9="SCHOOL",VLOOKUP($I$12,DATEWISE!$B$3:$CT$27,10,0),""))</f>
        <v>#N/A</v>
      </c>
      <c r="F22" s="643" t="e">
        <f>IF($B$9="CLASS",VLOOKUP($I$12,DATEWISE!$B$3:$CT$27,79,0),IF($B$9="SCHOOL",VLOOKUP($I$12,DATEWISE!$B$3:$CT$27,11,0),""))</f>
        <v>#N/A</v>
      </c>
      <c r="H22" s="644" t="e">
        <f>IF($B$9="CLASS",VLOOKUP($I$12,DATEWISE!$B$3:$CT$27,80,0),IF($B$9="SCHOOL",VLOOKUP($I$12,DATEWISE!$B$3:$CT$27,12,0),""))</f>
        <v>#N/A</v>
      </c>
      <c r="J22" s="645" t="e">
        <f>IF($B$9="CLASS",VLOOKUP($I$12,DATEWISE!$B$3:$CT$27,81,0),IF($B$9="SCHOOL",VLOOKUP($I$12,DATEWISE!$B$3:$CT$27,13,0),""))</f>
        <v>#N/A</v>
      </c>
    </row>
    <row r="23" spans="2:11">
      <c r="B23" s="641"/>
      <c r="D23" s="642"/>
      <c r="F23" s="643"/>
      <c r="H23" s="644"/>
      <c r="J23" s="645"/>
    </row>
    <row r="28" spans="2:11">
      <c r="J28" s="646" t="e">
        <f>IF($B$9="CLASS",VLOOKUP($I$12,DATEWISE!$B$3:$CT$27,4,0),IF($B$9="SCHOOL",VLOOKUP($I$12,DATEWISE!$B$3:$CT$27,7,0),""))</f>
        <v>#N/A</v>
      </c>
      <c r="K28" s="625"/>
    </row>
    <row r="29" spans="2:11">
      <c r="J29" s="646"/>
      <c r="K29" s="625"/>
    </row>
    <row r="30" spans="2:11">
      <c r="J30" s="625"/>
      <c r="K30" s="625"/>
    </row>
    <row r="34" spans="2:11">
      <c r="B34" s="647" t="e">
        <f>IF($B$9="CLASS",VLOOKUP($I$12,DATEWISE!$B$3:$CT$27,84,0),IF($B$9="SCHOOL",VLOOKUP($I$12,DATEWISE!$B$3:$CT$27,16,0),""))</f>
        <v>#N/A</v>
      </c>
      <c r="D34" s="648" t="e">
        <f>IF($B$9="CLASS",VLOOKUP($I$12,DATEWISE!$B$3:$CT$27,85,0),IF($B$9="SCHOOL",VLOOKUP($I$12,DATEWISE!$B$3:$CT$27,17,0),""))</f>
        <v>#N/A</v>
      </c>
      <c r="F34" s="649" t="e">
        <f>IF($B$9="CLASS",VLOOKUP($I$12,DATEWISE!$B$3:$CT$27,86,0),IF($B$9="SCHOOL",VLOOKUP($I$12,DATEWISE!$B$3:$CT$27,18,0),""))</f>
        <v>#N/A</v>
      </c>
      <c r="H34" s="650" t="e">
        <f>IF($B$9="CLASS",VLOOKUP($I$12,DATEWISE!$B$3:$CT$27,87,0),IF($B$9="SCHOOL",VLOOKUP($I$12,DATEWISE!$B$3:$CT$27,19,0),""))</f>
        <v>#N/A</v>
      </c>
      <c r="J34" s="651" t="e">
        <f>IF($B$9="CLASS",VLOOKUP($I$12,DATEWISE!$B$3:$CT$27,88,0),IF($B$9="SCHOOL",VLOOKUP($I$12,DATEWISE!$B$3:$CT$27,20,0),""))</f>
        <v>#N/A</v>
      </c>
    </row>
    <row r="35" spans="2:11">
      <c r="B35" s="647"/>
      <c r="D35" s="648"/>
      <c r="F35" s="649"/>
      <c r="H35" s="650"/>
      <c r="J35" s="651"/>
    </row>
    <row r="41" spans="2:11">
      <c r="J41" s="626" t="e">
        <f>IF($B$9="CLASS",VLOOKUP($I$12,DATEWISE!$B$3:$CT$27,4,0),IF($B$9="SCHOOL",VLOOKUP($I$12,DATEWISE!$B$3:$CT$27,7,0),""))</f>
        <v>#N/A</v>
      </c>
      <c r="K41" s="626"/>
    </row>
    <row r="42" spans="2:11">
      <c r="J42" s="626"/>
      <c r="K42" s="626"/>
    </row>
    <row r="46" s="613" customFormat="1" spans="2:11">
      <c r="B46" s="652" t="e">
        <f>IF($B$9="CLASS",VLOOKUP($I$12,DATEWISE!$B$3:$CT$27,91,0),IF($B$9="SCHOOL",VLOOKUP($I$12,DATEWISE!$B$3:$CT$27,23,0),""))</f>
        <v>#N/A</v>
      </c>
      <c r="D46" s="653" t="e">
        <f>IF($B$9="CLASS",VLOOKUP($I$12,DATEWISE!$B$3:$CT$27,92,0),IF($B$9="SCHOOL",VLOOKUP($I$12,DATEWISE!$B$3:$CT$27,24,0),""))</f>
        <v>#N/A</v>
      </c>
      <c r="F46" s="654" t="e">
        <f>IF($B$9="CLASS",VLOOKUP($I$12,DATEWISE!$B$3:$CT$27,93,0),IF($B$9="SCHOOL",VLOOKUP($I$12,DATEWISE!$B$3:$CT$27,25,0),""))</f>
        <v>#N/A</v>
      </c>
      <c r="H46" s="655" t="e">
        <f>IF($B$9="CLASS",VLOOKUP($I$12,DATEWISE!$B$3:$CT$27,94,0),IF($B$9="SCHOOL",VLOOKUP($I$12,DATEWISE!$B$3:$CT$27,26,0),""))</f>
        <v>#N/A</v>
      </c>
      <c r="J46" s="656" t="e">
        <f>IF($B$9="CLASS",VLOOKUP($I$12,DATEWISE!$B$3:$CT$27,95,0),IF($B$9="SCHOOL",VLOOKUP($I$12,DATEWISE!$B$3:$CT$27,27,0),""))</f>
        <v>#N/A</v>
      </c>
    </row>
    <row r="47" s="613" customFormat="1" spans="2:11">
      <c r="B47" s="652"/>
      <c r="D47" s="653"/>
      <c r="F47" s="654"/>
      <c r="H47" s="655"/>
      <c r="J47" s="656"/>
    </row>
    <row r="54" ht="15.6" spans="1:11">
      <c r="A54" s="637" t="s">
        <v>469</v>
      </c>
      <c r="B54" s="637"/>
      <c r="C54" s="637"/>
      <c r="D54" s="637"/>
      <c r="E54" s="637"/>
      <c r="F54" s="637"/>
      <c r="G54" s="637"/>
      <c r="H54" s="637"/>
      <c r="I54" s="638"/>
      <c r="J54" s="638"/>
      <c r="K54" s="638"/>
    </row>
    <row r="56" ht="15.6" spans="1:11">
      <c r="A56" s="637" t="s">
        <v>470</v>
      </c>
      <c r="B56" s="637"/>
      <c r="C56" s="637"/>
      <c r="D56" s="637"/>
      <c r="E56" s="637"/>
      <c r="F56" s="637"/>
      <c r="G56" s="637"/>
      <c r="H56" s="637"/>
      <c r="I56" s="638"/>
      <c r="J56" s="638"/>
      <c r="K56" s="638"/>
    </row>
  </sheetData>
  <sheetProtection password="BF6F" sheet="1" formatCells="0" formatColumns="0" formatRows="0" objects="1" scenarios="1"/>
  <mergeCells count="33">
    <mergeCell ref="F7:H7"/>
    <mergeCell ref="E8:J8"/>
    <mergeCell ref="C12:D12"/>
    <mergeCell ref="I12:K12"/>
    <mergeCell ref="A54:H54"/>
    <mergeCell ref="I54:K54"/>
    <mergeCell ref="A56:H56"/>
    <mergeCell ref="I56:K56"/>
    <mergeCell ref="B22:B23"/>
    <mergeCell ref="B34:B35"/>
    <mergeCell ref="B46:B47"/>
    <mergeCell ref="D22:D23"/>
    <mergeCell ref="D34:D35"/>
    <mergeCell ref="D46:D47"/>
    <mergeCell ref="F13:F14"/>
    <mergeCell ref="F22:F23"/>
    <mergeCell ref="F34:F35"/>
    <mergeCell ref="F46:F47"/>
    <mergeCell ref="H22:H23"/>
    <mergeCell ref="H34:H35"/>
    <mergeCell ref="H46:H47"/>
    <mergeCell ref="J16:J17"/>
    <mergeCell ref="J22:J23"/>
    <mergeCell ref="J28:J29"/>
    <mergeCell ref="J34:J35"/>
    <mergeCell ref="J46:J47"/>
    <mergeCell ref="I1:K2"/>
    <mergeCell ref="M3:P4"/>
    <mergeCell ref="M6:P7"/>
    <mergeCell ref="C13:D14"/>
    <mergeCell ref="J13:K14"/>
    <mergeCell ref="B9:D10"/>
    <mergeCell ref="J41:K42"/>
  </mergeCells>
  <conditionalFormatting sqref="A53:K57">
    <cfRule type="expression" dxfId="3" priority="1">
      <formula>($B$9="CLASS")</formula>
    </cfRule>
  </conditionalFormatting>
  <pageMargins left="0.29" right="0.25" top="0.38" bottom="0.4" header="0.3" footer="0.3"/>
  <pageSetup paperSize="9" scale="91" orientation="portrait" horizontalDpi="300" verticalDpi="300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56"/>
  <sheetViews>
    <sheetView workbookViewId="0">
      <selection activeCell="A1" sqref="A1"/>
    </sheetView>
  </sheetViews>
  <sheetFormatPr defaultColWidth="9.13888888888889" defaultRowHeight="14.4"/>
  <cols>
    <col min="1" max="3" width="9.13888888888889" style="3"/>
    <col min="4" max="4" width="9.71296296296296" style="3" customWidth="1"/>
    <col min="5" max="16384" width="9.13888888888889" style="3"/>
  </cols>
  <sheetData>
    <row r="1" ht="15" customHeight="1" spans="2:16">
      <c r="I1" s="614" t="str">
        <f>M6</f>
        <v>ANNEXURE - CB</v>
      </c>
      <c r="J1" s="614"/>
      <c r="K1" s="614"/>
      <c r="L1" s="615"/>
    </row>
    <row r="2" ht="15" customHeight="1" spans="2:16">
      <c r="I2" s="614"/>
      <c r="J2" s="614"/>
      <c r="K2" s="614"/>
      <c r="L2" s="615"/>
    </row>
    <row r="3" spans="2:16">
      <c r="M3" s="616"/>
      <c r="N3" s="616"/>
      <c r="O3" s="616"/>
      <c r="P3" s="616"/>
    </row>
    <row r="4" spans="2:16">
      <c r="M4" s="616"/>
      <c r="N4" s="616"/>
      <c r="O4" s="616"/>
      <c r="P4" s="616"/>
    </row>
    <row r="6" spans="2:16">
      <c r="D6" s="617"/>
      <c r="E6" s="617"/>
      <c r="F6" s="617"/>
      <c r="G6" s="617"/>
      <c r="H6" s="617"/>
      <c r="I6" s="617"/>
      <c r="J6" s="617"/>
      <c r="K6" s="617"/>
      <c r="M6" s="618" t="s">
        <v>468</v>
      </c>
      <c r="N6" s="618"/>
      <c r="O6" s="618"/>
      <c r="P6" s="618"/>
    </row>
    <row r="7" ht="16.8" spans="2:16">
      <c r="D7" s="617"/>
      <c r="E7" s="617"/>
      <c r="F7" s="619" t="str">
        <f>"SESSION : "&amp;ENTRY!$D$11</f>
        <v>SESSION : 2026-27</v>
      </c>
      <c r="G7" s="619"/>
      <c r="H7" s="619"/>
      <c r="I7" s="617"/>
      <c r="J7" s="617"/>
      <c r="K7" s="617"/>
      <c r="M7" s="618"/>
      <c r="N7" s="618"/>
      <c r="O7" s="618"/>
      <c r="P7" s="618"/>
    </row>
    <row r="8" ht="16.8" spans="2:16">
      <c r="D8" s="620"/>
      <c r="E8" s="621" t="str">
        <f>ENTRY!$D$6</f>
        <v>MCP NITHARI NO 1 BOYS</v>
      </c>
      <c r="F8" s="621"/>
      <c r="G8" s="621"/>
      <c r="H8" s="621"/>
      <c r="I8" s="621"/>
      <c r="J8" s="621"/>
      <c r="K8" s="620"/>
    </row>
    <row r="9" spans="2:16">
      <c r="B9" s="622" t="str">
        <f>IFERROR(IF(I1="ANNEXURE - CB","CLASS","SCHOOL"),"")</f>
        <v>CLASS</v>
      </c>
      <c r="C9" s="622"/>
      <c r="D9" s="622"/>
    </row>
    <row r="10" spans="2:16">
      <c r="B10" s="622"/>
      <c r="C10" s="622"/>
      <c r="D10" s="622"/>
    </row>
    <row r="11" spans="2:16">
      <c r="C11" s="623" t="str">
        <f>ENTRY!D20&amp;"-"&amp;ENTRY!D21</f>
        <v>III-A</v>
      </c>
      <c r="D11" s="623"/>
      <c r="I11" s="624">
        <f>IF(ATTENDANCEINFO!N3="",'INFODESK-1'!M3,ATTENDANCEINFO!N3)</f>
        <v>0</v>
      </c>
      <c r="J11" s="624"/>
      <c r="K11" s="624"/>
    </row>
    <row r="12" ht="18.75" customHeight="1" spans="2:16">
      <c r="C12" s="623"/>
      <c r="D12" s="623"/>
      <c r="E12" s="625"/>
      <c r="F12" s="625"/>
      <c r="G12" s="625"/>
      <c r="H12" s="625"/>
      <c r="I12" s="624"/>
      <c r="J12" s="624"/>
      <c r="K12" s="624"/>
    </row>
    <row r="13" ht="15" customHeight="1" spans="2:16">
      <c r="C13" s="626" t="e">
        <f>IF($B$9="CLASS",VLOOKUP($I$11,DATEWISE!$B$3:$CT$27,2,0),IF($B$9="SCHOOL",VLOOKUP($I$11,DATEWISE!$B$3:$CT$27,29,0),""))</f>
        <v>#N/A</v>
      </c>
      <c r="D13" s="626"/>
      <c r="E13" s="625"/>
      <c r="F13" s="626" t="e">
        <f>IF($B$9="CLASS",VLOOKUP($I$11,DATEWISE!$B$3:$CT$27,3,0),IF($B$9="SCHOOL",VLOOKUP($I$11,DATEWISE!$B$3:$CT$27,30,0),""))</f>
        <v>#N/A</v>
      </c>
      <c r="G13" s="627"/>
      <c r="H13" s="625"/>
      <c r="I13" s="625"/>
      <c r="J13" s="626" t="e">
        <f>IF($B$9="CLASS",VLOOKUP($I$11,DATEWISE!$B$3:$CT$27,4,0),IF($B$9="SCHOOL",VLOOKUP($I$11,DATEWISE!$B$3:$CT$27,31,0),""))</f>
        <v>#N/A</v>
      </c>
      <c r="K13" s="626"/>
    </row>
    <row r="14" ht="15" customHeight="1" spans="2:16">
      <c r="C14" s="626"/>
      <c r="D14" s="626"/>
      <c r="E14" s="625"/>
      <c r="F14" s="626"/>
      <c r="G14" s="627"/>
      <c r="H14" s="625"/>
      <c r="I14" s="625"/>
      <c r="J14" s="626"/>
      <c r="K14" s="626"/>
    </row>
    <row r="16" spans="2:16">
      <c r="J16" s="626" t="e">
        <f>IF($B$9="CLASS",VLOOKUP($I$11,DATEWISE!$B$3:$CT$27,4,0),IF($B$9="SCHOOL",VLOOKUP($I$11,DATEWISE!$B$3:$CT$27,31,0),""))</f>
        <v>#N/A</v>
      </c>
      <c r="K16" s="625"/>
    </row>
    <row r="17" spans="1:11">
      <c r="J17" s="626"/>
      <c r="K17" s="625"/>
    </row>
    <row r="21" spans="1:11">
      <c r="A21" s="628" t="e">
        <f>IF($B$9="CLASS",VLOOKUP($I$11,DATEWISE!$B$3:$CT$27,77,0),IF($B$9="SCHOOL",VLOOKUP($I$11,DATEWISE!$B$3:$CT$27,33,0),""))</f>
        <v>#N/A</v>
      </c>
      <c r="B21" s="628"/>
      <c r="C21" s="629" t="e">
        <f>IF($B$9="CLASS",VLOOKUP($I$11,DATEWISE!$B$3:$CT$27,78,0),IF($B$9="SCHOOL",VLOOKUP($I$11,DATEWISE!$B$3:$CT$27,34,0),""))</f>
        <v>#N/A</v>
      </c>
      <c r="D21" s="629"/>
      <c r="E21" s="630" t="e">
        <f>IF($B$9="CLASS",VLOOKUP($I$11,DATEWISE!$B$3:$CT$27,79,0),IF($B$9="SCHOOL",VLOOKUP($I$11,DATEWISE!$B$3:$CT$27,35,0),""))</f>
        <v>#N/A</v>
      </c>
      <c r="F21" s="630"/>
      <c r="G21" s="631" t="e">
        <f>IF($B$9="CLASS",VLOOKUP($I$11,DATEWISE!$B$3:$CT$27,80,0),IF($B$9="SCHOOL",VLOOKUP($I$11,DATEWISE!$B$3:$CT$27,36,0),""))</f>
        <v>#N/A</v>
      </c>
      <c r="H21" s="631"/>
      <c r="I21" s="632" t="e">
        <f>IF($B$9="CLASS",VLOOKUP($I$11,DATEWISE!$B$3:$CT$27,81,0),IF($B$9="SCHOOL",VLOOKUP($I$11,DATEWISE!$B$3:$CT$27,37,0),""))</f>
        <v>#N/A</v>
      </c>
      <c r="J21" s="632"/>
    </row>
    <row r="22" ht="15" customHeight="1" spans="1:11">
      <c r="A22" s="628"/>
      <c r="B22" s="628"/>
      <c r="C22" s="629"/>
      <c r="D22" s="629"/>
      <c r="E22" s="630"/>
      <c r="F22" s="630"/>
      <c r="G22" s="631"/>
      <c r="H22" s="631"/>
      <c r="I22" s="632"/>
      <c r="J22" s="632"/>
    </row>
    <row r="23" ht="15" customHeight="1" spans="1:11">
      <c r="A23" s="628"/>
      <c r="B23" s="628"/>
      <c r="C23" s="629"/>
      <c r="D23" s="629"/>
      <c r="E23" s="630"/>
      <c r="F23" s="630"/>
      <c r="G23" s="631"/>
      <c r="H23" s="631"/>
      <c r="I23" s="632"/>
      <c r="J23" s="632"/>
    </row>
    <row r="28" spans="1:11">
      <c r="J28" s="626" t="e">
        <f>IF($B$9="CLASS",VLOOKUP($I$11,DATEWISE!$B$3:$CT$27,4,0),IF($B$9="SCHOOL",VLOOKUP($I$11,DATEWISE!$B$3:$CT$27,31,0),""))</f>
        <v>#N/A</v>
      </c>
      <c r="K28" s="625"/>
    </row>
    <row r="29" spans="1:11">
      <c r="J29" s="626"/>
      <c r="K29" s="625"/>
    </row>
    <row r="30" spans="1:11">
      <c r="J30" s="625"/>
      <c r="K30" s="625"/>
    </row>
    <row r="33" spans="1:11">
      <c r="A33" s="628" t="e">
        <f>IF($B$9="CLASS",VLOOKUP($I$11,DATEWISE!$B$3:$CT$27,84,0),IF($B$9="SCHOOL",VLOOKUP($I$11,DATEWISE!$B$3:$CT$27,40,0),""))</f>
        <v>#N/A</v>
      </c>
      <c r="B33" s="628"/>
      <c r="C33" s="629" t="e">
        <f>IF($B$9="CLASS",VLOOKUP($I$11,DATEWISE!$B$3:$CT$27,85,0),IF($B$9="SCHOOL",VLOOKUP($I$11,DATEWISE!$B$3:$CT$27,41,0),""))</f>
        <v>#N/A</v>
      </c>
      <c r="D33" s="629"/>
      <c r="E33" s="633" t="e">
        <f>IF($B$9="CLASS",VLOOKUP($I$11,DATEWISE!$B$3:$CT$27,86,0),IF($B$9="SCHOOL",VLOOKUP($I$11,DATEWISE!$B$3:$CT$27,42,0),""))</f>
        <v>#N/A</v>
      </c>
      <c r="F33" s="633"/>
      <c r="G33" s="634" t="e">
        <f>IF($B$9="CLASS",VLOOKUP($I$11,DATEWISE!$B$3:$CT$27,87,0),IF($B$9="SCHOOL",VLOOKUP($I$11,DATEWISE!$B$3:$CT$27,43,0),""))</f>
        <v>#N/A</v>
      </c>
      <c r="H33" s="634"/>
      <c r="I33" s="635" t="e">
        <f>IF($B$9="CLASS",VLOOKUP($I$11,DATEWISE!$B$3:$CT$27,88,0),IF($B$9="SCHOOL",VLOOKUP($I$11,DATEWISE!$B$3:$CT$27,44,0),""))</f>
        <v>#N/A</v>
      </c>
      <c r="J33" s="635"/>
    </row>
    <row r="34" ht="15" customHeight="1" spans="1:11">
      <c r="A34" s="628"/>
      <c r="B34" s="628"/>
      <c r="C34" s="629"/>
      <c r="D34" s="629"/>
      <c r="E34" s="633"/>
      <c r="F34" s="633"/>
      <c r="G34" s="634"/>
      <c r="H34" s="634"/>
      <c r="I34" s="635"/>
      <c r="J34" s="635"/>
    </row>
    <row r="35" ht="15" customHeight="1" spans="1:11">
      <c r="A35" s="628"/>
      <c r="B35" s="628"/>
      <c r="C35" s="629"/>
      <c r="D35" s="629"/>
      <c r="E35" s="633"/>
      <c r="F35" s="633"/>
      <c r="G35" s="634"/>
      <c r="H35" s="634"/>
      <c r="I35" s="635"/>
      <c r="J35" s="635"/>
    </row>
    <row r="40" spans="1:11">
      <c r="J40" s="636" t="e">
        <f>IF($B$9="CLASS",VLOOKUP($I$11,DATEWISE!$B$3:$CT$27,4,0),IF($B$9="SCHOOL",VLOOKUP($I$11,DATEWISE!$B$3:$CT$27,31,0),""))</f>
        <v>#N/A</v>
      </c>
      <c r="K40" s="636"/>
    </row>
    <row r="41" ht="15" customHeight="1" spans="1:11">
      <c r="J41" s="636"/>
      <c r="K41" s="636"/>
    </row>
    <row r="42" ht="15" customHeight="1" spans="1:11">
      <c r="J42" s="636"/>
      <c r="K42" s="636"/>
    </row>
    <row r="45" spans="1:11">
      <c r="A45" s="628" t="e">
        <f>IF($B$9="CLASS",VLOOKUP($I$11,DATEWISE!$B$3:$CT$27,91,0),IF($B$9="SCHOOL",VLOOKUP($I$11,DATEWISE!$B$3:$CT$27,47,0),""))</f>
        <v>#N/A</v>
      </c>
      <c r="B45" s="628"/>
      <c r="C45" s="629" t="e">
        <f>IF($B$9="CLASS",VLOOKUP($I$11,DATEWISE!$B$3:$CT$27,92,0),IF($B$9="SCHOOL",VLOOKUP($I$11,DATEWISE!$B$3:$CT$27,48,0),""))</f>
        <v>#N/A</v>
      </c>
      <c r="D45" s="629"/>
      <c r="E45" s="633" t="e">
        <f>IF($B$9="CLASS",VLOOKUP($I$11,DATEWISE!$B$3:$CT$27,93,0),IF($B$9="SCHOOL",VLOOKUP($I$11,DATEWISE!$B$3:$CT$27,49,0),""))</f>
        <v>#N/A</v>
      </c>
      <c r="F45" s="633"/>
      <c r="G45" s="634" t="e">
        <f>IF($B$9="CLASS",VLOOKUP($I$11,DATEWISE!$B$3:$CT$27,94,0),IF($B$9="SCHOOL",VLOOKUP($I$11,DATEWISE!$B$3:$CT$27,50,0),""))</f>
        <v>#N/A</v>
      </c>
      <c r="H45" s="634"/>
      <c r="I45" s="635" t="e">
        <f>IF($B$9="CLASS",VLOOKUP($I$11,DATEWISE!$B$3:$CT$27,95,0),IF($B$9="SCHOOL",VLOOKUP($I$11,DATEWISE!$B$3:$CT$27,51,0),""))</f>
        <v>#N/A</v>
      </c>
      <c r="J45" s="635"/>
    </row>
    <row r="46" s="613" customFormat="1" ht="15" customHeight="1" spans="1:11">
      <c r="A46" s="628"/>
      <c r="B46" s="628"/>
      <c r="C46" s="629"/>
      <c r="D46" s="629"/>
      <c r="E46" s="633"/>
      <c r="F46" s="633"/>
      <c r="G46" s="634"/>
      <c r="H46" s="634"/>
      <c r="I46" s="635"/>
      <c r="J46" s="635"/>
    </row>
    <row r="47" s="613" customFormat="1" ht="15" customHeight="1" spans="1:11">
      <c r="A47" s="628"/>
      <c r="B47" s="628"/>
      <c r="C47" s="629"/>
      <c r="D47" s="629"/>
      <c r="E47" s="633"/>
      <c r="F47" s="633"/>
      <c r="G47" s="634"/>
      <c r="H47" s="634"/>
      <c r="I47" s="635"/>
      <c r="J47" s="635"/>
    </row>
    <row r="54" ht="15.6" spans="1:11">
      <c r="A54" s="637" t="s">
        <v>469</v>
      </c>
      <c r="B54" s="637"/>
      <c r="C54" s="637"/>
      <c r="D54" s="637"/>
      <c r="E54" s="637"/>
      <c r="F54" s="637"/>
      <c r="G54" s="637"/>
      <c r="H54" s="637"/>
      <c r="I54" s="638"/>
      <c r="J54" s="638"/>
      <c r="K54" s="638"/>
    </row>
    <row r="56" ht="15.6" spans="1:11">
      <c r="A56" s="637" t="s">
        <v>470</v>
      </c>
      <c r="B56" s="637"/>
      <c r="C56" s="637"/>
      <c r="D56" s="637"/>
      <c r="E56" s="637"/>
      <c r="F56" s="637"/>
      <c r="G56" s="637"/>
      <c r="H56" s="637"/>
      <c r="I56" s="638"/>
      <c r="J56" s="638"/>
      <c r="K56" s="638"/>
    </row>
  </sheetData>
  <sheetProtection password="BF6F" sheet="1" formatCells="0" formatColumns="0" formatRows="0" objects="1" scenarios="1"/>
  <mergeCells count="33">
    <mergeCell ref="F7:H7"/>
    <mergeCell ref="E8:J8"/>
    <mergeCell ref="A54:H54"/>
    <mergeCell ref="I54:K54"/>
    <mergeCell ref="A56:H56"/>
    <mergeCell ref="I56:K56"/>
    <mergeCell ref="F13:F14"/>
    <mergeCell ref="J16:J17"/>
    <mergeCell ref="J28:J29"/>
    <mergeCell ref="A33:B35"/>
    <mergeCell ref="C33:D35"/>
    <mergeCell ref="E33:F35"/>
    <mergeCell ref="G33:H35"/>
    <mergeCell ref="I33:J35"/>
    <mergeCell ref="A21:B23"/>
    <mergeCell ref="C21:D23"/>
    <mergeCell ref="E21:F23"/>
    <mergeCell ref="G21:H23"/>
    <mergeCell ref="I21:J23"/>
    <mergeCell ref="M3:P4"/>
    <mergeCell ref="M6:P7"/>
    <mergeCell ref="C13:D14"/>
    <mergeCell ref="J13:K14"/>
    <mergeCell ref="I1:K2"/>
    <mergeCell ref="B9:D10"/>
    <mergeCell ref="C11:D12"/>
    <mergeCell ref="I11:K12"/>
    <mergeCell ref="J40:K42"/>
    <mergeCell ref="A45:B47"/>
    <mergeCell ref="C45:D47"/>
    <mergeCell ref="E45:F47"/>
    <mergeCell ref="G45:H47"/>
    <mergeCell ref="I45:J47"/>
  </mergeCells>
  <conditionalFormatting sqref="A53:K57">
    <cfRule type="expression" dxfId="3" priority="1">
      <formula>($B$9="CLASS")</formula>
    </cfRule>
  </conditionalFormatting>
  <pageMargins left="0.29" right="0.25" top="0.38" bottom="0.4" header="0.3" footer="0.3"/>
  <pageSetup paperSize="9" scale="91" orientation="portrait" horizontalDpi="300" verticalDpi="300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D7:N47"/>
  <sheetViews>
    <sheetView workbookViewId="0">
      <selection activeCell="M13" sqref="M13:N14"/>
    </sheetView>
  </sheetViews>
  <sheetFormatPr defaultColWidth="9.13888888888889" defaultRowHeight="14.4"/>
  <cols>
    <col min="1" max="16384" width="9.13888888888889" style="3"/>
  </cols>
  <sheetData>
    <row r="7" ht="15.6" spans="4:14">
      <c r="D7" s="599"/>
      <c r="E7" s="599"/>
      <c r="F7" s="600" t="str">
        <f>"SESSION : "&amp;ENTRY!$D$11</f>
        <v>SESSION : 2026-27</v>
      </c>
      <c r="G7" s="600"/>
      <c r="H7" s="600"/>
      <c r="I7" s="599"/>
      <c r="J7" s="599"/>
      <c r="K7" s="599"/>
    </row>
    <row r="8" spans="4:14">
      <c r="D8" s="599"/>
      <c r="E8" s="601" t="str">
        <f>ENTRY!$D$6</f>
        <v>MCP NITHARI NO 1 BOYS</v>
      </c>
      <c r="F8" s="601"/>
      <c r="G8" s="601"/>
      <c r="H8" s="601"/>
      <c r="I8" s="601"/>
      <c r="J8" s="601"/>
      <c r="K8" s="599"/>
    </row>
    <row r="9" spans="4:14">
      <c r="D9" s="599"/>
      <c r="E9" s="601"/>
      <c r="F9" s="601"/>
      <c r="G9" s="601"/>
      <c r="H9" s="601"/>
      <c r="I9" s="601"/>
      <c r="J9" s="601"/>
      <c r="K9" s="599"/>
    </row>
    <row r="13" spans="4:14">
      <c r="D13" s="602"/>
      <c r="E13" s="603">
        <f>IF(M13="MID",'SUM1'!T225,IF(M13="FINAL",'SUM1'!T653,""))</f>
        <v>39</v>
      </c>
      <c r="F13" s="602"/>
      <c r="G13" s="602"/>
      <c r="H13" s="602"/>
      <c r="I13" s="602"/>
      <c r="J13" s="602"/>
      <c r="K13" s="602"/>
      <c r="M13" s="604" t="s">
        <v>471</v>
      </c>
      <c r="N13" s="604"/>
    </row>
    <row r="14" ht="18" spans="4:14">
      <c r="D14" s="602"/>
      <c r="E14" s="603"/>
      <c r="F14" s="602"/>
      <c r="G14" s="602"/>
      <c r="H14" s="602"/>
      <c r="I14" s="605"/>
      <c r="J14" s="606"/>
      <c r="K14" s="606"/>
      <c r="M14" s="604"/>
      <c r="N14" s="604"/>
    </row>
    <row r="20" spans="7:9">
      <c r="G20" s="607">
        <f>IF(M13="MID",PASUMMARY!K29,IF(M13="FINAL",PASUMMARY!K77,""))</f>
        <v>0</v>
      </c>
      <c r="H20" s="607"/>
      <c r="I20" s="607"/>
    </row>
    <row r="21" spans="7:9">
      <c r="G21" s="607"/>
      <c r="H21" s="607"/>
      <c r="I21" s="607"/>
    </row>
    <row r="22" spans="7:9">
      <c r="G22" s="607"/>
      <c r="H22" s="607"/>
      <c r="I22" s="607"/>
    </row>
    <row r="23" spans="7:9">
      <c r="G23" s="607"/>
      <c r="H23" s="607"/>
      <c r="I23" s="607"/>
    </row>
    <row r="26" spans="7:9">
      <c r="G26" s="608">
        <f>IF(M13="MID",PASUMMARY!K30,IF(M13="FINAL",PASUMMARY!K78,""))</f>
        <v>0</v>
      </c>
      <c r="H26" s="608"/>
      <c r="I26" s="608"/>
    </row>
    <row r="27" spans="7:9">
      <c r="G27" s="608"/>
      <c r="H27" s="608"/>
      <c r="I27" s="608"/>
    </row>
    <row r="28" spans="7:9">
      <c r="G28" s="608"/>
      <c r="H28" s="608"/>
      <c r="I28" s="608"/>
    </row>
    <row r="31" spans="7:9">
      <c r="G31" s="609">
        <f>IF(M13="MID",PASUMMARY!K31,IF(M13="FINAL",PASUMMARY!K79,""))</f>
        <v>13</v>
      </c>
      <c r="H31" s="609"/>
      <c r="I31" s="609"/>
    </row>
    <row r="32" spans="7:9">
      <c r="G32" s="609"/>
      <c r="H32" s="609"/>
      <c r="I32" s="609"/>
    </row>
    <row r="33" spans="7:9">
      <c r="G33" s="609"/>
      <c r="H33" s="609"/>
      <c r="I33" s="609"/>
    </row>
    <row r="34" spans="7:9">
      <c r="G34" s="609"/>
      <c r="H34" s="609"/>
      <c r="I34" s="609"/>
    </row>
    <row r="37" spans="7:9">
      <c r="G37" s="610">
        <f>IF(M13="MID",PASUMMARY!K32,IF(M13="FINAL",PASUMMARY!K80,""))</f>
        <v>10</v>
      </c>
      <c r="H37" s="610"/>
      <c r="I37" s="610"/>
    </row>
    <row r="38" spans="7:9">
      <c r="G38" s="610"/>
      <c r="H38" s="610"/>
      <c r="I38" s="610"/>
    </row>
    <row r="39" spans="7:9">
      <c r="G39" s="610"/>
      <c r="H39" s="610"/>
      <c r="I39" s="610"/>
    </row>
    <row r="42" spans="7:9">
      <c r="G42" s="611">
        <f>IF(M13="MID",PASUMMARY!K33,IF(M13="FINAL",PASUMMARY!K81,""))</f>
        <v>16</v>
      </c>
      <c r="H42" s="611"/>
      <c r="I42" s="611"/>
    </row>
    <row r="43" spans="7:9">
      <c r="G43" s="611"/>
      <c r="H43" s="611"/>
      <c r="I43" s="611"/>
    </row>
    <row r="44" spans="7:9">
      <c r="G44" s="611"/>
      <c r="H44" s="611"/>
      <c r="I44" s="611"/>
    </row>
    <row r="45" spans="7:9">
      <c r="G45" s="611"/>
      <c r="H45" s="611"/>
      <c r="I45" s="611"/>
    </row>
    <row r="46" spans="7:9">
      <c r="G46" s="612" t="str">
        <f>"Ab : "&amp;IF(M13="MID",PASUMMARY!K34,IF(M13="FINAL",PASUMMARY!K82,""))</f>
        <v>Ab : 0</v>
      </c>
      <c r="H46" s="612"/>
      <c r="I46" s="612"/>
    </row>
    <row r="47" spans="7:9">
      <c r="G47" s="612"/>
      <c r="H47" s="612"/>
      <c r="I47" s="612"/>
    </row>
  </sheetData>
  <sheetProtection password="BF6F" sheet="1" formatCells="0" formatColumns="0" formatRows="0" objects="1" scenarios="1"/>
  <mergeCells count="11">
    <mergeCell ref="F7:H7"/>
    <mergeCell ref="J14:K14"/>
    <mergeCell ref="E13:E14"/>
    <mergeCell ref="G46:I47"/>
    <mergeCell ref="M13:N14"/>
    <mergeCell ref="G20:I23"/>
    <mergeCell ref="G26:I28"/>
    <mergeCell ref="G31:I34"/>
    <mergeCell ref="G37:I39"/>
    <mergeCell ref="E8:J9"/>
    <mergeCell ref="G42:I45"/>
  </mergeCells>
  <pageMargins left="0.29" right="0.29" top="0.38" bottom="0.38" header="0.3" footer="0.3"/>
  <pageSetup paperSize="9" scale="91" orientation="portrait" horizontalDpi="300" verticalDpi="300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5"/>
  <sheetViews>
    <sheetView workbookViewId="0">
      <selection activeCell="D2" sqref="D2"/>
    </sheetView>
  </sheetViews>
  <sheetFormatPr defaultColWidth="9.13888888888889" defaultRowHeight="18"/>
  <cols>
    <col min="1" max="1" width="9.13888888888889" style="587"/>
    <col min="2" max="2" width="13.1388888888889" style="587" customWidth="1"/>
    <col min="3" max="3" width="17.1388888888889" style="587" customWidth="1"/>
    <col min="4" max="4" width="35.1388888888889" style="587" customWidth="1"/>
    <col min="5" max="5" width="30.287037037037" style="587" customWidth="1"/>
    <col min="6" max="6" width="10.712962962963" style="587" customWidth="1"/>
    <col min="7" max="7" width="13.712962962963" style="587" customWidth="1"/>
    <col min="8" max="15" width="10.712962962963" style="587" customWidth="1"/>
    <col min="16" max="16" width="9.13888888888889" style="587"/>
    <col min="17" max="31" width="13.712962962963" style="587" customWidth="1"/>
    <col min="32" max="16384" width="9.13888888888889" style="587"/>
  </cols>
  <sheetData>
    <row r="1" spans="1:31">
      <c r="A1" s="588"/>
      <c r="B1" s="589"/>
      <c r="C1" s="588"/>
      <c r="D1" s="588" t="s">
        <v>472</v>
      </c>
      <c r="E1" s="588"/>
      <c r="F1" s="576"/>
      <c r="G1" s="576"/>
      <c r="H1" s="590"/>
      <c r="I1" s="590"/>
      <c r="J1" s="590"/>
      <c r="K1" s="590"/>
      <c r="L1" s="590"/>
      <c r="M1" s="590"/>
      <c r="N1" s="590"/>
      <c r="O1" s="590"/>
    </row>
    <row r="2" ht="36" spans="1:31">
      <c r="A2" s="588" t="s">
        <v>109</v>
      </c>
      <c r="B2" s="589" t="s">
        <v>114</v>
      </c>
      <c r="C2" s="588" t="s">
        <v>112</v>
      </c>
      <c r="D2" s="588" t="s">
        <v>113</v>
      </c>
      <c r="E2" s="588" t="s">
        <v>327</v>
      </c>
      <c r="F2" s="576" t="s">
        <v>473</v>
      </c>
      <c r="G2" s="576" t="s">
        <v>474</v>
      </c>
      <c r="H2" s="590" t="s">
        <v>87</v>
      </c>
      <c r="I2" s="590" t="s">
        <v>350</v>
      </c>
      <c r="J2" s="590" t="s">
        <v>88</v>
      </c>
      <c r="K2" s="590" t="s">
        <v>351</v>
      </c>
      <c r="L2" s="590" t="s">
        <v>352</v>
      </c>
      <c r="M2" s="590" t="s">
        <v>353</v>
      </c>
      <c r="N2" s="590" t="s">
        <v>354</v>
      </c>
      <c r="O2" s="590" t="s">
        <v>102</v>
      </c>
      <c r="Q2" s="591" t="s">
        <v>475</v>
      </c>
      <c r="R2" s="591" t="s">
        <v>476</v>
      </c>
      <c r="S2" s="592" t="s">
        <v>477</v>
      </c>
      <c r="T2" s="593" t="s">
        <v>478</v>
      </c>
      <c r="U2" s="592" t="s">
        <v>479</v>
      </c>
      <c r="V2" s="592" t="s">
        <v>480</v>
      </c>
      <c r="W2" s="594"/>
      <c r="X2" s="591" t="s">
        <v>475</v>
      </c>
      <c r="Y2" s="591" t="s">
        <v>476</v>
      </c>
      <c r="Z2" s="591" t="s">
        <v>474</v>
      </c>
      <c r="AA2" s="592" t="s">
        <v>477</v>
      </c>
      <c r="AB2" s="593" t="s">
        <v>481</v>
      </c>
      <c r="AC2" s="592" t="s">
        <v>479</v>
      </c>
      <c r="AD2" s="592" t="s">
        <v>480</v>
      </c>
      <c r="AE2" s="595"/>
    </row>
    <row r="3" spans="1:31">
      <c r="A3" s="588"/>
      <c r="B3" s="589"/>
      <c r="C3" s="588"/>
      <c r="D3" s="588"/>
      <c r="E3" s="588"/>
      <c r="F3" s="576"/>
      <c r="G3" s="576"/>
      <c r="H3" s="590"/>
      <c r="I3" s="590"/>
      <c r="J3" s="590"/>
      <c r="K3" s="590"/>
      <c r="L3" s="590"/>
      <c r="M3" s="590"/>
      <c r="N3" s="590"/>
      <c r="O3" s="590"/>
      <c r="Q3" s="591" t="s">
        <v>482</v>
      </c>
      <c r="R3" s="591" t="s">
        <v>483</v>
      </c>
      <c r="S3" s="591" t="s">
        <v>50</v>
      </c>
      <c r="T3" s="591">
        <f>COUNTIFS(O4:O103,S3)</f>
        <v>0</v>
      </c>
      <c r="U3" s="591">
        <f>COUNTIFS(F4:F103,Q3,O4:O103,S3)</f>
        <v>0</v>
      </c>
      <c r="V3" s="591">
        <f t="shared" ref="V3:V9" si="0">COUNTIFS(F4:F103,R3,O4:O103,S3)</f>
        <v>0</v>
      </c>
      <c r="W3" s="594"/>
      <c r="X3" s="591" t="s">
        <v>482</v>
      </c>
      <c r="Y3" s="591" t="s">
        <v>483</v>
      </c>
      <c r="Z3" s="591" t="s">
        <v>484</v>
      </c>
      <c r="AA3" s="591" t="s">
        <v>50</v>
      </c>
      <c r="AB3" s="591">
        <f>COUNTIFS(G4:G103,Z3,O4:O103,S3)</f>
        <v>0</v>
      </c>
      <c r="AC3" s="591">
        <f>COUNTIFS(F4:F103,X3,G4:G103,Z3,O4:O103,S3)</f>
        <v>0</v>
      </c>
      <c r="AD3" s="591">
        <f>COUNTIFS(F4:F103,Y3,G4:G103,Z3,O4:O103,S3)</f>
        <v>0</v>
      </c>
      <c r="AE3" s="595"/>
    </row>
    <row r="4" spans="1:31">
      <c r="A4" s="596">
        <v>1</v>
      </c>
      <c r="B4" s="596">
        <f>STUDENT!F2</f>
        <v>14779</v>
      </c>
      <c r="C4" s="596">
        <f>STUDENT!D2</f>
        <v>20220171896</v>
      </c>
      <c r="D4" s="597" t="str">
        <f>STUDENT!E2</f>
        <v>NAKSH</v>
      </c>
      <c r="E4" s="597" t="str">
        <f>STUDENT!H2</f>
        <v>NARESH</v>
      </c>
      <c r="F4" s="590" t="str">
        <f>VLOOKUP(A4,STUDENT!$A$2:$BR$105,68,0)</f>
        <v/>
      </c>
      <c r="G4" s="590" t="b">
        <f>VLOOKUP(A4,STUDENT!$A$2:$BR$105,67,0)</f>
        <v>0</v>
      </c>
      <c r="H4" s="590" t="str">
        <f>PASHEET!BB4</f>
        <v>C</v>
      </c>
      <c r="I4" s="590" t="str">
        <f>PASHEET!BC4</f>
        <v>C</v>
      </c>
      <c r="J4" s="590" t="str">
        <f>PASHEET!BD4</f>
        <v>C</v>
      </c>
      <c r="K4" s="590" t="str">
        <f>PASHEET!BE4</f>
        <v>B</v>
      </c>
      <c r="L4" s="590" t="str">
        <f>PASHEET!BF4</f>
        <v/>
      </c>
      <c r="M4" s="590" t="str">
        <f>PASHEET!BG4</f>
        <v>B</v>
      </c>
      <c r="N4" s="590" t="str">
        <f>PASHEET!BH4</f>
        <v/>
      </c>
      <c r="O4" s="590" t="str">
        <f>PASHEET!BI4</f>
        <v>C</v>
      </c>
      <c r="Q4" s="591" t="s">
        <v>482</v>
      </c>
      <c r="R4" s="591" t="s">
        <v>483</v>
      </c>
      <c r="S4" s="591" t="s">
        <v>485</v>
      </c>
      <c r="T4" s="591">
        <f>COUNTIFS(O4:O103,S4)</f>
        <v>7</v>
      </c>
      <c r="U4" s="591">
        <f>COUNTIFS(F4:F103,Q4,O4:O103,S4)</f>
        <v>0</v>
      </c>
      <c r="V4" s="591">
        <f t="shared" si="0"/>
        <v>0</v>
      </c>
      <c r="W4" s="594"/>
      <c r="X4" s="591" t="s">
        <v>482</v>
      </c>
      <c r="Y4" s="591" t="s">
        <v>483</v>
      </c>
      <c r="Z4" s="591" t="s">
        <v>484</v>
      </c>
      <c r="AA4" s="591" t="s">
        <v>485</v>
      </c>
      <c r="AB4" s="591">
        <f>COUNTIFS(G4:G103,Z4,O4:O103,S4)</f>
        <v>0</v>
      </c>
      <c r="AC4" s="591">
        <f>COUNTIFS(F4:F103,X4,G4:G103,Z4,O4:O103,S4)</f>
        <v>0</v>
      </c>
      <c r="AD4" s="591">
        <f>COUNTIFS(F4:F103,Y4,G4:G103,Z4,O4:O103,S4)</f>
        <v>0</v>
      </c>
      <c r="AE4" s="595"/>
    </row>
    <row r="5" spans="1:31">
      <c r="A5" s="590">
        <v>2</v>
      </c>
      <c r="B5" s="596">
        <f>STUDENT!F3</f>
        <v>14733</v>
      </c>
      <c r="C5" s="596">
        <f>STUDENT!D3</f>
        <v>20220354217</v>
      </c>
      <c r="D5" s="597" t="str">
        <f>STUDENT!E3</f>
        <v>NAVEEN</v>
      </c>
      <c r="E5" s="597" t="str">
        <f>STUDENT!H3</f>
        <v>SANJAY</v>
      </c>
      <c r="F5" s="590" t="str">
        <f>VLOOKUP(A5,STUDENT!$A$2:$BR$105,68,0)</f>
        <v/>
      </c>
      <c r="G5" s="590" t="b">
        <f>VLOOKUP(A5,STUDENT!$A$2:$BR$105,67,0)</f>
        <v>0</v>
      </c>
      <c r="H5" s="590" t="str">
        <f>PASHEET!BB5</f>
        <v>C</v>
      </c>
      <c r="I5" s="590" t="str">
        <f>PASHEET!BC5</f>
        <v>C</v>
      </c>
      <c r="J5" s="590" t="str">
        <f>PASHEET!BD5</f>
        <v>C</v>
      </c>
      <c r="K5" s="590" t="str">
        <f>PASHEET!BE5</f>
        <v>B</v>
      </c>
      <c r="L5" s="590" t="str">
        <f>PASHEET!BF5</f>
        <v/>
      </c>
      <c r="M5" s="590" t="str">
        <f>PASHEET!BG5</f>
        <v>A</v>
      </c>
      <c r="N5" s="590" t="str">
        <f>PASHEET!BH5</f>
        <v/>
      </c>
      <c r="O5" s="590" t="str">
        <f>PASHEET!BI5</f>
        <v>C</v>
      </c>
      <c r="Q5" s="591" t="s">
        <v>482</v>
      </c>
      <c r="R5" s="591" t="s">
        <v>483</v>
      </c>
      <c r="S5" s="591" t="s">
        <v>486</v>
      </c>
      <c r="T5" s="591">
        <f>COUNTIFS(O4:O103,S5)</f>
        <v>24</v>
      </c>
      <c r="U5" s="591">
        <f>COUNTIFS(F4:F103,Q5,O4:O103,S5)</f>
        <v>0</v>
      </c>
      <c r="V5" s="591">
        <f t="shared" si="0"/>
        <v>0</v>
      </c>
      <c r="W5" s="594"/>
      <c r="X5" s="591" t="s">
        <v>482</v>
      </c>
      <c r="Y5" s="591" t="s">
        <v>483</v>
      </c>
      <c r="Z5" s="591" t="s">
        <v>484</v>
      </c>
      <c r="AA5" s="591" t="s">
        <v>486</v>
      </c>
      <c r="AB5" s="591">
        <f>COUNTIFS(G4:G103,Z5,O4:O103,S5)</f>
        <v>0</v>
      </c>
      <c r="AC5" s="591">
        <f>COUNTIFS(F4:F103,X5,G4:G103,Z5,O4:O103,S5)</f>
        <v>0</v>
      </c>
      <c r="AD5" s="591">
        <f>COUNTIFS(F4:F103,Y5,G4:G103,Z5,O4:O103,S5)</f>
        <v>0</v>
      </c>
      <c r="AE5" s="595"/>
    </row>
    <row r="6" spans="1:31">
      <c r="A6" s="596">
        <v>3</v>
      </c>
      <c r="B6" s="596">
        <f>STUDENT!F4</f>
        <v>14757</v>
      </c>
      <c r="C6" s="596">
        <f>STUDENT!D4</f>
        <v>20220402586</v>
      </c>
      <c r="D6" s="597" t="str">
        <f>STUDENT!E4</f>
        <v>AADITYA KUMAR</v>
      </c>
      <c r="E6" s="597" t="str">
        <f>STUDENT!H4</f>
        <v>DHARMENDRA KUMAR</v>
      </c>
      <c r="F6" s="590" t="str">
        <f>VLOOKUP(A6,STUDENT!$A$2:$BR$105,68,0)</f>
        <v/>
      </c>
      <c r="G6" s="590" t="b">
        <f>VLOOKUP(A6,STUDENT!$A$2:$BR$105,67,0)</f>
        <v>0</v>
      </c>
      <c r="H6" s="590" t="str">
        <f>PASHEET!BB6</f>
        <v>B</v>
      </c>
      <c r="I6" s="590" t="str">
        <f>PASHEET!BC6</f>
        <v>C</v>
      </c>
      <c r="J6" s="590" t="str">
        <f>PASHEET!BD6</f>
        <v>B</v>
      </c>
      <c r="K6" s="590" t="str">
        <f>PASHEET!BE6</f>
        <v>C</v>
      </c>
      <c r="L6" s="590" t="str">
        <f>PASHEET!BF6</f>
        <v/>
      </c>
      <c r="M6" s="590" t="str">
        <f>PASHEET!BG6</f>
        <v>B</v>
      </c>
      <c r="N6" s="590" t="str">
        <f>PASHEET!BH6</f>
        <v/>
      </c>
      <c r="O6" s="590" t="str">
        <f>PASHEET!BI6</f>
        <v>C</v>
      </c>
      <c r="Q6" s="591" t="s">
        <v>482</v>
      </c>
      <c r="R6" s="591" t="s">
        <v>483</v>
      </c>
      <c r="S6" s="591" t="s">
        <v>487</v>
      </c>
      <c r="T6" s="591">
        <f>COUNTIFS(O4:O103,S6)</f>
        <v>3</v>
      </c>
      <c r="U6" s="591">
        <f>COUNTIFS(F4:F103,Q6,O4:O103,S6)</f>
        <v>0</v>
      </c>
      <c r="V6" s="591">
        <f t="shared" si="0"/>
        <v>0</v>
      </c>
      <c r="W6" s="594"/>
      <c r="X6" s="591" t="s">
        <v>482</v>
      </c>
      <c r="Y6" s="591" t="s">
        <v>483</v>
      </c>
      <c r="Z6" s="591" t="s">
        <v>484</v>
      </c>
      <c r="AA6" s="591" t="s">
        <v>487</v>
      </c>
      <c r="AB6" s="591">
        <f>COUNTIFS(G4:G103,Z6,O4:O103,S6)</f>
        <v>0</v>
      </c>
      <c r="AC6" s="591">
        <f>COUNTIFS(F4:F103,X6,G4:G103,Z6,O4:O103,S6)</f>
        <v>0</v>
      </c>
      <c r="AD6" s="591">
        <f>COUNTIFS(F4:F103,Y6,G4:G103,Z6,O4:O103,S6)</f>
        <v>0</v>
      </c>
      <c r="AE6" s="595"/>
    </row>
    <row r="7" spans="1:31">
      <c r="A7" s="590">
        <v>4</v>
      </c>
      <c r="B7" s="596">
        <f>STUDENT!F5</f>
        <v>14778</v>
      </c>
      <c r="C7" s="596">
        <f>STUDENT!D5</f>
        <v>20220448164</v>
      </c>
      <c r="D7" s="597" t="str">
        <f>STUDENT!E5</f>
        <v>PRINCE KUMAR RAY</v>
      </c>
      <c r="E7" s="597" t="str">
        <f>STUDENT!H5</f>
        <v>RAMSHARAN RAY</v>
      </c>
      <c r="F7" s="590" t="str">
        <f>VLOOKUP(A7,STUDENT!$A$2:$BR$105,68,0)</f>
        <v/>
      </c>
      <c r="G7" s="590" t="b">
        <f>VLOOKUP(A7,STUDENT!$A$2:$BR$105,67,0)</f>
        <v>0</v>
      </c>
      <c r="H7" s="590" t="str">
        <f>PASHEET!BB7</f>
        <v>B</v>
      </c>
      <c r="I7" s="590" t="str">
        <f>PASHEET!BC7</f>
        <v>C</v>
      </c>
      <c r="J7" s="590" t="str">
        <f>PASHEET!BD7</f>
        <v>B</v>
      </c>
      <c r="K7" s="590" t="str">
        <f>PASHEET!BE7</f>
        <v>B</v>
      </c>
      <c r="L7" s="590" t="str">
        <f>PASHEET!BF7</f>
        <v/>
      </c>
      <c r="M7" s="590" t="str">
        <f>PASHEET!BG7</f>
        <v>C</v>
      </c>
      <c r="N7" s="590" t="str">
        <f>PASHEET!BH7</f>
        <v/>
      </c>
      <c r="O7" s="590" t="str">
        <f>PASHEET!BI7</f>
        <v>C</v>
      </c>
      <c r="Q7" s="591" t="s">
        <v>482</v>
      </c>
      <c r="R7" s="591" t="s">
        <v>483</v>
      </c>
      <c r="S7" s="591" t="s">
        <v>488</v>
      </c>
      <c r="T7" s="591">
        <f>COUNTIFS(O4:O103,S7)</f>
        <v>0</v>
      </c>
      <c r="U7" s="591">
        <f>COUNTIFS(F4:F103,Q7,O4:O103,S7)</f>
        <v>0</v>
      </c>
      <c r="V7" s="591">
        <f t="shared" si="0"/>
        <v>0</v>
      </c>
      <c r="W7" s="594"/>
      <c r="X7" s="591" t="s">
        <v>482</v>
      </c>
      <c r="Y7" s="591" t="s">
        <v>483</v>
      </c>
      <c r="Z7" s="591" t="s">
        <v>484</v>
      </c>
      <c r="AA7" s="591" t="s">
        <v>488</v>
      </c>
      <c r="AB7" s="591">
        <f>COUNTIFS(G4:G103,Z7,O4:O103,S7)</f>
        <v>0</v>
      </c>
      <c r="AC7" s="591">
        <f>COUNTIFS(F4:F103,X7,G4:G103,Z7,O4:O103,S7)</f>
        <v>0</v>
      </c>
      <c r="AD7" s="591">
        <f>COUNTIFS(F4:F103,Y7,G4:G103,Z7,O4:O103,S7)</f>
        <v>0</v>
      </c>
      <c r="AE7" s="595"/>
    </row>
    <row r="8" spans="1:31">
      <c r="A8" s="596">
        <v>5</v>
      </c>
      <c r="B8" s="596">
        <f>STUDENT!F6</f>
        <v>14785</v>
      </c>
      <c r="C8" s="596">
        <f>STUDENT!D6</f>
        <v>20220482313</v>
      </c>
      <c r="D8" s="597" t="str">
        <f>STUDENT!E6</f>
        <v>KIRSHNA</v>
      </c>
      <c r="E8" s="597" t="str">
        <f>STUDENT!H6</f>
        <v>VISHNU KASHYAP</v>
      </c>
      <c r="F8" s="590" t="str">
        <f>VLOOKUP(A8,STUDENT!$A$2:$BR$105,68,0)</f>
        <v/>
      </c>
      <c r="G8" s="590" t="b">
        <f>VLOOKUP(A8,STUDENT!$A$2:$BR$105,67,0)</f>
        <v>0</v>
      </c>
      <c r="H8" s="590" t="str">
        <f>PASHEET!BB8</f>
        <v>B</v>
      </c>
      <c r="I8" s="590" t="str">
        <f>PASHEET!BC8</f>
        <v>C</v>
      </c>
      <c r="J8" s="590" t="str">
        <f>PASHEET!BD8</f>
        <v>C</v>
      </c>
      <c r="K8" s="590" t="str">
        <f>PASHEET!BE8</f>
        <v>B</v>
      </c>
      <c r="L8" s="590" t="str">
        <f>PASHEET!BF8</f>
        <v/>
      </c>
      <c r="M8" s="590" t="str">
        <f>PASHEET!BG8</f>
        <v>B</v>
      </c>
      <c r="N8" s="590" t="str">
        <f>PASHEET!BH8</f>
        <v/>
      </c>
      <c r="O8" s="590" t="str">
        <f>PASHEET!BI8</f>
        <v>C</v>
      </c>
      <c r="Q8" s="591" t="s">
        <v>482</v>
      </c>
      <c r="R8" s="591" t="s">
        <v>483</v>
      </c>
      <c r="S8" s="591" t="s">
        <v>101</v>
      </c>
      <c r="T8" s="591">
        <f>COUNTIFS(O4:O103,S8)</f>
        <v>5</v>
      </c>
      <c r="U8" s="591">
        <f>COUNTIFS(F4:F103,Q8,O4:O103,S8)</f>
        <v>0</v>
      </c>
      <c r="V8" s="591">
        <f t="shared" si="0"/>
        <v>0</v>
      </c>
      <c r="W8" s="594"/>
      <c r="X8" s="591" t="s">
        <v>482</v>
      </c>
      <c r="Y8" s="591" t="s">
        <v>483</v>
      </c>
      <c r="Z8" s="591" t="s">
        <v>484</v>
      </c>
      <c r="AA8" s="591" t="s">
        <v>101</v>
      </c>
      <c r="AB8" s="591">
        <f>COUNTIFS(G4:G103,Z8,O4:O103,S8)</f>
        <v>0</v>
      </c>
      <c r="AC8" s="591">
        <f>COUNTIFS(F4:F103,X8,G4:G103,Z8,O4:O103,S8)</f>
        <v>0</v>
      </c>
      <c r="AD8" s="591">
        <f>COUNTIFS(F4:F103,Y8,G4:G103,Z8,O4:O103,S8)</f>
        <v>0</v>
      </c>
      <c r="AE8" s="595"/>
    </row>
    <row r="9" spans="1:31">
      <c r="A9" s="590">
        <v>6</v>
      </c>
      <c r="B9" s="596">
        <f>STUDENT!F7</f>
        <v>14780</v>
      </c>
      <c r="C9" s="596">
        <f>STUDENT!D7</f>
        <v>20230048303</v>
      </c>
      <c r="D9" s="597" t="str">
        <f>STUDENT!E7</f>
        <v>MD SOPHIYAN ALAM</v>
      </c>
      <c r="E9" s="597" t="str">
        <f>STUDENT!H7</f>
        <v>MD TABREJ ALAM</v>
      </c>
      <c r="F9" s="590" t="str">
        <f>VLOOKUP(A9,STUDENT!$A$2:$BR$105,68,0)</f>
        <v/>
      </c>
      <c r="G9" s="590" t="b">
        <f>VLOOKUP(A9,STUDENT!$A$2:$BR$105,67,0)</f>
        <v>0</v>
      </c>
      <c r="H9" s="590" t="str">
        <f>PASHEET!BB9</f>
        <v>A</v>
      </c>
      <c r="I9" s="590" t="str">
        <f>PASHEET!BC9</f>
        <v>B</v>
      </c>
      <c r="J9" s="590" t="str">
        <f>PASHEET!BD9</f>
        <v>A</v>
      </c>
      <c r="K9" s="590" t="str">
        <f>PASHEET!BE9</f>
        <v>B</v>
      </c>
      <c r="L9" s="590" t="str">
        <f>PASHEET!BF9</f>
        <v/>
      </c>
      <c r="M9" s="590" t="str">
        <f>PASHEET!BG9</f>
        <v>A</v>
      </c>
      <c r="N9" s="590" t="str">
        <f>PASHEET!BH9</f>
        <v/>
      </c>
      <c r="O9" s="590" t="str">
        <f>PASHEET!BI9</f>
        <v>B</v>
      </c>
      <c r="Q9" s="591" t="s">
        <v>482</v>
      </c>
      <c r="R9" s="591" t="s">
        <v>483</v>
      </c>
      <c r="S9" s="591" t="s">
        <v>489</v>
      </c>
      <c r="T9" s="591">
        <f>COUNTIFS(O4:O103,S9)</f>
        <v>0</v>
      </c>
      <c r="U9" s="591">
        <f>COUNTIFS(F4:F103,Q9,O4:O103,S9)</f>
        <v>0</v>
      </c>
      <c r="V9" s="591">
        <f t="shared" si="0"/>
        <v>0</v>
      </c>
      <c r="W9" s="594"/>
      <c r="X9" s="591" t="s">
        <v>482</v>
      </c>
      <c r="Y9" s="591" t="s">
        <v>483</v>
      </c>
      <c r="Z9" s="591" t="s">
        <v>484</v>
      </c>
      <c r="AA9" s="591" t="s">
        <v>489</v>
      </c>
      <c r="AB9" s="591">
        <f>COUNTIFS(G4:G103,Z9,O4:O103,S9)</f>
        <v>0</v>
      </c>
      <c r="AC9" s="591">
        <f>COUNTIFS(F4:F103,X9,G4:G103,Z9,O4:O103,S9)</f>
        <v>0</v>
      </c>
      <c r="AD9" s="591">
        <f>COUNTIFS(F4:F103,Y9,G4:G103,Z9,O4:O103,S9)</f>
        <v>0</v>
      </c>
      <c r="AE9" s="595"/>
    </row>
    <row r="10" spans="1:31">
      <c r="A10" s="596">
        <v>7</v>
      </c>
      <c r="B10" s="596">
        <f>STUDENT!F8</f>
        <v>14773</v>
      </c>
      <c r="C10" s="596">
        <f>STUDENT!D8</f>
        <v>20230083520</v>
      </c>
      <c r="D10" s="597" t="str">
        <f>STUDENT!E8</f>
        <v>MD SAUBAN</v>
      </c>
      <c r="E10" s="597" t="str">
        <f>STUDENT!H8</f>
        <v>MD IRSHAD</v>
      </c>
      <c r="F10" s="590" t="str">
        <f>VLOOKUP(A10,STUDENT!$A$2:$BR$105,68,0)</f>
        <v/>
      </c>
      <c r="G10" s="590" t="b">
        <f>VLOOKUP(A10,STUDENT!$A$2:$BR$105,67,0)</f>
        <v>0</v>
      </c>
      <c r="H10" s="590" t="str">
        <f>PASHEET!BB10</f>
        <v>B</v>
      </c>
      <c r="I10" s="590" t="str">
        <f>PASHEET!BC10</f>
        <v>C</v>
      </c>
      <c r="J10" s="590" t="str">
        <f>PASHEET!BD10</f>
        <v>B</v>
      </c>
      <c r="K10" s="590" t="str">
        <f>PASHEET!BE10</f>
        <v>B</v>
      </c>
      <c r="L10" s="590" t="str">
        <f>PASHEET!BF10</f>
        <v/>
      </c>
      <c r="M10" s="590" t="str">
        <f>PASHEET!BG10</f>
        <v>A</v>
      </c>
      <c r="N10" s="590" t="str">
        <f>PASHEET!BH10</f>
        <v/>
      </c>
      <c r="O10" s="590" t="str">
        <f>PASHEET!BI10</f>
        <v>B</v>
      </c>
      <c r="Q10" s="591" t="s">
        <v>482</v>
      </c>
      <c r="R10" s="591" t="s">
        <v>483</v>
      </c>
      <c r="S10" s="591"/>
      <c r="T10" s="591"/>
      <c r="U10" s="591"/>
      <c r="V10" s="591"/>
      <c r="W10" s="594"/>
      <c r="X10" s="591" t="s">
        <v>482</v>
      </c>
      <c r="Y10" s="591" t="s">
        <v>483</v>
      </c>
      <c r="Z10" s="591" t="s">
        <v>484</v>
      </c>
      <c r="AA10" s="591"/>
      <c r="AB10" s="591"/>
      <c r="AC10" s="591"/>
      <c r="AD10" s="591"/>
      <c r="AE10" s="595"/>
    </row>
    <row r="11" spans="1:31">
      <c r="A11" s="590">
        <v>8</v>
      </c>
      <c r="B11" s="596">
        <f>STUDENT!F9</f>
        <v>14769</v>
      </c>
      <c r="C11" s="596">
        <f>STUDENT!D9</f>
        <v>20230095636</v>
      </c>
      <c r="D11" s="597" t="str">
        <f>STUDENT!E9</f>
        <v>DEEPANSHU</v>
      </c>
      <c r="E11" s="597" t="str">
        <f>STUDENT!H9</f>
        <v>AKHILESH KUMAR</v>
      </c>
      <c r="F11" s="590" t="str">
        <f>VLOOKUP(A11,STUDENT!$A$2:$BR$105,68,0)</f>
        <v/>
      </c>
      <c r="G11" s="590" t="b">
        <f>VLOOKUP(A11,STUDENT!$A$2:$BR$105,67,0)</f>
        <v>0</v>
      </c>
      <c r="H11" s="590" t="str">
        <f>PASHEET!BB11</f>
        <v>B</v>
      </c>
      <c r="I11" s="590" t="str">
        <f>PASHEET!BC11</f>
        <v>C</v>
      </c>
      <c r="J11" s="590" t="str">
        <f>PASHEET!BD11</f>
        <v>B</v>
      </c>
      <c r="K11" s="590" t="str">
        <f>PASHEET!BE11</f>
        <v>B</v>
      </c>
      <c r="L11" s="590" t="str">
        <f>PASHEET!BF11</f>
        <v/>
      </c>
      <c r="M11" s="590" t="str">
        <f>PASHEET!BG11</f>
        <v>A</v>
      </c>
      <c r="N11" s="590" t="str">
        <f>PASHEET!BH11</f>
        <v/>
      </c>
      <c r="O11" s="590" t="str">
        <f>PASHEET!BI11</f>
        <v>C</v>
      </c>
      <c r="Q11" s="591"/>
      <c r="R11" s="591"/>
      <c r="S11" s="591" t="s">
        <v>102</v>
      </c>
      <c r="T11" s="591">
        <f>SUM(T3:T10)</f>
        <v>39</v>
      </c>
      <c r="U11" s="591">
        <f t="shared" ref="U11:V11" si="1">SUM(U3:U10)</f>
        <v>0</v>
      </c>
      <c r="V11" s="591">
        <f t="shared" si="1"/>
        <v>0</v>
      </c>
      <c r="W11" s="594"/>
      <c r="X11" s="591"/>
      <c r="Y11" s="591"/>
      <c r="Z11" s="591"/>
      <c r="AA11" s="591" t="s">
        <v>102</v>
      </c>
      <c r="AB11" s="591">
        <f>SUM(AB3:AB10)</f>
        <v>0</v>
      </c>
      <c r="AC11" s="591">
        <f t="shared" ref="AC11:AD11" si="2">SUM(AC3:AC10)</f>
        <v>0</v>
      </c>
      <c r="AD11" s="591">
        <f t="shared" si="2"/>
        <v>0</v>
      </c>
      <c r="AE11" s="595"/>
    </row>
    <row r="12" spans="1:31">
      <c r="A12" s="596">
        <v>9</v>
      </c>
      <c r="B12" s="596">
        <f>STUDENT!F10</f>
        <v>14754</v>
      </c>
      <c r="C12" s="596">
        <f>STUDENT!D10</f>
        <v>20230130143</v>
      </c>
      <c r="D12" s="597" t="str">
        <f>STUDENT!E10</f>
        <v>ANUJ</v>
      </c>
      <c r="E12" s="597" t="str">
        <f>STUDENT!H10</f>
        <v>RANJEET DAS</v>
      </c>
      <c r="F12" s="590" t="str">
        <f>VLOOKUP(A12,STUDENT!$A$2:$BR$105,68,0)</f>
        <v/>
      </c>
      <c r="G12" s="590" t="b">
        <f>VLOOKUP(A12,STUDENT!$A$2:$BR$105,67,0)</f>
        <v>0</v>
      </c>
      <c r="H12" s="590" t="str">
        <f>PASHEET!BB12</f>
        <v>B</v>
      </c>
      <c r="I12" s="590" t="str">
        <f>PASHEET!BC12</f>
        <v>B</v>
      </c>
      <c r="J12" s="590" t="str">
        <f>PASHEET!BD12</f>
        <v>C</v>
      </c>
      <c r="K12" s="590" t="str">
        <f>PASHEET!BE12</f>
        <v>C</v>
      </c>
      <c r="L12" s="590" t="str">
        <f>PASHEET!BF12</f>
        <v/>
      </c>
      <c r="M12" s="590" t="str">
        <f>PASHEET!BG12</f>
        <v>B</v>
      </c>
      <c r="N12" s="590" t="str">
        <f>PASHEET!BH12</f>
        <v/>
      </c>
      <c r="O12" s="590" t="str">
        <f>PASHEET!BI12</f>
        <v>C</v>
      </c>
      <c r="Q12" s="591"/>
      <c r="R12" s="591"/>
      <c r="S12" s="591"/>
      <c r="T12" s="591"/>
      <c r="U12" s="591"/>
      <c r="V12" s="591"/>
      <c r="W12" s="594"/>
      <c r="X12" s="594"/>
      <c r="Y12" s="594"/>
      <c r="Z12" s="594"/>
      <c r="AA12" s="594"/>
      <c r="AB12" s="591"/>
      <c r="AC12" s="591"/>
      <c r="AD12" s="591"/>
      <c r="AE12" s="595"/>
    </row>
    <row r="13" spans="1:31">
      <c r="A13" s="590">
        <v>10</v>
      </c>
      <c r="B13" s="596">
        <f>STUDENT!F11</f>
        <v>14774</v>
      </c>
      <c r="C13" s="596">
        <f>STUDENT!D11</f>
        <v>20230268614</v>
      </c>
      <c r="D13" s="597" t="str">
        <f>STUDENT!E11</f>
        <v>PIYUSH KUMAR</v>
      </c>
      <c r="E13" s="597" t="str">
        <f>STUDENT!H11</f>
        <v>MUNNA LAL</v>
      </c>
      <c r="F13" s="590" t="str">
        <f>VLOOKUP(A13,STUDENT!$A$2:$BR$105,68,0)</f>
        <v/>
      </c>
      <c r="G13" s="590" t="b">
        <f>VLOOKUP(A13,STUDENT!$A$2:$BR$105,67,0)</f>
        <v>0</v>
      </c>
      <c r="H13" s="590" t="str">
        <f>PASHEET!BB13</f>
        <v>B</v>
      </c>
      <c r="I13" s="590" t="str">
        <f>PASHEET!BC13</f>
        <v>C</v>
      </c>
      <c r="J13" s="590" t="str">
        <f>PASHEET!BD13</f>
        <v>B</v>
      </c>
      <c r="K13" s="590" t="str">
        <f>PASHEET!BE13</f>
        <v>B</v>
      </c>
      <c r="L13" s="590" t="str">
        <f>PASHEET!BF13</f>
        <v/>
      </c>
      <c r="M13" s="590" t="str">
        <f>PASHEET!BG13</f>
        <v>B</v>
      </c>
      <c r="N13" s="590" t="str">
        <f>PASHEET!BH13</f>
        <v/>
      </c>
      <c r="O13" s="590" t="str">
        <f>PASHEET!BI13</f>
        <v>C</v>
      </c>
      <c r="Q13" s="591"/>
      <c r="R13" s="591"/>
      <c r="S13" s="591"/>
      <c r="T13" s="591"/>
      <c r="U13" s="591"/>
      <c r="V13" s="591"/>
      <c r="W13" s="594"/>
      <c r="X13" s="594"/>
      <c r="Y13" s="594"/>
      <c r="Z13" s="594"/>
      <c r="AA13" s="594"/>
      <c r="AB13" s="591"/>
      <c r="AC13" s="591"/>
      <c r="AD13" s="591"/>
      <c r="AE13" s="595"/>
    </row>
    <row r="14" spans="1:31">
      <c r="A14" s="596">
        <v>11</v>
      </c>
      <c r="B14" s="596">
        <f>STUDENT!F12</f>
        <v>14775</v>
      </c>
      <c r="C14" s="596">
        <f>STUDENT!D12</f>
        <v>20230349168</v>
      </c>
      <c r="D14" s="597" t="str">
        <f>STUDENT!E12</f>
        <v>MD MAHTAB</v>
      </c>
      <c r="E14" s="597" t="str">
        <f>STUDENT!H12</f>
        <v>MD ASRAF</v>
      </c>
      <c r="F14" s="590" t="str">
        <f>VLOOKUP(A14,STUDENT!$A$2:$BR$105,68,0)</f>
        <v/>
      </c>
      <c r="G14" s="590" t="b">
        <f>VLOOKUP(A14,STUDENT!$A$2:$BR$105,67,0)</f>
        <v>0</v>
      </c>
      <c r="H14" s="590" t="str">
        <f>PASHEET!BB14</f>
        <v>Ab</v>
      </c>
      <c r="I14" s="590" t="str">
        <f>PASHEET!BC14</f>
        <v>Ab</v>
      </c>
      <c r="J14" s="590" t="str">
        <f>PASHEET!BD14</f>
        <v>Ab</v>
      </c>
      <c r="K14" s="590" t="str">
        <f>PASHEET!BE14</f>
        <v>Ab</v>
      </c>
      <c r="L14" s="590" t="str">
        <f>PASHEET!BF14</f>
        <v/>
      </c>
      <c r="M14" s="590" t="str">
        <f>PASHEET!BG14</f>
        <v>Ab</v>
      </c>
      <c r="N14" s="590" t="str">
        <f>PASHEET!BH14</f>
        <v/>
      </c>
      <c r="O14" s="590" t="str">
        <f>PASHEET!BI14</f>
        <v>Ab</v>
      </c>
      <c r="Q14" s="591" t="s">
        <v>475</v>
      </c>
      <c r="R14" s="591" t="s">
        <v>476</v>
      </c>
      <c r="S14" s="592" t="s">
        <v>477</v>
      </c>
      <c r="T14" s="593" t="s">
        <v>87</v>
      </c>
      <c r="U14" s="592" t="s">
        <v>479</v>
      </c>
      <c r="V14" s="592" t="s">
        <v>480</v>
      </c>
      <c r="W14" s="594"/>
      <c r="X14" s="591" t="s">
        <v>475</v>
      </c>
      <c r="Y14" s="591" t="s">
        <v>476</v>
      </c>
      <c r="Z14" s="591" t="s">
        <v>474</v>
      </c>
      <c r="AA14" s="592" t="s">
        <v>477</v>
      </c>
      <c r="AB14" s="593" t="s">
        <v>490</v>
      </c>
      <c r="AC14" s="592" t="s">
        <v>479</v>
      </c>
      <c r="AD14" s="592" t="s">
        <v>480</v>
      </c>
      <c r="AE14" s="595"/>
    </row>
    <row r="15" spans="1:31">
      <c r="A15" s="590">
        <v>12</v>
      </c>
      <c r="B15" s="596">
        <f>STUDENT!F13</f>
        <v>14734</v>
      </c>
      <c r="C15" s="596">
        <f>STUDENT!D13</f>
        <v>20240008153</v>
      </c>
      <c r="D15" s="597" t="str">
        <f>STUDENT!E13</f>
        <v>PRADEEP</v>
      </c>
      <c r="E15" s="597" t="str">
        <f>STUDENT!H13</f>
        <v>RAM BHAWAN</v>
      </c>
      <c r="F15" s="590" t="str">
        <f>VLOOKUP(A15,STUDENT!$A$2:$BR$105,68,0)</f>
        <v/>
      </c>
      <c r="G15" s="590" t="b">
        <f>VLOOKUP(A15,STUDENT!$A$2:$BR$105,67,0)</f>
        <v>0</v>
      </c>
      <c r="H15" s="590" t="str">
        <f>PASHEET!BB15</f>
        <v>D</v>
      </c>
      <c r="I15" s="590" t="str">
        <f>PASHEET!BC15</f>
        <v>C</v>
      </c>
      <c r="J15" s="590" t="str">
        <f>PASHEET!BD15</f>
        <v>D</v>
      </c>
      <c r="K15" s="590" t="str">
        <f>PASHEET!BE15</f>
        <v>C</v>
      </c>
      <c r="L15" s="590" t="str">
        <f>PASHEET!BF15</f>
        <v/>
      </c>
      <c r="M15" s="590" t="str">
        <f>PASHEET!BG15</f>
        <v>A</v>
      </c>
      <c r="N15" s="590" t="str">
        <f>PASHEET!BH15</f>
        <v/>
      </c>
      <c r="O15" s="590" t="str">
        <f>PASHEET!BI15</f>
        <v>C</v>
      </c>
      <c r="Q15" s="591" t="s">
        <v>482</v>
      </c>
      <c r="R15" s="591" t="s">
        <v>483</v>
      </c>
      <c r="S15" s="591" t="s">
        <v>50</v>
      </c>
      <c r="T15" s="591">
        <f>COUNTIFS(H4:H103,S15)</f>
        <v>2</v>
      </c>
      <c r="U15" s="591">
        <f>COUNTIFS(F4:F103,Q4,H4:H103,S15)</f>
        <v>0</v>
      </c>
      <c r="V15" s="591">
        <f>COUNTIFS(F4:F103,R4,H4:H103,S15)</f>
        <v>0</v>
      </c>
      <c r="W15" s="594"/>
      <c r="X15" s="591" t="s">
        <v>482</v>
      </c>
      <c r="Y15" s="591" t="s">
        <v>483</v>
      </c>
      <c r="Z15" s="591" t="s">
        <v>490</v>
      </c>
      <c r="AA15" s="591" t="s">
        <v>50</v>
      </c>
      <c r="AB15" s="591">
        <f>COUNTIFS(G4:G103,Z15,O4:O103,S15)</f>
        <v>0</v>
      </c>
      <c r="AC15" s="591">
        <f>COUNTIFS(F4:F103,X15,G4:G103,Z15,O4:O103,S15)</f>
        <v>0</v>
      </c>
      <c r="AD15" s="591">
        <f>COUNTIFS(F4:F103,Y15,G4:G103,Z15,O4:O103,S15)</f>
        <v>0</v>
      </c>
      <c r="AE15" s="595"/>
    </row>
    <row r="16" spans="1:31">
      <c r="A16" s="596">
        <v>13</v>
      </c>
      <c r="B16" s="596">
        <f>STUDENT!F14</f>
        <v>14735</v>
      </c>
      <c r="C16" s="596">
        <f>STUDENT!D14</f>
        <v>20240008167</v>
      </c>
      <c r="D16" s="597" t="str">
        <f>STUDENT!E14</f>
        <v>MOHD JISAN</v>
      </c>
      <c r="E16" s="597" t="str">
        <f>STUDENT!H14</f>
        <v>MD ZAMEEL</v>
      </c>
      <c r="F16" s="590" t="str">
        <f>VLOOKUP(A16,STUDENT!$A$2:$BR$105,68,0)</f>
        <v/>
      </c>
      <c r="G16" s="590" t="b">
        <f>VLOOKUP(A16,STUDENT!$A$2:$BR$105,67,0)</f>
        <v>0</v>
      </c>
      <c r="H16" s="590" t="str">
        <f>PASHEET!BB16</f>
        <v>C</v>
      </c>
      <c r="I16" s="590" t="str">
        <f>PASHEET!BC16</f>
        <v>D</v>
      </c>
      <c r="J16" s="590" t="str">
        <f>PASHEET!BD16</f>
        <v>C</v>
      </c>
      <c r="K16" s="590" t="str">
        <f>PASHEET!BE16</f>
        <v>B</v>
      </c>
      <c r="L16" s="590" t="str">
        <f>PASHEET!BF16</f>
        <v/>
      </c>
      <c r="M16" s="590" t="str">
        <f>PASHEET!BG16</f>
        <v>C</v>
      </c>
      <c r="N16" s="590" t="str">
        <f>PASHEET!BH16</f>
        <v/>
      </c>
      <c r="O16" s="590" t="str">
        <f>PASHEET!BI16</f>
        <v>C</v>
      </c>
      <c r="Q16" s="591" t="s">
        <v>482</v>
      </c>
      <c r="R16" s="591" t="s">
        <v>483</v>
      </c>
      <c r="S16" s="591" t="s">
        <v>485</v>
      </c>
      <c r="T16" s="591">
        <f>COUNTIFS(H4:H103,S16)</f>
        <v>15</v>
      </c>
      <c r="U16" s="591">
        <f>COUNTIFS(F4:F103,Q5,H4:H103,S16)</f>
        <v>0</v>
      </c>
      <c r="V16" s="591">
        <f>COUNTIFS(F4:F103,R5,H4:H103,S16)</f>
        <v>0</v>
      </c>
      <c r="W16" s="594"/>
      <c r="X16" s="591" t="s">
        <v>482</v>
      </c>
      <c r="Y16" s="591" t="s">
        <v>483</v>
      </c>
      <c r="Z16" s="591" t="s">
        <v>490</v>
      </c>
      <c r="AA16" s="591" t="s">
        <v>485</v>
      </c>
      <c r="AB16" s="591">
        <f>COUNTIFS(G4:G103,Z16,O4:O103,S16)</f>
        <v>0</v>
      </c>
      <c r="AC16" s="591">
        <f>COUNTIFS(F4:F103,X16,G4:G103,Z16,O4:O103,S16)</f>
        <v>0</v>
      </c>
      <c r="AD16" s="591">
        <f>COUNTIFS(F4:F103,Y16,G4:G103,Z16,O4:O103,S16)</f>
        <v>0</v>
      </c>
      <c r="AE16" s="595"/>
    </row>
    <row r="17" spans="1:31">
      <c r="A17" s="590">
        <v>14</v>
      </c>
      <c r="B17" s="596">
        <f>STUDENT!F15</f>
        <v>14745</v>
      </c>
      <c r="C17" s="596">
        <f>STUDENT!D15</f>
        <v>20240015035</v>
      </c>
      <c r="D17" s="597" t="str">
        <f>STUDENT!E15</f>
        <v>KARN KUMAR</v>
      </c>
      <c r="E17" s="597" t="str">
        <f>STUDENT!H15</f>
        <v>MUKESH RAY</v>
      </c>
      <c r="F17" s="590" t="str">
        <f>VLOOKUP(A17,STUDENT!$A$2:$BR$105,68,0)</f>
        <v/>
      </c>
      <c r="G17" s="590" t="b">
        <f>VLOOKUP(A17,STUDENT!$A$2:$BR$105,67,0)</f>
        <v>0</v>
      </c>
      <c r="H17" s="590" t="str">
        <f>PASHEET!BB17</f>
        <v>C</v>
      </c>
      <c r="I17" s="590" t="str">
        <f>PASHEET!BC17</f>
        <v>C</v>
      </c>
      <c r="J17" s="590" t="str">
        <f>PASHEET!BD17</f>
        <v>D</v>
      </c>
      <c r="K17" s="590" t="str">
        <f>PASHEET!BE17</f>
        <v>C</v>
      </c>
      <c r="L17" s="590" t="str">
        <f>PASHEET!BF17</f>
        <v/>
      </c>
      <c r="M17" s="590" t="str">
        <f>PASHEET!BG17</f>
        <v>B</v>
      </c>
      <c r="N17" s="590" t="str">
        <f>PASHEET!BH17</f>
        <v/>
      </c>
      <c r="O17" s="590" t="str">
        <f>PASHEET!BI17</f>
        <v>C</v>
      </c>
      <c r="Q17" s="591" t="s">
        <v>482</v>
      </c>
      <c r="R17" s="591" t="s">
        <v>483</v>
      </c>
      <c r="S17" s="591" t="s">
        <v>486</v>
      </c>
      <c r="T17" s="591">
        <f>COUNTIFS(H4:H103,S17)</f>
        <v>15</v>
      </c>
      <c r="U17" s="591">
        <f>COUNTIFS(F4:F103,Q6,H4:H103,S17)</f>
        <v>0</v>
      </c>
      <c r="V17" s="591">
        <f>COUNTIFS(F4:F103,R6,H4:H103,S17)</f>
        <v>0</v>
      </c>
      <c r="W17" s="594"/>
      <c r="X17" s="591" t="s">
        <v>482</v>
      </c>
      <c r="Y17" s="591" t="s">
        <v>483</v>
      </c>
      <c r="Z17" s="591" t="s">
        <v>490</v>
      </c>
      <c r="AA17" s="591" t="s">
        <v>486</v>
      </c>
      <c r="AB17" s="591">
        <f>COUNTIFS(G4:G103,Z17,O4:O103,S17)</f>
        <v>0</v>
      </c>
      <c r="AC17" s="591">
        <f>COUNTIFS(F4:F103,X17,G4:G103,Z17,O4:O103,S17)</f>
        <v>0</v>
      </c>
      <c r="AD17" s="591">
        <f>COUNTIFS(F4:F103,Y17,G4:G103,Z17,O4:O103,S17)</f>
        <v>0</v>
      </c>
      <c r="AE17" s="595"/>
    </row>
    <row r="18" spans="1:31">
      <c r="A18" s="596">
        <v>15</v>
      </c>
      <c r="B18" s="596">
        <f>STUDENT!F16</f>
        <v>14746</v>
      </c>
      <c r="C18" s="596">
        <f>STUDENT!D16</f>
        <v>20240015112</v>
      </c>
      <c r="D18" s="597" t="str">
        <f>STUDENT!E16</f>
        <v>ROKI</v>
      </c>
      <c r="E18" s="597" t="str">
        <f>STUDENT!H16</f>
        <v>KUAR SINGH</v>
      </c>
      <c r="F18" s="590" t="str">
        <f>VLOOKUP(A18,STUDENT!$A$2:$BR$105,68,0)</f>
        <v/>
      </c>
      <c r="G18" s="590" t="b">
        <f>VLOOKUP(A18,STUDENT!$A$2:$BR$105,67,0)</f>
        <v>0</v>
      </c>
      <c r="H18" s="590" t="str">
        <f>PASHEET!BB18</f>
        <v>B</v>
      </c>
      <c r="I18" s="590" t="str">
        <f>PASHEET!BC18</f>
        <v>C</v>
      </c>
      <c r="J18" s="590" t="str">
        <f>PASHEET!BD18</f>
        <v>B</v>
      </c>
      <c r="K18" s="590" t="str">
        <f>PASHEET!BE18</f>
        <v>C</v>
      </c>
      <c r="L18" s="590" t="str">
        <f>PASHEET!BF18</f>
        <v/>
      </c>
      <c r="M18" s="590" t="str">
        <f>PASHEET!BG18</f>
        <v>A</v>
      </c>
      <c r="N18" s="590" t="str">
        <f>PASHEET!BH18</f>
        <v/>
      </c>
      <c r="O18" s="590" t="str">
        <f>PASHEET!BI18</f>
        <v>C</v>
      </c>
      <c r="Q18" s="591" t="s">
        <v>482</v>
      </c>
      <c r="R18" s="591" t="s">
        <v>483</v>
      </c>
      <c r="S18" s="591" t="s">
        <v>487</v>
      </c>
      <c r="T18" s="591">
        <f>COUNTIFS(H4:H103,S18)</f>
        <v>2</v>
      </c>
      <c r="U18" s="591">
        <f>COUNTIFS(F4:F103,Q7,H4:H103,S18)</f>
        <v>0</v>
      </c>
      <c r="V18" s="591">
        <f>COUNTIFS(F4:F103,R7,H4:H103,S18)</f>
        <v>0</v>
      </c>
      <c r="W18" s="594"/>
      <c r="X18" s="591" t="s">
        <v>482</v>
      </c>
      <c r="Y18" s="591" t="s">
        <v>483</v>
      </c>
      <c r="Z18" s="591" t="s">
        <v>490</v>
      </c>
      <c r="AA18" s="591" t="s">
        <v>487</v>
      </c>
      <c r="AB18" s="591">
        <f>COUNTIFS(G4:G103,Z18,O4:O103,S18)</f>
        <v>0</v>
      </c>
      <c r="AC18" s="591">
        <f>COUNTIFS(F4:F103,X18,G4:G103,Z18,O4:O103,S18)</f>
        <v>0</v>
      </c>
      <c r="AD18" s="591">
        <f>COUNTIFS(F4:F103,Y18,G4:G103,Z18,O4:O103,S18)</f>
        <v>0</v>
      </c>
      <c r="AE18" s="595"/>
    </row>
    <row r="19" spans="1:31">
      <c r="A19" s="590">
        <v>16</v>
      </c>
      <c r="B19" s="596">
        <f>STUDENT!F17</f>
        <v>14748</v>
      </c>
      <c r="C19" s="596">
        <f>STUDENT!D17</f>
        <v>20240015199</v>
      </c>
      <c r="D19" s="597" t="str">
        <f>STUDENT!E17</f>
        <v>MD BILAL</v>
      </c>
      <c r="E19" s="597" t="str">
        <f>STUDENT!H17</f>
        <v>MD AFROJ</v>
      </c>
      <c r="F19" s="590" t="str">
        <f>VLOOKUP(A19,STUDENT!$A$2:$BR$105,68,0)</f>
        <v/>
      </c>
      <c r="G19" s="590" t="b">
        <f>VLOOKUP(A19,STUDENT!$A$2:$BR$105,67,0)</f>
        <v>0</v>
      </c>
      <c r="H19" s="590" t="str">
        <f>PASHEET!BB19</f>
        <v>B</v>
      </c>
      <c r="I19" s="590" t="str">
        <f>PASHEET!BC19</f>
        <v>C</v>
      </c>
      <c r="J19" s="590" t="str">
        <f>PASHEET!BD19</f>
        <v>B</v>
      </c>
      <c r="K19" s="590" t="str">
        <f>PASHEET!BE19</f>
        <v>C</v>
      </c>
      <c r="L19" s="590" t="str">
        <f>PASHEET!BF19</f>
        <v/>
      </c>
      <c r="M19" s="590" t="str">
        <f>PASHEET!BG19</f>
        <v>A</v>
      </c>
      <c r="N19" s="590" t="str">
        <f>PASHEET!BH19</f>
        <v/>
      </c>
      <c r="O19" s="590" t="str">
        <f>PASHEET!BI19</f>
        <v>C</v>
      </c>
      <c r="Q19" s="591" t="s">
        <v>482</v>
      </c>
      <c r="R19" s="591" t="s">
        <v>483</v>
      </c>
      <c r="S19" s="591" t="s">
        <v>488</v>
      </c>
      <c r="T19" s="591">
        <f>COUNTIFS(H4:H103,S19)</f>
        <v>0</v>
      </c>
      <c r="U19" s="591">
        <f>COUNTIFS(F4:F103,Q8,H4:H103,S19)</f>
        <v>0</v>
      </c>
      <c r="V19" s="591">
        <f>COUNTIFS(F4:F103,R8,H4:H103,S19)</f>
        <v>0</v>
      </c>
      <c r="W19" s="594"/>
      <c r="X19" s="591" t="s">
        <v>482</v>
      </c>
      <c r="Y19" s="591" t="s">
        <v>483</v>
      </c>
      <c r="Z19" s="591" t="s">
        <v>490</v>
      </c>
      <c r="AA19" s="591" t="s">
        <v>488</v>
      </c>
      <c r="AB19" s="591">
        <f>COUNTIFS(G4:G103,Z19,O4:O103,S19)</f>
        <v>0</v>
      </c>
      <c r="AC19" s="591">
        <f>COUNTIFS(F4:F103,X19,G4:G103,Z19,O4:O103,S19)</f>
        <v>0</v>
      </c>
      <c r="AD19" s="591">
        <f>COUNTIFS(F4:F103,Y19,G4:G103,Z19,O4:O103,S19)</f>
        <v>0</v>
      </c>
      <c r="AE19" s="595"/>
    </row>
    <row r="20" spans="1:31">
      <c r="A20" s="596">
        <v>17</v>
      </c>
      <c r="B20" s="596">
        <f>STUDENT!F18</f>
        <v>14755</v>
      </c>
      <c r="C20" s="596">
        <f>STUDENT!D18</f>
        <v>20240023044</v>
      </c>
      <c r="D20" s="597" t="str">
        <f>STUDENT!E18</f>
        <v>GAURAV KUMAR</v>
      </c>
      <c r="E20" s="597" t="str">
        <f>STUDENT!H18</f>
        <v>HARINDER YADAV</v>
      </c>
      <c r="F20" s="590" t="str">
        <f>VLOOKUP(A20,STUDENT!$A$2:$BR$105,68,0)</f>
        <v/>
      </c>
      <c r="G20" s="590" t="b">
        <f>VLOOKUP(A20,STUDENT!$A$2:$BR$105,67,0)</f>
        <v>0</v>
      </c>
      <c r="H20" s="590" t="str">
        <f>PASHEET!BB20</f>
        <v>B</v>
      </c>
      <c r="I20" s="590" t="str">
        <f>PASHEET!BC20</f>
        <v>D</v>
      </c>
      <c r="J20" s="590" t="str">
        <f>PASHEET!BD20</f>
        <v>C</v>
      </c>
      <c r="K20" s="590" t="str">
        <f>PASHEET!BE20</f>
        <v>C</v>
      </c>
      <c r="L20" s="590" t="str">
        <f>PASHEET!BF20</f>
        <v/>
      </c>
      <c r="M20" s="590" t="str">
        <f>PASHEET!BG20</f>
        <v>A</v>
      </c>
      <c r="N20" s="590" t="str">
        <f>PASHEET!BH20</f>
        <v/>
      </c>
      <c r="O20" s="590" t="str">
        <f>PASHEET!BI20</f>
        <v>C</v>
      </c>
      <c r="Q20" s="591" t="s">
        <v>482</v>
      </c>
      <c r="R20" s="591" t="s">
        <v>483</v>
      </c>
      <c r="S20" s="591" t="s">
        <v>101</v>
      </c>
      <c r="T20" s="591">
        <f>COUNTIFS(H4:H103,S20)</f>
        <v>5</v>
      </c>
      <c r="U20" s="591">
        <f>COUNTIFS(F4:F103,Q9,H4:H103,S20)</f>
        <v>0</v>
      </c>
      <c r="V20" s="591">
        <f>COUNTIFS(F4:F103,R9,H4:H103,S20)</f>
        <v>0</v>
      </c>
      <c r="W20" s="594"/>
      <c r="X20" s="591" t="s">
        <v>482</v>
      </c>
      <c r="Y20" s="591" t="s">
        <v>483</v>
      </c>
      <c r="Z20" s="591" t="s">
        <v>490</v>
      </c>
      <c r="AA20" s="591" t="s">
        <v>101</v>
      </c>
      <c r="AB20" s="591">
        <f>COUNTIFS(G4:G103,Z20,O4:O103,S20)</f>
        <v>0</v>
      </c>
      <c r="AC20" s="591">
        <f>COUNTIFS(F4:F103,X20,G4:G103,Z20,O4:O103,S20)</f>
        <v>0</v>
      </c>
      <c r="AD20" s="591">
        <f>COUNTIFS(F4:F103,Y20,G4:G103,Z20,O4:O103,S20)</f>
        <v>0</v>
      </c>
      <c r="AE20" s="595"/>
    </row>
    <row r="21" spans="1:31">
      <c r="A21" s="590">
        <v>18</v>
      </c>
      <c r="B21" s="596">
        <f>STUDENT!F19</f>
        <v>14756</v>
      </c>
      <c r="C21" s="596">
        <f>STUDENT!D19</f>
        <v>20240023055</v>
      </c>
      <c r="D21" s="597" t="str">
        <f>STUDENT!E19</f>
        <v>SAURAV KUMAR</v>
      </c>
      <c r="E21" s="597" t="str">
        <f>STUDENT!H19</f>
        <v>HARINDER YADAV</v>
      </c>
      <c r="F21" s="590" t="str">
        <f>VLOOKUP(A21,STUDENT!$A$2:$BR$105,68,0)</f>
        <v/>
      </c>
      <c r="G21" s="590" t="b">
        <f>VLOOKUP(A21,STUDENT!$A$2:$BR$105,67,0)</f>
        <v>0</v>
      </c>
      <c r="H21" s="590" t="str">
        <f>PASHEET!BB21</f>
        <v>C</v>
      </c>
      <c r="I21" s="590" t="str">
        <f>PASHEET!BC21</f>
        <v>C</v>
      </c>
      <c r="J21" s="590" t="str">
        <f>PASHEET!BD21</f>
        <v>C</v>
      </c>
      <c r="K21" s="590" t="str">
        <f>PASHEET!BE21</f>
        <v>C</v>
      </c>
      <c r="L21" s="590" t="str">
        <f>PASHEET!BF21</f>
        <v/>
      </c>
      <c r="M21" s="590" t="str">
        <f>PASHEET!BG21</f>
        <v>C</v>
      </c>
      <c r="N21" s="590" t="str">
        <f>PASHEET!BH21</f>
        <v/>
      </c>
      <c r="O21" s="590" t="str">
        <f>PASHEET!BI21</f>
        <v>C</v>
      </c>
      <c r="Q21" s="591" t="s">
        <v>482</v>
      </c>
      <c r="R21" s="591" t="s">
        <v>483</v>
      </c>
      <c r="S21" s="591" t="s">
        <v>489</v>
      </c>
      <c r="T21" s="591">
        <f>COUNTIFS(H4:H103,S21)</f>
        <v>0</v>
      </c>
      <c r="U21" s="591">
        <f>COUNTIFS(F4:F103,Q10,H4:H103,S21)</f>
        <v>0</v>
      </c>
      <c r="V21" s="591">
        <f>COUNTIFS(F4:F103,R10,H4:H103,S21)</f>
        <v>0</v>
      </c>
      <c r="W21" s="594"/>
      <c r="X21" s="591" t="s">
        <v>482</v>
      </c>
      <c r="Y21" s="591" t="s">
        <v>483</v>
      </c>
      <c r="Z21" s="591" t="s">
        <v>490</v>
      </c>
      <c r="AA21" s="591" t="s">
        <v>489</v>
      </c>
      <c r="AB21" s="591">
        <f>COUNTIFS(G4:G103,Z21,O4:O103,S21)</f>
        <v>0</v>
      </c>
      <c r="AC21" s="591">
        <f>COUNTIFS(F4:F103,X21,G4:G103,Z21,O4:O103,S21)</f>
        <v>0</v>
      </c>
      <c r="AD21" s="591">
        <f>COUNTIFS(F4:F103,Y21,G4:G103,Z21,O4:O103,S21)</f>
        <v>0</v>
      </c>
      <c r="AE21" s="595"/>
    </row>
    <row r="22" spans="1:31">
      <c r="A22" s="596">
        <v>19</v>
      </c>
      <c r="B22" s="596">
        <f>STUDENT!F20</f>
        <v>14758</v>
      </c>
      <c r="C22" s="596">
        <f>STUDENT!D20</f>
        <v>20240023083</v>
      </c>
      <c r="D22" s="597" t="str">
        <f>STUDENT!E20</f>
        <v>HANAM AYUBI</v>
      </c>
      <c r="E22" s="597" t="str">
        <f>STUDENT!H20</f>
        <v>MD PARWEZ</v>
      </c>
      <c r="F22" s="590" t="str">
        <f>VLOOKUP(A22,STUDENT!$A$2:$BR$105,68,0)</f>
        <v/>
      </c>
      <c r="G22" s="590" t="b">
        <f>VLOOKUP(A22,STUDENT!$A$2:$BR$105,67,0)</f>
        <v>0</v>
      </c>
      <c r="H22" s="590" t="str">
        <f>PASHEET!BB22</f>
        <v>C</v>
      </c>
      <c r="I22" s="590" t="str">
        <f>PASHEET!BC22</f>
        <v>C</v>
      </c>
      <c r="J22" s="590" t="str">
        <f>PASHEET!BD22</f>
        <v>D</v>
      </c>
      <c r="K22" s="590" t="str">
        <f>PASHEET!BE22</f>
        <v>C</v>
      </c>
      <c r="L22" s="590" t="str">
        <f>PASHEET!BF22</f>
        <v/>
      </c>
      <c r="M22" s="590" t="str">
        <f>PASHEET!BG22</f>
        <v>C</v>
      </c>
      <c r="N22" s="590" t="str">
        <f>PASHEET!BH22</f>
        <v/>
      </c>
      <c r="O22" s="590" t="str">
        <f>PASHEET!BI22</f>
        <v>D</v>
      </c>
      <c r="Q22" s="591" t="s">
        <v>482</v>
      </c>
      <c r="R22" s="591" t="s">
        <v>483</v>
      </c>
      <c r="S22" s="591"/>
      <c r="T22" s="591"/>
      <c r="U22" s="591"/>
      <c r="V22" s="591"/>
      <c r="W22" s="594"/>
      <c r="X22" s="591" t="s">
        <v>482</v>
      </c>
      <c r="Y22" s="591" t="s">
        <v>483</v>
      </c>
      <c r="Z22" s="591" t="s">
        <v>490</v>
      </c>
      <c r="AA22" s="591"/>
      <c r="AB22" s="591"/>
      <c r="AC22" s="591"/>
      <c r="AD22" s="591"/>
      <c r="AE22" s="595"/>
    </row>
    <row r="23" spans="1:31">
      <c r="A23" s="590">
        <v>20</v>
      </c>
      <c r="B23" s="596">
        <f>STUDENT!F21</f>
        <v>14768</v>
      </c>
      <c r="C23" s="596">
        <f>STUDENT!D21</f>
        <v>20240028340</v>
      </c>
      <c r="D23" s="597" t="str">
        <f>STUDENT!E21</f>
        <v>ANKUR</v>
      </c>
      <c r="E23" s="597" t="str">
        <f>STUDENT!H21</f>
        <v>ASHOK KUMAR GUPTA</v>
      </c>
      <c r="F23" s="590" t="str">
        <f>VLOOKUP(A23,STUDENT!$A$2:$BR$105,68,0)</f>
        <v/>
      </c>
      <c r="G23" s="590" t="b">
        <f>VLOOKUP(A23,STUDENT!$A$2:$BR$105,67,0)</f>
        <v>0</v>
      </c>
      <c r="H23" s="590" t="str">
        <f>PASHEET!BB23</f>
        <v>C</v>
      </c>
      <c r="I23" s="590" t="str">
        <f>PASHEET!BC23</f>
        <v>D</v>
      </c>
      <c r="J23" s="590" t="str">
        <f>PASHEET!BD23</f>
        <v>D</v>
      </c>
      <c r="K23" s="590" t="str">
        <f>PASHEET!BE23</f>
        <v>C</v>
      </c>
      <c r="L23" s="590" t="str">
        <f>PASHEET!BF23</f>
        <v/>
      </c>
      <c r="M23" s="590" t="str">
        <f>PASHEET!BG23</f>
        <v>B</v>
      </c>
      <c r="N23" s="590" t="str">
        <f>PASHEET!BH23</f>
        <v/>
      </c>
      <c r="O23" s="590" t="str">
        <f>PASHEET!BI23</f>
        <v>C</v>
      </c>
      <c r="Q23" s="591"/>
      <c r="R23" s="591"/>
      <c r="S23" s="591" t="s">
        <v>102</v>
      </c>
      <c r="T23" s="591">
        <f>SUM(T15:T22)</f>
        <v>39</v>
      </c>
      <c r="U23" s="591">
        <f t="shared" ref="U23:V23" si="3">SUM(U15:U22)</f>
        <v>0</v>
      </c>
      <c r="V23" s="591">
        <f t="shared" si="3"/>
        <v>0</v>
      </c>
      <c r="W23" s="594"/>
      <c r="X23" s="591"/>
      <c r="Y23" s="591"/>
      <c r="Z23" s="591"/>
      <c r="AA23" s="591" t="s">
        <v>102</v>
      </c>
      <c r="AB23" s="591">
        <f>SUM(AB15:AB22)</f>
        <v>0</v>
      </c>
      <c r="AC23" s="591">
        <f t="shared" ref="AC23:AD23" si="4">SUM(AC15:AC22)</f>
        <v>0</v>
      </c>
      <c r="AD23" s="591">
        <f t="shared" si="4"/>
        <v>0</v>
      </c>
      <c r="AE23" s="595"/>
    </row>
    <row r="24" spans="1:31">
      <c r="A24" s="596">
        <v>21</v>
      </c>
      <c r="B24" s="596">
        <f>STUDENT!F22</f>
        <v>14792</v>
      </c>
      <c r="C24" s="596">
        <f>STUDENT!D22</f>
        <v>20240074441</v>
      </c>
      <c r="D24" s="597" t="str">
        <f>STUDENT!E22</f>
        <v>SOBHIT PASWAN</v>
      </c>
      <c r="E24" s="597" t="str">
        <f>STUDENT!H22</f>
        <v>SHANKAR PASWAN</v>
      </c>
      <c r="F24" s="590" t="str">
        <f>VLOOKUP(A24,STUDENT!$A$2:$BR$105,68,0)</f>
        <v/>
      </c>
      <c r="G24" s="590" t="b">
        <f>VLOOKUP(A24,STUDENT!$A$2:$BR$105,67,0)</f>
        <v>0</v>
      </c>
      <c r="H24" s="590" t="str">
        <f>PASHEET!BB24</f>
        <v>C</v>
      </c>
      <c r="I24" s="590" t="str">
        <f>PASHEET!BC24</f>
        <v>D</v>
      </c>
      <c r="J24" s="590" t="str">
        <f>PASHEET!BD24</f>
        <v>C</v>
      </c>
      <c r="K24" s="590" t="str">
        <f>PASHEET!BE24</f>
        <v>C</v>
      </c>
      <c r="L24" s="590" t="str">
        <f>PASHEET!BF24</f>
        <v/>
      </c>
      <c r="M24" s="590" t="str">
        <f>PASHEET!BG24</f>
        <v>A</v>
      </c>
      <c r="N24" s="590" t="str">
        <f>PASHEET!BH24</f>
        <v/>
      </c>
      <c r="O24" s="590" t="str">
        <f>PASHEET!BI24</f>
        <v>C</v>
      </c>
      <c r="Q24" s="591"/>
      <c r="R24" s="591"/>
      <c r="S24" s="591"/>
      <c r="T24" s="591"/>
      <c r="U24" s="591"/>
      <c r="V24" s="591"/>
      <c r="W24" s="594"/>
      <c r="X24" s="594"/>
      <c r="Y24" s="594"/>
      <c r="Z24" s="594"/>
      <c r="AA24" s="594"/>
      <c r="AB24" s="591"/>
      <c r="AC24" s="591"/>
      <c r="AD24" s="591"/>
      <c r="AE24" s="595"/>
    </row>
    <row r="25" spans="1:31">
      <c r="A25" s="590">
        <v>22</v>
      </c>
      <c r="B25" s="596">
        <f>STUDENT!F23</f>
        <v>14804</v>
      </c>
      <c r="C25" s="596">
        <f>STUDENT!D23</f>
        <v>20240100859</v>
      </c>
      <c r="D25" s="597" t="str">
        <f>STUDENT!E23</f>
        <v>ABHISHEK MUKHIYA</v>
      </c>
      <c r="E25" s="597" t="str">
        <f>STUDENT!H23</f>
        <v>ARJUN MUKHIYA</v>
      </c>
      <c r="F25" s="590" t="str">
        <f>VLOOKUP(A25,STUDENT!$A$2:$BR$105,68,0)</f>
        <v/>
      </c>
      <c r="G25" s="590" t="b">
        <f>VLOOKUP(A25,STUDENT!$A$2:$BR$105,67,0)</f>
        <v>0</v>
      </c>
      <c r="H25" s="590" t="str">
        <f>PASHEET!BB25</f>
        <v>B</v>
      </c>
      <c r="I25" s="590" t="str">
        <f>PASHEET!BC25</f>
        <v>B</v>
      </c>
      <c r="J25" s="590" t="str">
        <f>PASHEET!BD25</f>
        <v>B</v>
      </c>
      <c r="K25" s="590" t="str">
        <f>PASHEET!BE25</f>
        <v>B</v>
      </c>
      <c r="L25" s="590" t="str">
        <f>PASHEET!BF25</f>
        <v/>
      </c>
      <c r="M25" s="590" t="str">
        <f>PASHEET!BG25</f>
        <v>A</v>
      </c>
      <c r="N25" s="590" t="str">
        <f>PASHEET!BH25</f>
        <v/>
      </c>
      <c r="O25" s="590" t="str">
        <f>PASHEET!BI25</f>
        <v>B</v>
      </c>
      <c r="Q25" s="591"/>
      <c r="R25" s="591"/>
      <c r="S25" s="591"/>
      <c r="T25" s="591"/>
      <c r="U25" s="591"/>
      <c r="V25" s="591"/>
      <c r="W25" s="594"/>
      <c r="X25" s="594"/>
      <c r="Y25" s="594"/>
      <c r="Z25" s="594"/>
      <c r="AA25" s="594"/>
      <c r="AB25" s="591"/>
      <c r="AC25" s="591"/>
      <c r="AD25" s="591"/>
      <c r="AE25" s="595"/>
    </row>
    <row r="26" spans="1:31">
      <c r="A26" s="596">
        <v>23</v>
      </c>
      <c r="B26" s="596">
        <f>STUDENT!F24</f>
        <v>14805</v>
      </c>
      <c r="C26" s="596">
        <f>STUDENT!D24</f>
        <v>20240100885</v>
      </c>
      <c r="D26" s="597" t="str">
        <f>STUDENT!E24</f>
        <v>NITIN</v>
      </c>
      <c r="E26" s="597" t="str">
        <f>STUDENT!H24</f>
        <v>AJAY</v>
      </c>
      <c r="F26" s="590" t="str">
        <f>VLOOKUP(A26,STUDENT!$A$2:$BR$105,68,0)</f>
        <v/>
      </c>
      <c r="G26" s="590" t="b">
        <f>VLOOKUP(A26,STUDENT!$A$2:$BR$105,67,0)</f>
        <v>0</v>
      </c>
      <c r="H26" s="590" t="str">
        <f>PASHEET!BB26</f>
        <v>B</v>
      </c>
      <c r="I26" s="590" t="str">
        <f>PASHEET!BC26</f>
        <v>B</v>
      </c>
      <c r="J26" s="590" t="str">
        <f>PASHEET!BD26</f>
        <v>C</v>
      </c>
      <c r="K26" s="590" t="str">
        <f>PASHEET!BE26</f>
        <v>C</v>
      </c>
      <c r="L26" s="590" t="str">
        <f>PASHEET!BF26</f>
        <v/>
      </c>
      <c r="M26" s="590" t="str">
        <f>PASHEET!BG26</f>
        <v>A</v>
      </c>
      <c r="N26" s="590" t="str">
        <f>PASHEET!BH26</f>
        <v/>
      </c>
      <c r="O26" s="590" t="str">
        <f>PASHEET!BI26</f>
        <v>B</v>
      </c>
      <c r="Q26" s="591" t="s">
        <v>475</v>
      </c>
      <c r="R26" s="591" t="s">
        <v>476</v>
      </c>
      <c r="S26" s="592" t="s">
        <v>477</v>
      </c>
      <c r="T26" s="593" t="s">
        <v>89</v>
      </c>
      <c r="U26" s="592" t="s">
        <v>479</v>
      </c>
      <c r="V26" s="592" t="s">
        <v>480</v>
      </c>
      <c r="W26" s="594"/>
      <c r="X26" s="591" t="s">
        <v>475</v>
      </c>
      <c r="Y26" s="591" t="s">
        <v>476</v>
      </c>
      <c r="Z26" s="591" t="s">
        <v>474</v>
      </c>
      <c r="AA26" s="592" t="s">
        <v>477</v>
      </c>
      <c r="AB26" s="593" t="s">
        <v>491</v>
      </c>
      <c r="AC26" s="592" t="s">
        <v>479</v>
      </c>
      <c r="AD26" s="592" t="s">
        <v>480</v>
      </c>
      <c r="AE26" s="595"/>
    </row>
    <row r="27" spans="1:31">
      <c r="A27" s="590">
        <v>24</v>
      </c>
      <c r="B27" s="596">
        <f>STUDENT!F25</f>
        <v>14806</v>
      </c>
      <c r="C27" s="596">
        <f>STUDENT!D25</f>
        <v>20240100904</v>
      </c>
      <c r="D27" s="597" t="str">
        <f>STUDENT!E25</f>
        <v>SOORYA VANSHAL</v>
      </c>
      <c r="E27" s="597" t="str">
        <f>STUDENT!H25</f>
        <v>KAMLESH KUMAR</v>
      </c>
      <c r="F27" s="590" t="str">
        <f>VLOOKUP(A27,STUDENT!$A$2:$BR$105,68,0)</f>
        <v/>
      </c>
      <c r="G27" s="590" t="b">
        <f>VLOOKUP(A27,STUDENT!$A$2:$BR$105,67,0)</f>
        <v>0</v>
      </c>
      <c r="H27" s="590" t="str">
        <f>PASHEET!BB27</f>
        <v>C</v>
      </c>
      <c r="I27" s="590" t="str">
        <f>PASHEET!BC27</f>
        <v>C</v>
      </c>
      <c r="J27" s="590" t="str">
        <f>PASHEET!BD27</f>
        <v>C</v>
      </c>
      <c r="K27" s="590" t="str">
        <f>PASHEET!BE27</f>
        <v>C</v>
      </c>
      <c r="L27" s="590" t="str">
        <f>PASHEET!BF27</f>
        <v/>
      </c>
      <c r="M27" s="590" t="str">
        <f>PASHEET!BG27</f>
        <v>B</v>
      </c>
      <c r="N27" s="590" t="str">
        <f>PASHEET!BH27</f>
        <v/>
      </c>
      <c r="O27" s="590" t="str">
        <f>PASHEET!BI27</f>
        <v>C</v>
      </c>
      <c r="Q27" s="591" t="s">
        <v>482</v>
      </c>
      <c r="R27" s="591" t="s">
        <v>483</v>
      </c>
      <c r="S27" s="591" t="s">
        <v>50</v>
      </c>
      <c r="T27" s="591">
        <f>COUNTIFS(I4:I103,S27)</f>
        <v>0</v>
      </c>
      <c r="U27" s="591">
        <f>COUNTIFS(F4:F103,Q16,I4:I103,S27)</f>
        <v>0</v>
      </c>
      <c r="V27" s="591">
        <f>COUNTIFS(F4:F103,R16,I4:I103,S27)</f>
        <v>0</v>
      </c>
      <c r="W27" s="594"/>
      <c r="X27" s="591" t="s">
        <v>482</v>
      </c>
      <c r="Y27" s="591" t="s">
        <v>483</v>
      </c>
      <c r="Z27" s="591" t="s">
        <v>491</v>
      </c>
      <c r="AA27" s="591" t="s">
        <v>50</v>
      </c>
      <c r="AB27" s="591">
        <f>COUNTIFS(G4:G103,Z27,O4:O103,S27)</f>
        <v>0</v>
      </c>
      <c r="AC27" s="591">
        <f>COUNTIFS(F4:F103,X27,G4:G103,Z27,O4:O103,S27)</f>
        <v>0</v>
      </c>
      <c r="AD27" s="591">
        <f>COUNTIFS(F4:F103,Y27,G4:G103,Z27,O4:O103,S27)</f>
        <v>0</v>
      </c>
      <c r="AE27" s="595"/>
    </row>
    <row r="28" spans="1:31">
      <c r="A28" s="596">
        <v>25</v>
      </c>
      <c r="B28" s="596">
        <f>STUDENT!F26</f>
        <v>14943</v>
      </c>
      <c r="C28" s="596">
        <f>STUDENT!D26</f>
        <v>20250012364</v>
      </c>
      <c r="D28" s="597" t="str">
        <f>STUDENT!E26</f>
        <v>ANSHU KUMAR PANDIT</v>
      </c>
      <c r="E28" s="597" t="str">
        <f>STUDENT!H26</f>
        <v>RAMESH KUMAR PANDIT</v>
      </c>
      <c r="F28" s="590" t="str">
        <f>VLOOKUP(A28,STUDENT!$A$2:$BR$105,68,0)</f>
        <v/>
      </c>
      <c r="G28" s="590" t="b">
        <f>VLOOKUP(A28,STUDENT!$A$2:$BR$105,67,0)</f>
        <v>0</v>
      </c>
      <c r="H28" s="590" t="str">
        <f>PASHEET!BB28</f>
        <v>B</v>
      </c>
      <c r="I28" s="590" t="str">
        <f>PASHEET!BC28</f>
        <v>B</v>
      </c>
      <c r="J28" s="590" t="str">
        <f>PASHEET!BD28</f>
        <v>B</v>
      </c>
      <c r="K28" s="590" t="str">
        <f>PASHEET!BE28</f>
        <v>B</v>
      </c>
      <c r="L28" s="590" t="str">
        <f>PASHEET!BF28</f>
        <v/>
      </c>
      <c r="M28" s="590" t="str">
        <f>PASHEET!BG28</f>
        <v>A</v>
      </c>
      <c r="N28" s="590" t="str">
        <f>PASHEET!BH28</f>
        <v/>
      </c>
      <c r="O28" s="590" t="str">
        <f>PASHEET!BI28</f>
        <v>B</v>
      </c>
      <c r="Q28" s="591" t="s">
        <v>482</v>
      </c>
      <c r="R28" s="591" t="s">
        <v>483</v>
      </c>
      <c r="S28" s="591" t="s">
        <v>485</v>
      </c>
      <c r="T28" s="591">
        <f>COUNTIFS(I4:I103,S28)</f>
        <v>8</v>
      </c>
      <c r="U28" s="591">
        <f>COUNTIFS(F4:F103,Q17,I4:I103,S28)</f>
        <v>0</v>
      </c>
      <c r="V28" s="591">
        <f>COUNTIFS(F4:F103,R17,I4:I103,S28)</f>
        <v>0</v>
      </c>
      <c r="W28" s="594"/>
      <c r="X28" s="591" t="s">
        <v>482</v>
      </c>
      <c r="Y28" s="591" t="s">
        <v>483</v>
      </c>
      <c r="Z28" s="591" t="s">
        <v>491</v>
      </c>
      <c r="AA28" s="591" t="s">
        <v>485</v>
      </c>
      <c r="AB28" s="591">
        <f>COUNTIFS(G4:G103,Z28,O4:O103,S28)</f>
        <v>0</v>
      </c>
      <c r="AC28" s="591">
        <f>COUNTIFS(F4:F103,X28,G4:G103,Z28,O4:O103,S28)</f>
        <v>0</v>
      </c>
      <c r="AD28" s="591">
        <f>COUNTIFS(F4:F103,Y28,G4:G103,Z28,O4:O103,S28)</f>
        <v>0</v>
      </c>
      <c r="AE28" s="595"/>
    </row>
    <row r="29" spans="1:31">
      <c r="A29" s="590">
        <v>26</v>
      </c>
      <c r="B29" s="596">
        <f>STUDENT!F27</f>
        <v>14960</v>
      </c>
      <c r="C29" s="596">
        <f>STUDENT!D27</f>
        <v>20250045334</v>
      </c>
      <c r="D29" s="597" t="str">
        <f>STUDENT!E27</f>
        <v>MD ADAN SHEKH</v>
      </c>
      <c r="E29" s="597" t="str">
        <f>STUDENT!H27</f>
        <v>MD ISHTIKHAR</v>
      </c>
      <c r="F29" s="590" t="str">
        <f>VLOOKUP(A29,STUDENT!$A$2:$BR$105,68,0)</f>
        <v/>
      </c>
      <c r="G29" s="590" t="b">
        <f>VLOOKUP(A29,STUDENT!$A$2:$BR$105,67,0)</f>
        <v>0</v>
      </c>
      <c r="H29" s="590" t="str">
        <f>PASHEET!BB29</f>
        <v>C</v>
      </c>
      <c r="I29" s="590" t="str">
        <f>PASHEET!BC29</f>
        <v>C</v>
      </c>
      <c r="J29" s="590" t="str">
        <f>PASHEET!BD29</f>
        <v>C</v>
      </c>
      <c r="K29" s="590" t="str">
        <f>PASHEET!BE29</f>
        <v>C</v>
      </c>
      <c r="L29" s="590" t="str">
        <f>PASHEET!BF29</f>
        <v/>
      </c>
      <c r="M29" s="590" t="str">
        <f>PASHEET!BG29</f>
        <v>C</v>
      </c>
      <c r="N29" s="590" t="str">
        <f>PASHEET!BH29</f>
        <v/>
      </c>
      <c r="O29" s="590" t="str">
        <f>PASHEET!BI29</f>
        <v>C</v>
      </c>
      <c r="Q29" s="591" t="s">
        <v>482</v>
      </c>
      <c r="R29" s="591" t="s">
        <v>483</v>
      </c>
      <c r="S29" s="591" t="s">
        <v>486</v>
      </c>
      <c r="T29" s="591">
        <f>COUNTIFS(I4:I103,S29)</f>
        <v>18</v>
      </c>
      <c r="U29" s="591">
        <f>COUNTIFS(F4:F103,Q18,I4:I103,S29)</f>
        <v>0</v>
      </c>
      <c r="V29" s="591">
        <f>COUNTIFS(F4:F103,R18,I4:I103,S29)</f>
        <v>0</v>
      </c>
      <c r="W29" s="594"/>
      <c r="X29" s="591" t="s">
        <v>482</v>
      </c>
      <c r="Y29" s="591" t="s">
        <v>483</v>
      </c>
      <c r="Z29" s="591" t="s">
        <v>491</v>
      </c>
      <c r="AA29" s="591" t="s">
        <v>486</v>
      </c>
      <c r="AB29" s="591">
        <f>COUNTIFS(G4:G103,Z29,O4:O103,S29)</f>
        <v>0</v>
      </c>
      <c r="AC29" s="591">
        <f>COUNTIFS(F4:F103,X29,G4:G103,Z29,O4:O103,S29)</f>
        <v>0</v>
      </c>
      <c r="AD29" s="591">
        <f>COUNTIFS(F4:F103,Y29,G4:G103,Z29,O4:O103,S29)</f>
        <v>0</v>
      </c>
      <c r="AE29" s="595"/>
    </row>
    <row r="30" spans="1:31">
      <c r="A30" s="596">
        <v>27</v>
      </c>
      <c r="B30" s="596">
        <f>STUDENT!F28</f>
        <v>14976</v>
      </c>
      <c r="C30" s="596">
        <f>STUDENT!D28</f>
        <v>20250064030</v>
      </c>
      <c r="D30" s="597" t="str">
        <f>STUDENT!E28</f>
        <v>KARTIK</v>
      </c>
      <c r="E30" s="597" t="str">
        <f>STUDENT!H28</f>
        <v>SUNIL</v>
      </c>
      <c r="F30" s="590" t="str">
        <f>VLOOKUP(A30,STUDENT!$A$2:$BR$105,68,0)</f>
        <v/>
      </c>
      <c r="G30" s="590" t="b">
        <f>VLOOKUP(A30,STUDENT!$A$2:$BR$105,67,0)</f>
        <v>0</v>
      </c>
      <c r="H30" s="590" t="str">
        <f>PASHEET!BB30</f>
        <v>C</v>
      </c>
      <c r="I30" s="590" t="str">
        <f>PASHEET!BC30</f>
        <v>C</v>
      </c>
      <c r="J30" s="590" t="str">
        <f>PASHEET!BD30</f>
        <v>B</v>
      </c>
      <c r="K30" s="590" t="str">
        <f>PASHEET!BE30</f>
        <v>B</v>
      </c>
      <c r="L30" s="590" t="str">
        <f>PASHEET!BF30</f>
        <v/>
      </c>
      <c r="M30" s="590" t="str">
        <f>PASHEET!BG30</f>
        <v>A</v>
      </c>
      <c r="N30" s="590" t="str">
        <f>PASHEET!BH30</f>
        <v/>
      </c>
      <c r="O30" s="590" t="str">
        <f>PASHEET!BI30</f>
        <v>C</v>
      </c>
      <c r="Q30" s="591" t="s">
        <v>482</v>
      </c>
      <c r="R30" s="591" t="s">
        <v>483</v>
      </c>
      <c r="S30" s="591" t="s">
        <v>487</v>
      </c>
      <c r="T30" s="591">
        <f>COUNTIFS(I4:I103,S30)</f>
        <v>8</v>
      </c>
      <c r="U30" s="591">
        <f>COUNTIFS(F4:F103,Q19,I4:I103,S30)</f>
        <v>0</v>
      </c>
      <c r="V30" s="591">
        <f>COUNTIFS(F4:F103,R19,I4:I103,S30)</f>
        <v>0</v>
      </c>
      <c r="W30" s="594"/>
      <c r="X30" s="591" t="s">
        <v>482</v>
      </c>
      <c r="Y30" s="591" t="s">
        <v>483</v>
      </c>
      <c r="Z30" s="591" t="s">
        <v>491</v>
      </c>
      <c r="AA30" s="591" t="s">
        <v>487</v>
      </c>
      <c r="AB30" s="591">
        <f>COUNTIFS(G4:G103,Z30,O4:O103,S30)</f>
        <v>0</v>
      </c>
      <c r="AC30" s="591">
        <f>COUNTIFS(F4:F103,X30,G4:G103,Z30,O4:O103,S30)</f>
        <v>0</v>
      </c>
      <c r="AD30" s="591">
        <f>COUNTIFS(F4:F103,Y30,G4:G103,Z30,O4:O103,S30)</f>
        <v>0</v>
      </c>
      <c r="AE30" s="595"/>
    </row>
    <row r="31" spans="1:31">
      <c r="A31" s="590">
        <v>28</v>
      </c>
      <c r="B31" s="596">
        <f>STUDENT!F29</f>
        <v>14999</v>
      </c>
      <c r="C31" s="596">
        <f>STUDENT!D29</f>
        <v>20250104050</v>
      </c>
      <c r="D31" s="597" t="str">
        <f>STUDENT!E29</f>
        <v>ABDUL REHMAN</v>
      </c>
      <c r="E31" s="597" t="str">
        <f>STUDENT!H29</f>
        <v>MD LAL BABU</v>
      </c>
      <c r="F31" s="590" t="str">
        <f>VLOOKUP(A31,STUDENT!$A$2:$BR$105,68,0)</f>
        <v/>
      </c>
      <c r="G31" s="590" t="b">
        <f>VLOOKUP(A31,STUDENT!$A$2:$BR$105,67,0)</f>
        <v>0</v>
      </c>
      <c r="H31" s="590" t="str">
        <f>PASHEET!BB31</f>
        <v>C</v>
      </c>
      <c r="I31" s="590" t="str">
        <f>PASHEET!BC31</f>
        <v>B</v>
      </c>
      <c r="J31" s="590" t="str">
        <f>PASHEET!BD31</f>
        <v>C</v>
      </c>
      <c r="K31" s="590" t="str">
        <f>PASHEET!BE31</f>
        <v>C</v>
      </c>
      <c r="L31" s="590" t="str">
        <f>PASHEET!BF31</f>
        <v/>
      </c>
      <c r="M31" s="590" t="str">
        <f>PASHEET!BG31</f>
        <v>B</v>
      </c>
      <c r="N31" s="590" t="str">
        <f>PASHEET!BH31</f>
        <v/>
      </c>
      <c r="O31" s="590" t="str">
        <f>PASHEET!BI31</f>
        <v>C</v>
      </c>
      <c r="Q31" s="591" t="s">
        <v>482</v>
      </c>
      <c r="R31" s="591" t="s">
        <v>483</v>
      </c>
      <c r="S31" s="591" t="s">
        <v>488</v>
      </c>
      <c r="T31" s="591">
        <f>COUNTIFS(I4:I103,S31)</f>
        <v>0</v>
      </c>
      <c r="U31" s="591">
        <f>COUNTIFS(F4:F103,Q20,I4:I103,S31)</f>
        <v>0</v>
      </c>
      <c r="V31" s="591">
        <f>COUNTIFS(F4:F103,R20,I4:I103,S31)</f>
        <v>0</v>
      </c>
      <c r="W31" s="594"/>
      <c r="X31" s="591" t="s">
        <v>482</v>
      </c>
      <c r="Y31" s="591" t="s">
        <v>483</v>
      </c>
      <c r="Z31" s="591" t="s">
        <v>491</v>
      </c>
      <c r="AA31" s="591" t="s">
        <v>488</v>
      </c>
      <c r="AB31" s="591">
        <f>COUNTIFS(G4:G103,Z31,O4:O103,S31)</f>
        <v>0</v>
      </c>
      <c r="AC31" s="591">
        <f>COUNTIFS(F4:F103,X31,G4:G103,Z31,O4:O103,S31)</f>
        <v>0</v>
      </c>
      <c r="AD31" s="591">
        <f>COUNTIFS(F4:F103,Y31,G4:G103,Z31,O4:O103,S31)</f>
        <v>0</v>
      </c>
      <c r="AE31" s="595"/>
    </row>
    <row r="32" spans="1:31">
      <c r="A32" s="596">
        <v>29</v>
      </c>
      <c r="B32" s="596">
        <f>STUDENT!F30</f>
        <v>15000</v>
      </c>
      <c r="C32" s="596">
        <f>STUDENT!D30</f>
        <v>20250104062</v>
      </c>
      <c r="D32" s="597" t="str">
        <f>STUDENT!E30</f>
        <v>KARTIK</v>
      </c>
      <c r="E32" s="597" t="str">
        <f>STUDENT!H30</f>
        <v>AMAN YADAV</v>
      </c>
      <c r="F32" s="590" t="str">
        <f>VLOOKUP(A32,STUDENT!$A$2:$BR$105,68,0)</f>
        <v/>
      </c>
      <c r="G32" s="590" t="b">
        <f>VLOOKUP(A32,STUDENT!$A$2:$BR$105,67,0)</f>
        <v>0</v>
      </c>
      <c r="H32" s="590" t="str">
        <f>PASHEET!BB32</f>
        <v>D</v>
      </c>
      <c r="I32" s="590" t="str">
        <f>PASHEET!BC32</f>
        <v>D</v>
      </c>
      <c r="J32" s="590" t="str">
        <f>PASHEET!BD32</f>
        <v>C</v>
      </c>
      <c r="K32" s="590" t="str">
        <f>PASHEET!BE32</f>
        <v>C</v>
      </c>
      <c r="L32" s="590" t="str">
        <f>PASHEET!BF32</f>
        <v/>
      </c>
      <c r="M32" s="590" t="str">
        <f>PASHEET!BG32</f>
        <v>C</v>
      </c>
      <c r="N32" s="590" t="str">
        <f>PASHEET!BH32</f>
        <v/>
      </c>
      <c r="O32" s="590" t="str">
        <f>PASHEET!BI32</f>
        <v>D</v>
      </c>
      <c r="Q32" s="591" t="s">
        <v>482</v>
      </c>
      <c r="R32" s="591" t="s">
        <v>483</v>
      </c>
      <c r="S32" s="591" t="s">
        <v>101</v>
      </c>
      <c r="T32" s="591">
        <f>COUNTIFS(I4:I103,S32)</f>
        <v>5</v>
      </c>
      <c r="U32" s="591">
        <f>COUNTIFS(F4:F103,Q21,I4:I103,S32)</f>
        <v>0</v>
      </c>
      <c r="V32" s="591">
        <f>COUNTIFS(F4:F103,R21,I4:I103,S32)</f>
        <v>0</v>
      </c>
      <c r="W32" s="594"/>
      <c r="X32" s="591" t="s">
        <v>482</v>
      </c>
      <c r="Y32" s="591" t="s">
        <v>483</v>
      </c>
      <c r="Z32" s="591" t="s">
        <v>491</v>
      </c>
      <c r="AA32" s="591" t="s">
        <v>101</v>
      </c>
      <c r="AB32" s="591">
        <f>COUNTIFS(G4:G103,Z32,O4:O103,S32)</f>
        <v>0</v>
      </c>
      <c r="AC32" s="591">
        <f>COUNTIFS(F4:F103,X32,G4:G103,Z32,O4:O103,S32)</f>
        <v>0</v>
      </c>
      <c r="AD32" s="591">
        <f>COUNTIFS(F4:F103,Y32,G4:G103,Z32,O4:O103,S32)</f>
        <v>0</v>
      </c>
      <c r="AE32" s="595"/>
    </row>
    <row r="33" spans="1:31">
      <c r="A33" s="590">
        <v>30</v>
      </c>
      <c r="B33" s="596">
        <f>STUDENT!F31</f>
        <v>15022</v>
      </c>
      <c r="C33" s="596">
        <f>STUDENT!D31</f>
        <v>20250141853</v>
      </c>
      <c r="D33" s="597" t="str">
        <f>STUDENT!E31</f>
        <v>AYAN</v>
      </c>
      <c r="E33" s="597" t="str">
        <f>STUDENT!H31</f>
        <v>BABU HASAN</v>
      </c>
      <c r="F33" s="590" t="str">
        <f>VLOOKUP(A33,STUDENT!$A$2:$BR$105,68,0)</f>
        <v/>
      </c>
      <c r="G33" s="590" t="b">
        <f>VLOOKUP(A33,STUDENT!$A$2:$BR$105,67,0)</f>
        <v>0</v>
      </c>
      <c r="H33" s="590" t="str">
        <f>PASHEET!BB33</f>
        <v>C</v>
      </c>
      <c r="I33" s="590" t="str">
        <f>PASHEET!BC33</f>
        <v>D</v>
      </c>
      <c r="J33" s="590" t="str">
        <f>PASHEET!BD33</f>
        <v>C</v>
      </c>
      <c r="K33" s="590" t="str">
        <f>PASHEET!BE33</f>
        <v>B</v>
      </c>
      <c r="L33" s="590" t="str">
        <f>PASHEET!BF33</f>
        <v/>
      </c>
      <c r="M33" s="590" t="str">
        <f>PASHEET!BG33</f>
        <v>B</v>
      </c>
      <c r="N33" s="590" t="str">
        <f>PASHEET!BH33</f>
        <v/>
      </c>
      <c r="O33" s="590" t="str">
        <f>PASHEET!BI33</f>
        <v>C</v>
      </c>
      <c r="Q33" s="591" t="s">
        <v>482</v>
      </c>
      <c r="R33" s="591" t="s">
        <v>483</v>
      </c>
      <c r="S33" s="591" t="s">
        <v>489</v>
      </c>
      <c r="T33" s="591">
        <f>COUNTIFS(I4:I103,S33)</f>
        <v>0</v>
      </c>
      <c r="U33" s="591">
        <f>COUNTIFS(F4:F103,Q22,I4:I103,S33)</f>
        <v>0</v>
      </c>
      <c r="V33" s="591">
        <f>COUNTIFS(F4:F103,R22,I4:I103,S33)</f>
        <v>0</v>
      </c>
      <c r="W33" s="594"/>
      <c r="X33" s="591" t="s">
        <v>482</v>
      </c>
      <c r="Y33" s="591" t="s">
        <v>483</v>
      </c>
      <c r="Z33" s="591" t="s">
        <v>491</v>
      </c>
      <c r="AA33" s="591" t="s">
        <v>489</v>
      </c>
      <c r="AB33" s="591">
        <f>COUNTIFS(G4:G103,Z33,O4:O103,S33)</f>
        <v>0</v>
      </c>
      <c r="AC33" s="591">
        <f>COUNTIFS(F4:F103,X33,G4:G103,Z33,O4:O103,S33)</f>
        <v>0</v>
      </c>
      <c r="AD33" s="591">
        <f>COUNTIFS(F4:F103,Y33,G4:G103,Z33,O4:O103,S33)</f>
        <v>0</v>
      </c>
      <c r="AE33" s="595"/>
    </row>
    <row r="34" spans="1:31">
      <c r="A34" s="596">
        <v>31</v>
      </c>
      <c r="B34" s="596">
        <f>STUDENT!F32</f>
        <v>15034</v>
      </c>
      <c r="C34" s="596">
        <f>STUDENT!D32</f>
        <v>20250188568</v>
      </c>
      <c r="D34" s="597" t="str">
        <f>STUDENT!E32</f>
        <v>RAM CHANDER KUMAR</v>
      </c>
      <c r="E34" s="597" t="str">
        <f>STUDENT!H32</f>
        <v>AKASH SHARMA</v>
      </c>
      <c r="F34" s="590" t="str">
        <f>VLOOKUP(A34,STUDENT!$A$2:$BR$105,68,0)</f>
        <v/>
      </c>
      <c r="G34" s="590" t="b">
        <f>VLOOKUP(A34,STUDENT!$A$2:$BR$105,67,0)</f>
        <v>0</v>
      </c>
      <c r="H34" s="590" t="str">
        <f>PASHEET!BB34</f>
        <v>C</v>
      </c>
      <c r="I34" s="590" t="str">
        <f>PASHEET!BC34</f>
        <v>D</v>
      </c>
      <c r="J34" s="590" t="str">
        <f>PASHEET!BD34</f>
        <v>C</v>
      </c>
      <c r="K34" s="590" t="str">
        <f>PASHEET!BE34</f>
        <v>D</v>
      </c>
      <c r="L34" s="590" t="str">
        <f>PASHEET!BF34</f>
        <v/>
      </c>
      <c r="M34" s="590" t="str">
        <f>PASHEET!BG34</f>
        <v>B</v>
      </c>
      <c r="N34" s="590" t="str">
        <f>PASHEET!BH34</f>
        <v/>
      </c>
      <c r="O34" s="590" t="str">
        <f>PASHEET!BI34</f>
        <v>D</v>
      </c>
      <c r="Q34" s="591" t="s">
        <v>482</v>
      </c>
      <c r="R34" s="591" t="s">
        <v>483</v>
      </c>
      <c r="S34" s="591"/>
      <c r="T34" s="591"/>
      <c r="U34" s="591"/>
      <c r="V34" s="591"/>
      <c r="W34" s="594"/>
      <c r="X34" s="591" t="s">
        <v>482</v>
      </c>
      <c r="Y34" s="591" t="s">
        <v>483</v>
      </c>
      <c r="Z34" s="591" t="s">
        <v>491</v>
      </c>
      <c r="AA34" s="591"/>
      <c r="AB34" s="591"/>
      <c r="AC34" s="591"/>
      <c r="AD34" s="591"/>
      <c r="AE34" s="595"/>
    </row>
    <row r="35" spans="1:31">
      <c r="A35" s="590">
        <v>32</v>
      </c>
      <c r="B35" s="596">
        <f>STUDENT!F33</f>
        <v>15035</v>
      </c>
      <c r="C35" s="596">
        <f>STUDENT!D33</f>
        <v>20250188626</v>
      </c>
      <c r="D35" s="597" t="str">
        <f>STUDENT!E33</f>
        <v>HARSHIT</v>
      </c>
      <c r="E35" s="597" t="str">
        <f>STUDENT!H33</f>
        <v>ANKIT SINGH</v>
      </c>
      <c r="F35" s="590" t="str">
        <f>VLOOKUP(A35,STUDENT!$A$2:$BR$105,68,0)</f>
        <v/>
      </c>
      <c r="G35" s="590" t="b">
        <f>VLOOKUP(A35,STUDENT!$A$2:$BR$105,67,0)</f>
        <v>0</v>
      </c>
      <c r="H35" s="590" t="str">
        <f>PASHEET!BB35</f>
        <v>B</v>
      </c>
      <c r="I35" s="590" t="str">
        <f>PASHEET!BC35</f>
        <v>B</v>
      </c>
      <c r="J35" s="590" t="str">
        <f>PASHEET!BD35</f>
        <v>B</v>
      </c>
      <c r="K35" s="590" t="str">
        <f>PASHEET!BE35</f>
        <v>B</v>
      </c>
      <c r="L35" s="590" t="str">
        <f>PASHEET!BF35</f>
        <v/>
      </c>
      <c r="M35" s="590" t="str">
        <f>PASHEET!BG35</f>
        <v>A</v>
      </c>
      <c r="N35" s="590" t="str">
        <f>PASHEET!BH35</f>
        <v/>
      </c>
      <c r="O35" s="590" t="str">
        <f>PASHEET!BI35</f>
        <v>B</v>
      </c>
      <c r="Q35" s="591"/>
      <c r="R35" s="591"/>
      <c r="S35" s="591" t="s">
        <v>102</v>
      </c>
      <c r="T35" s="591">
        <f>SUM(T27:T34)</f>
        <v>39</v>
      </c>
      <c r="U35" s="591">
        <f t="shared" ref="U35:V35" si="5">SUM(U27:U34)</f>
        <v>0</v>
      </c>
      <c r="V35" s="591">
        <f t="shared" si="5"/>
        <v>0</v>
      </c>
      <c r="W35" s="594"/>
      <c r="X35" s="591"/>
      <c r="Y35" s="591"/>
      <c r="Z35" s="591"/>
      <c r="AA35" s="591" t="s">
        <v>102</v>
      </c>
      <c r="AB35" s="591">
        <f>SUM(AB27:AB34)</f>
        <v>0</v>
      </c>
      <c r="AC35" s="591">
        <f t="shared" ref="AC35:AD35" si="6">SUM(AC27:AC34)</f>
        <v>0</v>
      </c>
      <c r="AD35" s="591">
        <f t="shared" si="6"/>
        <v>0</v>
      </c>
      <c r="AE35" s="595"/>
    </row>
    <row r="36" spans="1:31">
      <c r="A36" s="596">
        <v>33</v>
      </c>
      <c r="B36" s="596">
        <f>STUDENT!F34</f>
        <v>15077</v>
      </c>
      <c r="C36" s="596">
        <f>STUDENT!D34</f>
        <v>20250246710</v>
      </c>
      <c r="D36" s="597" t="str">
        <f>STUDENT!E34</f>
        <v>HEMANT KUMAR</v>
      </c>
      <c r="E36" s="597" t="str">
        <f>STUDENT!H34</f>
        <v>PRADEEP KUMAR</v>
      </c>
      <c r="F36" s="590" t="str">
        <f>VLOOKUP(A36,STUDENT!$A$2:$BR$105,68,0)</f>
        <v/>
      </c>
      <c r="G36" s="590" t="b">
        <f>VLOOKUP(A36,STUDENT!$A$2:$BR$105,67,0)</f>
        <v>0</v>
      </c>
      <c r="H36" s="590" t="str">
        <f>PASHEET!BB36</f>
        <v>A</v>
      </c>
      <c r="I36" s="590" t="str">
        <f>PASHEET!BC36</f>
        <v>B</v>
      </c>
      <c r="J36" s="590" t="str">
        <f>PASHEET!BD36</f>
        <v>B</v>
      </c>
      <c r="K36" s="590" t="str">
        <f>PASHEET!BE36</f>
        <v>B</v>
      </c>
      <c r="L36" s="590" t="str">
        <f>PASHEET!BF36</f>
        <v/>
      </c>
      <c r="M36" s="590" t="str">
        <f>PASHEET!BG36</f>
        <v>A</v>
      </c>
      <c r="N36" s="590" t="str">
        <f>PASHEET!BH36</f>
        <v/>
      </c>
      <c r="O36" s="590" t="str">
        <f>PASHEET!BI36</f>
        <v>B</v>
      </c>
      <c r="Q36" s="591"/>
      <c r="R36" s="591"/>
      <c r="S36" s="591"/>
      <c r="T36" s="591"/>
      <c r="U36" s="591"/>
      <c r="V36" s="591"/>
      <c r="W36" s="594"/>
      <c r="X36" s="594"/>
      <c r="Y36" s="594"/>
      <c r="Z36" s="594"/>
      <c r="AA36" s="594"/>
      <c r="AB36" s="591"/>
      <c r="AC36" s="591"/>
      <c r="AD36" s="591"/>
      <c r="AE36" s="595"/>
    </row>
    <row r="37" spans="1:31">
      <c r="A37" s="590">
        <v>34</v>
      </c>
      <c r="B37" s="596">
        <f>STUDENT!F35</f>
        <v>15088</v>
      </c>
      <c r="C37" s="596">
        <f>STUDENT!D35</f>
        <v>20250257787</v>
      </c>
      <c r="D37" s="597" t="str">
        <f>STUDENT!E35</f>
        <v>VEERPARTAP SINGH</v>
      </c>
      <c r="E37" s="597" t="str">
        <f>STUDENT!H35</f>
        <v>VIJAY SINGH</v>
      </c>
      <c r="F37" s="590" t="str">
        <f>VLOOKUP(A37,STUDENT!$A$2:$BR$105,68,0)</f>
        <v/>
      </c>
      <c r="G37" s="590" t="b">
        <f>VLOOKUP(A37,STUDENT!$A$2:$BR$105,67,0)</f>
        <v>0</v>
      </c>
      <c r="H37" s="590" t="str">
        <f>PASHEET!BB37</f>
        <v>Ab</v>
      </c>
      <c r="I37" s="590" t="str">
        <f>PASHEET!BC37</f>
        <v>Ab</v>
      </c>
      <c r="J37" s="590" t="str">
        <f>PASHEET!BD37</f>
        <v>Ab</v>
      </c>
      <c r="K37" s="590" t="str">
        <f>PASHEET!BE37</f>
        <v>Ab</v>
      </c>
      <c r="L37" s="590" t="str">
        <f>PASHEET!BF37</f>
        <v/>
      </c>
      <c r="M37" s="590" t="str">
        <f>PASHEET!BG37</f>
        <v>Ab</v>
      </c>
      <c r="N37" s="590" t="str">
        <f>PASHEET!BH37</f>
        <v/>
      </c>
      <c r="O37" s="590" t="str">
        <f>PASHEET!BI37</f>
        <v>Ab</v>
      </c>
      <c r="Q37" s="591"/>
      <c r="R37" s="591"/>
      <c r="S37" s="591"/>
      <c r="T37" s="591"/>
      <c r="U37" s="591"/>
      <c r="V37" s="591"/>
      <c r="W37" s="594"/>
      <c r="X37" s="594"/>
      <c r="Y37" s="594"/>
      <c r="Z37" s="594"/>
      <c r="AA37" s="594"/>
      <c r="AB37" s="591"/>
      <c r="AC37" s="591"/>
      <c r="AD37" s="591"/>
      <c r="AE37" s="595"/>
    </row>
    <row r="38" spans="1:31">
      <c r="A38" s="596">
        <v>35</v>
      </c>
      <c r="B38" s="596">
        <f>STUDENT!F36</f>
        <v>15104</v>
      </c>
      <c r="C38" s="596">
        <f>STUDENT!D36</f>
        <v>20250272033</v>
      </c>
      <c r="D38" s="597" t="str">
        <f>STUDENT!E36</f>
        <v>NIKHIL KUMAR</v>
      </c>
      <c r="E38" s="597" t="str">
        <f>STUDENT!H36</f>
        <v>SUNIL KUMAR</v>
      </c>
      <c r="F38" s="590" t="str">
        <f>VLOOKUP(A38,STUDENT!$A$2:$BR$105,68,0)</f>
        <v/>
      </c>
      <c r="G38" s="590" t="b">
        <f>VLOOKUP(A38,STUDENT!$A$2:$BR$105,67,0)</f>
        <v>0</v>
      </c>
      <c r="H38" s="590" t="str">
        <f>PASHEET!BB38</f>
        <v>C</v>
      </c>
      <c r="I38" s="590" t="str">
        <f>PASHEET!BC38</f>
        <v>D</v>
      </c>
      <c r="J38" s="590" t="str">
        <f>PASHEET!BD38</f>
        <v>B</v>
      </c>
      <c r="K38" s="590" t="str">
        <f>PASHEET!BE38</f>
        <v>C</v>
      </c>
      <c r="L38" s="590" t="str">
        <f>PASHEET!BF38</f>
        <v/>
      </c>
      <c r="M38" s="590" t="str">
        <f>PASHEET!BG38</f>
        <v>B</v>
      </c>
      <c r="N38" s="590" t="str">
        <f>PASHEET!BH38</f>
        <v/>
      </c>
      <c r="O38" s="590" t="str">
        <f>PASHEET!BI38</f>
        <v>C</v>
      </c>
      <c r="Q38" s="591" t="s">
        <v>475</v>
      </c>
      <c r="R38" s="591" t="s">
        <v>476</v>
      </c>
      <c r="S38" s="592" t="s">
        <v>477</v>
      </c>
      <c r="T38" s="593" t="s">
        <v>88</v>
      </c>
      <c r="U38" s="592" t="s">
        <v>479</v>
      </c>
      <c r="V38" s="592" t="s">
        <v>480</v>
      </c>
      <c r="W38" s="594"/>
      <c r="X38" s="591" t="s">
        <v>475</v>
      </c>
      <c r="Y38" s="591" t="s">
        <v>476</v>
      </c>
      <c r="Z38" s="591" t="s">
        <v>474</v>
      </c>
      <c r="AA38" s="592" t="s">
        <v>477</v>
      </c>
      <c r="AB38" s="593" t="s">
        <v>492</v>
      </c>
      <c r="AC38" s="592" t="s">
        <v>479</v>
      </c>
      <c r="AD38" s="592" t="s">
        <v>480</v>
      </c>
      <c r="AE38" s="595"/>
    </row>
    <row r="39" spans="1:31">
      <c r="A39" s="590">
        <v>36</v>
      </c>
      <c r="B39" s="596">
        <f>STUDENT!F37</f>
        <v>15143</v>
      </c>
      <c r="C39" s="596">
        <f>STUDENT!D37</f>
        <v>20250310265</v>
      </c>
      <c r="D39" s="597" t="str">
        <f>STUDENT!E37</f>
        <v>JITENDRA</v>
      </c>
      <c r="E39" s="597" t="str">
        <f>STUDENT!H37</f>
        <v>RAM SUMAR</v>
      </c>
      <c r="F39" s="590" t="str">
        <f>VLOOKUP(A39,STUDENT!$A$2:$BR$105,68,0)</f>
        <v/>
      </c>
      <c r="G39" s="590" t="b">
        <f>VLOOKUP(A39,STUDENT!$A$2:$BR$105,67,0)</f>
        <v>0</v>
      </c>
      <c r="H39" s="590" t="str">
        <f>PASHEET!BB39</f>
        <v>B</v>
      </c>
      <c r="I39" s="590" t="str">
        <f>PASHEET!BC39</f>
        <v>C</v>
      </c>
      <c r="J39" s="590" t="str">
        <f>PASHEET!BD39</f>
        <v>C</v>
      </c>
      <c r="K39" s="590" t="str">
        <f>PASHEET!BE39</f>
        <v>C</v>
      </c>
      <c r="L39" s="590" t="str">
        <f>PASHEET!BF39</f>
        <v/>
      </c>
      <c r="M39" s="590" t="str">
        <f>PASHEET!BG39</f>
        <v>E</v>
      </c>
      <c r="N39" s="590" t="str">
        <f>PASHEET!BH39</f>
        <v/>
      </c>
      <c r="O39" s="590" t="str">
        <f>PASHEET!BI39</f>
        <v>C</v>
      </c>
      <c r="Q39" s="591" t="s">
        <v>482</v>
      </c>
      <c r="R39" s="591" t="s">
        <v>483</v>
      </c>
      <c r="S39" s="591" t="s">
        <v>50</v>
      </c>
      <c r="T39" s="591">
        <f>COUNTIFS(J4:J103,S39)</f>
        <v>1</v>
      </c>
      <c r="U39" s="591">
        <f>COUNTIFS(F4:F103,Q28,J4:J103,S39)</f>
        <v>0</v>
      </c>
      <c r="V39" s="591">
        <f>COUNTIFS(F4:F103,R28,J4:J103,S39)</f>
        <v>0</v>
      </c>
      <c r="W39" s="594"/>
      <c r="X39" s="591" t="s">
        <v>482</v>
      </c>
      <c r="Y39" s="591" t="s">
        <v>483</v>
      </c>
      <c r="Z39" s="591" t="s">
        <v>492</v>
      </c>
      <c r="AA39" s="591" t="s">
        <v>50</v>
      </c>
      <c r="AB39" s="591">
        <f>COUNTIFS(G4:G103,Z39,O4:O103,S39)</f>
        <v>0</v>
      </c>
      <c r="AC39" s="591">
        <f>COUNTIFS(F4:F103,X39,G4:G103,Z39,O4:O103,S39)</f>
        <v>0</v>
      </c>
      <c r="AD39" s="591">
        <f>COUNTIFS(F4:F103,Y39,G4:G103,Z39,O4:O103,S39)</f>
        <v>0</v>
      </c>
      <c r="AE39" s="595"/>
    </row>
    <row r="40" spans="1:31">
      <c r="A40" s="596">
        <v>37</v>
      </c>
      <c r="B40" s="596">
        <f>STUDENT!F38</f>
        <v>15144</v>
      </c>
      <c r="C40" s="596">
        <f>STUDENT!D38</f>
        <v>20250310269</v>
      </c>
      <c r="D40" s="597" t="str">
        <f>STUDENT!E38</f>
        <v>MOHD AYAN</v>
      </c>
      <c r="E40" s="597" t="str">
        <f>STUDENT!H38</f>
        <v>BUDHAN MIYAN</v>
      </c>
      <c r="F40" s="590" t="str">
        <f>VLOOKUP(A40,STUDENT!$A$2:$BR$105,68,0)</f>
        <v/>
      </c>
      <c r="G40" s="590" t="b">
        <f>VLOOKUP(A40,STUDENT!$A$2:$BR$105,67,0)</f>
        <v>0</v>
      </c>
      <c r="H40" s="590" t="str">
        <f>PASHEET!BB40</f>
        <v>Ab</v>
      </c>
      <c r="I40" s="590" t="str">
        <f>PASHEET!BC40</f>
        <v>Ab</v>
      </c>
      <c r="J40" s="590" t="str">
        <f>PASHEET!BD40</f>
        <v>Ab</v>
      </c>
      <c r="K40" s="590" t="str">
        <f>PASHEET!BE40</f>
        <v>Ab</v>
      </c>
      <c r="L40" s="590" t="str">
        <f>PASHEET!BF40</f>
        <v/>
      </c>
      <c r="M40" s="590" t="str">
        <f>PASHEET!BG40</f>
        <v>Ab</v>
      </c>
      <c r="N40" s="590" t="str">
        <f>PASHEET!BH40</f>
        <v/>
      </c>
      <c r="O40" s="590" t="str">
        <f>PASHEET!BI40</f>
        <v>Ab</v>
      </c>
      <c r="Q40" s="591" t="s">
        <v>482</v>
      </c>
      <c r="R40" s="591" t="s">
        <v>483</v>
      </c>
      <c r="S40" s="591" t="s">
        <v>485</v>
      </c>
      <c r="T40" s="591">
        <f>COUNTIFS(J4:J103,S40)</f>
        <v>13</v>
      </c>
      <c r="U40" s="591">
        <f>COUNTIFS(F4:F103,Q29,J4:J103,S40)</f>
        <v>0</v>
      </c>
      <c r="V40" s="591">
        <f>COUNTIFS(F4:F103,R29,J4:J103,S40)</f>
        <v>0</v>
      </c>
      <c r="W40" s="594"/>
      <c r="X40" s="591" t="s">
        <v>482</v>
      </c>
      <c r="Y40" s="591" t="s">
        <v>483</v>
      </c>
      <c r="Z40" s="591" t="s">
        <v>492</v>
      </c>
      <c r="AA40" s="591" t="s">
        <v>485</v>
      </c>
      <c r="AB40" s="591">
        <f>COUNTIFS(G4:G103,Z40,O4:O103,S40)</f>
        <v>0</v>
      </c>
      <c r="AC40" s="591">
        <f>COUNTIFS(F4:F103,X40,G4:G103,Z40,O4:O103,S40)</f>
        <v>0</v>
      </c>
      <c r="AD40" s="591">
        <f>COUNTIFS(F4:F103,Y40,G4:G103,Z40,O4:O103,S40)</f>
        <v>0</v>
      </c>
      <c r="AE40" s="595"/>
    </row>
    <row r="41" spans="1:31">
      <c r="A41" s="590">
        <v>38</v>
      </c>
      <c r="B41" s="596">
        <f>STUDENT!F39</f>
        <v>15145</v>
      </c>
      <c r="C41" s="596">
        <f>STUDENT!D39</f>
        <v>20250310277</v>
      </c>
      <c r="D41" s="597" t="str">
        <f>STUDENT!E39</f>
        <v>RAJA KUMAR</v>
      </c>
      <c r="E41" s="597" t="str">
        <f>STUDENT!H39</f>
        <v>AMAR PODDAR</v>
      </c>
      <c r="F41" s="590" t="str">
        <f>VLOOKUP(A41,STUDENT!$A$2:$BR$105,68,0)</f>
        <v/>
      </c>
      <c r="G41" s="590" t="b">
        <f>VLOOKUP(A41,STUDENT!$A$2:$BR$105,67,0)</f>
        <v>0</v>
      </c>
      <c r="H41" s="590" t="str">
        <f>PASHEET!BB41</f>
        <v>Ab</v>
      </c>
      <c r="I41" s="590" t="str">
        <f>PASHEET!BC41</f>
        <v>Ab</v>
      </c>
      <c r="J41" s="590" t="str">
        <f>PASHEET!BD41</f>
        <v>Ab</v>
      </c>
      <c r="K41" s="590" t="str">
        <f>PASHEET!BE41</f>
        <v>Ab</v>
      </c>
      <c r="L41" s="590" t="str">
        <f>PASHEET!BF41</f>
        <v/>
      </c>
      <c r="M41" s="590" t="str">
        <f>PASHEET!BG41</f>
        <v>Ab</v>
      </c>
      <c r="N41" s="590" t="str">
        <f>PASHEET!BH41</f>
        <v/>
      </c>
      <c r="O41" s="590" t="str">
        <f>PASHEET!BI41</f>
        <v>Ab</v>
      </c>
      <c r="Q41" s="591" t="s">
        <v>482</v>
      </c>
      <c r="R41" s="591" t="s">
        <v>483</v>
      </c>
      <c r="S41" s="591" t="s">
        <v>486</v>
      </c>
      <c r="T41" s="591">
        <f>COUNTIFS(J4:J103,S41)</f>
        <v>16</v>
      </c>
      <c r="U41" s="591">
        <f>COUNTIFS(F4:F103,Q30,J4:J103,S41)</f>
        <v>0</v>
      </c>
      <c r="V41" s="591">
        <f>COUNTIFS(F4:F103,R30,J4:J103,S41)</f>
        <v>0</v>
      </c>
      <c r="W41" s="594"/>
      <c r="X41" s="591" t="s">
        <v>482</v>
      </c>
      <c r="Y41" s="591" t="s">
        <v>483</v>
      </c>
      <c r="Z41" s="591" t="s">
        <v>492</v>
      </c>
      <c r="AA41" s="591" t="s">
        <v>486</v>
      </c>
      <c r="AB41" s="591">
        <f>COUNTIFS(G4:G103,Z41,O4:O103,S41)</f>
        <v>0</v>
      </c>
      <c r="AC41" s="591">
        <f>COUNTIFS(F4:F103,X41,G4:G103,Z41,O4:O103,S41)</f>
        <v>0</v>
      </c>
      <c r="AD41" s="591">
        <f>COUNTIFS(F4:F103,Y41,G4:G103,Z41,O4:O103,S41)</f>
        <v>0</v>
      </c>
      <c r="AE41" s="595"/>
    </row>
    <row r="42" spans="1:31">
      <c r="A42" s="596">
        <v>39</v>
      </c>
      <c r="B42" s="596">
        <f>STUDENT!F40</f>
        <v>15149</v>
      </c>
      <c r="C42" s="596">
        <f>STUDENT!D40</f>
        <v>20250325088</v>
      </c>
      <c r="D42" s="597" t="str">
        <f>STUDENT!E40</f>
        <v>LOVECESH KUMAR</v>
      </c>
      <c r="E42" s="597" t="str">
        <f>STUDENT!H40</f>
        <v>SANDEEP KUMAR</v>
      </c>
      <c r="F42" s="590" t="str">
        <f>VLOOKUP(A42,STUDENT!$A$2:$BR$105,68,0)</f>
        <v/>
      </c>
      <c r="G42" s="590" t="b">
        <f>VLOOKUP(A42,STUDENT!$A$2:$BR$105,67,0)</f>
        <v>0</v>
      </c>
      <c r="H42" s="590" t="str">
        <f>PASHEET!BB42</f>
        <v>Ab</v>
      </c>
      <c r="I42" s="590" t="str">
        <f>PASHEET!BC42</f>
        <v>Ab</v>
      </c>
      <c r="J42" s="590" t="str">
        <f>PASHEET!BD42</f>
        <v>Ab</v>
      </c>
      <c r="K42" s="590" t="str">
        <f>PASHEET!BE42</f>
        <v>Ab</v>
      </c>
      <c r="L42" s="590" t="str">
        <f>PASHEET!BF42</f>
        <v/>
      </c>
      <c r="M42" s="590" t="str">
        <f>PASHEET!BG42</f>
        <v>Ab</v>
      </c>
      <c r="N42" s="590" t="str">
        <f>PASHEET!BH42</f>
        <v/>
      </c>
      <c r="O42" s="590" t="str">
        <f>PASHEET!BI42</f>
        <v>Ab</v>
      </c>
      <c r="Q42" s="591" t="s">
        <v>482</v>
      </c>
      <c r="R42" s="591" t="s">
        <v>483</v>
      </c>
      <c r="S42" s="591" t="s">
        <v>487</v>
      </c>
      <c r="T42" s="591">
        <f>COUNTIFS(J4:J103,S42)</f>
        <v>4</v>
      </c>
      <c r="U42" s="591">
        <f>COUNTIFS(F4:F103,Q31,J4:J103,S42)</f>
        <v>0</v>
      </c>
      <c r="V42" s="591">
        <f>COUNTIFS(F4:F103,R31,J4:J103,S42)</f>
        <v>0</v>
      </c>
      <c r="W42" s="594"/>
      <c r="X42" s="591" t="s">
        <v>482</v>
      </c>
      <c r="Y42" s="591" t="s">
        <v>483</v>
      </c>
      <c r="Z42" s="591" t="s">
        <v>492</v>
      </c>
      <c r="AA42" s="591" t="s">
        <v>487</v>
      </c>
      <c r="AB42" s="591">
        <f>COUNTIFS(G4:G103,Z42,O4:O103,S42)</f>
        <v>0</v>
      </c>
      <c r="AC42" s="591">
        <f>COUNTIFS(F4:F103,X42,G4:G103,Z42,O4:O103,S42)</f>
        <v>0</v>
      </c>
      <c r="AD42" s="591">
        <f>COUNTIFS(F4:F103,Y42,G4:G103,Z42,O4:O103,S42)</f>
        <v>0</v>
      </c>
      <c r="AE42" s="595"/>
    </row>
    <row r="43" spans="1:31">
      <c r="A43" s="590">
        <v>40</v>
      </c>
      <c r="B43" s="596">
        <f>STUDENT!F41</f>
        <v>0</v>
      </c>
      <c r="C43" s="596">
        <f>STUDENT!D41</f>
        <v>0</v>
      </c>
      <c r="D43" s="597">
        <f>STUDENT!E41</f>
        <v>0</v>
      </c>
      <c r="E43" s="597">
        <f>STUDENT!H41</f>
        <v>0</v>
      </c>
      <c r="F43" s="590" t="str">
        <f>VLOOKUP(A43,STUDENT!$A$2:$BR$105,68,0)</f>
        <v/>
      </c>
      <c r="G43" s="590" t="b">
        <f>VLOOKUP(A43,STUDENT!$A$2:$BR$105,67,0)</f>
        <v>0</v>
      </c>
      <c r="H43" s="590" t="str">
        <f>PASHEET!BB43</f>
        <v/>
      </c>
      <c r="I43" s="590" t="str">
        <f>PASHEET!BC43</f>
        <v/>
      </c>
      <c r="J43" s="590" t="str">
        <f>PASHEET!BD43</f>
        <v/>
      </c>
      <c r="K43" s="590" t="str">
        <f>PASHEET!BE43</f>
        <v/>
      </c>
      <c r="L43" s="590" t="str">
        <f>PASHEET!BF43</f>
        <v/>
      </c>
      <c r="M43" s="590" t="str">
        <f>PASHEET!BG43</f>
        <v/>
      </c>
      <c r="N43" s="590" t="str">
        <f>PASHEET!BH43</f>
        <v/>
      </c>
      <c r="O43" s="590" t="str">
        <f>PASHEET!BI43</f>
        <v/>
      </c>
      <c r="Q43" s="591" t="s">
        <v>482</v>
      </c>
      <c r="R43" s="591" t="s">
        <v>483</v>
      </c>
      <c r="S43" s="591" t="s">
        <v>488</v>
      </c>
      <c r="T43" s="591">
        <f>COUNTIFS(J4:J103,S43)</f>
        <v>0</v>
      </c>
      <c r="U43" s="591">
        <f>COUNTIFS(F4:F103,Q32,J4:J103,S43)</f>
        <v>0</v>
      </c>
      <c r="V43" s="591">
        <f>COUNTIFS(F4:F103,R32,J4:J103,S43)</f>
        <v>0</v>
      </c>
      <c r="W43" s="594"/>
      <c r="X43" s="591" t="s">
        <v>482</v>
      </c>
      <c r="Y43" s="591" t="s">
        <v>483</v>
      </c>
      <c r="Z43" s="591" t="s">
        <v>492</v>
      </c>
      <c r="AA43" s="591" t="s">
        <v>488</v>
      </c>
      <c r="AB43" s="591">
        <f>COUNTIFS(G4:G103,Z43,O4:O103,S43)</f>
        <v>0</v>
      </c>
      <c r="AC43" s="591">
        <f>COUNTIFS(F4:F103,X43,G4:G103,Z43,O4:O103,S43)</f>
        <v>0</v>
      </c>
      <c r="AD43" s="591">
        <f>COUNTIFS(F4:F103,Y43,G4:G103,Z43,O4:O103,S43)</f>
        <v>0</v>
      </c>
      <c r="AE43" s="595"/>
    </row>
    <row r="44" spans="1:31">
      <c r="A44" s="596">
        <v>41</v>
      </c>
      <c r="B44" s="596">
        <f>STUDENT!F42</f>
        <v>0</v>
      </c>
      <c r="C44" s="596">
        <f>STUDENT!D42</f>
        <v>0</v>
      </c>
      <c r="D44" s="597">
        <f>STUDENT!E42</f>
        <v>0</v>
      </c>
      <c r="E44" s="597">
        <f>STUDENT!H42</f>
        <v>0</v>
      </c>
      <c r="F44" s="590" t="str">
        <f>VLOOKUP(A44,STUDENT!$A$2:$BR$105,68,0)</f>
        <v/>
      </c>
      <c r="G44" s="590" t="b">
        <f>VLOOKUP(A44,STUDENT!$A$2:$BR$105,67,0)</f>
        <v>0</v>
      </c>
      <c r="H44" s="590" t="str">
        <f>PASHEET!BB44</f>
        <v/>
      </c>
      <c r="I44" s="590" t="str">
        <f>PASHEET!BC44</f>
        <v/>
      </c>
      <c r="J44" s="590" t="str">
        <f>PASHEET!BD44</f>
        <v/>
      </c>
      <c r="K44" s="590" t="str">
        <f>PASHEET!BE44</f>
        <v/>
      </c>
      <c r="L44" s="590" t="str">
        <f>PASHEET!BF44</f>
        <v/>
      </c>
      <c r="M44" s="590" t="str">
        <f>PASHEET!BG44</f>
        <v/>
      </c>
      <c r="N44" s="590" t="str">
        <f>PASHEET!BH44</f>
        <v/>
      </c>
      <c r="O44" s="590" t="str">
        <f>PASHEET!BI44</f>
        <v/>
      </c>
      <c r="Q44" s="591" t="s">
        <v>482</v>
      </c>
      <c r="R44" s="591" t="s">
        <v>483</v>
      </c>
      <c r="S44" s="591" t="s">
        <v>101</v>
      </c>
      <c r="T44" s="591">
        <f>COUNTIFS(J4:J103,S44)</f>
        <v>5</v>
      </c>
      <c r="U44" s="591">
        <f>COUNTIFS(F4:F103,Q33,J4:J103,S44)</f>
        <v>0</v>
      </c>
      <c r="V44" s="591">
        <f>COUNTIFS(F4:F103,R33,J4:J103,S44)</f>
        <v>0</v>
      </c>
      <c r="W44" s="594"/>
      <c r="X44" s="591" t="s">
        <v>482</v>
      </c>
      <c r="Y44" s="591" t="s">
        <v>483</v>
      </c>
      <c r="Z44" s="591" t="s">
        <v>492</v>
      </c>
      <c r="AA44" s="591" t="s">
        <v>101</v>
      </c>
      <c r="AB44" s="591">
        <f>COUNTIFS(G4:G103,Z44,O4:O103,S44)</f>
        <v>0</v>
      </c>
      <c r="AC44" s="591">
        <f>COUNTIFS(F4:F103,X44,G4:G103,Z44,O4:O103,S44)</f>
        <v>0</v>
      </c>
      <c r="AD44" s="591">
        <f>COUNTIFS(F4:F103,Y44,G4:G103,Z44,O4:O103,S44)</f>
        <v>0</v>
      </c>
      <c r="AE44" s="595"/>
    </row>
    <row r="45" spans="1:31">
      <c r="A45" s="590">
        <v>42</v>
      </c>
      <c r="B45" s="596">
        <f>STUDENT!F43</f>
        <v>0</v>
      </c>
      <c r="C45" s="596">
        <f>STUDENT!D43</f>
        <v>0</v>
      </c>
      <c r="D45" s="597">
        <f>STUDENT!E43</f>
        <v>0</v>
      </c>
      <c r="E45" s="597">
        <f>STUDENT!H43</f>
        <v>0</v>
      </c>
      <c r="F45" s="590" t="str">
        <f>VLOOKUP(A45,STUDENT!$A$2:$BR$105,68,0)</f>
        <v/>
      </c>
      <c r="G45" s="590" t="b">
        <f>VLOOKUP(A45,STUDENT!$A$2:$BR$105,67,0)</f>
        <v>0</v>
      </c>
      <c r="H45" s="590" t="str">
        <f>PASHEET!BB45</f>
        <v/>
      </c>
      <c r="I45" s="590" t="str">
        <f>PASHEET!BC45</f>
        <v/>
      </c>
      <c r="J45" s="590" t="str">
        <f>PASHEET!BD45</f>
        <v/>
      </c>
      <c r="K45" s="590" t="str">
        <f>PASHEET!BE45</f>
        <v/>
      </c>
      <c r="L45" s="590" t="str">
        <f>PASHEET!BF45</f>
        <v/>
      </c>
      <c r="M45" s="590" t="str">
        <f>PASHEET!BG45</f>
        <v/>
      </c>
      <c r="N45" s="590" t="str">
        <f>PASHEET!BH45</f>
        <v/>
      </c>
      <c r="O45" s="590" t="str">
        <f>PASHEET!BI45</f>
        <v/>
      </c>
      <c r="Q45" s="591" t="s">
        <v>482</v>
      </c>
      <c r="R45" s="591" t="s">
        <v>483</v>
      </c>
      <c r="S45" s="591" t="s">
        <v>489</v>
      </c>
      <c r="T45" s="591">
        <f>COUNTIFS(J4:J103,S45)</f>
        <v>0</v>
      </c>
      <c r="U45" s="591">
        <f>COUNTIFS(F4:F103,Q34,J4:J103,S45)</f>
        <v>0</v>
      </c>
      <c r="V45" s="591">
        <f>COUNTIFS(F4:F103,R34,J4:J103,S45)</f>
        <v>0</v>
      </c>
      <c r="W45" s="594"/>
      <c r="X45" s="591" t="s">
        <v>482</v>
      </c>
      <c r="Y45" s="591" t="s">
        <v>483</v>
      </c>
      <c r="Z45" s="591" t="s">
        <v>492</v>
      </c>
      <c r="AA45" s="591" t="s">
        <v>489</v>
      </c>
      <c r="AB45" s="591">
        <f>COUNTIFS(G4:G103,Z45,O4:O103,S45)</f>
        <v>0</v>
      </c>
      <c r="AC45" s="591">
        <f>COUNTIFS(F4:F103,X45,G4:G103,Z45,O4:O103,S45)</f>
        <v>0</v>
      </c>
      <c r="AD45" s="591">
        <f>COUNTIFS(F4:F103,Y45,G4:G103,Z45,O4:O103,S45)</f>
        <v>0</v>
      </c>
      <c r="AE45" s="595"/>
    </row>
    <row r="46" spans="1:31">
      <c r="A46" s="596">
        <v>43</v>
      </c>
      <c r="B46" s="596">
        <f>STUDENT!F44</f>
        <v>0</v>
      </c>
      <c r="C46" s="596">
        <f>STUDENT!D44</f>
        <v>0</v>
      </c>
      <c r="D46" s="597">
        <f>STUDENT!E44</f>
        <v>0</v>
      </c>
      <c r="E46" s="597">
        <f>STUDENT!H44</f>
        <v>0</v>
      </c>
      <c r="F46" s="590" t="str">
        <f>VLOOKUP(A46,STUDENT!$A$2:$BR$105,68,0)</f>
        <v/>
      </c>
      <c r="G46" s="590" t="b">
        <f>VLOOKUP(A46,STUDENT!$A$2:$BR$105,67,0)</f>
        <v>0</v>
      </c>
      <c r="H46" s="590" t="str">
        <f>PASHEET!BB46</f>
        <v/>
      </c>
      <c r="I46" s="590" t="str">
        <f>PASHEET!BC46</f>
        <v/>
      </c>
      <c r="J46" s="590" t="str">
        <f>PASHEET!BD46</f>
        <v/>
      </c>
      <c r="K46" s="590" t="str">
        <f>PASHEET!BE46</f>
        <v/>
      </c>
      <c r="L46" s="590" t="str">
        <f>PASHEET!BF46</f>
        <v/>
      </c>
      <c r="M46" s="590" t="str">
        <f>PASHEET!BG46</f>
        <v/>
      </c>
      <c r="N46" s="590" t="str">
        <f>PASHEET!BH46</f>
        <v/>
      </c>
      <c r="O46" s="590" t="str">
        <f>PASHEET!BI46</f>
        <v/>
      </c>
      <c r="Q46" s="591" t="s">
        <v>482</v>
      </c>
      <c r="R46" s="591" t="s">
        <v>483</v>
      </c>
      <c r="S46" s="591"/>
      <c r="T46" s="591"/>
      <c r="U46" s="591"/>
      <c r="V46" s="591"/>
      <c r="W46" s="594"/>
      <c r="X46" s="591" t="s">
        <v>482</v>
      </c>
      <c r="Y46" s="591" t="s">
        <v>483</v>
      </c>
      <c r="Z46" s="591" t="s">
        <v>492</v>
      </c>
      <c r="AA46" s="591"/>
      <c r="AB46" s="591"/>
      <c r="AC46" s="591"/>
      <c r="AD46" s="591"/>
      <c r="AE46" s="595"/>
    </row>
    <row r="47" spans="1:31">
      <c r="A47" s="590">
        <v>44</v>
      </c>
      <c r="B47" s="596">
        <f>STUDENT!F45</f>
        <v>0</v>
      </c>
      <c r="C47" s="596">
        <f>STUDENT!D45</f>
        <v>0</v>
      </c>
      <c r="D47" s="597">
        <f>STUDENT!E45</f>
        <v>0</v>
      </c>
      <c r="E47" s="597">
        <f>STUDENT!H45</f>
        <v>0</v>
      </c>
      <c r="F47" s="590" t="str">
        <f>VLOOKUP(A47,STUDENT!$A$2:$BR$105,68,0)</f>
        <v/>
      </c>
      <c r="G47" s="590" t="b">
        <f>VLOOKUP(A47,STUDENT!$A$2:$BR$105,67,0)</f>
        <v>0</v>
      </c>
      <c r="H47" s="590" t="str">
        <f>PASHEET!BB47</f>
        <v/>
      </c>
      <c r="I47" s="590" t="str">
        <f>PASHEET!BC47</f>
        <v/>
      </c>
      <c r="J47" s="590" t="str">
        <f>PASHEET!BD47</f>
        <v/>
      </c>
      <c r="K47" s="590" t="str">
        <f>PASHEET!BE47</f>
        <v/>
      </c>
      <c r="L47" s="590" t="str">
        <f>PASHEET!BF47</f>
        <v/>
      </c>
      <c r="M47" s="590" t="str">
        <f>PASHEET!BG47</f>
        <v/>
      </c>
      <c r="N47" s="590" t="str">
        <f>PASHEET!BH47</f>
        <v/>
      </c>
      <c r="O47" s="590" t="str">
        <f>PASHEET!BI47</f>
        <v/>
      </c>
      <c r="Q47" s="591"/>
      <c r="R47" s="591"/>
      <c r="S47" s="591" t="s">
        <v>102</v>
      </c>
      <c r="T47" s="591">
        <f>SUM(T39:T46)</f>
        <v>39</v>
      </c>
      <c r="U47" s="591">
        <f t="shared" ref="U47:V47" si="7">SUM(U39:U46)</f>
        <v>0</v>
      </c>
      <c r="V47" s="591">
        <f t="shared" si="7"/>
        <v>0</v>
      </c>
      <c r="W47" s="594"/>
      <c r="X47" s="591"/>
      <c r="Y47" s="591"/>
      <c r="Z47" s="591"/>
      <c r="AA47" s="591" t="s">
        <v>102</v>
      </c>
      <c r="AB47" s="591">
        <f>SUM(AB39:AB46)</f>
        <v>0</v>
      </c>
      <c r="AC47" s="591">
        <f t="shared" ref="AC47:AD47" si="8">SUM(AC39:AC46)</f>
        <v>0</v>
      </c>
      <c r="AD47" s="591">
        <f t="shared" si="8"/>
        <v>0</v>
      </c>
      <c r="AE47" s="595"/>
    </row>
    <row r="48" spans="1:31">
      <c r="A48" s="596">
        <v>45</v>
      </c>
      <c r="B48" s="596">
        <f>STUDENT!F46</f>
        <v>0</v>
      </c>
      <c r="C48" s="596">
        <f>STUDENT!D46</f>
        <v>0</v>
      </c>
      <c r="D48" s="597">
        <f>STUDENT!E46</f>
        <v>0</v>
      </c>
      <c r="E48" s="597">
        <f>STUDENT!H46</f>
        <v>0</v>
      </c>
      <c r="F48" s="590" t="str">
        <f>VLOOKUP(A48,STUDENT!$A$2:$BR$105,68,0)</f>
        <v/>
      </c>
      <c r="G48" s="590" t="b">
        <f>VLOOKUP(A48,STUDENT!$A$2:$BR$105,67,0)</f>
        <v>0</v>
      </c>
      <c r="H48" s="590" t="str">
        <f>PASHEET!BB48</f>
        <v/>
      </c>
      <c r="I48" s="590" t="str">
        <f>PASHEET!BC48</f>
        <v/>
      </c>
      <c r="J48" s="590" t="str">
        <f>PASHEET!BD48</f>
        <v/>
      </c>
      <c r="K48" s="590" t="str">
        <f>PASHEET!BE48</f>
        <v/>
      </c>
      <c r="L48" s="590" t="str">
        <f>PASHEET!BF48</f>
        <v/>
      </c>
      <c r="M48" s="590" t="str">
        <f>PASHEET!BG48</f>
        <v/>
      </c>
      <c r="N48" s="590" t="str">
        <f>PASHEET!BH48</f>
        <v/>
      </c>
      <c r="O48" s="590" t="str">
        <f>PASHEET!BI48</f>
        <v/>
      </c>
      <c r="Q48" s="591"/>
      <c r="R48" s="591"/>
      <c r="S48" s="591"/>
      <c r="T48" s="591"/>
      <c r="U48" s="591"/>
      <c r="V48" s="591"/>
      <c r="W48" s="594"/>
      <c r="X48" s="594"/>
      <c r="Y48" s="594"/>
      <c r="Z48" s="594"/>
      <c r="AA48" s="594"/>
      <c r="AB48" s="591"/>
      <c r="AC48" s="591"/>
      <c r="AD48" s="591"/>
      <c r="AE48" s="595"/>
    </row>
    <row r="49" spans="1:31">
      <c r="A49" s="590">
        <v>46</v>
      </c>
      <c r="B49" s="596">
        <f>STUDENT!F47</f>
        <v>0</v>
      </c>
      <c r="C49" s="596">
        <f>STUDENT!D47</f>
        <v>0</v>
      </c>
      <c r="D49" s="597">
        <f>STUDENT!E47</f>
        <v>0</v>
      </c>
      <c r="E49" s="597">
        <f>STUDENT!H47</f>
        <v>0</v>
      </c>
      <c r="F49" s="590" t="str">
        <f>VLOOKUP(A49,STUDENT!$A$2:$BR$105,68,0)</f>
        <v/>
      </c>
      <c r="G49" s="590" t="b">
        <f>VLOOKUP(A49,STUDENT!$A$2:$BR$105,67,0)</f>
        <v>0</v>
      </c>
      <c r="H49" s="590" t="str">
        <f>PASHEET!BB49</f>
        <v/>
      </c>
      <c r="I49" s="590" t="str">
        <f>PASHEET!BC49</f>
        <v/>
      </c>
      <c r="J49" s="590" t="str">
        <f>PASHEET!BD49</f>
        <v/>
      </c>
      <c r="K49" s="590" t="str">
        <f>PASHEET!BE49</f>
        <v/>
      </c>
      <c r="L49" s="590" t="str">
        <f>PASHEET!BF49</f>
        <v/>
      </c>
      <c r="M49" s="590" t="str">
        <f>PASHEET!BG49</f>
        <v/>
      </c>
      <c r="N49" s="590" t="str">
        <f>PASHEET!BH49</f>
        <v/>
      </c>
      <c r="O49" s="590" t="str">
        <f>PASHEET!BI49</f>
        <v/>
      </c>
      <c r="Q49" s="591"/>
      <c r="R49" s="591"/>
      <c r="S49" s="591"/>
      <c r="T49" s="591"/>
      <c r="U49" s="591"/>
      <c r="V49" s="591"/>
      <c r="W49" s="594"/>
      <c r="X49" s="594"/>
      <c r="Y49" s="594"/>
      <c r="Z49" s="594"/>
      <c r="AA49" s="594"/>
      <c r="AB49" s="591"/>
      <c r="AC49" s="591"/>
      <c r="AD49" s="591"/>
      <c r="AE49" s="595"/>
    </row>
    <row r="50" spans="1:31">
      <c r="A50" s="596">
        <v>47</v>
      </c>
      <c r="B50" s="596">
        <f>STUDENT!F48</f>
        <v>0</v>
      </c>
      <c r="C50" s="596">
        <f>STUDENT!D48</f>
        <v>0</v>
      </c>
      <c r="D50" s="597">
        <f>STUDENT!E48</f>
        <v>0</v>
      </c>
      <c r="E50" s="597">
        <f>STUDENT!H48</f>
        <v>0</v>
      </c>
      <c r="F50" s="590" t="str">
        <f>VLOOKUP(A50,STUDENT!$A$2:$BR$105,68,0)</f>
        <v/>
      </c>
      <c r="G50" s="590" t="b">
        <f>VLOOKUP(A50,STUDENT!$A$2:$BR$105,67,0)</f>
        <v>0</v>
      </c>
      <c r="H50" s="590" t="str">
        <f>PASHEET!BB50</f>
        <v/>
      </c>
      <c r="I50" s="590" t="str">
        <f>PASHEET!BC50</f>
        <v/>
      </c>
      <c r="J50" s="590" t="str">
        <f>PASHEET!BD50</f>
        <v/>
      </c>
      <c r="K50" s="590" t="str">
        <f>PASHEET!BE50</f>
        <v/>
      </c>
      <c r="L50" s="590" t="str">
        <f>PASHEET!BF50</f>
        <v/>
      </c>
      <c r="M50" s="590" t="str">
        <f>PASHEET!BG50</f>
        <v/>
      </c>
      <c r="N50" s="590" t="str">
        <f>PASHEET!BH50</f>
        <v/>
      </c>
      <c r="O50" s="590" t="str">
        <f>PASHEET!BI50</f>
        <v/>
      </c>
      <c r="Q50" s="591"/>
      <c r="R50" s="591"/>
      <c r="S50" s="591"/>
      <c r="T50" s="591"/>
      <c r="U50" s="591"/>
      <c r="V50" s="591"/>
      <c r="W50" s="594"/>
      <c r="X50" s="594"/>
      <c r="Y50" s="594"/>
      <c r="Z50" s="594"/>
      <c r="AA50" s="594"/>
      <c r="AB50" s="591"/>
      <c r="AC50" s="591"/>
      <c r="AD50" s="591"/>
      <c r="AE50" s="595"/>
    </row>
    <row r="51" spans="1:31">
      <c r="A51" s="590">
        <v>48</v>
      </c>
      <c r="B51" s="596">
        <f>STUDENT!F49</f>
        <v>0</v>
      </c>
      <c r="C51" s="596">
        <f>STUDENT!D49</f>
        <v>0</v>
      </c>
      <c r="D51" s="597">
        <f>STUDENT!E49</f>
        <v>0</v>
      </c>
      <c r="E51" s="597">
        <f>STUDENT!H49</f>
        <v>0</v>
      </c>
      <c r="F51" s="590" t="str">
        <f>VLOOKUP(A51,STUDENT!$A$2:$BR$105,68,0)</f>
        <v/>
      </c>
      <c r="G51" s="590" t="b">
        <f>VLOOKUP(A51,STUDENT!$A$2:$BR$105,67,0)</f>
        <v>0</v>
      </c>
      <c r="H51" s="590" t="str">
        <f>PASHEET!BB51</f>
        <v/>
      </c>
      <c r="I51" s="590" t="str">
        <f>PASHEET!BC51</f>
        <v/>
      </c>
      <c r="J51" s="590" t="str">
        <f>PASHEET!BD51</f>
        <v/>
      </c>
      <c r="K51" s="590" t="str">
        <f>PASHEET!BE51</f>
        <v/>
      </c>
      <c r="L51" s="590" t="str">
        <f>PASHEET!BF51</f>
        <v/>
      </c>
      <c r="M51" s="590" t="str">
        <f>PASHEET!BG51</f>
        <v/>
      </c>
      <c r="N51" s="590" t="str">
        <f>PASHEET!BH51</f>
        <v/>
      </c>
      <c r="O51" s="590" t="str">
        <f>PASHEET!BI51</f>
        <v/>
      </c>
      <c r="Q51" s="591" t="s">
        <v>475</v>
      </c>
      <c r="R51" s="591" t="s">
        <v>476</v>
      </c>
      <c r="S51" s="592" t="s">
        <v>477</v>
      </c>
      <c r="T51" s="593" t="s">
        <v>351</v>
      </c>
      <c r="U51" s="592" t="s">
        <v>479</v>
      </c>
      <c r="V51" s="592" t="s">
        <v>480</v>
      </c>
      <c r="W51" s="594"/>
      <c r="X51" s="591" t="s">
        <v>475</v>
      </c>
      <c r="Y51" s="591" t="s">
        <v>476</v>
      </c>
      <c r="Z51" s="591" t="s">
        <v>474</v>
      </c>
      <c r="AA51" s="592" t="s">
        <v>477</v>
      </c>
      <c r="AB51" s="593" t="s">
        <v>493</v>
      </c>
      <c r="AC51" s="592" t="s">
        <v>479</v>
      </c>
      <c r="AD51" s="592" t="s">
        <v>480</v>
      </c>
      <c r="AE51" s="595"/>
    </row>
    <row r="52" spans="1:31">
      <c r="A52" s="596">
        <v>49</v>
      </c>
      <c r="B52" s="596">
        <f>STUDENT!F50</f>
        <v>0</v>
      </c>
      <c r="C52" s="596">
        <f>STUDENT!D50</f>
        <v>0</v>
      </c>
      <c r="D52" s="597">
        <f>STUDENT!E50</f>
        <v>0</v>
      </c>
      <c r="E52" s="597">
        <f>STUDENT!H50</f>
        <v>0</v>
      </c>
      <c r="F52" s="590" t="str">
        <f>VLOOKUP(A52,STUDENT!$A$2:$BR$105,68,0)</f>
        <v/>
      </c>
      <c r="G52" s="590" t="b">
        <f>VLOOKUP(A52,STUDENT!$A$2:$BR$105,67,0)</f>
        <v>0</v>
      </c>
      <c r="H52" s="590" t="str">
        <f>PASHEET!BB52</f>
        <v/>
      </c>
      <c r="I52" s="590" t="str">
        <f>PASHEET!BC52</f>
        <v/>
      </c>
      <c r="J52" s="590" t="str">
        <f>PASHEET!BD52</f>
        <v/>
      </c>
      <c r="K52" s="590" t="str">
        <f>PASHEET!BE52</f>
        <v/>
      </c>
      <c r="L52" s="590" t="str">
        <f>PASHEET!BF52</f>
        <v/>
      </c>
      <c r="M52" s="590" t="str">
        <f>PASHEET!BG52</f>
        <v/>
      </c>
      <c r="N52" s="590" t="str">
        <f>PASHEET!BH52</f>
        <v/>
      </c>
      <c r="O52" s="590" t="str">
        <f>PASHEET!BI52</f>
        <v/>
      </c>
      <c r="Q52" s="591" t="s">
        <v>482</v>
      </c>
      <c r="R52" s="591" t="s">
        <v>483</v>
      </c>
      <c r="S52" s="591" t="s">
        <v>50</v>
      </c>
      <c r="T52" s="591">
        <f>COUNTIFS(K4:K103,S52)</f>
        <v>0</v>
      </c>
      <c r="U52" s="591">
        <f>COUNTIFS(F4:F103,Q41,K4:K103,S52)</f>
        <v>0</v>
      </c>
      <c r="V52" s="591">
        <f>COUNTIFS(F4:F103,R41,K4:K103,S52)</f>
        <v>0</v>
      </c>
      <c r="W52" s="594"/>
      <c r="X52" s="591" t="s">
        <v>482</v>
      </c>
      <c r="Y52" s="591" t="s">
        <v>483</v>
      </c>
      <c r="Z52" s="591" t="s">
        <v>493</v>
      </c>
      <c r="AA52" s="591" t="s">
        <v>50</v>
      </c>
      <c r="AB52" s="591">
        <f>COUNTIFS(G4:G103,Z52,O4:O103,S52)</f>
        <v>0</v>
      </c>
      <c r="AC52" s="591">
        <f>COUNTIFS(F4:F103,X52,G4:G103,Z52,O4:O103,S52)</f>
        <v>0</v>
      </c>
      <c r="AD52" s="591">
        <f>COUNTIFS(F4:F103,Y52,G4:G103,Z52,O4:O103,S52)</f>
        <v>0</v>
      </c>
      <c r="AE52" s="595"/>
    </row>
    <row r="53" spans="1:31">
      <c r="A53" s="590">
        <v>50</v>
      </c>
      <c r="B53" s="596">
        <f>STUDENT!F51</f>
        <v>0</v>
      </c>
      <c r="C53" s="596">
        <f>STUDENT!D51</f>
        <v>0</v>
      </c>
      <c r="D53" s="597">
        <f>STUDENT!E51</f>
        <v>0</v>
      </c>
      <c r="E53" s="597">
        <f>STUDENT!H51</f>
        <v>0</v>
      </c>
      <c r="F53" s="590" t="str">
        <f>VLOOKUP(A53,STUDENT!$A$2:$BR$105,68,0)</f>
        <v/>
      </c>
      <c r="G53" s="590" t="b">
        <f>VLOOKUP(A53,STUDENT!$A$2:$BR$105,67,0)</f>
        <v>0</v>
      </c>
      <c r="H53" s="590" t="str">
        <f>PASHEET!BB53</f>
        <v/>
      </c>
      <c r="I53" s="590" t="str">
        <f>PASHEET!BC53</f>
        <v/>
      </c>
      <c r="J53" s="590" t="str">
        <f>PASHEET!BD53</f>
        <v/>
      </c>
      <c r="K53" s="590" t="str">
        <f>PASHEET!BE53</f>
        <v/>
      </c>
      <c r="L53" s="590" t="str">
        <f>PASHEET!BF53</f>
        <v/>
      </c>
      <c r="M53" s="590" t="str">
        <f>PASHEET!BG53</f>
        <v/>
      </c>
      <c r="N53" s="590" t="str">
        <f>PASHEET!BH53</f>
        <v/>
      </c>
      <c r="O53" s="590" t="str">
        <f>PASHEET!BI53</f>
        <v/>
      </c>
      <c r="Q53" s="591" t="s">
        <v>482</v>
      </c>
      <c r="R53" s="591" t="s">
        <v>483</v>
      </c>
      <c r="S53" s="591" t="s">
        <v>485</v>
      </c>
      <c r="T53" s="591">
        <f>COUNTIFS(K4:K103,S53)</f>
        <v>15</v>
      </c>
      <c r="U53" s="591">
        <f>COUNTIFS(F4:F103,Q42,K4:K103,S53)</f>
        <v>0</v>
      </c>
      <c r="V53" s="591">
        <f>COUNTIFS(F4:F103,R42,K4:K103,S53)</f>
        <v>0</v>
      </c>
      <c r="W53" s="594"/>
      <c r="X53" s="591" t="s">
        <v>482</v>
      </c>
      <c r="Y53" s="591" t="s">
        <v>483</v>
      </c>
      <c r="Z53" s="591" t="s">
        <v>493</v>
      </c>
      <c r="AA53" s="591" t="s">
        <v>485</v>
      </c>
      <c r="AB53" s="591">
        <f>COUNTIFS(G4:G103,Z53,O4:O103,S53)</f>
        <v>0</v>
      </c>
      <c r="AC53" s="591">
        <f>COUNTIFS(F4:F103,X53,G4:G103,Z53,O4:O103,S53)</f>
        <v>0</v>
      </c>
      <c r="AD53" s="591">
        <f>COUNTIFS(F4:F103,Y53,G4:G103,Z53,O4:O103,S53)</f>
        <v>0</v>
      </c>
      <c r="AE53" s="595"/>
    </row>
    <row r="54" spans="1:31">
      <c r="A54" s="596">
        <v>51</v>
      </c>
      <c r="B54" s="596">
        <f>STUDENT!F52</f>
        <v>0</v>
      </c>
      <c r="C54" s="596">
        <f>STUDENT!D52</f>
        <v>0</v>
      </c>
      <c r="D54" s="597">
        <f>STUDENT!E52</f>
        <v>0</v>
      </c>
      <c r="E54" s="597">
        <f>STUDENT!H52</f>
        <v>0</v>
      </c>
      <c r="F54" s="590" t="str">
        <f>VLOOKUP(A54,STUDENT!$A$2:$BR$105,68,0)</f>
        <v/>
      </c>
      <c r="G54" s="590" t="b">
        <f>VLOOKUP(A54,STUDENT!$A$2:$BR$105,67,0)</f>
        <v>0</v>
      </c>
      <c r="H54" s="590" t="str">
        <f>PASHEET!BB54</f>
        <v/>
      </c>
      <c r="I54" s="590" t="str">
        <f>PASHEET!BC54</f>
        <v/>
      </c>
      <c r="J54" s="590" t="str">
        <f>PASHEET!BD54</f>
        <v/>
      </c>
      <c r="K54" s="590" t="str">
        <f>PASHEET!BE54</f>
        <v/>
      </c>
      <c r="L54" s="590" t="str">
        <f>PASHEET!BF54</f>
        <v/>
      </c>
      <c r="M54" s="590" t="str">
        <f>PASHEET!BG54</f>
        <v/>
      </c>
      <c r="N54" s="590" t="str">
        <f>PASHEET!BH54</f>
        <v/>
      </c>
      <c r="O54" s="590" t="str">
        <f>PASHEET!BI54</f>
        <v/>
      </c>
      <c r="Q54" s="591" t="s">
        <v>482</v>
      </c>
      <c r="R54" s="591" t="s">
        <v>483</v>
      </c>
      <c r="S54" s="591" t="s">
        <v>486</v>
      </c>
      <c r="T54" s="591">
        <f>COUNTIFS(K4:K103,S54)</f>
        <v>18</v>
      </c>
      <c r="U54" s="591">
        <f>COUNTIFS(F4:F103,Q43,K4:K103,S54)</f>
        <v>0</v>
      </c>
      <c r="V54" s="591">
        <f>COUNTIFS(F4:F103,R43,K4:K103,S54)</f>
        <v>0</v>
      </c>
      <c r="W54" s="594"/>
      <c r="X54" s="591" t="s">
        <v>482</v>
      </c>
      <c r="Y54" s="591" t="s">
        <v>483</v>
      </c>
      <c r="Z54" s="591" t="s">
        <v>493</v>
      </c>
      <c r="AA54" s="591" t="s">
        <v>486</v>
      </c>
      <c r="AB54" s="591">
        <f>COUNTIFS(G4:G103,Z54,O4:O103,S54)</f>
        <v>0</v>
      </c>
      <c r="AC54" s="591">
        <f>COUNTIFS(F4:F103,X54,G4:G103,Z54,O4:O103,S54)</f>
        <v>0</v>
      </c>
      <c r="AD54" s="591">
        <f>COUNTIFS(F4:F103,Y54,G4:G103,Z54,O4:O103,S54)</f>
        <v>0</v>
      </c>
      <c r="AE54" s="595"/>
    </row>
    <row r="55" spans="1:31">
      <c r="A55" s="590">
        <v>52</v>
      </c>
      <c r="B55" s="596">
        <f>STUDENT!F53</f>
        <v>0</v>
      </c>
      <c r="C55" s="596">
        <f>STUDENT!D53</f>
        <v>0</v>
      </c>
      <c r="D55" s="597">
        <f>STUDENT!E53</f>
        <v>0</v>
      </c>
      <c r="E55" s="597">
        <f>STUDENT!H53</f>
        <v>0</v>
      </c>
      <c r="F55" s="590" t="str">
        <f>VLOOKUP(A55,STUDENT!$A$2:$BR$105,68,0)</f>
        <v/>
      </c>
      <c r="G55" s="590" t="b">
        <f>VLOOKUP(A55,STUDENT!$A$2:$BR$105,67,0)</f>
        <v>0</v>
      </c>
      <c r="H55" s="590" t="str">
        <f>PASHEET!BB55</f>
        <v/>
      </c>
      <c r="I55" s="590" t="str">
        <f>PASHEET!BC55</f>
        <v/>
      </c>
      <c r="J55" s="590" t="str">
        <f>PASHEET!BD55</f>
        <v/>
      </c>
      <c r="K55" s="590" t="str">
        <f>PASHEET!BE55</f>
        <v/>
      </c>
      <c r="L55" s="590" t="str">
        <f>PASHEET!BF55</f>
        <v/>
      </c>
      <c r="M55" s="590" t="str">
        <f>PASHEET!BG55</f>
        <v/>
      </c>
      <c r="N55" s="590" t="str">
        <f>PASHEET!BH55</f>
        <v/>
      </c>
      <c r="O55" s="590" t="str">
        <f>PASHEET!BI55</f>
        <v/>
      </c>
      <c r="Q55" s="591" t="s">
        <v>482</v>
      </c>
      <c r="R55" s="591" t="s">
        <v>483</v>
      </c>
      <c r="S55" s="591" t="s">
        <v>487</v>
      </c>
      <c r="T55" s="591">
        <f>COUNTIFS(K4:K103,S55)</f>
        <v>1</v>
      </c>
      <c r="U55" s="591">
        <f>COUNTIFS(F4:F103,Q44,K4:K103,S55)</f>
        <v>0</v>
      </c>
      <c r="V55" s="591">
        <f>COUNTIFS(F4:F103,R44,K4:K103,S55)</f>
        <v>0</v>
      </c>
      <c r="W55" s="594"/>
      <c r="X55" s="591" t="s">
        <v>482</v>
      </c>
      <c r="Y55" s="591" t="s">
        <v>483</v>
      </c>
      <c r="Z55" s="591" t="s">
        <v>493</v>
      </c>
      <c r="AA55" s="591" t="s">
        <v>487</v>
      </c>
      <c r="AB55" s="591">
        <f>COUNTIFS(G4:G103,Z55,O4:O103,S55)</f>
        <v>0</v>
      </c>
      <c r="AC55" s="591">
        <f>COUNTIFS(F4:F103,X55,G4:G103,Z55,O4:O103,S55)</f>
        <v>0</v>
      </c>
      <c r="AD55" s="591">
        <f>COUNTIFS(F4:F103,Y55,G4:G103,Z55,O4:O103,S55)</f>
        <v>0</v>
      </c>
      <c r="AE55" s="595"/>
    </row>
    <row r="56" spans="1:31">
      <c r="A56" s="596">
        <v>53</v>
      </c>
      <c r="B56" s="596">
        <f>STUDENT!F54</f>
        <v>0</v>
      </c>
      <c r="C56" s="596">
        <f>STUDENT!D54</f>
        <v>0</v>
      </c>
      <c r="D56" s="597">
        <f>STUDENT!E54</f>
        <v>0</v>
      </c>
      <c r="E56" s="597">
        <f>STUDENT!H54</f>
        <v>0</v>
      </c>
      <c r="F56" s="590" t="str">
        <f>VLOOKUP(A56,STUDENT!$A$2:$BR$105,68,0)</f>
        <v/>
      </c>
      <c r="G56" s="590" t="b">
        <f>VLOOKUP(A56,STUDENT!$A$2:$BR$105,67,0)</f>
        <v>0</v>
      </c>
      <c r="H56" s="590" t="str">
        <f>PASHEET!BB56</f>
        <v/>
      </c>
      <c r="I56" s="590" t="str">
        <f>PASHEET!BC56</f>
        <v/>
      </c>
      <c r="J56" s="590" t="str">
        <f>PASHEET!BD56</f>
        <v/>
      </c>
      <c r="K56" s="590" t="str">
        <f>PASHEET!BE56</f>
        <v/>
      </c>
      <c r="L56" s="590" t="str">
        <f>PASHEET!BF56</f>
        <v/>
      </c>
      <c r="M56" s="590" t="str">
        <f>PASHEET!BG56</f>
        <v/>
      </c>
      <c r="N56" s="590" t="str">
        <f>PASHEET!BH56</f>
        <v/>
      </c>
      <c r="O56" s="590" t="str">
        <f>PASHEET!BI56</f>
        <v/>
      </c>
      <c r="Q56" s="591" t="s">
        <v>482</v>
      </c>
      <c r="R56" s="591" t="s">
        <v>483</v>
      </c>
      <c r="S56" s="591" t="s">
        <v>488</v>
      </c>
      <c r="T56" s="591">
        <f>COUNTIFS(K4:K103,S56)</f>
        <v>0</v>
      </c>
      <c r="U56" s="591">
        <f>COUNTIFS(F4:F103,Q45,K4:K103,S56)</f>
        <v>0</v>
      </c>
      <c r="V56" s="591">
        <f>COUNTIFS(F4:F103,R45,K4:K103,S56)</f>
        <v>0</v>
      </c>
      <c r="W56" s="594"/>
      <c r="X56" s="591" t="s">
        <v>482</v>
      </c>
      <c r="Y56" s="591" t="s">
        <v>483</v>
      </c>
      <c r="Z56" s="591" t="s">
        <v>493</v>
      </c>
      <c r="AA56" s="591" t="s">
        <v>488</v>
      </c>
      <c r="AB56" s="591">
        <f>COUNTIFS(G4:G103,Z56,O4:O103,S56)</f>
        <v>0</v>
      </c>
      <c r="AC56" s="591">
        <f>COUNTIFS(F4:F103,X56,G4:G103,Z56,O4:O103,S56)</f>
        <v>0</v>
      </c>
      <c r="AD56" s="591">
        <f>COUNTIFS(F4:F103,Y56,G4:G103,Z56,O4:O103,S56)</f>
        <v>0</v>
      </c>
      <c r="AE56" s="595"/>
    </row>
    <row r="57" spans="1:31">
      <c r="A57" s="590">
        <v>54</v>
      </c>
      <c r="B57" s="596">
        <f>STUDENT!F55</f>
        <v>0</v>
      </c>
      <c r="C57" s="596">
        <f>STUDENT!D55</f>
        <v>0</v>
      </c>
      <c r="D57" s="597">
        <f>STUDENT!E55</f>
        <v>0</v>
      </c>
      <c r="E57" s="597">
        <f>STUDENT!H55</f>
        <v>0</v>
      </c>
      <c r="F57" s="590" t="str">
        <f>VLOOKUP(A57,STUDENT!$A$2:$BR$105,68,0)</f>
        <v/>
      </c>
      <c r="G57" s="590" t="b">
        <f>VLOOKUP(A57,STUDENT!$A$2:$BR$105,67,0)</f>
        <v>0</v>
      </c>
      <c r="H57" s="590" t="str">
        <f>PASHEET!BB57</f>
        <v/>
      </c>
      <c r="I57" s="590" t="str">
        <f>PASHEET!BC57</f>
        <v/>
      </c>
      <c r="J57" s="590" t="str">
        <f>PASHEET!BD57</f>
        <v/>
      </c>
      <c r="K57" s="590" t="str">
        <f>PASHEET!BE57</f>
        <v/>
      </c>
      <c r="L57" s="590" t="str">
        <f>PASHEET!BF57</f>
        <v/>
      </c>
      <c r="M57" s="590" t="str">
        <f>PASHEET!BG57</f>
        <v/>
      </c>
      <c r="N57" s="590" t="str">
        <f>PASHEET!BH57</f>
        <v/>
      </c>
      <c r="O57" s="590" t="str">
        <f>PASHEET!BI57</f>
        <v/>
      </c>
      <c r="Q57" s="591" t="s">
        <v>482</v>
      </c>
      <c r="R57" s="591" t="s">
        <v>483</v>
      </c>
      <c r="S57" s="591" t="s">
        <v>101</v>
      </c>
      <c r="T57" s="591">
        <f>COUNTIFS(K4:K103,S57)</f>
        <v>5</v>
      </c>
      <c r="U57" s="591">
        <f>COUNTIFS(F4:F103,Q46,K4:K103,S57)</f>
        <v>0</v>
      </c>
      <c r="V57" s="591">
        <f>COUNTIFS(F4:F103,R46,K4:K103,S57)</f>
        <v>0</v>
      </c>
      <c r="W57" s="594"/>
      <c r="X57" s="591" t="s">
        <v>482</v>
      </c>
      <c r="Y57" s="591" t="s">
        <v>483</v>
      </c>
      <c r="Z57" s="591" t="s">
        <v>493</v>
      </c>
      <c r="AA57" s="591" t="s">
        <v>101</v>
      </c>
      <c r="AB57" s="591">
        <f>COUNTIFS(G4:G103,Z57,O4:O103,S57)</f>
        <v>0</v>
      </c>
      <c r="AC57" s="591">
        <f>COUNTIFS(F4:F103,X57,G4:G103,Z57,O4:O103,S57)</f>
        <v>0</v>
      </c>
      <c r="AD57" s="591">
        <f>COUNTIFS(F4:F103,Y57,G4:G103,Z57,O4:O103,S57)</f>
        <v>0</v>
      </c>
      <c r="AE57" s="595"/>
    </row>
    <row r="58" spans="1:31">
      <c r="A58" s="596">
        <v>55</v>
      </c>
      <c r="B58" s="596">
        <f>STUDENT!F56</f>
        <v>0</v>
      </c>
      <c r="C58" s="596">
        <f>STUDENT!D56</f>
        <v>0</v>
      </c>
      <c r="D58" s="597">
        <f>STUDENT!E56</f>
        <v>0</v>
      </c>
      <c r="E58" s="597">
        <f>STUDENT!H56</f>
        <v>0</v>
      </c>
      <c r="F58" s="590" t="str">
        <f>VLOOKUP(A58,STUDENT!$A$2:$BR$105,68,0)</f>
        <v/>
      </c>
      <c r="G58" s="590" t="b">
        <f>VLOOKUP(A58,STUDENT!$A$2:$BR$105,67,0)</f>
        <v>0</v>
      </c>
      <c r="H58" s="590" t="str">
        <f>PASHEET!BB58</f>
        <v/>
      </c>
      <c r="I58" s="590" t="str">
        <f>PASHEET!BC58</f>
        <v/>
      </c>
      <c r="J58" s="590" t="str">
        <f>PASHEET!BD58</f>
        <v/>
      </c>
      <c r="K58" s="590" t="str">
        <f>PASHEET!BE58</f>
        <v/>
      </c>
      <c r="L58" s="590" t="str">
        <f>PASHEET!BF58</f>
        <v/>
      </c>
      <c r="M58" s="590" t="str">
        <f>PASHEET!BG58</f>
        <v/>
      </c>
      <c r="N58" s="590" t="str">
        <f>PASHEET!BH58</f>
        <v/>
      </c>
      <c r="O58" s="590" t="str">
        <f>PASHEET!BI58</f>
        <v/>
      </c>
      <c r="Q58" s="591" t="s">
        <v>482</v>
      </c>
      <c r="R58" s="591" t="s">
        <v>483</v>
      </c>
      <c r="S58" s="591" t="s">
        <v>489</v>
      </c>
      <c r="T58" s="591">
        <f>COUNTIFS(K4:K103,S58)</f>
        <v>0</v>
      </c>
      <c r="U58" s="591">
        <f>COUNTIFS(F4:F103,Q47,K4:K103,S58)</f>
        <v>0</v>
      </c>
      <c r="V58" s="591">
        <f>COUNTIFS(F4:F103,R47,K4:K103,S58)</f>
        <v>0</v>
      </c>
      <c r="W58" s="594"/>
      <c r="X58" s="591" t="s">
        <v>482</v>
      </c>
      <c r="Y58" s="591" t="s">
        <v>483</v>
      </c>
      <c r="Z58" s="591" t="s">
        <v>493</v>
      </c>
      <c r="AA58" s="591" t="s">
        <v>489</v>
      </c>
      <c r="AB58" s="591">
        <f>COUNTIFS(G4:G103,Z58,O4:O103,S58)</f>
        <v>0</v>
      </c>
      <c r="AC58" s="591">
        <f>COUNTIFS(F4:F103,X58,G4:G103,Z58,O4:O103,S58)</f>
        <v>0</v>
      </c>
      <c r="AD58" s="591">
        <f>COUNTIFS(F4:F103,Y58,G4:G103,Z58,O4:O103,S58)</f>
        <v>0</v>
      </c>
      <c r="AE58" s="595"/>
    </row>
    <row r="59" spans="1:31">
      <c r="A59" s="590">
        <v>56</v>
      </c>
      <c r="B59" s="596">
        <f>STUDENT!F57</f>
        <v>0</v>
      </c>
      <c r="C59" s="596">
        <f>STUDENT!D57</f>
        <v>0</v>
      </c>
      <c r="D59" s="597">
        <f>STUDENT!E57</f>
        <v>0</v>
      </c>
      <c r="E59" s="597">
        <f>STUDENT!H57</f>
        <v>0</v>
      </c>
      <c r="F59" s="590" t="str">
        <f>VLOOKUP(A59,STUDENT!$A$2:$BR$105,68,0)</f>
        <v/>
      </c>
      <c r="G59" s="590" t="b">
        <f>VLOOKUP(A59,STUDENT!$A$2:$BR$105,67,0)</f>
        <v>0</v>
      </c>
      <c r="H59" s="590" t="str">
        <f>PASHEET!BB59</f>
        <v/>
      </c>
      <c r="I59" s="590" t="str">
        <f>PASHEET!BC59</f>
        <v/>
      </c>
      <c r="J59" s="590" t="str">
        <f>PASHEET!BD59</f>
        <v/>
      </c>
      <c r="K59" s="590" t="str">
        <f>PASHEET!BE59</f>
        <v/>
      </c>
      <c r="L59" s="590" t="str">
        <f>PASHEET!BF59</f>
        <v/>
      </c>
      <c r="M59" s="590" t="str">
        <f>PASHEET!BG59</f>
        <v/>
      </c>
      <c r="N59" s="590" t="str">
        <f>PASHEET!BH59</f>
        <v/>
      </c>
      <c r="O59" s="590" t="str">
        <f>PASHEET!BI59</f>
        <v/>
      </c>
      <c r="Q59" s="591" t="s">
        <v>482</v>
      </c>
      <c r="R59" s="591" t="s">
        <v>483</v>
      </c>
      <c r="S59" s="591"/>
      <c r="T59" s="591"/>
      <c r="U59" s="591"/>
      <c r="V59" s="591"/>
      <c r="W59" s="594"/>
      <c r="X59" s="591" t="s">
        <v>482</v>
      </c>
      <c r="Y59" s="591" t="s">
        <v>483</v>
      </c>
      <c r="Z59" s="591" t="s">
        <v>493</v>
      </c>
      <c r="AA59" s="591"/>
      <c r="AB59" s="591"/>
      <c r="AC59" s="591"/>
      <c r="AD59" s="591"/>
      <c r="AE59" s="595"/>
    </row>
    <row r="60" spans="1:31">
      <c r="A60" s="596">
        <v>57</v>
      </c>
      <c r="B60" s="596">
        <f>STUDENT!F58</f>
        <v>0</v>
      </c>
      <c r="C60" s="596">
        <f>STUDENT!D58</f>
        <v>0</v>
      </c>
      <c r="D60" s="597">
        <f>STUDENT!E58</f>
        <v>0</v>
      </c>
      <c r="E60" s="597">
        <f>STUDENT!H58</f>
        <v>0</v>
      </c>
      <c r="F60" s="590" t="str">
        <f>VLOOKUP(A60,STUDENT!$A$2:$BR$105,68,0)</f>
        <v/>
      </c>
      <c r="G60" s="590" t="b">
        <f>VLOOKUP(A60,STUDENT!$A$2:$BR$105,67,0)</f>
        <v>0</v>
      </c>
      <c r="H60" s="590" t="str">
        <f>PASHEET!BB60</f>
        <v/>
      </c>
      <c r="I60" s="590" t="str">
        <f>PASHEET!BC60</f>
        <v/>
      </c>
      <c r="J60" s="590" t="str">
        <f>PASHEET!BD60</f>
        <v/>
      </c>
      <c r="K60" s="590" t="str">
        <f>PASHEET!BE60</f>
        <v/>
      </c>
      <c r="L60" s="590" t="str">
        <f>PASHEET!BF60</f>
        <v/>
      </c>
      <c r="M60" s="590" t="str">
        <f>PASHEET!BG60</f>
        <v/>
      </c>
      <c r="N60" s="590" t="str">
        <f>PASHEET!BH60</f>
        <v/>
      </c>
      <c r="O60" s="590" t="str">
        <f>PASHEET!BI60</f>
        <v/>
      </c>
      <c r="Q60" s="591"/>
      <c r="R60" s="591"/>
      <c r="S60" s="591" t="s">
        <v>102</v>
      </c>
      <c r="T60" s="591">
        <f>SUM(T52:T59)</f>
        <v>39</v>
      </c>
      <c r="U60" s="591">
        <f t="shared" ref="U60:V60" si="9">SUM(U52:U59)</f>
        <v>0</v>
      </c>
      <c r="V60" s="591">
        <f t="shared" si="9"/>
        <v>0</v>
      </c>
      <c r="W60" s="594"/>
      <c r="X60" s="591"/>
      <c r="Y60" s="591"/>
      <c r="Z60" s="591"/>
      <c r="AA60" s="591" t="s">
        <v>102</v>
      </c>
      <c r="AB60" s="591">
        <f>SUM(AB52:AB59)</f>
        <v>0</v>
      </c>
      <c r="AC60" s="591">
        <f t="shared" ref="AC60:AD60" si="10">SUM(AC52:AC59)</f>
        <v>0</v>
      </c>
      <c r="AD60" s="591">
        <f t="shared" si="10"/>
        <v>0</v>
      </c>
      <c r="AE60" s="595"/>
    </row>
    <row r="61" spans="1:31">
      <c r="A61" s="590">
        <v>58</v>
      </c>
      <c r="B61" s="596">
        <f>STUDENT!F59</f>
        <v>0</v>
      </c>
      <c r="C61" s="596">
        <f>STUDENT!D59</f>
        <v>0</v>
      </c>
      <c r="D61" s="597">
        <f>STUDENT!E59</f>
        <v>0</v>
      </c>
      <c r="E61" s="597">
        <f>STUDENT!H59</f>
        <v>0</v>
      </c>
      <c r="F61" s="590" t="str">
        <f>VLOOKUP(A61,STUDENT!$A$2:$BR$105,68,0)</f>
        <v/>
      </c>
      <c r="G61" s="590" t="b">
        <f>VLOOKUP(A61,STUDENT!$A$2:$BR$105,67,0)</f>
        <v>0</v>
      </c>
      <c r="H61" s="590" t="str">
        <f>PASHEET!BB61</f>
        <v/>
      </c>
      <c r="I61" s="590" t="str">
        <f>PASHEET!BC61</f>
        <v/>
      </c>
      <c r="J61" s="590" t="str">
        <f>PASHEET!BD61</f>
        <v/>
      </c>
      <c r="K61" s="590" t="str">
        <f>PASHEET!BE61</f>
        <v/>
      </c>
      <c r="L61" s="590" t="str">
        <f>PASHEET!BF61</f>
        <v/>
      </c>
      <c r="M61" s="590" t="str">
        <f>PASHEET!BG61</f>
        <v/>
      </c>
      <c r="N61" s="590" t="str">
        <f>PASHEET!BH61</f>
        <v/>
      </c>
      <c r="O61" s="590" t="str">
        <f>PASHEET!BI61</f>
        <v/>
      </c>
      <c r="Q61" s="591"/>
      <c r="R61" s="591"/>
      <c r="S61" s="591"/>
      <c r="T61" s="591"/>
      <c r="U61" s="591"/>
      <c r="V61" s="591"/>
      <c r="W61" s="594"/>
      <c r="X61" s="594"/>
      <c r="Y61" s="594"/>
      <c r="Z61" s="594"/>
      <c r="AA61" s="594"/>
      <c r="AB61" s="591"/>
      <c r="AC61" s="591"/>
      <c r="AD61" s="591"/>
      <c r="AE61" s="595"/>
    </row>
    <row r="62" spans="1:31">
      <c r="A62" s="596">
        <v>59</v>
      </c>
      <c r="B62" s="596">
        <f>STUDENT!F60</f>
        <v>0</v>
      </c>
      <c r="C62" s="596">
        <f>STUDENT!D60</f>
        <v>0</v>
      </c>
      <c r="D62" s="597">
        <f>STUDENT!E60</f>
        <v>0</v>
      </c>
      <c r="E62" s="597">
        <f>STUDENT!H60</f>
        <v>0</v>
      </c>
      <c r="F62" s="590" t="str">
        <f>VLOOKUP(A62,STUDENT!$A$2:$BR$105,68,0)</f>
        <v/>
      </c>
      <c r="G62" s="590" t="b">
        <f>VLOOKUP(A62,STUDENT!$A$2:$BR$105,67,0)</f>
        <v>0</v>
      </c>
      <c r="H62" s="590" t="str">
        <f>PASHEET!BB62</f>
        <v/>
      </c>
      <c r="I62" s="590" t="str">
        <f>PASHEET!BC62</f>
        <v/>
      </c>
      <c r="J62" s="590" t="str">
        <f>PASHEET!BD62</f>
        <v/>
      </c>
      <c r="K62" s="590" t="str">
        <f>PASHEET!BE62</f>
        <v/>
      </c>
      <c r="L62" s="590" t="str">
        <f>PASHEET!BF62</f>
        <v/>
      </c>
      <c r="M62" s="590" t="str">
        <f>PASHEET!BG62</f>
        <v/>
      </c>
      <c r="N62" s="590" t="str">
        <f>PASHEET!BH62</f>
        <v/>
      </c>
      <c r="O62" s="590" t="str">
        <f>PASHEET!BI62</f>
        <v/>
      </c>
      <c r="Q62" s="591"/>
      <c r="R62" s="591"/>
      <c r="S62" s="591"/>
      <c r="T62" s="591"/>
      <c r="U62" s="591"/>
      <c r="V62" s="591"/>
      <c r="W62" s="594"/>
      <c r="X62" s="594"/>
      <c r="Y62" s="594"/>
      <c r="Z62" s="594"/>
      <c r="AA62" s="594"/>
      <c r="AB62" s="591"/>
      <c r="AC62" s="591"/>
      <c r="AD62" s="591"/>
      <c r="AE62" s="595"/>
    </row>
    <row r="63" spans="1:31">
      <c r="A63" s="590">
        <v>60</v>
      </c>
      <c r="B63" s="596">
        <f>STUDENT!F61</f>
        <v>0</v>
      </c>
      <c r="C63" s="596">
        <f>STUDENT!D61</f>
        <v>0</v>
      </c>
      <c r="D63" s="597">
        <f>STUDENT!E61</f>
        <v>0</v>
      </c>
      <c r="E63" s="597">
        <f>STUDENT!H61</f>
        <v>0</v>
      </c>
      <c r="F63" s="590" t="str">
        <f>VLOOKUP(A63,STUDENT!$A$2:$BR$105,68,0)</f>
        <v/>
      </c>
      <c r="G63" s="590" t="b">
        <f>VLOOKUP(A63,STUDENT!$A$2:$BR$105,67,0)</f>
        <v>0</v>
      </c>
      <c r="H63" s="590" t="str">
        <f>PASHEET!BB63</f>
        <v/>
      </c>
      <c r="I63" s="590" t="str">
        <f>PASHEET!BC63</f>
        <v/>
      </c>
      <c r="J63" s="590" t="str">
        <f>PASHEET!BD63</f>
        <v/>
      </c>
      <c r="K63" s="590" t="str">
        <f>PASHEET!BE63</f>
        <v/>
      </c>
      <c r="L63" s="590" t="str">
        <f>PASHEET!BF63</f>
        <v/>
      </c>
      <c r="M63" s="590" t="str">
        <f>PASHEET!BG63</f>
        <v/>
      </c>
      <c r="N63" s="590" t="str">
        <f>PASHEET!BH63</f>
        <v/>
      </c>
      <c r="O63" s="590" t="str">
        <f>PASHEET!BI63</f>
        <v/>
      </c>
      <c r="Q63" s="591"/>
      <c r="R63" s="591"/>
      <c r="S63" s="591"/>
      <c r="T63" s="591"/>
      <c r="U63" s="591"/>
      <c r="V63" s="591"/>
      <c r="W63" s="594"/>
      <c r="X63" s="594"/>
      <c r="Y63" s="594"/>
      <c r="Z63" s="594"/>
      <c r="AA63" s="594"/>
      <c r="AB63" s="591"/>
      <c r="AC63" s="591"/>
      <c r="AD63" s="591"/>
      <c r="AE63" s="595"/>
    </row>
    <row r="64" spans="1:31">
      <c r="A64" s="596">
        <v>61</v>
      </c>
      <c r="B64" s="596">
        <f>STUDENT!F62</f>
        <v>0</v>
      </c>
      <c r="C64" s="596">
        <f>STUDENT!D62</f>
        <v>0</v>
      </c>
      <c r="D64" s="597">
        <f>STUDENT!E62</f>
        <v>0</v>
      </c>
      <c r="E64" s="597">
        <f>STUDENT!H62</f>
        <v>0</v>
      </c>
      <c r="F64" s="590" t="str">
        <f>VLOOKUP(A64,STUDENT!$A$2:$BR$105,68,0)</f>
        <v/>
      </c>
      <c r="G64" s="590" t="b">
        <f>VLOOKUP(A64,STUDENT!$A$2:$BR$105,67,0)</f>
        <v>0</v>
      </c>
      <c r="H64" s="590" t="str">
        <f>PASHEET!BB64</f>
        <v/>
      </c>
      <c r="I64" s="590" t="str">
        <f>PASHEET!BC64</f>
        <v/>
      </c>
      <c r="J64" s="590" t="str">
        <f>PASHEET!BD64</f>
        <v/>
      </c>
      <c r="K64" s="590" t="str">
        <f>PASHEET!BE64</f>
        <v/>
      </c>
      <c r="L64" s="590" t="str">
        <f>PASHEET!BF64</f>
        <v/>
      </c>
      <c r="M64" s="590" t="str">
        <f>PASHEET!BG64</f>
        <v/>
      </c>
      <c r="N64" s="590" t="str">
        <f>PASHEET!BH64</f>
        <v/>
      </c>
      <c r="O64" s="590" t="str">
        <f>PASHEET!BI64</f>
        <v/>
      </c>
      <c r="Q64" s="591" t="s">
        <v>475</v>
      </c>
      <c r="R64" s="591" t="s">
        <v>476</v>
      </c>
      <c r="S64" s="592" t="s">
        <v>477</v>
      </c>
      <c r="T64" s="593" t="s">
        <v>352</v>
      </c>
      <c r="U64" s="592" t="s">
        <v>479</v>
      </c>
      <c r="V64" s="592" t="s">
        <v>480</v>
      </c>
      <c r="W64" s="594"/>
      <c r="X64" s="591" t="s">
        <v>475</v>
      </c>
      <c r="Y64" s="591" t="s">
        <v>476</v>
      </c>
      <c r="Z64" s="591" t="s">
        <v>474</v>
      </c>
      <c r="AA64" s="592" t="s">
        <v>477</v>
      </c>
      <c r="AB64" s="593" t="s">
        <v>494</v>
      </c>
      <c r="AC64" s="592" t="s">
        <v>479</v>
      </c>
      <c r="AD64" s="592" t="s">
        <v>480</v>
      </c>
      <c r="AE64" s="595"/>
    </row>
    <row r="65" spans="1:31">
      <c r="A65" s="590">
        <v>62</v>
      </c>
      <c r="B65" s="596">
        <f>STUDENT!F63</f>
        <v>0</v>
      </c>
      <c r="C65" s="596">
        <f>STUDENT!D63</f>
        <v>0</v>
      </c>
      <c r="D65" s="597">
        <f>STUDENT!E63</f>
        <v>0</v>
      </c>
      <c r="E65" s="597">
        <f>STUDENT!H63</f>
        <v>0</v>
      </c>
      <c r="F65" s="590" t="str">
        <f>VLOOKUP(A65,STUDENT!$A$2:$BR$105,68,0)</f>
        <v/>
      </c>
      <c r="G65" s="590" t="b">
        <f>VLOOKUP(A65,STUDENT!$A$2:$BR$105,67,0)</f>
        <v>0</v>
      </c>
      <c r="H65" s="590" t="str">
        <f>PASHEET!BB65</f>
        <v/>
      </c>
      <c r="I65" s="590" t="str">
        <f>PASHEET!BC65</f>
        <v/>
      </c>
      <c r="J65" s="590" t="str">
        <f>PASHEET!BD65</f>
        <v/>
      </c>
      <c r="K65" s="590" t="str">
        <f>PASHEET!BE65</f>
        <v/>
      </c>
      <c r="L65" s="590" t="str">
        <f>PASHEET!BF65</f>
        <v/>
      </c>
      <c r="M65" s="590" t="str">
        <f>PASHEET!BG65</f>
        <v/>
      </c>
      <c r="N65" s="590" t="str">
        <f>PASHEET!BH65</f>
        <v/>
      </c>
      <c r="O65" s="590" t="str">
        <f>PASHEET!BI65</f>
        <v/>
      </c>
      <c r="Q65" s="591" t="s">
        <v>482</v>
      </c>
      <c r="R65" s="591" t="s">
        <v>483</v>
      </c>
      <c r="S65" s="591" t="s">
        <v>50</v>
      </c>
      <c r="T65" s="591">
        <f>COUNTIFS(L4:L103,S65)</f>
        <v>0</v>
      </c>
      <c r="U65" s="591">
        <f>COUNTIFS(F4:F103,Q54,L4:L103,S65)</f>
        <v>0</v>
      </c>
      <c r="V65" s="591">
        <f>COUNTIFS(F4:F103,R54,L4:L103,S65)</f>
        <v>0</v>
      </c>
      <c r="W65" s="594"/>
      <c r="X65" s="591" t="s">
        <v>482</v>
      </c>
      <c r="Y65" s="591" t="s">
        <v>483</v>
      </c>
      <c r="Z65" s="591" t="s">
        <v>494</v>
      </c>
      <c r="AA65" s="591" t="s">
        <v>50</v>
      </c>
      <c r="AB65" s="591">
        <f>COUNTIFS(G4:G103,Z65,O4:O103,S65)</f>
        <v>0</v>
      </c>
      <c r="AC65" s="591">
        <f>COUNTIFS(F4:F103,X65,G4:G103,Z65,O4:O103,S65)</f>
        <v>0</v>
      </c>
      <c r="AD65" s="591">
        <f>COUNTIFS(F4:F103,Y65,G4:G103,Z65,O4:O103,S65)</f>
        <v>0</v>
      </c>
      <c r="AE65" s="595"/>
    </row>
    <row r="66" spans="1:31">
      <c r="A66" s="596">
        <v>63</v>
      </c>
      <c r="B66" s="596">
        <f>STUDENT!F64</f>
        <v>0</v>
      </c>
      <c r="C66" s="596">
        <f>STUDENT!D64</f>
        <v>0</v>
      </c>
      <c r="D66" s="597">
        <f>STUDENT!E64</f>
        <v>0</v>
      </c>
      <c r="E66" s="597">
        <f>STUDENT!H64</f>
        <v>0</v>
      </c>
      <c r="F66" s="590" t="str">
        <f>VLOOKUP(A66,STUDENT!$A$2:$BR$105,68,0)</f>
        <v/>
      </c>
      <c r="G66" s="590" t="b">
        <f>VLOOKUP(A66,STUDENT!$A$2:$BR$105,67,0)</f>
        <v>0</v>
      </c>
      <c r="H66" s="590" t="str">
        <f>PASHEET!BB66</f>
        <v/>
      </c>
      <c r="I66" s="590" t="str">
        <f>PASHEET!BC66</f>
        <v/>
      </c>
      <c r="J66" s="590" t="str">
        <f>PASHEET!BD66</f>
        <v/>
      </c>
      <c r="K66" s="590" t="str">
        <f>PASHEET!BE66</f>
        <v/>
      </c>
      <c r="L66" s="590" t="str">
        <f>PASHEET!BF66</f>
        <v/>
      </c>
      <c r="M66" s="590" t="str">
        <f>PASHEET!BG66</f>
        <v/>
      </c>
      <c r="N66" s="590" t="str">
        <f>PASHEET!BH66</f>
        <v/>
      </c>
      <c r="O66" s="590" t="str">
        <f>PASHEET!BI66</f>
        <v/>
      </c>
      <c r="Q66" s="591" t="s">
        <v>482</v>
      </c>
      <c r="R66" s="591" t="s">
        <v>483</v>
      </c>
      <c r="S66" s="591" t="s">
        <v>485</v>
      </c>
      <c r="T66" s="591">
        <f>COUNTIFS(L4:L103,S66)</f>
        <v>0</v>
      </c>
      <c r="U66" s="591">
        <f>COUNTIFS(F4:F103,Q55,L4:L103,S66)</f>
        <v>0</v>
      </c>
      <c r="V66" s="591">
        <f>COUNTIFS(F4:F103,R55,L4:L103,S66)</f>
        <v>0</v>
      </c>
      <c r="W66" s="594"/>
      <c r="X66" s="591" t="s">
        <v>482</v>
      </c>
      <c r="Y66" s="591" t="s">
        <v>483</v>
      </c>
      <c r="Z66" s="591" t="s">
        <v>494</v>
      </c>
      <c r="AA66" s="591" t="s">
        <v>485</v>
      </c>
      <c r="AB66" s="591">
        <f>COUNTIFS(G4:G103,Z66,O4:O103,S66)</f>
        <v>0</v>
      </c>
      <c r="AC66" s="591">
        <f>COUNTIFS(F4:F103,X66,G4:G103,Z66,O4:O103,S66)</f>
        <v>0</v>
      </c>
      <c r="AD66" s="591">
        <f>COUNTIFS(F4:F103,Y66,G4:G103,Z66,O4:O103,S66)</f>
        <v>0</v>
      </c>
      <c r="AE66" s="595"/>
    </row>
    <row r="67" spans="1:31">
      <c r="A67" s="590">
        <v>64</v>
      </c>
      <c r="B67" s="596">
        <f>STUDENT!F65</f>
        <v>0</v>
      </c>
      <c r="C67" s="596">
        <f>STUDENT!D65</f>
        <v>0</v>
      </c>
      <c r="D67" s="597">
        <f>STUDENT!E65</f>
        <v>0</v>
      </c>
      <c r="E67" s="597">
        <f>STUDENT!H65</f>
        <v>0</v>
      </c>
      <c r="F67" s="590" t="str">
        <f>VLOOKUP(A67,STUDENT!$A$2:$BR$105,68,0)</f>
        <v/>
      </c>
      <c r="G67" s="590" t="b">
        <f>VLOOKUP(A67,STUDENT!$A$2:$BR$105,67,0)</f>
        <v>0</v>
      </c>
      <c r="H67" s="590" t="str">
        <f>PASHEET!BB67</f>
        <v/>
      </c>
      <c r="I67" s="590" t="str">
        <f>PASHEET!BC67</f>
        <v/>
      </c>
      <c r="J67" s="590" t="str">
        <f>PASHEET!BD67</f>
        <v/>
      </c>
      <c r="K67" s="590" t="str">
        <f>PASHEET!BE67</f>
        <v/>
      </c>
      <c r="L67" s="590" t="str">
        <f>PASHEET!BF67</f>
        <v/>
      </c>
      <c r="M67" s="590" t="str">
        <f>PASHEET!BG67</f>
        <v/>
      </c>
      <c r="N67" s="590" t="str">
        <f>PASHEET!BH67</f>
        <v/>
      </c>
      <c r="O67" s="590" t="str">
        <f>PASHEET!BI67</f>
        <v/>
      </c>
      <c r="Q67" s="591" t="s">
        <v>482</v>
      </c>
      <c r="R67" s="591" t="s">
        <v>483</v>
      </c>
      <c r="S67" s="591" t="s">
        <v>486</v>
      </c>
      <c r="T67" s="591">
        <f>COUNTIFS(L4:L103,S67)</f>
        <v>0</v>
      </c>
      <c r="U67" s="591">
        <f>COUNTIFS(F4:F103,Q56,L4:L103,S67)</f>
        <v>0</v>
      </c>
      <c r="V67" s="591">
        <f>COUNTIFS(F4:F103,R56,L4:L103,S67)</f>
        <v>0</v>
      </c>
      <c r="W67" s="594"/>
      <c r="X67" s="591" t="s">
        <v>482</v>
      </c>
      <c r="Y67" s="591" t="s">
        <v>483</v>
      </c>
      <c r="Z67" s="591" t="s">
        <v>494</v>
      </c>
      <c r="AA67" s="591" t="s">
        <v>486</v>
      </c>
      <c r="AB67" s="591">
        <f>COUNTIFS(G4:G103,Z67,O4:O103,S67)</f>
        <v>0</v>
      </c>
      <c r="AC67" s="591">
        <f>COUNTIFS(F4:F103,X67,G4:G103,Z67,O4:O103,S67)</f>
        <v>0</v>
      </c>
      <c r="AD67" s="591">
        <f>COUNTIFS(F4:F103,Y67,G4:G103,Z67,O4:O103,S67)</f>
        <v>0</v>
      </c>
      <c r="AE67" s="595"/>
    </row>
    <row r="68" spans="1:31">
      <c r="A68" s="596">
        <v>65</v>
      </c>
      <c r="B68" s="596">
        <f>STUDENT!F66</f>
        <v>0</v>
      </c>
      <c r="C68" s="596">
        <f>STUDENT!D66</f>
        <v>0</v>
      </c>
      <c r="D68" s="597">
        <f>STUDENT!E66</f>
        <v>0</v>
      </c>
      <c r="E68" s="597">
        <f>STUDENT!H66</f>
        <v>0</v>
      </c>
      <c r="F68" s="590" t="str">
        <f>VLOOKUP(A68,STUDENT!$A$2:$BR$105,68,0)</f>
        <v/>
      </c>
      <c r="G68" s="590" t="b">
        <f>VLOOKUP(A68,STUDENT!$A$2:$BR$105,67,0)</f>
        <v>0</v>
      </c>
      <c r="H68" s="590" t="str">
        <f>PASHEET!BB68</f>
        <v/>
      </c>
      <c r="I68" s="590" t="str">
        <f>PASHEET!BC68</f>
        <v/>
      </c>
      <c r="J68" s="590" t="str">
        <f>PASHEET!BD68</f>
        <v/>
      </c>
      <c r="K68" s="590" t="str">
        <f>PASHEET!BE68</f>
        <v/>
      </c>
      <c r="L68" s="590" t="str">
        <f>PASHEET!BF68</f>
        <v/>
      </c>
      <c r="M68" s="590" t="str">
        <f>PASHEET!BG68</f>
        <v/>
      </c>
      <c r="N68" s="590" t="str">
        <f>PASHEET!BH68</f>
        <v/>
      </c>
      <c r="O68" s="590" t="str">
        <f>PASHEET!BI68</f>
        <v/>
      </c>
      <c r="Q68" s="591" t="s">
        <v>482</v>
      </c>
      <c r="R68" s="591" t="s">
        <v>483</v>
      </c>
      <c r="S68" s="591" t="s">
        <v>487</v>
      </c>
      <c r="T68" s="591">
        <f>COUNTIFS(L4:L103,S68)</f>
        <v>0</v>
      </c>
      <c r="U68" s="591">
        <f>COUNTIFS(F4:F103,Q57,L4:L103,S68)</f>
        <v>0</v>
      </c>
      <c r="V68" s="591">
        <f>COUNTIFS(F4:F103,R57,L4:L103,S68)</f>
        <v>0</v>
      </c>
      <c r="W68" s="594"/>
      <c r="X68" s="591" t="s">
        <v>482</v>
      </c>
      <c r="Y68" s="591" t="s">
        <v>483</v>
      </c>
      <c r="Z68" s="591" t="s">
        <v>494</v>
      </c>
      <c r="AA68" s="591" t="s">
        <v>487</v>
      </c>
      <c r="AB68" s="591">
        <f>COUNTIFS(G4:G103,Z68,O4:O103,S68)</f>
        <v>0</v>
      </c>
      <c r="AC68" s="591">
        <f>COUNTIFS(F4:F103,X68,G4:G103,Z68,O4:O103,S68)</f>
        <v>0</v>
      </c>
      <c r="AD68" s="591">
        <f>COUNTIFS(F4:F103,Y68,G4:G103,Z68,O4:O103,S68)</f>
        <v>0</v>
      </c>
      <c r="AE68" s="595"/>
    </row>
    <row r="69" spans="1:31">
      <c r="A69" s="590">
        <v>66</v>
      </c>
      <c r="B69" s="596">
        <f>STUDENT!F67</f>
        <v>0</v>
      </c>
      <c r="C69" s="596">
        <f>STUDENT!D67</f>
        <v>0</v>
      </c>
      <c r="D69" s="597">
        <f>STUDENT!E67</f>
        <v>0</v>
      </c>
      <c r="E69" s="597">
        <f>STUDENT!H67</f>
        <v>0</v>
      </c>
      <c r="F69" s="590" t="str">
        <f>VLOOKUP(A69,STUDENT!$A$2:$BR$105,68,0)</f>
        <v/>
      </c>
      <c r="G69" s="590" t="b">
        <f>VLOOKUP(A69,STUDENT!$A$2:$BR$105,67,0)</f>
        <v>0</v>
      </c>
      <c r="H69" s="590" t="str">
        <f>PASHEET!BB69</f>
        <v/>
      </c>
      <c r="I69" s="590" t="str">
        <f>PASHEET!BC69</f>
        <v/>
      </c>
      <c r="J69" s="590" t="str">
        <f>PASHEET!BD69</f>
        <v/>
      </c>
      <c r="K69" s="590" t="str">
        <f>PASHEET!BE69</f>
        <v/>
      </c>
      <c r="L69" s="590" t="str">
        <f>PASHEET!BF69</f>
        <v/>
      </c>
      <c r="M69" s="590" t="str">
        <f>PASHEET!BG69</f>
        <v/>
      </c>
      <c r="N69" s="590" t="str">
        <f>PASHEET!BH69</f>
        <v/>
      </c>
      <c r="O69" s="590" t="str">
        <f>PASHEET!BI69</f>
        <v/>
      </c>
      <c r="Q69" s="591" t="s">
        <v>482</v>
      </c>
      <c r="R69" s="591" t="s">
        <v>483</v>
      </c>
      <c r="S69" s="591" t="s">
        <v>488</v>
      </c>
      <c r="T69" s="591">
        <f>COUNTIFS(L4:L103,S69)</f>
        <v>0</v>
      </c>
      <c r="U69" s="591">
        <f>COUNTIFS(F4:F103,Q58,L4:L103,S69)</f>
        <v>0</v>
      </c>
      <c r="V69" s="591">
        <f>COUNTIFS(F4:F103,R58,L4:L103,S69)</f>
        <v>0</v>
      </c>
      <c r="W69" s="594"/>
      <c r="X69" s="591" t="s">
        <v>482</v>
      </c>
      <c r="Y69" s="591" t="s">
        <v>483</v>
      </c>
      <c r="Z69" s="591" t="s">
        <v>494</v>
      </c>
      <c r="AA69" s="591" t="s">
        <v>488</v>
      </c>
      <c r="AB69" s="591">
        <f>COUNTIFS(G4:G103,Z69,O4:O103,S69)</f>
        <v>0</v>
      </c>
      <c r="AC69" s="591">
        <f>COUNTIFS(F4:F103,X69,G4:G103,Z69,O4:O103,S69)</f>
        <v>0</v>
      </c>
      <c r="AD69" s="591">
        <f>COUNTIFS(F4:F103,Y69,G4:G103,Z69,O4:O103,S69)</f>
        <v>0</v>
      </c>
      <c r="AE69" s="595"/>
    </row>
    <row r="70" spans="1:31">
      <c r="A70" s="596">
        <v>67</v>
      </c>
      <c r="B70" s="596">
        <f>STUDENT!F68</f>
        <v>0</v>
      </c>
      <c r="C70" s="596">
        <f>STUDENT!D68</f>
        <v>0</v>
      </c>
      <c r="D70" s="597">
        <f>STUDENT!E68</f>
        <v>0</v>
      </c>
      <c r="E70" s="597">
        <f>STUDENT!H68</f>
        <v>0</v>
      </c>
      <c r="F70" s="590" t="str">
        <f>VLOOKUP(A70,STUDENT!$A$2:$BR$105,68,0)</f>
        <v/>
      </c>
      <c r="G70" s="590" t="b">
        <f>VLOOKUP(A70,STUDENT!$A$2:$BR$105,67,0)</f>
        <v>0</v>
      </c>
      <c r="H70" s="590" t="str">
        <f>PASHEET!BB70</f>
        <v/>
      </c>
      <c r="I70" s="590" t="str">
        <f>PASHEET!BC70</f>
        <v/>
      </c>
      <c r="J70" s="590" t="str">
        <f>PASHEET!BD70</f>
        <v/>
      </c>
      <c r="K70" s="590" t="str">
        <f>PASHEET!BE70</f>
        <v/>
      </c>
      <c r="L70" s="590" t="str">
        <f>PASHEET!BF70</f>
        <v/>
      </c>
      <c r="M70" s="590" t="str">
        <f>PASHEET!BG70</f>
        <v/>
      </c>
      <c r="N70" s="590" t="str">
        <f>PASHEET!BH70</f>
        <v/>
      </c>
      <c r="O70" s="590" t="str">
        <f>PASHEET!BI70</f>
        <v/>
      </c>
      <c r="Q70" s="591" t="s">
        <v>482</v>
      </c>
      <c r="R70" s="591" t="s">
        <v>483</v>
      </c>
      <c r="S70" s="591" t="s">
        <v>101</v>
      </c>
      <c r="T70" s="591">
        <f>COUNTIFS(L4:L103,S70)</f>
        <v>0</v>
      </c>
      <c r="U70" s="591">
        <f>COUNTIFS(F4:F103,Q59,L4:L103,S70)</f>
        <v>0</v>
      </c>
      <c r="V70" s="591">
        <f>COUNTIFS(F4:F103,R59,L4:L103,S70)</f>
        <v>0</v>
      </c>
      <c r="W70" s="594"/>
      <c r="X70" s="591" t="s">
        <v>482</v>
      </c>
      <c r="Y70" s="591" t="s">
        <v>483</v>
      </c>
      <c r="Z70" s="591" t="s">
        <v>494</v>
      </c>
      <c r="AA70" s="591" t="s">
        <v>101</v>
      </c>
      <c r="AB70" s="591">
        <f>COUNTIFS(G4:G103,Z70,O4:O103,S70)</f>
        <v>0</v>
      </c>
      <c r="AC70" s="591">
        <f>COUNTIFS(F4:F103,X70,G4:G103,Z70,O4:O103,S70)</f>
        <v>0</v>
      </c>
      <c r="AD70" s="591">
        <f>COUNTIFS(F4:F103,Y70,G4:G103,Z70,O4:O103,S70)</f>
        <v>0</v>
      </c>
      <c r="AE70" s="595"/>
    </row>
    <row r="71" spans="1:31">
      <c r="A71" s="590">
        <v>68</v>
      </c>
      <c r="B71" s="596">
        <f>STUDENT!F69</f>
        <v>0</v>
      </c>
      <c r="C71" s="596">
        <f>STUDENT!D69</f>
        <v>0</v>
      </c>
      <c r="D71" s="597">
        <f>STUDENT!E69</f>
        <v>0</v>
      </c>
      <c r="E71" s="597">
        <f>STUDENT!H69</f>
        <v>0</v>
      </c>
      <c r="F71" s="590" t="str">
        <f>VLOOKUP(A71,STUDENT!$A$2:$BR$105,68,0)</f>
        <v/>
      </c>
      <c r="G71" s="590" t="b">
        <f>VLOOKUP(A71,STUDENT!$A$2:$BR$105,67,0)</f>
        <v>0</v>
      </c>
      <c r="H71" s="590" t="str">
        <f>PASHEET!BB71</f>
        <v/>
      </c>
      <c r="I71" s="590" t="str">
        <f>PASHEET!BC71</f>
        <v/>
      </c>
      <c r="J71" s="590" t="str">
        <f>PASHEET!BD71</f>
        <v/>
      </c>
      <c r="K71" s="590" t="str">
        <f>PASHEET!BE71</f>
        <v/>
      </c>
      <c r="L71" s="590" t="str">
        <f>PASHEET!BF71</f>
        <v/>
      </c>
      <c r="M71" s="590" t="str">
        <f>PASHEET!BG71</f>
        <v/>
      </c>
      <c r="N71" s="590" t="str">
        <f>PASHEET!BH71</f>
        <v/>
      </c>
      <c r="O71" s="590" t="str">
        <f>PASHEET!BI71</f>
        <v/>
      </c>
      <c r="Q71" s="591" t="s">
        <v>482</v>
      </c>
      <c r="R71" s="591" t="s">
        <v>483</v>
      </c>
      <c r="S71" s="591" t="s">
        <v>489</v>
      </c>
      <c r="T71" s="591">
        <f>COUNTIFS(L4:L103,S71)</f>
        <v>0</v>
      </c>
      <c r="U71" s="591">
        <f>COUNTIFS(F4:F103,Q60,L4:L103,S71)</f>
        <v>0</v>
      </c>
      <c r="V71" s="591">
        <f>COUNTIFS(F4:F103,R60,L4:L103,S71)</f>
        <v>0</v>
      </c>
      <c r="W71" s="594"/>
      <c r="X71" s="591" t="s">
        <v>482</v>
      </c>
      <c r="Y71" s="591" t="s">
        <v>483</v>
      </c>
      <c r="Z71" s="591" t="s">
        <v>494</v>
      </c>
      <c r="AA71" s="591" t="s">
        <v>489</v>
      </c>
      <c r="AB71" s="591">
        <f>COUNTIFS(G4:G103,Z71,O4:O103,S71)</f>
        <v>0</v>
      </c>
      <c r="AC71" s="591">
        <f>COUNTIFS(F4:F103,X71,G4:G103,Z71,O4:O103,S71)</f>
        <v>0</v>
      </c>
      <c r="AD71" s="591">
        <f>COUNTIFS(F4:F103,Y71,G4:G103,Z71,O4:O103,S71)</f>
        <v>0</v>
      </c>
      <c r="AE71" s="595"/>
    </row>
    <row r="72" spans="1:31">
      <c r="A72" s="596">
        <v>69</v>
      </c>
      <c r="B72" s="596">
        <f>STUDENT!F70</f>
        <v>0</v>
      </c>
      <c r="C72" s="596">
        <f>STUDENT!D70</f>
        <v>0</v>
      </c>
      <c r="D72" s="597">
        <f>STUDENT!E70</f>
        <v>0</v>
      </c>
      <c r="E72" s="597">
        <f>STUDENT!H70</f>
        <v>0</v>
      </c>
      <c r="F72" s="590" t="str">
        <f>VLOOKUP(A72,STUDENT!$A$2:$BR$105,68,0)</f>
        <v/>
      </c>
      <c r="G72" s="590" t="b">
        <f>VLOOKUP(A72,STUDENT!$A$2:$BR$105,67,0)</f>
        <v>0</v>
      </c>
      <c r="H72" s="590" t="str">
        <f>PASHEET!BB72</f>
        <v/>
      </c>
      <c r="I72" s="590" t="str">
        <f>PASHEET!BC72</f>
        <v/>
      </c>
      <c r="J72" s="590" t="str">
        <f>PASHEET!BD72</f>
        <v/>
      </c>
      <c r="K72" s="590" t="str">
        <f>PASHEET!BE72</f>
        <v/>
      </c>
      <c r="L72" s="590" t="str">
        <f>PASHEET!BF72</f>
        <v/>
      </c>
      <c r="M72" s="590" t="str">
        <f>PASHEET!BG72</f>
        <v/>
      </c>
      <c r="N72" s="590" t="str">
        <f>PASHEET!BH72</f>
        <v/>
      </c>
      <c r="O72" s="590" t="str">
        <f>PASHEET!BI72</f>
        <v/>
      </c>
      <c r="Q72" s="591" t="s">
        <v>482</v>
      </c>
      <c r="R72" s="591" t="s">
        <v>483</v>
      </c>
      <c r="S72" s="591"/>
      <c r="T72" s="591"/>
      <c r="U72" s="591"/>
      <c r="V72" s="591"/>
      <c r="W72" s="594"/>
      <c r="X72" s="591" t="s">
        <v>482</v>
      </c>
      <c r="Y72" s="591" t="s">
        <v>483</v>
      </c>
      <c r="Z72" s="591" t="s">
        <v>494</v>
      </c>
      <c r="AA72" s="591"/>
      <c r="AB72" s="591"/>
      <c r="AC72" s="591"/>
      <c r="AD72" s="591"/>
      <c r="AE72" s="595"/>
    </row>
    <row r="73" spans="1:31">
      <c r="A73" s="590">
        <v>70</v>
      </c>
      <c r="B73" s="596">
        <f>STUDENT!F71</f>
        <v>0</v>
      </c>
      <c r="C73" s="596">
        <f>STUDENT!D71</f>
        <v>0</v>
      </c>
      <c r="D73" s="597">
        <f>STUDENT!E71</f>
        <v>0</v>
      </c>
      <c r="E73" s="597">
        <f>STUDENT!H71</f>
        <v>0</v>
      </c>
      <c r="F73" s="590" t="str">
        <f>VLOOKUP(A73,STUDENT!$A$2:$BR$105,68,0)</f>
        <v/>
      </c>
      <c r="G73" s="590" t="b">
        <f>VLOOKUP(A73,STUDENT!$A$2:$BR$105,67,0)</f>
        <v>0</v>
      </c>
      <c r="H73" s="590" t="str">
        <f>PASHEET!BB73</f>
        <v/>
      </c>
      <c r="I73" s="590" t="str">
        <f>PASHEET!BC73</f>
        <v/>
      </c>
      <c r="J73" s="590" t="str">
        <f>PASHEET!BD73</f>
        <v/>
      </c>
      <c r="K73" s="590" t="str">
        <f>PASHEET!BE73</f>
        <v/>
      </c>
      <c r="L73" s="590" t="str">
        <f>PASHEET!BF73</f>
        <v/>
      </c>
      <c r="M73" s="590" t="str">
        <f>PASHEET!BG73</f>
        <v/>
      </c>
      <c r="N73" s="590" t="str">
        <f>PASHEET!BH73</f>
        <v/>
      </c>
      <c r="O73" s="590" t="str">
        <f>PASHEET!BI73</f>
        <v/>
      </c>
      <c r="Q73" s="591"/>
      <c r="R73" s="591"/>
      <c r="S73" s="591" t="s">
        <v>102</v>
      </c>
      <c r="T73" s="591">
        <f>SUM(T65:T72)</f>
        <v>0</v>
      </c>
      <c r="U73" s="591">
        <f t="shared" ref="U73:V73" si="11">SUM(U65:U72)</f>
        <v>0</v>
      </c>
      <c r="V73" s="591">
        <f t="shared" si="11"/>
        <v>0</v>
      </c>
      <c r="W73" s="594"/>
      <c r="X73" s="591"/>
      <c r="Y73" s="591"/>
      <c r="Z73" s="591"/>
      <c r="AA73" s="591" t="s">
        <v>102</v>
      </c>
      <c r="AB73" s="591">
        <f>SUM(AB65:AB72)</f>
        <v>0</v>
      </c>
      <c r="AC73" s="591">
        <f t="shared" ref="AC73:AD73" si="12">SUM(AC65:AC72)</f>
        <v>0</v>
      </c>
      <c r="AD73" s="591">
        <f t="shared" si="12"/>
        <v>0</v>
      </c>
      <c r="AE73" s="595"/>
    </row>
    <row r="74" spans="1:31">
      <c r="A74" s="596">
        <v>71</v>
      </c>
      <c r="B74" s="596">
        <f>STUDENT!F72</f>
        <v>0</v>
      </c>
      <c r="C74" s="596">
        <f>STUDENT!D72</f>
        <v>0</v>
      </c>
      <c r="D74" s="597">
        <f>STUDENT!E72</f>
        <v>0</v>
      </c>
      <c r="E74" s="597">
        <f>STUDENT!H72</f>
        <v>0</v>
      </c>
      <c r="F74" s="590" t="str">
        <f>VLOOKUP(A74,STUDENT!$A$2:$BR$105,68,0)</f>
        <v/>
      </c>
      <c r="G74" s="590" t="b">
        <f>VLOOKUP(A74,STUDENT!$A$2:$BR$105,67,0)</f>
        <v>0</v>
      </c>
      <c r="H74" s="590" t="str">
        <f>PASHEET!BB74</f>
        <v/>
      </c>
      <c r="I74" s="590" t="str">
        <f>PASHEET!BC74</f>
        <v/>
      </c>
      <c r="J74" s="590" t="str">
        <f>PASHEET!BD74</f>
        <v/>
      </c>
      <c r="K74" s="590" t="str">
        <f>PASHEET!BE74</f>
        <v/>
      </c>
      <c r="L74" s="590" t="str">
        <f>PASHEET!BF74</f>
        <v/>
      </c>
      <c r="M74" s="590" t="str">
        <f>PASHEET!BG74</f>
        <v/>
      </c>
      <c r="N74" s="590" t="str">
        <f>PASHEET!BH74</f>
        <v/>
      </c>
      <c r="O74" s="590" t="str">
        <f>PASHEET!BI74</f>
        <v/>
      </c>
      <c r="Q74" s="591"/>
      <c r="R74" s="591"/>
      <c r="S74" s="591"/>
      <c r="T74" s="591"/>
      <c r="U74" s="591"/>
      <c r="V74" s="591"/>
      <c r="W74" s="594"/>
      <c r="X74" s="594"/>
      <c r="Y74" s="594"/>
      <c r="Z74" s="594"/>
      <c r="AA74" s="594"/>
      <c r="AB74" s="591"/>
      <c r="AC74" s="591"/>
      <c r="AD74" s="591"/>
      <c r="AE74" s="595"/>
    </row>
    <row r="75" spans="1:31">
      <c r="A75" s="590">
        <v>72</v>
      </c>
      <c r="B75" s="596">
        <f>STUDENT!F73</f>
        <v>0</v>
      </c>
      <c r="C75" s="596">
        <f>STUDENT!D73</f>
        <v>0</v>
      </c>
      <c r="D75" s="597">
        <f>STUDENT!E73</f>
        <v>0</v>
      </c>
      <c r="E75" s="597">
        <f>STUDENT!H73</f>
        <v>0</v>
      </c>
      <c r="F75" s="590" t="str">
        <f>VLOOKUP(A75,STUDENT!$A$2:$BR$105,68,0)</f>
        <v/>
      </c>
      <c r="G75" s="590" t="b">
        <f>VLOOKUP(A75,STUDENT!$A$2:$BR$105,67,0)</f>
        <v>0</v>
      </c>
      <c r="H75" s="590" t="str">
        <f>PASHEET!BB75</f>
        <v/>
      </c>
      <c r="I75" s="590" t="str">
        <f>PASHEET!BC75</f>
        <v/>
      </c>
      <c r="J75" s="590" t="str">
        <f>PASHEET!BD75</f>
        <v/>
      </c>
      <c r="K75" s="590" t="str">
        <f>PASHEET!BE75</f>
        <v/>
      </c>
      <c r="L75" s="590" t="str">
        <f>PASHEET!BF75</f>
        <v/>
      </c>
      <c r="M75" s="590" t="str">
        <f>PASHEET!BG75</f>
        <v/>
      </c>
      <c r="N75" s="590" t="str">
        <f>PASHEET!BH75</f>
        <v/>
      </c>
      <c r="O75" s="590" t="str">
        <f>PASHEET!BI75</f>
        <v/>
      </c>
      <c r="Q75" s="591"/>
      <c r="R75" s="591"/>
      <c r="S75" s="591"/>
      <c r="T75" s="591"/>
      <c r="U75" s="591"/>
      <c r="V75" s="591"/>
      <c r="W75" s="594"/>
      <c r="X75" s="594"/>
      <c r="Y75" s="594"/>
      <c r="Z75" s="594"/>
      <c r="AA75" s="594"/>
      <c r="AB75" s="591"/>
      <c r="AC75" s="591"/>
      <c r="AD75" s="591"/>
      <c r="AE75" s="595"/>
    </row>
    <row r="76" spans="1:31">
      <c r="A76" s="596">
        <v>73</v>
      </c>
      <c r="B76" s="596">
        <f>STUDENT!F74</f>
        <v>0</v>
      </c>
      <c r="C76" s="596">
        <f>STUDENT!D74</f>
        <v>0</v>
      </c>
      <c r="D76" s="597">
        <f>STUDENT!E74</f>
        <v>0</v>
      </c>
      <c r="E76" s="597">
        <f>STUDENT!H74</f>
        <v>0</v>
      </c>
      <c r="F76" s="590" t="str">
        <f>VLOOKUP(A76,STUDENT!$A$2:$BR$105,68,0)</f>
        <v/>
      </c>
      <c r="G76" s="590" t="b">
        <f>VLOOKUP(A76,STUDENT!$A$2:$BR$105,67,0)</f>
        <v>0</v>
      </c>
      <c r="H76" s="590" t="str">
        <f>PASHEET!BB76</f>
        <v/>
      </c>
      <c r="I76" s="590" t="str">
        <f>PASHEET!BC76</f>
        <v/>
      </c>
      <c r="J76" s="590" t="str">
        <f>PASHEET!BD76</f>
        <v/>
      </c>
      <c r="K76" s="590" t="str">
        <f>PASHEET!BE76</f>
        <v/>
      </c>
      <c r="L76" s="590" t="str">
        <f>PASHEET!BF76</f>
        <v/>
      </c>
      <c r="M76" s="590" t="str">
        <f>PASHEET!BG76</f>
        <v/>
      </c>
      <c r="N76" s="590" t="str">
        <f>PASHEET!BH76</f>
        <v/>
      </c>
      <c r="O76" s="590" t="str">
        <f>PASHEET!BI76</f>
        <v/>
      </c>
      <c r="Q76" s="591"/>
      <c r="R76" s="591"/>
      <c r="S76" s="591"/>
      <c r="T76" s="591"/>
      <c r="U76" s="591"/>
      <c r="V76" s="591"/>
      <c r="W76" s="594"/>
      <c r="X76" s="594"/>
      <c r="Y76" s="594"/>
      <c r="Z76" s="594"/>
      <c r="AA76" s="594"/>
      <c r="AB76" s="591"/>
      <c r="AC76" s="591"/>
      <c r="AD76" s="591"/>
      <c r="AE76" s="595"/>
    </row>
    <row r="77" spans="1:31">
      <c r="A77" s="590">
        <v>74</v>
      </c>
      <c r="B77" s="596">
        <f>STUDENT!F75</f>
        <v>0</v>
      </c>
      <c r="C77" s="596">
        <f>STUDENT!D75</f>
        <v>0</v>
      </c>
      <c r="D77" s="597">
        <f>STUDENT!E75</f>
        <v>0</v>
      </c>
      <c r="E77" s="597">
        <f>STUDENT!H75</f>
        <v>0</v>
      </c>
      <c r="F77" s="590" t="str">
        <f>VLOOKUP(A77,STUDENT!$A$2:$BR$105,68,0)</f>
        <v/>
      </c>
      <c r="G77" s="590" t="b">
        <f>VLOOKUP(A77,STUDENT!$A$2:$BR$105,67,0)</f>
        <v>0</v>
      </c>
      <c r="H77" s="590" t="str">
        <f>PASHEET!BB77</f>
        <v/>
      </c>
      <c r="I77" s="590" t="str">
        <f>PASHEET!BC77</f>
        <v/>
      </c>
      <c r="J77" s="590" t="str">
        <f>PASHEET!BD77</f>
        <v/>
      </c>
      <c r="K77" s="590" t="str">
        <f>PASHEET!BE77</f>
        <v/>
      </c>
      <c r="L77" s="590" t="str">
        <f>PASHEET!BF77</f>
        <v/>
      </c>
      <c r="M77" s="590" t="str">
        <f>PASHEET!BG77</f>
        <v/>
      </c>
      <c r="N77" s="590" t="str">
        <f>PASHEET!BH77</f>
        <v/>
      </c>
      <c r="O77" s="590" t="str">
        <f>PASHEET!BI77</f>
        <v/>
      </c>
      <c r="Q77" s="591" t="s">
        <v>475</v>
      </c>
      <c r="R77" s="591" t="s">
        <v>476</v>
      </c>
      <c r="S77" s="592" t="s">
        <v>477</v>
      </c>
      <c r="T77" s="593" t="s">
        <v>495</v>
      </c>
      <c r="U77" s="592" t="s">
        <v>479</v>
      </c>
      <c r="V77" s="592" t="s">
        <v>480</v>
      </c>
      <c r="W77" s="594"/>
      <c r="X77" s="594"/>
      <c r="Y77" s="594"/>
      <c r="Z77" s="594"/>
      <c r="AA77" s="594"/>
      <c r="AB77" s="591"/>
      <c r="AC77" s="591"/>
      <c r="AD77" s="591"/>
      <c r="AE77" s="595"/>
    </row>
    <row r="78" spans="1:31">
      <c r="A78" s="596">
        <v>75</v>
      </c>
      <c r="B78" s="596">
        <f>STUDENT!F76</f>
        <v>0</v>
      </c>
      <c r="C78" s="596">
        <f>STUDENT!D76</f>
        <v>0</v>
      </c>
      <c r="D78" s="597">
        <f>STUDENT!E76</f>
        <v>0</v>
      </c>
      <c r="E78" s="597">
        <f>STUDENT!H76</f>
        <v>0</v>
      </c>
      <c r="F78" s="590" t="str">
        <f>VLOOKUP(A78,STUDENT!$A$2:$BR$105,68,0)</f>
        <v/>
      </c>
      <c r="G78" s="590" t="b">
        <f>VLOOKUP(A78,STUDENT!$A$2:$BR$105,67,0)</f>
        <v>0</v>
      </c>
      <c r="H78" s="590" t="str">
        <f>PASHEET!BB78</f>
        <v/>
      </c>
      <c r="I78" s="590" t="str">
        <f>PASHEET!BC78</f>
        <v/>
      </c>
      <c r="J78" s="590" t="str">
        <f>PASHEET!BD78</f>
        <v/>
      </c>
      <c r="K78" s="590" t="str">
        <f>PASHEET!BE78</f>
        <v/>
      </c>
      <c r="L78" s="590" t="str">
        <f>PASHEET!BF78</f>
        <v/>
      </c>
      <c r="M78" s="590" t="str">
        <f>PASHEET!BG78</f>
        <v/>
      </c>
      <c r="N78" s="590" t="str">
        <f>PASHEET!BH78</f>
        <v/>
      </c>
      <c r="O78" s="590" t="str">
        <f>PASHEET!BI78</f>
        <v/>
      </c>
      <c r="Q78" s="591" t="s">
        <v>482</v>
      </c>
      <c r="R78" s="591" t="s">
        <v>483</v>
      </c>
      <c r="S78" s="591" t="s">
        <v>50</v>
      </c>
      <c r="T78" s="591">
        <f>COUNTIFS(M4:M103,S78)</f>
        <v>15</v>
      </c>
      <c r="U78" s="591">
        <f>COUNTIFS(F4:F103,Q67,M4:M103,S78)</f>
        <v>0</v>
      </c>
      <c r="V78" s="591">
        <f>COUNTIFS(F4:F103,R67,M4:M103,S78)</f>
        <v>0</v>
      </c>
      <c r="W78" s="594"/>
      <c r="X78" s="594"/>
      <c r="Y78" s="594"/>
      <c r="Z78" s="594"/>
      <c r="AA78" s="594"/>
      <c r="AB78" s="591"/>
      <c r="AC78" s="591"/>
      <c r="AD78" s="591"/>
      <c r="AE78" s="595"/>
    </row>
    <row r="79" spans="1:31">
      <c r="A79" s="590">
        <v>76</v>
      </c>
      <c r="B79" s="596">
        <f>STUDENT!F77</f>
        <v>0</v>
      </c>
      <c r="C79" s="596">
        <f>STUDENT!D77</f>
        <v>0</v>
      </c>
      <c r="D79" s="597">
        <f>STUDENT!E77</f>
        <v>0</v>
      </c>
      <c r="E79" s="597">
        <f>STUDENT!H77</f>
        <v>0</v>
      </c>
      <c r="F79" s="590" t="str">
        <f>VLOOKUP(A79,STUDENT!$A$2:$BR$105,68,0)</f>
        <v/>
      </c>
      <c r="G79" s="590" t="b">
        <f>VLOOKUP(A79,STUDENT!$A$2:$BR$105,67,0)</f>
        <v>0</v>
      </c>
      <c r="H79" s="590" t="str">
        <f>PASHEET!BB79</f>
        <v/>
      </c>
      <c r="I79" s="590" t="str">
        <f>PASHEET!BC79</f>
        <v/>
      </c>
      <c r="J79" s="590" t="str">
        <f>PASHEET!BD79</f>
        <v/>
      </c>
      <c r="K79" s="590" t="str">
        <f>PASHEET!BE79</f>
        <v/>
      </c>
      <c r="L79" s="590" t="str">
        <f>PASHEET!BF79</f>
        <v/>
      </c>
      <c r="M79" s="590" t="str">
        <f>PASHEET!BG79</f>
        <v/>
      </c>
      <c r="N79" s="590" t="str">
        <f>PASHEET!BH79</f>
        <v/>
      </c>
      <c r="O79" s="590" t="str">
        <f>PASHEET!BI79</f>
        <v/>
      </c>
      <c r="Q79" s="591" t="s">
        <v>482</v>
      </c>
      <c r="R79" s="591" t="s">
        <v>483</v>
      </c>
      <c r="S79" s="591" t="s">
        <v>485</v>
      </c>
      <c r="T79" s="591">
        <f>COUNTIFS(M4:M103,S79)</f>
        <v>12</v>
      </c>
      <c r="U79" s="591">
        <f>COUNTIFS(F4:F103,Q68,M4:M103,S79)</f>
        <v>0</v>
      </c>
      <c r="V79" s="591">
        <f>COUNTIFS(F4:F103,R68,M4:M103,S79)</f>
        <v>0</v>
      </c>
      <c r="W79" s="594"/>
      <c r="X79" s="594"/>
      <c r="Y79" s="594"/>
      <c r="Z79" s="594"/>
      <c r="AA79" s="594"/>
      <c r="AB79" s="591"/>
      <c r="AC79" s="591"/>
      <c r="AD79" s="591"/>
      <c r="AE79" s="595"/>
    </row>
    <row r="80" spans="1:31">
      <c r="A80" s="596">
        <v>77</v>
      </c>
      <c r="B80" s="596">
        <f>STUDENT!F78</f>
        <v>0</v>
      </c>
      <c r="C80" s="596">
        <f>STUDENT!D78</f>
        <v>0</v>
      </c>
      <c r="D80" s="597">
        <f>STUDENT!E78</f>
        <v>0</v>
      </c>
      <c r="E80" s="597">
        <f>STUDENT!H78</f>
        <v>0</v>
      </c>
      <c r="F80" s="590" t="str">
        <f>VLOOKUP(A80,STUDENT!$A$2:$BR$105,68,0)</f>
        <v/>
      </c>
      <c r="G80" s="590" t="b">
        <f>VLOOKUP(A80,STUDENT!$A$2:$BR$105,67,0)</f>
        <v>0</v>
      </c>
      <c r="H80" s="590" t="str">
        <f>PASHEET!BB80</f>
        <v/>
      </c>
      <c r="I80" s="590" t="str">
        <f>PASHEET!BC80</f>
        <v/>
      </c>
      <c r="J80" s="590" t="str">
        <f>PASHEET!BD80</f>
        <v/>
      </c>
      <c r="K80" s="590" t="str">
        <f>PASHEET!BE80</f>
        <v/>
      </c>
      <c r="L80" s="590" t="str">
        <f>PASHEET!BF80</f>
        <v/>
      </c>
      <c r="M80" s="590" t="str">
        <f>PASHEET!BG80</f>
        <v/>
      </c>
      <c r="N80" s="590" t="str">
        <f>PASHEET!BH80</f>
        <v/>
      </c>
      <c r="O80" s="590" t="str">
        <f>PASHEET!BI80</f>
        <v/>
      </c>
      <c r="Q80" s="591" t="s">
        <v>482</v>
      </c>
      <c r="R80" s="591" t="s">
        <v>483</v>
      </c>
      <c r="S80" s="591" t="s">
        <v>486</v>
      </c>
      <c r="T80" s="591">
        <f>COUNTIFS(M4:M103,S80)</f>
        <v>6</v>
      </c>
      <c r="U80" s="591">
        <f>COUNTIFS(F4:F103,Q69,M4:M103,S80)</f>
        <v>0</v>
      </c>
      <c r="V80" s="591">
        <f>COUNTIFS(F4:F103,R69,M4:M103,S80)</f>
        <v>0</v>
      </c>
      <c r="W80" s="594"/>
      <c r="X80" s="594"/>
      <c r="Y80" s="594"/>
      <c r="Z80" s="594"/>
      <c r="AA80" s="594"/>
      <c r="AB80" s="591"/>
      <c r="AC80" s="591"/>
      <c r="AD80" s="591"/>
      <c r="AE80" s="595"/>
    </row>
    <row r="81" spans="1:31">
      <c r="A81" s="590">
        <v>78</v>
      </c>
      <c r="B81" s="596">
        <f>STUDENT!F79</f>
        <v>0</v>
      </c>
      <c r="C81" s="596">
        <f>STUDENT!D79</f>
        <v>0</v>
      </c>
      <c r="D81" s="597">
        <f>STUDENT!E79</f>
        <v>0</v>
      </c>
      <c r="E81" s="597">
        <f>STUDENT!H79</f>
        <v>0</v>
      </c>
      <c r="F81" s="590" t="str">
        <f>VLOOKUP(A81,STUDENT!$A$2:$BR$105,68,0)</f>
        <v/>
      </c>
      <c r="G81" s="590" t="b">
        <f>VLOOKUP(A81,STUDENT!$A$2:$BR$105,67,0)</f>
        <v>0</v>
      </c>
      <c r="H81" s="590" t="str">
        <f>PASHEET!BB81</f>
        <v/>
      </c>
      <c r="I81" s="590" t="str">
        <f>PASHEET!BC81</f>
        <v/>
      </c>
      <c r="J81" s="590" t="str">
        <f>PASHEET!BD81</f>
        <v/>
      </c>
      <c r="K81" s="590" t="str">
        <f>PASHEET!BE81</f>
        <v/>
      </c>
      <c r="L81" s="590" t="str">
        <f>PASHEET!BF81</f>
        <v/>
      </c>
      <c r="M81" s="590" t="str">
        <f>PASHEET!BG81</f>
        <v/>
      </c>
      <c r="N81" s="590" t="str">
        <f>PASHEET!BH81</f>
        <v/>
      </c>
      <c r="O81" s="590" t="str">
        <f>PASHEET!BI81</f>
        <v/>
      </c>
      <c r="Q81" s="591" t="s">
        <v>482</v>
      </c>
      <c r="R81" s="591" t="s">
        <v>483</v>
      </c>
      <c r="S81" s="591" t="s">
        <v>487</v>
      </c>
      <c r="T81" s="591">
        <f>COUNTIFS(M4:M103,S81)</f>
        <v>0</v>
      </c>
      <c r="U81" s="591">
        <f>COUNTIFS(F4:F103,Q70,M4:M103,S81)</f>
        <v>0</v>
      </c>
      <c r="V81" s="591">
        <f>COUNTIFS(F4:F103,R70,M4:M103,S81)</f>
        <v>0</v>
      </c>
      <c r="W81" s="594"/>
      <c r="X81" s="594"/>
      <c r="Y81" s="594"/>
      <c r="Z81" s="594"/>
      <c r="AA81" s="594"/>
      <c r="AB81" s="591"/>
      <c r="AC81" s="591"/>
      <c r="AD81" s="591"/>
      <c r="AE81" s="595"/>
    </row>
    <row r="82" spans="1:31">
      <c r="A82" s="596">
        <v>79</v>
      </c>
      <c r="B82" s="596">
        <f>STUDENT!F80</f>
        <v>0</v>
      </c>
      <c r="C82" s="596">
        <f>STUDENT!D80</f>
        <v>0</v>
      </c>
      <c r="D82" s="597">
        <f>STUDENT!E80</f>
        <v>0</v>
      </c>
      <c r="E82" s="597">
        <f>STUDENT!H80</f>
        <v>0</v>
      </c>
      <c r="F82" s="590" t="str">
        <f>VLOOKUP(A82,STUDENT!$A$2:$BR$105,68,0)</f>
        <v/>
      </c>
      <c r="G82" s="590" t="b">
        <f>VLOOKUP(A82,STUDENT!$A$2:$BR$105,67,0)</f>
        <v>0</v>
      </c>
      <c r="H82" s="590" t="str">
        <f>PASHEET!BB82</f>
        <v/>
      </c>
      <c r="I82" s="590" t="str">
        <f>PASHEET!BC82</f>
        <v/>
      </c>
      <c r="J82" s="590" t="str">
        <f>PASHEET!BD82</f>
        <v/>
      </c>
      <c r="K82" s="590" t="str">
        <f>PASHEET!BE82</f>
        <v/>
      </c>
      <c r="L82" s="590" t="str">
        <f>PASHEET!BF82</f>
        <v/>
      </c>
      <c r="M82" s="590" t="str">
        <f>PASHEET!BG82</f>
        <v/>
      </c>
      <c r="N82" s="590" t="str">
        <f>PASHEET!BH82</f>
        <v/>
      </c>
      <c r="O82" s="590" t="str">
        <f>PASHEET!BI82</f>
        <v/>
      </c>
      <c r="Q82" s="591" t="s">
        <v>482</v>
      </c>
      <c r="R82" s="591" t="s">
        <v>483</v>
      </c>
      <c r="S82" s="591" t="s">
        <v>488</v>
      </c>
      <c r="T82" s="591">
        <f>COUNTIFS(M4:M103,S82)</f>
        <v>1</v>
      </c>
      <c r="U82" s="591">
        <f>COUNTIFS(F4:F103,Q71,M4:M103,S82)</f>
        <v>0</v>
      </c>
      <c r="V82" s="591">
        <f>COUNTIFS(F4:F103,R71,M4:M103,S82)</f>
        <v>0</v>
      </c>
      <c r="W82" s="594"/>
      <c r="X82" s="594"/>
      <c r="Y82" s="594"/>
      <c r="Z82" s="594"/>
      <c r="AA82" s="594"/>
      <c r="AB82" s="591"/>
      <c r="AC82" s="591"/>
      <c r="AD82" s="591"/>
      <c r="AE82" s="595"/>
    </row>
    <row r="83" spans="1:31">
      <c r="A83" s="590">
        <v>80</v>
      </c>
      <c r="B83" s="596">
        <f>STUDENT!F81</f>
        <v>0</v>
      </c>
      <c r="C83" s="596">
        <f>STUDENT!D81</f>
        <v>0</v>
      </c>
      <c r="D83" s="597">
        <f>STUDENT!E81</f>
        <v>0</v>
      </c>
      <c r="E83" s="597">
        <f>STUDENT!H81</f>
        <v>0</v>
      </c>
      <c r="F83" s="590" t="str">
        <f>VLOOKUP(A83,STUDENT!$A$2:$BR$105,68,0)</f>
        <v/>
      </c>
      <c r="G83" s="590" t="b">
        <f>VLOOKUP(A83,STUDENT!$A$2:$BR$105,67,0)</f>
        <v>0</v>
      </c>
      <c r="H83" s="590" t="str">
        <f>PASHEET!BB83</f>
        <v/>
      </c>
      <c r="I83" s="590" t="str">
        <f>PASHEET!BC83</f>
        <v/>
      </c>
      <c r="J83" s="590" t="str">
        <f>PASHEET!BD83</f>
        <v/>
      </c>
      <c r="K83" s="590" t="str">
        <f>PASHEET!BE83</f>
        <v/>
      </c>
      <c r="L83" s="590" t="str">
        <f>PASHEET!BF83</f>
        <v/>
      </c>
      <c r="M83" s="590" t="str">
        <f>PASHEET!BG83</f>
        <v/>
      </c>
      <c r="N83" s="590" t="str">
        <f>PASHEET!BH83</f>
        <v/>
      </c>
      <c r="O83" s="590" t="str">
        <f>PASHEET!BI83</f>
        <v/>
      </c>
      <c r="Q83" s="591" t="s">
        <v>482</v>
      </c>
      <c r="R83" s="591" t="s">
        <v>483</v>
      </c>
      <c r="S83" s="591" t="s">
        <v>101</v>
      </c>
      <c r="T83" s="591">
        <f>COUNTIFS(M4:M103,S83)</f>
        <v>5</v>
      </c>
      <c r="U83" s="591">
        <f>COUNTIFS(F4:F103,Q72,M4:M103,S83)</f>
        <v>0</v>
      </c>
      <c r="V83" s="591">
        <f>COUNTIFS(F4:F103,R72,M4:M103,S83)</f>
        <v>0</v>
      </c>
      <c r="W83" s="594"/>
      <c r="X83" s="594"/>
      <c r="Y83" s="594"/>
      <c r="Z83" s="594"/>
      <c r="AA83" s="594"/>
      <c r="AB83" s="591"/>
      <c r="AC83" s="591"/>
      <c r="AD83" s="591"/>
      <c r="AE83" s="595"/>
    </row>
    <row r="84" spans="1:31">
      <c r="A84" s="596">
        <v>81</v>
      </c>
      <c r="B84" s="596">
        <f>STUDENT!F82</f>
        <v>0</v>
      </c>
      <c r="C84" s="596">
        <f>STUDENT!D82</f>
        <v>0</v>
      </c>
      <c r="D84" s="597">
        <f>STUDENT!E82</f>
        <v>0</v>
      </c>
      <c r="E84" s="597">
        <f>STUDENT!H82</f>
        <v>0</v>
      </c>
      <c r="F84" s="590" t="str">
        <f>VLOOKUP(A84,STUDENT!$A$2:$BR$105,68,0)</f>
        <v/>
      </c>
      <c r="G84" s="590" t="b">
        <f>VLOOKUP(A84,STUDENT!$A$2:$BR$105,67,0)</f>
        <v>0</v>
      </c>
      <c r="H84" s="590" t="str">
        <f>PASHEET!BB84</f>
        <v/>
      </c>
      <c r="I84" s="590" t="str">
        <f>PASHEET!BC84</f>
        <v/>
      </c>
      <c r="J84" s="590" t="str">
        <f>PASHEET!BD84</f>
        <v/>
      </c>
      <c r="K84" s="590" t="str">
        <f>PASHEET!BE84</f>
        <v/>
      </c>
      <c r="L84" s="590" t="str">
        <f>PASHEET!BF84</f>
        <v/>
      </c>
      <c r="M84" s="590" t="str">
        <f>PASHEET!BG84</f>
        <v/>
      </c>
      <c r="N84" s="590" t="str">
        <f>PASHEET!BH84</f>
        <v/>
      </c>
      <c r="O84" s="590" t="str">
        <f>PASHEET!BI84</f>
        <v/>
      </c>
      <c r="Q84" s="591" t="s">
        <v>482</v>
      </c>
      <c r="R84" s="591" t="s">
        <v>483</v>
      </c>
      <c r="S84" s="591" t="s">
        <v>489</v>
      </c>
      <c r="T84" s="591">
        <f>COUNTIFS(M4:M103,S84)</f>
        <v>0</v>
      </c>
      <c r="U84" s="591">
        <f>COUNTIFS(F4:F103,Q73,M4:M103,S84)</f>
        <v>0</v>
      </c>
      <c r="V84" s="591">
        <f>COUNTIFS(F4:F103,R73,M4:M103,S84)</f>
        <v>0</v>
      </c>
      <c r="W84" s="594"/>
      <c r="X84" s="594"/>
      <c r="Y84" s="594"/>
      <c r="Z84" s="594"/>
      <c r="AA84" s="594"/>
      <c r="AB84" s="591"/>
      <c r="AC84" s="591"/>
      <c r="AD84" s="591"/>
      <c r="AE84" s="595"/>
    </row>
    <row r="85" spans="1:31">
      <c r="A85" s="590">
        <v>82</v>
      </c>
      <c r="B85" s="596">
        <f>STUDENT!F83</f>
        <v>0</v>
      </c>
      <c r="C85" s="596">
        <f>STUDENT!D83</f>
        <v>0</v>
      </c>
      <c r="D85" s="597">
        <f>STUDENT!E83</f>
        <v>0</v>
      </c>
      <c r="E85" s="597">
        <f>STUDENT!H83</f>
        <v>0</v>
      </c>
      <c r="F85" s="590" t="str">
        <f>VLOOKUP(A85,STUDENT!$A$2:$BR$105,68,0)</f>
        <v/>
      </c>
      <c r="G85" s="590" t="b">
        <f>VLOOKUP(A85,STUDENT!$A$2:$BR$105,67,0)</f>
        <v>0</v>
      </c>
      <c r="H85" s="590" t="str">
        <f>PASHEET!BB85</f>
        <v/>
      </c>
      <c r="I85" s="590" t="str">
        <f>PASHEET!BC85</f>
        <v/>
      </c>
      <c r="J85" s="590" t="str">
        <f>PASHEET!BD85</f>
        <v/>
      </c>
      <c r="K85" s="590" t="str">
        <f>PASHEET!BE85</f>
        <v/>
      </c>
      <c r="L85" s="590" t="str">
        <f>PASHEET!BF85</f>
        <v/>
      </c>
      <c r="M85" s="590" t="str">
        <f>PASHEET!BG85</f>
        <v/>
      </c>
      <c r="N85" s="590" t="str">
        <f>PASHEET!BH85</f>
        <v/>
      </c>
      <c r="O85" s="590" t="str">
        <f>PASHEET!BI85</f>
        <v/>
      </c>
      <c r="Q85" s="591" t="s">
        <v>482</v>
      </c>
      <c r="R85" s="591" t="s">
        <v>483</v>
      </c>
      <c r="S85" s="591"/>
      <c r="T85" s="591"/>
      <c r="U85" s="591"/>
      <c r="V85" s="591"/>
      <c r="W85" s="594"/>
      <c r="X85" s="594"/>
      <c r="Y85" s="594"/>
      <c r="Z85" s="594"/>
      <c r="AA85" s="594"/>
      <c r="AB85" s="591"/>
      <c r="AC85" s="591"/>
      <c r="AD85" s="591"/>
      <c r="AE85" s="595"/>
    </row>
    <row r="86" spans="1:31">
      <c r="A86" s="596">
        <v>83</v>
      </c>
      <c r="B86" s="596">
        <f>STUDENT!F84</f>
        <v>0</v>
      </c>
      <c r="C86" s="596">
        <f>STUDENT!D84</f>
        <v>0</v>
      </c>
      <c r="D86" s="597">
        <f>STUDENT!E84</f>
        <v>0</v>
      </c>
      <c r="E86" s="597">
        <f>STUDENT!H84</f>
        <v>0</v>
      </c>
      <c r="F86" s="590" t="str">
        <f>VLOOKUP(A86,STUDENT!$A$2:$BR$105,68,0)</f>
        <v/>
      </c>
      <c r="G86" s="590" t="b">
        <f>VLOOKUP(A86,STUDENT!$A$2:$BR$105,67,0)</f>
        <v>0</v>
      </c>
      <c r="H86" s="590" t="str">
        <f>PASHEET!BB86</f>
        <v/>
      </c>
      <c r="I86" s="590" t="str">
        <f>PASHEET!BC86</f>
        <v/>
      </c>
      <c r="J86" s="590" t="str">
        <f>PASHEET!BD86</f>
        <v/>
      </c>
      <c r="K86" s="590" t="str">
        <f>PASHEET!BE86</f>
        <v/>
      </c>
      <c r="L86" s="590" t="str">
        <f>PASHEET!BF86</f>
        <v/>
      </c>
      <c r="M86" s="590" t="str">
        <f>PASHEET!BG86</f>
        <v/>
      </c>
      <c r="N86" s="590" t="str">
        <f>PASHEET!BH86</f>
        <v/>
      </c>
      <c r="O86" s="590" t="str">
        <f>PASHEET!BI86</f>
        <v/>
      </c>
      <c r="Q86" s="591"/>
      <c r="R86" s="591"/>
      <c r="S86" s="591" t="s">
        <v>102</v>
      </c>
      <c r="T86" s="591">
        <f>SUM(T78:T85)</f>
        <v>39</v>
      </c>
      <c r="U86" s="591">
        <f t="shared" ref="U86:V86" si="13">SUM(U78:U85)</f>
        <v>0</v>
      </c>
      <c r="V86" s="591">
        <f t="shared" si="13"/>
        <v>0</v>
      </c>
      <c r="W86" s="594"/>
      <c r="X86" s="594"/>
      <c r="Y86" s="594"/>
      <c r="Z86" s="594"/>
      <c r="AA86" s="594"/>
      <c r="AB86" s="591"/>
      <c r="AC86" s="591"/>
      <c r="AD86" s="591"/>
      <c r="AE86" s="595"/>
    </row>
    <row r="87" spans="1:31">
      <c r="A87" s="590">
        <v>84</v>
      </c>
      <c r="B87" s="596">
        <f>STUDENT!F85</f>
        <v>0</v>
      </c>
      <c r="C87" s="596">
        <f>STUDENT!D85</f>
        <v>0</v>
      </c>
      <c r="D87" s="597">
        <f>STUDENT!E85</f>
        <v>0</v>
      </c>
      <c r="E87" s="597">
        <f>STUDENT!H85</f>
        <v>0</v>
      </c>
      <c r="F87" s="590" t="str">
        <f>VLOOKUP(A87,STUDENT!$A$2:$BR$105,68,0)</f>
        <v/>
      </c>
      <c r="G87" s="590" t="b">
        <f>VLOOKUP(A87,STUDENT!$A$2:$BR$105,67,0)</f>
        <v>0</v>
      </c>
      <c r="H87" s="590" t="str">
        <f>PASHEET!BB87</f>
        <v/>
      </c>
      <c r="I87" s="590" t="str">
        <f>PASHEET!BC87</f>
        <v/>
      </c>
      <c r="J87" s="590" t="str">
        <f>PASHEET!BD87</f>
        <v/>
      </c>
      <c r="K87" s="590" t="str">
        <f>PASHEET!BE87</f>
        <v/>
      </c>
      <c r="L87" s="590" t="str">
        <f>PASHEET!BF87</f>
        <v/>
      </c>
      <c r="M87" s="590" t="str">
        <f>PASHEET!BG87</f>
        <v/>
      </c>
      <c r="N87" s="590" t="str">
        <f>PASHEET!BH87</f>
        <v/>
      </c>
      <c r="O87" s="590" t="str">
        <f>PASHEET!BI87</f>
        <v/>
      </c>
      <c r="Q87" s="591"/>
      <c r="R87" s="591"/>
      <c r="S87" s="591"/>
      <c r="T87" s="591"/>
      <c r="U87" s="591"/>
      <c r="V87" s="591"/>
      <c r="W87" s="594"/>
      <c r="X87" s="594"/>
      <c r="Y87" s="594"/>
      <c r="Z87" s="594"/>
      <c r="AA87" s="594"/>
      <c r="AB87" s="591"/>
      <c r="AC87" s="591"/>
      <c r="AD87" s="591"/>
      <c r="AE87" s="595"/>
    </row>
    <row r="88" spans="1:31">
      <c r="A88" s="596">
        <v>85</v>
      </c>
      <c r="B88" s="596">
        <f>STUDENT!F86</f>
        <v>0</v>
      </c>
      <c r="C88" s="596">
        <f>STUDENT!D86</f>
        <v>0</v>
      </c>
      <c r="D88" s="597">
        <f>STUDENT!E86</f>
        <v>0</v>
      </c>
      <c r="E88" s="597">
        <f>STUDENT!H86</f>
        <v>0</v>
      </c>
      <c r="F88" s="590" t="str">
        <f>VLOOKUP(A88,STUDENT!$A$2:$BR$105,68,0)</f>
        <v/>
      </c>
      <c r="G88" s="590" t="b">
        <f>VLOOKUP(A88,STUDENT!$A$2:$BR$105,67,0)</f>
        <v>0</v>
      </c>
      <c r="H88" s="590" t="str">
        <f>PASHEET!BB88</f>
        <v/>
      </c>
      <c r="I88" s="590" t="str">
        <f>PASHEET!BC88</f>
        <v/>
      </c>
      <c r="J88" s="590" t="str">
        <f>PASHEET!BD88</f>
        <v/>
      </c>
      <c r="K88" s="590" t="str">
        <f>PASHEET!BE88</f>
        <v/>
      </c>
      <c r="L88" s="590" t="str">
        <f>PASHEET!BF88</f>
        <v/>
      </c>
      <c r="M88" s="590" t="str">
        <f>PASHEET!BG88</f>
        <v/>
      </c>
      <c r="N88" s="590" t="str">
        <f>PASHEET!BH88</f>
        <v/>
      </c>
      <c r="O88" s="590" t="str">
        <f>PASHEET!BI88</f>
        <v/>
      </c>
      <c r="Q88" s="591"/>
      <c r="R88" s="591"/>
      <c r="S88" s="591"/>
      <c r="T88" s="591"/>
      <c r="U88" s="591"/>
      <c r="V88" s="591"/>
      <c r="W88" s="594"/>
      <c r="X88" s="594"/>
      <c r="Y88" s="594"/>
      <c r="Z88" s="594"/>
      <c r="AA88" s="594"/>
      <c r="AB88" s="591"/>
      <c r="AC88" s="591"/>
      <c r="AD88" s="591"/>
      <c r="AE88" s="595"/>
    </row>
    <row r="89" spans="1:31">
      <c r="A89" s="590">
        <v>86</v>
      </c>
      <c r="B89" s="596">
        <f>STUDENT!F87</f>
        <v>0</v>
      </c>
      <c r="C89" s="596">
        <f>STUDENT!D87</f>
        <v>0</v>
      </c>
      <c r="D89" s="597">
        <f>STUDENT!E87</f>
        <v>0</v>
      </c>
      <c r="E89" s="597">
        <f>STUDENT!H87</f>
        <v>0</v>
      </c>
      <c r="F89" s="590" t="str">
        <f>VLOOKUP(A89,STUDENT!$A$2:$BR$105,68,0)</f>
        <v/>
      </c>
      <c r="G89" s="590" t="b">
        <f>VLOOKUP(A89,STUDENT!$A$2:$BR$105,67,0)</f>
        <v>0</v>
      </c>
      <c r="H89" s="590" t="str">
        <f>PASHEET!BB89</f>
        <v/>
      </c>
      <c r="I89" s="590" t="str">
        <f>PASHEET!BC89</f>
        <v/>
      </c>
      <c r="J89" s="590" t="str">
        <f>PASHEET!BD89</f>
        <v/>
      </c>
      <c r="K89" s="590" t="str">
        <f>PASHEET!BE89</f>
        <v/>
      </c>
      <c r="L89" s="590" t="str">
        <f>PASHEET!BF89</f>
        <v/>
      </c>
      <c r="M89" s="590" t="str">
        <f>PASHEET!BG89</f>
        <v/>
      </c>
      <c r="N89" s="590" t="str">
        <f>PASHEET!BH89</f>
        <v/>
      </c>
      <c r="O89" s="590" t="str">
        <f>PASHEET!BI89</f>
        <v/>
      </c>
      <c r="Q89" s="591"/>
      <c r="R89" s="591"/>
      <c r="S89" s="591"/>
      <c r="T89" s="591"/>
      <c r="U89" s="591"/>
      <c r="V89" s="591"/>
      <c r="W89" s="594"/>
      <c r="X89" s="594"/>
      <c r="Y89" s="594"/>
      <c r="Z89" s="594"/>
      <c r="AA89" s="594"/>
      <c r="AB89" s="591"/>
      <c r="AC89" s="591"/>
      <c r="AD89" s="591"/>
      <c r="AE89" s="595"/>
    </row>
    <row r="90" spans="1:31">
      <c r="A90" s="596">
        <v>87</v>
      </c>
      <c r="B90" s="596">
        <f>STUDENT!F88</f>
        <v>0</v>
      </c>
      <c r="C90" s="596">
        <f>STUDENT!D88</f>
        <v>0</v>
      </c>
      <c r="D90" s="597">
        <f>STUDENT!E88</f>
        <v>0</v>
      </c>
      <c r="E90" s="597">
        <f>STUDENT!H88</f>
        <v>0</v>
      </c>
      <c r="F90" s="590" t="str">
        <f>VLOOKUP(A90,STUDENT!$A$2:$BR$105,68,0)</f>
        <v/>
      </c>
      <c r="G90" s="590" t="b">
        <f>VLOOKUP(A90,STUDENT!$A$2:$BR$105,67,0)</f>
        <v>0</v>
      </c>
      <c r="H90" s="590" t="str">
        <f>PASHEET!BB90</f>
        <v/>
      </c>
      <c r="I90" s="590" t="str">
        <f>PASHEET!BC90</f>
        <v/>
      </c>
      <c r="J90" s="590" t="str">
        <f>PASHEET!BD90</f>
        <v/>
      </c>
      <c r="K90" s="590" t="str">
        <f>PASHEET!BE90</f>
        <v/>
      </c>
      <c r="L90" s="590" t="str">
        <f>PASHEET!BF90</f>
        <v/>
      </c>
      <c r="M90" s="590" t="str">
        <f>PASHEET!BG90</f>
        <v/>
      </c>
      <c r="N90" s="590" t="str">
        <f>PASHEET!BH90</f>
        <v/>
      </c>
      <c r="O90" s="590" t="str">
        <f>PASHEET!BI90</f>
        <v/>
      </c>
      <c r="Q90" s="591" t="s">
        <v>475</v>
      </c>
      <c r="R90" s="591" t="s">
        <v>476</v>
      </c>
      <c r="S90" s="592" t="s">
        <v>477</v>
      </c>
      <c r="T90" s="593" t="s">
        <v>354</v>
      </c>
      <c r="U90" s="592" t="s">
        <v>479</v>
      </c>
      <c r="V90" s="592" t="s">
        <v>480</v>
      </c>
      <c r="W90" s="594"/>
      <c r="X90" s="594"/>
      <c r="Y90" s="594"/>
      <c r="Z90" s="594"/>
      <c r="AA90" s="594"/>
      <c r="AB90" s="591"/>
      <c r="AC90" s="591"/>
      <c r="AD90" s="591"/>
      <c r="AE90" s="595"/>
    </row>
    <row r="91" spans="1:31">
      <c r="A91" s="590">
        <v>88</v>
      </c>
      <c r="B91" s="596">
        <f>STUDENT!F89</f>
        <v>0</v>
      </c>
      <c r="C91" s="596">
        <f>STUDENT!D89</f>
        <v>0</v>
      </c>
      <c r="D91" s="597">
        <f>STUDENT!E89</f>
        <v>0</v>
      </c>
      <c r="E91" s="597">
        <f>STUDENT!H89</f>
        <v>0</v>
      </c>
      <c r="F91" s="590" t="str">
        <f>VLOOKUP(A91,STUDENT!$A$2:$BR$105,68,0)</f>
        <v/>
      </c>
      <c r="G91" s="590" t="b">
        <f>VLOOKUP(A91,STUDENT!$A$2:$BR$105,67,0)</f>
        <v>0</v>
      </c>
      <c r="H91" s="590" t="str">
        <f>PASHEET!BB91</f>
        <v/>
      </c>
      <c r="I91" s="590" t="str">
        <f>PASHEET!BC91</f>
        <v/>
      </c>
      <c r="J91" s="590" t="str">
        <f>PASHEET!BD91</f>
        <v/>
      </c>
      <c r="K91" s="590" t="str">
        <f>PASHEET!BE91</f>
        <v/>
      </c>
      <c r="L91" s="590" t="str">
        <f>PASHEET!BF91</f>
        <v/>
      </c>
      <c r="M91" s="590" t="str">
        <f>PASHEET!BG91</f>
        <v/>
      </c>
      <c r="N91" s="590" t="str">
        <f>PASHEET!BH91</f>
        <v/>
      </c>
      <c r="O91" s="590" t="str">
        <f>PASHEET!BI91</f>
        <v/>
      </c>
      <c r="Q91" s="591" t="s">
        <v>482</v>
      </c>
      <c r="R91" s="591" t="s">
        <v>483</v>
      </c>
      <c r="S91" s="591" t="s">
        <v>50</v>
      </c>
      <c r="T91" s="591">
        <f>COUNTIFS(N4:N103,S91)</f>
        <v>0</v>
      </c>
      <c r="U91" s="591">
        <f>COUNTIFS(F4:F103,Q80,N4:N103,S91)</f>
        <v>0</v>
      </c>
      <c r="V91" s="591">
        <f>COUNTIFS(F4:F103,R80,N4:N103,S91)</f>
        <v>0</v>
      </c>
      <c r="W91" s="594"/>
      <c r="X91" s="594"/>
      <c r="Y91" s="594"/>
      <c r="Z91" s="594"/>
      <c r="AA91" s="594"/>
      <c r="AB91" s="591"/>
      <c r="AC91" s="591"/>
      <c r="AD91" s="591"/>
      <c r="AE91" s="595"/>
    </row>
    <row r="92" spans="1:31">
      <c r="A92" s="596">
        <v>89</v>
      </c>
      <c r="B92" s="596">
        <f>STUDENT!F90</f>
        <v>0</v>
      </c>
      <c r="C92" s="596">
        <f>STUDENT!D90</f>
        <v>0</v>
      </c>
      <c r="D92" s="597">
        <f>STUDENT!E90</f>
        <v>0</v>
      </c>
      <c r="E92" s="597">
        <f>STUDENT!H90</f>
        <v>0</v>
      </c>
      <c r="F92" s="590" t="str">
        <f>VLOOKUP(A92,STUDENT!$A$2:$BR$105,68,0)</f>
        <v/>
      </c>
      <c r="G92" s="590" t="b">
        <f>VLOOKUP(A92,STUDENT!$A$2:$BR$105,67,0)</f>
        <v>0</v>
      </c>
      <c r="H92" s="590" t="str">
        <f>PASHEET!BB92</f>
        <v/>
      </c>
      <c r="I92" s="590" t="str">
        <f>PASHEET!BC92</f>
        <v/>
      </c>
      <c r="J92" s="590" t="str">
        <f>PASHEET!BD92</f>
        <v/>
      </c>
      <c r="K92" s="590" t="str">
        <f>PASHEET!BE92</f>
        <v/>
      </c>
      <c r="L92" s="590" t="str">
        <f>PASHEET!BF92</f>
        <v/>
      </c>
      <c r="M92" s="590" t="str">
        <f>PASHEET!BG92</f>
        <v/>
      </c>
      <c r="N92" s="590" t="str">
        <f>PASHEET!BH92</f>
        <v/>
      </c>
      <c r="O92" s="590" t="str">
        <f>PASHEET!BI92</f>
        <v/>
      </c>
      <c r="Q92" s="591" t="s">
        <v>482</v>
      </c>
      <c r="R92" s="591" t="s">
        <v>483</v>
      </c>
      <c r="S92" s="591" t="s">
        <v>485</v>
      </c>
      <c r="T92" s="591">
        <f>COUNTIFS(N4:N103,S92)</f>
        <v>0</v>
      </c>
      <c r="U92" s="591">
        <f>COUNTIFS(F4:F103,Q81,N4:N103,S92)</f>
        <v>0</v>
      </c>
      <c r="V92" s="591">
        <f>COUNTIFS(F4:F103,R81,N4:N103,S92)</f>
        <v>0</v>
      </c>
      <c r="W92" s="594"/>
      <c r="X92" s="594"/>
      <c r="Y92" s="594"/>
      <c r="Z92" s="594"/>
      <c r="AA92" s="594"/>
      <c r="AB92" s="591"/>
      <c r="AC92" s="591"/>
      <c r="AD92" s="591"/>
      <c r="AE92" s="595"/>
    </row>
    <row r="93" spans="1:31">
      <c r="A93" s="590">
        <v>90</v>
      </c>
      <c r="B93" s="596">
        <f>STUDENT!F91</f>
        <v>0</v>
      </c>
      <c r="C93" s="596">
        <f>STUDENT!D91</f>
        <v>0</v>
      </c>
      <c r="D93" s="597">
        <f>STUDENT!E91</f>
        <v>0</v>
      </c>
      <c r="E93" s="597">
        <f>STUDENT!H91</f>
        <v>0</v>
      </c>
      <c r="F93" s="590" t="str">
        <f>VLOOKUP(A93,STUDENT!$A$2:$BR$105,68,0)</f>
        <v/>
      </c>
      <c r="G93" s="590" t="b">
        <f>VLOOKUP(A93,STUDENT!$A$2:$BR$105,67,0)</f>
        <v>0</v>
      </c>
      <c r="H93" s="590" t="str">
        <f>PASHEET!BB93</f>
        <v/>
      </c>
      <c r="I93" s="590" t="str">
        <f>PASHEET!BC93</f>
        <v/>
      </c>
      <c r="J93" s="590" t="str">
        <f>PASHEET!BD93</f>
        <v/>
      </c>
      <c r="K93" s="590" t="str">
        <f>PASHEET!BE93</f>
        <v/>
      </c>
      <c r="L93" s="590" t="str">
        <f>PASHEET!BF93</f>
        <v/>
      </c>
      <c r="M93" s="590" t="str">
        <f>PASHEET!BG93</f>
        <v/>
      </c>
      <c r="N93" s="590" t="str">
        <f>PASHEET!BH93</f>
        <v/>
      </c>
      <c r="O93" s="590" t="str">
        <f>PASHEET!BI93</f>
        <v/>
      </c>
      <c r="Q93" s="591" t="s">
        <v>482</v>
      </c>
      <c r="R93" s="591" t="s">
        <v>483</v>
      </c>
      <c r="S93" s="591" t="s">
        <v>486</v>
      </c>
      <c r="T93" s="591">
        <f>COUNTIFS(N4:N103,S93)</f>
        <v>0</v>
      </c>
      <c r="U93" s="591">
        <f>COUNTIFS(F4:F103,Q82,N4:N103,S93)</f>
        <v>0</v>
      </c>
      <c r="V93" s="591">
        <f>COUNTIFS(F4:F103,R82,N4:N103,S93)</f>
        <v>0</v>
      </c>
      <c r="W93" s="594"/>
      <c r="X93" s="594"/>
      <c r="Y93" s="594"/>
      <c r="Z93" s="594"/>
      <c r="AA93" s="594"/>
      <c r="AB93" s="591"/>
      <c r="AC93" s="591"/>
      <c r="AD93" s="591"/>
      <c r="AE93" s="595"/>
    </row>
    <row r="94" spans="1:31">
      <c r="A94" s="596">
        <v>91</v>
      </c>
      <c r="B94" s="596">
        <f>STUDENT!F92</f>
        <v>0</v>
      </c>
      <c r="C94" s="596">
        <f>STUDENT!D92</f>
        <v>0</v>
      </c>
      <c r="D94" s="597">
        <f>STUDENT!E92</f>
        <v>0</v>
      </c>
      <c r="E94" s="597">
        <f>STUDENT!H92</f>
        <v>0</v>
      </c>
      <c r="F94" s="590" t="str">
        <f>VLOOKUP(A94,STUDENT!$A$2:$BR$105,68,0)</f>
        <v/>
      </c>
      <c r="G94" s="590" t="b">
        <f>VLOOKUP(A94,STUDENT!$A$2:$BR$105,67,0)</f>
        <v>0</v>
      </c>
      <c r="H94" s="590" t="str">
        <f>PASHEET!BB94</f>
        <v/>
      </c>
      <c r="I94" s="590" t="str">
        <f>PASHEET!BC94</f>
        <v/>
      </c>
      <c r="J94" s="590" t="str">
        <f>PASHEET!BD94</f>
        <v/>
      </c>
      <c r="K94" s="590" t="str">
        <f>PASHEET!BE94</f>
        <v/>
      </c>
      <c r="L94" s="590" t="str">
        <f>PASHEET!BF94</f>
        <v/>
      </c>
      <c r="M94" s="590" t="str">
        <f>PASHEET!BG94</f>
        <v/>
      </c>
      <c r="N94" s="590" t="str">
        <f>PASHEET!BH94</f>
        <v/>
      </c>
      <c r="O94" s="590" t="str">
        <f>PASHEET!BI94</f>
        <v/>
      </c>
      <c r="Q94" s="591" t="s">
        <v>482</v>
      </c>
      <c r="R94" s="591" t="s">
        <v>483</v>
      </c>
      <c r="S94" s="591" t="s">
        <v>487</v>
      </c>
      <c r="T94" s="591">
        <f>COUNTIFS(N4:N103,S94)</f>
        <v>0</v>
      </c>
      <c r="U94" s="591">
        <f>COUNTIFS(F4:F103,Q83,N4:N103,S94)</f>
        <v>0</v>
      </c>
      <c r="V94" s="591">
        <f>COUNTIFS(F4:F103,R83,N4:N103,S94)</f>
        <v>0</v>
      </c>
      <c r="W94" s="594"/>
      <c r="X94" s="594"/>
      <c r="Y94" s="594"/>
      <c r="Z94" s="594"/>
      <c r="AA94" s="594"/>
      <c r="AB94" s="591"/>
      <c r="AC94" s="591"/>
      <c r="AD94" s="591"/>
      <c r="AE94" s="595"/>
    </row>
    <row r="95" spans="1:31">
      <c r="A95" s="590">
        <v>92</v>
      </c>
      <c r="B95" s="596">
        <f>STUDENT!F93</f>
        <v>0</v>
      </c>
      <c r="C95" s="596">
        <f>STUDENT!D93</f>
        <v>0</v>
      </c>
      <c r="D95" s="597">
        <f>STUDENT!E93</f>
        <v>0</v>
      </c>
      <c r="E95" s="597">
        <f>STUDENT!H93</f>
        <v>0</v>
      </c>
      <c r="F95" s="590" t="str">
        <f>VLOOKUP(A95,STUDENT!$A$2:$BR$105,68,0)</f>
        <v/>
      </c>
      <c r="G95" s="590" t="b">
        <f>VLOOKUP(A95,STUDENT!$A$2:$BR$105,67,0)</f>
        <v>0</v>
      </c>
      <c r="H95" s="590" t="str">
        <f>PASHEET!BB95</f>
        <v/>
      </c>
      <c r="I95" s="590" t="str">
        <f>PASHEET!BC95</f>
        <v/>
      </c>
      <c r="J95" s="590" t="str">
        <f>PASHEET!BD95</f>
        <v/>
      </c>
      <c r="K95" s="590" t="str">
        <f>PASHEET!BE95</f>
        <v/>
      </c>
      <c r="L95" s="590" t="str">
        <f>PASHEET!BF95</f>
        <v/>
      </c>
      <c r="M95" s="590" t="str">
        <f>PASHEET!BG95</f>
        <v/>
      </c>
      <c r="N95" s="590" t="str">
        <f>PASHEET!BH95</f>
        <v/>
      </c>
      <c r="O95" s="590" t="str">
        <f>PASHEET!BI95</f>
        <v/>
      </c>
      <c r="Q95" s="591" t="s">
        <v>482</v>
      </c>
      <c r="R95" s="591" t="s">
        <v>483</v>
      </c>
      <c r="S95" s="591" t="s">
        <v>488</v>
      </c>
      <c r="T95" s="591">
        <f>COUNTIFS(N4:N103,S95)</f>
        <v>0</v>
      </c>
      <c r="U95" s="591">
        <f>COUNTIFS(F4:F103,Q84,N4:N103,S95)</f>
        <v>0</v>
      </c>
      <c r="V95" s="591">
        <f>COUNTIFS(F4:F103,R84,N4:N103,S95)</f>
        <v>0</v>
      </c>
      <c r="W95" s="594"/>
      <c r="X95" s="594"/>
      <c r="Y95" s="594"/>
      <c r="Z95" s="594"/>
      <c r="AA95" s="594"/>
      <c r="AB95" s="591"/>
      <c r="AC95" s="591"/>
      <c r="AD95" s="591"/>
      <c r="AE95" s="595"/>
    </row>
    <row r="96" spans="1:31">
      <c r="A96" s="596">
        <v>93</v>
      </c>
      <c r="B96" s="596">
        <f>STUDENT!F94</f>
        <v>0</v>
      </c>
      <c r="C96" s="596">
        <f>STUDENT!D94</f>
        <v>0</v>
      </c>
      <c r="D96" s="597">
        <f>STUDENT!E94</f>
        <v>0</v>
      </c>
      <c r="E96" s="597">
        <f>STUDENT!H94</f>
        <v>0</v>
      </c>
      <c r="F96" s="590" t="str">
        <f>VLOOKUP(A96,STUDENT!$A$2:$BR$105,68,0)</f>
        <v/>
      </c>
      <c r="G96" s="590" t="b">
        <f>VLOOKUP(A96,STUDENT!$A$2:$BR$105,67,0)</f>
        <v>0</v>
      </c>
      <c r="H96" s="590" t="str">
        <f>PASHEET!BB96</f>
        <v/>
      </c>
      <c r="I96" s="590" t="str">
        <f>PASHEET!BC96</f>
        <v/>
      </c>
      <c r="J96" s="590" t="str">
        <f>PASHEET!BD96</f>
        <v/>
      </c>
      <c r="K96" s="590" t="str">
        <f>PASHEET!BE96</f>
        <v/>
      </c>
      <c r="L96" s="590" t="str">
        <f>PASHEET!BF96</f>
        <v/>
      </c>
      <c r="M96" s="590" t="str">
        <f>PASHEET!BG96</f>
        <v/>
      </c>
      <c r="N96" s="590" t="str">
        <f>PASHEET!BH96</f>
        <v/>
      </c>
      <c r="O96" s="590" t="str">
        <f>PASHEET!BI96</f>
        <v/>
      </c>
      <c r="Q96" s="591" t="s">
        <v>482</v>
      </c>
      <c r="R96" s="591" t="s">
        <v>483</v>
      </c>
      <c r="S96" s="591" t="s">
        <v>101</v>
      </c>
      <c r="T96" s="591">
        <f>COUNTIFS(N4:N103,S96)</f>
        <v>0</v>
      </c>
      <c r="U96" s="591">
        <f>COUNTIFS(F4:F103,Q85,N4:N103,S96)</f>
        <v>0</v>
      </c>
      <c r="V96" s="591">
        <f>COUNTIFS(F4:F103,R85,N4:N103,S96)</f>
        <v>0</v>
      </c>
      <c r="W96" s="594"/>
      <c r="X96" s="594"/>
      <c r="Y96" s="594"/>
      <c r="Z96" s="594"/>
      <c r="AA96" s="594"/>
      <c r="AB96" s="591"/>
      <c r="AC96" s="591"/>
      <c r="AD96" s="591"/>
      <c r="AE96" s="595"/>
    </row>
    <row r="97" spans="1:31">
      <c r="A97" s="590">
        <v>94</v>
      </c>
      <c r="B97" s="596">
        <f>STUDENT!F95</f>
        <v>0</v>
      </c>
      <c r="C97" s="596">
        <f>STUDENT!D95</f>
        <v>0</v>
      </c>
      <c r="D97" s="597">
        <f>STUDENT!E95</f>
        <v>0</v>
      </c>
      <c r="E97" s="597">
        <f>STUDENT!H95</f>
        <v>0</v>
      </c>
      <c r="F97" s="590" t="str">
        <f>VLOOKUP(A97,STUDENT!$A$2:$BR$105,68,0)</f>
        <v/>
      </c>
      <c r="G97" s="590" t="b">
        <f>VLOOKUP(A97,STUDENT!$A$2:$BR$105,67,0)</f>
        <v>0</v>
      </c>
      <c r="H97" s="590" t="str">
        <f>PASHEET!BB97</f>
        <v/>
      </c>
      <c r="I97" s="590" t="str">
        <f>PASHEET!BC97</f>
        <v/>
      </c>
      <c r="J97" s="590" t="str">
        <f>PASHEET!BD97</f>
        <v/>
      </c>
      <c r="K97" s="590" t="str">
        <f>PASHEET!BE97</f>
        <v/>
      </c>
      <c r="L97" s="590" t="str">
        <f>PASHEET!BF97</f>
        <v/>
      </c>
      <c r="M97" s="590" t="str">
        <f>PASHEET!BG97</f>
        <v/>
      </c>
      <c r="N97" s="590" t="str">
        <f>PASHEET!BH97</f>
        <v/>
      </c>
      <c r="O97" s="590" t="str">
        <f>PASHEET!BI97</f>
        <v/>
      </c>
      <c r="Q97" s="591" t="s">
        <v>482</v>
      </c>
      <c r="R97" s="591" t="s">
        <v>483</v>
      </c>
      <c r="S97" s="591" t="s">
        <v>489</v>
      </c>
      <c r="T97" s="591">
        <f>COUNTIFS(N4:N103,S97)</f>
        <v>0</v>
      </c>
      <c r="U97" s="591">
        <f>COUNTIFS(F4:F103,Q86,N4:N103,S97)</f>
        <v>0</v>
      </c>
      <c r="V97" s="591">
        <f>COUNTIFS(F4:F103,R86,N4:N103,S97)</f>
        <v>0</v>
      </c>
      <c r="W97" s="594"/>
      <c r="X97" s="594"/>
      <c r="Y97" s="594"/>
      <c r="Z97" s="594"/>
      <c r="AA97" s="594"/>
      <c r="AB97" s="591"/>
      <c r="AC97" s="591"/>
      <c r="AD97" s="591"/>
      <c r="AE97" s="595"/>
    </row>
    <row r="98" spans="1:31">
      <c r="A98" s="596">
        <v>95</v>
      </c>
      <c r="B98" s="596">
        <f>STUDENT!F96</f>
        <v>0</v>
      </c>
      <c r="C98" s="596">
        <f>STUDENT!D96</f>
        <v>0</v>
      </c>
      <c r="D98" s="597">
        <f>STUDENT!E96</f>
        <v>0</v>
      </c>
      <c r="E98" s="597">
        <f>STUDENT!H96</f>
        <v>0</v>
      </c>
      <c r="F98" s="590" t="str">
        <f>VLOOKUP(A98,STUDENT!$A$2:$BR$105,68,0)</f>
        <v/>
      </c>
      <c r="G98" s="590" t="b">
        <f>VLOOKUP(A98,STUDENT!$A$2:$BR$105,67,0)</f>
        <v>0</v>
      </c>
      <c r="H98" s="590" t="str">
        <f>PASHEET!BB98</f>
        <v/>
      </c>
      <c r="I98" s="590" t="str">
        <f>PASHEET!BC98</f>
        <v/>
      </c>
      <c r="J98" s="590" t="str">
        <f>PASHEET!BD98</f>
        <v/>
      </c>
      <c r="K98" s="590" t="str">
        <f>PASHEET!BE98</f>
        <v/>
      </c>
      <c r="L98" s="590" t="str">
        <f>PASHEET!BF98</f>
        <v/>
      </c>
      <c r="M98" s="590" t="str">
        <f>PASHEET!BG98</f>
        <v/>
      </c>
      <c r="N98" s="590" t="str">
        <f>PASHEET!BH98</f>
        <v/>
      </c>
      <c r="O98" s="590" t="str">
        <f>PASHEET!BI98</f>
        <v/>
      </c>
      <c r="Q98" s="591" t="s">
        <v>482</v>
      </c>
      <c r="R98" s="591" t="s">
        <v>483</v>
      </c>
      <c r="S98" s="591"/>
      <c r="T98" s="591"/>
      <c r="U98" s="591"/>
      <c r="V98" s="591"/>
      <c r="W98" s="594"/>
      <c r="X98" s="594"/>
      <c r="Y98" s="594"/>
      <c r="Z98" s="594"/>
      <c r="AA98" s="594"/>
      <c r="AB98" s="591"/>
      <c r="AC98" s="591"/>
      <c r="AD98" s="591"/>
      <c r="AE98" s="595"/>
    </row>
    <row r="99" spans="1:31">
      <c r="A99" s="590">
        <v>96</v>
      </c>
      <c r="B99" s="596">
        <f>STUDENT!F97</f>
        <v>0</v>
      </c>
      <c r="C99" s="596">
        <f>STUDENT!D97</f>
        <v>0</v>
      </c>
      <c r="D99" s="597">
        <f>STUDENT!E97</f>
        <v>0</v>
      </c>
      <c r="E99" s="597">
        <f>STUDENT!H97</f>
        <v>0</v>
      </c>
      <c r="F99" s="590" t="str">
        <f>VLOOKUP(A99,STUDENT!$A$2:$BR$105,68,0)</f>
        <v/>
      </c>
      <c r="G99" s="590" t="b">
        <f>VLOOKUP(A99,STUDENT!$A$2:$BR$105,67,0)</f>
        <v>0</v>
      </c>
      <c r="H99" s="590" t="str">
        <f>PASHEET!BB99</f>
        <v/>
      </c>
      <c r="I99" s="590" t="str">
        <f>PASHEET!BC99</f>
        <v/>
      </c>
      <c r="J99" s="590" t="str">
        <f>PASHEET!BD99</f>
        <v/>
      </c>
      <c r="K99" s="590" t="str">
        <f>PASHEET!BE99</f>
        <v/>
      </c>
      <c r="L99" s="590" t="str">
        <f>PASHEET!BF99</f>
        <v/>
      </c>
      <c r="M99" s="590" t="str">
        <f>PASHEET!BG99</f>
        <v/>
      </c>
      <c r="N99" s="590" t="str">
        <f>PASHEET!BH99</f>
        <v/>
      </c>
      <c r="O99" s="590" t="str">
        <f>PASHEET!BI99</f>
        <v/>
      </c>
      <c r="Q99" s="591"/>
      <c r="R99" s="591"/>
      <c r="S99" s="591" t="s">
        <v>102</v>
      </c>
      <c r="T99" s="591">
        <f>SUM(T91:T98)</f>
        <v>0</v>
      </c>
      <c r="U99" s="591">
        <f t="shared" ref="U99:V99" si="14">SUM(U91:U98)</f>
        <v>0</v>
      </c>
      <c r="V99" s="591">
        <f t="shared" si="14"/>
        <v>0</v>
      </c>
      <c r="W99" s="594"/>
      <c r="X99" s="594"/>
      <c r="Y99" s="594"/>
      <c r="Z99" s="594"/>
      <c r="AA99" s="594"/>
      <c r="AB99" s="591"/>
      <c r="AC99" s="591"/>
      <c r="AD99" s="591"/>
      <c r="AE99" s="595"/>
    </row>
    <row r="100" spans="1:31">
      <c r="A100" s="596">
        <v>97</v>
      </c>
      <c r="B100" s="596">
        <f>STUDENT!F98</f>
        <v>0</v>
      </c>
      <c r="C100" s="596">
        <f>STUDENT!D98</f>
        <v>0</v>
      </c>
      <c r="D100" s="597">
        <f>STUDENT!E98</f>
        <v>0</v>
      </c>
      <c r="E100" s="597">
        <f>STUDENT!H98</f>
        <v>0</v>
      </c>
      <c r="F100" s="590" t="str">
        <f>VLOOKUP(A100,STUDENT!$A$2:$BR$105,68,0)</f>
        <v/>
      </c>
      <c r="G100" s="590" t="b">
        <f>VLOOKUP(A100,STUDENT!$A$2:$BR$105,67,0)</f>
        <v>0</v>
      </c>
      <c r="H100" s="590" t="str">
        <f>PASHEET!BB100</f>
        <v/>
      </c>
      <c r="I100" s="590" t="str">
        <f>PASHEET!BC100</f>
        <v/>
      </c>
      <c r="J100" s="590" t="str">
        <f>PASHEET!BD100</f>
        <v/>
      </c>
      <c r="K100" s="590" t="str">
        <f>PASHEET!BE100</f>
        <v/>
      </c>
      <c r="L100" s="590" t="str">
        <f>PASHEET!BF100</f>
        <v/>
      </c>
      <c r="M100" s="590" t="str">
        <f>PASHEET!BG100</f>
        <v/>
      </c>
      <c r="N100" s="590" t="str">
        <f>PASHEET!BH100</f>
        <v/>
      </c>
      <c r="O100" s="590" t="str">
        <f>PASHEET!BI100</f>
        <v/>
      </c>
      <c r="Q100" s="598"/>
      <c r="R100" s="598"/>
      <c r="S100" s="598"/>
      <c r="T100" s="598"/>
      <c r="U100" s="598"/>
      <c r="V100" s="598"/>
      <c r="W100" s="595"/>
      <c r="X100" s="595"/>
      <c r="Y100" s="595"/>
      <c r="Z100" s="595"/>
      <c r="AA100" s="595"/>
      <c r="AB100" s="598"/>
      <c r="AC100" s="598"/>
      <c r="AD100" s="598"/>
      <c r="AE100" s="595"/>
    </row>
    <row r="101" spans="1:31">
      <c r="A101" s="590">
        <v>98</v>
      </c>
      <c r="B101" s="596">
        <f>STUDENT!F99</f>
        <v>0</v>
      </c>
      <c r="C101" s="596">
        <f>STUDENT!D99</f>
        <v>0</v>
      </c>
      <c r="D101" s="597">
        <f>STUDENT!E99</f>
        <v>0</v>
      </c>
      <c r="E101" s="597">
        <f>STUDENT!H99</f>
        <v>0</v>
      </c>
      <c r="F101" s="590" t="str">
        <f>VLOOKUP(A101,STUDENT!$A$2:$BR$105,68,0)</f>
        <v/>
      </c>
      <c r="G101" s="590" t="b">
        <f>VLOOKUP(A101,STUDENT!$A$2:$BR$105,67,0)</f>
        <v>0</v>
      </c>
      <c r="H101" s="590" t="str">
        <f>PASHEET!BB101</f>
        <v/>
      </c>
      <c r="I101" s="590" t="str">
        <f>PASHEET!BC101</f>
        <v/>
      </c>
      <c r="J101" s="590" t="str">
        <f>PASHEET!BD101</f>
        <v/>
      </c>
      <c r="K101" s="590" t="str">
        <f>PASHEET!BE101</f>
        <v/>
      </c>
      <c r="L101" s="590" t="str">
        <f>PASHEET!BF101</f>
        <v/>
      </c>
      <c r="M101" s="590" t="str">
        <f>PASHEET!BG101</f>
        <v/>
      </c>
      <c r="N101" s="590" t="str">
        <f>PASHEET!BH101</f>
        <v/>
      </c>
      <c r="O101" s="590" t="str">
        <f>PASHEET!BI101</f>
        <v/>
      </c>
      <c r="Q101" s="598"/>
      <c r="R101" s="598"/>
      <c r="S101" s="598"/>
      <c r="T101" s="598"/>
      <c r="U101" s="598"/>
      <c r="V101" s="598"/>
      <c r="W101" s="595"/>
      <c r="X101" s="595"/>
      <c r="Y101" s="595"/>
      <c r="Z101" s="595"/>
      <c r="AA101" s="595"/>
      <c r="AB101" s="598"/>
      <c r="AC101" s="598"/>
      <c r="AD101" s="598"/>
      <c r="AE101" s="595"/>
    </row>
    <row r="102" spans="1:31">
      <c r="A102" s="596">
        <v>99</v>
      </c>
      <c r="B102" s="596">
        <f>STUDENT!F100</f>
        <v>0</v>
      </c>
      <c r="C102" s="596">
        <f>STUDENT!D100</f>
        <v>0</v>
      </c>
      <c r="D102" s="597">
        <f>STUDENT!E100</f>
        <v>0</v>
      </c>
      <c r="E102" s="597">
        <f>STUDENT!H100</f>
        <v>0</v>
      </c>
      <c r="F102" s="590" t="str">
        <f>VLOOKUP(A102,STUDENT!$A$2:$BR$105,68,0)</f>
        <v/>
      </c>
      <c r="G102" s="590" t="b">
        <f>VLOOKUP(A102,STUDENT!$A$2:$BR$105,67,0)</f>
        <v>0</v>
      </c>
      <c r="H102" s="590" t="str">
        <f>PASHEET!BB102</f>
        <v/>
      </c>
      <c r="I102" s="590" t="str">
        <f>PASHEET!BC102</f>
        <v/>
      </c>
      <c r="J102" s="590" t="str">
        <f>PASHEET!BD102</f>
        <v/>
      </c>
      <c r="K102" s="590" t="str">
        <f>PASHEET!BE102</f>
        <v/>
      </c>
      <c r="L102" s="590" t="str">
        <f>PASHEET!BF102</f>
        <v/>
      </c>
      <c r="M102" s="590" t="str">
        <f>PASHEET!BG102</f>
        <v/>
      </c>
      <c r="N102" s="590" t="str">
        <f>PASHEET!BH102</f>
        <v/>
      </c>
      <c r="O102" s="590" t="str">
        <f>PASHEET!BI102</f>
        <v/>
      </c>
      <c r="Q102" s="598"/>
      <c r="R102" s="598"/>
      <c r="S102" s="598"/>
      <c r="T102" s="598"/>
      <c r="U102" s="598"/>
      <c r="V102" s="598"/>
      <c r="W102" s="595"/>
      <c r="X102" s="595"/>
      <c r="Y102" s="595"/>
      <c r="Z102" s="595"/>
      <c r="AA102" s="595"/>
      <c r="AB102" s="598"/>
      <c r="AC102" s="598"/>
      <c r="AD102" s="598"/>
      <c r="AE102" s="595"/>
    </row>
    <row r="103" spans="1:31">
      <c r="A103" s="590">
        <v>100</v>
      </c>
      <c r="B103" s="596">
        <f>STUDENT!F101</f>
        <v>0</v>
      </c>
      <c r="C103" s="596">
        <f>STUDENT!D101</f>
        <v>0</v>
      </c>
      <c r="D103" s="597">
        <f>STUDENT!E101</f>
        <v>0</v>
      </c>
      <c r="E103" s="597">
        <f>STUDENT!H101</f>
        <v>0</v>
      </c>
      <c r="F103" s="590" t="str">
        <f>VLOOKUP(A103,STUDENT!$A$2:$BR$105,68,0)</f>
        <v/>
      </c>
      <c r="G103" s="590" t="b">
        <f>VLOOKUP(A103,STUDENT!$A$2:$BR$105,67,0)</f>
        <v>0</v>
      </c>
      <c r="H103" s="590" t="str">
        <f>PASHEET!BB103</f>
        <v/>
      </c>
      <c r="I103" s="590" t="str">
        <f>PASHEET!BC103</f>
        <v/>
      </c>
      <c r="J103" s="590" t="str">
        <f>PASHEET!BD103</f>
        <v/>
      </c>
      <c r="K103" s="590" t="str">
        <f>PASHEET!BE103</f>
        <v/>
      </c>
      <c r="L103" s="590" t="str">
        <f>PASHEET!BF103</f>
        <v/>
      </c>
      <c r="M103" s="590" t="str">
        <f>PASHEET!BG103</f>
        <v/>
      </c>
      <c r="N103" s="590" t="str">
        <f>PASHEET!BH103</f>
        <v/>
      </c>
      <c r="O103" s="590" t="str">
        <f>PASHEET!BI103</f>
        <v/>
      </c>
      <c r="Q103" s="598"/>
      <c r="R103" s="598"/>
      <c r="S103" s="598"/>
      <c r="T103" s="598"/>
      <c r="U103" s="598"/>
      <c r="V103" s="598"/>
      <c r="W103" s="595"/>
      <c r="X103" s="595"/>
      <c r="Y103" s="595"/>
      <c r="Z103" s="595"/>
      <c r="AA103" s="595"/>
      <c r="AB103" s="598"/>
      <c r="AC103" s="598"/>
      <c r="AD103" s="598"/>
      <c r="AE103" s="595"/>
    </row>
    <row r="104" spans="1:31">
      <c r="Q104" s="598"/>
      <c r="R104" s="598"/>
      <c r="S104" s="598"/>
      <c r="T104" s="598"/>
      <c r="U104" s="598"/>
      <c r="V104" s="598"/>
      <c r="W104" s="595"/>
      <c r="X104" s="595"/>
      <c r="Y104" s="595"/>
      <c r="Z104" s="595"/>
      <c r="AA104" s="595"/>
      <c r="AB104" s="598"/>
      <c r="AC104" s="598"/>
      <c r="AD104" s="598"/>
      <c r="AE104" s="595"/>
    </row>
    <row r="108" spans="1:31">
      <c r="A108" s="588"/>
      <c r="B108" s="589"/>
      <c r="C108" s="588"/>
      <c r="D108" s="588" t="s">
        <v>496</v>
      </c>
      <c r="E108" s="588"/>
      <c r="F108" s="576"/>
      <c r="G108" s="576"/>
      <c r="H108" s="590"/>
      <c r="I108" s="590"/>
      <c r="J108" s="590"/>
      <c r="K108" s="590"/>
      <c r="L108" s="590"/>
      <c r="M108" s="590"/>
      <c r="N108" s="590"/>
      <c r="O108" s="590"/>
    </row>
    <row r="109" ht="36" spans="1:31">
      <c r="A109" s="588" t="s">
        <v>109</v>
      </c>
      <c r="B109" s="589" t="s">
        <v>114</v>
      </c>
      <c r="C109" s="588" t="s">
        <v>112</v>
      </c>
      <c r="D109" s="588" t="s">
        <v>113</v>
      </c>
      <c r="E109" s="588" t="s">
        <v>327</v>
      </c>
      <c r="F109" s="576" t="s">
        <v>473</v>
      </c>
      <c r="G109" s="576" t="s">
        <v>474</v>
      </c>
      <c r="H109" s="590" t="s">
        <v>87</v>
      </c>
      <c r="I109" s="590" t="s">
        <v>350</v>
      </c>
      <c r="J109" s="590" t="s">
        <v>88</v>
      </c>
      <c r="K109" s="590" t="s">
        <v>351</v>
      </c>
      <c r="L109" s="590" t="s">
        <v>352</v>
      </c>
      <c r="M109" s="590" t="s">
        <v>353</v>
      </c>
      <c r="N109" s="590" t="s">
        <v>354</v>
      </c>
      <c r="O109" s="590" t="s">
        <v>102</v>
      </c>
      <c r="Q109" s="591" t="s">
        <v>475</v>
      </c>
      <c r="R109" s="591" t="s">
        <v>476</v>
      </c>
      <c r="S109" s="592" t="s">
        <v>477</v>
      </c>
      <c r="T109" s="593" t="s">
        <v>478</v>
      </c>
      <c r="U109" s="592" t="s">
        <v>479</v>
      </c>
      <c r="V109" s="592" t="s">
        <v>480</v>
      </c>
      <c r="W109" s="594"/>
      <c r="X109" s="591" t="s">
        <v>475</v>
      </c>
      <c r="Y109" s="591" t="s">
        <v>476</v>
      </c>
      <c r="Z109" s="591" t="s">
        <v>474</v>
      </c>
      <c r="AA109" s="592" t="s">
        <v>477</v>
      </c>
      <c r="AB109" s="593" t="s">
        <v>481</v>
      </c>
      <c r="AC109" s="592" t="s">
        <v>479</v>
      </c>
      <c r="AD109" s="592" t="s">
        <v>480</v>
      </c>
      <c r="AE109" s="594"/>
    </row>
    <row r="110" spans="1:31">
      <c r="A110" s="588"/>
      <c r="B110" s="589"/>
      <c r="C110" s="588"/>
      <c r="D110" s="588"/>
      <c r="E110" s="588"/>
      <c r="F110" s="576"/>
      <c r="G110" s="576"/>
      <c r="H110" s="590"/>
      <c r="I110" s="590"/>
      <c r="J110" s="590"/>
      <c r="K110" s="590"/>
      <c r="L110" s="590"/>
      <c r="M110" s="590"/>
      <c r="N110" s="590"/>
      <c r="O110" s="590"/>
      <c r="Q110" s="591" t="s">
        <v>482</v>
      </c>
      <c r="R110" s="591" t="s">
        <v>483</v>
      </c>
      <c r="S110" s="591" t="s">
        <v>50</v>
      </c>
      <c r="T110" s="591">
        <f>COUNTIFS(O111:O210,S110)</f>
        <v>0</v>
      </c>
      <c r="U110" s="591">
        <f>COUNTIFS(F111:F210,Q110,O111:O210,S110)</f>
        <v>0</v>
      </c>
      <c r="V110" s="591">
        <f t="shared" ref="V110:V116" si="15">COUNTIFS(F111:F210,R110,O111:O210,S110)</f>
        <v>0</v>
      </c>
      <c r="W110" s="594"/>
      <c r="X110" s="591" t="s">
        <v>482</v>
      </c>
      <c r="Y110" s="591" t="s">
        <v>483</v>
      </c>
      <c r="Z110" s="591" t="s">
        <v>484</v>
      </c>
      <c r="AA110" s="591" t="s">
        <v>50</v>
      </c>
      <c r="AB110" s="591">
        <f>COUNTIFS(G111:G210,Z110,O111:O210,S110)</f>
        <v>0</v>
      </c>
      <c r="AC110" s="591">
        <f>COUNTIFS(F111:F210,X110,G111:G210,Z110,O111:O210,S110)</f>
        <v>0</v>
      </c>
      <c r="AD110" s="591">
        <f>COUNTIFS(F111:F210,Y110,G111:G210,Z110,O111:O210,S110)</f>
        <v>0</v>
      </c>
      <c r="AE110" s="594"/>
    </row>
    <row r="111" spans="1:31">
      <c r="A111" s="596">
        <v>1</v>
      </c>
      <c r="B111" s="596">
        <f>B4</f>
        <v>14779</v>
      </c>
      <c r="C111" s="596">
        <f t="shared" ref="C111:E111" si="16">C4</f>
        <v>20220171896</v>
      </c>
      <c r="D111" s="597" t="str">
        <f t="shared" si="16"/>
        <v>NAKSH</v>
      </c>
      <c r="E111" s="597" t="str">
        <f t="shared" si="16"/>
        <v>NARESH</v>
      </c>
      <c r="F111" s="590" t="str">
        <f>VLOOKUP(A111,STUDENT!$A$2:$BR$105,68,0)</f>
        <v/>
      </c>
      <c r="G111" s="590" t="b">
        <f>VLOOKUP(A111,STUDENT!$A$2:$BR$105,67,0)</f>
        <v>0</v>
      </c>
      <c r="H111" s="590" t="str">
        <f>PASHEET!BJ4</f>
        <v/>
      </c>
      <c r="I111" s="590" t="str">
        <f>PASHEET!BK4</f>
        <v/>
      </c>
      <c r="J111" s="590" t="str">
        <f>PASHEET!BL4</f>
        <v/>
      </c>
      <c r="K111" s="590" t="str">
        <f>PASHEET!BM4</f>
        <v/>
      </c>
      <c r="L111" s="590" t="str">
        <f>PASHEET!BN4</f>
        <v/>
      </c>
      <c r="M111" s="590" t="str">
        <f>PASHEET!BO4</f>
        <v/>
      </c>
      <c r="N111" s="590" t="str">
        <f>PASHEET!BP4</f>
        <v/>
      </c>
      <c r="O111" s="590" t="str">
        <f>PASHEET!BQ4</f>
        <v>Ab</v>
      </c>
      <c r="Q111" s="591" t="s">
        <v>482</v>
      </c>
      <c r="R111" s="591" t="s">
        <v>483</v>
      </c>
      <c r="S111" s="591" t="s">
        <v>485</v>
      </c>
      <c r="T111" s="591">
        <f>COUNTIFS(O111:O210,S111)</f>
        <v>0</v>
      </c>
      <c r="U111" s="591">
        <f>COUNTIFS(F111:F210,Q111,O111:O210,S111)</f>
        <v>0</v>
      </c>
      <c r="V111" s="591">
        <f t="shared" si="15"/>
        <v>0</v>
      </c>
      <c r="W111" s="594"/>
      <c r="X111" s="591" t="s">
        <v>482</v>
      </c>
      <c r="Y111" s="591" t="s">
        <v>483</v>
      </c>
      <c r="Z111" s="591" t="s">
        <v>484</v>
      </c>
      <c r="AA111" s="591" t="s">
        <v>485</v>
      </c>
      <c r="AB111" s="591">
        <f>COUNTIFS(G111:G210,Z111,O111:O210,S111)</f>
        <v>0</v>
      </c>
      <c r="AC111" s="591">
        <f>COUNTIFS(F111:F210,X111,G111:G210,Z111,O111:O210,S111)</f>
        <v>0</v>
      </c>
      <c r="AD111" s="591">
        <f>COUNTIFS(F111:F210,Y111,G111:G210,Z111,O111:O210,S111)</f>
        <v>0</v>
      </c>
      <c r="AE111" s="594"/>
    </row>
    <row r="112" spans="1:31">
      <c r="A112" s="590">
        <v>2</v>
      </c>
      <c r="B112" s="596">
        <f t="shared" ref="B112:E112" si="17">B5</f>
        <v>14733</v>
      </c>
      <c r="C112" s="596">
        <f t="shared" si="17"/>
        <v>20220354217</v>
      </c>
      <c r="D112" s="597" t="str">
        <f t="shared" si="17"/>
        <v>NAVEEN</v>
      </c>
      <c r="E112" s="597" t="str">
        <f t="shared" si="17"/>
        <v>SANJAY</v>
      </c>
      <c r="F112" s="590" t="str">
        <f>VLOOKUP(A112,STUDENT!$A$2:$BR$105,68,0)</f>
        <v/>
      </c>
      <c r="G112" s="590" t="b">
        <f>VLOOKUP(A112,STUDENT!$A$2:$BR$105,67,0)</f>
        <v>0</v>
      </c>
      <c r="H112" s="590" t="str">
        <f>PASHEET!BJ5</f>
        <v/>
      </c>
      <c r="I112" s="590" t="str">
        <f>PASHEET!BK5</f>
        <v/>
      </c>
      <c r="J112" s="590" t="str">
        <f>PASHEET!BL5</f>
        <v/>
      </c>
      <c r="K112" s="590" t="str">
        <f>PASHEET!BM5</f>
        <v/>
      </c>
      <c r="L112" s="590" t="str">
        <f>PASHEET!BN5</f>
        <v/>
      </c>
      <c r="M112" s="590" t="str">
        <f>PASHEET!BO5</f>
        <v/>
      </c>
      <c r="N112" s="590" t="str">
        <f>PASHEET!BP5</f>
        <v/>
      </c>
      <c r="O112" s="590" t="str">
        <f>PASHEET!BQ5</f>
        <v>Ab</v>
      </c>
      <c r="Q112" s="591" t="s">
        <v>482</v>
      </c>
      <c r="R112" s="591" t="s">
        <v>483</v>
      </c>
      <c r="S112" s="591" t="s">
        <v>486</v>
      </c>
      <c r="T112" s="591">
        <f>COUNTIFS(O111:O210,S112)</f>
        <v>0</v>
      </c>
      <c r="U112" s="591">
        <f>COUNTIFS(F111:F210,Q112,O111:O210,S112)</f>
        <v>0</v>
      </c>
      <c r="V112" s="591">
        <f t="shared" si="15"/>
        <v>0</v>
      </c>
      <c r="W112" s="594"/>
      <c r="X112" s="591" t="s">
        <v>482</v>
      </c>
      <c r="Y112" s="591" t="s">
        <v>483</v>
      </c>
      <c r="Z112" s="591" t="s">
        <v>484</v>
      </c>
      <c r="AA112" s="591" t="s">
        <v>486</v>
      </c>
      <c r="AB112" s="591">
        <f>COUNTIFS(G111:G210,Z112,O111:O210,S112)</f>
        <v>0</v>
      </c>
      <c r="AC112" s="591">
        <f>COUNTIFS(F111:F210,X112,G111:G210,Z112,O111:O210,S112)</f>
        <v>0</v>
      </c>
      <c r="AD112" s="591">
        <f>COUNTIFS(F111:F210,Y112,G111:G210,Z112,O111:O210,S112)</f>
        <v>0</v>
      </c>
      <c r="AE112" s="594"/>
    </row>
    <row r="113" spans="1:31">
      <c r="A113" s="596">
        <v>3</v>
      </c>
      <c r="B113" s="596">
        <f t="shared" ref="B113:E113" si="18">B6</f>
        <v>14757</v>
      </c>
      <c r="C113" s="596">
        <f t="shared" si="18"/>
        <v>20220402586</v>
      </c>
      <c r="D113" s="597" t="str">
        <f t="shared" si="18"/>
        <v>AADITYA KUMAR</v>
      </c>
      <c r="E113" s="597" t="str">
        <f t="shared" si="18"/>
        <v>DHARMENDRA KUMAR</v>
      </c>
      <c r="F113" s="590" t="str">
        <f>VLOOKUP(A113,STUDENT!$A$2:$BR$105,68,0)</f>
        <v/>
      </c>
      <c r="G113" s="590" t="b">
        <f>VLOOKUP(A113,STUDENT!$A$2:$BR$105,67,0)</f>
        <v>0</v>
      </c>
      <c r="H113" s="590" t="str">
        <f>PASHEET!BJ6</f>
        <v/>
      </c>
      <c r="I113" s="590" t="str">
        <f>PASHEET!BK6</f>
        <v/>
      </c>
      <c r="J113" s="590" t="str">
        <f>PASHEET!BL6</f>
        <v/>
      </c>
      <c r="K113" s="590" t="str">
        <f>PASHEET!BM6</f>
        <v/>
      </c>
      <c r="L113" s="590" t="str">
        <f>PASHEET!BN6</f>
        <v/>
      </c>
      <c r="M113" s="590" t="str">
        <f>PASHEET!BO6</f>
        <v/>
      </c>
      <c r="N113" s="590" t="str">
        <f>PASHEET!BP6</f>
        <v/>
      </c>
      <c r="O113" s="590" t="str">
        <f>PASHEET!BQ6</f>
        <v>Ab</v>
      </c>
      <c r="Q113" s="591" t="s">
        <v>482</v>
      </c>
      <c r="R113" s="591" t="s">
        <v>483</v>
      </c>
      <c r="S113" s="591" t="s">
        <v>487</v>
      </c>
      <c r="T113" s="591">
        <f>COUNTIFS(O111:O210,S113)</f>
        <v>0</v>
      </c>
      <c r="U113" s="591">
        <f>COUNTIFS(F111:F210,Q113,O111:O210,S113)</f>
        <v>0</v>
      </c>
      <c r="V113" s="591">
        <f t="shared" si="15"/>
        <v>0</v>
      </c>
      <c r="W113" s="594"/>
      <c r="X113" s="591" t="s">
        <v>482</v>
      </c>
      <c r="Y113" s="591" t="s">
        <v>483</v>
      </c>
      <c r="Z113" s="591" t="s">
        <v>484</v>
      </c>
      <c r="AA113" s="591" t="s">
        <v>487</v>
      </c>
      <c r="AB113" s="591">
        <f>COUNTIFS(G111:G210,Z113,O111:O210,S113)</f>
        <v>0</v>
      </c>
      <c r="AC113" s="591">
        <f>COUNTIFS(F111:F210,X113,G111:G210,Z113,O111:O210,S113)</f>
        <v>0</v>
      </c>
      <c r="AD113" s="591">
        <f>COUNTIFS(F111:F210,Y113,G111:G210,Z113,O111:O210,S113)</f>
        <v>0</v>
      </c>
      <c r="AE113" s="594"/>
    </row>
    <row r="114" spans="1:31">
      <c r="A114" s="590">
        <v>4</v>
      </c>
      <c r="B114" s="596">
        <f t="shared" ref="B114:E114" si="19">B7</f>
        <v>14778</v>
      </c>
      <c r="C114" s="596">
        <f t="shared" si="19"/>
        <v>20220448164</v>
      </c>
      <c r="D114" s="597" t="str">
        <f t="shared" si="19"/>
        <v>PRINCE KUMAR RAY</v>
      </c>
      <c r="E114" s="597" t="str">
        <f t="shared" si="19"/>
        <v>RAMSHARAN RAY</v>
      </c>
      <c r="F114" s="590" t="str">
        <f>VLOOKUP(A114,STUDENT!$A$2:$BR$105,68,0)</f>
        <v/>
      </c>
      <c r="G114" s="590" t="b">
        <f>VLOOKUP(A114,STUDENT!$A$2:$BR$105,67,0)</f>
        <v>0</v>
      </c>
      <c r="H114" s="590" t="str">
        <f>PASHEET!BJ7</f>
        <v/>
      </c>
      <c r="I114" s="590" t="str">
        <f>PASHEET!BK7</f>
        <v/>
      </c>
      <c r="J114" s="590" t="str">
        <f>PASHEET!BL7</f>
        <v/>
      </c>
      <c r="K114" s="590" t="str">
        <f>PASHEET!BM7</f>
        <v/>
      </c>
      <c r="L114" s="590" t="str">
        <f>PASHEET!BN7</f>
        <v/>
      </c>
      <c r="M114" s="590" t="str">
        <f>PASHEET!BO7</f>
        <v/>
      </c>
      <c r="N114" s="590" t="str">
        <f>PASHEET!BP7</f>
        <v/>
      </c>
      <c r="O114" s="590" t="str">
        <f>PASHEET!BQ7</f>
        <v>Ab</v>
      </c>
      <c r="Q114" s="591" t="s">
        <v>482</v>
      </c>
      <c r="R114" s="591" t="s">
        <v>483</v>
      </c>
      <c r="S114" s="591" t="s">
        <v>488</v>
      </c>
      <c r="T114" s="591">
        <f>COUNTIFS(O111:O210,S114)</f>
        <v>0</v>
      </c>
      <c r="U114" s="591">
        <f>COUNTIFS(F111:F210,Q114,O111:O210,S114)</f>
        <v>0</v>
      </c>
      <c r="V114" s="591">
        <f t="shared" si="15"/>
        <v>0</v>
      </c>
      <c r="W114" s="594"/>
      <c r="X114" s="591" t="s">
        <v>482</v>
      </c>
      <c r="Y114" s="591" t="s">
        <v>483</v>
      </c>
      <c r="Z114" s="591" t="s">
        <v>484</v>
      </c>
      <c r="AA114" s="591" t="s">
        <v>488</v>
      </c>
      <c r="AB114" s="591">
        <f>COUNTIFS(G111:G210,Z114,O111:O210,S114)</f>
        <v>0</v>
      </c>
      <c r="AC114" s="591">
        <f>COUNTIFS(F111:F210,X114,G111:G210,Z114,O111:O210,S114)</f>
        <v>0</v>
      </c>
      <c r="AD114" s="591">
        <f>COUNTIFS(F111:F210,Y114,G111:G210,Z114,O111:O210,S114)</f>
        <v>0</v>
      </c>
      <c r="AE114" s="594"/>
    </row>
    <row r="115" spans="1:31">
      <c r="A115" s="596">
        <v>5</v>
      </c>
      <c r="B115" s="596">
        <f t="shared" ref="B115:E115" si="20">B8</f>
        <v>14785</v>
      </c>
      <c r="C115" s="596">
        <f t="shared" si="20"/>
        <v>20220482313</v>
      </c>
      <c r="D115" s="597" t="str">
        <f t="shared" si="20"/>
        <v>KIRSHNA</v>
      </c>
      <c r="E115" s="597" t="str">
        <f t="shared" si="20"/>
        <v>VISHNU KASHYAP</v>
      </c>
      <c r="F115" s="590" t="str">
        <f>VLOOKUP(A115,STUDENT!$A$2:$BR$105,68,0)</f>
        <v/>
      </c>
      <c r="G115" s="590" t="b">
        <f>VLOOKUP(A115,STUDENT!$A$2:$BR$105,67,0)</f>
        <v>0</v>
      </c>
      <c r="H115" s="590" t="str">
        <f>PASHEET!BJ8</f>
        <v/>
      </c>
      <c r="I115" s="590" t="str">
        <f>PASHEET!BK8</f>
        <v/>
      </c>
      <c r="J115" s="590" t="str">
        <f>PASHEET!BL8</f>
        <v/>
      </c>
      <c r="K115" s="590" t="str">
        <f>PASHEET!BM8</f>
        <v/>
      </c>
      <c r="L115" s="590" t="str">
        <f>PASHEET!BN8</f>
        <v/>
      </c>
      <c r="M115" s="590" t="str">
        <f>PASHEET!BO8</f>
        <v/>
      </c>
      <c r="N115" s="590" t="str">
        <f>PASHEET!BP8</f>
        <v/>
      </c>
      <c r="O115" s="590" t="str">
        <f>PASHEET!BQ8</f>
        <v>Ab</v>
      </c>
      <c r="Q115" s="591" t="s">
        <v>482</v>
      </c>
      <c r="R115" s="591" t="s">
        <v>483</v>
      </c>
      <c r="S115" s="591" t="s">
        <v>101</v>
      </c>
      <c r="T115" s="591">
        <f>COUNTIFS(O111:O210,S115)</f>
        <v>39</v>
      </c>
      <c r="U115" s="591">
        <f>COUNTIFS(F111:F210,Q115,O111:O210,S115)</f>
        <v>0</v>
      </c>
      <c r="V115" s="591">
        <f t="shared" si="15"/>
        <v>0</v>
      </c>
      <c r="W115" s="594"/>
      <c r="X115" s="591" t="s">
        <v>482</v>
      </c>
      <c r="Y115" s="591" t="s">
        <v>483</v>
      </c>
      <c r="Z115" s="591" t="s">
        <v>484</v>
      </c>
      <c r="AA115" s="591" t="s">
        <v>101</v>
      </c>
      <c r="AB115" s="591">
        <f>COUNTIFS(G111:G210,Z115,O111:O210,S115)</f>
        <v>0</v>
      </c>
      <c r="AC115" s="591">
        <f>COUNTIFS(F111:F210,X115,G111:G210,Z115,O111:O210,S115)</f>
        <v>0</v>
      </c>
      <c r="AD115" s="591">
        <f>COUNTIFS(F111:F210,Y115,G111:G210,Z115,O111:O210,S115)</f>
        <v>0</v>
      </c>
      <c r="AE115" s="594"/>
    </row>
    <row r="116" spans="1:31">
      <c r="A116" s="590">
        <v>6</v>
      </c>
      <c r="B116" s="596">
        <f t="shared" ref="B116:E116" si="21">B9</f>
        <v>14780</v>
      </c>
      <c r="C116" s="596">
        <f t="shared" si="21"/>
        <v>20230048303</v>
      </c>
      <c r="D116" s="597" t="str">
        <f t="shared" si="21"/>
        <v>MD SOPHIYAN ALAM</v>
      </c>
      <c r="E116" s="597" t="str">
        <f t="shared" si="21"/>
        <v>MD TABREJ ALAM</v>
      </c>
      <c r="F116" s="590" t="str">
        <f>VLOOKUP(A116,STUDENT!$A$2:$BR$105,68,0)</f>
        <v/>
      </c>
      <c r="G116" s="590" t="b">
        <f>VLOOKUP(A116,STUDENT!$A$2:$BR$105,67,0)</f>
        <v>0</v>
      </c>
      <c r="H116" s="590" t="str">
        <f>PASHEET!BJ9</f>
        <v/>
      </c>
      <c r="I116" s="590" t="str">
        <f>PASHEET!BK9</f>
        <v/>
      </c>
      <c r="J116" s="590" t="str">
        <f>PASHEET!BL9</f>
        <v/>
      </c>
      <c r="K116" s="590" t="str">
        <f>PASHEET!BM9</f>
        <v/>
      </c>
      <c r="L116" s="590" t="str">
        <f>PASHEET!BN9</f>
        <v/>
      </c>
      <c r="M116" s="590" t="str">
        <f>PASHEET!BO9</f>
        <v/>
      </c>
      <c r="N116" s="590" t="str">
        <f>PASHEET!BP9</f>
        <v/>
      </c>
      <c r="O116" s="590" t="str">
        <f>PASHEET!BQ9</f>
        <v>Ab</v>
      </c>
      <c r="Q116" s="591" t="s">
        <v>482</v>
      </c>
      <c r="R116" s="591" t="s">
        <v>483</v>
      </c>
      <c r="S116" s="591" t="s">
        <v>489</v>
      </c>
      <c r="T116" s="591">
        <f>COUNTIFS(O111:O210,S116)</f>
        <v>0</v>
      </c>
      <c r="U116" s="591">
        <f>COUNTIFS(F111:F210,Q116,O111:O210,S116)</f>
        <v>0</v>
      </c>
      <c r="V116" s="591">
        <f t="shared" si="15"/>
        <v>0</v>
      </c>
      <c r="W116" s="594"/>
      <c r="X116" s="591" t="s">
        <v>482</v>
      </c>
      <c r="Y116" s="591" t="s">
        <v>483</v>
      </c>
      <c r="Z116" s="591" t="s">
        <v>484</v>
      </c>
      <c r="AA116" s="591" t="s">
        <v>489</v>
      </c>
      <c r="AB116" s="591">
        <f>COUNTIFS(G111:G210,Z116,O111:O210,S116)</f>
        <v>0</v>
      </c>
      <c r="AC116" s="591">
        <f>COUNTIFS(F111:F210,X116,G111:G210,Z116,O111:O210,S116)</f>
        <v>0</v>
      </c>
      <c r="AD116" s="591">
        <f>COUNTIFS(F111:F210,Y116,G111:G210,Z116,O111:O210,S116)</f>
        <v>0</v>
      </c>
      <c r="AE116" s="594"/>
    </row>
    <row r="117" spans="1:31">
      <c r="A117" s="596">
        <v>7</v>
      </c>
      <c r="B117" s="596">
        <f t="shared" ref="B117:E117" si="22">B10</f>
        <v>14773</v>
      </c>
      <c r="C117" s="596">
        <f t="shared" si="22"/>
        <v>20230083520</v>
      </c>
      <c r="D117" s="597" t="str">
        <f t="shared" si="22"/>
        <v>MD SAUBAN</v>
      </c>
      <c r="E117" s="597" t="str">
        <f t="shared" si="22"/>
        <v>MD IRSHAD</v>
      </c>
      <c r="F117" s="590" t="str">
        <f>VLOOKUP(A117,STUDENT!$A$2:$BR$105,68,0)</f>
        <v/>
      </c>
      <c r="G117" s="590" t="b">
        <f>VLOOKUP(A117,STUDENT!$A$2:$BR$105,67,0)</f>
        <v>0</v>
      </c>
      <c r="H117" s="590" t="str">
        <f>PASHEET!BJ10</f>
        <v/>
      </c>
      <c r="I117" s="590" t="str">
        <f>PASHEET!BK10</f>
        <v/>
      </c>
      <c r="J117" s="590" t="str">
        <f>PASHEET!BL10</f>
        <v/>
      </c>
      <c r="K117" s="590" t="str">
        <f>PASHEET!BM10</f>
        <v/>
      </c>
      <c r="L117" s="590" t="str">
        <f>PASHEET!BN10</f>
        <v/>
      </c>
      <c r="M117" s="590" t="str">
        <f>PASHEET!BO10</f>
        <v/>
      </c>
      <c r="N117" s="590" t="str">
        <f>PASHEET!BP10</f>
        <v/>
      </c>
      <c r="O117" s="590" t="str">
        <f>PASHEET!BQ10</f>
        <v>Ab</v>
      </c>
      <c r="Q117" s="591" t="s">
        <v>482</v>
      </c>
      <c r="R117" s="591" t="s">
        <v>483</v>
      </c>
      <c r="S117" s="591"/>
      <c r="T117" s="591"/>
      <c r="U117" s="591"/>
      <c r="V117" s="591"/>
      <c r="W117" s="594"/>
      <c r="X117" s="591" t="s">
        <v>482</v>
      </c>
      <c r="Y117" s="591" t="s">
        <v>483</v>
      </c>
      <c r="Z117" s="591" t="s">
        <v>484</v>
      </c>
      <c r="AA117" s="591"/>
      <c r="AB117" s="591"/>
      <c r="AC117" s="591"/>
      <c r="AD117" s="591"/>
      <c r="AE117" s="594"/>
    </row>
    <row r="118" spans="1:31">
      <c r="A118" s="590">
        <v>8</v>
      </c>
      <c r="B118" s="596">
        <f t="shared" ref="B118:E118" si="23">B11</f>
        <v>14769</v>
      </c>
      <c r="C118" s="596">
        <f t="shared" si="23"/>
        <v>20230095636</v>
      </c>
      <c r="D118" s="597" t="str">
        <f t="shared" si="23"/>
        <v>DEEPANSHU</v>
      </c>
      <c r="E118" s="597" t="str">
        <f t="shared" si="23"/>
        <v>AKHILESH KUMAR</v>
      </c>
      <c r="F118" s="590" t="str">
        <f>VLOOKUP(A118,STUDENT!$A$2:$BR$105,68,0)</f>
        <v/>
      </c>
      <c r="G118" s="590" t="b">
        <f>VLOOKUP(A118,STUDENT!$A$2:$BR$105,67,0)</f>
        <v>0</v>
      </c>
      <c r="H118" s="590" t="str">
        <f>PASHEET!BJ11</f>
        <v/>
      </c>
      <c r="I118" s="590" t="str">
        <f>PASHEET!BK11</f>
        <v/>
      </c>
      <c r="J118" s="590" t="str">
        <f>PASHEET!BL11</f>
        <v/>
      </c>
      <c r="K118" s="590" t="str">
        <f>PASHEET!BM11</f>
        <v/>
      </c>
      <c r="L118" s="590" t="str">
        <f>PASHEET!BN11</f>
        <v/>
      </c>
      <c r="M118" s="590" t="str">
        <f>PASHEET!BO11</f>
        <v/>
      </c>
      <c r="N118" s="590" t="str">
        <f>PASHEET!BP11</f>
        <v/>
      </c>
      <c r="O118" s="590" t="str">
        <f>PASHEET!BQ11</f>
        <v>Ab</v>
      </c>
      <c r="Q118" s="591"/>
      <c r="R118" s="591"/>
      <c r="S118" s="591" t="s">
        <v>102</v>
      </c>
      <c r="T118" s="591">
        <f>SUM(T110:T117)</f>
        <v>39</v>
      </c>
      <c r="U118" s="591">
        <f t="shared" ref="U118:V118" si="24">SUM(U110:U117)</f>
        <v>0</v>
      </c>
      <c r="V118" s="591">
        <f t="shared" si="24"/>
        <v>0</v>
      </c>
      <c r="W118" s="594"/>
      <c r="X118" s="591"/>
      <c r="Y118" s="591"/>
      <c r="Z118" s="591"/>
      <c r="AA118" s="591" t="s">
        <v>102</v>
      </c>
      <c r="AB118" s="591">
        <f>SUM(AB110:AB117)</f>
        <v>0</v>
      </c>
      <c r="AC118" s="591">
        <f t="shared" ref="AC118:AD118" si="25">SUM(AC110:AC117)</f>
        <v>0</v>
      </c>
      <c r="AD118" s="591">
        <f t="shared" si="25"/>
        <v>0</v>
      </c>
      <c r="AE118" s="594"/>
    </row>
    <row r="119" spans="1:31">
      <c r="A119" s="596">
        <v>9</v>
      </c>
      <c r="B119" s="596">
        <f t="shared" ref="B119:E119" si="26">B12</f>
        <v>14754</v>
      </c>
      <c r="C119" s="596">
        <f t="shared" si="26"/>
        <v>20230130143</v>
      </c>
      <c r="D119" s="597" t="str">
        <f t="shared" si="26"/>
        <v>ANUJ</v>
      </c>
      <c r="E119" s="597" t="str">
        <f t="shared" si="26"/>
        <v>RANJEET DAS</v>
      </c>
      <c r="F119" s="590" t="str">
        <f>VLOOKUP(A119,STUDENT!$A$2:$BR$105,68,0)</f>
        <v/>
      </c>
      <c r="G119" s="590" t="b">
        <f>VLOOKUP(A119,STUDENT!$A$2:$BR$105,67,0)</f>
        <v>0</v>
      </c>
      <c r="H119" s="590" t="str">
        <f>PASHEET!BJ12</f>
        <v/>
      </c>
      <c r="I119" s="590" t="str">
        <f>PASHEET!BK12</f>
        <v/>
      </c>
      <c r="J119" s="590" t="str">
        <f>PASHEET!BL12</f>
        <v/>
      </c>
      <c r="K119" s="590" t="str">
        <f>PASHEET!BM12</f>
        <v/>
      </c>
      <c r="L119" s="590" t="str">
        <f>PASHEET!BN12</f>
        <v/>
      </c>
      <c r="M119" s="590" t="str">
        <f>PASHEET!BO12</f>
        <v/>
      </c>
      <c r="N119" s="590" t="str">
        <f>PASHEET!BP12</f>
        <v/>
      </c>
      <c r="O119" s="590" t="str">
        <f>PASHEET!BQ12</f>
        <v>Ab</v>
      </c>
      <c r="Q119" s="591"/>
      <c r="R119" s="591"/>
      <c r="S119" s="591"/>
      <c r="T119" s="591"/>
      <c r="U119" s="591"/>
      <c r="V119" s="591"/>
      <c r="W119" s="594"/>
      <c r="X119" s="594"/>
      <c r="Y119" s="594"/>
      <c r="Z119" s="594"/>
      <c r="AA119" s="594"/>
      <c r="AB119" s="591"/>
      <c r="AC119" s="591"/>
      <c r="AD119" s="591"/>
      <c r="AE119" s="594"/>
    </row>
    <row r="120" spans="1:31">
      <c r="A120" s="590">
        <v>10</v>
      </c>
      <c r="B120" s="596">
        <f t="shared" ref="B120:E120" si="27">B13</f>
        <v>14774</v>
      </c>
      <c r="C120" s="596">
        <f t="shared" si="27"/>
        <v>20230268614</v>
      </c>
      <c r="D120" s="597" t="str">
        <f t="shared" si="27"/>
        <v>PIYUSH KUMAR</v>
      </c>
      <c r="E120" s="597" t="str">
        <f t="shared" si="27"/>
        <v>MUNNA LAL</v>
      </c>
      <c r="F120" s="590" t="str">
        <f>VLOOKUP(A120,STUDENT!$A$2:$BR$105,68,0)</f>
        <v/>
      </c>
      <c r="G120" s="590" t="b">
        <f>VLOOKUP(A120,STUDENT!$A$2:$BR$105,67,0)</f>
        <v>0</v>
      </c>
      <c r="H120" s="590" t="str">
        <f>PASHEET!BJ13</f>
        <v/>
      </c>
      <c r="I120" s="590" t="str">
        <f>PASHEET!BK13</f>
        <v/>
      </c>
      <c r="J120" s="590" t="str">
        <f>PASHEET!BL13</f>
        <v/>
      </c>
      <c r="K120" s="590" t="str">
        <f>PASHEET!BM13</f>
        <v/>
      </c>
      <c r="L120" s="590" t="str">
        <f>PASHEET!BN13</f>
        <v/>
      </c>
      <c r="M120" s="590" t="str">
        <f>PASHEET!BO13</f>
        <v/>
      </c>
      <c r="N120" s="590" t="str">
        <f>PASHEET!BP13</f>
        <v/>
      </c>
      <c r="O120" s="590" t="str">
        <f>PASHEET!BQ13</f>
        <v>Ab</v>
      </c>
      <c r="Q120" s="591"/>
      <c r="R120" s="591"/>
      <c r="S120" s="591"/>
      <c r="T120" s="591"/>
      <c r="U120" s="591"/>
      <c r="V120" s="591"/>
      <c r="W120" s="594"/>
      <c r="X120" s="594"/>
      <c r="Y120" s="594"/>
      <c r="Z120" s="594"/>
      <c r="AA120" s="594"/>
      <c r="AB120" s="591"/>
      <c r="AC120" s="591"/>
      <c r="AD120" s="591"/>
      <c r="AE120" s="594"/>
    </row>
    <row r="121" spans="1:31">
      <c r="A121" s="596">
        <v>11</v>
      </c>
      <c r="B121" s="596">
        <f t="shared" ref="B121:E121" si="28">B14</f>
        <v>14775</v>
      </c>
      <c r="C121" s="596">
        <f t="shared" si="28"/>
        <v>20230349168</v>
      </c>
      <c r="D121" s="597" t="str">
        <f t="shared" si="28"/>
        <v>MD MAHTAB</v>
      </c>
      <c r="E121" s="597" t="str">
        <f t="shared" si="28"/>
        <v>MD ASRAF</v>
      </c>
      <c r="F121" s="590" t="str">
        <f>VLOOKUP(A121,STUDENT!$A$2:$BR$105,68,0)</f>
        <v/>
      </c>
      <c r="G121" s="590" t="b">
        <f>VLOOKUP(A121,STUDENT!$A$2:$BR$105,67,0)</f>
        <v>0</v>
      </c>
      <c r="H121" s="590" t="str">
        <f>PASHEET!BJ14</f>
        <v/>
      </c>
      <c r="I121" s="590" t="str">
        <f>PASHEET!BK14</f>
        <v/>
      </c>
      <c r="J121" s="590" t="str">
        <f>PASHEET!BL14</f>
        <v/>
      </c>
      <c r="K121" s="590" t="str">
        <f>PASHEET!BM14</f>
        <v/>
      </c>
      <c r="L121" s="590" t="str">
        <f>PASHEET!BN14</f>
        <v/>
      </c>
      <c r="M121" s="590" t="str">
        <f>PASHEET!BO14</f>
        <v/>
      </c>
      <c r="N121" s="590" t="str">
        <f>PASHEET!BP14</f>
        <v/>
      </c>
      <c r="O121" s="590" t="str">
        <f>PASHEET!BQ14</f>
        <v>Ab</v>
      </c>
      <c r="Q121" s="591" t="s">
        <v>475</v>
      </c>
      <c r="R121" s="591" t="s">
        <v>476</v>
      </c>
      <c r="S121" s="592" t="s">
        <v>477</v>
      </c>
      <c r="T121" s="593" t="s">
        <v>87</v>
      </c>
      <c r="U121" s="592" t="s">
        <v>479</v>
      </c>
      <c r="V121" s="592" t="s">
        <v>480</v>
      </c>
      <c r="W121" s="594"/>
      <c r="X121" s="591" t="s">
        <v>475</v>
      </c>
      <c r="Y121" s="591" t="s">
        <v>476</v>
      </c>
      <c r="Z121" s="591" t="s">
        <v>474</v>
      </c>
      <c r="AA121" s="592" t="s">
        <v>477</v>
      </c>
      <c r="AB121" s="593" t="s">
        <v>490</v>
      </c>
      <c r="AC121" s="592" t="s">
        <v>479</v>
      </c>
      <c r="AD121" s="592" t="s">
        <v>480</v>
      </c>
      <c r="AE121" s="594"/>
    </row>
    <row r="122" spans="1:31">
      <c r="A122" s="590">
        <v>12</v>
      </c>
      <c r="B122" s="596">
        <f t="shared" ref="B122:E122" si="29">B15</f>
        <v>14734</v>
      </c>
      <c r="C122" s="596">
        <f t="shared" si="29"/>
        <v>20240008153</v>
      </c>
      <c r="D122" s="597" t="str">
        <f t="shared" si="29"/>
        <v>PRADEEP</v>
      </c>
      <c r="E122" s="597" t="str">
        <f t="shared" si="29"/>
        <v>RAM BHAWAN</v>
      </c>
      <c r="F122" s="590" t="str">
        <f>VLOOKUP(A122,STUDENT!$A$2:$BR$105,68,0)</f>
        <v/>
      </c>
      <c r="G122" s="590" t="b">
        <f>VLOOKUP(A122,STUDENT!$A$2:$BR$105,67,0)</f>
        <v>0</v>
      </c>
      <c r="H122" s="590" t="str">
        <f>PASHEET!BJ15</f>
        <v/>
      </c>
      <c r="I122" s="590" t="str">
        <f>PASHEET!BK15</f>
        <v/>
      </c>
      <c r="J122" s="590" t="str">
        <f>PASHEET!BL15</f>
        <v/>
      </c>
      <c r="K122" s="590" t="str">
        <f>PASHEET!BM15</f>
        <v/>
      </c>
      <c r="L122" s="590" t="str">
        <f>PASHEET!BN15</f>
        <v/>
      </c>
      <c r="M122" s="590" t="str">
        <f>PASHEET!BO15</f>
        <v/>
      </c>
      <c r="N122" s="590" t="str">
        <f>PASHEET!BP15</f>
        <v/>
      </c>
      <c r="O122" s="590" t="str">
        <f>PASHEET!BQ15</f>
        <v>Ab</v>
      </c>
      <c r="Q122" s="591" t="s">
        <v>482</v>
      </c>
      <c r="R122" s="591" t="s">
        <v>483</v>
      </c>
      <c r="S122" s="591" t="s">
        <v>50</v>
      </c>
      <c r="T122" s="591">
        <f>COUNTIFS(H111:H210,S122)</f>
        <v>0</v>
      </c>
      <c r="U122" s="591">
        <f>COUNTIFS(F111:F210,Q111,H111:H210,S122)</f>
        <v>0</v>
      </c>
      <c r="V122" s="591">
        <f>COUNTIFS(F111:F210,R111,H111:H210,S122)</f>
        <v>0</v>
      </c>
      <c r="W122" s="594"/>
      <c r="X122" s="591" t="s">
        <v>482</v>
      </c>
      <c r="Y122" s="591" t="s">
        <v>483</v>
      </c>
      <c r="Z122" s="591" t="s">
        <v>490</v>
      </c>
      <c r="AA122" s="591" t="s">
        <v>50</v>
      </c>
      <c r="AB122" s="591">
        <f>COUNTIFS(G111:G210,Z122,O111:O210,S122)</f>
        <v>0</v>
      </c>
      <c r="AC122" s="591">
        <f>COUNTIFS(F111:F210,X122,G111:G210,Z122,O111:O210,S122)</f>
        <v>0</v>
      </c>
      <c r="AD122" s="591">
        <f>COUNTIFS(F111:F210,Y122,G111:G210,Z122,O111:O210,S122)</f>
        <v>0</v>
      </c>
      <c r="AE122" s="594"/>
    </row>
    <row r="123" spans="1:31">
      <c r="A123" s="596">
        <v>13</v>
      </c>
      <c r="B123" s="596">
        <f t="shared" ref="B123:E123" si="30">B16</f>
        <v>14735</v>
      </c>
      <c r="C123" s="596">
        <f t="shared" si="30"/>
        <v>20240008167</v>
      </c>
      <c r="D123" s="597" t="str">
        <f t="shared" si="30"/>
        <v>MOHD JISAN</v>
      </c>
      <c r="E123" s="597" t="str">
        <f t="shared" si="30"/>
        <v>MD ZAMEEL</v>
      </c>
      <c r="F123" s="590" t="str">
        <f>VLOOKUP(A123,STUDENT!$A$2:$BR$105,68,0)</f>
        <v/>
      </c>
      <c r="G123" s="590" t="b">
        <f>VLOOKUP(A123,STUDENT!$A$2:$BR$105,67,0)</f>
        <v>0</v>
      </c>
      <c r="H123" s="590" t="str">
        <f>PASHEET!BJ16</f>
        <v/>
      </c>
      <c r="I123" s="590" t="str">
        <f>PASHEET!BK16</f>
        <v/>
      </c>
      <c r="J123" s="590" t="str">
        <f>PASHEET!BL16</f>
        <v/>
      </c>
      <c r="K123" s="590" t="str">
        <f>PASHEET!BM16</f>
        <v/>
      </c>
      <c r="L123" s="590" t="str">
        <f>PASHEET!BN16</f>
        <v/>
      </c>
      <c r="M123" s="590" t="str">
        <f>PASHEET!BO16</f>
        <v/>
      </c>
      <c r="N123" s="590" t="str">
        <f>PASHEET!BP16</f>
        <v/>
      </c>
      <c r="O123" s="590" t="str">
        <f>PASHEET!BQ16</f>
        <v>Ab</v>
      </c>
      <c r="Q123" s="591" t="s">
        <v>482</v>
      </c>
      <c r="R123" s="591" t="s">
        <v>483</v>
      </c>
      <c r="S123" s="591" t="s">
        <v>485</v>
      </c>
      <c r="T123" s="591">
        <f>COUNTIFS(H111:H210,S123)</f>
        <v>0</v>
      </c>
      <c r="U123" s="591">
        <f>COUNTIFS(F111:F210,Q112,H111:H210,S123)</f>
        <v>0</v>
      </c>
      <c r="V123" s="591">
        <f>COUNTIFS(F111:F210,R112,H111:H210,S123)</f>
        <v>0</v>
      </c>
      <c r="W123" s="594"/>
      <c r="X123" s="591" t="s">
        <v>482</v>
      </c>
      <c r="Y123" s="591" t="s">
        <v>483</v>
      </c>
      <c r="Z123" s="591" t="s">
        <v>490</v>
      </c>
      <c r="AA123" s="591" t="s">
        <v>485</v>
      </c>
      <c r="AB123" s="591">
        <f>COUNTIFS(G111:G210,Z123,O111:O210,S123)</f>
        <v>0</v>
      </c>
      <c r="AC123" s="591">
        <f>COUNTIFS(F111:F210,X123,G111:G210,Z123,O111:O210,S123)</f>
        <v>0</v>
      </c>
      <c r="AD123" s="591">
        <f>COUNTIFS(F111:F210,Y123,G111:G210,Z123,O111:O210,S123)</f>
        <v>0</v>
      </c>
      <c r="AE123" s="594"/>
    </row>
    <row r="124" spans="1:31">
      <c r="A124" s="590">
        <v>14</v>
      </c>
      <c r="B124" s="596">
        <f t="shared" ref="B124:E124" si="31">B17</f>
        <v>14745</v>
      </c>
      <c r="C124" s="596">
        <f t="shared" si="31"/>
        <v>20240015035</v>
      </c>
      <c r="D124" s="597" t="str">
        <f t="shared" si="31"/>
        <v>KARN KUMAR</v>
      </c>
      <c r="E124" s="597" t="str">
        <f t="shared" si="31"/>
        <v>MUKESH RAY</v>
      </c>
      <c r="F124" s="590" t="str">
        <f>VLOOKUP(A124,STUDENT!$A$2:$BR$105,68,0)</f>
        <v/>
      </c>
      <c r="G124" s="590" t="b">
        <f>VLOOKUP(A124,STUDENT!$A$2:$BR$105,67,0)</f>
        <v>0</v>
      </c>
      <c r="H124" s="590" t="str">
        <f>PASHEET!BJ17</f>
        <v/>
      </c>
      <c r="I124" s="590" t="str">
        <f>PASHEET!BK17</f>
        <v/>
      </c>
      <c r="J124" s="590" t="str">
        <f>PASHEET!BL17</f>
        <v/>
      </c>
      <c r="K124" s="590" t="str">
        <f>PASHEET!BM17</f>
        <v/>
      </c>
      <c r="L124" s="590" t="str">
        <f>PASHEET!BN17</f>
        <v/>
      </c>
      <c r="M124" s="590" t="str">
        <f>PASHEET!BO17</f>
        <v/>
      </c>
      <c r="N124" s="590" t="str">
        <f>PASHEET!BP17</f>
        <v/>
      </c>
      <c r="O124" s="590" t="str">
        <f>PASHEET!BQ17</f>
        <v>Ab</v>
      </c>
      <c r="Q124" s="591" t="s">
        <v>482</v>
      </c>
      <c r="R124" s="591" t="s">
        <v>483</v>
      </c>
      <c r="S124" s="591" t="s">
        <v>486</v>
      </c>
      <c r="T124" s="591">
        <f>COUNTIFS(H111:H210,S124)</f>
        <v>0</v>
      </c>
      <c r="U124" s="591">
        <f>COUNTIFS(F111:F210,Q113,H111:H210,S124)</f>
        <v>0</v>
      </c>
      <c r="V124" s="591">
        <f>COUNTIFS(F111:F210,R113,H111:H210,S124)</f>
        <v>0</v>
      </c>
      <c r="W124" s="594"/>
      <c r="X124" s="591" t="s">
        <v>482</v>
      </c>
      <c r="Y124" s="591" t="s">
        <v>483</v>
      </c>
      <c r="Z124" s="591" t="s">
        <v>490</v>
      </c>
      <c r="AA124" s="591" t="s">
        <v>486</v>
      </c>
      <c r="AB124" s="591">
        <f>COUNTIFS(G111:G210,Z124,O111:O210,S124)</f>
        <v>0</v>
      </c>
      <c r="AC124" s="591">
        <f>COUNTIFS(F111:F210,X124,G111:G210,Z124,O111:O210,S124)</f>
        <v>0</v>
      </c>
      <c r="AD124" s="591">
        <f>COUNTIFS(F111:F210,Y124,G111:G210,Z124,O111:O210,S124)</f>
        <v>0</v>
      </c>
      <c r="AE124" s="594"/>
    </row>
    <row r="125" spans="1:31">
      <c r="A125" s="596">
        <v>15</v>
      </c>
      <c r="B125" s="596">
        <f t="shared" ref="B125:E125" si="32">B18</f>
        <v>14746</v>
      </c>
      <c r="C125" s="596">
        <f t="shared" si="32"/>
        <v>20240015112</v>
      </c>
      <c r="D125" s="597" t="str">
        <f t="shared" si="32"/>
        <v>ROKI</v>
      </c>
      <c r="E125" s="597" t="str">
        <f t="shared" si="32"/>
        <v>KUAR SINGH</v>
      </c>
      <c r="F125" s="590" t="str">
        <f>VLOOKUP(A125,STUDENT!$A$2:$BR$105,68,0)</f>
        <v/>
      </c>
      <c r="G125" s="590" t="b">
        <f>VLOOKUP(A125,STUDENT!$A$2:$BR$105,67,0)</f>
        <v>0</v>
      </c>
      <c r="H125" s="590" t="str">
        <f>PASHEET!BJ18</f>
        <v/>
      </c>
      <c r="I125" s="590" t="str">
        <f>PASHEET!BK18</f>
        <v/>
      </c>
      <c r="J125" s="590" t="str">
        <f>PASHEET!BL18</f>
        <v/>
      </c>
      <c r="K125" s="590" t="str">
        <f>PASHEET!BM18</f>
        <v/>
      </c>
      <c r="L125" s="590" t="str">
        <f>PASHEET!BN18</f>
        <v/>
      </c>
      <c r="M125" s="590" t="str">
        <f>PASHEET!BO18</f>
        <v/>
      </c>
      <c r="N125" s="590" t="str">
        <f>PASHEET!BP18</f>
        <v/>
      </c>
      <c r="O125" s="590" t="str">
        <f>PASHEET!BQ18</f>
        <v>Ab</v>
      </c>
      <c r="Q125" s="591" t="s">
        <v>482</v>
      </c>
      <c r="R125" s="591" t="s">
        <v>483</v>
      </c>
      <c r="S125" s="591" t="s">
        <v>487</v>
      </c>
      <c r="T125" s="591">
        <f>COUNTIFS(H111:H210,S125)</f>
        <v>0</v>
      </c>
      <c r="U125" s="591">
        <f>COUNTIFS(F111:F210,Q114,H111:H210,S125)</f>
        <v>0</v>
      </c>
      <c r="V125" s="591">
        <f>COUNTIFS(F111:F210,R114,H111:H210,S125)</f>
        <v>0</v>
      </c>
      <c r="W125" s="594"/>
      <c r="X125" s="591" t="s">
        <v>482</v>
      </c>
      <c r="Y125" s="591" t="s">
        <v>483</v>
      </c>
      <c r="Z125" s="591" t="s">
        <v>490</v>
      </c>
      <c r="AA125" s="591" t="s">
        <v>487</v>
      </c>
      <c r="AB125" s="591">
        <f>COUNTIFS(G111:G210,Z125,O111:O210,S125)</f>
        <v>0</v>
      </c>
      <c r="AC125" s="591">
        <f>COUNTIFS(F111:F210,X125,G111:G210,Z125,O111:O210,S125)</f>
        <v>0</v>
      </c>
      <c r="AD125" s="591">
        <f>COUNTIFS(F111:F210,Y125,G111:G210,Z125,O111:O210,S125)</f>
        <v>0</v>
      </c>
      <c r="AE125" s="594"/>
    </row>
    <row r="126" spans="1:31">
      <c r="A126" s="590">
        <v>16</v>
      </c>
      <c r="B126" s="596">
        <f t="shared" ref="B126:E126" si="33">B19</f>
        <v>14748</v>
      </c>
      <c r="C126" s="596">
        <f t="shared" si="33"/>
        <v>20240015199</v>
      </c>
      <c r="D126" s="597" t="str">
        <f t="shared" si="33"/>
        <v>MD BILAL</v>
      </c>
      <c r="E126" s="597" t="str">
        <f t="shared" si="33"/>
        <v>MD AFROJ</v>
      </c>
      <c r="F126" s="590" t="str">
        <f>VLOOKUP(A126,STUDENT!$A$2:$BR$105,68,0)</f>
        <v/>
      </c>
      <c r="G126" s="590" t="b">
        <f>VLOOKUP(A126,STUDENT!$A$2:$BR$105,67,0)</f>
        <v>0</v>
      </c>
      <c r="H126" s="590" t="str">
        <f>PASHEET!BJ19</f>
        <v/>
      </c>
      <c r="I126" s="590" t="str">
        <f>PASHEET!BK19</f>
        <v/>
      </c>
      <c r="J126" s="590" t="str">
        <f>PASHEET!BL19</f>
        <v/>
      </c>
      <c r="K126" s="590" t="str">
        <f>PASHEET!BM19</f>
        <v/>
      </c>
      <c r="L126" s="590" t="str">
        <f>PASHEET!BN19</f>
        <v/>
      </c>
      <c r="M126" s="590" t="str">
        <f>PASHEET!BO19</f>
        <v/>
      </c>
      <c r="N126" s="590" t="str">
        <f>PASHEET!BP19</f>
        <v/>
      </c>
      <c r="O126" s="590" t="str">
        <f>PASHEET!BQ19</f>
        <v>Ab</v>
      </c>
      <c r="Q126" s="591" t="s">
        <v>482</v>
      </c>
      <c r="R126" s="591" t="s">
        <v>483</v>
      </c>
      <c r="S126" s="591" t="s">
        <v>488</v>
      </c>
      <c r="T126" s="591">
        <f>COUNTIFS(H111:H210,S126)</f>
        <v>0</v>
      </c>
      <c r="U126" s="591">
        <f>COUNTIFS(F111:F210,Q115,H111:H210,S126)</f>
        <v>0</v>
      </c>
      <c r="V126" s="591">
        <f>COUNTIFS(F111:F210,R115,H111:H210,S126)</f>
        <v>0</v>
      </c>
      <c r="W126" s="594"/>
      <c r="X126" s="591" t="s">
        <v>482</v>
      </c>
      <c r="Y126" s="591" t="s">
        <v>483</v>
      </c>
      <c r="Z126" s="591" t="s">
        <v>490</v>
      </c>
      <c r="AA126" s="591" t="s">
        <v>488</v>
      </c>
      <c r="AB126" s="591">
        <f>COUNTIFS(G111:G210,Z126,O111:O210,S126)</f>
        <v>0</v>
      </c>
      <c r="AC126" s="591">
        <f>COUNTIFS(F111:F210,X126,G111:G210,Z126,O111:O210,S126)</f>
        <v>0</v>
      </c>
      <c r="AD126" s="591">
        <f>COUNTIFS(F111:F210,Y126,G111:G210,Z126,O111:O210,S126)</f>
        <v>0</v>
      </c>
      <c r="AE126" s="594"/>
    </row>
    <row r="127" spans="1:31">
      <c r="A127" s="596">
        <v>17</v>
      </c>
      <c r="B127" s="596">
        <f t="shared" ref="B127:E127" si="34">B20</f>
        <v>14755</v>
      </c>
      <c r="C127" s="596">
        <f t="shared" si="34"/>
        <v>20240023044</v>
      </c>
      <c r="D127" s="597" t="str">
        <f t="shared" si="34"/>
        <v>GAURAV KUMAR</v>
      </c>
      <c r="E127" s="597" t="str">
        <f t="shared" si="34"/>
        <v>HARINDER YADAV</v>
      </c>
      <c r="F127" s="590" t="str">
        <f>VLOOKUP(A127,STUDENT!$A$2:$BR$105,68,0)</f>
        <v/>
      </c>
      <c r="G127" s="590" t="b">
        <f>VLOOKUP(A127,STUDENT!$A$2:$BR$105,67,0)</f>
        <v>0</v>
      </c>
      <c r="H127" s="590" t="str">
        <f>PASHEET!BJ20</f>
        <v/>
      </c>
      <c r="I127" s="590" t="str">
        <f>PASHEET!BK20</f>
        <v/>
      </c>
      <c r="J127" s="590" t="str">
        <f>PASHEET!BL20</f>
        <v/>
      </c>
      <c r="K127" s="590" t="str">
        <f>PASHEET!BM20</f>
        <v/>
      </c>
      <c r="L127" s="590" t="str">
        <f>PASHEET!BN20</f>
        <v/>
      </c>
      <c r="M127" s="590" t="str">
        <f>PASHEET!BO20</f>
        <v/>
      </c>
      <c r="N127" s="590" t="str">
        <f>PASHEET!BP20</f>
        <v/>
      </c>
      <c r="O127" s="590" t="str">
        <f>PASHEET!BQ20</f>
        <v>Ab</v>
      </c>
      <c r="Q127" s="591" t="s">
        <v>482</v>
      </c>
      <c r="R127" s="591" t="s">
        <v>483</v>
      </c>
      <c r="S127" s="591" t="s">
        <v>101</v>
      </c>
      <c r="T127" s="591">
        <f>COUNTIFS(H111:H210,S127)</f>
        <v>0</v>
      </c>
      <c r="U127" s="591">
        <f>COUNTIFS(F111:F210,Q116,H111:H210,S127)</f>
        <v>0</v>
      </c>
      <c r="V127" s="591">
        <f>COUNTIFS(F111:F210,R116,H111:H210,S127)</f>
        <v>0</v>
      </c>
      <c r="W127" s="594"/>
      <c r="X127" s="591" t="s">
        <v>482</v>
      </c>
      <c r="Y127" s="591" t="s">
        <v>483</v>
      </c>
      <c r="Z127" s="591" t="s">
        <v>490</v>
      </c>
      <c r="AA127" s="591" t="s">
        <v>101</v>
      </c>
      <c r="AB127" s="591">
        <f>COUNTIFS(G111:G210,Z127,O111:O210,S127)</f>
        <v>0</v>
      </c>
      <c r="AC127" s="591">
        <f>COUNTIFS(F111:F210,X127,G111:G210,Z127,O111:O210,S127)</f>
        <v>0</v>
      </c>
      <c r="AD127" s="591">
        <f>COUNTIFS(F111:F210,Y127,G111:G210,Z127,O111:O210,S127)</f>
        <v>0</v>
      </c>
      <c r="AE127" s="594"/>
    </row>
    <row r="128" spans="1:31">
      <c r="A128" s="590">
        <v>18</v>
      </c>
      <c r="B128" s="596">
        <f t="shared" ref="B128:E128" si="35">B21</f>
        <v>14756</v>
      </c>
      <c r="C128" s="596">
        <f t="shared" si="35"/>
        <v>20240023055</v>
      </c>
      <c r="D128" s="597" t="str">
        <f t="shared" si="35"/>
        <v>SAURAV KUMAR</v>
      </c>
      <c r="E128" s="597" t="str">
        <f t="shared" si="35"/>
        <v>HARINDER YADAV</v>
      </c>
      <c r="F128" s="590" t="str">
        <f>VLOOKUP(A128,STUDENT!$A$2:$BR$105,68,0)</f>
        <v/>
      </c>
      <c r="G128" s="590" t="b">
        <f>VLOOKUP(A128,STUDENT!$A$2:$BR$105,67,0)</f>
        <v>0</v>
      </c>
      <c r="H128" s="590" t="str">
        <f>PASHEET!BJ21</f>
        <v/>
      </c>
      <c r="I128" s="590" t="str">
        <f>PASHEET!BK21</f>
        <v/>
      </c>
      <c r="J128" s="590" t="str">
        <f>PASHEET!BL21</f>
        <v/>
      </c>
      <c r="K128" s="590" t="str">
        <f>PASHEET!BM21</f>
        <v/>
      </c>
      <c r="L128" s="590" t="str">
        <f>PASHEET!BN21</f>
        <v/>
      </c>
      <c r="M128" s="590" t="str">
        <f>PASHEET!BO21</f>
        <v/>
      </c>
      <c r="N128" s="590" t="str">
        <f>PASHEET!BP21</f>
        <v/>
      </c>
      <c r="O128" s="590" t="str">
        <f>PASHEET!BQ21</f>
        <v>Ab</v>
      </c>
      <c r="Q128" s="591" t="s">
        <v>482</v>
      </c>
      <c r="R128" s="591" t="s">
        <v>483</v>
      </c>
      <c r="S128" s="591" t="s">
        <v>489</v>
      </c>
      <c r="T128" s="591">
        <f>COUNTIFS(H111:H210,S128)</f>
        <v>0</v>
      </c>
      <c r="U128" s="591">
        <f>COUNTIFS(F111:F210,Q117,H111:H210,S128)</f>
        <v>0</v>
      </c>
      <c r="V128" s="591">
        <f>COUNTIFS(F111:F210,R117,H111:H210,S128)</f>
        <v>0</v>
      </c>
      <c r="W128" s="594"/>
      <c r="X128" s="591" t="s">
        <v>482</v>
      </c>
      <c r="Y128" s="591" t="s">
        <v>483</v>
      </c>
      <c r="Z128" s="591" t="s">
        <v>490</v>
      </c>
      <c r="AA128" s="591" t="s">
        <v>489</v>
      </c>
      <c r="AB128" s="591">
        <f>COUNTIFS(G111:G210,Z128,O111:O210,S128)</f>
        <v>0</v>
      </c>
      <c r="AC128" s="591">
        <f>COUNTIFS(F111:F210,X128,G111:G210,Z128,O111:O210,S128)</f>
        <v>0</v>
      </c>
      <c r="AD128" s="591">
        <f>COUNTIFS(F111:F210,Y128,G111:G210,Z128,O111:O210,S128)</f>
        <v>0</v>
      </c>
      <c r="AE128" s="594"/>
    </row>
    <row r="129" spans="1:31">
      <c r="A129" s="596">
        <v>19</v>
      </c>
      <c r="B129" s="596">
        <f t="shared" ref="B129:E129" si="36">B22</f>
        <v>14758</v>
      </c>
      <c r="C129" s="596">
        <f t="shared" si="36"/>
        <v>20240023083</v>
      </c>
      <c r="D129" s="597" t="str">
        <f t="shared" si="36"/>
        <v>HANAM AYUBI</v>
      </c>
      <c r="E129" s="597" t="str">
        <f t="shared" si="36"/>
        <v>MD PARWEZ</v>
      </c>
      <c r="F129" s="590" t="str">
        <f>VLOOKUP(A129,STUDENT!$A$2:$BR$105,68,0)</f>
        <v/>
      </c>
      <c r="G129" s="590" t="b">
        <f>VLOOKUP(A129,STUDENT!$A$2:$BR$105,67,0)</f>
        <v>0</v>
      </c>
      <c r="H129" s="590" t="str">
        <f>PASHEET!BJ22</f>
        <v/>
      </c>
      <c r="I129" s="590" t="str">
        <f>PASHEET!BK22</f>
        <v/>
      </c>
      <c r="J129" s="590" t="str">
        <f>PASHEET!BL22</f>
        <v/>
      </c>
      <c r="K129" s="590" t="str">
        <f>PASHEET!BM22</f>
        <v/>
      </c>
      <c r="L129" s="590" t="str">
        <f>PASHEET!BN22</f>
        <v/>
      </c>
      <c r="M129" s="590" t="str">
        <f>PASHEET!BO22</f>
        <v/>
      </c>
      <c r="N129" s="590" t="str">
        <f>PASHEET!BP22</f>
        <v/>
      </c>
      <c r="O129" s="590" t="str">
        <f>PASHEET!BQ22</f>
        <v>Ab</v>
      </c>
      <c r="Q129" s="591" t="s">
        <v>482</v>
      </c>
      <c r="R129" s="591" t="s">
        <v>483</v>
      </c>
      <c r="S129" s="591"/>
      <c r="T129" s="591"/>
      <c r="U129" s="591"/>
      <c r="V129" s="591"/>
      <c r="W129" s="594"/>
      <c r="X129" s="591" t="s">
        <v>482</v>
      </c>
      <c r="Y129" s="591" t="s">
        <v>483</v>
      </c>
      <c r="Z129" s="591" t="s">
        <v>490</v>
      </c>
      <c r="AA129" s="591"/>
      <c r="AB129" s="591"/>
      <c r="AC129" s="591"/>
      <c r="AD129" s="591"/>
      <c r="AE129" s="594"/>
    </row>
    <row r="130" spans="1:31">
      <c r="A130" s="590">
        <v>20</v>
      </c>
      <c r="B130" s="596">
        <f t="shared" ref="B130:E130" si="37">B23</f>
        <v>14768</v>
      </c>
      <c r="C130" s="596">
        <f t="shared" si="37"/>
        <v>20240028340</v>
      </c>
      <c r="D130" s="597" t="str">
        <f t="shared" si="37"/>
        <v>ANKUR</v>
      </c>
      <c r="E130" s="597" t="str">
        <f t="shared" si="37"/>
        <v>ASHOK KUMAR GUPTA</v>
      </c>
      <c r="F130" s="590" t="str">
        <f>VLOOKUP(A130,STUDENT!$A$2:$BR$105,68,0)</f>
        <v/>
      </c>
      <c r="G130" s="590" t="b">
        <f>VLOOKUP(A130,STUDENT!$A$2:$BR$105,67,0)</f>
        <v>0</v>
      </c>
      <c r="H130" s="590" t="str">
        <f>PASHEET!BJ23</f>
        <v/>
      </c>
      <c r="I130" s="590" t="str">
        <f>PASHEET!BK23</f>
        <v/>
      </c>
      <c r="J130" s="590" t="str">
        <f>PASHEET!BL23</f>
        <v/>
      </c>
      <c r="K130" s="590" t="str">
        <f>PASHEET!BM23</f>
        <v/>
      </c>
      <c r="L130" s="590" t="str">
        <f>PASHEET!BN23</f>
        <v/>
      </c>
      <c r="M130" s="590" t="str">
        <f>PASHEET!BO23</f>
        <v/>
      </c>
      <c r="N130" s="590" t="str">
        <f>PASHEET!BP23</f>
        <v/>
      </c>
      <c r="O130" s="590" t="str">
        <f>PASHEET!BQ23</f>
        <v>Ab</v>
      </c>
      <c r="Q130" s="591"/>
      <c r="R130" s="591"/>
      <c r="S130" s="591" t="s">
        <v>102</v>
      </c>
      <c r="T130" s="591">
        <f>SUM(T122:T129)</f>
        <v>0</v>
      </c>
      <c r="U130" s="591">
        <f t="shared" ref="U130:V130" si="38">SUM(U122:U129)</f>
        <v>0</v>
      </c>
      <c r="V130" s="591">
        <f t="shared" si="38"/>
        <v>0</v>
      </c>
      <c r="W130" s="594"/>
      <c r="X130" s="591"/>
      <c r="Y130" s="591"/>
      <c r="Z130" s="591"/>
      <c r="AA130" s="591" t="s">
        <v>102</v>
      </c>
      <c r="AB130" s="591">
        <f>SUM(AB122:AB129)</f>
        <v>0</v>
      </c>
      <c r="AC130" s="591">
        <f t="shared" ref="AC130:AD130" si="39">SUM(AC122:AC129)</f>
        <v>0</v>
      </c>
      <c r="AD130" s="591">
        <f t="shared" si="39"/>
        <v>0</v>
      </c>
      <c r="AE130" s="594"/>
    </row>
    <row r="131" spans="1:31">
      <c r="A131" s="596">
        <v>21</v>
      </c>
      <c r="B131" s="596">
        <f t="shared" ref="B131:E131" si="40">B24</f>
        <v>14792</v>
      </c>
      <c r="C131" s="596">
        <f t="shared" si="40"/>
        <v>20240074441</v>
      </c>
      <c r="D131" s="597" t="str">
        <f t="shared" si="40"/>
        <v>SOBHIT PASWAN</v>
      </c>
      <c r="E131" s="597" t="str">
        <f t="shared" si="40"/>
        <v>SHANKAR PASWAN</v>
      </c>
      <c r="F131" s="590" t="str">
        <f>VLOOKUP(A131,STUDENT!$A$2:$BR$105,68,0)</f>
        <v/>
      </c>
      <c r="G131" s="590" t="b">
        <f>VLOOKUP(A131,STUDENT!$A$2:$BR$105,67,0)</f>
        <v>0</v>
      </c>
      <c r="H131" s="590" t="str">
        <f>PASHEET!BJ24</f>
        <v/>
      </c>
      <c r="I131" s="590" t="str">
        <f>PASHEET!BK24</f>
        <v/>
      </c>
      <c r="J131" s="590" t="str">
        <f>PASHEET!BL24</f>
        <v/>
      </c>
      <c r="K131" s="590" t="str">
        <f>PASHEET!BM24</f>
        <v/>
      </c>
      <c r="L131" s="590" t="str">
        <f>PASHEET!BN24</f>
        <v/>
      </c>
      <c r="M131" s="590" t="str">
        <f>PASHEET!BO24</f>
        <v/>
      </c>
      <c r="N131" s="590" t="str">
        <f>PASHEET!BP24</f>
        <v/>
      </c>
      <c r="O131" s="590" t="str">
        <f>PASHEET!BQ24</f>
        <v>Ab</v>
      </c>
      <c r="Q131" s="591"/>
      <c r="R131" s="591"/>
      <c r="S131" s="591"/>
      <c r="T131" s="591"/>
      <c r="U131" s="591"/>
      <c r="V131" s="591"/>
      <c r="W131" s="594"/>
      <c r="X131" s="594"/>
      <c r="Y131" s="594"/>
      <c r="Z131" s="594"/>
      <c r="AA131" s="594"/>
      <c r="AB131" s="591"/>
      <c r="AC131" s="591"/>
      <c r="AD131" s="591"/>
      <c r="AE131" s="594"/>
    </row>
    <row r="132" spans="1:31">
      <c r="A132" s="590">
        <v>22</v>
      </c>
      <c r="B132" s="596">
        <f t="shared" ref="B132:E132" si="41">B25</f>
        <v>14804</v>
      </c>
      <c r="C132" s="596">
        <f t="shared" si="41"/>
        <v>20240100859</v>
      </c>
      <c r="D132" s="597" t="str">
        <f t="shared" si="41"/>
        <v>ABHISHEK MUKHIYA</v>
      </c>
      <c r="E132" s="597" t="str">
        <f t="shared" si="41"/>
        <v>ARJUN MUKHIYA</v>
      </c>
      <c r="F132" s="590" t="str">
        <f>VLOOKUP(A132,STUDENT!$A$2:$BR$105,68,0)</f>
        <v/>
      </c>
      <c r="G132" s="590" t="b">
        <f>VLOOKUP(A132,STUDENT!$A$2:$BR$105,67,0)</f>
        <v>0</v>
      </c>
      <c r="H132" s="590" t="str">
        <f>PASHEET!BJ25</f>
        <v/>
      </c>
      <c r="I132" s="590" t="str">
        <f>PASHEET!BK25</f>
        <v/>
      </c>
      <c r="J132" s="590" t="str">
        <f>PASHEET!BL25</f>
        <v/>
      </c>
      <c r="K132" s="590" t="str">
        <f>PASHEET!BM25</f>
        <v/>
      </c>
      <c r="L132" s="590" t="str">
        <f>PASHEET!BN25</f>
        <v/>
      </c>
      <c r="M132" s="590" t="str">
        <f>PASHEET!BO25</f>
        <v/>
      </c>
      <c r="N132" s="590" t="str">
        <f>PASHEET!BP25</f>
        <v/>
      </c>
      <c r="O132" s="590" t="str">
        <f>PASHEET!BQ25</f>
        <v>Ab</v>
      </c>
      <c r="Q132" s="591"/>
      <c r="R132" s="591"/>
      <c r="S132" s="591"/>
      <c r="T132" s="591"/>
      <c r="U132" s="591"/>
      <c r="V132" s="591"/>
      <c r="W132" s="594"/>
      <c r="X132" s="594"/>
      <c r="Y132" s="594"/>
      <c r="Z132" s="594"/>
      <c r="AA132" s="594"/>
      <c r="AB132" s="591"/>
      <c r="AC132" s="591"/>
      <c r="AD132" s="591"/>
      <c r="AE132" s="594"/>
    </row>
    <row r="133" spans="1:31">
      <c r="A133" s="596">
        <v>23</v>
      </c>
      <c r="B133" s="596">
        <f t="shared" ref="B133:E133" si="42">B26</f>
        <v>14805</v>
      </c>
      <c r="C133" s="596">
        <f t="shared" si="42"/>
        <v>20240100885</v>
      </c>
      <c r="D133" s="597" t="str">
        <f t="shared" si="42"/>
        <v>NITIN</v>
      </c>
      <c r="E133" s="597" t="str">
        <f t="shared" si="42"/>
        <v>AJAY</v>
      </c>
      <c r="F133" s="590" t="str">
        <f>VLOOKUP(A133,STUDENT!$A$2:$BR$105,68,0)</f>
        <v/>
      </c>
      <c r="G133" s="590" t="b">
        <f>VLOOKUP(A133,STUDENT!$A$2:$BR$105,67,0)</f>
        <v>0</v>
      </c>
      <c r="H133" s="590" t="str">
        <f>PASHEET!BJ26</f>
        <v/>
      </c>
      <c r="I133" s="590" t="str">
        <f>PASHEET!BK26</f>
        <v/>
      </c>
      <c r="J133" s="590" t="str">
        <f>PASHEET!BL26</f>
        <v/>
      </c>
      <c r="K133" s="590" t="str">
        <f>PASHEET!BM26</f>
        <v/>
      </c>
      <c r="L133" s="590" t="str">
        <f>PASHEET!BN26</f>
        <v/>
      </c>
      <c r="M133" s="590" t="str">
        <f>PASHEET!BO26</f>
        <v/>
      </c>
      <c r="N133" s="590" t="str">
        <f>PASHEET!BP26</f>
        <v/>
      </c>
      <c r="O133" s="590" t="str">
        <f>PASHEET!BQ26</f>
        <v>Ab</v>
      </c>
      <c r="Q133" s="591" t="s">
        <v>475</v>
      </c>
      <c r="R133" s="591" t="s">
        <v>476</v>
      </c>
      <c r="S133" s="592" t="s">
        <v>477</v>
      </c>
      <c r="T133" s="593" t="s">
        <v>89</v>
      </c>
      <c r="U133" s="592" t="s">
        <v>479</v>
      </c>
      <c r="V133" s="592" t="s">
        <v>480</v>
      </c>
      <c r="W133" s="594"/>
      <c r="X133" s="591" t="s">
        <v>475</v>
      </c>
      <c r="Y133" s="591" t="s">
        <v>476</v>
      </c>
      <c r="Z133" s="591" t="s">
        <v>474</v>
      </c>
      <c r="AA133" s="592" t="s">
        <v>477</v>
      </c>
      <c r="AB133" s="593" t="s">
        <v>491</v>
      </c>
      <c r="AC133" s="592" t="s">
        <v>479</v>
      </c>
      <c r="AD133" s="592" t="s">
        <v>480</v>
      </c>
      <c r="AE133" s="594"/>
    </row>
    <row r="134" spans="1:31">
      <c r="A134" s="590">
        <v>24</v>
      </c>
      <c r="B134" s="596">
        <f t="shared" ref="B134:E134" si="43">B27</f>
        <v>14806</v>
      </c>
      <c r="C134" s="596">
        <f t="shared" si="43"/>
        <v>20240100904</v>
      </c>
      <c r="D134" s="597" t="str">
        <f t="shared" si="43"/>
        <v>SOORYA VANSHAL</v>
      </c>
      <c r="E134" s="597" t="str">
        <f t="shared" si="43"/>
        <v>KAMLESH KUMAR</v>
      </c>
      <c r="F134" s="590" t="str">
        <f>VLOOKUP(A134,STUDENT!$A$2:$BR$105,68,0)</f>
        <v/>
      </c>
      <c r="G134" s="590" t="b">
        <f>VLOOKUP(A134,STUDENT!$A$2:$BR$105,67,0)</f>
        <v>0</v>
      </c>
      <c r="H134" s="590" t="str">
        <f>PASHEET!BJ27</f>
        <v/>
      </c>
      <c r="I134" s="590" t="str">
        <f>PASHEET!BK27</f>
        <v/>
      </c>
      <c r="J134" s="590" t="str">
        <f>PASHEET!BL27</f>
        <v/>
      </c>
      <c r="K134" s="590" t="str">
        <f>PASHEET!BM27</f>
        <v/>
      </c>
      <c r="L134" s="590" t="str">
        <f>PASHEET!BN27</f>
        <v/>
      </c>
      <c r="M134" s="590" t="str">
        <f>PASHEET!BO27</f>
        <v/>
      </c>
      <c r="N134" s="590" t="str">
        <f>PASHEET!BP27</f>
        <v/>
      </c>
      <c r="O134" s="590" t="str">
        <f>PASHEET!BQ27</f>
        <v>Ab</v>
      </c>
      <c r="Q134" s="591" t="s">
        <v>482</v>
      </c>
      <c r="R134" s="591" t="s">
        <v>483</v>
      </c>
      <c r="S134" s="591" t="s">
        <v>50</v>
      </c>
      <c r="T134" s="591">
        <f>COUNTIFS(I111:I210,S134)</f>
        <v>0</v>
      </c>
      <c r="U134" s="591">
        <f>COUNTIFS(F111:F210,Q123,I111:I210,S134)</f>
        <v>0</v>
      </c>
      <c r="V134" s="591">
        <f>COUNTIFS(F111:F210,R123,I111:I210,S134)</f>
        <v>0</v>
      </c>
      <c r="W134" s="594"/>
      <c r="X134" s="591" t="s">
        <v>482</v>
      </c>
      <c r="Y134" s="591" t="s">
        <v>483</v>
      </c>
      <c r="Z134" s="591" t="s">
        <v>491</v>
      </c>
      <c r="AA134" s="591" t="s">
        <v>50</v>
      </c>
      <c r="AB134" s="591">
        <f>COUNTIFS(G111:G210,Z134,O111:O210,S134)</f>
        <v>0</v>
      </c>
      <c r="AC134" s="591">
        <f>COUNTIFS(F111:F210,X134,G111:G210,Z134,O111:O210,S134)</f>
        <v>0</v>
      </c>
      <c r="AD134" s="591">
        <f>COUNTIFS(F111:F210,Y134,G111:G210,Z134,O111:O210,S134)</f>
        <v>0</v>
      </c>
      <c r="AE134" s="594"/>
    </row>
    <row r="135" spans="1:31">
      <c r="A135" s="596">
        <v>25</v>
      </c>
      <c r="B135" s="596">
        <f t="shared" ref="B135:E135" si="44">B28</f>
        <v>14943</v>
      </c>
      <c r="C135" s="596">
        <f t="shared" si="44"/>
        <v>20250012364</v>
      </c>
      <c r="D135" s="597" t="str">
        <f t="shared" si="44"/>
        <v>ANSHU KUMAR PANDIT</v>
      </c>
      <c r="E135" s="597" t="str">
        <f t="shared" si="44"/>
        <v>RAMESH KUMAR PANDIT</v>
      </c>
      <c r="F135" s="590" t="str">
        <f>VLOOKUP(A135,STUDENT!$A$2:$BR$105,68,0)</f>
        <v/>
      </c>
      <c r="G135" s="590" t="b">
        <f>VLOOKUP(A135,STUDENT!$A$2:$BR$105,67,0)</f>
        <v>0</v>
      </c>
      <c r="H135" s="590" t="str">
        <f>PASHEET!BJ28</f>
        <v/>
      </c>
      <c r="I135" s="590" t="str">
        <f>PASHEET!BK28</f>
        <v/>
      </c>
      <c r="J135" s="590" t="str">
        <f>PASHEET!BL28</f>
        <v/>
      </c>
      <c r="K135" s="590" t="str">
        <f>PASHEET!BM28</f>
        <v/>
      </c>
      <c r="L135" s="590" t="str">
        <f>PASHEET!BN28</f>
        <v/>
      </c>
      <c r="M135" s="590" t="str">
        <f>PASHEET!BO28</f>
        <v/>
      </c>
      <c r="N135" s="590" t="str">
        <f>PASHEET!BP28</f>
        <v/>
      </c>
      <c r="O135" s="590" t="str">
        <f>PASHEET!BQ28</f>
        <v>Ab</v>
      </c>
      <c r="Q135" s="591" t="s">
        <v>482</v>
      </c>
      <c r="R135" s="591" t="s">
        <v>483</v>
      </c>
      <c r="S135" s="591" t="s">
        <v>485</v>
      </c>
      <c r="T135" s="591">
        <f>COUNTIFS(I111:I210,S135)</f>
        <v>0</v>
      </c>
      <c r="U135" s="591">
        <f>COUNTIFS(F111:F210,Q124,I111:I210,S135)</f>
        <v>0</v>
      </c>
      <c r="V135" s="591">
        <f>COUNTIFS(F111:F210,R124,I111:I210,S135)</f>
        <v>0</v>
      </c>
      <c r="W135" s="594"/>
      <c r="X135" s="591" t="s">
        <v>482</v>
      </c>
      <c r="Y135" s="591" t="s">
        <v>483</v>
      </c>
      <c r="Z135" s="591" t="s">
        <v>491</v>
      </c>
      <c r="AA135" s="591" t="s">
        <v>485</v>
      </c>
      <c r="AB135" s="591">
        <f>COUNTIFS(G111:G210,Z135,O111:O210,S135)</f>
        <v>0</v>
      </c>
      <c r="AC135" s="591">
        <f>COUNTIFS(F111:F210,X135,G111:G210,Z135,O111:O210,S135)</f>
        <v>0</v>
      </c>
      <c r="AD135" s="591">
        <f>COUNTIFS(F111:F210,Y135,G111:G210,Z135,O111:O210,S135)</f>
        <v>0</v>
      </c>
      <c r="AE135" s="594"/>
    </row>
    <row r="136" spans="1:31">
      <c r="A136" s="590">
        <v>26</v>
      </c>
      <c r="B136" s="596">
        <f t="shared" ref="B136:E136" si="45">B29</f>
        <v>14960</v>
      </c>
      <c r="C136" s="596">
        <f t="shared" si="45"/>
        <v>20250045334</v>
      </c>
      <c r="D136" s="597" t="str">
        <f t="shared" si="45"/>
        <v>MD ADAN SHEKH</v>
      </c>
      <c r="E136" s="597" t="str">
        <f t="shared" si="45"/>
        <v>MD ISHTIKHAR</v>
      </c>
      <c r="F136" s="590" t="str">
        <f>VLOOKUP(A136,STUDENT!$A$2:$BR$105,68,0)</f>
        <v/>
      </c>
      <c r="G136" s="590" t="b">
        <f>VLOOKUP(A136,STUDENT!$A$2:$BR$105,67,0)</f>
        <v>0</v>
      </c>
      <c r="H136" s="590" t="str">
        <f>PASHEET!BJ29</f>
        <v/>
      </c>
      <c r="I136" s="590" t="str">
        <f>PASHEET!BK29</f>
        <v/>
      </c>
      <c r="J136" s="590" t="str">
        <f>PASHEET!BL29</f>
        <v/>
      </c>
      <c r="K136" s="590" t="str">
        <f>PASHEET!BM29</f>
        <v/>
      </c>
      <c r="L136" s="590" t="str">
        <f>PASHEET!BN29</f>
        <v/>
      </c>
      <c r="M136" s="590" t="str">
        <f>PASHEET!BO29</f>
        <v/>
      </c>
      <c r="N136" s="590" t="str">
        <f>PASHEET!BP29</f>
        <v/>
      </c>
      <c r="O136" s="590" t="str">
        <f>PASHEET!BQ29</f>
        <v>Ab</v>
      </c>
      <c r="Q136" s="591" t="s">
        <v>482</v>
      </c>
      <c r="R136" s="591" t="s">
        <v>483</v>
      </c>
      <c r="S136" s="591" t="s">
        <v>486</v>
      </c>
      <c r="T136" s="591">
        <f>COUNTIFS(I111:I210,S136)</f>
        <v>0</v>
      </c>
      <c r="U136" s="591">
        <f>COUNTIFS(F111:F210,Q125,I111:I210,S136)</f>
        <v>0</v>
      </c>
      <c r="V136" s="591">
        <f>COUNTIFS(F111:F210,R125,I111:I210,S136)</f>
        <v>0</v>
      </c>
      <c r="W136" s="594"/>
      <c r="X136" s="591" t="s">
        <v>482</v>
      </c>
      <c r="Y136" s="591" t="s">
        <v>483</v>
      </c>
      <c r="Z136" s="591" t="s">
        <v>491</v>
      </c>
      <c r="AA136" s="591" t="s">
        <v>486</v>
      </c>
      <c r="AB136" s="591">
        <f>COUNTIFS(G111:G210,Z136,O111:O210,S136)</f>
        <v>0</v>
      </c>
      <c r="AC136" s="591">
        <f>COUNTIFS(F111:F210,X136,G111:G210,Z136,O111:O210,S136)</f>
        <v>0</v>
      </c>
      <c r="AD136" s="591">
        <f>COUNTIFS(F111:F210,Y136,G111:G210,Z136,O111:O210,S136)</f>
        <v>0</v>
      </c>
      <c r="AE136" s="594"/>
    </row>
    <row r="137" spans="1:31">
      <c r="A137" s="596">
        <v>27</v>
      </c>
      <c r="B137" s="596">
        <f t="shared" ref="B137:E137" si="46">B30</f>
        <v>14976</v>
      </c>
      <c r="C137" s="596">
        <f t="shared" si="46"/>
        <v>20250064030</v>
      </c>
      <c r="D137" s="597" t="str">
        <f t="shared" si="46"/>
        <v>KARTIK</v>
      </c>
      <c r="E137" s="597" t="str">
        <f t="shared" si="46"/>
        <v>SUNIL</v>
      </c>
      <c r="F137" s="590" t="str">
        <f>VLOOKUP(A137,STUDENT!$A$2:$BR$105,68,0)</f>
        <v/>
      </c>
      <c r="G137" s="590" t="b">
        <f>VLOOKUP(A137,STUDENT!$A$2:$BR$105,67,0)</f>
        <v>0</v>
      </c>
      <c r="H137" s="590" t="str">
        <f>PASHEET!BJ30</f>
        <v/>
      </c>
      <c r="I137" s="590" t="str">
        <f>PASHEET!BK30</f>
        <v/>
      </c>
      <c r="J137" s="590" t="str">
        <f>PASHEET!BL30</f>
        <v/>
      </c>
      <c r="K137" s="590" t="str">
        <f>PASHEET!BM30</f>
        <v/>
      </c>
      <c r="L137" s="590" t="str">
        <f>PASHEET!BN30</f>
        <v/>
      </c>
      <c r="M137" s="590" t="str">
        <f>PASHEET!BO30</f>
        <v/>
      </c>
      <c r="N137" s="590" t="str">
        <f>PASHEET!BP30</f>
        <v/>
      </c>
      <c r="O137" s="590" t="str">
        <f>PASHEET!BQ30</f>
        <v>Ab</v>
      </c>
      <c r="Q137" s="591" t="s">
        <v>482</v>
      </c>
      <c r="R137" s="591" t="s">
        <v>483</v>
      </c>
      <c r="S137" s="591" t="s">
        <v>487</v>
      </c>
      <c r="T137" s="591">
        <f>COUNTIFS(I111:I210,S137)</f>
        <v>0</v>
      </c>
      <c r="U137" s="591">
        <f>COUNTIFS(F111:F210,Q126,I111:I210,S137)</f>
        <v>0</v>
      </c>
      <c r="V137" s="591">
        <f>COUNTIFS(F111:F210,R126,I111:I210,S137)</f>
        <v>0</v>
      </c>
      <c r="W137" s="594"/>
      <c r="X137" s="591" t="s">
        <v>482</v>
      </c>
      <c r="Y137" s="591" t="s">
        <v>483</v>
      </c>
      <c r="Z137" s="591" t="s">
        <v>491</v>
      </c>
      <c r="AA137" s="591" t="s">
        <v>487</v>
      </c>
      <c r="AB137" s="591">
        <f>COUNTIFS(G111:G210,Z137,O111:O210,S137)</f>
        <v>0</v>
      </c>
      <c r="AC137" s="591">
        <f>COUNTIFS(F111:F210,X137,G111:G210,Z137,O111:O210,S137)</f>
        <v>0</v>
      </c>
      <c r="AD137" s="591">
        <f>COUNTIFS(F111:F210,Y137,G111:G210,Z137,O111:O210,S137)</f>
        <v>0</v>
      </c>
      <c r="AE137" s="594"/>
    </row>
    <row r="138" spans="1:31">
      <c r="A138" s="590">
        <v>28</v>
      </c>
      <c r="B138" s="596">
        <f t="shared" ref="B138:E138" si="47">B31</f>
        <v>14999</v>
      </c>
      <c r="C138" s="596">
        <f t="shared" si="47"/>
        <v>20250104050</v>
      </c>
      <c r="D138" s="597" t="str">
        <f t="shared" si="47"/>
        <v>ABDUL REHMAN</v>
      </c>
      <c r="E138" s="597" t="str">
        <f t="shared" si="47"/>
        <v>MD LAL BABU</v>
      </c>
      <c r="F138" s="590" t="str">
        <f>VLOOKUP(A138,STUDENT!$A$2:$BR$105,68,0)</f>
        <v/>
      </c>
      <c r="G138" s="590" t="b">
        <f>VLOOKUP(A138,STUDENT!$A$2:$BR$105,67,0)</f>
        <v>0</v>
      </c>
      <c r="H138" s="590" t="str">
        <f>PASHEET!BJ31</f>
        <v/>
      </c>
      <c r="I138" s="590" t="str">
        <f>PASHEET!BK31</f>
        <v/>
      </c>
      <c r="J138" s="590" t="str">
        <f>PASHEET!BL31</f>
        <v/>
      </c>
      <c r="K138" s="590" t="str">
        <f>PASHEET!BM31</f>
        <v/>
      </c>
      <c r="L138" s="590" t="str">
        <f>PASHEET!BN31</f>
        <v/>
      </c>
      <c r="M138" s="590" t="str">
        <f>PASHEET!BO31</f>
        <v/>
      </c>
      <c r="N138" s="590" t="str">
        <f>PASHEET!BP31</f>
        <v/>
      </c>
      <c r="O138" s="590" t="str">
        <f>PASHEET!BQ31</f>
        <v>Ab</v>
      </c>
      <c r="Q138" s="591" t="s">
        <v>482</v>
      </c>
      <c r="R138" s="591" t="s">
        <v>483</v>
      </c>
      <c r="S138" s="591" t="s">
        <v>488</v>
      </c>
      <c r="T138" s="591">
        <f>COUNTIFS(I111:I210,S138)</f>
        <v>0</v>
      </c>
      <c r="U138" s="591">
        <f>COUNTIFS(F111:F210,Q127,I111:I210,S138)</f>
        <v>0</v>
      </c>
      <c r="V138" s="591">
        <f>COUNTIFS(F111:F210,R127,I111:I210,S138)</f>
        <v>0</v>
      </c>
      <c r="W138" s="594"/>
      <c r="X138" s="591" t="s">
        <v>482</v>
      </c>
      <c r="Y138" s="591" t="s">
        <v>483</v>
      </c>
      <c r="Z138" s="591" t="s">
        <v>491</v>
      </c>
      <c r="AA138" s="591" t="s">
        <v>488</v>
      </c>
      <c r="AB138" s="591">
        <f>COUNTIFS(G111:G210,Z138,O111:O210,S138)</f>
        <v>0</v>
      </c>
      <c r="AC138" s="591">
        <f>COUNTIFS(F111:F210,X138,G111:G210,Z138,O111:O210,S138)</f>
        <v>0</v>
      </c>
      <c r="AD138" s="591">
        <f>COUNTIFS(F111:F210,Y138,G111:G210,Z138,O111:O210,S138)</f>
        <v>0</v>
      </c>
      <c r="AE138" s="594"/>
    </row>
    <row r="139" spans="1:31">
      <c r="A139" s="596">
        <v>29</v>
      </c>
      <c r="B139" s="596">
        <f t="shared" ref="B139:E139" si="48">B32</f>
        <v>15000</v>
      </c>
      <c r="C139" s="596">
        <f t="shared" si="48"/>
        <v>20250104062</v>
      </c>
      <c r="D139" s="597" t="str">
        <f t="shared" si="48"/>
        <v>KARTIK</v>
      </c>
      <c r="E139" s="597" t="str">
        <f t="shared" si="48"/>
        <v>AMAN YADAV</v>
      </c>
      <c r="F139" s="590" t="str">
        <f>VLOOKUP(A139,STUDENT!$A$2:$BR$105,68,0)</f>
        <v/>
      </c>
      <c r="G139" s="590" t="b">
        <f>VLOOKUP(A139,STUDENT!$A$2:$BR$105,67,0)</f>
        <v>0</v>
      </c>
      <c r="H139" s="590" t="str">
        <f>PASHEET!BJ32</f>
        <v/>
      </c>
      <c r="I139" s="590" t="str">
        <f>PASHEET!BK32</f>
        <v/>
      </c>
      <c r="J139" s="590" t="str">
        <f>PASHEET!BL32</f>
        <v/>
      </c>
      <c r="K139" s="590" t="str">
        <f>PASHEET!BM32</f>
        <v/>
      </c>
      <c r="L139" s="590" t="str">
        <f>PASHEET!BN32</f>
        <v/>
      </c>
      <c r="M139" s="590" t="str">
        <f>PASHEET!BO32</f>
        <v/>
      </c>
      <c r="N139" s="590" t="str">
        <f>PASHEET!BP32</f>
        <v/>
      </c>
      <c r="O139" s="590" t="str">
        <f>PASHEET!BQ32</f>
        <v>Ab</v>
      </c>
      <c r="Q139" s="591" t="s">
        <v>482</v>
      </c>
      <c r="R139" s="591" t="s">
        <v>483</v>
      </c>
      <c r="S139" s="591" t="s">
        <v>101</v>
      </c>
      <c r="T139" s="591">
        <f>COUNTIFS(I111:I210,S139)</f>
        <v>0</v>
      </c>
      <c r="U139" s="591">
        <f>COUNTIFS(F111:F210,Q128,I111:I210,S139)</f>
        <v>0</v>
      </c>
      <c r="V139" s="591">
        <f>COUNTIFS(F111:F210,R128,I111:I210,S139)</f>
        <v>0</v>
      </c>
      <c r="W139" s="594"/>
      <c r="X139" s="591" t="s">
        <v>482</v>
      </c>
      <c r="Y139" s="591" t="s">
        <v>483</v>
      </c>
      <c r="Z139" s="591" t="s">
        <v>491</v>
      </c>
      <c r="AA139" s="591" t="s">
        <v>101</v>
      </c>
      <c r="AB139" s="591">
        <f>COUNTIFS(G111:G210,Z139,O111:O210,S139)</f>
        <v>0</v>
      </c>
      <c r="AC139" s="591">
        <f>COUNTIFS(F111:F210,X139,G111:G210,Z139,O111:O210,S139)</f>
        <v>0</v>
      </c>
      <c r="AD139" s="591">
        <f>COUNTIFS(F111:F210,Y139,G111:G210,Z139,O111:O210,S139)</f>
        <v>0</v>
      </c>
      <c r="AE139" s="594"/>
    </row>
    <row r="140" spans="1:31">
      <c r="A140" s="590">
        <v>30</v>
      </c>
      <c r="B140" s="596">
        <f t="shared" ref="B140:E140" si="49">B33</f>
        <v>15022</v>
      </c>
      <c r="C140" s="596">
        <f t="shared" si="49"/>
        <v>20250141853</v>
      </c>
      <c r="D140" s="597" t="str">
        <f t="shared" si="49"/>
        <v>AYAN</v>
      </c>
      <c r="E140" s="597" t="str">
        <f t="shared" si="49"/>
        <v>BABU HASAN</v>
      </c>
      <c r="F140" s="590" t="str">
        <f>VLOOKUP(A140,STUDENT!$A$2:$BR$105,68,0)</f>
        <v/>
      </c>
      <c r="G140" s="590" t="b">
        <f>VLOOKUP(A140,STUDENT!$A$2:$BR$105,67,0)</f>
        <v>0</v>
      </c>
      <c r="H140" s="590" t="str">
        <f>PASHEET!BJ33</f>
        <v/>
      </c>
      <c r="I140" s="590" t="str">
        <f>PASHEET!BK33</f>
        <v/>
      </c>
      <c r="J140" s="590" t="str">
        <f>PASHEET!BL33</f>
        <v/>
      </c>
      <c r="K140" s="590" t="str">
        <f>PASHEET!BM33</f>
        <v/>
      </c>
      <c r="L140" s="590" t="str">
        <f>PASHEET!BN33</f>
        <v/>
      </c>
      <c r="M140" s="590" t="str">
        <f>PASHEET!BO33</f>
        <v/>
      </c>
      <c r="N140" s="590" t="str">
        <f>PASHEET!BP33</f>
        <v/>
      </c>
      <c r="O140" s="590" t="str">
        <f>PASHEET!BQ33</f>
        <v>Ab</v>
      </c>
      <c r="Q140" s="591" t="s">
        <v>482</v>
      </c>
      <c r="R140" s="591" t="s">
        <v>483</v>
      </c>
      <c r="S140" s="591" t="s">
        <v>489</v>
      </c>
      <c r="T140" s="591">
        <f>COUNTIFS(I111:I210,S140)</f>
        <v>0</v>
      </c>
      <c r="U140" s="591">
        <f>COUNTIFS(F111:F210,Q129,I111:I210,S140)</f>
        <v>0</v>
      </c>
      <c r="V140" s="591">
        <f>COUNTIFS(F111:F210,R129,I111:I210,S140)</f>
        <v>0</v>
      </c>
      <c r="W140" s="594"/>
      <c r="X140" s="591" t="s">
        <v>482</v>
      </c>
      <c r="Y140" s="591" t="s">
        <v>483</v>
      </c>
      <c r="Z140" s="591" t="s">
        <v>491</v>
      </c>
      <c r="AA140" s="591" t="s">
        <v>489</v>
      </c>
      <c r="AB140" s="591">
        <f>COUNTIFS(G111:G210,Z140,O111:O210,S140)</f>
        <v>0</v>
      </c>
      <c r="AC140" s="591">
        <f>COUNTIFS(F111:F210,X140,G111:G210,Z140,O111:O210,S140)</f>
        <v>0</v>
      </c>
      <c r="AD140" s="591">
        <f>COUNTIFS(F111:F210,Y140,G111:G210,Z140,O111:O210,S140)</f>
        <v>0</v>
      </c>
      <c r="AE140" s="594"/>
    </row>
    <row r="141" spans="1:31">
      <c r="A141" s="596">
        <v>31</v>
      </c>
      <c r="B141" s="596">
        <f t="shared" ref="B141:E141" si="50">B34</f>
        <v>15034</v>
      </c>
      <c r="C141" s="596">
        <f t="shared" si="50"/>
        <v>20250188568</v>
      </c>
      <c r="D141" s="597" t="str">
        <f t="shared" si="50"/>
        <v>RAM CHANDER KUMAR</v>
      </c>
      <c r="E141" s="597" t="str">
        <f t="shared" si="50"/>
        <v>AKASH SHARMA</v>
      </c>
      <c r="F141" s="590" t="str">
        <f>VLOOKUP(A141,STUDENT!$A$2:$BR$105,68,0)</f>
        <v/>
      </c>
      <c r="G141" s="590" t="b">
        <f>VLOOKUP(A141,STUDENT!$A$2:$BR$105,67,0)</f>
        <v>0</v>
      </c>
      <c r="H141" s="590" t="str">
        <f>PASHEET!BJ34</f>
        <v/>
      </c>
      <c r="I141" s="590" t="str">
        <f>PASHEET!BK34</f>
        <v/>
      </c>
      <c r="J141" s="590" t="str">
        <f>PASHEET!BL34</f>
        <v/>
      </c>
      <c r="K141" s="590" t="str">
        <f>PASHEET!BM34</f>
        <v/>
      </c>
      <c r="L141" s="590" t="str">
        <f>PASHEET!BN34</f>
        <v/>
      </c>
      <c r="M141" s="590" t="str">
        <f>PASHEET!BO34</f>
        <v/>
      </c>
      <c r="N141" s="590" t="str">
        <f>PASHEET!BP34</f>
        <v/>
      </c>
      <c r="O141" s="590" t="str">
        <f>PASHEET!BQ34</f>
        <v>Ab</v>
      </c>
      <c r="Q141" s="591" t="s">
        <v>482</v>
      </c>
      <c r="R141" s="591" t="s">
        <v>483</v>
      </c>
      <c r="S141" s="591"/>
      <c r="T141" s="591"/>
      <c r="U141" s="591"/>
      <c r="V141" s="591"/>
      <c r="W141" s="594"/>
      <c r="X141" s="591" t="s">
        <v>482</v>
      </c>
      <c r="Y141" s="591" t="s">
        <v>483</v>
      </c>
      <c r="Z141" s="591" t="s">
        <v>491</v>
      </c>
      <c r="AA141" s="591"/>
      <c r="AB141" s="591"/>
      <c r="AC141" s="591"/>
      <c r="AD141" s="591"/>
      <c r="AE141" s="594"/>
    </row>
    <row r="142" spans="1:31">
      <c r="A142" s="590">
        <v>32</v>
      </c>
      <c r="B142" s="596">
        <f t="shared" ref="B142:E142" si="51">B35</f>
        <v>15035</v>
      </c>
      <c r="C142" s="596">
        <f t="shared" si="51"/>
        <v>20250188626</v>
      </c>
      <c r="D142" s="597" t="str">
        <f t="shared" si="51"/>
        <v>HARSHIT</v>
      </c>
      <c r="E142" s="597" t="str">
        <f t="shared" si="51"/>
        <v>ANKIT SINGH</v>
      </c>
      <c r="F142" s="590" t="str">
        <f>VLOOKUP(A142,STUDENT!$A$2:$BR$105,68,0)</f>
        <v/>
      </c>
      <c r="G142" s="590" t="b">
        <f>VLOOKUP(A142,STUDENT!$A$2:$BR$105,67,0)</f>
        <v>0</v>
      </c>
      <c r="H142" s="590" t="str">
        <f>PASHEET!BJ35</f>
        <v/>
      </c>
      <c r="I142" s="590" t="str">
        <f>PASHEET!BK35</f>
        <v/>
      </c>
      <c r="J142" s="590" t="str">
        <f>PASHEET!BL35</f>
        <v/>
      </c>
      <c r="K142" s="590" t="str">
        <f>PASHEET!BM35</f>
        <v/>
      </c>
      <c r="L142" s="590" t="str">
        <f>PASHEET!BN35</f>
        <v/>
      </c>
      <c r="M142" s="590" t="str">
        <f>PASHEET!BO35</f>
        <v/>
      </c>
      <c r="N142" s="590" t="str">
        <f>PASHEET!BP35</f>
        <v/>
      </c>
      <c r="O142" s="590" t="str">
        <f>PASHEET!BQ35</f>
        <v>Ab</v>
      </c>
      <c r="Q142" s="591"/>
      <c r="R142" s="591"/>
      <c r="S142" s="591" t="s">
        <v>102</v>
      </c>
      <c r="T142" s="591">
        <f>SUM(T134:T141)</f>
        <v>0</v>
      </c>
      <c r="U142" s="591">
        <f t="shared" ref="U142:V142" si="52">SUM(U134:U141)</f>
        <v>0</v>
      </c>
      <c r="V142" s="591">
        <f t="shared" si="52"/>
        <v>0</v>
      </c>
      <c r="W142" s="594"/>
      <c r="X142" s="591"/>
      <c r="Y142" s="591"/>
      <c r="Z142" s="591"/>
      <c r="AA142" s="591" t="s">
        <v>102</v>
      </c>
      <c r="AB142" s="591">
        <f>SUM(AB134:AB141)</f>
        <v>0</v>
      </c>
      <c r="AC142" s="591">
        <f t="shared" ref="AC142:AD142" si="53">SUM(AC134:AC141)</f>
        <v>0</v>
      </c>
      <c r="AD142" s="591">
        <f t="shared" si="53"/>
        <v>0</v>
      </c>
      <c r="AE142" s="594"/>
    </row>
    <row r="143" spans="1:31">
      <c r="A143" s="596">
        <v>33</v>
      </c>
      <c r="B143" s="596">
        <f t="shared" ref="B143:E143" si="54">B36</f>
        <v>15077</v>
      </c>
      <c r="C143" s="596">
        <f t="shared" si="54"/>
        <v>20250246710</v>
      </c>
      <c r="D143" s="597" t="str">
        <f t="shared" si="54"/>
        <v>HEMANT KUMAR</v>
      </c>
      <c r="E143" s="597" t="str">
        <f t="shared" si="54"/>
        <v>PRADEEP KUMAR</v>
      </c>
      <c r="F143" s="590" t="str">
        <f>VLOOKUP(A143,STUDENT!$A$2:$BR$105,68,0)</f>
        <v/>
      </c>
      <c r="G143" s="590" t="b">
        <f>VLOOKUP(A143,STUDENT!$A$2:$BR$105,67,0)</f>
        <v>0</v>
      </c>
      <c r="H143" s="590" t="str">
        <f>PASHEET!BJ36</f>
        <v/>
      </c>
      <c r="I143" s="590" t="str">
        <f>PASHEET!BK36</f>
        <v/>
      </c>
      <c r="J143" s="590" t="str">
        <f>PASHEET!BL36</f>
        <v/>
      </c>
      <c r="K143" s="590" t="str">
        <f>PASHEET!BM36</f>
        <v/>
      </c>
      <c r="L143" s="590" t="str">
        <f>PASHEET!BN36</f>
        <v/>
      </c>
      <c r="M143" s="590" t="str">
        <f>PASHEET!BO36</f>
        <v/>
      </c>
      <c r="N143" s="590" t="str">
        <f>PASHEET!BP36</f>
        <v/>
      </c>
      <c r="O143" s="590" t="str">
        <f>PASHEET!BQ36</f>
        <v>Ab</v>
      </c>
      <c r="Q143" s="591"/>
      <c r="R143" s="591"/>
      <c r="S143" s="591"/>
      <c r="T143" s="591"/>
      <c r="U143" s="591"/>
      <c r="V143" s="591"/>
      <c r="W143" s="594"/>
      <c r="X143" s="594"/>
      <c r="Y143" s="594"/>
      <c r="Z143" s="594"/>
      <c r="AA143" s="594"/>
      <c r="AB143" s="591"/>
      <c r="AC143" s="591"/>
      <c r="AD143" s="591"/>
      <c r="AE143" s="594"/>
    </row>
    <row r="144" spans="1:31">
      <c r="A144" s="590">
        <v>34</v>
      </c>
      <c r="B144" s="596">
        <f t="shared" ref="B144:E144" si="55">B37</f>
        <v>15088</v>
      </c>
      <c r="C144" s="596">
        <f t="shared" si="55"/>
        <v>20250257787</v>
      </c>
      <c r="D144" s="597" t="str">
        <f t="shared" si="55"/>
        <v>VEERPARTAP SINGH</v>
      </c>
      <c r="E144" s="597" t="str">
        <f t="shared" si="55"/>
        <v>VIJAY SINGH</v>
      </c>
      <c r="F144" s="590" t="str">
        <f>VLOOKUP(A144,STUDENT!$A$2:$BR$105,68,0)</f>
        <v/>
      </c>
      <c r="G144" s="590" t="b">
        <f>VLOOKUP(A144,STUDENT!$A$2:$BR$105,67,0)</f>
        <v>0</v>
      </c>
      <c r="H144" s="590" t="str">
        <f>PASHEET!BJ37</f>
        <v/>
      </c>
      <c r="I144" s="590" t="str">
        <f>PASHEET!BK37</f>
        <v/>
      </c>
      <c r="J144" s="590" t="str">
        <f>PASHEET!BL37</f>
        <v/>
      </c>
      <c r="K144" s="590" t="str">
        <f>PASHEET!BM37</f>
        <v/>
      </c>
      <c r="L144" s="590" t="str">
        <f>PASHEET!BN37</f>
        <v/>
      </c>
      <c r="M144" s="590" t="str">
        <f>PASHEET!BO37</f>
        <v/>
      </c>
      <c r="N144" s="590" t="str">
        <f>PASHEET!BP37</f>
        <v/>
      </c>
      <c r="O144" s="590" t="str">
        <f>PASHEET!BQ37</f>
        <v>Ab</v>
      </c>
      <c r="Q144" s="591"/>
      <c r="R144" s="591"/>
      <c r="S144" s="591"/>
      <c r="T144" s="591"/>
      <c r="U144" s="591"/>
      <c r="V144" s="591"/>
      <c r="W144" s="594"/>
      <c r="X144" s="594"/>
      <c r="Y144" s="594"/>
      <c r="Z144" s="594"/>
      <c r="AA144" s="594"/>
      <c r="AB144" s="591"/>
      <c r="AC144" s="591"/>
      <c r="AD144" s="591"/>
      <c r="AE144" s="594"/>
    </row>
    <row r="145" spans="1:31">
      <c r="A145" s="596">
        <v>35</v>
      </c>
      <c r="B145" s="596">
        <f t="shared" ref="B145:E145" si="56">B38</f>
        <v>15104</v>
      </c>
      <c r="C145" s="596">
        <f t="shared" si="56"/>
        <v>20250272033</v>
      </c>
      <c r="D145" s="597" t="str">
        <f t="shared" si="56"/>
        <v>NIKHIL KUMAR</v>
      </c>
      <c r="E145" s="597" t="str">
        <f t="shared" si="56"/>
        <v>SUNIL KUMAR</v>
      </c>
      <c r="F145" s="590" t="str">
        <f>VLOOKUP(A145,STUDENT!$A$2:$BR$105,68,0)</f>
        <v/>
      </c>
      <c r="G145" s="590" t="b">
        <f>VLOOKUP(A145,STUDENT!$A$2:$BR$105,67,0)</f>
        <v>0</v>
      </c>
      <c r="H145" s="590" t="str">
        <f>PASHEET!BJ38</f>
        <v/>
      </c>
      <c r="I145" s="590" t="str">
        <f>PASHEET!BK38</f>
        <v/>
      </c>
      <c r="J145" s="590" t="str">
        <f>PASHEET!BL38</f>
        <v/>
      </c>
      <c r="K145" s="590" t="str">
        <f>PASHEET!BM38</f>
        <v/>
      </c>
      <c r="L145" s="590" t="str">
        <f>PASHEET!BN38</f>
        <v/>
      </c>
      <c r="M145" s="590" t="str">
        <f>PASHEET!BO38</f>
        <v/>
      </c>
      <c r="N145" s="590" t="str">
        <f>PASHEET!BP38</f>
        <v/>
      </c>
      <c r="O145" s="590" t="str">
        <f>PASHEET!BQ38</f>
        <v>Ab</v>
      </c>
      <c r="Q145" s="591" t="s">
        <v>475</v>
      </c>
      <c r="R145" s="591" t="s">
        <v>476</v>
      </c>
      <c r="S145" s="592" t="s">
        <v>477</v>
      </c>
      <c r="T145" s="593" t="s">
        <v>88</v>
      </c>
      <c r="U145" s="592" t="s">
        <v>479</v>
      </c>
      <c r="V145" s="592" t="s">
        <v>480</v>
      </c>
      <c r="W145" s="594"/>
      <c r="X145" s="591" t="s">
        <v>475</v>
      </c>
      <c r="Y145" s="591" t="s">
        <v>476</v>
      </c>
      <c r="Z145" s="591" t="s">
        <v>474</v>
      </c>
      <c r="AA145" s="592" t="s">
        <v>477</v>
      </c>
      <c r="AB145" s="593" t="s">
        <v>492</v>
      </c>
      <c r="AC145" s="592" t="s">
        <v>479</v>
      </c>
      <c r="AD145" s="592" t="s">
        <v>480</v>
      </c>
      <c r="AE145" s="594"/>
    </row>
    <row r="146" spans="1:31">
      <c r="A146" s="590">
        <v>36</v>
      </c>
      <c r="B146" s="596">
        <f t="shared" ref="B146:E146" si="57">B39</f>
        <v>15143</v>
      </c>
      <c r="C146" s="596">
        <f t="shared" si="57"/>
        <v>20250310265</v>
      </c>
      <c r="D146" s="597" t="str">
        <f t="shared" si="57"/>
        <v>JITENDRA</v>
      </c>
      <c r="E146" s="597" t="str">
        <f t="shared" si="57"/>
        <v>RAM SUMAR</v>
      </c>
      <c r="F146" s="590" t="str">
        <f>VLOOKUP(A146,STUDENT!$A$2:$BR$105,68,0)</f>
        <v/>
      </c>
      <c r="G146" s="590" t="b">
        <f>VLOOKUP(A146,STUDENT!$A$2:$BR$105,67,0)</f>
        <v>0</v>
      </c>
      <c r="H146" s="590" t="str">
        <f>PASHEET!BJ39</f>
        <v/>
      </c>
      <c r="I146" s="590" t="str">
        <f>PASHEET!BK39</f>
        <v/>
      </c>
      <c r="J146" s="590" t="str">
        <f>PASHEET!BL39</f>
        <v/>
      </c>
      <c r="K146" s="590" t="str">
        <f>PASHEET!BM39</f>
        <v/>
      </c>
      <c r="L146" s="590" t="str">
        <f>PASHEET!BN39</f>
        <v/>
      </c>
      <c r="M146" s="590" t="str">
        <f>PASHEET!BO39</f>
        <v/>
      </c>
      <c r="N146" s="590" t="str">
        <f>PASHEET!BP39</f>
        <v/>
      </c>
      <c r="O146" s="590" t="str">
        <f>PASHEET!BQ39</f>
        <v>Ab</v>
      </c>
      <c r="Q146" s="591" t="s">
        <v>482</v>
      </c>
      <c r="R146" s="591" t="s">
        <v>483</v>
      </c>
      <c r="S146" s="591" t="s">
        <v>50</v>
      </c>
      <c r="T146" s="591">
        <f>COUNTIFS(J111:J210,S146)</f>
        <v>0</v>
      </c>
      <c r="U146" s="591">
        <f>COUNTIFS(F111:F210,Q135,J111:J210,S146)</f>
        <v>0</v>
      </c>
      <c r="V146" s="591">
        <f>COUNTIFS(F111:F210,R135,J111:J210,S146)</f>
        <v>0</v>
      </c>
      <c r="W146" s="594"/>
      <c r="X146" s="591" t="s">
        <v>482</v>
      </c>
      <c r="Y146" s="591" t="s">
        <v>483</v>
      </c>
      <c r="Z146" s="591" t="s">
        <v>492</v>
      </c>
      <c r="AA146" s="591" t="s">
        <v>50</v>
      </c>
      <c r="AB146" s="591">
        <f>COUNTIFS(G111:G210,Z146,O111:O210,S146)</f>
        <v>0</v>
      </c>
      <c r="AC146" s="591">
        <f>COUNTIFS(F111:F210,X146,G111:G210,Z146,O111:O210,S146)</f>
        <v>0</v>
      </c>
      <c r="AD146" s="591">
        <f>COUNTIFS(F111:F210,Y146,G111:G210,Z146,O111:O210,S146)</f>
        <v>0</v>
      </c>
      <c r="AE146" s="594"/>
    </row>
    <row r="147" spans="1:31">
      <c r="A147" s="596">
        <v>37</v>
      </c>
      <c r="B147" s="596">
        <f t="shared" ref="B147:E147" si="58">B40</f>
        <v>15144</v>
      </c>
      <c r="C147" s="596">
        <f t="shared" si="58"/>
        <v>20250310269</v>
      </c>
      <c r="D147" s="597" t="str">
        <f t="shared" si="58"/>
        <v>MOHD AYAN</v>
      </c>
      <c r="E147" s="597" t="str">
        <f t="shared" si="58"/>
        <v>BUDHAN MIYAN</v>
      </c>
      <c r="F147" s="590" t="str">
        <f>VLOOKUP(A147,STUDENT!$A$2:$BR$105,68,0)</f>
        <v/>
      </c>
      <c r="G147" s="590" t="b">
        <f>VLOOKUP(A147,STUDENT!$A$2:$BR$105,67,0)</f>
        <v>0</v>
      </c>
      <c r="H147" s="590" t="str">
        <f>PASHEET!BJ40</f>
        <v/>
      </c>
      <c r="I147" s="590" t="str">
        <f>PASHEET!BK40</f>
        <v/>
      </c>
      <c r="J147" s="590" t="str">
        <f>PASHEET!BL40</f>
        <v/>
      </c>
      <c r="K147" s="590" t="str">
        <f>PASHEET!BM40</f>
        <v/>
      </c>
      <c r="L147" s="590" t="str">
        <f>PASHEET!BN40</f>
        <v/>
      </c>
      <c r="M147" s="590" t="str">
        <f>PASHEET!BO40</f>
        <v/>
      </c>
      <c r="N147" s="590" t="str">
        <f>PASHEET!BP40</f>
        <v/>
      </c>
      <c r="O147" s="590" t="str">
        <f>PASHEET!BQ40</f>
        <v>Ab</v>
      </c>
      <c r="Q147" s="591" t="s">
        <v>482</v>
      </c>
      <c r="R147" s="591" t="s">
        <v>483</v>
      </c>
      <c r="S147" s="591" t="s">
        <v>485</v>
      </c>
      <c r="T147" s="591">
        <f>COUNTIFS(J111:J210,S147)</f>
        <v>0</v>
      </c>
      <c r="U147" s="591">
        <f>COUNTIFS(F111:F210,Q136,J111:J210,S147)</f>
        <v>0</v>
      </c>
      <c r="V147" s="591">
        <f>COUNTIFS(F111:F210,R136,J111:J210,S147)</f>
        <v>0</v>
      </c>
      <c r="W147" s="594"/>
      <c r="X147" s="591" t="s">
        <v>482</v>
      </c>
      <c r="Y147" s="591" t="s">
        <v>483</v>
      </c>
      <c r="Z147" s="591" t="s">
        <v>492</v>
      </c>
      <c r="AA147" s="591" t="s">
        <v>485</v>
      </c>
      <c r="AB147" s="591">
        <f>COUNTIFS(G111:G210,Z147,O111:O210,S147)</f>
        <v>0</v>
      </c>
      <c r="AC147" s="591">
        <f>COUNTIFS(F111:F210,X147,G111:G210,Z147,O111:O210,S147)</f>
        <v>0</v>
      </c>
      <c r="AD147" s="591">
        <f>COUNTIFS(F111:F210,Y147,G111:G210,Z147,O111:O210,S147)</f>
        <v>0</v>
      </c>
      <c r="AE147" s="594"/>
    </row>
    <row r="148" spans="1:31">
      <c r="A148" s="590">
        <v>38</v>
      </c>
      <c r="B148" s="596">
        <f t="shared" ref="B148:E148" si="59">B41</f>
        <v>15145</v>
      </c>
      <c r="C148" s="596">
        <f t="shared" si="59"/>
        <v>20250310277</v>
      </c>
      <c r="D148" s="597" t="str">
        <f t="shared" si="59"/>
        <v>RAJA KUMAR</v>
      </c>
      <c r="E148" s="597" t="str">
        <f t="shared" si="59"/>
        <v>AMAR PODDAR</v>
      </c>
      <c r="F148" s="590" t="str">
        <f>VLOOKUP(A148,STUDENT!$A$2:$BR$105,68,0)</f>
        <v/>
      </c>
      <c r="G148" s="590" t="b">
        <f>VLOOKUP(A148,STUDENT!$A$2:$BR$105,67,0)</f>
        <v>0</v>
      </c>
      <c r="H148" s="590" t="str">
        <f>PASHEET!BJ41</f>
        <v/>
      </c>
      <c r="I148" s="590" t="str">
        <f>PASHEET!BK41</f>
        <v/>
      </c>
      <c r="J148" s="590" t="str">
        <f>PASHEET!BL41</f>
        <v/>
      </c>
      <c r="K148" s="590" t="str">
        <f>PASHEET!BM41</f>
        <v/>
      </c>
      <c r="L148" s="590" t="str">
        <f>PASHEET!BN41</f>
        <v/>
      </c>
      <c r="M148" s="590" t="str">
        <f>PASHEET!BO41</f>
        <v/>
      </c>
      <c r="N148" s="590" t="str">
        <f>PASHEET!BP41</f>
        <v/>
      </c>
      <c r="O148" s="590" t="str">
        <f>PASHEET!BQ41</f>
        <v>Ab</v>
      </c>
      <c r="Q148" s="591" t="s">
        <v>482</v>
      </c>
      <c r="R148" s="591" t="s">
        <v>483</v>
      </c>
      <c r="S148" s="591" t="s">
        <v>486</v>
      </c>
      <c r="T148" s="591">
        <f>COUNTIFS(J111:J210,S148)</f>
        <v>0</v>
      </c>
      <c r="U148" s="591">
        <f>COUNTIFS(F111:F210,Q137,J111:J210,S148)</f>
        <v>0</v>
      </c>
      <c r="V148" s="591">
        <f>COUNTIFS(F111:F210,R137,J111:J210,S148)</f>
        <v>0</v>
      </c>
      <c r="W148" s="594"/>
      <c r="X148" s="591" t="s">
        <v>482</v>
      </c>
      <c r="Y148" s="591" t="s">
        <v>483</v>
      </c>
      <c r="Z148" s="591" t="s">
        <v>492</v>
      </c>
      <c r="AA148" s="591" t="s">
        <v>486</v>
      </c>
      <c r="AB148" s="591">
        <f>COUNTIFS(G111:G210,Z148,O111:O210,S148)</f>
        <v>0</v>
      </c>
      <c r="AC148" s="591">
        <f>COUNTIFS(F111:F210,X148,G111:G210,Z148,O111:O210,S148)</f>
        <v>0</v>
      </c>
      <c r="AD148" s="591">
        <f>COUNTIFS(F111:F210,Y148,G111:G210,Z148,O111:O210,S148)</f>
        <v>0</v>
      </c>
      <c r="AE148" s="594"/>
    </row>
    <row r="149" spans="1:31">
      <c r="A149" s="596">
        <v>39</v>
      </c>
      <c r="B149" s="596">
        <f t="shared" ref="B149:E149" si="60">B42</f>
        <v>15149</v>
      </c>
      <c r="C149" s="596">
        <f t="shared" si="60"/>
        <v>20250325088</v>
      </c>
      <c r="D149" s="597" t="str">
        <f t="shared" si="60"/>
        <v>LOVECESH KUMAR</v>
      </c>
      <c r="E149" s="597" t="str">
        <f t="shared" si="60"/>
        <v>SANDEEP KUMAR</v>
      </c>
      <c r="F149" s="590" t="str">
        <f>VLOOKUP(A149,STUDENT!$A$2:$BR$105,68,0)</f>
        <v/>
      </c>
      <c r="G149" s="590" t="b">
        <f>VLOOKUP(A149,STUDENT!$A$2:$BR$105,67,0)</f>
        <v>0</v>
      </c>
      <c r="H149" s="590" t="str">
        <f>PASHEET!BJ42</f>
        <v/>
      </c>
      <c r="I149" s="590" t="str">
        <f>PASHEET!BK42</f>
        <v/>
      </c>
      <c r="J149" s="590" t="str">
        <f>PASHEET!BL42</f>
        <v/>
      </c>
      <c r="K149" s="590" t="str">
        <f>PASHEET!BM42</f>
        <v/>
      </c>
      <c r="L149" s="590" t="str">
        <f>PASHEET!BN42</f>
        <v/>
      </c>
      <c r="M149" s="590" t="str">
        <f>PASHEET!BO42</f>
        <v/>
      </c>
      <c r="N149" s="590" t="str">
        <f>PASHEET!BP42</f>
        <v/>
      </c>
      <c r="O149" s="590" t="str">
        <f>PASHEET!BQ42</f>
        <v>Ab</v>
      </c>
      <c r="Q149" s="591" t="s">
        <v>482</v>
      </c>
      <c r="R149" s="591" t="s">
        <v>483</v>
      </c>
      <c r="S149" s="591" t="s">
        <v>487</v>
      </c>
      <c r="T149" s="591">
        <f>COUNTIFS(J111:J210,S149)</f>
        <v>0</v>
      </c>
      <c r="U149" s="591">
        <f>COUNTIFS(F111:F210,Q138,J111:J210,S149)</f>
        <v>0</v>
      </c>
      <c r="V149" s="591">
        <f>COUNTIFS(F111:F210,R138,J111:J210,S149)</f>
        <v>0</v>
      </c>
      <c r="W149" s="594"/>
      <c r="X149" s="591" t="s">
        <v>482</v>
      </c>
      <c r="Y149" s="591" t="s">
        <v>483</v>
      </c>
      <c r="Z149" s="591" t="s">
        <v>492</v>
      </c>
      <c r="AA149" s="591" t="s">
        <v>487</v>
      </c>
      <c r="AB149" s="591">
        <f>COUNTIFS(G111:G210,Z149,O111:O210,S149)</f>
        <v>0</v>
      </c>
      <c r="AC149" s="591">
        <f>COUNTIFS(F111:F210,X149,G111:G210,Z149,O111:O210,S149)</f>
        <v>0</v>
      </c>
      <c r="AD149" s="591">
        <f>COUNTIFS(F111:F210,Y149,G111:G210,Z149,O111:O210,S149)</f>
        <v>0</v>
      </c>
      <c r="AE149" s="594"/>
    </row>
    <row r="150" spans="1:31">
      <c r="A150" s="590">
        <v>40</v>
      </c>
      <c r="B150" s="596">
        <f t="shared" ref="B150:E150" si="61">B43</f>
        <v>0</v>
      </c>
      <c r="C150" s="596">
        <f t="shared" si="61"/>
        <v>0</v>
      </c>
      <c r="D150" s="597">
        <f t="shared" si="61"/>
        <v>0</v>
      </c>
      <c r="E150" s="597">
        <f t="shared" si="61"/>
        <v>0</v>
      </c>
      <c r="F150" s="590" t="str">
        <f>VLOOKUP(A150,STUDENT!$A$2:$BR$105,68,0)</f>
        <v/>
      </c>
      <c r="G150" s="590" t="b">
        <f>VLOOKUP(A150,STUDENT!$A$2:$BR$105,67,0)</f>
        <v>0</v>
      </c>
      <c r="H150" s="590" t="str">
        <f>PASHEET!BJ43</f>
        <v/>
      </c>
      <c r="I150" s="590" t="str">
        <f>PASHEET!BK43</f>
        <v/>
      </c>
      <c r="J150" s="590" t="str">
        <f>PASHEET!BL43</f>
        <v/>
      </c>
      <c r="K150" s="590" t="str">
        <f>PASHEET!BM43</f>
        <v/>
      </c>
      <c r="L150" s="590" t="str">
        <f>PASHEET!BN43</f>
        <v/>
      </c>
      <c r="M150" s="590" t="str">
        <f>PASHEET!BO43</f>
        <v/>
      </c>
      <c r="N150" s="590" t="str">
        <f>PASHEET!BP43</f>
        <v/>
      </c>
      <c r="O150" s="590" t="str">
        <f>PASHEET!BQ43</f>
        <v/>
      </c>
      <c r="Q150" s="591" t="s">
        <v>482</v>
      </c>
      <c r="R150" s="591" t="s">
        <v>483</v>
      </c>
      <c r="S150" s="591" t="s">
        <v>488</v>
      </c>
      <c r="T150" s="591">
        <f>COUNTIFS(J111:J210,S150)</f>
        <v>0</v>
      </c>
      <c r="U150" s="591">
        <f>COUNTIFS(F111:F210,Q139,J111:J210,S150)</f>
        <v>0</v>
      </c>
      <c r="V150" s="591">
        <f>COUNTIFS(F111:F210,R139,J111:J210,S150)</f>
        <v>0</v>
      </c>
      <c r="W150" s="594"/>
      <c r="X150" s="591" t="s">
        <v>482</v>
      </c>
      <c r="Y150" s="591" t="s">
        <v>483</v>
      </c>
      <c r="Z150" s="591" t="s">
        <v>492</v>
      </c>
      <c r="AA150" s="591" t="s">
        <v>488</v>
      </c>
      <c r="AB150" s="591">
        <f>COUNTIFS(G111:G210,Z150,O111:O210,S150)</f>
        <v>0</v>
      </c>
      <c r="AC150" s="591">
        <f>COUNTIFS(F111:F210,X150,G111:G210,Z150,O111:O210,S150)</f>
        <v>0</v>
      </c>
      <c r="AD150" s="591">
        <f>COUNTIFS(F111:F210,Y150,G111:G210,Z150,O111:O210,S150)</f>
        <v>0</v>
      </c>
      <c r="AE150" s="594"/>
    </row>
    <row r="151" spans="1:31">
      <c r="A151" s="596">
        <v>41</v>
      </c>
      <c r="B151" s="596">
        <f t="shared" ref="B151:E151" si="62">B44</f>
        <v>0</v>
      </c>
      <c r="C151" s="596">
        <f t="shared" si="62"/>
        <v>0</v>
      </c>
      <c r="D151" s="597">
        <f t="shared" si="62"/>
        <v>0</v>
      </c>
      <c r="E151" s="597">
        <f t="shared" si="62"/>
        <v>0</v>
      </c>
      <c r="F151" s="590" t="str">
        <f>VLOOKUP(A151,STUDENT!$A$2:$BR$105,68,0)</f>
        <v/>
      </c>
      <c r="G151" s="590" t="b">
        <f>VLOOKUP(A151,STUDENT!$A$2:$BR$105,67,0)</f>
        <v>0</v>
      </c>
      <c r="H151" s="590" t="str">
        <f>PASHEET!BJ44</f>
        <v/>
      </c>
      <c r="I151" s="590" t="str">
        <f>PASHEET!BK44</f>
        <v/>
      </c>
      <c r="J151" s="590" t="str">
        <f>PASHEET!BL44</f>
        <v/>
      </c>
      <c r="K151" s="590" t="str">
        <f>PASHEET!BM44</f>
        <v/>
      </c>
      <c r="L151" s="590" t="str">
        <f>PASHEET!BN44</f>
        <v/>
      </c>
      <c r="M151" s="590" t="str">
        <f>PASHEET!BO44</f>
        <v/>
      </c>
      <c r="N151" s="590" t="str">
        <f>PASHEET!BP44</f>
        <v/>
      </c>
      <c r="O151" s="590" t="str">
        <f>PASHEET!BQ44</f>
        <v/>
      </c>
      <c r="Q151" s="591" t="s">
        <v>482</v>
      </c>
      <c r="R151" s="591" t="s">
        <v>483</v>
      </c>
      <c r="S151" s="591" t="s">
        <v>101</v>
      </c>
      <c r="T151" s="591">
        <f>COUNTIFS(J111:J210,S151)</f>
        <v>0</v>
      </c>
      <c r="U151" s="591">
        <f>COUNTIFS(F111:F210,Q140,J111:J210,S151)</f>
        <v>0</v>
      </c>
      <c r="V151" s="591">
        <f>COUNTIFS(F111:F210,R140,J111:J210,S151)</f>
        <v>0</v>
      </c>
      <c r="W151" s="594"/>
      <c r="X151" s="591" t="s">
        <v>482</v>
      </c>
      <c r="Y151" s="591" t="s">
        <v>483</v>
      </c>
      <c r="Z151" s="591" t="s">
        <v>492</v>
      </c>
      <c r="AA151" s="591" t="s">
        <v>101</v>
      </c>
      <c r="AB151" s="591">
        <f>COUNTIFS(G111:G210,Z151,O111:O210,S151)</f>
        <v>0</v>
      </c>
      <c r="AC151" s="591">
        <f>COUNTIFS(F111:F210,X151,G111:G210,Z151,O111:O210,S151)</f>
        <v>0</v>
      </c>
      <c r="AD151" s="591">
        <f>COUNTIFS(F111:F210,Y151,G111:G210,Z151,O111:O210,S151)</f>
        <v>0</v>
      </c>
      <c r="AE151" s="594"/>
    </row>
    <row r="152" spans="1:31">
      <c r="A152" s="590">
        <v>42</v>
      </c>
      <c r="B152" s="596">
        <f t="shared" ref="B152:E152" si="63">B45</f>
        <v>0</v>
      </c>
      <c r="C152" s="596">
        <f t="shared" si="63"/>
        <v>0</v>
      </c>
      <c r="D152" s="597">
        <f t="shared" si="63"/>
        <v>0</v>
      </c>
      <c r="E152" s="597">
        <f t="shared" si="63"/>
        <v>0</v>
      </c>
      <c r="F152" s="590" t="str">
        <f>VLOOKUP(A152,STUDENT!$A$2:$BR$105,68,0)</f>
        <v/>
      </c>
      <c r="G152" s="590" t="b">
        <f>VLOOKUP(A152,STUDENT!$A$2:$BR$105,67,0)</f>
        <v>0</v>
      </c>
      <c r="H152" s="590" t="str">
        <f>PASHEET!BJ45</f>
        <v/>
      </c>
      <c r="I152" s="590" t="str">
        <f>PASHEET!BK45</f>
        <v/>
      </c>
      <c r="J152" s="590" t="str">
        <f>PASHEET!BL45</f>
        <v/>
      </c>
      <c r="K152" s="590" t="str">
        <f>PASHEET!BM45</f>
        <v/>
      </c>
      <c r="L152" s="590" t="str">
        <f>PASHEET!BN45</f>
        <v/>
      </c>
      <c r="M152" s="590" t="str">
        <f>PASHEET!BO45</f>
        <v/>
      </c>
      <c r="N152" s="590" t="str">
        <f>PASHEET!BP45</f>
        <v/>
      </c>
      <c r="O152" s="590" t="str">
        <f>PASHEET!BQ45</f>
        <v/>
      </c>
      <c r="Q152" s="591" t="s">
        <v>482</v>
      </c>
      <c r="R152" s="591" t="s">
        <v>483</v>
      </c>
      <c r="S152" s="591" t="s">
        <v>489</v>
      </c>
      <c r="T152" s="591">
        <f>COUNTIFS(J111:J210,S152)</f>
        <v>0</v>
      </c>
      <c r="U152" s="591">
        <f>COUNTIFS(F111:F210,Q141,J111:J210,S152)</f>
        <v>0</v>
      </c>
      <c r="V152" s="591">
        <f>COUNTIFS(F111:F210,R141,J111:J210,S152)</f>
        <v>0</v>
      </c>
      <c r="W152" s="594"/>
      <c r="X152" s="591" t="s">
        <v>482</v>
      </c>
      <c r="Y152" s="591" t="s">
        <v>483</v>
      </c>
      <c r="Z152" s="591" t="s">
        <v>492</v>
      </c>
      <c r="AA152" s="591" t="s">
        <v>489</v>
      </c>
      <c r="AB152" s="591">
        <f>COUNTIFS(G111:G210,Z152,O111:O210,S152)</f>
        <v>0</v>
      </c>
      <c r="AC152" s="591">
        <f>COUNTIFS(F111:F210,X152,G111:G210,Z152,O111:O210,S152)</f>
        <v>0</v>
      </c>
      <c r="AD152" s="591">
        <f>COUNTIFS(F111:F210,Y152,G111:G210,Z152,O111:O210,S152)</f>
        <v>0</v>
      </c>
      <c r="AE152" s="594"/>
    </row>
    <row r="153" spans="1:31">
      <c r="A153" s="596">
        <v>43</v>
      </c>
      <c r="B153" s="596">
        <f t="shared" ref="B153:E153" si="64">B46</f>
        <v>0</v>
      </c>
      <c r="C153" s="596">
        <f t="shared" si="64"/>
        <v>0</v>
      </c>
      <c r="D153" s="597">
        <f t="shared" si="64"/>
        <v>0</v>
      </c>
      <c r="E153" s="597">
        <f t="shared" si="64"/>
        <v>0</v>
      </c>
      <c r="F153" s="590" t="str">
        <f>VLOOKUP(A153,STUDENT!$A$2:$BR$105,68,0)</f>
        <v/>
      </c>
      <c r="G153" s="590" t="b">
        <f>VLOOKUP(A153,STUDENT!$A$2:$BR$105,67,0)</f>
        <v>0</v>
      </c>
      <c r="H153" s="590" t="str">
        <f>PASHEET!BJ46</f>
        <v/>
      </c>
      <c r="I153" s="590" t="str">
        <f>PASHEET!BK46</f>
        <v/>
      </c>
      <c r="J153" s="590" t="str">
        <f>PASHEET!BL46</f>
        <v/>
      </c>
      <c r="K153" s="590" t="str">
        <f>PASHEET!BM46</f>
        <v/>
      </c>
      <c r="L153" s="590" t="str">
        <f>PASHEET!BN46</f>
        <v/>
      </c>
      <c r="M153" s="590" t="str">
        <f>PASHEET!BO46</f>
        <v/>
      </c>
      <c r="N153" s="590" t="str">
        <f>PASHEET!BP46</f>
        <v/>
      </c>
      <c r="O153" s="590" t="str">
        <f>PASHEET!BQ46</f>
        <v/>
      </c>
      <c r="Q153" s="591" t="s">
        <v>482</v>
      </c>
      <c r="R153" s="591" t="s">
        <v>483</v>
      </c>
      <c r="S153" s="591"/>
      <c r="T153" s="591"/>
      <c r="U153" s="591"/>
      <c r="V153" s="591"/>
      <c r="W153" s="594"/>
      <c r="X153" s="591" t="s">
        <v>482</v>
      </c>
      <c r="Y153" s="591" t="s">
        <v>483</v>
      </c>
      <c r="Z153" s="591" t="s">
        <v>492</v>
      </c>
      <c r="AA153" s="591"/>
      <c r="AB153" s="591"/>
      <c r="AC153" s="591"/>
      <c r="AD153" s="591"/>
      <c r="AE153" s="594"/>
    </row>
    <row r="154" spans="1:31">
      <c r="A154" s="590">
        <v>44</v>
      </c>
      <c r="B154" s="596">
        <f t="shared" ref="B154:E154" si="65">B47</f>
        <v>0</v>
      </c>
      <c r="C154" s="596">
        <f t="shared" si="65"/>
        <v>0</v>
      </c>
      <c r="D154" s="597">
        <f t="shared" si="65"/>
        <v>0</v>
      </c>
      <c r="E154" s="597">
        <f t="shared" si="65"/>
        <v>0</v>
      </c>
      <c r="F154" s="590" t="str">
        <f>VLOOKUP(A154,STUDENT!$A$2:$BR$105,68,0)</f>
        <v/>
      </c>
      <c r="G154" s="590" t="b">
        <f>VLOOKUP(A154,STUDENT!$A$2:$BR$105,67,0)</f>
        <v>0</v>
      </c>
      <c r="H154" s="590" t="str">
        <f>PASHEET!BJ47</f>
        <v/>
      </c>
      <c r="I154" s="590" t="str">
        <f>PASHEET!BK47</f>
        <v/>
      </c>
      <c r="J154" s="590" t="str">
        <f>PASHEET!BL47</f>
        <v/>
      </c>
      <c r="K154" s="590" t="str">
        <f>PASHEET!BM47</f>
        <v/>
      </c>
      <c r="L154" s="590" t="str">
        <f>PASHEET!BN47</f>
        <v/>
      </c>
      <c r="M154" s="590" t="str">
        <f>PASHEET!BO47</f>
        <v/>
      </c>
      <c r="N154" s="590" t="str">
        <f>PASHEET!BP47</f>
        <v/>
      </c>
      <c r="O154" s="590" t="str">
        <f>PASHEET!BQ47</f>
        <v/>
      </c>
      <c r="Q154" s="591"/>
      <c r="R154" s="591"/>
      <c r="S154" s="591" t="s">
        <v>102</v>
      </c>
      <c r="T154" s="591">
        <f>SUM(T146:T153)</f>
        <v>0</v>
      </c>
      <c r="U154" s="591">
        <f t="shared" ref="U154:V154" si="66">SUM(U146:U153)</f>
        <v>0</v>
      </c>
      <c r="V154" s="591">
        <f t="shared" si="66"/>
        <v>0</v>
      </c>
      <c r="W154" s="594"/>
      <c r="X154" s="591"/>
      <c r="Y154" s="591"/>
      <c r="Z154" s="591"/>
      <c r="AA154" s="591" t="s">
        <v>102</v>
      </c>
      <c r="AB154" s="591">
        <f>SUM(AB146:AB153)</f>
        <v>0</v>
      </c>
      <c r="AC154" s="591">
        <f t="shared" ref="AC154:AD154" si="67">SUM(AC146:AC153)</f>
        <v>0</v>
      </c>
      <c r="AD154" s="591">
        <f t="shared" si="67"/>
        <v>0</v>
      </c>
      <c r="AE154" s="594"/>
    </row>
    <row r="155" spans="1:31">
      <c r="A155" s="596">
        <v>45</v>
      </c>
      <c r="B155" s="596">
        <f t="shared" ref="B155:E155" si="68">B48</f>
        <v>0</v>
      </c>
      <c r="C155" s="596">
        <f t="shared" si="68"/>
        <v>0</v>
      </c>
      <c r="D155" s="597">
        <f t="shared" si="68"/>
        <v>0</v>
      </c>
      <c r="E155" s="597">
        <f t="shared" si="68"/>
        <v>0</v>
      </c>
      <c r="F155" s="590" t="str">
        <f>VLOOKUP(A155,STUDENT!$A$2:$BR$105,68,0)</f>
        <v/>
      </c>
      <c r="G155" s="590" t="b">
        <f>VLOOKUP(A155,STUDENT!$A$2:$BR$105,67,0)</f>
        <v>0</v>
      </c>
      <c r="H155" s="590" t="str">
        <f>PASHEET!BJ48</f>
        <v/>
      </c>
      <c r="I155" s="590" t="str">
        <f>PASHEET!BK48</f>
        <v/>
      </c>
      <c r="J155" s="590" t="str">
        <f>PASHEET!BL48</f>
        <v/>
      </c>
      <c r="K155" s="590" t="str">
        <f>PASHEET!BM48</f>
        <v/>
      </c>
      <c r="L155" s="590" t="str">
        <f>PASHEET!BN48</f>
        <v/>
      </c>
      <c r="M155" s="590" t="str">
        <f>PASHEET!BO48</f>
        <v/>
      </c>
      <c r="N155" s="590" t="str">
        <f>PASHEET!BP48</f>
        <v/>
      </c>
      <c r="O155" s="590" t="str">
        <f>PASHEET!BQ48</f>
        <v/>
      </c>
      <c r="Q155" s="591"/>
      <c r="R155" s="591"/>
      <c r="S155" s="591"/>
      <c r="T155" s="591"/>
      <c r="U155" s="591"/>
      <c r="V155" s="591"/>
      <c r="W155" s="594"/>
      <c r="X155" s="594"/>
      <c r="Y155" s="594"/>
      <c r="Z155" s="594"/>
      <c r="AA155" s="594"/>
      <c r="AB155" s="591"/>
      <c r="AC155" s="591"/>
      <c r="AD155" s="591"/>
      <c r="AE155" s="594"/>
    </row>
    <row r="156" spans="1:31">
      <c r="A156" s="590">
        <v>46</v>
      </c>
      <c r="B156" s="596">
        <f t="shared" ref="B156:E156" si="69">B49</f>
        <v>0</v>
      </c>
      <c r="C156" s="596">
        <f t="shared" si="69"/>
        <v>0</v>
      </c>
      <c r="D156" s="597">
        <f t="shared" si="69"/>
        <v>0</v>
      </c>
      <c r="E156" s="597">
        <f t="shared" si="69"/>
        <v>0</v>
      </c>
      <c r="F156" s="590" t="str">
        <f>VLOOKUP(A156,STUDENT!$A$2:$BR$105,68,0)</f>
        <v/>
      </c>
      <c r="G156" s="590" t="b">
        <f>VLOOKUP(A156,STUDENT!$A$2:$BR$105,67,0)</f>
        <v>0</v>
      </c>
      <c r="H156" s="590" t="str">
        <f>PASHEET!BJ49</f>
        <v/>
      </c>
      <c r="I156" s="590" t="str">
        <f>PASHEET!BK49</f>
        <v/>
      </c>
      <c r="J156" s="590" t="str">
        <f>PASHEET!BL49</f>
        <v/>
      </c>
      <c r="K156" s="590" t="str">
        <f>PASHEET!BM49</f>
        <v/>
      </c>
      <c r="L156" s="590" t="str">
        <f>PASHEET!BN49</f>
        <v/>
      </c>
      <c r="M156" s="590" t="str">
        <f>PASHEET!BO49</f>
        <v/>
      </c>
      <c r="N156" s="590" t="str">
        <f>PASHEET!BP49</f>
        <v/>
      </c>
      <c r="O156" s="590" t="str">
        <f>PASHEET!BQ49</f>
        <v/>
      </c>
      <c r="Q156" s="591"/>
      <c r="R156" s="591"/>
      <c r="S156" s="591"/>
      <c r="T156" s="591"/>
      <c r="U156" s="591"/>
      <c r="V156" s="591"/>
      <c r="W156" s="594"/>
      <c r="X156" s="594"/>
      <c r="Y156" s="594"/>
      <c r="Z156" s="594"/>
      <c r="AA156" s="594"/>
      <c r="AB156" s="591"/>
      <c r="AC156" s="591"/>
      <c r="AD156" s="591"/>
      <c r="AE156" s="594"/>
    </row>
    <row r="157" spans="1:31">
      <c r="A157" s="596">
        <v>47</v>
      </c>
      <c r="B157" s="596">
        <f t="shared" ref="B157:E157" si="70">B50</f>
        <v>0</v>
      </c>
      <c r="C157" s="596">
        <f t="shared" si="70"/>
        <v>0</v>
      </c>
      <c r="D157" s="597">
        <f t="shared" si="70"/>
        <v>0</v>
      </c>
      <c r="E157" s="597">
        <f t="shared" si="70"/>
        <v>0</v>
      </c>
      <c r="F157" s="590" t="str">
        <f>VLOOKUP(A157,STUDENT!$A$2:$BR$105,68,0)</f>
        <v/>
      </c>
      <c r="G157" s="590" t="b">
        <f>VLOOKUP(A157,STUDENT!$A$2:$BR$105,67,0)</f>
        <v>0</v>
      </c>
      <c r="H157" s="590" t="str">
        <f>PASHEET!BJ50</f>
        <v/>
      </c>
      <c r="I157" s="590" t="str">
        <f>PASHEET!BK50</f>
        <v/>
      </c>
      <c r="J157" s="590" t="str">
        <f>PASHEET!BL50</f>
        <v/>
      </c>
      <c r="K157" s="590" t="str">
        <f>PASHEET!BM50</f>
        <v/>
      </c>
      <c r="L157" s="590" t="str">
        <f>PASHEET!BN50</f>
        <v/>
      </c>
      <c r="M157" s="590" t="str">
        <f>PASHEET!BO50</f>
        <v/>
      </c>
      <c r="N157" s="590" t="str">
        <f>PASHEET!BP50</f>
        <v/>
      </c>
      <c r="O157" s="590" t="str">
        <f>PASHEET!BQ50</f>
        <v/>
      </c>
      <c r="Q157" s="591"/>
      <c r="R157" s="591"/>
      <c r="S157" s="591"/>
      <c r="T157" s="591"/>
      <c r="U157" s="591"/>
      <c r="V157" s="591"/>
      <c r="W157" s="594"/>
      <c r="X157" s="594"/>
      <c r="Y157" s="594"/>
      <c r="Z157" s="594"/>
      <c r="AA157" s="594"/>
      <c r="AB157" s="591"/>
      <c r="AC157" s="591"/>
      <c r="AD157" s="591"/>
      <c r="AE157" s="594"/>
    </row>
    <row r="158" spans="1:31">
      <c r="A158" s="590">
        <v>48</v>
      </c>
      <c r="B158" s="596">
        <f t="shared" ref="B158:E158" si="71">B51</f>
        <v>0</v>
      </c>
      <c r="C158" s="596">
        <f t="shared" si="71"/>
        <v>0</v>
      </c>
      <c r="D158" s="597">
        <f t="shared" si="71"/>
        <v>0</v>
      </c>
      <c r="E158" s="597">
        <f t="shared" si="71"/>
        <v>0</v>
      </c>
      <c r="F158" s="590" t="str">
        <f>VLOOKUP(A158,STUDENT!$A$2:$BR$105,68,0)</f>
        <v/>
      </c>
      <c r="G158" s="590" t="b">
        <f>VLOOKUP(A158,STUDENT!$A$2:$BR$105,67,0)</f>
        <v>0</v>
      </c>
      <c r="H158" s="590" t="str">
        <f>PASHEET!BJ51</f>
        <v/>
      </c>
      <c r="I158" s="590" t="str">
        <f>PASHEET!BK51</f>
        <v/>
      </c>
      <c r="J158" s="590" t="str">
        <f>PASHEET!BL51</f>
        <v/>
      </c>
      <c r="K158" s="590" t="str">
        <f>PASHEET!BM51</f>
        <v/>
      </c>
      <c r="L158" s="590" t="str">
        <f>PASHEET!BN51</f>
        <v/>
      </c>
      <c r="M158" s="590" t="str">
        <f>PASHEET!BO51</f>
        <v/>
      </c>
      <c r="N158" s="590" t="str">
        <f>PASHEET!BP51</f>
        <v/>
      </c>
      <c r="O158" s="590" t="str">
        <f>PASHEET!BQ51</f>
        <v/>
      </c>
      <c r="Q158" s="591" t="s">
        <v>475</v>
      </c>
      <c r="R158" s="591" t="s">
        <v>476</v>
      </c>
      <c r="S158" s="592" t="s">
        <v>477</v>
      </c>
      <c r="T158" s="593" t="s">
        <v>351</v>
      </c>
      <c r="U158" s="592" t="s">
        <v>479</v>
      </c>
      <c r="V158" s="592" t="s">
        <v>480</v>
      </c>
      <c r="W158" s="594"/>
      <c r="X158" s="591" t="s">
        <v>475</v>
      </c>
      <c r="Y158" s="591" t="s">
        <v>476</v>
      </c>
      <c r="Z158" s="591" t="s">
        <v>474</v>
      </c>
      <c r="AA158" s="592" t="s">
        <v>477</v>
      </c>
      <c r="AB158" s="593" t="s">
        <v>493</v>
      </c>
      <c r="AC158" s="592" t="s">
        <v>479</v>
      </c>
      <c r="AD158" s="592" t="s">
        <v>480</v>
      </c>
      <c r="AE158" s="594"/>
    </row>
    <row r="159" spans="1:31">
      <c r="A159" s="596">
        <v>49</v>
      </c>
      <c r="B159" s="596">
        <f t="shared" ref="B159:E159" si="72">B52</f>
        <v>0</v>
      </c>
      <c r="C159" s="596">
        <f t="shared" si="72"/>
        <v>0</v>
      </c>
      <c r="D159" s="597">
        <f t="shared" si="72"/>
        <v>0</v>
      </c>
      <c r="E159" s="597">
        <f t="shared" si="72"/>
        <v>0</v>
      </c>
      <c r="F159" s="590" t="str">
        <f>VLOOKUP(A159,STUDENT!$A$2:$BR$105,68,0)</f>
        <v/>
      </c>
      <c r="G159" s="590" t="b">
        <f>VLOOKUP(A159,STUDENT!$A$2:$BR$105,67,0)</f>
        <v>0</v>
      </c>
      <c r="H159" s="590" t="str">
        <f>PASHEET!BJ52</f>
        <v/>
      </c>
      <c r="I159" s="590" t="str">
        <f>PASHEET!BK52</f>
        <v/>
      </c>
      <c r="J159" s="590" t="str">
        <f>PASHEET!BL52</f>
        <v/>
      </c>
      <c r="K159" s="590" t="str">
        <f>PASHEET!BM52</f>
        <v/>
      </c>
      <c r="L159" s="590" t="str">
        <f>PASHEET!BN52</f>
        <v/>
      </c>
      <c r="M159" s="590" t="str">
        <f>PASHEET!BO52</f>
        <v/>
      </c>
      <c r="N159" s="590" t="str">
        <f>PASHEET!BP52</f>
        <v/>
      </c>
      <c r="O159" s="590" t="str">
        <f>PASHEET!BQ52</f>
        <v/>
      </c>
      <c r="Q159" s="591" t="s">
        <v>482</v>
      </c>
      <c r="R159" s="591" t="s">
        <v>483</v>
      </c>
      <c r="S159" s="591" t="s">
        <v>50</v>
      </c>
      <c r="T159" s="591">
        <f>COUNTIFS(K111:K210,S159)</f>
        <v>0</v>
      </c>
      <c r="U159" s="591">
        <f>COUNTIFS(F111:F210,Q148,K111:K210,S159)</f>
        <v>0</v>
      </c>
      <c r="V159" s="591">
        <f>COUNTIFS(F111:F210,R148,K111:K210,S159)</f>
        <v>0</v>
      </c>
      <c r="W159" s="594"/>
      <c r="X159" s="591" t="s">
        <v>482</v>
      </c>
      <c r="Y159" s="591" t="s">
        <v>483</v>
      </c>
      <c r="Z159" s="591" t="s">
        <v>493</v>
      </c>
      <c r="AA159" s="591" t="s">
        <v>50</v>
      </c>
      <c r="AB159" s="591">
        <f>COUNTIFS(G111:G210,Z159,O111:O210,S159)</f>
        <v>0</v>
      </c>
      <c r="AC159" s="591">
        <f>COUNTIFS(F111:F210,X159,G111:G210,Z159,O111:O210,S159)</f>
        <v>0</v>
      </c>
      <c r="AD159" s="591">
        <f>COUNTIFS(F111:F210,Y159,G111:G210,Z159,O111:O210,S159)</f>
        <v>0</v>
      </c>
      <c r="AE159" s="594"/>
    </row>
    <row r="160" spans="1:31">
      <c r="A160" s="590">
        <v>50</v>
      </c>
      <c r="B160" s="596">
        <f t="shared" ref="B160:E160" si="73">B53</f>
        <v>0</v>
      </c>
      <c r="C160" s="596">
        <f t="shared" si="73"/>
        <v>0</v>
      </c>
      <c r="D160" s="597">
        <f t="shared" si="73"/>
        <v>0</v>
      </c>
      <c r="E160" s="597">
        <f t="shared" si="73"/>
        <v>0</v>
      </c>
      <c r="F160" s="590" t="str">
        <f>VLOOKUP(A160,STUDENT!$A$2:$BR$105,68,0)</f>
        <v/>
      </c>
      <c r="G160" s="590" t="b">
        <f>VLOOKUP(A160,STUDENT!$A$2:$BR$105,67,0)</f>
        <v>0</v>
      </c>
      <c r="H160" s="590" t="str">
        <f>PASHEET!BJ53</f>
        <v/>
      </c>
      <c r="I160" s="590" t="str">
        <f>PASHEET!BK53</f>
        <v/>
      </c>
      <c r="J160" s="590" t="str">
        <f>PASHEET!BL53</f>
        <v/>
      </c>
      <c r="K160" s="590" t="str">
        <f>PASHEET!BM53</f>
        <v/>
      </c>
      <c r="L160" s="590" t="str">
        <f>PASHEET!BN53</f>
        <v/>
      </c>
      <c r="M160" s="590" t="str">
        <f>PASHEET!BO53</f>
        <v/>
      </c>
      <c r="N160" s="590" t="str">
        <f>PASHEET!BP53</f>
        <v/>
      </c>
      <c r="O160" s="590" t="str">
        <f>PASHEET!BQ53</f>
        <v/>
      </c>
      <c r="Q160" s="591" t="s">
        <v>482</v>
      </c>
      <c r="R160" s="591" t="s">
        <v>483</v>
      </c>
      <c r="S160" s="591" t="s">
        <v>485</v>
      </c>
      <c r="T160" s="591">
        <f>COUNTIFS(K111:K210,S160)</f>
        <v>0</v>
      </c>
      <c r="U160" s="591">
        <f>COUNTIFS(F111:F210,Q149,K111:K210,S160)</f>
        <v>0</v>
      </c>
      <c r="V160" s="591">
        <f>COUNTIFS(F111:F210,R149,K111:K210,S160)</f>
        <v>0</v>
      </c>
      <c r="W160" s="594"/>
      <c r="X160" s="591" t="s">
        <v>482</v>
      </c>
      <c r="Y160" s="591" t="s">
        <v>483</v>
      </c>
      <c r="Z160" s="591" t="s">
        <v>493</v>
      </c>
      <c r="AA160" s="591" t="s">
        <v>485</v>
      </c>
      <c r="AB160" s="591">
        <f>COUNTIFS(G111:G210,Z160,O111:O210,S160)</f>
        <v>0</v>
      </c>
      <c r="AC160" s="591">
        <f>COUNTIFS(F111:F210,X160,G111:G210,Z160,O111:O210,S160)</f>
        <v>0</v>
      </c>
      <c r="AD160" s="591">
        <f>COUNTIFS(F111:F210,Y160,G111:G210,Z160,O111:O210,S160)</f>
        <v>0</v>
      </c>
      <c r="AE160" s="594"/>
    </row>
    <row r="161" spans="1:31">
      <c r="A161" s="596">
        <v>51</v>
      </c>
      <c r="B161" s="596">
        <f t="shared" ref="B161:E161" si="74">B54</f>
        <v>0</v>
      </c>
      <c r="C161" s="596">
        <f t="shared" si="74"/>
        <v>0</v>
      </c>
      <c r="D161" s="597">
        <f t="shared" si="74"/>
        <v>0</v>
      </c>
      <c r="E161" s="597">
        <f t="shared" si="74"/>
        <v>0</v>
      </c>
      <c r="F161" s="590" t="str">
        <f>VLOOKUP(A161,STUDENT!$A$2:$BR$105,68,0)</f>
        <v/>
      </c>
      <c r="G161" s="590" t="b">
        <f>VLOOKUP(A161,STUDENT!$A$2:$BR$105,67,0)</f>
        <v>0</v>
      </c>
      <c r="H161" s="590" t="str">
        <f>PASHEET!BJ54</f>
        <v/>
      </c>
      <c r="I161" s="590" t="str">
        <f>PASHEET!BK54</f>
        <v/>
      </c>
      <c r="J161" s="590" t="str">
        <f>PASHEET!BL54</f>
        <v/>
      </c>
      <c r="K161" s="590" t="str">
        <f>PASHEET!BM54</f>
        <v/>
      </c>
      <c r="L161" s="590" t="str">
        <f>PASHEET!BN54</f>
        <v/>
      </c>
      <c r="M161" s="590" t="str">
        <f>PASHEET!BO54</f>
        <v/>
      </c>
      <c r="N161" s="590" t="str">
        <f>PASHEET!BP54</f>
        <v/>
      </c>
      <c r="O161" s="590" t="str">
        <f>PASHEET!BQ54</f>
        <v/>
      </c>
      <c r="Q161" s="591" t="s">
        <v>482</v>
      </c>
      <c r="R161" s="591" t="s">
        <v>483</v>
      </c>
      <c r="S161" s="591" t="s">
        <v>486</v>
      </c>
      <c r="T161" s="591">
        <f>COUNTIFS(K111:K210,S161)</f>
        <v>0</v>
      </c>
      <c r="U161" s="591">
        <f>COUNTIFS(F111:F210,Q150,K111:K210,S161)</f>
        <v>0</v>
      </c>
      <c r="V161" s="591">
        <f>COUNTIFS(F111:F210,R150,K111:K210,S161)</f>
        <v>0</v>
      </c>
      <c r="W161" s="594"/>
      <c r="X161" s="591" t="s">
        <v>482</v>
      </c>
      <c r="Y161" s="591" t="s">
        <v>483</v>
      </c>
      <c r="Z161" s="591" t="s">
        <v>493</v>
      </c>
      <c r="AA161" s="591" t="s">
        <v>486</v>
      </c>
      <c r="AB161" s="591">
        <f>COUNTIFS(G111:G210,Z161,O111:O210,S161)</f>
        <v>0</v>
      </c>
      <c r="AC161" s="591">
        <f>COUNTIFS(F111:F210,X161,G111:G210,Z161,O111:O210,S161)</f>
        <v>0</v>
      </c>
      <c r="AD161" s="591">
        <f>COUNTIFS(F111:F210,Y161,G111:G210,Z161,O111:O210,S161)</f>
        <v>0</v>
      </c>
      <c r="AE161" s="594"/>
    </row>
    <row r="162" spans="1:31">
      <c r="A162" s="590">
        <v>52</v>
      </c>
      <c r="B162" s="596">
        <f t="shared" ref="B162:E162" si="75">B55</f>
        <v>0</v>
      </c>
      <c r="C162" s="596">
        <f t="shared" si="75"/>
        <v>0</v>
      </c>
      <c r="D162" s="597">
        <f t="shared" si="75"/>
        <v>0</v>
      </c>
      <c r="E162" s="597">
        <f t="shared" si="75"/>
        <v>0</v>
      </c>
      <c r="F162" s="590" t="str">
        <f>VLOOKUP(A162,STUDENT!$A$2:$BR$105,68,0)</f>
        <v/>
      </c>
      <c r="G162" s="590" t="b">
        <f>VLOOKUP(A162,STUDENT!$A$2:$BR$105,67,0)</f>
        <v>0</v>
      </c>
      <c r="H162" s="590" t="str">
        <f>PASHEET!BJ55</f>
        <v/>
      </c>
      <c r="I162" s="590" t="str">
        <f>PASHEET!BK55</f>
        <v/>
      </c>
      <c r="J162" s="590" t="str">
        <f>PASHEET!BL55</f>
        <v/>
      </c>
      <c r="K162" s="590" t="str">
        <f>PASHEET!BM55</f>
        <v/>
      </c>
      <c r="L162" s="590" t="str">
        <f>PASHEET!BN55</f>
        <v/>
      </c>
      <c r="M162" s="590" t="str">
        <f>PASHEET!BO55</f>
        <v/>
      </c>
      <c r="N162" s="590" t="str">
        <f>PASHEET!BP55</f>
        <v/>
      </c>
      <c r="O162" s="590" t="str">
        <f>PASHEET!BQ55</f>
        <v/>
      </c>
      <c r="Q162" s="591" t="s">
        <v>482</v>
      </c>
      <c r="R162" s="591" t="s">
        <v>483</v>
      </c>
      <c r="S162" s="591" t="s">
        <v>487</v>
      </c>
      <c r="T162" s="591">
        <f>COUNTIFS(K111:K210,S162)</f>
        <v>0</v>
      </c>
      <c r="U162" s="591">
        <f>COUNTIFS(F111:F210,Q151,K111:K210,S162)</f>
        <v>0</v>
      </c>
      <c r="V162" s="591">
        <f>COUNTIFS(F111:F210,R151,K111:K210,S162)</f>
        <v>0</v>
      </c>
      <c r="W162" s="594"/>
      <c r="X162" s="591" t="s">
        <v>482</v>
      </c>
      <c r="Y162" s="591" t="s">
        <v>483</v>
      </c>
      <c r="Z162" s="591" t="s">
        <v>493</v>
      </c>
      <c r="AA162" s="591" t="s">
        <v>487</v>
      </c>
      <c r="AB162" s="591">
        <f>COUNTIFS(G111:G210,Z162,O111:O210,S162)</f>
        <v>0</v>
      </c>
      <c r="AC162" s="591">
        <f>COUNTIFS(F111:F210,X162,G111:G210,Z162,O111:O210,S162)</f>
        <v>0</v>
      </c>
      <c r="AD162" s="591">
        <f>COUNTIFS(F111:F210,Y162,G111:G210,Z162,O111:O210,S162)</f>
        <v>0</v>
      </c>
      <c r="AE162" s="594"/>
    </row>
    <row r="163" spans="1:31">
      <c r="A163" s="596">
        <v>53</v>
      </c>
      <c r="B163" s="596">
        <f t="shared" ref="B163:E163" si="76">B56</f>
        <v>0</v>
      </c>
      <c r="C163" s="596">
        <f t="shared" si="76"/>
        <v>0</v>
      </c>
      <c r="D163" s="597">
        <f t="shared" si="76"/>
        <v>0</v>
      </c>
      <c r="E163" s="597">
        <f t="shared" si="76"/>
        <v>0</v>
      </c>
      <c r="F163" s="590" t="str">
        <f>VLOOKUP(A163,STUDENT!$A$2:$BR$105,68,0)</f>
        <v/>
      </c>
      <c r="G163" s="590" t="b">
        <f>VLOOKUP(A163,STUDENT!$A$2:$BR$105,67,0)</f>
        <v>0</v>
      </c>
      <c r="H163" s="590" t="str">
        <f>PASHEET!BJ56</f>
        <v/>
      </c>
      <c r="I163" s="590" t="str">
        <f>PASHEET!BK56</f>
        <v/>
      </c>
      <c r="J163" s="590" t="str">
        <f>PASHEET!BL56</f>
        <v/>
      </c>
      <c r="K163" s="590" t="str">
        <f>PASHEET!BM56</f>
        <v/>
      </c>
      <c r="L163" s="590" t="str">
        <f>PASHEET!BN56</f>
        <v/>
      </c>
      <c r="M163" s="590" t="str">
        <f>PASHEET!BO56</f>
        <v/>
      </c>
      <c r="N163" s="590" t="str">
        <f>PASHEET!BP56</f>
        <v/>
      </c>
      <c r="O163" s="590" t="str">
        <f>PASHEET!BQ56</f>
        <v/>
      </c>
      <c r="Q163" s="591" t="s">
        <v>482</v>
      </c>
      <c r="R163" s="591" t="s">
        <v>483</v>
      </c>
      <c r="S163" s="591" t="s">
        <v>488</v>
      </c>
      <c r="T163" s="591">
        <f>COUNTIFS(K111:K210,S163)</f>
        <v>0</v>
      </c>
      <c r="U163" s="591">
        <f>COUNTIFS(F111:F210,Q152,K111:K210,S163)</f>
        <v>0</v>
      </c>
      <c r="V163" s="591">
        <f>COUNTIFS(F111:F210,R152,K111:K210,S163)</f>
        <v>0</v>
      </c>
      <c r="W163" s="594"/>
      <c r="X163" s="591" t="s">
        <v>482</v>
      </c>
      <c r="Y163" s="591" t="s">
        <v>483</v>
      </c>
      <c r="Z163" s="591" t="s">
        <v>493</v>
      </c>
      <c r="AA163" s="591" t="s">
        <v>488</v>
      </c>
      <c r="AB163" s="591">
        <f>COUNTIFS(G111:G210,Z163,O111:O210,S163)</f>
        <v>0</v>
      </c>
      <c r="AC163" s="591">
        <f>COUNTIFS(F111:F210,X163,G111:G210,Z163,O111:O210,S163)</f>
        <v>0</v>
      </c>
      <c r="AD163" s="591">
        <f>COUNTIFS(F111:F210,Y163,G111:G210,Z163,O111:O210,S163)</f>
        <v>0</v>
      </c>
      <c r="AE163" s="594"/>
    </row>
    <row r="164" spans="1:31">
      <c r="A164" s="590">
        <v>54</v>
      </c>
      <c r="B164" s="596">
        <f t="shared" ref="B164:E164" si="77">B57</f>
        <v>0</v>
      </c>
      <c r="C164" s="596">
        <f t="shared" si="77"/>
        <v>0</v>
      </c>
      <c r="D164" s="597">
        <f t="shared" si="77"/>
        <v>0</v>
      </c>
      <c r="E164" s="597">
        <f t="shared" si="77"/>
        <v>0</v>
      </c>
      <c r="F164" s="590" t="str">
        <f>VLOOKUP(A164,STUDENT!$A$2:$BR$105,68,0)</f>
        <v/>
      </c>
      <c r="G164" s="590" t="b">
        <f>VLOOKUP(A164,STUDENT!$A$2:$BR$105,67,0)</f>
        <v>0</v>
      </c>
      <c r="H164" s="590" t="str">
        <f>PASHEET!BJ57</f>
        <v/>
      </c>
      <c r="I164" s="590" t="str">
        <f>PASHEET!BK57</f>
        <v/>
      </c>
      <c r="J164" s="590" t="str">
        <f>PASHEET!BL57</f>
        <v/>
      </c>
      <c r="K164" s="590" t="str">
        <f>PASHEET!BM57</f>
        <v/>
      </c>
      <c r="L164" s="590" t="str">
        <f>PASHEET!BN57</f>
        <v/>
      </c>
      <c r="M164" s="590" t="str">
        <f>PASHEET!BO57</f>
        <v/>
      </c>
      <c r="N164" s="590" t="str">
        <f>PASHEET!BP57</f>
        <v/>
      </c>
      <c r="O164" s="590" t="str">
        <f>PASHEET!BQ57</f>
        <v/>
      </c>
      <c r="Q164" s="591" t="s">
        <v>482</v>
      </c>
      <c r="R164" s="591" t="s">
        <v>483</v>
      </c>
      <c r="S164" s="591" t="s">
        <v>101</v>
      </c>
      <c r="T164" s="591">
        <f>COUNTIFS(K111:K210,S164)</f>
        <v>0</v>
      </c>
      <c r="U164" s="591">
        <f>COUNTIFS(F111:F210,Q153,K111:K210,S164)</f>
        <v>0</v>
      </c>
      <c r="V164" s="591">
        <f>COUNTIFS(F111:F210,R153,K111:K210,S164)</f>
        <v>0</v>
      </c>
      <c r="W164" s="594"/>
      <c r="X164" s="591" t="s">
        <v>482</v>
      </c>
      <c r="Y164" s="591" t="s">
        <v>483</v>
      </c>
      <c r="Z164" s="591" t="s">
        <v>493</v>
      </c>
      <c r="AA164" s="591" t="s">
        <v>101</v>
      </c>
      <c r="AB164" s="591">
        <f>COUNTIFS(G111:G210,Z164,O111:O210,S164)</f>
        <v>0</v>
      </c>
      <c r="AC164" s="591">
        <f>COUNTIFS(F111:F210,X164,G111:G210,Z164,O111:O210,S164)</f>
        <v>0</v>
      </c>
      <c r="AD164" s="591">
        <f>COUNTIFS(F111:F210,Y164,G111:G210,Z164,O111:O210,S164)</f>
        <v>0</v>
      </c>
      <c r="AE164" s="594"/>
    </row>
    <row r="165" spans="1:31">
      <c r="A165" s="596">
        <v>55</v>
      </c>
      <c r="B165" s="596">
        <f t="shared" ref="B165:E165" si="78">B58</f>
        <v>0</v>
      </c>
      <c r="C165" s="596">
        <f t="shared" si="78"/>
        <v>0</v>
      </c>
      <c r="D165" s="597">
        <f t="shared" si="78"/>
        <v>0</v>
      </c>
      <c r="E165" s="597">
        <f t="shared" si="78"/>
        <v>0</v>
      </c>
      <c r="F165" s="590" t="str">
        <f>VLOOKUP(A165,STUDENT!$A$2:$BR$105,68,0)</f>
        <v/>
      </c>
      <c r="G165" s="590" t="b">
        <f>VLOOKUP(A165,STUDENT!$A$2:$BR$105,67,0)</f>
        <v>0</v>
      </c>
      <c r="H165" s="590" t="str">
        <f>PASHEET!BJ58</f>
        <v/>
      </c>
      <c r="I165" s="590" t="str">
        <f>PASHEET!BK58</f>
        <v/>
      </c>
      <c r="J165" s="590" t="str">
        <f>PASHEET!BL58</f>
        <v/>
      </c>
      <c r="K165" s="590" t="str">
        <f>PASHEET!BM58</f>
        <v/>
      </c>
      <c r="L165" s="590" t="str">
        <f>PASHEET!BN58</f>
        <v/>
      </c>
      <c r="M165" s="590" t="str">
        <f>PASHEET!BO58</f>
        <v/>
      </c>
      <c r="N165" s="590" t="str">
        <f>PASHEET!BP58</f>
        <v/>
      </c>
      <c r="O165" s="590" t="str">
        <f>PASHEET!BQ58</f>
        <v/>
      </c>
      <c r="Q165" s="591" t="s">
        <v>482</v>
      </c>
      <c r="R165" s="591" t="s">
        <v>483</v>
      </c>
      <c r="S165" s="591" t="s">
        <v>489</v>
      </c>
      <c r="T165" s="591">
        <f>COUNTIFS(K111:K210,S165)</f>
        <v>0</v>
      </c>
      <c r="U165" s="591">
        <f>COUNTIFS(F111:F210,Q154,K111:K210,S165)</f>
        <v>0</v>
      </c>
      <c r="V165" s="591">
        <f>COUNTIFS(F111:F210,R154,K111:K210,S165)</f>
        <v>0</v>
      </c>
      <c r="W165" s="594"/>
      <c r="X165" s="591" t="s">
        <v>482</v>
      </c>
      <c r="Y165" s="591" t="s">
        <v>483</v>
      </c>
      <c r="Z165" s="591" t="s">
        <v>493</v>
      </c>
      <c r="AA165" s="591" t="s">
        <v>489</v>
      </c>
      <c r="AB165" s="591">
        <f>COUNTIFS(G111:G210,Z165,O111:O210,S165)</f>
        <v>0</v>
      </c>
      <c r="AC165" s="591">
        <f>COUNTIFS(F111:F210,X165,G111:G210,Z165,O111:O210,S165)</f>
        <v>0</v>
      </c>
      <c r="AD165" s="591">
        <f>COUNTIFS(F111:F210,Y165,G111:G210,Z165,O111:O210,S165)</f>
        <v>0</v>
      </c>
      <c r="AE165" s="594"/>
    </row>
    <row r="166" spans="1:31">
      <c r="A166" s="590">
        <v>56</v>
      </c>
      <c r="B166" s="596">
        <f t="shared" ref="B166:E166" si="79">B59</f>
        <v>0</v>
      </c>
      <c r="C166" s="596">
        <f t="shared" si="79"/>
        <v>0</v>
      </c>
      <c r="D166" s="597">
        <f t="shared" si="79"/>
        <v>0</v>
      </c>
      <c r="E166" s="597">
        <f t="shared" si="79"/>
        <v>0</v>
      </c>
      <c r="F166" s="590" t="str">
        <f>VLOOKUP(A166,STUDENT!$A$2:$BR$105,68,0)</f>
        <v/>
      </c>
      <c r="G166" s="590" t="b">
        <f>VLOOKUP(A166,STUDENT!$A$2:$BR$105,67,0)</f>
        <v>0</v>
      </c>
      <c r="H166" s="590" t="str">
        <f>PASHEET!BJ59</f>
        <v/>
      </c>
      <c r="I166" s="590" t="str">
        <f>PASHEET!BK59</f>
        <v/>
      </c>
      <c r="J166" s="590" t="str">
        <f>PASHEET!BL59</f>
        <v/>
      </c>
      <c r="K166" s="590" t="str">
        <f>PASHEET!BM59</f>
        <v/>
      </c>
      <c r="L166" s="590" t="str">
        <f>PASHEET!BN59</f>
        <v/>
      </c>
      <c r="M166" s="590" t="str">
        <f>PASHEET!BO59</f>
        <v/>
      </c>
      <c r="N166" s="590" t="str">
        <f>PASHEET!BP59</f>
        <v/>
      </c>
      <c r="O166" s="590" t="str">
        <f>PASHEET!BQ59</f>
        <v/>
      </c>
      <c r="Q166" s="591" t="s">
        <v>482</v>
      </c>
      <c r="R166" s="591" t="s">
        <v>483</v>
      </c>
      <c r="S166" s="591"/>
      <c r="T166" s="591"/>
      <c r="U166" s="591"/>
      <c r="V166" s="591"/>
      <c r="W166" s="594"/>
      <c r="X166" s="591" t="s">
        <v>482</v>
      </c>
      <c r="Y166" s="591" t="s">
        <v>483</v>
      </c>
      <c r="Z166" s="591" t="s">
        <v>493</v>
      </c>
      <c r="AA166" s="591"/>
      <c r="AB166" s="591"/>
      <c r="AC166" s="591"/>
      <c r="AD166" s="591"/>
      <c r="AE166" s="594"/>
    </row>
    <row r="167" spans="1:31">
      <c r="A167" s="596">
        <v>57</v>
      </c>
      <c r="B167" s="596">
        <f t="shared" ref="B167:E167" si="80">B60</f>
        <v>0</v>
      </c>
      <c r="C167" s="596">
        <f t="shared" si="80"/>
        <v>0</v>
      </c>
      <c r="D167" s="597">
        <f t="shared" si="80"/>
        <v>0</v>
      </c>
      <c r="E167" s="597">
        <f t="shared" si="80"/>
        <v>0</v>
      </c>
      <c r="F167" s="590" t="str">
        <f>VLOOKUP(A167,STUDENT!$A$2:$BR$105,68,0)</f>
        <v/>
      </c>
      <c r="G167" s="590" t="b">
        <f>VLOOKUP(A167,STUDENT!$A$2:$BR$105,67,0)</f>
        <v>0</v>
      </c>
      <c r="H167" s="590" t="str">
        <f>PASHEET!BJ60</f>
        <v/>
      </c>
      <c r="I167" s="590" t="str">
        <f>PASHEET!BK60</f>
        <v/>
      </c>
      <c r="J167" s="590" t="str">
        <f>PASHEET!BL60</f>
        <v/>
      </c>
      <c r="K167" s="590" t="str">
        <f>PASHEET!BM60</f>
        <v/>
      </c>
      <c r="L167" s="590" t="str">
        <f>PASHEET!BN60</f>
        <v/>
      </c>
      <c r="M167" s="590" t="str">
        <f>PASHEET!BO60</f>
        <v/>
      </c>
      <c r="N167" s="590" t="str">
        <f>PASHEET!BP60</f>
        <v/>
      </c>
      <c r="O167" s="590" t="str">
        <f>PASHEET!BQ60</f>
        <v/>
      </c>
      <c r="Q167" s="591"/>
      <c r="R167" s="591"/>
      <c r="S167" s="591" t="s">
        <v>102</v>
      </c>
      <c r="T167" s="591">
        <f>SUM(T159:T166)</f>
        <v>0</v>
      </c>
      <c r="U167" s="591">
        <f t="shared" ref="U167:V167" si="81">SUM(U159:U166)</f>
        <v>0</v>
      </c>
      <c r="V167" s="591">
        <f t="shared" si="81"/>
        <v>0</v>
      </c>
      <c r="W167" s="594"/>
      <c r="X167" s="591"/>
      <c r="Y167" s="591"/>
      <c r="Z167" s="591"/>
      <c r="AA167" s="591" t="s">
        <v>102</v>
      </c>
      <c r="AB167" s="591">
        <f>SUM(AB159:AB166)</f>
        <v>0</v>
      </c>
      <c r="AC167" s="591">
        <f t="shared" ref="AC167:AD167" si="82">SUM(AC159:AC166)</f>
        <v>0</v>
      </c>
      <c r="AD167" s="591">
        <f t="shared" si="82"/>
        <v>0</v>
      </c>
      <c r="AE167" s="594"/>
    </row>
    <row r="168" spans="1:31">
      <c r="A168" s="590">
        <v>58</v>
      </c>
      <c r="B168" s="596">
        <f t="shared" ref="B168:E168" si="83">B61</f>
        <v>0</v>
      </c>
      <c r="C168" s="596">
        <f t="shared" si="83"/>
        <v>0</v>
      </c>
      <c r="D168" s="597">
        <f t="shared" si="83"/>
        <v>0</v>
      </c>
      <c r="E168" s="597">
        <f t="shared" si="83"/>
        <v>0</v>
      </c>
      <c r="F168" s="590" t="str">
        <f>VLOOKUP(A168,STUDENT!$A$2:$BR$105,68,0)</f>
        <v/>
      </c>
      <c r="G168" s="590" t="b">
        <f>VLOOKUP(A168,STUDENT!$A$2:$BR$105,67,0)</f>
        <v>0</v>
      </c>
      <c r="H168" s="590" t="str">
        <f>PASHEET!BJ61</f>
        <v/>
      </c>
      <c r="I168" s="590" t="str">
        <f>PASHEET!BK61</f>
        <v/>
      </c>
      <c r="J168" s="590" t="str">
        <f>PASHEET!BL61</f>
        <v/>
      </c>
      <c r="K168" s="590" t="str">
        <f>PASHEET!BM61</f>
        <v/>
      </c>
      <c r="L168" s="590" t="str">
        <f>PASHEET!BN61</f>
        <v/>
      </c>
      <c r="M168" s="590" t="str">
        <f>PASHEET!BO61</f>
        <v/>
      </c>
      <c r="N168" s="590" t="str">
        <f>PASHEET!BP61</f>
        <v/>
      </c>
      <c r="O168" s="590" t="str">
        <f>PASHEET!BQ61</f>
        <v/>
      </c>
      <c r="Q168" s="591"/>
      <c r="R168" s="591"/>
      <c r="S168" s="591"/>
      <c r="T168" s="591"/>
      <c r="U168" s="591"/>
      <c r="V168" s="591"/>
      <c r="W168" s="594"/>
      <c r="X168" s="594"/>
      <c r="Y168" s="594"/>
      <c r="Z168" s="594"/>
      <c r="AA168" s="594"/>
      <c r="AB168" s="591"/>
      <c r="AC168" s="591"/>
      <c r="AD168" s="591"/>
      <c r="AE168" s="594"/>
    </row>
    <row r="169" spans="1:31">
      <c r="A169" s="596">
        <v>59</v>
      </c>
      <c r="B169" s="596">
        <f t="shared" ref="B169:E169" si="84">B62</f>
        <v>0</v>
      </c>
      <c r="C169" s="596">
        <f t="shared" si="84"/>
        <v>0</v>
      </c>
      <c r="D169" s="597">
        <f t="shared" si="84"/>
        <v>0</v>
      </c>
      <c r="E169" s="597">
        <f t="shared" si="84"/>
        <v>0</v>
      </c>
      <c r="F169" s="590" t="str">
        <f>VLOOKUP(A169,STUDENT!$A$2:$BR$105,68,0)</f>
        <v/>
      </c>
      <c r="G169" s="590" t="b">
        <f>VLOOKUP(A169,STUDENT!$A$2:$BR$105,67,0)</f>
        <v>0</v>
      </c>
      <c r="H169" s="590" t="str">
        <f>PASHEET!BJ62</f>
        <v/>
      </c>
      <c r="I169" s="590" t="str">
        <f>PASHEET!BK62</f>
        <v/>
      </c>
      <c r="J169" s="590" t="str">
        <f>PASHEET!BL62</f>
        <v/>
      </c>
      <c r="K169" s="590" t="str">
        <f>PASHEET!BM62</f>
        <v/>
      </c>
      <c r="L169" s="590" t="str">
        <f>PASHEET!BN62</f>
        <v/>
      </c>
      <c r="M169" s="590" t="str">
        <f>PASHEET!BO62</f>
        <v/>
      </c>
      <c r="N169" s="590" t="str">
        <f>PASHEET!BP62</f>
        <v/>
      </c>
      <c r="O169" s="590" t="str">
        <f>PASHEET!BQ62</f>
        <v/>
      </c>
      <c r="Q169" s="591"/>
      <c r="R169" s="591"/>
      <c r="S169" s="591"/>
      <c r="T169" s="591"/>
      <c r="U169" s="591"/>
      <c r="V169" s="591"/>
      <c r="W169" s="594"/>
      <c r="X169" s="594"/>
      <c r="Y169" s="594"/>
      <c r="Z169" s="594"/>
      <c r="AA169" s="594"/>
      <c r="AB169" s="591"/>
      <c r="AC169" s="591"/>
      <c r="AD169" s="591"/>
      <c r="AE169" s="594"/>
    </row>
    <row r="170" spans="1:31">
      <c r="A170" s="590">
        <v>60</v>
      </c>
      <c r="B170" s="596">
        <f t="shared" ref="B170:E170" si="85">B63</f>
        <v>0</v>
      </c>
      <c r="C170" s="596">
        <f t="shared" si="85"/>
        <v>0</v>
      </c>
      <c r="D170" s="597">
        <f t="shared" si="85"/>
        <v>0</v>
      </c>
      <c r="E170" s="597">
        <f t="shared" si="85"/>
        <v>0</v>
      </c>
      <c r="F170" s="590" t="str">
        <f>VLOOKUP(A170,STUDENT!$A$2:$BR$105,68,0)</f>
        <v/>
      </c>
      <c r="G170" s="590" t="b">
        <f>VLOOKUP(A170,STUDENT!$A$2:$BR$105,67,0)</f>
        <v>0</v>
      </c>
      <c r="H170" s="590" t="str">
        <f>PASHEET!BJ63</f>
        <v/>
      </c>
      <c r="I170" s="590" t="str">
        <f>PASHEET!BK63</f>
        <v/>
      </c>
      <c r="J170" s="590" t="str">
        <f>PASHEET!BL63</f>
        <v/>
      </c>
      <c r="K170" s="590" t="str">
        <f>PASHEET!BM63</f>
        <v/>
      </c>
      <c r="L170" s="590" t="str">
        <f>PASHEET!BN63</f>
        <v/>
      </c>
      <c r="M170" s="590" t="str">
        <f>PASHEET!BO63</f>
        <v/>
      </c>
      <c r="N170" s="590" t="str">
        <f>PASHEET!BP63</f>
        <v/>
      </c>
      <c r="O170" s="590" t="str">
        <f>PASHEET!BQ63</f>
        <v/>
      </c>
      <c r="Q170" s="591"/>
      <c r="R170" s="591"/>
      <c r="S170" s="591"/>
      <c r="T170" s="591"/>
      <c r="U170" s="591"/>
      <c r="V170" s="591"/>
      <c r="W170" s="594"/>
      <c r="X170" s="594"/>
      <c r="Y170" s="594"/>
      <c r="Z170" s="594"/>
      <c r="AA170" s="594"/>
      <c r="AB170" s="591"/>
      <c r="AC170" s="591"/>
      <c r="AD170" s="591"/>
      <c r="AE170" s="594"/>
    </row>
    <row r="171" spans="1:31">
      <c r="A171" s="596">
        <v>61</v>
      </c>
      <c r="B171" s="596">
        <f t="shared" ref="B171:E171" si="86">B64</f>
        <v>0</v>
      </c>
      <c r="C171" s="596">
        <f t="shared" si="86"/>
        <v>0</v>
      </c>
      <c r="D171" s="597">
        <f t="shared" si="86"/>
        <v>0</v>
      </c>
      <c r="E171" s="597">
        <f t="shared" si="86"/>
        <v>0</v>
      </c>
      <c r="F171" s="590" t="str">
        <f>VLOOKUP(A171,STUDENT!$A$2:$BR$105,68,0)</f>
        <v/>
      </c>
      <c r="G171" s="590" t="b">
        <f>VLOOKUP(A171,STUDENT!$A$2:$BR$105,67,0)</f>
        <v>0</v>
      </c>
      <c r="H171" s="590" t="str">
        <f>PASHEET!BJ64</f>
        <v/>
      </c>
      <c r="I171" s="590" t="str">
        <f>PASHEET!BK64</f>
        <v/>
      </c>
      <c r="J171" s="590" t="str">
        <f>PASHEET!BL64</f>
        <v/>
      </c>
      <c r="K171" s="590" t="str">
        <f>PASHEET!BM64</f>
        <v/>
      </c>
      <c r="L171" s="590" t="str">
        <f>PASHEET!BN64</f>
        <v/>
      </c>
      <c r="M171" s="590" t="str">
        <f>PASHEET!BO64</f>
        <v/>
      </c>
      <c r="N171" s="590" t="str">
        <f>PASHEET!BP64</f>
        <v/>
      </c>
      <c r="O171" s="590" t="str">
        <f>PASHEET!BQ64</f>
        <v/>
      </c>
      <c r="Q171" s="591" t="s">
        <v>475</v>
      </c>
      <c r="R171" s="591" t="s">
        <v>476</v>
      </c>
      <c r="S171" s="592" t="s">
        <v>477</v>
      </c>
      <c r="T171" s="593" t="s">
        <v>352</v>
      </c>
      <c r="U171" s="592" t="s">
        <v>479</v>
      </c>
      <c r="V171" s="592" t="s">
        <v>480</v>
      </c>
      <c r="W171" s="594"/>
      <c r="X171" s="591" t="s">
        <v>475</v>
      </c>
      <c r="Y171" s="591" t="s">
        <v>476</v>
      </c>
      <c r="Z171" s="591" t="s">
        <v>474</v>
      </c>
      <c r="AA171" s="592" t="s">
        <v>477</v>
      </c>
      <c r="AB171" s="593" t="s">
        <v>494</v>
      </c>
      <c r="AC171" s="592" t="s">
        <v>479</v>
      </c>
      <c r="AD171" s="592" t="s">
        <v>480</v>
      </c>
      <c r="AE171" s="594"/>
    </row>
    <row r="172" spans="1:31">
      <c r="A172" s="590">
        <v>62</v>
      </c>
      <c r="B172" s="596">
        <f t="shared" ref="B172:E172" si="87">B65</f>
        <v>0</v>
      </c>
      <c r="C172" s="596">
        <f t="shared" si="87"/>
        <v>0</v>
      </c>
      <c r="D172" s="597">
        <f t="shared" si="87"/>
        <v>0</v>
      </c>
      <c r="E172" s="597">
        <f t="shared" si="87"/>
        <v>0</v>
      </c>
      <c r="F172" s="590" t="str">
        <f>VLOOKUP(A172,STUDENT!$A$2:$BR$105,68,0)</f>
        <v/>
      </c>
      <c r="G172" s="590" t="b">
        <f>VLOOKUP(A172,STUDENT!$A$2:$BR$105,67,0)</f>
        <v>0</v>
      </c>
      <c r="H172" s="590" t="str">
        <f>PASHEET!BJ65</f>
        <v/>
      </c>
      <c r="I172" s="590" t="str">
        <f>PASHEET!BK65</f>
        <v/>
      </c>
      <c r="J172" s="590" t="str">
        <f>PASHEET!BL65</f>
        <v/>
      </c>
      <c r="K172" s="590" t="str">
        <f>PASHEET!BM65</f>
        <v/>
      </c>
      <c r="L172" s="590" t="str">
        <f>PASHEET!BN65</f>
        <v/>
      </c>
      <c r="M172" s="590" t="str">
        <f>PASHEET!BO65</f>
        <v/>
      </c>
      <c r="N172" s="590" t="str">
        <f>PASHEET!BP65</f>
        <v/>
      </c>
      <c r="O172" s="590" t="str">
        <f>PASHEET!BQ65</f>
        <v/>
      </c>
      <c r="Q172" s="591" t="s">
        <v>482</v>
      </c>
      <c r="R172" s="591" t="s">
        <v>483</v>
      </c>
      <c r="S172" s="591" t="s">
        <v>50</v>
      </c>
      <c r="T172" s="591">
        <f>COUNTIFS(L111:L210,S172)</f>
        <v>0</v>
      </c>
      <c r="U172" s="591">
        <f>COUNTIFS(F111:F210,Q161,L111:L210,S172)</f>
        <v>0</v>
      </c>
      <c r="V172" s="591">
        <f>COUNTIFS(F111:F210,R161,L111:L210,S172)</f>
        <v>0</v>
      </c>
      <c r="W172" s="594"/>
      <c r="X172" s="591" t="s">
        <v>482</v>
      </c>
      <c r="Y172" s="591" t="s">
        <v>483</v>
      </c>
      <c r="Z172" s="591" t="s">
        <v>494</v>
      </c>
      <c r="AA172" s="591" t="s">
        <v>50</v>
      </c>
      <c r="AB172" s="591">
        <f>COUNTIFS(G111:G210,Z172,O111:O210,S172)</f>
        <v>0</v>
      </c>
      <c r="AC172" s="591">
        <f>COUNTIFS(F111:F210,X172,G111:G210,Z172,O111:O210,S172)</f>
        <v>0</v>
      </c>
      <c r="AD172" s="591">
        <f>COUNTIFS(F111:F210,Y172,G111:G210,Z172,O111:O210,S172)</f>
        <v>0</v>
      </c>
      <c r="AE172" s="594"/>
    </row>
    <row r="173" spans="1:31">
      <c r="A173" s="596">
        <v>63</v>
      </c>
      <c r="B173" s="596">
        <f t="shared" ref="B173:E173" si="88">B66</f>
        <v>0</v>
      </c>
      <c r="C173" s="596">
        <f t="shared" si="88"/>
        <v>0</v>
      </c>
      <c r="D173" s="597">
        <f t="shared" si="88"/>
        <v>0</v>
      </c>
      <c r="E173" s="597">
        <f t="shared" si="88"/>
        <v>0</v>
      </c>
      <c r="F173" s="590" t="str">
        <f>VLOOKUP(A173,STUDENT!$A$2:$BR$105,68,0)</f>
        <v/>
      </c>
      <c r="G173" s="590" t="b">
        <f>VLOOKUP(A173,STUDENT!$A$2:$BR$105,67,0)</f>
        <v>0</v>
      </c>
      <c r="H173" s="590" t="str">
        <f>PASHEET!BJ66</f>
        <v/>
      </c>
      <c r="I173" s="590" t="str">
        <f>PASHEET!BK66</f>
        <v/>
      </c>
      <c r="J173" s="590" t="str">
        <f>PASHEET!BL66</f>
        <v/>
      </c>
      <c r="K173" s="590" t="str">
        <f>PASHEET!BM66</f>
        <v/>
      </c>
      <c r="L173" s="590" t="str">
        <f>PASHEET!BN66</f>
        <v/>
      </c>
      <c r="M173" s="590" t="str">
        <f>PASHEET!BO66</f>
        <v/>
      </c>
      <c r="N173" s="590" t="str">
        <f>PASHEET!BP66</f>
        <v/>
      </c>
      <c r="O173" s="590" t="str">
        <f>PASHEET!BQ66</f>
        <v/>
      </c>
      <c r="Q173" s="591" t="s">
        <v>482</v>
      </c>
      <c r="R173" s="591" t="s">
        <v>483</v>
      </c>
      <c r="S173" s="591" t="s">
        <v>485</v>
      </c>
      <c r="T173" s="591">
        <f>COUNTIFS(L111:L210,S173)</f>
        <v>0</v>
      </c>
      <c r="U173" s="591">
        <f>COUNTIFS(F111:F210,Q162,L111:L210,S173)</f>
        <v>0</v>
      </c>
      <c r="V173" s="591">
        <f>COUNTIFS(F111:F210,R162,L111:L210,S173)</f>
        <v>0</v>
      </c>
      <c r="W173" s="594"/>
      <c r="X173" s="591" t="s">
        <v>482</v>
      </c>
      <c r="Y173" s="591" t="s">
        <v>483</v>
      </c>
      <c r="Z173" s="591" t="s">
        <v>494</v>
      </c>
      <c r="AA173" s="591" t="s">
        <v>485</v>
      </c>
      <c r="AB173" s="591">
        <f>COUNTIFS(G111:G210,Z173,O111:O210,S173)</f>
        <v>0</v>
      </c>
      <c r="AC173" s="591">
        <f>COUNTIFS(F111:F210,X173,G111:G210,Z173,O111:O210,S173)</f>
        <v>0</v>
      </c>
      <c r="AD173" s="591">
        <f>COUNTIFS(F111:F210,Y173,G111:G210,Z173,O111:O210,S173)</f>
        <v>0</v>
      </c>
      <c r="AE173" s="594"/>
    </row>
    <row r="174" spans="1:31">
      <c r="A174" s="590">
        <v>64</v>
      </c>
      <c r="B174" s="596">
        <f t="shared" ref="B174:E174" si="89">B67</f>
        <v>0</v>
      </c>
      <c r="C174" s="596">
        <f t="shared" si="89"/>
        <v>0</v>
      </c>
      <c r="D174" s="597">
        <f t="shared" si="89"/>
        <v>0</v>
      </c>
      <c r="E174" s="597">
        <f t="shared" si="89"/>
        <v>0</v>
      </c>
      <c r="F174" s="590" t="str">
        <f>VLOOKUP(A174,STUDENT!$A$2:$BR$105,68,0)</f>
        <v/>
      </c>
      <c r="G174" s="590" t="b">
        <f>VLOOKUP(A174,STUDENT!$A$2:$BR$105,67,0)</f>
        <v>0</v>
      </c>
      <c r="H174" s="590" t="str">
        <f>PASHEET!BJ67</f>
        <v/>
      </c>
      <c r="I174" s="590" t="str">
        <f>PASHEET!BK67</f>
        <v/>
      </c>
      <c r="J174" s="590" t="str">
        <f>PASHEET!BL67</f>
        <v/>
      </c>
      <c r="K174" s="590" t="str">
        <f>PASHEET!BM67</f>
        <v/>
      </c>
      <c r="L174" s="590" t="str">
        <f>PASHEET!BN67</f>
        <v/>
      </c>
      <c r="M174" s="590" t="str">
        <f>PASHEET!BO67</f>
        <v/>
      </c>
      <c r="N174" s="590" t="str">
        <f>PASHEET!BP67</f>
        <v/>
      </c>
      <c r="O174" s="590" t="str">
        <f>PASHEET!BQ67</f>
        <v/>
      </c>
      <c r="Q174" s="591" t="s">
        <v>482</v>
      </c>
      <c r="R174" s="591" t="s">
        <v>483</v>
      </c>
      <c r="S174" s="591" t="s">
        <v>486</v>
      </c>
      <c r="T174" s="591">
        <f>COUNTIFS(L111:L210,S174)</f>
        <v>0</v>
      </c>
      <c r="U174" s="591">
        <f>COUNTIFS(F111:F210,Q163,L111:L210,S174)</f>
        <v>0</v>
      </c>
      <c r="V174" s="591">
        <f>COUNTIFS(F111:F210,R163,L111:L210,S174)</f>
        <v>0</v>
      </c>
      <c r="W174" s="594"/>
      <c r="X174" s="591" t="s">
        <v>482</v>
      </c>
      <c r="Y174" s="591" t="s">
        <v>483</v>
      </c>
      <c r="Z174" s="591" t="s">
        <v>494</v>
      </c>
      <c r="AA174" s="591" t="s">
        <v>486</v>
      </c>
      <c r="AB174" s="591">
        <f>COUNTIFS(G111:G210,Z174,O111:O210,S174)</f>
        <v>0</v>
      </c>
      <c r="AC174" s="591">
        <f>COUNTIFS(F111:F210,X174,G111:G210,Z174,O111:O210,S174)</f>
        <v>0</v>
      </c>
      <c r="AD174" s="591">
        <f>COUNTIFS(F111:F210,Y174,G111:G210,Z174,O111:O210,S174)</f>
        <v>0</v>
      </c>
      <c r="AE174" s="594"/>
    </row>
    <row r="175" spans="1:31">
      <c r="A175" s="596">
        <v>65</v>
      </c>
      <c r="B175" s="596">
        <f t="shared" ref="B175:E175" si="90">B68</f>
        <v>0</v>
      </c>
      <c r="C175" s="596">
        <f t="shared" si="90"/>
        <v>0</v>
      </c>
      <c r="D175" s="597">
        <f t="shared" si="90"/>
        <v>0</v>
      </c>
      <c r="E175" s="597">
        <f t="shared" si="90"/>
        <v>0</v>
      </c>
      <c r="F175" s="590" t="str">
        <f>VLOOKUP(A175,STUDENT!$A$2:$BR$105,68,0)</f>
        <v/>
      </c>
      <c r="G175" s="590" t="b">
        <f>VLOOKUP(A175,STUDENT!$A$2:$BR$105,67,0)</f>
        <v>0</v>
      </c>
      <c r="H175" s="590" t="str">
        <f>PASHEET!BJ68</f>
        <v/>
      </c>
      <c r="I175" s="590" t="str">
        <f>PASHEET!BK68</f>
        <v/>
      </c>
      <c r="J175" s="590" t="str">
        <f>PASHEET!BL68</f>
        <v/>
      </c>
      <c r="K175" s="590" t="str">
        <f>PASHEET!BM68</f>
        <v/>
      </c>
      <c r="L175" s="590" t="str">
        <f>PASHEET!BN68</f>
        <v/>
      </c>
      <c r="M175" s="590" t="str">
        <f>PASHEET!BO68</f>
        <v/>
      </c>
      <c r="N175" s="590" t="str">
        <f>PASHEET!BP68</f>
        <v/>
      </c>
      <c r="O175" s="590" t="str">
        <f>PASHEET!BQ68</f>
        <v/>
      </c>
      <c r="Q175" s="591" t="s">
        <v>482</v>
      </c>
      <c r="R175" s="591" t="s">
        <v>483</v>
      </c>
      <c r="S175" s="591" t="s">
        <v>487</v>
      </c>
      <c r="T175" s="591">
        <f>COUNTIFS(L111:L210,S175)</f>
        <v>0</v>
      </c>
      <c r="U175" s="591">
        <f>COUNTIFS(F111:F210,Q164,L111:L210,S175)</f>
        <v>0</v>
      </c>
      <c r="V175" s="591">
        <f>COUNTIFS(F111:F210,R164,L111:L210,S175)</f>
        <v>0</v>
      </c>
      <c r="W175" s="594"/>
      <c r="X175" s="591" t="s">
        <v>482</v>
      </c>
      <c r="Y175" s="591" t="s">
        <v>483</v>
      </c>
      <c r="Z175" s="591" t="s">
        <v>494</v>
      </c>
      <c r="AA175" s="591" t="s">
        <v>487</v>
      </c>
      <c r="AB175" s="591">
        <f>COUNTIFS(G111:G210,Z175,O111:O210,S175)</f>
        <v>0</v>
      </c>
      <c r="AC175" s="591">
        <f>COUNTIFS(F111:F210,X175,G111:G210,Z175,O111:O210,S175)</f>
        <v>0</v>
      </c>
      <c r="AD175" s="591">
        <f>COUNTIFS(F111:F210,Y175,G111:G210,Z175,O111:O210,S175)</f>
        <v>0</v>
      </c>
      <c r="AE175" s="594"/>
    </row>
    <row r="176" spans="1:31">
      <c r="A176" s="590">
        <v>66</v>
      </c>
      <c r="B176" s="596">
        <f t="shared" ref="B176:E176" si="91">B69</f>
        <v>0</v>
      </c>
      <c r="C176" s="596">
        <f t="shared" si="91"/>
        <v>0</v>
      </c>
      <c r="D176" s="597">
        <f t="shared" si="91"/>
        <v>0</v>
      </c>
      <c r="E176" s="597">
        <f t="shared" si="91"/>
        <v>0</v>
      </c>
      <c r="F176" s="590" t="str">
        <f>VLOOKUP(A176,STUDENT!$A$2:$BR$105,68,0)</f>
        <v/>
      </c>
      <c r="G176" s="590" t="b">
        <f>VLOOKUP(A176,STUDENT!$A$2:$BR$105,67,0)</f>
        <v>0</v>
      </c>
      <c r="H176" s="590" t="str">
        <f>PASHEET!BJ69</f>
        <v/>
      </c>
      <c r="I176" s="590" t="str">
        <f>PASHEET!BK69</f>
        <v/>
      </c>
      <c r="J176" s="590" t="str">
        <f>PASHEET!BL69</f>
        <v/>
      </c>
      <c r="K176" s="590" t="str">
        <f>PASHEET!BM69</f>
        <v/>
      </c>
      <c r="L176" s="590" t="str">
        <f>PASHEET!BN69</f>
        <v/>
      </c>
      <c r="M176" s="590" t="str">
        <f>PASHEET!BO69</f>
        <v/>
      </c>
      <c r="N176" s="590" t="str">
        <f>PASHEET!BP69</f>
        <v/>
      </c>
      <c r="O176" s="590" t="str">
        <f>PASHEET!BQ69</f>
        <v/>
      </c>
      <c r="Q176" s="591" t="s">
        <v>482</v>
      </c>
      <c r="R176" s="591" t="s">
        <v>483</v>
      </c>
      <c r="S176" s="591" t="s">
        <v>488</v>
      </c>
      <c r="T176" s="591">
        <f>COUNTIFS(L111:L210,S176)</f>
        <v>0</v>
      </c>
      <c r="U176" s="591">
        <f>COUNTIFS(F111:F210,Q165,L111:L210,S176)</f>
        <v>0</v>
      </c>
      <c r="V176" s="591">
        <f>COUNTIFS(F111:F210,R165,L111:L210,S176)</f>
        <v>0</v>
      </c>
      <c r="W176" s="594"/>
      <c r="X176" s="591" t="s">
        <v>482</v>
      </c>
      <c r="Y176" s="591" t="s">
        <v>483</v>
      </c>
      <c r="Z176" s="591" t="s">
        <v>494</v>
      </c>
      <c r="AA176" s="591" t="s">
        <v>488</v>
      </c>
      <c r="AB176" s="591">
        <f>COUNTIFS(G111:G210,Z176,O111:O210,S176)</f>
        <v>0</v>
      </c>
      <c r="AC176" s="591">
        <f>COUNTIFS(F111:F210,X176,G111:G210,Z176,O111:O210,S176)</f>
        <v>0</v>
      </c>
      <c r="AD176" s="591">
        <f>COUNTIFS(F111:F210,Y176,G111:G210,Z176,O111:O210,S176)</f>
        <v>0</v>
      </c>
      <c r="AE176" s="594"/>
    </row>
    <row r="177" spans="1:31">
      <c r="A177" s="596">
        <v>67</v>
      </c>
      <c r="B177" s="596">
        <f t="shared" ref="B177:E177" si="92">B70</f>
        <v>0</v>
      </c>
      <c r="C177" s="596">
        <f t="shared" si="92"/>
        <v>0</v>
      </c>
      <c r="D177" s="597">
        <f t="shared" si="92"/>
        <v>0</v>
      </c>
      <c r="E177" s="597">
        <f t="shared" si="92"/>
        <v>0</v>
      </c>
      <c r="F177" s="590" t="str">
        <f>VLOOKUP(A177,STUDENT!$A$2:$BR$105,68,0)</f>
        <v/>
      </c>
      <c r="G177" s="590" t="b">
        <f>VLOOKUP(A177,STUDENT!$A$2:$BR$105,67,0)</f>
        <v>0</v>
      </c>
      <c r="H177" s="590" t="str">
        <f>PASHEET!BJ70</f>
        <v/>
      </c>
      <c r="I177" s="590" t="str">
        <f>PASHEET!BK70</f>
        <v/>
      </c>
      <c r="J177" s="590" t="str">
        <f>PASHEET!BL70</f>
        <v/>
      </c>
      <c r="K177" s="590" t="str">
        <f>PASHEET!BM70</f>
        <v/>
      </c>
      <c r="L177" s="590" t="str">
        <f>PASHEET!BN70</f>
        <v/>
      </c>
      <c r="M177" s="590" t="str">
        <f>PASHEET!BO70</f>
        <v/>
      </c>
      <c r="N177" s="590" t="str">
        <f>PASHEET!BP70</f>
        <v/>
      </c>
      <c r="O177" s="590" t="str">
        <f>PASHEET!BQ70</f>
        <v/>
      </c>
      <c r="Q177" s="591" t="s">
        <v>482</v>
      </c>
      <c r="R177" s="591" t="s">
        <v>483</v>
      </c>
      <c r="S177" s="591" t="s">
        <v>101</v>
      </c>
      <c r="T177" s="591">
        <f>COUNTIFS(L111:L210,S177)</f>
        <v>0</v>
      </c>
      <c r="U177" s="591">
        <f>COUNTIFS(F111:F210,Q166,L111:L210,S177)</f>
        <v>0</v>
      </c>
      <c r="V177" s="591">
        <f>COUNTIFS(F111:F210,R166,L111:L210,S177)</f>
        <v>0</v>
      </c>
      <c r="W177" s="594"/>
      <c r="X177" s="591" t="s">
        <v>482</v>
      </c>
      <c r="Y177" s="591" t="s">
        <v>483</v>
      </c>
      <c r="Z177" s="591" t="s">
        <v>494</v>
      </c>
      <c r="AA177" s="591" t="s">
        <v>101</v>
      </c>
      <c r="AB177" s="591">
        <f>COUNTIFS(G111:G210,Z177,O111:O210,S177)</f>
        <v>0</v>
      </c>
      <c r="AC177" s="591">
        <f>COUNTIFS(F111:F210,X177,G111:G210,Z177,O111:O210,S177)</f>
        <v>0</v>
      </c>
      <c r="AD177" s="591">
        <f>COUNTIFS(F111:F210,Y177,G111:G210,Z177,O111:O210,S177)</f>
        <v>0</v>
      </c>
      <c r="AE177" s="594"/>
    </row>
    <row r="178" spans="1:31">
      <c r="A178" s="590">
        <v>68</v>
      </c>
      <c r="B178" s="596">
        <f t="shared" ref="B178:E178" si="93">B71</f>
        <v>0</v>
      </c>
      <c r="C178" s="596">
        <f t="shared" si="93"/>
        <v>0</v>
      </c>
      <c r="D178" s="597">
        <f t="shared" si="93"/>
        <v>0</v>
      </c>
      <c r="E178" s="597">
        <f t="shared" si="93"/>
        <v>0</v>
      </c>
      <c r="F178" s="590" t="str">
        <f>VLOOKUP(A178,STUDENT!$A$2:$BR$105,68,0)</f>
        <v/>
      </c>
      <c r="G178" s="590" t="b">
        <f>VLOOKUP(A178,STUDENT!$A$2:$BR$105,67,0)</f>
        <v>0</v>
      </c>
      <c r="H178" s="590" t="str">
        <f>PASHEET!BJ71</f>
        <v/>
      </c>
      <c r="I178" s="590" t="str">
        <f>PASHEET!BK71</f>
        <v/>
      </c>
      <c r="J178" s="590" t="str">
        <f>PASHEET!BL71</f>
        <v/>
      </c>
      <c r="K178" s="590" t="str">
        <f>PASHEET!BM71</f>
        <v/>
      </c>
      <c r="L178" s="590" t="str">
        <f>PASHEET!BN71</f>
        <v/>
      </c>
      <c r="M178" s="590" t="str">
        <f>PASHEET!BO71</f>
        <v/>
      </c>
      <c r="N178" s="590" t="str">
        <f>PASHEET!BP71</f>
        <v/>
      </c>
      <c r="O178" s="590" t="str">
        <f>PASHEET!BQ71</f>
        <v/>
      </c>
      <c r="Q178" s="591" t="s">
        <v>482</v>
      </c>
      <c r="R178" s="591" t="s">
        <v>483</v>
      </c>
      <c r="S178" s="591" t="s">
        <v>489</v>
      </c>
      <c r="T178" s="591">
        <f>COUNTIFS(L111:L210,S178)</f>
        <v>0</v>
      </c>
      <c r="U178" s="591">
        <f>COUNTIFS(F111:F210,Q167,L111:L210,S178)</f>
        <v>0</v>
      </c>
      <c r="V178" s="591">
        <f>COUNTIFS(F111:F210,R167,L111:L210,S178)</f>
        <v>0</v>
      </c>
      <c r="W178" s="594"/>
      <c r="X178" s="591" t="s">
        <v>482</v>
      </c>
      <c r="Y178" s="591" t="s">
        <v>483</v>
      </c>
      <c r="Z178" s="591" t="s">
        <v>494</v>
      </c>
      <c r="AA178" s="591" t="s">
        <v>489</v>
      </c>
      <c r="AB178" s="591">
        <f>COUNTIFS(G111:G210,Z178,O111:O210,S178)</f>
        <v>0</v>
      </c>
      <c r="AC178" s="591">
        <f>COUNTIFS(F111:F210,X178,G111:G210,Z178,O111:O210,S178)</f>
        <v>0</v>
      </c>
      <c r="AD178" s="591">
        <f>COUNTIFS(F111:F210,Y178,G111:G210,Z178,O111:O210,S178)</f>
        <v>0</v>
      </c>
      <c r="AE178" s="594"/>
    </row>
    <row r="179" spans="1:31">
      <c r="A179" s="596">
        <v>69</v>
      </c>
      <c r="B179" s="596">
        <f t="shared" ref="B179:E179" si="94">B72</f>
        <v>0</v>
      </c>
      <c r="C179" s="596">
        <f t="shared" si="94"/>
        <v>0</v>
      </c>
      <c r="D179" s="597">
        <f t="shared" si="94"/>
        <v>0</v>
      </c>
      <c r="E179" s="597">
        <f t="shared" si="94"/>
        <v>0</v>
      </c>
      <c r="F179" s="590" t="str">
        <f>VLOOKUP(A179,STUDENT!$A$2:$BR$105,68,0)</f>
        <v/>
      </c>
      <c r="G179" s="590" t="b">
        <f>VLOOKUP(A179,STUDENT!$A$2:$BR$105,67,0)</f>
        <v>0</v>
      </c>
      <c r="H179" s="590" t="str">
        <f>PASHEET!BJ72</f>
        <v/>
      </c>
      <c r="I179" s="590" t="str">
        <f>PASHEET!BK72</f>
        <v/>
      </c>
      <c r="J179" s="590" t="str">
        <f>PASHEET!BL72</f>
        <v/>
      </c>
      <c r="K179" s="590" t="str">
        <f>PASHEET!BM72</f>
        <v/>
      </c>
      <c r="L179" s="590" t="str">
        <f>PASHEET!BN72</f>
        <v/>
      </c>
      <c r="M179" s="590" t="str">
        <f>PASHEET!BO72</f>
        <v/>
      </c>
      <c r="N179" s="590" t="str">
        <f>PASHEET!BP72</f>
        <v/>
      </c>
      <c r="O179" s="590" t="str">
        <f>PASHEET!BQ72</f>
        <v/>
      </c>
      <c r="Q179" s="591" t="s">
        <v>482</v>
      </c>
      <c r="R179" s="591" t="s">
        <v>483</v>
      </c>
      <c r="S179" s="591"/>
      <c r="T179" s="591"/>
      <c r="U179" s="591"/>
      <c r="V179" s="591"/>
      <c r="W179" s="594"/>
      <c r="X179" s="591" t="s">
        <v>482</v>
      </c>
      <c r="Y179" s="591" t="s">
        <v>483</v>
      </c>
      <c r="Z179" s="591" t="s">
        <v>494</v>
      </c>
      <c r="AA179" s="591"/>
      <c r="AB179" s="591"/>
      <c r="AC179" s="591"/>
      <c r="AD179" s="591"/>
      <c r="AE179" s="594"/>
    </row>
    <row r="180" spans="1:31">
      <c r="A180" s="590">
        <v>70</v>
      </c>
      <c r="B180" s="596">
        <f t="shared" ref="B180:E180" si="95">B73</f>
        <v>0</v>
      </c>
      <c r="C180" s="596">
        <f t="shared" si="95"/>
        <v>0</v>
      </c>
      <c r="D180" s="597">
        <f t="shared" si="95"/>
        <v>0</v>
      </c>
      <c r="E180" s="597">
        <f t="shared" si="95"/>
        <v>0</v>
      </c>
      <c r="F180" s="590" t="str">
        <f>VLOOKUP(A180,STUDENT!$A$2:$BR$105,68,0)</f>
        <v/>
      </c>
      <c r="G180" s="590" t="b">
        <f>VLOOKUP(A180,STUDENT!$A$2:$BR$105,67,0)</f>
        <v>0</v>
      </c>
      <c r="H180" s="590" t="str">
        <f>PASHEET!BJ73</f>
        <v/>
      </c>
      <c r="I180" s="590" t="str">
        <f>PASHEET!BK73</f>
        <v/>
      </c>
      <c r="J180" s="590" t="str">
        <f>PASHEET!BL73</f>
        <v/>
      </c>
      <c r="K180" s="590" t="str">
        <f>PASHEET!BM73</f>
        <v/>
      </c>
      <c r="L180" s="590" t="str">
        <f>PASHEET!BN73</f>
        <v/>
      </c>
      <c r="M180" s="590" t="str">
        <f>PASHEET!BO73</f>
        <v/>
      </c>
      <c r="N180" s="590" t="str">
        <f>PASHEET!BP73</f>
        <v/>
      </c>
      <c r="O180" s="590" t="str">
        <f>PASHEET!BQ73</f>
        <v/>
      </c>
      <c r="Q180" s="591"/>
      <c r="R180" s="591"/>
      <c r="S180" s="591" t="s">
        <v>102</v>
      </c>
      <c r="T180" s="591">
        <f>SUM(T172:T179)</f>
        <v>0</v>
      </c>
      <c r="U180" s="591">
        <f t="shared" ref="U180:V180" si="96">SUM(U172:U179)</f>
        <v>0</v>
      </c>
      <c r="V180" s="591">
        <f t="shared" si="96"/>
        <v>0</v>
      </c>
      <c r="W180" s="594"/>
      <c r="X180" s="591"/>
      <c r="Y180" s="591"/>
      <c r="Z180" s="591"/>
      <c r="AA180" s="591" t="s">
        <v>102</v>
      </c>
      <c r="AB180" s="591">
        <f>SUM(AB172:AB179)</f>
        <v>0</v>
      </c>
      <c r="AC180" s="591">
        <f t="shared" ref="AC180:AD180" si="97">SUM(AC172:AC179)</f>
        <v>0</v>
      </c>
      <c r="AD180" s="591">
        <f t="shared" si="97"/>
        <v>0</v>
      </c>
      <c r="AE180" s="594"/>
    </row>
    <row r="181" spans="1:31">
      <c r="A181" s="596">
        <v>71</v>
      </c>
      <c r="B181" s="596">
        <f t="shared" ref="B181:E181" si="98">B74</f>
        <v>0</v>
      </c>
      <c r="C181" s="596">
        <f t="shared" si="98"/>
        <v>0</v>
      </c>
      <c r="D181" s="597">
        <f t="shared" si="98"/>
        <v>0</v>
      </c>
      <c r="E181" s="597">
        <f t="shared" si="98"/>
        <v>0</v>
      </c>
      <c r="F181" s="590" t="str">
        <f>VLOOKUP(A181,STUDENT!$A$2:$BR$105,68,0)</f>
        <v/>
      </c>
      <c r="G181" s="590" t="b">
        <f>VLOOKUP(A181,STUDENT!$A$2:$BR$105,67,0)</f>
        <v>0</v>
      </c>
      <c r="H181" s="590" t="str">
        <f>PASHEET!BJ74</f>
        <v/>
      </c>
      <c r="I181" s="590" t="str">
        <f>PASHEET!BK74</f>
        <v/>
      </c>
      <c r="J181" s="590" t="str">
        <f>PASHEET!BL74</f>
        <v/>
      </c>
      <c r="K181" s="590" t="str">
        <f>PASHEET!BM74</f>
        <v/>
      </c>
      <c r="L181" s="590" t="str">
        <f>PASHEET!BN74</f>
        <v/>
      </c>
      <c r="M181" s="590" t="str">
        <f>PASHEET!BO74</f>
        <v/>
      </c>
      <c r="N181" s="590" t="str">
        <f>PASHEET!BP74</f>
        <v/>
      </c>
      <c r="O181" s="590" t="str">
        <f>PASHEET!BQ74</f>
        <v/>
      </c>
      <c r="Q181" s="591"/>
      <c r="R181" s="591"/>
      <c r="S181" s="591"/>
      <c r="T181" s="591"/>
      <c r="U181" s="591"/>
      <c r="V181" s="591"/>
      <c r="W181" s="594"/>
      <c r="X181" s="594"/>
      <c r="Y181" s="594"/>
      <c r="Z181" s="594"/>
      <c r="AA181" s="594"/>
      <c r="AB181" s="591"/>
      <c r="AC181" s="591"/>
      <c r="AD181" s="591"/>
      <c r="AE181" s="594"/>
    </row>
    <row r="182" spans="1:31">
      <c r="A182" s="590">
        <v>72</v>
      </c>
      <c r="B182" s="596">
        <f t="shared" ref="B182:E182" si="99">B75</f>
        <v>0</v>
      </c>
      <c r="C182" s="596">
        <f t="shared" si="99"/>
        <v>0</v>
      </c>
      <c r="D182" s="597">
        <f t="shared" si="99"/>
        <v>0</v>
      </c>
      <c r="E182" s="597">
        <f t="shared" si="99"/>
        <v>0</v>
      </c>
      <c r="F182" s="590" t="str">
        <f>VLOOKUP(A182,STUDENT!$A$2:$BR$105,68,0)</f>
        <v/>
      </c>
      <c r="G182" s="590" t="b">
        <f>VLOOKUP(A182,STUDENT!$A$2:$BR$105,67,0)</f>
        <v>0</v>
      </c>
      <c r="H182" s="590" t="str">
        <f>PASHEET!BJ75</f>
        <v/>
      </c>
      <c r="I182" s="590" t="str">
        <f>PASHEET!BK75</f>
        <v/>
      </c>
      <c r="J182" s="590" t="str">
        <f>PASHEET!BL75</f>
        <v/>
      </c>
      <c r="K182" s="590" t="str">
        <f>PASHEET!BM75</f>
        <v/>
      </c>
      <c r="L182" s="590" t="str">
        <f>PASHEET!BN75</f>
        <v/>
      </c>
      <c r="M182" s="590" t="str">
        <f>PASHEET!BO75</f>
        <v/>
      </c>
      <c r="N182" s="590" t="str">
        <f>PASHEET!BP75</f>
        <v/>
      </c>
      <c r="O182" s="590" t="str">
        <f>PASHEET!BQ75</f>
        <v/>
      </c>
      <c r="Q182" s="591"/>
      <c r="R182" s="591"/>
      <c r="S182" s="591"/>
      <c r="T182" s="591"/>
      <c r="U182" s="591"/>
      <c r="V182" s="591"/>
      <c r="W182" s="594"/>
      <c r="X182" s="594"/>
      <c r="Y182" s="594"/>
      <c r="Z182" s="594"/>
      <c r="AA182" s="594"/>
      <c r="AB182" s="591"/>
      <c r="AC182" s="591"/>
      <c r="AD182" s="591"/>
      <c r="AE182" s="594"/>
    </row>
    <row r="183" spans="1:31">
      <c r="A183" s="596">
        <v>73</v>
      </c>
      <c r="B183" s="596">
        <f t="shared" ref="B183:E183" si="100">B76</f>
        <v>0</v>
      </c>
      <c r="C183" s="596">
        <f t="shared" si="100"/>
        <v>0</v>
      </c>
      <c r="D183" s="597">
        <f t="shared" si="100"/>
        <v>0</v>
      </c>
      <c r="E183" s="597">
        <f t="shared" si="100"/>
        <v>0</v>
      </c>
      <c r="F183" s="590" t="str">
        <f>VLOOKUP(A183,STUDENT!$A$2:$BR$105,68,0)</f>
        <v/>
      </c>
      <c r="G183" s="590" t="b">
        <f>VLOOKUP(A183,STUDENT!$A$2:$BR$105,67,0)</f>
        <v>0</v>
      </c>
      <c r="H183" s="590" t="str">
        <f>PASHEET!BJ76</f>
        <v/>
      </c>
      <c r="I183" s="590" t="str">
        <f>PASHEET!BK76</f>
        <v/>
      </c>
      <c r="J183" s="590" t="str">
        <f>PASHEET!BL76</f>
        <v/>
      </c>
      <c r="K183" s="590" t="str">
        <f>PASHEET!BM76</f>
        <v/>
      </c>
      <c r="L183" s="590" t="str">
        <f>PASHEET!BN76</f>
        <v/>
      </c>
      <c r="M183" s="590" t="str">
        <f>PASHEET!BO76</f>
        <v/>
      </c>
      <c r="N183" s="590" t="str">
        <f>PASHEET!BP76</f>
        <v/>
      </c>
      <c r="O183" s="590" t="str">
        <f>PASHEET!BQ76</f>
        <v/>
      </c>
      <c r="Q183" s="591"/>
      <c r="R183" s="591"/>
      <c r="S183" s="591"/>
      <c r="T183" s="591"/>
      <c r="U183" s="591"/>
      <c r="V183" s="591"/>
      <c r="W183" s="594"/>
      <c r="X183" s="594"/>
      <c r="Y183" s="594"/>
      <c r="Z183" s="594"/>
      <c r="AA183" s="594"/>
      <c r="AB183" s="591"/>
      <c r="AC183" s="591"/>
      <c r="AD183" s="591"/>
      <c r="AE183" s="594"/>
    </row>
    <row r="184" spans="1:31">
      <c r="A184" s="590">
        <v>74</v>
      </c>
      <c r="B184" s="596">
        <f t="shared" ref="B184:E184" si="101">B77</f>
        <v>0</v>
      </c>
      <c r="C184" s="596">
        <f t="shared" si="101"/>
        <v>0</v>
      </c>
      <c r="D184" s="597">
        <f t="shared" si="101"/>
        <v>0</v>
      </c>
      <c r="E184" s="597">
        <f t="shared" si="101"/>
        <v>0</v>
      </c>
      <c r="F184" s="590" t="str">
        <f>VLOOKUP(A184,STUDENT!$A$2:$BR$105,68,0)</f>
        <v/>
      </c>
      <c r="G184" s="590" t="b">
        <f>VLOOKUP(A184,STUDENT!$A$2:$BR$105,67,0)</f>
        <v>0</v>
      </c>
      <c r="H184" s="590" t="str">
        <f>PASHEET!BJ77</f>
        <v/>
      </c>
      <c r="I184" s="590" t="str">
        <f>PASHEET!BK77</f>
        <v/>
      </c>
      <c r="J184" s="590" t="str">
        <f>PASHEET!BL77</f>
        <v/>
      </c>
      <c r="K184" s="590" t="str">
        <f>PASHEET!BM77</f>
        <v/>
      </c>
      <c r="L184" s="590" t="str">
        <f>PASHEET!BN77</f>
        <v/>
      </c>
      <c r="M184" s="590" t="str">
        <f>PASHEET!BO77</f>
        <v/>
      </c>
      <c r="N184" s="590" t="str">
        <f>PASHEET!BP77</f>
        <v/>
      </c>
      <c r="O184" s="590" t="str">
        <f>PASHEET!BQ77</f>
        <v/>
      </c>
      <c r="Q184" s="591" t="s">
        <v>475</v>
      </c>
      <c r="R184" s="591" t="s">
        <v>476</v>
      </c>
      <c r="S184" s="592" t="s">
        <v>477</v>
      </c>
      <c r="T184" s="593" t="s">
        <v>495</v>
      </c>
      <c r="U184" s="592" t="s">
        <v>479</v>
      </c>
      <c r="V184" s="592" t="s">
        <v>480</v>
      </c>
      <c r="W184" s="594"/>
      <c r="X184" s="594"/>
      <c r="Y184" s="594"/>
      <c r="Z184" s="594"/>
      <c r="AA184" s="594"/>
      <c r="AB184" s="591"/>
      <c r="AC184" s="591"/>
      <c r="AD184" s="591"/>
      <c r="AE184" s="594"/>
    </row>
    <row r="185" spans="1:31">
      <c r="A185" s="596">
        <v>75</v>
      </c>
      <c r="B185" s="596">
        <f t="shared" ref="B185:E185" si="102">B78</f>
        <v>0</v>
      </c>
      <c r="C185" s="596">
        <f t="shared" si="102"/>
        <v>0</v>
      </c>
      <c r="D185" s="597">
        <f t="shared" si="102"/>
        <v>0</v>
      </c>
      <c r="E185" s="597">
        <f t="shared" si="102"/>
        <v>0</v>
      </c>
      <c r="F185" s="590" t="str">
        <f>VLOOKUP(A185,STUDENT!$A$2:$BR$105,68,0)</f>
        <v/>
      </c>
      <c r="G185" s="590" t="b">
        <f>VLOOKUP(A185,STUDENT!$A$2:$BR$105,67,0)</f>
        <v>0</v>
      </c>
      <c r="H185" s="590" t="str">
        <f>PASHEET!BJ78</f>
        <v/>
      </c>
      <c r="I185" s="590" t="str">
        <f>PASHEET!BK78</f>
        <v/>
      </c>
      <c r="J185" s="590" t="str">
        <f>PASHEET!BL78</f>
        <v/>
      </c>
      <c r="K185" s="590" t="str">
        <f>PASHEET!BM78</f>
        <v/>
      </c>
      <c r="L185" s="590" t="str">
        <f>PASHEET!BN78</f>
        <v/>
      </c>
      <c r="M185" s="590" t="str">
        <f>PASHEET!BO78</f>
        <v/>
      </c>
      <c r="N185" s="590" t="str">
        <f>PASHEET!BP78</f>
        <v/>
      </c>
      <c r="O185" s="590" t="str">
        <f>PASHEET!BQ78</f>
        <v/>
      </c>
      <c r="Q185" s="591" t="s">
        <v>482</v>
      </c>
      <c r="R185" s="591" t="s">
        <v>483</v>
      </c>
      <c r="S185" s="591" t="s">
        <v>50</v>
      </c>
      <c r="T185" s="591">
        <f>COUNTIFS(M111:M210,S185)</f>
        <v>0</v>
      </c>
      <c r="U185" s="591">
        <f>COUNTIFS(F111:F210,Q174,M111:M210,S185)</f>
        <v>0</v>
      </c>
      <c r="V185" s="591">
        <f>COUNTIFS(F111:F210,R174,M111:M210,S185)</f>
        <v>0</v>
      </c>
      <c r="W185" s="594"/>
      <c r="X185" s="594"/>
      <c r="Y185" s="594"/>
      <c r="Z185" s="594"/>
      <c r="AA185" s="594"/>
      <c r="AB185" s="591"/>
      <c r="AC185" s="591"/>
      <c r="AD185" s="591"/>
      <c r="AE185" s="594"/>
    </row>
    <row r="186" spans="1:31">
      <c r="A186" s="590">
        <v>76</v>
      </c>
      <c r="B186" s="596">
        <f t="shared" ref="B186:E186" si="103">B79</f>
        <v>0</v>
      </c>
      <c r="C186" s="596">
        <f t="shared" si="103"/>
        <v>0</v>
      </c>
      <c r="D186" s="597">
        <f t="shared" si="103"/>
        <v>0</v>
      </c>
      <c r="E186" s="597">
        <f t="shared" si="103"/>
        <v>0</v>
      </c>
      <c r="F186" s="590" t="str">
        <f>VLOOKUP(A186,STUDENT!$A$2:$BR$105,68,0)</f>
        <v/>
      </c>
      <c r="G186" s="590" t="b">
        <f>VLOOKUP(A186,STUDENT!$A$2:$BR$105,67,0)</f>
        <v>0</v>
      </c>
      <c r="H186" s="590" t="str">
        <f>PASHEET!BJ79</f>
        <v/>
      </c>
      <c r="I186" s="590" t="str">
        <f>PASHEET!BK79</f>
        <v/>
      </c>
      <c r="J186" s="590" t="str">
        <f>PASHEET!BL79</f>
        <v/>
      </c>
      <c r="K186" s="590" t="str">
        <f>PASHEET!BM79</f>
        <v/>
      </c>
      <c r="L186" s="590" t="str">
        <f>PASHEET!BN79</f>
        <v/>
      </c>
      <c r="M186" s="590" t="str">
        <f>PASHEET!BO79</f>
        <v/>
      </c>
      <c r="N186" s="590" t="str">
        <f>PASHEET!BP79</f>
        <v/>
      </c>
      <c r="O186" s="590" t="str">
        <f>PASHEET!BQ79</f>
        <v/>
      </c>
      <c r="Q186" s="591" t="s">
        <v>482</v>
      </c>
      <c r="R186" s="591" t="s">
        <v>483</v>
      </c>
      <c r="S186" s="591" t="s">
        <v>485</v>
      </c>
      <c r="T186" s="591">
        <f>COUNTIFS(M111:M210,S186)</f>
        <v>0</v>
      </c>
      <c r="U186" s="591">
        <f>COUNTIFS(F111:F210,Q175,M111:M210,S186)</f>
        <v>0</v>
      </c>
      <c r="V186" s="591">
        <f>COUNTIFS(F111:F210,R175,M111:M210,S186)</f>
        <v>0</v>
      </c>
      <c r="W186" s="594"/>
      <c r="X186" s="594"/>
      <c r="Y186" s="594"/>
      <c r="Z186" s="594"/>
      <c r="AA186" s="594"/>
      <c r="AB186" s="591"/>
      <c r="AC186" s="591"/>
      <c r="AD186" s="591"/>
      <c r="AE186" s="594"/>
    </row>
    <row r="187" spans="1:31">
      <c r="A187" s="596">
        <v>77</v>
      </c>
      <c r="B187" s="596">
        <f t="shared" ref="B187:E187" si="104">B80</f>
        <v>0</v>
      </c>
      <c r="C187" s="596">
        <f t="shared" si="104"/>
        <v>0</v>
      </c>
      <c r="D187" s="597">
        <f t="shared" si="104"/>
        <v>0</v>
      </c>
      <c r="E187" s="597">
        <f t="shared" si="104"/>
        <v>0</v>
      </c>
      <c r="F187" s="590" t="str">
        <f>VLOOKUP(A187,STUDENT!$A$2:$BR$105,68,0)</f>
        <v/>
      </c>
      <c r="G187" s="590" t="b">
        <f>VLOOKUP(A187,STUDENT!$A$2:$BR$105,67,0)</f>
        <v>0</v>
      </c>
      <c r="H187" s="590" t="str">
        <f>PASHEET!BJ80</f>
        <v/>
      </c>
      <c r="I187" s="590" t="str">
        <f>PASHEET!BK80</f>
        <v/>
      </c>
      <c r="J187" s="590" t="str">
        <f>PASHEET!BL80</f>
        <v/>
      </c>
      <c r="K187" s="590" t="str">
        <f>PASHEET!BM80</f>
        <v/>
      </c>
      <c r="L187" s="590" t="str">
        <f>PASHEET!BN80</f>
        <v/>
      </c>
      <c r="M187" s="590" t="str">
        <f>PASHEET!BO80</f>
        <v/>
      </c>
      <c r="N187" s="590" t="str">
        <f>PASHEET!BP80</f>
        <v/>
      </c>
      <c r="O187" s="590" t="str">
        <f>PASHEET!BQ80</f>
        <v/>
      </c>
      <c r="Q187" s="591" t="s">
        <v>482</v>
      </c>
      <c r="R187" s="591" t="s">
        <v>483</v>
      </c>
      <c r="S187" s="591" t="s">
        <v>486</v>
      </c>
      <c r="T187" s="591">
        <f>COUNTIFS(M111:M210,S187)</f>
        <v>0</v>
      </c>
      <c r="U187" s="591">
        <f>COUNTIFS(F111:F210,Q176,M111:M210,S187)</f>
        <v>0</v>
      </c>
      <c r="V187" s="591">
        <f>COUNTIFS(F111:F210,R176,M111:M210,S187)</f>
        <v>0</v>
      </c>
      <c r="W187" s="594"/>
      <c r="X187" s="594"/>
      <c r="Y187" s="594"/>
      <c r="Z187" s="594"/>
      <c r="AA187" s="594"/>
      <c r="AB187" s="591"/>
      <c r="AC187" s="591"/>
      <c r="AD187" s="591"/>
      <c r="AE187" s="594"/>
    </row>
    <row r="188" spans="1:31">
      <c r="A188" s="590">
        <v>78</v>
      </c>
      <c r="B188" s="596">
        <f t="shared" ref="B188:E188" si="105">B81</f>
        <v>0</v>
      </c>
      <c r="C188" s="596">
        <f t="shared" si="105"/>
        <v>0</v>
      </c>
      <c r="D188" s="597">
        <f t="shared" si="105"/>
        <v>0</v>
      </c>
      <c r="E188" s="597">
        <f t="shared" si="105"/>
        <v>0</v>
      </c>
      <c r="F188" s="590" t="str">
        <f>VLOOKUP(A188,STUDENT!$A$2:$BR$105,68,0)</f>
        <v/>
      </c>
      <c r="G188" s="590" t="b">
        <f>VLOOKUP(A188,STUDENT!$A$2:$BR$105,67,0)</f>
        <v>0</v>
      </c>
      <c r="H188" s="590" t="str">
        <f>PASHEET!BJ81</f>
        <v/>
      </c>
      <c r="I188" s="590" t="str">
        <f>PASHEET!BK81</f>
        <v/>
      </c>
      <c r="J188" s="590" t="str">
        <f>PASHEET!BL81</f>
        <v/>
      </c>
      <c r="K188" s="590" t="str">
        <f>PASHEET!BM81</f>
        <v/>
      </c>
      <c r="L188" s="590" t="str">
        <f>PASHEET!BN81</f>
        <v/>
      </c>
      <c r="M188" s="590" t="str">
        <f>PASHEET!BO81</f>
        <v/>
      </c>
      <c r="N188" s="590" t="str">
        <f>PASHEET!BP81</f>
        <v/>
      </c>
      <c r="O188" s="590" t="str">
        <f>PASHEET!BQ81</f>
        <v/>
      </c>
      <c r="Q188" s="591" t="s">
        <v>482</v>
      </c>
      <c r="R188" s="591" t="s">
        <v>483</v>
      </c>
      <c r="S188" s="591" t="s">
        <v>487</v>
      </c>
      <c r="T188" s="591">
        <f>COUNTIFS(M111:M210,S188)</f>
        <v>0</v>
      </c>
      <c r="U188" s="591">
        <f>COUNTIFS(F111:F210,Q177,M111:M210,S188)</f>
        <v>0</v>
      </c>
      <c r="V188" s="591">
        <f>COUNTIFS(F111:F210,R177,M111:M210,S188)</f>
        <v>0</v>
      </c>
      <c r="W188" s="594"/>
      <c r="X188" s="594"/>
      <c r="Y188" s="594"/>
      <c r="Z188" s="594"/>
      <c r="AA188" s="594"/>
      <c r="AB188" s="591"/>
      <c r="AC188" s="591"/>
      <c r="AD188" s="591"/>
      <c r="AE188" s="594"/>
    </row>
    <row r="189" spans="1:31">
      <c r="A189" s="596">
        <v>79</v>
      </c>
      <c r="B189" s="596">
        <f t="shared" ref="B189:E189" si="106">B82</f>
        <v>0</v>
      </c>
      <c r="C189" s="596">
        <f t="shared" si="106"/>
        <v>0</v>
      </c>
      <c r="D189" s="597">
        <f t="shared" si="106"/>
        <v>0</v>
      </c>
      <c r="E189" s="597">
        <f t="shared" si="106"/>
        <v>0</v>
      </c>
      <c r="F189" s="590" t="str">
        <f>VLOOKUP(A189,STUDENT!$A$2:$BR$105,68,0)</f>
        <v/>
      </c>
      <c r="G189" s="590" t="b">
        <f>VLOOKUP(A189,STUDENT!$A$2:$BR$105,67,0)</f>
        <v>0</v>
      </c>
      <c r="H189" s="590" t="str">
        <f>PASHEET!BJ82</f>
        <v/>
      </c>
      <c r="I189" s="590" t="str">
        <f>PASHEET!BK82</f>
        <v/>
      </c>
      <c r="J189" s="590" t="str">
        <f>PASHEET!BL82</f>
        <v/>
      </c>
      <c r="K189" s="590" t="str">
        <f>PASHEET!BM82</f>
        <v/>
      </c>
      <c r="L189" s="590" t="str">
        <f>PASHEET!BN82</f>
        <v/>
      </c>
      <c r="M189" s="590" t="str">
        <f>PASHEET!BO82</f>
        <v/>
      </c>
      <c r="N189" s="590" t="str">
        <f>PASHEET!BP82</f>
        <v/>
      </c>
      <c r="O189" s="590" t="str">
        <f>PASHEET!BQ82</f>
        <v/>
      </c>
      <c r="Q189" s="591" t="s">
        <v>482</v>
      </c>
      <c r="R189" s="591" t="s">
        <v>483</v>
      </c>
      <c r="S189" s="591" t="s">
        <v>488</v>
      </c>
      <c r="T189" s="591">
        <f>COUNTIFS(M111:M210,S189)</f>
        <v>0</v>
      </c>
      <c r="U189" s="591">
        <f>COUNTIFS(F111:F210,Q178,M111:M210,S189)</f>
        <v>0</v>
      </c>
      <c r="V189" s="591">
        <f>COUNTIFS(F111:F210,R178,M111:M210,S189)</f>
        <v>0</v>
      </c>
      <c r="W189" s="594"/>
      <c r="X189" s="594"/>
      <c r="Y189" s="594"/>
      <c r="Z189" s="594"/>
      <c r="AA189" s="594"/>
      <c r="AB189" s="591"/>
      <c r="AC189" s="591"/>
      <c r="AD189" s="591"/>
      <c r="AE189" s="594"/>
    </row>
    <row r="190" spans="1:31">
      <c r="A190" s="590">
        <v>80</v>
      </c>
      <c r="B190" s="596">
        <f t="shared" ref="B190:E190" si="107">B83</f>
        <v>0</v>
      </c>
      <c r="C190" s="596">
        <f t="shared" si="107"/>
        <v>0</v>
      </c>
      <c r="D190" s="597">
        <f t="shared" si="107"/>
        <v>0</v>
      </c>
      <c r="E190" s="597">
        <f t="shared" si="107"/>
        <v>0</v>
      </c>
      <c r="F190" s="590" t="str">
        <f>VLOOKUP(A190,STUDENT!$A$2:$BR$105,68,0)</f>
        <v/>
      </c>
      <c r="G190" s="590" t="b">
        <f>VLOOKUP(A190,STUDENT!$A$2:$BR$105,67,0)</f>
        <v>0</v>
      </c>
      <c r="H190" s="590" t="str">
        <f>PASHEET!BJ83</f>
        <v/>
      </c>
      <c r="I190" s="590" t="str">
        <f>PASHEET!BK83</f>
        <v/>
      </c>
      <c r="J190" s="590" t="str">
        <f>PASHEET!BL83</f>
        <v/>
      </c>
      <c r="K190" s="590" t="str">
        <f>PASHEET!BM83</f>
        <v/>
      </c>
      <c r="L190" s="590" t="str">
        <f>PASHEET!BN83</f>
        <v/>
      </c>
      <c r="M190" s="590" t="str">
        <f>PASHEET!BO83</f>
        <v/>
      </c>
      <c r="N190" s="590" t="str">
        <f>PASHEET!BP83</f>
        <v/>
      </c>
      <c r="O190" s="590" t="str">
        <f>PASHEET!BQ83</f>
        <v/>
      </c>
      <c r="Q190" s="591" t="s">
        <v>482</v>
      </c>
      <c r="R190" s="591" t="s">
        <v>483</v>
      </c>
      <c r="S190" s="591" t="s">
        <v>101</v>
      </c>
      <c r="T190" s="591">
        <f>COUNTIFS(M111:M210,S190)</f>
        <v>0</v>
      </c>
      <c r="U190" s="591">
        <f>COUNTIFS(F111:F210,Q179,M111:M210,S190)</f>
        <v>0</v>
      </c>
      <c r="V190" s="591">
        <f>COUNTIFS(F111:F210,R179,M111:M210,S190)</f>
        <v>0</v>
      </c>
      <c r="W190" s="594"/>
      <c r="X190" s="594"/>
      <c r="Y190" s="594"/>
      <c r="Z190" s="594"/>
      <c r="AA190" s="594"/>
      <c r="AB190" s="591"/>
      <c r="AC190" s="591"/>
      <c r="AD190" s="591"/>
      <c r="AE190" s="594"/>
    </row>
    <row r="191" spans="1:31">
      <c r="A191" s="596">
        <v>81</v>
      </c>
      <c r="B191" s="596">
        <f t="shared" ref="B191:E191" si="108">B84</f>
        <v>0</v>
      </c>
      <c r="C191" s="596">
        <f t="shared" si="108"/>
        <v>0</v>
      </c>
      <c r="D191" s="597">
        <f t="shared" si="108"/>
        <v>0</v>
      </c>
      <c r="E191" s="597">
        <f t="shared" si="108"/>
        <v>0</v>
      </c>
      <c r="F191" s="590" t="str">
        <f>VLOOKUP(A191,STUDENT!$A$2:$BR$105,68,0)</f>
        <v/>
      </c>
      <c r="G191" s="590" t="b">
        <f>VLOOKUP(A191,STUDENT!$A$2:$BR$105,67,0)</f>
        <v>0</v>
      </c>
      <c r="H191" s="590" t="str">
        <f>PASHEET!BJ84</f>
        <v/>
      </c>
      <c r="I191" s="590" t="str">
        <f>PASHEET!BK84</f>
        <v/>
      </c>
      <c r="J191" s="590" t="str">
        <f>PASHEET!BL84</f>
        <v/>
      </c>
      <c r="K191" s="590" t="str">
        <f>PASHEET!BM84</f>
        <v/>
      </c>
      <c r="L191" s="590" t="str">
        <f>PASHEET!BN84</f>
        <v/>
      </c>
      <c r="M191" s="590" t="str">
        <f>PASHEET!BO84</f>
        <v/>
      </c>
      <c r="N191" s="590" t="str">
        <f>PASHEET!BP84</f>
        <v/>
      </c>
      <c r="O191" s="590" t="str">
        <f>PASHEET!BQ84</f>
        <v/>
      </c>
      <c r="Q191" s="591" t="s">
        <v>482</v>
      </c>
      <c r="R191" s="591" t="s">
        <v>483</v>
      </c>
      <c r="S191" s="591" t="s">
        <v>489</v>
      </c>
      <c r="T191" s="591">
        <f>COUNTIFS(M111:M210,S191)</f>
        <v>0</v>
      </c>
      <c r="U191" s="591">
        <f>COUNTIFS(F111:F210,Q180,M111:M210,S191)</f>
        <v>0</v>
      </c>
      <c r="V191" s="591">
        <f>COUNTIFS(F111:F210,R180,M111:M210,S191)</f>
        <v>0</v>
      </c>
      <c r="W191" s="594"/>
      <c r="X191" s="594"/>
      <c r="Y191" s="594"/>
      <c r="Z191" s="594"/>
      <c r="AA191" s="594"/>
      <c r="AB191" s="591"/>
      <c r="AC191" s="591"/>
      <c r="AD191" s="591"/>
      <c r="AE191" s="594"/>
    </row>
    <row r="192" spans="1:31">
      <c r="A192" s="590">
        <v>82</v>
      </c>
      <c r="B192" s="596">
        <f t="shared" ref="B192:E192" si="109">B85</f>
        <v>0</v>
      </c>
      <c r="C192" s="596">
        <f t="shared" si="109"/>
        <v>0</v>
      </c>
      <c r="D192" s="597">
        <f t="shared" si="109"/>
        <v>0</v>
      </c>
      <c r="E192" s="597">
        <f t="shared" si="109"/>
        <v>0</v>
      </c>
      <c r="F192" s="590" t="str">
        <f>VLOOKUP(A192,STUDENT!$A$2:$BR$105,68,0)</f>
        <v/>
      </c>
      <c r="G192" s="590" t="b">
        <f>VLOOKUP(A192,STUDENT!$A$2:$BR$105,67,0)</f>
        <v>0</v>
      </c>
      <c r="H192" s="590" t="str">
        <f>PASHEET!BJ85</f>
        <v/>
      </c>
      <c r="I192" s="590" t="str">
        <f>PASHEET!BK85</f>
        <v/>
      </c>
      <c r="J192" s="590" t="str">
        <f>PASHEET!BL85</f>
        <v/>
      </c>
      <c r="K192" s="590" t="str">
        <f>PASHEET!BM85</f>
        <v/>
      </c>
      <c r="L192" s="590" t="str">
        <f>PASHEET!BN85</f>
        <v/>
      </c>
      <c r="M192" s="590" t="str">
        <f>PASHEET!BO85</f>
        <v/>
      </c>
      <c r="N192" s="590" t="str">
        <f>PASHEET!BP85</f>
        <v/>
      </c>
      <c r="O192" s="590" t="str">
        <f>PASHEET!BQ85</f>
        <v/>
      </c>
      <c r="Q192" s="591" t="s">
        <v>482</v>
      </c>
      <c r="R192" s="591" t="s">
        <v>483</v>
      </c>
      <c r="S192" s="591"/>
      <c r="T192" s="591"/>
      <c r="U192" s="591"/>
      <c r="V192" s="591"/>
      <c r="W192" s="594"/>
      <c r="X192" s="594"/>
      <c r="Y192" s="594"/>
      <c r="Z192" s="594"/>
      <c r="AA192" s="594"/>
      <c r="AB192" s="591"/>
      <c r="AC192" s="591"/>
      <c r="AD192" s="591"/>
      <c r="AE192" s="594"/>
    </row>
    <row r="193" spans="1:31">
      <c r="A193" s="596">
        <v>83</v>
      </c>
      <c r="B193" s="596">
        <f t="shared" ref="B193:E193" si="110">B86</f>
        <v>0</v>
      </c>
      <c r="C193" s="596">
        <f t="shared" si="110"/>
        <v>0</v>
      </c>
      <c r="D193" s="597">
        <f t="shared" si="110"/>
        <v>0</v>
      </c>
      <c r="E193" s="597">
        <f t="shared" si="110"/>
        <v>0</v>
      </c>
      <c r="F193" s="590" t="str">
        <f>VLOOKUP(A193,STUDENT!$A$2:$BR$105,68,0)</f>
        <v/>
      </c>
      <c r="G193" s="590" t="b">
        <f>VLOOKUP(A193,STUDENT!$A$2:$BR$105,67,0)</f>
        <v>0</v>
      </c>
      <c r="H193" s="590" t="str">
        <f>PASHEET!BJ86</f>
        <v/>
      </c>
      <c r="I193" s="590" t="str">
        <f>PASHEET!BK86</f>
        <v/>
      </c>
      <c r="J193" s="590" t="str">
        <f>PASHEET!BL86</f>
        <v/>
      </c>
      <c r="K193" s="590" t="str">
        <f>PASHEET!BM86</f>
        <v/>
      </c>
      <c r="L193" s="590" t="str">
        <f>PASHEET!BN86</f>
        <v/>
      </c>
      <c r="M193" s="590" t="str">
        <f>PASHEET!BO86</f>
        <v/>
      </c>
      <c r="N193" s="590" t="str">
        <f>PASHEET!BP86</f>
        <v/>
      </c>
      <c r="O193" s="590" t="str">
        <f>PASHEET!BQ86</f>
        <v/>
      </c>
      <c r="Q193" s="591"/>
      <c r="R193" s="591"/>
      <c r="S193" s="591" t="s">
        <v>102</v>
      </c>
      <c r="T193" s="591">
        <f>SUM(T185:T192)</f>
        <v>0</v>
      </c>
      <c r="U193" s="591">
        <f t="shared" ref="U193:V193" si="111">SUM(U185:U192)</f>
        <v>0</v>
      </c>
      <c r="V193" s="591">
        <f t="shared" si="111"/>
        <v>0</v>
      </c>
      <c r="W193" s="594"/>
      <c r="X193" s="594"/>
      <c r="Y193" s="594"/>
      <c r="Z193" s="594"/>
      <c r="AA193" s="594"/>
      <c r="AB193" s="591"/>
      <c r="AC193" s="591"/>
      <c r="AD193" s="591"/>
      <c r="AE193" s="594"/>
    </row>
    <row r="194" spans="1:31">
      <c r="A194" s="590">
        <v>84</v>
      </c>
      <c r="B194" s="596">
        <f t="shared" ref="B194:E194" si="112">B87</f>
        <v>0</v>
      </c>
      <c r="C194" s="596">
        <f t="shared" si="112"/>
        <v>0</v>
      </c>
      <c r="D194" s="597">
        <f t="shared" si="112"/>
        <v>0</v>
      </c>
      <c r="E194" s="597">
        <f t="shared" si="112"/>
        <v>0</v>
      </c>
      <c r="F194" s="590" t="str">
        <f>VLOOKUP(A194,STUDENT!$A$2:$BR$105,68,0)</f>
        <v/>
      </c>
      <c r="G194" s="590" t="b">
        <f>VLOOKUP(A194,STUDENT!$A$2:$BR$105,67,0)</f>
        <v>0</v>
      </c>
      <c r="H194" s="590" t="str">
        <f>PASHEET!BJ87</f>
        <v/>
      </c>
      <c r="I194" s="590" t="str">
        <f>PASHEET!BK87</f>
        <v/>
      </c>
      <c r="J194" s="590" t="str">
        <f>PASHEET!BL87</f>
        <v/>
      </c>
      <c r="K194" s="590" t="str">
        <f>PASHEET!BM87</f>
        <v/>
      </c>
      <c r="L194" s="590" t="str">
        <f>PASHEET!BN87</f>
        <v/>
      </c>
      <c r="M194" s="590" t="str">
        <f>PASHEET!BO87</f>
        <v/>
      </c>
      <c r="N194" s="590" t="str">
        <f>PASHEET!BP87</f>
        <v/>
      </c>
      <c r="O194" s="590" t="str">
        <f>PASHEET!BQ87</f>
        <v/>
      </c>
      <c r="Q194" s="591"/>
      <c r="R194" s="591"/>
      <c r="S194" s="591"/>
      <c r="T194" s="591"/>
      <c r="U194" s="591"/>
      <c r="V194" s="591"/>
      <c r="W194" s="594"/>
      <c r="X194" s="594"/>
      <c r="Y194" s="594"/>
      <c r="Z194" s="594"/>
      <c r="AA194" s="594"/>
      <c r="AB194" s="591"/>
      <c r="AC194" s="591"/>
      <c r="AD194" s="591"/>
      <c r="AE194" s="594"/>
    </row>
    <row r="195" spans="1:31">
      <c r="A195" s="596">
        <v>85</v>
      </c>
      <c r="B195" s="596">
        <f t="shared" ref="B195:E195" si="113">B88</f>
        <v>0</v>
      </c>
      <c r="C195" s="596">
        <f t="shared" si="113"/>
        <v>0</v>
      </c>
      <c r="D195" s="597">
        <f t="shared" si="113"/>
        <v>0</v>
      </c>
      <c r="E195" s="597">
        <f t="shared" si="113"/>
        <v>0</v>
      </c>
      <c r="F195" s="590" t="str">
        <f>VLOOKUP(A195,STUDENT!$A$2:$BR$105,68,0)</f>
        <v/>
      </c>
      <c r="G195" s="590" t="b">
        <f>VLOOKUP(A195,STUDENT!$A$2:$BR$105,67,0)</f>
        <v>0</v>
      </c>
      <c r="H195" s="590" t="str">
        <f>PASHEET!BJ88</f>
        <v/>
      </c>
      <c r="I195" s="590" t="str">
        <f>PASHEET!BK88</f>
        <v/>
      </c>
      <c r="J195" s="590" t="str">
        <f>PASHEET!BL88</f>
        <v/>
      </c>
      <c r="K195" s="590" t="str">
        <f>PASHEET!BM88</f>
        <v/>
      </c>
      <c r="L195" s="590" t="str">
        <f>PASHEET!BN88</f>
        <v/>
      </c>
      <c r="M195" s="590" t="str">
        <f>PASHEET!BO88</f>
        <v/>
      </c>
      <c r="N195" s="590" t="str">
        <f>PASHEET!BP88</f>
        <v/>
      </c>
      <c r="O195" s="590" t="str">
        <f>PASHEET!BQ88</f>
        <v/>
      </c>
      <c r="Q195" s="591"/>
      <c r="R195" s="591"/>
      <c r="S195" s="591"/>
      <c r="T195" s="591"/>
      <c r="U195" s="591"/>
      <c r="V195" s="591"/>
      <c r="W195" s="594"/>
      <c r="X195" s="594"/>
      <c r="Y195" s="594"/>
      <c r="Z195" s="594"/>
      <c r="AA195" s="594"/>
      <c r="AB195" s="591"/>
      <c r="AC195" s="591"/>
      <c r="AD195" s="591"/>
      <c r="AE195" s="594"/>
    </row>
    <row r="196" spans="1:31">
      <c r="A196" s="590">
        <v>86</v>
      </c>
      <c r="B196" s="596">
        <f t="shared" ref="B196:E196" si="114">B89</f>
        <v>0</v>
      </c>
      <c r="C196" s="596">
        <f t="shared" si="114"/>
        <v>0</v>
      </c>
      <c r="D196" s="597">
        <f t="shared" si="114"/>
        <v>0</v>
      </c>
      <c r="E196" s="597">
        <f t="shared" si="114"/>
        <v>0</v>
      </c>
      <c r="F196" s="590" t="str">
        <f>VLOOKUP(A196,STUDENT!$A$2:$BR$105,68,0)</f>
        <v/>
      </c>
      <c r="G196" s="590" t="b">
        <f>VLOOKUP(A196,STUDENT!$A$2:$BR$105,67,0)</f>
        <v>0</v>
      </c>
      <c r="H196" s="590" t="str">
        <f>PASHEET!BJ89</f>
        <v/>
      </c>
      <c r="I196" s="590" t="str">
        <f>PASHEET!BK89</f>
        <v/>
      </c>
      <c r="J196" s="590" t="str">
        <f>PASHEET!BL89</f>
        <v/>
      </c>
      <c r="K196" s="590" t="str">
        <f>PASHEET!BM89</f>
        <v/>
      </c>
      <c r="L196" s="590" t="str">
        <f>PASHEET!BN89</f>
        <v/>
      </c>
      <c r="M196" s="590" t="str">
        <f>PASHEET!BO89</f>
        <v/>
      </c>
      <c r="N196" s="590" t="str">
        <f>PASHEET!BP89</f>
        <v/>
      </c>
      <c r="O196" s="590" t="str">
        <f>PASHEET!BQ89</f>
        <v/>
      </c>
      <c r="Q196" s="591"/>
      <c r="R196" s="591"/>
      <c r="S196" s="591"/>
      <c r="T196" s="591"/>
      <c r="U196" s="591"/>
      <c r="V196" s="591"/>
      <c r="W196" s="594"/>
      <c r="X196" s="594"/>
      <c r="Y196" s="594"/>
      <c r="Z196" s="594"/>
      <c r="AA196" s="594"/>
      <c r="AB196" s="591"/>
      <c r="AC196" s="591"/>
      <c r="AD196" s="591"/>
      <c r="AE196" s="594"/>
    </row>
    <row r="197" spans="1:31">
      <c r="A197" s="596">
        <v>87</v>
      </c>
      <c r="B197" s="596">
        <f t="shared" ref="B197:E197" si="115">B90</f>
        <v>0</v>
      </c>
      <c r="C197" s="596">
        <f t="shared" si="115"/>
        <v>0</v>
      </c>
      <c r="D197" s="597">
        <f t="shared" si="115"/>
        <v>0</v>
      </c>
      <c r="E197" s="597">
        <f t="shared" si="115"/>
        <v>0</v>
      </c>
      <c r="F197" s="590" t="str">
        <f>VLOOKUP(A197,STUDENT!$A$2:$BR$105,68,0)</f>
        <v/>
      </c>
      <c r="G197" s="590" t="b">
        <f>VLOOKUP(A197,STUDENT!$A$2:$BR$105,67,0)</f>
        <v>0</v>
      </c>
      <c r="H197" s="590" t="str">
        <f>PASHEET!BJ90</f>
        <v/>
      </c>
      <c r="I197" s="590" t="str">
        <f>PASHEET!BK90</f>
        <v/>
      </c>
      <c r="J197" s="590" t="str">
        <f>PASHEET!BL90</f>
        <v/>
      </c>
      <c r="K197" s="590" t="str">
        <f>PASHEET!BM90</f>
        <v/>
      </c>
      <c r="L197" s="590" t="str">
        <f>PASHEET!BN90</f>
        <v/>
      </c>
      <c r="M197" s="590" t="str">
        <f>PASHEET!BO90</f>
        <v/>
      </c>
      <c r="N197" s="590" t="str">
        <f>PASHEET!BP90</f>
        <v/>
      </c>
      <c r="O197" s="590" t="str">
        <f>PASHEET!BQ90</f>
        <v/>
      </c>
      <c r="Q197" s="591" t="s">
        <v>475</v>
      </c>
      <c r="R197" s="591" t="s">
        <v>476</v>
      </c>
      <c r="S197" s="592" t="s">
        <v>477</v>
      </c>
      <c r="T197" s="593" t="s">
        <v>354</v>
      </c>
      <c r="U197" s="592" t="s">
        <v>479</v>
      </c>
      <c r="V197" s="592" t="s">
        <v>480</v>
      </c>
      <c r="W197" s="594"/>
      <c r="X197" s="594"/>
      <c r="Y197" s="594"/>
      <c r="Z197" s="594"/>
      <c r="AA197" s="594"/>
      <c r="AB197" s="591"/>
      <c r="AC197" s="591"/>
      <c r="AD197" s="591"/>
      <c r="AE197" s="594"/>
    </row>
    <row r="198" spans="1:31">
      <c r="A198" s="590">
        <v>88</v>
      </c>
      <c r="B198" s="596">
        <f t="shared" ref="B198:E198" si="116">B91</f>
        <v>0</v>
      </c>
      <c r="C198" s="596">
        <f t="shared" si="116"/>
        <v>0</v>
      </c>
      <c r="D198" s="597">
        <f t="shared" si="116"/>
        <v>0</v>
      </c>
      <c r="E198" s="597">
        <f t="shared" si="116"/>
        <v>0</v>
      </c>
      <c r="F198" s="590" t="str">
        <f>VLOOKUP(A198,STUDENT!$A$2:$BR$105,68,0)</f>
        <v/>
      </c>
      <c r="G198" s="590" t="b">
        <f>VLOOKUP(A198,STUDENT!$A$2:$BR$105,67,0)</f>
        <v>0</v>
      </c>
      <c r="H198" s="590" t="str">
        <f>PASHEET!BJ91</f>
        <v/>
      </c>
      <c r="I198" s="590" t="str">
        <f>PASHEET!BK91</f>
        <v/>
      </c>
      <c r="J198" s="590" t="str">
        <f>PASHEET!BL91</f>
        <v/>
      </c>
      <c r="K198" s="590" t="str">
        <f>PASHEET!BM91</f>
        <v/>
      </c>
      <c r="L198" s="590" t="str">
        <f>PASHEET!BN91</f>
        <v/>
      </c>
      <c r="M198" s="590" t="str">
        <f>PASHEET!BO91</f>
        <v/>
      </c>
      <c r="N198" s="590" t="str">
        <f>PASHEET!BP91</f>
        <v/>
      </c>
      <c r="O198" s="590" t="str">
        <f>PASHEET!BQ91</f>
        <v/>
      </c>
      <c r="Q198" s="591" t="s">
        <v>482</v>
      </c>
      <c r="R198" s="591" t="s">
        <v>483</v>
      </c>
      <c r="S198" s="591" t="s">
        <v>50</v>
      </c>
      <c r="T198" s="591">
        <f>COUNTIFS(N111:N210,S198)</f>
        <v>0</v>
      </c>
      <c r="U198" s="591">
        <f>COUNTIFS(F111:F210,Q187,N111:N210,S198)</f>
        <v>0</v>
      </c>
      <c r="V198" s="591">
        <f>COUNTIFS(F111:F210,R187,N111:N210,S198)</f>
        <v>0</v>
      </c>
      <c r="W198" s="594"/>
      <c r="X198" s="594"/>
      <c r="Y198" s="594"/>
      <c r="Z198" s="594"/>
      <c r="AA198" s="594"/>
      <c r="AB198" s="591"/>
      <c r="AC198" s="591"/>
      <c r="AD198" s="591"/>
      <c r="AE198" s="594"/>
    </row>
    <row r="199" spans="1:31">
      <c r="A199" s="596">
        <v>89</v>
      </c>
      <c r="B199" s="596">
        <f t="shared" ref="B199:E199" si="117">B92</f>
        <v>0</v>
      </c>
      <c r="C199" s="596">
        <f t="shared" si="117"/>
        <v>0</v>
      </c>
      <c r="D199" s="597">
        <f t="shared" si="117"/>
        <v>0</v>
      </c>
      <c r="E199" s="597">
        <f t="shared" si="117"/>
        <v>0</v>
      </c>
      <c r="F199" s="590" t="str">
        <f>VLOOKUP(A199,STUDENT!$A$2:$BR$105,68,0)</f>
        <v/>
      </c>
      <c r="G199" s="590" t="b">
        <f>VLOOKUP(A199,STUDENT!$A$2:$BR$105,67,0)</f>
        <v>0</v>
      </c>
      <c r="H199" s="590" t="str">
        <f>PASHEET!BJ92</f>
        <v/>
      </c>
      <c r="I199" s="590" t="str">
        <f>PASHEET!BK92</f>
        <v/>
      </c>
      <c r="J199" s="590" t="str">
        <f>PASHEET!BL92</f>
        <v/>
      </c>
      <c r="K199" s="590" t="str">
        <f>PASHEET!BM92</f>
        <v/>
      </c>
      <c r="L199" s="590" t="str">
        <f>PASHEET!BN92</f>
        <v/>
      </c>
      <c r="M199" s="590" t="str">
        <f>PASHEET!BO92</f>
        <v/>
      </c>
      <c r="N199" s="590" t="str">
        <f>PASHEET!BP92</f>
        <v/>
      </c>
      <c r="O199" s="590" t="str">
        <f>PASHEET!BQ92</f>
        <v/>
      </c>
      <c r="Q199" s="591" t="s">
        <v>482</v>
      </c>
      <c r="R199" s="591" t="s">
        <v>483</v>
      </c>
      <c r="S199" s="591" t="s">
        <v>485</v>
      </c>
      <c r="T199" s="591">
        <f>COUNTIFS(N111:N210,S199)</f>
        <v>0</v>
      </c>
      <c r="U199" s="591">
        <f>COUNTIFS(F111:F210,Q188,N111:N210,S199)</f>
        <v>0</v>
      </c>
      <c r="V199" s="591">
        <f>COUNTIFS(F111:F210,R188,N111:N210,S199)</f>
        <v>0</v>
      </c>
      <c r="W199" s="594"/>
      <c r="X199" s="594"/>
      <c r="Y199" s="594"/>
      <c r="Z199" s="594"/>
      <c r="AA199" s="594"/>
      <c r="AB199" s="591"/>
      <c r="AC199" s="591"/>
      <c r="AD199" s="591"/>
      <c r="AE199" s="594"/>
    </row>
    <row r="200" spans="1:31">
      <c r="A200" s="590">
        <v>90</v>
      </c>
      <c r="B200" s="596">
        <f t="shared" ref="B200:E200" si="118">B93</f>
        <v>0</v>
      </c>
      <c r="C200" s="596">
        <f t="shared" si="118"/>
        <v>0</v>
      </c>
      <c r="D200" s="597">
        <f t="shared" si="118"/>
        <v>0</v>
      </c>
      <c r="E200" s="597">
        <f t="shared" si="118"/>
        <v>0</v>
      </c>
      <c r="F200" s="590" t="str">
        <f>VLOOKUP(A200,STUDENT!$A$2:$BR$105,68,0)</f>
        <v/>
      </c>
      <c r="G200" s="590" t="b">
        <f>VLOOKUP(A200,STUDENT!$A$2:$BR$105,67,0)</f>
        <v>0</v>
      </c>
      <c r="H200" s="590" t="str">
        <f>PASHEET!BJ93</f>
        <v/>
      </c>
      <c r="I200" s="590" t="str">
        <f>PASHEET!BK93</f>
        <v/>
      </c>
      <c r="J200" s="590" t="str">
        <f>PASHEET!BL93</f>
        <v/>
      </c>
      <c r="K200" s="590" t="str">
        <f>PASHEET!BM93</f>
        <v/>
      </c>
      <c r="L200" s="590" t="str">
        <f>PASHEET!BN93</f>
        <v/>
      </c>
      <c r="M200" s="590" t="str">
        <f>PASHEET!BO93</f>
        <v/>
      </c>
      <c r="N200" s="590" t="str">
        <f>PASHEET!BP93</f>
        <v/>
      </c>
      <c r="O200" s="590" t="str">
        <f>PASHEET!BQ93</f>
        <v/>
      </c>
      <c r="Q200" s="591" t="s">
        <v>482</v>
      </c>
      <c r="R200" s="591" t="s">
        <v>483</v>
      </c>
      <c r="S200" s="591" t="s">
        <v>486</v>
      </c>
      <c r="T200" s="591">
        <f>COUNTIFS(N111:N210,S200)</f>
        <v>0</v>
      </c>
      <c r="U200" s="591">
        <f>COUNTIFS(F111:F210,Q189,N111:N210,S200)</f>
        <v>0</v>
      </c>
      <c r="V200" s="591">
        <f>COUNTIFS(F111:F210,R189,N111:N210,S200)</f>
        <v>0</v>
      </c>
      <c r="W200" s="594"/>
      <c r="X200" s="594"/>
      <c r="Y200" s="594"/>
      <c r="Z200" s="594"/>
      <c r="AA200" s="594"/>
      <c r="AB200" s="591"/>
      <c r="AC200" s="591"/>
      <c r="AD200" s="591"/>
      <c r="AE200" s="594"/>
    </row>
    <row r="201" spans="1:31">
      <c r="A201" s="596">
        <v>91</v>
      </c>
      <c r="B201" s="596">
        <f t="shared" ref="B201:E201" si="119">B94</f>
        <v>0</v>
      </c>
      <c r="C201" s="596">
        <f t="shared" si="119"/>
        <v>0</v>
      </c>
      <c r="D201" s="597">
        <f t="shared" si="119"/>
        <v>0</v>
      </c>
      <c r="E201" s="597">
        <f t="shared" si="119"/>
        <v>0</v>
      </c>
      <c r="F201" s="590" t="str">
        <f>VLOOKUP(A201,STUDENT!$A$2:$BR$105,68,0)</f>
        <v/>
      </c>
      <c r="G201" s="590" t="b">
        <f>VLOOKUP(A201,STUDENT!$A$2:$BR$105,67,0)</f>
        <v>0</v>
      </c>
      <c r="H201" s="590" t="str">
        <f>PASHEET!BJ94</f>
        <v/>
      </c>
      <c r="I201" s="590" t="str">
        <f>PASHEET!BK94</f>
        <v/>
      </c>
      <c r="J201" s="590" t="str">
        <f>PASHEET!BL94</f>
        <v/>
      </c>
      <c r="K201" s="590" t="str">
        <f>PASHEET!BM94</f>
        <v/>
      </c>
      <c r="L201" s="590" t="str">
        <f>PASHEET!BN94</f>
        <v/>
      </c>
      <c r="M201" s="590" t="str">
        <f>PASHEET!BO94</f>
        <v/>
      </c>
      <c r="N201" s="590" t="str">
        <f>PASHEET!BP94</f>
        <v/>
      </c>
      <c r="O201" s="590" t="str">
        <f>PASHEET!BQ94</f>
        <v/>
      </c>
      <c r="Q201" s="591" t="s">
        <v>482</v>
      </c>
      <c r="R201" s="591" t="s">
        <v>483</v>
      </c>
      <c r="S201" s="591" t="s">
        <v>487</v>
      </c>
      <c r="T201" s="591">
        <f>COUNTIFS(N111:N210,S201)</f>
        <v>0</v>
      </c>
      <c r="U201" s="591">
        <f>COUNTIFS(F111:F210,Q190,N111:N210,S201)</f>
        <v>0</v>
      </c>
      <c r="V201" s="591">
        <f>COUNTIFS(F111:F210,R190,N111:N210,S201)</f>
        <v>0</v>
      </c>
      <c r="W201" s="594"/>
      <c r="X201" s="594"/>
      <c r="Y201" s="594"/>
      <c r="Z201" s="594"/>
      <c r="AA201" s="594"/>
      <c r="AB201" s="591"/>
      <c r="AC201" s="591"/>
      <c r="AD201" s="591"/>
      <c r="AE201" s="594"/>
    </row>
    <row r="202" spans="1:31">
      <c r="A202" s="590">
        <v>92</v>
      </c>
      <c r="B202" s="596">
        <f t="shared" ref="B202:E202" si="120">B95</f>
        <v>0</v>
      </c>
      <c r="C202" s="596">
        <f t="shared" si="120"/>
        <v>0</v>
      </c>
      <c r="D202" s="597">
        <f t="shared" si="120"/>
        <v>0</v>
      </c>
      <c r="E202" s="597">
        <f t="shared" si="120"/>
        <v>0</v>
      </c>
      <c r="F202" s="590" t="str">
        <f>VLOOKUP(A202,STUDENT!$A$2:$BR$105,68,0)</f>
        <v/>
      </c>
      <c r="G202" s="590" t="b">
        <f>VLOOKUP(A202,STUDENT!$A$2:$BR$105,67,0)</f>
        <v>0</v>
      </c>
      <c r="H202" s="590" t="str">
        <f>PASHEET!BJ95</f>
        <v/>
      </c>
      <c r="I202" s="590" t="str">
        <f>PASHEET!BK95</f>
        <v/>
      </c>
      <c r="J202" s="590" t="str">
        <f>PASHEET!BL95</f>
        <v/>
      </c>
      <c r="K202" s="590" t="str">
        <f>PASHEET!BM95</f>
        <v/>
      </c>
      <c r="L202" s="590" t="str">
        <f>PASHEET!BN95</f>
        <v/>
      </c>
      <c r="M202" s="590" t="str">
        <f>PASHEET!BO95</f>
        <v/>
      </c>
      <c r="N202" s="590" t="str">
        <f>PASHEET!BP95</f>
        <v/>
      </c>
      <c r="O202" s="590" t="str">
        <f>PASHEET!BQ95</f>
        <v/>
      </c>
      <c r="Q202" s="591" t="s">
        <v>482</v>
      </c>
      <c r="R202" s="591" t="s">
        <v>483</v>
      </c>
      <c r="S202" s="591" t="s">
        <v>488</v>
      </c>
      <c r="T202" s="591">
        <f>COUNTIFS(N111:N210,S202)</f>
        <v>0</v>
      </c>
      <c r="U202" s="591">
        <f>COUNTIFS(F111:F210,Q191,N111:N210,S202)</f>
        <v>0</v>
      </c>
      <c r="V202" s="591">
        <f>COUNTIFS(F111:F210,R191,N111:N210,S202)</f>
        <v>0</v>
      </c>
      <c r="W202" s="594"/>
      <c r="X202" s="594"/>
      <c r="Y202" s="594"/>
      <c r="Z202" s="594"/>
      <c r="AA202" s="594"/>
      <c r="AB202" s="591"/>
      <c r="AC202" s="591"/>
      <c r="AD202" s="591"/>
      <c r="AE202" s="594"/>
    </row>
    <row r="203" spans="1:31">
      <c r="A203" s="596">
        <v>93</v>
      </c>
      <c r="B203" s="596">
        <f t="shared" ref="B203:E203" si="121">B96</f>
        <v>0</v>
      </c>
      <c r="C203" s="596">
        <f t="shared" si="121"/>
        <v>0</v>
      </c>
      <c r="D203" s="597">
        <f t="shared" si="121"/>
        <v>0</v>
      </c>
      <c r="E203" s="597">
        <f t="shared" si="121"/>
        <v>0</v>
      </c>
      <c r="F203" s="590" t="str">
        <f>VLOOKUP(A203,STUDENT!$A$2:$BR$105,68,0)</f>
        <v/>
      </c>
      <c r="G203" s="590" t="b">
        <f>VLOOKUP(A203,STUDENT!$A$2:$BR$105,67,0)</f>
        <v>0</v>
      </c>
      <c r="H203" s="590" t="str">
        <f>PASHEET!BJ96</f>
        <v/>
      </c>
      <c r="I203" s="590" t="str">
        <f>PASHEET!BK96</f>
        <v/>
      </c>
      <c r="J203" s="590" t="str">
        <f>PASHEET!BL96</f>
        <v/>
      </c>
      <c r="K203" s="590" t="str">
        <f>PASHEET!BM96</f>
        <v/>
      </c>
      <c r="L203" s="590" t="str">
        <f>PASHEET!BN96</f>
        <v/>
      </c>
      <c r="M203" s="590" t="str">
        <f>PASHEET!BO96</f>
        <v/>
      </c>
      <c r="N203" s="590" t="str">
        <f>PASHEET!BP96</f>
        <v/>
      </c>
      <c r="O203" s="590" t="str">
        <f>PASHEET!BQ96</f>
        <v/>
      </c>
      <c r="Q203" s="591" t="s">
        <v>482</v>
      </c>
      <c r="R203" s="591" t="s">
        <v>483</v>
      </c>
      <c r="S203" s="591" t="s">
        <v>101</v>
      </c>
      <c r="T203" s="591">
        <f>COUNTIFS(N111:N210,S203)</f>
        <v>0</v>
      </c>
      <c r="U203" s="591">
        <f>COUNTIFS(F111:F210,Q192,N111:N210,S203)</f>
        <v>0</v>
      </c>
      <c r="V203" s="591">
        <f>COUNTIFS(F111:F210,R192,N111:N210,S203)</f>
        <v>0</v>
      </c>
      <c r="W203" s="594"/>
      <c r="X203" s="594"/>
      <c r="Y203" s="594"/>
      <c r="Z203" s="594"/>
      <c r="AA203" s="594"/>
      <c r="AB203" s="591"/>
      <c r="AC203" s="591"/>
      <c r="AD203" s="591"/>
      <c r="AE203" s="594"/>
    </row>
    <row r="204" spans="1:31">
      <c r="A204" s="590">
        <v>94</v>
      </c>
      <c r="B204" s="596">
        <f t="shared" ref="B204:E204" si="122">B97</f>
        <v>0</v>
      </c>
      <c r="C204" s="596">
        <f t="shared" si="122"/>
        <v>0</v>
      </c>
      <c r="D204" s="597">
        <f t="shared" si="122"/>
        <v>0</v>
      </c>
      <c r="E204" s="597">
        <f t="shared" si="122"/>
        <v>0</v>
      </c>
      <c r="F204" s="590" t="str">
        <f>VLOOKUP(A204,STUDENT!$A$2:$BR$105,68,0)</f>
        <v/>
      </c>
      <c r="G204" s="590" t="b">
        <f>VLOOKUP(A204,STUDENT!$A$2:$BR$105,67,0)</f>
        <v>0</v>
      </c>
      <c r="H204" s="590" t="str">
        <f>PASHEET!BJ97</f>
        <v/>
      </c>
      <c r="I204" s="590" t="str">
        <f>PASHEET!BK97</f>
        <v/>
      </c>
      <c r="J204" s="590" t="str">
        <f>PASHEET!BL97</f>
        <v/>
      </c>
      <c r="K204" s="590" t="str">
        <f>PASHEET!BM97</f>
        <v/>
      </c>
      <c r="L204" s="590" t="str">
        <f>PASHEET!BN97</f>
        <v/>
      </c>
      <c r="M204" s="590" t="str">
        <f>PASHEET!BO97</f>
        <v/>
      </c>
      <c r="N204" s="590" t="str">
        <f>PASHEET!BP97</f>
        <v/>
      </c>
      <c r="O204" s="590" t="str">
        <f>PASHEET!BQ97</f>
        <v/>
      </c>
      <c r="Q204" s="591" t="s">
        <v>482</v>
      </c>
      <c r="R204" s="591" t="s">
        <v>483</v>
      </c>
      <c r="S204" s="591" t="s">
        <v>489</v>
      </c>
      <c r="T204" s="591">
        <f>COUNTIFS(N111:N210,S204)</f>
        <v>0</v>
      </c>
      <c r="U204" s="591">
        <f>COUNTIFS(F111:F210,Q193,N111:N210,S204)</f>
        <v>0</v>
      </c>
      <c r="V204" s="591">
        <f>COUNTIFS(F111:F210,R193,N111:N210,S204)</f>
        <v>0</v>
      </c>
      <c r="W204" s="594"/>
      <c r="X204" s="594"/>
      <c r="Y204" s="594"/>
      <c r="Z204" s="594"/>
      <c r="AA204" s="594"/>
      <c r="AB204" s="591"/>
      <c r="AC204" s="591"/>
      <c r="AD204" s="591"/>
      <c r="AE204" s="594"/>
    </row>
    <row r="205" spans="1:31">
      <c r="A205" s="596">
        <v>95</v>
      </c>
      <c r="B205" s="596">
        <f t="shared" ref="B205:E205" si="123">B98</f>
        <v>0</v>
      </c>
      <c r="C205" s="596">
        <f t="shared" si="123"/>
        <v>0</v>
      </c>
      <c r="D205" s="597">
        <f t="shared" si="123"/>
        <v>0</v>
      </c>
      <c r="E205" s="597">
        <f t="shared" si="123"/>
        <v>0</v>
      </c>
      <c r="F205" s="590" t="str">
        <f>VLOOKUP(A205,STUDENT!$A$2:$BR$105,68,0)</f>
        <v/>
      </c>
      <c r="G205" s="590" t="b">
        <f>VLOOKUP(A205,STUDENT!$A$2:$BR$105,67,0)</f>
        <v>0</v>
      </c>
      <c r="H205" s="590" t="str">
        <f>PASHEET!BJ98</f>
        <v/>
      </c>
      <c r="I205" s="590" t="str">
        <f>PASHEET!BK98</f>
        <v/>
      </c>
      <c r="J205" s="590" t="str">
        <f>PASHEET!BL98</f>
        <v/>
      </c>
      <c r="K205" s="590" t="str">
        <f>PASHEET!BM98</f>
        <v/>
      </c>
      <c r="L205" s="590" t="str">
        <f>PASHEET!BN98</f>
        <v/>
      </c>
      <c r="M205" s="590" t="str">
        <f>PASHEET!BO98</f>
        <v/>
      </c>
      <c r="N205" s="590" t="str">
        <f>PASHEET!BP98</f>
        <v/>
      </c>
      <c r="O205" s="590" t="str">
        <f>PASHEET!BQ98</f>
        <v/>
      </c>
      <c r="Q205" s="591" t="s">
        <v>482</v>
      </c>
      <c r="R205" s="591" t="s">
        <v>483</v>
      </c>
      <c r="S205" s="591"/>
      <c r="T205" s="591"/>
      <c r="U205" s="591"/>
      <c r="V205" s="591"/>
      <c r="W205" s="594"/>
      <c r="X205" s="594"/>
      <c r="Y205" s="594"/>
      <c r="Z205" s="594"/>
      <c r="AA205" s="594"/>
      <c r="AB205" s="591"/>
      <c r="AC205" s="591"/>
      <c r="AD205" s="591"/>
      <c r="AE205" s="594"/>
    </row>
    <row r="206" spans="1:31">
      <c r="A206" s="590">
        <v>96</v>
      </c>
      <c r="B206" s="596">
        <f t="shared" ref="B206:E206" si="124">B99</f>
        <v>0</v>
      </c>
      <c r="C206" s="596">
        <f t="shared" si="124"/>
        <v>0</v>
      </c>
      <c r="D206" s="597">
        <f t="shared" si="124"/>
        <v>0</v>
      </c>
      <c r="E206" s="597">
        <f t="shared" si="124"/>
        <v>0</v>
      </c>
      <c r="F206" s="590" t="str">
        <f>VLOOKUP(A206,STUDENT!$A$2:$BR$105,68,0)</f>
        <v/>
      </c>
      <c r="G206" s="590" t="b">
        <f>VLOOKUP(A206,STUDENT!$A$2:$BR$105,67,0)</f>
        <v>0</v>
      </c>
      <c r="H206" s="590" t="str">
        <f>PASHEET!BJ99</f>
        <v/>
      </c>
      <c r="I206" s="590" t="str">
        <f>PASHEET!BK99</f>
        <v/>
      </c>
      <c r="J206" s="590" t="str">
        <f>PASHEET!BL99</f>
        <v/>
      </c>
      <c r="K206" s="590" t="str">
        <f>PASHEET!BM99</f>
        <v/>
      </c>
      <c r="L206" s="590" t="str">
        <f>PASHEET!BN99</f>
        <v/>
      </c>
      <c r="M206" s="590" t="str">
        <f>PASHEET!BO99</f>
        <v/>
      </c>
      <c r="N206" s="590" t="str">
        <f>PASHEET!BP99</f>
        <v/>
      </c>
      <c r="O206" s="590" t="str">
        <f>PASHEET!BQ99</f>
        <v/>
      </c>
      <c r="Q206" s="591"/>
      <c r="R206" s="591"/>
      <c r="S206" s="591" t="s">
        <v>102</v>
      </c>
      <c r="T206" s="591">
        <f>SUM(T198:T205)</f>
        <v>0</v>
      </c>
      <c r="U206" s="591">
        <f t="shared" ref="U206:V206" si="125">SUM(U198:U205)</f>
        <v>0</v>
      </c>
      <c r="V206" s="591">
        <f t="shared" si="125"/>
        <v>0</v>
      </c>
      <c r="W206" s="594"/>
      <c r="X206" s="594"/>
      <c r="Y206" s="594"/>
      <c r="Z206" s="594"/>
      <c r="AA206" s="594"/>
      <c r="AB206" s="591"/>
      <c r="AC206" s="591"/>
      <c r="AD206" s="591"/>
      <c r="AE206" s="594"/>
    </row>
    <row r="207" spans="1:31">
      <c r="A207" s="596">
        <v>97</v>
      </c>
      <c r="B207" s="596">
        <f t="shared" ref="B207:E207" si="126">B100</f>
        <v>0</v>
      </c>
      <c r="C207" s="596">
        <f t="shared" si="126"/>
        <v>0</v>
      </c>
      <c r="D207" s="597">
        <f t="shared" si="126"/>
        <v>0</v>
      </c>
      <c r="E207" s="597">
        <f t="shared" si="126"/>
        <v>0</v>
      </c>
      <c r="F207" s="590" t="str">
        <f>VLOOKUP(A207,STUDENT!$A$2:$BR$105,68,0)</f>
        <v/>
      </c>
      <c r="G207" s="590" t="b">
        <f>VLOOKUP(A207,STUDENT!$A$2:$BR$105,67,0)</f>
        <v>0</v>
      </c>
      <c r="H207" s="590" t="str">
        <f>PASHEET!BJ100</f>
        <v/>
      </c>
      <c r="I207" s="590" t="str">
        <f>PASHEET!BK100</f>
        <v/>
      </c>
      <c r="J207" s="590" t="str">
        <f>PASHEET!BL100</f>
        <v/>
      </c>
      <c r="K207" s="590" t="str">
        <f>PASHEET!BM100</f>
        <v/>
      </c>
      <c r="L207" s="590" t="str">
        <f>PASHEET!BN100</f>
        <v/>
      </c>
      <c r="M207" s="590" t="str">
        <f>PASHEET!BO100</f>
        <v/>
      </c>
      <c r="N207" s="590" t="str">
        <f>PASHEET!BP100</f>
        <v/>
      </c>
      <c r="O207" s="590" t="str">
        <f>PASHEET!BQ100</f>
        <v/>
      </c>
      <c r="Q207" s="598"/>
      <c r="R207" s="598"/>
      <c r="S207" s="598"/>
      <c r="T207" s="598"/>
      <c r="U207" s="598"/>
      <c r="V207" s="598"/>
      <c r="W207" s="595"/>
      <c r="X207" s="595"/>
      <c r="Y207" s="595"/>
      <c r="Z207" s="595"/>
      <c r="AA207" s="595"/>
      <c r="AB207" s="598"/>
      <c r="AC207" s="598"/>
      <c r="AD207" s="598"/>
      <c r="AE207" s="595"/>
    </row>
    <row r="208" spans="1:31">
      <c r="A208" s="590">
        <v>98</v>
      </c>
      <c r="B208" s="596">
        <f t="shared" ref="B208:E208" si="127">B101</f>
        <v>0</v>
      </c>
      <c r="C208" s="596">
        <f t="shared" si="127"/>
        <v>0</v>
      </c>
      <c r="D208" s="597">
        <f t="shared" si="127"/>
        <v>0</v>
      </c>
      <c r="E208" s="597">
        <f t="shared" si="127"/>
        <v>0</v>
      </c>
      <c r="F208" s="590" t="str">
        <f>VLOOKUP(A208,STUDENT!$A$2:$BR$105,68,0)</f>
        <v/>
      </c>
      <c r="G208" s="590" t="b">
        <f>VLOOKUP(A208,STUDENT!$A$2:$BR$105,67,0)</f>
        <v>0</v>
      </c>
      <c r="H208" s="590" t="str">
        <f>PASHEET!BJ101</f>
        <v/>
      </c>
      <c r="I208" s="590" t="str">
        <f>PASHEET!BK101</f>
        <v/>
      </c>
      <c r="J208" s="590" t="str">
        <f>PASHEET!BL101</f>
        <v/>
      </c>
      <c r="K208" s="590" t="str">
        <f>PASHEET!BM101</f>
        <v/>
      </c>
      <c r="L208" s="590" t="str">
        <f>PASHEET!BN101</f>
        <v/>
      </c>
      <c r="M208" s="590" t="str">
        <f>PASHEET!BO101</f>
        <v/>
      </c>
      <c r="N208" s="590" t="str">
        <f>PASHEET!BP101</f>
        <v/>
      </c>
      <c r="O208" s="590" t="str">
        <f>PASHEET!BQ101</f>
        <v/>
      </c>
      <c r="Q208" s="598"/>
      <c r="R208" s="598"/>
      <c r="S208" s="598"/>
      <c r="T208" s="598"/>
      <c r="U208" s="598"/>
      <c r="V208" s="598"/>
      <c r="W208" s="595"/>
      <c r="X208" s="595"/>
      <c r="Y208" s="595"/>
      <c r="Z208" s="595"/>
      <c r="AA208" s="595"/>
      <c r="AB208" s="598"/>
      <c r="AC208" s="598"/>
      <c r="AD208" s="598"/>
      <c r="AE208" s="595"/>
    </row>
    <row r="209" spans="1:31">
      <c r="A209" s="596">
        <v>99</v>
      </c>
      <c r="B209" s="596">
        <f t="shared" ref="B209:E209" si="128">B102</f>
        <v>0</v>
      </c>
      <c r="C209" s="596">
        <f t="shared" si="128"/>
        <v>0</v>
      </c>
      <c r="D209" s="597">
        <f t="shared" si="128"/>
        <v>0</v>
      </c>
      <c r="E209" s="597">
        <f t="shared" si="128"/>
        <v>0</v>
      </c>
      <c r="F209" s="590" t="str">
        <f>VLOOKUP(A209,STUDENT!$A$2:$BR$105,68,0)</f>
        <v/>
      </c>
      <c r="G209" s="590" t="b">
        <f>VLOOKUP(A209,STUDENT!$A$2:$BR$105,67,0)</f>
        <v>0</v>
      </c>
      <c r="H209" s="590" t="str">
        <f>PASHEET!BJ102</f>
        <v/>
      </c>
      <c r="I209" s="590" t="str">
        <f>PASHEET!BK102</f>
        <v/>
      </c>
      <c r="J209" s="590" t="str">
        <f>PASHEET!BL102</f>
        <v/>
      </c>
      <c r="K209" s="590" t="str">
        <f>PASHEET!BM102</f>
        <v/>
      </c>
      <c r="L209" s="590" t="str">
        <f>PASHEET!BN102</f>
        <v/>
      </c>
      <c r="M209" s="590" t="str">
        <f>PASHEET!BO102</f>
        <v/>
      </c>
      <c r="N209" s="590" t="str">
        <f>PASHEET!BP102</f>
        <v/>
      </c>
      <c r="O209" s="590" t="str">
        <f>PASHEET!BQ102</f>
        <v/>
      </c>
      <c r="Q209" s="598"/>
      <c r="R209" s="598"/>
      <c r="S209" s="598"/>
      <c r="T209" s="598"/>
      <c r="U209" s="598"/>
      <c r="V209" s="598"/>
      <c r="W209" s="595"/>
      <c r="X209" s="595"/>
      <c r="Y209" s="595"/>
      <c r="Z209" s="595"/>
      <c r="AA209" s="595"/>
      <c r="AB209" s="598"/>
      <c r="AC209" s="598"/>
      <c r="AD209" s="598"/>
      <c r="AE209" s="595"/>
    </row>
    <row r="210" spans="1:31">
      <c r="A210" s="590">
        <v>100</v>
      </c>
      <c r="B210" s="596">
        <f t="shared" ref="B210:E210" si="129">B103</f>
        <v>0</v>
      </c>
      <c r="C210" s="596">
        <f t="shared" si="129"/>
        <v>0</v>
      </c>
      <c r="D210" s="597">
        <f t="shared" si="129"/>
        <v>0</v>
      </c>
      <c r="E210" s="597">
        <f t="shared" si="129"/>
        <v>0</v>
      </c>
      <c r="F210" s="590" t="str">
        <f>VLOOKUP(A210,STUDENT!$A$2:$BR$105,68,0)</f>
        <v/>
      </c>
      <c r="G210" s="590" t="b">
        <f>VLOOKUP(A210,STUDENT!$A$2:$BR$105,67,0)</f>
        <v>0</v>
      </c>
      <c r="H210" s="590" t="str">
        <f>PASHEET!BJ103</f>
        <v/>
      </c>
      <c r="I210" s="590" t="str">
        <f>PASHEET!BK103</f>
        <v/>
      </c>
      <c r="J210" s="590" t="str">
        <f>PASHEET!BL103</f>
        <v/>
      </c>
      <c r="K210" s="590" t="str">
        <f>PASHEET!BM103</f>
        <v/>
      </c>
      <c r="L210" s="590" t="str">
        <f>PASHEET!BN103</f>
        <v/>
      </c>
      <c r="M210" s="590" t="str">
        <f>PASHEET!BO103</f>
        <v/>
      </c>
      <c r="N210" s="590" t="str">
        <f>PASHEET!BP103</f>
        <v/>
      </c>
      <c r="O210" s="590" t="str">
        <f>PASHEET!BQ103</f>
        <v/>
      </c>
      <c r="Q210" s="598"/>
      <c r="R210" s="598"/>
      <c r="S210" s="598"/>
      <c r="T210" s="598"/>
      <c r="U210" s="598"/>
      <c r="V210" s="598"/>
      <c r="W210" s="595"/>
      <c r="X210" s="595"/>
      <c r="Y210" s="595"/>
      <c r="Z210" s="595"/>
      <c r="AA210" s="595"/>
      <c r="AB210" s="598"/>
      <c r="AC210" s="598"/>
      <c r="AD210" s="598"/>
      <c r="AE210" s="595"/>
    </row>
    <row r="215" spans="1:31">
      <c r="A215" s="588"/>
      <c r="B215" s="589"/>
      <c r="C215" s="588"/>
      <c r="D215" s="588" t="s">
        <v>497</v>
      </c>
      <c r="E215" s="588"/>
      <c r="F215" s="576"/>
      <c r="G215" s="576"/>
      <c r="H215" s="590"/>
      <c r="I215" s="590"/>
      <c r="J215" s="590"/>
      <c r="K215" s="590"/>
      <c r="L215" s="590"/>
      <c r="M215" s="590"/>
      <c r="N215" s="590"/>
      <c r="O215" s="590"/>
    </row>
    <row r="216" ht="36" spans="1:31">
      <c r="A216" s="588" t="s">
        <v>109</v>
      </c>
      <c r="B216" s="589" t="s">
        <v>114</v>
      </c>
      <c r="C216" s="588" t="s">
        <v>112</v>
      </c>
      <c r="D216" s="588" t="s">
        <v>113</v>
      </c>
      <c r="E216" s="588" t="s">
        <v>327</v>
      </c>
      <c r="F216" s="576" t="s">
        <v>473</v>
      </c>
      <c r="G216" s="576" t="s">
        <v>474</v>
      </c>
      <c r="H216" s="590" t="s">
        <v>87</v>
      </c>
      <c r="I216" s="590" t="s">
        <v>350</v>
      </c>
      <c r="J216" s="590" t="s">
        <v>88</v>
      </c>
      <c r="K216" s="590" t="s">
        <v>351</v>
      </c>
      <c r="L216" s="590" t="s">
        <v>352</v>
      </c>
      <c r="M216" s="590" t="s">
        <v>353</v>
      </c>
      <c r="N216" s="590" t="s">
        <v>354</v>
      </c>
      <c r="O216" s="590" t="s">
        <v>102</v>
      </c>
      <c r="Q216" s="591" t="s">
        <v>475</v>
      </c>
      <c r="R216" s="591" t="s">
        <v>476</v>
      </c>
      <c r="S216" s="592" t="s">
        <v>477</v>
      </c>
      <c r="T216" s="593" t="s">
        <v>478</v>
      </c>
      <c r="U216" s="592" t="s">
        <v>479</v>
      </c>
      <c r="V216" s="592" t="s">
        <v>480</v>
      </c>
      <c r="W216" s="594"/>
      <c r="X216" s="591" t="s">
        <v>475</v>
      </c>
      <c r="Y216" s="591" t="s">
        <v>476</v>
      </c>
      <c r="Z216" s="591" t="s">
        <v>474</v>
      </c>
      <c r="AA216" s="592" t="s">
        <v>477</v>
      </c>
      <c r="AB216" s="593" t="s">
        <v>481</v>
      </c>
      <c r="AC216" s="592" t="s">
        <v>479</v>
      </c>
      <c r="AD216" s="592" t="s">
        <v>480</v>
      </c>
      <c r="AE216" s="594"/>
    </row>
    <row r="217" spans="1:31">
      <c r="A217" s="588"/>
      <c r="B217" s="589"/>
      <c r="C217" s="588"/>
      <c r="D217" s="588"/>
      <c r="E217" s="588"/>
      <c r="F217" s="576"/>
      <c r="G217" s="576"/>
      <c r="H217" s="590"/>
      <c r="I217" s="590"/>
      <c r="J217" s="590"/>
      <c r="K217" s="590"/>
      <c r="L217" s="590"/>
      <c r="M217" s="590"/>
      <c r="N217" s="590"/>
      <c r="O217" s="590"/>
      <c r="Q217" s="591" t="s">
        <v>482</v>
      </c>
      <c r="R217" s="591" t="s">
        <v>483</v>
      </c>
      <c r="S217" s="591" t="s">
        <v>50</v>
      </c>
      <c r="T217" s="591">
        <f>COUNTIFS(O218:O317,S217)</f>
        <v>0</v>
      </c>
      <c r="U217" s="591">
        <f>COUNTIFS(F218:F317,Q217,O218:O317,S217)</f>
        <v>0</v>
      </c>
      <c r="V217" s="591">
        <f t="shared" ref="V217:V223" si="130">COUNTIFS(F218:F317,R217,O218:O317,S217)</f>
        <v>0</v>
      </c>
      <c r="W217" s="594"/>
      <c r="X217" s="591" t="s">
        <v>482</v>
      </c>
      <c r="Y217" s="591" t="s">
        <v>483</v>
      </c>
      <c r="Z217" s="591" t="s">
        <v>484</v>
      </c>
      <c r="AA217" s="591" t="s">
        <v>50</v>
      </c>
      <c r="AB217" s="591">
        <f>COUNTIFS(G218:G317,Z217,O218:O317,S217)</f>
        <v>0</v>
      </c>
      <c r="AC217" s="591">
        <f>COUNTIFS(F218:F317,X217,G218:G317,Z217,O218:O317,S217)</f>
        <v>0</v>
      </c>
      <c r="AD217" s="591">
        <f>COUNTIFS(F218:F317,Y217,G218:G317,Z217,O218:O317,S217)</f>
        <v>0</v>
      </c>
      <c r="AE217" s="594"/>
    </row>
    <row r="218" spans="1:31">
      <c r="A218" s="596">
        <v>1</v>
      </c>
      <c r="B218" s="596">
        <f>B111</f>
        <v>14779</v>
      </c>
      <c r="C218" s="596">
        <f t="shared" ref="C218:E218" si="131">C111</f>
        <v>20220171896</v>
      </c>
      <c r="D218" s="597" t="str">
        <f t="shared" si="131"/>
        <v>NAKSH</v>
      </c>
      <c r="E218" s="597" t="str">
        <f t="shared" si="131"/>
        <v>NARESH</v>
      </c>
      <c r="F218" s="590" t="str">
        <f>VLOOKUP(A218,STUDENT!$A$2:$BR$105,68,0)</f>
        <v/>
      </c>
      <c r="G218" s="590" t="b">
        <f>VLOOKUP(A218,STUDENT!$A$2:$BR$105,67,0)</f>
        <v>0</v>
      </c>
      <c r="H218" s="590" t="str">
        <f>MARKS!DF4</f>
        <v>C</v>
      </c>
      <c r="I218" s="590" t="str">
        <f>MARKS!DG4</f>
        <v>D</v>
      </c>
      <c r="J218" s="590" t="str">
        <f>MARKS!DH4</f>
        <v>D</v>
      </c>
      <c r="K218" s="590" t="str">
        <f>MARKS!DI4</f>
        <v>C</v>
      </c>
      <c r="L218" s="590" t="str">
        <f>MARKS!DJ4</f>
        <v>D</v>
      </c>
      <c r="M218" s="590" t="str">
        <f>MARKS!DK4</f>
        <v>C</v>
      </c>
      <c r="N218" s="590">
        <f>MARKS!DL4</f>
        <v>0</v>
      </c>
      <c r="O218" s="590" t="str">
        <f>MARKS!DM4</f>
        <v>C</v>
      </c>
      <c r="Q218" s="591" t="s">
        <v>482</v>
      </c>
      <c r="R218" s="591" t="s">
        <v>483</v>
      </c>
      <c r="S218" s="591" t="s">
        <v>485</v>
      </c>
      <c r="T218" s="591">
        <f>COUNTIFS(O218:O317,S218)</f>
        <v>0</v>
      </c>
      <c r="U218" s="591">
        <f>COUNTIFS(F218:F317,Q218,O218:O317,S218)</f>
        <v>0</v>
      </c>
      <c r="V218" s="591">
        <f t="shared" si="130"/>
        <v>0</v>
      </c>
      <c r="W218" s="594"/>
      <c r="X218" s="591" t="s">
        <v>482</v>
      </c>
      <c r="Y218" s="591" t="s">
        <v>483</v>
      </c>
      <c r="Z218" s="591" t="s">
        <v>484</v>
      </c>
      <c r="AA218" s="591" t="s">
        <v>485</v>
      </c>
      <c r="AB218" s="591">
        <f>COUNTIFS(G218:G317,Z218,O218:O317,S218)</f>
        <v>0</v>
      </c>
      <c r="AC218" s="591">
        <f>COUNTIFS(F218:F317,X218,G218:G317,Z218,O218:O317,S218)</f>
        <v>0</v>
      </c>
      <c r="AD218" s="591">
        <f>COUNTIFS(F218:F317,Y218,G218:G317,Z218,O218:O317,S218)</f>
        <v>0</v>
      </c>
      <c r="AE218" s="594"/>
    </row>
    <row r="219" spans="1:31">
      <c r="A219" s="590">
        <v>2</v>
      </c>
      <c r="B219" s="596">
        <f t="shared" ref="B219:E219" si="132">B112</f>
        <v>14733</v>
      </c>
      <c r="C219" s="596">
        <f t="shared" si="132"/>
        <v>20220354217</v>
      </c>
      <c r="D219" s="597" t="str">
        <f t="shared" si="132"/>
        <v>NAVEEN</v>
      </c>
      <c r="E219" s="597" t="str">
        <f t="shared" si="132"/>
        <v>SANJAY</v>
      </c>
      <c r="F219" s="590" t="str">
        <f>VLOOKUP(A219,STUDENT!$A$2:$BR$105,68,0)</f>
        <v/>
      </c>
      <c r="G219" s="590" t="b">
        <f>VLOOKUP(A219,STUDENT!$A$2:$BR$105,67,0)</f>
        <v>0</v>
      </c>
      <c r="H219" s="590" t="str">
        <f>MARKS!DF5</f>
        <v>E</v>
      </c>
      <c r="I219" s="590" t="str">
        <f>MARKS!DG5</f>
        <v>E</v>
      </c>
      <c r="J219" s="590" t="str">
        <f>MARKS!DH5</f>
        <v>E</v>
      </c>
      <c r="K219" s="590" t="str">
        <f>MARKS!DI5</f>
        <v>E</v>
      </c>
      <c r="L219" s="590" t="str">
        <f>MARKS!DJ5</f>
        <v>E</v>
      </c>
      <c r="M219" s="590" t="str">
        <f>MARKS!DK5</f>
        <v>C</v>
      </c>
      <c r="N219" s="590">
        <f>MARKS!DL5</f>
        <v>0</v>
      </c>
      <c r="O219" s="590" t="str">
        <f>MARKS!DM5</f>
        <v>E</v>
      </c>
      <c r="Q219" s="591" t="s">
        <v>482</v>
      </c>
      <c r="R219" s="591" t="s">
        <v>483</v>
      </c>
      <c r="S219" s="591" t="s">
        <v>486</v>
      </c>
      <c r="T219" s="591">
        <f>COUNTIFS(O218:O317,S219)</f>
        <v>13</v>
      </c>
      <c r="U219" s="591">
        <f>COUNTIFS(F218:F317,Q219,O218:O317,S219)</f>
        <v>0</v>
      </c>
      <c r="V219" s="591">
        <f t="shared" si="130"/>
        <v>0</v>
      </c>
      <c r="W219" s="594"/>
      <c r="X219" s="591" t="s">
        <v>482</v>
      </c>
      <c r="Y219" s="591" t="s">
        <v>483</v>
      </c>
      <c r="Z219" s="591" t="s">
        <v>484</v>
      </c>
      <c r="AA219" s="591" t="s">
        <v>486</v>
      </c>
      <c r="AB219" s="591">
        <f>COUNTIFS(G218:G317,Z219,O218:O317,S219)</f>
        <v>0</v>
      </c>
      <c r="AC219" s="591">
        <f>COUNTIFS(F218:F317,X219,G218:G317,Z219,O218:O317,S219)</f>
        <v>0</v>
      </c>
      <c r="AD219" s="591">
        <f>COUNTIFS(F218:F317,Y219,G218:G317,Z219,O218:O317,S219)</f>
        <v>0</v>
      </c>
      <c r="AE219" s="594"/>
    </row>
    <row r="220" spans="1:31">
      <c r="A220" s="596">
        <v>3</v>
      </c>
      <c r="B220" s="596">
        <f t="shared" ref="B220:E220" si="133">B113</f>
        <v>14757</v>
      </c>
      <c r="C220" s="596">
        <f t="shared" si="133"/>
        <v>20220402586</v>
      </c>
      <c r="D220" s="597" t="str">
        <f t="shared" si="133"/>
        <v>AADITYA KUMAR</v>
      </c>
      <c r="E220" s="597" t="str">
        <f t="shared" si="133"/>
        <v>DHARMENDRA KUMAR</v>
      </c>
      <c r="F220" s="590" t="str">
        <f>VLOOKUP(A220,STUDENT!$A$2:$BR$105,68,0)</f>
        <v/>
      </c>
      <c r="G220" s="590" t="b">
        <f>VLOOKUP(A220,STUDENT!$A$2:$BR$105,67,0)</f>
        <v>0</v>
      </c>
      <c r="H220" s="590" t="str">
        <f>MARKS!DF6</f>
        <v>C</v>
      </c>
      <c r="I220" s="590" t="str">
        <f>MARKS!DG6</f>
        <v>D</v>
      </c>
      <c r="J220" s="590" t="str">
        <f>MARKS!DH6</f>
        <v>E</v>
      </c>
      <c r="K220" s="590" t="str">
        <f>MARKS!DI6</f>
        <v>C</v>
      </c>
      <c r="L220" s="590" t="str">
        <f>MARKS!DJ6</f>
        <v>D</v>
      </c>
      <c r="M220" s="590" t="str">
        <f>MARKS!DK6</f>
        <v>C</v>
      </c>
      <c r="N220" s="590">
        <f>MARKS!DL6</f>
        <v>0</v>
      </c>
      <c r="O220" s="590" t="str">
        <f>MARKS!DM6</f>
        <v>D</v>
      </c>
      <c r="Q220" s="591" t="s">
        <v>482</v>
      </c>
      <c r="R220" s="591" t="s">
        <v>483</v>
      </c>
      <c r="S220" s="591" t="s">
        <v>487</v>
      </c>
      <c r="T220" s="591">
        <f>COUNTIFS(O218:O317,S220)</f>
        <v>10</v>
      </c>
      <c r="U220" s="591">
        <f>COUNTIFS(F218:F317,Q220,O218:O317,S220)</f>
        <v>0</v>
      </c>
      <c r="V220" s="591">
        <f t="shared" si="130"/>
        <v>0</v>
      </c>
      <c r="W220" s="594"/>
      <c r="X220" s="591" t="s">
        <v>482</v>
      </c>
      <c r="Y220" s="591" t="s">
        <v>483</v>
      </c>
      <c r="Z220" s="591" t="s">
        <v>484</v>
      </c>
      <c r="AA220" s="591" t="s">
        <v>487</v>
      </c>
      <c r="AB220" s="591">
        <f>COUNTIFS(G218:G317,Z220,O218:O317,S220)</f>
        <v>0</v>
      </c>
      <c r="AC220" s="591">
        <f>COUNTIFS(F218:F317,X220,G218:G317,Z220,O218:O317,S220)</f>
        <v>0</v>
      </c>
      <c r="AD220" s="591">
        <f>COUNTIFS(F218:F317,Y220,G218:G317,Z220,O218:O317,S220)</f>
        <v>0</v>
      </c>
      <c r="AE220" s="594"/>
    </row>
    <row r="221" spans="1:31">
      <c r="A221" s="590">
        <v>4</v>
      </c>
      <c r="B221" s="596">
        <f t="shared" ref="B221:E221" si="134">B114</f>
        <v>14778</v>
      </c>
      <c r="C221" s="596">
        <f t="shared" si="134"/>
        <v>20220448164</v>
      </c>
      <c r="D221" s="597" t="str">
        <f t="shared" si="134"/>
        <v>PRINCE KUMAR RAY</v>
      </c>
      <c r="E221" s="597" t="str">
        <f t="shared" si="134"/>
        <v>RAMSHARAN RAY</v>
      </c>
      <c r="F221" s="590" t="str">
        <f>VLOOKUP(A221,STUDENT!$A$2:$BR$105,68,0)</f>
        <v/>
      </c>
      <c r="G221" s="590" t="b">
        <f>VLOOKUP(A221,STUDENT!$A$2:$BR$105,67,0)</f>
        <v>0</v>
      </c>
      <c r="H221" s="590" t="str">
        <f>MARKS!DF7</f>
        <v>E</v>
      </c>
      <c r="I221" s="590" t="str">
        <f>MARKS!DG7</f>
        <v>E</v>
      </c>
      <c r="J221" s="590" t="str">
        <f>MARKS!DH7</f>
        <v>D</v>
      </c>
      <c r="K221" s="590" t="str">
        <f>MARKS!DI7</f>
        <v>D</v>
      </c>
      <c r="L221" s="590" t="str">
        <f>MARKS!DJ7</f>
        <v>E</v>
      </c>
      <c r="M221" s="590" t="str">
        <f>MARKS!DK7</f>
        <v>C</v>
      </c>
      <c r="N221" s="590">
        <f>MARKS!DL7</f>
        <v>0</v>
      </c>
      <c r="O221" s="590" t="str">
        <f>MARKS!DM7</f>
        <v>E</v>
      </c>
      <c r="Q221" s="591" t="s">
        <v>482</v>
      </c>
      <c r="R221" s="591" t="s">
        <v>483</v>
      </c>
      <c r="S221" s="591" t="s">
        <v>488</v>
      </c>
      <c r="T221" s="591">
        <f>COUNTIFS(O218:O317,S221)</f>
        <v>16</v>
      </c>
      <c r="U221" s="591">
        <f>COUNTIFS(F218:F317,Q221,O218:O317,S221)</f>
        <v>0</v>
      </c>
      <c r="V221" s="591">
        <f t="shared" si="130"/>
        <v>0</v>
      </c>
      <c r="W221" s="594"/>
      <c r="X221" s="591" t="s">
        <v>482</v>
      </c>
      <c r="Y221" s="591" t="s">
        <v>483</v>
      </c>
      <c r="Z221" s="591" t="s">
        <v>484</v>
      </c>
      <c r="AA221" s="591" t="s">
        <v>488</v>
      </c>
      <c r="AB221" s="591">
        <f>COUNTIFS(G218:G317,Z221,O218:O317,S221)</f>
        <v>0</v>
      </c>
      <c r="AC221" s="591">
        <f>COUNTIFS(F218:F317,X221,G218:G317,Z221,O218:O317,S221)</f>
        <v>0</v>
      </c>
      <c r="AD221" s="591">
        <f>COUNTIFS(F218:F317,Y221,G218:G317,Z221,O218:O317,S221)</f>
        <v>0</v>
      </c>
      <c r="AE221" s="594"/>
    </row>
    <row r="222" spans="1:31">
      <c r="A222" s="596">
        <v>5</v>
      </c>
      <c r="B222" s="596">
        <f t="shared" ref="B222:E222" si="135">B115</f>
        <v>14785</v>
      </c>
      <c r="C222" s="596">
        <f t="shared" si="135"/>
        <v>20220482313</v>
      </c>
      <c r="D222" s="597" t="str">
        <f t="shared" si="135"/>
        <v>KIRSHNA</v>
      </c>
      <c r="E222" s="597" t="str">
        <f t="shared" si="135"/>
        <v>VISHNU KASHYAP</v>
      </c>
      <c r="F222" s="590" t="str">
        <f>VLOOKUP(A222,STUDENT!$A$2:$BR$105,68,0)</f>
        <v/>
      </c>
      <c r="G222" s="590" t="b">
        <f>VLOOKUP(A222,STUDENT!$A$2:$BR$105,67,0)</f>
        <v>0</v>
      </c>
      <c r="H222" s="590" t="str">
        <f>MARKS!DF8</f>
        <v>D</v>
      </c>
      <c r="I222" s="590" t="str">
        <f>MARKS!DG8</f>
        <v>D</v>
      </c>
      <c r="J222" s="590" t="str">
        <f>MARKS!DH8</f>
        <v>D</v>
      </c>
      <c r="K222" s="590" t="str">
        <f>MARKS!DI8</f>
        <v>D</v>
      </c>
      <c r="L222" s="590" t="str">
        <f>MARKS!DJ8</f>
        <v>D</v>
      </c>
      <c r="M222" s="590" t="str">
        <f>MARKS!DK8</f>
        <v>C</v>
      </c>
      <c r="N222" s="590">
        <f>MARKS!DL8</f>
        <v>0</v>
      </c>
      <c r="O222" s="590" t="str">
        <f>MARKS!DM8</f>
        <v>D</v>
      </c>
      <c r="Q222" s="591" t="s">
        <v>482</v>
      </c>
      <c r="R222" s="591" t="s">
        <v>483</v>
      </c>
      <c r="S222" s="591" t="s">
        <v>101</v>
      </c>
      <c r="T222" s="591">
        <f>COUNTIFS(O218:O317,S222)</f>
        <v>0</v>
      </c>
      <c r="U222" s="591">
        <f>COUNTIFS(F218:F317,Q222,O218:O317,S222)</f>
        <v>0</v>
      </c>
      <c r="V222" s="591">
        <f t="shared" si="130"/>
        <v>0</v>
      </c>
      <c r="W222" s="594"/>
      <c r="X222" s="591" t="s">
        <v>482</v>
      </c>
      <c r="Y222" s="591" t="s">
        <v>483</v>
      </c>
      <c r="Z222" s="591" t="s">
        <v>484</v>
      </c>
      <c r="AA222" s="591" t="s">
        <v>101</v>
      </c>
      <c r="AB222" s="591">
        <f>COUNTIFS(G218:G317,Z222,O218:O317,S222)</f>
        <v>0</v>
      </c>
      <c r="AC222" s="591">
        <f>COUNTIFS(F218:F317,X222,G218:G317,Z222,O218:O317,S222)</f>
        <v>0</v>
      </c>
      <c r="AD222" s="591">
        <f>COUNTIFS(F218:F317,Y222,G218:G317,Z222,O218:O317,S222)</f>
        <v>0</v>
      </c>
      <c r="AE222" s="594"/>
    </row>
    <row r="223" spans="1:31">
      <c r="A223" s="590">
        <v>6</v>
      </c>
      <c r="B223" s="596">
        <f t="shared" ref="B223:E223" si="136">B116</f>
        <v>14780</v>
      </c>
      <c r="C223" s="596">
        <f t="shared" si="136"/>
        <v>20230048303</v>
      </c>
      <c r="D223" s="597" t="str">
        <f t="shared" si="136"/>
        <v>MD SOPHIYAN ALAM</v>
      </c>
      <c r="E223" s="597" t="str">
        <f t="shared" si="136"/>
        <v>MD TABREJ ALAM</v>
      </c>
      <c r="F223" s="590" t="str">
        <f>VLOOKUP(A223,STUDENT!$A$2:$BR$105,68,0)</f>
        <v/>
      </c>
      <c r="G223" s="590" t="b">
        <f>VLOOKUP(A223,STUDENT!$A$2:$BR$105,67,0)</f>
        <v>0</v>
      </c>
      <c r="H223" s="590" t="str">
        <f>MARKS!DF9</f>
        <v>D</v>
      </c>
      <c r="I223" s="590" t="str">
        <f>MARKS!DG9</f>
        <v>D</v>
      </c>
      <c r="J223" s="590" t="str">
        <f>MARKS!DH9</f>
        <v>E</v>
      </c>
      <c r="K223" s="590" t="str">
        <f>MARKS!DI9</f>
        <v>E</v>
      </c>
      <c r="L223" s="590" t="str">
        <f>MARKS!DJ9</f>
        <v>E</v>
      </c>
      <c r="M223" s="590" t="str">
        <f>MARKS!DK9</f>
        <v>D</v>
      </c>
      <c r="N223" s="590">
        <f>MARKS!DL9</f>
        <v>0</v>
      </c>
      <c r="O223" s="590" t="str">
        <f>MARKS!DM9</f>
        <v>E</v>
      </c>
      <c r="Q223" s="591" t="s">
        <v>482</v>
      </c>
      <c r="R223" s="591" t="s">
        <v>483</v>
      </c>
      <c r="S223" s="591" t="s">
        <v>489</v>
      </c>
      <c r="T223" s="591">
        <f>COUNTIFS(O218:O317,S223)</f>
        <v>0</v>
      </c>
      <c r="U223" s="591">
        <f>COUNTIFS(F218:F317,Q223,O218:O317,S223)</f>
        <v>0</v>
      </c>
      <c r="V223" s="591">
        <f t="shared" si="130"/>
        <v>0</v>
      </c>
      <c r="W223" s="594"/>
      <c r="X223" s="591" t="s">
        <v>482</v>
      </c>
      <c r="Y223" s="591" t="s">
        <v>483</v>
      </c>
      <c r="Z223" s="591" t="s">
        <v>484</v>
      </c>
      <c r="AA223" s="591" t="s">
        <v>489</v>
      </c>
      <c r="AB223" s="591">
        <f>COUNTIFS(G218:G317,Z223,O218:O317,S223)</f>
        <v>0</v>
      </c>
      <c r="AC223" s="591">
        <f>COUNTIFS(F218:F317,X223,G218:G317,Z223,O218:O317,S223)</f>
        <v>0</v>
      </c>
      <c r="AD223" s="591">
        <f>COUNTIFS(F218:F317,Y223,G218:G317,Z223,O218:O317,S223)</f>
        <v>0</v>
      </c>
      <c r="AE223" s="594"/>
    </row>
    <row r="224" spans="1:31">
      <c r="A224" s="596">
        <v>7</v>
      </c>
      <c r="B224" s="596">
        <f t="shared" ref="B224:E224" si="137">B117</f>
        <v>14773</v>
      </c>
      <c r="C224" s="596">
        <f t="shared" si="137"/>
        <v>20230083520</v>
      </c>
      <c r="D224" s="597" t="str">
        <f t="shared" si="137"/>
        <v>MD SAUBAN</v>
      </c>
      <c r="E224" s="597" t="str">
        <f t="shared" si="137"/>
        <v>MD IRSHAD</v>
      </c>
      <c r="F224" s="590" t="str">
        <f>VLOOKUP(A224,STUDENT!$A$2:$BR$105,68,0)</f>
        <v/>
      </c>
      <c r="G224" s="590" t="b">
        <f>VLOOKUP(A224,STUDENT!$A$2:$BR$105,67,0)</f>
        <v>0</v>
      </c>
      <c r="H224" s="590" t="str">
        <f>MARKS!DF10</f>
        <v>E</v>
      </c>
      <c r="I224" s="590" t="str">
        <f>MARKS!DG10</f>
        <v>E</v>
      </c>
      <c r="J224" s="590" t="str">
        <f>MARKS!DH10</f>
        <v>E</v>
      </c>
      <c r="K224" s="590" t="str">
        <f>MARKS!DI10</f>
        <v>E</v>
      </c>
      <c r="L224" s="590" t="str">
        <f>MARKS!DJ10</f>
        <v>E</v>
      </c>
      <c r="M224" s="590" t="str">
        <f>MARKS!DK10</f>
        <v>D</v>
      </c>
      <c r="N224" s="590">
        <f>MARKS!DL10</f>
        <v>0</v>
      </c>
      <c r="O224" s="590" t="str">
        <f>MARKS!DM10</f>
        <v>E</v>
      </c>
      <c r="Q224" s="591" t="s">
        <v>482</v>
      </c>
      <c r="R224" s="591" t="s">
        <v>483</v>
      </c>
      <c r="S224" s="591"/>
      <c r="T224" s="591"/>
      <c r="U224" s="591"/>
      <c r="V224" s="591"/>
      <c r="W224" s="594"/>
      <c r="X224" s="591" t="s">
        <v>482</v>
      </c>
      <c r="Y224" s="591" t="s">
        <v>483</v>
      </c>
      <c r="Z224" s="591" t="s">
        <v>484</v>
      </c>
      <c r="AA224" s="591"/>
      <c r="AB224" s="591"/>
      <c r="AC224" s="591"/>
      <c r="AD224" s="591"/>
      <c r="AE224" s="594"/>
    </row>
    <row r="225" spans="1:31">
      <c r="A225" s="590">
        <v>8</v>
      </c>
      <c r="B225" s="596">
        <f t="shared" ref="B225:E225" si="138">B118</f>
        <v>14769</v>
      </c>
      <c r="C225" s="596">
        <f t="shared" si="138"/>
        <v>20230095636</v>
      </c>
      <c r="D225" s="597" t="str">
        <f t="shared" si="138"/>
        <v>DEEPANSHU</v>
      </c>
      <c r="E225" s="597" t="str">
        <f t="shared" si="138"/>
        <v>AKHILESH KUMAR</v>
      </c>
      <c r="F225" s="590" t="str">
        <f>VLOOKUP(A225,STUDENT!$A$2:$BR$105,68,0)</f>
        <v/>
      </c>
      <c r="G225" s="590" t="b">
        <f>VLOOKUP(A225,STUDENT!$A$2:$BR$105,67,0)</f>
        <v>0</v>
      </c>
      <c r="H225" s="590" t="str">
        <f>MARKS!DF11</f>
        <v>C</v>
      </c>
      <c r="I225" s="590" t="str">
        <f>MARKS!DG11</f>
        <v>D</v>
      </c>
      <c r="J225" s="590" t="str">
        <f>MARKS!DH11</f>
        <v>C</v>
      </c>
      <c r="K225" s="590" t="str">
        <f>MARKS!DI11</f>
        <v>C</v>
      </c>
      <c r="L225" s="590" t="str">
        <f>MARKS!DJ11</f>
        <v>D</v>
      </c>
      <c r="M225" s="590" t="str">
        <f>MARKS!DK11</f>
        <v>C</v>
      </c>
      <c r="N225" s="590">
        <f>MARKS!DL11</f>
        <v>0</v>
      </c>
      <c r="O225" s="590" t="str">
        <f>MARKS!DM11</f>
        <v>C</v>
      </c>
      <c r="Q225" s="591"/>
      <c r="R225" s="591"/>
      <c r="S225" s="591" t="s">
        <v>102</v>
      </c>
      <c r="T225" s="591">
        <f>SUM(T217:T224)</f>
        <v>39</v>
      </c>
      <c r="U225" s="591">
        <f t="shared" ref="U225:V225" si="139">SUM(U217:U224)</f>
        <v>0</v>
      </c>
      <c r="V225" s="591">
        <f t="shared" si="139"/>
        <v>0</v>
      </c>
      <c r="W225" s="594"/>
      <c r="X225" s="591"/>
      <c r="Y225" s="591"/>
      <c r="Z225" s="591"/>
      <c r="AA225" s="591" t="s">
        <v>102</v>
      </c>
      <c r="AB225" s="591">
        <f>SUM(AB217:AB224)</f>
        <v>0</v>
      </c>
      <c r="AC225" s="591">
        <f t="shared" ref="AC225:AD225" si="140">SUM(AC217:AC224)</f>
        <v>0</v>
      </c>
      <c r="AD225" s="591">
        <f t="shared" si="140"/>
        <v>0</v>
      </c>
      <c r="AE225" s="594"/>
    </row>
    <row r="226" spans="1:31">
      <c r="A226" s="596">
        <v>9</v>
      </c>
      <c r="B226" s="596">
        <f t="shared" ref="B226:E226" si="141">B119</f>
        <v>14754</v>
      </c>
      <c r="C226" s="596">
        <f t="shared" si="141"/>
        <v>20230130143</v>
      </c>
      <c r="D226" s="597" t="str">
        <f t="shared" si="141"/>
        <v>ANUJ</v>
      </c>
      <c r="E226" s="597" t="str">
        <f t="shared" si="141"/>
        <v>RANJEET DAS</v>
      </c>
      <c r="F226" s="590" t="str">
        <f>VLOOKUP(A226,STUDENT!$A$2:$BR$105,68,0)</f>
        <v/>
      </c>
      <c r="G226" s="590" t="b">
        <f>VLOOKUP(A226,STUDENT!$A$2:$BR$105,67,0)</f>
        <v>0</v>
      </c>
      <c r="H226" s="590" t="str">
        <f>MARKS!DF12</f>
        <v>D</v>
      </c>
      <c r="I226" s="590" t="str">
        <f>MARKS!DG12</f>
        <v>C</v>
      </c>
      <c r="J226" s="590" t="str">
        <f>MARKS!DH12</f>
        <v>C</v>
      </c>
      <c r="K226" s="590" t="str">
        <f>MARKS!DI12</f>
        <v>C</v>
      </c>
      <c r="L226" s="590" t="str">
        <f>MARKS!DJ12</f>
        <v>C</v>
      </c>
      <c r="M226" s="590" t="str">
        <f>MARKS!DK12</f>
        <v>D</v>
      </c>
      <c r="N226" s="590">
        <f>MARKS!DL12</f>
        <v>0</v>
      </c>
      <c r="O226" s="590" t="str">
        <f>MARKS!DM12</f>
        <v>C</v>
      </c>
      <c r="Q226" s="591"/>
      <c r="R226" s="591"/>
      <c r="S226" s="591"/>
      <c r="T226" s="591"/>
      <c r="U226" s="591"/>
      <c r="V226" s="591"/>
      <c r="W226" s="594"/>
      <c r="X226" s="594"/>
      <c r="Y226" s="594"/>
      <c r="Z226" s="594"/>
      <c r="AA226" s="594"/>
      <c r="AB226" s="591"/>
      <c r="AC226" s="591"/>
      <c r="AD226" s="591"/>
      <c r="AE226" s="594"/>
    </row>
    <row r="227" spans="1:31">
      <c r="A227" s="590">
        <v>10</v>
      </c>
      <c r="B227" s="596">
        <f t="shared" ref="B227:E227" si="142">B120</f>
        <v>14774</v>
      </c>
      <c r="C227" s="596">
        <f t="shared" si="142"/>
        <v>20230268614</v>
      </c>
      <c r="D227" s="597" t="str">
        <f t="shared" si="142"/>
        <v>PIYUSH KUMAR</v>
      </c>
      <c r="E227" s="597" t="str">
        <f t="shared" si="142"/>
        <v>MUNNA LAL</v>
      </c>
      <c r="F227" s="590" t="str">
        <f>VLOOKUP(A227,STUDENT!$A$2:$BR$105,68,0)</f>
        <v/>
      </c>
      <c r="G227" s="590" t="b">
        <f>VLOOKUP(A227,STUDENT!$A$2:$BR$105,67,0)</f>
        <v>0</v>
      </c>
      <c r="H227" s="590" t="str">
        <f>MARKS!DF13</f>
        <v>C</v>
      </c>
      <c r="I227" s="590" t="str">
        <f>MARKS!DG13</f>
        <v>C</v>
      </c>
      <c r="J227" s="590" t="str">
        <f>MARKS!DH13</f>
        <v>C</v>
      </c>
      <c r="K227" s="590" t="str">
        <f>MARKS!DI13</f>
        <v>C</v>
      </c>
      <c r="L227" s="590" t="str">
        <f>MARKS!DJ13</f>
        <v>D</v>
      </c>
      <c r="M227" s="590" t="str">
        <f>MARKS!DK13</f>
        <v>D</v>
      </c>
      <c r="N227" s="590">
        <f>MARKS!DL13</f>
        <v>0</v>
      </c>
      <c r="O227" s="590" t="str">
        <f>MARKS!DM13</f>
        <v>C</v>
      </c>
      <c r="Q227" s="591"/>
      <c r="R227" s="591"/>
      <c r="S227" s="591"/>
      <c r="T227" s="591"/>
      <c r="U227" s="591"/>
      <c r="V227" s="591"/>
      <c r="W227" s="594"/>
      <c r="X227" s="594"/>
      <c r="Y227" s="594"/>
      <c r="Z227" s="594"/>
      <c r="AA227" s="594"/>
      <c r="AB227" s="591"/>
      <c r="AC227" s="591"/>
      <c r="AD227" s="591"/>
      <c r="AE227" s="594"/>
    </row>
    <row r="228" spans="1:31">
      <c r="A228" s="596">
        <v>11</v>
      </c>
      <c r="B228" s="596">
        <f t="shared" ref="B228:E228" si="143">B121</f>
        <v>14775</v>
      </c>
      <c r="C228" s="596">
        <f t="shared" si="143"/>
        <v>20230349168</v>
      </c>
      <c r="D228" s="597" t="str">
        <f t="shared" si="143"/>
        <v>MD MAHTAB</v>
      </c>
      <c r="E228" s="597" t="str">
        <f t="shared" si="143"/>
        <v>MD ASRAF</v>
      </c>
      <c r="F228" s="590" t="str">
        <f>VLOOKUP(A228,STUDENT!$A$2:$BR$105,68,0)</f>
        <v/>
      </c>
      <c r="G228" s="590" t="b">
        <f>VLOOKUP(A228,STUDENT!$A$2:$BR$105,67,0)</f>
        <v>0</v>
      </c>
      <c r="H228" s="590" t="str">
        <f>MARKS!DF14</f>
        <v>E</v>
      </c>
      <c r="I228" s="590" t="str">
        <f>MARKS!DG14</f>
        <v>E</v>
      </c>
      <c r="J228" s="590" t="str">
        <f>MARKS!DH14</f>
        <v>D</v>
      </c>
      <c r="K228" s="590" t="str">
        <f>MARKS!DI14</f>
        <v>D</v>
      </c>
      <c r="L228" s="590" t="str">
        <f>MARKS!DJ14</f>
        <v>D</v>
      </c>
      <c r="M228" s="590" t="str">
        <f>MARKS!DK14</f>
        <v>D</v>
      </c>
      <c r="N228" s="590">
        <f>MARKS!DL14</f>
        <v>0</v>
      </c>
      <c r="O228" s="590" t="str">
        <f>MARKS!DM14</f>
        <v>D</v>
      </c>
      <c r="Q228" s="591" t="s">
        <v>475</v>
      </c>
      <c r="R228" s="591" t="s">
        <v>476</v>
      </c>
      <c r="S228" s="592" t="s">
        <v>477</v>
      </c>
      <c r="T228" s="593" t="s">
        <v>87</v>
      </c>
      <c r="U228" s="592" t="s">
        <v>479</v>
      </c>
      <c r="V228" s="592" t="s">
        <v>480</v>
      </c>
      <c r="W228" s="594"/>
      <c r="X228" s="591" t="s">
        <v>475</v>
      </c>
      <c r="Y228" s="591" t="s">
        <v>476</v>
      </c>
      <c r="Z228" s="591" t="s">
        <v>474</v>
      </c>
      <c r="AA228" s="592" t="s">
        <v>477</v>
      </c>
      <c r="AB228" s="593" t="s">
        <v>490</v>
      </c>
      <c r="AC228" s="592" t="s">
        <v>479</v>
      </c>
      <c r="AD228" s="592" t="s">
        <v>480</v>
      </c>
      <c r="AE228" s="594"/>
    </row>
    <row r="229" spans="1:31">
      <c r="A229" s="590">
        <v>12</v>
      </c>
      <c r="B229" s="596">
        <f t="shared" ref="B229:E229" si="144">B122</f>
        <v>14734</v>
      </c>
      <c r="C229" s="596">
        <f t="shared" si="144"/>
        <v>20240008153</v>
      </c>
      <c r="D229" s="597" t="str">
        <f t="shared" si="144"/>
        <v>PRADEEP</v>
      </c>
      <c r="E229" s="597" t="str">
        <f t="shared" si="144"/>
        <v>RAM BHAWAN</v>
      </c>
      <c r="F229" s="590" t="str">
        <f>VLOOKUP(A229,STUDENT!$A$2:$BR$105,68,0)</f>
        <v/>
      </c>
      <c r="G229" s="590" t="b">
        <f>VLOOKUP(A229,STUDENT!$A$2:$BR$105,67,0)</f>
        <v>0</v>
      </c>
      <c r="H229" s="590" t="str">
        <f>MARKS!DF15</f>
        <v>D</v>
      </c>
      <c r="I229" s="590" t="str">
        <f>MARKS!DG15</f>
        <v>E</v>
      </c>
      <c r="J229" s="590" t="str">
        <f>MARKS!DH15</f>
        <v>C</v>
      </c>
      <c r="K229" s="590" t="str">
        <f>MARKS!DI15</f>
        <v>C</v>
      </c>
      <c r="L229" s="590" t="str">
        <f>MARKS!DJ15</f>
        <v>C</v>
      </c>
      <c r="M229" s="590" t="str">
        <f>MARKS!DK15</f>
        <v>D</v>
      </c>
      <c r="N229" s="590">
        <f>MARKS!DL15</f>
        <v>0</v>
      </c>
      <c r="O229" s="590" t="str">
        <f>MARKS!DM15</f>
        <v>D</v>
      </c>
      <c r="Q229" s="591" t="s">
        <v>482</v>
      </c>
      <c r="R229" s="591" t="s">
        <v>483</v>
      </c>
      <c r="S229" s="591" t="s">
        <v>50</v>
      </c>
      <c r="T229" s="591">
        <f>COUNTIFS(H218:H317,S229)</f>
        <v>0</v>
      </c>
      <c r="U229" s="591">
        <f>COUNTIFS(F218:F317,Q218,H218:H317,S229)</f>
        <v>0</v>
      </c>
      <c r="V229" s="591">
        <f>COUNTIFS(F218:F317,R218,H218:H317,S229)</f>
        <v>0</v>
      </c>
      <c r="W229" s="594"/>
      <c r="X229" s="591" t="s">
        <v>482</v>
      </c>
      <c r="Y229" s="591" t="s">
        <v>483</v>
      </c>
      <c r="Z229" s="591" t="s">
        <v>490</v>
      </c>
      <c r="AA229" s="591" t="s">
        <v>50</v>
      </c>
      <c r="AB229" s="591">
        <f>COUNTIFS(G218:G317,Z229,O218:O317,S229)</f>
        <v>0</v>
      </c>
      <c r="AC229" s="591">
        <f>COUNTIFS(F218:F317,X229,G218:G317,Z229,O218:O317,S229)</f>
        <v>0</v>
      </c>
      <c r="AD229" s="591">
        <f>COUNTIFS(F218:F317,Y229,G218:G317,Z229,O218:O317,S229)</f>
        <v>0</v>
      </c>
      <c r="AE229" s="594"/>
    </row>
    <row r="230" spans="1:31">
      <c r="A230" s="596">
        <v>13</v>
      </c>
      <c r="B230" s="596">
        <f t="shared" ref="B230:E230" si="145">B123</f>
        <v>14735</v>
      </c>
      <c r="C230" s="596">
        <f t="shared" si="145"/>
        <v>20240008167</v>
      </c>
      <c r="D230" s="597" t="str">
        <f t="shared" si="145"/>
        <v>MOHD JISAN</v>
      </c>
      <c r="E230" s="597" t="str">
        <f t="shared" si="145"/>
        <v>MD ZAMEEL</v>
      </c>
      <c r="F230" s="590" t="str">
        <f>VLOOKUP(A230,STUDENT!$A$2:$BR$105,68,0)</f>
        <v/>
      </c>
      <c r="G230" s="590" t="b">
        <f>VLOOKUP(A230,STUDENT!$A$2:$BR$105,67,0)</f>
        <v>0</v>
      </c>
      <c r="H230" s="590" t="str">
        <f>MARKS!DF16</f>
        <v>C</v>
      </c>
      <c r="I230" s="590" t="str">
        <f>MARKS!DG16</f>
        <v>D</v>
      </c>
      <c r="J230" s="590" t="str">
        <f>MARKS!DH16</f>
        <v>D</v>
      </c>
      <c r="K230" s="590" t="str">
        <f>MARKS!DI16</f>
        <v>D</v>
      </c>
      <c r="L230" s="590" t="str">
        <f>MARKS!DJ16</f>
        <v>E</v>
      </c>
      <c r="M230" s="590" t="str">
        <f>MARKS!DK16</f>
        <v>C</v>
      </c>
      <c r="N230" s="590">
        <f>MARKS!DL16</f>
        <v>0</v>
      </c>
      <c r="O230" s="590" t="str">
        <f>MARKS!DM16</f>
        <v>D</v>
      </c>
      <c r="Q230" s="591" t="s">
        <v>482</v>
      </c>
      <c r="R230" s="591" t="s">
        <v>483</v>
      </c>
      <c r="S230" s="591" t="s">
        <v>485</v>
      </c>
      <c r="T230" s="591">
        <f>COUNTIFS(H218:H317,S230)</f>
        <v>0</v>
      </c>
      <c r="U230" s="591">
        <f>COUNTIFS(F218:F317,Q219,H218:H317,S230)</f>
        <v>0</v>
      </c>
      <c r="V230" s="591">
        <f>COUNTIFS(F218:F317,R219,H218:H317,S230)</f>
        <v>0</v>
      </c>
      <c r="W230" s="594"/>
      <c r="X230" s="591" t="s">
        <v>482</v>
      </c>
      <c r="Y230" s="591" t="s">
        <v>483</v>
      </c>
      <c r="Z230" s="591" t="s">
        <v>490</v>
      </c>
      <c r="AA230" s="591" t="s">
        <v>485</v>
      </c>
      <c r="AB230" s="591">
        <f>COUNTIFS(G218:G317,Z230,O218:O317,S230)</f>
        <v>0</v>
      </c>
      <c r="AC230" s="591">
        <f>COUNTIFS(F218:F317,X230,G218:G317,Z230,O218:O317,S230)</f>
        <v>0</v>
      </c>
      <c r="AD230" s="591">
        <f>COUNTIFS(F218:F317,Y230,G218:G317,Z230,O218:O317,S230)</f>
        <v>0</v>
      </c>
      <c r="AE230" s="594"/>
    </row>
    <row r="231" spans="1:31">
      <c r="A231" s="590">
        <v>14</v>
      </c>
      <c r="B231" s="596">
        <f t="shared" ref="B231:E231" si="146">B124</f>
        <v>14745</v>
      </c>
      <c r="C231" s="596">
        <f t="shared" si="146"/>
        <v>20240015035</v>
      </c>
      <c r="D231" s="597" t="str">
        <f t="shared" si="146"/>
        <v>KARN KUMAR</v>
      </c>
      <c r="E231" s="597" t="str">
        <f t="shared" si="146"/>
        <v>MUKESH RAY</v>
      </c>
      <c r="F231" s="590" t="str">
        <f>VLOOKUP(A231,STUDENT!$A$2:$BR$105,68,0)</f>
        <v/>
      </c>
      <c r="G231" s="590" t="b">
        <f>VLOOKUP(A231,STUDENT!$A$2:$BR$105,67,0)</f>
        <v>0</v>
      </c>
      <c r="H231" s="590" t="str">
        <f>MARKS!DF17</f>
        <v>E</v>
      </c>
      <c r="I231" s="590" t="str">
        <f>MARKS!DG17</f>
        <v>D</v>
      </c>
      <c r="J231" s="590" t="str">
        <f>MARKS!DH17</f>
        <v>D</v>
      </c>
      <c r="K231" s="590" t="str">
        <f>MARKS!DI17</f>
        <v>D</v>
      </c>
      <c r="L231" s="590" t="str">
        <f>MARKS!DJ17</f>
        <v>D</v>
      </c>
      <c r="M231" s="590" t="str">
        <f>MARKS!DK17</f>
        <v>C</v>
      </c>
      <c r="N231" s="590">
        <f>MARKS!DL17</f>
        <v>0</v>
      </c>
      <c r="O231" s="590" t="str">
        <f>MARKS!DM17</f>
        <v>D</v>
      </c>
      <c r="Q231" s="591" t="s">
        <v>482</v>
      </c>
      <c r="R231" s="591" t="s">
        <v>483</v>
      </c>
      <c r="S231" s="591" t="s">
        <v>486</v>
      </c>
      <c r="T231" s="591">
        <f>COUNTIFS(H218:H317,S231)</f>
        <v>11</v>
      </c>
      <c r="U231" s="591">
        <f>COUNTIFS(F218:F317,Q220,H218:H317,S231)</f>
        <v>0</v>
      </c>
      <c r="V231" s="591">
        <f>COUNTIFS(F218:F317,R220,H218:H317,S231)</f>
        <v>0</v>
      </c>
      <c r="W231" s="594"/>
      <c r="X231" s="591" t="s">
        <v>482</v>
      </c>
      <c r="Y231" s="591" t="s">
        <v>483</v>
      </c>
      <c r="Z231" s="591" t="s">
        <v>490</v>
      </c>
      <c r="AA231" s="591" t="s">
        <v>486</v>
      </c>
      <c r="AB231" s="591">
        <f>COUNTIFS(G218:G317,Z231,O218:O317,S231)</f>
        <v>0</v>
      </c>
      <c r="AC231" s="591">
        <f>COUNTIFS(F218:F317,X231,G218:G317,Z231,O218:O317,S231)</f>
        <v>0</v>
      </c>
      <c r="AD231" s="591">
        <f>COUNTIFS(F218:F317,Y231,G218:G317,Z231,O218:O317,S231)</f>
        <v>0</v>
      </c>
      <c r="AE231" s="594"/>
    </row>
    <row r="232" spans="1:31">
      <c r="A232" s="596">
        <v>15</v>
      </c>
      <c r="B232" s="596">
        <f t="shared" ref="B232:E232" si="147">B125</f>
        <v>14746</v>
      </c>
      <c r="C232" s="596">
        <f t="shared" si="147"/>
        <v>20240015112</v>
      </c>
      <c r="D232" s="597" t="str">
        <f t="shared" si="147"/>
        <v>ROKI</v>
      </c>
      <c r="E232" s="597" t="str">
        <f t="shared" si="147"/>
        <v>KUAR SINGH</v>
      </c>
      <c r="F232" s="590" t="str">
        <f>VLOOKUP(A232,STUDENT!$A$2:$BR$105,68,0)</f>
        <v/>
      </c>
      <c r="G232" s="590" t="b">
        <f>VLOOKUP(A232,STUDENT!$A$2:$BR$105,67,0)</f>
        <v>0</v>
      </c>
      <c r="H232" s="590" t="str">
        <f>MARKS!DF18</f>
        <v>E</v>
      </c>
      <c r="I232" s="590" t="str">
        <f>MARKS!DG18</f>
        <v>D</v>
      </c>
      <c r="J232" s="590" t="str">
        <f>MARKS!DH18</f>
        <v>E</v>
      </c>
      <c r="K232" s="590" t="str">
        <f>MARKS!DI18</f>
        <v>E</v>
      </c>
      <c r="L232" s="590" t="str">
        <f>MARKS!DJ18</f>
        <v>E</v>
      </c>
      <c r="M232" s="590" t="str">
        <f>MARKS!DK18</f>
        <v>D</v>
      </c>
      <c r="N232" s="590">
        <f>MARKS!DL18</f>
        <v>0</v>
      </c>
      <c r="O232" s="590" t="str">
        <f>MARKS!DM18</f>
        <v>E</v>
      </c>
      <c r="Q232" s="591" t="s">
        <v>482</v>
      </c>
      <c r="R232" s="591" t="s">
        <v>483</v>
      </c>
      <c r="S232" s="591" t="s">
        <v>487</v>
      </c>
      <c r="T232" s="591">
        <f>COUNTIFS(H218:H317,S232)</f>
        <v>10</v>
      </c>
      <c r="U232" s="591">
        <f>COUNTIFS(F218:F317,Q221,H218:H317,S232)</f>
        <v>0</v>
      </c>
      <c r="V232" s="591">
        <f>COUNTIFS(F218:F317,R221,H218:H317,S232)</f>
        <v>0</v>
      </c>
      <c r="W232" s="594"/>
      <c r="X232" s="591" t="s">
        <v>482</v>
      </c>
      <c r="Y232" s="591" t="s">
        <v>483</v>
      </c>
      <c r="Z232" s="591" t="s">
        <v>490</v>
      </c>
      <c r="AA232" s="591" t="s">
        <v>487</v>
      </c>
      <c r="AB232" s="591">
        <f>COUNTIFS(G218:G317,Z232,O218:O317,S232)</f>
        <v>0</v>
      </c>
      <c r="AC232" s="591">
        <f>COUNTIFS(F218:F317,X232,G218:G317,Z232,O218:O317,S232)</f>
        <v>0</v>
      </c>
      <c r="AD232" s="591">
        <f>COUNTIFS(F218:F317,Y232,G218:G317,Z232,O218:O317,S232)</f>
        <v>0</v>
      </c>
      <c r="AE232" s="594"/>
    </row>
    <row r="233" spans="1:31">
      <c r="A233" s="590">
        <v>16</v>
      </c>
      <c r="B233" s="596">
        <f t="shared" ref="B233:E233" si="148">B126</f>
        <v>14748</v>
      </c>
      <c r="C233" s="596">
        <f t="shared" si="148"/>
        <v>20240015199</v>
      </c>
      <c r="D233" s="597" t="str">
        <f t="shared" si="148"/>
        <v>MD BILAL</v>
      </c>
      <c r="E233" s="597" t="str">
        <f t="shared" si="148"/>
        <v>MD AFROJ</v>
      </c>
      <c r="F233" s="590" t="str">
        <f>VLOOKUP(A233,STUDENT!$A$2:$BR$105,68,0)</f>
        <v/>
      </c>
      <c r="G233" s="590" t="b">
        <f>VLOOKUP(A233,STUDENT!$A$2:$BR$105,67,0)</f>
        <v>0</v>
      </c>
      <c r="H233" s="590" t="str">
        <f>MARKS!DF19</f>
        <v>C</v>
      </c>
      <c r="I233" s="590" t="str">
        <f>MARKS!DG19</f>
        <v>D</v>
      </c>
      <c r="J233" s="590" t="str">
        <f>MARKS!DH19</f>
        <v>C</v>
      </c>
      <c r="K233" s="590" t="str">
        <f>MARKS!DI19</f>
        <v>C</v>
      </c>
      <c r="L233" s="590" t="str">
        <f>MARKS!DJ19</f>
        <v>C</v>
      </c>
      <c r="M233" s="590" t="str">
        <f>MARKS!DK19</f>
        <v>C</v>
      </c>
      <c r="N233" s="590">
        <f>MARKS!DL19</f>
        <v>0</v>
      </c>
      <c r="O233" s="590" t="str">
        <f>MARKS!DM19</f>
        <v>C</v>
      </c>
      <c r="Q233" s="591" t="s">
        <v>482</v>
      </c>
      <c r="R233" s="591" t="s">
        <v>483</v>
      </c>
      <c r="S233" s="591" t="s">
        <v>488</v>
      </c>
      <c r="T233" s="591">
        <f>COUNTIFS(H218:H317,S233)</f>
        <v>18</v>
      </c>
      <c r="U233" s="591">
        <f>COUNTIFS(F218:F317,Q222,H218:H317,S233)</f>
        <v>0</v>
      </c>
      <c r="V233" s="591">
        <f>COUNTIFS(F218:F317,R222,H218:H317,S233)</f>
        <v>0</v>
      </c>
      <c r="W233" s="594"/>
      <c r="X233" s="591" t="s">
        <v>482</v>
      </c>
      <c r="Y233" s="591" t="s">
        <v>483</v>
      </c>
      <c r="Z233" s="591" t="s">
        <v>490</v>
      </c>
      <c r="AA233" s="591" t="s">
        <v>488</v>
      </c>
      <c r="AB233" s="591">
        <f>COUNTIFS(G218:G317,Z233,O218:O317,S233)</f>
        <v>0</v>
      </c>
      <c r="AC233" s="591">
        <f>COUNTIFS(F218:F317,X233,G218:G317,Z233,O218:O317,S233)</f>
        <v>0</v>
      </c>
      <c r="AD233" s="591">
        <f>COUNTIFS(F218:F317,Y233,G218:G317,Z233,O218:O317,S233)</f>
        <v>0</v>
      </c>
      <c r="AE233" s="594"/>
    </row>
    <row r="234" spans="1:31">
      <c r="A234" s="596">
        <v>17</v>
      </c>
      <c r="B234" s="596">
        <f t="shared" ref="B234:E234" si="149">B127</f>
        <v>14755</v>
      </c>
      <c r="C234" s="596">
        <f t="shared" si="149"/>
        <v>20240023044</v>
      </c>
      <c r="D234" s="597" t="str">
        <f t="shared" si="149"/>
        <v>GAURAV KUMAR</v>
      </c>
      <c r="E234" s="597" t="str">
        <f t="shared" si="149"/>
        <v>HARINDER YADAV</v>
      </c>
      <c r="F234" s="590" t="str">
        <f>VLOOKUP(A234,STUDENT!$A$2:$BR$105,68,0)</f>
        <v/>
      </c>
      <c r="G234" s="590" t="b">
        <f>VLOOKUP(A234,STUDENT!$A$2:$BR$105,67,0)</f>
        <v>0</v>
      </c>
      <c r="H234" s="590" t="str">
        <f>MARKS!DF20</f>
        <v>E</v>
      </c>
      <c r="I234" s="590" t="str">
        <f>MARKS!DG20</f>
        <v>D</v>
      </c>
      <c r="J234" s="590" t="str">
        <f>MARKS!DH20</f>
        <v>E</v>
      </c>
      <c r="K234" s="590" t="str">
        <f>MARKS!DI20</f>
        <v>E</v>
      </c>
      <c r="L234" s="590" t="str">
        <f>MARKS!DJ20</f>
        <v>E</v>
      </c>
      <c r="M234" s="590" t="str">
        <f>MARKS!DK20</f>
        <v>C</v>
      </c>
      <c r="N234" s="590">
        <f>MARKS!DL20</f>
        <v>0</v>
      </c>
      <c r="O234" s="590" t="str">
        <f>MARKS!DM20</f>
        <v>E</v>
      </c>
      <c r="Q234" s="591" t="s">
        <v>482</v>
      </c>
      <c r="R234" s="591" t="s">
        <v>483</v>
      </c>
      <c r="S234" s="591" t="s">
        <v>101</v>
      </c>
      <c r="T234" s="591">
        <f>COUNTIFS(H218:H317,S234)</f>
        <v>0</v>
      </c>
      <c r="U234" s="591">
        <f>COUNTIFS(F218:F317,Q223,H218:H317,S234)</f>
        <v>0</v>
      </c>
      <c r="V234" s="591">
        <f>COUNTIFS(F218:F317,R223,H218:H317,S234)</f>
        <v>0</v>
      </c>
      <c r="W234" s="594"/>
      <c r="X234" s="591" t="s">
        <v>482</v>
      </c>
      <c r="Y234" s="591" t="s">
        <v>483</v>
      </c>
      <c r="Z234" s="591" t="s">
        <v>490</v>
      </c>
      <c r="AA234" s="591" t="s">
        <v>101</v>
      </c>
      <c r="AB234" s="591">
        <f>COUNTIFS(G218:G317,Z234,O218:O317,S234)</f>
        <v>0</v>
      </c>
      <c r="AC234" s="591">
        <f>COUNTIFS(F218:F317,X234,G218:G317,Z234,O218:O317,S234)</f>
        <v>0</v>
      </c>
      <c r="AD234" s="591">
        <f>COUNTIFS(F218:F317,Y234,G218:G317,Z234,O218:O317,S234)</f>
        <v>0</v>
      </c>
      <c r="AE234" s="594"/>
    </row>
    <row r="235" spans="1:31">
      <c r="A235" s="590">
        <v>18</v>
      </c>
      <c r="B235" s="596">
        <f t="shared" ref="B235:E235" si="150">B128</f>
        <v>14756</v>
      </c>
      <c r="C235" s="596">
        <f t="shared" si="150"/>
        <v>20240023055</v>
      </c>
      <c r="D235" s="597" t="str">
        <f t="shared" si="150"/>
        <v>SAURAV KUMAR</v>
      </c>
      <c r="E235" s="597" t="str">
        <f t="shared" si="150"/>
        <v>HARINDER YADAV</v>
      </c>
      <c r="F235" s="590" t="str">
        <f>VLOOKUP(A235,STUDENT!$A$2:$BR$105,68,0)</f>
        <v/>
      </c>
      <c r="G235" s="590" t="b">
        <f>VLOOKUP(A235,STUDENT!$A$2:$BR$105,67,0)</f>
        <v>0</v>
      </c>
      <c r="H235" s="590" t="str">
        <f>MARKS!DF21</f>
        <v>E</v>
      </c>
      <c r="I235" s="590" t="str">
        <f>MARKS!DG21</f>
        <v>E</v>
      </c>
      <c r="J235" s="590" t="str">
        <f>MARKS!DH21</f>
        <v>D</v>
      </c>
      <c r="K235" s="590" t="str">
        <f>MARKS!DI21</f>
        <v>E</v>
      </c>
      <c r="L235" s="590" t="str">
        <f>MARKS!DJ21</f>
        <v>E</v>
      </c>
      <c r="M235" s="590" t="str">
        <f>MARKS!DK21</f>
        <v>C</v>
      </c>
      <c r="N235" s="590">
        <f>MARKS!DL21</f>
        <v>0</v>
      </c>
      <c r="O235" s="590" t="str">
        <f>MARKS!DM21</f>
        <v>E</v>
      </c>
      <c r="Q235" s="591" t="s">
        <v>482</v>
      </c>
      <c r="R235" s="591" t="s">
        <v>483</v>
      </c>
      <c r="S235" s="591" t="s">
        <v>489</v>
      </c>
      <c r="T235" s="591">
        <f>COUNTIFS(H218:H317,S235)</f>
        <v>0</v>
      </c>
      <c r="U235" s="591">
        <f>COUNTIFS(F218:F317,Q224,H218:H317,S235)</f>
        <v>0</v>
      </c>
      <c r="V235" s="591">
        <f>COUNTIFS(F218:F317,R224,H218:H317,S235)</f>
        <v>0</v>
      </c>
      <c r="W235" s="594"/>
      <c r="X235" s="591" t="s">
        <v>482</v>
      </c>
      <c r="Y235" s="591" t="s">
        <v>483</v>
      </c>
      <c r="Z235" s="591" t="s">
        <v>490</v>
      </c>
      <c r="AA235" s="591" t="s">
        <v>489</v>
      </c>
      <c r="AB235" s="591">
        <f>COUNTIFS(G218:G317,Z235,O218:O317,S235)</f>
        <v>0</v>
      </c>
      <c r="AC235" s="591">
        <f>COUNTIFS(F218:F317,X235,G218:G317,Z235,O218:O317,S235)</f>
        <v>0</v>
      </c>
      <c r="AD235" s="591">
        <f>COUNTIFS(F218:F317,Y235,G218:G317,Z235,O218:O317,S235)</f>
        <v>0</v>
      </c>
      <c r="AE235" s="594"/>
    </row>
    <row r="236" spans="1:31">
      <c r="A236" s="596">
        <v>19</v>
      </c>
      <c r="B236" s="596">
        <f t="shared" ref="B236:E236" si="151">B129</f>
        <v>14758</v>
      </c>
      <c r="C236" s="596">
        <f t="shared" si="151"/>
        <v>20240023083</v>
      </c>
      <c r="D236" s="597" t="str">
        <f t="shared" si="151"/>
        <v>HANAM AYUBI</v>
      </c>
      <c r="E236" s="597" t="str">
        <f t="shared" si="151"/>
        <v>MD PARWEZ</v>
      </c>
      <c r="F236" s="590" t="str">
        <f>VLOOKUP(A236,STUDENT!$A$2:$BR$105,68,0)</f>
        <v/>
      </c>
      <c r="G236" s="590" t="b">
        <f>VLOOKUP(A236,STUDENT!$A$2:$BR$105,67,0)</f>
        <v>0</v>
      </c>
      <c r="H236" s="590" t="str">
        <f>MARKS!DF22</f>
        <v>C</v>
      </c>
      <c r="I236" s="590" t="str">
        <f>MARKS!DG22</f>
        <v>C</v>
      </c>
      <c r="J236" s="590" t="str">
        <f>MARKS!DH22</f>
        <v>C</v>
      </c>
      <c r="K236" s="590" t="str">
        <f>MARKS!DI22</f>
        <v>C</v>
      </c>
      <c r="L236" s="590" t="str">
        <f>MARKS!DJ22</f>
        <v>C</v>
      </c>
      <c r="M236" s="590" t="str">
        <f>MARKS!DK22</f>
        <v>C</v>
      </c>
      <c r="N236" s="590">
        <f>MARKS!DL22</f>
        <v>0</v>
      </c>
      <c r="O236" s="590" t="str">
        <f>MARKS!DM22</f>
        <v>C</v>
      </c>
      <c r="Q236" s="591" t="s">
        <v>482</v>
      </c>
      <c r="R236" s="591" t="s">
        <v>483</v>
      </c>
      <c r="S236" s="591"/>
      <c r="T236" s="591"/>
      <c r="U236" s="591"/>
      <c r="V236" s="591"/>
      <c r="W236" s="594"/>
      <c r="X236" s="591" t="s">
        <v>482</v>
      </c>
      <c r="Y236" s="591" t="s">
        <v>483</v>
      </c>
      <c r="Z236" s="591" t="s">
        <v>490</v>
      </c>
      <c r="AA236" s="591"/>
      <c r="AB236" s="591"/>
      <c r="AC236" s="591"/>
      <c r="AD236" s="591"/>
      <c r="AE236" s="594"/>
    </row>
    <row r="237" spans="1:31">
      <c r="A237" s="590">
        <v>20</v>
      </c>
      <c r="B237" s="596">
        <f t="shared" ref="B237:E237" si="152">B130</f>
        <v>14768</v>
      </c>
      <c r="C237" s="596">
        <f t="shared" si="152"/>
        <v>20240028340</v>
      </c>
      <c r="D237" s="597" t="str">
        <f t="shared" si="152"/>
        <v>ANKUR</v>
      </c>
      <c r="E237" s="597" t="str">
        <f t="shared" si="152"/>
        <v>ASHOK KUMAR GUPTA</v>
      </c>
      <c r="F237" s="590" t="str">
        <f>VLOOKUP(A237,STUDENT!$A$2:$BR$105,68,0)</f>
        <v/>
      </c>
      <c r="G237" s="590" t="b">
        <f>VLOOKUP(A237,STUDENT!$A$2:$BR$105,67,0)</f>
        <v>0</v>
      </c>
      <c r="H237" s="590" t="str">
        <f>MARKS!DF23</f>
        <v>D</v>
      </c>
      <c r="I237" s="590" t="str">
        <f>MARKS!DG23</f>
        <v>E</v>
      </c>
      <c r="J237" s="590" t="str">
        <f>MARKS!DH23</f>
        <v>D</v>
      </c>
      <c r="K237" s="590" t="str">
        <f>MARKS!DI23</f>
        <v>D</v>
      </c>
      <c r="L237" s="590" t="str">
        <f>MARKS!DJ23</f>
        <v>D</v>
      </c>
      <c r="M237" s="590" t="str">
        <f>MARKS!DK23</f>
        <v>D</v>
      </c>
      <c r="N237" s="590">
        <f>MARKS!DL23</f>
        <v>0</v>
      </c>
      <c r="O237" s="590" t="str">
        <f>MARKS!DM23</f>
        <v>D</v>
      </c>
      <c r="Q237" s="591"/>
      <c r="R237" s="591"/>
      <c r="S237" s="591" t="s">
        <v>102</v>
      </c>
      <c r="T237" s="591">
        <f>SUM(T229:T236)</f>
        <v>39</v>
      </c>
      <c r="U237" s="591">
        <f t="shared" ref="U237:V237" si="153">SUM(U229:U236)</f>
        <v>0</v>
      </c>
      <c r="V237" s="591">
        <f t="shared" si="153"/>
        <v>0</v>
      </c>
      <c r="W237" s="594"/>
      <c r="X237" s="591"/>
      <c r="Y237" s="591"/>
      <c r="Z237" s="591"/>
      <c r="AA237" s="591" t="s">
        <v>102</v>
      </c>
      <c r="AB237" s="591">
        <f>SUM(AB229:AB236)</f>
        <v>0</v>
      </c>
      <c r="AC237" s="591">
        <f t="shared" ref="AC237:AD237" si="154">SUM(AC229:AC236)</f>
        <v>0</v>
      </c>
      <c r="AD237" s="591">
        <f t="shared" si="154"/>
        <v>0</v>
      </c>
      <c r="AE237" s="594"/>
    </row>
    <row r="238" spans="1:31">
      <c r="A238" s="596">
        <v>21</v>
      </c>
      <c r="B238" s="596">
        <f t="shared" ref="B238:E238" si="155">B131</f>
        <v>14792</v>
      </c>
      <c r="C238" s="596">
        <f t="shared" si="155"/>
        <v>20240074441</v>
      </c>
      <c r="D238" s="597" t="str">
        <f t="shared" si="155"/>
        <v>SOBHIT PASWAN</v>
      </c>
      <c r="E238" s="597" t="str">
        <f t="shared" si="155"/>
        <v>SHANKAR PASWAN</v>
      </c>
      <c r="F238" s="590" t="str">
        <f>VLOOKUP(A238,STUDENT!$A$2:$BR$105,68,0)</f>
        <v/>
      </c>
      <c r="G238" s="590" t="b">
        <f>VLOOKUP(A238,STUDENT!$A$2:$BR$105,67,0)</f>
        <v>0</v>
      </c>
      <c r="H238" s="590" t="str">
        <f>MARKS!DF24</f>
        <v>E</v>
      </c>
      <c r="I238" s="590" t="str">
        <f>MARKS!DG24</f>
        <v>E</v>
      </c>
      <c r="J238" s="590" t="str">
        <f>MARKS!DH24</f>
        <v>E</v>
      </c>
      <c r="K238" s="590" t="str">
        <f>MARKS!DI24</f>
        <v>E</v>
      </c>
      <c r="L238" s="590" t="str">
        <f>MARKS!DJ24</f>
        <v>E</v>
      </c>
      <c r="M238" s="590" t="str">
        <f>MARKS!DK24</f>
        <v>D</v>
      </c>
      <c r="N238" s="590">
        <f>MARKS!DL24</f>
        <v>0</v>
      </c>
      <c r="O238" s="590" t="str">
        <f>MARKS!DM24</f>
        <v>E</v>
      </c>
      <c r="Q238" s="591"/>
      <c r="R238" s="591"/>
      <c r="S238" s="591"/>
      <c r="T238" s="591"/>
      <c r="U238" s="591"/>
      <c r="V238" s="591"/>
      <c r="W238" s="594"/>
      <c r="X238" s="594"/>
      <c r="Y238" s="594"/>
      <c r="Z238" s="594"/>
      <c r="AA238" s="594"/>
      <c r="AB238" s="591"/>
      <c r="AC238" s="591"/>
      <c r="AD238" s="591"/>
      <c r="AE238" s="594"/>
    </row>
    <row r="239" spans="1:31">
      <c r="A239" s="590">
        <v>22</v>
      </c>
      <c r="B239" s="596">
        <f t="shared" ref="B239:E239" si="156">B132</f>
        <v>14804</v>
      </c>
      <c r="C239" s="596">
        <f t="shared" si="156"/>
        <v>20240100859</v>
      </c>
      <c r="D239" s="597" t="str">
        <f t="shared" si="156"/>
        <v>ABHISHEK MUKHIYA</v>
      </c>
      <c r="E239" s="597" t="str">
        <f t="shared" si="156"/>
        <v>ARJUN MUKHIYA</v>
      </c>
      <c r="F239" s="590" t="str">
        <f>VLOOKUP(A239,STUDENT!$A$2:$BR$105,68,0)</f>
        <v/>
      </c>
      <c r="G239" s="590" t="b">
        <f>VLOOKUP(A239,STUDENT!$A$2:$BR$105,67,0)</f>
        <v>0</v>
      </c>
      <c r="H239" s="590" t="str">
        <f>MARKS!DF25</f>
        <v>D</v>
      </c>
      <c r="I239" s="590" t="str">
        <f>MARKS!DG25</f>
        <v>C</v>
      </c>
      <c r="J239" s="590" t="str">
        <f>MARKS!DH25</f>
        <v>C</v>
      </c>
      <c r="K239" s="590" t="str">
        <f>MARKS!DI25</f>
        <v>C</v>
      </c>
      <c r="L239" s="590" t="str">
        <f>MARKS!DJ25</f>
        <v>C</v>
      </c>
      <c r="M239" s="590" t="str">
        <f>MARKS!DK25</f>
        <v>C</v>
      </c>
      <c r="N239" s="590">
        <f>MARKS!DL25</f>
        <v>0</v>
      </c>
      <c r="O239" s="590" t="str">
        <f>MARKS!DM25</f>
        <v>C</v>
      </c>
      <c r="Q239" s="591"/>
      <c r="R239" s="591"/>
      <c r="S239" s="591"/>
      <c r="T239" s="591"/>
      <c r="U239" s="591"/>
      <c r="V239" s="591"/>
      <c r="W239" s="594"/>
      <c r="X239" s="594"/>
      <c r="Y239" s="594"/>
      <c r="Z239" s="594"/>
      <c r="AA239" s="594"/>
      <c r="AB239" s="591"/>
      <c r="AC239" s="591"/>
      <c r="AD239" s="591"/>
      <c r="AE239" s="594"/>
    </row>
    <row r="240" spans="1:31">
      <c r="A240" s="596">
        <v>23</v>
      </c>
      <c r="B240" s="596">
        <f t="shared" ref="B240:E240" si="157">B133</f>
        <v>14805</v>
      </c>
      <c r="C240" s="596">
        <f t="shared" si="157"/>
        <v>20240100885</v>
      </c>
      <c r="D240" s="597" t="str">
        <f t="shared" si="157"/>
        <v>NITIN</v>
      </c>
      <c r="E240" s="597" t="str">
        <f t="shared" si="157"/>
        <v>AJAY</v>
      </c>
      <c r="F240" s="590" t="str">
        <f>VLOOKUP(A240,STUDENT!$A$2:$BR$105,68,0)</f>
        <v/>
      </c>
      <c r="G240" s="590" t="b">
        <f>VLOOKUP(A240,STUDENT!$A$2:$BR$105,67,0)</f>
        <v>0</v>
      </c>
      <c r="H240" s="590" t="str">
        <f>MARKS!DF26</f>
        <v>D</v>
      </c>
      <c r="I240" s="590" t="str">
        <f>MARKS!DG26</f>
        <v>C</v>
      </c>
      <c r="J240" s="590" t="str">
        <f>MARKS!DH26</f>
        <v>C</v>
      </c>
      <c r="K240" s="590" t="str">
        <f>MARKS!DI26</f>
        <v>C</v>
      </c>
      <c r="L240" s="590" t="str">
        <f>MARKS!DJ26</f>
        <v>D</v>
      </c>
      <c r="M240" s="590" t="str">
        <f>MARKS!DK26</f>
        <v>C</v>
      </c>
      <c r="N240" s="590">
        <f>MARKS!DL26</f>
        <v>0</v>
      </c>
      <c r="O240" s="590" t="str">
        <f>MARKS!DM26</f>
        <v>C</v>
      </c>
      <c r="Q240" s="591" t="s">
        <v>475</v>
      </c>
      <c r="R240" s="591" t="s">
        <v>476</v>
      </c>
      <c r="S240" s="592" t="s">
        <v>477</v>
      </c>
      <c r="T240" s="593" t="s">
        <v>89</v>
      </c>
      <c r="U240" s="592" t="s">
        <v>479</v>
      </c>
      <c r="V240" s="592" t="s">
        <v>480</v>
      </c>
      <c r="W240" s="594"/>
      <c r="X240" s="591" t="s">
        <v>475</v>
      </c>
      <c r="Y240" s="591" t="s">
        <v>476</v>
      </c>
      <c r="Z240" s="591" t="s">
        <v>474</v>
      </c>
      <c r="AA240" s="592" t="s">
        <v>477</v>
      </c>
      <c r="AB240" s="593" t="s">
        <v>491</v>
      </c>
      <c r="AC240" s="592" t="s">
        <v>479</v>
      </c>
      <c r="AD240" s="592" t="s">
        <v>480</v>
      </c>
      <c r="AE240" s="594"/>
    </row>
    <row r="241" spans="1:31">
      <c r="A241" s="590">
        <v>24</v>
      </c>
      <c r="B241" s="596">
        <f t="shared" ref="B241:E241" si="158">B134</f>
        <v>14806</v>
      </c>
      <c r="C241" s="596">
        <f t="shared" si="158"/>
        <v>20240100904</v>
      </c>
      <c r="D241" s="597" t="str">
        <f t="shared" si="158"/>
        <v>SOORYA VANSHAL</v>
      </c>
      <c r="E241" s="597" t="str">
        <f t="shared" si="158"/>
        <v>KAMLESH KUMAR</v>
      </c>
      <c r="F241" s="590" t="str">
        <f>VLOOKUP(A241,STUDENT!$A$2:$BR$105,68,0)</f>
        <v/>
      </c>
      <c r="G241" s="590" t="b">
        <f>VLOOKUP(A241,STUDENT!$A$2:$BR$105,67,0)</f>
        <v>0</v>
      </c>
      <c r="H241" s="590" t="str">
        <f>MARKS!DF27</f>
        <v>C</v>
      </c>
      <c r="I241" s="590" t="str">
        <f>MARKS!DG27</f>
        <v>C</v>
      </c>
      <c r="J241" s="590" t="str">
        <f>MARKS!DH27</f>
        <v>D</v>
      </c>
      <c r="K241" s="590" t="str">
        <f>MARKS!DI27</f>
        <v>D</v>
      </c>
      <c r="L241" s="590" t="str">
        <f>MARKS!DJ27</f>
        <v>D</v>
      </c>
      <c r="M241" s="590" t="str">
        <f>MARKS!DK27</f>
        <v>C</v>
      </c>
      <c r="N241" s="590">
        <f>MARKS!DL27</f>
        <v>0</v>
      </c>
      <c r="O241" s="590" t="str">
        <f>MARKS!DM27</f>
        <v>C</v>
      </c>
      <c r="Q241" s="591" t="s">
        <v>482</v>
      </c>
      <c r="R241" s="591" t="s">
        <v>483</v>
      </c>
      <c r="S241" s="591" t="s">
        <v>50</v>
      </c>
      <c r="T241" s="591">
        <f>COUNTIFS(I218:I317,S241)</f>
        <v>0</v>
      </c>
      <c r="U241" s="591">
        <f>COUNTIFS(F218:F317,Q230,I218:I317,S241)</f>
        <v>0</v>
      </c>
      <c r="V241" s="591">
        <f>COUNTIFS(F218:F317,R230,I218:I317,S241)</f>
        <v>0</v>
      </c>
      <c r="W241" s="594"/>
      <c r="X241" s="591" t="s">
        <v>482</v>
      </c>
      <c r="Y241" s="591" t="s">
        <v>483</v>
      </c>
      <c r="Z241" s="591" t="s">
        <v>491</v>
      </c>
      <c r="AA241" s="591" t="s">
        <v>50</v>
      </c>
      <c r="AB241" s="591">
        <f>COUNTIFS(G218:G317,Z241,O218:O317,S241)</f>
        <v>0</v>
      </c>
      <c r="AC241" s="591">
        <f>COUNTIFS(F218:F317,X241,G218:G317,Z241,O218:O317,S241)</f>
        <v>0</v>
      </c>
      <c r="AD241" s="591">
        <f>COUNTIFS(F218:F317,Y241,G218:G317,Z241,O218:O317,S241)</f>
        <v>0</v>
      </c>
      <c r="AE241" s="594"/>
    </row>
    <row r="242" spans="1:31">
      <c r="A242" s="596">
        <v>25</v>
      </c>
      <c r="B242" s="596">
        <f t="shared" ref="B242:E242" si="159">B135</f>
        <v>14943</v>
      </c>
      <c r="C242" s="596">
        <f t="shared" si="159"/>
        <v>20250012364</v>
      </c>
      <c r="D242" s="597" t="str">
        <f t="shared" si="159"/>
        <v>ANSHU KUMAR PANDIT</v>
      </c>
      <c r="E242" s="597" t="str">
        <f t="shared" si="159"/>
        <v>RAMESH KUMAR PANDIT</v>
      </c>
      <c r="F242" s="590" t="str">
        <f>VLOOKUP(A242,STUDENT!$A$2:$BR$105,68,0)</f>
        <v/>
      </c>
      <c r="G242" s="590" t="b">
        <f>VLOOKUP(A242,STUDENT!$A$2:$BR$105,67,0)</f>
        <v>0</v>
      </c>
      <c r="H242" s="590" t="str">
        <f>MARKS!DF28</f>
        <v>C</v>
      </c>
      <c r="I242" s="590" t="str">
        <f>MARKS!DG28</f>
        <v>C</v>
      </c>
      <c r="J242" s="590" t="str">
        <f>MARKS!DH28</f>
        <v>C</v>
      </c>
      <c r="K242" s="590" t="str">
        <f>MARKS!DI28</f>
        <v>C</v>
      </c>
      <c r="L242" s="590" t="str">
        <f>MARKS!DJ28</f>
        <v>C</v>
      </c>
      <c r="M242" s="590" t="str">
        <f>MARKS!DK28</f>
        <v>C</v>
      </c>
      <c r="N242" s="590">
        <f>MARKS!DL28</f>
        <v>0</v>
      </c>
      <c r="O242" s="590" t="str">
        <f>MARKS!DM28</f>
        <v>C</v>
      </c>
      <c r="Q242" s="591" t="s">
        <v>482</v>
      </c>
      <c r="R242" s="591" t="s">
        <v>483</v>
      </c>
      <c r="S242" s="591" t="s">
        <v>485</v>
      </c>
      <c r="T242" s="591">
        <f>COUNTIFS(I218:I317,S242)</f>
        <v>0</v>
      </c>
      <c r="U242" s="591">
        <f>COUNTIFS(F218:F317,Q231,I218:I317,S242)</f>
        <v>0</v>
      </c>
      <c r="V242" s="591">
        <f>COUNTIFS(F218:F317,R231,I218:I317,S242)</f>
        <v>0</v>
      </c>
      <c r="W242" s="594"/>
      <c r="X242" s="591" t="s">
        <v>482</v>
      </c>
      <c r="Y242" s="591" t="s">
        <v>483</v>
      </c>
      <c r="Z242" s="591" t="s">
        <v>491</v>
      </c>
      <c r="AA242" s="591" t="s">
        <v>485</v>
      </c>
      <c r="AB242" s="591">
        <f>COUNTIFS(G218:G317,Z242,O218:O317,S242)</f>
        <v>0</v>
      </c>
      <c r="AC242" s="591">
        <f>COUNTIFS(F218:F317,X242,G218:G317,Z242,O218:O317,S242)</f>
        <v>0</v>
      </c>
      <c r="AD242" s="591">
        <f>COUNTIFS(F218:F317,Y242,G218:G317,Z242,O218:O317,S242)</f>
        <v>0</v>
      </c>
      <c r="AE242" s="594"/>
    </row>
    <row r="243" spans="1:31">
      <c r="A243" s="590">
        <v>26</v>
      </c>
      <c r="B243" s="596">
        <f t="shared" ref="B243:E243" si="160">B136</f>
        <v>14960</v>
      </c>
      <c r="C243" s="596">
        <f t="shared" si="160"/>
        <v>20250045334</v>
      </c>
      <c r="D243" s="597" t="str">
        <f t="shared" si="160"/>
        <v>MD ADAN SHEKH</v>
      </c>
      <c r="E243" s="597" t="str">
        <f t="shared" si="160"/>
        <v>MD ISHTIKHAR</v>
      </c>
      <c r="F243" s="590" t="str">
        <f>VLOOKUP(A243,STUDENT!$A$2:$BR$105,68,0)</f>
        <v/>
      </c>
      <c r="G243" s="590" t="b">
        <f>VLOOKUP(A243,STUDENT!$A$2:$BR$105,67,0)</f>
        <v>0</v>
      </c>
      <c r="H243" s="590" t="str">
        <f>MARKS!DF29</f>
        <v>D</v>
      </c>
      <c r="I243" s="590" t="str">
        <f>MARKS!DG29</f>
        <v>D</v>
      </c>
      <c r="J243" s="590" t="str">
        <f>MARKS!DH29</f>
        <v>C</v>
      </c>
      <c r="K243" s="590" t="str">
        <f>MARKS!DI29</f>
        <v>C</v>
      </c>
      <c r="L243" s="590" t="str">
        <f>MARKS!DJ29</f>
        <v>C</v>
      </c>
      <c r="M243" s="590" t="str">
        <f>MARKS!DK29</f>
        <v>C</v>
      </c>
      <c r="N243" s="590">
        <f>MARKS!DL29</f>
        <v>0</v>
      </c>
      <c r="O243" s="590" t="str">
        <f>MARKS!DM29</f>
        <v>C</v>
      </c>
      <c r="Q243" s="591" t="s">
        <v>482</v>
      </c>
      <c r="R243" s="591" t="s">
        <v>483</v>
      </c>
      <c r="S243" s="591" t="s">
        <v>486</v>
      </c>
      <c r="T243" s="591">
        <f>COUNTIFS(I218:I317,S243)</f>
        <v>9</v>
      </c>
      <c r="U243" s="591">
        <f>COUNTIFS(F218:F317,Q232,I218:I317,S243)</f>
        <v>0</v>
      </c>
      <c r="V243" s="591">
        <f>COUNTIFS(F218:F317,R232,I218:I317,S243)</f>
        <v>0</v>
      </c>
      <c r="W243" s="594"/>
      <c r="X243" s="591" t="s">
        <v>482</v>
      </c>
      <c r="Y243" s="591" t="s">
        <v>483</v>
      </c>
      <c r="Z243" s="591" t="s">
        <v>491</v>
      </c>
      <c r="AA243" s="591" t="s">
        <v>486</v>
      </c>
      <c r="AB243" s="591">
        <f>COUNTIFS(G218:G317,Z243,O218:O317,S243)</f>
        <v>0</v>
      </c>
      <c r="AC243" s="591">
        <f>COUNTIFS(F218:F317,X243,G218:G317,Z243,O218:O317,S243)</f>
        <v>0</v>
      </c>
      <c r="AD243" s="591">
        <f>COUNTIFS(F218:F317,Y243,G218:G317,Z243,O218:O317,S243)</f>
        <v>0</v>
      </c>
      <c r="AE243" s="594"/>
    </row>
    <row r="244" spans="1:31">
      <c r="A244" s="596">
        <v>27</v>
      </c>
      <c r="B244" s="596">
        <f t="shared" ref="B244:E244" si="161">B137</f>
        <v>14976</v>
      </c>
      <c r="C244" s="596">
        <f t="shared" si="161"/>
        <v>20250064030</v>
      </c>
      <c r="D244" s="597" t="str">
        <f t="shared" si="161"/>
        <v>KARTIK</v>
      </c>
      <c r="E244" s="597" t="str">
        <f t="shared" si="161"/>
        <v>SUNIL</v>
      </c>
      <c r="F244" s="590" t="str">
        <f>VLOOKUP(A244,STUDENT!$A$2:$BR$105,68,0)</f>
        <v/>
      </c>
      <c r="G244" s="590" t="b">
        <f>VLOOKUP(A244,STUDENT!$A$2:$BR$105,67,0)</f>
        <v>0</v>
      </c>
      <c r="H244" s="590" t="str">
        <f>MARKS!DF30</f>
        <v>E</v>
      </c>
      <c r="I244" s="590" t="str">
        <f>MARKS!DG30</f>
        <v>E</v>
      </c>
      <c r="J244" s="590" t="str">
        <f>MARKS!DH30</f>
        <v>D</v>
      </c>
      <c r="K244" s="590" t="str">
        <f>MARKS!DI30</f>
        <v>E</v>
      </c>
      <c r="L244" s="590" t="str">
        <f>MARKS!DJ30</f>
        <v>D</v>
      </c>
      <c r="M244" s="590" t="str">
        <f>MARKS!DK30</f>
        <v>E</v>
      </c>
      <c r="N244" s="590">
        <f>MARKS!DL30</f>
        <v>0</v>
      </c>
      <c r="O244" s="590" t="str">
        <f>MARKS!DM30</f>
        <v>E</v>
      </c>
      <c r="Q244" s="591" t="s">
        <v>482</v>
      </c>
      <c r="R244" s="591" t="s">
        <v>483</v>
      </c>
      <c r="S244" s="591" t="s">
        <v>487</v>
      </c>
      <c r="T244" s="591">
        <f>COUNTIFS(I218:I317,S244)</f>
        <v>13</v>
      </c>
      <c r="U244" s="591">
        <f>COUNTIFS(F218:F317,Q233,I218:I317,S244)</f>
        <v>0</v>
      </c>
      <c r="V244" s="591">
        <f>COUNTIFS(F218:F317,R233,I218:I317,S244)</f>
        <v>0</v>
      </c>
      <c r="W244" s="594"/>
      <c r="X244" s="591" t="s">
        <v>482</v>
      </c>
      <c r="Y244" s="591" t="s">
        <v>483</v>
      </c>
      <c r="Z244" s="591" t="s">
        <v>491</v>
      </c>
      <c r="AA244" s="591" t="s">
        <v>487</v>
      </c>
      <c r="AB244" s="591">
        <f>COUNTIFS(G218:G317,Z244,O218:O317,S244)</f>
        <v>0</v>
      </c>
      <c r="AC244" s="591">
        <f>COUNTIFS(F218:F317,X244,G218:G317,Z244,O218:O317,S244)</f>
        <v>0</v>
      </c>
      <c r="AD244" s="591">
        <f>COUNTIFS(F218:F317,Y244,G218:G317,Z244,O218:O317,S244)</f>
        <v>0</v>
      </c>
      <c r="AE244" s="594"/>
    </row>
    <row r="245" spans="1:31">
      <c r="A245" s="590">
        <v>28</v>
      </c>
      <c r="B245" s="596">
        <f t="shared" ref="B245:E245" si="162">B138</f>
        <v>14999</v>
      </c>
      <c r="C245" s="596">
        <f t="shared" si="162"/>
        <v>20250104050</v>
      </c>
      <c r="D245" s="597" t="str">
        <f t="shared" si="162"/>
        <v>ABDUL REHMAN</v>
      </c>
      <c r="E245" s="597" t="str">
        <f t="shared" si="162"/>
        <v>MD LAL BABU</v>
      </c>
      <c r="F245" s="590" t="str">
        <f>VLOOKUP(A245,STUDENT!$A$2:$BR$105,68,0)</f>
        <v/>
      </c>
      <c r="G245" s="590" t="b">
        <f>VLOOKUP(A245,STUDENT!$A$2:$BR$105,67,0)</f>
        <v>0</v>
      </c>
      <c r="H245" s="590" t="str">
        <f>MARKS!DF31</f>
        <v>E</v>
      </c>
      <c r="I245" s="590" t="str">
        <f>MARKS!DG31</f>
        <v>E</v>
      </c>
      <c r="J245" s="590" t="str">
        <f>MARKS!DH31</f>
        <v>E</v>
      </c>
      <c r="K245" s="590" t="str">
        <f>MARKS!DI31</f>
        <v>E</v>
      </c>
      <c r="L245" s="590" t="str">
        <f>MARKS!DJ31</f>
        <v>D</v>
      </c>
      <c r="M245" s="590" t="str">
        <f>MARKS!DK31</f>
        <v>E</v>
      </c>
      <c r="N245" s="590">
        <f>MARKS!DL31</f>
        <v>0</v>
      </c>
      <c r="O245" s="590" t="str">
        <f>MARKS!DM31</f>
        <v>E</v>
      </c>
      <c r="Q245" s="591" t="s">
        <v>482</v>
      </c>
      <c r="R245" s="591" t="s">
        <v>483</v>
      </c>
      <c r="S245" s="591" t="s">
        <v>488</v>
      </c>
      <c r="T245" s="591">
        <f>COUNTIFS(I218:I317,S245)</f>
        <v>17</v>
      </c>
      <c r="U245" s="591">
        <f>COUNTIFS(F218:F317,Q234,I218:I317,S245)</f>
        <v>0</v>
      </c>
      <c r="V245" s="591">
        <f>COUNTIFS(F218:F317,R234,I218:I317,S245)</f>
        <v>0</v>
      </c>
      <c r="W245" s="594"/>
      <c r="X245" s="591" t="s">
        <v>482</v>
      </c>
      <c r="Y245" s="591" t="s">
        <v>483</v>
      </c>
      <c r="Z245" s="591" t="s">
        <v>491</v>
      </c>
      <c r="AA245" s="591" t="s">
        <v>488</v>
      </c>
      <c r="AB245" s="591">
        <f>COUNTIFS(G218:G317,Z245,O218:O317,S245)</f>
        <v>0</v>
      </c>
      <c r="AC245" s="591">
        <f>COUNTIFS(F218:F317,X245,G218:G317,Z245,O218:O317,S245)</f>
        <v>0</v>
      </c>
      <c r="AD245" s="591">
        <f>COUNTIFS(F218:F317,Y245,G218:G317,Z245,O218:O317,S245)</f>
        <v>0</v>
      </c>
      <c r="AE245" s="594"/>
    </row>
    <row r="246" spans="1:31">
      <c r="A246" s="596">
        <v>29</v>
      </c>
      <c r="B246" s="596">
        <f t="shared" ref="B246:E246" si="163">B139</f>
        <v>15000</v>
      </c>
      <c r="C246" s="596">
        <f t="shared" si="163"/>
        <v>20250104062</v>
      </c>
      <c r="D246" s="597" t="str">
        <f t="shared" si="163"/>
        <v>KARTIK</v>
      </c>
      <c r="E246" s="597" t="str">
        <f t="shared" si="163"/>
        <v>AMAN YADAV</v>
      </c>
      <c r="F246" s="590" t="str">
        <f>VLOOKUP(A246,STUDENT!$A$2:$BR$105,68,0)</f>
        <v/>
      </c>
      <c r="G246" s="590" t="b">
        <f>VLOOKUP(A246,STUDENT!$A$2:$BR$105,67,0)</f>
        <v>0</v>
      </c>
      <c r="H246" s="590" t="str">
        <f>MARKS!DF32</f>
        <v>E</v>
      </c>
      <c r="I246" s="590" t="str">
        <f>MARKS!DG32</f>
        <v>E</v>
      </c>
      <c r="J246" s="590" t="str">
        <f>MARKS!DH32</f>
        <v>E</v>
      </c>
      <c r="K246" s="590" t="str">
        <f>MARKS!DI32</f>
        <v>E</v>
      </c>
      <c r="L246" s="590" t="str">
        <f>MARKS!DJ32</f>
        <v>E</v>
      </c>
      <c r="M246" s="590" t="str">
        <f>MARKS!DK32</f>
        <v>C</v>
      </c>
      <c r="N246" s="590">
        <f>MARKS!DL32</f>
        <v>0</v>
      </c>
      <c r="O246" s="590" t="str">
        <f>MARKS!DM32</f>
        <v>E</v>
      </c>
      <c r="Q246" s="591" t="s">
        <v>482</v>
      </c>
      <c r="R246" s="591" t="s">
        <v>483</v>
      </c>
      <c r="S246" s="591" t="s">
        <v>101</v>
      </c>
      <c r="T246" s="591">
        <f>COUNTIFS(I218:I317,S246)</f>
        <v>0</v>
      </c>
      <c r="U246" s="591">
        <f>COUNTIFS(F218:F317,Q235,I218:I317,S246)</f>
        <v>0</v>
      </c>
      <c r="V246" s="591">
        <f>COUNTIFS(F218:F317,R235,I218:I317,S246)</f>
        <v>0</v>
      </c>
      <c r="W246" s="594"/>
      <c r="X246" s="591" t="s">
        <v>482</v>
      </c>
      <c r="Y246" s="591" t="s">
        <v>483</v>
      </c>
      <c r="Z246" s="591" t="s">
        <v>491</v>
      </c>
      <c r="AA246" s="591" t="s">
        <v>101</v>
      </c>
      <c r="AB246" s="591">
        <f>COUNTIFS(G218:G317,Z246,O218:O317,S246)</f>
        <v>0</v>
      </c>
      <c r="AC246" s="591">
        <f>COUNTIFS(F218:F317,X246,G218:G317,Z246,O218:O317,S246)</f>
        <v>0</v>
      </c>
      <c r="AD246" s="591">
        <f>COUNTIFS(F218:F317,Y246,G218:G317,Z246,O218:O317,S246)</f>
        <v>0</v>
      </c>
      <c r="AE246" s="594"/>
    </row>
    <row r="247" spans="1:31">
      <c r="A247" s="590">
        <v>30</v>
      </c>
      <c r="B247" s="596">
        <f t="shared" ref="B247:E247" si="164">B140</f>
        <v>15022</v>
      </c>
      <c r="C247" s="596">
        <f t="shared" si="164"/>
        <v>20250141853</v>
      </c>
      <c r="D247" s="597" t="str">
        <f t="shared" si="164"/>
        <v>AYAN</v>
      </c>
      <c r="E247" s="597" t="str">
        <f t="shared" si="164"/>
        <v>BABU HASAN</v>
      </c>
      <c r="F247" s="590" t="str">
        <f>VLOOKUP(A247,STUDENT!$A$2:$BR$105,68,0)</f>
        <v/>
      </c>
      <c r="G247" s="590" t="b">
        <f>VLOOKUP(A247,STUDENT!$A$2:$BR$105,67,0)</f>
        <v>0</v>
      </c>
      <c r="H247" s="590" t="str">
        <f>MARKS!DF33</f>
        <v>C</v>
      </c>
      <c r="I247" s="590" t="str">
        <f>MARKS!DG33</f>
        <v>C</v>
      </c>
      <c r="J247" s="590" t="str">
        <f>MARKS!DH33</f>
        <v>D</v>
      </c>
      <c r="K247" s="590" t="str">
        <f>MARKS!DI33</f>
        <v>C</v>
      </c>
      <c r="L247" s="590" t="str">
        <f>MARKS!DJ33</f>
        <v>C</v>
      </c>
      <c r="M247" s="590" t="str">
        <f>MARKS!DK33</f>
        <v>C</v>
      </c>
      <c r="N247" s="590">
        <f>MARKS!DL33</f>
        <v>0</v>
      </c>
      <c r="O247" s="590" t="str">
        <f>MARKS!DM33</f>
        <v>C</v>
      </c>
      <c r="Q247" s="591" t="s">
        <v>482</v>
      </c>
      <c r="R247" s="591" t="s">
        <v>483</v>
      </c>
      <c r="S247" s="591" t="s">
        <v>489</v>
      </c>
      <c r="T247" s="591">
        <f>COUNTIFS(I218:I317,S247)</f>
        <v>0</v>
      </c>
      <c r="U247" s="591">
        <f>COUNTIFS(F218:F317,Q236,I218:I317,S247)</f>
        <v>0</v>
      </c>
      <c r="V247" s="591">
        <f>COUNTIFS(F218:F317,R236,I218:I317,S247)</f>
        <v>0</v>
      </c>
      <c r="W247" s="594"/>
      <c r="X247" s="591" t="s">
        <v>482</v>
      </c>
      <c r="Y247" s="591" t="s">
        <v>483</v>
      </c>
      <c r="Z247" s="591" t="s">
        <v>491</v>
      </c>
      <c r="AA247" s="591" t="s">
        <v>489</v>
      </c>
      <c r="AB247" s="591">
        <f>COUNTIFS(G218:G317,Z247,O218:O317,S247)</f>
        <v>0</v>
      </c>
      <c r="AC247" s="591">
        <f>COUNTIFS(F218:F317,X247,G218:G317,Z247,O218:O317,S247)</f>
        <v>0</v>
      </c>
      <c r="AD247" s="591">
        <f>COUNTIFS(F218:F317,Y247,G218:G317,Z247,O218:O317,S247)</f>
        <v>0</v>
      </c>
      <c r="AE247" s="594"/>
    </row>
    <row r="248" spans="1:31">
      <c r="A248" s="596">
        <v>31</v>
      </c>
      <c r="B248" s="596">
        <f t="shared" ref="B248:E248" si="165">B141</f>
        <v>15034</v>
      </c>
      <c r="C248" s="596">
        <f t="shared" si="165"/>
        <v>20250188568</v>
      </c>
      <c r="D248" s="597" t="str">
        <f t="shared" si="165"/>
        <v>RAM CHANDER KUMAR</v>
      </c>
      <c r="E248" s="597" t="str">
        <f t="shared" si="165"/>
        <v>AKASH SHARMA</v>
      </c>
      <c r="F248" s="590" t="str">
        <f>VLOOKUP(A248,STUDENT!$A$2:$BR$105,68,0)</f>
        <v/>
      </c>
      <c r="G248" s="590" t="b">
        <f>VLOOKUP(A248,STUDENT!$A$2:$BR$105,67,0)</f>
        <v>0</v>
      </c>
      <c r="H248" s="590" t="str">
        <f>MARKS!DF34</f>
        <v>E</v>
      </c>
      <c r="I248" s="590" t="str">
        <f>MARKS!DG34</f>
        <v>D</v>
      </c>
      <c r="J248" s="590" t="str">
        <f>MARKS!DH34</f>
        <v>D</v>
      </c>
      <c r="K248" s="590" t="str">
        <f>MARKS!DI34</f>
        <v>D</v>
      </c>
      <c r="L248" s="590" t="str">
        <f>MARKS!DJ34</f>
        <v>E</v>
      </c>
      <c r="M248" s="590" t="str">
        <f>MARKS!DK34</f>
        <v>D</v>
      </c>
      <c r="N248" s="590">
        <f>MARKS!DL34</f>
        <v>0</v>
      </c>
      <c r="O248" s="590" t="str">
        <f>MARKS!DM34</f>
        <v>E</v>
      </c>
      <c r="Q248" s="591" t="s">
        <v>482</v>
      </c>
      <c r="R248" s="591" t="s">
        <v>483</v>
      </c>
      <c r="S248" s="591"/>
      <c r="T248" s="591"/>
      <c r="U248" s="591"/>
      <c r="V248" s="591"/>
      <c r="W248" s="594"/>
      <c r="X248" s="591" t="s">
        <v>482</v>
      </c>
      <c r="Y248" s="591" t="s">
        <v>483</v>
      </c>
      <c r="Z248" s="591" t="s">
        <v>491</v>
      </c>
      <c r="AA248" s="591"/>
      <c r="AB248" s="591"/>
      <c r="AC248" s="591"/>
      <c r="AD248" s="591"/>
      <c r="AE248" s="594"/>
    </row>
    <row r="249" spans="1:31">
      <c r="A249" s="590">
        <v>32</v>
      </c>
      <c r="B249" s="596">
        <f t="shared" ref="B249:E249" si="166">B142</f>
        <v>15035</v>
      </c>
      <c r="C249" s="596">
        <f t="shared" si="166"/>
        <v>20250188626</v>
      </c>
      <c r="D249" s="597" t="str">
        <f t="shared" si="166"/>
        <v>HARSHIT</v>
      </c>
      <c r="E249" s="597" t="str">
        <f t="shared" si="166"/>
        <v>ANKIT SINGH</v>
      </c>
      <c r="F249" s="590" t="str">
        <f>VLOOKUP(A249,STUDENT!$A$2:$BR$105,68,0)</f>
        <v/>
      </c>
      <c r="G249" s="590" t="b">
        <f>VLOOKUP(A249,STUDENT!$A$2:$BR$105,67,0)</f>
        <v>0</v>
      </c>
      <c r="H249" s="590" t="str">
        <f>MARKS!DF35</f>
        <v>C</v>
      </c>
      <c r="I249" s="590" t="str">
        <f>MARKS!DG35</f>
        <v>C</v>
      </c>
      <c r="J249" s="590" t="str">
        <f>MARKS!DH35</f>
        <v>C</v>
      </c>
      <c r="K249" s="590" t="str">
        <f>MARKS!DI35</f>
        <v>C</v>
      </c>
      <c r="L249" s="590" t="str">
        <f>MARKS!DJ35</f>
        <v>C</v>
      </c>
      <c r="M249" s="590" t="str">
        <f>MARKS!DK35</f>
        <v>C</v>
      </c>
      <c r="N249" s="590">
        <f>MARKS!DL35</f>
        <v>0</v>
      </c>
      <c r="O249" s="590" t="str">
        <f>MARKS!DM35</f>
        <v>C</v>
      </c>
      <c r="Q249" s="591"/>
      <c r="R249" s="591"/>
      <c r="S249" s="591" t="s">
        <v>102</v>
      </c>
      <c r="T249" s="591">
        <f>SUM(T241:T248)</f>
        <v>39</v>
      </c>
      <c r="U249" s="591">
        <f t="shared" ref="U249:V249" si="167">SUM(U241:U248)</f>
        <v>0</v>
      </c>
      <c r="V249" s="591">
        <f t="shared" si="167"/>
        <v>0</v>
      </c>
      <c r="W249" s="594"/>
      <c r="X249" s="591"/>
      <c r="Y249" s="591"/>
      <c r="Z249" s="591"/>
      <c r="AA249" s="591" t="s">
        <v>102</v>
      </c>
      <c r="AB249" s="591">
        <f>SUM(AB241:AB248)</f>
        <v>0</v>
      </c>
      <c r="AC249" s="591">
        <f t="shared" ref="AC249:AD249" si="168">SUM(AC241:AC248)</f>
        <v>0</v>
      </c>
      <c r="AD249" s="591">
        <f t="shared" si="168"/>
        <v>0</v>
      </c>
      <c r="AE249" s="594"/>
    </row>
    <row r="250" spans="1:31">
      <c r="A250" s="596">
        <v>33</v>
      </c>
      <c r="B250" s="596">
        <f t="shared" ref="B250:E250" si="169">B143</f>
        <v>15077</v>
      </c>
      <c r="C250" s="596">
        <f t="shared" si="169"/>
        <v>20250246710</v>
      </c>
      <c r="D250" s="597" t="str">
        <f t="shared" si="169"/>
        <v>HEMANT KUMAR</v>
      </c>
      <c r="E250" s="597" t="str">
        <f t="shared" si="169"/>
        <v>PRADEEP KUMAR</v>
      </c>
      <c r="F250" s="590" t="str">
        <f>VLOOKUP(A250,STUDENT!$A$2:$BR$105,68,0)</f>
        <v/>
      </c>
      <c r="G250" s="590" t="b">
        <f>VLOOKUP(A250,STUDENT!$A$2:$BR$105,67,0)</f>
        <v>0</v>
      </c>
      <c r="H250" s="590" t="str">
        <f>MARKS!DF36</f>
        <v>D</v>
      </c>
      <c r="I250" s="590" t="str">
        <f>MARKS!DG36</f>
        <v>E</v>
      </c>
      <c r="J250" s="590" t="str">
        <f>MARKS!DH36</f>
        <v>D</v>
      </c>
      <c r="K250" s="590" t="str">
        <f>MARKS!DI36</f>
        <v>D</v>
      </c>
      <c r="L250" s="590" t="str">
        <f>MARKS!DJ36</f>
        <v>D</v>
      </c>
      <c r="M250" s="590" t="str">
        <f>MARKS!DK36</f>
        <v>E</v>
      </c>
      <c r="N250" s="590">
        <f>MARKS!DL36</f>
        <v>0</v>
      </c>
      <c r="O250" s="590" t="str">
        <f>MARKS!DM36</f>
        <v>D</v>
      </c>
      <c r="Q250" s="591"/>
      <c r="R250" s="591"/>
      <c r="S250" s="591"/>
      <c r="T250" s="591"/>
      <c r="U250" s="591"/>
      <c r="V250" s="591"/>
      <c r="W250" s="594"/>
      <c r="X250" s="594"/>
      <c r="Y250" s="594"/>
      <c r="Z250" s="594"/>
      <c r="AA250" s="594"/>
      <c r="AB250" s="591"/>
      <c r="AC250" s="591"/>
      <c r="AD250" s="591"/>
      <c r="AE250" s="594"/>
    </row>
    <row r="251" spans="1:31">
      <c r="A251" s="590">
        <v>34</v>
      </c>
      <c r="B251" s="596">
        <f t="shared" ref="B251:E251" si="170">B144</f>
        <v>15088</v>
      </c>
      <c r="C251" s="596">
        <f t="shared" si="170"/>
        <v>20250257787</v>
      </c>
      <c r="D251" s="597" t="str">
        <f t="shared" si="170"/>
        <v>VEERPARTAP SINGH</v>
      </c>
      <c r="E251" s="597" t="str">
        <f t="shared" si="170"/>
        <v>VIJAY SINGH</v>
      </c>
      <c r="F251" s="590" t="str">
        <f>VLOOKUP(A251,STUDENT!$A$2:$BR$105,68,0)</f>
        <v/>
      </c>
      <c r="G251" s="590" t="b">
        <f>VLOOKUP(A251,STUDENT!$A$2:$BR$105,67,0)</f>
        <v>0</v>
      </c>
      <c r="H251" s="590" t="str">
        <f>MARKS!DF37</f>
        <v>E</v>
      </c>
      <c r="I251" s="590" t="str">
        <f>MARKS!DG37</f>
        <v>E</v>
      </c>
      <c r="J251" s="590" t="str">
        <f>MARKS!DH37</f>
        <v>D</v>
      </c>
      <c r="K251" s="590" t="str">
        <f>MARKS!DI37</f>
        <v>D</v>
      </c>
      <c r="L251" s="590" t="str">
        <f>MARKS!DJ37</f>
        <v>C</v>
      </c>
      <c r="M251" s="590" t="str">
        <f>MARKS!DK37</f>
        <v>C</v>
      </c>
      <c r="N251" s="590">
        <f>MARKS!DL37</f>
        <v>0</v>
      </c>
      <c r="O251" s="590" t="str">
        <f>MARKS!DM37</f>
        <v>D</v>
      </c>
      <c r="Q251" s="591"/>
      <c r="R251" s="591"/>
      <c r="S251" s="591"/>
      <c r="T251" s="591"/>
      <c r="U251" s="591"/>
      <c r="V251" s="591"/>
      <c r="W251" s="594"/>
      <c r="X251" s="594"/>
      <c r="Y251" s="594"/>
      <c r="Z251" s="594"/>
      <c r="AA251" s="594"/>
      <c r="AB251" s="591"/>
      <c r="AC251" s="591"/>
      <c r="AD251" s="591"/>
      <c r="AE251" s="594"/>
    </row>
    <row r="252" spans="1:31">
      <c r="A252" s="596">
        <v>35</v>
      </c>
      <c r="B252" s="596">
        <f t="shared" ref="B252:E252" si="171">B145</f>
        <v>15104</v>
      </c>
      <c r="C252" s="596">
        <f t="shared" si="171"/>
        <v>20250272033</v>
      </c>
      <c r="D252" s="597" t="str">
        <f t="shared" si="171"/>
        <v>NIKHIL KUMAR</v>
      </c>
      <c r="E252" s="597" t="str">
        <f t="shared" si="171"/>
        <v>SUNIL KUMAR</v>
      </c>
      <c r="F252" s="590" t="str">
        <f>VLOOKUP(A252,STUDENT!$A$2:$BR$105,68,0)</f>
        <v/>
      </c>
      <c r="G252" s="590" t="b">
        <f>VLOOKUP(A252,STUDENT!$A$2:$BR$105,67,0)</f>
        <v>0</v>
      </c>
      <c r="H252" s="590" t="str">
        <f>MARKS!DF38</f>
        <v>D</v>
      </c>
      <c r="I252" s="590" t="str">
        <f>MARKS!DG38</f>
        <v>E</v>
      </c>
      <c r="J252" s="590" t="str">
        <f>MARKS!DH38</f>
        <v>C</v>
      </c>
      <c r="K252" s="590" t="str">
        <f>MARKS!DI38</f>
        <v>E</v>
      </c>
      <c r="L252" s="590" t="str">
        <f>MARKS!DJ38</f>
        <v>E</v>
      </c>
      <c r="M252" s="590" t="str">
        <f>MARKS!DK38</f>
        <v>C</v>
      </c>
      <c r="N252" s="590">
        <f>MARKS!DL38</f>
        <v>0</v>
      </c>
      <c r="O252" s="590" t="str">
        <f>MARKS!DM38</f>
        <v>D</v>
      </c>
      <c r="Q252" s="591" t="s">
        <v>475</v>
      </c>
      <c r="R252" s="591" t="s">
        <v>476</v>
      </c>
      <c r="S252" s="592" t="s">
        <v>477</v>
      </c>
      <c r="T252" s="593" t="s">
        <v>88</v>
      </c>
      <c r="U252" s="592" t="s">
        <v>479</v>
      </c>
      <c r="V252" s="592" t="s">
        <v>480</v>
      </c>
      <c r="W252" s="594"/>
      <c r="X252" s="591" t="s">
        <v>475</v>
      </c>
      <c r="Y252" s="591" t="s">
        <v>476</v>
      </c>
      <c r="Z252" s="591" t="s">
        <v>474</v>
      </c>
      <c r="AA252" s="592" t="s">
        <v>477</v>
      </c>
      <c r="AB252" s="593" t="s">
        <v>492</v>
      </c>
      <c r="AC252" s="592" t="s">
        <v>479</v>
      </c>
      <c r="AD252" s="592" t="s">
        <v>480</v>
      </c>
      <c r="AE252" s="594"/>
    </row>
    <row r="253" spans="1:31">
      <c r="A253" s="590">
        <v>36</v>
      </c>
      <c r="B253" s="596">
        <f t="shared" ref="B253:E253" si="172">B146</f>
        <v>15143</v>
      </c>
      <c r="C253" s="596">
        <f t="shared" si="172"/>
        <v>20250310265</v>
      </c>
      <c r="D253" s="597" t="str">
        <f t="shared" si="172"/>
        <v>JITENDRA</v>
      </c>
      <c r="E253" s="597" t="str">
        <f t="shared" si="172"/>
        <v>RAM SUMAR</v>
      </c>
      <c r="F253" s="590" t="str">
        <f>VLOOKUP(A253,STUDENT!$A$2:$BR$105,68,0)</f>
        <v/>
      </c>
      <c r="G253" s="590" t="b">
        <f>VLOOKUP(A253,STUDENT!$A$2:$BR$105,67,0)</f>
        <v>0</v>
      </c>
      <c r="H253" s="590" t="str">
        <f>MARKS!DF39</f>
        <v>E</v>
      </c>
      <c r="I253" s="590" t="str">
        <f>MARKS!DG39</f>
        <v>E</v>
      </c>
      <c r="J253" s="590" t="str">
        <f>MARKS!DH39</f>
        <v>E</v>
      </c>
      <c r="K253" s="590" t="str">
        <f>MARKS!DI39</f>
        <v>E</v>
      </c>
      <c r="L253" s="590" t="str">
        <f>MARKS!DJ39</f>
        <v>E</v>
      </c>
      <c r="M253" s="590" t="str">
        <f>MARKS!DK39</f>
        <v>C</v>
      </c>
      <c r="N253" s="590">
        <f>MARKS!DL39</f>
        <v>0</v>
      </c>
      <c r="O253" s="590" t="str">
        <f>MARKS!DM39</f>
        <v>E</v>
      </c>
      <c r="Q253" s="591" t="s">
        <v>482</v>
      </c>
      <c r="R253" s="591" t="s">
        <v>483</v>
      </c>
      <c r="S253" s="591" t="s">
        <v>50</v>
      </c>
      <c r="T253" s="591">
        <f>COUNTIFS(J218:J317,S253)</f>
        <v>0</v>
      </c>
      <c r="U253" s="591">
        <f>COUNTIFS(F218:F317,Q242,J218:J317,S253)</f>
        <v>0</v>
      </c>
      <c r="V253" s="591">
        <f>COUNTIFS(F218:F317,R242,J218:J317,S253)</f>
        <v>0</v>
      </c>
      <c r="W253" s="594"/>
      <c r="X253" s="591" t="s">
        <v>482</v>
      </c>
      <c r="Y253" s="591" t="s">
        <v>483</v>
      </c>
      <c r="Z253" s="591" t="s">
        <v>492</v>
      </c>
      <c r="AA253" s="591" t="s">
        <v>50</v>
      </c>
      <c r="AB253" s="591">
        <f>COUNTIFS(G218:G317,Z253,O218:O317,S253)</f>
        <v>0</v>
      </c>
      <c r="AC253" s="591">
        <f>COUNTIFS(F218:F317,X253,G218:G317,Z253,O218:O317,S253)</f>
        <v>0</v>
      </c>
      <c r="AD253" s="591">
        <f>COUNTIFS(F218:F317,Y253,G218:G317,Z253,O218:O317,S253)</f>
        <v>0</v>
      </c>
      <c r="AE253" s="594"/>
    </row>
    <row r="254" spans="1:31">
      <c r="A254" s="596">
        <v>37</v>
      </c>
      <c r="B254" s="596">
        <f t="shared" ref="B254:E254" si="173">B147</f>
        <v>15144</v>
      </c>
      <c r="C254" s="596">
        <f t="shared" si="173"/>
        <v>20250310269</v>
      </c>
      <c r="D254" s="597" t="str">
        <f t="shared" si="173"/>
        <v>MOHD AYAN</v>
      </c>
      <c r="E254" s="597" t="str">
        <f t="shared" si="173"/>
        <v>BUDHAN MIYAN</v>
      </c>
      <c r="F254" s="590" t="str">
        <f>VLOOKUP(A254,STUDENT!$A$2:$BR$105,68,0)</f>
        <v/>
      </c>
      <c r="G254" s="590" t="b">
        <f>VLOOKUP(A254,STUDENT!$A$2:$BR$105,67,0)</f>
        <v>0</v>
      </c>
      <c r="H254" s="590" t="str">
        <f>MARKS!DF40</f>
        <v>E</v>
      </c>
      <c r="I254" s="590" t="str">
        <f>MARKS!DG40</f>
        <v>E</v>
      </c>
      <c r="J254" s="590" t="str">
        <f>MARKS!DH40</f>
        <v>E</v>
      </c>
      <c r="K254" s="590" t="str">
        <f>MARKS!DI40</f>
        <v>D</v>
      </c>
      <c r="L254" s="590" t="str">
        <f>MARKS!DJ40</f>
        <v>D</v>
      </c>
      <c r="M254" s="590" t="str">
        <f>MARKS!DK40</f>
        <v>C</v>
      </c>
      <c r="N254" s="590">
        <f>MARKS!DL40</f>
        <v>0</v>
      </c>
      <c r="O254" s="590" t="str">
        <f>MARKS!DM40</f>
        <v>E</v>
      </c>
      <c r="Q254" s="591" t="s">
        <v>482</v>
      </c>
      <c r="R254" s="591" t="s">
        <v>483</v>
      </c>
      <c r="S254" s="591" t="s">
        <v>485</v>
      </c>
      <c r="T254" s="591">
        <f>COUNTIFS(J218:J317,S254)</f>
        <v>0</v>
      </c>
      <c r="U254" s="591">
        <f>COUNTIFS(F218:F317,Q243,J218:J317,S254)</f>
        <v>0</v>
      </c>
      <c r="V254" s="591">
        <f>COUNTIFS(F218:F317,R243,J218:J317,S254)</f>
        <v>0</v>
      </c>
      <c r="W254" s="594"/>
      <c r="X254" s="591" t="s">
        <v>482</v>
      </c>
      <c r="Y254" s="591" t="s">
        <v>483</v>
      </c>
      <c r="Z254" s="591" t="s">
        <v>492</v>
      </c>
      <c r="AA254" s="591" t="s">
        <v>485</v>
      </c>
      <c r="AB254" s="591">
        <f>COUNTIFS(G218:G317,Z254,O218:O317,S254)</f>
        <v>0</v>
      </c>
      <c r="AC254" s="591">
        <f>COUNTIFS(F218:F317,X254,G218:G317,Z254,O218:O317,S254)</f>
        <v>0</v>
      </c>
      <c r="AD254" s="591">
        <f>COUNTIFS(F218:F317,Y254,G218:G317,Z254,O218:O317,S254)</f>
        <v>0</v>
      </c>
      <c r="AE254" s="594"/>
    </row>
    <row r="255" spans="1:31">
      <c r="A255" s="590">
        <v>38</v>
      </c>
      <c r="B255" s="596">
        <f t="shared" ref="B255:E255" si="174">B148</f>
        <v>15145</v>
      </c>
      <c r="C255" s="596">
        <f t="shared" si="174"/>
        <v>20250310277</v>
      </c>
      <c r="D255" s="597" t="str">
        <f t="shared" si="174"/>
        <v>RAJA KUMAR</v>
      </c>
      <c r="E255" s="597" t="str">
        <f t="shared" si="174"/>
        <v>AMAR PODDAR</v>
      </c>
      <c r="F255" s="590" t="str">
        <f>VLOOKUP(A255,STUDENT!$A$2:$BR$105,68,0)</f>
        <v/>
      </c>
      <c r="G255" s="590" t="b">
        <f>VLOOKUP(A255,STUDENT!$A$2:$BR$105,67,0)</f>
        <v>0</v>
      </c>
      <c r="H255" s="590" t="str">
        <f>MARKS!DF41</f>
        <v>E</v>
      </c>
      <c r="I255" s="590" t="str">
        <f>MARKS!DG41</f>
        <v>E</v>
      </c>
      <c r="J255" s="590" t="str">
        <f>MARKS!DH41</f>
        <v>E</v>
      </c>
      <c r="K255" s="590" t="str">
        <f>MARKS!DI41</f>
        <v>E</v>
      </c>
      <c r="L255" s="590" t="str">
        <f>MARKS!DJ41</f>
        <v>D</v>
      </c>
      <c r="M255" s="590" t="str">
        <f>MARKS!DK41</f>
        <v>C</v>
      </c>
      <c r="N255" s="590">
        <f>MARKS!DL41</f>
        <v>0</v>
      </c>
      <c r="O255" s="590" t="str">
        <f>MARKS!DM41</f>
        <v>E</v>
      </c>
      <c r="Q255" s="591" t="s">
        <v>482</v>
      </c>
      <c r="R255" s="591" t="s">
        <v>483</v>
      </c>
      <c r="S255" s="591" t="s">
        <v>486</v>
      </c>
      <c r="T255" s="591">
        <f>COUNTIFS(J218:J317,S255)</f>
        <v>12</v>
      </c>
      <c r="U255" s="591">
        <f>COUNTIFS(F218:F317,Q244,J218:J317,S255)</f>
        <v>0</v>
      </c>
      <c r="V255" s="591">
        <f>COUNTIFS(F218:F317,R244,J218:J317,S255)</f>
        <v>0</v>
      </c>
      <c r="W255" s="594"/>
      <c r="X255" s="591" t="s">
        <v>482</v>
      </c>
      <c r="Y255" s="591" t="s">
        <v>483</v>
      </c>
      <c r="Z255" s="591" t="s">
        <v>492</v>
      </c>
      <c r="AA255" s="591" t="s">
        <v>486</v>
      </c>
      <c r="AB255" s="591">
        <f>COUNTIFS(G218:G317,Z255,O218:O317,S255)</f>
        <v>0</v>
      </c>
      <c r="AC255" s="591">
        <f>COUNTIFS(F218:F317,X255,G218:G317,Z255,O218:O317,S255)</f>
        <v>0</v>
      </c>
      <c r="AD255" s="591">
        <f>COUNTIFS(F218:F317,Y255,G218:G317,Z255,O218:O317,S255)</f>
        <v>0</v>
      </c>
      <c r="AE255" s="594"/>
    </row>
    <row r="256" spans="1:31">
      <c r="A256" s="596">
        <v>39</v>
      </c>
      <c r="B256" s="596">
        <f t="shared" ref="B256:E256" si="175">B149</f>
        <v>15149</v>
      </c>
      <c r="C256" s="596">
        <f t="shared" si="175"/>
        <v>20250325088</v>
      </c>
      <c r="D256" s="597" t="str">
        <f t="shared" si="175"/>
        <v>LOVECESH KUMAR</v>
      </c>
      <c r="E256" s="597" t="str">
        <f t="shared" si="175"/>
        <v>SANDEEP KUMAR</v>
      </c>
      <c r="F256" s="590" t="str">
        <f>VLOOKUP(A256,STUDENT!$A$2:$BR$105,68,0)</f>
        <v/>
      </c>
      <c r="G256" s="590" t="b">
        <f>VLOOKUP(A256,STUDENT!$A$2:$BR$105,67,0)</f>
        <v>0</v>
      </c>
      <c r="H256" s="590" t="str">
        <f>MARKS!DF42</f>
        <v>E</v>
      </c>
      <c r="I256" s="590" t="str">
        <f>MARKS!DG42</f>
        <v>D</v>
      </c>
      <c r="J256" s="590" t="str">
        <f>MARKS!DH42</f>
        <v>E</v>
      </c>
      <c r="K256" s="590" t="str">
        <f>MARKS!DI42</f>
        <v>E</v>
      </c>
      <c r="L256" s="590" t="str">
        <f>MARKS!DJ42</f>
        <v>D</v>
      </c>
      <c r="M256" s="590" t="str">
        <f>MARKS!DK42</f>
        <v>D</v>
      </c>
      <c r="N256" s="590">
        <f>MARKS!DL42</f>
        <v>0</v>
      </c>
      <c r="O256" s="590" t="str">
        <f>MARKS!DM42</f>
        <v>E</v>
      </c>
      <c r="Q256" s="591" t="s">
        <v>482</v>
      </c>
      <c r="R256" s="591" t="s">
        <v>483</v>
      </c>
      <c r="S256" s="591" t="s">
        <v>487</v>
      </c>
      <c r="T256" s="591">
        <f>COUNTIFS(J218:J317,S256)</f>
        <v>14</v>
      </c>
      <c r="U256" s="591">
        <f>COUNTIFS(F218:F317,Q245,J218:J317,S256)</f>
        <v>0</v>
      </c>
      <c r="V256" s="591">
        <f>COUNTIFS(F218:F317,R245,J218:J317,S256)</f>
        <v>0</v>
      </c>
      <c r="W256" s="594"/>
      <c r="X256" s="591" t="s">
        <v>482</v>
      </c>
      <c r="Y256" s="591" t="s">
        <v>483</v>
      </c>
      <c r="Z256" s="591" t="s">
        <v>492</v>
      </c>
      <c r="AA256" s="591" t="s">
        <v>487</v>
      </c>
      <c r="AB256" s="591">
        <f>COUNTIFS(G218:G317,Z256,O218:O317,S256)</f>
        <v>0</v>
      </c>
      <c r="AC256" s="591">
        <f>COUNTIFS(F218:F317,X256,G218:G317,Z256,O218:O317,S256)</f>
        <v>0</v>
      </c>
      <c r="AD256" s="591">
        <f>COUNTIFS(F218:F317,Y256,G218:G317,Z256,O218:O317,S256)</f>
        <v>0</v>
      </c>
      <c r="AE256" s="594"/>
    </row>
    <row r="257" spans="1:31">
      <c r="A257" s="590">
        <v>40</v>
      </c>
      <c r="B257" s="596">
        <f t="shared" ref="B257:E257" si="176">B150</f>
        <v>0</v>
      </c>
      <c r="C257" s="596">
        <f t="shared" si="176"/>
        <v>0</v>
      </c>
      <c r="D257" s="597">
        <f t="shared" si="176"/>
        <v>0</v>
      </c>
      <c r="E257" s="597">
        <f t="shared" si="176"/>
        <v>0</v>
      </c>
      <c r="F257" s="590" t="str">
        <f>VLOOKUP(A257,STUDENT!$A$2:$BR$105,68,0)</f>
        <v/>
      </c>
      <c r="G257" s="590" t="b">
        <f>VLOOKUP(A257,STUDENT!$A$2:$BR$105,67,0)</f>
        <v>0</v>
      </c>
      <c r="H257" s="590" t="str">
        <f>MARKS!DF43</f>
        <v/>
      </c>
      <c r="I257" s="590" t="str">
        <f>MARKS!DG43</f>
        <v/>
      </c>
      <c r="J257" s="590" t="str">
        <f>MARKS!DH43</f>
        <v/>
      </c>
      <c r="K257" s="590" t="str">
        <f>MARKS!DI43</f>
        <v/>
      </c>
      <c r="L257" s="590" t="str">
        <f>MARKS!DJ43</f>
        <v/>
      </c>
      <c r="M257" s="590" t="str">
        <f>MARKS!DK43</f>
        <v/>
      </c>
      <c r="N257" s="590" t="str">
        <f>MARKS!DL43</f>
        <v/>
      </c>
      <c r="O257" s="590" t="str">
        <f>MARKS!DM43</f>
        <v/>
      </c>
      <c r="Q257" s="591" t="s">
        <v>482</v>
      </c>
      <c r="R257" s="591" t="s">
        <v>483</v>
      </c>
      <c r="S257" s="591" t="s">
        <v>488</v>
      </c>
      <c r="T257" s="591">
        <f>COUNTIFS(J218:J317,S257)</f>
        <v>13</v>
      </c>
      <c r="U257" s="591">
        <f>COUNTIFS(F218:F317,Q246,J218:J317,S257)</f>
        <v>0</v>
      </c>
      <c r="V257" s="591">
        <f>COUNTIFS(F218:F317,R246,J218:J317,S257)</f>
        <v>0</v>
      </c>
      <c r="W257" s="594"/>
      <c r="X257" s="591" t="s">
        <v>482</v>
      </c>
      <c r="Y257" s="591" t="s">
        <v>483</v>
      </c>
      <c r="Z257" s="591" t="s">
        <v>492</v>
      </c>
      <c r="AA257" s="591" t="s">
        <v>488</v>
      </c>
      <c r="AB257" s="591">
        <f>COUNTIFS(G218:G317,Z257,O218:O317,S257)</f>
        <v>0</v>
      </c>
      <c r="AC257" s="591">
        <f>COUNTIFS(F218:F317,X257,G218:G317,Z257,O218:O317,S257)</f>
        <v>0</v>
      </c>
      <c r="AD257" s="591">
        <f>COUNTIFS(F218:F317,Y257,G218:G317,Z257,O218:O317,S257)</f>
        <v>0</v>
      </c>
      <c r="AE257" s="594"/>
    </row>
    <row r="258" spans="1:31">
      <c r="A258" s="596">
        <v>41</v>
      </c>
      <c r="B258" s="596">
        <f t="shared" ref="B258:E258" si="177">B151</f>
        <v>0</v>
      </c>
      <c r="C258" s="596">
        <f t="shared" si="177"/>
        <v>0</v>
      </c>
      <c r="D258" s="597">
        <f t="shared" si="177"/>
        <v>0</v>
      </c>
      <c r="E258" s="597">
        <f t="shared" si="177"/>
        <v>0</v>
      </c>
      <c r="F258" s="590" t="str">
        <f>VLOOKUP(A258,STUDENT!$A$2:$BR$105,68,0)</f>
        <v/>
      </c>
      <c r="G258" s="590" t="b">
        <f>VLOOKUP(A258,STUDENT!$A$2:$BR$105,67,0)</f>
        <v>0</v>
      </c>
      <c r="H258" s="590" t="str">
        <f>MARKS!DF44</f>
        <v/>
      </c>
      <c r="I258" s="590" t="str">
        <f>MARKS!DG44</f>
        <v/>
      </c>
      <c r="J258" s="590" t="str">
        <f>MARKS!DH44</f>
        <v/>
      </c>
      <c r="K258" s="590" t="str">
        <f>MARKS!DI44</f>
        <v/>
      </c>
      <c r="L258" s="590" t="str">
        <f>MARKS!DJ44</f>
        <v/>
      </c>
      <c r="M258" s="590" t="str">
        <f>MARKS!DK44</f>
        <v/>
      </c>
      <c r="N258" s="590" t="str">
        <f>MARKS!DL44</f>
        <v/>
      </c>
      <c r="O258" s="590" t="str">
        <f>MARKS!DM44</f>
        <v/>
      </c>
      <c r="Q258" s="591" t="s">
        <v>482</v>
      </c>
      <c r="R258" s="591" t="s">
        <v>483</v>
      </c>
      <c r="S258" s="591" t="s">
        <v>101</v>
      </c>
      <c r="T258" s="591">
        <f>COUNTIFS(J218:J317,S258)</f>
        <v>0</v>
      </c>
      <c r="U258" s="591">
        <f>COUNTIFS(F218:F317,Q247,J218:J317,S258)</f>
        <v>0</v>
      </c>
      <c r="V258" s="591">
        <f>COUNTIFS(F218:F317,R247,J218:J317,S258)</f>
        <v>0</v>
      </c>
      <c r="W258" s="594"/>
      <c r="X258" s="591" t="s">
        <v>482</v>
      </c>
      <c r="Y258" s="591" t="s">
        <v>483</v>
      </c>
      <c r="Z258" s="591" t="s">
        <v>492</v>
      </c>
      <c r="AA258" s="591" t="s">
        <v>101</v>
      </c>
      <c r="AB258" s="591">
        <f>COUNTIFS(G218:G317,Z258,O218:O317,S258)</f>
        <v>0</v>
      </c>
      <c r="AC258" s="591">
        <f>COUNTIFS(F218:F317,X258,G218:G317,Z258,O218:O317,S258)</f>
        <v>0</v>
      </c>
      <c r="AD258" s="591">
        <f>COUNTIFS(F218:F317,Y258,G218:G317,Z258,O218:O317,S258)</f>
        <v>0</v>
      </c>
      <c r="AE258" s="594"/>
    </row>
    <row r="259" spans="1:31">
      <c r="A259" s="590">
        <v>42</v>
      </c>
      <c r="B259" s="596">
        <f t="shared" ref="B259:E259" si="178">B152</f>
        <v>0</v>
      </c>
      <c r="C259" s="596">
        <f t="shared" si="178"/>
        <v>0</v>
      </c>
      <c r="D259" s="597">
        <f t="shared" si="178"/>
        <v>0</v>
      </c>
      <c r="E259" s="597">
        <f t="shared" si="178"/>
        <v>0</v>
      </c>
      <c r="F259" s="590" t="str">
        <f>VLOOKUP(A259,STUDENT!$A$2:$BR$105,68,0)</f>
        <v/>
      </c>
      <c r="G259" s="590" t="b">
        <f>VLOOKUP(A259,STUDENT!$A$2:$BR$105,67,0)</f>
        <v>0</v>
      </c>
      <c r="H259" s="590" t="str">
        <f>MARKS!DF45</f>
        <v/>
      </c>
      <c r="I259" s="590" t="str">
        <f>MARKS!DG45</f>
        <v/>
      </c>
      <c r="J259" s="590" t="str">
        <f>MARKS!DH45</f>
        <v/>
      </c>
      <c r="K259" s="590" t="str">
        <f>MARKS!DI45</f>
        <v/>
      </c>
      <c r="L259" s="590" t="str">
        <f>MARKS!DJ45</f>
        <v/>
      </c>
      <c r="M259" s="590" t="str">
        <f>MARKS!DK45</f>
        <v/>
      </c>
      <c r="N259" s="590" t="str">
        <f>MARKS!DL45</f>
        <v/>
      </c>
      <c r="O259" s="590" t="str">
        <f>MARKS!DM45</f>
        <v/>
      </c>
      <c r="Q259" s="591" t="s">
        <v>482</v>
      </c>
      <c r="R259" s="591" t="s">
        <v>483</v>
      </c>
      <c r="S259" s="591" t="s">
        <v>489</v>
      </c>
      <c r="T259" s="591">
        <f>COUNTIFS(J218:J317,S259)</f>
        <v>0</v>
      </c>
      <c r="U259" s="591">
        <f>COUNTIFS(F218:F317,Q248,J218:J317,S259)</f>
        <v>0</v>
      </c>
      <c r="V259" s="591">
        <f>COUNTIFS(F218:F317,R248,J218:J317,S259)</f>
        <v>0</v>
      </c>
      <c r="W259" s="594"/>
      <c r="X259" s="591" t="s">
        <v>482</v>
      </c>
      <c r="Y259" s="591" t="s">
        <v>483</v>
      </c>
      <c r="Z259" s="591" t="s">
        <v>492</v>
      </c>
      <c r="AA259" s="591" t="s">
        <v>489</v>
      </c>
      <c r="AB259" s="591">
        <f>COUNTIFS(G218:G317,Z259,O218:O317,S259)</f>
        <v>0</v>
      </c>
      <c r="AC259" s="591">
        <f>COUNTIFS(F218:F317,X259,G218:G317,Z259,O218:O317,S259)</f>
        <v>0</v>
      </c>
      <c r="AD259" s="591">
        <f>COUNTIFS(F218:F317,Y259,G218:G317,Z259,O218:O317,S259)</f>
        <v>0</v>
      </c>
      <c r="AE259" s="594"/>
    </row>
    <row r="260" spans="1:31">
      <c r="A260" s="596">
        <v>43</v>
      </c>
      <c r="B260" s="596">
        <f t="shared" ref="B260:E260" si="179">B153</f>
        <v>0</v>
      </c>
      <c r="C260" s="596">
        <f t="shared" si="179"/>
        <v>0</v>
      </c>
      <c r="D260" s="597">
        <f t="shared" si="179"/>
        <v>0</v>
      </c>
      <c r="E260" s="597">
        <f t="shared" si="179"/>
        <v>0</v>
      </c>
      <c r="F260" s="590" t="str">
        <f>VLOOKUP(A260,STUDENT!$A$2:$BR$105,68,0)</f>
        <v/>
      </c>
      <c r="G260" s="590" t="b">
        <f>VLOOKUP(A260,STUDENT!$A$2:$BR$105,67,0)</f>
        <v>0</v>
      </c>
      <c r="H260" s="590" t="str">
        <f>MARKS!DF46</f>
        <v/>
      </c>
      <c r="I260" s="590" t="str">
        <f>MARKS!DG46</f>
        <v/>
      </c>
      <c r="J260" s="590" t="str">
        <f>MARKS!DH46</f>
        <v/>
      </c>
      <c r="K260" s="590" t="str">
        <f>MARKS!DI46</f>
        <v/>
      </c>
      <c r="L260" s="590" t="str">
        <f>MARKS!DJ46</f>
        <v/>
      </c>
      <c r="M260" s="590" t="str">
        <f>MARKS!DK46</f>
        <v/>
      </c>
      <c r="N260" s="590" t="str">
        <f>MARKS!DL46</f>
        <v/>
      </c>
      <c r="O260" s="590" t="str">
        <f>MARKS!DM46</f>
        <v/>
      </c>
      <c r="Q260" s="591" t="s">
        <v>482</v>
      </c>
      <c r="R260" s="591" t="s">
        <v>483</v>
      </c>
      <c r="S260" s="591"/>
      <c r="T260" s="591"/>
      <c r="U260" s="591"/>
      <c r="V260" s="591"/>
      <c r="W260" s="594"/>
      <c r="X260" s="591" t="s">
        <v>482</v>
      </c>
      <c r="Y260" s="591" t="s">
        <v>483</v>
      </c>
      <c r="Z260" s="591" t="s">
        <v>492</v>
      </c>
      <c r="AA260" s="591"/>
      <c r="AB260" s="591"/>
      <c r="AC260" s="591"/>
      <c r="AD260" s="591"/>
      <c r="AE260" s="594"/>
    </row>
    <row r="261" spans="1:31">
      <c r="A261" s="590">
        <v>44</v>
      </c>
      <c r="B261" s="596">
        <f t="shared" ref="B261:E261" si="180">B154</f>
        <v>0</v>
      </c>
      <c r="C261" s="596">
        <f t="shared" si="180"/>
        <v>0</v>
      </c>
      <c r="D261" s="597">
        <f t="shared" si="180"/>
        <v>0</v>
      </c>
      <c r="E261" s="597">
        <f t="shared" si="180"/>
        <v>0</v>
      </c>
      <c r="F261" s="590" t="str">
        <f>VLOOKUP(A261,STUDENT!$A$2:$BR$105,68,0)</f>
        <v/>
      </c>
      <c r="G261" s="590" t="b">
        <f>VLOOKUP(A261,STUDENT!$A$2:$BR$105,67,0)</f>
        <v>0</v>
      </c>
      <c r="H261" s="590" t="str">
        <f>MARKS!DF47</f>
        <v/>
      </c>
      <c r="I261" s="590" t="str">
        <f>MARKS!DG47</f>
        <v/>
      </c>
      <c r="J261" s="590" t="str">
        <f>MARKS!DH47</f>
        <v/>
      </c>
      <c r="K261" s="590" t="str">
        <f>MARKS!DI47</f>
        <v/>
      </c>
      <c r="L261" s="590" t="str">
        <f>MARKS!DJ47</f>
        <v/>
      </c>
      <c r="M261" s="590" t="str">
        <f>MARKS!DK47</f>
        <v/>
      </c>
      <c r="N261" s="590" t="str">
        <f>MARKS!DL47</f>
        <v/>
      </c>
      <c r="O261" s="590" t="str">
        <f>MARKS!DM47</f>
        <v/>
      </c>
      <c r="Q261" s="591"/>
      <c r="R261" s="591"/>
      <c r="S261" s="591" t="s">
        <v>102</v>
      </c>
      <c r="T261" s="591">
        <f>SUM(T253:T260)</f>
        <v>39</v>
      </c>
      <c r="U261" s="591">
        <f t="shared" ref="U261:V261" si="181">SUM(U253:U260)</f>
        <v>0</v>
      </c>
      <c r="V261" s="591">
        <f t="shared" si="181"/>
        <v>0</v>
      </c>
      <c r="W261" s="594"/>
      <c r="X261" s="591"/>
      <c r="Y261" s="591"/>
      <c r="Z261" s="591"/>
      <c r="AA261" s="591" t="s">
        <v>102</v>
      </c>
      <c r="AB261" s="591">
        <f>SUM(AB253:AB260)</f>
        <v>0</v>
      </c>
      <c r="AC261" s="591">
        <f t="shared" ref="AC261:AD261" si="182">SUM(AC253:AC260)</f>
        <v>0</v>
      </c>
      <c r="AD261" s="591">
        <f t="shared" si="182"/>
        <v>0</v>
      </c>
      <c r="AE261" s="594"/>
    </row>
    <row r="262" spans="1:31">
      <c r="A262" s="596">
        <v>45</v>
      </c>
      <c r="B262" s="596">
        <f t="shared" ref="B262:E262" si="183">B155</f>
        <v>0</v>
      </c>
      <c r="C262" s="596">
        <f t="shared" si="183"/>
        <v>0</v>
      </c>
      <c r="D262" s="597">
        <f t="shared" si="183"/>
        <v>0</v>
      </c>
      <c r="E262" s="597">
        <f t="shared" si="183"/>
        <v>0</v>
      </c>
      <c r="F262" s="590" t="str">
        <f>VLOOKUP(A262,STUDENT!$A$2:$BR$105,68,0)</f>
        <v/>
      </c>
      <c r="G262" s="590" t="b">
        <f>VLOOKUP(A262,STUDENT!$A$2:$BR$105,67,0)</f>
        <v>0</v>
      </c>
      <c r="H262" s="590" t="str">
        <f>MARKS!DF48</f>
        <v/>
      </c>
      <c r="I262" s="590" t="str">
        <f>MARKS!DG48</f>
        <v/>
      </c>
      <c r="J262" s="590" t="str">
        <f>MARKS!DH48</f>
        <v/>
      </c>
      <c r="K262" s="590" t="str">
        <f>MARKS!DI48</f>
        <v/>
      </c>
      <c r="L262" s="590" t="str">
        <f>MARKS!DJ48</f>
        <v/>
      </c>
      <c r="M262" s="590" t="str">
        <f>MARKS!DK48</f>
        <v/>
      </c>
      <c r="N262" s="590" t="str">
        <f>MARKS!DL48</f>
        <v/>
      </c>
      <c r="O262" s="590" t="str">
        <f>MARKS!DM48</f>
        <v/>
      </c>
      <c r="Q262" s="591"/>
      <c r="R262" s="591"/>
      <c r="S262" s="591"/>
      <c r="T262" s="591"/>
      <c r="U262" s="591"/>
      <c r="V262" s="591"/>
      <c r="W262" s="594"/>
      <c r="X262" s="594"/>
      <c r="Y262" s="594"/>
      <c r="Z262" s="594"/>
      <c r="AA262" s="594"/>
      <c r="AB262" s="591"/>
      <c r="AC262" s="591"/>
      <c r="AD262" s="591"/>
      <c r="AE262" s="594"/>
    </row>
    <row r="263" spans="1:31">
      <c r="A263" s="590">
        <v>46</v>
      </c>
      <c r="B263" s="596">
        <f t="shared" ref="B263:E263" si="184">B156</f>
        <v>0</v>
      </c>
      <c r="C263" s="596">
        <f t="shared" si="184"/>
        <v>0</v>
      </c>
      <c r="D263" s="597">
        <f t="shared" si="184"/>
        <v>0</v>
      </c>
      <c r="E263" s="597">
        <f t="shared" si="184"/>
        <v>0</v>
      </c>
      <c r="F263" s="590" t="str">
        <f>VLOOKUP(A263,STUDENT!$A$2:$BR$105,68,0)</f>
        <v/>
      </c>
      <c r="G263" s="590" t="b">
        <f>VLOOKUP(A263,STUDENT!$A$2:$BR$105,67,0)</f>
        <v>0</v>
      </c>
      <c r="H263" s="590" t="str">
        <f>MARKS!DF49</f>
        <v/>
      </c>
      <c r="I263" s="590" t="str">
        <f>MARKS!DG49</f>
        <v/>
      </c>
      <c r="J263" s="590" t="str">
        <f>MARKS!DH49</f>
        <v/>
      </c>
      <c r="K263" s="590" t="str">
        <f>MARKS!DI49</f>
        <v/>
      </c>
      <c r="L263" s="590" t="str">
        <f>MARKS!DJ49</f>
        <v/>
      </c>
      <c r="M263" s="590" t="str">
        <f>MARKS!DK49</f>
        <v/>
      </c>
      <c r="N263" s="590" t="str">
        <f>MARKS!DL49</f>
        <v/>
      </c>
      <c r="O263" s="590" t="str">
        <f>MARKS!DM49</f>
        <v/>
      </c>
      <c r="Q263" s="591"/>
      <c r="R263" s="591"/>
      <c r="S263" s="591"/>
      <c r="T263" s="591"/>
      <c r="U263" s="591"/>
      <c r="V263" s="591"/>
      <c r="W263" s="594"/>
      <c r="X263" s="594"/>
      <c r="Y263" s="594"/>
      <c r="Z263" s="594"/>
      <c r="AA263" s="594"/>
      <c r="AB263" s="591"/>
      <c r="AC263" s="591"/>
      <c r="AD263" s="591"/>
      <c r="AE263" s="594"/>
    </row>
    <row r="264" spans="1:31">
      <c r="A264" s="596">
        <v>47</v>
      </c>
      <c r="B264" s="596">
        <f t="shared" ref="B264:E264" si="185">B157</f>
        <v>0</v>
      </c>
      <c r="C264" s="596">
        <f t="shared" si="185"/>
        <v>0</v>
      </c>
      <c r="D264" s="597">
        <f t="shared" si="185"/>
        <v>0</v>
      </c>
      <c r="E264" s="597">
        <f t="shared" si="185"/>
        <v>0</v>
      </c>
      <c r="F264" s="590" t="str">
        <f>VLOOKUP(A264,STUDENT!$A$2:$BR$105,68,0)</f>
        <v/>
      </c>
      <c r="G264" s="590" t="b">
        <f>VLOOKUP(A264,STUDENT!$A$2:$BR$105,67,0)</f>
        <v>0</v>
      </c>
      <c r="H264" s="590" t="str">
        <f>MARKS!DF50</f>
        <v/>
      </c>
      <c r="I264" s="590" t="str">
        <f>MARKS!DG50</f>
        <v/>
      </c>
      <c r="J264" s="590" t="str">
        <f>MARKS!DH50</f>
        <v/>
      </c>
      <c r="K264" s="590" t="str">
        <f>MARKS!DI50</f>
        <v/>
      </c>
      <c r="L264" s="590" t="str">
        <f>MARKS!DJ50</f>
        <v/>
      </c>
      <c r="M264" s="590" t="str">
        <f>MARKS!DK50</f>
        <v/>
      </c>
      <c r="N264" s="590" t="str">
        <f>MARKS!DL50</f>
        <v/>
      </c>
      <c r="O264" s="590" t="str">
        <f>MARKS!DM50</f>
        <v/>
      </c>
      <c r="Q264" s="591"/>
      <c r="R264" s="591"/>
      <c r="S264" s="591"/>
      <c r="T264" s="591"/>
      <c r="U264" s="591"/>
      <c r="V264" s="591"/>
      <c r="W264" s="594"/>
      <c r="X264" s="594"/>
      <c r="Y264" s="594"/>
      <c r="Z264" s="594"/>
      <c r="AA264" s="594"/>
      <c r="AB264" s="591"/>
      <c r="AC264" s="591"/>
      <c r="AD264" s="591"/>
      <c r="AE264" s="594"/>
    </row>
    <row r="265" spans="1:31">
      <c r="A265" s="590">
        <v>48</v>
      </c>
      <c r="B265" s="596">
        <f t="shared" ref="B265:E265" si="186">B158</f>
        <v>0</v>
      </c>
      <c r="C265" s="596">
        <f t="shared" si="186"/>
        <v>0</v>
      </c>
      <c r="D265" s="597">
        <f t="shared" si="186"/>
        <v>0</v>
      </c>
      <c r="E265" s="597">
        <f t="shared" si="186"/>
        <v>0</v>
      </c>
      <c r="F265" s="590" t="str">
        <f>VLOOKUP(A265,STUDENT!$A$2:$BR$105,68,0)</f>
        <v/>
      </c>
      <c r="G265" s="590" t="b">
        <f>VLOOKUP(A265,STUDENT!$A$2:$BR$105,67,0)</f>
        <v>0</v>
      </c>
      <c r="H265" s="590" t="str">
        <f>MARKS!DF51</f>
        <v/>
      </c>
      <c r="I265" s="590" t="str">
        <f>MARKS!DG51</f>
        <v/>
      </c>
      <c r="J265" s="590" t="str">
        <f>MARKS!DH51</f>
        <v/>
      </c>
      <c r="K265" s="590" t="str">
        <f>MARKS!DI51</f>
        <v/>
      </c>
      <c r="L265" s="590" t="str">
        <f>MARKS!DJ51</f>
        <v/>
      </c>
      <c r="M265" s="590" t="str">
        <f>MARKS!DK51</f>
        <v/>
      </c>
      <c r="N265" s="590" t="str">
        <f>MARKS!DL51</f>
        <v/>
      </c>
      <c r="O265" s="590" t="str">
        <f>MARKS!DM51</f>
        <v/>
      </c>
      <c r="Q265" s="591" t="s">
        <v>475</v>
      </c>
      <c r="R265" s="591" t="s">
        <v>476</v>
      </c>
      <c r="S265" s="592" t="s">
        <v>477</v>
      </c>
      <c r="T265" s="593" t="s">
        <v>351</v>
      </c>
      <c r="U265" s="592" t="s">
        <v>479</v>
      </c>
      <c r="V265" s="592" t="s">
        <v>480</v>
      </c>
      <c r="W265" s="594"/>
      <c r="X265" s="591" t="s">
        <v>475</v>
      </c>
      <c r="Y265" s="591" t="s">
        <v>476</v>
      </c>
      <c r="Z265" s="591" t="s">
        <v>474</v>
      </c>
      <c r="AA265" s="592" t="s">
        <v>477</v>
      </c>
      <c r="AB265" s="593" t="s">
        <v>493</v>
      </c>
      <c r="AC265" s="592" t="s">
        <v>479</v>
      </c>
      <c r="AD265" s="592" t="s">
        <v>480</v>
      </c>
      <c r="AE265" s="594"/>
    </row>
    <row r="266" spans="1:31">
      <c r="A266" s="596">
        <v>49</v>
      </c>
      <c r="B266" s="596">
        <f t="shared" ref="B266:E266" si="187">B159</f>
        <v>0</v>
      </c>
      <c r="C266" s="596">
        <f t="shared" si="187"/>
        <v>0</v>
      </c>
      <c r="D266" s="597">
        <f t="shared" si="187"/>
        <v>0</v>
      </c>
      <c r="E266" s="597">
        <f t="shared" si="187"/>
        <v>0</v>
      </c>
      <c r="F266" s="590" t="str">
        <f>VLOOKUP(A266,STUDENT!$A$2:$BR$105,68,0)</f>
        <v/>
      </c>
      <c r="G266" s="590" t="b">
        <f>VLOOKUP(A266,STUDENT!$A$2:$BR$105,67,0)</f>
        <v>0</v>
      </c>
      <c r="H266" s="590" t="str">
        <f>MARKS!DF52</f>
        <v/>
      </c>
      <c r="I266" s="590" t="str">
        <f>MARKS!DG52</f>
        <v/>
      </c>
      <c r="J266" s="590" t="str">
        <f>MARKS!DH52</f>
        <v/>
      </c>
      <c r="K266" s="590" t="str">
        <f>MARKS!DI52</f>
        <v/>
      </c>
      <c r="L266" s="590" t="str">
        <f>MARKS!DJ52</f>
        <v/>
      </c>
      <c r="M266" s="590" t="str">
        <f>MARKS!DK52</f>
        <v/>
      </c>
      <c r="N266" s="590" t="str">
        <f>MARKS!DL52</f>
        <v/>
      </c>
      <c r="O266" s="590" t="str">
        <f>MARKS!DM52</f>
        <v/>
      </c>
      <c r="Q266" s="591" t="s">
        <v>482</v>
      </c>
      <c r="R266" s="591" t="s">
        <v>483</v>
      </c>
      <c r="S266" s="591" t="s">
        <v>50</v>
      </c>
      <c r="T266" s="591">
        <f>COUNTIFS(K218:K317,S266)</f>
        <v>0</v>
      </c>
      <c r="U266" s="591">
        <f>COUNTIFS(F218:F317,Q255,K218:K317,S266)</f>
        <v>0</v>
      </c>
      <c r="V266" s="591">
        <f>COUNTIFS(F218:F317,R255,K218:K317,S266)</f>
        <v>0</v>
      </c>
      <c r="W266" s="594"/>
      <c r="X266" s="591" t="s">
        <v>482</v>
      </c>
      <c r="Y266" s="591" t="s">
        <v>483</v>
      </c>
      <c r="Z266" s="591" t="s">
        <v>493</v>
      </c>
      <c r="AA266" s="591" t="s">
        <v>50</v>
      </c>
      <c r="AB266" s="591">
        <f>COUNTIFS(G218:G317,Z266,O218:O317,S266)</f>
        <v>0</v>
      </c>
      <c r="AC266" s="591">
        <f>COUNTIFS(F218:F317,X266,G218:G317,Z266,O218:O317,S266)</f>
        <v>0</v>
      </c>
      <c r="AD266" s="591">
        <f>COUNTIFS(F218:F317,Y266,G218:G317,Z266,O218:O317,S266)</f>
        <v>0</v>
      </c>
      <c r="AE266" s="594"/>
    </row>
    <row r="267" spans="1:31">
      <c r="A267" s="590">
        <v>50</v>
      </c>
      <c r="B267" s="596">
        <f t="shared" ref="B267:E267" si="188">B160</f>
        <v>0</v>
      </c>
      <c r="C267" s="596">
        <f t="shared" si="188"/>
        <v>0</v>
      </c>
      <c r="D267" s="597">
        <f t="shared" si="188"/>
        <v>0</v>
      </c>
      <c r="E267" s="597">
        <f t="shared" si="188"/>
        <v>0</v>
      </c>
      <c r="F267" s="590" t="str">
        <f>VLOOKUP(A267,STUDENT!$A$2:$BR$105,68,0)</f>
        <v/>
      </c>
      <c r="G267" s="590" t="b">
        <f>VLOOKUP(A267,STUDENT!$A$2:$BR$105,67,0)</f>
        <v>0</v>
      </c>
      <c r="H267" s="590" t="str">
        <f>MARKS!DF53</f>
        <v/>
      </c>
      <c r="I267" s="590" t="str">
        <f>MARKS!DG53</f>
        <v/>
      </c>
      <c r="J267" s="590" t="str">
        <f>MARKS!DH53</f>
        <v/>
      </c>
      <c r="K267" s="590" t="str">
        <f>MARKS!DI53</f>
        <v/>
      </c>
      <c r="L267" s="590" t="str">
        <f>MARKS!DJ53</f>
        <v/>
      </c>
      <c r="M267" s="590" t="str">
        <f>MARKS!DK53</f>
        <v/>
      </c>
      <c r="N267" s="590" t="str">
        <f>MARKS!DL53</f>
        <v/>
      </c>
      <c r="O267" s="590" t="str">
        <f>MARKS!DM53</f>
        <v/>
      </c>
      <c r="Q267" s="591" t="s">
        <v>482</v>
      </c>
      <c r="R267" s="591" t="s">
        <v>483</v>
      </c>
      <c r="S267" s="591" t="s">
        <v>485</v>
      </c>
      <c r="T267" s="591">
        <f>COUNTIFS(K218:K317,S267)</f>
        <v>0</v>
      </c>
      <c r="U267" s="591">
        <f>COUNTIFS(F218:F317,Q256,K218:K317,S267)</f>
        <v>0</v>
      </c>
      <c r="V267" s="591">
        <f>COUNTIFS(F218:F317,R256,K218:K317,S267)</f>
        <v>0</v>
      </c>
      <c r="W267" s="594"/>
      <c r="X267" s="591" t="s">
        <v>482</v>
      </c>
      <c r="Y267" s="591" t="s">
        <v>483</v>
      </c>
      <c r="Z267" s="591" t="s">
        <v>493</v>
      </c>
      <c r="AA267" s="591" t="s">
        <v>485</v>
      </c>
      <c r="AB267" s="591">
        <f>COUNTIFS(G218:G317,Z267,O218:O317,S267)</f>
        <v>0</v>
      </c>
      <c r="AC267" s="591">
        <f>COUNTIFS(F218:F317,X267,G218:G317,Z267,O218:O317,S267)</f>
        <v>0</v>
      </c>
      <c r="AD267" s="591">
        <f>COUNTIFS(F218:F317,Y267,G218:G317,Z267,O218:O317,S267)</f>
        <v>0</v>
      </c>
      <c r="AE267" s="594"/>
    </row>
    <row r="268" spans="1:31">
      <c r="A268" s="596">
        <v>51</v>
      </c>
      <c r="B268" s="596">
        <f t="shared" ref="B268:E268" si="189">B161</f>
        <v>0</v>
      </c>
      <c r="C268" s="596">
        <f t="shared" si="189"/>
        <v>0</v>
      </c>
      <c r="D268" s="597">
        <f t="shared" si="189"/>
        <v>0</v>
      </c>
      <c r="E268" s="597">
        <f t="shared" si="189"/>
        <v>0</v>
      </c>
      <c r="F268" s="590" t="str">
        <f>VLOOKUP(A268,STUDENT!$A$2:$BR$105,68,0)</f>
        <v/>
      </c>
      <c r="G268" s="590" t="b">
        <f>VLOOKUP(A268,STUDENT!$A$2:$BR$105,67,0)</f>
        <v>0</v>
      </c>
      <c r="H268" s="590" t="str">
        <f>MARKS!DF54</f>
        <v/>
      </c>
      <c r="I268" s="590" t="str">
        <f>MARKS!DG54</f>
        <v/>
      </c>
      <c r="J268" s="590" t="str">
        <f>MARKS!DH54</f>
        <v/>
      </c>
      <c r="K268" s="590" t="str">
        <f>MARKS!DI54</f>
        <v/>
      </c>
      <c r="L268" s="590" t="str">
        <f>MARKS!DJ54</f>
        <v/>
      </c>
      <c r="M268" s="590" t="str">
        <f>MARKS!DK54</f>
        <v/>
      </c>
      <c r="N268" s="590" t="str">
        <f>MARKS!DL54</f>
        <v/>
      </c>
      <c r="O268" s="590" t="str">
        <f>MARKS!DM54</f>
        <v/>
      </c>
      <c r="Q268" s="591" t="s">
        <v>482</v>
      </c>
      <c r="R268" s="591" t="s">
        <v>483</v>
      </c>
      <c r="S268" s="591" t="s">
        <v>486</v>
      </c>
      <c r="T268" s="591">
        <f>COUNTIFS(K218:K317,S268)</f>
        <v>14</v>
      </c>
      <c r="U268" s="591">
        <f>COUNTIFS(F218:F317,Q257,K218:K317,S268)</f>
        <v>0</v>
      </c>
      <c r="V268" s="591">
        <f>COUNTIFS(F218:F317,R257,K218:K317,S268)</f>
        <v>0</v>
      </c>
      <c r="W268" s="594"/>
      <c r="X268" s="591" t="s">
        <v>482</v>
      </c>
      <c r="Y268" s="591" t="s">
        <v>483</v>
      </c>
      <c r="Z268" s="591" t="s">
        <v>493</v>
      </c>
      <c r="AA268" s="591" t="s">
        <v>486</v>
      </c>
      <c r="AB268" s="591">
        <f>COUNTIFS(G218:G317,Z268,O218:O317,S268)</f>
        <v>0</v>
      </c>
      <c r="AC268" s="591">
        <f>COUNTIFS(F218:F317,X268,G218:G317,Z268,O218:O317,S268)</f>
        <v>0</v>
      </c>
      <c r="AD268" s="591">
        <f>COUNTIFS(F218:F317,Y268,G218:G317,Z268,O218:O317,S268)</f>
        <v>0</v>
      </c>
      <c r="AE268" s="594"/>
    </row>
    <row r="269" spans="1:31">
      <c r="A269" s="590">
        <v>52</v>
      </c>
      <c r="B269" s="596">
        <f t="shared" ref="B269:E269" si="190">B162</f>
        <v>0</v>
      </c>
      <c r="C269" s="596">
        <f t="shared" si="190"/>
        <v>0</v>
      </c>
      <c r="D269" s="597">
        <f t="shared" si="190"/>
        <v>0</v>
      </c>
      <c r="E269" s="597">
        <f t="shared" si="190"/>
        <v>0</v>
      </c>
      <c r="F269" s="590" t="str">
        <f>VLOOKUP(A269,STUDENT!$A$2:$BR$105,68,0)</f>
        <v/>
      </c>
      <c r="G269" s="590" t="b">
        <f>VLOOKUP(A269,STUDENT!$A$2:$BR$105,67,0)</f>
        <v>0</v>
      </c>
      <c r="H269" s="590" t="str">
        <f>MARKS!DF55</f>
        <v/>
      </c>
      <c r="I269" s="590" t="str">
        <f>MARKS!DG55</f>
        <v/>
      </c>
      <c r="J269" s="590" t="str">
        <f>MARKS!DH55</f>
        <v/>
      </c>
      <c r="K269" s="590" t="str">
        <f>MARKS!DI55</f>
        <v/>
      </c>
      <c r="L269" s="590" t="str">
        <f>MARKS!DJ55</f>
        <v/>
      </c>
      <c r="M269" s="590" t="str">
        <f>MARKS!DK55</f>
        <v/>
      </c>
      <c r="N269" s="590" t="str">
        <f>MARKS!DL55</f>
        <v/>
      </c>
      <c r="O269" s="590" t="str">
        <f>MARKS!DM55</f>
        <v/>
      </c>
      <c r="Q269" s="591" t="s">
        <v>482</v>
      </c>
      <c r="R269" s="591" t="s">
        <v>483</v>
      </c>
      <c r="S269" s="591" t="s">
        <v>487</v>
      </c>
      <c r="T269" s="591">
        <f>COUNTIFS(K218:K317,S269)</f>
        <v>11</v>
      </c>
      <c r="U269" s="591">
        <f>COUNTIFS(F218:F317,Q258,K218:K317,S269)</f>
        <v>0</v>
      </c>
      <c r="V269" s="591">
        <f>COUNTIFS(F218:F317,R258,K218:K317,S269)</f>
        <v>0</v>
      </c>
      <c r="W269" s="594"/>
      <c r="X269" s="591" t="s">
        <v>482</v>
      </c>
      <c r="Y269" s="591" t="s">
        <v>483</v>
      </c>
      <c r="Z269" s="591" t="s">
        <v>493</v>
      </c>
      <c r="AA269" s="591" t="s">
        <v>487</v>
      </c>
      <c r="AB269" s="591">
        <f>COUNTIFS(G218:G317,Z269,O218:O317,S269)</f>
        <v>0</v>
      </c>
      <c r="AC269" s="591">
        <f>COUNTIFS(F218:F317,X269,G218:G317,Z269,O218:O317,S269)</f>
        <v>0</v>
      </c>
      <c r="AD269" s="591">
        <f>COUNTIFS(F218:F317,Y269,G218:G317,Z269,O218:O317,S269)</f>
        <v>0</v>
      </c>
      <c r="AE269" s="594"/>
    </row>
    <row r="270" spans="1:31">
      <c r="A270" s="596">
        <v>53</v>
      </c>
      <c r="B270" s="596">
        <f t="shared" ref="B270:E270" si="191">B163</f>
        <v>0</v>
      </c>
      <c r="C270" s="596">
        <f t="shared" si="191"/>
        <v>0</v>
      </c>
      <c r="D270" s="597">
        <f t="shared" si="191"/>
        <v>0</v>
      </c>
      <c r="E270" s="597">
        <f t="shared" si="191"/>
        <v>0</v>
      </c>
      <c r="F270" s="590" t="str">
        <f>VLOOKUP(A270,STUDENT!$A$2:$BR$105,68,0)</f>
        <v/>
      </c>
      <c r="G270" s="590" t="b">
        <f>VLOOKUP(A270,STUDENT!$A$2:$BR$105,67,0)</f>
        <v>0</v>
      </c>
      <c r="H270" s="590" t="str">
        <f>MARKS!DF56</f>
        <v/>
      </c>
      <c r="I270" s="590" t="str">
        <f>MARKS!DG56</f>
        <v/>
      </c>
      <c r="J270" s="590" t="str">
        <f>MARKS!DH56</f>
        <v/>
      </c>
      <c r="K270" s="590" t="str">
        <f>MARKS!DI56</f>
        <v/>
      </c>
      <c r="L270" s="590" t="str">
        <f>MARKS!DJ56</f>
        <v/>
      </c>
      <c r="M270" s="590" t="str">
        <f>MARKS!DK56</f>
        <v/>
      </c>
      <c r="N270" s="590" t="str">
        <f>MARKS!DL56</f>
        <v/>
      </c>
      <c r="O270" s="590" t="str">
        <f>MARKS!DM56</f>
        <v/>
      </c>
      <c r="Q270" s="591" t="s">
        <v>482</v>
      </c>
      <c r="R270" s="591" t="s">
        <v>483</v>
      </c>
      <c r="S270" s="591" t="s">
        <v>488</v>
      </c>
      <c r="T270" s="591">
        <f>COUNTIFS(K218:K317,S270)</f>
        <v>14</v>
      </c>
      <c r="U270" s="591">
        <f>COUNTIFS(F218:F317,Q259,K218:K317,S270)</f>
        <v>0</v>
      </c>
      <c r="V270" s="591">
        <f>COUNTIFS(F218:F317,R259,K218:K317,S270)</f>
        <v>0</v>
      </c>
      <c r="W270" s="594"/>
      <c r="X270" s="591" t="s">
        <v>482</v>
      </c>
      <c r="Y270" s="591" t="s">
        <v>483</v>
      </c>
      <c r="Z270" s="591" t="s">
        <v>493</v>
      </c>
      <c r="AA270" s="591" t="s">
        <v>488</v>
      </c>
      <c r="AB270" s="591">
        <f>COUNTIFS(G218:G317,Z270,O218:O317,S270)</f>
        <v>0</v>
      </c>
      <c r="AC270" s="591">
        <f>COUNTIFS(F218:F317,X270,G218:G317,Z270,O218:O317,S270)</f>
        <v>0</v>
      </c>
      <c r="AD270" s="591">
        <f>COUNTIFS(F218:F317,Y270,G218:G317,Z270,O218:O317,S270)</f>
        <v>0</v>
      </c>
      <c r="AE270" s="594"/>
    </row>
    <row r="271" spans="1:31">
      <c r="A271" s="590">
        <v>54</v>
      </c>
      <c r="B271" s="596">
        <f t="shared" ref="B271:E271" si="192">B164</f>
        <v>0</v>
      </c>
      <c r="C271" s="596">
        <f t="shared" si="192"/>
        <v>0</v>
      </c>
      <c r="D271" s="597">
        <f t="shared" si="192"/>
        <v>0</v>
      </c>
      <c r="E271" s="597">
        <f t="shared" si="192"/>
        <v>0</v>
      </c>
      <c r="F271" s="590" t="str">
        <f>VLOOKUP(A271,STUDENT!$A$2:$BR$105,68,0)</f>
        <v/>
      </c>
      <c r="G271" s="590" t="b">
        <f>VLOOKUP(A271,STUDENT!$A$2:$BR$105,67,0)</f>
        <v>0</v>
      </c>
      <c r="H271" s="590" t="str">
        <f>MARKS!DF57</f>
        <v/>
      </c>
      <c r="I271" s="590" t="str">
        <f>MARKS!DG57</f>
        <v/>
      </c>
      <c r="J271" s="590" t="str">
        <f>MARKS!DH57</f>
        <v/>
      </c>
      <c r="K271" s="590" t="str">
        <f>MARKS!DI57</f>
        <v/>
      </c>
      <c r="L271" s="590" t="str">
        <f>MARKS!DJ57</f>
        <v/>
      </c>
      <c r="M271" s="590" t="str">
        <f>MARKS!DK57</f>
        <v/>
      </c>
      <c r="N271" s="590" t="str">
        <f>MARKS!DL57</f>
        <v/>
      </c>
      <c r="O271" s="590" t="str">
        <f>MARKS!DM57</f>
        <v/>
      </c>
      <c r="Q271" s="591" t="s">
        <v>482</v>
      </c>
      <c r="R271" s="591" t="s">
        <v>483</v>
      </c>
      <c r="S271" s="591" t="s">
        <v>101</v>
      </c>
      <c r="T271" s="591">
        <f>COUNTIFS(K218:K317,S271)</f>
        <v>0</v>
      </c>
      <c r="U271" s="591">
        <f>COUNTIFS(F218:F317,Q260,K218:K317,S271)</f>
        <v>0</v>
      </c>
      <c r="V271" s="591">
        <f>COUNTIFS(F218:F317,R260,K218:K317,S271)</f>
        <v>0</v>
      </c>
      <c r="W271" s="594"/>
      <c r="X271" s="591" t="s">
        <v>482</v>
      </c>
      <c r="Y271" s="591" t="s">
        <v>483</v>
      </c>
      <c r="Z271" s="591" t="s">
        <v>493</v>
      </c>
      <c r="AA271" s="591" t="s">
        <v>101</v>
      </c>
      <c r="AB271" s="591">
        <f>COUNTIFS(G218:G317,Z271,O218:O317,S271)</f>
        <v>0</v>
      </c>
      <c r="AC271" s="591">
        <f>COUNTIFS(F218:F317,X271,G218:G317,Z271,O218:O317,S271)</f>
        <v>0</v>
      </c>
      <c r="AD271" s="591">
        <f>COUNTIFS(F218:F317,Y271,G218:G317,Z271,O218:O317,S271)</f>
        <v>0</v>
      </c>
      <c r="AE271" s="594"/>
    </row>
    <row r="272" spans="1:31">
      <c r="A272" s="596">
        <v>55</v>
      </c>
      <c r="B272" s="596">
        <f t="shared" ref="B272:E272" si="193">B165</f>
        <v>0</v>
      </c>
      <c r="C272" s="596">
        <f t="shared" si="193"/>
        <v>0</v>
      </c>
      <c r="D272" s="597">
        <f t="shared" si="193"/>
        <v>0</v>
      </c>
      <c r="E272" s="597">
        <f t="shared" si="193"/>
        <v>0</v>
      </c>
      <c r="F272" s="590" t="str">
        <f>VLOOKUP(A272,STUDENT!$A$2:$BR$105,68,0)</f>
        <v/>
      </c>
      <c r="G272" s="590" t="b">
        <f>VLOOKUP(A272,STUDENT!$A$2:$BR$105,67,0)</f>
        <v>0</v>
      </c>
      <c r="H272" s="590" t="str">
        <f>MARKS!DF58</f>
        <v/>
      </c>
      <c r="I272" s="590" t="str">
        <f>MARKS!DG58</f>
        <v/>
      </c>
      <c r="J272" s="590" t="str">
        <f>MARKS!DH58</f>
        <v/>
      </c>
      <c r="K272" s="590" t="str">
        <f>MARKS!DI58</f>
        <v/>
      </c>
      <c r="L272" s="590" t="str">
        <f>MARKS!DJ58</f>
        <v/>
      </c>
      <c r="M272" s="590" t="str">
        <f>MARKS!DK58</f>
        <v/>
      </c>
      <c r="N272" s="590" t="str">
        <f>MARKS!DL58</f>
        <v/>
      </c>
      <c r="O272" s="590" t="str">
        <f>MARKS!DM58</f>
        <v/>
      </c>
      <c r="Q272" s="591" t="s">
        <v>482</v>
      </c>
      <c r="R272" s="591" t="s">
        <v>483</v>
      </c>
      <c r="S272" s="591" t="s">
        <v>489</v>
      </c>
      <c r="T272" s="591">
        <f>COUNTIFS(K218:K317,S272)</f>
        <v>0</v>
      </c>
      <c r="U272" s="591">
        <f>COUNTIFS(F218:F317,Q261,K218:K317,S272)</f>
        <v>0</v>
      </c>
      <c r="V272" s="591">
        <f>COUNTIFS(F218:F317,R261,K218:K317,S272)</f>
        <v>0</v>
      </c>
      <c r="W272" s="594"/>
      <c r="X272" s="591" t="s">
        <v>482</v>
      </c>
      <c r="Y272" s="591" t="s">
        <v>483</v>
      </c>
      <c r="Z272" s="591" t="s">
        <v>493</v>
      </c>
      <c r="AA272" s="591" t="s">
        <v>489</v>
      </c>
      <c r="AB272" s="591">
        <f>COUNTIFS(G218:G317,Z272,O218:O317,S272)</f>
        <v>0</v>
      </c>
      <c r="AC272" s="591">
        <f>COUNTIFS(F218:F317,X272,G218:G317,Z272,O218:O317,S272)</f>
        <v>0</v>
      </c>
      <c r="AD272" s="591">
        <f>COUNTIFS(F218:F317,Y272,G218:G317,Z272,O218:O317,S272)</f>
        <v>0</v>
      </c>
      <c r="AE272" s="594"/>
    </row>
    <row r="273" spans="1:31">
      <c r="A273" s="590">
        <v>56</v>
      </c>
      <c r="B273" s="596">
        <f t="shared" ref="B273:E273" si="194">B166</f>
        <v>0</v>
      </c>
      <c r="C273" s="596">
        <f t="shared" si="194"/>
        <v>0</v>
      </c>
      <c r="D273" s="597">
        <f t="shared" si="194"/>
        <v>0</v>
      </c>
      <c r="E273" s="597">
        <f t="shared" si="194"/>
        <v>0</v>
      </c>
      <c r="F273" s="590" t="str">
        <f>VLOOKUP(A273,STUDENT!$A$2:$BR$105,68,0)</f>
        <v/>
      </c>
      <c r="G273" s="590" t="b">
        <f>VLOOKUP(A273,STUDENT!$A$2:$BR$105,67,0)</f>
        <v>0</v>
      </c>
      <c r="H273" s="590" t="str">
        <f>MARKS!DF59</f>
        <v/>
      </c>
      <c r="I273" s="590" t="str">
        <f>MARKS!DG59</f>
        <v/>
      </c>
      <c r="J273" s="590" t="str">
        <f>MARKS!DH59</f>
        <v/>
      </c>
      <c r="K273" s="590" t="str">
        <f>MARKS!DI59</f>
        <v/>
      </c>
      <c r="L273" s="590" t="str">
        <f>MARKS!DJ59</f>
        <v/>
      </c>
      <c r="M273" s="590" t="str">
        <f>MARKS!DK59</f>
        <v/>
      </c>
      <c r="N273" s="590" t="str">
        <f>MARKS!DL59</f>
        <v/>
      </c>
      <c r="O273" s="590" t="str">
        <f>MARKS!DM59</f>
        <v/>
      </c>
      <c r="Q273" s="591" t="s">
        <v>482</v>
      </c>
      <c r="R273" s="591" t="s">
        <v>483</v>
      </c>
      <c r="S273" s="591"/>
      <c r="T273" s="591"/>
      <c r="U273" s="591"/>
      <c r="V273" s="591"/>
      <c r="W273" s="594"/>
      <c r="X273" s="591" t="s">
        <v>482</v>
      </c>
      <c r="Y273" s="591" t="s">
        <v>483</v>
      </c>
      <c r="Z273" s="591" t="s">
        <v>493</v>
      </c>
      <c r="AA273" s="591"/>
      <c r="AB273" s="591"/>
      <c r="AC273" s="591"/>
      <c r="AD273" s="591"/>
      <c r="AE273" s="594"/>
    </row>
    <row r="274" spans="1:31">
      <c r="A274" s="596">
        <v>57</v>
      </c>
      <c r="B274" s="596">
        <f t="shared" ref="B274:E274" si="195">B167</f>
        <v>0</v>
      </c>
      <c r="C274" s="596">
        <f t="shared" si="195"/>
        <v>0</v>
      </c>
      <c r="D274" s="597">
        <f t="shared" si="195"/>
        <v>0</v>
      </c>
      <c r="E274" s="597">
        <f t="shared" si="195"/>
        <v>0</v>
      </c>
      <c r="F274" s="590" t="str">
        <f>VLOOKUP(A274,STUDENT!$A$2:$BR$105,68,0)</f>
        <v/>
      </c>
      <c r="G274" s="590" t="b">
        <f>VLOOKUP(A274,STUDENT!$A$2:$BR$105,67,0)</f>
        <v>0</v>
      </c>
      <c r="H274" s="590" t="str">
        <f>MARKS!DF60</f>
        <v/>
      </c>
      <c r="I274" s="590" t="str">
        <f>MARKS!DG60</f>
        <v/>
      </c>
      <c r="J274" s="590" t="str">
        <f>MARKS!DH60</f>
        <v/>
      </c>
      <c r="K274" s="590" t="str">
        <f>MARKS!DI60</f>
        <v/>
      </c>
      <c r="L274" s="590" t="str">
        <f>MARKS!DJ60</f>
        <v/>
      </c>
      <c r="M274" s="590" t="str">
        <f>MARKS!DK60</f>
        <v/>
      </c>
      <c r="N274" s="590" t="str">
        <f>MARKS!DL60</f>
        <v/>
      </c>
      <c r="O274" s="590" t="str">
        <f>MARKS!DM60</f>
        <v/>
      </c>
      <c r="Q274" s="591"/>
      <c r="R274" s="591"/>
      <c r="S274" s="591" t="s">
        <v>102</v>
      </c>
      <c r="T274" s="591">
        <f>SUM(T266:T273)</f>
        <v>39</v>
      </c>
      <c r="U274" s="591">
        <f t="shared" ref="U274:V274" si="196">SUM(U266:U273)</f>
        <v>0</v>
      </c>
      <c r="V274" s="591">
        <f t="shared" si="196"/>
        <v>0</v>
      </c>
      <c r="W274" s="594"/>
      <c r="X274" s="591"/>
      <c r="Y274" s="591"/>
      <c r="Z274" s="591"/>
      <c r="AA274" s="591" t="s">
        <v>102</v>
      </c>
      <c r="AB274" s="591">
        <f>SUM(AB266:AB273)</f>
        <v>0</v>
      </c>
      <c r="AC274" s="591">
        <f t="shared" ref="AC274:AD274" si="197">SUM(AC266:AC273)</f>
        <v>0</v>
      </c>
      <c r="AD274" s="591">
        <f t="shared" si="197"/>
        <v>0</v>
      </c>
      <c r="AE274" s="594"/>
    </row>
    <row r="275" spans="1:31">
      <c r="A275" s="590">
        <v>58</v>
      </c>
      <c r="B275" s="596">
        <f t="shared" ref="B275:E275" si="198">B168</f>
        <v>0</v>
      </c>
      <c r="C275" s="596">
        <f t="shared" si="198"/>
        <v>0</v>
      </c>
      <c r="D275" s="597">
        <f t="shared" si="198"/>
        <v>0</v>
      </c>
      <c r="E275" s="597">
        <f t="shared" si="198"/>
        <v>0</v>
      </c>
      <c r="F275" s="590" t="str">
        <f>VLOOKUP(A275,STUDENT!$A$2:$BR$105,68,0)</f>
        <v/>
      </c>
      <c r="G275" s="590" t="b">
        <f>VLOOKUP(A275,STUDENT!$A$2:$BR$105,67,0)</f>
        <v>0</v>
      </c>
      <c r="H275" s="590" t="str">
        <f>MARKS!DF61</f>
        <v/>
      </c>
      <c r="I275" s="590" t="str">
        <f>MARKS!DG61</f>
        <v/>
      </c>
      <c r="J275" s="590" t="str">
        <f>MARKS!DH61</f>
        <v/>
      </c>
      <c r="K275" s="590" t="str">
        <f>MARKS!DI61</f>
        <v/>
      </c>
      <c r="L275" s="590" t="str">
        <f>MARKS!DJ61</f>
        <v/>
      </c>
      <c r="M275" s="590" t="str">
        <f>MARKS!DK61</f>
        <v/>
      </c>
      <c r="N275" s="590" t="str">
        <f>MARKS!DL61</f>
        <v/>
      </c>
      <c r="O275" s="590" t="str">
        <f>MARKS!DM61</f>
        <v/>
      </c>
      <c r="Q275" s="591"/>
      <c r="R275" s="591"/>
      <c r="S275" s="591"/>
      <c r="T275" s="591"/>
      <c r="U275" s="591"/>
      <c r="V275" s="591"/>
      <c r="W275" s="594"/>
      <c r="X275" s="594"/>
      <c r="Y275" s="594"/>
      <c r="Z275" s="594"/>
      <c r="AA275" s="594"/>
      <c r="AB275" s="591"/>
      <c r="AC275" s="591"/>
      <c r="AD275" s="591"/>
      <c r="AE275" s="594"/>
    </row>
    <row r="276" spans="1:31">
      <c r="A276" s="596">
        <v>59</v>
      </c>
      <c r="B276" s="596">
        <f t="shared" ref="B276:E276" si="199">B169</f>
        <v>0</v>
      </c>
      <c r="C276" s="596">
        <f t="shared" si="199"/>
        <v>0</v>
      </c>
      <c r="D276" s="597">
        <f t="shared" si="199"/>
        <v>0</v>
      </c>
      <c r="E276" s="597">
        <f t="shared" si="199"/>
        <v>0</v>
      </c>
      <c r="F276" s="590" t="str">
        <f>VLOOKUP(A276,STUDENT!$A$2:$BR$105,68,0)</f>
        <v/>
      </c>
      <c r="G276" s="590" t="b">
        <f>VLOOKUP(A276,STUDENT!$A$2:$BR$105,67,0)</f>
        <v>0</v>
      </c>
      <c r="H276" s="590" t="str">
        <f>MARKS!DF62</f>
        <v/>
      </c>
      <c r="I276" s="590" t="str">
        <f>MARKS!DG62</f>
        <v/>
      </c>
      <c r="J276" s="590" t="str">
        <f>MARKS!DH62</f>
        <v/>
      </c>
      <c r="K276" s="590" t="str">
        <f>MARKS!DI62</f>
        <v/>
      </c>
      <c r="L276" s="590" t="str">
        <f>MARKS!DJ62</f>
        <v/>
      </c>
      <c r="M276" s="590" t="str">
        <f>MARKS!DK62</f>
        <v/>
      </c>
      <c r="N276" s="590" t="str">
        <f>MARKS!DL62</f>
        <v/>
      </c>
      <c r="O276" s="590" t="str">
        <f>MARKS!DM62</f>
        <v/>
      </c>
      <c r="Q276" s="591"/>
      <c r="R276" s="591"/>
      <c r="S276" s="591"/>
      <c r="T276" s="591"/>
      <c r="U276" s="591"/>
      <c r="V276" s="591"/>
      <c r="W276" s="594"/>
      <c r="X276" s="594"/>
      <c r="Y276" s="594"/>
      <c r="Z276" s="594"/>
      <c r="AA276" s="594"/>
      <c r="AB276" s="591"/>
      <c r="AC276" s="591"/>
      <c r="AD276" s="591"/>
      <c r="AE276" s="594"/>
    </row>
    <row r="277" spans="1:31">
      <c r="A277" s="590">
        <v>60</v>
      </c>
      <c r="B277" s="596">
        <f t="shared" ref="B277:E277" si="200">B170</f>
        <v>0</v>
      </c>
      <c r="C277" s="596">
        <f t="shared" si="200"/>
        <v>0</v>
      </c>
      <c r="D277" s="597">
        <f t="shared" si="200"/>
        <v>0</v>
      </c>
      <c r="E277" s="597">
        <f t="shared" si="200"/>
        <v>0</v>
      </c>
      <c r="F277" s="590" t="str">
        <f>VLOOKUP(A277,STUDENT!$A$2:$BR$105,68,0)</f>
        <v/>
      </c>
      <c r="G277" s="590" t="b">
        <f>VLOOKUP(A277,STUDENT!$A$2:$BR$105,67,0)</f>
        <v>0</v>
      </c>
      <c r="H277" s="590" t="str">
        <f>MARKS!DF63</f>
        <v/>
      </c>
      <c r="I277" s="590" t="str">
        <f>MARKS!DG63</f>
        <v/>
      </c>
      <c r="J277" s="590" t="str">
        <f>MARKS!DH63</f>
        <v/>
      </c>
      <c r="K277" s="590" t="str">
        <f>MARKS!DI63</f>
        <v/>
      </c>
      <c r="L277" s="590" t="str">
        <f>MARKS!DJ63</f>
        <v/>
      </c>
      <c r="M277" s="590" t="str">
        <f>MARKS!DK63</f>
        <v/>
      </c>
      <c r="N277" s="590" t="str">
        <f>MARKS!DL63</f>
        <v/>
      </c>
      <c r="O277" s="590" t="str">
        <f>MARKS!DM63</f>
        <v/>
      </c>
      <c r="Q277" s="591"/>
      <c r="R277" s="591"/>
      <c r="S277" s="591"/>
      <c r="T277" s="591"/>
      <c r="U277" s="591"/>
      <c r="V277" s="591"/>
      <c r="W277" s="594"/>
      <c r="X277" s="594"/>
      <c r="Y277" s="594"/>
      <c r="Z277" s="594"/>
      <c r="AA277" s="594"/>
      <c r="AB277" s="591"/>
      <c r="AC277" s="591"/>
      <c r="AD277" s="591"/>
      <c r="AE277" s="594"/>
    </row>
    <row r="278" spans="1:31">
      <c r="A278" s="596">
        <v>61</v>
      </c>
      <c r="B278" s="596">
        <f t="shared" ref="B278:E278" si="201">B171</f>
        <v>0</v>
      </c>
      <c r="C278" s="596">
        <f t="shared" si="201"/>
        <v>0</v>
      </c>
      <c r="D278" s="597">
        <f t="shared" si="201"/>
        <v>0</v>
      </c>
      <c r="E278" s="597">
        <f t="shared" si="201"/>
        <v>0</v>
      </c>
      <c r="F278" s="590" t="str">
        <f>VLOOKUP(A278,STUDENT!$A$2:$BR$105,68,0)</f>
        <v/>
      </c>
      <c r="G278" s="590" t="b">
        <f>VLOOKUP(A278,STUDENT!$A$2:$BR$105,67,0)</f>
        <v>0</v>
      </c>
      <c r="H278" s="590" t="str">
        <f>MARKS!DF64</f>
        <v/>
      </c>
      <c r="I278" s="590" t="str">
        <f>MARKS!DG64</f>
        <v/>
      </c>
      <c r="J278" s="590" t="str">
        <f>MARKS!DH64</f>
        <v/>
      </c>
      <c r="K278" s="590" t="str">
        <f>MARKS!DI64</f>
        <v/>
      </c>
      <c r="L278" s="590" t="str">
        <f>MARKS!DJ64</f>
        <v/>
      </c>
      <c r="M278" s="590" t="str">
        <f>MARKS!DK64</f>
        <v/>
      </c>
      <c r="N278" s="590" t="str">
        <f>MARKS!DL64</f>
        <v/>
      </c>
      <c r="O278" s="590" t="str">
        <f>MARKS!DM64</f>
        <v/>
      </c>
      <c r="Q278" s="591" t="s">
        <v>475</v>
      </c>
      <c r="R278" s="591" t="s">
        <v>476</v>
      </c>
      <c r="S278" s="592" t="s">
        <v>477</v>
      </c>
      <c r="T278" s="593" t="s">
        <v>352</v>
      </c>
      <c r="U278" s="592" t="s">
        <v>479</v>
      </c>
      <c r="V278" s="592" t="s">
        <v>480</v>
      </c>
      <c r="W278" s="594"/>
      <c r="X278" s="591" t="s">
        <v>475</v>
      </c>
      <c r="Y278" s="591" t="s">
        <v>476</v>
      </c>
      <c r="Z278" s="591" t="s">
        <v>474</v>
      </c>
      <c r="AA278" s="592" t="s">
        <v>477</v>
      </c>
      <c r="AB278" s="593" t="s">
        <v>494</v>
      </c>
      <c r="AC278" s="592" t="s">
        <v>479</v>
      </c>
      <c r="AD278" s="592" t="s">
        <v>480</v>
      </c>
      <c r="AE278" s="594"/>
    </row>
    <row r="279" spans="1:31">
      <c r="A279" s="590">
        <v>62</v>
      </c>
      <c r="B279" s="596">
        <f t="shared" ref="B279:E279" si="202">B172</f>
        <v>0</v>
      </c>
      <c r="C279" s="596">
        <f t="shared" si="202"/>
        <v>0</v>
      </c>
      <c r="D279" s="597">
        <f t="shared" si="202"/>
        <v>0</v>
      </c>
      <c r="E279" s="597">
        <f t="shared" si="202"/>
        <v>0</v>
      </c>
      <c r="F279" s="590" t="str">
        <f>VLOOKUP(A279,STUDENT!$A$2:$BR$105,68,0)</f>
        <v/>
      </c>
      <c r="G279" s="590" t="b">
        <f>VLOOKUP(A279,STUDENT!$A$2:$BR$105,67,0)</f>
        <v>0</v>
      </c>
      <c r="H279" s="590" t="str">
        <f>MARKS!DF65</f>
        <v/>
      </c>
      <c r="I279" s="590" t="str">
        <f>MARKS!DG65</f>
        <v/>
      </c>
      <c r="J279" s="590" t="str">
        <f>MARKS!DH65</f>
        <v/>
      </c>
      <c r="K279" s="590" t="str">
        <f>MARKS!DI65</f>
        <v/>
      </c>
      <c r="L279" s="590" t="str">
        <f>MARKS!DJ65</f>
        <v/>
      </c>
      <c r="M279" s="590" t="str">
        <f>MARKS!DK65</f>
        <v/>
      </c>
      <c r="N279" s="590" t="str">
        <f>MARKS!DL65</f>
        <v/>
      </c>
      <c r="O279" s="590" t="str">
        <f>MARKS!DM65</f>
        <v/>
      </c>
      <c r="Q279" s="591" t="s">
        <v>482</v>
      </c>
      <c r="R279" s="591" t="s">
        <v>483</v>
      </c>
      <c r="S279" s="591" t="s">
        <v>50</v>
      </c>
      <c r="T279" s="591">
        <f>COUNTIFS(L218:L317,S279)</f>
        <v>0</v>
      </c>
      <c r="U279" s="591">
        <f>COUNTIFS(F218:F317,Q268,L218:L317,S279)</f>
        <v>0</v>
      </c>
      <c r="V279" s="591">
        <f>COUNTIFS(F218:F317,R268,L218:L317,S279)</f>
        <v>0</v>
      </c>
      <c r="W279" s="594"/>
      <c r="X279" s="591" t="s">
        <v>482</v>
      </c>
      <c r="Y279" s="591" t="s">
        <v>483</v>
      </c>
      <c r="Z279" s="591" t="s">
        <v>494</v>
      </c>
      <c r="AA279" s="591" t="s">
        <v>50</v>
      </c>
      <c r="AB279" s="591">
        <f>COUNTIFS(G218:G317,Z279,O218:O317,S279)</f>
        <v>0</v>
      </c>
      <c r="AC279" s="591">
        <f>COUNTIFS(F218:F317,X279,G218:G317,Z279,O218:O317,S279)</f>
        <v>0</v>
      </c>
      <c r="AD279" s="591">
        <f>COUNTIFS(F218:F317,Y279,G218:G317,Z279,O218:O317,S279)</f>
        <v>0</v>
      </c>
      <c r="AE279" s="594"/>
    </row>
    <row r="280" spans="1:31">
      <c r="A280" s="596">
        <v>63</v>
      </c>
      <c r="B280" s="596">
        <f t="shared" ref="B280:E280" si="203">B173</f>
        <v>0</v>
      </c>
      <c r="C280" s="596">
        <f t="shared" si="203"/>
        <v>0</v>
      </c>
      <c r="D280" s="597">
        <f t="shared" si="203"/>
        <v>0</v>
      </c>
      <c r="E280" s="597">
        <f t="shared" si="203"/>
        <v>0</v>
      </c>
      <c r="F280" s="590" t="str">
        <f>VLOOKUP(A280,STUDENT!$A$2:$BR$105,68,0)</f>
        <v/>
      </c>
      <c r="G280" s="590" t="b">
        <f>VLOOKUP(A280,STUDENT!$A$2:$BR$105,67,0)</f>
        <v>0</v>
      </c>
      <c r="H280" s="590" t="str">
        <f>MARKS!DF66</f>
        <v/>
      </c>
      <c r="I280" s="590" t="str">
        <f>MARKS!DG66</f>
        <v/>
      </c>
      <c r="J280" s="590" t="str">
        <f>MARKS!DH66</f>
        <v/>
      </c>
      <c r="K280" s="590" t="str">
        <f>MARKS!DI66</f>
        <v/>
      </c>
      <c r="L280" s="590" t="str">
        <f>MARKS!DJ66</f>
        <v/>
      </c>
      <c r="M280" s="590" t="str">
        <f>MARKS!DK66</f>
        <v/>
      </c>
      <c r="N280" s="590" t="str">
        <f>MARKS!DL66</f>
        <v/>
      </c>
      <c r="O280" s="590" t="str">
        <f>MARKS!DM66</f>
        <v/>
      </c>
      <c r="Q280" s="591" t="s">
        <v>482</v>
      </c>
      <c r="R280" s="591" t="s">
        <v>483</v>
      </c>
      <c r="S280" s="591" t="s">
        <v>485</v>
      </c>
      <c r="T280" s="591">
        <f>COUNTIFS(L218:L317,S280)</f>
        <v>0</v>
      </c>
      <c r="U280" s="591">
        <f>COUNTIFS(F218:F317,Q269,L218:L317,S280)</f>
        <v>0</v>
      </c>
      <c r="V280" s="591">
        <f>COUNTIFS(F218:F317,R269,L218:L317,S280)</f>
        <v>0</v>
      </c>
      <c r="W280" s="594"/>
      <c r="X280" s="591" t="s">
        <v>482</v>
      </c>
      <c r="Y280" s="591" t="s">
        <v>483</v>
      </c>
      <c r="Z280" s="591" t="s">
        <v>494</v>
      </c>
      <c r="AA280" s="591" t="s">
        <v>485</v>
      </c>
      <c r="AB280" s="591">
        <f>COUNTIFS(G218:G317,Z280,O218:O317,S280)</f>
        <v>0</v>
      </c>
      <c r="AC280" s="591">
        <f>COUNTIFS(F218:F317,X280,G218:G317,Z280,O218:O317,S280)</f>
        <v>0</v>
      </c>
      <c r="AD280" s="591">
        <f>COUNTIFS(F218:F317,Y280,G218:G317,Z280,O218:O317,S280)</f>
        <v>0</v>
      </c>
      <c r="AE280" s="594"/>
    </row>
    <row r="281" spans="1:31">
      <c r="A281" s="590">
        <v>64</v>
      </c>
      <c r="B281" s="596">
        <f t="shared" ref="B281:E281" si="204">B174</f>
        <v>0</v>
      </c>
      <c r="C281" s="596">
        <f t="shared" si="204"/>
        <v>0</v>
      </c>
      <c r="D281" s="597">
        <f t="shared" si="204"/>
        <v>0</v>
      </c>
      <c r="E281" s="597">
        <f t="shared" si="204"/>
        <v>0</v>
      </c>
      <c r="F281" s="590" t="str">
        <f>VLOOKUP(A281,STUDENT!$A$2:$BR$105,68,0)</f>
        <v/>
      </c>
      <c r="G281" s="590" t="b">
        <f>VLOOKUP(A281,STUDENT!$A$2:$BR$105,67,0)</f>
        <v>0</v>
      </c>
      <c r="H281" s="590" t="str">
        <f>MARKS!DF67</f>
        <v/>
      </c>
      <c r="I281" s="590" t="str">
        <f>MARKS!DG67</f>
        <v/>
      </c>
      <c r="J281" s="590" t="str">
        <f>MARKS!DH67</f>
        <v/>
      </c>
      <c r="K281" s="590" t="str">
        <f>MARKS!DI67</f>
        <v/>
      </c>
      <c r="L281" s="590" t="str">
        <f>MARKS!DJ67</f>
        <v/>
      </c>
      <c r="M281" s="590" t="str">
        <f>MARKS!DK67</f>
        <v/>
      </c>
      <c r="N281" s="590" t="str">
        <f>MARKS!DL67</f>
        <v/>
      </c>
      <c r="O281" s="590" t="str">
        <f>MARKS!DM67</f>
        <v/>
      </c>
      <c r="Q281" s="591" t="s">
        <v>482</v>
      </c>
      <c r="R281" s="591" t="s">
        <v>483</v>
      </c>
      <c r="S281" s="591" t="s">
        <v>486</v>
      </c>
      <c r="T281" s="591">
        <f>COUNTIFS(L218:L317,S281)</f>
        <v>10</v>
      </c>
      <c r="U281" s="591">
        <f>COUNTIFS(F218:F317,Q270,L218:L317,S281)</f>
        <v>0</v>
      </c>
      <c r="V281" s="591">
        <f>COUNTIFS(F218:F317,R270,L218:L317,S281)</f>
        <v>0</v>
      </c>
      <c r="W281" s="594"/>
      <c r="X281" s="591" t="s">
        <v>482</v>
      </c>
      <c r="Y281" s="591" t="s">
        <v>483</v>
      </c>
      <c r="Z281" s="591" t="s">
        <v>494</v>
      </c>
      <c r="AA281" s="591" t="s">
        <v>486</v>
      </c>
      <c r="AB281" s="591">
        <f>COUNTIFS(G218:G317,Z281,O218:O317,S281)</f>
        <v>0</v>
      </c>
      <c r="AC281" s="591">
        <f>COUNTIFS(F218:F317,X281,G218:G317,Z281,O218:O317,S281)</f>
        <v>0</v>
      </c>
      <c r="AD281" s="591">
        <f>COUNTIFS(F218:F317,Y281,G218:G317,Z281,O218:O317,S281)</f>
        <v>0</v>
      </c>
      <c r="AE281" s="594"/>
    </row>
    <row r="282" spans="1:31">
      <c r="A282" s="596">
        <v>65</v>
      </c>
      <c r="B282" s="596">
        <f t="shared" ref="B282:E282" si="205">B175</f>
        <v>0</v>
      </c>
      <c r="C282" s="596">
        <f t="shared" si="205"/>
        <v>0</v>
      </c>
      <c r="D282" s="597">
        <f t="shared" si="205"/>
        <v>0</v>
      </c>
      <c r="E282" s="597">
        <f t="shared" si="205"/>
        <v>0</v>
      </c>
      <c r="F282" s="590" t="str">
        <f>VLOOKUP(A282,STUDENT!$A$2:$BR$105,68,0)</f>
        <v/>
      </c>
      <c r="G282" s="590" t="b">
        <f>VLOOKUP(A282,STUDENT!$A$2:$BR$105,67,0)</f>
        <v>0</v>
      </c>
      <c r="H282" s="590" t="str">
        <f>MARKS!DF68</f>
        <v/>
      </c>
      <c r="I282" s="590" t="str">
        <f>MARKS!DG68</f>
        <v/>
      </c>
      <c r="J282" s="590" t="str">
        <f>MARKS!DH68</f>
        <v/>
      </c>
      <c r="K282" s="590" t="str">
        <f>MARKS!DI68</f>
        <v/>
      </c>
      <c r="L282" s="590" t="str">
        <f>MARKS!DJ68</f>
        <v/>
      </c>
      <c r="M282" s="590" t="str">
        <f>MARKS!DK68</f>
        <v/>
      </c>
      <c r="N282" s="590" t="str">
        <f>MARKS!DL68</f>
        <v/>
      </c>
      <c r="O282" s="590" t="str">
        <f>MARKS!DM68</f>
        <v/>
      </c>
      <c r="Q282" s="591" t="s">
        <v>482</v>
      </c>
      <c r="R282" s="591" t="s">
        <v>483</v>
      </c>
      <c r="S282" s="591" t="s">
        <v>487</v>
      </c>
      <c r="T282" s="591">
        <f>COUNTIFS(L218:L317,S282)</f>
        <v>16</v>
      </c>
      <c r="U282" s="591">
        <f>COUNTIFS(F218:F317,Q271,L218:L317,S282)</f>
        <v>0</v>
      </c>
      <c r="V282" s="591">
        <f>COUNTIFS(F218:F317,R271,L218:L317,S282)</f>
        <v>0</v>
      </c>
      <c r="W282" s="594"/>
      <c r="X282" s="591" t="s">
        <v>482</v>
      </c>
      <c r="Y282" s="591" t="s">
        <v>483</v>
      </c>
      <c r="Z282" s="591" t="s">
        <v>494</v>
      </c>
      <c r="AA282" s="591" t="s">
        <v>487</v>
      </c>
      <c r="AB282" s="591">
        <f>COUNTIFS(G218:G317,Z282,O218:O317,S282)</f>
        <v>0</v>
      </c>
      <c r="AC282" s="591">
        <f>COUNTIFS(F218:F317,X282,G218:G317,Z282,O218:O317,S282)</f>
        <v>0</v>
      </c>
      <c r="AD282" s="591">
        <f>COUNTIFS(F218:F317,Y282,G218:G317,Z282,O218:O317,S282)</f>
        <v>0</v>
      </c>
      <c r="AE282" s="594"/>
    </row>
    <row r="283" spans="1:31">
      <c r="A283" s="590">
        <v>66</v>
      </c>
      <c r="B283" s="596">
        <f t="shared" ref="B283:E283" si="206">B176</f>
        <v>0</v>
      </c>
      <c r="C283" s="596">
        <f t="shared" si="206"/>
        <v>0</v>
      </c>
      <c r="D283" s="597">
        <f t="shared" si="206"/>
        <v>0</v>
      </c>
      <c r="E283" s="597">
        <f t="shared" si="206"/>
        <v>0</v>
      </c>
      <c r="F283" s="590" t="str">
        <f>VLOOKUP(A283,STUDENT!$A$2:$BR$105,68,0)</f>
        <v/>
      </c>
      <c r="G283" s="590" t="b">
        <f>VLOOKUP(A283,STUDENT!$A$2:$BR$105,67,0)</f>
        <v>0</v>
      </c>
      <c r="H283" s="590" t="str">
        <f>MARKS!DF69</f>
        <v/>
      </c>
      <c r="I283" s="590" t="str">
        <f>MARKS!DG69</f>
        <v/>
      </c>
      <c r="J283" s="590" t="str">
        <f>MARKS!DH69</f>
        <v/>
      </c>
      <c r="K283" s="590" t="str">
        <f>MARKS!DI69</f>
        <v/>
      </c>
      <c r="L283" s="590" t="str">
        <f>MARKS!DJ69</f>
        <v/>
      </c>
      <c r="M283" s="590" t="str">
        <f>MARKS!DK69</f>
        <v/>
      </c>
      <c r="N283" s="590" t="str">
        <f>MARKS!DL69</f>
        <v/>
      </c>
      <c r="O283" s="590" t="str">
        <f>MARKS!DM69</f>
        <v/>
      </c>
      <c r="Q283" s="591" t="s">
        <v>482</v>
      </c>
      <c r="R283" s="591" t="s">
        <v>483</v>
      </c>
      <c r="S283" s="591" t="s">
        <v>488</v>
      </c>
      <c r="T283" s="591">
        <f>COUNTIFS(L218:L317,S283)</f>
        <v>13</v>
      </c>
      <c r="U283" s="591">
        <f>COUNTIFS(F218:F317,Q272,L218:L317,S283)</f>
        <v>0</v>
      </c>
      <c r="V283" s="591">
        <f>COUNTIFS(F218:F317,R272,L218:L317,S283)</f>
        <v>0</v>
      </c>
      <c r="W283" s="594"/>
      <c r="X283" s="591" t="s">
        <v>482</v>
      </c>
      <c r="Y283" s="591" t="s">
        <v>483</v>
      </c>
      <c r="Z283" s="591" t="s">
        <v>494</v>
      </c>
      <c r="AA283" s="591" t="s">
        <v>488</v>
      </c>
      <c r="AB283" s="591">
        <f>COUNTIFS(G218:G317,Z283,O218:O317,S283)</f>
        <v>0</v>
      </c>
      <c r="AC283" s="591">
        <f>COUNTIFS(F218:F317,X283,G218:G317,Z283,O218:O317,S283)</f>
        <v>0</v>
      </c>
      <c r="AD283" s="591">
        <f>COUNTIFS(F218:F317,Y283,G218:G317,Z283,O218:O317,S283)</f>
        <v>0</v>
      </c>
      <c r="AE283" s="594"/>
    </row>
    <row r="284" spans="1:31">
      <c r="A284" s="596">
        <v>67</v>
      </c>
      <c r="B284" s="596">
        <f t="shared" ref="B284:E284" si="207">B177</f>
        <v>0</v>
      </c>
      <c r="C284" s="596">
        <f t="shared" si="207"/>
        <v>0</v>
      </c>
      <c r="D284" s="597">
        <f t="shared" si="207"/>
        <v>0</v>
      </c>
      <c r="E284" s="597">
        <f t="shared" si="207"/>
        <v>0</v>
      </c>
      <c r="F284" s="590" t="str">
        <f>VLOOKUP(A284,STUDENT!$A$2:$BR$105,68,0)</f>
        <v/>
      </c>
      <c r="G284" s="590" t="b">
        <f>VLOOKUP(A284,STUDENT!$A$2:$BR$105,67,0)</f>
        <v>0</v>
      </c>
      <c r="H284" s="590" t="str">
        <f>MARKS!DF70</f>
        <v/>
      </c>
      <c r="I284" s="590" t="str">
        <f>MARKS!DG70</f>
        <v/>
      </c>
      <c r="J284" s="590" t="str">
        <f>MARKS!DH70</f>
        <v/>
      </c>
      <c r="K284" s="590" t="str">
        <f>MARKS!DI70</f>
        <v/>
      </c>
      <c r="L284" s="590" t="str">
        <f>MARKS!DJ70</f>
        <v/>
      </c>
      <c r="M284" s="590" t="str">
        <f>MARKS!DK70</f>
        <v/>
      </c>
      <c r="N284" s="590" t="str">
        <f>MARKS!DL70</f>
        <v/>
      </c>
      <c r="O284" s="590" t="str">
        <f>MARKS!DM70</f>
        <v/>
      </c>
      <c r="Q284" s="591" t="s">
        <v>482</v>
      </c>
      <c r="R284" s="591" t="s">
        <v>483</v>
      </c>
      <c r="S284" s="591" t="s">
        <v>101</v>
      </c>
      <c r="T284" s="591">
        <f>COUNTIFS(L218:L317,S284)</f>
        <v>0</v>
      </c>
      <c r="U284" s="591">
        <f>COUNTIFS(F218:F317,Q273,L218:L317,S284)</f>
        <v>0</v>
      </c>
      <c r="V284" s="591">
        <f>COUNTIFS(F218:F317,R273,L218:L317,S284)</f>
        <v>0</v>
      </c>
      <c r="W284" s="594"/>
      <c r="X284" s="591" t="s">
        <v>482</v>
      </c>
      <c r="Y284" s="591" t="s">
        <v>483</v>
      </c>
      <c r="Z284" s="591" t="s">
        <v>494</v>
      </c>
      <c r="AA284" s="591" t="s">
        <v>101</v>
      </c>
      <c r="AB284" s="591">
        <f>COUNTIFS(G218:G317,Z284,O218:O317,S284)</f>
        <v>0</v>
      </c>
      <c r="AC284" s="591">
        <f>COUNTIFS(F218:F317,X284,G218:G317,Z284,O218:O317,S284)</f>
        <v>0</v>
      </c>
      <c r="AD284" s="591">
        <f>COUNTIFS(F218:F317,Y284,G218:G317,Z284,O218:O317,S284)</f>
        <v>0</v>
      </c>
      <c r="AE284" s="594"/>
    </row>
    <row r="285" spans="1:31">
      <c r="A285" s="590">
        <v>68</v>
      </c>
      <c r="B285" s="596">
        <f t="shared" ref="B285:E285" si="208">B178</f>
        <v>0</v>
      </c>
      <c r="C285" s="596">
        <f t="shared" si="208"/>
        <v>0</v>
      </c>
      <c r="D285" s="597">
        <f t="shared" si="208"/>
        <v>0</v>
      </c>
      <c r="E285" s="597">
        <f t="shared" si="208"/>
        <v>0</v>
      </c>
      <c r="F285" s="590" t="str">
        <f>VLOOKUP(A285,STUDENT!$A$2:$BR$105,68,0)</f>
        <v/>
      </c>
      <c r="G285" s="590" t="b">
        <f>VLOOKUP(A285,STUDENT!$A$2:$BR$105,67,0)</f>
        <v>0</v>
      </c>
      <c r="H285" s="590" t="str">
        <f>MARKS!DF71</f>
        <v/>
      </c>
      <c r="I285" s="590" t="str">
        <f>MARKS!DG71</f>
        <v/>
      </c>
      <c r="J285" s="590" t="str">
        <f>MARKS!DH71</f>
        <v/>
      </c>
      <c r="K285" s="590" t="str">
        <f>MARKS!DI71</f>
        <v/>
      </c>
      <c r="L285" s="590" t="str">
        <f>MARKS!DJ71</f>
        <v/>
      </c>
      <c r="M285" s="590" t="str">
        <f>MARKS!DK71</f>
        <v/>
      </c>
      <c r="N285" s="590" t="str">
        <f>MARKS!DL71</f>
        <v/>
      </c>
      <c r="O285" s="590" t="str">
        <f>MARKS!DM71</f>
        <v/>
      </c>
      <c r="Q285" s="591" t="s">
        <v>482</v>
      </c>
      <c r="R285" s="591" t="s">
        <v>483</v>
      </c>
      <c r="S285" s="591" t="s">
        <v>489</v>
      </c>
      <c r="T285" s="591">
        <f>COUNTIFS(L218:L317,S285)</f>
        <v>0</v>
      </c>
      <c r="U285" s="591">
        <f>COUNTIFS(F218:F317,Q274,L218:L317,S285)</f>
        <v>0</v>
      </c>
      <c r="V285" s="591">
        <f>COUNTIFS(F218:F317,R274,L218:L317,S285)</f>
        <v>0</v>
      </c>
      <c r="W285" s="594"/>
      <c r="X285" s="591" t="s">
        <v>482</v>
      </c>
      <c r="Y285" s="591" t="s">
        <v>483</v>
      </c>
      <c r="Z285" s="591" t="s">
        <v>494</v>
      </c>
      <c r="AA285" s="591" t="s">
        <v>489</v>
      </c>
      <c r="AB285" s="591">
        <f>COUNTIFS(G218:G317,Z285,O218:O317,S285)</f>
        <v>0</v>
      </c>
      <c r="AC285" s="591">
        <f>COUNTIFS(F218:F317,X285,G218:G317,Z285,O218:O317,S285)</f>
        <v>0</v>
      </c>
      <c r="AD285" s="591">
        <f>COUNTIFS(F218:F317,Y285,G218:G317,Z285,O218:O317,S285)</f>
        <v>0</v>
      </c>
      <c r="AE285" s="594"/>
    </row>
    <row r="286" spans="1:31">
      <c r="A286" s="596">
        <v>69</v>
      </c>
      <c r="B286" s="596">
        <f t="shared" ref="B286:E286" si="209">B179</f>
        <v>0</v>
      </c>
      <c r="C286" s="596">
        <f t="shared" si="209"/>
        <v>0</v>
      </c>
      <c r="D286" s="597">
        <f t="shared" si="209"/>
        <v>0</v>
      </c>
      <c r="E286" s="597">
        <f t="shared" si="209"/>
        <v>0</v>
      </c>
      <c r="F286" s="590" t="str">
        <f>VLOOKUP(A286,STUDENT!$A$2:$BR$105,68,0)</f>
        <v/>
      </c>
      <c r="G286" s="590" t="b">
        <f>VLOOKUP(A286,STUDENT!$A$2:$BR$105,67,0)</f>
        <v>0</v>
      </c>
      <c r="H286" s="590" t="str">
        <f>MARKS!DF72</f>
        <v/>
      </c>
      <c r="I286" s="590" t="str">
        <f>MARKS!DG72</f>
        <v/>
      </c>
      <c r="J286" s="590" t="str">
        <f>MARKS!DH72</f>
        <v/>
      </c>
      <c r="K286" s="590" t="str">
        <f>MARKS!DI72</f>
        <v/>
      </c>
      <c r="L286" s="590" t="str">
        <f>MARKS!DJ72</f>
        <v/>
      </c>
      <c r="M286" s="590" t="str">
        <f>MARKS!DK72</f>
        <v/>
      </c>
      <c r="N286" s="590" t="str">
        <f>MARKS!DL72</f>
        <v/>
      </c>
      <c r="O286" s="590" t="str">
        <f>MARKS!DM72</f>
        <v/>
      </c>
      <c r="Q286" s="591" t="s">
        <v>482</v>
      </c>
      <c r="R286" s="591" t="s">
        <v>483</v>
      </c>
      <c r="S286" s="591"/>
      <c r="T286" s="591"/>
      <c r="U286" s="591"/>
      <c r="V286" s="591"/>
      <c r="W286" s="594"/>
      <c r="X286" s="591" t="s">
        <v>482</v>
      </c>
      <c r="Y286" s="591" t="s">
        <v>483</v>
      </c>
      <c r="Z286" s="591" t="s">
        <v>494</v>
      </c>
      <c r="AA286" s="591"/>
      <c r="AB286" s="591"/>
      <c r="AC286" s="591"/>
      <c r="AD286" s="591"/>
      <c r="AE286" s="594"/>
    </row>
    <row r="287" spans="1:31">
      <c r="A287" s="590">
        <v>70</v>
      </c>
      <c r="B287" s="596">
        <f t="shared" ref="B287:E287" si="210">B180</f>
        <v>0</v>
      </c>
      <c r="C287" s="596">
        <f t="shared" si="210"/>
        <v>0</v>
      </c>
      <c r="D287" s="597">
        <f t="shared" si="210"/>
        <v>0</v>
      </c>
      <c r="E287" s="597">
        <f t="shared" si="210"/>
        <v>0</v>
      </c>
      <c r="F287" s="590" t="str">
        <f>VLOOKUP(A287,STUDENT!$A$2:$BR$105,68,0)</f>
        <v/>
      </c>
      <c r="G287" s="590" t="b">
        <f>VLOOKUP(A287,STUDENT!$A$2:$BR$105,67,0)</f>
        <v>0</v>
      </c>
      <c r="H287" s="590" t="str">
        <f>MARKS!DF73</f>
        <v/>
      </c>
      <c r="I287" s="590" t="str">
        <f>MARKS!DG73</f>
        <v/>
      </c>
      <c r="J287" s="590" t="str">
        <f>MARKS!DH73</f>
        <v/>
      </c>
      <c r="K287" s="590" t="str">
        <f>MARKS!DI73</f>
        <v/>
      </c>
      <c r="L287" s="590" t="str">
        <f>MARKS!DJ73</f>
        <v/>
      </c>
      <c r="M287" s="590" t="str">
        <f>MARKS!DK73</f>
        <v/>
      </c>
      <c r="N287" s="590" t="str">
        <f>MARKS!DL73</f>
        <v/>
      </c>
      <c r="O287" s="590" t="str">
        <f>MARKS!DM73</f>
        <v/>
      </c>
      <c r="Q287" s="591"/>
      <c r="R287" s="591"/>
      <c r="S287" s="591" t="s">
        <v>102</v>
      </c>
      <c r="T287" s="591">
        <f>SUM(T279:T286)</f>
        <v>39</v>
      </c>
      <c r="U287" s="591">
        <f t="shared" ref="U287:V287" si="211">SUM(U279:U286)</f>
        <v>0</v>
      </c>
      <c r="V287" s="591">
        <f t="shared" si="211"/>
        <v>0</v>
      </c>
      <c r="W287" s="594"/>
      <c r="X287" s="591"/>
      <c r="Y287" s="591"/>
      <c r="Z287" s="591"/>
      <c r="AA287" s="591" t="s">
        <v>102</v>
      </c>
      <c r="AB287" s="591">
        <f>SUM(AB279:AB286)</f>
        <v>0</v>
      </c>
      <c r="AC287" s="591">
        <f t="shared" ref="AC287:AD287" si="212">SUM(AC279:AC286)</f>
        <v>0</v>
      </c>
      <c r="AD287" s="591">
        <f t="shared" si="212"/>
        <v>0</v>
      </c>
      <c r="AE287" s="594"/>
    </row>
    <row r="288" spans="1:31">
      <c r="A288" s="596">
        <v>71</v>
      </c>
      <c r="B288" s="596">
        <f t="shared" ref="B288:E288" si="213">B181</f>
        <v>0</v>
      </c>
      <c r="C288" s="596">
        <f t="shared" si="213"/>
        <v>0</v>
      </c>
      <c r="D288" s="597">
        <f t="shared" si="213"/>
        <v>0</v>
      </c>
      <c r="E288" s="597">
        <f t="shared" si="213"/>
        <v>0</v>
      </c>
      <c r="F288" s="590" t="str">
        <f>VLOOKUP(A288,STUDENT!$A$2:$BR$105,68,0)</f>
        <v/>
      </c>
      <c r="G288" s="590" t="b">
        <f>VLOOKUP(A288,STUDENT!$A$2:$BR$105,67,0)</f>
        <v>0</v>
      </c>
      <c r="H288" s="590" t="str">
        <f>MARKS!DF74</f>
        <v/>
      </c>
      <c r="I288" s="590" t="str">
        <f>MARKS!DG74</f>
        <v/>
      </c>
      <c r="J288" s="590" t="str">
        <f>MARKS!DH74</f>
        <v/>
      </c>
      <c r="K288" s="590" t="str">
        <f>MARKS!DI74</f>
        <v/>
      </c>
      <c r="L288" s="590" t="str">
        <f>MARKS!DJ74</f>
        <v/>
      </c>
      <c r="M288" s="590" t="str">
        <f>MARKS!DK74</f>
        <v/>
      </c>
      <c r="N288" s="590" t="str">
        <f>MARKS!DL74</f>
        <v/>
      </c>
      <c r="O288" s="590" t="str">
        <f>MARKS!DM74</f>
        <v/>
      </c>
      <c r="Q288" s="591"/>
      <c r="R288" s="591"/>
      <c r="S288" s="591"/>
      <c r="T288" s="591"/>
      <c r="U288" s="591"/>
      <c r="V288" s="591"/>
      <c r="W288" s="594"/>
      <c r="X288" s="594"/>
      <c r="Y288" s="594"/>
      <c r="Z288" s="594"/>
      <c r="AA288" s="594"/>
      <c r="AB288" s="591"/>
      <c r="AC288" s="591"/>
      <c r="AD288" s="591"/>
      <c r="AE288" s="594"/>
    </row>
    <row r="289" spans="1:31">
      <c r="A289" s="590">
        <v>72</v>
      </c>
      <c r="B289" s="596">
        <f t="shared" ref="B289:E289" si="214">B182</f>
        <v>0</v>
      </c>
      <c r="C289" s="596">
        <f t="shared" si="214"/>
        <v>0</v>
      </c>
      <c r="D289" s="597">
        <f t="shared" si="214"/>
        <v>0</v>
      </c>
      <c r="E289" s="597">
        <f t="shared" si="214"/>
        <v>0</v>
      </c>
      <c r="F289" s="590" t="str">
        <f>VLOOKUP(A289,STUDENT!$A$2:$BR$105,68,0)</f>
        <v/>
      </c>
      <c r="G289" s="590" t="b">
        <f>VLOOKUP(A289,STUDENT!$A$2:$BR$105,67,0)</f>
        <v>0</v>
      </c>
      <c r="H289" s="590" t="str">
        <f>MARKS!DF75</f>
        <v/>
      </c>
      <c r="I289" s="590" t="str">
        <f>MARKS!DG75</f>
        <v/>
      </c>
      <c r="J289" s="590" t="str">
        <f>MARKS!DH75</f>
        <v/>
      </c>
      <c r="K289" s="590" t="str">
        <f>MARKS!DI75</f>
        <v/>
      </c>
      <c r="L289" s="590" t="str">
        <f>MARKS!DJ75</f>
        <v/>
      </c>
      <c r="M289" s="590" t="str">
        <f>MARKS!DK75</f>
        <v/>
      </c>
      <c r="N289" s="590" t="str">
        <f>MARKS!DL75</f>
        <v/>
      </c>
      <c r="O289" s="590" t="str">
        <f>MARKS!DM75</f>
        <v/>
      </c>
      <c r="Q289" s="591"/>
      <c r="R289" s="591"/>
      <c r="S289" s="591"/>
      <c r="T289" s="591"/>
      <c r="U289" s="591"/>
      <c r="V289" s="591"/>
      <c r="W289" s="594"/>
      <c r="X289" s="594"/>
      <c r="Y289" s="594"/>
      <c r="Z289" s="594"/>
      <c r="AA289" s="594"/>
      <c r="AB289" s="591"/>
      <c r="AC289" s="591"/>
      <c r="AD289" s="591"/>
      <c r="AE289" s="594"/>
    </row>
    <row r="290" spans="1:31">
      <c r="A290" s="596">
        <v>73</v>
      </c>
      <c r="B290" s="596">
        <f t="shared" ref="B290:E290" si="215">B183</f>
        <v>0</v>
      </c>
      <c r="C290" s="596">
        <f t="shared" si="215"/>
        <v>0</v>
      </c>
      <c r="D290" s="597">
        <f t="shared" si="215"/>
        <v>0</v>
      </c>
      <c r="E290" s="597">
        <f t="shared" si="215"/>
        <v>0</v>
      </c>
      <c r="F290" s="590" t="str">
        <f>VLOOKUP(A290,STUDENT!$A$2:$BR$105,68,0)</f>
        <v/>
      </c>
      <c r="G290" s="590" t="b">
        <f>VLOOKUP(A290,STUDENT!$A$2:$BR$105,67,0)</f>
        <v>0</v>
      </c>
      <c r="H290" s="590" t="str">
        <f>MARKS!DF76</f>
        <v/>
      </c>
      <c r="I290" s="590" t="str">
        <f>MARKS!DG76</f>
        <v/>
      </c>
      <c r="J290" s="590" t="str">
        <f>MARKS!DH76</f>
        <v/>
      </c>
      <c r="K290" s="590" t="str">
        <f>MARKS!DI76</f>
        <v/>
      </c>
      <c r="L290" s="590" t="str">
        <f>MARKS!DJ76</f>
        <v/>
      </c>
      <c r="M290" s="590" t="str">
        <f>MARKS!DK76</f>
        <v/>
      </c>
      <c r="N290" s="590" t="str">
        <f>MARKS!DL76</f>
        <v/>
      </c>
      <c r="O290" s="590" t="str">
        <f>MARKS!DM76</f>
        <v/>
      </c>
      <c r="Q290" s="591"/>
      <c r="R290" s="591"/>
      <c r="S290" s="591"/>
      <c r="T290" s="591"/>
      <c r="U290" s="591"/>
      <c r="V290" s="591"/>
      <c r="W290" s="594"/>
      <c r="X290" s="594"/>
      <c r="Y290" s="594"/>
      <c r="Z290" s="594"/>
      <c r="AA290" s="594"/>
      <c r="AB290" s="591"/>
      <c r="AC290" s="591"/>
      <c r="AD290" s="591"/>
      <c r="AE290" s="594"/>
    </row>
    <row r="291" spans="1:31">
      <c r="A291" s="590">
        <v>74</v>
      </c>
      <c r="B291" s="596">
        <f t="shared" ref="B291:E291" si="216">B184</f>
        <v>0</v>
      </c>
      <c r="C291" s="596">
        <f t="shared" si="216"/>
        <v>0</v>
      </c>
      <c r="D291" s="597">
        <f t="shared" si="216"/>
        <v>0</v>
      </c>
      <c r="E291" s="597">
        <f t="shared" si="216"/>
        <v>0</v>
      </c>
      <c r="F291" s="590" t="str">
        <f>VLOOKUP(A291,STUDENT!$A$2:$BR$105,68,0)</f>
        <v/>
      </c>
      <c r="G291" s="590" t="b">
        <f>VLOOKUP(A291,STUDENT!$A$2:$BR$105,67,0)</f>
        <v>0</v>
      </c>
      <c r="H291" s="590" t="str">
        <f>MARKS!DF77</f>
        <v/>
      </c>
      <c r="I291" s="590" t="str">
        <f>MARKS!DG77</f>
        <v/>
      </c>
      <c r="J291" s="590" t="str">
        <f>MARKS!DH77</f>
        <v/>
      </c>
      <c r="K291" s="590" t="str">
        <f>MARKS!DI77</f>
        <v/>
      </c>
      <c r="L291" s="590" t="str">
        <f>MARKS!DJ77</f>
        <v/>
      </c>
      <c r="M291" s="590" t="str">
        <f>MARKS!DK77</f>
        <v/>
      </c>
      <c r="N291" s="590" t="str">
        <f>MARKS!DL77</f>
        <v/>
      </c>
      <c r="O291" s="590" t="str">
        <f>MARKS!DM77</f>
        <v/>
      </c>
      <c r="Q291" s="591" t="s">
        <v>475</v>
      </c>
      <c r="R291" s="591" t="s">
        <v>476</v>
      </c>
      <c r="S291" s="592" t="s">
        <v>477</v>
      </c>
      <c r="T291" s="593" t="s">
        <v>495</v>
      </c>
      <c r="U291" s="592" t="s">
        <v>479</v>
      </c>
      <c r="V291" s="592" t="s">
        <v>480</v>
      </c>
      <c r="W291" s="594"/>
      <c r="X291" s="594"/>
      <c r="Y291" s="594"/>
      <c r="Z291" s="594"/>
      <c r="AA291" s="594"/>
      <c r="AB291" s="591"/>
      <c r="AC291" s="591"/>
      <c r="AD291" s="591"/>
      <c r="AE291" s="594"/>
    </row>
    <row r="292" spans="1:31">
      <c r="A292" s="596">
        <v>75</v>
      </c>
      <c r="B292" s="596">
        <f t="shared" ref="B292:E292" si="217">B185</f>
        <v>0</v>
      </c>
      <c r="C292" s="596">
        <f t="shared" si="217"/>
        <v>0</v>
      </c>
      <c r="D292" s="597">
        <f t="shared" si="217"/>
        <v>0</v>
      </c>
      <c r="E292" s="597">
        <f t="shared" si="217"/>
        <v>0</v>
      </c>
      <c r="F292" s="590" t="str">
        <f>VLOOKUP(A292,STUDENT!$A$2:$BR$105,68,0)</f>
        <v/>
      </c>
      <c r="G292" s="590" t="b">
        <f>VLOOKUP(A292,STUDENT!$A$2:$BR$105,67,0)</f>
        <v>0</v>
      </c>
      <c r="H292" s="590" t="str">
        <f>MARKS!DF78</f>
        <v/>
      </c>
      <c r="I292" s="590" t="str">
        <f>MARKS!DG78</f>
        <v/>
      </c>
      <c r="J292" s="590" t="str">
        <f>MARKS!DH78</f>
        <v/>
      </c>
      <c r="K292" s="590" t="str">
        <f>MARKS!DI78</f>
        <v/>
      </c>
      <c r="L292" s="590" t="str">
        <f>MARKS!DJ78</f>
        <v/>
      </c>
      <c r="M292" s="590" t="str">
        <f>MARKS!DK78</f>
        <v/>
      </c>
      <c r="N292" s="590" t="str">
        <f>MARKS!DL78</f>
        <v/>
      </c>
      <c r="O292" s="590" t="str">
        <f>MARKS!DM78</f>
        <v/>
      </c>
      <c r="Q292" s="591" t="s">
        <v>482</v>
      </c>
      <c r="R292" s="591" t="s">
        <v>483</v>
      </c>
      <c r="S292" s="591" t="s">
        <v>50</v>
      </c>
      <c r="T292" s="591">
        <f>COUNTIFS(M218:M317,S292)</f>
        <v>0</v>
      </c>
      <c r="U292" s="591">
        <f>COUNTIFS(F218:F317,Q281,M218:M317,S292)</f>
        <v>0</v>
      </c>
      <c r="V292" s="591">
        <f>COUNTIFS(F218:F317,R281,M218:M317,S292)</f>
        <v>0</v>
      </c>
      <c r="W292" s="594"/>
      <c r="X292" s="594"/>
      <c r="Y292" s="594"/>
      <c r="Z292" s="594"/>
      <c r="AA292" s="594"/>
      <c r="AB292" s="591"/>
      <c r="AC292" s="591"/>
      <c r="AD292" s="591"/>
      <c r="AE292" s="594"/>
    </row>
    <row r="293" spans="1:31">
      <c r="A293" s="590">
        <v>76</v>
      </c>
      <c r="B293" s="596">
        <f t="shared" ref="B293:E293" si="218">B186</f>
        <v>0</v>
      </c>
      <c r="C293" s="596">
        <f t="shared" si="218"/>
        <v>0</v>
      </c>
      <c r="D293" s="597">
        <f t="shared" si="218"/>
        <v>0</v>
      </c>
      <c r="E293" s="597">
        <f t="shared" si="218"/>
        <v>0</v>
      </c>
      <c r="F293" s="590" t="str">
        <f>VLOOKUP(A293,STUDENT!$A$2:$BR$105,68,0)</f>
        <v/>
      </c>
      <c r="G293" s="590" t="b">
        <f>VLOOKUP(A293,STUDENT!$A$2:$BR$105,67,0)</f>
        <v>0</v>
      </c>
      <c r="H293" s="590" t="str">
        <f>MARKS!DF79</f>
        <v/>
      </c>
      <c r="I293" s="590" t="str">
        <f>MARKS!DG79</f>
        <v/>
      </c>
      <c r="J293" s="590" t="str">
        <f>MARKS!DH79</f>
        <v/>
      </c>
      <c r="K293" s="590" t="str">
        <f>MARKS!DI79</f>
        <v/>
      </c>
      <c r="L293" s="590" t="str">
        <f>MARKS!DJ79</f>
        <v/>
      </c>
      <c r="M293" s="590" t="str">
        <f>MARKS!DK79</f>
        <v/>
      </c>
      <c r="N293" s="590" t="str">
        <f>MARKS!DL79</f>
        <v/>
      </c>
      <c r="O293" s="590" t="str">
        <f>MARKS!DM79</f>
        <v/>
      </c>
      <c r="Q293" s="591" t="s">
        <v>482</v>
      </c>
      <c r="R293" s="591" t="s">
        <v>483</v>
      </c>
      <c r="S293" s="591" t="s">
        <v>485</v>
      </c>
      <c r="T293" s="591">
        <f>COUNTIFS(M218:M317,S293)</f>
        <v>0</v>
      </c>
      <c r="U293" s="591">
        <f>COUNTIFS(F218:F317,Q282,M218:M317,S293)</f>
        <v>0</v>
      </c>
      <c r="V293" s="591">
        <f>COUNTIFS(F218:F317,R282,M218:M317,S293)</f>
        <v>0</v>
      </c>
      <c r="W293" s="594"/>
      <c r="X293" s="594"/>
      <c r="Y293" s="594"/>
      <c r="Z293" s="594"/>
      <c r="AA293" s="594"/>
      <c r="AB293" s="591"/>
      <c r="AC293" s="591"/>
      <c r="AD293" s="591"/>
      <c r="AE293" s="594"/>
    </row>
    <row r="294" spans="1:31">
      <c r="A294" s="596">
        <v>77</v>
      </c>
      <c r="B294" s="596">
        <f t="shared" ref="B294:E294" si="219">B187</f>
        <v>0</v>
      </c>
      <c r="C294" s="596">
        <f t="shared" si="219"/>
        <v>0</v>
      </c>
      <c r="D294" s="597">
        <f t="shared" si="219"/>
        <v>0</v>
      </c>
      <c r="E294" s="597">
        <f t="shared" si="219"/>
        <v>0</v>
      </c>
      <c r="F294" s="590" t="str">
        <f>VLOOKUP(A294,STUDENT!$A$2:$BR$105,68,0)</f>
        <v/>
      </c>
      <c r="G294" s="590" t="b">
        <f>VLOOKUP(A294,STUDENT!$A$2:$BR$105,67,0)</f>
        <v>0</v>
      </c>
      <c r="H294" s="590" t="str">
        <f>MARKS!DF80</f>
        <v/>
      </c>
      <c r="I294" s="590" t="str">
        <f>MARKS!DG80</f>
        <v/>
      </c>
      <c r="J294" s="590" t="str">
        <f>MARKS!DH80</f>
        <v/>
      </c>
      <c r="K294" s="590" t="str">
        <f>MARKS!DI80</f>
        <v/>
      </c>
      <c r="L294" s="590" t="str">
        <f>MARKS!DJ80</f>
        <v/>
      </c>
      <c r="M294" s="590" t="str">
        <f>MARKS!DK80</f>
        <v/>
      </c>
      <c r="N294" s="590" t="str">
        <f>MARKS!DL80</f>
        <v/>
      </c>
      <c r="O294" s="590" t="str">
        <f>MARKS!DM80</f>
        <v/>
      </c>
      <c r="Q294" s="591" t="s">
        <v>482</v>
      </c>
      <c r="R294" s="591" t="s">
        <v>483</v>
      </c>
      <c r="S294" s="591" t="s">
        <v>486</v>
      </c>
      <c r="T294" s="591">
        <f>COUNTIFS(M218:M317,S294)</f>
        <v>25</v>
      </c>
      <c r="U294" s="591">
        <f>COUNTIFS(F218:F317,Q283,M218:M317,S294)</f>
        <v>0</v>
      </c>
      <c r="V294" s="591">
        <f>COUNTIFS(F218:F317,R283,M218:M317,S294)</f>
        <v>0</v>
      </c>
      <c r="W294" s="594"/>
      <c r="X294" s="594"/>
      <c r="Y294" s="594"/>
      <c r="Z294" s="594"/>
      <c r="AA294" s="594"/>
      <c r="AB294" s="591"/>
      <c r="AC294" s="591"/>
      <c r="AD294" s="591"/>
      <c r="AE294" s="594"/>
    </row>
    <row r="295" spans="1:31">
      <c r="A295" s="590">
        <v>78</v>
      </c>
      <c r="B295" s="596">
        <f t="shared" ref="B295:E295" si="220">B188</f>
        <v>0</v>
      </c>
      <c r="C295" s="596">
        <f t="shared" si="220"/>
        <v>0</v>
      </c>
      <c r="D295" s="597">
        <f t="shared" si="220"/>
        <v>0</v>
      </c>
      <c r="E295" s="597">
        <f t="shared" si="220"/>
        <v>0</v>
      </c>
      <c r="F295" s="590" t="str">
        <f>VLOOKUP(A295,STUDENT!$A$2:$BR$105,68,0)</f>
        <v/>
      </c>
      <c r="G295" s="590" t="b">
        <f>VLOOKUP(A295,STUDENT!$A$2:$BR$105,67,0)</f>
        <v>0</v>
      </c>
      <c r="H295" s="590" t="str">
        <f>MARKS!DF81</f>
        <v/>
      </c>
      <c r="I295" s="590" t="str">
        <f>MARKS!DG81</f>
        <v/>
      </c>
      <c r="J295" s="590" t="str">
        <f>MARKS!DH81</f>
        <v/>
      </c>
      <c r="K295" s="590" t="str">
        <f>MARKS!DI81</f>
        <v/>
      </c>
      <c r="L295" s="590" t="str">
        <f>MARKS!DJ81</f>
        <v/>
      </c>
      <c r="M295" s="590" t="str">
        <f>MARKS!DK81</f>
        <v/>
      </c>
      <c r="N295" s="590" t="str">
        <f>MARKS!DL81</f>
        <v/>
      </c>
      <c r="O295" s="590" t="str">
        <f>MARKS!DM81</f>
        <v/>
      </c>
      <c r="Q295" s="591" t="s">
        <v>482</v>
      </c>
      <c r="R295" s="591" t="s">
        <v>483</v>
      </c>
      <c r="S295" s="591" t="s">
        <v>487</v>
      </c>
      <c r="T295" s="591">
        <f>COUNTIFS(M218:M317,S295)</f>
        <v>11</v>
      </c>
      <c r="U295" s="591">
        <f>COUNTIFS(F218:F317,Q284,M218:M317,S295)</f>
        <v>0</v>
      </c>
      <c r="V295" s="591">
        <f>COUNTIFS(F218:F317,R284,M218:M317,S295)</f>
        <v>0</v>
      </c>
      <c r="W295" s="594"/>
      <c r="X295" s="594"/>
      <c r="Y295" s="594"/>
      <c r="Z295" s="594"/>
      <c r="AA295" s="594"/>
      <c r="AB295" s="591"/>
      <c r="AC295" s="591"/>
      <c r="AD295" s="591"/>
      <c r="AE295" s="594"/>
    </row>
    <row r="296" spans="1:31">
      <c r="A296" s="596">
        <v>79</v>
      </c>
      <c r="B296" s="596">
        <f t="shared" ref="B296:E296" si="221">B189</f>
        <v>0</v>
      </c>
      <c r="C296" s="596">
        <f t="shared" si="221"/>
        <v>0</v>
      </c>
      <c r="D296" s="597">
        <f t="shared" si="221"/>
        <v>0</v>
      </c>
      <c r="E296" s="597">
        <f t="shared" si="221"/>
        <v>0</v>
      </c>
      <c r="F296" s="590" t="str">
        <f>VLOOKUP(A296,STUDENT!$A$2:$BR$105,68,0)</f>
        <v/>
      </c>
      <c r="G296" s="590" t="b">
        <f>VLOOKUP(A296,STUDENT!$A$2:$BR$105,67,0)</f>
        <v>0</v>
      </c>
      <c r="H296" s="590" t="str">
        <f>MARKS!DF82</f>
        <v/>
      </c>
      <c r="I296" s="590" t="str">
        <f>MARKS!DG82</f>
        <v/>
      </c>
      <c r="J296" s="590" t="str">
        <f>MARKS!DH82</f>
        <v/>
      </c>
      <c r="K296" s="590" t="str">
        <f>MARKS!DI82</f>
        <v/>
      </c>
      <c r="L296" s="590" t="str">
        <f>MARKS!DJ82</f>
        <v/>
      </c>
      <c r="M296" s="590" t="str">
        <f>MARKS!DK82</f>
        <v/>
      </c>
      <c r="N296" s="590" t="str">
        <f>MARKS!DL82</f>
        <v/>
      </c>
      <c r="O296" s="590" t="str">
        <f>MARKS!DM82</f>
        <v/>
      </c>
      <c r="Q296" s="591" t="s">
        <v>482</v>
      </c>
      <c r="R296" s="591" t="s">
        <v>483</v>
      </c>
      <c r="S296" s="591" t="s">
        <v>488</v>
      </c>
      <c r="T296" s="591">
        <f>COUNTIFS(M218:M317,S296)</f>
        <v>3</v>
      </c>
      <c r="U296" s="591">
        <f>COUNTIFS(F218:F317,Q285,M218:M317,S296)</f>
        <v>0</v>
      </c>
      <c r="V296" s="591">
        <f>COUNTIFS(F218:F317,R285,M218:M317,S296)</f>
        <v>0</v>
      </c>
      <c r="W296" s="594"/>
      <c r="X296" s="594"/>
      <c r="Y296" s="594"/>
      <c r="Z296" s="594"/>
      <c r="AA296" s="594"/>
      <c r="AB296" s="591"/>
      <c r="AC296" s="591"/>
      <c r="AD296" s="591"/>
      <c r="AE296" s="594"/>
    </row>
    <row r="297" spans="1:31">
      <c r="A297" s="590">
        <v>80</v>
      </c>
      <c r="B297" s="596">
        <f t="shared" ref="B297:E297" si="222">B190</f>
        <v>0</v>
      </c>
      <c r="C297" s="596">
        <f t="shared" si="222"/>
        <v>0</v>
      </c>
      <c r="D297" s="597">
        <f t="shared" si="222"/>
        <v>0</v>
      </c>
      <c r="E297" s="597">
        <f t="shared" si="222"/>
        <v>0</v>
      </c>
      <c r="F297" s="590" t="str">
        <f>VLOOKUP(A297,STUDENT!$A$2:$BR$105,68,0)</f>
        <v/>
      </c>
      <c r="G297" s="590" t="b">
        <f>VLOOKUP(A297,STUDENT!$A$2:$BR$105,67,0)</f>
        <v>0</v>
      </c>
      <c r="H297" s="590" t="str">
        <f>MARKS!DF83</f>
        <v/>
      </c>
      <c r="I297" s="590" t="str">
        <f>MARKS!DG83</f>
        <v/>
      </c>
      <c r="J297" s="590" t="str">
        <f>MARKS!DH83</f>
        <v/>
      </c>
      <c r="K297" s="590" t="str">
        <f>MARKS!DI83</f>
        <v/>
      </c>
      <c r="L297" s="590" t="str">
        <f>MARKS!DJ83</f>
        <v/>
      </c>
      <c r="M297" s="590" t="str">
        <f>MARKS!DK83</f>
        <v/>
      </c>
      <c r="N297" s="590" t="str">
        <f>MARKS!DL83</f>
        <v/>
      </c>
      <c r="O297" s="590" t="str">
        <f>MARKS!DM83</f>
        <v/>
      </c>
      <c r="Q297" s="591" t="s">
        <v>482</v>
      </c>
      <c r="R297" s="591" t="s">
        <v>483</v>
      </c>
      <c r="S297" s="591" t="s">
        <v>101</v>
      </c>
      <c r="T297" s="591">
        <f>COUNTIFS(M218:M317,S297)</f>
        <v>0</v>
      </c>
      <c r="U297" s="591">
        <f>COUNTIFS(F218:F317,Q286,M218:M317,S297)</f>
        <v>0</v>
      </c>
      <c r="V297" s="591">
        <f>COUNTIFS(F218:F317,R286,M218:M317,S297)</f>
        <v>0</v>
      </c>
      <c r="W297" s="594"/>
      <c r="X297" s="594"/>
      <c r="Y297" s="594"/>
      <c r="Z297" s="594"/>
      <c r="AA297" s="594"/>
      <c r="AB297" s="591"/>
      <c r="AC297" s="591"/>
      <c r="AD297" s="591"/>
      <c r="AE297" s="594"/>
    </row>
    <row r="298" spans="1:31">
      <c r="A298" s="596">
        <v>81</v>
      </c>
      <c r="B298" s="596">
        <f t="shared" ref="B298:E298" si="223">B191</f>
        <v>0</v>
      </c>
      <c r="C298" s="596">
        <f t="shared" si="223"/>
        <v>0</v>
      </c>
      <c r="D298" s="597">
        <f t="shared" si="223"/>
        <v>0</v>
      </c>
      <c r="E298" s="597">
        <f t="shared" si="223"/>
        <v>0</v>
      </c>
      <c r="F298" s="590" t="str">
        <f>VLOOKUP(A298,STUDENT!$A$2:$BR$105,68,0)</f>
        <v/>
      </c>
      <c r="G298" s="590" t="b">
        <f>VLOOKUP(A298,STUDENT!$A$2:$BR$105,67,0)</f>
        <v>0</v>
      </c>
      <c r="H298" s="590" t="str">
        <f>MARKS!DF84</f>
        <v/>
      </c>
      <c r="I298" s="590" t="str">
        <f>MARKS!DG84</f>
        <v/>
      </c>
      <c r="J298" s="590" t="str">
        <f>MARKS!DH84</f>
        <v/>
      </c>
      <c r="K298" s="590" t="str">
        <f>MARKS!DI84</f>
        <v/>
      </c>
      <c r="L298" s="590" t="str">
        <f>MARKS!DJ84</f>
        <v/>
      </c>
      <c r="M298" s="590" t="str">
        <f>MARKS!DK84</f>
        <v/>
      </c>
      <c r="N298" s="590" t="str">
        <f>MARKS!DL84</f>
        <v/>
      </c>
      <c r="O298" s="590" t="str">
        <f>MARKS!DM84</f>
        <v/>
      </c>
      <c r="Q298" s="591" t="s">
        <v>482</v>
      </c>
      <c r="R298" s="591" t="s">
        <v>483</v>
      </c>
      <c r="S298" s="591" t="s">
        <v>489</v>
      </c>
      <c r="T298" s="591">
        <f>COUNTIFS(M218:M317,S298)</f>
        <v>0</v>
      </c>
      <c r="U298" s="591">
        <f>COUNTIFS(F218:F317,Q287,M218:M317,S298)</f>
        <v>0</v>
      </c>
      <c r="V298" s="591">
        <f>COUNTIFS(F218:F317,R287,M218:M317,S298)</f>
        <v>0</v>
      </c>
      <c r="W298" s="594"/>
      <c r="X298" s="594"/>
      <c r="Y298" s="594"/>
      <c r="Z298" s="594"/>
      <c r="AA298" s="594"/>
      <c r="AB298" s="591"/>
      <c r="AC298" s="591"/>
      <c r="AD298" s="591"/>
      <c r="AE298" s="594"/>
    </row>
    <row r="299" spans="1:31">
      <c r="A299" s="590">
        <v>82</v>
      </c>
      <c r="B299" s="596">
        <f t="shared" ref="B299:E299" si="224">B192</f>
        <v>0</v>
      </c>
      <c r="C299" s="596">
        <f t="shared" si="224"/>
        <v>0</v>
      </c>
      <c r="D299" s="597">
        <f t="shared" si="224"/>
        <v>0</v>
      </c>
      <c r="E299" s="597">
        <f t="shared" si="224"/>
        <v>0</v>
      </c>
      <c r="F299" s="590" t="str">
        <f>VLOOKUP(A299,STUDENT!$A$2:$BR$105,68,0)</f>
        <v/>
      </c>
      <c r="G299" s="590" t="b">
        <f>VLOOKUP(A299,STUDENT!$A$2:$BR$105,67,0)</f>
        <v>0</v>
      </c>
      <c r="H299" s="590" t="str">
        <f>MARKS!DF85</f>
        <v/>
      </c>
      <c r="I299" s="590" t="str">
        <f>MARKS!DG85</f>
        <v/>
      </c>
      <c r="J299" s="590" t="str">
        <f>MARKS!DH85</f>
        <v/>
      </c>
      <c r="K299" s="590" t="str">
        <f>MARKS!DI85</f>
        <v/>
      </c>
      <c r="L299" s="590" t="str">
        <f>MARKS!DJ85</f>
        <v/>
      </c>
      <c r="M299" s="590" t="str">
        <f>MARKS!DK85</f>
        <v/>
      </c>
      <c r="N299" s="590" t="str">
        <f>MARKS!DL85</f>
        <v/>
      </c>
      <c r="O299" s="590" t="str">
        <f>MARKS!DM85</f>
        <v/>
      </c>
      <c r="Q299" s="591" t="s">
        <v>482</v>
      </c>
      <c r="R299" s="591" t="s">
        <v>483</v>
      </c>
      <c r="S299" s="591"/>
      <c r="T299" s="591"/>
      <c r="U299" s="591"/>
      <c r="V299" s="591"/>
      <c r="W299" s="594"/>
      <c r="X299" s="594"/>
      <c r="Y299" s="594"/>
      <c r="Z299" s="594"/>
      <c r="AA299" s="594"/>
      <c r="AB299" s="591"/>
      <c r="AC299" s="591"/>
      <c r="AD299" s="591"/>
      <c r="AE299" s="594"/>
    </row>
    <row r="300" spans="1:31">
      <c r="A300" s="596">
        <v>83</v>
      </c>
      <c r="B300" s="596">
        <f t="shared" ref="B300:E300" si="225">B193</f>
        <v>0</v>
      </c>
      <c r="C300" s="596">
        <f t="shared" si="225"/>
        <v>0</v>
      </c>
      <c r="D300" s="597">
        <f t="shared" si="225"/>
        <v>0</v>
      </c>
      <c r="E300" s="597">
        <f t="shared" si="225"/>
        <v>0</v>
      </c>
      <c r="F300" s="590" t="str">
        <f>VLOOKUP(A300,STUDENT!$A$2:$BR$105,68,0)</f>
        <v/>
      </c>
      <c r="G300" s="590" t="b">
        <f>VLOOKUP(A300,STUDENT!$A$2:$BR$105,67,0)</f>
        <v>0</v>
      </c>
      <c r="H300" s="590" t="str">
        <f>MARKS!DF86</f>
        <v/>
      </c>
      <c r="I300" s="590" t="str">
        <f>MARKS!DG86</f>
        <v/>
      </c>
      <c r="J300" s="590" t="str">
        <f>MARKS!DH86</f>
        <v/>
      </c>
      <c r="K300" s="590" t="str">
        <f>MARKS!DI86</f>
        <v/>
      </c>
      <c r="L300" s="590" t="str">
        <f>MARKS!DJ86</f>
        <v/>
      </c>
      <c r="M300" s="590" t="str">
        <f>MARKS!DK86</f>
        <v/>
      </c>
      <c r="N300" s="590" t="str">
        <f>MARKS!DL86</f>
        <v/>
      </c>
      <c r="O300" s="590" t="str">
        <f>MARKS!DM86</f>
        <v/>
      </c>
      <c r="Q300" s="591"/>
      <c r="R300" s="591"/>
      <c r="S300" s="591" t="s">
        <v>102</v>
      </c>
      <c r="T300" s="591">
        <f>SUM(T292:T299)</f>
        <v>39</v>
      </c>
      <c r="U300" s="591">
        <f t="shared" ref="U300:V300" si="226">SUM(U292:U299)</f>
        <v>0</v>
      </c>
      <c r="V300" s="591">
        <f t="shared" si="226"/>
        <v>0</v>
      </c>
      <c r="W300" s="594"/>
      <c r="X300" s="594"/>
      <c r="Y300" s="594"/>
      <c r="Z300" s="594"/>
      <c r="AA300" s="594"/>
      <c r="AB300" s="591"/>
      <c r="AC300" s="591"/>
      <c r="AD300" s="591"/>
      <c r="AE300" s="594"/>
    </row>
    <row r="301" spans="1:31">
      <c r="A301" s="590">
        <v>84</v>
      </c>
      <c r="B301" s="596">
        <f t="shared" ref="B301:E301" si="227">B194</f>
        <v>0</v>
      </c>
      <c r="C301" s="596">
        <f t="shared" si="227"/>
        <v>0</v>
      </c>
      <c r="D301" s="597">
        <f t="shared" si="227"/>
        <v>0</v>
      </c>
      <c r="E301" s="597">
        <f t="shared" si="227"/>
        <v>0</v>
      </c>
      <c r="F301" s="590" t="str">
        <f>VLOOKUP(A301,STUDENT!$A$2:$BR$105,68,0)</f>
        <v/>
      </c>
      <c r="G301" s="590" t="b">
        <f>VLOOKUP(A301,STUDENT!$A$2:$BR$105,67,0)</f>
        <v>0</v>
      </c>
      <c r="H301" s="590" t="str">
        <f>MARKS!DF87</f>
        <v/>
      </c>
      <c r="I301" s="590" t="str">
        <f>MARKS!DG87</f>
        <v/>
      </c>
      <c r="J301" s="590" t="str">
        <f>MARKS!DH87</f>
        <v/>
      </c>
      <c r="K301" s="590" t="str">
        <f>MARKS!DI87</f>
        <v/>
      </c>
      <c r="L301" s="590" t="str">
        <f>MARKS!DJ87</f>
        <v/>
      </c>
      <c r="M301" s="590" t="str">
        <f>MARKS!DK87</f>
        <v/>
      </c>
      <c r="N301" s="590" t="str">
        <f>MARKS!DL87</f>
        <v/>
      </c>
      <c r="O301" s="590" t="str">
        <f>MARKS!DM87</f>
        <v/>
      </c>
      <c r="Q301" s="591"/>
      <c r="R301" s="591"/>
      <c r="S301" s="591"/>
      <c r="T301" s="591"/>
      <c r="U301" s="591"/>
      <c r="V301" s="591"/>
      <c r="W301" s="594"/>
      <c r="X301" s="594"/>
      <c r="Y301" s="594"/>
      <c r="Z301" s="594"/>
      <c r="AA301" s="594"/>
      <c r="AB301" s="591"/>
      <c r="AC301" s="591"/>
      <c r="AD301" s="591"/>
      <c r="AE301" s="594"/>
    </row>
    <row r="302" spans="1:31">
      <c r="A302" s="596">
        <v>85</v>
      </c>
      <c r="B302" s="596">
        <f t="shared" ref="B302:E302" si="228">B195</f>
        <v>0</v>
      </c>
      <c r="C302" s="596">
        <f t="shared" si="228"/>
        <v>0</v>
      </c>
      <c r="D302" s="597">
        <f t="shared" si="228"/>
        <v>0</v>
      </c>
      <c r="E302" s="597">
        <f t="shared" si="228"/>
        <v>0</v>
      </c>
      <c r="F302" s="590" t="str">
        <f>VLOOKUP(A302,STUDENT!$A$2:$BR$105,68,0)</f>
        <v/>
      </c>
      <c r="G302" s="590" t="b">
        <f>VLOOKUP(A302,STUDENT!$A$2:$BR$105,67,0)</f>
        <v>0</v>
      </c>
      <c r="H302" s="590" t="str">
        <f>MARKS!DF88</f>
        <v/>
      </c>
      <c r="I302" s="590" t="str">
        <f>MARKS!DG88</f>
        <v/>
      </c>
      <c r="J302" s="590" t="str">
        <f>MARKS!DH88</f>
        <v/>
      </c>
      <c r="K302" s="590" t="str">
        <f>MARKS!DI88</f>
        <v/>
      </c>
      <c r="L302" s="590" t="str">
        <f>MARKS!DJ88</f>
        <v/>
      </c>
      <c r="M302" s="590" t="str">
        <f>MARKS!DK88</f>
        <v/>
      </c>
      <c r="N302" s="590" t="str">
        <f>MARKS!DL88</f>
        <v/>
      </c>
      <c r="O302" s="590" t="str">
        <f>MARKS!DM88</f>
        <v/>
      </c>
      <c r="Q302" s="591"/>
      <c r="R302" s="591"/>
      <c r="S302" s="591"/>
      <c r="T302" s="591"/>
      <c r="U302" s="591"/>
      <c r="V302" s="591"/>
      <c r="W302" s="594"/>
      <c r="X302" s="594"/>
      <c r="Y302" s="594"/>
      <c r="Z302" s="594"/>
      <c r="AA302" s="594"/>
      <c r="AB302" s="591"/>
      <c r="AC302" s="591"/>
      <c r="AD302" s="591"/>
      <c r="AE302" s="594"/>
    </row>
    <row r="303" spans="1:31">
      <c r="A303" s="590">
        <v>86</v>
      </c>
      <c r="B303" s="596">
        <f t="shared" ref="B303:E303" si="229">B196</f>
        <v>0</v>
      </c>
      <c r="C303" s="596">
        <f t="shared" si="229"/>
        <v>0</v>
      </c>
      <c r="D303" s="597">
        <f t="shared" si="229"/>
        <v>0</v>
      </c>
      <c r="E303" s="597">
        <f t="shared" si="229"/>
        <v>0</v>
      </c>
      <c r="F303" s="590" t="str">
        <f>VLOOKUP(A303,STUDENT!$A$2:$BR$105,68,0)</f>
        <v/>
      </c>
      <c r="G303" s="590" t="b">
        <f>VLOOKUP(A303,STUDENT!$A$2:$BR$105,67,0)</f>
        <v>0</v>
      </c>
      <c r="H303" s="590" t="str">
        <f>MARKS!DF89</f>
        <v/>
      </c>
      <c r="I303" s="590" t="str">
        <f>MARKS!DG89</f>
        <v/>
      </c>
      <c r="J303" s="590" t="str">
        <f>MARKS!DH89</f>
        <v/>
      </c>
      <c r="K303" s="590" t="str">
        <f>MARKS!DI89</f>
        <v/>
      </c>
      <c r="L303" s="590" t="str">
        <f>MARKS!DJ89</f>
        <v/>
      </c>
      <c r="M303" s="590" t="str">
        <f>MARKS!DK89</f>
        <v/>
      </c>
      <c r="N303" s="590" t="str">
        <f>MARKS!DL89</f>
        <v/>
      </c>
      <c r="O303" s="590" t="str">
        <f>MARKS!DM89</f>
        <v/>
      </c>
      <c r="Q303" s="591"/>
      <c r="R303" s="591"/>
      <c r="S303" s="591"/>
      <c r="T303" s="591"/>
      <c r="U303" s="591"/>
      <c r="V303" s="591"/>
      <c r="W303" s="594"/>
      <c r="X303" s="594"/>
      <c r="Y303" s="594"/>
      <c r="Z303" s="594"/>
      <c r="AA303" s="594"/>
      <c r="AB303" s="591"/>
      <c r="AC303" s="591"/>
      <c r="AD303" s="591"/>
      <c r="AE303" s="594"/>
    </row>
    <row r="304" spans="1:31">
      <c r="A304" s="596">
        <v>87</v>
      </c>
      <c r="B304" s="596">
        <f t="shared" ref="B304:E304" si="230">B197</f>
        <v>0</v>
      </c>
      <c r="C304" s="596">
        <f t="shared" si="230"/>
        <v>0</v>
      </c>
      <c r="D304" s="597">
        <f t="shared" si="230"/>
        <v>0</v>
      </c>
      <c r="E304" s="597">
        <f t="shared" si="230"/>
        <v>0</v>
      </c>
      <c r="F304" s="590" t="str">
        <f>VLOOKUP(A304,STUDENT!$A$2:$BR$105,68,0)</f>
        <v/>
      </c>
      <c r="G304" s="590" t="b">
        <f>VLOOKUP(A304,STUDENT!$A$2:$BR$105,67,0)</f>
        <v>0</v>
      </c>
      <c r="H304" s="590" t="str">
        <f>MARKS!DF90</f>
        <v/>
      </c>
      <c r="I304" s="590" t="str">
        <f>MARKS!DG90</f>
        <v/>
      </c>
      <c r="J304" s="590" t="str">
        <f>MARKS!DH90</f>
        <v/>
      </c>
      <c r="K304" s="590" t="str">
        <f>MARKS!DI90</f>
        <v/>
      </c>
      <c r="L304" s="590" t="str">
        <f>MARKS!DJ90</f>
        <v/>
      </c>
      <c r="M304" s="590" t="str">
        <f>MARKS!DK90</f>
        <v/>
      </c>
      <c r="N304" s="590" t="str">
        <f>MARKS!DL90</f>
        <v/>
      </c>
      <c r="O304" s="590" t="str">
        <f>MARKS!DM90</f>
        <v/>
      </c>
      <c r="Q304" s="591" t="s">
        <v>475</v>
      </c>
      <c r="R304" s="591" t="s">
        <v>476</v>
      </c>
      <c r="S304" s="592" t="s">
        <v>477</v>
      </c>
      <c r="T304" s="593" t="s">
        <v>354</v>
      </c>
      <c r="U304" s="592" t="s">
        <v>479</v>
      </c>
      <c r="V304" s="592" t="s">
        <v>480</v>
      </c>
      <c r="W304" s="594"/>
      <c r="X304" s="594"/>
      <c r="Y304" s="594"/>
      <c r="Z304" s="594"/>
      <c r="AA304" s="594"/>
      <c r="AB304" s="591"/>
      <c r="AC304" s="591"/>
      <c r="AD304" s="591"/>
      <c r="AE304" s="594"/>
    </row>
    <row r="305" spans="1:31">
      <c r="A305" s="590">
        <v>88</v>
      </c>
      <c r="B305" s="596">
        <f t="shared" ref="B305:E305" si="231">B198</f>
        <v>0</v>
      </c>
      <c r="C305" s="596">
        <f t="shared" si="231"/>
        <v>0</v>
      </c>
      <c r="D305" s="597">
        <f t="shared" si="231"/>
        <v>0</v>
      </c>
      <c r="E305" s="597">
        <f t="shared" si="231"/>
        <v>0</v>
      </c>
      <c r="F305" s="590" t="str">
        <f>VLOOKUP(A305,STUDENT!$A$2:$BR$105,68,0)</f>
        <v/>
      </c>
      <c r="G305" s="590" t="b">
        <f>VLOOKUP(A305,STUDENT!$A$2:$BR$105,67,0)</f>
        <v>0</v>
      </c>
      <c r="H305" s="590" t="str">
        <f>MARKS!DF91</f>
        <v/>
      </c>
      <c r="I305" s="590" t="str">
        <f>MARKS!DG91</f>
        <v/>
      </c>
      <c r="J305" s="590" t="str">
        <f>MARKS!DH91</f>
        <v/>
      </c>
      <c r="K305" s="590" t="str">
        <f>MARKS!DI91</f>
        <v/>
      </c>
      <c r="L305" s="590" t="str">
        <f>MARKS!DJ91</f>
        <v/>
      </c>
      <c r="M305" s="590" t="str">
        <f>MARKS!DK91</f>
        <v/>
      </c>
      <c r="N305" s="590" t="str">
        <f>MARKS!DL91</f>
        <v/>
      </c>
      <c r="O305" s="590" t="str">
        <f>MARKS!DM91</f>
        <v/>
      </c>
      <c r="Q305" s="591" t="s">
        <v>482</v>
      </c>
      <c r="R305" s="591" t="s">
        <v>483</v>
      </c>
      <c r="S305" s="591" t="s">
        <v>50</v>
      </c>
      <c r="T305" s="591">
        <f>COUNTIFS(N218:N317,S305)</f>
        <v>0</v>
      </c>
      <c r="U305" s="591">
        <f>COUNTIFS(F218:F317,Q294,N218:N317,S305)</f>
        <v>0</v>
      </c>
      <c r="V305" s="591">
        <f>COUNTIFS(F218:F317,R294,N218:N317,S305)</f>
        <v>0</v>
      </c>
      <c r="W305" s="594"/>
      <c r="X305" s="594"/>
      <c r="Y305" s="594"/>
      <c r="Z305" s="594"/>
      <c r="AA305" s="594"/>
      <c r="AB305" s="591"/>
      <c r="AC305" s="591"/>
      <c r="AD305" s="591"/>
      <c r="AE305" s="594"/>
    </row>
    <row r="306" spans="1:31">
      <c r="A306" s="596">
        <v>89</v>
      </c>
      <c r="B306" s="596">
        <f t="shared" ref="B306:E306" si="232">B199</f>
        <v>0</v>
      </c>
      <c r="C306" s="596">
        <f t="shared" si="232"/>
        <v>0</v>
      </c>
      <c r="D306" s="597">
        <f t="shared" si="232"/>
        <v>0</v>
      </c>
      <c r="E306" s="597">
        <f t="shared" si="232"/>
        <v>0</v>
      </c>
      <c r="F306" s="590" t="str">
        <f>VLOOKUP(A306,STUDENT!$A$2:$BR$105,68,0)</f>
        <v/>
      </c>
      <c r="G306" s="590" t="b">
        <f>VLOOKUP(A306,STUDENT!$A$2:$BR$105,67,0)</f>
        <v>0</v>
      </c>
      <c r="H306" s="590" t="str">
        <f>MARKS!DF92</f>
        <v/>
      </c>
      <c r="I306" s="590" t="str">
        <f>MARKS!DG92</f>
        <v/>
      </c>
      <c r="J306" s="590" t="str">
        <f>MARKS!DH92</f>
        <v/>
      </c>
      <c r="K306" s="590" t="str">
        <f>MARKS!DI92</f>
        <v/>
      </c>
      <c r="L306" s="590" t="str">
        <f>MARKS!DJ92</f>
        <v/>
      </c>
      <c r="M306" s="590" t="str">
        <f>MARKS!DK92</f>
        <v/>
      </c>
      <c r="N306" s="590" t="str">
        <f>MARKS!DL92</f>
        <v/>
      </c>
      <c r="O306" s="590" t="str">
        <f>MARKS!DM92</f>
        <v/>
      </c>
      <c r="Q306" s="591" t="s">
        <v>482</v>
      </c>
      <c r="R306" s="591" t="s">
        <v>483</v>
      </c>
      <c r="S306" s="591" t="s">
        <v>485</v>
      </c>
      <c r="T306" s="591">
        <f>COUNTIFS(N218:N317,S306)</f>
        <v>0</v>
      </c>
      <c r="U306" s="591">
        <f>COUNTIFS(F218:F317,Q295,N218:N317,S306)</f>
        <v>0</v>
      </c>
      <c r="V306" s="591">
        <f>COUNTIFS(F218:F317,R295,N218:N317,S306)</f>
        <v>0</v>
      </c>
      <c r="W306" s="594"/>
      <c r="X306" s="594"/>
      <c r="Y306" s="594"/>
      <c r="Z306" s="594"/>
      <c r="AA306" s="594"/>
      <c r="AB306" s="591"/>
      <c r="AC306" s="591"/>
      <c r="AD306" s="591"/>
      <c r="AE306" s="594"/>
    </row>
    <row r="307" spans="1:31">
      <c r="A307" s="590">
        <v>90</v>
      </c>
      <c r="B307" s="596">
        <f t="shared" ref="B307:E307" si="233">B200</f>
        <v>0</v>
      </c>
      <c r="C307" s="596">
        <f t="shared" si="233"/>
        <v>0</v>
      </c>
      <c r="D307" s="597">
        <f t="shared" si="233"/>
        <v>0</v>
      </c>
      <c r="E307" s="597">
        <f t="shared" si="233"/>
        <v>0</v>
      </c>
      <c r="F307" s="590" t="str">
        <f>VLOOKUP(A307,STUDENT!$A$2:$BR$105,68,0)</f>
        <v/>
      </c>
      <c r="G307" s="590" t="b">
        <f>VLOOKUP(A307,STUDENT!$A$2:$BR$105,67,0)</f>
        <v>0</v>
      </c>
      <c r="H307" s="590" t="str">
        <f>MARKS!DF93</f>
        <v/>
      </c>
      <c r="I307" s="590" t="str">
        <f>MARKS!DG93</f>
        <v/>
      </c>
      <c r="J307" s="590" t="str">
        <f>MARKS!DH93</f>
        <v/>
      </c>
      <c r="K307" s="590" t="str">
        <f>MARKS!DI93</f>
        <v/>
      </c>
      <c r="L307" s="590" t="str">
        <f>MARKS!DJ93</f>
        <v/>
      </c>
      <c r="M307" s="590" t="str">
        <f>MARKS!DK93</f>
        <v/>
      </c>
      <c r="N307" s="590" t="str">
        <f>MARKS!DL93</f>
        <v/>
      </c>
      <c r="O307" s="590" t="str">
        <f>MARKS!DM93</f>
        <v/>
      </c>
      <c r="Q307" s="591" t="s">
        <v>482</v>
      </c>
      <c r="R307" s="591" t="s">
        <v>483</v>
      </c>
      <c r="S307" s="591" t="s">
        <v>486</v>
      </c>
      <c r="T307" s="591">
        <f>COUNTIFS(N218:N317,S307)</f>
        <v>0</v>
      </c>
      <c r="U307" s="591">
        <f>COUNTIFS(F218:F317,Q296,N218:N317,S307)</f>
        <v>0</v>
      </c>
      <c r="V307" s="591">
        <f>COUNTIFS(F218:F317,R296,N218:N317,S307)</f>
        <v>0</v>
      </c>
      <c r="W307" s="594"/>
      <c r="X307" s="594"/>
      <c r="Y307" s="594"/>
      <c r="Z307" s="594"/>
      <c r="AA307" s="594"/>
      <c r="AB307" s="591"/>
      <c r="AC307" s="591"/>
      <c r="AD307" s="591"/>
      <c r="AE307" s="594"/>
    </row>
    <row r="308" spans="1:31">
      <c r="A308" s="596">
        <v>91</v>
      </c>
      <c r="B308" s="596">
        <f t="shared" ref="B308:E308" si="234">B201</f>
        <v>0</v>
      </c>
      <c r="C308" s="596">
        <f t="shared" si="234"/>
        <v>0</v>
      </c>
      <c r="D308" s="597">
        <f t="shared" si="234"/>
        <v>0</v>
      </c>
      <c r="E308" s="597">
        <f t="shared" si="234"/>
        <v>0</v>
      </c>
      <c r="F308" s="590" t="str">
        <f>VLOOKUP(A308,STUDENT!$A$2:$BR$105,68,0)</f>
        <v/>
      </c>
      <c r="G308" s="590" t="b">
        <f>VLOOKUP(A308,STUDENT!$A$2:$BR$105,67,0)</f>
        <v>0</v>
      </c>
      <c r="H308" s="590" t="str">
        <f>MARKS!DF94</f>
        <v/>
      </c>
      <c r="I308" s="590" t="str">
        <f>MARKS!DG94</f>
        <v/>
      </c>
      <c r="J308" s="590" t="str">
        <f>MARKS!DH94</f>
        <v/>
      </c>
      <c r="K308" s="590" t="str">
        <f>MARKS!DI94</f>
        <v/>
      </c>
      <c r="L308" s="590" t="str">
        <f>MARKS!DJ94</f>
        <v/>
      </c>
      <c r="M308" s="590" t="str">
        <f>MARKS!DK94</f>
        <v/>
      </c>
      <c r="N308" s="590" t="str">
        <f>MARKS!DL94</f>
        <v/>
      </c>
      <c r="O308" s="590" t="str">
        <f>MARKS!DM94</f>
        <v/>
      </c>
      <c r="Q308" s="591" t="s">
        <v>482</v>
      </c>
      <c r="R308" s="591" t="s">
        <v>483</v>
      </c>
      <c r="S308" s="591" t="s">
        <v>487</v>
      </c>
      <c r="T308" s="591">
        <f>COUNTIFS(N218:N317,S308)</f>
        <v>0</v>
      </c>
      <c r="U308" s="591">
        <f>COUNTIFS(F218:F317,Q297,N218:N317,S308)</f>
        <v>0</v>
      </c>
      <c r="V308" s="591">
        <f>COUNTIFS(F218:F317,R297,N218:N317,S308)</f>
        <v>0</v>
      </c>
      <c r="W308" s="594"/>
      <c r="X308" s="594"/>
      <c r="Y308" s="594"/>
      <c r="Z308" s="594"/>
      <c r="AA308" s="594"/>
      <c r="AB308" s="591"/>
      <c r="AC308" s="591"/>
      <c r="AD308" s="591"/>
      <c r="AE308" s="594"/>
    </row>
    <row r="309" spans="1:31">
      <c r="A309" s="590">
        <v>92</v>
      </c>
      <c r="B309" s="596">
        <f t="shared" ref="B309:E309" si="235">B202</f>
        <v>0</v>
      </c>
      <c r="C309" s="596">
        <f t="shared" si="235"/>
        <v>0</v>
      </c>
      <c r="D309" s="597">
        <f t="shared" si="235"/>
        <v>0</v>
      </c>
      <c r="E309" s="597">
        <f t="shared" si="235"/>
        <v>0</v>
      </c>
      <c r="F309" s="590" t="str">
        <f>VLOOKUP(A309,STUDENT!$A$2:$BR$105,68,0)</f>
        <v/>
      </c>
      <c r="G309" s="590" t="b">
        <f>VLOOKUP(A309,STUDENT!$A$2:$BR$105,67,0)</f>
        <v>0</v>
      </c>
      <c r="H309" s="590" t="str">
        <f>MARKS!DF95</f>
        <v/>
      </c>
      <c r="I309" s="590" t="str">
        <f>MARKS!DG95</f>
        <v/>
      </c>
      <c r="J309" s="590" t="str">
        <f>MARKS!DH95</f>
        <v/>
      </c>
      <c r="K309" s="590" t="str">
        <f>MARKS!DI95</f>
        <v/>
      </c>
      <c r="L309" s="590" t="str">
        <f>MARKS!DJ95</f>
        <v/>
      </c>
      <c r="M309" s="590" t="str">
        <f>MARKS!DK95</f>
        <v/>
      </c>
      <c r="N309" s="590" t="str">
        <f>MARKS!DL95</f>
        <v/>
      </c>
      <c r="O309" s="590" t="str">
        <f>MARKS!DM95</f>
        <v/>
      </c>
      <c r="Q309" s="591" t="s">
        <v>482</v>
      </c>
      <c r="R309" s="591" t="s">
        <v>483</v>
      </c>
      <c r="S309" s="591" t="s">
        <v>488</v>
      </c>
      <c r="T309" s="591">
        <f>COUNTIFS(N218:N317,S309)</f>
        <v>0</v>
      </c>
      <c r="U309" s="591">
        <f>COUNTIFS(F218:F317,Q298,N218:N317,S309)</f>
        <v>0</v>
      </c>
      <c r="V309" s="591">
        <f>COUNTIFS(F218:F317,R298,N218:N317,S309)</f>
        <v>0</v>
      </c>
      <c r="W309" s="594"/>
      <c r="X309" s="594"/>
      <c r="Y309" s="594"/>
      <c r="Z309" s="594"/>
      <c r="AA309" s="594"/>
      <c r="AB309" s="591"/>
      <c r="AC309" s="591"/>
      <c r="AD309" s="591"/>
      <c r="AE309" s="594"/>
    </row>
    <row r="310" spans="1:31">
      <c r="A310" s="596">
        <v>93</v>
      </c>
      <c r="B310" s="596">
        <f t="shared" ref="B310:E310" si="236">B203</f>
        <v>0</v>
      </c>
      <c r="C310" s="596">
        <f t="shared" si="236"/>
        <v>0</v>
      </c>
      <c r="D310" s="597">
        <f t="shared" si="236"/>
        <v>0</v>
      </c>
      <c r="E310" s="597">
        <f t="shared" si="236"/>
        <v>0</v>
      </c>
      <c r="F310" s="590" t="str">
        <f>VLOOKUP(A310,STUDENT!$A$2:$BR$105,68,0)</f>
        <v/>
      </c>
      <c r="G310" s="590" t="b">
        <f>VLOOKUP(A310,STUDENT!$A$2:$BR$105,67,0)</f>
        <v>0</v>
      </c>
      <c r="H310" s="590" t="str">
        <f>MARKS!DF96</f>
        <v/>
      </c>
      <c r="I310" s="590" t="str">
        <f>MARKS!DG96</f>
        <v/>
      </c>
      <c r="J310" s="590" t="str">
        <f>MARKS!DH96</f>
        <v/>
      </c>
      <c r="K310" s="590" t="str">
        <f>MARKS!DI96</f>
        <v/>
      </c>
      <c r="L310" s="590" t="str">
        <f>MARKS!DJ96</f>
        <v/>
      </c>
      <c r="M310" s="590" t="str">
        <f>MARKS!DK96</f>
        <v/>
      </c>
      <c r="N310" s="590" t="str">
        <f>MARKS!DL96</f>
        <v/>
      </c>
      <c r="O310" s="590" t="str">
        <f>MARKS!DM96</f>
        <v/>
      </c>
      <c r="Q310" s="591" t="s">
        <v>482</v>
      </c>
      <c r="R310" s="591" t="s">
        <v>483</v>
      </c>
      <c r="S310" s="591" t="s">
        <v>101</v>
      </c>
      <c r="T310" s="591">
        <f>COUNTIFS(N218:N317,S310)</f>
        <v>0</v>
      </c>
      <c r="U310" s="591">
        <f>COUNTIFS(F218:F317,Q299,N218:N317,S310)</f>
        <v>0</v>
      </c>
      <c r="V310" s="591">
        <f>COUNTIFS(F218:F317,R299,N218:N317,S310)</f>
        <v>0</v>
      </c>
      <c r="W310" s="594"/>
      <c r="X310" s="594"/>
      <c r="Y310" s="594"/>
      <c r="Z310" s="594"/>
      <c r="AA310" s="594"/>
      <c r="AB310" s="591"/>
      <c r="AC310" s="591"/>
      <c r="AD310" s="591"/>
      <c r="AE310" s="594"/>
    </row>
    <row r="311" spans="1:31">
      <c r="A311" s="590">
        <v>94</v>
      </c>
      <c r="B311" s="596">
        <f t="shared" ref="B311:E311" si="237">B204</f>
        <v>0</v>
      </c>
      <c r="C311" s="596">
        <f t="shared" si="237"/>
        <v>0</v>
      </c>
      <c r="D311" s="597">
        <f t="shared" si="237"/>
        <v>0</v>
      </c>
      <c r="E311" s="597">
        <f t="shared" si="237"/>
        <v>0</v>
      </c>
      <c r="F311" s="590" t="str">
        <f>VLOOKUP(A311,STUDENT!$A$2:$BR$105,68,0)</f>
        <v/>
      </c>
      <c r="G311" s="590" t="b">
        <f>VLOOKUP(A311,STUDENT!$A$2:$BR$105,67,0)</f>
        <v>0</v>
      </c>
      <c r="H311" s="590" t="str">
        <f>MARKS!DF97</f>
        <v/>
      </c>
      <c r="I311" s="590" t="str">
        <f>MARKS!DG97</f>
        <v/>
      </c>
      <c r="J311" s="590" t="str">
        <f>MARKS!DH97</f>
        <v/>
      </c>
      <c r="K311" s="590" t="str">
        <f>MARKS!DI97</f>
        <v/>
      </c>
      <c r="L311" s="590" t="str">
        <f>MARKS!DJ97</f>
        <v/>
      </c>
      <c r="M311" s="590" t="str">
        <f>MARKS!DK97</f>
        <v/>
      </c>
      <c r="N311" s="590" t="str">
        <f>MARKS!DL97</f>
        <v/>
      </c>
      <c r="O311" s="590" t="str">
        <f>MARKS!DM97</f>
        <v/>
      </c>
      <c r="Q311" s="591" t="s">
        <v>482</v>
      </c>
      <c r="R311" s="591" t="s">
        <v>483</v>
      </c>
      <c r="S311" s="591" t="s">
        <v>489</v>
      </c>
      <c r="T311" s="591">
        <f>COUNTIFS(N218:N317,S311)</f>
        <v>0</v>
      </c>
      <c r="U311" s="591">
        <f>COUNTIFS(F218:F317,Q300,N218:N317,S311)</f>
        <v>0</v>
      </c>
      <c r="V311" s="591">
        <f>COUNTIFS(F218:F317,R300,N218:N317,S311)</f>
        <v>0</v>
      </c>
      <c r="W311" s="594"/>
      <c r="X311" s="594"/>
      <c r="Y311" s="594"/>
      <c r="Z311" s="594"/>
      <c r="AA311" s="594"/>
      <c r="AB311" s="591"/>
      <c r="AC311" s="591"/>
      <c r="AD311" s="591"/>
      <c r="AE311" s="594"/>
    </row>
    <row r="312" spans="1:31">
      <c r="A312" s="596">
        <v>95</v>
      </c>
      <c r="B312" s="596">
        <f t="shared" ref="B312:E312" si="238">B205</f>
        <v>0</v>
      </c>
      <c r="C312" s="596">
        <f t="shared" si="238"/>
        <v>0</v>
      </c>
      <c r="D312" s="597">
        <f t="shared" si="238"/>
        <v>0</v>
      </c>
      <c r="E312" s="597">
        <f t="shared" si="238"/>
        <v>0</v>
      </c>
      <c r="F312" s="590" t="str">
        <f>VLOOKUP(A312,STUDENT!$A$2:$BR$105,68,0)</f>
        <v/>
      </c>
      <c r="G312" s="590" t="b">
        <f>VLOOKUP(A312,STUDENT!$A$2:$BR$105,67,0)</f>
        <v>0</v>
      </c>
      <c r="H312" s="590" t="str">
        <f>MARKS!DF98</f>
        <v/>
      </c>
      <c r="I312" s="590" t="str">
        <f>MARKS!DG98</f>
        <v/>
      </c>
      <c r="J312" s="590" t="str">
        <f>MARKS!DH98</f>
        <v/>
      </c>
      <c r="K312" s="590" t="str">
        <f>MARKS!DI98</f>
        <v/>
      </c>
      <c r="L312" s="590" t="str">
        <f>MARKS!DJ98</f>
        <v/>
      </c>
      <c r="M312" s="590" t="str">
        <f>MARKS!DK98</f>
        <v/>
      </c>
      <c r="N312" s="590" t="str">
        <f>MARKS!DL98</f>
        <v/>
      </c>
      <c r="O312" s="590" t="str">
        <f>MARKS!DM98</f>
        <v/>
      </c>
      <c r="Q312" s="591" t="s">
        <v>482</v>
      </c>
      <c r="R312" s="591" t="s">
        <v>483</v>
      </c>
      <c r="S312" s="591"/>
      <c r="T312" s="591"/>
      <c r="U312" s="591"/>
      <c r="V312" s="591"/>
      <c r="W312" s="594"/>
      <c r="X312" s="594"/>
      <c r="Y312" s="594"/>
      <c r="Z312" s="594"/>
      <c r="AA312" s="594"/>
      <c r="AB312" s="591"/>
      <c r="AC312" s="591"/>
      <c r="AD312" s="591"/>
      <c r="AE312" s="594"/>
    </row>
    <row r="313" spans="1:31">
      <c r="A313" s="590">
        <v>96</v>
      </c>
      <c r="B313" s="596">
        <f t="shared" ref="B313:E313" si="239">B206</f>
        <v>0</v>
      </c>
      <c r="C313" s="596">
        <f t="shared" si="239"/>
        <v>0</v>
      </c>
      <c r="D313" s="597">
        <f t="shared" si="239"/>
        <v>0</v>
      </c>
      <c r="E313" s="597">
        <f t="shared" si="239"/>
        <v>0</v>
      </c>
      <c r="F313" s="590" t="str">
        <f>VLOOKUP(A313,STUDENT!$A$2:$BR$105,68,0)</f>
        <v/>
      </c>
      <c r="G313" s="590" t="b">
        <f>VLOOKUP(A313,STUDENT!$A$2:$BR$105,67,0)</f>
        <v>0</v>
      </c>
      <c r="H313" s="590" t="str">
        <f>MARKS!DF99</f>
        <v/>
      </c>
      <c r="I313" s="590" t="str">
        <f>MARKS!DG99</f>
        <v/>
      </c>
      <c r="J313" s="590" t="str">
        <f>MARKS!DH99</f>
        <v/>
      </c>
      <c r="K313" s="590" t="str">
        <f>MARKS!DI99</f>
        <v/>
      </c>
      <c r="L313" s="590" t="str">
        <f>MARKS!DJ99</f>
        <v/>
      </c>
      <c r="M313" s="590" t="str">
        <f>MARKS!DK99</f>
        <v/>
      </c>
      <c r="N313" s="590" t="str">
        <f>MARKS!DL99</f>
        <v/>
      </c>
      <c r="O313" s="590" t="str">
        <f>MARKS!DM99</f>
        <v/>
      </c>
      <c r="Q313" s="591"/>
      <c r="R313" s="591"/>
      <c r="S313" s="591" t="s">
        <v>102</v>
      </c>
      <c r="T313" s="591">
        <f>SUM(T305:T312)</f>
        <v>0</v>
      </c>
      <c r="U313" s="591">
        <f t="shared" ref="U313:V313" si="240">SUM(U305:U312)</f>
        <v>0</v>
      </c>
      <c r="V313" s="591">
        <f t="shared" si="240"/>
        <v>0</v>
      </c>
      <c r="W313" s="594"/>
      <c r="X313" s="594"/>
      <c r="Y313" s="594"/>
      <c r="Z313" s="594"/>
      <c r="AA313" s="594"/>
      <c r="AB313" s="591"/>
      <c r="AC313" s="591"/>
      <c r="AD313" s="591"/>
      <c r="AE313" s="594"/>
    </row>
    <row r="314" spans="1:31">
      <c r="A314" s="596">
        <v>97</v>
      </c>
      <c r="B314" s="596">
        <f t="shared" ref="B314:E314" si="241">B207</f>
        <v>0</v>
      </c>
      <c r="C314" s="596">
        <f t="shared" si="241"/>
        <v>0</v>
      </c>
      <c r="D314" s="597">
        <f t="shared" si="241"/>
        <v>0</v>
      </c>
      <c r="E314" s="597">
        <f t="shared" si="241"/>
        <v>0</v>
      </c>
      <c r="F314" s="590" t="str">
        <f>VLOOKUP(A314,STUDENT!$A$2:$BR$105,68,0)</f>
        <v/>
      </c>
      <c r="G314" s="590" t="b">
        <f>VLOOKUP(A314,STUDENT!$A$2:$BR$105,67,0)</f>
        <v>0</v>
      </c>
      <c r="H314" s="590" t="str">
        <f>MARKS!DF100</f>
        <v/>
      </c>
      <c r="I314" s="590" t="str">
        <f>MARKS!DG100</f>
        <v/>
      </c>
      <c r="J314" s="590" t="str">
        <f>MARKS!DH100</f>
        <v/>
      </c>
      <c r="K314" s="590" t="str">
        <f>MARKS!DI100</f>
        <v/>
      </c>
      <c r="L314" s="590" t="str">
        <f>MARKS!DJ100</f>
        <v/>
      </c>
      <c r="M314" s="590" t="str">
        <f>MARKS!DK100</f>
        <v/>
      </c>
      <c r="N314" s="590" t="str">
        <f>MARKS!DL100</f>
        <v/>
      </c>
      <c r="O314" s="590" t="str">
        <f>MARKS!DM100</f>
        <v/>
      </c>
      <c r="Q314" s="598"/>
      <c r="R314" s="598"/>
      <c r="S314" s="598"/>
      <c r="T314" s="598"/>
      <c r="U314" s="598"/>
      <c r="V314" s="598"/>
      <c r="W314" s="595"/>
      <c r="X314" s="595"/>
      <c r="Y314" s="595"/>
      <c r="Z314" s="595"/>
      <c r="AA314" s="595"/>
      <c r="AB314" s="598"/>
      <c r="AC314" s="598"/>
      <c r="AD314" s="598"/>
      <c r="AE314" s="595"/>
    </row>
    <row r="315" spans="1:31">
      <c r="A315" s="590">
        <v>98</v>
      </c>
      <c r="B315" s="596">
        <f t="shared" ref="B315:E315" si="242">B208</f>
        <v>0</v>
      </c>
      <c r="C315" s="596">
        <f t="shared" si="242"/>
        <v>0</v>
      </c>
      <c r="D315" s="597">
        <f t="shared" si="242"/>
        <v>0</v>
      </c>
      <c r="E315" s="597">
        <f t="shared" si="242"/>
        <v>0</v>
      </c>
      <c r="F315" s="590" t="str">
        <f>VLOOKUP(A315,STUDENT!$A$2:$BR$105,68,0)</f>
        <v/>
      </c>
      <c r="G315" s="590" t="b">
        <f>VLOOKUP(A315,STUDENT!$A$2:$BR$105,67,0)</f>
        <v>0</v>
      </c>
      <c r="H315" s="590" t="str">
        <f>MARKS!DF101</f>
        <v/>
      </c>
      <c r="I315" s="590" t="str">
        <f>MARKS!DG101</f>
        <v/>
      </c>
      <c r="J315" s="590" t="str">
        <f>MARKS!DH101</f>
        <v/>
      </c>
      <c r="K315" s="590" t="str">
        <f>MARKS!DI101</f>
        <v/>
      </c>
      <c r="L315" s="590" t="str">
        <f>MARKS!DJ101</f>
        <v/>
      </c>
      <c r="M315" s="590" t="str">
        <f>MARKS!DK101</f>
        <v/>
      </c>
      <c r="N315" s="590" t="str">
        <f>MARKS!DL101</f>
        <v/>
      </c>
      <c r="O315" s="590" t="str">
        <f>MARKS!DM101</f>
        <v/>
      </c>
      <c r="Q315" s="598"/>
      <c r="R315" s="598"/>
      <c r="S315" s="598"/>
      <c r="T315" s="598"/>
      <c r="U315" s="598"/>
      <c r="V315" s="598"/>
      <c r="W315" s="595"/>
      <c r="X315" s="595"/>
      <c r="Y315" s="595"/>
      <c r="Z315" s="595"/>
      <c r="AA315" s="595"/>
      <c r="AB315" s="598"/>
      <c r="AC315" s="598"/>
      <c r="AD315" s="598"/>
      <c r="AE315" s="595"/>
    </row>
    <row r="316" spans="1:31">
      <c r="A316" s="596">
        <v>99</v>
      </c>
      <c r="B316" s="596">
        <f t="shared" ref="B316:E316" si="243">B209</f>
        <v>0</v>
      </c>
      <c r="C316" s="596">
        <f t="shared" si="243"/>
        <v>0</v>
      </c>
      <c r="D316" s="597">
        <f t="shared" si="243"/>
        <v>0</v>
      </c>
      <c r="E316" s="597">
        <f t="shared" si="243"/>
        <v>0</v>
      </c>
      <c r="F316" s="590" t="str">
        <f>VLOOKUP(A316,STUDENT!$A$2:$BR$105,68,0)</f>
        <v/>
      </c>
      <c r="G316" s="590" t="b">
        <f>VLOOKUP(A316,STUDENT!$A$2:$BR$105,67,0)</f>
        <v>0</v>
      </c>
      <c r="H316" s="590" t="str">
        <f>MARKS!DF102</f>
        <v/>
      </c>
      <c r="I316" s="590" t="str">
        <f>MARKS!DG102</f>
        <v/>
      </c>
      <c r="J316" s="590" t="str">
        <f>MARKS!DH102</f>
        <v/>
      </c>
      <c r="K316" s="590" t="str">
        <f>MARKS!DI102</f>
        <v/>
      </c>
      <c r="L316" s="590" t="str">
        <f>MARKS!DJ102</f>
        <v/>
      </c>
      <c r="M316" s="590" t="str">
        <f>MARKS!DK102</f>
        <v/>
      </c>
      <c r="N316" s="590" t="str">
        <f>MARKS!DL102</f>
        <v/>
      </c>
      <c r="O316" s="590" t="str">
        <f>MARKS!DM102</f>
        <v/>
      </c>
      <c r="Q316" s="598"/>
      <c r="R316" s="598"/>
      <c r="S316" s="598"/>
      <c r="T316" s="598"/>
      <c r="U316" s="598"/>
      <c r="V316" s="598"/>
      <c r="W316" s="595"/>
      <c r="X316" s="595"/>
      <c r="Y316" s="595"/>
      <c r="Z316" s="595"/>
      <c r="AA316" s="595"/>
      <c r="AB316" s="598"/>
      <c r="AC316" s="598"/>
      <c r="AD316" s="598"/>
      <c r="AE316" s="595"/>
    </row>
    <row r="317" spans="1:31">
      <c r="A317" s="590">
        <v>100</v>
      </c>
      <c r="B317" s="596">
        <f t="shared" ref="B317:E317" si="244">B210</f>
        <v>0</v>
      </c>
      <c r="C317" s="596">
        <f t="shared" si="244"/>
        <v>0</v>
      </c>
      <c r="D317" s="597">
        <f t="shared" si="244"/>
        <v>0</v>
      </c>
      <c r="E317" s="597">
        <f t="shared" si="244"/>
        <v>0</v>
      </c>
      <c r="F317" s="590" t="str">
        <f>VLOOKUP(A317,STUDENT!$A$2:$BR$105,68,0)</f>
        <v/>
      </c>
      <c r="G317" s="590" t="b">
        <f>VLOOKUP(A317,STUDENT!$A$2:$BR$105,67,0)</f>
        <v>0</v>
      </c>
      <c r="H317" s="590" t="str">
        <f>MARKS!DF103</f>
        <v/>
      </c>
      <c r="I317" s="590" t="str">
        <f>MARKS!DG103</f>
        <v/>
      </c>
      <c r="J317" s="590" t="str">
        <f>MARKS!DH103</f>
        <v/>
      </c>
      <c r="K317" s="590" t="str">
        <f>MARKS!DI103</f>
        <v/>
      </c>
      <c r="L317" s="590" t="str">
        <f>MARKS!DJ103</f>
        <v/>
      </c>
      <c r="M317" s="590" t="str">
        <f>MARKS!DK103</f>
        <v/>
      </c>
      <c r="N317" s="590" t="str">
        <f>MARKS!DL103</f>
        <v/>
      </c>
      <c r="O317" s="590" t="str">
        <f>MARKS!DM103</f>
        <v/>
      </c>
      <c r="Q317" s="598"/>
      <c r="R317" s="598"/>
      <c r="S317" s="598"/>
      <c r="T317" s="598"/>
      <c r="U317" s="598"/>
      <c r="V317" s="598"/>
      <c r="W317" s="595"/>
      <c r="X317" s="595"/>
      <c r="Y317" s="595"/>
      <c r="Z317" s="595"/>
      <c r="AA317" s="595"/>
      <c r="AB317" s="598"/>
      <c r="AC317" s="598"/>
      <c r="AD317" s="598"/>
      <c r="AE317" s="595"/>
    </row>
    <row r="322" spans="1:31">
      <c r="A322" s="588"/>
      <c r="B322" s="589"/>
      <c r="C322" s="588"/>
      <c r="D322" s="588" t="s">
        <v>498</v>
      </c>
      <c r="E322" s="588"/>
      <c r="F322" s="576"/>
      <c r="G322" s="576"/>
      <c r="H322" s="590"/>
      <c r="I322" s="590"/>
      <c r="J322" s="590"/>
      <c r="K322" s="590"/>
      <c r="L322" s="590"/>
      <c r="M322" s="590"/>
      <c r="N322" s="590"/>
      <c r="O322" s="590"/>
    </row>
    <row r="323" ht="36" spans="1:31">
      <c r="A323" s="588" t="s">
        <v>109</v>
      </c>
      <c r="B323" s="589" t="s">
        <v>114</v>
      </c>
      <c r="C323" s="588" t="s">
        <v>112</v>
      </c>
      <c r="D323" s="588" t="s">
        <v>113</v>
      </c>
      <c r="E323" s="588" t="s">
        <v>327</v>
      </c>
      <c r="F323" s="576" t="s">
        <v>473</v>
      </c>
      <c r="G323" s="576" t="s">
        <v>474</v>
      </c>
      <c r="H323" s="590" t="s">
        <v>87</v>
      </c>
      <c r="I323" s="590" t="s">
        <v>350</v>
      </c>
      <c r="J323" s="590" t="s">
        <v>88</v>
      </c>
      <c r="K323" s="590" t="s">
        <v>351</v>
      </c>
      <c r="L323" s="590" t="s">
        <v>352</v>
      </c>
      <c r="M323" s="590" t="s">
        <v>353</v>
      </c>
      <c r="N323" s="590" t="s">
        <v>354</v>
      </c>
      <c r="O323" s="590" t="s">
        <v>102</v>
      </c>
      <c r="Q323" s="591" t="s">
        <v>475</v>
      </c>
      <c r="R323" s="591" t="s">
        <v>476</v>
      </c>
      <c r="S323" s="592" t="s">
        <v>477</v>
      </c>
      <c r="T323" s="593" t="s">
        <v>478</v>
      </c>
      <c r="U323" s="592" t="s">
        <v>479</v>
      </c>
      <c r="V323" s="592" t="s">
        <v>480</v>
      </c>
      <c r="W323" s="594"/>
      <c r="X323" s="591" t="s">
        <v>475</v>
      </c>
      <c r="Y323" s="591" t="s">
        <v>476</v>
      </c>
      <c r="Z323" s="591" t="s">
        <v>474</v>
      </c>
      <c r="AA323" s="592" t="s">
        <v>477</v>
      </c>
      <c r="AB323" s="593" t="s">
        <v>481</v>
      </c>
      <c r="AC323" s="592" t="s">
        <v>479</v>
      </c>
      <c r="AD323" s="592" t="s">
        <v>480</v>
      </c>
      <c r="AE323" s="594"/>
    </row>
    <row r="324" spans="1:31">
      <c r="A324" s="588"/>
      <c r="B324" s="589"/>
      <c r="C324" s="588"/>
      <c r="D324" s="588"/>
      <c r="E324" s="588"/>
      <c r="F324" s="576"/>
      <c r="G324" s="576"/>
      <c r="H324" s="590"/>
      <c r="I324" s="590"/>
      <c r="J324" s="590"/>
      <c r="K324" s="590"/>
      <c r="L324" s="590"/>
      <c r="M324" s="590"/>
      <c r="N324" s="590"/>
      <c r="O324" s="590"/>
      <c r="Q324" s="591" t="s">
        <v>482</v>
      </c>
      <c r="R324" s="591" t="s">
        <v>483</v>
      </c>
      <c r="S324" s="591" t="s">
        <v>50</v>
      </c>
      <c r="T324" s="591">
        <f>COUNTIFS(O325:O424,S324)</f>
        <v>0</v>
      </c>
      <c r="U324" s="591">
        <f>COUNTIFS(F325:F424,Q324,O325:O424,S324)</f>
        <v>0</v>
      </c>
      <c r="V324" s="591">
        <f t="shared" ref="V324:V330" si="245">COUNTIFS(F325:F424,R324,O325:O424,S324)</f>
        <v>0</v>
      </c>
      <c r="W324" s="594"/>
      <c r="X324" s="591" t="s">
        <v>482</v>
      </c>
      <c r="Y324" s="591" t="s">
        <v>483</v>
      </c>
      <c r="Z324" s="591" t="s">
        <v>484</v>
      </c>
      <c r="AA324" s="591" t="s">
        <v>50</v>
      </c>
      <c r="AB324" s="591">
        <f>COUNTIFS(G325:G424,Z324,O325:O424,S324)</f>
        <v>0</v>
      </c>
      <c r="AC324" s="591">
        <f>COUNTIFS(F325:F424,X324,G325:G424,Z324,O325:O424,S324)</f>
        <v>0</v>
      </c>
      <c r="AD324" s="591">
        <f>COUNTIFS(F325:F424,Y324,G325:G424,Z324,O325:O424,S324)</f>
        <v>0</v>
      </c>
      <c r="AE324" s="594"/>
    </row>
    <row r="325" spans="1:31">
      <c r="A325" s="596">
        <v>1</v>
      </c>
      <c r="B325" s="596">
        <f>B218</f>
        <v>14779</v>
      </c>
      <c r="C325" s="596">
        <f t="shared" ref="C325:E325" si="246">C218</f>
        <v>20220171896</v>
      </c>
      <c r="D325" s="597" t="str">
        <f t="shared" si="246"/>
        <v>NAKSH</v>
      </c>
      <c r="E325" s="597" t="str">
        <f t="shared" si="246"/>
        <v>NARESH</v>
      </c>
      <c r="F325" s="590" t="str">
        <f>VLOOKUP(A325,STUDENT!$A$2:$BR$105,68,0)</f>
        <v/>
      </c>
      <c r="G325" s="590" t="b">
        <f>VLOOKUP(A325,STUDENT!$A$2:$BR$105,67,0)</f>
        <v>0</v>
      </c>
      <c r="H325" s="590" t="str">
        <f>PASHEET!BR4</f>
        <v/>
      </c>
      <c r="I325" s="590" t="str">
        <f>PASHEET!BS4</f>
        <v/>
      </c>
      <c r="J325" s="590" t="str">
        <f>PASHEET!BT4</f>
        <v/>
      </c>
      <c r="K325" s="590" t="str">
        <f>PASHEET!BU4</f>
        <v/>
      </c>
      <c r="L325" s="590" t="str">
        <f>PASHEET!BV4</f>
        <v/>
      </c>
      <c r="M325" s="590" t="str">
        <f>PASHEET!BW4</f>
        <v/>
      </c>
      <c r="N325" s="590" t="str">
        <f>PASHEET!BX4</f>
        <v/>
      </c>
      <c r="O325" s="590" t="str">
        <f>PASHEET!BY4</f>
        <v>Ab</v>
      </c>
      <c r="Q325" s="591" t="s">
        <v>482</v>
      </c>
      <c r="R325" s="591" t="s">
        <v>483</v>
      </c>
      <c r="S325" s="591" t="s">
        <v>485</v>
      </c>
      <c r="T325" s="591">
        <f>COUNTIFS(O325:O424,S325)</f>
        <v>0</v>
      </c>
      <c r="U325" s="591">
        <f>COUNTIFS(F325:F424,Q325,O325:O424,S325)</f>
        <v>0</v>
      </c>
      <c r="V325" s="591">
        <f t="shared" si="245"/>
        <v>0</v>
      </c>
      <c r="W325" s="594"/>
      <c r="X325" s="591" t="s">
        <v>482</v>
      </c>
      <c r="Y325" s="591" t="s">
        <v>483</v>
      </c>
      <c r="Z325" s="591" t="s">
        <v>484</v>
      </c>
      <c r="AA325" s="591" t="s">
        <v>485</v>
      </c>
      <c r="AB325" s="591">
        <f>COUNTIFS(G325:G424,Z325,O325:O424,S325)</f>
        <v>0</v>
      </c>
      <c r="AC325" s="591">
        <f>COUNTIFS(F325:F424,X325,G325:G424,Z325,O325:O424,S325)</f>
        <v>0</v>
      </c>
      <c r="AD325" s="591">
        <f>COUNTIFS(F325:F424,Y325,G325:G424,Z325,O325:O424,S325)</f>
        <v>0</v>
      </c>
      <c r="AE325" s="594"/>
    </row>
    <row r="326" spans="1:31">
      <c r="A326" s="590">
        <v>2</v>
      </c>
      <c r="B326" s="596">
        <f t="shared" ref="B326:E326" si="247">B219</f>
        <v>14733</v>
      </c>
      <c r="C326" s="596">
        <f t="shared" si="247"/>
        <v>20220354217</v>
      </c>
      <c r="D326" s="597" t="str">
        <f t="shared" si="247"/>
        <v>NAVEEN</v>
      </c>
      <c r="E326" s="597" t="str">
        <f t="shared" si="247"/>
        <v>SANJAY</v>
      </c>
      <c r="F326" s="590" t="str">
        <f>VLOOKUP(A326,STUDENT!$A$2:$BR$105,68,0)</f>
        <v/>
      </c>
      <c r="G326" s="590" t="b">
        <f>VLOOKUP(A326,STUDENT!$A$2:$BR$105,67,0)</f>
        <v>0</v>
      </c>
      <c r="H326" s="590" t="str">
        <f>PASHEET!BR5</f>
        <v/>
      </c>
      <c r="I326" s="590" t="str">
        <f>PASHEET!BS5</f>
        <v/>
      </c>
      <c r="J326" s="590" t="str">
        <f>PASHEET!BT5</f>
        <v/>
      </c>
      <c r="K326" s="590" t="str">
        <f>PASHEET!BU5</f>
        <v/>
      </c>
      <c r="L326" s="590" t="str">
        <f>PASHEET!BV5</f>
        <v/>
      </c>
      <c r="M326" s="590" t="str">
        <f>PASHEET!BW5</f>
        <v/>
      </c>
      <c r="N326" s="590" t="str">
        <f>PASHEET!BX5</f>
        <v/>
      </c>
      <c r="O326" s="590" t="str">
        <f>PASHEET!BY5</f>
        <v>Ab</v>
      </c>
      <c r="Q326" s="591" t="s">
        <v>482</v>
      </c>
      <c r="R326" s="591" t="s">
        <v>483</v>
      </c>
      <c r="S326" s="591" t="s">
        <v>486</v>
      </c>
      <c r="T326" s="591">
        <f>COUNTIFS(O325:O424,S326)</f>
        <v>0</v>
      </c>
      <c r="U326" s="591">
        <f>COUNTIFS(F325:F424,Q326,O325:O424,S326)</f>
        <v>0</v>
      </c>
      <c r="V326" s="591">
        <f t="shared" si="245"/>
        <v>0</v>
      </c>
      <c r="W326" s="594"/>
      <c r="X326" s="591" t="s">
        <v>482</v>
      </c>
      <c r="Y326" s="591" t="s">
        <v>483</v>
      </c>
      <c r="Z326" s="591" t="s">
        <v>484</v>
      </c>
      <c r="AA326" s="591" t="s">
        <v>486</v>
      </c>
      <c r="AB326" s="591">
        <f>COUNTIFS(G325:G424,Z326,O325:O424,S326)</f>
        <v>0</v>
      </c>
      <c r="AC326" s="591">
        <f>COUNTIFS(F325:F424,X326,G325:G424,Z326,O325:O424,S326)</f>
        <v>0</v>
      </c>
      <c r="AD326" s="591">
        <f>COUNTIFS(F325:F424,Y326,G325:G424,Z326,O325:O424,S326)</f>
        <v>0</v>
      </c>
      <c r="AE326" s="594"/>
    </row>
    <row r="327" spans="1:31">
      <c r="A327" s="596">
        <v>3</v>
      </c>
      <c r="B327" s="596">
        <f t="shared" ref="B327:E327" si="248">B220</f>
        <v>14757</v>
      </c>
      <c r="C327" s="596">
        <f t="shared" si="248"/>
        <v>20220402586</v>
      </c>
      <c r="D327" s="597" t="str">
        <f t="shared" si="248"/>
        <v>AADITYA KUMAR</v>
      </c>
      <c r="E327" s="597" t="str">
        <f t="shared" si="248"/>
        <v>DHARMENDRA KUMAR</v>
      </c>
      <c r="F327" s="590" t="str">
        <f>VLOOKUP(A327,STUDENT!$A$2:$BR$105,68,0)</f>
        <v/>
      </c>
      <c r="G327" s="590" t="b">
        <f>VLOOKUP(A327,STUDENT!$A$2:$BR$105,67,0)</f>
        <v>0</v>
      </c>
      <c r="H327" s="590" t="str">
        <f>PASHEET!BR6</f>
        <v/>
      </c>
      <c r="I327" s="590" t="str">
        <f>PASHEET!BS6</f>
        <v/>
      </c>
      <c r="J327" s="590" t="str">
        <f>PASHEET!BT6</f>
        <v/>
      </c>
      <c r="K327" s="590" t="str">
        <f>PASHEET!BU6</f>
        <v/>
      </c>
      <c r="L327" s="590" t="str">
        <f>PASHEET!BV6</f>
        <v/>
      </c>
      <c r="M327" s="590" t="str">
        <f>PASHEET!BW6</f>
        <v/>
      </c>
      <c r="N327" s="590" t="str">
        <f>PASHEET!BX6</f>
        <v/>
      </c>
      <c r="O327" s="590" t="str">
        <f>PASHEET!BY6</f>
        <v>Ab</v>
      </c>
      <c r="Q327" s="591" t="s">
        <v>482</v>
      </c>
      <c r="R327" s="591" t="s">
        <v>483</v>
      </c>
      <c r="S327" s="591" t="s">
        <v>487</v>
      </c>
      <c r="T327" s="591">
        <f>COUNTIFS(O325:O424,S327)</f>
        <v>0</v>
      </c>
      <c r="U327" s="591">
        <f>COUNTIFS(F325:F424,Q327,O325:O424,S327)</f>
        <v>0</v>
      </c>
      <c r="V327" s="591">
        <f t="shared" si="245"/>
        <v>0</v>
      </c>
      <c r="W327" s="594"/>
      <c r="X327" s="591" t="s">
        <v>482</v>
      </c>
      <c r="Y327" s="591" t="s">
        <v>483</v>
      </c>
      <c r="Z327" s="591" t="s">
        <v>484</v>
      </c>
      <c r="AA327" s="591" t="s">
        <v>487</v>
      </c>
      <c r="AB327" s="591">
        <f>COUNTIFS(G325:G424,Z327,O325:O424,S327)</f>
        <v>0</v>
      </c>
      <c r="AC327" s="591">
        <f>COUNTIFS(F325:F424,X327,G325:G424,Z327,O325:O424,S327)</f>
        <v>0</v>
      </c>
      <c r="AD327" s="591">
        <f>COUNTIFS(F325:F424,Y327,G325:G424,Z327,O325:O424,S327)</f>
        <v>0</v>
      </c>
      <c r="AE327" s="594"/>
    </row>
    <row r="328" spans="1:31">
      <c r="A328" s="590">
        <v>4</v>
      </c>
      <c r="B328" s="596">
        <f t="shared" ref="B328:E328" si="249">B221</f>
        <v>14778</v>
      </c>
      <c r="C328" s="596">
        <f t="shared" si="249"/>
        <v>20220448164</v>
      </c>
      <c r="D328" s="597" t="str">
        <f t="shared" si="249"/>
        <v>PRINCE KUMAR RAY</v>
      </c>
      <c r="E328" s="597" t="str">
        <f t="shared" si="249"/>
        <v>RAMSHARAN RAY</v>
      </c>
      <c r="F328" s="590" t="str">
        <f>VLOOKUP(A328,STUDENT!$A$2:$BR$105,68,0)</f>
        <v/>
      </c>
      <c r="G328" s="590" t="b">
        <f>VLOOKUP(A328,STUDENT!$A$2:$BR$105,67,0)</f>
        <v>0</v>
      </c>
      <c r="H328" s="590" t="str">
        <f>PASHEET!BR7</f>
        <v/>
      </c>
      <c r="I328" s="590" t="str">
        <f>PASHEET!BS7</f>
        <v/>
      </c>
      <c r="J328" s="590" t="str">
        <f>PASHEET!BT7</f>
        <v/>
      </c>
      <c r="K328" s="590" t="str">
        <f>PASHEET!BU7</f>
        <v/>
      </c>
      <c r="L328" s="590" t="str">
        <f>PASHEET!BV7</f>
        <v/>
      </c>
      <c r="M328" s="590" t="str">
        <f>PASHEET!BW7</f>
        <v/>
      </c>
      <c r="N328" s="590" t="str">
        <f>PASHEET!BX7</f>
        <v/>
      </c>
      <c r="O328" s="590" t="str">
        <f>PASHEET!BY7</f>
        <v>Ab</v>
      </c>
      <c r="Q328" s="591" t="s">
        <v>482</v>
      </c>
      <c r="R328" s="591" t="s">
        <v>483</v>
      </c>
      <c r="S328" s="591" t="s">
        <v>488</v>
      </c>
      <c r="T328" s="591">
        <f>COUNTIFS(O325:O424,S328)</f>
        <v>0</v>
      </c>
      <c r="U328" s="591">
        <f>COUNTIFS(F325:F424,Q328,O325:O424,S328)</f>
        <v>0</v>
      </c>
      <c r="V328" s="591">
        <f t="shared" si="245"/>
        <v>0</v>
      </c>
      <c r="W328" s="594"/>
      <c r="X328" s="591" t="s">
        <v>482</v>
      </c>
      <c r="Y328" s="591" t="s">
        <v>483</v>
      </c>
      <c r="Z328" s="591" t="s">
        <v>484</v>
      </c>
      <c r="AA328" s="591" t="s">
        <v>488</v>
      </c>
      <c r="AB328" s="591">
        <f>COUNTIFS(G325:G424,Z328,O325:O424,S328)</f>
        <v>0</v>
      </c>
      <c r="AC328" s="591">
        <f>COUNTIFS(F325:F424,X328,G325:G424,Z328,O325:O424,S328)</f>
        <v>0</v>
      </c>
      <c r="AD328" s="591">
        <f>COUNTIFS(F325:F424,Y328,G325:G424,Z328,O325:O424,S328)</f>
        <v>0</v>
      </c>
      <c r="AE328" s="594"/>
    </row>
    <row r="329" spans="1:31">
      <c r="A329" s="596">
        <v>5</v>
      </c>
      <c r="B329" s="596">
        <f t="shared" ref="B329:E329" si="250">B222</f>
        <v>14785</v>
      </c>
      <c r="C329" s="596">
        <f t="shared" si="250"/>
        <v>20220482313</v>
      </c>
      <c r="D329" s="597" t="str">
        <f t="shared" si="250"/>
        <v>KIRSHNA</v>
      </c>
      <c r="E329" s="597" t="str">
        <f t="shared" si="250"/>
        <v>VISHNU KASHYAP</v>
      </c>
      <c r="F329" s="590" t="str">
        <f>VLOOKUP(A329,STUDENT!$A$2:$BR$105,68,0)</f>
        <v/>
      </c>
      <c r="G329" s="590" t="b">
        <f>VLOOKUP(A329,STUDENT!$A$2:$BR$105,67,0)</f>
        <v>0</v>
      </c>
      <c r="H329" s="590" t="str">
        <f>PASHEET!BR8</f>
        <v/>
      </c>
      <c r="I329" s="590" t="str">
        <f>PASHEET!BS8</f>
        <v/>
      </c>
      <c r="J329" s="590" t="str">
        <f>PASHEET!BT8</f>
        <v/>
      </c>
      <c r="K329" s="590" t="str">
        <f>PASHEET!BU8</f>
        <v/>
      </c>
      <c r="L329" s="590" t="str">
        <f>PASHEET!BV8</f>
        <v/>
      </c>
      <c r="M329" s="590" t="str">
        <f>PASHEET!BW8</f>
        <v/>
      </c>
      <c r="N329" s="590" t="str">
        <f>PASHEET!BX8</f>
        <v/>
      </c>
      <c r="O329" s="590" t="str">
        <f>PASHEET!BY8</f>
        <v>Ab</v>
      </c>
      <c r="Q329" s="591" t="s">
        <v>482</v>
      </c>
      <c r="R329" s="591" t="s">
        <v>483</v>
      </c>
      <c r="S329" s="591" t="s">
        <v>101</v>
      </c>
      <c r="T329" s="591">
        <f>COUNTIFS(O325:O424,S329)</f>
        <v>39</v>
      </c>
      <c r="U329" s="591">
        <f>COUNTIFS(F325:F424,Q329,O325:O424,S329)</f>
        <v>0</v>
      </c>
      <c r="V329" s="591">
        <f t="shared" si="245"/>
        <v>0</v>
      </c>
      <c r="W329" s="594"/>
      <c r="X329" s="591" t="s">
        <v>482</v>
      </c>
      <c r="Y329" s="591" t="s">
        <v>483</v>
      </c>
      <c r="Z329" s="591" t="s">
        <v>484</v>
      </c>
      <c r="AA329" s="591" t="s">
        <v>101</v>
      </c>
      <c r="AB329" s="591">
        <f>COUNTIFS(G325:G424,Z329,O325:O424,S329)</f>
        <v>0</v>
      </c>
      <c r="AC329" s="591">
        <f>COUNTIFS(F325:F424,X329,G325:G424,Z329,O325:O424,S329)</f>
        <v>0</v>
      </c>
      <c r="AD329" s="591">
        <f>COUNTIFS(F325:F424,Y329,G325:G424,Z329,O325:O424,S329)</f>
        <v>0</v>
      </c>
      <c r="AE329" s="594"/>
    </row>
    <row r="330" spans="1:31">
      <c r="A330" s="590">
        <v>6</v>
      </c>
      <c r="B330" s="596">
        <f t="shared" ref="B330:E330" si="251">B223</f>
        <v>14780</v>
      </c>
      <c r="C330" s="596">
        <f t="shared" si="251"/>
        <v>20230048303</v>
      </c>
      <c r="D330" s="597" t="str">
        <f t="shared" si="251"/>
        <v>MD SOPHIYAN ALAM</v>
      </c>
      <c r="E330" s="597" t="str">
        <f t="shared" si="251"/>
        <v>MD TABREJ ALAM</v>
      </c>
      <c r="F330" s="590" t="str">
        <f>VLOOKUP(A330,STUDENT!$A$2:$BR$105,68,0)</f>
        <v/>
      </c>
      <c r="G330" s="590" t="b">
        <f>VLOOKUP(A330,STUDENT!$A$2:$BR$105,67,0)</f>
        <v>0</v>
      </c>
      <c r="H330" s="590" t="str">
        <f>PASHEET!BR9</f>
        <v/>
      </c>
      <c r="I330" s="590" t="str">
        <f>PASHEET!BS9</f>
        <v/>
      </c>
      <c r="J330" s="590" t="str">
        <f>PASHEET!BT9</f>
        <v/>
      </c>
      <c r="K330" s="590" t="str">
        <f>PASHEET!BU9</f>
        <v/>
      </c>
      <c r="L330" s="590" t="str">
        <f>PASHEET!BV9</f>
        <v/>
      </c>
      <c r="M330" s="590" t="str">
        <f>PASHEET!BW9</f>
        <v/>
      </c>
      <c r="N330" s="590" t="str">
        <f>PASHEET!BX9</f>
        <v/>
      </c>
      <c r="O330" s="590" t="str">
        <f>PASHEET!BY9</f>
        <v>Ab</v>
      </c>
      <c r="Q330" s="591" t="s">
        <v>482</v>
      </c>
      <c r="R330" s="591" t="s">
        <v>483</v>
      </c>
      <c r="S330" s="591" t="s">
        <v>489</v>
      </c>
      <c r="T330" s="591">
        <f>COUNTIFS(O325:O424,S330)</f>
        <v>0</v>
      </c>
      <c r="U330" s="591">
        <f>COUNTIFS(F325:F424,Q330,O325:O424,S330)</f>
        <v>0</v>
      </c>
      <c r="V330" s="591">
        <f t="shared" si="245"/>
        <v>0</v>
      </c>
      <c r="W330" s="594"/>
      <c r="X330" s="591" t="s">
        <v>482</v>
      </c>
      <c r="Y330" s="591" t="s">
        <v>483</v>
      </c>
      <c r="Z330" s="591" t="s">
        <v>484</v>
      </c>
      <c r="AA330" s="591" t="s">
        <v>489</v>
      </c>
      <c r="AB330" s="591">
        <f>COUNTIFS(G325:G424,Z330,O325:O424,S330)</f>
        <v>0</v>
      </c>
      <c r="AC330" s="591">
        <f>COUNTIFS(F325:F424,X330,G325:G424,Z330,O325:O424,S330)</f>
        <v>0</v>
      </c>
      <c r="AD330" s="591">
        <f>COUNTIFS(F325:F424,Y330,G325:G424,Z330,O325:O424,S330)</f>
        <v>0</v>
      </c>
      <c r="AE330" s="594"/>
    </row>
    <row r="331" spans="1:31">
      <c r="A331" s="596">
        <v>7</v>
      </c>
      <c r="B331" s="596">
        <f t="shared" ref="B331:E331" si="252">B224</f>
        <v>14773</v>
      </c>
      <c r="C331" s="596">
        <f t="shared" si="252"/>
        <v>20230083520</v>
      </c>
      <c r="D331" s="597" t="str">
        <f t="shared" si="252"/>
        <v>MD SAUBAN</v>
      </c>
      <c r="E331" s="597" t="str">
        <f t="shared" si="252"/>
        <v>MD IRSHAD</v>
      </c>
      <c r="F331" s="590" t="str">
        <f>VLOOKUP(A331,STUDENT!$A$2:$BR$105,68,0)</f>
        <v/>
      </c>
      <c r="G331" s="590" t="b">
        <f>VLOOKUP(A331,STUDENT!$A$2:$BR$105,67,0)</f>
        <v>0</v>
      </c>
      <c r="H331" s="590" t="str">
        <f>PASHEET!BR10</f>
        <v/>
      </c>
      <c r="I331" s="590" t="str">
        <f>PASHEET!BS10</f>
        <v/>
      </c>
      <c r="J331" s="590" t="str">
        <f>PASHEET!BT10</f>
        <v/>
      </c>
      <c r="K331" s="590" t="str">
        <f>PASHEET!BU10</f>
        <v/>
      </c>
      <c r="L331" s="590" t="str">
        <f>PASHEET!BV10</f>
        <v/>
      </c>
      <c r="M331" s="590" t="str">
        <f>PASHEET!BW10</f>
        <v/>
      </c>
      <c r="N331" s="590" t="str">
        <f>PASHEET!BX10</f>
        <v/>
      </c>
      <c r="O331" s="590" t="str">
        <f>PASHEET!BY10</f>
        <v>Ab</v>
      </c>
      <c r="Q331" s="591" t="s">
        <v>482</v>
      </c>
      <c r="R331" s="591" t="s">
        <v>483</v>
      </c>
      <c r="S331" s="591"/>
      <c r="T331" s="591"/>
      <c r="U331" s="591"/>
      <c r="V331" s="591"/>
      <c r="W331" s="594"/>
      <c r="X331" s="591" t="s">
        <v>482</v>
      </c>
      <c r="Y331" s="591" t="s">
        <v>483</v>
      </c>
      <c r="Z331" s="591" t="s">
        <v>484</v>
      </c>
      <c r="AA331" s="591"/>
      <c r="AB331" s="591"/>
      <c r="AC331" s="591"/>
      <c r="AD331" s="591"/>
      <c r="AE331" s="594"/>
    </row>
    <row r="332" spans="1:31">
      <c r="A332" s="590">
        <v>8</v>
      </c>
      <c r="B332" s="596">
        <f t="shared" ref="B332:E332" si="253">B225</f>
        <v>14769</v>
      </c>
      <c r="C332" s="596">
        <f t="shared" si="253"/>
        <v>20230095636</v>
      </c>
      <c r="D332" s="597" t="str">
        <f t="shared" si="253"/>
        <v>DEEPANSHU</v>
      </c>
      <c r="E332" s="597" t="str">
        <f t="shared" si="253"/>
        <v>AKHILESH KUMAR</v>
      </c>
      <c r="F332" s="590" t="str">
        <f>VLOOKUP(A332,STUDENT!$A$2:$BR$105,68,0)</f>
        <v/>
      </c>
      <c r="G332" s="590" t="b">
        <f>VLOOKUP(A332,STUDENT!$A$2:$BR$105,67,0)</f>
        <v>0</v>
      </c>
      <c r="H332" s="590" t="str">
        <f>PASHEET!BR11</f>
        <v/>
      </c>
      <c r="I332" s="590" t="str">
        <f>PASHEET!BS11</f>
        <v/>
      </c>
      <c r="J332" s="590" t="str">
        <f>PASHEET!BT11</f>
        <v/>
      </c>
      <c r="K332" s="590" t="str">
        <f>PASHEET!BU11</f>
        <v/>
      </c>
      <c r="L332" s="590" t="str">
        <f>PASHEET!BV11</f>
        <v/>
      </c>
      <c r="M332" s="590" t="str">
        <f>PASHEET!BW11</f>
        <v/>
      </c>
      <c r="N332" s="590" t="str">
        <f>PASHEET!BX11</f>
        <v/>
      </c>
      <c r="O332" s="590" t="str">
        <f>PASHEET!BY11</f>
        <v>Ab</v>
      </c>
      <c r="Q332" s="591"/>
      <c r="R332" s="591"/>
      <c r="S332" s="591" t="s">
        <v>102</v>
      </c>
      <c r="T332" s="591">
        <f>SUM(T324:T331)</f>
        <v>39</v>
      </c>
      <c r="U332" s="591">
        <f t="shared" ref="U332:V332" si="254">SUM(U324:U331)</f>
        <v>0</v>
      </c>
      <c r="V332" s="591">
        <f t="shared" si="254"/>
        <v>0</v>
      </c>
      <c r="W332" s="594"/>
      <c r="X332" s="591"/>
      <c r="Y332" s="591"/>
      <c r="Z332" s="591"/>
      <c r="AA332" s="591" t="s">
        <v>102</v>
      </c>
      <c r="AB332" s="591">
        <f>SUM(AB324:AB331)</f>
        <v>0</v>
      </c>
      <c r="AC332" s="591">
        <f t="shared" ref="AC332:AD332" si="255">SUM(AC324:AC331)</f>
        <v>0</v>
      </c>
      <c r="AD332" s="591">
        <f t="shared" si="255"/>
        <v>0</v>
      </c>
      <c r="AE332" s="594"/>
    </row>
    <row r="333" spans="1:31">
      <c r="A333" s="596">
        <v>9</v>
      </c>
      <c r="B333" s="596">
        <f t="shared" ref="B333:E333" si="256">B226</f>
        <v>14754</v>
      </c>
      <c r="C333" s="596">
        <f t="shared" si="256"/>
        <v>20230130143</v>
      </c>
      <c r="D333" s="597" t="str">
        <f t="shared" si="256"/>
        <v>ANUJ</v>
      </c>
      <c r="E333" s="597" t="str">
        <f t="shared" si="256"/>
        <v>RANJEET DAS</v>
      </c>
      <c r="F333" s="590" t="str">
        <f>VLOOKUP(A333,STUDENT!$A$2:$BR$105,68,0)</f>
        <v/>
      </c>
      <c r="G333" s="590" t="b">
        <f>VLOOKUP(A333,STUDENT!$A$2:$BR$105,67,0)</f>
        <v>0</v>
      </c>
      <c r="H333" s="590" t="str">
        <f>PASHEET!BR12</f>
        <v/>
      </c>
      <c r="I333" s="590" t="str">
        <f>PASHEET!BS12</f>
        <v/>
      </c>
      <c r="J333" s="590" t="str">
        <f>PASHEET!BT12</f>
        <v/>
      </c>
      <c r="K333" s="590" t="str">
        <f>PASHEET!BU12</f>
        <v/>
      </c>
      <c r="L333" s="590" t="str">
        <f>PASHEET!BV12</f>
        <v/>
      </c>
      <c r="M333" s="590" t="str">
        <f>PASHEET!BW12</f>
        <v/>
      </c>
      <c r="N333" s="590" t="str">
        <f>PASHEET!BX12</f>
        <v/>
      </c>
      <c r="O333" s="590" t="str">
        <f>PASHEET!BY12</f>
        <v>Ab</v>
      </c>
      <c r="Q333" s="591"/>
      <c r="R333" s="591"/>
      <c r="S333" s="591"/>
      <c r="T333" s="591"/>
      <c r="U333" s="591"/>
      <c r="V333" s="591"/>
      <c r="W333" s="594"/>
      <c r="X333" s="594"/>
      <c r="Y333" s="594"/>
      <c r="Z333" s="594"/>
      <c r="AA333" s="594"/>
      <c r="AB333" s="591"/>
      <c r="AC333" s="591"/>
      <c r="AD333" s="591"/>
      <c r="AE333" s="594"/>
    </row>
    <row r="334" spans="1:31">
      <c r="A334" s="590">
        <v>10</v>
      </c>
      <c r="B334" s="596">
        <f t="shared" ref="B334:E334" si="257">B227</f>
        <v>14774</v>
      </c>
      <c r="C334" s="596">
        <f t="shared" si="257"/>
        <v>20230268614</v>
      </c>
      <c r="D334" s="597" t="str">
        <f t="shared" si="257"/>
        <v>PIYUSH KUMAR</v>
      </c>
      <c r="E334" s="597" t="str">
        <f t="shared" si="257"/>
        <v>MUNNA LAL</v>
      </c>
      <c r="F334" s="590" t="str">
        <f>VLOOKUP(A334,STUDENT!$A$2:$BR$105,68,0)</f>
        <v/>
      </c>
      <c r="G334" s="590" t="b">
        <f>VLOOKUP(A334,STUDENT!$A$2:$BR$105,67,0)</f>
        <v>0</v>
      </c>
      <c r="H334" s="590" t="str">
        <f>PASHEET!BR13</f>
        <v/>
      </c>
      <c r="I334" s="590" t="str">
        <f>PASHEET!BS13</f>
        <v/>
      </c>
      <c r="J334" s="590" t="str">
        <f>PASHEET!BT13</f>
        <v/>
      </c>
      <c r="K334" s="590" t="str">
        <f>PASHEET!BU13</f>
        <v/>
      </c>
      <c r="L334" s="590" t="str">
        <f>PASHEET!BV13</f>
        <v/>
      </c>
      <c r="M334" s="590" t="str">
        <f>PASHEET!BW13</f>
        <v/>
      </c>
      <c r="N334" s="590" t="str">
        <f>PASHEET!BX13</f>
        <v/>
      </c>
      <c r="O334" s="590" t="str">
        <f>PASHEET!BY13</f>
        <v>Ab</v>
      </c>
      <c r="Q334" s="591"/>
      <c r="R334" s="591"/>
      <c r="S334" s="591"/>
      <c r="T334" s="591"/>
      <c r="U334" s="591"/>
      <c r="V334" s="591"/>
      <c r="W334" s="594"/>
      <c r="X334" s="594"/>
      <c r="Y334" s="594"/>
      <c r="Z334" s="594"/>
      <c r="AA334" s="594"/>
      <c r="AB334" s="591"/>
      <c r="AC334" s="591"/>
      <c r="AD334" s="591"/>
      <c r="AE334" s="594"/>
    </row>
    <row r="335" spans="1:31">
      <c r="A335" s="596">
        <v>11</v>
      </c>
      <c r="B335" s="596">
        <f t="shared" ref="B335:E335" si="258">B228</f>
        <v>14775</v>
      </c>
      <c r="C335" s="596">
        <f t="shared" si="258"/>
        <v>20230349168</v>
      </c>
      <c r="D335" s="597" t="str">
        <f t="shared" si="258"/>
        <v>MD MAHTAB</v>
      </c>
      <c r="E335" s="597" t="str">
        <f t="shared" si="258"/>
        <v>MD ASRAF</v>
      </c>
      <c r="F335" s="590" t="str">
        <f>VLOOKUP(A335,STUDENT!$A$2:$BR$105,68,0)</f>
        <v/>
      </c>
      <c r="G335" s="590" t="b">
        <f>VLOOKUP(A335,STUDENT!$A$2:$BR$105,67,0)</f>
        <v>0</v>
      </c>
      <c r="H335" s="590" t="str">
        <f>PASHEET!BR14</f>
        <v/>
      </c>
      <c r="I335" s="590" t="str">
        <f>PASHEET!BS14</f>
        <v/>
      </c>
      <c r="J335" s="590" t="str">
        <f>PASHEET!BT14</f>
        <v/>
      </c>
      <c r="K335" s="590" t="str">
        <f>PASHEET!BU14</f>
        <v/>
      </c>
      <c r="L335" s="590" t="str">
        <f>PASHEET!BV14</f>
        <v/>
      </c>
      <c r="M335" s="590" t="str">
        <f>PASHEET!BW14</f>
        <v/>
      </c>
      <c r="N335" s="590" t="str">
        <f>PASHEET!BX14</f>
        <v/>
      </c>
      <c r="O335" s="590" t="str">
        <f>PASHEET!BY14</f>
        <v>Ab</v>
      </c>
      <c r="Q335" s="591" t="s">
        <v>475</v>
      </c>
      <c r="R335" s="591" t="s">
        <v>476</v>
      </c>
      <c r="S335" s="592" t="s">
        <v>477</v>
      </c>
      <c r="T335" s="593" t="s">
        <v>87</v>
      </c>
      <c r="U335" s="592" t="s">
        <v>479</v>
      </c>
      <c r="V335" s="592" t="s">
        <v>480</v>
      </c>
      <c r="W335" s="594"/>
      <c r="X335" s="591" t="s">
        <v>475</v>
      </c>
      <c r="Y335" s="591" t="s">
        <v>476</v>
      </c>
      <c r="Z335" s="591" t="s">
        <v>474</v>
      </c>
      <c r="AA335" s="592" t="s">
        <v>477</v>
      </c>
      <c r="AB335" s="593" t="s">
        <v>490</v>
      </c>
      <c r="AC335" s="592" t="s">
        <v>479</v>
      </c>
      <c r="AD335" s="592" t="s">
        <v>480</v>
      </c>
      <c r="AE335" s="594"/>
    </row>
    <row r="336" spans="1:31">
      <c r="A336" s="590">
        <v>12</v>
      </c>
      <c r="B336" s="596">
        <f t="shared" ref="B336:E336" si="259">B229</f>
        <v>14734</v>
      </c>
      <c r="C336" s="596">
        <f t="shared" si="259"/>
        <v>20240008153</v>
      </c>
      <c r="D336" s="597" t="str">
        <f t="shared" si="259"/>
        <v>PRADEEP</v>
      </c>
      <c r="E336" s="597" t="str">
        <f t="shared" si="259"/>
        <v>RAM BHAWAN</v>
      </c>
      <c r="F336" s="590" t="str">
        <f>VLOOKUP(A336,STUDENT!$A$2:$BR$105,68,0)</f>
        <v/>
      </c>
      <c r="G336" s="590" t="b">
        <f>VLOOKUP(A336,STUDENT!$A$2:$BR$105,67,0)</f>
        <v>0</v>
      </c>
      <c r="H336" s="590" t="str">
        <f>PASHEET!BR15</f>
        <v/>
      </c>
      <c r="I336" s="590" t="str">
        <f>PASHEET!BS15</f>
        <v/>
      </c>
      <c r="J336" s="590" t="str">
        <f>PASHEET!BT15</f>
        <v/>
      </c>
      <c r="K336" s="590" t="str">
        <f>PASHEET!BU15</f>
        <v/>
      </c>
      <c r="L336" s="590" t="str">
        <f>PASHEET!BV15</f>
        <v/>
      </c>
      <c r="M336" s="590" t="str">
        <f>PASHEET!BW15</f>
        <v/>
      </c>
      <c r="N336" s="590" t="str">
        <f>PASHEET!BX15</f>
        <v/>
      </c>
      <c r="O336" s="590" t="str">
        <f>PASHEET!BY15</f>
        <v>Ab</v>
      </c>
      <c r="Q336" s="591" t="s">
        <v>482</v>
      </c>
      <c r="R336" s="591" t="s">
        <v>483</v>
      </c>
      <c r="S336" s="591" t="s">
        <v>50</v>
      </c>
      <c r="T336" s="591">
        <f>COUNTIFS(H325:H424,S336)</f>
        <v>0</v>
      </c>
      <c r="U336" s="591">
        <f>COUNTIFS(F325:F424,Q325,H325:H424,S336)</f>
        <v>0</v>
      </c>
      <c r="V336" s="591">
        <f>COUNTIFS(F325:F424,R325,H325:H424,S336)</f>
        <v>0</v>
      </c>
      <c r="W336" s="594"/>
      <c r="X336" s="591" t="s">
        <v>482</v>
      </c>
      <c r="Y336" s="591" t="s">
        <v>483</v>
      </c>
      <c r="Z336" s="591" t="s">
        <v>490</v>
      </c>
      <c r="AA336" s="591" t="s">
        <v>50</v>
      </c>
      <c r="AB336" s="591">
        <f>COUNTIFS(G325:G424,Z336,O325:O424,S336)</f>
        <v>0</v>
      </c>
      <c r="AC336" s="591">
        <f>COUNTIFS(F325:F424,X336,G325:G424,Z336,O325:O424,S336)</f>
        <v>0</v>
      </c>
      <c r="AD336" s="591">
        <f>COUNTIFS(F325:F424,Y336,G325:G424,Z336,O325:O424,S336)</f>
        <v>0</v>
      </c>
      <c r="AE336" s="594"/>
    </row>
    <row r="337" spans="1:31">
      <c r="A337" s="596">
        <v>13</v>
      </c>
      <c r="B337" s="596">
        <f t="shared" ref="B337:E337" si="260">B230</f>
        <v>14735</v>
      </c>
      <c r="C337" s="596">
        <f t="shared" si="260"/>
        <v>20240008167</v>
      </c>
      <c r="D337" s="597" t="str">
        <f t="shared" si="260"/>
        <v>MOHD JISAN</v>
      </c>
      <c r="E337" s="597" t="str">
        <f t="shared" si="260"/>
        <v>MD ZAMEEL</v>
      </c>
      <c r="F337" s="590" t="str">
        <f>VLOOKUP(A337,STUDENT!$A$2:$BR$105,68,0)</f>
        <v/>
      </c>
      <c r="G337" s="590" t="b">
        <f>VLOOKUP(A337,STUDENT!$A$2:$BR$105,67,0)</f>
        <v>0</v>
      </c>
      <c r="H337" s="590" t="str">
        <f>PASHEET!BR16</f>
        <v/>
      </c>
      <c r="I337" s="590" t="str">
        <f>PASHEET!BS16</f>
        <v/>
      </c>
      <c r="J337" s="590" t="str">
        <f>PASHEET!BT16</f>
        <v/>
      </c>
      <c r="K337" s="590" t="str">
        <f>PASHEET!BU16</f>
        <v/>
      </c>
      <c r="L337" s="590" t="str">
        <f>PASHEET!BV16</f>
        <v/>
      </c>
      <c r="M337" s="590" t="str">
        <f>PASHEET!BW16</f>
        <v/>
      </c>
      <c r="N337" s="590" t="str">
        <f>PASHEET!BX16</f>
        <v/>
      </c>
      <c r="O337" s="590" t="str">
        <f>PASHEET!BY16</f>
        <v>Ab</v>
      </c>
      <c r="Q337" s="591" t="s">
        <v>482</v>
      </c>
      <c r="R337" s="591" t="s">
        <v>483</v>
      </c>
      <c r="S337" s="591" t="s">
        <v>485</v>
      </c>
      <c r="T337" s="591">
        <f>COUNTIFS(H325:H424,S337)</f>
        <v>0</v>
      </c>
      <c r="U337" s="591">
        <f>COUNTIFS(F325:F424,Q326,H325:H424,S337)</f>
        <v>0</v>
      </c>
      <c r="V337" s="591">
        <f>COUNTIFS(F325:F424,R326,H325:H424,S337)</f>
        <v>0</v>
      </c>
      <c r="W337" s="594"/>
      <c r="X337" s="591" t="s">
        <v>482</v>
      </c>
      <c r="Y337" s="591" t="s">
        <v>483</v>
      </c>
      <c r="Z337" s="591" t="s">
        <v>490</v>
      </c>
      <c r="AA337" s="591" t="s">
        <v>485</v>
      </c>
      <c r="AB337" s="591">
        <f>COUNTIFS(G325:G424,Z337,O325:O424,S337)</f>
        <v>0</v>
      </c>
      <c r="AC337" s="591">
        <f>COUNTIFS(F325:F424,X337,G325:G424,Z337,O325:O424,S337)</f>
        <v>0</v>
      </c>
      <c r="AD337" s="591">
        <f>COUNTIFS(F325:F424,Y337,G325:G424,Z337,O325:O424,S337)</f>
        <v>0</v>
      </c>
      <c r="AE337" s="594"/>
    </row>
    <row r="338" spans="1:31">
      <c r="A338" s="590">
        <v>14</v>
      </c>
      <c r="B338" s="596">
        <f t="shared" ref="B338:E338" si="261">B231</f>
        <v>14745</v>
      </c>
      <c r="C338" s="596">
        <f t="shared" si="261"/>
        <v>20240015035</v>
      </c>
      <c r="D338" s="597" t="str">
        <f t="shared" si="261"/>
        <v>KARN KUMAR</v>
      </c>
      <c r="E338" s="597" t="str">
        <f t="shared" si="261"/>
        <v>MUKESH RAY</v>
      </c>
      <c r="F338" s="590" t="str">
        <f>VLOOKUP(A338,STUDENT!$A$2:$BR$105,68,0)</f>
        <v/>
      </c>
      <c r="G338" s="590" t="b">
        <f>VLOOKUP(A338,STUDENT!$A$2:$BR$105,67,0)</f>
        <v>0</v>
      </c>
      <c r="H338" s="590" t="str">
        <f>PASHEET!BR17</f>
        <v/>
      </c>
      <c r="I338" s="590" t="str">
        <f>PASHEET!BS17</f>
        <v/>
      </c>
      <c r="J338" s="590" t="str">
        <f>PASHEET!BT17</f>
        <v/>
      </c>
      <c r="K338" s="590" t="str">
        <f>PASHEET!BU17</f>
        <v/>
      </c>
      <c r="L338" s="590" t="str">
        <f>PASHEET!BV17</f>
        <v/>
      </c>
      <c r="M338" s="590" t="str">
        <f>PASHEET!BW17</f>
        <v/>
      </c>
      <c r="N338" s="590" t="str">
        <f>PASHEET!BX17</f>
        <v/>
      </c>
      <c r="O338" s="590" t="str">
        <f>PASHEET!BY17</f>
        <v>Ab</v>
      </c>
      <c r="Q338" s="591" t="s">
        <v>482</v>
      </c>
      <c r="R338" s="591" t="s">
        <v>483</v>
      </c>
      <c r="S338" s="591" t="s">
        <v>486</v>
      </c>
      <c r="T338" s="591">
        <f>COUNTIFS(H325:H424,S338)</f>
        <v>0</v>
      </c>
      <c r="U338" s="591">
        <f>COUNTIFS(F325:F424,Q327,H325:H424,S338)</f>
        <v>0</v>
      </c>
      <c r="V338" s="591">
        <f>COUNTIFS(F325:F424,R327,H325:H424,S338)</f>
        <v>0</v>
      </c>
      <c r="W338" s="594"/>
      <c r="X338" s="591" t="s">
        <v>482</v>
      </c>
      <c r="Y338" s="591" t="s">
        <v>483</v>
      </c>
      <c r="Z338" s="591" t="s">
        <v>490</v>
      </c>
      <c r="AA338" s="591" t="s">
        <v>486</v>
      </c>
      <c r="AB338" s="591">
        <f>COUNTIFS(G325:G424,Z338,O325:O424,S338)</f>
        <v>0</v>
      </c>
      <c r="AC338" s="591">
        <f>COUNTIFS(F325:F424,X338,G325:G424,Z338,O325:O424,S338)</f>
        <v>0</v>
      </c>
      <c r="AD338" s="591">
        <f>COUNTIFS(F325:F424,Y338,G325:G424,Z338,O325:O424,S338)</f>
        <v>0</v>
      </c>
      <c r="AE338" s="594"/>
    </row>
    <row r="339" spans="1:31">
      <c r="A339" s="596">
        <v>15</v>
      </c>
      <c r="B339" s="596">
        <f t="shared" ref="B339:E339" si="262">B232</f>
        <v>14746</v>
      </c>
      <c r="C339" s="596">
        <f t="shared" si="262"/>
        <v>20240015112</v>
      </c>
      <c r="D339" s="597" t="str">
        <f t="shared" si="262"/>
        <v>ROKI</v>
      </c>
      <c r="E339" s="597" t="str">
        <f t="shared" si="262"/>
        <v>KUAR SINGH</v>
      </c>
      <c r="F339" s="590" t="str">
        <f>VLOOKUP(A339,STUDENT!$A$2:$BR$105,68,0)</f>
        <v/>
      </c>
      <c r="G339" s="590" t="b">
        <f>VLOOKUP(A339,STUDENT!$A$2:$BR$105,67,0)</f>
        <v>0</v>
      </c>
      <c r="H339" s="590" t="str">
        <f>PASHEET!BR18</f>
        <v/>
      </c>
      <c r="I339" s="590" t="str">
        <f>PASHEET!BS18</f>
        <v/>
      </c>
      <c r="J339" s="590" t="str">
        <f>PASHEET!BT18</f>
        <v/>
      </c>
      <c r="K339" s="590" t="str">
        <f>PASHEET!BU18</f>
        <v/>
      </c>
      <c r="L339" s="590" t="str">
        <f>PASHEET!BV18</f>
        <v/>
      </c>
      <c r="M339" s="590" t="str">
        <f>PASHEET!BW18</f>
        <v/>
      </c>
      <c r="N339" s="590" t="str">
        <f>PASHEET!BX18</f>
        <v/>
      </c>
      <c r="O339" s="590" t="str">
        <f>PASHEET!BY18</f>
        <v>Ab</v>
      </c>
      <c r="Q339" s="591" t="s">
        <v>482</v>
      </c>
      <c r="R339" s="591" t="s">
        <v>483</v>
      </c>
      <c r="S339" s="591" t="s">
        <v>487</v>
      </c>
      <c r="T339" s="591">
        <f>COUNTIFS(H325:H424,S339)</f>
        <v>0</v>
      </c>
      <c r="U339" s="591">
        <f>COUNTIFS(F325:F424,Q328,H325:H424,S339)</f>
        <v>0</v>
      </c>
      <c r="V339" s="591">
        <f>COUNTIFS(F325:F424,R328,H325:H424,S339)</f>
        <v>0</v>
      </c>
      <c r="W339" s="594"/>
      <c r="X339" s="591" t="s">
        <v>482</v>
      </c>
      <c r="Y339" s="591" t="s">
        <v>483</v>
      </c>
      <c r="Z339" s="591" t="s">
        <v>490</v>
      </c>
      <c r="AA339" s="591" t="s">
        <v>487</v>
      </c>
      <c r="AB339" s="591">
        <f>COUNTIFS(G325:G424,Z339,O325:O424,S339)</f>
        <v>0</v>
      </c>
      <c r="AC339" s="591">
        <f>COUNTIFS(F325:F424,X339,G325:G424,Z339,O325:O424,S339)</f>
        <v>0</v>
      </c>
      <c r="AD339" s="591">
        <f>COUNTIFS(F325:F424,Y339,G325:G424,Z339,O325:O424,S339)</f>
        <v>0</v>
      </c>
      <c r="AE339" s="594"/>
    </row>
    <row r="340" spans="1:31">
      <c r="A340" s="590">
        <v>16</v>
      </c>
      <c r="B340" s="596">
        <f t="shared" ref="B340:E340" si="263">B233</f>
        <v>14748</v>
      </c>
      <c r="C340" s="596">
        <f t="shared" si="263"/>
        <v>20240015199</v>
      </c>
      <c r="D340" s="597" t="str">
        <f t="shared" si="263"/>
        <v>MD BILAL</v>
      </c>
      <c r="E340" s="597" t="str">
        <f t="shared" si="263"/>
        <v>MD AFROJ</v>
      </c>
      <c r="F340" s="590" t="str">
        <f>VLOOKUP(A340,STUDENT!$A$2:$BR$105,68,0)</f>
        <v/>
      </c>
      <c r="G340" s="590" t="b">
        <f>VLOOKUP(A340,STUDENT!$A$2:$BR$105,67,0)</f>
        <v>0</v>
      </c>
      <c r="H340" s="590" t="str">
        <f>PASHEET!BR19</f>
        <v/>
      </c>
      <c r="I340" s="590" t="str">
        <f>PASHEET!BS19</f>
        <v/>
      </c>
      <c r="J340" s="590" t="str">
        <f>PASHEET!BT19</f>
        <v/>
      </c>
      <c r="K340" s="590" t="str">
        <f>PASHEET!BU19</f>
        <v/>
      </c>
      <c r="L340" s="590" t="str">
        <f>PASHEET!BV19</f>
        <v/>
      </c>
      <c r="M340" s="590" t="str">
        <f>PASHEET!BW19</f>
        <v/>
      </c>
      <c r="N340" s="590" t="str">
        <f>PASHEET!BX19</f>
        <v/>
      </c>
      <c r="O340" s="590" t="str">
        <f>PASHEET!BY19</f>
        <v>Ab</v>
      </c>
      <c r="Q340" s="591" t="s">
        <v>482</v>
      </c>
      <c r="R340" s="591" t="s">
        <v>483</v>
      </c>
      <c r="S340" s="591" t="s">
        <v>488</v>
      </c>
      <c r="T340" s="591">
        <f>COUNTIFS(H325:H424,S340)</f>
        <v>0</v>
      </c>
      <c r="U340" s="591">
        <f>COUNTIFS(F325:F424,Q329,H325:H424,S340)</f>
        <v>0</v>
      </c>
      <c r="V340" s="591">
        <f>COUNTIFS(F325:F424,R329,H325:H424,S340)</f>
        <v>0</v>
      </c>
      <c r="W340" s="594"/>
      <c r="X340" s="591" t="s">
        <v>482</v>
      </c>
      <c r="Y340" s="591" t="s">
        <v>483</v>
      </c>
      <c r="Z340" s="591" t="s">
        <v>490</v>
      </c>
      <c r="AA340" s="591" t="s">
        <v>488</v>
      </c>
      <c r="AB340" s="591">
        <f>COUNTIFS(G325:G424,Z340,O325:O424,S340)</f>
        <v>0</v>
      </c>
      <c r="AC340" s="591">
        <f>COUNTIFS(F325:F424,X340,G325:G424,Z340,O325:O424,S340)</f>
        <v>0</v>
      </c>
      <c r="AD340" s="591">
        <f>COUNTIFS(F325:F424,Y340,G325:G424,Z340,O325:O424,S340)</f>
        <v>0</v>
      </c>
      <c r="AE340" s="594"/>
    </row>
    <row r="341" spans="1:31">
      <c r="A341" s="596">
        <v>17</v>
      </c>
      <c r="B341" s="596">
        <f t="shared" ref="B341:E341" si="264">B234</f>
        <v>14755</v>
      </c>
      <c r="C341" s="596">
        <f t="shared" si="264"/>
        <v>20240023044</v>
      </c>
      <c r="D341" s="597" t="str">
        <f t="shared" si="264"/>
        <v>GAURAV KUMAR</v>
      </c>
      <c r="E341" s="597" t="str">
        <f t="shared" si="264"/>
        <v>HARINDER YADAV</v>
      </c>
      <c r="F341" s="590" t="str">
        <f>VLOOKUP(A341,STUDENT!$A$2:$BR$105,68,0)</f>
        <v/>
      </c>
      <c r="G341" s="590" t="b">
        <f>VLOOKUP(A341,STUDENT!$A$2:$BR$105,67,0)</f>
        <v>0</v>
      </c>
      <c r="H341" s="590" t="str">
        <f>PASHEET!BR20</f>
        <v/>
      </c>
      <c r="I341" s="590" t="str">
        <f>PASHEET!BS20</f>
        <v/>
      </c>
      <c r="J341" s="590" t="str">
        <f>PASHEET!BT20</f>
        <v/>
      </c>
      <c r="K341" s="590" t="str">
        <f>PASHEET!BU20</f>
        <v/>
      </c>
      <c r="L341" s="590" t="str">
        <f>PASHEET!BV20</f>
        <v/>
      </c>
      <c r="M341" s="590" t="str">
        <f>PASHEET!BW20</f>
        <v/>
      </c>
      <c r="N341" s="590" t="str">
        <f>PASHEET!BX20</f>
        <v/>
      </c>
      <c r="O341" s="590" t="str">
        <f>PASHEET!BY20</f>
        <v>Ab</v>
      </c>
      <c r="Q341" s="591" t="s">
        <v>482</v>
      </c>
      <c r="R341" s="591" t="s">
        <v>483</v>
      </c>
      <c r="S341" s="591" t="s">
        <v>101</v>
      </c>
      <c r="T341" s="591">
        <f>COUNTIFS(H325:H424,S341)</f>
        <v>0</v>
      </c>
      <c r="U341" s="591">
        <f>COUNTIFS(F325:F424,Q330,H325:H424,S341)</f>
        <v>0</v>
      </c>
      <c r="V341" s="591">
        <f>COUNTIFS(F325:F424,R330,H325:H424,S341)</f>
        <v>0</v>
      </c>
      <c r="W341" s="594"/>
      <c r="X341" s="591" t="s">
        <v>482</v>
      </c>
      <c r="Y341" s="591" t="s">
        <v>483</v>
      </c>
      <c r="Z341" s="591" t="s">
        <v>490</v>
      </c>
      <c r="AA341" s="591" t="s">
        <v>101</v>
      </c>
      <c r="AB341" s="591">
        <f>COUNTIFS(G325:G424,Z341,O325:O424,S341)</f>
        <v>0</v>
      </c>
      <c r="AC341" s="591">
        <f>COUNTIFS(F325:F424,X341,G325:G424,Z341,O325:O424,S341)</f>
        <v>0</v>
      </c>
      <c r="AD341" s="591">
        <f>COUNTIFS(F325:F424,Y341,G325:G424,Z341,O325:O424,S341)</f>
        <v>0</v>
      </c>
      <c r="AE341" s="594"/>
    </row>
    <row r="342" spans="1:31">
      <c r="A342" s="590">
        <v>18</v>
      </c>
      <c r="B342" s="596">
        <f t="shared" ref="B342:E342" si="265">B235</f>
        <v>14756</v>
      </c>
      <c r="C342" s="596">
        <f t="shared" si="265"/>
        <v>20240023055</v>
      </c>
      <c r="D342" s="597" t="str">
        <f t="shared" si="265"/>
        <v>SAURAV KUMAR</v>
      </c>
      <c r="E342" s="597" t="str">
        <f t="shared" si="265"/>
        <v>HARINDER YADAV</v>
      </c>
      <c r="F342" s="590" t="str">
        <f>VLOOKUP(A342,STUDENT!$A$2:$BR$105,68,0)</f>
        <v/>
      </c>
      <c r="G342" s="590" t="b">
        <f>VLOOKUP(A342,STUDENT!$A$2:$BR$105,67,0)</f>
        <v>0</v>
      </c>
      <c r="H342" s="590" t="str">
        <f>PASHEET!BR21</f>
        <v/>
      </c>
      <c r="I342" s="590" t="str">
        <f>PASHEET!BS21</f>
        <v/>
      </c>
      <c r="J342" s="590" t="str">
        <f>PASHEET!BT21</f>
        <v/>
      </c>
      <c r="K342" s="590" t="str">
        <f>PASHEET!BU21</f>
        <v/>
      </c>
      <c r="L342" s="590" t="str">
        <f>PASHEET!BV21</f>
        <v/>
      </c>
      <c r="M342" s="590" t="str">
        <f>PASHEET!BW21</f>
        <v/>
      </c>
      <c r="N342" s="590" t="str">
        <f>PASHEET!BX21</f>
        <v/>
      </c>
      <c r="O342" s="590" t="str">
        <f>PASHEET!BY21</f>
        <v>Ab</v>
      </c>
      <c r="Q342" s="591" t="s">
        <v>482</v>
      </c>
      <c r="R342" s="591" t="s">
        <v>483</v>
      </c>
      <c r="S342" s="591" t="s">
        <v>489</v>
      </c>
      <c r="T342" s="591">
        <f>COUNTIFS(H325:H424,S342)</f>
        <v>0</v>
      </c>
      <c r="U342" s="591">
        <f>COUNTIFS(F325:F424,Q331,H325:H424,S342)</f>
        <v>0</v>
      </c>
      <c r="V342" s="591">
        <f>COUNTIFS(F325:F424,R331,H325:H424,S342)</f>
        <v>0</v>
      </c>
      <c r="W342" s="594"/>
      <c r="X342" s="591" t="s">
        <v>482</v>
      </c>
      <c r="Y342" s="591" t="s">
        <v>483</v>
      </c>
      <c r="Z342" s="591" t="s">
        <v>490</v>
      </c>
      <c r="AA342" s="591" t="s">
        <v>489</v>
      </c>
      <c r="AB342" s="591">
        <f>COUNTIFS(G325:G424,Z342,O325:O424,S342)</f>
        <v>0</v>
      </c>
      <c r="AC342" s="591">
        <f>COUNTIFS(F325:F424,X342,G325:G424,Z342,O325:O424,S342)</f>
        <v>0</v>
      </c>
      <c r="AD342" s="591">
        <f>COUNTIFS(F325:F424,Y342,G325:G424,Z342,O325:O424,S342)</f>
        <v>0</v>
      </c>
      <c r="AE342" s="594"/>
    </row>
    <row r="343" spans="1:31">
      <c r="A343" s="596">
        <v>19</v>
      </c>
      <c r="B343" s="596">
        <f t="shared" ref="B343:E343" si="266">B236</f>
        <v>14758</v>
      </c>
      <c r="C343" s="596">
        <f t="shared" si="266"/>
        <v>20240023083</v>
      </c>
      <c r="D343" s="597" t="str">
        <f t="shared" si="266"/>
        <v>HANAM AYUBI</v>
      </c>
      <c r="E343" s="597" t="str">
        <f t="shared" si="266"/>
        <v>MD PARWEZ</v>
      </c>
      <c r="F343" s="590" t="str">
        <f>VLOOKUP(A343,STUDENT!$A$2:$BR$105,68,0)</f>
        <v/>
      </c>
      <c r="G343" s="590" t="b">
        <f>VLOOKUP(A343,STUDENT!$A$2:$BR$105,67,0)</f>
        <v>0</v>
      </c>
      <c r="H343" s="590" t="str">
        <f>PASHEET!BR22</f>
        <v/>
      </c>
      <c r="I343" s="590" t="str">
        <f>PASHEET!BS22</f>
        <v/>
      </c>
      <c r="J343" s="590" t="str">
        <f>PASHEET!BT22</f>
        <v/>
      </c>
      <c r="K343" s="590" t="str">
        <f>PASHEET!BU22</f>
        <v/>
      </c>
      <c r="L343" s="590" t="str">
        <f>PASHEET!BV22</f>
        <v/>
      </c>
      <c r="M343" s="590" t="str">
        <f>PASHEET!BW22</f>
        <v/>
      </c>
      <c r="N343" s="590" t="str">
        <f>PASHEET!BX22</f>
        <v/>
      </c>
      <c r="O343" s="590" t="str">
        <f>PASHEET!BY22</f>
        <v>Ab</v>
      </c>
      <c r="Q343" s="591" t="s">
        <v>482</v>
      </c>
      <c r="R343" s="591" t="s">
        <v>483</v>
      </c>
      <c r="S343" s="591"/>
      <c r="T343" s="591"/>
      <c r="U343" s="591"/>
      <c r="V343" s="591"/>
      <c r="W343" s="594"/>
      <c r="X343" s="591" t="s">
        <v>482</v>
      </c>
      <c r="Y343" s="591" t="s">
        <v>483</v>
      </c>
      <c r="Z343" s="591" t="s">
        <v>490</v>
      </c>
      <c r="AA343" s="591"/>
      <c r="AB343" s="591"/>
      <c r="AC343" s="591"/>
      <c r="AD343" s="591"/>
      <c r="AE343" s="594"/>
    </row>
    <row r="344" spans="1:31">
      <c r="A344" s="590">
        <v>20</v>
      </c>
      <c r="B344" s="596">
        <f t="shared" ref="B344:E344" si="267">B237</f>
        <v>14768</v>
      </c>
      <c r="C344" s="596">
        <f t="shared" si="267"/>
        <v>20240028340</v>
      </c>
      <c r="D344" s="597" t="str">
        <f t="shared" si="267"/>
        <v>ANKUR</v>
      </c>
      <c r="E344" s="597" t="str">
        <f t="shared" si="267"/>
        <v>ASHOK KUMAR GUPTA</v>
      </c>
      <c r="F344" s="590" t="str">
        <f>VLOOKUP(A344,STUDENT!$A$2:$BR$105,68,0)</f>
        <v/>
      </c>
      <c r="G344" s="590" t="b">
        <f>VLOOKUP(A344,STUDENT!$A$2:$BR$105,67,0)</f>
        <v>0</v>
      </c>
      <c r="H344" s="590" t="str">
        <f>PASHEET!BR23</f>
        <v/>
      </c>
      <c r="I344" s="590" t="str">
        <f>PASHEET!BS23</f>
        <v/>
      </c>
      <c r="J344" s="590" t="str">
        <f>PASHEET!BT23</f>
        <v/>
      </c>
      <c r="K344" s="590" t="str">
        <f>PASHEET!BU23</f>
        <v/>
      </c>
      <c r="L344" s="590" t="str">
        <f>PASHEET!BV23</f>
        <v/>
      </c>
      <c r="M344" s="590" t="str">
        <f>PASHEET!BW23</f>
        <v/>
      </c>
      <c r="N344" s="590" t="str">
        <f>PASHEET!BX23</f>
        <v/>
      </c>
      <c r="O344" s="590" t="str">
        <f>PASHEET!BY23</f>
        <v>Ab</v>
      </c>
      <c r="Q344" s="591"/>
      <c r="R344" s="591"/>
      <c r="S344" s="591" t="s">
        <v>102</v>
      </c>
      <c r="T344" s="591">
        <f>SUM(T336:T343)</f>
        <v>0</v>
      </c>
      <c r="U344" s="591">
        <f t="shared" ref="U344:V344" si="268">SUM(U336:U343)</f>
        <v>0</v>
      </c>
      <c r="V344" s="591">
        <f t="shared" si="268"/>
        <v>0</v>
      </c>
      <c r="W344" s="594"/>
      <c r="X344" s="591"/>
      <c r="Y344" s="591"/>
      <c r="Z344" s="591"/>
      <c r="AA344" s="591" t="s">
        <v>102</v>
      </c>
      <c r="AB344" s="591">
        <f>SUM(AB336:AB343)</f>
        <v>0</v>
      </c>
      <c r="AC344" s="591">
        <f t="shared" ref="AC344:AD344" si="269">SUM(AC336:AC343)</f>
        <v>0</v>
      </c>
      <c r="AD344" s="591">
        <f t="shared" si="269"/>
        <v>0</v>
      </c>
      <c r="AE344" s="594"/>
    </row>
    <row r="345" spans="1:31">
      <c r="A345" s="596">
        <v>21</v>
      </c>
      <c r="B345" s="596">
        <f t="shared" ref="B345:E345" si="270">B238</f>
        <v>14792</v>
      </c>
      <c r="C345" s="596">
        <f t="shared" si="270"/>
        <v>20240074441</v>
      </c>
      <c r="D345" s="597" t="str">
        <f t="shared" si="270"/>
        <v>SOBHIT PASWAN</v>
      </c>
      <c r="E345" s="597" t="str">
        <f t="shared" si="270"/>
        <v>SHANKAR PASWAN</v>
      </c>
      <c r="F345" s="590" t="str">
        <f>VLOOKUP(A345,STUDENT!$A$2:$BR$105,68,0)</f>
        <v/>
      </c>
      <c r="G345" s="590" t="b">
        <f>VLOOKUP(A345,STUDENT!$A$2:$BR$105,67,0)</f>
        <v>0</v>
      </c>
      <c r="H345" s="590" t="str">
        <f>PASHEET!BR24</f>
        <v/>
      </c>
      <c r="I345" s="590" t="str">
        <f>PASHEET!BS24</f>
        <v/>
      </c>
      <c r="J345" s="590" t="str">
        <f>PASHEET!BT24</f>
        <v/>
      </c>
      <c r="K345" s="590" t="str">
        <f>PASHEET!BU24</f>
        <v/>
      </c>
      <c r="L345" s="590" t="str">
        <f>PASHEET!BV24</f>
        <v/>
      </c>
      <c r="M345" s="590" t="str">
        <f>PASHEET!BW24</f>
        <v/>
      </c>
      <c r="N345" s="590" t="str">
        <f>PASHEET!BX24</f>
        <v/>
      </c>
      <c r="O345" s="590" t="str">
        <f>PASHEET!BY24</f>
        <v>Ab</v>
      </c>
      <c r="Q345" s="591"/>
      <c r="R345" s="591"/>
      <c r="S345" s="591"/>
      <c r="T345" s="591"/>
      <c r="U345" s="591"/>
      <c r="V345" s="591"/>
      <c r="W345" s="594"/>
      <c r="X345" s="594"/>
      <c r="Y345" s="594"/>
      <c r="Z345" s="594"/>
      <c r="AA345" s="594"/>
      <c r="AB345" s="591"/>
      <c r="AC345" s="591"/>
      <c r="AD345" s="591"/>
      <c r="AE345" s="594"/>
    </row>
    <row r="346" spans="1:31">
      <c r="A346" s="590">
        <v>22</v>
      </c>
      <c r="B346" s="596">
        <f t="shared" ref="B346:E346" si="271">B239</f>
        <v>14804</v>
      </c>
      <c r="C346" s="596">
        <f t="shared" si="271"/>
        <v>20240100859</v>
      </c>
      <c r="D346" s="597" t="str">
        <f t="shared" si="271"/>
        <v>ABHISHEK MUKHIYA</v>
      </c>
      <c r="E346" s="597" t="str">
        <f t="shared" si="271"/>
        <v>ARJUN MUKHIYA</v>
      </c>
      <c r="F346" s="590" t="str">
        <f>VLOOKUP(A346,STUDENT!$A$2:$BR$105,68,0)</f>
        <v/>
      </c>
      <c r="G346" s="590" t="b">
        <f>VLOOKUP(A346,STUDENT!$A$2:$BR$105,67,0)</f>
        <v>0</v>
      </c>
      <c r="H346" s="590" t="str">
        <f>PASHEET!BR25</f>
        <v/>
      </c>
      <c r="I346" s="590" t="str">
        <f>PASHEET!BS25</f>
        <v/>
      </c>
      <c r="J346" s="590" t="str">
        <f>PASHEET!BT25</f>
        <v/>
      </c>
      <c r="K346" s="590" t="str">
        <f>PASHEET!BU25</f>
        <v/>
      </c>
      <c r="L346" s="590" t="str">
        <f>PASHEET!BV25</f>
        <v/>
      </c>
      <c r="M346" s="590" t="str">
        <f>PASHEET!BW25</f>
        <v/>
      </c>
      <c r="N346" s="590" t="str">
        <f>PASHEET!BX25</f>
        <v/>
      </c>
      <c r="O346" s="590" t="str">
        <f>PASHEET!BY25</f>
        <v>Ab</v>
      </c>
      <c r="Q346" s="591"/>
      <c r="R346" s="591"/>
      <c r="S346" s="591"/>
      <c r="T346" s="591"/>
      <c r="U346" s="591"/>
      <c r="V346" s="591"/>
      <c r="W346" s="594"/>
      <c r="X346" s="594"/>
      <c r="Y346" s="594"/>
      <c r="Z346" s="594"/>
      <c r="AA346" s="594"/>
      <c r="AB346" s="591"/>
      <c r="AC346" s="591"/>
      <c r="AD346" s="591"/>
      <c r="AE346" s="594"/>
    </row>
    <row r="347" spans="1:31">
      <c r="A347" s="596">
        <v>23</v>
      </c>
      <c r="B347" s="596">
        <f t="shared" ref="B347:E347" si="272">B240</f>
        <v>14805</v>
      </c>
      <c r="C347" s="596">
        <f t="shared" si="272"/>
        <v>20240100885</v>
      </c>
      <c r="D347" s="597" t="str">
        <f t="shared" si="272"/>
        <v>NITIN</v>
      </c>
      <c r="E347" s="597" t="str">
        <f t="shared" si="272"/>
        <v>AJAY</v>
      </c>
      <c r="F347" s="590" t="str">
        <f>VLOOKUP(A347,STUDENT!$A$2:$BR$105,68,0)</f>
        <v/>
      </c>
      <c r="G347" s="590" t="b">
        <f>VLOOKUP(A347,STUDENT!$A$2:$BR$105,67,0)</f>
        <v>0</v>
      </c>
      <c r="H347" s="590" t="str">
        <f>PASHEET!BR26</f>
        <v/>
      </c>
      <c r="I347" s="590" t="str">
        <f>PASHEET!BS26</f>
        <v/>
      </c>
      <c r="J347" s="590" t="str">
        <f>PASHEET!BT26</f>
        <v/>
      </c>
      <c r="K347" s="590" t="str">
        <f>PASHEET!BU26</f>
        <v/>
      </c>
      <c r="L347" s="590" t="str">
        <f>PASHEET!BV26</f>
        <v/>
      </c>
      <c r="M347" s="590" t="str">
        <f>PASHEET!BW26</f>
        <v/>
      </c>
      <c r="N347" s="590" t="str">
        <f>PASHEET!BX26</f>
        <v/>
      </c>
      <c r="O347" s="590" t="str">
        <f>PASHEET!BY26</f>
        <v>Ab</v>
      </c>
      <c r="Q347" s="591" t="s">
        <v>475</v>
      </c>
      <c r="R347" s="591" t="s">
        <v>476</v>
      </c>
      <c r="S347" s="592" t="s">
        <v>477</v>
      </c>
      <c r="T347" s="593" t="s">
        <v>89</v>
      </c>
      <c r="U347" s="592" t="s">
        <v>479</v>
      </c>
      <c r="V347" s="592" t="s">
        <v>480</v>
      </c>
      <c r="W347" s="594"/>
      <c r="X347" s="591" t="s">
        <v>475</v>
      </c>
      <c r="Y347" s="591" t="s">
        <v>476</v>
      </c>
      <c r="Z347" s="591" t="s">
        <v>474</v>
      </c>
      <c r="AA347" s="592" t="s">
        <v>477</v>
      </c>
      <c r="AB347" s="593" t="s">
        <v>491</v>
      </c>
      <c r="AC347" s="592" t="s">
        <v>479</v>
      </c>
      <c r="AD347" s="592" t="s">
        <v>480</v>
      </c>
      <c r="AE347" s="594"/>
    </row>
    <row r="348" spans="1:31">
      <c r="A348" s="590">
        <v>24</v>
      </c>
      <c r="B348" s="596">
        <f t="shared" ref="B348:E348" si="273">B241</f>
        <v>14806</v>
      </c>
      <c r="C348" s="596">
        <f t="shared" si="273"/>
        <v>20240100904</v>
      </c>
      <c r="D348" s="597" t="str">
        <f t="shared" si="273"/>
        <v>SOORYA VANSHAL</v>
      </c>
      <c r="E348" s="597" t="str">
        <f t="shared" si="273"/>
        <v>KAMLESH KUMAR</v>
      </c>
      <c r="F348" s="590" t="str">
        <f>VLOOKUP(A348,STUDENT!$A$2:$BR$105,68,0)</f>
        <v/>
      </c>
      <c r="G348" s="590" t="b">
        <f>VLOOKUP(A348,STUDENT!$A$2:$BR$105,67,0)</f>
        <v>0</v>
      </c>
      <c r="H348" s="590" t="str">
        <f>PASHEET!BR27</f>
        <v/>
      </c>
      <c r="I348" s="590" t="str">
        <f>PASHEET!BS27</f>
        <v/>
      </c>
      <c r="J348" s="590" t="str">
        <f>PASHEET!BT27</f>
        <v/>
      </c>
      <c r="K348" s="590" t="str">
        <f>PASHEET!BU27</f>
        <v/>
      </c>
      <c r="L348" s="590" t="str">
        <f>PASHEET!BV27</f>
        <v/>
      </c>
      <c r="M348" s="590" t="str">
        <f>PASHEET!BW27</f>
        <v/>
      </c>
      <c r="N348" s="590" t="str">
        <f>PASHEET!BX27</f>
        <v/>
      </c>
      <c r="O348" s="590" t="str">
        <f>PASHEET!BY27</f>
        <v>Ab</v>
      </c>
      <c r="Q348" s="591" t="s">
        <v>482</v>
      </c>
      <c r="R348" s="591" t="s">
        <v>483</v>
      </c>
      <c r="S348" s="591" t="s">
        <v>50</v>
      </c>
      <c r="T348" s="591">
        <f>COUNTIFS(I325:I424,S348)</f>
        <v>0</v>
      </c>
      <c r="U348" s="591">
        <f>COUNTIFS(F325:F424,Q337,I325:I424,S348)</f>
        <v>0</v>
      </c>
      <c r="V348" s="591">
        <f>COUNTIFS(F325:F424,R337,I325:I424,S348)</f>
        <v>0</v>
      </c>
      <c r="W348" s="594"/>
      <c r="X348" s="591" t="s">
        <v>482</v>
      </c>
      <c r="Y348" s="591" t="s">
        <v>483</v>
      </c>
      <c r="Z348" s="591" t="s">
        <v>491</v>
      </c>
      <c r="AA348" s="591" t="s">
        <v>50</v>
      </c>
      <c r="AB348" s="591">
        <f>COUNTIFS(G325:G424,Z348,O325:O424,S348)</f>
        <v>0</v>
      </c>
      <c r="AC348" s="591">
        <f>COUNTIFS(F325:F424,X348,G325:G424,Z348,O325:O424,S348)</f>
        <v>0</v>
      </c>
      <c r="AD348" s="591">
        <f>COUNTIFS(F325:F424,Y348,G325:G424,Z348,O325:O424,S348)</f>
        <v>0</v>
      </c>
      <c r="AE348" s="594"/>
    </row>
    <row r="349" spans="1:31">
      <c r="A349" s="596">
        <v>25</v>
      </c>
      <c r="B349" s="596">
        <f t="shared" ref="B349:E349" si="274">B242</f>
        <v>14943</v>
      </c>
      <c r="C349" s="596">
        <f t="shared" si="274"/>
        <v>20250012364</v>
      </c>
      <c r="D349" s="597" t="str">
        <f t="shared" si="274"/>
        <v>ANSHU KUMAR PANDIT</v>
      </c>
      <c r="E349" s="597" t="str">
        <f t="shared" si="274"/>
        <v>RAMESH KUMAR PANDIT</v>
      </c>
      <c r="F349" s="590" t="str">
        <f>VLOOKUP(A349,STUDENT!$A$2:$BR$105,68,0)</f>
        <v/>
      </c>
      <c r="G349" s="590" t="b">
        <f>VLOOKUP(A349,STUDENT!$A$2:$BR$105,67,0)</f>
        <v>0</v>
      </c>
      <c r="H349" s="590" t="str">
        <f>PASHEET!BR28</f>
        <v/>
      </c>
      <c r="I349" s="590" t="str">
        <f>PASHEET!BS28</f>
        <v/>
      </c>
      <c r="J349" s="590" t="str">
        <f>PASHEET!BT28</f>
        <v/>
      </c>
      <c r="K349" s="590" t="str">
        <f>PASHEET!BU28</f>
        <v/>
      </c>
      <c r="L349" s="590" t="str">
        <f>PASHEET!BV28</f>
        <v/>
      </c>
      <c r="M349" s="590" t="str">
        <f>PASHEET!BW28</f>
        <v/>
      </c>
      <c r="N349" s="590" t="str">
        <f>PASHEET!BX28</f>
        <v/>
      </c>
      <c r="O349" s="590" t="str">
        <f>PASHEET!BY28</f>
        <v>Ab</v>
      </c>
      <c r="Q349" s="591" t="s">
        <v>482</v>
      </c>
      <c r="R349" s="591" t="s">
        <v>483</v>
      </c>
      <c r="S349" s="591" t="s">
        <v>485</v>
      </c>
      <c r="T349" s="591">
        <f>COUNTIFS(I325:I424,S349)</f>
        <v>0</v>
      </c>
      <c r="U349" s="591">
        <f>COUNTIFS(F325:F424,Q338,I325:I424,S349)</f>
        <v>0</v>
      </c>
      <c r="V349" s="591">
        <f>COUNTIFS(F325:F424,R338,I325:I424,S349)</f>
        <v>0</v>
      </c>
      <c r="W349" s="594"/>
      <c r="X349" s="591" t="s">
        <v>482</v>
      </c>
      <c r="Y349" s="591" t="s">
        <v>483</v>
      </c>
      <c r="Z349" s="591" t="s">
        <v>491</v>
      </c>
      <c r="AA349" s="591" t="s">
        <v>485</v>
      </c>
      <c r="AB349" s="591">
        <f>COUNTIFS(G325:G424,Z349,O325:O424,S349)</f>
        <v>0</v>
      </c>
      <c r="AC349" s="591">
        <f>COUNTIFS(F325:F424,X349,G325:G424,Z349,O325:O424,S349)</f>
        <v>0</v>
      </c>
      <c r="AD349" s="591">
        <f>COUNTIFS(F325:F424,Y349,G325:G424,Z349,O325:O424,S349)</f>
        <v>0</v>
      </c>
      <c r="AE349" s="594"/>
    </row>
    <row r="350" spans="1:31">
      <c r="A350" s="590">
        <v>26</v>
      </c>
      <c r="B350" s="596">
        <f t="shared" ref="B350:E350" si="275">B243</f>
        <v>14960</v>
      </c>
      <c r="C350" s="596">
        <f t="shared" si="275"/>
        <v>20250045334</v>
      </c>
      <c r="D350" s="597" t="str">
        <f t="shared" si="275"/>
        <v>MD ADAN SHEKH</v>
      </c>
      <c r="E350" s="597" t="str">
        <f t="shared" si="275"/>
        <v>MD ISHTIKHAR</v>
      </c>
      <c r="F350" s="590" t="str">
        <f>VLOOKUP(A350,STUDENT!$A$2:$BR$105,68,0)</f>
        <v/>
      </c>
      <c r="G350" s="590" t="b">
        <f>VLOOKUP(A350,STUDENT!$A$2:$BR$105,67,0)</f>
        <v>0</v>
      </c>
      <c r="H350" s="590" t="str">
        <f>PASHEET!BR29</f>
        <v/>
      </c>
      <c r="I350" s="590" t="str">
        <f>PASHEET!BS29</f>
        <v/>
      </c>
      <c r="J350" s="590" t="str">
        <f>PASHEET!BT29</f>
        <v/>
      </c>
      <c r="K350" s="590" t="str">
        <f>PASHEET!BU29</f>
        <v/>
      </c>
      <c r="L350" s="590" t="str">
        <f>PASHEET!BV29</f>
        <v/>
      </c>
      <c r="M350" s="590" t="str">
        <f>PASHEET!BW29</f>
        <v/>
      </c>
      <c r="N350" s="590" t="str">
        <f>PASHEET!BX29</f>
        <v/>
      </c>
      <c r="O350" s="590" t="str">
        <f>PASHEET!BY29</f>
        <v>Ab</v>
      </c>
      <c r="Q350" s="591" t="s">
        <v>482</v>
      </c>
      <c r="R350" s="591" t="s">
        <v>483</v>
      </c>
      <c r="S350" s="591" t="s">
        <v>486</v>
      </c>
      <c r="T350" s="591">
        <f>COUNTIFS(I325:I424,S350)</f>
        <v>0</v>
      </c>
      <c r="U350" s="591">
        <f>COUNTIFS(F325:F424,Q339,I325:I424,S350)</f>
        <v>0</v>
      </c>
      <c r="V350" s="591">
        <f>COUNTIFS(F325:F424,R339,I325:I424,S350)</f>
        <v>0</v>
      </c>
      <c r="W350" s="594"/>
      <c r="X350" s="591" t="s">
        <v>482</v>
      </c>
      <c r="Y350" s="591" t="s">
        <v>483</v>
      </c>
      <c r="Z350" s="591" t="s">
        <v>491</v>
      </c>
      <c r="AA350" s="591" t="s">
        <v>486</v>
      </c>
      <c r="AB350" s="591">
        <f>COUNTIFS(G325:G424,Z350,O325:O424,S350)</f>
        <v>0</v>
      </c>
      <c r="AC350" s="591">
        <f>COUNTIFS(F325:F424,X350,G325:G424,Z350,O325:O424,S350)</f>
        <v>0</v>
      </c>
      <c r="AD350" s="591">
        <f>COUNTIFS(F325:F424,Y350,G325:G424,Z350,O325:O424,S350)</f>
        <v>0</v>
      </c>
      <c r="AE350" s="594"/>
    </row>
    <row r="351" spans="1:31">
      <c r="A351" s="596">
        <v>27</v>
      </c>
      <c r="B351" s="596">
        <f t="shared" ref="B351:E351" si="276">B244</f>
        <v>14976</v>
      </c>
      <c r="C351" s="596">
        <f t="shared" si="276"/>
        <v>20250064030</v>
      </c>
      <c r="D351" s="597" t="str">
        <f t="shared" si="276"/>
        <v>KARTIK</v>
      </c>
      <c r="E351" s="597" t="str">
        <f t="shared" si="276"/>
        <v>SUNIL</v>
      </c>
      <c r="F351" s="590" t="str">
        <f>VLOOKUP(A351,STUDENT!$A$2:$BR$105,68,0)</f>
        <v/>
      </c>
      <c r="G351" s="590" t="b">
        <f>VLOOKUP(A351,STUDENT!$A$2:$BR$105,67,0)</f>
        <v>0</v>
      </c>
      <c r="H351" s="590" t="str">
        <f>PASHEET!BR30</f>
        <v/>
      </c>
      <c r="I351" s="590" t="str">
        <f>PASHEET!BS30</f>
        <v/>
      </c>
      <c r="J351" s="590" t="str">
        <f>PASHEET!BT30</f>
        <v/>
      </c>
      <c r="K351" s="590" t="str">
        <f>PASHEET!BU30</f>
        <v/>
      </c>
      <c r="L351" s="590" t="str">
        <f>PASHEET!BV30</f>
        <v/>
      </c>
      <c r="M351" s="590" t="str">
        <f>PASHEET!BW30</f>
        <v/>
      </c>
      <c r="N351" s="590" t="str">
        <f>PASHEET!BX30</f>
        <v/>
      </c>
      <c r="O351" s="590" t="str">
        <f>PASHEET!BY30</f>
        <v>Ab</v>
      </c>
      <c r="Q351" s="591" t="s">
        <v>482</v>
      </c>
      <c r="R351" s="591" t="s">
        <v>483</v>
      </c>
      <c r="S351" s="591" t="s">
        <v>487</v>
      </c>
      <c r="T351" s="591">
        <f>COUNTIFS(I325:I424,S351)</f>
        <v>0</v>
      </c>
      <c r="U351" s="591">
        <f>COUNTIFS(F325:F424,Q340,I325:I424,S351)</f>
        <v>0</v>
      </c>
      <c r="V351" s="591">
        <f>COUNTIFS(F325:F424,R340,I325:I424,S351)</f>
        <v>0</v>
      </c>
      <c r="W351" s="594"/>
      <c r="X351" s="591" t="s">
        <v>482</v>
      </c>
      <c r="Y351" s="591" t="s">
        <v>483</v>
      </c>
      <c r="Z351" s="591" t="s">
        <v>491</v>
      </c>
      <c r="AA351" s="591" t="s">
        <v>487</v>
      </c>
      <c r="AB351" s="591">
        <f>COUNTIFS(G325:G424,Z351,O325:O424,S351)</f>
        <v>0</v>
      </c>
      <c r="AC351" s="591">
        <f>COUNTIFS(F325:F424,X351,G325:G424,Z351,O325:O424,S351)</f>
        <v>0</v>
      </c>
      <c r="AD351" s="591">
        <f>COUNTIFS(F325:F424,Y351,G325:G424,Z351,O325:O424,S351)</f>
        <v>0</v>
      </c>
      <c r="AE351" s="594"/>
    </row>
    <row r="352" spans="1:31">
      <c r="A352" s="590">
        <v>28</v>
      </c>
      <c r="B352" s="596">
        <f t="shared" ref="B352:E352" si="277">B245</f>
        <v>14999</v>
      </c>
      <c r="C352" s="596">
        <f t="shared" si="277"/>
        <v>20250104050</v>
      </c>
      <c r="D352" s="597" t="str">
        <f t="shared" si="277"/>
        <v>ABDUL REHMAN</v>
      </c>
      <c r="E352" s="597" t="str">
        <f t="shared" si="277"/>
        <v>MD LAL BABU</v>
      </c>
      <c r="F352" s="590" t="str">
        <f>VLOOKUP(A352,STUDENT!$A$2:$BR$105,68,0)</f>
        <v/>
      </c>
      <c r="G352" s="590" t="b">
        <f>VLOOKUP(A352,STUDENT!$A$2:$BR$105,67,0)</f>
        <v>0</v>
      </c>
      <c r="H352" s="590" t="str">
        <f>PASHEET!BR31</f>
        <v/>
      </c>
      <c r="I352" s="590" t="str">
        <f>PASHEET!BS31</f>
        <v/>
      </c>
      <c r="J352" s="590" t="str">
        <f>PASHEET!BT31</f>
        <v/>
      </c>
      <c r="K352" s="590" t="str">
        <f>PASHEET!BU31</f>
        <v/>
      </c>
      <c r="L352" s="590" t="str">
        <f>PASHEET!BV31</f>
        <v/>
      </c>
      <c r="M352" s="590" t="str">
        <f>PASHEET!BW31</f>
        <v/>
      </c>
      <c r="N352" s="590" t="str">
        <f>PASHEET!BX31</f>
        <v/>
      </c>
      <c r="O352" s="590" t="str">
        <f>PASHEET!BY31</f>
        <v>Ab</v>
      </c>
      <c r="Q352" s="591" t="s">
        <v>482</v>
      </c>
      <c r="R352" s="591" t="s">
        <v>483</v>
      </c>
      <c r="S352" s="591" t="s">
        <v>488</v>
      </c>
      <c r="T352" s="591">
        <f>COUNTIFS(I325:I424,S352)</f>
        <v>0</v>
      </c>
      <c r="U352" s="591">
        <f>COUNTIFS(F325:F424,Q341,I325:I424,S352)</f>
        <v>0</v>
      </c>
      <c r="V352" s="591">
        <f>COUNTIFS(F325:F424,R341,I325:I424,S352)</f>
        <v>0</v>
      </c>
      <c r="W352" s="594"/>
      <c r="X352" s="591" t="s">
        <v>482</v>
      </c>
      <c r="Y352" s="591" t="s">
        <v>483</v>
      </c>
      <c r="Z352" s="591" t="s">
        <v>491</v>
      </c>
      <c r="AA352" s="591" t="s">
        <v>488</v>
      </c>
      <c r="AB352" s="591">
        <f>COUNTIFS(G325:G424,Z352,O325:O424,S352)</f>
        <v>0</v>
      </c>
      <c r="AC352" s="591">
        <f>COUNTIFS(F325:F424,X352,G325:G424,Z352,O325:O424,S352)</f>
        <v>0</v>
      </c>
      <c r="AD352" s="591">
        <f>COUNTIFS(F325:F424,Y352,G325:G424,Z352,O325:O424,S352)</f>
        <v>0</v>
      </c>
      <c r="AE352" s="594"/>
    </row>
    <row r="353" spans="1:31">
      <c r="A353" s="596">
        <v>29</v>
      </c>
      <c r="B353" s="596">
        <f t="shared" ref="B353:E353" si="278">B246</f>
        <v>15000</v>
      </c>
      <c r="C353" s="596">
        <f t="shared" si="278"/>
        <v>20250104062</v>
      </c>
      <c r="D353" s="597" t="str">
        <f t="shared" si="278"/>
        <v>KARTIK</v>
      </c>
      <c r="E353" s="597" t="str">
        <f t="shared" si="278"/>
        <v>AMAN YADAV</v>
      </c>
      <c r="F353" s="590" t="str">
        <f>VLOOKUP(A353,STUDENT!$A$2:$BR$105,68,0)</f>
        <v/>
      </c>
      <c r="G353" s="590" t="b">
        <f>VLOOKUP(A353,STUDENT!$A$2:$BR$105,67,0)</f>
        <v>0</v>
      </c>
      <c r="H353" s="590" t="str">
        <f>PASHEET!BR32</f>
        <v/>
      </c>
      <c r="I353" s="590" t="str">
        <f>PASHEET!BS32</f>
        <v/>
      </c>
      <c r="J353" s="590" t="str">
        <f>PASHEET!BT32</f>
        <v/>
      </c>
      <c r="K353" s="590" t="str">
        <f>PASHEET!BU32</f>
        <v/>
      </c>
      <c r="L353" s="590" t="str">
        <f>PASHEET!BV32</f>
        <v/>
      </c>
      <c r="M353" s="590" t="str">
        <f>PASHEET!BW32</f>
        <v/>
      </c>
      <c r="N353" s="590" t="str">
        <f>PASHEET!BX32</f>
        <v/>
      </c>
      <c r="O353" s="590" t="str">
        <f>PASHEET!BY32</f>
        <v>Ab</v>
      </c>
      <c r="Q353" s="591" t="s">
        <v>482</v>
      </c>
      <c r="R353" s="591" t="s">
        <v>483</v>
      </c>
      <c r="S353" s="591" t="s">
        <v>101</v>
      </c>
      <c r="T353" s="591">
        <f>COUNTIFS(I325:I424,S353)</f>
        <v>0</v>
      </c>
      <c r="U353" s="591">
        <f>COUNTIFS(F325:F424,Q342,I325:I424,S353)</f>
        <v>0</v>
      </c>
      <c r="V353" s="591">
        <f>COUNTIFS(F325:F424,R342,I325:I424,S353)</f>
        <v>0</v>
      </c>
      <c r="W353" s="594"/>
      <c r="X353" s="591" t="s">
        <v>482</v>
      </c>
      <c r="Y353" s="591" t="s">
        <v>483</v>
      </c>
      <c r="Z353" s="591" t="s">
        <v>491</v>
      </c>
      <c r="AA353" s="591" t="s">
        <v>101</v>
      </c>
      <c r="AB353" s="591">
        <f>COUNTIFS(G325:G424,Z353,O325:O424,S353)</f>
        <v>0</v>
      </c>
      <c r="AC353" s="591">
        <f>COUNTIFS(F325:F424,X353,G325:G424,Z353,O325:O424,S353)</f>
        <v>0</v>
      </c>
      <c r="AD353" s="591">
        <f>COUNTIFS(F325:F424,Y353,G325:G424,Z353,O325:O424,S353)</f>
        <v>0</v>
      </c>
      <c r="AE353" s="594"/>
    </row>
    <row r="354" spans="1:31">
      <c r="A354" s="590">
        <v>30</v>
      </c>
      <c r="B354" s="596">
        <f t="shared" ref="B354:E354" si="279">B247</f>
        <v>15022</v>
      </c>
      <c r="C354" s="596">
        <f t="shared" si="279"/>
        <v>20250141853</v>
      </c>
      <c r="D354" s="597" t="str">
        <f t="shared" si="279"/>
        <v>AYAN</v>
      </c>
      <c r="E354" s="597" t="str">
        <f t="shared" si="279"/>
        <v>BABU HASAN</v>
      </c>
      <c r="F354" s="590" t="str">
        <f>VLOOKUP(A354,STUDENT!$A$2:$BR$105,68,0)</f>
        <v/>
      </c>
      <c r="G354" s="590" t="b">
        <f>VLOOKUP(A354,STUDENT!$A$2:$BR$105,67,0)</f>
        <v>0</v>
      </c>
      <c r="H354" s="590" t="str">
        <f>PASHEET!BR33</f>
        <v/>
      </c>
      <c r="I354" s="590" t="str">
        <f>PASHEET!BS33</f>
        <v/>
      </c>
      <c r="J354" s="590" t="str">
        <f>PASHEET!BT33</f>
        <v/>
      </c>
      <c r="K354" s="590" t="str">
        <f>PASHEET!BU33</f>
        <v/>
      </c>
      <c r="L354" s="590" t="str">
        <f>PASHEET!BV33</f>
        <v/>
      </c>
      <c r="M354" s="590" t="str">
        <f>PASHEET!BW33</f>
        <v/>
      </c>
      <c r="N354" s="590" t="str">
        <f>PASHEET!BX33</f>
        <v/>
      </c>
      <c r="O354" s="590" t="str">
        <f>PASHEET!BY33</f>
        <v>Ab</v>
      </c>
      <c r="Q354" s="591" t="s">
        <v>482</v>
      </c>
      <c r="R354" s="591" t="s">
        <v>483</v>
      </c>
      <c r="S354" s="591" t="s">
        <v>489</v>
      </c>
      <c r="T354" s="591">
        <f>COUNTIFS(I325:I424,S354)</f>
        <v>0</v>
      </c>
      <c r="U354" s="591">
        <f>COUNTIFS(F325:F424,Q343,I325:I424,S354)</f>
        <v>0</v>
      </c>
      <c r="V354" s="591">
        <f>COUNTIFS(F325:F424,R343,I325:I424,S354)</f>
        <v>0</v>
      </c>
      <c r="W354" s="594"/>
      <c r="X354" s="591" t="s">
        <v>482</v>
      </c>
      <c r="Y354" s="591" t="s">
        <v>483</v>
      </c>
      <c r="Z354" s="591" t="s">
        <v>491</v>
      </c>
      <c r="AA354" s="591" t="s">
        <v>489</v>
      </c>
      <c r="AB354" s="591">
        <f>COUNTIFS(G325:G424,Z354,O325:O424,S354)</f>
        <v>0</v>
      </c>
      <c r="AC354" s="591">
        <f>COUNTIFS(F325:F424,X354,G325:G424,Z354,O325:O424,S354)</f>
        <v>0</v>
      </c>
      <c r="AD354" s="591">
        <f>COUNTIFS(F325:F424,Y354,G325:G424,Z354,O325:O424,S354)</f>
        <v>0</v>
      </c>
      <c r="AE354" s="594"/>
    </row>
    <row r="355" spans="1:31">
      <c r="A355" s="596">
        <v>31</v>
      </c>
      <c r="B355" s="596">
        <f t="shared" ref="B355:E355" si="280">B248</f>
        <v>15034</v>
      </c>
      <c r="C355" s="596">
        <f t="shared" si="280"/>
        <v>20250188568</v>
      </c>
      <c r="D355" s="597" t="str">
        <f t="shared" si="280"/>
        <v>RAM CHANDER KUMAR</v>
      </c>
      <c r="E355" s="597" t="str">
        <f t="shared" si="280"/>
        <v>AKASH SHARMA</v>
      </c>
      <c r="F355" s="590" t="str">
        <f>VLOOKUP(A355,STUDENT!$A$2:$BR$105,68,0)</f>
        <v/>
      </c>
      <c r="G355" s="590" t="b">
        <f>VLOOKUP(A355,STUDENT!$A$2:$BR$105,67,0)</f>
        <v>0</v>
      </c>
      <c r="H355" s="590" t="str">
        <f>PASHEET!BR34</f>
        <v/>
      </c>
      <c r="I355" s="590" t="str">
        <f>PASHEET!BS34</f>
        <v/>
      </c>
      <c r="J355" s="590" t="str">
        <f>PASHEET!BT34</f>
        <v/>
      </c>
      <c r="K355" s="590" t="str">
        <f>PASHEET!BU34</f>
        <v/>
      </c>
      <c r="L355" s="590" t="str">
        <f>PASHEET!BV34</f>
        <v/>
      </c>
      <c r="M355" s="590" t="str">
        <f>PASHEET!BW34</f>
        <v/>
      </c>
      <c r="N355" s="590" t="str">
        <f>PASHEET!BX34</f>
        <v/>
      </c>
      <c r="O355" s="590" t="str">
        <f>PASHEET!BY34</f>
        <v>Ab</v>
      </c>
      <c r="Q355" s="591" t="s">
        <v>482</v>
      </c>
      <c r="R355" s="591" t="s">
        <v>483</v>
      </c>
      <c r="S355" s="591"/>
      <c r="T355" s="591"/>
      <c r="U355" s="591"/>
      <c r="V355" s="591"/>
      <c r="W355" s="594"/>
      <c r="X355" s="591" t="s">
        <v>482</v>
      </c>
      <c r="Y355" s="591" t="s">
        <v>483</v>
      </c>
      <c r="Z355" s="591" t="s">
        <v>491</v>
      </c>
      <c r="AA355" s="591"/>
      <c r="AB355" s="591"/>
      <c r="AC355" s="591"/>
      <c r="AD355" s="591"/>
      <c r="AE355" s="594"/>
    </row>
    <row r="356" spans="1:31">
      <c r="A356" s="590">
        <v>32</v>
      </c>
      <c r="B356" s="596">
        <f t="shared" ref="B356:E356" si="281">B249</f>
        <v>15035</v>
      </c>
      <c r="C356" s="596">
        <f t="shared" si="281"/>
        <v>20250188626</v>
      </c>
      <c r="D356" s="597" t="str">
        <f t="shared" si="281"/>
        <v>HARSHIT</v>
      </c>
      <c r="E356" s="597" t="str">
        <f t="shared" si="281"/>
        <v>ANKIT SINGH</v>
      </c>
      <c r="F356" s="590" t="str">
        <f>VLOOKUP(A356,STUDENT!$A$2:$BR$105,68,0)</f>
        <v/>
      </c>
      <c r="G356" s="590" t="b">
        <f>VLOOKUP(A356,STUDENT!$A$2:$BR$105,67,0)</f>
        <v>0</v>
      </c>
      <c r="H356" s="590" t="str">
        <f>PASHEET!BR35</f>
        <v/>
      </c>
      <c r="I356" s="590" t="str">
        <f>PASHEET!BS35</f>
        <v/>
      </c>
      <c r="J356" s="590" t="str">
        <f>PASHEET!BT35</f>
        <v/>
      </c>
      <c r="K356" s="590" t="str">
        <f>PASHEET!BU35</f>
        <v/>
      </c>
      <c r="L356" s="590" t="str">
        <f>PASHEET!BV35</f>
        <v/>
      </c>
      <c r="M356" s="590" t="str">
        <f>PASHEET!BW35</f>
        <v/>
      </c>
      <c r="N356" s="590" t="str">
        <f>PASHEET!BX35</f>
        <v/>
      </c>
      <c r="O356" s="590" t="str">
        <f>PASHEET!BY35</f>
        <v>Ab</v>
      </c>
      <c r="Q356" s="591"/>
      <c r="R356" s="591"/>
      <c r="S356" s="591" t="s">
        <v>102</v>
      </c>
      <c r="T356" s="591">
        <f>SUM(T348:T355)</f>
        <v>0</v>
      </c>
      <c r="U356" s="591">
        <f t="shared" ref="U356:V356" si="282">SUM(U348:U355)</f>
        <v>0</v>
      </c>
      <c r="V356" s="591">
        <f t="shared" si="282"/>
        <v>0</v>
      </c>
      <c r="W356" s="594"/>
      <c r="X356" s="591"/>
      <c r="Y356" s="591"/>
      <c r="Z356" s="591"/>
      <c r="AA356" s="591" t="s">
        <v>102</v>
      </c>
      <c r="AB356" s="591">
        <f>SUM(AB348:AB355)</f>
        <v>0</v>
      </c>
      <c r="AC356" s="591">
        <f t="shared" ref="AC356:AD356" si="283">SUM(AC348:AC355)</f>
        <v>0</v>
      </c>
      <c r="AD356" s="591">
        <f t="shared" si="283"/>
        <v>0</v>
      </c>
      <c r="AE356" s="594"/>
    </row>
    <row r="357" spans="1:31">
      <c r="A357" s="596">
        <v>33</v>
      </c>
      <c r="B357" s="596">
        <f t="shared" ref="B357:E357" si="284">B250</f>
        <v>15077</v>
      </c>
      <c r="C357" s="596">
        <f t="shared" si="284"/>
        <v>20250246710</v>
      </c>
      <c r="D357" s="597" t="str">
        <f t="shared" si="284"/>
        <v>HEMANT KUMAR</v>
      </c>
      <c r="E357" s="597" t="str">
        <f t="shared" si="284"/>
        <v>PRADEEP KUMAR</v>
      </c>
      <c r="F357" s="590" t="str">
        <f>VLOOKUP(A357,STUDENT!$A$2:$BR$105,68,0)</f>
        <v/>
      </c>
      <c r="G357" s="590" t="b">
        <f>VLOOKUP(A357,STUDENT!$A$2:$BR$105,67,0)</f>
        <v>0</v>
      </c>
      <c r="H357" s="590" t="str">
        <f>PASHEET!BR36</f>
        <v/>
      </c>
      <c r="I357" s="590" t="str">
        <f>PASHEET!BS36</f>
        <v/>
      </c>
      <c r="J357" s="590" t="str">
        <f>PASHEET!BT36</f>
        <v/>
      </c>
      <c r="K357" s="590" t="str">
        <f>PASHEET!BU36</f>
        <v/>
      </c>
      <c r="L357" s="590" t="str">
        <f>PASHEET!BV36</f>
        <v/>
      </c>
      <c r="M357" s="590" t="str">
        <f>PASHEET!BW36</f>
        <v/>
      </c>
      <c r="N357" s="590" t="str">
        <f>PASHEET!BX36</f>
        <v/>
      </c>
      <c r="O357" s="590" t="str">
        <f>PASHEET!BY36</f>
        <v>Ab</v>
      </c>
      <c r="Q357" s="591"/>
      <c r="R357" s="591"/>
      <c r="S357" s="591"/>
      <c r="T357" s="591"/>
      <c r="U357" s="591"/>
      <c r="V357" s="591"/>
      <c r="W357" s="594"/>
      <c r="X357" s="594"/>
      <c r="Y357" s="594"/>
      <c r="Z357" s="594"/>
      <c r="AA357" s="594"/>
      <c r="AB357" s="591"/>
      <c r="AC357" s="591"/>
      <c r="AD357" s="591"/>
      <c r="AE357" s="594"/>
    </row>
    <row r="358" spans="1:31">
      <c r="A358" s="590">
        <v>34</v>
      </c>
      <c r="B358" s="596">
        <f t="shared" ref="B358:E358" si="285">B251</f>
        <v>15088</v>
      </c>
      <c r="C358" s="596">
        <f t="shared" si="285"/>
        <v>20250257787</v>
      </c>
      <c r="D358" s="597" t="str">
        <f t="shared" si="285"/>
        <v>VEERPARTAP SINGH</v>
      </c>
      <c r="E358" s="597" t="str">
        <f t="shared" si="285"/>
        <v>VIJAY SINGH</v>
      </c>
      <c r="F358" s="590" t="str">
        <f>VLOOKUP(A358,STUDENT!$A$2:$BR$105,68,0)</f>
        <v/>
      </c>
      <c r="G358" s="590" t="b">
        <f>VLOOKUP(A358,STUDENT!$A$2:$BR$105,67,0)</f>
        <v>0</v>
      </c>
      <c r="H358" s="590" t="str">
        <f>PASHEET!BR37</f>
        <v/>
      </c>
      <c r="I358" s="590" t="str">
        <f>PASHEET!BS37</f>
        <v/>
      </c>
      <c r="J358" s="590" t="str">
        <f>PASHEET!BT37</f>
        <v/>
      </c>
      <c r="K358" s="590" t="str">
        <f>PASHEET!BU37</f>
        <v/>
      </c>
      <c r="L358" s="590" t="str">
        <f>PASHEET!BV37</f>
        <v/>
      </c>
      <c r="M358" s="590" t="str">
        <f>PASHEET!BW37</f>
        <v/>
      </c>
      <c r="N358" s="590" t="str">
        <f>PASHEET!BX37</f>
        <v/>
      </c>
      <c r="O358" s="590" t="str">
        <f>PASHEET!BY37</f>
        <v>Ab</v>
      </c>
      <c r="Q358" s="591"/>
      <c r="R358" s="591"/>
      <c r="S358" s="591"/>
      <c r="T358" s="591"/>
      <c r="U358" s="591"/>
      <c r="V358" s="591"/>
      <c r="W358" s="594"/>
      <c r="X358" s="594"/>
      <c r="Y358" s="594"/>
      <c r="Z358" s="594"/>
      <c r="AA358" s="594"/>
      <c r="AB358" s="591"/>
      <c r="AC358" s="591"/>
      <c r="AD358" s="591"/>
      <c r="AE358" s="594"/>
    </row>
    <row r="359" spans="1:31">
      <c r="A359" s="596">
        <v>35</v>
      </c>
      <c r="B359" s="596">
        <f t="shared" ref="B359:E359" si="286">B252</f>
        <v>15104</v>
      </c>
      <c r="C359" s="596">
        <f t="shared" si="286"/>
        <v>20250272033</v>
      </c>
      <c r="D359" s="597" t="str">
        <f t="shared" si="286"/>
        <v>NIKHIL KUMAR</v>
      </c>
      <c r="E359" s="597" t="str">
        <f t="shared" si="286"/>
        <v>SUNIL KUMAR</v>
      </c>
      <c r="F359" s="590" t="str">
        <f>VLOOKUP(A359,STUDENT!$A$2:$BR$105,68,0)</f>
        <v/>
      </c>
      <c r="G359" s="590" t="b">
        <f>VLOOKUP(A359,STUDENT!$A$2:$BR$105,67,0)</f>
        <v>0</v>
      </c>
      <c r="H359" s="590" t="str">
        <f>PASHEET!BR38</f>
        <v/>
      </c>
      <c r="I359" s="590" t="str">
        <f>PASHEET!BS38</f>
        <v/>
      </c>
      <c r="J359" s="590" t="str">
        <f>PASHEET!BT38</f>
        <v/>
      </c>
      <c r="K359" s="590" t="str">
        <f>PASHEET!BU38</f>
        <v/>
      </c>
      <c r="L359" s="590" t="str">
        <f>PASHEET!BV38</f>
        <v/>
      </c>
      <c r="M359" s="590" t="str">
        <f>PASHEET!BW38</f>
        <v/>
      </c>
      <c r="N359" s="590" t="str">
        <f>PASHEET!BX38</f>
        <v/>
      </c>
      <c r="O359" s="590" t="str">
        <f>PASHEET!BY38</f>
        <v>Ab</v>
      </c>
      <c r="Q359" s="591" t="s">
        <v>475</v>
      </c>
      <c r="R359" s="591" t="s">
        <v>476</v>
      </c>
      <c r="S359" s="592" t="s">
        <v>477</v>
      </c>
      <c r="T359" s="593" t="s">
        <v>88</v>
      </c>
      <c r="U359" s="592" t="s">
        <v>479</v>
      </c>
      <c r="V359" s="592" t="s">
        <v>480</v>
      </c>
      <c r="W359" s="594"/>
      <c r="X359" s="591" t="s">
        <v>475</v>
      </c>
      <c r="Y359" s="591" t="s">
        <v>476</v>
      </c>
      <c r="Z359" s="591" t="s">
        <v>474</v>
      </c>
      <c r="AA359" s="592" t="s">
        <v>477</v>
      </c>
      <c r="AB359" s="593" t="s">
        <v>492</v>
      </c>
      <c r="AC359" s="592" t="s">
        <v>479</v>
      </c>
      <c r="AD359" s="592" t="s">
        <v>480</v>
      </c>
      <c r="AE359" s="594"/>
    </row>
    <row r="360" spans="1:31">
      <c r="A360" s="590">
        <v>36</v>
      </c>
      <c r="B360" s="596">
        <f t="shared" ref="B360:E360" si="287">B253</f>
        <v>15143</v>
      </c>
      <c r="C360" s="596">
        <f t="shared" si="287"/>
        <v>20250310265</v>
      </c>
      <c r="D360" s="597" t="str">
        <f t="shared" si="287"/>
        <v>JITENDRA</v>
      </c>
      <c r="E360" s="597" t="str">
        <f t="shared" si="287"/>
        <v>RAM SUMAR</v>
      </c>
      <c r="F360" s="590" t="str">
        <f>VLOOKUP(A360,STUDENT!$A$2:$BR$105,68,0)</f>
        <v/>
      </c>
      <c r="G360" s="590" t="b">
        <f>VLOOKUP(A360,STUDENT!$A$2:$BR$105,67,0)</f>
        <v>0</v>
      </c>
      <c r="H360" s="590" t="str">
        <f>PASHEET!BR39</f>
        <v/>
      </c>
      <c r="I360" s="590" t="str">
        <f>PASHEET!BS39</f>
        <v/>
      </c>
      <c r="J360" s="590" t="str">
        <f>PASHEET!BT39</f>
        <v/>
      </c>
      <c r="K360" s="590" t="str">
        <f>PASHEET!BU39</f>
        <v/>
      </c>
      <c r="L360" s="590" t="str">
        <f>PASHEET!BV39</f>
        <v/>
      </c>
      <c r="M360" s="590" t="str">
        <f>PASHEET!BW39</f>
        <v/>
      </c>
      <c r="N360" s="590" t="str">
        <f>PASHEET!BX39</f>
        <v/>
      </c>
      <c r="O360" s="590" t="str">
        <f>PASHEET!BY39</f>
        <v>Ab</v>
      </c>
      <c r="Q360" s="591" t="s">
        <v>482</v>
      </c>
      <c r="R360" s="591" t="s">
        <v>483</v>
      </c>
      <c r="S360" s="591" t="s">
        <v>50</v>
      </c>
      <c r="T360" s="591">
        <f>COUNTIFS(J325:J424,S360)</f>
        <v>0</v>
      </c>
      <c r="U360" s="591">
        <f>COUNTIFS(F325:F424,Q349,J325:J424,S360)</f>
        <v>0</v>
      </c>
      <c r="V360" s="591">
        <f>COUNTIFS(F325:F424,R349,J325:J424,S360)</f>
        <v>0</v>
      </c>
      <c r="W360" s="594"/>
      <c r="X360" s="591" t="s">
        <v>482</v>
      </c>
      <c r="Y360" s="591" t="s">
        <v>483</v>
      </c>
      <c r="Z360" s="591" t="s">
        <v>492</v>
      </c>
      <c r="AA360" s="591" t="s">
        <v>50</v>
      </c>
      <c r="AB360" s="591">
        <f>COUNTIFS(G325:G424,Z360,O325:O424,S360)</f>
        <v>0</v>
      </c>
      <c r="AC360" s="591">
        <f>COUNTIFS(F325:F424,X360,G325:G424,Z360,O325:O424,S360)</f>
        <v>0</v>
      </c>
      <c r="AD360" s="591">
        <f>COUNTIFS(F325:F424,Y360,G325:G424,Z360,O325:O424,S360)</f>
        <v>0</v>
      </c>
      <c r="AE360" s="594"/>
    </row>
    <row r="361" spans="1:31">
      <c r="A361" s="596">
        <v>37</v>
      </c>
      <c r="B361" s="596">
        <f t="shared" ref="B361:E361" si="288">B254</f>
        <v>15144</v>
      </c>
      <c r="C361" s="596">
        <f t="shared" si="288"/>
        <v>20250310269</v>
      </c>
      <c r="D361" s="597" t="str">
        <f t="shared" si="288"/>
        <v>MOHD AYAN</v>
      </c>
      <c r="E361" s="597" t="str">
        <f t="shared" si="288"/>
        <v>BUDHAN MIYAN</v>
      </c>
      <c r="F361" s="590" t="str">
        <f>VLOOKUP(A361,STUDENT!$A$2:$BR$105,68,0)</f>
        <v/>
      </c>
      <c r="G361" s="590" t="b">
        <f>VLOOKUP(A361,STUDENT!$A$2:$BR$105,67,0)</f>
        <v>0</v>
      </c>
      <c r="H361" s="590" t="str">
        <f>PASHEET!BR40</f>
        <v/>
      </c>
      <c r="I361" s="590" t="str">
        <f>PASHEET!BS40</f>
        <v/>
      </c>
      <c r="J361" s="590" t="str">
        <f>PASHEET!BT40</f>
        <v/>
      </c>
      <c r="K361" s="590" t="str">
        <f>PASHEET!BU40</f>
        <v/>
      </c>
      <c r="L361" s="590" t="str">
        <f>PASHEET!BV40</f>
        <v/>
      </c>
      <c r="M361" s="590" t="str">
        <f>PASHEET!BW40</f>
        <v/>
      </c>
      <c r="N361" s="590" t="str">
        <f>PASHEET!BX40</f>
        <v/>
      </c>
      <c r="O361" s="590" t="str">
        <f>PASHEET!BY40</f>
        <v>Ab</v>
      </c>
      <c r="Q361" s="591" t="s">
        <v>482</v>
      </c>
      <c r="R361" s="591" t="s">
        <v>483</v>
      </c>
      <c r="S361" s="591" t="s">
        <v>485</v>
      </c>
      <c r="T361" s="591">
        <f>COUNTIFS(J325:J424,S361)</f>
        <v>0</v>
      </c>
      <c r="U361" s="591">
        <f>COUNTIFS(F325:F424,Q350,J325:J424,S361)</f>
        <v>0</v>
      </c>
      <c r="V361" s="591">
        <f>COUNTIFS(F325:F424,R350,J325:J424,S361)</f>
        <v>0</v>
      </c>
      <c r="W361" s="594"/>
      <c r="X361" s="591" t="s">
        <v>482</v>
      </c>
      <c r="Y361" s="591" t="s">
        <v>483</v>
      </c>
      <c r="Z361" s="591" t="s">
        <v>492</v>
      </c>
      <c r="AA361" s="591" t="s">
        <v>485</v>
      </c>
      <c r="AB361" s="591">
        <f>COUNTIFS(G325:G424,Z361,O325:O424,S361)</f>
        <v>0</v>
      </c>
      <c r="AC361" s="591">
        <f>COUNTIFS(F325:F424,X361,G325:G424,Z361,O325:O424,S361)</f>
        <v>0</v>
      </c>
      <c r="AD361" s="591">
        <f>COUNTIFS(F325:F424,Y361,G325:G424,Z361,O325:O424,S361)</f>
        <v>0</v>
      </c>
      <c r="AE361" s="594"/>
    </row>
    <row r="362" spans="1:31">
      <c r="A362" s="590">
        <v>38</v>
      </c>
      <c r="B362" s="596">
        <f t="shared" ref="B362:E362" si="289">B255</f>
        <v>15145</v>
      </c>
      <c r="C362" s="596">
        <f t="shared" si="289"/>
        <v>20250310277</v>
      </c>
      <c r="D362" s="597" t="str">
        <f t="shared" si="289"/>
        <v>RAJA KUMAR</v>
      </c>
      <c r="E362" s="597" t="str">
        <f t="shared" si="289"/>
        <v>AMAR PODDAR</v>
      </c>
      <c r="F362" s="590" t="str">
        <f>VLOOKUP(A362,STUDENT!$A$2:$BR$105,68,0)</f>
        <v/>
      </c>
      <c r="G362" s="590" t="b">
        <f>VLOOKUP(A362,STUDENT!$A$2:$BR$105,67,0)</f>
        <v>0</v>
      </c>
      <c r="H362" s="590" t="str">
        <f>PASHEET!BR41</f>
        <v/>
      </c>
      <c r="I362" s="590" t="str">
        <f>PASHEET!BS41</f>
        <v/>
      </c>
      <c r="J362" s="590" t="str">
        <f>PASHEET!BT41</f>
        <v/>
      </c>
      <c r="K362" s="590" t="str">
        <f>PASHEET!BU41</f>
        <v/>
      </c>
      <c r="L362" s="590" t="str">
        <f>PASHEET!BV41</f>
        <v/>
      </c>
      <c r="M362" s="590" t="str">
        <f>PASHEET!BW41</f>
        <v/>
      </c>
      <c r="N362" s="590" t="str">
        <f>PASHEET!BX41</f>
        <v/>
      </c>
      <c r="O362" s="590" t="str">
        <f>PASHEET!BY41</f>
        <v>Ab</v>
      </c>
      <c r="Q362" s="591" t="s">
        <v>482</v>
      </c>
      <c r="R362" s="591" t="s">
        <v>483</v>
      </c>
      <c r="S362" s="591" t="s">
        <v>486</v>
      </c>
      <c r="T362" s="591">
        <f>COUNTIFS(J325:J424,S362)</f>
        <v>0</v>
      </c>
      <c r="U362" s="591">
        <f>COUNTIFS(F325:F424,Q351,J325:J424,S362)</f>
        <v>0</v>
      </c>
      <c r="V362" s="591">
        <f>COUNTIFS(F325:F424,R351,J325:J424,S362)</f>
        <v>0</v>
      </c>
      <c r="W362" s="594"/>
      <c r="X362" s="591" t="s">
        <v>482</v>
      </c>
      <c r="Y362" s="591" t="s">
        <v>483</v>
      </c>
      <c r="Z362" s="591" t="s">
        <v>492</v>
      </c>
      <c r="AA362" s="591" t="s">
        <v>486</v>
      </c>
      <c r="AB362" s="591">
        <f>COUNTIFS(G325:G424,Z362,O325:O424,S362)</f>
        <v>0</v>
      </c>
      <c r="AC362" s="591">
        <f>COUNTIFS(F325:F424,X362,G325:G424,Z362,O325:O424,S362)</f>
        <v>0</v>
      </c>
      <c r="AD362" s="591">
        <f>COUNTIFS(F325:F424,Y362,G325:G424,Z362,O325:O424,S362)</f>
        <v>0</v>
      </c>
      <c r="AE362" s="594"/>
    </row>
    <row r="363" spans="1:31">
      <c r="A363" s="596">
        <v>39</v>
      </c>
      <c r="B363" s="596">
        <f t="shared" ref="B363:E363" si="290">B256</f>
        <v>15149</v>
      </c>
      <c r="C363" s="596">
        <f t="shared" si="290"/>
        <v>20250325088</v>
      </c>
      <c r="D363" s="597" t="str">
        <f t="shared" si="290"/>
        <v>LOVECESH KUMAR</v>
      </c>
      <c r="E363" s="597" t="str">
        <f t="shared" si="290"/>
        <v>SANDEEP KUMAR</v>
      </c>
      <c r="F363" s="590" t="str">
        <f>VLOOKUP(A363,STUDENT!$A$2:$BR$105,68,0)</f>
        <v/>
      </c>
      <c r="G363" s="590" t="b">
        <f>VLOOKUP(A363,STUDENT!$A$2:$BR$105,67,0)</f>
        <v>0</v>
      </c>
      <c r="H363" s="590" t="str">
        <f>PASHEET!BR42</f>
        <v/>
      </c>
      <c r="I363" s="590" t="str">
        <f>PASHEET!BS42</f>
        <v/>
      </c>
      <c r="J363" s="590" t="str">
        <f>PASHEET!BT42</f>
        <v/>
      </c>
      <c r="K363" s="590" t="str">
        <f>PASHEET!BU42</f>
        <v/>
      </c>
      <c r="L363" s="590" t="str">
        <f>PASHEET!BV42</f>
        <v/>
      </c>
      <c r="M363" s="590" t="str">
        <f>PASHEET!BW42</f>
        <v/>
      </c>
      <c r="N363" s="590" t="str">
        <f>PASHEET!BX42</f>
        <v/>
      </c>
      <c r="O363" s="590" t="str">
        <f>PASHEET!BY42</f>
        <v>Ab</v>
      </c>
      <c r="Q363" s="591" t="s">
        <v>482</v>
      </c>
      <c r="R363" s="591" t="s">
        <v>483</v>
      </c>
      <c r="S363" s="591" t="s">
        <v>487</v>
      </c>
      <c r="T363" s="591">
        <f>COUNTIFS(J325:J424,S363)</f>
        <v>0</v>
      </c>
      <c r="U363" s="591">
        <f>COUNTIFS(F325:F424,Q352,J325:J424,S363)</f>
        <v>0</v>
      </c>
      <c r="V363" s="591">
        <f>COUNTIFS(F325:F424,R352,J325:J424,S363)</f>
        <v>0</v>
      </c>
      <c r="W363" s="594"/>
      <c r="X363" s="591" t="s">
        <v>482</v>
      </c>
      <c r="Y363" s="591" t="s">
        <v>483</v>
      </c>
      <c r="Z363" s="591" t="s">
        <v>492</v>
      </c>
      <c r="AA363" s="591" t="s">
        <v>487</v>
      </c>
      <c r="AB363" s="591">
        <f>COUNTIFS(G325:G424,Z363,O325:O424,S363)</f>
        <v>0</v>
      </c>
      <c r="AC363" s="591">
        <f>COUNTIFS(F325:F424,X363,G325:G424,Z363,O325:O424,S363)</f>
        <v>0</v>
      </c>
      <c r="AD363" s="591">
        <f>COUNTIFS(F325:F424,Y363,G325:G424,Z363,O325:O424,S363)</f>
        <v>0</v>
      </c>
      <c r="AE363" s="594"/>
    </row>
    <row r="364" spans="1:31">
      <c r="A364" s="590">
        <v>40</v>
      </c>
      <c r="B364" s="596">
        <f t="shared" ref="B364:E364" si="291">B257</f>
        <v>0</v>
      </c>
      <c r="C364" s="596">
        <f t="shared" si="291"/>
        <v>0</v>
      </c>
      <c r="D364" s="597">
        <f t="shared" si="291"/>
        <v>0</v>
      </c>
      <c r="E364" s="597">
        <f t="shared" si="291"/>
        <v>0</v>
      </c>
      <c r="F364" s="590" t="str">
        <f>VLOOKUP(A364,STUDENT!$A$2:$BR$105,68,0)</f>
        <v/>
      </c>
      <c r="G364" s="590" t="b">
        <f>VLOOKUP(A364,STUDENT!$A$2:$BR$105,67,0)</f>
        <v>0</v>
      </c>
      <c r="H364" s="590" t="str">
        <f>PASHEET!BR43</f>
        <v/>
      </c>
      <c r="I364" s="590" t="str">
        <f>PASHEET!BS43</f>
        <v/>
      </c>
      <c r="J364" s="590" t="str">
        <f>PASHEET!BT43</f>
        <v/>
      </c>
      <c r="K364" s="590" t="str">
        <f>PASHEET!BU43</f>
        <v/>
      </c>
      <c r="L364" s="590" t="str">
        <f>PASHEET!BV43</f>
        <v/>
      </c>
      <c r="M364" s="590" t="str">
        <f>PASHEET!BW43</f>
        <v/>
      </c>
      <c r="N364" s="590" t="str">
        <f>PASHEET!BX43</f>
        <v/>
      </c>
      <c r="O364" s="590" t="str">
        <f>PASHEET!BY43</f>
        <v/>
      </c>
      <c r="Q364" s="591" t="s">
        <v>482</v>
      </c>
      <c r="R364" s="591" t="s">
        <v>483</v>
      </c>
      <c r="S364" s="591" t="s">
        <v>488</v>
      </c>
      <c r="T364" s="591">
        <f>COUNTIFS(J325:J424,S364)</f>
        <v>0</v>
      </c>
      <c r="U364" s="591">
        <f>COUNTIFS(F325:F424,Q353,J325:J424,S364)</f>
        <v>0</v>
      </c>
      <c r="V364" s="591">
        <f>COUNTIFS(F325:F424,R353,J325:J424,S364)</f>
        <v>0</v>
      </c>
      <c r="W364" s="594"/>
      <c r="X364" s="591" t="s">
        <v>482</v>
      </c>
      <c r="Y364" s="591" t="s">
        <v>483</v>
      </c>
      <c r="Z364" s="591" t="s">
        <v>492</v>
      </c>
      <c r="AA364" s="591" t="s">
        <v>488</v>
      </c>
      <c r="AB364" s="591">
        <f>COUNTIFS(G325:G424,Z364,O325:O424,S364)</f>
        <v>0</v>
      </c>
      <c r="AC364" s="591">
        <f>COUNTIFS(F325:F424,X364,G325:G424,Z364,O325:O424,S364)</f>
        <v>0</v>
      </c>
      <c r="AD364" s="591">
        <f>COUNTIFS(F325:F424,Y364,G325:G424,Z364,O325:O424,S364)</f>
        <v>0</v>
      </c>
      <c r="AE364" s="594"/>
    </row>
    <row r="365" spans="1:31">
      <c r="A365" s="596">
        <v>41</v>
      </c>
      <c r="B365" s="596">
        <f t="shared" ref="B365:E365" si="292">B258</f>
        <v>0</v>
      </c>
      <c r="C365" s="596">
        <f t="shared" si="292"/>
        <v>0</v>
      </c>
      <c r="D365" s="597">
        <f t="shared" si="292"/>
        <v>0</v>
      </c>
      <c r="E365" s="597">
        <f t="shared" si="292"/>
        <v>0</v>
      </c>
      <c r="F365" s="590" t="str">
        <f>VLOOKUP(A365,STUDENT!$A$2:$BR$105,68,0)</f>
        <v/>
      </c>
      <c r="G365" s="590" t="b">
        <f>VLOOKUP(A365,STUDENT!$A$2:$BR$105,67,0)</f>
        <v>0</v>
      </c>
      <c r="H365" s="590" t="str">
        <f>PASHEET!BR44</f>
        <v/>
      </c>
      <c r="I365" s="590" t="str">
        <f>PASHEET!BS44</f>
        <v/>
      </c>
      <c r="J365" s="590" t="str">
        <f>PASHEET!BT44</f>
        <v/>
      </c>
      <c r="K365" s="590" t="str">
        <f>PASHEET!BU44</f>
        <v/>
      </c>
      <c r="L365" s="590" t="str">
        <f>PASHEET!BV44</f>
        <v/>
      </c>
      <c r="M365" s="590" t="str">
        <f>PASHEET!BW44</f>
        <v/>
      </c>
      <c r="N365" s="590" t="str">
        <f>PASHEET!BX44</f>
        <v/>
      </c>
      <c r="O365" s="590" t="str">
        <f>PASHEET!BY44</f>
        <v/>
      </c>
      <c r="Q365" s="591" t="s">
        <v>482</v>
      </c>
      <c r="R365" s="591" t="s">
        <v>483</v>
      </c>
      <c r="S365" s="591" t="s">
        <v>101</v>
      </c>
      <c r="T365" s="591">
        <f>COUNTIFS(J325:J424,S365)</f>
        <v>0</v>
      </c>
      <c r="U365" s="591">
        <f>COUNTIFS(F325:F424,Q354,J325:J424,S365)</f>
        <v>0</v>
      </c>
      <c r="V365" s="591">
        <f>COUNTIFS(F325:F424,R354,J325:J424,S365)</f>
        <v>0</v>
      </c>
      <c r="W365" s="594"/>
      <c r="X365" s="591" t="s">
        <v>482</v>
      </c>
      <c r="Y365" s="591" t="s">
        <v>483</v>
      </c>
      <c r="Z365" s="591" t="s">
        <v>492</v>
      </c>
      <c r="AA365" s="591" t="s">
        <v>101</v>
      </c>
      <c r="AB365" s="591">
        <f>COUNTIFS(G325:G424,Z365,O325:O424,S365)</f>
        <v>0</v>
      </c>
      <c r="AC365" s="591">
        <f>COUNTIFS(F325:F424,X365,G325:G424,Z365,O325:O424,S365)</f>
        <v>0</v>
      </c>
      <c r="AD365" s="591">
        <f>COUNTIFS(F325:F424,Y365,G325:G424,Z365,O325:O424,S365)</f>
        <v>0</v>
      </c>
      <c r="AE365" s="594"/>
    </row>
    <row r="366" spans="1:31">
      <c r="A366" s="590">
        <v>42</v>
      </c>
      <c r="B366" s="596">
        <f t="shared" ref="B366:E366" si="293">B259</f>
        <v>0</v>
      </c>
      <c r="C366" s="596">
        <f t="shared" si="293"/>
        <v>0</v>
      </c>
      <c r="D366" s="597">
        <f t="shared" si="293"/>
        <v>0</v>
      </c>
      <c r="E366" s="597">
        <f t="shared" si="293"/>
        <v>0</v>
      </c>
      <c r="F366" s="590" t="str">
        <f>VLOOKUP(A366,STUDENT!$A$2:$BR$105,68,0)</f>
        <v/>
      </c>
      <c r="G366" s="590" t="b">
        <f>VLOOKUP(A366,STUDENT!$A$2:$BR$105,67,0)</f>
        <v>0</v>
      </c>
      <c r="H366" s="590" t="str">
        <f>PASHEET!BR45</f>
        <v/>
      </c>
      <c r="I366" s="590" t="str">
        <f>PASHEET!BS45</f>
        <v/>
      </c>
      <c r="J366" s="590" t="str">
        <f>PASHEET!BT45</f>
        <v/>
      </c>
      <c r="K366" s="590" t="str">
        <f>PASHEET!BU45</f>
        <v/>
      </c>
      <c r="L366" s="590" t="str">
        <f>PASHEET!BV45</f>
        <v/>
      </c>
      <c r="M366" s="590" t="str">
        <f>PASHEET!BW45</f>
        <v/>
      </c>
      <c r="N366" s="590" t="str">
        <f>PASHEET!BX45</f>
        <v/>
      </c>
      <c r="O366" s="590" t="str">
        <f>PASHEET!BY45</f>
        <v/>
      </c>
      <c r="Q366" s="591" t="s">
        <v>482</v>
      </c>
      <c r="R366" s="591" t="s">
        <v>483</v>
      </c>
      <c r="S366" s="591" t="s">
        <v>489</v>
      </c>
      <c r="T366" s="591">
        <f>COUNTIFS(J325:J424,S366)</f>
        <v>0</v>
      </c>
      <c r="U366" s="591">
        <f>COUNTIFS(F325:F424,Q355,J325:J424,S366)</f>
        <v>0</v>
      </c>
      <c r="V366" s="591">
        <f>COUNTIFS(F325:F424,R355,J325:J424,S366)</f>
        <v>0</v>
      </c>
      <c r="W366" s="594"/>
      <c r="X366" s="591" t="s">
        <v>482</v>
      </c>
      <c r="Y366" s="591" t="s">
        <v>483</v>
      </c>
      <c r="Z366" s="591" t="s">
        <v>492</v>
      </c>
      <c r="AA366" s="591" t="s">
        <v>489</v>
      </c>
      <c r="AB366" s="591">
        <f>COUNTIFS(G325:G424,Z366,O325:O424,S366)</f>
        <v>0</v>
      </c>
      <c r="AC366" s="591">
        <f>COUNTIFS(F325:F424,X366,G325:G424,Z366,O325:O424,S366)</f>
        <v>0</v>
      </c>
      <c r="AD366" s="591">
        <f>COUNTIFS(F325:F424,Y366,G325:G424,Z366,O325:O424,S366)</f>
        <v>0</v>
      </c>
      <c r="AE366" s="594"/>
    </row>
    <row r="367" spans="1:31">
      <c r="A367" s="596">
        <v>43</v>
      </c>
      <c r="B367" s="596">
        <f t="shared" ref="B367:E367" si="294">B260</f>
        <v>0</v>
      </c>
      <c r="C367" s="596">
        <f t="shared" si="294"/>
        <v>0</v>
      </c>
      <c r="D367" s="597">
        <f t="shared" si="294"/>
        <v>0</v>
      </c>
      <c r="E367" s="597">
        <f t="shared" si="294"/>
        <v>0</v>
      </c>
      <c r="F367" s="590" t="str">
        <f>VLOOKUP(A367,STUDENT!$A$2:$BR$105,68,0)</f>
        <v/>
      </c>
      <c r="G367" s="590" t="b">
        <f>VLOOKUP(A367,STUDENT!$A$2:$BR$105,67,0)</f>
        <v>0</v>
      </c>
      <c r="H367" s="590" t="str">
        <f>PASHEET!BR46</f>
        <v/>
      </c>
      <c r="I367" s="590" t="str">
        <f>PASHEET!BS46</f>
        <v/>
      </c>
      <c r="J367" s="590" t="str">
        <f>PASHEET!BT46</f>
        <v/>
      </c>
      <c r="K367" s="590" t="str">
        <f>PASHEET!BU46</f>
        <v/>
      </c>
      <c r="L367" s="590" t="str">
        <f>PASHEET!BV46</f>
        <v/>
      </c>
      <c r="M367" s="590" t="str">
        <f>PASHEET!BW46</f>
        <v/>
      </c>
      <c r="N367" s="590" t="str">
        <f>PASHEET!BX46</f>
        <v/>
      </c>
      <c r="O367" s="590" t="str">
        <f>PASHEET!BY46</f>
        <v/>
      </c>
      <c r="Q367" s="591" t="s">
        <v>482</v>
      </c>
      <c r="R367" s="591" t="s">
        <v>483</v>
      </c>
      <c r="S367" s="591"/>
      <c r="T367" s="591"/>
      <c r="U367" s="591"/>
      <c r="V367" s="591"/>
      <c r="W367" s="594"/>
      <c r="X367" s="591" t="s">
        <v>482</v>
      </c>
      <c r="Y367" s="591" t="s">
        <v>483</v>
      </c>
      <c r="Z367" s="591" t="s">
        <v>492</v>
      </c>
      <c r="AA367" s="591"/>
      <c r="AB367" s="591"/>
      <c r="AC367" s="591"/>
      <c r="AD367" s="591"/>
      <c r="AE367" s="594"/>
    </row>
    <row r="368" spans="1:31">
      <c r="A368" s="590">
        <v>44</v>
      </c>
      <c r="B368" s="596">
        <f t="shared" ref="B368:E368" si="295">B261</f>
        <v>0</v>
      </c>
      <c r="C368" s="596">
        <f t="shared" si="295"/>
        <v>0</v>
      </c>
      <c r="D368" s="597">
        <f t="shared" si="295"/>
        <v>0</v>
      </c>
      <c r="E368" s="597">
        <f t="shared" si="295"/>
        <v>0</v>
      </c>
      <c r="F368" s="590" t="str">
        <f>VLOOKUP(A368,STUDENT!$A$2:$BR$105,68,0)</f>
        <v/>
      </c>
      <c r="G368" s="590" t="b">
        <f>VLOOKUP(A368,STUDENT!$A$2:$BR$105,67,0)</f>
        <v>0</v>
      </c>
      <c r="H368" s="590" t="str">
        <f>PASHEET!BR47</f>
        <v/>
      </c>
      <c r="I368" s="590" t="str">
        <f>PASHEET!BS47</f>
        <v/>
      </c>
      <c r="J368" s="590" t="str">
        <f>PASHEET!BT47</f>
        <v/>
      </c>
      <c r="K368" s="590" t="str">
        <f>PASHEET!BU47</f>
        <v/>
      </c>
      <c r="L368" s="590" t="str">
        <f>PASHEET!BV47</f>
        <v/>
      </c>
      <c r="M368" s="590" t="str">
        <f>PASHEET!BW47</f>
        <v/>
      </c>
      <c r="N368" s="590" t="str">
        <f>PASHEET!BX47</f>
        <v/>
      </c>
      <c r="O368" s="590" t="str">
        <f>PASHEET!BY47</f>
        <v/>
      </c>
      <c r="Q368" s="591"/>
      <c r="R368" s="591"/>
      <c r="S368" s="591" t="s">
        <v>102</v>
      </c>
      <c r="T368" s="591">
        <f>SUM(T360:T367)</f>
        <v>0</v>
      </c>
      <c r="U368" s="591">
        <f t="shared" ref="U368:V368" si="296">SUM(U360:U367)</f>
        <v>0</v>
      </c>
      <c r="V368" s="591">
        <f t="shared" si="296"/>
        <v>0</v>
      </c>
      <c r="W368" s="594"/>
      <c r="X368" s="591"/>
      <c r="Y368" s="591"/>
      <c r="Z368" s="591"/>
      <c r="AA368" s="591" t="s">
        <v>102</v>
      </c>
      <c r="AB368" s="591">
        <f>SUM(AB360:AB367)</f>
        <v>0</v>
      </c>
      <c r="AC368" s="591">
        <f t="shared" ref="AC368:AD368" si="297">SUM(AC360:AC367)</f>
        <v>0</v>
      </c>
      <c r="AD368" s="591">
        <f t="shared" si="297"/>
        <v>0</v>
      </c>
      <c r="AE368" s="594"/>
    </row>
    <row r="369" spans="1:31">
      <c r="A369" s="596">
        <v>45</v>
      </c>
      <c r="B369" s="596">
        <f t="shared" ref="B369:E369" si="298">B262</f>
        <v>0</v>
      </c>
      <c r="C369" s="596">
        <f t="shared" si="298"/>
        <v>0</v>
      </c>
      <c r="D369" s="597">
        <f t="shared" si="298"/>
        <v>0</v>
      </c>
      <c r="E369" s="597">
        <f t="shared" si="298"/>
        <v>0</v>
      </c>
      <c r="F369" s="590" t="str">
        <f>VLOOKUP(A369,STUDENT!$A$2:$BR$105,68,0)</f>
        <v/>
      </c>
      <c r="G369" s="590" t="b">
        <f>VLOOKUP(A369,STUDENT!$A$2:$BR$105,67,0)</f>
        <v>0</v>
      </c>
      <c r="H369" s="590" t="str">
        <f>PASHEET!BR48</f>
        <v/>
      </c>
      <c r="I369" s="590" t="str">
        <f>PASHEET!BS48</f>
        <v/>
      </c>
      <c r="J369" s="590" t="str">
        <f>PASHEET!BT48</f>
        <v/>
      </c>
      <c r="K369" s="590" t="str">
        <f>PASHEET!BU48</f>
        <v/>
      </c>
      <c r="L369" s="590" t="str">
        <f>PASHEET!BV48</f>
        <v/>
      </c>
      <c r="M369" s="590" t="str">
        <f>PASHEET!BW48</f>
        <v/>
      </c>
      <c r="N369" s="590" t="str">
        <f>PASHEET!BX48</f>
        <v/>
      </c>
      <c r="O369" s="590" t="str">
        <f>PASHEET!BY48</f>
        <v/>
      </c>
      <c r="Q369" s="591"/>
      <c r="R369" s="591"/>
      <c r="S369" s="591"/>
      <c r="T369" s="591"/>
      <c r="U369" s="591"/>
      <c r="V369" s="591"/>
      <c r="W369" s="594"/>
      <c r="X369" s="594"/>
      <c r="Y369" s="594"/>
      <c r="Z369" s="594"/>
      <c r="AA369" s="594"/>
      <c r="AB369" s="591"/>
      <c r="AC369" s="591"/>
      <c r="AD369" s="591"/>
      <c r="AE369" s="594"/>
    </row>
    <row r="370" spans="1:31">
      <c r="A370" s="590">
        <v>46</v>
      </c>
      <c r="B370" s="596">
        <f t="shared" ref="B370:E370" si="299">B263</f>
        <v>0</v>
      </c>
      <c r="C370" s="596">
        <f t="shared" si="299"/>
        <v>0</v>
      </c>
      <c r="D370" s="597">
        <f t="shared" si="299"/>
        <v>0</v>
      </c>
      <c r="E370" s="597">
        <f t="shared" si="299"/>
        <v>0</v>
      </c>
      <c r="F370" s="590" t="str">
        <f>VLOOKUP(A370,STUDENT!$A$2:$BR$105,68,0)</f>
        <v/>
      </c>
      <c r="G370" s="590" t="b">
        <f>VLOOKUP(A370,STUDENT!$A$2:$BR$105,67,0)</f>
        <v>0</v>
      </c>
      <c r="H370" s="590" t="str">
        <f>PASHEET!BR49</f>
        <v/>
      </c>
      <c r="I370" s="590" t="str">
        <f>PASHEET!BS49</f>
        <v/>
      </c>
      <c r="J370" s="590" t="str">
        <f>PASHEET!BT49</f>
        <v/>
      </c>
      <c r="K370" s="590" t="str">
        <f>PASHEET!BU49</f>
        <v/>
      </c>
      <c r="L370" s="590" t="str">
        <f>PASHEET!BV49</f>
        <v/>
      </c>
      <c r="M370" s="590" t="str">
        <f>PASHEET!BW49</f>
        <v/>
      </c>
      <c r="N370" s="590" t="str">
        <f>PASHEET!BX49</f>
        <v/>
      </c>
      <c r="O370" s="590" t="str">
        <f>PASHEET!BY49</f>
        <v/>
      </c>
      <c r="Q370" s="591"/>
      <c r="R370" s="591"/>
      <c r="S370" s="591"/>
      <c r="T370" s="591"/>
      <c r="U370" s="591"/>
      <c r="V370" s="591"/>
      <c r="W370" s="594"/>
      <c r="X370" s="594"/>
      <c r="Y370" s="594"/>
      <c r="Z370" s="594"/>
      <c r="AA370" s="594"/>
      <c r="AB370" s="591"/>
      <c r="AC370" s="591"/>
      <c r="AD370" s="591"/>
      <c r="AE370" s="594"/>
    </row>
    <row r="371" spans="1:31">
      <c r="A371" s="596">
        <v>47</v>
      </c>
      <c r="B371" s="596">
        <f t="shared" ref="B371:E371" si="300">B264</f>
        <v>0</v>
      </c>
      <c r="C371" s="596">
        <f t="shared" si="300"/>
        <v>0</v>
      </c>
      <c r="D371" s="597">
        <f t="shared" si="300"/>
        <v>0</v>
      </c>
      <c r="E371" s="597">
        <f t="shared" si="300"/>
        <v>0</v>
      </c>
      <c r="F371" s="590" t="str">
        <f>VLOOKUP(A371,STUDENT!$A$2:$BR$105,68,0)</f>
        <v/>
      </c>
      <c r="G371" s="590" t="b">
        <f>VLOOKUP(A371,STUDENT!$A$2:$BR$105,67,0)</f>
        <v>0</v>
      </c>
      <c r="H371" s="590" t="str">
        <f>PASHEET!BR50</f>
        <v/>
      </c>
      <c r="I371" s="590" t="str">
        <f>PASHEET!BS50</f>
        <v/>
      </c>
      <c r="J371" s="590" t="str">
        <f>PASHEET!BT50</f>
        <v/>
      </c>
      <c r="K371" s="590" t="str">
        <f>PASHEET!BU50</f>
        <v/>
      </c>
      <c r="L371" s="590" t="str">
        <f>PASHEET!BV50</f>
        <v/>
      </c>
      <c r="M371" s="590" t="str">
        <f>PASHEET!BW50</f>
        <v/>
      </c>
      <c r="N371" s="590" t="str">
        <f>PASHEET!BX50</f>
        <v/>
      </c>
      <c r="O371" s="590" t="str">
        <f>PASHEET!BY50</f>
        <v/>
      </c>
      <c r="Q371" s="591"/>
      <c r="R371" s="591"/>
      <c r="S371" s="591"/>
      <c r="T371" s="591"/>
      <c r="U371" s="591"/>
      <c r="V371" s="591"/>
      <c r="W371" s="594"/>
      <c r="X371" s="594"/>
      <c r="Y371" s="594"/>
      <c r="Z371" s="594"/>
      <c r="AA371" s="594"/>
      <c r="AB371" s="591"/>
      <c r="AC371" s="591"/>
      <c r="AD371" s="591"/>
      <c r="AE371" s="594"/>
    </row>
    <row r="372" spans="1:31">
      <c r="A372" s="590">
        <v>48</v>
      </c>
      <c r="B372" s="596">
        <f t="shared" ref="B372:E372" si="301">B265</f>
        <v>0</v>
      </c>
      <c r="C372" s="596">
        <f t="shared" si="301"/>
        <v>0</v>
      </c>
      <c r="D372" s="597">
        <f t="shared" si="301"/>
        <v>0</v>
      </c>
      <c r="E372" s="597">
        <f t="shared" si="301"/>
        <v>0</v>
      </c>
      <c r="F372" s="590" t="str">
        <f>VLOOKUP(A372,STUDENT!$A$2:$BR$105,68,0)</f>
        <v/>
      </c>
      <c r="G372" s="590" t="b">
        <f>VLOOKUP(A372,STUDENT!$A$2:$BR$105,67,0)</f>
        <v>0</v>
      </c>
      <c r="H372" s="590" t="str">
        <f>PASHEET!BR51</f>
        <v/>
      </c>
      <c r="I372" s="590" t="str">
        <f>PASHEET!BS51</f>
        <v/>
      </c>
      <c r="J372" s="590" t="str">
        <f>PASHEET!BT51</f>
        <v/>
      </c>
      <c r="K372" s="590" t="str">
        <f>PASHEET!BU51</f>
        <v/>
      </c>
      <c r="L372" s="590" t="str">
        <f>PASHEET!BV51</f>
        <v/>
      </c>
      <c r="M372" s="590" t="str">
        <f>PASHEET!BW51</f>
        <v/>
      </c>
      <c r="N372" s="590" t="str">
        <f>PASHEET!BX51</f>
        <v/>
      </c>
      <c r="O372" s="590" t="str">
        <f>PASHEET!BY51</f>
        <v/>
      </c>
      <c r="Q372" s="591" t="s">
        <v>475</v>
      </c>
      <c r="R372" s="591" t="s">
        <v>476</v>
      </c>
      <c r="S372" s="592" t="s">
        <v>477</v>
      </c>
      <c r="T372" s="593" t="s">
        <v>351</v>
      </c>
      <c r="U372" s="592" t="s">
        <v>479</v>
      </c>
      <c r="V372" s="592" t="s">
        <v>480</v>
      </c>
      <c r="W372" s="594"/>
      <c r="X372" s="591" t="s">
        <v>475</v>
      </c>
      <c r="Y372" s="591" t="s">
        <v>476</v>
      </c>
      <c r="Z372" s="591" t="s">
        <v>474</v>
      </c>
      <c r="AA372" s="592" t="s">
        <v>477</v>
      </c>
      <c r="AB372" s="593" t="s">
        <v>493</v>
      </c>
      <c r="AC372" s="592" t="s">
        <v>479</v>
      </c>
      <c r="AD372" s="592" t="s">
        <v>480</v>
      </c>
      <c r="AE372" s="594"/>
    </row>
    <row r="373" spans="1:31">
      <c r="A373" s="596">
        <v>49</v>
      </c>
      <c r="B373" s="596">
        <f t="shared" ref="B373:E373" si="302">B266</f>
        <v>0</v>
      </c>
      <c r="C373" s="596">
        <f t="shared" si="302"/>
        <v>0</v>
      </c>
      <c r="D373" s="597">
        <f t="shared" si="302"/>
        <v>0</v>
      </c>
      <c r="E373" s="597">
        <f t="shared" si="302"/>
        <v>0</v>
      </c>
      <c r="F373" s="590" t="str">
        <f>VLOOKUP(A373,STUDENT!$A$2:$BR$105,68,0)</f>
        <v/>
      </c>
      <c r="G373" s="590" t="b">
        <f>VLOOKUP(A373,STUDENT!$A$2:$BR$105,67,0)</f>
        <v>0</v>
      </c>
      <c r="H373" s="590" t="str">
        <f>PASHEET!BR52</f>
        <v/>
      </c>
      <c r="I373" s="590" t="str">
        <f>PASHEET!BS52</f>
        <v/>
      </c>
      <c r="J373" s="590" t="str">
        <f>PASHEET!BT52</f>
        <v/>
      </c>
      <c r="K373" s="590" t="str">
        <f>PASHEET!BU52</f>
        <v/>
      </c>
      <c r="L373" s="590" t="str">
        <f>PASHEET!BV52</f>
        <v/>
      </c>
      <c r="M373" s="590" t="str">
        <f>PASHEET!BW52</f>
        <v/>
      </c>
      <c r="N373" s="590" t="str">
        <f>PASHEET!BX52</f>
        <v/>
      </c>
      <c r="O373" s="590" t="str">
        <f>PASHEET!BY52</f>
        <v/>
      </c>
      <c r="Q373" s="591" t="s">
        <v>482</v>
      </c>
      <c r="R373" s="591" t="s">
        <v>483</v>
      </c>
      <c r="S373" s="591" t="s">
        <v>50</v>
      </c>
      <c r="T373" s="591">
        <f>COUNTIFS(K325:K424,S373)</f>
        <v>0</v>
      </c>
      <c r="U373" s="591">
        <f>COUNTIFS(F325:F424,Q362,K325:K424,S373)</f>
        <v>0</v>
      </c>
      <c r="V373" s="591">
        <f>COUNTIFS(F325:F424,R362,K325:K424,S373)</f>
        <v>0</v>
      </c>
      <c r="W373" s="594"/>
      <c r="X373" s="591" t="s">
        <v>482</v>
      </c>
      <c r="Y373" s="591" t="s">
        <v>483</v>
      </c>
      <c r="Z373" s="591" t="s">
        <v>493</v>
      </c>
      <c r="AA373" s="591" t="s">
        <v>50</v>
      </c>
      <c r="AB373" s="591">
        <f>COUNTIFS(G325:G424,Z373,O325:O424,S373)</f>
        <v>0</v>
      </c>
      <c r="AC373" s="591">
        <f>COUNTIFS(F325:F424,X373,G325:G424,Z373,O325:O424,S373)</f>
        <v>0</v>
      </c>
      <c r="AD373" s="591">
        <f>COUNTIFS(F325:F424,Y373,G325:G424,Z373,O325:O424,S373)</f>
        <v>0</v>
      </c>
      <c r="AE373" s="594"/>
    </row>
    <row r="374" spans="1:31">
      <c r="A374" s="590">
        <v>50</v>
      </c>
      <c r="B374" s="596">
        <f t="shared" ref="B374:E374" si="303">B267</f>
        <v>0</v>
      </c>
      <c r="C374" s="596">
        <f t="shared" si="303"/>
        <v>0</v>
      </c>
      <c r="D374" s="597">
        <f t="shared" si="303"/>
        <v>0</v>
      </c>
      <c r="E374" s="597">
        <f t="shared" si="303"/>
        <v>0</v>
      </c>
      <c r="F374" s="590" t="str">
        <f>VLOOKUP(A374,STUDENT!$A$2:$BR$105,68,0)</f>
        <v/>
      </c>
      <c r="G374" s="590" t="b">
        <f>VLOOKUP(A374,STUDENT!$A$2:$BR$105,67,0)</f>
        <v>0</v>
      </c>
      <c r="H374" s="590" t="str">
        <f>PASHEET!BR53</f>
        <v/>
      </c>
      <c r="I374" s="590" t="str">
        <f>PASHEET!BS53</f>
        <v/>
      </c>
      <c r="J374" s="590" t="str">
        <f>PASHEET!BT53</f>
        <v/>
      </c>
      <c r="K374" s="590" t="str">
        <f>PASHEET!BU53</f>
        <v/>
      </c>
      <c r="L374" s="590" t="str">
        <f>PASHEET!BV53</f>
        <v/>
      </c>
      <c r="M374" s="590" t="str">
        <f>PASHEET!BW53</f>
        <v/>
      </c>
      <c r="N374" s="590" t="str">
        <f>PASHEET!BX53</f>
        <v/>
      </c>
      <c r="O374" s="590" t="str">
        <f>PASHEET!BY53</f>
        <v/>
      </c>
      <c r="Q374" s="591" t="s">
        <v>482</v>
      </c>
      <c r="R374" s="591" t="s">
        <v>483</v>
      </c>
      <c r="S374" s="591" t="s">
        <v>485</v>
      </c>
      <c r="T374" s="591">
        <f>COUNTIFS(K325:K424,S374)</f>
        <v>0</v>
      </c>
      <c r="U374" s="591">
        <f>COUNTIFS(F325:F424,Q363,K325:K424,S374)</f>
        <v>0</v>
      </c>
      <c r="V374" s="591">
        <f>COUNTIFS(F325:F424,R363,K325:K424,S374)</f>
        <v>0</v>
      </c>
      <c r="W374" s="594"/>
      <c r="X374" s="591" t="s">
        <v>482</v>
      </c>
      <c r="Y374" s="591" t="s">
        <v>483</v>
      </c>
      <c r="Z374" s="591" t="s">
        <v>493</v>
      </c>
      <c r="AA374" s="591" t="s">
        <v>485</v>
      </c>
      <c r="AB374" s="591">
        <f>COUNTIFS(G325:G424,Z374,O325:O424,S374)</f>
        <v>0</v>
      </c>
      <c r="AC374" s="591">
        <f>COUNTIFS(F325:F424,X374,G325:G424,Z374,O325:O424,S374)</f>
        <v>0</v>
      </c>
      <c r="AD374" s="591">
        <f>COUNTIFS(F325:F424,Y374,G325:G424,Z374,O325:O424,S374)</f>
        <v>0</v>
      </c>
      <c r="AE374" s="594"/>
    </row>
    <row r="375" spans="1:31">
      <c r="A375" s="596">
        <v>51</v>
      </c>
      <c r="B375" s="596">
        <f t="shared" ref="B375:E375" si="304">B268</f>
        <v>0</v>
      </c>
      <c r="C375" s="596">
        <f t="shared" si="304"/>
        <v>0</v>
      </c>
      <c r="D375" s="597">
        <f t="shared" si="304"/>
        <v>0</v>
      </c>
      <c r="E375" s="597">
        <f t="shared" si="304"/>
        <v>0</v>
      </c>
      <c r="F375" s="590" t="str">
        <f>VLOOKUP(A375,STUDENT!$A$2:$BR$105,68,0)</f>
        <v/>
      </c>
      <c r="G375" s="590" t="b">
        <f>VLOOKUP(A375,STUDENT!$A$2:$BR$105,67,0)</f>
        <v>0</v>
      </c>
      <c r="H375" s="590" t="str">
        <f>PASHEET!BR54</f>
        <v/>
      </c>
      <c r="I375" s="590" t="str">
        <f>PASHEET!BS54</f>
        <v/>
      </c>
      <c r="J375" s="590" t="str">
        <f>PASHEET!BT54</f>
        <v/>
      </c>
      <c r="K375" s="590" t="str">
        <f>PASHEET!BU54</f>
        <v/>
      </c>
      <c r="L375" s="590" t="str">
        <f>PASHEET!BV54</f>
        <v/>
      </c>
      <c r="M375" s="590" t="str">
        <f>PASHEET!BW54</f>
        <v/>
      </c>
      <c r="N375" s="590" t="str">
        <f>PASHEET!BX54</f>
        <v/>
      </c>
      <c r="O375" s="590" t="str">
        <f>PASHEET!BY54</f>
        <v/>
      </c>
      <c r="Q375" s="591" t="s">
        <v>482</v>
      </c>
      <c r="R375" s="591" t="s">
        <v>483</v>
      </c>
      <c r="S375" s="591" t="s">
        <v>486</v>
      </c>
      <c r="T375" s="591">
        <f>COUNTIFS(K325:K424,S375)</f>
        <v>0</v>
      </c>
      <c r="U375" s="591">
        <f>COUNTIFS(F325:F424,Q364,K325:K424,S375)</f>
        <v>0</v>
      </c>
      <c r="V375" s="591">
        <f>COUNTIFS(F325:F424,R364,K325:K424,S375)</f>
        <v>0</v>
      </c>
      <c r="W375" s="594"/>
      <c r="X375" s="591" t="s">
        <v>482</v>
      </c>
      <c r="Y375" s="591" t="s">
        <v>483</v>
      </c>
      <c r="Z375" s="591" t="s">
        <v>493</v>
      </c>
      <c r="AA375" s="591" t="s">
        <v>486</v>
      </c>
      <c r="AB375" s="591">
        <f>COUNTIFS(G325:G424,Z375,O325:O424,S375)</f>
        <v>0</v>
      </c>
      <c r="AC375" s="591">
        <f>COUNTIFS(F325:F424,X375,G325:G424,Z375,O325:O424,S375)</f>
        <v>0</v>
      </c>
      <c r="AD375" s="591">
        <f>COUNTIFS(F325:F424,Y375,G325:G424,Z375,O325:O424,S375)</f>
        <v>0</v>
      </c>
      <c r="AE375" s="594"/>
    </row>
    <row r="376" spans="1:31">
      <c r="A376" s="590">
        <v>52</v>
      </c>
      <c r="B376" s="596">
        <f t="shared" ref="B376:E376" si="305">B269</f>
        <v>0</v>
      </c>
      <c r="C376" s="596">
        <f t="shared" si="305"/>
        <v>0</v>
      </c>
      <c r="D376" s="597">
        <f t="shared" si="305"/>
        <v>0</v>
      </c>
      <c r="E376" s="597">
        <f t="shared" si="305"/>
        <v>0</v>
      </c>
      <c r="F376" s="590" t="str">
        <f>VLOOKUP(A376,STUDENT!$A$2:$BR$105,68,0)</f>
        <v/>
      </c>
      <c r="G376" s="590" t="b">
        <f>VLOOKUP(A376,STUDENT!$A$2:$BR$105,67,0)</f>
        <v>0</v>
      </c>
      <c r="H376" s="590" t="str">
        <f>PASHEET!BR55</f>
        <v/>
      </c>
      <c r="I376" s="590" t="str">
        <f>PASHEET!BS55</f>
        <v/>
      </c>
      <c r="J376" s="590" t="str">
        <f>PASHEET!BT55</f>
        <v/>
      </c>
      <c r="K376" s="590" t="str">
        <f>PASHEET!BU55</f>
        <v/>
      </c>
      <c r="L376" s="590" t="str">
        <f>PASHEET!BV55</f>
        <v/>
      </c>
      <c r="M376" s="590" t="str">
        <f>PASHEET!BW55</f>
        <v/>
      </c>
      <c r="N376" s="590" t="str">
        <f>PASHEET!BX55</f>
        <v/>
      </c>
      <c r="O376" s="590" t="str">
        <f>PASHEET!BY55</f>
        <v/>
      </c>
      <c r="Q376" s="591" t="s">
        <v>482</v>
      </c>
      <c r="R376" s="591" t="s">
        <v>483</v>
      </c>
      <c r="S376" s="591" t="s">
        <v>487</v>
      </c>
      <c r="T376" s="591">
        <f>COUNTIFS(K325:K424,S376)</f>
        <v>0</v>
      </c>
      <c r="U376" s="591">
        <f>COUNTIFS(F325:F424,Q365,K325:K424,S376)</f>
        <v>0</v>
      </c>
      <c r="V376" s="591">
        <f>COUNTIFS(F325:F424,R365,K325:K424,S376)</f>
        <v>0</v>
      </c>
      <c r="W376" s="594"/>
      <c r="X376" s="591" t="s">
        <v>482</v>
      </c>
      <c r="Y376" s="591" t="s">
        <v>483</v>
      </c>
      <c r="Z376" s="591" t="s">
        <v>493</v>
      </c>
      <c r="AA376" s="591" t="s">
        <v>487</v>
      </c>
      <c r="AB376" s="591">
        <f>COUNTIFS(G325:G424,Z376,O325:O424,S376)</f>
        <v>0</v>
      </c>
      <c r="AC376" s="591">
        <f>COUNTIFS(F325:F424,X376,G325:G424,Z376,O325:O424,S376)</f>
        <v>0</v>
      </c>
      <c r="AD376" s="591">
        <f>COUNTIFS(F325:F424,Y376,G325:G424,Z376,O325:O424,S376)</f>
        <v>0</v>
      </c>
      <c r="AE376" s="594"/>
    </row>
    <row r="377" spans="1:31">
      <c r="A377" s="596">
        <v>53</v>
      </c>
      <c r="B377" s="596">
        <f t="shared" ref="B377:E377" si="306">B270</f>
        <v>0</v>
      </c>
      <c r="C377" s="596">
        <f t="shared" si="306"/>
        <v>0</v>
      </c>
      <c r="D377" s="597">
        <f t="shared" si="306"/>
        <v>0</v>
      </c>
      <c r="E377" s="597">
        <f t="shared" si="306"/>
        <v>0</v>
      </c>
      <c r="F377" s="590" t="str">
        <f>VLOOKUP(A377,STUDENT!$A$2:$BR$105,68,0)</f>
        <v/>
      </c>
      <c r="G377" s="590" t="b">
        <f>VLOOKUP(A377,STUDENT!$A$2:$BR$105,67,0)</f>
        <v>0</v>
      </c>
      <c r="H377" s="590" t="str">
        <f>PASHEET!BR56</f>
        <v/>
      </c>
      <c r="I377" s="590" t="str">
        <f>PASHEET!BS56</f>
        <v/>
      </c>
      <c r="J377" s="590" t="str">
        <f>PASHEET!BT56</f>
        <v/>
      </c>
      <c r="K377" s="590" t="str">
        <f>PASHEET!BU56</f>
        <v/>
      </c>
      <c r="L377" s="590" t="str">
        <f>PASHEET!BV56</f>
        <v/>
      </c>
      <c r="M377" s="590" t="str">
        <f>PASHEET!BW56</f>
        <v/>
      </c>
      <c r="N377" s="590" t="str">
        <f>PASHEET!BX56</f>
        <v/>
      </c>
      <c r="O377" s="590" t="str">
        <f>PASHEET!BY56</f>
        <v/>
      </c>
      <c r="Q377" s="591" t="s">
        <v>482</v>
      </c>
      <c r="R377" s="591" t="s">
        <v>483</v>
      </c>
      <c r="S377" s="591" t="s">
        <v>488</v>
      </c>
      <c r="T377" s="591">
        <f>COUNTIFS(K325:K424,S377)</f>
        <v>0</v>
      </c>
      <c r="U377" s="591">
        <f>COUNTIFS(F325:F424,Q366,K325:K424,S377)</f>
        <v>0</v>
      </c>
      <c r="V377" s="591">
        <f>COUNTIFS(F325:F424,R366,K325:K424,S377)</f>
        <v>0</v>
      </c>
      <c r="W377" s="594"/>
      <c r="X377" s="591" t="s">
        <v>482</v>
      </c>
      <c r="Y377" s="591" t="s">
        <v>483</v>
      </c>
      <c r="Z377" s="591" t="s">
        <v>493</v>
      </c>
      <c r="AA377" s="591" t="s">
        <v>488</v>
      </c>
      <c r="AB377" s="591">
        <f>COUNTIFS(G325:G424,Z377,O325:O424,S377)</f>
        <v>0</v>
      </c>
      <c r="AC377" s="591">
        <f>COUNTIFS(F325:F424,X377,G325:G424,Z377,O325:O424,S377)</f>
        <v>0</v>
      </c>
      <c r="AD377" s="591">
        <f>COUNTIFS(F325:F424,Y377,G325:G424,Z377,O325:O424,S377)</f>
        <v>0</v>
      </c>
      <c r="AE377" s="594"/>
    </row>
    <row r="378" spans="1:31">
      <c r="A378" s="590">
        <v>54</v>
      </c>
      <c r="B378" s="596">
        <f t="shared" ref="B378:E378" si="307">B271</f>
        <v>0</v>
      </c>
      <c r="C378" s="596">
        <f t="shared" si="307"/>
        <v>0</v>
      </c>
      <c r="D378" s="597">
        <f t="shared" si="307"/>
        <v>0</v>
      </c>
      <c r="E378" s="597">
        <f t="shared" si="307"/>
        <v>0</v>
      </c>
      <c r="F378" s="590" t="str">
        <f>VLOOKUP(A378,STUDENT!$A$2:$BR$105,68,0)</f>
        <v/>
      </c>
      <c r="G378" s="590" t="b">
        <f>VLOOKUP(A378,STUDENT!$A$2:$BR$105,67,0)</f>
        <v>0</v>
      </c>
      <c r="H378" s="590" t="str">
        <f>PASHEET!BR57</f>
        <v/>
      </c>
      <c r="I378" s="590" t="str">
        <f>PASHEET!BS57</f>
        <v/>
      </c>
      <c r="J378" s="590" t="str">
        <f>PASHEET!BT57</f>
        <v/>
      </c>
      <c r="K378" s="590" t="str">
        <f>PASHEET!BU57</f>
        <v/>
      </c>
      <c r="L378" s="590" t="str">
        <f>PASHEET!BV57</f>
        <v/>
      </c>
      <c r="M378" s="590" t="str">
        <f>PASHEET!BW57</f>
        <v/>
      </c>
      <c r="N378" s="590" t="str">
        <f>PASHEET!BX57</f>
        <v/>
      </c>
      <c r="O378" s="590" t="str">
        <f>PASHEET!BY57</f>
        <v/>
      </c>
      <c r="Q378" s="591" t="s">
        <v>482</v>
      </c>
      <c r="R378" s="591" t="s">
        <v>483</v>
      </c>
      <c r="S378" s="591" t="s">
        <v>101</v>
      </c>
      <c r="T378" s="591">
        <f>COUNTIFS(K325:K424,S378)</f>
        <v>0</v>
      </c>
      <c r="U378" s="591">
        <f>COUNTIFS(F325:F424,Q367,K325:K424,S378)</f>
        <v>0</v>
      </c>
      <c r="V378" s="591">
        <f>COUNTIFS(F325:F424,R367,K325:K424,S378)</f>
        <v>0</v>
      </c>
      <c r="W378" s="594"/>
      <c r="X378" s="591" t="s">
        <v>482</v>
      </c>
      <c r="Y378" s="591" t="s">
        <v>483</v>
      </c>
      <c r="Z378" s="591" t="s">
        <v>493</v>
      </c>
      <c r="AA378" s="591" t="s">
        <v>101</v>
      </c>
      <c r="AB378" s="591">
        <f>COUNTIFS(G325:G424,Z378,O325:O424,S378)</f>
        <v>0</v>
      </c>
      <c r="AC378" s="591">
        <f>COUNTIFS(F325:F424,X378,G325:G424,Z378,O325:O424,S378)</f>
        <v>0</v>
      </c>
      <c r="AD378" s="591">
        <f>COUNTIFS(F325:F424,Y378,G325:G424,Z378,O325:O424,S378)</f>
        <v>0</v>
      </c>
      <c r="AE378" s="594"/>
    </row>
    <row r="379" spans="1:31">
      <c r="A379" s="596">
        <v>55</v>
      </c>
      <c r="B379" s="596">
        <f t="shared" ref="B379:E379" si="308">B272</f>
        <v>0</v>
      </c>
      <c r="C379" s="596">
        <f t="shared" si="308"/>
        <v>0</v>
      </c>
      <c r="D379" s="597">
        <f t="shared" si="308"/>
        <v>0</v>
      </c>
      <c r="E379" s="597">
        <f t="shared" si="308"/>
        <v>0</v>
      </c>
      <c r="F379" s="590" t="str">
        <f>VLOOKUP(A379,STUDENT!$A$2:$BR$105,68,0)</f>
        <v/>
      </c>
      <c r="G379" s="590" t="b">
        <f>VLOOKUP(A379,STUDENT!$A$2:$BR$105,67,0)</f>
        <v>0</v>
      </c>
      <c r="H379" s="590" t="str">
        <f>PASHEET!BR58</f>
        <v/>
      </c>
      <c r="I379" s="590" t="str">
        <f>PASHEET!BS58</f>
        <v/>
      </c>
      <c r="J379" s="590" t="str">
        <f>PASHEET!BT58</f>
        <v/>
      </c>
      <c r="K379" s="590" t="str">
        <f>PASHEET!BU58</f>
        <v/>
      </c>
      <c r="L379" s="590" t="str">
        <f>PASHEET!BV58</f>
        <v/>
      </c>
      <c r="M379" s="590" t="str">
        <f>PASHEET!BW58</f>
        <v/>
      </c>
      <c r="N379" s="590" t="str">
        <f>PASHEET!BX58</f>
        <v/>
      </c>
      <c r="O379" s="590" t="str">
        <f>PASHEET!BY58</f>
        <v/>
      </c>
      <c r="Q379" s="591" t="s">
        <v>482</v>
      </c>
      <c r="R379" s="591" t="s">
        <v>483</v>
      </c>
      <c r="S379" s="591" t="s">
        <v>489</v>
      </c>
      <c r="T379" s="591">
        <f>COUNTIFS(K325:K424,S379)</f>
        <v>0</v>
      </c>
      <c r="U379" s="591">
        <f>COUNTIFS(F325:F424,Q368,K325:K424,S379)</f>
        <v>0</v>
      </c>
      <c r="V379" s="591">
        <f>COUNTIFS(F325:F424,R368,K325:K424,S379)</f>
        <v>0</v>
      </c>
      <c r="W379" s="594"/>
      <c r="X379" s="591" t="s">
        <v>482</v>
      </c>
      <c r="Y379" s="591" t="s">
        <v>483</v>
      </c>
      <c r="Z379" s="591" t="s">
        <v>493</v>
      </c>
      <c r="AA379" s="591" t="s">
        <v>489</v>
      </c>
      <c r="AB379" s="591">
        <f>COUNTIFS(G325:G424,Z379,O325:O424,S379)</f>
        <v>0</v>
      </c>
      <c r="AC379" s="591">
        <f>COUNTIFS(F325:F424,X379,G325:G424,Z379,O325:O424,S379)</f>
        <v>0</v>
      </c>
      <c r="AD379" s="591">
        <f>COUNTIFS(F325:F424,Y379,G325:G424,Z379,O325:O424,S379)</f>
        <v>0</v>
      </c>
      <c r="AE379" s="594"/>
    </row>
    <row r="380" spans="1:31">
      <c r="A380" s="590">
        <v>56</v>
      </c>
      <c r="B380" s="596">
        <f t="shared" ref="B380:E380" si="309">B273</f>
        <v>0</v>
      </c>
      <c r="C380" s="596">
        <f t="shared" si="309"/>
        <v>0</v>
      </c>
      <c r="D380" s="597">
        <f t="shared" si="309"/>
        <v>0</v>
      </c>
      <c r="E380" s="597">
        <f t="shared" si="309"/>
        <v>0</v>
      </c>
      <c r="F380" s="590" t="str">
        <f>VLOOKUP(A380,STUDENT!$A$2:$BR$105,68,0)</f>
        <v/>
      </c>
      <c r="G380" s="590" t="b">
        <f>VLOOKUP(A380,STUDENT!$A$2:$BR$105,67,0)</f>
        <v>0</v>
      </c>
      <c r="H380" s="590" t="str">
        <f>PASHEET!BR59</f>
        <v/>
      </c>
      <c r="I380" s="590" t="str">
        <f>PASHEET!BS59</f>
        <v/>
      </c>
      <c r="J380" s="590" t="str">
        <f>PASHEET!BT59</f>
        <v/>
      </c>
      <c r="K380" s="590" t="str">
        <f>PASHEET!BU59</f>
        <v/>
      </c>
      <c r="L380" s="590" t="str">
        <f>PASHEET!BV59</f>
        <v/>
      </c>
      <c r="M380" s="590" t="str">
        <f>PASHEET!BW59</f>
        <v/>
      </c>
      <c r="N380" s="590" t="str">
        <f>PASHEET!BX59</f>
        <v/>
      </c>
      <c r="O380" s="590" t="str">
        <f>PASHEET!BY59</f>
        <v/>
      </c>
      <c r="Q380" s="591" t="s">
        <v>482</v>
      </c>
      <c r="R380" s="591" t="s">
        <v>483</v>
      </c>
      <c r="S380" s="591"/>
      <c r="T380" s="591"/>
      <c r="U380" s="591"/>
      <c r="V380" s="591"/>
      <c r="W380" s="594"/>
      <c r="X380" s="591" t="s">
        <v>482</v>
      </c>
      <c r="Y380" s="591" t="s">
        <v>483</v>
      </c>
      <c r="Z380" s="591" t="s">
        <v>493</v>
      </c>
      <c r="AA380" s="591"/>
      <c r="AB380" s="591"/>
      <c r="AC380" s="591"/>
      <c r="AD380" s="591"/>
      <c r="AE380" s="594"/>
    </row>
    <row r="381" spans="1:31">
      <c r="A381" s="596">
        <v>57</v>
      </c>
      <c r="B381" s="596">
        <f t="shared" ref="B381:E381" si="310">B274</f>
        <v>0</v>
      </c>
      <c r="C381" s="596">
        <f t="shared" si="310"/>
        <v>0</v>
      </c>
      <c r="D381" s="597">
        <f t="shared" si="310"/>
        <v>0</v>
      </c>
      <c r="E381" s="597">
        <f t="shared" si="310"/>
        <v>0</v>
      </c>
      <c r="F381" s="590" t="str">
        <f>VLOOKUP(A381,STUDENT!$A$2:$BR$105,68,0)</f>
        <v/>
      </c>
      <c r="G381" s="590" t="b">
        <f>VLOOKUP(A381,STUDENT!$A$2:$BR$105,67,0)</f>
        <v>0</v>
      </c>
      <c r="H381" s="590" t="str">
        <f>PASHEET!BR60</f>
        <v/>
      </c>
      <c r="I381" s="590" t="str">
        <f>PASHEET!BS60</f>
        <v/>
      </c>
      <c r="J381" s="590" t="str">
        <f>PASHEET!BT60</f>
        <v/>
      </c>
      <c r="K381" s="590" t="str">
        <f>PASHEET!BU60</f>
        <v/>
      </c>
      <c r="L381" s="590" t="str">
        <f>PASHEET!BV60</f>
        <v/>
      </c>
      <c r="M381" s="590" t="str">
        <f>PASHEET!BW60</f>
        <v/>
      </c>
      <c r="N381" s="590" t="str">
        <f>PASHEET!BX60</f>
        <v/>
      </c>
      <c r="O381" s="590" t="str">
        <f>PASHEET!BY60</f>
        <v/>
      </c>
      <c r="Q381" s="591"/>
      <c r="R381" s="591"/>
      <c r="S381" s="591" t="s">
        <v>102</v>
      </c>
      <c r="T381" s="591">
        <f>SUM(T373:T380)</f>
        <v>0</v>
      </c>
      <c r="U381" s="591">
        <f t="shared" ref="U381:V381" si="311">SUM(U373:U380)</f>
        <v>0</v>
      </c>
      <c r="V381" s="591">
        <f t="shared" si="311"/>
        <v>0</v>
      </c>
      <c r="W381" s="594"/>
      <c r="X381" s="591"/>
      <c r="Y381" s="591"/>
      <c r="Z381" s="591"/>
      <c r="AA381" s="591" t="s">
        <v>102</v>
      </c>
      <c r="AB381" s="591">
        <f>SUM(AB373:AB380)</f>
        <v>0</v>
      </c>
      <c r="AC381" s="591">
        <f t="shared" ref="AC381:AD381" si="312">SUM(AC373:AC380)</f>
        <v>0</v>
      </c>
      <c r="AD381" s="591">
        <f t="shared" si="312"/>
        <v>0</v>
      </c>
      <c r="AE381" s="594"/>
    </row>
    <row r="382" spans="1:31">
      <c r="A382" s="590">
        <v>58</v>
      </c>
      <c r="B382" s="596">
        <f t="shared" ref="B382:E382" si="313">B275</f>
        <v>0</v>
      </c>
      <c r="C382" s="596">
        <f t="shared" si="313"/>
        <v>0</v>
      </c>
      <c r="D382" s="597">
        <f t="shared" si="313"/>
        <v>0</v>
      </c>
      <c r="E382" s="597">
        <f t="shared" si="313"/>
        <v>0</v>
      </c>
      <c r="F382" s="590" t="str">
        <f>VLOOKUP(A382,STUDENT!$A$2:$BR$105,68,0)</f>
        <v/>
      </c>
      <c r="G382" s="590" t="b">
        <f>VLOOKUP(A382,STUDENT!$A$2:$BR$105,67,0)</f>
        <v>0</v>
      </c>
      <c r="H382" s="590" t="str">
        <f>PASHEET!BR61</f>
        <v/>
      </c>
      <c r="I382" s="590" t="str">
        <f>PASHEET!BS61</f>
        <v/>
      </c>
      <c r="J382" s="590" t="str">
        <f>PASHEET!BT61</f>
        <v/>
      </c>
      <c r="K382" s="590" t="str">
        <f>PASHEET!BU61</f>
        <v/>
      </c>
      <c r="L382" s="590" t="str">
        <f>PASHEET!BV61</f>
        <v/>
      </c>
      <c r="M382" s="590" t="str">
        <f>PASHEET!BW61</f>
        <v/>
      </c>
      <c r="N382" s="590" t="str">
        <f>PASHEET!BX61</f>
        <v/>
      </c>
      <c r="O382" s="590" t="str">
        <f>PASHEET!BY61</f>
        <v/>
      </c>
      <c r="Q382" s="591"/>
      <c r="R382" s="591"/>
      <c r="S382" s="591"/>
      <c r="T382" s="591"/>
      <c r="U382" s="591"/>
      <c r="V382" s="591"/>
      <c r="W382" s="594"/>
      <c r="X382" s="594"/>
      <c r="Y382" s="594"/>
      <c r="Z382" s="594"/>
      <c r="AA382" s="594"/>
      <c r="AB382" s="591"/>
      <c r="AC382" s="591"/>
      <c r="AD382" s="591"/>
      <c r="AE382" s="594"/>
    </row>
    <row r="383" spans="1:31">
      <c r="A383" s="596">
        <v>59</v>
      </c>
      <c r="B383" s="596">
        <f t="shared" ref="B383:E383" si="314">B276</f>
        <v>0</v>
      </c>
      <c r="C383" s="596">
        <f t="shared" si="314"/>
        <v>0</v>
      </c>
      <c r="D383" s="597">
        <f t="shared" si="314"/>
        <v>0</v>
      </c>
      <c r="E383" s="597">
        <f t="shared" si="314"/>
        <v>0</v>
      </c>
      <c r="F383" s="590" t="str">
        <f>VLOOKUP(A383,STUDENT!$A$2:$BR$105,68,0)</f>
        <v/>
      </c>
      <c r="G383" s="590" t="b">
        <f>VLOOKUP(A383,STUDENT!$A$2:$BR$105,67,0)</f>
        <v>0</v>
      </c>
      <c r="H383" s="590" t="str">
        <f>PASHEET!BR62</f>
        <v/>
      </c>
      <c r="I383" s="590" t="str">
        <f>PASHEET!BS62</f>
        <v/>
      </c>
      <c r="J383" s="590" t="str">
        <f>PASHEET!BT62</f>
        <v/>
      </c>
      <c r="K383" s="590" t="str">
        <f>PASHEET!BU62</f>
        <v/>
      </c>
      <c r="L383" s="590" t="str">
        <f>PASHEET!BV62</f>
        <v/>
      </c>
      <c r="M383" s="590" t="str">
        <f>PASHEET!BW62</f>
        <v/>
      </c>
      <c r="N383" s="590" t="str">
        <f>PASHEET!BX62</f>
        <v/>
      </c>
      <c r="O383" s="590" t="str">
        <f>PASHEET!BY62</f>
        <v/>
      </c>
      <c r="Q383" s="591"/>
      <c r="R383" s="591"/>
      <c r="S383" s="591"/>
      <c r="T383" s="591"/>
      <c r="U383" s="591"/>
      <c r="V383" s="591"/>
      <c r="W383" s="594"/>
      <c r="X383" s="594"/>
      <c r="Y383" s="594"/>
      <c r="Z383" s="594"/>
      <c r="AA383" s="594"/>
      <c r="AB383" s="591"/>
      <c r="AC383" s="591"/>
      <c r="AD383" s="591"/>
      <c r="AE383" s="594"/>
    </row>
    <row r="384" spans="1:31">
      <c r="A384" s="590">
        <v>60</v>
      </c>
      <c r="B384" s="596">
        <f t="shared" ref="B384:E384" si="315">B277</f>
        <v>0</v>
      </c>
      <c r="C384" s="596">
        <f t="shared" si="315"/>
        <v>0</v>
      </c>
      <c r="D384" s="597">
        <f t="shared" si="315"/>
        <v>0</v>
      </c>
      <c r="E384" s="597">
        <f t="shared" si="315"/>
        <v>0</v>
      </c>
      <c r="F384" s="590" t="str">
        <f>VLOOKUP(A384,STUDENT!$A$2:$BR$105,68,0)</f>
        <v/>
      </c>
      <c r="G384" s="590" t="b">
        <f>VLOOKUP(A384,STUDENT!$A$2:$BR$105,67,0)</f>
        <v>0</v>
      </c>
      <c r="H384" s="590" t="str">
        <f>PASHEET!BR63</f>
        <v/>
      </c>
      <c r="I384" s="590" t="str">
        <f>PASHEET!BS63</f>
        <v/>
      </c>
      <c r="J384" s="590" t="str">
        <f>PASHEET!BT63</f>
        <v/>
      </c>
      <c r="K384" s="590" t="str">
        <f>PASHEET!BU63</f>
        <v/>
      </c>
      <c r="L384" s="590" t="str">
        <f>PASHEET!BV63</f>
        <v/>
      </c>
      <c r="M384" s="590" t="str">
        <f>PASHEET!BW63</f>
        <v/>
      </c>
      <c r="N384" s="590" t="str">
        <f>PASHEET!BX63</f>
        <v/>
      </c>
      <c r="O384" s="590" t="str">
        <f>PASHEET!BY63</f>
        <v/>
      </c>
      <c r="Q384" s="591"/>
      <c r="R384" s="591"/>
      <c r="S384" s="591"/>
      <c r="T384" s="591"/>
      <c r="U384" s="591"/>
      <c r="V384" s="591"/>
      <c r="W384" s="594"/>
      <c r="X384" s="594"/>
      <c r="Y384" s="594"/>
      <c r="Z384" s="594"/>
      <c r="AA384" s="594"/>
      <c r="AB384" s="591"/>
      <c r="AC384" s="591"/>
      <c r="AD384" s="591"/>
      <c r="AE384" s="594"/>
    </row>
    <row r="385" spans="1:31">
      <c r="A385" s="596">
        <v>61</v>
      </c>
      <c r="B385" s="596">
        <f t="shared" ref="B385:E385" si="316">B278</f>
        <v>0</v>
      </c>
      <c r="C385" s="596">
        <f t="shared" si="316"/>
        <v>0</v>
      </c>
      <c r="D385" s="597">
        <f t="shared" si="316"/>
        <v>0</v>
      </c>
      <c r="E385" s="597">
        <f t="shared" si="316"/>
        <v>0</v>
      </c>
      <c r="F385" s="590" t="str">
        <f>VLOOKUP(A385,STUDENT!$A$2:$BR$105,68,0)</f>
        <v/>
      </c>
      <c r="G385" s="590" t="b">
        <f>VLOOKUP(A385,STUDENT!$A$2:$BR$105,67,0)</f>
        <v>0</v>
      </c>
      <c r="H385" s="590" t="str">
        <f>PASHEET!BR64</f>
        <v/>
      </c>
      <c r="I385" s="590" t="str">
        <f>PASHEET!BS64</f>
        <v/>
      </c>
      <c r="J385" s="590" t="str">
        <f>PASHEET!BT64</f>
        <v/>
      </c>
      <c r="K385" s="590" t="str">
        <f>PASHEET!BU64</f>
        <v/>
      </c>
      <c r="L385" s="590" t="str">
        <f>PASHEET!BV64</f>
        <v/>
      </c>
      <c r="M385" s="590" t="str">
        <f>PASHEET!BW64</f>
        <v/>
      </c>
      <c r="N385" s="590" t="str">
        <f>PASHEET!BX64</f>
        <v/>
      </c>
      <c r="O385" s="590" t="str">
        <f>PASHEET!BY64</f>
        <v/>
      </c>
      <c r="Q385" s="591" t="s">
        <v>475</v>
      </c>
      <c r="R385" s="591" t="s">
        <v>476</v>
      </c>
      <c r="S385" s="592" t="s">
        <v>477</v>
      </c>
      <c r="T385" s="593" t="s">
        <v>352</v>
      </c>
      <c r="U385" s="592" t="s">
        <v>479</v>
      </c>
      <c r="V385" s="592" t="s">
        <v>480</v>
      </c>
      <c r="W385" s="594"/>
      <c r="X385" s="591" t="s">
        <v>475</v>
      </c>
      <c r="Y385" s="591" t="s">
        <v>476</v>
      </c>
      <c r="Z385" s="591" t="s">
        <v>474</v>
      </c>
      <c r="AA385" s="592" t="s">
        <v>477</v>
      </c>
      <c r="AB385" s="593" t="s">
        <v>494</v>
      </c>
      <c r="AC385" s="592" t="s">
        <v>479</v>
      </c>
      <c r="AD385" s="592" t="s">
        <v>480</v>
      </c>
      <c r="AE385" s="594"/>
    </row>
    <row r="386" spans="1:31">
      <c r="A386" s="590">
        <v>62</v>
      </c>
      <c r="B386" s="596">
        <f t="shared" ref="B386:E386" si="317">B279</f>
        <v>0</v>
      </c>
      <c r="C386" s="596">
        <f t="shared" si="317"/>
        <v>0</v>
      </c>
      <c r="D386" s="597">
        <f t="shared" si="317"/>
        <v>0</v>
      </c>
      <c r="E386" s="597">
        <f t="shared" si="317"/>
        <v>0</v>
      </c>
      <c r="F386" s="590" t="str">
        <f>VLOOKUP(A386,STUDENT!$A$2:$BR$105,68,0)</f>
        <v/>
      </c>
      <c r="G386" s="590" t="b">
        <f>VLOOKUP(A386,STUDENT!$A$2:$BR$105,67,0)</f>
        <v>0</v>
      </c>
      <c r="H386" s="590" t="str">
        <f>PASHEET!BR65</f>
        <v/>
      </c>
      <c r="I386" s="590" t="str">
        <f>PASHEET!BS65</f>
        <v/>
      </c>
      <c r="J386" s="590" t="str">
        <f>PASHEET!BT65</f>
        <v/>
      </c>
      <c r="K386" s="590" t="str">
        <f>PASHEET!BU65</f>
        <v/>
      </c>
      <c r="L386" s="590" t="str">
        <f>PASHEET!BV65</f>
        <v/>
      </c>
      <c r="M386" s="590" t="str">
        <f>PASHEET!BW65</f>
        <v/>
      </c>
      <c r="N386" s="590" t="str">
        <f>PASHEET!BX65</f>
        <v/>
      </c>
      <c r="O386" s="590" t="str">
        <f>PASHEET!BY65</f>
        <v/>
      </c>
      <c r="Q386" s="591" t="s">
        <v>482</v>
      </c>
      <c r="R386" s="591" t="s">
        <v>483</v>
      </c>
      <c r="S386" s="591" t="s">
        <v>50</v>
      </c>
      <c r="T386" s="591">
        <f>COUNTIFS(L325:L424,S386)</f>
        <v>0</v>
      </c>
      <c r="U386" s="591">
        <f>COUNTIFS(F325:F424,Q375,L325:L424,S386)</f>
        <v>0</v>
      </c>
      <c r="V386" s="591">
        <f>COUNTIFS(F325:F424,R375,L325:L424,S386)</f>
        <v>0</v>
      </c>
      <c r="W386" s="594"/>
      <c r="X386" s="591" t="s">
        <v>482</v>
      </c>
      <c r="Y386" s="591" t="s">
        <v>483</v>
      </c>
      <c r="Z386" s="591" t="s">
        <v>494</v>
      </c>
      <c r="AA386" s="591" t="s">
        <v>50</v>
      </c>
      <c r="AB386" s="591">
        <f>COUNTIFS(G325:G424,Z386,O325:O424,S386)</f>
        <v>0</v>
      </c>
      <c r="AC386" s="591">
        <f>COUNTIFS(F325:F424,X386,G325:G424,Z386,O325:O424,S386)</f>
        <v>0</v>
      </c>
      <c r="AD386" s="591">
        <f>COUNTIFS(F325:F424,Y386,G325:G424,Z386,O325:O424,S386)</f>
        <v>0</v>
      </c>
      <c r="AE386" s="594"/>
    </row>
    <row r="387" spans="1:31">
      <c r="A387" s="596">
        <v>63</v>
      </c>
      <c r="B387" s="596">
        <f t="shared" ref="B387:E387" si="318">B280</f>
        <v>0</v>
      </c>
      <c r="C387" s="596">
        <f t="shared" si="318"/>
        <v>0</v>
      </c>
      <c r="D387" s="597">
        <f t="shared" si="318"/>
        <v>0</v>
      </c>
      <c r="E387" s="597">
        <f t="shared" si="318"/>
        <v>0</v>
      </c>
      <c r="F387" s="590" t="str">
        <f>VLOOKUP(A387,STUDENT!$A$2:$BR$105,68,0)</f>
        <v/>
      </c>
      <c r="G387" s="590" t="b">
        <f>VLOOKUP(A387,STUDENT!$A$2:$BR$105,67,0)</f>
        <v>0</v>
      </c>
      <c r="H387" s="590" t="str">
        <f>PASHEET!BR66</f>
        <v/>
      </c>
      <c r="I387" s="590" t="str">
        <f>PASHEET!BS66</f>
        <v/>
      </c>
      <c r="J387" s="590" t="str">
        <f>PASHEET!BT66</f>
        <v/>
      </c>
      <c r="K387" s="590" t="str">
        <f>PASHEET!BU66</f>
        <v/>
      </c>
      <c r="L387" s="590" t="str">
        <f>PASHEET!BV66</f>
        <v/>
      </c>
      <c r="M387" s="590" t="str">
        <f>PASHEET!BW66</f>
        <v/>
      </c>
      <c r="N387" s="590" t="str">
        <f>PASHEET!BX66</f>
        <v/>
      </c>
      <c r="O387" s="590" t="str">
        <f>PASHEET!BY66</f>
        <v/>
      </c>
      <c r="Q387" s="591" t="s">
        <v>482</v>
      </c>
      <c r="R387" s="591" t="s">
        <v>483</v>
      </c>
      <c r="S387" s="591" t="s">
        <v>485</v>
      </c>
      <c r="T387" s="591">
        <f>COUNTIFS(L325:L424,S387)</f>
        <v>0</v>
      </c>
      <c r="U387" s="591">
        <f>COUNTIFS(F325:F424,Q376,L325:L424,S387)</f>
        <v>0</v>
      </c>
      <c r="V387" s="591">
        <f>COUNTIFS(F325:F424,R376,L325:L424,S387)</f>
        <v>0</v>
      </c>
      <c r="W387" s="594"/>
      <c r="X387" s="591" t="s">
        <v>482</v>
      </c>
      <c r="Y387" s="591" t="s">
        <v>483</v>
      </c>
      <c r="Z387" s="591" t="s">
        <v>494</v>
      </c>
      <c r="AA387" s="591" t="s">
        <v>485</v>
      </c>
      <c r="AB387" s="591">
        <f>COUNTIFS(G325:G424,Z387,O325:O424,S387)</f>
        <v>0</v>
      </c>
      <c r="AC387" s="591">
        <f>COUNTIFS(F325:F424,X387,G325:G424,Z387,O325:O424,S387)</f>
        <v>0</v>
      </c>
      <c r="AD387" s="591">
        <f>COUNTIFS(F325:F424,Y387,G325:G424,Z387,O325:O424,S387)</f>
        <v>0</v>
      </c>
      <c r="AE387" s="594"/>
    </row>
    <row r="388" spans="1:31">
      <c r="A388" s="590">
        <v>64</v>
      </c>
      <c r="B388" s="596">
        <f t="shared" ref="B388:E388" si="319">B281</f>
        <v>0</v>
      </c>
      <c r="C388" s="596">
        <f t="shared" si="319"/>
        <v>0</v>
      </c>
      <c r="D388" s="597">
        <f t="shared" si="319"/>
        <v>0</v>
      </c>
      <c r="E388" s="597">
        <f t="shared" si="319"/>
        <v>0</v>
      </c>
      <c r="F388" s="590" t="str">
        <f>VLOOKUP(A388,STUDENT!$A$2:$BR$105,68,0)</f>
        <v/>
      </c>
      <c r="G388" s="590" t="b">
        <f>VLOOKUP(A388,STUDENT!$A$2:$BR$105,67,0)</f>
        <v>0</v>
      </c>
      <c r="H388" s="590" t="str">
        <f>PASHEET!BR67</f>
        <v/>
      </c>
      <c r="I388" s="590" t="str">
        <f>PASHEET!BS67</f>
        <v/>
      </c>
      <c r="J388" s="590" t="str">
        <f>PASHEET!BT67</f>
        <v/>
      </c>
      <c r="K388" s="590" t="str">
        <f>PASHEET!BU67</f>
        <v/>
      </c>
      <c r="L388" s="590" t="str">
        <f>PASHEET!BV67</f>
        <v/>
      </c>
      <c r="M388" s="590" t="str">
        <f>PASHEET!BW67</f>
        <v/>
      </c>
      <c r="N388" s="590" t="str">
        <f>PASHEET!BX67</f>
        <v/>
      </c>
      <c r="O388" s="590" t="str">
        <f>PASHEET!BY67</f>
        <v/>
      </c>
      <c r="Q388" s="591" t="s">
        <v>482</v>
      </c>
      <c r="R388" s="591" t="s">
        <v>483</v>
      </c>
      <c r="S388" s="591" t="s">
        <v>486</v>
      </c>
      <c r="T388" s="591">
        <f>COUNTIFS(L325:L424,S388)</f>
        <v>0</v>
      </c>
      <c r="U388" s="591">
        <f>COUNTIFS(F325:F424,Q377,L325:L424,S388)</f>
        <v>0</v>
      </c>
      <c r="V388" s="591">
        <f>COUNTIFS(F325:F424,R377,L325:L424,S388)</f>
        <v>0</v>
      </c>
      <c r="W388" s="594"/>
      <c r="X388" s="591" t="s">
        <v>482</v>
      </c>
      <c r="Y388" s="591" t="s">
        <v>483</v>
      </c>
      <c r="Z388" s="591" t="s">
        <v>494</v>
      </c>
      <c r="AA388" s="591" t="s">
        <v>486</v>
      </c>
      <c r="AB388" s="591">
        <f>COUNTIFS(G325:G424,Z388,O325:O424,S388)</f>
        <v>0</v>
      </c>
      <c r="AC388" s="591">
        <f>COUNTIFS(F325:F424,X388,G325:G424,Z388,O325:O424,S388)</f>
        <v>0</v>
      </c>
      <c r="AD388" s="591">
        <f>COUNTIFS(F325:F424,Y388,G325:G424,Z388,O325:O424,S388)</f>
        <v>0</v>
      </c>
      <c r="AE388" s="594"/>
    </row>
    <row r="389" spans="1:31">
      <c r="A389" s="596">
        <v>65</v>
      </c>
      <c r="B389" s="596">
        <f t="shared" ref="B389:E389" si="320">B282</f>
        <v>0</v>
      </c>
      <c r="C389" s="596">
        <f t="shared" si="320"/>
        <v>0</v>
      </c>
      <c r="D389" s="597">
        <f t="shared" si="320"/>
        <v>0</v>
      </c>
      <c r="E389" s="597">
        <f t="shared" si="320"/>
        <v>0</v>
      </c>
      <c r="F389" s="590" t="str">
        <f>VLOOKUP(A389,STUDENT!$A$2:$BR$105,68,0)</f>
        <v/>
      </c>
      <c r="G389" s="590" t="b">
        <f>VLOOKUP(A389,STUDENT!$A$2:$BR$105,67,0)</f>
        <v>0</v>
      </c>
      <c r="H389" s="590" t="str">
        <f>PASHEET!BR68</f>
        <v/>
      </c>
      <c r="I389" s="590" t="str">
        <f>PASHEET!BS68</f>
        <v/>
      </c>
      <c r="J389" s="590" t="str">
        <f>PASHEET!BT68</f>
        <v/>
      </c>
      <c r="K389" s="590" t="str">
        <f>PASHEET!BU68</f>
        <v/>
      </c>
      <c r="L389" s="590" t="str">
        <f>PASHEET!BV68</f>
        <v/>
      </c>
      <c r="M389" s="590" t="str">
        <f>PASHEET!BW68</f>
        <v/>
      </c>
      <c r="N389" s="590" t="str">
        <f>PASHEET!BX68</f>
        <v/>
      </c>
      <c r="O389" s="590" t="str">
        <f>PASHEET!BY68</f>
        <v/>
      </c>
      <c r="Q389" s="591" t="s">
        <v>482</v>
      </c>
      <c r="R389" s="591" t="s">
        <v>483</v>
      </c>
      <c r="S389" s="591" t="s">
        <v>487</v>
      </c>
      <c r="T389" s="591">
        <f>COUNTIFS(L325:L424,S389)</f>
        <v>0</v>
      </c>
      <c r="U389" s="591">
        <f>COUNTIFS(F325:F424,Q378,L325:L424,S389)</f>
        <v>0</v>
      </c>
      <c r="V389" s="591">
        <f>COUNTIFS(F325:F424,R378,L325:L424,S389)</f>
        <v>0</v>
      </c>
      <c r="W389" s="594"/>
      <c r="X389" s="591" t="s">
        <v>482</v>
      </c>
      <c r="Y389" s="591" t="s">
        <v>483</v>
      </c>
      <c r="Z389" s="591" t="s">
        <v>494</v>
      </c>
      <c r="AA389" s="591" t="s">
        <v>487</v>
      </c>
      <c r="AB389" s="591">
        <f>COUNTIFS(G325:G424,Z389,O325:O424,S389)</f>
        <v>0</v>
      </c>
      <c r="AC389" s="591">
        <f>COUNTIFS(F325:F424,X389,G325:G424,Z389,O325:O424,S389)</f>
        <v>0</v>
      </c>
      <c r="AD389" s="591">
        <f>COUNTIFS(F325:F424,Y389,G325:G424,Z389,O325:O424,S389)</f>
        <v>0</v>
      </c>
      <c r="AE389" s="594"/>
    </row>
    <row r="390" spans="1:31">
      <c r="A390" s="590">
        <v>66</v>
      </c>
      <c r="B390" s="596">
        <f t="shared" ref="B390:E390" si="321">B283</f>
        <v>0</v>
      </c>
      <c r="C390" s="596">
        <f t="shared" si="321"/>
        <v>0</v>
      </c>
      <c r="D390" s="597">
        <f t="shared" si="321"/>
        <v>0</v>
      </c>
      <c r="E390" s="597">
        <f t="shared" si="321"/>
        <v>0</v>
      </c>
      <c r="F390" s="590" t="str">
        <f>VLOOKUP(A390,STUDENT!$A$2:$BR$105,68,0)</f>
        <v/>
      </c>
      <c r="G390" s="590" t="b">
        <f>VLOOKUP(A390,STUDENT!$A$2:$BR$105,67,0)</f>
        <v>0</v>
      </c>
      <c r="H390" s="590" t="str">
        <f>PASHEET!BR69</f>
        <v/>
      </c>
      <c r="I390" s="590" t="str">
        <f>PASHEET!BS69</f>
        <v/>
      </c>
      <c r="J390" s="590" t="str">
        <f>PASHEET!BT69</f>
        <v/>
      </c>
      <c r="K390" s="590" t="str">
        <f>PASHEET!BU69</f>
        <v/>
      </c>
      <c r="L390" s="590" t="str">
        <f>PASHEET!BV69</f>
        <v/>
      </c>
      <c r="M390" s="590" t="str">
        <f>PASHEET!BW69</f>
        <v/>
      </c>
      <c r="N390" s="590" t="str">
        <f>PASHEET!BX69</f>
        <v/>
      </c>
      <c r="O390" s="590" t="str">
        <f>PASHEET!BY69</f>
        <v/>
      </c>
      <c r="Q390" s="591" t="s">
        <v>482</v>
      </c>
      <c r="R390" s="591" t="s">
        <v>483</v>
      </c>
      <c r="S390" s="591" t="s">
        <v>488</v>
      </c>
      <c r="T390" s="591">
        <f>COUNTIFS(L325:L424,S390)</f>
        <v>0</v>
      </c>
      <c r="U390" s="591">
        <f>COUNTIFS(F325:F424,Q379,L325:L424,S390)</f>
        <v>0</v>
      </c>
      <c r="V390" s="591">
        <f>COUNTIFS(F325:F424,R379,L325:L424,S390)</f>
        <v>0</v>
      </c>
      <c r="W390" s="594"/>
      <c r="X390" s="591" t="s">
        <v>482</v>
      </c>
      <c r="Y390" s="591" t="s">
        <v>483</v>
      </c>
      <c r="Z390" s="591" t="s">
        <v>494</v>
      </c>
      <c r="AA390" s="591" t="s">
        <v>488</v>
      </c>
      <c r="AB390" s="591">
        <f>COUNTIFS(G325:G424,Z390,O325:O424,S390)</f>
        <v>0</v>
      </c>
      <c r="AC390" s="591">
        <f>COUNTIFS(F325:F424,X390,G325:G424,Z390,O325:O424,S390)</f>
        <v>0</v>
      </c>
      <c r="AD390" s="591">
        <f>COUNTIFS(F325:F424,Y390,G325:G424,Z390,O325:O424,S390)</f>
        <v>0</v>
      </c>
      <c r="AE390" s="594"/>
    </row>
    <row r="391" spans="1:31">
      <c r="A391" s="596">
        <v>67</v>
      </c>
      <c r="B391" s="596">
        <f t="shared" ref="B391:E391" si="322">B284</f>
        <v>0</v>
      </c>
      <c r="C391" s="596">
        <f t="shared" si="322"/>
        <v>0</v>
      </c>
      <c r="D391" s="597">
        <f t="shared" si="322"/>
        <v>0</v>
      </c>
      <c r="E391" s="597">
        <f t="shared" si="322"/>
        <v>0</v>
      </c>
      <c r="F391" s="590" t="str">
        <f>VLOOKUP(A391,STUDENT!$A$2:$BR$105,68,0)</f>
        <v/>
      </c>
      <c r="G391" s="590" t="b">
        <f>VLOOKUP(A391,STUDENT!$A$2:$BR$105,67,0)</f>
        <v>0</v>
      </c>
      <c r="H391" s="590" t="str">
        <f>PASHEET!BR70</f>
        <v/>
      </c>
      <c r="I391" s="590" t="str">
        <f>PASHEET!BS70</f>
        <v/>
      </c>
      <c r="J391" s="590" t="str">
        <f>PASHEET!BT70</f>
        <v/>
      </c>
      <c r="K391" s="590" t="str">
        <f>PASHEET!BU70</f>
        <v/>
      </c>
      <c r="L391" s="590" t="str">
        <f>PASHEET!BV70</f>
        <v/>
      </c>
      <c r="M391" s="590" t="str">
        <f>PASHEET!BW70</f>
        <v/>
      </c>
      <c r="N391" s="590" t="str">
        <f>PASHEET!BX70</f>
        <v/>
      </c>
      <c r="O391" s="590" t="str">
        <f>PASHEET!BY70</f>
        <v/>
      </c>
      <c r="Q391" s="591" t="s">
        <v>482</v>
      </c>
      <c r="R391" s="591" t="s">
        <v>483</v>
      </c>
      <c r="S391" s="591" t="s">
        <v>101</v>
      </c>
      <c r="T391" s="591">
        <f>COUNTIFS(L325:L424,S391)</f>
        <v>0</v>
      </c>
      <c r="U391" s="591">
        <f>COUNTIFS(F325:F424,Q380,L325:L424,S391)</f>
        <v>0</v>
      </c>
      <c r="V391" s="591">
        <f>COUNTIFS(F325:F424,R380,L325:L424,S391)</f>
        <v>0</v>
      </c>
      <c r="W391" s="594"/>
      <c r="X391" s="591" t="s">
        <v>482</v>
      </c>
      <c r="Y391" s="591" t="s">
        <v>483</v>
      </c>
      <c r="Z391" s="591" t="s">
        <v>494</v>
      </c>
      <c r="AA391" s="591" t="s">
        <v>101</v>
      </c>
      <c r="AB391" s="591">
        <f>COUNTIFS(G325:G424,Z391,O325:O424,S391)</f>
        <v>0</v>
      </c>
      <c r="AC391" s="591">
        <f>COUNTIFS(F325:F424,X391,G325:G424,Z391,O325:O424,S391)</f>
        <v>0</v>
      </c>
      <c r="AD391" s="591">
        <f>COUNTIFS(F325:F424,Y391,G325:G424,Z391,O325:O424,S391)</f>
        <v>0</v>
      </c>
      <c r="AE391" s="594"/>
    </row>
    <row r="392" spans="1:31">
      <c r="A392" s="590">
        <v>68</v>
      </c>
      <c r="B392" s="596">
        <f t="shared" ref="B392:E392" si="323">B285</f>
        <v>0</v>
      </c>
      <c r="C392" s="596">
        <f t="shared" si="323"/>
        <v>0</v>
      </c>
      <c r="D392" s="597">
        <f t="shared" si="323"/>
        <v>0</v>
      </c>
      <c r="E392" s="597">
        <f t="shared" si="323"/>
        <v>0</v>
      </c>
      <c r="F392" s="590" t="str">
        <f>VLOOKUP(A392,STUDENT!$A$2:$BR$105,68,0)</f>
        <v/>
      </c>
      <c r="G392" s="590" t="b">
        <f>VLOOKUP(A392,STUDENT!$A$2:$BR$105,67,0)</f>
        <v>0</v>
      </c>
      <c r="H392" s="590" t="str">
        <f>PASHEET!BR71</f>
        <v/>
      </c>
      <c r="I392" s="590" t="str">
        <f>PASHEET!BS71</f>
        <v/>
      </c>
      <c r="J392" s="590" t="str">
        <f>PASHEET!BT71</f>
        <v/>
      </c>
      <c r="K392" s="590" t="str">
        <f>PASHEET!BU71</f>
        <v/>
      </c>
      <c r="L392" s="590" t="str">
        <f>PASHEET!BV71</f>
        <v/>
      </c>
      <c r="M392" s="590" t="str">
        <f>PASHEET!BW71</f>
        <v/>
      </c>
      <c r="N392" s="590" t="str">
        <f>PASHEET!BX71</f>
        <v/>
      </c>
      <c r="O392" s="590" t="str">
        <f>PASHEET!BY71</f>
        <v/>
      </c>
      <c r="Q392" s="591" t="s">
        <v>482</v>
      </c>
      <c r="R392" s="591" t="s">
        <v>483</v>
      </c>
      <c r="S392" s="591" t="s">
        <v>489</v>
      </c>
      <c r="T392" s="591">
        <f>COUNTIFS(L325:L424,S392)</f>
        <v>0</v>
      </c>
      <c r="U392" s="591">
        <f>COUNTIFS(F325:F424,Q381,L325:L424,S392)</f>
        <v>0</v>
      </c>
      <c r="V392" s="591">
        <f>COUNTIFS(F325:F424,R381,L325:L424,S392)</f>
        <v>0</v>
      </c>
      <c r="W392" s="594"/>
      <c r="X392" s="591" t="s">
        <v>482</v>
      </c>
      <c r="Y392" s="591" t="s">
        <v>483</v>
      </c>
      <c r="Z392" s="591" t="s">
        <v>494</v>
      </c>
      <c r="AA392" s="591" t="s">
        <v>489</v>
      </c>
      <c r="AB392" s="591">
        <f>COUNTIFS(G325:G424,Z392,O325:O424,S392)</f>
        <v>0</v>
      </c>
      <c r="AC392" s="591">
        <f>COUNTIFS(F325:F424,X392,G325:G424,Z392,O325:O424,S392)</f>
        <v>0</v>
      </c>
      <c r="AD392" s="591">
        <f>COUNTIFS(F325:F424,Y392,G325:G424,Z392,O325:O424,S392)</f>
        <v>0</v>
      </c>
      <c r="AE392" s="594"/>
    </row>
    <row r="393" spans="1:31">
      <c r="A393" s="596">
        <v>69</v>
      </c>
      <c r="B393" s="596">
        <f t="shared" ref="B393:E393" si="324">B286</f>
        <v>0</v>
      </c>
      <c r="C393" s="596">
        <f t="shared" si="324"/>
        <v>0</v>
      </c>
      <c r="D393" s="597">
        <f t="shared" si="324"/>
        <v>0</v>
      </c>
      <c r="E393" s="597">
        <f t="shared" si="324"/>
        <v>0</v>
      </c>
      <c r="F393" s="590" t="str">
        <f>VLOOKUP(A393,STUDENT!$A$2:$BR$105,68,0)</f>
        <v/>
      </c>
      <c r="G393" s="590" t="b">
        <f>VLOOKUP(A393,STUDENT!$A$2:$BR$105,67,0)</f>
        <v>0</v>
      </c>
      <c r="H393" s="590" t="str">
        <f>PASHEET!BR72</f>
        <v/>
      </c>
      <c r="I393" s="590" t="str">
        <f>PASHEET!BS72</f>
        <v/>
      </c>
      <c r="J393" s="590" t="str">
        <f>PASHEET!BT72</f>
        <v/>
      </c>
      <c r="K393" s="590" t="str">
        <f>PASHEET!BU72</f>
        <v/>
      </c>
      <c r="L393" s="590" t="str">
        <f>PASHEET!BV72</f>
        <v/>
      </c>
      <c r="M393" s="590" t="str">
        <f>PASHEET!BW72</f>
        <v/>
      </c>
      <c r="N393" s="590" t="str">
        <f>PASHEET!BX72</f>
        <v/>
      </c>
      <c r="O393" s="590" t="str">
        <f>PASHEET!BY72</f>
        <v/>
      </c>
      <c r="Q393" s="591" t="s">
        <v>482</v>
      </c>
      <c r="R393" s="591" t="s">
        <v>483</v>
      </c>
      <c r="S393" s="591"/>
      <c r="T393" s="591"/>
      <c r="U393" s="591"/>
      <c r="V393" s="591"/>
      <c r="W393" s="594"/>
      <c r="X393" s="591" t="s">
        <v>482</v>
      </c>
      <c r="Y393" s="591" t="s">
        <v>483</v>
      </c>
      <c r="Z393" s="591" t="s">
        <v>494</v>
      </c>
      <c r="AA393" s="591"/>
      <c r="AB393" s="591"/>
      <c r="AC393" s="591"/>
      <c r="AD393" s="591"/>
      <c r="AE393" s="594"/>
    </row>
    <row r="394" spans="1:31">
      <c r="A394" s="590">
        <v>70</v>
      </c>
      <c r="B394" s="596">
        <f t="shared" ref="B394:E394" si="325">B287</f>
        <v>0</v>
      </c>
      <c r="C394" s="596">
        <f t="shared" si="325"/>
        <v>0</v>
      </c>
      <c r="D394" s="597">
        <f t="shared" si="325"/>
        <v>0</v>
      </c>
      <c r="E394" s="597">
        <f t="shared" si="325"/>
        <v>0</v>
      </c>
      <c r="F394" s="590" t="str">
        <f>VLOOKUP(A394,STUDENT!$A$2:$BR$105,68,0)</f>
        <v/>
      </c>
      <c r="G394" s="590" t="b">
        <f>VLOOKUP(A394,STUDENT!$A$2:$BR$105,67,0)</f>
        <v>0</v>
      </c>
      <c r="H394" s="590" t="str">
        <f>PASHEET!BR73</f>
        <v/>
      </c>
      <c r="I394" s="590" t="str">
        <f>PASHEET!BS73</f>
        <v/>
      </c>
      <c r="J394" s="590" t="str">
        <f>PASHEET!BT73</f>
        <v/>
      </c>
      <c r="K394" s="590" t="str">
        <f>PASHEET!BU73</f>
        <v/>
      </c>
      <c r="L394" s="590" t="str">
        <f>PASHEET!BV73</f>
        <v/>
      </c>
      <c r="M394" s="590" t="str">
        <f>PASHEET!BW73</f>
        <v/>
      </c>
      <c r="N394" s="590" t="str">
        <f>PASHEET!BX73</f>
        <v/>
      </c>
      <c r="O394" s="590" t="str">
        <f>PASHEET!BY73</f>
        <v/>
      </c>
      <c r="Q394" s="591"/>
      <c r="R394" s="591"/>
      <c r="S394" s="591" t="s">
        <v>102</v>
      </c>
      <c r="T394" s="591">
        <f>SUM(T386:T393)</f>
        <v>0</v>
      </c>
      <c r="U394" s="591">
        <f t="shared" ref="U394:V394" si="326">SUM(U386:U393)</f>
        <v>0</v>
      </c>
      <c r="V394" s="591">
        <f t="shared" si="326"/>
        <v>0</v>
      </c>
      <c r="W394" s="594"/>
      <c r="X394" s="591"/>
      <c r="Y394" s="591"/>
      <c r="Z394" s="591"/>
      <c r="AA394" s="591" t="s">
        <v>102</v>
      </c>
      <c r="AB394" s="591">
        <f>SUM(AB386:AB393)</f>
        <v>0</v>
      </c>
      <c r="AC394" s="591">
        <f t="shared" ref="AC394:AD394" si="327">SUM(AC386:AC393)</f>
        <v>0</v>
      </c>
      <c r="AD394" s="591">
        <f t="shared" si="327"/>
        <v>0</v>
      </c>
      <c r="AE394" s="594"/>
    </row>
    <row r="395" spans="1:31">
      <c r="A395" s="596">
        <v>71</v>
      </c>
      <c r="B395" s="596">
        <f t="shared" ref="B395:E395" si="328">B288</f>
        <v>0</v>
      </c>
      <c r="C395" s="596">
        <f t="shared" si="328"/>
        <v>0</v>
      </c>
      <c r="D395" s="597">
        <f t="shared" si="328"/>
        <v>0</v>
      </c>
      <c r="E395" s="597">
        <f t="shared" si="328"/>
        <v>0</v>
      </c>
      <c r="F395" s="590" t="str">
        <f>VLOOKUP(A395,STUDENT!$A$2:$BR$105,68,0)</f>
        <v/>
      </c>
      <c r="G395" s="590" t="b">
        <f>VLOOKUP(A395,STUDENT!$A$2:$BR$105,67,0)</f>
        <v>0</v>
      </c>
      <c r="H395" s="590" t="str">
        <f>PASHEET!BR74</f>
        <v/>
      </c>
      <c r="I395" s="590" t="str">
        <f>PASHEET!BS74</f>
        <v/>
      </c>
      <c r="J395" s="590" t="str">
        <f>PASHEET!BT74</f>
        <v/>
      </c>
      <c r="K395" s="590" t="str">
        <f>PASHEET!BU74</f>
        <v/>
      </c>
      <c r="L395" s="590" t="str">
        <f>PASHEET!BV74</f>
        <v/>
      </c>
      <c r="M395" s="590" t="str">
        <f>PASHEET!BW74</f>
        <v/>
      </c>
      <c r="N395" s="590" t="str">
        <f>PASHEET!BX74</f>
        <v/>
      </c>
      <c r="O395" s="590" t="str">
        <f>PASHEET!BY74</f>
        <v/>
      </c>
      <c r="Q395" s="591"/>
      <c r="R395" s="591"/>
      <c r="S395" s="591"/>
      <c r="T395" s="591"/>
      <c r="U395" s="591"/>
      <c r="V395" s="591"/>
      <c r="W395" s="594"/>
      <c r="X395" s="594"/>
      <c r="Y395" s="594"/>
      <c r="Z395" s="594"/>
      <c r="AA395" s="594"/>
      <c r="AB395" s="591"/>
      <c r="AC395" s="591"/>
      <c r="AD395" s="591"/>
      <c r="AE395" s="594"/>
    </row>
    <row r="396" spans="1:31">
      <c r="A396" s="590">
        <v>72</v>
      </c>
      <c r="B396" s="596">
        <f t="shared" ref="B396:E396" si="329">B289</f>
        <v>0</v>
      </c>
      <c r="C396" s="596">
        <f t="shared" si="329"/>
        <v>0</v>
      </c>
      <c r="D396" s="597">
        <f t="shared" si="329"/>
        <v>0</v>
      </c>
      <c r="E396" s="597">
        <f t="shared" si="329"/>
        <v>0</v>
      </c>
      <c r="F396" s="590" t="str">
        <f>VLOOKUP(A396,STUDENT!$A$2:$BR$105,68,0)</f>
        <v/>
      </c>
      <c r="G396" s="590" t="b">
        <f>VLOOKUP(A396,STUDENT!$A$2:$BR$105,67,0)</f>
        <v>0</v>
      </c>
      <c r="H396" s="590" t="str">
        <f>PASHEET!BR75</f>
        <v/>
      </c>
      <c r="I396" s="590" t="str">
        <f>PASHEET!BS75</f>
        <v/>
      </c>
      <c r="J396" s="590" t="str">
        <f>PASHEET!BT75</f>
        <v/>
      </c>
      <c r="K396" s="590" t="str">
        <f>PASHEET!BU75</f>
        <v/>
      </c>
      <c r="L396" s="590" t="str">
        <f>PASHEET!BV75</f>
        <v/>
      </c>
      <c r="M396" s="590" t="str">
        <f>PASHEET!BW75</f>
        <v/>
      </c>
      <c r="N396" s="590" t="str">
        <f>PASHEET!BX75</f>
        <v/>
      </c>
      <c r="O396" s="590" t="str">
        <f>PASHEET!BY75</f>
        <v/>
      </c>
      <c r="Q396" s="591"/>
      <c r="R396" s="591"/>
      <c r="S396" s="591"/>
      <c r="T396" s="591"/>
      <c r="U396" s="591"/>
      <c r="V396" s="591"/>
      <c r="W396" s="594"/>
      <c r="X396" s="594"/>
      <c r="Y396" s="594"/>
      <c r="Z396" s="594"/>
      <c r="AA396" s="594"/>
      <c r="AB396" s="591"/>
      <c r="AC396" s="591"/>
      <c r="AD396" s="591"/>
      <c r="AE396" s="594"/>
    </row>
    <row r="397" spans="1:31">
      <c r="A397" s="596">
        <v>73</v>
      </c>
      <c r="B397" s="596">
        <f t="shared" ref="B397:E397" si="330">B290</f>
        <v>0</v>
      </c>
      <c r="C397" s="596">
        <f t="shared" si="330"/>
        <v>0</v>
      </c>
      <c r="D397" s="597">
        <f t="shared" si="330"/>
        <v>0</v>
      </c>
      <c r="E397" s="597">
        <f t="shared" si="330"/>
        <v>0</v>
      </c>
      <c r="F397" s="590" t="str">
        <f>VLOOKUP(A397,STUDENT!$A$2:$BR$105,68,0)</f>
        <v/>
      </c>
      <c r="G397" s="590" t="b">
        <f>VLOOKUP(A397,STUDENT!$A$2:$BR$105,67,0)</f>
        <v>0</v>
      </c>
      <c r="H397" s="590" t="str">
        <f>PASHEET!BR76</f>
        <v/>
      </c>
      <c r="I397" s="590" t="str">
        <f>PASHEET!BS76</f>
        <v/>
      </c>
      <c r="J397" s="590" t="str">
        <f>PASHEET!BT76</f>
        <v/>
      </c>
      <c r="K397" s="590" t="str">
        <f>PASHEET!BU76</f>
        <v/>
      </c>
      <c r="L397" s="590" t="str">
        <f>PASHEET!BV76</f>
        <v/>
      </c>
      <c r="M397" s="590" t="str">
        <f>PASHEET!BW76</f>
        <v/>
      </c>
      <c r="N397" s="590" t="str">
        <f>PASHEET!BX76</f>
        <v/>
      </c>
      <c r="O397" s="590" t="str">
        <f>PASHEET!BY76</f>
        <v/>
      </c>
      <c r="Q397" s="591"/>
      <c r="R397" s="591"/>
      <c r="S397" s="591"/>
      <c r="T397" s="591"/>
      <c r="U397" s="591"/>
      <c r="V397" s="591"/>
      <c r="W397" s="594"/>
      <c r="X397" s="594"/>
      <c r="Y397" s="594"/>
      <c r="Z397" s="594"/>
      <c r="AA397" s="594"/>
      <c r="AB397" s="591"/>
      <c r="AC397" s="591"/>
      <c r="AD397" s="591"/>
      <c r="AE397" s="594"/>
    </row>
    <row r="398" spans="1:31">
      <c r="A398" s="590">
        <v>74</v>
      </c>
      <c r="B398" s="596">
        <f t="shared" ref="B398:E398" si="331">B291</f>
        <v>0</v>
      </c>
      <c r="C398" s="596">
        <f t="shared" si="331"/>
        <v>0</v>
      </c>
      <c r="D398" s="597">
        <f t="shared" si="331"/>
        <v>0</v>
      </c>
      <c r="E398" s="597">
        <f t="shared" si="331"/>
        <v>0</v>
      </c>
      <c r="F398" s="590" t="str">
        <f>VLOOKUP(A398,STUDENT!$A$2:$BR$105,68,0)</f>
        <v/>
      </c>
      <c r="G398" s="590" t="b">
        <f>VLOOKUP(A398,STUDENT!$A$2:$BR$105,67,0)</f>
        <v>0</v>
      </c>
      <c r="H398" s="590" t="str">
        <f>PASHEET!BR77</f>
        <v/>
      </c>
      <c r="I398" s="590" t="str">
        <f>PASHEET!BS77</f>
        <v/>
      </c>
      <c r="J398" s="590" t="str">
        <f>PASHEET!BT77</f>
        <v/>
      </c>
      <c r="K398" s="590" t="str">
        <f>PASHEET!BU77</f>
        <v/>
      </c>
      <c r="L398" s="590" t="str">
        <f>PASHEET!BV77</f>
        <v/>
      </c>
      <c r="M398" s="590" t="str">
        <f>PASHEET!BW77</f>
        <v/>
      </c>
      <c r="N398" s="590" t="str">
        <f>PASHEET!BX77</f>
        <v/>
      </c>
      <c r="O398" s="590" t="str">
        <f>PASHEET!BY77</f>
        <v/>
      </c>
      <c r="Q398" s="591" t="s">
        <v>475</v>
      </c>
      <c r="R398" s="591" t="s">
        <v>476</v>
      </c>
      <c r="S398" s="592" t="s">
        <v>477</v>
      </c>
      <c r="T398" s="593" t="s">
        <v>495</v>
      </c>
      <c r="U398" s="592" t="s">
        <v>479</v>
      </c>
      <c r="V398" s="592" t="s">
        <v>480</v>
      </c>
      <c r="W398" s="594"/>
      <c r="X398" s="594"/>
      <c r="Y398" s="594"/>
      <c r="Z398" s="594"/>
      <c r="AA398" s="594"/>
      <c r="AB398" s="591"/>
      <c r="AC398" s="591"/>
      <c r="AD398" s="591"/>
      <c r="AE398" s="594"/>
    </row>
    <row r="399" spans="1:31">
      <c r="A399" s="596">
        <v>75</v>
      </c>
      <c r="B399" s="596">
        <f t="shared" ref="B399:E399" si="332">B292</f>
        <v>0</v>
      </c>
      <c r="C399" s="596">
        <f t="shared" si="332"/>
        <v>0</v>
      </c>
      <c r="D399" s="597">
        <f t="shared" si="332"/>
        <v>0</v>
      </c>
      <c r="E399" s="597">
        <f t="shared" si="332"/>
        <v>0</v>
      </c>
      <c r="F399" s="590" t="str">
        <f>VLOOKUP(A399,STUDENT!$A$2:$BR$105,68,0)</f>
        <v/>
      </c>
      <c r="G399" s="590" t="b">
        <f>VLOOKUP(A399,STUDENT!$A$2:$BR$105,67,0)</f>
        <v>0</v>
      </c>
      <c r="H399" s="590" t="str">
        <f>PASHEET!BR78</f>
        <v/>
      </c>
      <c r="I399" s="590" t="str">
        <f>PASHEET!BS78</f>
        <v/>
      </c>
      <c r="J399" s="590" t="str">
        <f>PASHEET!BT78</f>
        <v/>
      </c>
      <c r="K399" s="590" t="str">
        <f>PASHEET!BU78</f>
        <v/>
      </c>
      <c r="L399" s="590" t="str">
        <f>PASHEET!BV78</f>
        <v/>
      </c>
      <c r="M399" s="590" t="str">
        <f>PASHEET!BW78</f>
        <v/>
      </c>
      <c r="N399" s="590" t="str">
        <f>PASHEET!BX78</f>
        <v/>
      </c>
      <c r="O399" s="590" t="str">
        <f>PASHEET!BY78</f>
        <v/>
      </c>
      <c r="Q399" s="591" t="s">
        <v>482</v>
      </c>
      <c r="R399" s="591" t="s">
        <v>483</v>
      </c>
      <c r="S399" s="591" t="s">
        <v>50</v>
      </c>
      <c r="T399" s="591">
        <f>COUNTIFS(M325:M424,S399)</f>
        <v>0</v>
      </c>
      <c r="U399" s="591">
        <f>COUNTIFS(F325:F424,Q388,M325:M424,S399)</f>
        <v>0</v>
      </c>
      <c r="V399" s="591">
        <f>COUNTIFS(F325:F424,R388,M325:M424,S399)</f>
        <v>0</v>
      </c>
      <c r="W399" s="594"/>
      <c r="X399" s="594"/>
      <c r="Y399" s="594"/>
      <c r="Z399" s="594"/>
      <c r="AA399" s="594"/>
      <c r="AB399" s="591"/>
      <c r="AC399" s="591"/>
      <c r="AD399" s="591"/>
      <c r="AE399" s="594"/>
    </row>
    <row r="400" spans="1:31">
      <c r="A400" s="590">
        <v>76</v>
      </c>
      <c r="B400" s="596">
        <f t="shared" ref="B400:E400" si="333">B293</f>
        <v>0</v>
      </c>
      <c r="C400" s="596">
        <f t="shared" si="333"/>
        <v>0</v>
      </c>
      <c r="D400" s="597">
        <f t="shared" si="333"/>
        <v>0</v>
      </c>
      <c r="E400" s="597">
        <f t="shared" si="333"/>
        <v>0</v>
      </c>
      <c r="F400" s="590" t="str">
        <f>VLOOKUP(A400,STUDENT!$A$2:$BR$105,68,0)</f>
        <v/>
      </c>
      <c r="G400" s="590" t="b">
        <f>VLOOKUP(A400,STUDENT!$A$2:$BR$105,67,0)</f>
        <v>0</v>
      </c>
      <c r="H400" s="590" t="str">
        <f>PASHEET!BR79</f>
        <v/>
      </c>
      <c r="I400" s="590" t="str">
        <f>PASHEET!BS79</f>
        <v/>
      </c>
      <c r="J400" s="590" t="str">
        <f>PASHEET!BT79</f>
        <v/>
      </c>
      <c r="K400" s="590" t="str">
        <f>PASHEET!BU79</f>
        <v/>
      </c>
      <c r="L400" s="590" t="str">
        <f>PASHEET!BV79</f>
        <v/>
      </c>
      <c r="M400" s="590" t="str">
        <f>PASHEET!BW79</f>
        <v/>
      </c>
      <c r="N400" s="590" t="str">
        <f>PASHEET!BX79</f>
        <v/>
      </c>
      <c r="O400" s="590" t="str">
        <f>PASHEET!BY79</f>
        <v/>
      </c>
      <c r="Q400" s="591" t="s">
        <v>482</v>
      </c>
      <c r="R400" s="591" t="s">
        <v>483</v>
      </c>
      <c r="S400" s="591" t="s">
        <v>485</v>
      </c>
      <c r="T400" s="591">
        <f>COUNTIFS(M325:M424,S400)</f>
        <v>0</v>
      </c>
      <c r="U400" s="591">
        <f>COUNTIFS(F325:F424,Q389,M325:M424,S400)</f>
        <v>0</v>
      </c>
      <c r="V400" s="591">
        <f>COUNTIFS(F325:F424,R389,M325:M424,S400)</f>
        <v>0</v>
      </c>
      <c r="W400" s="594"/>
      <c r="X400" s="594"/>
      <c r="Y400" s="594"/>
      <c r="Z400" s="594"/>
      <c r="AA400" s="594"/>
      <c r="AB400" s="591"/>
      <c r="AC400" s="591"/>
      <c r="AD400" s="591"/>
      <c r="AE400" s="594"/>
    </row>
    <row r="401" spans="1:31">
      <c r="A401" s="596">
        <v>77</v>
      </c>
      <c r="B401" s="596">
        <f t="shared" ref="B401:E401" si="334">B294</f>
        <v>0</v>
      </c>
      <c r="C401" s="596">
        <f t="shared" si="334"/>
        <v>0</v>
      </c>
      <c r="D401" s="597">
        <f t="shared" si="334"/>
        <v>0</v>
      </c>
      <c r="E401" s="597">
        <f t="shared" si="334"/>
        <v>0</v>
      </c>
      <c r="F401" s="590" t="str">
        <f>VLOOKUP(A401,STUDENT!$A$2:$BR$105,68,0)</f>
        <v/>
      </c>
      <c r="G401" s="590" t="b">
        <f>VLOOKUP(A401,STUDENT!$A$2:$BR$105,67,0)</f>
        <v>0</v>
      </c>
      <c r="H401" s="590" t="str">
        <f>PASHEET!BR80</f>
        <v/>
      </c>
      <c r="I401" s="590" t="str">
        <f>PASHEET!BS80</f>
        <v/>
      </c>
      <c r="J401" s="590" t="str">
        <f>PASHEET!BT80</f>
        <v/>
      </c>
      <c r="K401" s="590" t="str">
        <f>PASHEET!BU80</f>
        <v/>
      </c>
      <c r="L401" s="590" t="str">
        <f>PASHEET!BV80</f>
        <v/>
      </c>
      <c r="M401" s="590" t="str">
        <f>PASHEET!BW80</f>
        <v/>
      </c>
      <c r="N401" s="590" t="str">
        <f>PASHEET!BX80</f>
        <v/>
      </c>
      <c r="O401" s="590" t="str">
        <f>PASHEET!BY80</f>
        <v/>
      </c>
      <c r="Q401" s="591" t="s">
        <v>482</v>
      </c>
      <c r="R401" s="591" t="s">
        <v>483</v>
      </c>
      <c r="S401" s="591" t="s">
        <v>486</v>
      </c>
      <c r="T401" s="591">
        <f>COUNTIFS(M325:M424,S401)</f>
        <v>0</v>
      </c>
      <c r="U401" s="591">
        <f>COUNTIFS(F325:F424,Q390,M325:M424,S401)</f>
        <v>0</v>
      </c>
      <c r="V401" s="591">
        <f>COUNTIFS(F325:F424,R390,M325:M424,S401)</f>
        <v>0</v>
      </c>
      <c r="W401" s="594"/>
      <c r="X401" s="594"/>
      <c r="Y401" s="594"/>
      <c r="Z401" s="594"/>
      <c r="AA401" s="594"/>
      <c r="AB401" s="591"/>
      <c r="AC401" s="591"/>
      <c r="AD401" s="591"/>
      <c r="AE401" s="594"/>
    </row>
    <row r="402" spans="1:31">
      <c r="A402" s="590">
        <v>78</v>
      </c>
      <c r="B402" s="596">
        <f t="shared" ref="B402:E402" si="335">B295</f>
        <v>0</v>
      </c>
      <c r="C402" s="596">
        <f t="shared" si="335"/>
        <v>0</v>
      </c>
      <c r="D402" s="597">
        <f t="shared" si="335"/>
        <v>0</v>
      </c>
      <c r="E402" s="597">
        <f t="shared" si="335"/>
        <v>0</v>
      </c>
      <c r="F402" s="590" t="str">
        <f>VLOOKUP(A402,STUDENT!$A$2:$BR$105,68,0)</f>
        <v/>
      </c>
      <c r="G402" s="590" t="b">
        <f>VLOOKUP(A402,STUDENT!$A$2:$BR$105,67,0)</f>
        <v>0</v>
      </c>
      <c r="H402" s="590" t="str">
        <f>PASHEET!BR81</f>
        <v/>
      </c>
      <c r="I402" s="590" t="str">
        <f>PASHEET!BS81</f>
        <v/>
      </c>
      <c r="J402" s="590" t="str">
        <f>PASHEET!BT81</f>
        <v/>
      </c>
      <c r="K402" s="590" t="str">
        <f>PASHEET!BU81</f>
        <v/>
      </c>
      <c r="L402" s="590" t="str">
        <f>PASHEET!BV81</f>
        <v/>
      </c>
      <c r="M402" s="590" t="str">
        <f>PASHEET!BW81</f>
        <v/>
      </c>
      <c r="N402" s="590" t="str">
        <f>PASHEET!BX81</f>
        <v/>
      </c>
      <c r="O402" s="590" t="str">
        <f>PASHEET!BY81</f>
        <v/>
      </c>
      <c r="Q402" s="591" t="s">
        <v>482</v>
      </c>
      <c r="R402" s="591" t="s">
        <v>483</v>
      </c>
      <c r="S402" s="591" t="s">
        <v>487</v>
      </c>
      <c r="T402" s="591">
        <f>COUNTIFS(M325:M424,S402)</f>
        <v>0</v>
      </c>
      <c r="U402" s="591">
        <f>COUNTIFS(F325:F424,Q391,M325:M424,S402)</f>
        <v>0</v>
      </c>
      <c r="V402" s="591">
        <f>COUNTIFS(F325:F424,R391,M325:M424,S402)</f>
        <v>0</v>
      </c>
      <c r="W402" s="594"/>
      <c r="X402" s="594"/>
      <c r="Y402" s="594"/>
      <c r="Z402" s="594"/>
      <c r="AA402" s="594"/>
      <c r="AB402" s="591"/>
      <c r="AC402" s="591"/>
      <c r="AD402" s="591"/>
      <c r="AE402" s="594"/>
    </row>
    <row r="403" spans="1:31">
      <c r="A403" s="596">
        <v>79</v>
      </c>
      <c r="B403" s="596">
        <f t="shared" ref="B403:E403" si="336">B296</f>
        <v>0</v>
      </c>
      <c r="C403" s="596">
        <f t="shared" si="336"/>
        <v>0</v>
      </c>
      <c r="D403" s="597">
        <f t="shared" si="336"/>
        <v>0</v>
      </c>
      <c r="E403" s="597">
        <f t="shared" si="336"/>
        <v>0</v>
      </c>
      <c r="F403" s="590" t="str">
        <f>VLOOKUP(A403,STUDENT!$A$2:$BR$105,68,0)</f>
        <v/>
      </c>
      <c r="G403" s="590" t="b">
        <f>VLOOKUP(A403,STUDENT!$A$2:$BR$105,67,0)</f>
        <v>0</v>
      </c>
      <c r="H403" s="590" t="str">
        <f>PASHEET!BR82</f>
        <v/>
      </c>
      <c r="I403" s="590" t="str">
        <f>PASHEET!BS82</f>
        <v/>
      </c>
      <c r="J403" s="590" t="str">
        <f>PASHEET!BT82</f>
        <v/>
      </c>
      <c r="K403" s="590" t="str">
        <f>PASHEET!BU82</f>
        <v/>
      </c>
      <c r="L403" s="590" t="str">
        <f>PASHEET!BV82</f>
        <v/>
      </c>
      <c r="M403" s="590" t="str">
        <f>PASHEET!BW82</f>
        <v/>
      </c>
      <c r="N403" s="590" t="str">
        <f>PASHEET!BX82</f>
        <v/>
      </c>
      <c r="O403" s="590" t="str">
        <f>PASHEET!BY82</f>
        <v/>
      </c>
      <c r="Q403" s="591" t="s">
        <v>482</v>
      </c>
      <c r="R403" s="591" t="s">
        <v>483</v>
      </c>
      <c r="S403" s="591" t="s">
        <v>488</v>
      </c>
      <c r="T403" s="591">
        <f>COUNTIFS(M325:M424,S403)</f>
        <v>0</v>
      </c>
      <c r="U403" s="591">
        <f>COUNTIFS(F325:F424,Q392,M325:M424,S403)</f>
        <v>0</v>
      </c>
      <c r="V403" s="591">
        <f>COUNTIFS(F325:F424,R392,M325:M424,S403)</f>
        <v>0</v>
      </c>
      <c r="W403" s="594"/>
      <c r="X403" s="594"/>
      <c r="Y403" s="594"/>
      <c r="Z403" s="594"/>
      <c r="AA403" s="594"/>
      <c r="AB403" s="591"/>
      <c r="AC403" s="591"/>
      <c r="AD403" s="591"/>
      <c r="AE403" s="594"/>
    </row>
    <row r="404" spans="1:31">
      <c r="A404" s="590">
        <v>80</v>
      </c>
      <c r="B404" s="596">
        <f t="shared" ref="B404:E404" si="337">B297</f>
        <v>0</v>
      </c>
      <c r="C404" s="596">
        <f t="shared" si="337"/>
        <v>0</v>
      </c>
      <c r="D404" s="597">
        <f t="shared" si="337"/>
        <v>0</v>
      </c>
      <c r="E404" s="597">
        <f t="shared" si="337"/>
        <v>0</v>
      </c>
      <c r="F404" s="590" t="str">
        <f>VLOOKUP(A404,STUDENT!$A$2:$BR$105,68,0)</f>
        <v/>
      </c>
      <c r="G404" s="590" t="b">
        <f>VLOOKUP(A404,STUDENT!$A$2:$BR$105,67,0)</f>
        <v>0</v>
      </c>
      <c r="H404" s="590" t="str">
        <f>PASHEET!BR83</f>
        <v/>
      </c>
      <c r="I404" s="590" t="str">
        <f>PASHEET!BS83</f>
        <v/>
      </c>
      <c r="J404" s="590" t="str">
        <f>PASHEET!BT83</f>
        <v/>
      </c>
      <c r="K404" s="590" t="str">
        <f>PASHEET!BU83</f>
        <v/>
      </c>
      <c r="L404" s="590" t="str">
        <f>PASHEET!BV83</f>
        <v/>
      </c>
      <c r="M404" s="590" t="str">
        <f>PASHEET!BW83</f>
        <v/>
      </c>
      <c r="N404" s="590" t="str">
        <f>PASHEET!BX83</f>
        <v/>
      </c>
      <c r="O404" s="590" t="str">
        <f>PASHEET!BY83</f>
        <v/>
      </c>
      <c r="Q404" s="591" t="s">
        <v>482</v>
      </c>
      <c r="R404" s="591" t="s">
        <v>483</v>
      </c>
      <c r="S404" s="591" t="s">
        <v>101</v>
      </c>
      <c r="T404" s="591">
        <f>COUNTIFS(M325:M424,S404)</f>
        <v>0</v>
      </c>
      <c r="U404" s="591">
        <f>COUNTIFS(F325:F424,Q393,M325:M424,S404)</f>
        <v>0</v>
      </c>
      <c r="V404" s="591">
        <f>COUNTIFS(F325:F424,R393,M325:M424,S404)</f>
        <v>0</v>
      </c>
      <c r="W404" s="594"/>
      <c r="X404" s="594"/>
      <c r="Y404" s="594"/>
      <c r="Z404" s="594"/>
      <c r="AA404" s="594"/>
      <c r="AB404" s="591"/>
      <c r="AC404" s="591"/>
      <c r="AD404" s="591"/>
      <c r="AE404" s="594"/>
    </row>
    <row r="405" spans="1:31">
      <c r="A405" s="596">
        <v>81</v>
      </c>
      <c r="B405" s="596">
        <f t="shared" ref="B405:E405" si="338">B298</f>
        <v>0</v>
      </c>
      <c r="C405" s="596">
        <f t="shared" si="338"/>
        <v>0</v>
      </c>
      <c r="D405" s="597">
        <f t="shared" si="338"/>
        <v>0</v>
      </c>
      <c r="E405" s="597">
        <f t="shared" si="338"/>
        <v>0</v>
      </c>
      <c r="F405" s="590" t="str">
        <f>VLOOKUP(A405,STUDENT!$A$2:$BR$105,68,0)</f>
        <v/>
      </c>
      <c r="G405" s="590" t="b">
        <f>VLOOKUP(A405,STUDENT!$A$2:$BR$105,67,0)</f>
        <v>0</v>
      </c>
      <c r="H405" s="590" t="str">
        <f>PASHEET!BR84</f>
        <v/>
      </c>
      <c r="I405" s="590" t="str">
        <f>PASHEET!BS84</f>
        <v/>
      </c>
      <c r="J405" s="590" t="str">
        <f>PASHEET!BT84</f>
        <v/>
      </c>
      <c r="K405" s="590" t="str">
        <f>PASHEET!BU84</f>
        <v/>
      </c>
      <c r="L405" s="590" t="str">
        <f>PASHEET!BV84</f>
        <v/>
      </c>
      <c r="M405" s="590" t="str">
        <f>PASHEET!BW84</f>
        <v/>
      </c>
      <c r="N405" s="590" t="str">
        <f>PASHEET!BX84</f>
        <v/>
      </c>
      <c r="O405" s="590" t="str">
        <f>PASHEET!BY84</f>
        <v/>
      </c>
      <c r="Q405" s="591" t="s">
        <v>482</v>
      </c>
      <c r="R405" s="591" t="s">
        <v>483</v>
      </c>
      <c r="S405" s="591" t="s">
        <v>489</v>
      </c>
      <c r="T405" s="591">
        <f>COUNTIFS(M325:M424,S405)</f>
        <v>0</v>
      </c>
      <c r="U405" s="591">
        <f>COUNTIFS(F325:F424,Q394,M325:M424,S405)</f>
        <v>0</v>
      </c>
      <c r="V405" s="591">
        <f>COUNTIFS(F325:F424,R394,M325:M424,S405)</f>
        <v>0</v>
      </c>
      <c r="W405" s="594"/>
      <c r="X405" s="594"/>
      <c r="Y405" s="594"/>
      <c r="Z405" s="594"/>
      <c r="AA405" s="594"/>
      <c r="AB405" s="591"/>
      <c r="AC405" s="591"/>
      <c r="AD405" s="591"/>
      <c r="AE405" s="594"/>
    </row>
    <row r="406" spans="1:31">
      <c r="A406" s="590">
        <v>82</v>
      </c>
      <c r="B406" s="596">
        <f t="shared" ref="B406:E406" si="339">B299</f>
        <v>0</v>
      </c>
      <c r="C406" s="596">
        <f t="shared" si="339"/>
        <v>0</v>
      </c>
      <c r="D406" s="597">
        <f t="shared" si="339"/>
        <v>0</v>
      </c>
      <c r="E406" s="597">
        <f t="shared" si="339"/>
        <v>0</v>
      </c>
      <c r="F406" s="590" t="str">
        <f>VLOOKUP(A406,STUDENT!$A$2:$BR$105,68,0)</f>
        <v/>
      </c>
      <c r="G406" s="590" t="b">
        <f>VLOOKUP(A406,STUDENT!$A$2:$BR$105,67,0)</f>
        <v>0</v>
      </c>
      <c r="H406" s="590" t="str">
        <f>PASHEET!BR85</f>
        <v/>
      </c>
      <c r="I406" s="590" t="str">
        <f>PASHEET!BS85</f>
        <v/>
      </c>
      <c r="J406" s="590" t="str">
        <f>PASHEET!BT85</f>
        <v/>
      </c>
      <c r="K406" s="590" t="str">
        <f>PASHEET!BU85</f>
        <v/>
      </c>
      <c r="L406" s="590" t="str">
        <f>PASHEET!BV85</f>
        <v/>
      </c>
      <c r="M406" s="590" t="str">
        <f>PASHEET!BW85</f>
        <v/>
      </c>
      <c r="N406" s="590" t="str">
        <f>PASHEET!BX85</f>
        <v/>
      </c>
      <c r="O406" s="590" t="str">
        <f>PASHEET!BY85</f>
        <v/>
      </c>
      <c r="Q406" s="591" t="s">
        <v>482</v>
      </c>
      <c r="R406" s="591" t="s">
        <v>483</v>
      </c>
      <c r="S406" s="591"/>
      <c r="T406" s="591"/>
      <c r="U406" s="591"/>
      <c r="V406" s="591"/>
      <c r="W406" s="594"/>
      <c r="X406" s="594"/>
      <c r="Y406" s="594"/>
      <c r="Z406" s="594"/>
      <c r="AA406" s="594"/>
      <c r="AB406" s="591"/>
      <c r="AC406" s="591"/>
      <c r="AD406" s="591"/>
      <c r="AE406" s="594"/>
    </row>
    <row r="407" spans="1:31">
      <c r="A407" s="596">
        <v>83</v>
      </c>
      <c r="B407" s="596">
        <f t="shared" ref="B407:E407" si="340">B300</f>
        <v>0</v>
      </c>
      <c r="C407" s="596">
        <f t="shared" si="340"/>
        <v>0</v>
      </c>
      <c r="D407" s="597">
        <f t="shared" si="340"/>
        <v>0</v>
      </c>
      <c r="E407" s="597">
        <f t="shared" si="340"/>
        <v>0</v>
      </c>
      <c r="F407" s="590" t="str">
        <f>VLOOKUP(A407,STUDENT!$A$2:$BR$105,68,0)</f>
        <v/>
      </c>
      <c r="G407" s="590" t="b">
        <f>VLOOKUP(A407,STUDENT!$A$2:$BR$105,67,0)</f>
        <v>0</v>
      </c>
      <c r="H407" s="590" t="str">
        <f>PASHEET!BR86</f>
        <v/>
      </c>
      <c r="I407" s="590" t="str">
        <f>PASHEET!BS86</f>
        <v/>
      </c>
      <c r="J407" s="590" t="str">
        <f>PASHEET!BT86</f>
        <v/>
      </c>
      <c r="K407" s="590" t="str">
        <f>PASHEET!BU86</f>
        <v/>
      </c>
      <c r="L407" s="590" t="str">
        <f>PASHEET!BV86</f>
        <v/>
      </c>
      <c r="M407" s="590" t="str">
        <f>PASHEET!BW86</f>
        <v/>
      </c>
      <c r="N407" s="590" t="str">
        <f>PASHEET!BX86</f>
        <v/>
      </c>
      <c r="O407" s="590" t="str">
        <f>PASHEET!BY86</f>
        <v/>
      </c>
      <c r="Q407" s="591"/>
      <c r="R407" s="591"/>
      <c r="S407" s="591" t="s">
        <v>102</v>
      </c>
      <c r="T407" s="591">
        <f>SUM(T399:T406)</f>
        <v>0</v>
      </c>
      <c r="U407" s="591">
        <f t="shared" ref="U407:V407" si="341">SUM(U399:U406)</f>
        <v>0</v>
      </c>
      <c r="V407" s="591">
        <f t="shared" si="341"/>
        <v>0</v>
      </c>
      <c r="W407" s="594"/>
      <c r="X407" s="594"/>
      <c r="Y407" s="594"/>
      <c r="Z407" s="594"/>
      <c r="AA407" s="594"/>
      <c r="AB407" s="591"/>
      <c r="AC407" s="591"/>
      <c r="AD407" s="591"/>
      <c r="AE407" s="594"/>
    </row>
    <row r="408" spans="1:31">
      <c r="A408" s="590">
        <v>84</v>
      </c>
      <c r="B408" s="596">
        <f t="shared" ref="B408:E408" si="342">B301</f>
        <v>0</v>
      </c>
      <c r="C408" s="596">
        <f t="shared" si="342"/>
        <v>0</v>
      </c>
      <c r="D408" s="597">
        <f t="shared" si="342"/>
        <v>0</v>
      </c>
      <c r="E408" s="597">
        <f t="shared" si="342"/>
        <v>0</v>
      </c>
      <c r="F408" s="590" t="str">
        <f>VLOOKUP(A408,STUDENT!$A$2:$BR$105,68,0)</f>
        <v/>
      </c>
      <c r="G408" s="590" t="b">
        <f>VLOOKUP(A408,STUDENT!$A$2:$BR$105,67,0)</f>
        <v>0</v>
      </c>
      <c r="H408" s="590" t="str">
        <f>PASHEET!BR87</f>
        <v/>
      </c>
      <c r="I408" s="590" t="str">
        <f>PASHEET!BS87</f>
        <v/>
      </c>
      <c r="J408" s="590" t="str">
        <f>PASHEET!BT87</f>
        <v/>
      </c>
      <c r="K408" s="590" t="str">
        <f>PASHEET!BU87</f>
        <v/>
      </c>
      <c r="L408" s="590" t="str">
        <f>PASHEET!BV87</f>
        <v/>
      </c>
      <c r="M408" s="590" t="str">
        <f>PASHEET!BW87</f>
        <v/>
      </c>
      <c r="N408" s="590" t="str">
        <f>PASHEET!BX87</f>
        <v/>
      </c>
      <c r="O408" s="590" t="str">
        <f>PASHEET!BY87</f>
        <v/>
      </c>
      <c r="Q408" s="591"/>
      <c r="R408" s="591"/>
      <c r="S408" s="591"/>
      <c r="T408" s="591"/>
      <c r="U408" s="591"/>
      <c r="V408" s="591"/>
      <c r="W408" s="594"/>
      <c r="X408" s="594"/>
      <c r="Y408" s="594"/>
      <c r="Z408" s="594"/>
      <c r="AA408" s="594"/>
      <c r="AB408" s="591"/>
      <c r="AC408" s="591"/>
      <c r="AD408" s="591"/>
      <c r="AE408" s="594"/>
    </row>
    <row r="409" spans="1:31">
      <c r="A409" s="596">
        <v>85</v>
      </c>
      <c r="B409" s="596">
        <f t="shared" ref="B409:E409" si="343">B302</f>
        <v>0</v>
      </c>
      <c r="C409" s="596">
        <f t="shared" si="343"/>
        <v>0</v>
      </c>
      <c r="D409" s="597">
        <f t="shared" si="343"/>
        <v>0</v>
      </c>
      <c r="E409" s="597">
        <f t="shared" si="343"/>
        <v>0</v>
      </c>
      <c r="F409" s="590" t="str">
        <f>VLOOKUP(A409,STUDENT!$A$2:$BR$105,68,0)</f>
        <v/>
      </c>
      <c r="G409" s="590" t="b">
        <f>VLOOKUP(A409,STUDENT!$A$2:$BR$105,67,0)</f>
        <v>0</v>
      </c>
      <c r="H409" s="590" t="str">
        <f>PASHEET!BR88</f>
        <v/>
      </c>
      <c r="I409" s="590" t="str">
        <f>PASHEET!BS88</f>
        <v/>
      </c>
      <c r="J409" s="590" t="str">
        <f>PASHEET!BT88</f>
        <v/>
      </c>
      <c r="K409" s="590" t="str">
        <f>PASHEET!BU88</f>
        <v/>
      </c>
      <c r="L409" s="590" t="str">
        <f>PASHEET!BV88</f>
        <v/>
      </c>
      <c r="M409" s="590" t="str">
        <f>PASHEET!BW88</f>
        <v/>
      </c>
      <c r="N409" s="590" t="str">
        <f>PASHEET!BX88</f>
        <v/>
      </c>
      <c r="O409" s="590" t="str">
        <f>PASHEET!BY88</f>
        <v/>
      </c>
      <c r="Q409" s="591"/>
      <c r="R409" s="591"/>
      <c r="S409" s="591"/>
      <c r="T409" s="591"/>
      <c r="U409" s="591"/>
      <c r="V409" s="591"/>
      <c r="W409" s="594"/>
      <c r="X409" s="594"/>
      <c r="Y409" s="594"/>
      <c r="Z409" s="594"/>
      <c r="AA409" s="594"/>
      <c r="AB409" s="591"/>
      <c r="AC409" s="591"/>
      <c r="AD409" s="591"/>
      <c r="AE409" s="594"/>
    </row>
    <row r="410" spans="1:31">
      <c r="A410" s="590">
        <v>86</v>
      </c>
      <c r="B410" s="596">
        <f t="shared" ref="B410:E410" si="344">B303</f>
        <v>0</v>
      </c>
      <c r="C410" s="596">
        <f t="shared" si="344"/>
        <v>0</v>
      </c>
      <c r="D410" s="597">
        <f t="shared" si="344"/>
        <v>0</v>
      </c>
      <c r="E410" s="597">
        <f t="shared" si="344"/>
        <v>0</v>
      </c>
      <c r="F410" s="590" t="str">
        <f>VLOOKUP(A410,STUDENT!$A$2:$BR$105,68,0)</f>
        <v/>
      </c>
      <c r="G410" s="590" t="b">
        <f>VLOOKUP(A410,STUDENT!$A$2:$BR$105,67,0)</f>
        <v>0</v>
      </c>
      <c r="H410" s="590" t="str">
        <f>PASHEET!BR89</f>
        <v/>
      </c>
      <c r="I410" s="590" t="str">
        <f>PASHEET!BS89</f>
        <v/>
      </c>
      <c r="J410" s="590" t="str">
        <f>PASHEET!BT89</f>
        <v/>
      </c>
      <c r="K410" s="590" t="str">
        <f>PASHEET!BU89</f>
        <v/>
      </c>
      <c r="L410" s="590" t="str">
        <f>PASHEET!BV89</f>
        <v/>
      </c>
      <c r="M410" s="590" t="str">
        <f>PASHEET!BW89</f>
        <v/>
      </c>
      <c r="N410" s="590" t="str">
        <f>PASHEET!BX89</f>
        <v/>
      </c>
      <c r="O410" s="590" t="str">
        <f>PASHEET!BY89</f>
        <v/>
      </c>
      <c r="Q410" s="591"/>
      <c r="R410" s="591"/>
      <c r="S410" s="591"/>
      <c r="T410" s="591"/>
      <c r="U410" s="591"/>
      <c r="V410" s="591"/>
      <c r="W410" s="594"/>
      <c r="X410" s="594"/>
      <c r="Y410" s="594"/>
      <c r="Z410" s="594"/>
      <c r="AA410" s="594"/>
      <c r="AB410" s="591"/>
      <c r="AC410" s="591"/>
      <c r="AD410" s="591"/>
      <c r="AE410" s="594"/>
    </row>
    <row r="411" spans="1:31">
      <c r="A411" s="596">
        <v>87</v>
      </c>
      <c r="B411" s="596">
        <f t="shared" ref="B411:E411" si="345">B304</f>
        <v>0</v>
      </c>
      <c r="C411" s="596">
        <f t="shared" si="345"/>
        <v>0</v>
      </c>
      <c r="D411" s="597">
        <f t="shared" si="345"/>
        <v>0</v>
      </c>
      <c r="E411" s="597">
        <f t="shared" si="345"/>
        <v>0</v>
      </c>
      <c r="F411" s="590" t="str">
        <f>VLOOKUP(A411,STUDENT!$A$2:$BR$105,68,0)</f>
        <v/>
      </c>
      <c r="G411" s="590" t="b">
        <f>VLOOKUP(A411,STUDENT!$A$2:$BR$105,67,0)</f>
        <v>0</v>
      </c>
      <c r="H411" s="590" t="str">
        <f>PASHEET!BR90</f>
        <v/>
      </c>
      <c r="I411" s="590" t="str">
        <f>PASHEET!BS90</f>
        <v/>
      </c>
      <c r="J411" s="590" t="str">
        <f>PASHEET!BT90</f>
        <v/>
      </c>
      <c r="K411" s="590" t="str">
        <f>PASHEET!BU90</f>
        <v/>
      </c>
      <c r="L411" s="590" t="str">
        <f>PASHEET!BV90</f>
        <v/>
      </c>
      <c r="M411" s="590" t="str">
        <f>PASHEET!BW90</f>
        <v/>
      </c>
      <c r="N411" s="590" t="str">
        <f>PASHEET!BX90</f>
        <v/>
      </c>
      <c r="O411" s="590" t="str">
        <f>PASHEET!BY90</f>
        <v/>
      </c>
      <c r="Q411" s="591" t="s">
        <v>475</v>
      </c>
      <c r="R411" s="591" t="s">
        <v>476</v>
      </c>
      <c r="S411" s="592" t="s">
        <v>477</v>
      </c>
      <c r="T411" s="593" t="s">
        <v>354</v>
      </c>
      <c r="U411" s="592" t="s">
        <v>479</v>
      </c>
      <c r="V411" s="592" t="s">
        <v>480</v>
      </c>
      <c r="W411" s="594"/>
      <c r="X411" s="594"/>
      <c r="Y411" s="594"/>
      <c r="Z411" s="594"/>
      <c r="AA411" s="594"/>
      <c r="AB411" s="591"/>
      <c r="AC411" s="591"/>
      <c r="AD411" s="591"/>
      <c r="AE411" s="594"/>
    </row>
    <row r="412" spans="1:31">
      <c r="A412" s="590">
        <v>88</v>
      </c>
      <c r="B412" s="596">
        <f t="shared" ref="B412:E412" si="346">B305</f>
        <v>0</v>
      </c>
      <c r="C412" s="596">
        <f t="shared" si="346"/>
        <v>0</v>
      </c>
      <c r="D412" s="597">
        <f t="shared" si="346"/>
        <v>0</v>
      </c>
      <c r="E412" s="597">
        <f t="shared" si="346"/>
        <v>0</v>
      </c>
      <c r="F412" s="590" t="str">
        <f>VLOOKUP(A412,STUDENT!$A$2:$BR$105,68,0)</f>
        <v/>
      </c>
      <c r="G412" s="590" t="b">
        <f>VLOOKUP(A412,STUDENT!$A$2:$BR$105,67,0)</f>
        <v>0</v>
      </c>
      <c r="H412" s="590" t="str">
        <f>PASHEET!BR91</f>
        <v/>
      </c>
      <c r="I412" s="590" t="str">
        <f>PASHEET!BS91</f>
        <v/>
      </c>
      <c r="J412" s="590" t="str">
        <f>PASHEET!BT91</f>
        <v/>
      </c>
      <c r="K412" s="590" t="str">
        <f>PASHEET!BU91</f>
        <v/>
      </c>
      <c r="L412" s="590" t="str">
        <f>PASHEET!BV91</f>
        <v/>
      </c>
      <c r="M412" s="590" t="str">
        <f>PASHEET!BW91</f>
        <v/>
      </c>
      <c r="N412" s="590" t="str">
        <f>PASHEET!BX91</f>
        <v/>
      </c>
      <c r="O412" s="590" t="str">
        <f>PASHEET!BY91</f>
        <v/>
      </c>
      <c r="Q412" s="591" t="s">
        <v>482</v>
      </c>
      <c r="R412" s="591" t="s">
        <v>483</v>
      </c>
      <c r="S412" s="591" t="s">
        <v>50</v>
      </c>
      <c r="T412" s="591">
        <f>COUNTIFS(N325:N424,S412)</f>
        <v>0</v>
      </c>
      <c r="U412" s="591">
        <f>COUNTIFS(F325:F424,Q401,N325:N424,S412)</f>
        <v>0</v>
      </c>
      <c r="V412" s="591">
        <f>COUNTIFS(F325:F424,R401,N325:N424,S412)</f>
        <v>0</v>
      </c>
      <c r="W412" s="594"/>
      <c r="X412" s="594"/>
      <c r="Y412" s="594"/>
      <c r="Z412" s="594"/>
      <c r="AA412" s="594"/>
      <c r="AB412" s="591"/>
      <c r="AC412" s="591"/>
      <c r="AD412" s="591"/>
      <c r="AE412" s="594"/>
    </row>
    <row r="413" spans="1:31">
      <c r="A413" s="596">
        <v>89</v>
      </c>
      <c r="B413" s="596">
        <f t="shared" ref="B413:E413" si="347">B306</f>
        <v>0</v>
      </c>
      <c r="C413" s="596">
        <f t="shared" si="347"/>
        <v>0</v>
      </c>
      <c r="D413" s="597">
        <f t="shared" si="347"/>
        <v>0</v>
      </c>
      <c r="E413" s="597">
        <f t="shared" si="347"/>
        <v>0</v>
      </c>
      <c r="F413" s="590" t="str">
        <f>VLOOKUP(A413,STUDENT!$A$2:$BR$105,68,0)</f>
        <v/>
      </c>
      <c r="G413" s="590" t="b">
        <f>VLOOKUP(A413,STUDENT!$A$2:$BR$105,67,0)</f>
        <v>0</v>
      </c>
      <c r="H413" s="590" t="str">
        <f>PASHEET!BR92</f>
        <v/>
      </c>
      <c r="I413" s="590" t="str">
        <f>PASHEET!BS92</f>
        <v/>
      </c>
      <c r="J413" s="590" t="str">
        <f>PASHEET!BT92</f>
        <v/>
      </c>
      <c r="K413" s="590" t="str">
        <f>PASHEET!BU92</f>
        <v/>
      </c>
      <c r="L413" s="590" t="str">
        <f>PASHEET!BV92</f>
        <v/>
      </c>
      <c r="M413" s="590" t="str">
        <f>PASHEET!BW92</f>
        <v/>
      </c>
      <c r="N413" s="590" t="str">
        <f>PASHEET!BX92</f>
        <v/>
      </c>
      <c r="O413" s="590" t="str">
        <f>PASHEET!BY92</f>
        <v/>
      </c>
      <c r="Q413" s="591" t="s">
        <v>482</v>
      </c>
      <c r="R413" s="591" t="s">
        <v>483</v>
      </c>
      <c r="S413" s="591" t="s">
        <v>485</v>
      </c>
      <c r="T413" s="591">
        <f>COUNTIFS(N325:N424,S413)</f>
        <v>0</v>
      </c>
      <c r="U413" s="591">
        <f>COUNTIFS(F325:F424,Q402,N325:N424,S413)</f>
        <v>0</v>
      </c>
      <c r="V413" s="591">
        <f>COUNTIFS(F325:F424,R402,N325:N424,S413)</f>
        <v>0</v>
      </c>
      <c r="W413" s="594"/>
      <c r="X413" s="594"/>
      <c r="Y413" s="594"/>
      <c r="Z413" s="594"/>
      <c r="AA413" s="594"/>
      <c r="AB413" s="591"/>
      <c r="AC413" s="591"/>
      <c r="AD413" s="591"/>
      <c r="AE413" s="594"/>
    </row>
    <row r="414" spans="1:31">
      <c r="A414" s="590">
        <v>90</v>
      </c>
      <c r="B414" s="596">
        <f t="shared" ref="B414:E414" si="348">B307</f>
        <v>0</v>
      </c>
      <c r="C414" s="596">
        <f t="shared" si="348"/>
        <v>0</v>
      </c>
      <c r="D414" s="597">
        <f t="shared" si="348"/>
        <v>0</v>
      </c>
      <c r="E414" s="597">
        <f t="shared" si="348"/>
        <v>0</v>
      </c>
      <c r="F414" s="590" t="str">
        <f>VLOOKUP(A414,STUDENT!$A$2:$BR$105,68,0)</f>
        <v/>
      </c>
      <c r="G414" s="590" t="b">
        <f>VLOOKUP(A414,STUDENT!$A$2:$BR$105,67,0)</f>
        <v>0</v>
      </c>
      <c r="H414" s="590" t="str">
        <f>PASHEET!BR93</f>
        <v/>
      </c>
      <c r="I414" s="590" t="str">
        <f>PASHEET!BS93</f>
        <v/>
      </c>
      <c r="J414" s="590" t="str">
        <f>PASHEET!BT93</f>
        <v/>
      </c>
      <c r="K414" s="590" t="str">
        <f>PASHEET!BU93</f>
        <v/>
      </c>
      <c r="L414" s="590" t="str">
        <f>PASHEET!BV93</f>
        <v/>
      </c>
      <c r="M414" s="590" t="str">
        <f>PASHEET!BW93</f>
        <v/>
      </c>
      <c r="N414" s="590" t="str">
        <f>PASHEET!BX93</f>
        <v/>
      </c>
      <c r="O414" s="590" t="str">
        <f>PASHEET!BY93</f>
        <v/>
      </c>
      <c r="Q414" s="591" t="s">
        <v>482</v>
      </c>
      <c r="R414" s="591" t="s">
        <v>483</v>
      </c>
      <c r="S414" s="591" t="s">
        <v>486</v>
      </c>
      <c r="T414" s="591">
        <f>COUNTIFS(N325:N424,S414)</f>
        <v>0</v>
      </c>
      <c r="U414" s="591">
        <f>COUNTIFS(F325:F424,Q403,N325:N424,S414)</f>
        <v>0</v>
      </c>
      <c r="V414" s="591">
        <f>COUNTIFS(F325:F424,R403,N325:N424,S414)</f>
        <v>0</v>
      </c>
      <c r="W414" s="594"/>
      <c r="X414" s="594"/>
      <c r="Y414" s="594"/>
      <c r="Z414" s="594"/>
      <c r="AA414" s="594"/>
      <c r="AB414" s="591"/>
      <c r="AC414" s="591"/>
      <c r="AD414" s="591"/>
      <c r="AE414" s="594"/>
    </row>
    <row r="415" spans="1:31">
      <c r="A415" s="596">
        <v>91</v>
      </c>
      <c r="B415" s="596">
        <f t="shared" ref="B415:E415" si="349">B308</f>
        <v>0</v>
      </c>
      <c r="C415" s="596">
        <f t="shared" si="349"/>
        <v>0</v>
      </c>
      <c r="D415" s="597">
        <f t="shared" si="349"/>
        <v>0</v>
      </c>
      <c r="E415" s="597">
        <f t="shared" si="349"/>
        <v>0</v>
      </c>
      <c r="F415" s="590" t="str">
        <f>VLOOKUP(A415,STUDENT!$A$2:$BR$105,68,0)</f>
        <v/>
      </c>
      <c r="G415" s="590" t="b">
        <f>VLOOKUP(A415,STUDENT!$A$2:$BR$105,67,0)</f>
        <v>0</v>
      </c>
      <c r="H415" s="590" t="str">
        <f>PASHEET!BR94</f>
        <v/>
      </c>
      <c r="I415" s="590" t="str">
        <f>PASHEET!BS94</f>
        <v/>
      </c>
      <c r="J415" s="590" t="str">
        <f>PASHEET!BT94</f>
        <v/>
      </c>
      <c r="K415" s="590" t="str">
        <f>PASHEET!BU94</f>
        <v/>
      </c>
      <c r="L415" s="590" t="str">
        <f>PASHEET!BV94</f>
        <v/>
      </c>
      <c r="M415" s="590" t="str">
        <f>PASHEET!BW94</f>
        <v/>
      </c>
      <c r="N415" s="590" t="str">
        <f>PASHEET!BX94</f>
        <v/>
      </c>
      <c r="O415" s="590" t="str">
        <f>PASHEET!BY94</f>
        <v/>
      </c>
      <c r="Q415" s="591" t="s">
        <v>482</v>
      </c>
      <c r="R415" s="591" t="s">
        <v>483</v>
      </c>
      <c r="S415" s="591" t="s">
        <v>487</v>
      </c>
      <c r="T415" s="591">
        <f>COUNTIFS(N325:N424,S415)</f>
        <v>0</v>
      </c>
      <c r="U415" s="591">
        <f>COUNTIFS(F325:F424,Q404,N325:N424,S415)</f>
        <v>0</v>
      </c>
      <c r="V415" s="591">
        <f>COUNTIFS(F325:F424,R404,N325:N424,S415)</f>
        <v>0</v>
      </c>
      <c r="W415" s="594"/>
      <c r="X415" s="594"/>
      <c r="Y415" s="594"/>
      <c r="Z415" s="594"/>
      <c r="AA415" s="594"/>
      <c r="AB415" s="591"/>
      <c r="AC415" s="591"/>
      <c r="AD415" s="591"/>
      <c r="AE415" s="594"/>
    </row>
    <row r="416" spans="1:31">
      <c r="A416" s="590">
        <v>92</v>
      </c>
      <c r="B416" s="596">
        <f t="shared" ref="B416:E416" si="350">B309</f>
        <v>0</v>
      </c>
      <c r="C416" s="596">
        <f t="shared" si="350"/>
        <v>0</v>
      </c>
      <c r="D416" s="597">
        <f t="shared" si="350"/>
        <v>0</v>
      </c>
      <c r="E416" s="597">
        <f t="shared" si="350"/>
        <v>0</v>
      </c>
      <c r="F416" s="590" t="str">
        <f>VLOOKUP(A416,STUDENT!$A$2:$BR$105,68,0)</f>
        <v/>
      </c>
      <c r="G416" s="590" t="b">
        <f>VLOOKUP(A416,STUDENT!$A$2:$BR$105,67,0)</f>
        <v>0</v>
      </c>
      <c r="H416" s="590" t="str">
        <f>PASHEET!BR95</f>
        <v/>
      </c>
      <c r="I416" s="590" t="str">
        <f>PASHEET!BS95</f>
        <v/>
      </c>
      <c r="J416" s="590" t="str">
        <f>PASHEET!BT95</f>
        <v/>
      </c>
      <c r="K416" s="590" t="str">
        <f>PASHEET!BU95</f>
        <v/>
      </c>
      <c r="L416" s="590" t="str">
        <f>PASHEET!BV95</f>
        <v/>
      </c>
      <c r="M416" s="590" t="str">
        <f>PASHEET!BW95</f>
        <v/>
      </c>
      <c r="N416" s="590" t="str">
        <f>PASHEET!BX95</f>
        <v/>
      </c>
      <c r="O416" s="590" t="str">
        <f>PASHEET!BY95</f>
        <v/>
      </c>
      <c r="Q416" s="591" t="s">
        <v>482</v>
      </c>
      <c r="R416" s="591" t="s">
        <v>483</v>
      </c>
      <c r="S416" s="591" t="s">
        <v>488</v>
      </c>
      <c r="T416" s="591">
        <f>COUNTIFS(N325:N424,S416)</f>
        <v>0</v>
      </c>
      <c r="U416" s="591">
        <f>COUNTIFS(F325:F424,Q405,N325:N424,S416)</f>
        <v>0</v>
      </c>
      <c r="V416" s="591">
        <f>COUNTIFS(F325:F424,R405,N325:N424,S416)</f>
        <v>0</v>
      </c>
      <c r="W416" s="594"/>
      <c r="X416" s="594"/>
      <c r="Y416" s="594"/>
      <c r="Z416" s="594"/>
      <c r="AA416" s="594"/>
      <c r="AB416" s="591"/>
      <c r="AC416" s="591"/>
      <c r="AD416" s="591"/>
      <c r="AE416" s="594"/>
    </row>
    <row r="417" spans="1:31">
      <c r="A417" s="596">
        <v>93</v>
      </c>
      <c r="B417" s="596">
        <f t="shared" ref="B417:E417" si="351">B310</f>
        <v>0</v>
      </c>
      <c r="C417" s="596">
        <f t="shared" si="351"/>
        <v>0</v>
      </c>
      <c r="D417" s="597">
        <f t="shared" si="351"/>
        <v>0</v>
      </c>
      <c r="E417" s="597">
        <f t="shared" si="351"/>
        <v>0</v>
      </c>
      <c r="F417" s="590" t="str">
        <f>VLOOKUP(A417,STUDENT!$A$2:$BR$105,68,0)</f>
        <v/>
      </c>
      <c r="G417" s="590" t="b">
        <f>VLOOKUP(A417,STUDENT!$A$2:$BR$105,67,0)</f>
        <v>0</v>
      </c>
      <c r="H417" s="590" t="str">
        <f>PASHEET!BR96</f>
        <v/>
      </c>
      <c r="I417" s="590" t="str">
        <f>PASHEET!BS96</f>
        <v/>
      </c>
      <c r="J417" s="590" t="str">
        <f>PASHEET!BT96</f>
        <v/>
      </c>
      <c r="K417" s="590" t="str">
        <f>PASHEET!BU96</f>
        <v/>
      </c>
      <c r="L417" s="590" t="str">
        <f>PASHEET!BV96</f>
        <v/>
      </c>
      <c r="M417" s="590" t="str">
        <f>PASHEET!BW96</f>
        <v/>
      </c>
      <c r="N417" s="590" t="str">
        <f>PASHEET!BX96</f>
        <v/>
      </c>
      <c r="O417" s="590" t="str">
        <f>PASHEET!BY96</f>
        <v/>
      </c>
      <c r="Q417" s="591" t="s">
        <v>482</v>
      </c>
      <c r="R417" s="591" t="s">
        <v>483</v>
      </c>
      <c r="S417" s="591" t="s">
        <v>101</v>
      </c>
      <c r="T417" s="591">
        <f>COUNTIFS(N325:N424,S417)</f>
        <v>0</v>
      </c>
      <c r="U417" s="591">
        <f>COUNTIFS(F325:F424,Q406,N325:N424,S417)</f>
        <v>0</v>
      </c>
      <c r="V417" s="591">
        <f>COUNTIFS(F325:F424,R406,N325:N424,S417)</f>
        <v>0</v>
      </c>
      <c r="W417" s="594"/>
      <c r="X417" s="594"/>
      <c r="Y417" s="594"/>
      <c r="Z417" s="594"/>
      <c r="AA417" s="594"/>
      <c r="AB417" s="591"/>
      <c r="AC417" s="591"/>
      <c r="AD417" s="591"/>
      <c r="AE417" s="594"/>
    </row>
    <row r="418" spans="1:31">
      <c r="A418" s="590">
        <v>94</v>
      </c>
      <c r="B418" s="596">
        <f t="shared" ref="B418:E418" si="352">B311</f>
        <v>0</v>
      </c>
      <c r="C418" s="596">
        <f t="shared" si="352"/>
        <v>0</v>
      </c>
      <c r="D418" s="597">
        <f t="shared" si="352"/>
        <v>0</v>
      </c>
      <c r="E418" s="597">
        <f t="shared" si="352"/>
        <v>0</v>
      </c>
      <c r="F418" s="590" t="str">
        <f>VLOOKUP(A418,STUDENT!$A$2:$BR$105,68,0)</f>
        <v/>
      </c>
      <c r="G418" s="590" t="b">
        <f>VLOOKUP(A418,STUDENT!$A$2:$BR$105,67,0)</f>
        <v>0</v>
      </c>
      <c r="H418" s="590" t="str">
        <f>PASHEET!BR97</f>
        <v/>
      </c>
      <c r="I418" s="590" t="str">
        <f>PASHEET!BS97</f>
        <v/>
      </c>
      <c r="J418" s="590" t="str">
        <f>PASHEET!BT97</f>
        <v/>
      </c>
      <c r="K418" s="590" t="str">
        <f>PASHEET!BU97</f>
        <v/>
      </c>
      <c r="L418" s="590" t="str">
        <f>PASHEET!BV97</f>
        <v/>
      </c>
      <c r="M418" s="590" t="str">
        <f>PASHEET!BW97</f>
        <v/>
      </c>
      <c r="N418" s="590" t="str">
        <f>PASHEET!BX97</f>
        <v/>
      </c>
      <c r="O418" s="590" t="str">
        <f>PASHEET!BY97</f>
        <v/>
      </c>
      <c r="Q418" s="591" t="s">
        <v>482</v>
      </c>
      <c r="R418" s="591" t="s">
        <v>483</v>
      </c>
      <c r="S418" s="591" t="s">
        <v>489</v>
      </c>
      <c r="T418" s="591">
        <f>COUNTIFS(N325:N424,S418)</f>
        <v>0</v>
      </c>
      <c r="U418" s="591">
        <f>COUNTIFS(F325:F424,Q407,N325:N424,S418)</f>
        <v>0</v>
      </c>
      <c r="V418" s="591">
        <f>COUNTIFS(F325:F424,R407,N325:N424,S418)</f>
        <v>0</v>
      </c>
      <c r="W418" s="594"/>
      <c r="X418" s="594"/>
      <c r="Y418" s="594"/>
      <c r="Z418" s="594"/>
      <c r="AA418" s="594"/>
      <c r="AB418" s="591"/>
      <c r="AC418" s="591"/>
      <c r="AD418" s="591"/>
      <c r="AE418" s="594"/>
    </row>
    <row r="419" spans="1:31">
      <c r="A419" s="596">
        <v>95</v>
      </c>
      <c r="B419" s="596">
        <f t="shared" ref="B419:E419" si="353">B312</f>
        <v>0</v>
      </c>
      <c r="C419" s="596">
        <f t="shared" si="353"/>
        <v>0</v>
      </c>
      <c r="D419" s="597">
        <f t="shared" si="353"/>
        <v>0</v>
      </c>
      <c r="E419" s="597">
        <f t="shared" si="353"/>
        <v>0</v>
      </c>
      <c r="F419" s="590" t="str">
        <f>VLOOKUP(A419,STUDENT!$A$2:$BR$105,68,0)</f>
        <v/>
      </c>
      <c r="G419" s="590" t="b">
        <f>VLOOKUP(A419,STUDENT!$A$2:$BR$105,67,0)</f>
        <v>0</v>
      </c>
      <c r="H419" s="590" t="str">
        <f>PASHEET!BR98</f>
        <v/>
      </c>
      <c r="I419" s="590" t="str">
        <f>PASHEET!BS98</f>
        <v/>
      </c>
      <c r="J419" s="590" t="str">
        <f>PASHEET!BT98</f>
        <v/>
      </c>
      <c r="K419" s="590" t="str">
        <f>PASHEET!BU98</f>
        <v/>
      </c>
      <c r="L419" s="590" t="str">
        <f>PASHEET!BV98</f>
        <v/>
      </c>
      <c r="M419" s="590" t="str">
        <f>PASHEET!BW98</f>
        <v/>
      </c>
      <c r="N419" s="590" t="str">
        <f>PASHEET!BX98</f>
        <v/>
      </c>
      <c r="O419" s="590" t="str">
        <f>PASHEET!BY98</f>
        <v/>
      </c>
      <c r="Q419" s="591" t="s">
        <v>482</v>
      </c>
      <c r="R419" s="591" t="s">
        <v>483</v>
      </c>
      <c r="S419" s="591"/>
      <c r="T419" s="591"/>
      <c r="U419" s="591"/>
      <c r="V419" s="591"/>
      <c r="W419" s="594"/>
      <c r="X419" s="594"/>
      <c r="Y419" s="594"/>
      <c r="Z419" s="594"/>
      <c r="AA419" s="594"/>
      <c r="AB419" s="591"/>
      <c r="AC419" s="591"/>
      <c r="AD419" s="591"/>
      <c r="AE419" s="594"/>
    </row>
    <row r="420" spans="1:31">
      <c r="A420" s="590">
        <v>96</v>
      </c>
      <c r="B420" s="596">
        <f t="shared" ref="B420:E420" si="354">B313</f>
        <v>0</v>
      </c>
      <c r="C420" s="596">
        <f t="shared" si="354"/>
        <v>0</v>
      </c>
      <c r="D420" s="597">
        <f t="shared" si="354"/>
        <v>0</v>
      </c>
      <c r="E420" s="597">
        <f t="shared" si="354"/>
        <v>0</v>
      </c>
      <c r="F420" s="590" t="str">
        <f>VLOOKUP(A420,STUDENT!$A$2:$BR$105,68,0)</f>
        <v/>
      </c>
      <c r="G420" s="590" t="b">
        <f>VLOOKUP(A420,STUDENT!$A$2:$BR$105,67,0)</f>
        <v>0</v>
      </c>
      <c r="H420" s="590" t="str">
        <f>PASHEET!BR99</f>
        <v/>
      </c>
      <c r="I420" s="590" t="str">
        <f>PASHEET!BS99</f>
        <v/>
      </c>
      <c r="J420" s="590" t="str">
        <f>PASHEET!BT99</f>
        <v/>
      </c>
      <c r="K420" s="590" t="str">
        <f>PASHEET!BU99</f>
        <v/>
      </c>
      <c r="L420" s="590" t="str">
        <f>PASHEET!BV99</f>
        <v/>
      </c>
      <c r="M420" s="590" t="str">
        <f>PASHEET!BW99</f>
        <v/>
      </c>
      <c r="N420" s="590" t="str">
        <f>PASHEET!BX99</f>
        <v/>
      </c>
      <c r="O420" s="590" t="str">
        <f>PASHEET!BY99</f>
        <v/>
      </c>
      <c r="Q420" s="591"/>
      <c r="R420" s="591"/>
      <c r="S420" s="591" t="s">
        <v>102</v>
      </c>
      <c r="T420" s="591">
        <f>SUM(T412:T419)</f>
        <v>0</v>
      </c>
      <c r="U420" s="591">
        <f t="shared" ref="U420:V420" si="355">SUM(U412:U419)</f>
        <v>0</v>
      </c>
      <c r="V420" s="591">
        <f t="shared" si="355"/>
        <v>0</v>
      </c>
      <c r="W420" s="594"/>
      <c r="X420" s="594"/>
      <c r="Y420" s="594"/>
      <c r="Z420" s="594"/>
      <c r="AA420" s="594"/>
      <c r="AB420" s="591"/>
      <c r="AC420" s="591"/>
      <c r="AD420" s="591"/>
      <c r="AE420" s="594"/>
    </row>
    <row r="421" spans="1:31">
      <c r="A421" s="596">
        <v>97</v>
      </c>
      <c r="B421" s="596">
        <f t="shared" ref="B421:E421" si="356">B314</f>
        <v>0</v>
      </c>
      <c r="C421" s="596">
        <f t="shared" si="356"/>
        <v>0</v>
      </c>
      <c r="D421" s="597">
        <f t="shared" si="356"/>
        <v>0</v>
      </c>
      <c r="E421" s="597">
        <f t="shared" si="356"/>
        <v>0</v>
      </c>
      <c r="F421" s="590" t="str">
        <f>VLOOKUP(A421,STUDENT!$A$2:$BR$105,68,0)</f>
        <v/>
      </c>
      <c r="G421" s="590" t="b">
        <f>VLOOKUP(A421,STUDENT!$A$2:$BR$105,67,0)</f>
        <v>0</v>
      </c>
      <c r="H421" s="590" t="str">
        <f>PASHEET!BR100</f>
        <v/>
      </c>
      <c r="I421" s="590" t="str">
        <f>PASHEET!BS100</f>
        <v/>
      </c>
      <c r="J421" s="590" t="str">
        <f>PASHEET!BT100</f>
        <v/>
      </c>
      <c r="K421" s="590" t="str">
        <f>PASHEET!BU100</f>
        <v/>
      </c>
      <c r="L421" s="590" t="str">
        <f>PASHEET!BV100</f>
        <v/>
      </c>
      <c r="M421" s="590" t="str">
        <f>PASHEET!BW100</f>
        <v/>
      </c>
      <c r="N421" s="590" t="str">
        <f>PASHEET!BX100</f>
        <v/>
      </c>
      <c r="O421" s="590" t="str">
        <f>PASHEET!BY100</f>
        <v/>
      </c>
      <c r="Q421" s="598"/>
      <c r="R421" s="598"/>
      <c r="S421" s="598"/>
      <c r="T421" s="598"/>
      <c r="U421" s="598"/>
      <c r="V421" s="598"/>
      <c r="W421" s="595"/>
      <c r="X421" s="595"/>
      <c r="Y421" s="595"/>
      <c r="Z421" s="595"/>
      <c r="AA421" s="595"/>
      <c r="AB421" s="598"/>
      <c r="AC421" s="598"/>
      <c r="AD421" s="598"/>
      <c r="AE421" s="595"/>
    </row>
    <row r="422" spans="1:31">
      <c r="A422" s="590">
        <v>98</v>
      </c>
      <c r="B422" s="596">
        <f t="shared" ref="B422:E422" si="357">B315</f>
        <v>0</v>
      </c>
      <c r="C422" s="596">
        <f t="shared" si="357"/>
        <v>0</v>
      </c>
      <c r="D422" s="597">
        <f t="shared" si="357"/>
        <v>0</v>
      </c>
      <c r="E422" s="597">
        <f t="shared" si="357"/>
        <v>0</v>
      </c>
      <c r="F422" s="590" t="str">
        <f>VLOOKUP(A422,STUDENT!$A$2:$BR$105,68,0)</f>
        <v/>
      </c>
      <c r="G422" s="590" t="b">
        <f>VLOOKUP(A422,STUDENT!$A$2:$BR$105,67,0)</f>
        <v>0</v>
      </c>
      <c r="H422" s="590" t="str">
        <f>PASHEET!BR101</f>
        <v/>
      </c>
      <c r="I422" s="590" t="str">
        <f>PASHEET!BS101</f>
        <v/>
      </c>
      <c r="J422" s="590" t="str">
        <f>PASHEET!BT101</f>
        <v/>
      </c>
      <c r="K422" s="590" t="str">
        <f>PASHEET!BU101</f>
        <v/>
      </c>
      <c r="L422" s="590" t="str">
        <f>PASHEET!BV101</f>
        <v/>
      </c>
      <c r="M422" s="590" t="str">
        <f>PASHEET!BW101</f>
        <v/>
      </c>
      <c r="N422" s="590" t="str">
        <f>PASHEET!BX101</f>
        <v/>
      </c>
      <c r="O422" s="590" t="str">
        <f>PASHEET!BY101</f>
        <v/>
      </c>
      <c r="Q422" s="598"/>
      <c r="R422" s="598"/>
      <c r="S422" s="598"/>
      <c r="T422" s="598"/>
      <c r="U422" s="598"/>
      <c r="V422" s="598"/>
      <c r="W422" s="595"/>
      <c r="X422" s="595"/>
      <c r="Y422" s="595"/>
      <c r="Z422" s="595"/>
      <c r="AA422" s="595"/>
      <c r="AB422" s="598"/>
      <c r="AC422" s="598"/>
      <c r="AD422" s="598"/>
      <c r="AE422" s="595"/>
    </row>
    <row r="423" spans="1:31">
      <c r="A423" s="596">
        <v>99</v>
      </c>
      <c r="B423" s="596">
        <f t="shared" ref="B423:E423" si="358">B316</f>
        <v>0</v>
      </c>
      <c r="C423" s="596">
        <f t="shared" si="358"/>
        <v>0</v>
      </c>
      <c r="D423" s="597">
        <f t="shared" si="358"/>
        <v>0</v>
      </c>
      <c r="E423" s="597">
        <f t="shared" si="358"/>
        <v>0</v>
      </c>
      <c r="F423" s="590" t="str">
        <f>VLOOKUP(A423,STUDENT!$A$2:$BR$105,68,0)</f>
        <v/>
      </c>
      <c r="G423" s="590" t="b">
        <f>VLOOKUP(A423,STUDENT!$A$2:$BR$105,67,0)</f>
        <v>0</v>
      </c>
      <c r="H423" s="590" t="str">
        <f>PASHEET!BR102</f>
        <v/>
      </c>
      <c r="I423" s="590" t="str">
        <f>PASHEET!BS102</f>
        <v/>
      </c>
      <c r="J423" s="590" t="str">
        <f>PASHEET!BT102</f>
        <v/>
      </c>
      <c r="K423" s="590" t="str">
        <f>PASHEET!BU102</f>
        <v/>
      </c>
      <c r="L423" s="590" t="str">
        <f>PASHEET!BV102</f>
        <v/>
      </c>
      <c r="M423" s="590" t="str">
        <f>PASHEET!BW102</f>
        <v/>
      </c>
      <c r="N423" s="590" t="str">
        <f>PASHEET!BX102</f>
        <v/>
      </c>
      <c r="O423" s="590" t="str">
        <f>PASHEET!BY102</f>
        <v/>
      </c>
      <c r="Q423" s="598"/>
      <c r="R423" s="598"/>
      <c r="S423" s="598"/>
      <c r="T423" s="598"/>
      <c r="U423" s="598"/>
      <c r="V423" s="598"/>
      <c r="W423" s="595"/>
      <c r="X423" s="595"/>
      <c r="Y423" s="595"/>
      <c r="Z423" s="595"/>
      <c r="AA423" s="595"/>
      <c r="AB423" s="598"/>
      <c r="AC423" s="598"/>
      <c r="AD423" s="598"/>
      <c r="AE423" s="595"/>
    </row>
    <row r="424" spans="1:31">
      <c r="A424" s="590">
        <v>100</v>
      </c>
      <c r="B424" s="596">
        <f t="shared" ref="B424:E424" si="359">B317</f>
        <v>0</v>
      </c>
      <c r="C424" s="596">
        <f t="shared" si="359"/>
        <v>0</v>
      </c>
      <c r="D424" s="597">
        <f t="shared" si="359"/>
        <v>0</v>
      </c>
      <c r="E424" s="597">
        <f t="shared" si="359"/>
        <v>0</v>
      </c>
      <c r="F424" s="590" t="str">
        <f>VLOOKUP(A424,STUDENT!$A$2:$BR$105,68,0)</f>
        <v/>
      </c>
      <c r="G424" s="590" t="b">
        <f>VLOOKUP(A424,STUDENT!$A$2:$BR$105,67,0)</f>
        <v>0</v>
      </c>
      <c r="H424" s="590" t="str">
        <f>PASHEET!BR103</f>
        <v/>
      </c>
      <c r="I424" s="590" t="str">
        <f>PASHEET!BS103</f>
        <v/>
      </c>
      <c r="J424" s="590" t="str">
        <f>PASHEET!BT103</f>
        <v/>
      </c>
      <c r="K424" s="590" t="str">
        <f>PASHEET!BU103</f>
        <v/>
      </c>
      <c r="L424" s="590" t="str">
        <f>PASHEET!BV103</f>
        <v/>
      </c>
      <c r="M424" s="590" t="str">
        <f>PASHEET!BW103</f>
        <v/>
      </c>
      <c r="N424" s="590" t="str">
        <f>PASHEET!BX103</f>
        <v/>
      </c>
      <c r="O424" s="590" t="str">
        <f>PASHEET!BY103</f>
        <v/>
      </c>
      <c r="Q424" s="598"/>
      <c r="R424" s="598"/>
      <c r="S424" s="598"/>
      <c r="T424" s="598"/>
      <c r="U424" s="598"/>
      <c r="V424" s="598"/>
      <c r="W424" s="595"/>
      <c r="X424" s="595"/>
      <c r="Y424" s="595"/>
      <c r="Z424" s="595"/>
      <c r="AA424" s="595"/>
      <c r="AB424" s="598"/>
      <c r="AC424" s="598"/>
      <c r="AD424" s="598"/>
      <c r="AE424" s="595"/>
    </row>
    <row r="429" spans="1:31">
      <c r="A429" s="588"/>
      <c r="B429" s="589"/>
      <c r="C429" s="588"/>
      <c r="D429" s="588" t="s">
        <v>499</v>
      </c>
      <c r="E429" s="588"/>
      <c r="F429" s="576"/>
      <c r="G429" s="576"/>
      <c r="H429" s="590"/>
      <c r="I429" s="590"/>
      <c r="J429" s="590"/>
      <c r="K429" s="590"/>
      <c r="L429" s="590"/>
      <c r="M429" s="590"/>
      <c r="N429" s="590"/>
      <c r="O429" s="590"/>
    </row>
    <row r="430" ht="36" spans="1:31">
      <c r="A430" s="588" t="s">
        <v>109</v>
      </c>
      <c r="B430" s="589" t="s">
        <v>114</v>
      </c>
      <c r="C430" s="588" t="s">
        <v>112</v>
      </c>
      <c r="D430" s="588" t="s">
        <v>113</v>
      </c>
      <c r="E430" s="588" t="s">
        <v>327</v>
      </c>
      <c r="F430" s="576" t="s">
        <v>473</v>
      </c>
      <c r="G430" s="576" t="s">
        <v>474</v>
      </c>
      <c r="H430" s="590" t="s">
        <v>87</v>
      </c>
      <c r="I430" s="590" t="s">
        <v>350</v>
      </c>
      <c r="J430" s="590" t="s">
        <v>88</v>
      </c>
      <c r="K430" s="590" t="s">
        <v>351</v>
      </c>
      <c r="L430" s="590" t="s">
        <v>352</v>
      </c>
      <c r="M430" s="590" t="s">
        <v>353</v>
      </c>
      <c r="N430" s="590" t="s">
        <v>354</v>
      </c>
      <c r="O430" s="590" t="s">
        <v>102</v>
      </c>
      <c r="Q430" s="591" t="s">
        <v>475</v>
      </c>
      <c r="R430" s="591" t="s">
        <v>476</v>
      </c>
      <c r="S430" s="592" t="s">
        <v>477</v>
      </c>
      <c r="T430" s="593" t="s">
        <v>478</v>
      </c>
      <c r="U430" s="592" t="s">
        <v>479</v>
      </c>
      <c r="V430" s="592" t="s">
        <v>480</v>
      </c>
      <c r="W430" s="594"/>
      <c r="X430" s="591" t="s">
        <v>475</v>
      </c>
      <c r="Y430" s="591" t="s">
        <v>476</v>
      </c>
      <c r="Z430" s="591" t="s">
        <v>474</v>
      </c>
      <c r="AA430" s="592" t="s">
        <v>477</v>
      </c>
      <c r="AB430" s="593" t="s">
        <v>481</v>
      </c>
      <c r="AC430" s="592" t="s">
        <v>479</v>
      </c>
      <c r="AD430" s="592" t="s">
        <v>480</v>
      </c>
      <c r="AE430" s="594"/>
    </row>
    <row r="431" spans="1:31">
      <c r="A431" s="588"/>
      <c r="B431" s="589"/>
      <c r="C431" s="588"/>
      <c r="D431" s="588"/>
      <c r="E431" s="588"/>
      <c r="F431" s="576"/>
      <c r="G431" s="576"/>
      <c r="H431" s="590"/>
      <c r="I431" s="590"/>
      <c r="J431" s="590"/>
      <c r="K431" s="590"/>
      <c r="L431" s="590"/>
      <c r="M431" s="590"/>
      <c r="N431" s="590"/>
      <c r="O431" s="590"/>
      <c r="Q431" s="591" t="s">
        <v>482</v>
      </c>
      <c r="R431" s="591" t="s">
        <v>483</v>
      </c>
      <c r="S431" s="591" t="s">
        <v>50</v>
      </c>
      <c r="T431" s="591">
        <f>COUNTIFS(O432:O531,S431)</f>
        <v>0</v>
      </c>
      <c r="U431" s="591">
        <f>COUNTIFS(F432:F531,Q431,O432:O531,S431)</f>
        <v>0</v>
      </c>
      <c r="V431" s="591">
        <f t="shared" ref="V431:V437" si="360">COUNTIFS(F432:F531,R431,O432:O531,S431)</f>
        <v>0</v>
      </c>
      <c r="W431" s="594"/>
      <c r="X431" s="591" t="s">
        <v>482</v>
      </c>
      <c r="Y431" s="591" t="s">
        <v>483</v>
      </c>
      <c r="Z431" s="591" t="s">
        <v>484</v>
      </c>
      <c r="AA431" s="591" t="s">
        <v>50</v>
      </c>
      <c r="AB431" s="591">
        <f>COUNTIFS(G432:G531,Z431,O432:O531,S431)</f>
        <v>0</v>
      </c>
      <c r="AC431" s="591">
        <f>COUNTIFS(F432:F531,X431,G432:G531,Z431,O432:O531,S431)</f>
        <v>0</v>
      </c>
      <c r="AD431" s="591">
        <f>COUNTIFS(F432:F531,Y431,G432:G531,Z431,O432:O531,S431)</f>
        <v>0</v>
      </c>
      <c r="AE431" s="594"/>
    </row>
    <row r="432" spans="1:31">
      <c r="A432" s="596">
        <v>1</v>
      </c>
      <c r="B432" s="596">
        <f>B325</f>
        <v>14779</v>
      </c>
      <c r="C432" s="596">
        <f t="shared" ref="C432:E432" si="361">C325</f>
        <v>20220171896</v>
      </c>
      <c r="D432" s="597" t="str">
        <f t="shared" si="361"/>
        <v>NAKSH</v>
      </c>
      <c r="E432" s="597" t="str">
        <f t="shared" si="361"/>
        <v>NARESH</v>
      </c>
      <c r="F432" s="590" t="str">
        <f>VLOOKUP(A432,STUDENT!$A$2:$BR$105,68,0)</f>
        <v/>
      </c>
      <c r="G432" s="590" t="b">
        <f>VLOOKUP(A432,STUDENT!$A$2:$BR$105,67,0)</f>
        <v>0</v>
      </c>
      <c r="H432" s="590" t="str">
        <f>PASHEET!BZ4</f>
        <v/>
      </c>
      <c r="I432" s="590" t="str">
        <f>PASHEET!CA4</f>
        <v/>
      </c>
      <c r="J432" s="590" t="str">
        <f>PASHEET!CB4</f>
        <v/>
      </c>
      <c r="K432" s="590" t="str">
        <f>PASHEET!CC4</f>
        <v/>
      </c>
      <c r="L432" s="590" t="str">
        <f>PASHEET!CD4</f>
        <v/>
      </c>
      <c r="M432" s="590" t="str">
        <f>PASHEET!CE4</f>
        <v/>
      </c>
      <c r="N432" s="590" t="str">
        <f>PASHEET!CF4</f>
        <v/>
      </c>
      <c r="O432" s="590" t="str">
        <f>PASHEET!CG4</f>
        <v>Ab</v>
      </c>
      <c r="Q432" s="591" t="s">
        <v>482</v>
      </c>
      <c r="R432" s="591" t="s">
        <v>483</v>
      </c>
      <c r="S432" s="591" t="s">
        <v>485</v>
      </c>
      <c r="T432" s="591">
        <f>COUNTIFS(O432:O531,S432)</f>
        <v>0</v>
      </c>
      <c r="U432" s="591">
        <f>COUNTIFS(F432:F531,Q432,O432:O531,S432)</f>
        <v>0</v>
      </c>
      <c r="V432" s="591">
        <f t="shared" si="360"/>
        <v>0</v>
      </c>
      <c r="W432" s="594"/>
      <c r="X432" s="591" t="s">
        <v>482</v>
      </c>
      <c r="Y432" s="591" t="s">
        <v>483</v>
      </c>
      <c r="Z432" s="591" t="s">
        <v>484</v>
      </c>
      <c r="AA432" s="591" t="s">
        <v>485</v>
      </c>
      <c r="AB432" s="591">
        <f>COUNTIFS(G432:G531,Z432,O432:O531,S432)</f>
        <v>0</v>
      </c>
      <c r="AC432" s="591">
        <f>COUNTIFS(F432:F531,X432,G432:G531,Z432,O432:O531,S432)</f>
        <v>0</v>
      </c>
      <c r="AD432" s="591">
        <f>COUNTIFS(F432:F531,Y432,G432:G531,Z432,O432:O531,S432)</f>
        <v>0</v>
      </c>
      <c r="AE432" s="594"/>
    </row>
    <row r="433" spans="1:31">
      <c r="A433" s="590">
        <v>2</v>
      </c>
      <c r="B433" s="596">
        <f t="shared" ref="B433:E433" si="362">B326</f>
        <v>14733</v>
      </c>
      <c r="C433" s="596">
        <f t="shared" si="362"/>
        <v>20220354217</v>
      </c>
      <c r="D433" s="597" t="str">
        <f t="shared" si="362"/>
        <v>NAVEEN</v>
      </c>
      <c r="E433" s="597" t="str">
        <f t="shared" si="362"/>
        <v>SANJAY</v>
      </c>
      <c r="F433" s="590" t="str">
        <f>VLOOKUP(A433,STUDENT!$A$2:$BR$105,68,0)</f>
        <v/>
      </c>
      <c r="G433" s="590" t="b">
        <f>VLOOKUP(A433,STUDENT!$A$2:$BR$105,67,0)</f>
        <v>0</v>
      </c>
      <c r="H433" s="590" t="str">
        <f>PASHEET!BZ5</f>
        <v/>
      </c>
      <c r="I433" s="590" t="str">
        <f>PASHEET!CA5</f>
        <v/>
      </c>
      <c r="J433" s="590" t="str">
        <f>PASHEET!CB5</f>
        <v/>
      </c>
      <c r="K433" s="590" t="str">
        <f>PASHEET!CC5</f>
        <v/>
      </c>
      <c r="L433" s="590" t="str">
        <f>PASHEET!CD5</f>
        <v/>
      </c>
      <c r="M433" s="590" t="str">
        <f>PASHEET!CE5</f>
        <v/>
      </c>
      <c r="N433" s="590" t="str">
        <f>PASHEET!CF5</f>
        <v/>
      </c>
      <c r="O433" s="590" t="str">
        <f>PASHEET!CG5</f>
        <v>Ab</v>
      </c>
      <c r="Q433" s="591" t="s">
        <v>482</v>
      </c>
      <c r="R433" s="591" t="s">
        <v>483</v>
      </c>
      <c r="S433" s="591" t="s">
        <v>486</v>
      </c>
      <c r="T433" s="591">
        <f>COUNTIFS(O432:O531,S433)</f>
        <v>0</v>
      </c>
      <c r="U433" s="591">
        <f>COUNTIFS(F432:F531,Q433,O432:O531,S433)</f>
        <v>0</v>
      </c>
      <c r="V433" s="591">
        <f t="shared" si="360"/>
        <v>0</v>
      </c>
      <c r="W433" s="594"/>
      <c r="X433" s="591" t="s">
        <v>482</v>
      </c>
      <c r="Y433" s="591" t="s">
        <v>483</v>
      </c>
      <c r="Z433" s="591" t="s">
        <v>484</v>
      </c>
      <c r="AA433" s="591" t="s">
        <v>486</v>
      </c>
      <c r="AB433" s="591">
        <f>COUNTIFS(G432:G531,Z433,O432:O531,S433)</f>
        <v>0</v>
      </c>
      <c r="AC433" s="591">
        <f>COUNTIFS(F432:F531,X433,G432:G531,Z433,O432:O531,S433)</f>
        <v>0</v>
      </c>
      <c r="AD433" s="591">
        <f>COUNTIFS(F432:F531,Y433,G432:G531,Z433,O432:O531,S433)</f>
        <v>0</v>
      </c>
      <c r="AE433" s="594"/>
    </row>
    <row r="434" spans="1:31">
      <c r="A434" s="596">
        <v>3</v>
      </c>
      <c r="B434" s="596">
        <f t="shared" ref="B434:E434" si="363">B327</f>
        <v>14757</v>
      </c>
      <c r="C434" s="596">
        <f t="shared" si="363"/>
        <v>20220402586</v>
      </c>
      <c r="D434" s="597" t="str">
        <f t="shared" si="363"/>
        <v>AADITYA KUMAR</v>
      </c>
      <c r="E434" s="597" t="str">
        <f t="shared" si="363"/>
        <v>DHARMENDRA KUMAR</v>
      </c>
      <c r="F434" s="590" t="str">
        <f>VLOOKUP(A434,STUDENT!$A$2:$BR$105,68,0)</f>
        <v/>
      </c>
      <c r="G434" s="590" t="b">
        <f>VLOOKUP(A434,STUDENT!$A$2:$BR$105,67,0)</f>
        <v>0</v>
      </c>
      <c r="H434" s="590" t="str">
        <f>PASHEET!BZ6</f>
        <v/>
      </c>
      <c r="I434" s="590" t="str">
        <f>PASHEET!CA6</f>
        <v/>
      </c>
      <c r="J434" s="590" t="str">
        <f>PASHEET!CB6</f>
        <v/>
      </c>
      <c r="K434" s="590" t="str">
        <f>PASHEET!CC6</f>
        <v/>
      </c>
      <c r="L434" s="590" t="str">
        <f>PASHEET!CD6</f>
        <v/>
      </c>
      <c r="M434" s="590" t="str">
        <f>PASHEET!CE6</f>
        <v/>
      </c>
      <c r="N434" s="590" t="str">
        <f>PASHEET!CF6</f>
        <v/>
      </c>
      <c r="O434" s="590" t="str">
        <f>PASHEET!CG6</f>
        <v>Ab</v>
      </c>
      <c r="Q434" s="591" t="s">
        <v>482</v>
      </c>
      <c r="R434" s="591" t="s">
        <v>483</v>
      </c>
      <c r="S434" s="591" t="s">
        <v>487</v>
      </c>
      <c r="T434" s="591">
        <f>COUNTIFS(O432:O531,S434)</f>
        <v>0</v>
      </c>
      <c r="U434" s="591">
        <f>COUNTIFS(F432:F531,Q434,O432:O531,S434)</f>
        <v>0</v>
      </c>
      <c r="V434" s="591">
        <f t="shared" si="360"/>
        <v>0</v>
      </c>
      <c r="W434" s="594"/>
      <c r="X434" s="591" t="s">
        <v>482</v>
      </c>
      <c r="Y434" s="591" t="s">
        <v>483</v>
      </c>
      <c r="Z434" s="591" t="s">
        <v>484</v>
      </c>
      <c r="AA434" s="591" t="s">
        <v>487</v>
      </c>
      <c r="AB434" s="591">
        <f>COUNTIFS(G432:G531,Z434,O432:O531,S434)</f>
        <v>0</v>
      </c>
      <c r="AC434" s="591">
        <f>COUNTIFS(F432:F531,X434,G432:G531,Z434,O432:O531,S434)</f>
        <v>0</v>
      </c>
      <c r="AD434" s="591">
        <f>COUNTIFS(F432:F531,Y434,G432:G531,Z434,O432:O531,S434)</f>
        <v>0</v>
      </c>
      <c r="AE434" s="594"/>
    </row>
    <row r="435" spans="1:31">
      <c r="A435" s="590">
        <v>4</v>
      </c>
      <c r="B435" s="596">
        <f t="shared" ref="B435:E435" si="364">B328</f>
        <v>14778</v>
      </c>
      <c r="C435" s="596">
        <f t="shared" si="364"/>
        <v>20220448164</v>
      </c>
      <c r="D435" s="597" t="str">
        <f t="shared" si="364"/>
        <v>PRINCE KUMAR RAY</v>
      </c>
      <c r="E435" s="597" t="str">
        <f t="shared" si="364"/>
        <v>RAMSHARAN RAY</v>
      </c>
      <c r="F435" s="590" t="str">
        <f>VLOOKUP(A435,STUDENT!$A$2:$BR$105,68,0)</f>
        <v/>
      </c>
      <c r="G435" s="590" t="b">
        <f>VLOOKUP(A435,STUDENT!$A$2:$BR$105,67,0)</f>
        <v>0</v>
      </c>
      <c r="H435" s="590" t="str">
        <f>PASHEET!BZ7</f>
        <v/>
      </c>
      <c r="I435" s="590" t="str">
        <f>PASHEET!CA7</f>
        <v/>
      </c>
      <c r="J435" s="590" t="str">
        <f>PASHEET!CB7</f>
        <v/>
      </c>
      <c r="K435" s="590" t="str">
        <f>PASHEET!CC7</f>
        <v/>
      </c>
      <c r="L435" s="590" t="str">
        <f>PASHEET!CD7</f>
        <v/>
      </c>
      <c r="M435" s="590" t="str">
        <f>PASHEET!CE7</f>
        <v/>
      </c>
      <c r="N435" s="590" t="str">
        <f>PASHEET!CF7</f>
        <v/>
      </c>
      <c r="O435" s="590" t="str">
        <f>PASHEET!CG7</f>
        <v>Ab</v>
      </c>
      <c r="Q435" s="591" t="s">
        <v>482</v>
      </c>
      <c r="R435" s="591" t="s">
        <v>483</v>
      </c>
      <c r="S435" s="591" t="s">
        <v>488</v>
      </c>
      <c r="T435" s="591">
        <f>COUNTIFS(O432:O531,S435)</f>
        <v>0</v>
      </c>
      <c r="U435" s="591">
        <f>COUNTIFS(F432:F531,Q435,O432:O531,S435)</f>
        <v>0</v>
      </c>
      <c r="V435" s="591">
        <f t="shared" si="360"/>
        <v>0</v>
      </c>
      <c r="W435" s="594"/>
      <c r="X435" s="591" t="s">
        <v>482</v>
      </c>
      <c r="Y435" s="591" t="s">
        <v>483</v>
      </c>
      <c r="Z435" s="591" t="s">
        <v>484</v>
      </c>
      <c r="AA435" s="591" t="s">
        <v>488</v>
      </c>
      <c r="AB435" s="591">
        <f>COUNTIFS(G432:G531,Z435,O432:O531,S435)</f>
        <v>0</v>
      </c>
      <c r="AC435" s="591">
        <f>COUNTIFS(F432:F531,X435,G432:G531,Z435,O432:O531,S435)</f>
        <v>0</v>
      </c>
      <c r="AD435" s="591">
        <f>COUNTIFS(F432:F531,Y435,G432:G531,Z435,O432:O531,S435)</f>
        <v>0</v>
      </c>
      <c r="AE435" s="594"/>
    </row>
    <row r="436" spans="1:31">
      <c r="A436" s="596">
        <v>5</v>
      </c>
      <c r="B436" s="596">
        <f t="shared" ref="B436:E436" si="365">B329</f>
        <v>14785</v>
      </c>
      <c r="C436" s="596">
        <f t="shared" si="365"/>
        <v>20220482313</v>
      </c>
      <c r="D436" s="597" t="str">
        <f t="shared" si="365"/>
        <v>KIRSHNA</v>
      </c>
      <c r="E436" s="597" t="str">
        <f t="shared" si="365"/>
        <v>VISHNU KASHYAP</v>
      </c>
      <c r="F436" s="590" t="str">
        <f>VLOOKUP(A436,STUDENT!$A$2:$BR$105,68,0)</f>
        <v/>
      </c>
      <c r="G436" s="590" t="b">
        <f>VLOOKUP(A436,STUDENT!$A$2:$BR$105,67,0)</f>
        <v>0</v>
      </c>
      <c r="H436" s="590" t="str">
        <f>PASHEET!BZ8</f>
        <v/>
      </c>
      <c r="I436" s="590" t="str">
        <f>PASHEET!CA8</f>
        <v/>
      </c>
      <c r="J436" s="590" t="str">
        <f>PASHEET!CB8</f>
        <v/>
      </c>
      <c r="K436" s="590" t="str">
        <f>PASHEET!CC8</f>
        <v/>
      </c>
      <c r="L436" s="590" t="str">
        <f>PASHEET!CD8</f>
        <v/>
      </c>
      <c r="M436" s="590" t="str">
        <f>PASHEET!CE8</f>
        <v/>
      </c>
      <c r="N436" s="590" t="str">
        <f>PASHEET!CF8</f>
        <v/>
      </c>
      <c r="O436" s="590" t="str">
        <f>PASHEET!CG8</f>
        <v>Ab</v>
      </c>
      <c r="Q436" s="591" t="s">
        <v>482</v>
      </c>
      <c r="R436" s="591" t="s">
        <v>483</v>
      </c>
      <c r="S436" s="591" t="s">
        <v>101</v>
      </c>
      <c r="T436" s="591">
        <f>COUNTIFS(O432:O531,S436)</f>
        <v>39</v>
      </c>
      <c r="U436" s="591">
        <f>COUNTIFS(F432:F531,Q436,O432:O531,S436)</f>
        <v>0</v>
      </c>
      <c r="V436" s="591">
        <f t="shared" si="360"/>
        <v>0</v>
      </c>
      <c r="W436" s="594"/>
      <c r="X436" s="591" t="s">
        <v>482</v>
      </c>
      <c r="Y436" s="591" t="s">
        <v>483</v>
      </c>
      <c r="Z436" s="591" t="s">
        <v>484</v>
      </c>
      <c r="AA436" s="591" t="s">
        <v>101</v>
      </c>
      <c r="AB436" s="591">
        <f>COUNTIFS(G432:G531,Z436,O432:O531,S436)</f>
        <v>0</v>
      </c>
      <c r="AC436" s="591">
        <f>COUNTIFS(F432:F531,X436,G432:G531,Z436,O432:O531,S436)</f>
        <v>0</v>
      </c>
      <c r="AD436" s="591">
        <f>COUNTIFS(F432:F531,Y436,G432:G531,Z436,O432:O531,S436)</f>
        <v>0</v>
      </c>
      <c r="AE436" s="594"/>
    </row>
    <row r="437" spans="1:31">
      <c r="A437" s="590">
        <v>6</v>
      </c>
      <c r="B437" s="596">
        <f t="shared" ref="B437:E437" si="366">B330</f>
        <v>14780</v>
      </c>
      <c r="C437" s="596">
        <f t="shared" si="366"/>
        <v>20230048303</v>
      </c>
      <c r="D437" s="597" t="str">
        <f t="shared" si="366"/>
        <v>MD SOPHIYAN ALAM</v>
      </c>
      <c r="E437" s="597" t="str">
        <f t="shared" si="366"/>
        <v>MD TABREJ ALAM</v>
      </c>
      <c r="F437" s="590" t="str">
        <f>VLOOKUP(A437,STUDENT!$A$2:$BR$105,68,0)</f>
        <v/>
      </c>
      <c r="G437" s="590" t="b">
        <f>VLOOKUP(A437,STUDENT!$A$2:$BR$105,67,0)</f>
        <v>0</v>
      </c>
      <c r="H437" s="590" t="str">
        <f>PASHEET!BZ9</f>
        <v/>
      </c>
      <c r="I437" s="590" t="str">
        <f>PASHEET!CA9</f>
        <v/>
      </c>
      <c r="J437" s="590" t="str">
        <f>PASHEET!CB9</f>
        <v/>
      </c>
      <c r="K437" s="590" t="str">
        <f>PASHEET!CC9</f>
        <v/>
      </c>
      <c r="L437" s="590" t="str">
        <f>PASHEET!CD9</f>
        <v/>
      </c>
      <c r="M437" s="590" t="str">
        <f>PASHEET!CE9</f>
        <v/>
      </c>
      <c r="N437" s="590" t="str">
        <f>PASHEET!CF9</f>
        <v/>
      </c>
      <c r="O437" s="590" t="str">
        <f>PASHEET!CG9</f>
        <v>Ab</v>
      </c>
      <c r="Q437" s="591" t="s">
        <v>482</v>
      </c>
      <c r="R437" s="591" t="s">
        <v>483</v>
      </c>
      <c r="S437" s="591" t="s">
        <v>489</v>
      </c>
      <c r="T437" s="591">
        <f>COUNTIFS(O432:O531,S437)</f>
        <v>0</v>
      </c>
      <c r="U437" s="591">
        <f>COUNTIFS(F432:F531,Q437,O432:O531,S437)</f>
        <v>0</v>
      </c>
      <c r="V437" s="591">
        <f t="shared" si="360"/>
        <v>0</v>
      </c>
      <c r="W437" s="594"/>
      <c r="X437" s="591" t="s">
        <v>482</v>
      </c>
      <c r="Y437" s="591" t="s">
        <v>483</v>
      </c>
      <c r="Z437" s="591" t="s">
        <v>484</v>
      </c>
      <c r="AA437" s="591" t="s">
        <v>489</v>
      </c>
      <c r="AB437" s="591">
        <f>COUNTIFS(G432:G531,Z437,O432:O531,S437)</f>
        <v>0</v>
      </c>
      <c r="AC437" s="591">
        <f>COUNTIFS(F432:F531,X437,G432:G531,Z437,O432:O531,S437)</f>
        <v>0</v>
      </c>
      <c r="AD437" s="591">
        <f>COUNTIFS(F432:F531,Y437,G432:G531,Z437,O432:O531,S437)</f>
        <v>0</v>
      </c>
      <c r="AE437" s="594"/>
    </row>
    <row r="438" spans="1:31">
      <c r="A438" s="596">
        <v>7</v>
      </c>
      <c r="B438" s="596">
        <f t="shared" ref="B438:E438" si="367">B331</f>
        <v>14773</v>
      </c>
      <c r="C438" s="596">
        <f t="shared" si="367"/>
        <v>20230083520</v>
      </c>
      <c r="D438" s="597" t="str">
        <f t="shared" si="367"/>
        <v>MD SAUBAN</v>
      </c>
      <c r="E438" s="597" t="str">
        <f t="shared" si="367"/>
        <v>MD IRSHAD</v>
      </c>
      <c r="F438" s="590" t="str">
        <f>VLOOKUP(A438,STUDENT!$A$2:$BR$105,68,0)</f>
        <v/>
      </c>
      <c r="G438" s="590" t="b">
        <f>VLOOKUP(A438,STUDENT!$A$2:$BR$105,67,0)</f>
        <v>0</v>
      </c>
      <c r="H438" s="590" t="str">
        <f>PASHEET!BZ10</f>
        <v/>
      </c>
      <c r="I438" s="590" t="str">
        <f>PASHEET!CA10</f>
        <v/>
      </c>
      <c r="J438" s="590" t="str">
        <f>PASHEET!CB10</f>
        <v/>
      </c>
      <c r="K438" s="590" t="str">
        <f>PASHEET!CC10</f>
        <v/>
      </c>
      <c r="L438" s="590" t="str">
        <f>PASHEET!CD10</f>
        <v/>
      </c>
      <c r="M438" s="590" t="str">
        <f>PASHEET!CE10</f>
        <v/>
      </c>
      <c r="N438" s="590" t="str">
        <f>PASHEET!CF10</f>
        <v/>
      </c>
      <c r="O438" s="590" t="str">
        <f>PASHEET!CG10</f>
        <v>Ab</v>
      </c>
      <c r="Q438" s="591" t="s">
        <v>482</v>
      </c>
      <c r="R438" s="591" t="s">
        <v>483</v>
      </c>
      <c r="S438" s="591"/>
      <c r="T438" s="591"/>
      <c r="U438" s="591"/>
      <c r="V438" s="591"/>
      <c r="W438" s="594"/>
      <c r="X438" s="591" t="s">
        <v>482</v>
      </c>
      <c r="Y438" s="591" t="s">
        <v>483</v>
      </c>
      <c r="Z438" s="591" t="s">
        <v>484</v>
      </c>
      <c r="AA438" s="591"/>
      <c r="AB438" s="591"/>
      <c r="AC438" s="591"/>
      <c r="AD438" s="591"/>
      <c r="AE438" s="594"/>
    </row>
    <row r="439" spans="1:31">
      <c r="A439" s="590">
        <v>8</v>
      </c>
      <c r="B439" s="596">
        <f t="shared" ref="B439:E439" si="368">B332</f>
        <v>14769</v>
      </c>
      <c r="C439" s="596">
        <f t="shared" si="368"/>
        <v>20230095636</v>
      </c>
      <c r="D439" s="597" t="str">
        <f t="shared" si="368"/>
        <v>DEEPANSHU</v>
      </c>
      <c r="E439" s="597" t="str">
        <f t="shared" si="368"/>
        <v>AKHILESH KUMAR</v>
      </c>
      <c r="F439" s="590" t="str">
        <f>VLOOKUP(A439,STUDENT!$A$2:$BR$105,68,0)</f>
        <v/>
      </c>
      <c r="G439" s="590" t="b">
        <f>VLOOKUP(A439,STUDENT!$A$2:$BR$105,67,0)</f>
        <v>0</v>
      </c>
      <c r="H439" s="590" t="str">
        <f>PASHEET!BZ11</f>
        <v/>
      </c>
      <c r="I439" s="590" t="str">
        <f>PASHEET!CA11</f>
        <v/>
      </c>
      <c r="J439" s="590" t="str">
        <f>PASHEET!CB11</f>
        <v/>
      </c>
      <c r="K439" s="590" t="str">
        <f>PASHEET!CC11</f>
        <v/>
      </c>
      <c r="L439" s="590" t="str">
        <f>PASHEET!CD11</f>
        <v/>
      </c>
      <c r="M439" s="590" t="str">
        <f>PASHEET!CE11</f>
        <v/>
      </c>
      <c r="N439" s="590" t="str">
        <f>PASHEET!CF11</f>
        <v/>
      </c>
      <c r="O439" s="590" t="str">
        <f>PASHEET!CG11</f>
        <v>Ab</v>
      </c>
      <c r="Q439" s="591"/>
      <c r="R439" s="591"/>
      <c r="S439" s="591" t="s">
        <v>102</v>
      </c>
      <c r="T439" s="591">
        <f>SUM(T431:T438)</f>
        <v>39</v>
      </c>
      <c r="U439" s="591">
        <f t="shared" ref="U439:V439" si="369">SUM(U431:U438)</f>
        <v>0</v>
      </c>
      <c r="V439" s="591">
        <f t="shared" si="369"/>
        <v>0</v>
      </c>
      <c r="W439" s="594"/>
      <c r="X439" s="591"/>
      <c r="Y439" s="591"/>
      <c r="Z439" s="591"/>
      <c r="AA439" s="591" t="s">
        <v>102</v>
      </c>
      <c r="AB439" s="591">
        <f>SUM(AB431:AB438)</f>
        <v>0</v>
      </c>
      <c r="AC439" s="591">
        <f t="shared" ref="AC439:AD439" si="370">SUM(AC431:AC438)</f>
        <v>0</v>
      </c>
      <c r="AD439" s="591">
        <f t="shared" si="370"/>
        <v>0</v>
      </c>
      <c r="AE439" s="594"/>
    </row>
    <row r="440" spans="1:31">
      <c r="A440" s="596">
        <v>9</v>
      </c>
      <c r="B440" s="596">
        <f t="shared" ref="B440:E440" si="371">B333</f>
        <v>14754</v>
      </c>
      <c r="C440" s="596">
        <f t="shared" si="371"/>
        <v>20230130143</v>
      </c>
      <c r="D440" s="597" t="str">
        <f t="shared" si="371"/>
        <v>ANUJ</v>
      </c>
      <c r="E440" s="597" t="str">
        <f t="shared" si="371"/>
        <v>RANJEET DAS</v>
      </c>
      <c r="F440" s="590" t="str">
        <f>VLOOKUP(A440,STUDENT!$A$2:$BR$105,68,0)</f>
        <v/>
      </c>
      <c r="G440" s="590" t="b">
        <f>VLOOKUP(A440,STUDENT!$A$2:$BR$105,67,0)</f>
        <v>0</v>
      </c>
      <c r="H440" s="590" t="str">
        <f>PASHEET!BZ12</f>
        <v/>
      </c>
      <c r="I440" s="590" t="str">
        <f>PASHEET!CA12</f>
        <v/>
      </c>
      <c r="J440" s="590" t="str">
        <f>PASHEET!CB12</f>
        <v/>
      </c>
      <c r="K440" s="590" t="str">
        <f>PASHEET!CC12</f>
        <v/>
      </c>
      <c r="L440" s="590" t="str">
        <f>PASHEET!CD12</f>
        <v/>
      </c>
      <c r="M440" s="590" t="str">
        <f>PASHEET!CE12</f>
        <v/>
      </c>
      <c r="N440" s="590" t="str">
        <f>PASHEET!CF12</f>
        <v/>
      </c>
      <c r="O440" s="590" t="str">
        <f>PASHEET!CG12</f>
        <v>Ab</v>
      </c>
      <c r="Q440" s="591"/>
      <c r="R440" s="591"/>
      <c r="S440" s="591"/>
      <c r="T440" s="591"/>
      <c r="U440" s="591"/>
      <c r="V440" s="591"/>
      <c r="W440" s="594"/>
      <c r="X440" s="594"/>
      <c r="Y440" s="594"/>
      <c r="Z440" s="594"/>
      <c r="AA440" s="594"/>
      <c r="AB440" s="591"/>
      <c r="AC440" s="591"/>
      <c r="AD440" s="591"/>
      <c r="AE440" s="594"/>
    </row>
    <row r="441" spans="1:31">
      <c r="A441" s="590">
        <v>10</v>
      </c>
      <c r="B441" s="596">
        <f t="shared" ref="B441:E441" si="372">B334</f>
        <v>14774</v>
      </c>
      <c r="C441" s="596">
        <f t="shared" si="372"/>
        <v>20230268614</v>
      </c>
      <c r="D441" s="597" t="str">
        <f t="shared" si="372"/>
        <v>PIYUSH KUMAR</v>
      </c>
      <c r="E441" s="597" t="str">
        <f t="shared" si="372"/>
        <v>MUNNA LAL</v>
      </c>
      <c r="F441" s="590" t="str">
        <f>VLOOKUP(A441,STUDENT!$A$2:$BR$105,68,0)</f>
        <v/>
      </c>
      <c r="G441" s="590" t="b">
        <f>VLOOKUP(A441,STUDENT!$A$2:$BR$105,67,0)</f>
        <v>0</v>
      </c>
      <c r="H441" s="590" t="str">
        <f>PASHEET!BZ13</f>
        <v/>
      </c>
      <c r="I441" s="590" t="str">
        <f>PASHEET!CA13</f>
        <v/>
      </c>
      <c r="J441" s="590" t="str">
        <f>PASHEET!CB13</f>
        <v/>
      </c>
      <c r="K441" s="590" t="str">
        <f>PASHEET!CC13</f>
        <v/>
      </c>
      <c r="L441" s="590" t="str">
        <f>PASHEET!CD13</f>
        <v/>
      </c>
      <c r="M441" s="590" t="str">
        <f>PASHEET!CE13</f>
        <v/>
      </c>
      <c r="N441" s="590" t="str">
        <f>PASHEET!CF13</f>
        <v/>
      </c>
      <c r="O441" s="590" t="str">
        <f>PASHEET!CG13</f>
        <v>Ab</v>
      </c>
      <c r="Q441" s="591"/>
      <c r="R441" s="591"/>
      <c r="S441" s="591"/>
      <c r="T441" s="591"/>
      <c r="U441" s="591"/>
      <c r="V441" s="591"/>
      <c r="W441" s="594"/>
      <c r="X441" s="594"/>
      <c r="Y441" s="594"/>
      <c r="Z441" s="594"/>
      <c r="AA441" s="594"/>
      <c r="AB441" s="591"/>
      <c r="AC441" s="591"/>
      <c r="AD441" s="591"/>
      <c r="AE441" s="594"/>
    </row>
    <row r="442" spans="1:31">
      <c r="A442" s="596">
        <v>11</v>
      </c>
      <c r="B442" s="596">
        <f t="shared" ref="B442:E442" si="373">B335</f>
        <v>14775</v>
      </c>
      <c r="C442" s="596">
        <f t="shared" si="373"/>
        <v>20230349168</v>
      </c>
      <c r="D442" s="597" t="str">
        <f t="shared" si="373"/>
        <v>MD MAHTAB</v>
      </c>
      <c r="E442" s="597" t="str">
        <f t="shared" si="373"/>
        <v>MD ASRAF</v>
      </c>
      <c r="F442" s="590" t="str">
        <f>VLOOKUP(A442,STUDENT!$A$2:$BR$105,68,0)</f>
        <v/>
      </c>
      <c r="G442" s="590" t="b">
        <f>VLOOKUP(A442,STUDENT!$A$2:$BR$105,67,0)</f>
        <v>0</v>
      </c>
      <c r="H442" s="590" t="str">
        <f>PASHEET!BZ14</f>
        <v/>
      </c>
      <c r="I442" s="590" t="str">
        <f>PASHEET!CA14</f>
        <v/>
      </c>
      <c r="J442" s="590" t="str">
        <f>PASHEET!CB14</f>
        <v/>
      </c>
      <c r="K442" s="590" t="str">
        <f>PASHEET!CC14</f>
        <v/>
      </c>
      <c r="L442" s="590" t="str">
        <f>PASHEET!CD14</f>
        <v/>
      </c>
      <c r="M442" s="590" t="str">
        <f>PASHEET!CE14</f>
        <v/>
      </c>
      <c r="N442" s="590" t="str">
        <f>PASHEET!CF14</f>
        <v/>
      </c>
      <c r="O442" s="590" t="str">
        <f>PASHEET!CG14</f>
        <v>Ab</v>
      </c>
      <c r="Q442" s="591" t="s">
        <v>475</v>
      </c>
      <c r="R442" s="591" t="s">
        <v>476</v>
      </c>
      <c r="S442" s="592" t="s">
        <v>477</v>
      </c>
      <c r="T442" s="593" t="s">
        <v>87</v>
      </c>
      <c r="U442" s="592" t="s">
        <v>479</v>
      </c>
      <c r="V442" s="592" t="s">
        <v>480</v>
      </c>
      <c r="W442" s="594"/>
      <c r="X442" s="591" t="s">
        <v>475</v>
      </c>
      <c r="Y442" s="591" t="s">
        <v>476</v>
      </c>
      <c r="Z442" s="591" t="s">
        <v>474</v>
      </c>
      <c r="AA442" s="592" t="s">
        <v>477</v>
      </c>
      <c r="AB442" s="593" t="s">
        <v>490</v>
      </c>
      <c r="AC442" s="592" t="s">
        <v>479</v>
      </c>
      <c r="AD442" s="592" t="s">
        <v>480</v>
      </c>
      <c r="AE442" s="594"/>
    </row>
    <row r="443" spans="1:31">
      <c r="A443" s="590">
        <v>12</v>
      </c>
      <c r="B443" s="596">
        <f t="shared" ref="B443:E443" si="374">B336</f>
        <v>14734</v>
      </c>
      <c r="C443" s="596">
        <f t="shared" si="374"/>
        <v>20240008153</v>
      </c>
      <c r="D443" s="597" t="str">
        <f t="shared" si="374"/>
        <v>PRADEEP</v>
      </c>
      <c r="E443" s="597" t="str">
        <f t="shared" si="374"/>
        <v>RAM BHAWAN</v>
      </c>
      <c r="F443" s="590" t="str">
        <f>VLOOKUP(A443,STUDENT!$A$2:$BR$105,68,0)</f>
        <v/>
      </c>
      <c r="G443" s="590" t="b">
        <f>VLOOKUP(A443,STUDENT!$A$2:$BR$105,67,0)</f>
        <v>0</v>
      </c>
      <c r="H443" s="590" t="str">
        <f>PASHEET!BZ15</f>
        <v/>
      </c>
      <c r="I443" s="590" t="str">
        <f>PASHEET!CA15</f>
        <v/>
      </c>
      <c r="J443" s="590" t="str">
        <f>PASHEET!CB15</f>
        <v/>
      </c>
      <c r="K443" s="590" t="str">
        <f>PASHEET!CC15</f>
        <v/>
      </c>
      <c r="L443" s="590" t="str">
        <f>PASHEET!CD15</f>
        <v/>
      </c>
      <c r="M443" s="590" t="str">
        <f>PASHEET!CE15</f>
        <v/>
      </c>
      <c r="N443" s="590" t="str">
        <f>PASHEET!CF15</f>
        <v/>
      </c>
      <c r="O443" s="590" t="str">
        <f>PASHEET!CG15</f>
        <v>Ab</v>
      </c>
      <c r="Q443" s="591" t="s">
        <v>482</v>
      </c>
      <c r="R443" s="591" t="s">
        <v>483</v>
      </c>
      <c r="S443" s="591" t="s">
        <v>50</v>
      </c>
      <c r="T443" s="591">
        <f>COUNTIFS(H432:H531,S443)</f>
        <v>0</v>
      </c>
      <c r="U443" s="591">
        <f>COUNTIFS(F432:F531,Q432,H432:H531,S443)</f>
        <v>0</v>
      </c>
      <c r="V443" s="591">
        <f>COUNTIFS(F432:F531,R432,H432:H531,S443)</f>
        <v>0</v>
      </c>
      <c r="W443" s="594"/>
      <c r="X443" s="591" t="s">
        <v>482</v>
      </c>
      <c r="Y443" s="591" t="s">
        <v>483</v>
      </c>
      <c r="Z443" s="591" t="s">
        <v>490</v>
      </c>
      <c r="AA443" s="591" t="s">
        <v>50</v>
      </c>
      <c r="AB443" s="591">
        <f>COUNTIFS(G432:G531,Z443,O432:O531,S443)</f>
        <v>0</v>
      </c>
      <c r="AC443" s="591">
        <f>COUNTIFS(F432:F531,X443,G432:G531,Z443,O432:O531,S443)</f>
        <v>0</v>
      </c>
      <c r="AD443" s="591">
        <f>COUNTIFS(F432:F531,Y443,G432:G531,Z443,O432:O531,S443)</f>
        <v>0</v>
      </c>
      <c r="AE443" s="594"/>
    </row>
    <row r="444" spans="1:31">
      <c r="A444" s="596">
        <v>13</v>
      </c>
      <c r="B444" s="596">
        <f t="shared" ref="B444:E444" si="375">B337</f>
        <v>14735</v>
      </c>
      <c r="C444" s="596">
        <f t="shared" si="375"/>
        <v>20240008167</v>
      </c>
      <c r="D444" s="597" t="str">
        <f t="shared" si="375"/>
        <v>MOHD JISAN</v>
      </c>
      <c r="E444" s="597" t="str">
        <f t="shared" si="375"/>
        <v>MD ZAMEEL</v>
      </c>
      <c r="F444" s="590" t="str">
        <f>VLOOKUP(A444,STUDENT!$A$2:$BR$105,68,0)</f>
        <v/>
      </c>
      <c r="G444" s="590" t="b">
        <f>VLOOKUP(A444,STUDENT!$A$2:$BR$105,67,0)</f>
        <v>0</v>
      </c>
      <c r="H444" s="590" t="str">
        <f>PASHEET!BZ16</f>
        <v/>
      </c>
      <c r="I444" s="590" t="str">
        <f>PASHEET!CA16</f>
        <v/>
      </c>
      <c r="J444" s="590" t="str">
        <f>PASHEET!CB16</f>
        <v/>
      </c>
      <c r="K444" s="590" t="str">
        <f>PASHEET!CC16</f>
        <v/>
      </c>
      <c r="L444" s="590" t="str">
        <f>PASHEET!CD16</f>
        <v/>
      </c>
      <c r="M444" s="590" t="str">
        <f>PASHEET!CE16</f>
        <v/>
      </c>
      <c r="N444" s="590" t="str">
        <f>PASHEET!CF16</f>
        <v/>
      </c>
      <c r="O444" s="590" t="str">
        <f>PASHEET!CG16</f>
        <v>Ab</v>
      </c>
      <c r="Q444" s="591" t="s">
        <v>482</v>
      </c>
      <c r="R444" s="591" t="s">
        <v>483</v>
      </c>
      <c r="S444" s="591" t="s">
        <v>485</v>
      </c>
      <c r="T444" s="591">
        <f>COUNTIFS(H432:H531,S444)</f>
        <v>0</v>
      </c>
      <c r="U444" s="591">
        <f>COUNTIFS(F432:F531,Q433,H432:H531,S444)</f>
        <v>0</v>
      </c>
      <c r="V444" s="591">
        <f>COUNTIFS(F432:F531,R433,H432:H531,S444)</f>
        <v>0</v>
      </c>
      <c r="W444" s="594"/>
      <c r="X444" s="591" t="s">
        <v>482</v>
      </c>
      <c r="Y444" s="591" t="s">
        <v>483</v>
      </c>
      <c r="Z444" s="591" t="s">
        <v>490</v>
      </c>
      <c r="AA444" s="591" t="s">
        <v>485</v>
      </c>
      <c r="AB444" s="591">
        <f>COUNTIFS(G432:G531,Z444,O432:O531,S444)</f>
        <v>0</v>
      </c>
      <c r="AC444" s="591">
        <f>COUNTIFS(F432:F531,X444,G432:G531,Z444,O432:O531,S444)</f>
        <v>0</v>
      </c>
      <c r="AD444" s="591">
        <f>COUNTIFS(F432:F531,Y444,G432:G531,Z444,O432:O531,S444)</f>
        <v>0</v>
      </c>
      <c r="AE444" s="594"/>
    </row>
    <row r="445" spans="1:31">
      <c r="A445" s="590">
        <v>14</v>
      </c>
      <c r="B445" s="596">
        <f t="shared" ref="B445:E445" si="376">B338</f>
        <v>14745</v>
      </c>
      <c r="C445" s="596">
        <f t="shared" si="376"/>
        <v>20240015035</v>
      </c>
      <c r="D445" s="597" t="str">
        <f t="shared" si="376"/>
        <v>KARN KUMAR</v>
      </c>
      <c r="E445" s="597" t="str">
        <f t="shared" si="376"/>
        <v>MUKESH RAY</v>
      </c>
      <c r="F445" s="590" t="str">
        <f>VLOOKUP(A445,STUDENT!$A$2:$BR$105,68,0)</f>
        <v/>
      </c>
      <c r="G445" s="590" t="b">
        <f>VLOOKUP(A445,STUDENT!$A$2:$BR$105,67,0)</f>
        <v>0</v>
      </c>
      <c r="H445" s="590" t="str">
        <f>PASHEET!BZ17</f>
        <v/>
      </c>
      <c r="I445" s="590" t="str">
        <f>PASHEET!CA17</f>
        <v/>
      </c>
      <c r="J445" s="590" t="str">
        <f>PASHEET!CB17</f>
        <v/>
      </c>
      <c r="K445" s="590" t="str">
        <f>PASHEET!CC17</f>
        <v/>
      </c>
      <c r="L445" s="590" t="str">
        <f>PASHEET!CD17</f>
        <v/>
      </c>
      <c r="M445" s="590" t="str">
        <f>PASHEET!CE17</f>
        <v/>
      </c>
      <c r="N445" s="590" t="str">
        <f>PASHEET!CF17</f>
        <v/>
      </c>
      <c r="O445" s="590" t="str">
        <f>PASHEET!CG17</f>
        <v>Ab</v>
      </c>
      <c r="Q445" s="591" t="s">
        <v>482</v>
      </c>
      <c r="R445" s="591" t="s">
        <v>483</v>
      </c>
      <c r="S445" s="591" t="s">
        <v>486</v>
      </c>
      <c r="T445" s="591">
        <f>COUNTIFS(H432:H531,S445)</f>
        <v>0</v>
      </c>
      <c r="U445" s="591">
        <f>COUNTIFS(F432:F531,Q434,H432:H531,S445)</f>
        <v>0</v>
      </c>
      <c r="V445" s="591">
        <f>COUNTIFS(F432:F531,R434,H432:H531,S445)</f>
        <v>0</v>
      </c>
      <c r="W445" s="594"/>
      <c r="X445" s="591" t="s">
        <v>482</v>
      </c>
      <c r="Y445" s="591" t="s">
        <v>483</v>
      </c>
      <c r="Z445" s="591" t="s">
        <v>490</v>
      </c>
      <c r="AA445" s="591" t="s">
        <v>486</v>
      </c>
      <c r="AB445" s="591">
        <f>COUNTIFS(G432:G531,Z445,O432:O531,S445)</f>
        <v>0</v>
      </c>
      <c r="AC445" s="591">
        <f>COUNTIFS(F432:F531,X445,G432:G531,Z445,O432:O531,S445)</f>
        <v>0</v>
      </c>
      <c r="AD445" s="591">
        <f>COUNTIFS(F432:F531,Y445,G432:G531,Z445,O432:O531,S445)</f>
        <v>0</v>
      </c>
      <c r="AE445" s="594"/>
    </row>
    <row r="446" spans="1:31">
      <c r="A446" s="596">
        <v>15</v>
      </c>
      <c r="B446" s="596">
        <f t="shared" ref="B446:E446" si="377">B339</f>
        <v>14746</v>
      </c>
      <c r="C446" s="596">
        <f t="shared" si="377"/>
        <v>20240015112</v>
      </c>
      <c r="D446" s="597" t="str">
        <f t="shared" si="377"/>
        <v>ROKI</v>
      </c>
      <c r="E446" s="597" t="str">
        <f t="shared" si="377"/>
        <v>KUAR SINGH</v>
      </c>
      <c r="F446" s="590" t="str">
        <f>VLOOKUP(A446,STUDENT!$A$2:$BR$105,68,0)</f>
        <v/>
      </c>
      <c r="G446" s="590" t="b">
        <f>VLOOKUP(A446,STUDENT!$A$2:$BR$105,67,0)</f>
        <v>0</v>
      </c>
      <c r="H446" s="590" t="str">
        <f>PASHEET!BZ18</f>
        <v/>
      </c>
      <c r="I446" s="590" t="str">
        <f>PASHEET!CA18</f>
        <v/>
      </c>
      <c r="J446" s="590" t="str">
        <f>PASHEET!CB18</f>
        <v/>
      </c>
      <c r="K446" s="590" t="str">
        <f>PASHEET!CC18</f>
        <v/>
      </c>
      <c r="L446" s="590" t="str">
        <f>PASHEET!CD18</f>
        <v/>
      </c>
      <c r="M446" s="590" t="str">
        <f>PASHEET!CE18</f>
        <v/>
      </c>
      <c r="N446" s="590" t="str">
        <f>PASHEET!CF18</f>
        <v/>
      </c>
      <c r="O446" s="590" t="str">
        <f>PASHEET!CG18</f>
        <v>Ab</v>
      </c>
      <c r="Q446" s="591" t="s">
        <v>482</v>
      </c>
      <c r="R446" s="591" t="s">
        <v>483</v>
      </c>
      <c r="S446" s="591" t="s">
        <v>487</v>
      </c>
      <c r="T446" s="591">
        <f>COUNTIFS(H432:H531,S446)</f>
        <v>0</v>
      </c>
      <c r="U446" s="591">
        <f>COUNTIFS(F432:F531,Q435,H432:H531,S446)</f>
        <v>0</v>
      </c>
      <c r="V446" s="591">
        <f>COUNTIFS(F432:F531,R435,H432:H531,S446)</f>
        <v>0</v>
      </c>
      <c r="W446" s="594"/>
      <c r="X446" s="591" t="s">
        <v>482</v>
      </c>
      <c r="Y446" s="591" t="s">
        <v>483</v>
      </c>
      <c r="Z446" s="591" t="s">
        <v>490</v>
      </c>
      <c r="AA446" s="591" t="s">
        <v>487</v>
      </c>
      <c r="AB446" s="591">
        <f>COUNTIFS(G432:G531,Z446,O432:O531,S446)</f>
        <v>0</v>
      </c>
      <c r="AC446" s="591">
        <f>COUNTIFS(F432:F531,X446,G432:G531,Z446,O432:O531,S446)</f>
        <v>0</v>
      </c>
      <c r="AD446" s="591">
        <f>COUNTIFS(F432:F531,Y446,G432:G531,Z446,O432:O531,S446)</f>
        <v>0</v>
      </c>
      <c r="AE446" s="594"/>
    </row>
    <row r="447" spans="1:31">
      <c r="A447" s="590">
        <v>16</v>
      </c>
      <c r="B447" s="596">
        <f t="shared" ref="B447:E447" si="378">B340</f>
        <v>14748</v>
      </c>
      <c r="C447" s="596">
        <f t="shared" si="378"/>
        <v>20240015199</v>
      </c>
      <c r="D447" s="597" t="str">
        <f t="shared" si="378"/>
        <v>MD BILAL</v>
      </c>
      <c r="E447" s="597" t="str">
        <f t="shared" si="378"/>
        <v>MD AFROJ</v>
      </c>
      <c r="F447" s="590" t="str">
        <f>VLOOKUP(A447,STUDENT!$A$2:$BR$105,68,0)</f>
        <v/>
      </c>
      <c r="G447" s="590" t="b">
        <f>VLOOKUP(A447,STUDENT!$A$2:$BR$105,67,0)</f>
        <v>0</v>
      </c>
      <c r="H447" s="590" t="str">
        <f>PASHEET!BZ19</f>
        <v/>
      </c>
      <c r="I447" s="590" t="str">
        <f>PASHEET!CA19</f>
        <v/>
      </c>
      <c r="J447" s="590" t="str">
        <f>PASHEET!CB19</f>
        <v/>
      </c>
      <c r="K447" s="590" t="str">
        <f>PASHEET!CC19</f>
        <v/>
      </c>
      <c r="L447" s="590" t="str">
        <f>PASHEET!CD19</f>
        <v/>
      </c>
      <c r="M447" s="590" t="str">
        <f>PASHEET!CE19</f>
        <v/>
      </c>
      <c r="N447" s="590" t="str">
        <f>PASHEET!CF19</f>
        <v/>
      </c>
      <c r="O447" s="590" t="str">
        <f>PASHEET!CG19</f>
        <v>Ab</v>
      </c>
      <c r="Q447" s="591" t="s">
        <v>482</v>
      </c>
      <c r="R447" s="591" t="s">
        <v>483</v>
      </c>
      <c r="S447" s="591" t="s">
        <v>488</v>
      </c>
      <c r="T447" s="591">
        <f>COUNTIFS(H432:H531,S447)</f>
        <v>0</v>
      </c>
      <c r="U447" s="591">
        <f>COUNTIFS(F432:F531,Q436,H432:H531,S447)</f>
        <v>0</v>
      </c>
      <c r="V447" s="591">
        <f>COUNTIFS(F432:F531,R436,H432:H531,S447)</f>
        <v>0</v>
      </c>
      <c r="W447" s="594"/>
      <c r="X447" s="591" t="s">
        <v>482</v>
      </c>
      <c r="Y447" s="591" t="s">
        <v>483</v>
      </c>
      <c r="Z447" s="591" t="s">
        <v>490</v>
      </c>
      <c r="AA447" s="591" t="s">
        <v>488</v>
      </c>
      <c r="AB447" s="591">
        <f>COUNTIFS(G432:G531,Z447,O432:O531,S447)</f>
        <v>0</v>
      </c>
      <c r="AC447" s="591">
        <f>COUNTIFS(F432:F531,X447,G432:G531,Z447,O432:O531,S447)</f>
        <v>0</v>
      </c>
      <c r="AD447" s="591">
        <f>COUNTIFS(F432:F531,Y447,G432:G531,Z447,O432:O531,S447)</f>
        <v>0</v>
      </c>
      <c r="AE447" s="594"/>
    </row>
    <row r="448" spans="1:31">
      <c r="A448" s="596">
        <v>17</v>
      </c>
      <c r="B448" s="596">
        <f t="shared" ref="B448:E448" si="379">B341</f>
        <v>14755</v>
      </c>
      <c r="C448" s="596">
        <f t="shared" si="379"/>
        <v>20240023044</v>
      </c>
      <c r="D448" s="597" t="str">
        <f t="shared" si="379"/>
        <v>GAURAV KUMAR</v>
      </c>
      <c r="E448" s="597" t="str">
        <f t="shared" si="379"/>
        <v>HARINDER YADAV</v>
      </c>
      <c r="F448" s="590" t="str">
        <f>VLOOKUP(A448,STUDENT!$A$2:$BR$105,68,0)</f>
        <v/>
      </c>
      <c r="G448" s="590" t="b">
        <f>VLOOKUP(A448,STUDENT!$A$2:$BR$105,67,0)</f>
        <v>0</v>
      </c>
      <c r="H448" s="590" t="str">
        <f>PASHEET!BZ20</f>
        <v/>
      </c>
      <c r="I448" s="590" t="str">
        <f>PASHEET!CA20</f>
        <v/>
      </c>
      <c r="J448" s="590" t="str">
        <f>PASHEET!CB20</f>
        <v/>
      </c>
      <c r="K448" s="590" t="str">
        <f>PASHEET!CC20</f>
        <v/>
      </c>
      <c r="L448" s="590" t="str">
        <f>PASHEET!CD20</f>
        <v/>
      </c>
      <c r="M448" s="590" t="str">
        <f>PASHEET!CE20</f>
        <v/>
      </c>
      <c r="N448" s="590" t="str">
        <f>PASHEET!CF20</f>
        <v/>
      </c>
      <c r="O448" s="590" t="str">
        <f>PASHEET!CG20</f>
        <v>Ab</v>
      </c>
      <c r="Q448" s="591" t="s">
        <v>482</v>
      </c>
      <c r="R448" s="591" t="s">
        <v>483</v>
      </c>
      <c r="S448" s="591" t="s">
        <v>101</v>
      </c>
      <c r="T448" s="591">
        <f>COUNTIFS(H432:H531,S448)</f>
        <v>0</v>
      </c>
      <c r="U448" s="591">
        <f>COUNTIFS(F432:F531,Q437,H432:H531,S448)</f>
        <v>0</v>
      </c>
      <c r="V448" s="591">
        <f>COUNTIFS(F432:F531,R437,H432:H531,S448)</f>
        <v>0</v>
      </c>
      <c r="W448" s="594"/>
      <c r="X448" s="591" t="s">
        <v>482</v>
      </c>
      <c r="Y448" s="591" t="s">
        <v>483</v>
      </c>
      <c r="Z448" s="591" t="s">
        <v>490</v>
      </c>
      <c r="AA448" s="591" t="s">
        <v>101</v>
      </c>
      <c r="AB448" s="591">
        <f>COUNTIFS(G432:G531,Z448,O432:O531,S448)</f>
        <v>0</v>
      </c>
      <c r="AC448" s="591">
        <f>COUNTIFS(F432:F531,X448,G432:G531,Z448,O432:O531,S448)</f>
        <v>0</v>
      </c>
      <c r="AD448" s="591">
        <f>COUNTIFS(F432:F531,Y448,G432:G531,Z448,O432:O531,S448)</f>
        <v>0</v>
      </c>
      <c r="AE448" s="594"/>
    </row>
    <row r="449" spans="1:31">
      <c r="A449" s="590">
        <v>18</v>
      </c>
      <c r="B449" s="596">
        <f t="shared" ref="B449:E449" si="380">B342</f>
        <v>14756</v>
      </c>
      <c r="C449" s="596">
        <f t="shared" si="380"/>
        <v>20240023055</v>
      </c>
      <c r="D449" s="597" t="str">
        <f t="shared" si="380"/>
        <v>SAURAV KUMAR</v>
      </c>
      <c r="E449" s="597" t="str">
        <f t="shared" si="380"/>
        <v>HARINDER YADAV</v>
      </c>
      <c r="F449" s="590" t="str">
        <f>VLOOKUP(A449,STUDENT!$A$2:$BR$105,68,0)</f>
        <v/>
      </c>
      <c r="G449" s="590" t="b">
        <f>VLOOKUP(A449,STUDENT!$A$2:$BR$105,67,0)</f>
        <v>0</v>
      </c>
      <c r="H449" s="590" t="str">
        <f>PASHEET!BZ21</f>
        <v/>
      </c>
      <c r="I449" s="590" t="str">
        <f>PASHEET!CA21</f>
        <v/>
      </c>
      <c r="J449" s="590" t="str">
        <f>PASHEET!CB21</f>
        <v/>
      </c>
      <c r="K449" s="590" t="str">
        <f>PASHEET!CC21</f>
        <v/>
      </c>
      <c r="L449" s="590" t="str">
        <f>PASHEET!CD21</f>
        <v/>
      </c>
      <c r="M449" s="590" t="str">
        <f>PASHEET!CE21</f>
        <v/>
      </c>
      <c r="N449" s="590" t="str">
        <f>PASHEET!CF21</f>
        <v/>
      </c>
      <c r="O449" s="590" t="str">
        <f>PASHEET!CG21</f>
        <v>Ab</v>
      </c>
      <c r="Q449" s="591" t="s">
        <v>482</v>
      </c>
      <c r="R449" s="591" t="s">
        <v>483</v>
      </c>
      <c r="S449" s="591" t="s">
        <v>489</v>
      </c>
      <c r="T449" s="591">
        <f>COUNTIFS(H432:H531,S449)</f>
        <v>0</v>
      </c>
      <c r="U449" s="591">
        <f>COUNTIFS(F432:F531,Q438,H432:H531,S449)</f>
        <v>0</v>
      </c>
      <c r="V449" s="591">
        <f>COUNTIFS(F432:F531,R438,H432:H531,S449)</f>
        <v>0</v>
      </c>
      <c r="W449" s="594"/>
      <c r="X449" s="591" t="s">
        <v>482</v>
      </c>
      <c r="Y449" s="591" t="s">
        <v>483</v>
      </c>
      <c r="Z449" s="591" t="s">
        <v>490</v>
      </c>
      <c r="AA449" s="591" t="s">
        <v>489</v>
      </c>
      <c r="AB449" s="591">
        <f>COUNTIFS(G432:G531,Z449,O432:O531,S449)</f>
        <v>0</v>
      </c>
      <c r="AC449" s="591">
        <f>COUNTIFS(F432:F531,X449,G432:G531,Z449,O432:O531,S449)</f>
        <v>0</v>
      </c>
      <c r="AD449" s="591">
        <f>COUNTIFS(F432:F531,Y449,G432:G531,Z449,O432:O531,S449)</f>
        <v>0</v>
      </c>
      <c r="AE449" s="594"/>
    </row>
    <row r="450" spans="1:31">
      <c r="A450" s="596">
        <v>19</v>
      </c>
      <c r="B450" s="596">
        <f t="shared" ref="B450:E450" si="381">B343</f>
        <v>14758</v>
      </c>
      <c r="C450" s="596">
        <f t="shared" si="381"/>
        <v>20240023083</v>
      </c>
      <c r="D450" s="597" t="str">
        <f t="shared" si="381"/>
        <v>HANAM AYUBI</v>
      </c>
      <c r="E450" s="597" t="str">
        <f t="shared" si="381"/>
        <v>MD PARWEZ</v>
      </c>
      <c r="F450" s="590" t="str">
        <f>VLOOKUP(A450,STUDENT!$A$2:$BR$105,68,0)</f>
        <v/>
      </c>
      <c r="G450" s="590" t="b">
        <f>VLOOKUP(A450,STUDENT!$A$2:$BR$105,67,0)</f>
        <v>0</v>
      </c>
      <c r="H450" s="590" t="str">
        <f>PASHEET!BZ22</f>
        <v/>
      </c>
      <c r="I450" s="590" t="str">
        <f>PASHEET!CA22</f>
        <v/>
      </c>
      <c r="J450" s="590" t="str">
        <f>PASHEET!CB22</f>
        <v/>
      </c>
      <c r="K450" s="590" t="str">
        <f>PASHEET!CC22</f>
        <v/>
      </c>
      <c r="L450" s="590" t="str">
        <f>PASHEET!CD22</f>
        <v/>
      </c>
      <c r="M450" s="590" t="str">
        <f>PASHEET!CE22</f>
        <v/>
      </c>
      <c r="N450" s="590" t="str">
        <f>PASHEET!CF22</f>
        <v/>
      </c>
      <c r="O450" s="590" t="str">
        <f>PASHEET!CG22</f>
        <v>Ab</v>
      </c>
      <c r="Q450" s="591" t="s">
        <v>482</v>
      </c>
      <c r="R450" s="591" t="s">
        <v>483</v>
      </c>
      <c r="S450" s="591"/>
      <c r="T450" s="591"/>
      <c r="U450" s="591"/>
      <c r="V450" s="591"/>
      <c r="W450" s="594"/>
      <c r="X450" s="591" t="s">
        <v>482</v>
      </c>
      <c r="Y450" s="591" t="s">
        <v>483</v>
      </c>
      <c r="Z450" s="591" t="s">
        <v>490</v>
      </c>
      <c r="AA450" s="591"/>
      <c r="AB450" s="591"/>
      <c r="AC450" s="591"/>
      <c r="AD450" s="591"/>
      <c r="AE450" s="594"/>
    </row>
    <row r="451" spans="1:31">
      <c r="A451" s="590">
        <v>20</v>
      </c>
      <c r="B451" s="596">
        <f t="shared" ref="B451:E451" si="382">B344</f>
        <v>14768</v>
      </c>
      <c r="C451" s="596">
        <f t="shared" si="382"/>
        <v>20240028340</v>
      </c>
      <c r="D451" s="597" t="str">
        <f t="shared" si="382"/>
        <v>ANKUR</v>
      </c>
      <c r="E451" s="597" t="str">
        <f t="shared" si="382"/>
        <v>ASHOK KUMAR GUPTA</v>
      </c>
      <c r="F451" s="590" t="str">
        <f>VLOOKUP(A451,STUDENT!$A$2:$BR$105,68,0)</f>
        <v/>
      </c>
      <c r="G451" s="590" t="b">
        <f>VLOOKUP(A451,STUDENT!$A$2:$BR$105,67,0)</f>
        <v>0</v>
      </c>
      <c r="H451" s="590" t="str">
        <f>PASHEET!BZ23</f>
        <v/>
      </c>
      <c r="I451" s="590" t="str">
        <f>PASHEET!CA23</f>
        <v/>
      </c>
      <c r="J451" s="590" t="str">
        <f>PASHEET!CB23</f>
        <v/>
      </c>
      <c r="K451" s="590" t="str">
        <f>PASHEET!CC23</f>
        <v/>
      </c>
      <c r="L451" s="590" t="str">
        <f>PASHEET!CD23</f>
        <v/>
      </c>
      <c r="M451" s="590" t="str">
        <f>PASHEET!CE23</f>
        <v/>
      </c>
      <c r="N451" s="590" t="str">
        <f>PASHEET!CF23</f>
        <v/>
      </c>
      <c r="O451" s="590" t="str">
        <f>PASHEET!CG23</f>
        <v>Ab</v>
      </c>
      <c r="Q451" s="591"/>
      <c r="R451" s="591"/>
      <c r="S451" s="591" t="s">
        <v>102</v>
      </c>
      <c r="T451" s="591">
        <f>SUM(T443:T450)</f>
        <v>0</v>
      </c>
      <c r="U451" s="591">
        <f t="shared" ref="U451:V451" si="383">SUM(U443:U450)</f>
        <v>0</v>
      </c>
      <c r="V451" s="591">
        <f t="shared" si="383"/>
        <v>0</v>
      </c>
      <c r="W451" s="594"/>
      <c r="X451" s="591"/>
      <c r="Y451" s="591"/>
      <c r="Z451" s="591"/>
      <c r="AA451" s="591" t="s">
        <v>102</v>
      </c>
      <c r="AB451" s="591">
        <f>SUM(AB443:AB450)</f>
        <v>0</v>
      </c>
      <c r="AC451" s="591">
        <f t="shared" ref="AC451:AD451" si="384">SUM(AC443:AC450)</f>
        <v>0</v>
      </c>
      <c r="AD451" s="591">
        <f t="shared" si="384"/>
        <v>0</v>
      </c>
      <c r="AE451" s="594"/>
    </row>
    <row r="452" spans="1:31">
      <c r="A452" s="596">
        <v>21</v>
      </c>
      <c r="B452" s="596">
        <f t="shared" ref="B452:E452" si="385">B345</f>
        <v>14792</v>
      </c>
      <c r="C452" s="596">
        <f t="shared" si="385"/>
        <v>20240074441</v>
      </c>
      <c r="D452" s="597" t="str">
        <f t="shared" si="385"/>
        <v>SOBHIT PASWAN</v>
      </c>
      <c r="E452" s="597" t="str">
        <f t="shared" si="385"/>
        <v>SHANKAR PASWAN</v>
      </c>
      <c r="F452" s="590" t="str">
        <f>VLOOKUP(A452,STUDENT!$A$2:$BR$105,68,0)</f>
        <v/>
      </c>
      <c r="G452" s="590" t="b">
        <f>VLOOKUP(A452,STUDENT!$A$2:$BR$105,67,0)</f>
        <v>0</v>
      </c>
      <c r="H452" s="590" t="str">
        <f>PASHEET!BZ24</f>
        <v/>
      </c>
      <c r="I452" s="590" t="str">
        <f>PASHEET!CA24</f>
        <v/>
      </c>
      <c r="J452" s="590" t="str">
        <f>PASHEET!CB24</f>
        <v/>
      </c>
      <c r="K452" s="590" t="str">
        <f>PASHEET!CC24</f>
        <v/>
      </c>
      <c r="L452" s="590" t="str">
        <f>PASHEET!CD24</f>
        <v/>
      </c>
      <c r="M452" s="590" t="str">
        <f>PASHEET!CE24</f>
        <v/>
      </c>
      <c r="N452" s="590" t="str">
        <f>PASHEET!CF24</f>
        <v/>
      </c>
      <c r="O452" s="590" t="str">
        <f>PASHEET!CG24</f>
        <v>Ab</v>
      </c>
      <c r="Q452" s="591"/>
      <c r="R452" s="591"/>
      <c r="S452" s="591"/>
      <c r="T452" s="591"/>
      <c r="U452" s="591"/>
      <c r="V452" s="591"/>
      <c r="W452" s="594"/>
      <c r="X452" s="594"/>
      <c r="Y452" s="594"/>
      <c r="Z452" s="594"/>
      <c r="AA452" s="594"/>
      <c r="AB452" s="591"/>
      <c r="AC452" s="591"/>
      <c r="AD452" s="591"/>
      <c r="AE452" s="594"/>
    </row>
    <row r="453" spans="1:31">
      <c r="A453" s="590">
        <v>22</v>
      </c>
      <c r="B453" s="596">
        <f t="shared" ref="B453:E453" si="386">B346</f>
        <v>14804</v>
      </c>
      <c r="C453" s="596">
        <f t="shared" si="386"/>
        <v>20240100859</v>
      </c>
      <c r="D453" s="597" t="str">
        <f t="shared" si="386"/>
        <v>ABHISHEK MUKHIYA</v>
      </c>
      <c r="E453" s="597" t="str">
        <f t="shared" si="386"/>
        <v>ARJUN MUKHIYA</v>
      </c>
      <c r="F453" s="590" t="str">
        <f>VLOOKUP(A453,STUDENT!$A$2:$BR$105,68,0)</f>
        <v/>
      </c>
      <c r="G453" s="590" t="b">
        <f>VLOOKUP(A453,STUDENT!$A$2:$BR$105,67,0)</f>
        <v>0</v>
      </c>
      <c r="H453" s="590" t="str">
        <f>PASHEET!BZ25</f>
        <v/>
      </c>
      <c r="I453" s="590" t="str">
        <f>PASHEET!CA25</f>
        <v/>
      </c>
      <c r="J453" s="590" t="str">
        <f>PASHEET!CB25</f>
        <v/>
      </c>
      <c r="K453" s="590" t="str">
        <f>PASHEET!CC25</f>
        <v/>
      </c>
      <c r="L453" s="590" t="str">
        <f>PASHEET!CD25</f>
        <v/>
      </c>
      <c r="M453" s="590" t="str">
        <f>PASHEET!CE25</f>
        <v/>
      </c>
      <c r="N453" s="590" t="str">
        <f>PASHEET!CF25</f>
        <v/>
      </c>
      <c r="O453" s="590" t="str">
        <f>PASHEET!CG25</f>
        <v>Ab</v>
      </c>
      <c r="Q453" s="591"/>
      <c r="R453" s="591"/>
      <c r="S453" s="591"/>
      <c r="T453" s="591"/>
      <c r="U453" s="591"/>
      <c r="V453" s="591"/>
      <c r="W453" s="594"/>
      <c r="X453" s="594"/>
      <c r="Y453" s="594"/>
      <c r="Z453" s="594"/>
      <c r="AA453" s="594"/>
      <c r="AB453" s="591"/>
      <c r="AC453" s="591"/>
      <c r="AD453" s="591"/>
      <c r="AE453" s="594"/>
    </row>
    <row r="454" spans="1:31">
      <c r="A454" s="596">
        <v>23</v>
      </c>
      <c r="B454" s="596">
        <f t="shared" ref="B454:E454" si="387">B347</f>
        <v>14805</v>
      </c>
      <c r="C454" s="596">
        <f t="shared" si="387"/>
        <v>20240100885</v>
      </c>
      <c r="D454" s="597" t="str">
        <f t="shared" si="387"/>
        <v>NITIN</v>
      </c>
      <c r="E454" s="597" t="str">
        <f t="shared" si="387"/>
        <v>AJAY</v>
      </c>
      <c r="F454" s="590" t="str">
        <f>VLOOKUP(A454,STUDENT!$A$2:$BR$105,68,0)</f>
        <v/>
      </c>
      <c r="G454" s="590" t="b">
        <f>VLOOKUP(A454,STUDENT!$A$2:$BR$105,67,0)</f>
        <v>0</v>
      </c>
      <c r="H454" s="590" t="str">
        <f>PASHEET!BZ26</f>
        <v/>
      </c>
      <c r="I454" s="590" t="str">
        <f>PASHEET!CA26</f>
        <v/>
      </c>
      <c r="J454" s="590" t="str">
        <f>PASHEET!CB26</f>
        <v/>
      </c>
      <c r="K454" s="590" t="str">
        <f>PASHEET!CC26</f>
        <v/>
      </c>
      <c r="L454" s="590" t="str">
        <f>PASHEET!CD26</f>
        <v/>
      </c>
      <c r="M454" s="590" t="str">
        <f>PASHEET!CE26</f>
        <v/>
      </c>
      <c r="N454" s="590" t="str">
        <f>PASHEET!CF26</f>
        <v/>
      </c>
      <c r="O454" s="590" t="str">
        <f>PASHEET!CG26</f>
        <v>Ab</v>
      </c>
      <c r="Q454" s="591" t="s">
        <v>475</v>
      </c>
      <c r="R454" s="591" t="s">
        <v>476</v>
      </c>
      <c r="S454" s="592" t="s">
        <v>477</v>
      </c>
      <c r="T454" s="593" t="s">
        <v>89</v>
      </c>
      <c r="U454" s="592" t="s">
        <v>479</v>
      </c>
      <c r="V454" s="592" t="s">
        <v>480</v>
      </c>
      <c r="W454" s="594"/>
      <c r="X454" s="591" t="s">
        <v>475</v>
      </c>
      <c r="Y454" s="591" t="s">
        <v>476</v>
      </c>
      <c r="Z454" s="591" t="s">
        <v>474</v>
      </c>
      <c r="AA454" s="592" t="s">
        <v>477</v>
      </c>
      <c r="AB454" s="593" t="s">
        <v>491</v>
      </c>
      <c r="AC454" s="592" t="s">
        <v>479</v>
      </c>
      <c r="AD454" s="592" t="s">
        <v>480</v>
      </c>
      <c r="AE454" s="594"/>
    </row>
    <row r="455" spans="1:31">
      <c r="A455" s="590">
        <v>24</v>
      </c>
      <c r="B455" s="596">
        <f t="shared" ref="B455:E455" si="388">B348</f>
        <v>14806</v>
      </c>
      <c r="C455" s="596">
        <f t="shared" si="388"/>
        <v>20240100904</v>
      </c>
      <c r="D455" s="597" t="str">
        <f t="shared" si="388"/>
        <v>SOORYA VANSHAL</v>
      </c>
      <c r="E455" s="597" t="str">
        <f t="shared" si="388"/>
        <v>KAMLESH KUMAR</v>
      </c>
      <c r="F455" s="590" t="str">
        <f>VLOOKUP(A455,STUDENT!$A$2:$BR$105,68,0)</f>
        <v/>
      </c>
      <c r="G455" s="590" t="b">
        <f>VLOOKUP(A455,STUDENT!$A$2:$BR$105,67,0)</f>
        <v>0</v>
      </c>
      <c r="H455" s="590" t="str">
        <f>PASHEET!BZ27</f>
        <v/>
      </c>
      <c r="I455" s="590" t="str">
        <f>PASHEET!CA27</f>
        <v/>
      </c>
      <c r="J455" s="590" t="str">
        <f>PASHEET!CB27</f>
        <v/>
      </c>
      <c r="K455" s="590" t="str">
        <f>PASHEET!CC27</f>
        <v/>
      </c>
      <c r="L455" s="590" t="str">
        <f>PASHEET!CD27</f>
        <v/>
      </c>
      <c r="M455" s="590" t="str">
        <f>PASHEET!CE27</f>
        <v/>
      </c>
      <c r="N455" s="590" t="str">
        <f>PASHEET!CF27</f>
        <v/>
      </c>
      <c r="O455" s="590" t="str">
        <f>PASHEET!CG27</f>
        <v>Ab</v>
      </c>
      <c r="Q455" s="591" t="s">
        <v>482</v>
      </c>
      <c r="R455" s="591" t="s">
        <v>483</v>
      </c>
      <c r="S455" s="591" t="s">
        <v>50</v>
      </c>
      <c r="T455" s="591">
        <f>COUNTIFS(I432:I531,S455)</f>
        <v>0</v>
      </c>
      <c r="U455" s="591">
        <f>COUNTIFS(F432:F531,Q444,I432:I531,S455)</f>
        <v>0</v>
      </c>
      <c r="V455" s="591">
        <f>COUNTIFS(F432:F531,R444,I432:I531,S455)</f>
        <v>0</v>
      </c>
      <c r="W455" s="594"/>
      <c r="X455" s="591" t="s">
        <v>482</v>
      </c>
      <c r="Y455" s="591" t="s">
        <v>483</v>
      </c>
      <c r="Z455" s="591" t="s">
        <v>491</v>
      </c>
      <c r="AA455" s="591" t="s">
        <v>50</v>
      </c>
      <c r="AB455" s="591">
        <f>COUNTIFS(G432:G531,Z455,O432:O531,S455)</f>
        <v>0</v>
      </c>
      <c r="AC455" s="591">
        <f>COUNTIFS(F432:F531,X455,G432:G531,Z455,O432:O531,S455)</f>
        <v>0</v>
      </c>
      <c r="AD455" s="591">
        <f>COUNTIFS(F432:F531,Y455,G432:G531,Z455,O432:O531,S455)</f>
        <v>0</v>
      </c>
      <c r="AE455" s="594"/>
    </row>
    <row r="456" spans="1:31">
      <c r="A456" s="596">
        <v>25</v>
      </c>
      <c r="B456" s="596">
        <f t="shared" ref="B456:E456" si="389">B349</f>
        <v>14943</v>
      </c>
      <c r="C456" s="596">
        <f t="shared" si="389"/>
        <v>20250012364</v>
      </c>
      <c r="D456" s="597" t="str">
        <f t="shared" si="389"/>
        <v>ANSHU KUMAR PANDIT</v>
      </c>
      <c r="E456" s="597" t="str">
        <f t="shared" si="389"/>
        <v>RAMESH KUMAR PANDIT</v>
      </c>
      <c r="F456" s="590" t="str">
        <f>VLOOKUP(A456,STUDENT!$A$2:$BR$105,68,0)</f>
        <v/>
      </c>
      <c r="G456" s="590" t="b">
        <f>VLOOKUP(A456,STUDENT!$A$2:$BR$105,67,0)</f>
        <v>0</v>
      </c>
      <c r="H456" s="590" t="str">
        <f>PASHEET!BZ28</f>
        <v/>
      </c>
      <c r="I456" s="590" t="str">
        <f>PASHEET!CA28</f>
        <v/>
      </c>
      <c r="J456" s="590" t="str">
        <f>PASHEET!CB28</f>
        <v/>
      </c>
      <c r="K456" s="590" t="str">
        <f>PASHEET!CC28</f>
        <v/>
      </c>
      <c r="L456" s="590" t="str">
        <f>PASHEET!CD28</f>
        <v/>
      </c>
      <c r="M456" s="590" t="str">
        <f>PASHEET!CE28</f>
        <v/>
      </c>
      <c r="N456" s="590" t="str">
        <f>PASHEET!CF28</f>
        <v/>
      </c>
      <c r="O456" s="590" t="str">
        <f>PASHEET!CG28</f>
        <v>Ab</v>
      </c>
      <c r="Q456" s="591" t="s">
        <v>482</v>
      </c>
      <c r="R456" s="591" t="s">
        <v>483</v>
      </c>
      <c r="S456" s="591" t="s">
        <v>485</v>
      </c>
      <c r="T456" s="591">
        <f>COUNTIFS(I432:I531,S456)</f>
        <v>0</v>
      </c>
      <c r="U456" s="591">
        <f>COUNTIFS(F432:F531,Q445,I432:I531,S456)</f>
        <v>0</v>
      </c>
      <c r="V456" s="591">
        <f>COUNTIFS(F432:F531,R445,I432:I531,S456)</f>
        <v>0</v>
      </c>
      <c r="W456" s="594"/>
      <c r="X456" s="591" t="s">
        <v>482</v>
      </c>
      <c r="Y456" s="591" t="s">
        <v>483</v>
      </c>
      <c r="Z456" s="591" t="s">
        <v>491</v>
      </c>
      <c r="AA456" s="591" t="s">
        <v>485</v>
      </c>
      <c r="AB456" s="591">
        <f>COUNTIFS(G432:G531,Z456,O432:O531,S456)</f>
        <v>0</v>
      </c>
      <c r="AC456" s="591">
        <f>COUNTIFS(F432:F531,X456,G432:G531,Z456,O432:O531,S456)</f>
        <v>0</v>
      </c>
      <c r="AD456" s="591">
        <f>COUNTIFS(F432:F531,Y456,G432:G531,Z456,O432:O531,S456)</f>
        <v>0</v>
      </c>
      <c r="AE456" s="594"/>
    </row>
    <row r="457" spans="1:31">
      <c r="A457" s="590">
        <v>26</v>
      </c>
      <c r="B457" s="596">
        <f t="shared" ref="B457:E457" si="390">B350</f>
        <v>14960</v>
      </c>
      <c r="C457" s="596">
        <f t="shared" si="390"/>
        <v>20250045334</v>
      </c>
      <c r="D457" s="597" t="str">
        <f t="shared" si="390"/>
        <v>MD ADAN SHEKH</v>
      </c>
      <c r="E457" s="597" t="str">
        <f t="shared" si="390"/>
        <v>MD ISHTIKHAR</v>
      </c>
      <c r="F457" s="590" t="str">
        <f>VLOOKUP(A457,STUDENT!$A$2:$BR$105,68,0)</f>
        <v/>
      </c>
      <c r="G457" s="590" t="b">
        <f>VLOOKUP(A457,STUDENT!$A$2:$BR$105,67,0)</f>
        <v>0</v>
      </c>
      <c r="H457" s="590" t="str">
        <f>PASHEET!BZ29</f>
        <v/>
      </c>
      <c r="I457" s="590" t="str">
        <f>PASHEET!CA29</f>
        <v/>
      </c>
      <c r="J457" s="590" t="str">
        <f>PASHEET!CB29</f>
        <v/>
      </c>
      <c r="K457" s="590" t="str">
        <f>PASHEET!CC29</f>
        <v/>
      </c>
      <c r="L457" s="590" t="str">
        <f>PASHEET!CD29</f>
        <v/>
      </c>
      <c r="M457" s="590" t="str">
        <f>PASHEET!CE29</f>
        <v/>
      </c>
      <c r="N457" s="590" t="str">
        <f>PASHEET!CF29</f>
        <v/>
      </c>
      <c r="O457" s="590" t="str">
        <f>PASHEET!CG29</f>
        <v>Ab</v>
      </c>
      <c r="Q457" s="591" t="s">
        <v>482</v>
      </c>
      <c r="R457" s="591" t="s">
        <v>483</v>
      </c>
      <c r="S457" s="591" t="s">
        <v>486</v>
      </c>
      <c r="T457" s="591">
        <f>COUNTIFS(I432:I531,S457)</f>
        <v>0</v>
      </c>
      <c r="U457" s="591">
        <f>COUNTIFS(F432:F531,Q446,I432:I531,S457)</f>
        <v>0</v>
      </c>
      <c r="V457" s="591">
        <f>COUNTIFS(F432:F531,R446,I432:I531,S457)</f>
        <v>0</v>
      </c>
      <c r="W457" s="594"/>
      <c r="X457" s="591" t="s">
        <v>482</v>
      </c>
      <c r="Y457" s="591" t="s">
        <v>483</v>
      </c>
      <c r="Z457" s="591" t="s">
        <v>491</v>
      </c>
      <c r="AA457" s="591" t="s">
        <v>486</v>
      </c>
      <c r="AB457" s="591">
        <f>COUNTIFS(G432:G531,Z457,O432:O531,S457)</f>
        <v>0</v>
      </c>
      <c r="AC457" s="591">
        <f>COUNTIFS(F432:F531,X457,G432:G531,Z457,O432:O531,S457)</f>
        <v>0</v>
      </c>
      <c r="AD457" s="591">
        <f>COUNTIFS(F432:F531,Y457,G432:G531,Z457,O432:O531,S457)</f>
        <v>0</v>
      </c>
      <c r="AE457" s="594"/>
    </row>
    <row r="458" spans="1:31">
      <c r="A458" s="596">
        <v>27</v>
      </c>
      <c r="B458" s="596">
        <f t="shared" ref="B458:E458" si="391">B351</f>
        <v>14976</v>
      </c>
      <c r="C458" s="596">
        <f t="shared" si="391"/>
        <v>20250064030</v>
      </c>
      <c r="D458" s="597" t="str">
        <f t="shared" si="391"/>
        <v>KARTIK</v>
      </c>
      <c r="E458" s="597" t="str">
        <f t="shared" si="391"/>
        <v>SUNIL</v>
      </c>
      <c r="F458" s="590" t="str">
        <f>VLOOKUP(A458,STUDENT!$A$2:$BR$105,68,0)</f>
        <v/>
      </c>
      <c r="G458" s="590" t="b">
        <f>VLOOKUP(A458,STUDENT!$A$2:$BR$105,67,0)</f>
        <v>0</v>
      </c>
      <c r="H458" s="590" t="str">
        <f>PASHEET!BZ30</f>
        <v/>
      </c>
      <c r="I458" s="590" t="str">
        <f>PASHEET!CA30</f>
        <v/>
      </c>
      <c r="J458" s="590" t="str">
        <f>PASHEET!CB30</f>
        <v/>
      </c>
      <c r="K458" s="590" t="str">
        <f>PASHEET!CC30</f>
        <v/>
      </c>
      <c r="L458" s="590" t="str">
        <f>PASHEET!CD30</f>
        <v/>
      </c>
      <c r="M458" s="590" t="str">
        <f>PASHEET!CE30</f>
        <v/>
      </c>
      <c r="N458" s="590" t="str">
        <f>PASHEET!CF30</f>
        <v/>
      </c>
      <c r="O458" s="590" t="str">
        <f>PASHEET!CG30</f>
        <v>Ab</v>
      </c>
      <c r="Q458" s="591" t="s">
        <v>482</v>
      </c>
      <c r="R458" s="591" t="s">
        <v>483</v>
      </c>
      <c r="S458" s="591" t="s">
        <v>487</v>
      </c>
      <c r="T458" s="591">
        <f>COUNTIFS(I432:I531,S458)</f>
        <v>0</v>
      </c>
      <c r="U458" s="591">
        <f>COUNTIFS(F432:F531,Q447,I432:I531,S458)</f>
        <v>0</v>
      </c>
      <c r="V458" s="591">
        <f>COUNTIFS(F432:F531,R447,I432:I531,S458)</f>
        <v>0</v>
      </c>
      <c r="W458" s="594"/>
      <c r="X458" s="591" t="s">
        <v>482</v>
      </c>
      <c r="Y458" s="591" t="s">
        <v>483</v>
      </c>
      <c r="Z458" s="591" t="s">
        <v>491</v>
      </c>
      <c r="AA458" s="591" t="s">
        <v>487</v>
      </c>
      <c r="AB458" s="591">
        <f>COUNTIFS(G432:G531,Z458,O432:O531,S458)</f>
        <v>0</v>
      </c>
      <c r="AC458" s="591">
        <f>COUNTIFS(F432:F531,X458,G432:G531,Z458,O432:O531,S458)</f>
        <v>0</v>
      </c>
      <c r="AD458" s="591">
        <f>COUNTIFS(F432:F531,Y458,G432:G531,Z458,O432:O531,S458)</f>
        <v>0</v>
      </c>
      <c r="AE458" s="594"/>
    </row>
    <row r="459" spans="1:31">
      <c r="A459" s="590">
        <v>28</v>
      </c>
      <c r="B459" s="596">
        <f t="shared" ref="B459:E459" si="392">B352</f>
        <v>14999</v>
      </c>
      <c r="C459" s="596">
        <f t="shared" si="392"/>
        <v>20250104050</v>
      </c>
      <c r="D459" s="597" t="str">
        <f t="shared" si="392"/>
        <v>ABDUL REHMAN</v>
      </c>
      <c r="E459" s="597" t="str">
        <f t="shared" si="392"/>
        <v>MD LAL BABU</v>
      </c>
      <c r="F459" s="590" t="str">
        <f>VLOOKUP(A459,STUDENT!$A$2:$BR$105,68,0)</f>
        <v/>
      </c>
      <c r="G459" s="590" t="b">
        <f>VLOOKUP(A459,STUDENT!$A$2:$BR$105,67,0)</f>
        <v>0</v>
      </c>
      <c r="H459" s="590" t="str">
        <f>PASHEET!BZ31</f>
        <v/>
      </c>
      <c r="I459" s="590" t="str">
        <f>PASHEET!CA31</f>
        <v/>
      </c>
      <c r="J459" s="590" t="str">
        <f>PASHEET!CB31</f>
        <v/>
      </c>
      <c r="K459" s="590" t="str">
        <f>PASHEET!CC31</f>
        <v/>
      </c>
      <c r="L459" s="590" t="str">
        <f>PASHEET!CD31</f>
        <v/>
      </c>
      <c r="M459" s="590" t="str">
        <f>PASHEET!CE31</f>
        <v/>
      </c>
      <c r="N459" s="590" t="str">
        <f>PASHEET!CF31</f>
        <v/>
      </c>
      <c r="O459" s="590" t="str">
        <f>PASHEET!CG31</f>
        <v>Ab</v>
      </c>
      <c r="Q459" s="591" t="s">
        <v>482</v>
      </c>
      <c r="R459" s="591" t="s">
        <v>483</v>
      </c>
      <c r="S459" s="591" t="s">
        <v>488</v>
      </c>
      <c r="T459" s="591">
        <f>COUNTIFS(I432:I531,S459)</f>
        <v>0</v>
      </c>
      <c r="U459" s="591">
        <f>COUNTIFS(F432:F531,Q448,I432:I531,S459)</f>
        <v>0</v>
      </c>
      <c r="V459" s="591">
        <f>COUNTIFS(F432:F531,R448,I432:I531,S459)</f>
        <v>0</v>
      </c>
      <c r="W459" s="594"/>
      <c r="X459" s="591" t="s">
        <v>482</v>
      </c>
      <c r="Y459" s="591" t="s">
        <v>483</v>
      </c>
      <c r="Z459" s="591" t="s">
        <v>491</v>
      </c>
      <c r="AA459" s="591" t="s">
        <v>488</v>
      </c>
      <c r="AB459" s="591">
        <f>COUNTIFS(G432:G531,Z459,O432:O531,S459)</f>
        <v>0</v>
      </c>
      <c r="AC459" s="591">
        <f>COUNTIFS(F432:F531,X459,G432:G531,Z459,O432:O531,S459)</f>
        <v>0</v>
      </c>
      <c r="AD459" s="591">
        <f>COUNTIFS(F432:F531,Y459,G432:G531,Z459,O432:O531,S459)</f>
        <v>0</v>
      </c>
      <c r="AE459" s="594"/>
    </row>
    <row r="460" spans="1:31">
      <c r="A460" s="596">
        <v>29</v>
      </c>
      <c r="B460" s="596">
        <f t="shared" ref="B460:E460" si="393">B353</f>
        <v>15000</v>
      </c>
      <c r="C460" s="596">
        <f t="shared" si="393"/>
        <v>20250104062</v>
      </c>
      <c r="D460" s="597" t="str">
        <f t="shared" si="393"/>
        <v>KARTIK</v>
      </c>
      <c r="E460" s="597" t="str">
        <f t="shared" si="393"/>
        <v>AMAN YADAV</v>
      </c>
      <c r="F460" s="590" t="str">
        <f>VLOOKUP(A460,STUDENT!$A$2:$BR$105,68,0)</f>
        <v/>
      </c>
      <c r="G460" s="590" t="b">
        <f>VLOOKUP(A460,STUDENT!$A$2:$BR$105,67,0)</f>
        <v>0</v>
      </c>
      <c r="H460" s="590" t="str">
        <f>PASHEET!BZ32</f>
        <v/>
      </c>
      <c r="I460" s="590" t="str">
        <f>PASHEET!CA32</f>
        <v/>
      </c>
      <c r="J460" s="590" t="str">
        <f>PASHEET!CB32</f>
        <v/>
      </c>
      <c r="K460" s="590" t="str">
        <f>PASHEET!CC32</f>
        <v/>
      </c>
      <c r="L460" s="590" t="str">
        <f>PASHEET!CD32</f>
        <v/>
      </c>
      <c r="M460" s="590" t="str">
        <f>PASHEET!CE32</f>
        <v/>
      </c>
      <c r="N460" s="590" t="str">
        <f>PASHEET!CF32</f>
        <v/>
      </c>
      <c r="O460" s="590" t="str">
        <f>PASHEET!CG32</f>
        <v>Ab</v>
      </c>
      <c r="Q460" s="591" t="s">
        <v>482</v>
      </c>
      <c r="R460" s="591" t="s">
        <v>483</v>
      </c>
      <c r="S460" s="591" t="s">
        <v>101</v>
      </c>
      <c r="T460" s="591">
        <f>COUNTIFS(I432:I531,S460)</f>
        <v>0</v>
      </c>
      <c r="U460" s="591">
        <f>COUNTIFS(F432:F531,Q449,I432:I531,S460)</f>
        <v>0</v>
      </c>
      <c r="V460" s="591">
        <f>COUNTIFS(F432:F531,R449,I432:I531,S460)</f>
        <v>0</v>
      </c>
      <c r="W460" s="594"/>
      <c r="X460" s="591" t="s">
        <v>482</v>
      </c>
      <c r="Y460" s="591" t="s">
        <v>483</v>
      </c>
      <c r="Z460" s="591" t="s">
        <v>491</v>
      </c>
      <c r="AA460" s="591" t="s">
        <v>101</v>
      </c>
      <c r="AB460" s="591">
        <f>COUNTIFS(G432:G531,Z460,O432:O531,S460)</f>
        <v>0</v>
      </c>
      <c r="AC460" s="591">
        <f>COUNTIFS(F432:F531,X460,G432:G531,Z460,O432:O531,S460)</f>
        <v>0</v>
      </c>
      <c r="AD460" s="591">
        <f>COUNTIFS(F432:F531,Y460,G432:G531,Z460,O432:O531,S460)</f>
        <v>0</v>
      </c>
      <c r="AE460" s="594"/>
    </row>
    <row r="461" spans="1:31">
      <c r="A461" s="590">
        <v>30</v>
      </c>
      <c r="B461" s="596">
        <f t="shared" ref="B461:E461" si="394">B354</f>
        <v>15022</v>
      </c>
      <c r="C461" s="596">
        <f t="shared" si="394"/>
        <v>20250141853</v>
      </c>
      <c r="D461" s="597" t="str">
        <f t="shared" si="394"/>
        <v>AYAN</v>
      </c>
      <c r="E461" s="597" t="str">
        <f t="shared" si="394"/>
        <v>BABU HASAN</v>
      </c>
      <c r="F461" s="590" t="str">
        <f>VLOOKUP(A461,STUDENT!$A$2:$BR$105,68,0)</f>
        <v/>
      </c>
      <c r="G461" s="590" t="b">
        <f>VLOOKUP(A461,STUDENT!$A$2:$BR$105,67,0)</f>
        <v>0</v>
      </c>
      <c r="H461" s="590" t="str">
        <f>PASHEET!BZ33</f>
        <v/>
      </c>
      <c r="I461" s="590" t="str">
        <f>PASHEET!CA33</f>
        <v/>
      </c>
      <c r="J461" s="590" t="str">
        <f>PASHEET!CB33</f>
        <v/>
      </c>
      <c r="K461" s="590" t="str">
        <f>PASHEET!CC33</f>
        <v/>
      </c>
      <c r="L461" s="590" t="str">
        <f>PASHEET!CD33</f>
        <v/>
      </c>
      <c r="M461" s="590" t="str">
        <f>PASHEET!CE33</f>
        <v/>
      </c>
      <c r="N461" s="590" t="str">
        <f>PASHEET!CF33</f>
        <v/>
      </c>
      <c r="O461" s="590" t="str">
        <f>PASHEET!CG33</f>
        <v>Ab</v>
      </c>
      <c r="Q461" s="591" t="s">
        <v>482</v>
      </c>
      <c r="R461" s="591" t="s">
        <v>483</v>
      </c>
      <c r="S461" s="591" t="s">
        <v>489</v>
      </c>
      <c r="T461" s="591">
        <f>COUNTIFS(I432:I531,S461)</f>
        <v>0</v>
      </c>
      <c r="U461" s="591">
        <f>COUNTIFS(F432:F531,Q450,I432:I531,S461)</f>
        <v>0</v>
      </c>
      <c r="V461" s="591">
        <f>COUNTIFS(F432:F531,R450,I432:I531,S461)</f>
        <v>0</v>
      </c>
      <c r="W461" s="594"/>
      <c r="X461" s="591" t="s">
        <v>482</v>
      </c>
      <c r="Y461" s="591" t="s">
        <v>483</v>
      </c>
      <c r="Z461" s="591" t="s">
        <v>491</v>
      </c>
      <c r="AA461" s="591" t="s">
        <v>489</v>
      </c>
      <c r="AB461" s="591">
        <f>COUNTIFS(G432:G531,Z461,O432:O531,S461)</f>
        <v>0</v>
      </c>
      <c r="AC461" s="591">
        <f>COUNTIFS(F432:F531,X461,G432:G531,Z461,O432:O531,S461)</f>
        <v>0</v>
      </c>
      <c r="AD461" s="591">
        <f>COUNTIFS(F432:F531,Y461,G432:G531,Z461,O432:O531,S461)</f>
        <v>0</v>
      </c>
      <c r="AE461" s="594"/>
    </row>
    <row r="462" spans="1:31">
      <c r="A462" s="596">
        <v>31</v>
      </c>
      <c r="B462" s="596">
        <f t="shared" ref="B462:E462" si="395">B355</f>
        <v>15034</v>
      </c>
      <c r="C462" s="596">
        <f t="shared" si="395"/>
        <v>20250188568</v>
      </c>
      <c r="D462" s="597" t="str">
        <f t="shared" si="395"/>
        <v>RAM CHANDER KUMAR</v>
      </c>
      <c r="E462" s="597" t="str">
        <f t="shared" si="395"/>
        <v>AKASH SHARMA</v>
      </c>
      <c r="F462" s="590" t="str">
        <f>VLOOKUP(A462,STUDENT!$A$2:$BR$105,68,0)</f>
        <v/>
      </c>
      <c r="G462" s="590" t="b">
        <f>VLOOKUP(A462,STUDENT!$A$2:$BR$105,67,0)</f>
        <v>0</v>
      </c>
      <c r="H462" s="590" t="str">
        <f>PASHEET!BZ34</f>
        <v/>
      </c>
      <c r="I462" s="590" t="str">
        <f>PASHEET!CA34</f>
        <v/>
      </c>
      <c r="J462" s="590" t="str">
        <f>PASHEET!CB34</f>
        <v/>
      </c>
      <c r="K462" s="590" t="str">
        <f>PASHEET!CC34</f>
        <v/>
      </c>
      <c r="L462" s="590" t="str">
        <f>PASHEET!CD34</f>
        <v/>
      </c>
      <c r="M462" s="590" t="str">
        <f>PASHEET!CE34</f>
        <v/>
      </c>
      <c r="N462" s="590" t="str">
        <f>PASHEET!CF34</f>
        <v/>
      </c>
      <c r="O462" s="590" t="str">
        <f>PASHEET!CG34</f>
        <v>Ab</v>
      </c>
      <c r="Q462" s="591" t="s">
        <v>482</v>
      </c>
      <c r="R462" s="591" t="s">
        <v>483</v>
      </c>
      <c r="S462" s="591"/>
      <c r="T462" s="591"/>
      <c r="U462" s="591"/>
      <c r="V462" s="591"/>
      <c r="W462" s="594"/>
      <c r="X462" s="591" t="s">
        <v>482</v>
      </c>
      <c r="Y462" s="591" t="s">
        <v>483</v>
      </c>
      <c r="Z462" s="591" t="s">
        <v>491</v>
      </c>
      <c r="AA462" s="591"/>
      <c r="AB462" s="591"/>
      <c r="AC462" s="591"/>
      <c r="AD462" s="591"/>
      <c r="AE462" s="594"/>
    </row>
    <row r="463" spans="1:31">
      <c r="A463" s="590">
        <v>32</v>
      </c>
      <c r="B463" s="596">
        <f t="shared" ref="B463:E463" si="396">B356</f>
        <v>15035</v>
      </c>
      <c r="C463" s="596">
        <f t="shared" si="396"/>
        <v>20250188626</v>
      </c>
      <c r="D463" s="597" t="str">
        <f t="shared" si="396"/>
        <v>HARSHIT</v>
      </c>
      <c r="E463" s="597" t="str">
        <f t="shared" si="396"/>
        <v>ANKIT SINGH</v>
      </c>
      <c r="F463" s="590" t="str">
        <f>VLOOKUP(A463,STUDENT!$A$2:$BR$105,68,0)</f>
        <v/>
      </c>
      <c r="G463" s="590" t="b">
        <f>VLOOKUP(A463,STUDENT!$A$2:$BR$105,67,0)</f>
        <v>0</v>
      </c>
      <c r="H463" s="590" t="str">
        <f>PASHEET!BZ35</f>
        <v/>
      </c>
      <c r="I463" s="590" t="str">
        <f>PASHEET!CA35</f>
        <v/>
      </c>
      <c r="J463" s="590" t="str">
        <f>PASHEET!CB35</f>
        <v/>
      </c>
      <c r="K463" s="590" t="str">
        <f>PASHEET!CC35</f>
        <v/>
      </c>
      <c r="L463" s="590" t="str">
        <f>PASHEET!CD35</f>
        <v/>
      </c>
      <c r="M463" s="590" t="str">
        <f>PASHEET!CE35</f>
        <v/>
      </c>
      <c r="N463" s="590" t="str">
        <f>PASHEET!CF35</f>
        <v/>
      </c>
      <c r="O463" s="590" t="str">
        <f>PASHEET!CG35</f>
        <v>Ab</v>
      </c>
      <c r="Q463" s="591"/>
      <c r="R463" s="591"/>
      <c r="S463" s="591" t="s">
        <v>102</v>
      </c>
      <c r="T463" s="591">
        <f>SUM(T455:T462)</f>
        <v>0</v>
      </c>
      <c r="U463" s="591">
        <f t="shared" ref="U463:V463" si="397">SUM(U455:U462)</f>
        <v>0</v>
      </c>
      <c r="V463" s="591">
        <f t="shared" si="397"/>
        <v>0</v>
      </c>
      <c r="W463" s="594"/>
      <c r="X463" s="591"/>
      <c r="Y463" s="591"/>
      <c r="Z463" s="591"/>
      <c r="AA463" s="591" t="s">
        <v>102</v>
      </c>
      <c r="AB463" s="591">
        <f>SUM(AB455:AB462)</f>
        <v>0</v>
      </c>
      <c r="AC463" s="591">
        <f t="shared" ref="AC463:AD463" si="398">SUM(AC455:AC462)</f>
        <v>0</v>
      </c>
      <c r="AD463" s="591">
        <f t="shared" si="398"/>
        <v>0</v>
      </c>
      <c r="AE463" s="594"/>
    </row>
    <row r="464" spans="1:31">
      <c r="A464" s="596">
        <v>33</v>
      </c>
      <c r="B464" s="596">
        <f t="shared" ref="B464:E464" si="399">B357</f>
        <v>15077</v>
      </c>
      <c r="C464" s="596">
        <f t="shared" si="399"/>
        <v>20250246710</v>
      </c>
      <c r="D464" s="597" t="str">
        <f t="shared" si="399"/>
        <v>HEMANT KUMAR</v>
      </c>
      <c r="E464" s="597" t="str">
        <f t="shared" si="399"/>
        <v>PRADEEP KUMAR</v>
      </c>
      <c r="F464" s="590" t="str">
        <f>VLOOKUP(A464,STUDENT!$A$2:$BR$105,68,0)</f>
        <v/>
      </c>
      <c r="G464" s="590" t="b">
        <f>VLOOKUP(A464,STUDENT!$A$2:$BR$105,67,0)</f>
        <v>0</v>
      </c>
      <c r="H464" s="590" t="str">
        <f>PASHEET!BZ36</f>
        <v/>
      </c>
      <c r="I464" s="590" t="str">
        <f>PASHEET!CA36</f>
        <v/>
      </c>
      <c r="J464" s="590" t="str">
        <f>PASHEET!CB36</f>
        <v/>
      </c>
      <c r="K464" s="590" t="str">
        <f>PASHEET!CC36</f>
        <v/>
      </c>
      <c r="L464" s="590" t="str">
        <f>PASHEET!CD36</f>
        <v/>
      </c>
      <c r="M464" s="590" t="str">
        <f>PASHEET!CE36</f>
        <v/>
      </c>
      <c r="N464" s="590" t="str">
        <f>PASHEET!CF36</f>
        <v/>
      </c>
      <c r="O464" s="590" t="str">
        <f>PASHEET!CG36</f>
        <v>Ab</v>
      </c>
      <c r="Q464" s="591"/>
      <c r="R464" s="591"/>
      <c r="S464" s="591"/>
      <c r="T464" s="591"/>
      <c r="U464" s="591"/>
      <c r="V464" s="591"/>
      <c r="W464" s="594"/>
      <c r="X464" s="594"/>
      <c r="Y464" s="594"/>
      <c r="Z464" s="594"/>
      <c r="AA464" s="594"/>
      <c r="AB464" s="591"/>
      <c r="AC464" s="591"/>
      <c r="AD464" s="591"/>
      <c r="AE464" s="594"/>
    </row>
    <row r="465" spans="1:31">
      <c r="A465" s="590">
        <v>34</v>
      </c>
      <c r="B465" s="596">
        <f t="shared" ref="B465:E465" si="400">B358</f>
        <v>15088</v>
      </c>
      <c r="C465" s="596">
        <f t="shared" si="400"/>
        <v>20250257787</v>
      </c>
      <c r="D465" s="597" t="str">
        <f t="shared" si="400"/>
        <v>VEERPARTAP SINGH</v>
      </c>
      <c r="E465" s="597" t="str">
        <f t="shared" si="400"/>
        <v>VIJAY SINGH</v>
      </c>
      <c r="F465" s="590" t="str">
        <f>VLOOKUP(A465,STUDENT!$A$2:$BR$105,68,0)</f>
        <v/>
      </c>
      <c r="G465" s="590" t="b">
        <f>VLOOKUP(A465,STUDENT!$A$2:$BR$105,67,0)</f>
        <v>0</v>
      </c>
      <c r="H465" s="590" t="str">
        <f>PASHEET!BZ37</f>
        <v/>
      </c>
      <c r="I465" s="590" t="str">
        <f>PASHEET!CA37</f>
        <v/>
      </c>
      <c r="J465" s="590" t="str">
        <f>PASHEET!CB37</f>
        <v/>
      </c>
      <c r="K465" s="590" t="str">
        <f>PASHEET!CC37</f>
        <v/>
      </c>
      <c r="L465" s="590" t="str">
        <f>PASHEET!CD37</f>
        <v/>
      </c>
      <c r="M465" s="590" t="str">
        <f>PASHEET!CE37</f>
        <v/>
      </c>
      <c r="N465" s="590" t="str">
        <f>PASHEET!CF37</f>
        <v/>
      </c>
      <c r="O465" s="590" t="str">
        <f>PASHEET!CG37</f>
        <v>Ab</v>
      </c>
      <c r="Q465" s="591"/>
      <c r="R465" s="591"/>
      <c r="S465" s="591"/>
      <c r="T465" s="591"/>
      <c r="U465" s="591"/>
      <c r="V465" s="591"/>
      <c r="W465" s="594"/>
      <c r="X465" s="594"/>
      <c r="Y465" s="594"/>
      <c r="Z465" s="594"/>
      <c r="AA465" s="594"/>
      <c r="AB465" s="591"/>
      <c r="AC465" s="591"/>
      <c r="AD465" s="591"/>
      <c r="AE465" s="594"/>
    </row>
    <row r="466" spans="1:31">
      <c r="A466" s="596">
        <v>35</v>
      </c>
      <c r="B466" s="596">
        <f t="shared" ref="B466:E466" si="401">B359</f>
        <v>15104</v>
      </c>
      <c r="C466" s="596">
        <f t="shared" si="401"/>
        <v>20250272033</v>
      </c>
      <c r="D466" s="597" t="str">
        <f t="shared" si="401"/>
        <v>NIKHIL KUMAR</v>
      </c>
      <c r="E466" s="597" t="str">
        <f t="shared" si="401"/>
        <v>SUNIL KUMAR</v>
      </c>
      <c r="F466" s="590" t="str">
        <f>VLOOKUP(A466,STUDENT!$A$2:$BR$105,68,0)</f>
        <v/>
      </c>
      <c r="G466" s="590" t="b">
        <f>VLOOKUP(A466,STUDENT!$A$2:$BR$105,67,0)</f>
        <v>0</v>
      </c>
      <c r="H466" s="590" t="str">
        <f>PASHEET!BZ38</f>
        <v/>
      </c>
      <c r="I466" s="590" t="str">
        <f>PASHEET!CA38</f>
        <v/>
      </c>
      <c r="J466" s="590" t="str">
        <f>PASHEET!CB38</f>
        <v/>
      </c>
      <c r="K466" s="590" t="str">
        <f>PASHEET!CC38</f>
        <v/>
      </c>
      <c r="L466" s="590" t="str">
        <f>PASHEET!CD38</f>
        <v/>
      </c>
      <c r="M466" s="590" t="str">
        <f>PASHEET!CE38</f>
        <v/>
      </c>
      <c r="N466" s="590" t="str">
        <f>PASHEET!CF38</f>
        <v/>
      </c>
      <c r="O466" s="590" t="str">
        <f>PASHEET!CG38</f>
        <v>Ab</v>
      </c>
      <c r="Q466" s="591" t="s">
        <v>475</v>
      </c>
      <c r="R466" s="591" t="s">
        <v>476</v>
      </c>
      <c r="S466" s="592" t="s">
        <v>477</v>
      </c>
      <c r="T466" s="593" t="s">
        <v>88</v>
      </c>
      <c r="U466" s="592" t="s">
        <v>479</v>
      </c>
      <c r="V466" s="592" t="s">
        <v>480</v>
      </c>
      <c r="W466" s="594"/>
      <c r="X466" s="591" t="s">
        <v>475</v>
      </c>
      <c r="Y466" s="591" t="s">
        <v>476</v>
      </c>
      <c r="Z466" s="591" t="s">
        <v>474</v>
      </c>
      <c r="AA466" s="592" t="s">
        <v>477</v>
      </c>
      <c r="AB466" s="593" t="s">
        <v>492</v>
      </c>
      <c r="AC466" s="592" t="s">
        <v>479</v>
      </c>
      <c r="AD466" s="592" t="s">
        <v>480</v>
      </c>
      <c r="AE466" s="594"/>
    </row>
    <row r="467" spans="1:31">
      <c r="A467" s="590">
        <v>36</v>
      </c>
      <c r="B467" s="596">
        <f t="shared" ref="B467:E467" si="402">B360</f>
        <v>15143</v>
      </c>
      <c r="C467" s="596">
        <f t="shared" si="402"/>
        <v>20250310265</v>
      </c>
      <c r="D467" s="597" t="str">
        <f t="shared" si="402"/>
        <v>JITENDRA</v>
      </c>
      <c r="E467" s="597" t="str">
        <f t="shared" si="402"/>
        <v>RAM SUMAR</v>
      </c>
      <c r="F467" s="590" t="str">
        <f>VLOOKUP(A467,STUDENT!$A$2:$BR$105,68,0)</f>
        <v/>
      </c>
      <c r="G467" s="590" t="b">
        <f>VLOOKUP(A467,STUDENT!$A$2:$BR$105,67,0)</f>
        <v>0</v>
      </c>
      <c r="H467" s="590" t="str">
        <f>PASHEET!BZ39</f>
        <v/>
      </c>
      <c r="I467" s="590" t="str">
        <f>PASHEET!CA39</f>
        <v/>
      </c>
      <c r="J467" s="590" t="str">
        <f>PASHEET!CB39</f>
        <v/>
      </c>
      <c r="K467" s="590" t="str">
        <f>PASHEET!CC39</f>
        <v/>
      </c>
      <c r="L467" s="590" t="str">
        <f>PASHEET!CD39</f>
        <v/>
      </c>
      <c r="M467" s="590" t="str">
        <f>PASHEET!CE39</f>
        <v/>
      </c>
      <c r="N467" s="590" t="str">
        <f>PASHEET!CF39</f>
        <v/>
      </c>
      <c r="O467" s="590" t="str">
        <f>PASHEET!CG39</f>
        <v>Ab</v>
      </c>
      <c r="Q467" s="591" t="s">
        <v>482</v>
      </c>
      <c r="R467" s="591" t="s">
        <v>483</v>
      </c>
      <c r="S467" s="591" t="s">
        <v>50</v>
      </c>
      <c r="T467" s="591">
        <f>COUNTIFS(J432:J531,S467)</f>
        <v>0</v>
      </c>
      <c r="U467" s="591">
        <f>COUNTIFS(F432:F531,Q456,J432:J531,S467)</f>
        <v>0</v>
      </c>
      <c r="V467" s="591">
        <f>COUNTIFS(F432:F531,R456,J432:J531,S467)</f>
        <v>0</v>
      </c>
      <c r="W467" s="594"/>
      <c r="X467" s="591" t="s">
        <v>482</v>
      </c>
      <c r="Y467" s="591" t="s">
        <v>483</v>
      </c>
      <c r="Z467" s="591" t="s">
        <v>492</v>
      </c>
      <c r="AA467" s="591" t="s">
        <v>50</v>
      </c>
      <c r="AB467" s="591">
        <f>COUNTIFS(G432:G531,Z467,O432:O531,S467)</f>
        <v>0</v>
      </c>
      <c r="AC467" s="591">
        <f>COUNTIFS(F432:F531,X467,G432:G531,Z467,O432:O531,S467)</f>
        <v>0</v>
      </c>
      <c r="AD467" s="591">
        <f>COUNTIFS(F432:F531,Y467,G432:G531,Z467,O432:O531,S467)</f>
        <v>0</v>
      </c>
      <c r="AE467" s="594"/>
    </row>
    <row r="468" spans="1:31">
      <c r="A468" s="596">
        <v>37</v>
      </c>
      <c r="B468" s="596">
        <f t="shared" ref="B468:E468" si="403">B361</f>
        <v>15144</v>
      </c>
      <c r="C468" s="596">
        <f t="shared" si="403"/>
        <v>20250310269</v>
      </c>
      <c r="D468" s="597" t="str">
        <f t="shared" si="403"/>
        <v>MOHD AYAN</v>
      </c>
      <c r="E468" s="597" t="str">
        <f t="shared" si="403"/>
        <v>BUDHAN MIYAN</v>
      </c>
      <c r="F468" s="590" t="str">
        <f>VLOOKUP(A468,STUDENT!$A$2:$BR$105,68,0)</f>
        <v/>
      </c>
      <c r="G468" s="590" t="b">
        <f>VLOOKUP(A468,STUDENT!$A$2:$BR$105,67,0)</f>
        <v>0</v>
      </c>
      <c r="H468" s="590" t="str">
        <f>PASHEET!BZ40</f>
        <v/>
      </c>
      <c r="I468" s="590" t="str">
        <f>PASHEET!CA40</f>
        <v/>
      </c>
      <c r="J468" s="590" t="str">
        <f>PASHEET!CB40</f>
        <v/>
      </c>
      <c r="K468" s="590" t="str">
        <f>PASHEET!CC40</f>
        <v/>
      </c>
      <c r="L468" s="590" t="str">
        <f>PASHEET!CD40</f>
        <v/>
      </c>
      <c r="M468" s="590" t="str">
        <f>PASHEET!CE40</f>
        <v/>
      </c>
      <c r="N468" s="590" t="str">
        <f>PASHEET!CF40</f>
        <v/>
      </c>
      <c r="O468" s="590" t="str">
        <f>PASHEET!CG40</f>
        <v>Ab</v>
      </c>
      <c r="Q468" s="591" t="s">
        <v>482</v>
      </c>
      <c r="R468" s="591" t="s">
        <v>483</v>
      </c>
      <c r="S468" s="591" t="s">
        <v>485</v>
      </c>
      <c r="T468" s="591">
        <f>COUNTIFS(J432:J531,S468)</f>
        <v>0</v>
      </c>
      <c r="U468" s="591">
        <f>COUNTIFS(F432:F531,Q457,J432:J531,S468)</f>
        <v>0</v>
      </c>
      <c r="V468" s="591">
        <f>COUNTIFS(F432:F531,R457,J432:J531,S468)</f>
        <v>0</v>
      </c>
      <c r="W468" s="594"/>
      <c r="X468" s="591" t="s">
        <v>482</v>
      </c>
      <c r="Y468" s="591" t="s">
        <v>483</v>
      </c>
      <c r="Z468" s="591" t="s">
        <v>492</v>
      </c>
      <c r="AA468" s="591" t="s">
        <v>485</v>
      </c>
      <c r="AB468" s="591">
        <f>COUNTIFS(G432:G531,Z468,O432:O531,S468)</f>
        <v>0</v>
      </c>
      <c r="AC468" s="591">
        <f>COUNTIFS(F432:F531,X468,G432:G531,Z468,O432:O531,S468)</f>
        <v>0</v>
      </c>
      <c r="AD468" s="591">
        <f>COUNTIFS(F432:F531,Y468,G432:G531,Z468,O432:O531,S468)</f>
        <v>0</v>
      </c>
      <c r="AE468" s="594"/>
    </row>
    <row r="469" spans="1:31">
      <c r="A469" s="590">
        <v>38</v>
      </c>
      <c r="B469" s="596">
        <f t="shared" ref="B469:E469" si="404">B362</f>
        <v>15145</v>
      </c>
      <c r="C469" s="596">
        <f t="shared" si="404"/>
        <v>20250310277</v>
      </c>
      <c r="D469" s="597" t="str">
        <f t="shared" si="404"/>
        <v>RAJA KUMAR</v>
      </c>
      <c r="E469" s="597" t="str">
        <f t="shared" si="404"/>
        <v>AMAR PODDAR</v>
      </c>
      <c r="F469" s="590" t="str">
        <f>VLOOKUP(A469,STUDENT!$A$2:$BR$105,68,0)</f>
        <v/>
      </c>
      <c r="G469" s="590" t="b">
        <f>VLOOKUP(A469,STUDENT!$A$2:$BR$105,67,0)</f>
        <v>0</v>
      </c>
      <c r="H469" s="590" t="str">
        <f>PASHEET!BZ41</f>
        <v/>
      </c>
      <c r="I469" s="590" t="str">
        <f>PASHEET!CA41</f>
        <v/>
      </c>
      <c r="J469" s="590" t="str">
        <f>PASHEET!CB41</f>
        <v/>
      </c>
      <c r="K469" s="590" t="str">
        <f>PASHEET!CC41</f>
        <v/>
      </c>
      <c r="L469" s="590" t="str">
        <f>PASHEET!CD41</f>
        <v/>
      </c>
      <c r="M469" s="590" t="str">
        <f>PASHEET!CE41</f>
        <v/>
      </c>
      <c r="N469" s="590" t="str">
        <f>PASHEET!CF41</f>
        <v/>
      </c>
      <c r="O469" s="590" t="str">
        <f>PASHEET!CG41</f>
        <v>Ab</v>
      </c>
      <c r="Q469" s="591" t="s">
        <v>482</v>
      </c>
      <c r="R469" s="591" t="s">
        <v>483</v>
      </c>
      <c r="S469" s="591" t="s">
        <v>486</v>
      </c>
      <c r="T469" s="591">
        <f>COUNTIFS(J432:J531,S469)</f>
        <v>0</v>
      </c>
      <c r="U469" s="591">
        <f>COUNTIFS(F432:F531,Q458,J432:J531,S469)</f>
        <v>0</v>
      </c>
      <c r="V469" s="591">
        <f>COUNTIFS(F432:F531,R458,J432:J531,S469)</f>
        <v>0</v>
      </c>
      <c r="W469" s="594"/>
      <c r="X469" s="591" t="s">
        <v>482</v>
      </c>
      <c r="Y469" s="591" t="s">
        <v>483</v>
      </c>
      <c r="Z469" s="591" t="s">
        <v>492</v>
      </c>
      <c r="AA469" s="591" t="s">
        <v>486</v>
      </c>
      <c r="AB469" s="591">
        <f>COUNTIFS(G432:G531,Z469,O432:O531,S469)</f>
        <v>0</v>
      </c>
      <c r="AC469" s="591">
        <f>COUNTIFS(F432:F531,X469,G432:G531,Z469,O432:O531,S469)</f>
        <v>0</v>
      </c>
      <c r="AD469" s="591">
        <f>COUNTIFS(F432:F531,Y469,G432:G531,Z469,O432:O531,S469)</f>
        <v>0</v>
      </c>
      <c r="AE469" s="594"/>
    </row>
    <row r="470" spans="1:31">
      <c r="A470" s="596">
        <v>39</v>
      </c>
      <c r="B470" s="596">
        <f t="shared" ref="B470:E470" si="405">B363</f>
        <v>15149</v>
      </c>
      <c r="C470" s="596">
        <f t="shared" si="405"/>
        <v>20250325088</v>
      </c>
      <c r="D470" s="597" t="str">
        <f t="shared" si="405"/>
        <v>LOVECESH KUMAR</v>
      </c>
      <c r="E470" s="597" t="str">
        <f t="shared" si="405"/>
        <v>SANDEEP KUMAR</v>
      </c>
      <c r="F470" s="590" t="str">
        <f>VLOOKUP(A470,STUDENT!$A$2:$BR$105,68,0)</f>
        <v/>
      </c>
      <c r="G470" s="590" t="b">
        <f>VLOOKUP(A470,STUDENT!$A$2:$BR$105,67,0)</f>
        <v>0</v>
      </c>
      <c r="H470" s="590" t="str">
        <f>PASHEET!BZ42</f>
        <v/>
      </c>
      <c r="I470" s="590" t="str">
        <f>PASHEET!CA42</f>
        <v/>
      </c>
      <c r="J470" s="590" t="str">
        <f>PASHEET!CB42</f>
        <v/>
      </c>
      <c r="K470" s="590" t="str">
        <f>PASHEET!CC42</f>
        <v/>
      </c>
      <c r="L470" s="590" t="str">
        <f>PASHEET!CD42</f>
        <v/>
      </c>
      <c r="M470" s="590" t="str">
        <f>PASHEET!CE42</f>
        <v/>
      </c>
      <c r="N470" s="590" t="str">
        <f>PASHEET!CF42</f>
        <v/>
      </c>
      <c r="O470" s="590" t="str">
        <f>PASHEET!CG42</f>
        <v>Ab</v>
      </c>
      <c r="Q470" s="591" t="s">
        <v>482</v>
      </c>
      <c r="R470" s="591" t="s">
        <v>483</v>
      </c>
      <c r="S470" s="591" t="s">
        <v>487</v>
      </c>
      <c r="T470" s="591">
        <f>COUNTIFS(J432:J531,S470)</f>
        <v>0</v>
      </c>
      <c r="U470" s="591">
        <f>COUNTIFS(F432:F531,Q459,J432:J531,S470)</f>
        <v>0</v>
      </c>
      <c r="V470" s="591">
        <f>COUNTIFS(F432:F531,R459,J432:J531,S470)</f>
        <v>0</v>
      </c>
      <c r="W470" s="594"/>
      <c r="X470" s="591" t="s">
        <v>482</v>
      </c>
      <c r="Y470" s="591" t="s">
        <v>483</v>
      </c>
      <c r="Z470" s="591" t="s">
        <v>492</v>
      </c>
      <c r="AA470" s="591" t="s">
        <v>487</v>
      </c>
      <c r="AB470" s="591">
        <f>COUNTIFS(G432:G531,Z470,O432:O531,S470)</f>
        <v>0</v>
      </c>
      <c r="AC470" s="591">
        <f>COUNTIFS(F432:F531,X470,G432:G531,Z470,O432:O531,S470)</f>
        <v>0</v>
      </c>
      <c r="AD470" s="591">
        <f>COUNTIFS(F432:F531,Y470,G432:G531,Z470,O432:O531,S470)</f>
        <v>0</v>
      </c>
      <c r="AE470" s="594"/>
    </row>
    <row r="471" spans="1:31">
      <c r="A471" s="590">
        <v>40</v>
      </c>
      <c r="B471" s="596">
        <f t="shared" ref="B471:E471" si="406">B364</f>
        <v>0</v>
      </c>
      <c r="C471" s="596">
        <f t="shared" si="406"/>
        <v>0</v>
      </c>
      <c r="D471" s="597">
        <f t="shared" si="406"/>
        <v>0</v>
      </c>
      <c r="E471" s="597">
        <f t="shared" si="406"/>
        <v>0</v>
      </c>
      <c r="F471" s="590" t="str">
        <f>VLOOKUP(A471,STUDENT!$A$2:$BR$105,68,0)</f>
        <v/>
      </c>
      <c r="G471" s="590" t="b">
        <f>VLOOKUP(A471,STUDENT!$A$2:$BR$105,67,0)</f>
        <v>0</v>
      </c>
      <c r="H471" s="590" t="str">
        <f>PASHEET!BZ43</f>
        <v/>
      </c>
      <c r="I471" s="590" t="str">
        <f>PASHEET!CA43</f>
        <v/>
      </c>
      <c r="J471" s="590" t="str">
        <f>PASHEET!CB43</f>
        <v/>
      </c>
      <c r="K471" s="590" t="str">
        <f>PASHEET!CC43</f>
        <v/>
      </c>
      <c r="L471" s="590" t="str">
        <f>PASHEET!CD43</f>
        <v/>
      </c>
      <c r="M471" s="590" t="str">
        <f>PASHEET!CE43</f>
        <v/>
      </c>
      <c r="N471" s="590" t="str">
        <f>PASHEET!CF43</f>
        <v/>
      </c>
      <c r="O471" s="590" t="str">
        <f>PASHEET!CG43</f>
        <v/>
      </c>
      <c r="Q471" s="591" t="s">
        <v>482</v>
      </c>
      <c r="R471" s="591" t="s">
        <v>483</v>
      </c>
      <c r="S471" s="591" t="s">
        <v>488</v>
      </c>
      <c r="T471" s="591">
        <f>COUNTIFS(J432:J531,S471)</f>
        <v>0</v>
      </c>
      <c r="U471" s="591">
        <f>COUNTIFS(F432:F531,Q460,J432:J531,S471)</f>
        <v>0</v>
      </c>
      <c r="V471" s="591">
        <f>COUNTIFS(F432:F531,R460,J432:J531,S471)</f>
        <v>0</v>
      </c>
      <c r="W471" s="594"/>
      <c r="X471" s="591" t="s">
        <v>482</v>
      </c>
      <c r="Y471" s="591" t="s">
        <v>483</v>
      </c>
      <c r="Z471" s="591" t="s">
        <v>492</v>
      </c>
      <c r="AA471" s="591" t="s">
        <v>488</v>
      </c>
      <c r="AB471" s="591">
        <f>COUNTIFS(G432:G531,Z471,O432:O531,S471)</f>
        <v>0</v>
      </c>
      <c r="AC471" s="591">
        <f>COUNTIFS(F432:F531,X471,G432:G531,Z471,O432:O531,S471)</f>
        <v>0</v>
      </c>
      <c r="AD471" s="591">
        <f>COUNTIFS(F432:F531,Y471,G432:G531,Z471,O432:O531,S471)</f>
        <v>0</v>
      </c>
      <c r="AE471" s="594"/>
    </row>
    <row r="472" spans="1:31">
      <c r="A472" s="596">
        <v>41</v>
      </c>
      <c r="B472" s="596">
        <f t="shared" ref="B472:E472" si="407">B365</f>
        <v>0</v>
      </c>
      <c r="C472" s="596">
        <f t="shared" si="407"/>
        <v>0</v>
      </c>
      <c r="D472" s="597">
        <f t="shared" si="407"/>
        <v>0</v>
      </c>
      <c r="E472" s="597">
        <f t="shared" si="407"/>
        <v>0</v>
      </c>
      <c r="F472" s="590" t="str">
        <f>VLOOKUP(A472,STUDENT!$A$2:$BR$105,68,0)</f>
        <v/>
      </c>
      <c r="G472" s="590" t="b">
        <f>VLOOKUP(A472,STUDENT!$A$2:$BR$105,67,0)</f>
        <v>0</v>
      </c>
      <c r="H472" s="590" t="str">
        <f>PASHEET!BZ44</f>
        <v/>
      </c>
      <c r="I472" s="590" t="str">
        <f>PASHEET!CA44</f>
        <v/>
      </c>
      <c r="J472" s="590" t="str">
        <f>PASHEET!CB44</f>
        <v/>
      </c>
      <c r="K472" s="590" t="str">
        <f>PASHEET!CC44</f>
        <v/>
      </c>
      <c r="L472" s="590" t="str">
        <f>PASHEET!CD44</f>
        <v/>
      </c>
      <c r="M472" s="590" t="str">
        <f>PASHEET!CE44</f>
        <v/>
      </c>
      <c r="N472" s="590" t="str">
        <f>PASHEET!CF44</f>
        <v/>
      </c>
      <c r="O472" s="590" t="str">
        <f>PASHEET!CG44</f>
        <v/>
      </c>
      <c r="Q472" s="591" t="s">
        <v>482</v>
      </c>
      <c r="R472" s="591" t="s">
        <v>483</v>
      </c>
      <c r="S472" s="591" t="s">
        <v>101</v>
      </c>
      <c r="T472" s="591">
        <f>COUNTIFS(J432:J531,S472)</f>
        <v>0</v>
      </c>
      <c r="U472" s="591">
        <f>COUNTIFS(F432:F531,Q461,J432:J531,S472)</f>
        <v>0</v>
      </c>
      <c r="V472" s="591">
        <f>COUNTIFS(F432:F531,R461,J432:J531,S472)</f>
        <v>0</v>
      </c>
      <c r="W472" s="594"/>
      <c r="X472" s="591" t="s">
        <v>482</v>
      </c>
      <c r="Y472" s="591" t="s">
        <v>483</v>
      </c>
      <c r="Z472" s="591" t="s">
        <v>492</v>
      </c>
      <c r="AA472" s="591" t="s">
        <v>101</v>
      </c>
      <c r="AB472" s="591">
        <f>COUNTIFS(G432:G531,Z472,O432:O531,S472)</f>
        <v>0</v>
      </c>
      <c r="AC472" s="591">
        <f>COUNTIFS(F432:F531,X472,G432:G531,Z472,O432:O531,S472)</f>
        <v>0</v>
      </c>
      <c r="AD472" s="591">
        <f>COUNTIFS(F432:F531,Y472,G432:G531,Z472,O432:O531,S472)</f>
        <v>0</v>
      </c>
      <c r="AE472" s="594"/>
    </row>
    <row r="473" spans="1:31">
      <c r="A473" s="590">
        <v>42</v>
      </c>
      <c r="B473" s="596">
        <f t="shared" ref="B473:E473" si="408">B366</f>
        <v>0</v>
      </c>
      <c r="C473" s="596">
        <f t="shared" si="408"/>
        <v>0</v>
      </c>
      <c r="D473" s="597">
        <f t="shared" si="408"/>
        <v>0</v>
      </c>
      <c r="E473" s="597">
        <f t="shared" si="408"/>
        <v>0</v>
      </c>
      <c r="F473" s="590" t="str">
        <f>VLOOKUP(A473,STUDENT!$A$2:$BR$105,68,0)</f>
        <v/>
      </c>
      <c r="G473" s="590" t="b">
        <f>VLOOKUP(A473,STUDENT!$A$2:$BR$105,67,0)</f>
        <v>0</v>
      </c>
      <c r="H473" s="590" t="str">
        <f>PASHEET!BZ45</f>
        <v/>
      </c>
      <c r="I473" s="590" t="str">
        <f>PASHEET!CA45</f>
        <v/>
      </c>
      <c r="J473" s="590" t="str">
        <f>PASHEET!CB45</f>
        <v/>
      </c>
      <c r="K473" s="590" t="str">
        <f>PASHEET!CC45</f>
        <v/>
      </c>
      <c r="L473" s="590" t="str">
        <f>PASHEET!CD45</f>
        <v/>
      </c>
      <c r="M473" s="590" t="str">
        <f>PASHEET!CE45</f>
        <v/>
      </c>
      <c r="N473" s="590" t="str">
        <f>PASHEET!CF45</f>
        <v/>
      </c>
      <c r="O473" s="590" t="str">
        <f>PASHEET!CG45</f>
        <v/>
      </c>
      <c r="Q473" s="591" t="s">
        <v>482</v>
      </c>
      <c r="R473" s="591" t="s">
        <v>483</v>
      </c>
      <c r="S473" s="591" t="s">
        <v>489</v>
      </c>
      <c r="T473" s="591">
        <f>COUNTIFS(J432:J531,S473)</f>
        <v>0</v>
      </c>
      <c r="U473" s="591">
        <f>COUNTIFS(F432:F531,Q462,J432:J531,S473)</f>
        <v>0</v>
      </c>
      <c r="V473" s="591">
        <f>COUNTIFS(F432:F531,R462,J432:J531,S473)</f>
        <v>0</v>
      </c>
      <c r="W473" s="594"/>
      <c r="X473" s="591" t="s">
        <v>482</v>
      </c>
      <c r="Y473" s="591" t="s">
        <v>483</v>
      </c>
      <c r="Z473" s="591" t="s">
        <v>492</v>
      </c>
      <c r="AA473" s="591" t="s">
        <v>489</v>
      </c>
      <c r="AB473" s="591">
        <f>COUNTIFS(G432:G531,Z473,O432:O531,S473)</f>
        <v>0</v>
      </c>
      <c r="AC473" s="591">
        <f>COUNTIFS(F432:F531,X473,G432:G531,Z473,O432:O531,S473)</f>
        <v>0</v>
      </c>
      <c r="AD473" s="591">
        <f>COUNTIFS(F432:F531,Y473,G432:G531,Z473,O432:O531,S473)</f>
        <v>0</v>
      </c>
      <c r="AE473" s="594"/>
    </row>
    <row r="474" spans="1:31">
      <c r="A474" s="596">
        <v>43</v>
      </c>
      <c r="B474" s="596">
        <f t="shared" ref="B474:E474" si="409">B367</f>
        <v>0</v>
      </c>
      <c r="C474" s="596">
        <f t="shared" si="409"/>
        <v>0</v>
      </c>
      <c r="D474" s="597">
        <f t="shared" si="409"/>
        <v>0</v>
      </c>
      <c r="E474" s="597">
        <f t="shared" si="409"/>
        <v>0</v>
      </c>
      <c r="F474" s="590" t="str">
        <f>VLOOKUP(A474,STUDENT!$A$2:$BR$105,68,0)</f>
        <v/>
      </c>
      <c r="G474" s="590" t="b">
        <f>VLOOKUP(A474,STUDENT!$A$2:$BR$105,67,0)</f>
        <v>0</v>
      </c>
      <c r="H474" s="590" t="str">
        <f>PASHEET!BZ46</f>
        <v/>
      </c>
      <c r="I474" s="590" t="str">
        <f>PASHEET!CA46</f>
        <v/>
      </c>
      <c r="J474" s="590" t="str">
        <f>PASHEET!CB46</f>
        <v/>
      </c>
      <c r="K474" s="590" t="str">
        <f>PASHEET!CC46</f>
        <v/>
      </c>
      <c r="L474" s="590" t="str">
        <f>PASHEET!CD46</f>
        <v/>
      </c>
      <c r="M474" s="590" t="str">
        <f>PASHEET!CE46</f>
        <v/>
      </c>
      <c r="N474" s="590" t="str">
        <f>PASHEET!CF46</f>
        <v/>
      </c>
      <c r="O474" s="590" t="str">
        <f>PASHEET!CG46</f>
        <v/>
      </c>
      <c r="Q474" s="591" t="s">
        <v>482</v>
      </c>
      <c r="R474" s="591" t="s">
        <v>483</v>
      </c>
      <c r="S474" s="591"/>
      <c r="T474" s="591"/>
      <c r="U474" s="591"/>
      <c r="V474" s="591"/>
      <c r="W474" s="594"/>
      <c r="X474" s="591" t="s">
        <v>482</v>
      </c>
      <c r="Y474" s="591" t="s">
        <v>483</v>
      </c>
      <c r="Z474" s="591" t="s">
        <v>492</v>
      </c>
      <c r="AA474" s="591"/>
      <c r="AB474" s="591"/>
      <c r="AC474" s="591"/>
      <c r="AD474" s="591"/>
      <c r="AE474" s="594"/>
    </row>
    <row r="475" spans="1:31">
      <c r="A475" s="590">
        <v>44</v>
      </c>
      <c r="B475" s="596">
        <f t="shared" ref="B475:E475" si="410">B368</f>
        <v>0</v>
      </c>
      <c r="C475" s="596">
        <f t="shared" si="410"/>
        <v>0</v>
      </c>
      <c r="D475" s="597">
        <f t="shared" si="410"/>
        <v>0</v>
      </c>
      <c r="E475" s="597">
        <f t="shared" si="410"/>
        <v>0</v>
      </c>
      <c r="F475" s="590" t="str">
        <f>VLOOKUP(A475,STUDENT!$A$2:$BR$105,68,0)</f>
        <v/>
      </c>
      <c r="G475" s="590" t="b">
        <f>VLOOKUP(A475,STUDENT!$A$2:$BR$105,67,0)</f>
        <v>0</v>
      </c>
      <c r="H475" s="590" t="str">
        <f>PASHEET!BZ47</f>
        <v/>
      </c>
      <c r="I475" s="590" t="str">
        <f>PASHEET!CA47</f>
        <v/>
      </c>
      <c r="J475" s="590" t="str">
        <f>PASHEET!CB47</f>
        <v/>
      </c>
      <c r="K475" s="590" t="str">
        <f>PASHEET!CC47</f>
        <v/>
      </c>
      <c r="L475" s="590" t="str">
        <f>PASHEET!CD47</f>
        <v/>
      </c>
      <c r="M475" s="590" t="str">
        <f>PASHEET!CE47</f>
        <v/>
      </c>
      <c r="N475" s="590" t="str">
        <f>PASHEET!CF47</f>
        <v/>
      </c>
      <c r="O475" s="590" t="str">
        <f>PASHEET!CG47</f>
        <v/>
      </c>
      <c r="Q475" s="591"/>
      <c r="R475" s="591"/>
      <c r="S475" s="591" t="s">
        <v>102</v>
      </c>
      <c r="T475" s="591">
        <f>SUM(T467:T474)</f>
        <v>0</v>
      </c>
      <c r="U475" s="591">
        <f t="shared" ref="U475:V475" si="411">SUM(U467:U474)</f>
        <v>0</v>
      </c>
      <c r="V475" s="591">
        <f t="shared" si="411"/>
        <v>0</v>
      </c>
      <c r="W475" s="594"/>
      <c r="X475" s="591"/>
      <c r="Y475" s="591"/>
      <c r="Z475" s="591"/>
      <c r="AA475" s="591" t="s">
        <v>102</v>
      </c>
      <c r="AB475" s="591">
        <f>SUM(AB467:AB474)</f>
        <v>0</v>
      </c>
      <c r="AC475" s="591">
        <f t="shared" ref="AC475:AD475" si="412">SUM(AC467:AC474)</f>
        <v>0</v>
      </c>
      <c r="AD475" s="591">
        <f t="shared" si="412"/>
        <v>0</v>
      </c>
      <c r="AE475" s="594"/>
    </row>
    <row r="476" spans="1:31">
      <c r="A476" s="596">
        <v>45</v>
      </c>
      <c r="B476" s="596">
        <f t="shared" ref="B476:E476" si="413">B369</f>
        <v>0</v>
      </c>
      <c r="C476" s="596">
        <f t="shared" si="413"/>
        <v>0</v>
      </c>
      <c r="D476" s="597">
        <f t="shared" si="413"/>
        <v>0</v>
      </c>
      <c r="E476" s="597">
        <f t="shared" si="413"/>
        <v>0</v>
      </c>
      <c r="F476" s="590" t="str">
        <f>VLOOKUP(A476,STUDENT!$A$2:$BR$105,68,0)</f>
        <v/>
      </c>
      <c r="G476" s="590" t="b">
        <f>VLOOKUP(A476,STUDENT!$A$2:$BR$105,67,0)</f>
        <v>0</v>
      </c>
      <c r="H476" s="590" t="str">
        <f>PASHEET!BZ48</f>
        <v/>
      </c>
      <c r="I476" s="590" t="str">
        <f>PASHEET!CA48</f>
        <v/>
      </c>
      <c r="J476" s="590" t="str">
        <f>PASHEET!CB48</f>
        <v/>
      </c>
      <c r="K476" s="590" t="str">
        <f>PASHEET!CC48</f>
        <v/>
      </c>
      <c r="L476" s="590" t="str">
        <f>PASHEET!CD48</f>
        <v/>
      </c>
      <c r="M476" s="590" t="str">
        <f>PASHEET!CE48</f>
        <v/>
      </c>
      <c r="N476" s="590" t="str">
        <f>PASHEET!CF48</f>
        <v/>
      </c>
      <c r="O476" s="590" t="str">
        <f>PASHEET!CG48</f>
        <v/>
      </c>
      <c r="Q476" s="591"/>
      <c r="R476" s="591"/>
      <c r="S476" s="591"/>
      <c r="T476" s="591"/>
      <c r="U476" s="591"/>
      <c r="V476" s="591"/>
      <c r="W476" s="594"/>
      <c r="X476" s="594"/>
      <c r="Y476" s="594"/>
      <c r="Z476" s="594"/>
      <c r="AA476" s="594"/>
      <c r="AB476" s="591"/>
      <c r="AC476" s="591"/>
      <c r="AD476" s="591"/>
      <c r="AE476" s="594"/>
    </row>
    <row r="477" spans="1:31">
      <c r="A477" s="590">
        <v>46</v>
      </c>
      <c r="B477" s="596">
        <f t="shared" ref="B477:E477" si="414">B370</f>
        <v>0</v>
      </c>
      <c r="C477" s="596">
        <f t="shared" si="414"/>
        <v>0</v>
      </c>
      <c r="D477" s="597">
        <f t="shared" si="414"/>
        <v>0</v>
      </c>
      <c r="E477" s="597">
        <f t="shared" si="414"/>
        <v>0</v>
      </c>
      <c r="F477" s="590" t="str">
        <f>VLOOKUP(A477,STUDENT!$A$2:$BR$105,68,0)</f>
        <v/>
      </c>
      <c r="G477" s="590" t="b">
        <f>VLOOKUP(A477,STUDENT!$A$2:$BR$105,67,0)</f>
        <v>0</v>
      </c>
      <c r="H477" s="590" t="str">
        <f>PASHEET!BZ49</f>
        <v/>
      </c>
      <c r="I477" s="590" t="str">
        <f>PASHEET!CA49</f>
        <v/>
      </c>
      <c r="J477" s="590" t="str">
        <f>PASHEET!CB49</f>
        <v/>
      </c>
      <c r="K477" s="590" t="str">
        <f>PASHEET!CC49</f>
        <v/>
      </c>
      <c r="L477" s="590" t="str">
        <f>PASHEET!CD49</f>
        <v/>
      </c>
      <c r="M477" s="590" t="str">
        <f>PASHEET!CE49</f>
        <v/>
      </c>
      <c r="N477" s="590" t="str">
        <f>PASHEET!CF49</f>
        <v/>
      </c>
      <c r="O477" s="590" t="str">
        <f>PASHEET!CG49</f>
        <v/>
      </c>
      <c r="Q477" s="591"/>
      <c r="R477" s="591"/>
      <c r="S477" s="591"/>
      <c r="T477" s="591"/>
      <c r="U477" s="591"/>
      <c r="V477" s="591"/>
      <c r="W477" s="594"/>
      <c r="X477" s="594"/>
      <c r="Y477" s="594"/>
      <c r="Z477" s="594"/>
      <c r="AA477" s="594"/>
      <c r="AB477" s="591"/>
      <c r="AC477" s="591"/>
      <c r="AD477" s="591"/>
      <c r="AE477" s="594"/>
    </row>
    <row r="478" spans="1:31">
      <c r="A478" s="596">
        <v>47</v>
      </c>
      <c r="B478" s="596">
        <f t="shared" ref="B478:E478" si="415">B371</f>
        <v>0</v>
      </c>
      <c r="C478" s="596">
        <f t="shared" si="415"/>
        <v>0</v>
      </c>
      <c r="D478" s="597">
        <f t="shared" si="415"/>
        <v>0</v>
      </c>
      <c r="E478" s="597">
        <f t="shared" si="415"/>
        <v>0</v>
      </c>
      <c r="F478" s="590" t="str">
        <f>VLOOKUP(A478,STUDENT!$A$2:$BR$105,68,0)</f>
        <v/>
      </c>
      <c r="G478" s="590" t="b">
        <f>VLOOKUP(A478,STUDENT!$A$2:$BR$105,67,0)</f>
        <v>0</v>
      </c>
      <c r="H478" s="590" t="str">
        <f>PASHEET!BZ50</f>
        <v/>
      </c>
      <c r="I478" s="590" t="str">
        <f>PASHEET!CA50</f>
        <v/>
      </c>
      <c r="J478" s="590" t="str">
        <f>PASHEET!CB50</f>
        <v/>
      </c>
      <c r="K478" s="590" t="str">
        <f>PASHEET!CC50</f>
        <v/>
      </c>
      <c r="L478" s="590" t="str">
        <f>PASHEET!CD50</f>
        <v/>
      </c>
      <c r="M478" s="590" t="str">
        <f>PASHEET!CE50</f>
        <v/>
      </c>
      <c r="N478" s="590" t="str">
        <f>PASHEET!CF50</f>
        <v/>
      </c>
      <c r="O478" s="590" t="str">
        <f>PASHEET!CG50</f>
        <v/>
      </c>
      <c r="Q478" s="591"/>
      <c r="R478" s="591"/>
      <c r="S478" s="591"/>
      <c r="T478" s="591"/>
      <c r="U478" s="591"/>
      <c r="V478" s="591"/>
      <c r="W478" s="594"/>
      <c r="X478" s="594"/>
      <c r="Y478" s="594"/>
      <c r="Z478" s="594"/>
      <c r="AA478" s="594"/>
      <c r="AB478" s="591"/>
      <c r="AC478" s="591"/>
      <c r="AD478" s="591"/>
      <c r="AE478" s="594"/>
    </row>
    <row r="479" spans="1:31">
      <c r="A479" s="590">
        <v>48</v>
      </c>
      <c r="B479" s="596">
        <f t="shared" ref="B479:E479" si="416">B372</f>
        <v>0</v>
      </c>
      <c r="C479" s="596">
        <f t="shared" si="416"/>
        <v>0</v>
      </c>
      <c r="D479" s="597">
        <f t="shared" si="416"/>
        <v>0</v>
      </c>
      <c r="E479" s="597">
        <f t="shared" si="416"/>
        <v>0</v>
      </c>
      <c r="F479" s="590" t="str">
        <f>VLOOKUP(A479,STUDENT!$A$2:$BR$105,68,0)</f>
        <v/>
      </c>
      <c r="G479" s="590" t="b">
        <f>VLOOKUP(A479,STUDENT!$A$2:$BR$105,67,0)</f>
        <v>0</v>
      </c>
      <c r="H479" s="590" t="str">
        <f>PASHEET!BZ51</f>
        <v/>
      </c>
      <c r="I479" s="590" t="str">
        <f>PASHEET!CA51</f>
        <v/>
      </c>
      <c r="J479" s="590" t="str">
        <f>PASHEET!CB51</f>
        <v/>
      </c>
      <c r="K479" s="590" t="str">
        <f>PASHEET!CC51</f>
        <v/>
      </c>
      <c r="L479" s="590" t="str">
        <f>PASHEET!CD51</f>
        <v/>
      </c>
      <c r="M479" s="590" t="str">
        <f>PASHEET!CE51</f>
        <v/>
      </c>
      <c r="N479" s="590" t="str">
        <f>PASHEET!CF51</f>
        <v/>
      </c>
      <c r="O479" s="590" t="str">
        <f>PASHEET!CG51</f>
        <v/>
      </c>
      <c r="Q479" s="591" t="s">
        <v>475</v>
      </c>
      <c r="R479" s="591" t="s">
        <v>476</v>
      </c>
      <c r="S479" s="592" t="s">
        <v>477</v>
      </c>
      <c r="T479" s="593" t="s">
        <v>351</v>
      </c>
      <c r="U479" s="592" t="s">
        <v>479</v>
      </c>
      <c r="V479" s="592" t="s">
        <v>480</v>
      </c>
      <c r="W479" s="594"/>
      <c r="X479" s="591" t="s">
        <v>475</v>
      </c>
      <c r="Y479" s="591" t="s">
        <v>476</v>
      </c>
      <c r="Z479" s="591" t="s">
        <v>474</v>
      </c>
      <c r="AA479" s="592" t="s">
        <v>477</v>
      </c>
      <c r="AB479" s="593" t="s">
        <v>493</v>
      </c>
      <c r="AC479" s="592" t="s">
        <v>479</v>
      </c>
      <c r="AD479" s="592" t="s">
        <v>480</v>
      </c>
      <c r="AE479" s="594"/>
    </row>
    <row r="480" spans="1:31">
      <c r="A480" s="596">
        <v>49</v>
      </c>
      <c r="B480" s="596">
        <f t="shared" ref="B480:E480" si="417">B373</f>
        <v>0</v>
      </c>
      <c r="C480" s="596">
        <f t="shared" si="417"/>
        <v>0</v>
      </c>
      <c r="D480" s="597">
        <f t="shared" si="417"/>
        <v>0</v>
      </c>
      <c r="E480" s="597">
        <f t="shared" si="417"/>
        <v>0</v>
      </c>
      <c r="F480" s="590" t="str">
        <f>VLOOKUP(A480,STUDENT!$A$2:$BR$105,68,0)</f>
        <v/>
      </c>
      <c r="G480" s="590" t="b">
        <f>VLOOKUP(A480,STUDENT!$A$2:$BR$105,67,0)</f>
        <v>0</v>
      </c>
      <c r="H480" s="590" t="str">
        <f>PASHEET!BZ52</f>
        <v/>
      </c>
      <c r="I480" s="590" t="str">
        <f>PASHEET!CA52</f>
        <v/>
      </c>
      <c r="J480" s="590" t="str">
        <f>PASHEET!CB52</f>
        <v/>
      </c>
      <c r="K480" s="590" t="str">
        <f>PASHEET!CC52</f>
        <v/>
      </c>
      <c r="L480" s="590" t="str">
        <f>PASHEET!CD52</f>
        <v/>
      </c>
      <c r="M480" s="590" t="str">
        <f>PASHEET!CE52</f>
        <v/>
      </c>
      <c r="N480" s="590" t="str">
        <f>PASHEET!CF52</f>
        <v/>
      </c>
      <c r="O480" s="590" t="str">
        <f>PASHEET!CG52</f>
        <v/>
      </c>
      <c r="Q480" s="591" t="s">
        <v>482</v>
      </c>
      <c r="R480" s="591" t="s">
        <v>483</v>
      </c>
      <c r="S480" s="591" t="s">
        <v>50</v>
      </c>
      <c r="T480" s="591">
        <f>COUNTIFS(K432:K531,S480)</f>
        <v>0</v>
      </c>
      <c r="U480" s="591">
        <f>COUNTIFS(F432:F531,Q469,K432:K531,S480)</f>
        <v>0</v>
      </c>
      <c r="V480" s="591">
        <f>COUNTIFS(F432:F531,R469,K432:K531,S480)</f>
        <v>0</v>
      </c>
      <c r="W480" s="594"/>
      <c r="X480" s="591" t="s">
        <v>482</v>
      </c>
      <c r="Y480" s="591" t="s">
        <v>483</v>
      </c>
      <c r="Z480" s="591" t="s">
        <v>493</v>
      </c>
      <c r="AA480" s="591" t="s">
        <v>50</v>
      </c>
      <c r="AB480" s="591">
        <f>COUNTIFS(G432:G531,Z480,O432:O531,S480)</f>
        <v>0</v>
      </c>
      <c r="AC480" s="591">
        <f>COUNTIFS(F432:F531,X480,G432:G531,Z480,O432:O531,S480)</f>
        <v>0</v>
      </c>
      <c r="AD480" s="591">
        <f>COUNTIFS(F432:F531,Y480,G432:G531,Z480,O432:O531,S480)</f>
        <v>0</v>
      </c>
      <c r="AE480" s="594"/>
    </row>
    <row r="481" spans="1:31">
      <c r="A481" s="590">
        <v>50</v>
      </c>
      <c r="B481" s="596">
        <f t="shared" ref="B481:E481" si="418">B374</f>
        <v>0</v>
      </c>
      <c r="C481" s="596">
        <f t="shared" si="418"/>
        <v>0</v>
      </c>
      <c r="D481" s="597">
        <f t="shared" si="418"/>
        <v>0</v>
      </c>
      <c r="E481" s="597">
        <f t="shared" si="418"/>
        <v>0</v>
      </c>
      <c r="F481" s="590" t="str">
        <f>VLOOKUP(A481,STUDENT!$A$2:$BR$105,68,0)</f>
        <v/>
      </c>
      <c r="G481" s="590" t="b">
        <f>VLOOKUP(A481,STUDENT!$A$2:$BR$105,67,0)</f>
        <v>0</v>
      </c>
      <c r="H481" s="590" t="str">
        <f>PASHEET!BZ53</f>
        <v/>
      </c>
      <c r="I481" s="590" t="str">
        <f>PASHEET!CA53</f>
        <v/>
      </c>
      <c r="J481" s="590" t="str">
        <f>PASHEET!CB53</f>
        <v/>
      </c>
      <c r="K481" s="590" t="str">
        <f>PASHEET!CC53</f>
        <v/>
      </c>
      <c r="L481" s="590" t="str">
        <f>PASHEET!CD53</f>
        <v/>
      </c>
      <c r="M481" s="590" t="str">
        <f>PASHEET!CE53</f>
        <v/>
      </c>
      <c r="N481" s="590" t="str">
        <f>PASHEET!CF53</f>
        <v/>
      </c>
      <c r="O481" s="590" t="str">
        <f>PASHEET!CG53</f>
        <v/>
      </c>
      <c r="Q481" s="591" t="s">
        <v>482</v>
      </c>
      <c r="R481" s="591" t="s">
        <v>483</v>
      </c>
      <c r="S481" s="591" t="s">
        <v>485</v>
      </c>
      <c r="T481" s="591">
        <f>COUNTIFS(K432:K531,S481)</f>
        <v>0</v>
      </c>
      <c r="U481" s="591">
        <f>COUNTIFS(F432:F531,Q470,K432:K531,S481)</f>
        <v>0</v>
      </c>
      <c r="V481" s="591">
        <f>COUNTIFS(F432:F531,R470,K432:K531,S481)</f>
        <v>0</v>
      </c>
      <c r="W481" s="594"/>
      <c r="X481" s="591" t="s">
        <v>482</v>
      </c>
      <c r="Y481" s="591" t="s">
        <v>483</v>
      </c>
      <c r="Z481" s="591" t="s">
        <v>493</v>
      </c>
      <c r="AA481" s="591" t="s">
        <v>485</v>
      </c>
      <c r="AB481" s="591">
        <f>COUNTIFS(G432:G531,Z481,O432:O531,S481)</f>
        <v>0</v>
      </c>
      <c r="AC481" s="591">
        <f>COUNTIFS(F432:F531,X481,G432:G531,Z481,O432:O531,S481)</f>
        <v>0</v>
      </c>
      <c r="AD481" s="591">
        <f>COUNTIFS(F432:F531,Y481,G432:G531,Z481,O432:O531,S481)</f>
        <v>0</v>
      </c>
      <c r="AE481" s="594"/>
    </row>
    <row r="482" spans="1:31">
      <c r="A482" s="596">
        <v>51</v>
      </c>
      <c r="B482" s="596">
        <f t="shared" ref="B482:E482" si="419">B375</f>
        <v>0</v>
      </c>
      <c r="C482" s="596">
        <f t="shared" si="419"/>
        <v>0</v>
      </c>
      <c r="D482" s="597">
        <f t="shared" si="419"/>
        <v>0</v>
      </c>
      <c r="E482" s="597">
        <f t="shared" si="419"/>
        <v>0</v>
      </c>
      <c r="F482" s="590" t="str">
        <f>VLOOKUP(A482,STUDENT!$A$2:$BR$105,68,0)</f>
        <v/>
      </c>
      <c r="G482" s="590" t="b">
        <f>VLOOKUP(A482,STUDENT!$A$2:$BR$105,67,0)</f>
        <v>0</v>
      </c>
      <c r="H482" s="590" t="str">
        <f>PASHEET!BZ54</f>
        <v/>
      </c>
      <c r="I482" s="590" t="str">
        <f>PASHEET!CA54</f>
        <v/>
      </c>
      <c r="J482" s="590" t="str">
        <f>PASHEET!CB54</f>
        <v/>
      </c>
      <c r="K482" s="590" t="str">
        <f>PASHEET!CC54</f>
        <v/>
      </c>
      <c r="L482" s="590" t="str">
        <f>PASHEET!CD54</f>
        <v/>
      </c>
      <c r="M482" s="590" t="str">
        <f>PASHEET!CE54</f>
        <v/>
      </c>
      <c r="N482" s="590" t="str">
        <f>PASHEET!CF54</f>
        <v/>
      </c>
      <c r="O482" s="590" t="str">
        <f>PASHEET!CG54</f>
        <v/>
      </c>
      <c r="Q482" s="591" t="s">
        <v>482</v>
      </c>
      <c r="R482" s="591" t="s">
        <v>483</v>
      </c>
      <c r="S482" s="591" t="s">
        <v>486</v>
      </c>
      <c r="T482" s="591">
        <f>COUNTIFS(K432:K531,S482)</f>
        <v>0</v>
      </c>
      <c r="U482" s="591">
        <f>COUNTIFS(F432:F531,Q471,K432:K531,S482)</f>
        <v>0</v>
      </c>
      <c r="V482" s="591">
        <f>COUNTIFS(F432:F531,R471,K432:K531,S482)</f>
        <v>0</v>
      </c>
      <c r="W482" s="594"/>
      <c r="X482" s="591" t="s">
        <v>482</v>
      </c>
      <c r="Y482" s="591" t="s">
        <v>483</v>
      </c>
      <c r="Z482" s="591" t="s">
        <v>493</v>
      </c>
      <c r="AA482" s="591" t="s">
        <v>486</v>
      </c>
      <c r="AB482" s="591">
        <f>COUNTIFS(G432:G531,Z482,O432:O531,S482)</f>
        <v>0</v>
      </c>
      <c r="AC482" s="591">
        <f>COUNTIFS(F432:F531,X482,G432:G531,Z482,O432:O531,S482)</f>
        <v>0</v>
      </c>
      <c r="AD482" s="591">
        <f>COUNTIFS(F432:F531,Y482,G432:G531,Z482,O432:O531,S482)</f>
        <v>0</v>
      </c>
      <c r="AE482" s="594"/>
    </row>
    <row r="483" spans="1:31">
      <c r="A483" s="590">
        <v>52</v>
      </c>
      <c r="B483" s="596">
        <f t="shared" ref="B483:E483" si="420">B376</f>
        <v>0</v>
      </c>
      <c r="C483" s="596">
        <f t="shared" si="420"/>
        <v>0</v>
      </c>
      <c r="D483" s="597">
        <f t="shared" si="420"/>
        <v>0</v>
      </c>
      <c r="E483" s="597">
        <f t="shared" si="420"/>
        <v>0</v>
      </c>
      <c r="F483" s="590" t="str">
        <f>VLOOKUP(A483,STUDENT!$A$2:$BR$105,68,0)</f>
        <v/>
      </c>
      <c r="G483" s="590" t="b">
        <f>VLOOKUP(A483,STUDENT!$A$2:$BR$105,67,0)</f>
        <v>0</v>
      </c>
      <c r="H483" s="590" t="str">
        <f>PASHEET!BZ55</f>
        <v/>
      </c>
      <c r="I483" s="590" t="str">
        <f>PASHEET!CA55</f>
        <v/>
      </c>
      <c r="J483" s="590" t="str">
        <f>PASHEET!CB55</f>
        <v/>
      </c>
      <c r="K483" s="590" t="str">
        <f>PASHEET!CC55</f>
        <v/>
      </c>
      <c r="L483" s="590" t="str">
        <f>PASHEET!CD55</f>
        <v/>
      </c>
      <c r="M483" s="590" t="str">
        <f>PASHEET!CE55</f>
        <v/>
      </c>
      <c r="N483" s="590" t="str">
        <f>PASHEET!CF55</f>
        <v/>
      </c>
      <c r="O483" s="590" t="str">
        <f>PASHEET!CG55</f>
        <v/>
      </c>
      <c r="Q483" s="591" t="s">
        <v>482</v>
      </c>
      <c r="R483" s="591" t="s">
        <v>483</v>
      </c>
      <c r="S483" s="591" t="s">
        <v>487</v>
      </c>
      <c r="T483" s="591">
        <f>COUNTIFS(K432:K531,S483)</f>
        <v>0</v>
      </c>
      <c r="U483" s="591">
        <f>COUNTIFS(F432:F531,Q472,K432:K531,S483)</f>
        <v>0</v>
      </c>
      <c r="V483" s="591">
        <f>COUNTIFS(F432:F531,R472,K432:K531,S483)</f>
        <v>0</v>
      </c>
      <c r="W483" s="594"/>
      <c r="X483" s="591" t="s">
        <v>482</v>
      </c>
      <c r="Y483" s="591" t="s">
        <v>483</v>
      </c>
      <c r="Z483" s="591" t="s">
        <v>493</v>
      </c>
      <c r="AA483" s="591" t="s">
        <v>487</v>
      </c>
      <c r="AB483" s="591">
        <f>COUNTIFS(G432:G531,Z483,O432:O531,S483)</f>
        <v>0</v>
      </c>
      <c r="AC483" s="591">
        <f>COUNTIFS(F432:F531,X483,G432:G531,Z483,O432:O531,S483)</f>
        <v>0</v>
      </c>
      <c r="AD483" s="591">
        <f>COUNTIFS(F432:F531,Y483,G432:G531,Z483,O432:O531,S483)</f>
        <v>0</v>
      </c>
      <c r="AE483" s="594"/>
    </row>
    <row r="484" spans="1:31">
      <c r="A484" s="596">
        <v>53</v>
      </c>
      <c r="B484" s="596">
        <f t="shared" ref="B484:E484" si="421">B377</f>
        <v>0</v>
      </c>
      <c r="C484" s="596">
        <f t="shared" si="421"/>
        <v>0</v>
      </c>
      <c r="D484" s="597">
        <f t="shared" si="421"/>
        <v>0</v>
      </c>
      <c r="E484" s="597">
        <f t="shared" si="421"/>
        <v>0</v>
      </c>
      <c r="F484" s="590" t="str">
        <f>VLOOKUP(A484,STUDENT!$A$2:$BR$105,68,0)</f>
        <v/>
      </c>
      <c r="G484" s="590" t="b">
        <f>VLOOKUP(A484,STUDENT!$A$2:$BR$105,67,0)</f>
        <v>0</v>
      </c>
      <c r="H484" s="590" t="str">
        <f>PASHEET!BZ56</f>
        <v/>
      </c>
      <c r="I484" s="590" t="str">
        <f>PASHEET!CA56</f>
        <v/>
      </c>
      <c r="J484" s="590" t="str">
        <f>PASHEET!CB56</f>
        <v/>
      </c>
      <c r="K484" s="590" t="str">
        <f>PASHEET!CC56</f>
        <v/>
      </c>
      <c r="L484" s="590" t="str">
        <f>PASHEET!CD56</f>
        <v/>
      </c>
      <c r="M484" s="590" t="str">
        <f>PASHEET!CE56</f>
        <v/>
      </c>
      <c r="N484" s="590" t="str">
        <f>PASHEET!CF56</f>
        <v/>
      </c>
      <c r="O484" s="590" t="str">
        <f>PASHEET!CG56</f>
        <v/>
      </c>
      <c r="Q484" s="591" t="s">
        <v>482</v>
      </c>
      <c r="R484" s="591" t="s">
        <v>483</v>
      </c>
      <c r="S484" s="591" t="s">
        <v>488</v>
      </c>
      <c r="T484" s="591">
        <f>COUNTIFS(K432:K531,S484)</f>
        <v>0</v>
      </c>
      <c r="U484" s="591">
        <f>COUNTIFS(F432:F531,Q473,K432:K531,S484)</f>
        <v>0</v>
      </c>
      <c r="V484" s="591">
        <f>COUNTIFS(F432:F531,R473,K432:K531,S484)</f>
        <v>0</v>
      </c>
      <c r="W484" s="594"/>
      <c r="X484" s="591" t="s">
        <v>482</v>
      </c>
      <c r="Y484" s="591" t="s">
        <v>483</v>
      </c>
      <c r="Z484" s="591" t="s">
        <v>493</v>
      </c>
      <c r="AA484" s="591" t="s">
        <v>488</v>
      </c>
      <c r="AB484" s="591">
        <f>COUNTIFS(G432:G531,Z484,O432:O531,S484)</f>
        <v>0</v>
      </c>
      <c r="AC484" s="591">
        <f>COUNTIFS(F432:F531,X484,G432:G531,Z484,O432:O531,S484)</f>
        <v>0</v>
      </c>
      <c r="AD484" s="591">
        <f>COUNTIFS(F432:F531,Y484,G432:G531,Z484,O432:O531,S484)</f>
        <v>0</v>
      </c>
      <c r="AE484" s="594"/>
    </row>
    <row r="485" spans="1:31">
      <c r="A485" s="590">
        <v>54</v>
      </c>
      <c r="B485" s="596">
        <f t="shared" ref="B485:E485" si="422">B378</f>
        <v>0</v>
      </c>
      <c r="C485" s="596">
        <f t="shared" si="422"/>
        <v>0</v>
      </c>
      <c r="D485" s="597">
        <f t="shared" si="422"/>
        <v>0</v>
      </c>
      <c r="E485" s="597">
        <f t="shared" si="422"/>
        <v>0</v>
      </c>
      <c r="F485" s="590" t="str">
        <f>VLOOKUP(A485,STUDENT!$A$2:$BR$105,68,0)</f>
        <v/>
      </c>
      <c r="G485" s="590" t="b">
        <f>VLOOKUP(A485,STUDENT!$A$2:$BR$105,67,0)</f>
        <v>0</v>
      </c>
      <c r="H485" s="590" t="str">
        <f>PASHEET!BZ57</f>
        <v/>
      </c>
      <c r="I485" s="590" t="str">
        <f>PASHEET!CA57</f>
        <v/>
      </c>
      <c r="J485" s="590" t="str">
        <f>PASHEET!CB57</f>
        <v/>
      </c>
      <c r="K485" s="590" t="str">
        <f>PASHEET!CC57</f>
        <v/>
      </c>
      <c r="L485" s="590" t="str">
        <f>PASHEET!CD57</f>
        <v/>
      </c>
      <c r="M485" s="590" t="str">
        <f>PASHEET!CE57</f>
        <v/>
      </c>
      <c r="N485" s="590" t="str">
        <f>PASHEET!CF57</f>
        <v/>
      </c>
      <c r="O485" s="590" t="str">
        <f>PASHEET!CG57</f>
        <v/>
      </c>
      <c r="Q485" s="591" t="s">
        <v>482</v>
      </c>
      <c r="R485" s="591" t="s">
        <v>483</v>
      </c>
      <c r="S485" s="591" t="s">
        <v>101</v>
      </c>
      <c r="T485" s="591">
        <f>COUNTIFS(K432:K531,S485)</f>
        <v>0</v>
      </c>
      <c r="U485" s="591">
        <f>COUNTIFS(F432:F531,Q474,K432:K531,S485)</f>
        <v>0</v>
      </c>
      <c r="V485" s="591">
        <f>COUNTIFS(F432:F531,R474,K432:K531,S485)</f>
        <v>0</v>
      </c>
      <c r="W485" s="594"/>
      <c r="X485" s="591" t="s">
        <v>482</v>
      </c>
      <c r="Y485" s="591" t="s">
        <v>483</v>
      </c>
      <c r="Z485" s="591" t="s">
        <v>493</v>
      </c>
      <c r="AA485" s="591" t="s">
        <v>101</v>
      </c>
      <c r="AB485" s="591">
        <f>COUNTIFS(G432:G531,Z485,O432:O531,S485)</f>
        <v>0</v>
      </c>
      <c r="AC485" s="591">
        <f>COUNTIFS(F432:F531,X485,G432:G531,Z485,O432:O531,S485)</f>
        <v>0</v>
      </c>
      <c r="AD485" s="591">
        <f>COUNTIFS(F432:F531,Y485,G432:G531,Z485,O432:O531,S485)</f>
        <v>0</v>
      </c>
      <c r="AE485" s="594"/>
    </row>
    <row r="486" spans="1:31">
      <c r="A486" s="596">
        <v>55</v>
      </c>
      <c r="B486" s="596">
        <f t="shared" ref="B486:E486" si="423">B379</f>
        <v>0</v>
      </c>
      <c r="C486" s="596">
        <f t="shared" si="423"/>
        <v>0</v>
      </c>
      <c r="D486" s="597">
        <f t="shared" si="423"/>
        <v>0</v>
      </c>
      <c r="E486" s="597">
        <f t="shared" si="423"/>
        <v>0</v>
      </c>
      <c r="F486" s="590" t="str">
        <f>VLOOKUP(A486,STUDENT!$A$2:$BR$105,68,0)</f>
        <v/>
      </c>
      <c r="G486" s="590" t="b">
        <f>VLOOKUP(A486,STUDENT!$A$2:$BR$105,67,0)</f>
        <v>0</v>
      </c>
      <c r="H486" s="590" t="str">
        <f>PASHEET!BZ58</f>
        <v/>
      </c>
      <c r="I486" s="590" t="str">
        <f>PASHEET!CA58</f>
        <v/>
      </c>
      <c r="J486" s="590" t="str">
        <f>PASHEET!CB58</f>
        <v/>
      </c>
      <c r="K486" s="590" t="str">
        <f>PASHEET!CC58</f>
        <v/>
      </c>
      <c r="L486" s="590" t="str">
        <f>PASHEET!CD58</f>
        <v/>
      </c>
      <c r="M486" s="590" t="str">
        <f>PASHEET!CE58</f>
        <v/>
      </c>
      <c r="N486" s="590" t="str">
        <f>PASHEET!CF58</f>
        <v/>
      </c>
      <c r="O486" s="590" t="str">
        <f>PASHEET!CG58</f>
        <v/>
      </c>
      <c r="Q486" s="591" t="s">
        <v>482</v>
      </c>
      <c r="R486" s="591" t="s">
        <v>483</v>
      </c>
      <c r="S486" s="591" t="s">
        <v>489</v>
      </c>
      <c r="T486" s="591">
        <f>COUNTIFS(K432:K531,S486)</f>
        <v>0</v>
      </c>
      <c r="U486" s="591">
        <f>COUNTIFS(F432:F531,Q475,K432:K531,S486)</f>
        <v>0</v>
      </c>
      <c r="V486" s="591">
        <f>COUNTIFS(F432:F531,R475,K432:K531,S486)</f>
        <v>0</v>
      </c>
      <c r="W486" s="594"/>
      <c r="X486" s="591" t="s">
        <v>482</v>
      </c>
      <c r="Y486" s="591" t="s">
        <v>483</v>
      </c>
      <c r="Z486" s="591" t="s">
        <v>493</v>
      </c>
      <c r="AA486" s="591" t="s">
        <v>489</v>
      </c>
      <c r="AB486" s="591">
        <f>COUNTIFS(G432:G531,Z486,O432:O531,S486)</f>
        <v>0</v>
      </c>
      <c r="AC486" s="591">
        <f>COUNTIFS(F432:F531,X486,G432:G531,Z486,O432:O531,S486)</f>
        <v>0</v>
      </c>
      <c r="AD486" s="591">
        <f>COUNTIFS(F432:F531,Y486,G432:G531,Z486,O432:O531,S486)</f>
        <v>0</v>
      </c>
      <c r="AE486" s="594"/>
    </row>
    <row r="487" spans="1:31">
      <c r="A487" s="590">
        <v>56</v>
      </c>
      <c r="B487" s="596">
        <f t="shared" ref="B487:E487" si="424">B380</f>
        <v>0</v>
      </c>
      <c r="C487" s="596">
        <f t="shared" si="424"/>
        <v>0</v>
      </c>
      <c r="D487" s="597">
        <f t="shared" si="424"/>
        <v>0</v>
      </c>
      <c r="E487" s="597">
        <f t="shared" si="424"/>
        <v>0</v>
      </c>
      <c r="F487" s="590" t="str">
        <f>VLOOKUP(A487,STUDENT!$A$2:$BR$105,68,0)</f>
        <v/>
      </c>
      <c r="G487" s="590" t="b">
        <f>VLOOKUP(A487,STUDENT!$A$2:$BR$105,67,0)</f>
        <v>0</v>
      </c>
      <c r="H487" s="590" t="str">
        <f>PASHEET!BZ59</f>
        <v/>
      </c>
      <c r="I487" s="590" t="str">
        <f>PASHEET!CA59</f>
        <v/>
      </c>
      <c r="J487" s="590" t="str">
        <f>PASHEET!CB59</f>
        <v/>
      </c>
      <c r="K487" s="590" t="str">
        <f>PASHEET!CC59</f>
        <v/>
      </c>
      <c r="L487" s="590" t="str">
        <f>PASHEET!CD59</f>
        <v/>
      </c>
      <c r="M487" s="590" t="str">
        <f>PASHEET!CE59</f>
        <v/>
      </c>
      <c r="N487" s="590" t="str">
        <f>PASHEET!CF59</f>
        <v/>
      </c>
      <c r="O487" s="590" t="str">
        <f>PASHEET!CG59</f>
        <v/>
      </c>
      <c r="Q487" s="591" t="s">
        <v>482</v>
      </c>
      <c r="R487" s="591" t="s">
        <v>483</v>
      </c>
      <c r="S487" s="591"/>
      <c r="T487" s="591"/>
      <c r="U487" s="591"/>
      <c r="V487" s="591"/>
      <c r="W487" s="594"/>
      <c r="X487" s="591" t="s">
        <v>482</v>
      </c>
      <c r="Y487" s="591" t="s">
        <v>483</v>
      </c>
      <c r="Z487" s="591" t="s">
        <v>493</v>
      </c>
      <c r="AA487" s="591"/>
      <c r="AB487" s="591"/>
      <c r="AC487" s="591"/>
      <c r="AD487" s="591"/>
      <c r="AE487" s="594"/>
    </row>
    <row r="488" spans="1:31">
      <c r="A488" s="596">
        <v>57</v>
      </c>
      <c r="B488" s="596">
        <f t="shared" ref="B488:E488" si="425">B381</f>
        <v>0</v>
      </c>
      <c r="C488" s="596">
        <f t="shared" si="425"/>
        <v>0</v>
      </c>
      <c r="D488" s="597">
        <f t="shared" si="425"/>
        <v>0</v>
      </c>
      <c r="E488" s="597">
        <f t="shared" si="425"/>
        <v>0</v>
      </c>
      <c r="F488" s="590" t="str">
        <f>VLOOKUP(A488,STUDENT!$A$2:$BR$105,68,0)</f>
        <v/>
      </c>
      <c r="G488" s="590" t="b">
        <f>VLOOKUP(A488,STUDENT!$A$2:$BR$105,67,0)</f>
        <v>0</v>
      </c>
      <c r="H488" s="590" t="str">
        <f>PASHEET!BZ60</f>
        <v/>
      </c>
      <c r="I488" s="590" t="str">
        <f>PASHEET!CA60</f>
        <v/>
      </c>
      <c r="J488" s="590" t="str">
        <f>PASHEET!CB60</f>
        <v/>
      </c>
      <c r="K488" s="590" t="str">
        <f>PASHEET!CC60</f>
        <v/>
      </c>
      <c r="L488" s="590" t="str">
        <f>PASHEET!CD60</f>
        <v/>
      </c>
      <c r="M488" s="590" t="str">
        <f>PASHEET!CE60</f>
        <v/>
      </c>
      <c r="N488" s="590" t="str">
        <f>PASHEET!CF60</f>
        <v/>
      </c>
      <c r="O488" s="590" t="str">
        <f>PASHEET!CG60</f>
        <v/>
      </c>
      <c r="Q488" s="591"/>
      <c r="R488" s="591"/>
      <c r="S488" s="591" t="s">
        <v>102</v>
      </c>
      <c r="T488" s="591">
        <f>SUM(T480:T487)</f>
        <v>0</v>
      </c>
      <c r="U488" s="591">
        <f t="shared" ref="U488:V488" si="426">SUM(U480:U487)</f>
        <v>0</v>
      </c>
      <c r="V488" s="591">
        <f t="shared" si="426"/>
        <v>0</v>
      </c>
      <c r="W488" s="594"/>
      <c r="X488" s="591"/>
      <c r="Y488" s="591"/>
      <c r="Z488" s="591"/>
      <c r="AA488" s="591" t="s">
        <v>102</v>
      </c>
      <c r="AB488" s="591">
        <f>SUM(AB480:AB487)</f>
        <v>0</v>
      </c>
      <c r="AC488" s="591">
        <f t="shared" ref="AC488:AD488" si="427">SUM(AC480:AC487)</f>
        <v>0</v>
      </c>
      <c r="AD488" s="591">
        <f t="shared" si="427"/>
        <v>0</v>
      </c>
      <c r="AE488" s="594"/>
    </row>
    <row r="489" spans="1:31">
      <c r="A489" s="590">
        <v>58</v>
      </c>
      <c r="B489" s="596">
        <f t="shared" ref="B489:E489" si="428">B382</f>
        <v>0</v>
      </c>
      <c r="C489" s="596">
        <f t="shared" si="428"/>
        <v>0</v>
      </c>
      <c r="D489" s="597">
        <f t="shared" si="428"/>
        <v>0</v>
      </c>
      <c r="E489" s="597">
        <f t="shared" si="428"/>
        <v>0</v>
      </c>
      <c r="F489" s="590" t="str">
        <f>VLOOKUP(A489,STUDENT!$A$2:$BR$105,68,0)</f>
        <v/>
      </c>
      <c r="G489" s="590" t="b">
        <f>VLOOKUP(A489,STUDENT!$A$2:$BR$105,67,0)</f>
        <v>0</v>
      </c>
      <c r="H489" s="590" t="str">
        <f>PASHEET!BZ61</f>
        <v/>
      </c>
      <c r="I489" s="590" t="str">
        <f>PASHEET!CA61</f>
        <v/>
      </c>
      <c r="J489" s="590" t="str">
        <f>PASHEET!CB61</f>
        <v/>
      </c>
      <c r="K489" s="590" t="str">
        <f>PASHEET!CC61</f>
        <v/>
      </c>
      <c r="L489" s="590" t="str">
        <f>PASHEET!CD61</f>
        <v/>
      </c>
      <c r="M489" s="590" t="str">
        <f>PASHEET!CE61</f>
        <v/>
      </c>
      <c r="N489" s="590" t="str">
        <f>PASHEET!CF61</f>
        <v/>
      </c>
      <c r="O489" s="590" t="str">
        <f>PASHEET!CG61</f>
        <v/>
      </c>
      <c r="Q489" s="591"/>
      <c r="R489" s="591"/>
      <c r="S489" s="591"/>
      <c r="T489" s="591"/>
      <c r="U489" s="591"/>
      <c r="V489" s="591"/>
      <c r="W489" s="594"/>
      <c r="X489" s="594"/>
      <c r="Y489" s="594"/>
      <c r="Z489" s="594"/>
      <c r="AA489" s="594"/>
      <c r="AB489" s="591"/>
      <c r="AC489" s="591"/>
      <c r="AD489" s="591"/>
      <c r="AE489" s="594"/>
    </row>
    <row r="490" spans="1:31">
      <c r="A490" s="596">
        <v>59</v>
      </c>
      <c r="B490" s="596">
        <f t="shared" ref="B490:E490" si="429">B383</f>
        <v>0</v>
      </c>
      <c r="C490" s="596">
        <f t="shared" si="429"/>
        <v>0</v>
      </c>
      <c r="D490" s="597">
        <f t="shared" si="429"/>
        <v>0</v>
      </c>
      <c r="E490" s="597">
        <f t="shared" si="429"/>
        <v>0</v>
      </c>
      <c r="F490" s="590" t="str">
        <f>VLOOKUP(A490,STUDENT!$A$2:$BR$105,68,0)</f>
        <v/>
      </c>
      <c r="G490" s="590" t="b">
        <f>VLOOKUP(A490,STUDENT!$A$2:$BR$105,67,0)</f>
        <v>0</v>
      </c>
      <c r="H490" s="590" t="str">
        <f>PASHEET!BZ62</f>
        <v/>
      </c>
      <c r="I490" s="590" t="str">
        <f>PASHEET!CA62</f>
        <v/>
      </c>
      <c r="J490" s="590" t="str">
        <f>PASHEET!CB62</f>
        <v/>
      </c>
      <c r="K490" s="590" t="str">
        <f>PASHEET!CC62</f>
        <v/>
      </c>
      <c r="L490" s="590" t="str">
        <f>PASHEET!CD62</f>
        <v/>
      </c>
      <c r="M490" s="590" t="str">
        <f>PASHEET!CE62</f>
        <v/>
      </c>
      <c r="N490" s="590" t="str">
        <f>PASHEET!CF62</f>
        <v/>
      </c>
      <c r="O490" s="590" t="str">
        <f>PASHEET!CG62</f>
        <v/>
      </c>
      <c r="Q490" s="591"/>
      <c r="R490" s="591"/>
      <c r="S490" s="591"/>
      <c r="T490" s="591"/>
      <c r="U490" s="591"/>
      <c r="V490" s="591"/>
      <c r="W490" s="594"/>
      <c r="X490" s="594"/>
      <c r="Y490" s="594"/>
      <c r="Z490" s="594"/>
      <c r="AA490" s="594"/>
      <c r="AB490" s="591"/>
      <c r="AC490" s="591"/>
      <c r="AD490" s="591"/>
      <c r="AE490" s="594"/>
    </row>
    <row r="491" spans="1:31">
      <c r="A491" s="590">
        <v>60</v>
      </c>
      <c r="B491" s="596">
        <f t="shared" ref="B491:E491" si="430">B384</f>
        <v>0</v>
      </c>
      <c r="C491" s="596">
        <f t="shared" si="430"/>
        <v>0</v>
      </c>
      <c r="D491" s="597">
        <f t="shared" si="430"/>
        <v>0</v>
      </c>
      <c r="E491" s="597">
        <f t="shared" si="430"/>
        <v>0</v>
      </c>
      <c r="F491" s="590" t="str">
        <f>VLOOKUP(A491,STUDENT!$A$2:$BR$105,68,0)</f>
        <v/>
      </c>
      <c r="G491" s="590" t="b">
        <f>VLOOKUP(A491,STUDENT!$A$2:$BR$105,67,0)</f>
        <v>0</v>
      </c>
      <c r="H491" s="590" t="str">
        <f>PASHEET!BZ63</f>
        <v/>
      </c>
      <c r="I491" s="590" t="str">
        <f>PASHEET!CA63</f>
        <v/>
      </c>
      <c r="J491" s="590" t="str">
        <f>PASHEET!CB63</f>
        <v/>
      </c>
      <c r="K491" s="590" t="str">
        <f>PASHEET!CC63</f>
        <v/>
      </c>
      <c r="L491" s="590" t="str">
        <f>PASHEET!CD63</f>
        <v/>
      </c>
      <c r="M491" s="590" t="str">
        <f>PASHEET!CE63</f>
        <v/>
      </c>
      <c r="N491" s="590" t="str">
        <f>PASHEET!CF63</f>
        <v/>
      </c>
      <c r="O491" s="590" t="str">
        <f>PASHEET!CG63</f>
        <v/>
      </c>
      <c r="Q491" s="591"/>
      <c r="R491" s="591"/>
      <c r="S491" s="591"/>
      <c r="T491" s="591"/>
      <c r="U491" s="591"/>
      <c r="V491" s="591"/>
      <c r="W491" s="594"/>
      <c r="X491" s="594"/>
      <c r="Y491" s="594"/>
      <c r="Z491" s="594"/>
      <c r="AA491" s="594"/>
      <c r="AB491" s="591"/>
      <c r="AC491" s="591"/>
      <c r="AD491" s="591"/>
      <c r="AE491" s="594"/>
    </row>
    <row r="492" spans="1:31">
      <c r="A492" s="596">
        <v>61</v>
      </c>
      <c r="B492" s="596">
        <f t="shared" ref="B492:E492" si="431">B385</f>
        <v>0</v>
      </c>
      <c r="C492" s="596">
        <f t="shared" si="431"/>
        <v>0</v>
      </c>
      <c r="D492" s="597">
        <f t="shared" si="431"/>
        <v>0</v>
      </c>
      <c r="E492" s="597">
        <f t="shared" si="431"/>
        <v>0</v>
      </c>
      <c r="F492" s="590" t="str">
        <f>VLOOKUP(A492,STUDENT!$A$2:$BR$105,68,0)</f>
        <v/>
      </c>
      <c r="G492" s="590" t="b">
        <f>VLOOKUP(A492,STUDENT!$A$2:$BR$105,67,0)</f>
        <v>0</v>
      </c>
      <c r="H492" s="590" t="str">
        <f>PASHEET!BZ64</f>
        <v/>
      </c>
      <c r="I492" s="590" t="str">
        <f>PASHEET!CA64</f>
        <v/>
      </c>
      <c r="J492" s="590" t="str">
        <f>PASHEET!CB64</f>
        <v/>
      </c>
      <c r="K492" s="590" t="str">
        <f>PASHEET!CC64</f>
        <v/>
      </c>
      <c r="L492" s="590" t="str">
        <f>PASHEET!CD64</f>
        <v/>
      </c>
      <c r="M492" s="590" t="str">
        <f>PASHEET!CE64</f>
        <v/>
      </c>
      <c r="N492" s="590" t="str">
        <f>PASHEET!CF64</f>
        <v/>
      </c>
      <c r="O492" s="590" t="str">
        <f>PASHEET!CG64</f>
        <v/>
      </c>
      <c r="Q492" s="591" t="s">
        <v>475</v>
      </c>
      <c r="R492" s="591" t="s">
        <v>476</v>
      </c>
      <c r="S492" s="592" t="s">
        <v>477</v>
      </c>
      <c r="T492" s="593" t="s">
        <v>352</v>
      </c>
      <c r="U492" s="592" t="s">
        <v>479</v>
      </c>
      <c r="V492" s="592" t="s">
        <v>480</v>
      </c>
      <c r="W492" s="594"/>
      <c r="X492" s="591" t="s">
        <v>475</v>
      </c>
      <c r="Y492" s="591" t="s">
        <v>476</v>
      </c>
      <c r="Z492" s="591" t="s">
        <v>474</v>
      </c>
      <c r="AA492" s="592" t="s">
        <v>477</v>
      </c>
      <c r="AB492" s="593" t="s">
        <v>494</v>
      </c>
      <c r="AC492" s="592" t="s">
        <v>479</v>
      </c>
      <c r="AD492" s="592" t="s">
        <v>480</v>
      </c>
      <c r="AE492" s="594"/>
    </row>
    <row r="493" spans="1:31">
      <c r="A493" s="590">
        <v>62</v>
      </c>
      <c r="B493" s="596">
        <f t="shared" ref="B493:E493" si="432">B386</f>
        <v>0</v>
      </c>
      <c r="C493" s="596">
        <f t="shared" si="432"/>
        <v>0</v>
      </c>
      <c r="D493" s="597">
        <f t="shared" si="432"/>
        <v>0</v>
      </c>
      <c r="E493" s="597">
        <f t="shared" si="432"/>
        <v>0</v>
      </c>
      <c r="F493" s="590" t="str">
        <f>VLOOKUP(A493,STUDENT!$A$2:$BR$105,68,0)</f>
        <v/>
      </c>
      <c r="G493" s="590" t="b">
        <f>VLOOKUP(A493,STUDENT!$A$2:$BR$105,67,0)</f>
        <v>0</v>
      </c>
      <c r="H493" s="590" t="str">
        <f>PASHEET!BZ65</f>
        <v/>
      </c>
      <c r="I493" s="590" t="str">
        <f>PASHEET!CA65</f>
        <v/>
      </c>
      <c r="J493" s="590" t="str">
        <f>PASHEET!CB65</f>
        <v/>
      </c>
      <c r="K493" s="590" t="str">
        <f>PASHEET!CC65</f>
        <v/>
      </c>
      <c r="L493" s="590" t="str">
        <f>PASHEET!CD65</f>
        <v/>
      </c>
      <c r="M493" s="590" t="str">
        <f>PASHEET!CE65</f>
        <v/>
      </c>
      <c r="N493" s="590" t="str">
        <f>PASHEET!CF65</f>
        <v/>
      </c>
      <c r="O493" s="590" t="str">
        <f>PASHEET!CG65</f>
        <v/>
      </c>
      <c r="Q493" s="591" t="s">
        <v>482</v>
      </c>
      <c r="R493" s="591" t="s">
        <v>483</v>
      </c>
      <c r="S493" s="591" t="s">
        <v>50</v>
      </c>
      <c r="T493" s="591">
        <f>COUNTIFS(L432:L531,S493)</f>
        <v>0</v>
      </c>
      <c r="U493" s="591">
        <f>COUNTIFS(F432:F531,Q482,L432:L531,S493)</f>
        <v>0</v>
      </c>
      <c r="V493" s="591">
        <f>COUNTIFS(F432:F531,R482,L432:L531,S493)</f>
        <v>0</v>
      </c>
      <c r="W493" s="594"/>
      <c r="X493" s="591" t="s">
        <v>482</v>
      </c>
      <c r="Y493" s="591" t="s">
        <v>483</v>
      </c>
      <c r="Z493" s="591" t="s">
        <v>494</v>
      </c>
      <c r="AA493" s="591" t="s">
        <v>50</v>
      </c>
      <c r="AB493" s="591">
        <f>COUNTIFS(G432:G531,Z493,O432:O531,S493)</f>
        <v>0</v>
      </c>
      <c r="AC493" s="591">
        <f>COUNTIFS(F432:F531,X493,G432:G531,Z493,O432:O531,S493)</f>
        <v>0</v>
      </c>
      <c r="AD493" s="591">
        <f>COUNTIFS(F432:F531,Y493,G432:G531,Z493,O432:O531,S493)</f>
        <v>0</v>
      </c>
      <c r="AE493" s="594"/>
    </row>
    <row r="494" spans="1:31">
      <c r="A494" s="596">
        <v>63</v>
      </c>
      <c r="B494" s="596">
        <f t="shared" ref="B494:E494" si="433">B387</f>
        <v>0</v>
      </c>
      <c r="C494" s="596">
        <f t="shared" si="433"/>
        <v>0</v>
      </c>
      <c r="D494" s="597">
        <f t="shared" si="433"/>
        <v>0</v>
      </c>
      <c r="E494" s="597">
        <f t="shared" si="433"/>
        <v>0</v>
      </c>
      <c r="F494" s="590" t="str">
        <f>VLOOKUP(A494,STUDENT!$A$2:$BR$105,68,0)</f>
        <v/>
      </c>
      <c r="G494" s="590" t="b">
        <f>VLOOKUP(A494,STUDENT!$A$2:$BR$105,67,0)</f>
        <v>0</v>
      </c>
      <c r="H494" s="590" t="str">
        <f>PASHEET!BZ66</f>
        <v/>
      </c>
      <c r="I494" s="590" t="str">
        <f>PASHEET!CA66</f>
        <v/>
      </c>
      <c r="J494" s="590" t="str">
        <f>PASHEET!CB66</f>
        <v/>
      </c>
      <c r="K494" s="590" t="str">
        <f>PASHEET!CC66</f>
        <v/>
      </c>
      <c r="L494" s="590" t="str">
        <f>PASHEET!CD66</f>
        <v/>
      </c>
      <c r="M494" s="590" t="str">
        <f>PASHEET!CE66</f>
        <v/>
      </c>
      <c r="N494" s="590" t="str">
        <f>PASHEET!CF66</f>
        <v/>
      </c>
      <c r="O494" s="590" t="str">
        <f>PASHEET!CG66</f>
        <v/>
      </c>
      <c r="Q494" s="591" t="s">
        <v>482</v>
      </c>
      <c r="R494" s="591" t="s">
        <v>483</v>
      </c>
      <c r="S494" s="591" t="s">
        <v>485</v>
      </c>
      <c r="T494" s="591">
        <f>COUNTIFS(L432:L531,S494)</f>
        <v>0</v>
      </c>
      <c r="U494" s="591">
        <f>COUNTIFS(F432:F531,Q483,L432:L531,S494)</f>
        <v>0</v>
      </c>
      <c r="V494" s="591">
        <f>COUNTIFS(F432:F531,R483,L432:L531,S494)</f>
        <v>0</v>
      </c>
      <c r="W494" s="594"/>
      <c r="X494" s="591" t="s">
        <v>482</v>
      </c>
      <c r="Y494" s="591" t="s">
        <v>483</v>
      </c>
      <c r="Z494" s="591" t="s">
        <v>494</v>
      </c>
      <c r="AA494" s="591" t="s">
        <v>485</v>
      </c>
      <c r="AB494" s="591">
        <f>COUNTIFS(G432:G531,Z494,O432:O531,S494)</f>
        <v>0</v>
      </c>
      <c r="AC494" s="591">
        <f>COUNTIFS(F432:F531,X494,G432:G531,Z494,O432:O531,S494)</f>
        <v>0</v>
      </c>
      <c r="AD494" s="591">
        <f>COUNTIFS(F432:F531,Y494,G432:G531,Z494,O432:O531,S494)</f>
        <v>0</v>
      </c>
      <c r="AE494" s="594"/>
    </row>
    <row r="495" spans="1:31">
      <c r="A495" s="590">
        <v>64</v>
      </c>
      <c r="B495" s="596">
        <f t="shared" ref="B495:E495" si="434">B388</f>
        <v>0</v>
      </c>
      <c r="C495" s="596">
        <f t="shared" si="434"/>
        <v>0</v>
      </c>
      <c r="D495" s="597">
        <f t="shared" si="434"/>
        <v>0</v>
      </c>
      <c r="E495" s="597">
        <f t="shared" si="434"/>
        <v>0</v>
      </c>
      <c r="F495" s="590" t="str">
        <f>VLOOKUP(A495,STUDENT!$A$2:$BR$105,68,0)</f>
        <v/>
      </c>
      <c r="G495" s="590" t="b">
        <f>VLOOKUP(A495,STUDENT!$A$2:$BR$105,67,0)</f>
        <v>0</v>
      </c>
      <c r="H495" s="590" t="str">
        <f>PASHEET!BZ67</f>
        <v/>
      </c>
      <c r="I495" s="590" t="str">
        <f>PASHEET!CA67</f>
        <v/>
      </c>
      <c r="J495" s="590" t="str">
        <f>PASHEET!CB67</f>
        <v/>
      </c>
      <c r="K495" s="590" t="str">
        <f>PASHEET!CC67</f>
        <v/>
      </c>
      <c r="L495" s="590" t="str">
        <f>PASHEET!CD67</f>
        <v/>
      </c>
      <c r="M495" s="590" t="str">
        <f>PASHEET!CE67</f>
        <v/>
      </c>
      <c r="N495" s="590" t="str">
        <f>PASHEET!CF67</f>
        <v/>
      </c>
      <c r="O495" s="590" t="str">
        <f>PASHEET!CG67</f>
        <v/>
      </c>
      <c r="Q495" s="591" t="s">
        <v>482</v>
      </c>
      <c r="R495" s="591" t="s">
        <v>483</v>
      </c>
      <c r="S495" s="591" t="s">
        <v>486</v>
      </c>
      <c r="T495" s="591">
        <f>COUNTIFS(L432:L531,S495)</f>
        <v>0</v>
      </c>
      <c r="U495" s="591">
        <f>COUNTIFS(F432:F531,Q484,L432:L531,S495)</f>
        <v>0</v>
      </c>
      <c r="V495" s="591">
        <f>COUNTIFS(F432:F531,R484,L432:L531,S495)</f>
        <v>0</v>
      </c>
      <c r="W495" s="594"/>
      <c r="X495" s="591" t="s">
        <v>482</v>
      </c>
      <c r="Y495" s="591" t="s">
        <v>483</v>
      </c>
      <c r="Z495" s="591" t="s">
        <v>494</v>
      </c>
      <c r="AA495" s="591" t="s">
        <v>486</v>
      </c>
      <c r="AB495" s="591">
        <f>COUNTIFS(G432:G531,Z495,O432:O531,S495)</f>
        <v>0</v>
      </c>
      <c r="AC495" s="591">
        <f>COUNTIFS(F432:F531,X495,G432:G531,Z495,O432:O531,S495)</f>
        <v>0</v>
      </c>
      <c r="AD495" s="591">
        <f>COUNTIFS(F432:F531,Y495,G432:G531,Z495,O432:O531,S495)</f>
        <v>0</v>
      </c>
      <c r="AE495" s="594"/>
    </row>
    <row r="496" spans="1:31">
      <c r="A496" s="596">
        <v>65</v>
      </c>
      <c r="B496" s="596">
        <f t="shared" ref="B496:E496" si="435">B389</f>
        <v>0</v>
      </c>
      <c r="C496" s="596">
        <f t="shared" si="435"/>
        <v>0</v>
      </c>
      <c r="D496" s="597">
        <f t="shared" si="435"/>
        <v>0</v>
      </c>
      <c r="E496" s="597">
        <f t="shared" si="435"/>
        <v>0</v>
      </c>
      <c r="F496" s="590" t="str">
        <f>VLOOKUP(A496,STUDENT!$A$2:$BR$105,68,0)</f>
        <v/>
      </c>
      <c r="G496" s="590" t="b">
        <f>VLOOKUP(A496,STUDENT!$A$2:$BR$105,67,0)</f>
        <v>0</v>
      </c>
      <c r="H496" s="590" t="str">
        <f>PASHEET!BZ68</f>
        <v/>
      </c>
      <c r="I496" s="590" t="str">
        <f>PASHEET!CA68</f>
        <v/>
      </c>
      <c r="J496" s="590" t="str">
        <f>PASHEET!CB68</f>
        <v/>
      </c>
      <c r="K496" s="590" t="str">
        <f>PASHEET!CC68</f>
        <v/>
      </c>
      <c r="L496" s="590" t="str">
        <f>PASHEET!CD68</f>
        <v/>
      </c>
      <c r="M496" s="590" t="str">
        <f>PASHEET!CE68</f>
        <v/>
      </c>
      <c r="N496" s="590" t="str">
        <f>PASHEET!CF68</f>
        <v/>
      </c>
      <c r="O496" s="590" t="str">
        <f>PASHEET!CG68</f>
        <v/>
      </c>
      <c r="Q496" s="591" t="s">
        <v>482</v>
      </c>
      <c r="R496" s="591" t="s">
        <v>483</v>
      </c>
      <c r="S496" s="591" t="s">
        <v>487</v>
      </c>
      <c r="T496" s="591">
        <f>COUNTIFS(L432:L531,S496)</f>
        <v>0</v>
      </c>
      <c r="U496" s="591">
        <f>COUNTIFS(F432:F531,Q485,L432:L531,S496)</f>
        <v>0</v>
      </c>
      <c r="V496" s="591">
        <f>COUNTIFS(F432:F531,R485,L432:L531,S496)</f>
        <v>0</v>
      </c>
      <c r="W496" s="594"/>
      <c r="X496" s="591" t="s">
        <v>482</v>
      </c>
      <c r="Y496" s="591" t="s">
        <v>483</v>
      </c>
      <c r="Z496" s="591" t="s">
        <v>494</v>
      </c>
      <c r="AA496" s="591" t="s">
        <v>487</v>
      </c>
      <c r="AB496" s="591">
        <f>COUNTIFS(G432:G531,Z496,O432:O531,S496)</f>
        <v>0</v>
      </c>
      <c r="AC496" s="591">
        <f>COUNTIFS(F432:F531,X496,G432:G531,Z496,O432:O531,S496)</f>
        <v>0</v>
      </c>
      <c r="AD496" s="591">
        <f>COUNTIFS(F432:F531,Y496,G432:G531,Z496,O432:O531,S496)</f>
        <v>0</v>
      </c>
      <c r="AE496" s="594"/>
    </row>
    <row r="497" spans="1:31">
      <c r="A497" s="590">
        <v>66</v>
      </c>
      <c r="B497" s="596">
        <f t="shared" ref="B497:E497" si="436">B390</f>
        <v>0</v>
      </c>
      <c r="C497" s="596">
        <f t="shared" si="436"/>
        <v>0</v>
      </c>
      <c r="D497" s="597">
        <f t="shared" si="436"/>
        <v>0</v>
      </c>
      <c r="E497" s="597">
        <f t="shared" si="436"/>
        <v>0</v>
      </c>
      <c r="F497" s="590" t="str">
        <f>VLOOKUP(A497,STUDENT!$A$2:$BR$105,68,0)</f>
        <v/>
      </c>
      <c r="G497" s="590" t="b">
        <f>VLOOKUP(A497,STUDENT!$A$2:$BR$105,67,0)</f>
        <v>0</v>
      </c>
      <c r="H497" s="590" t="str">
        <f>PASHEET!BZ69</f>
        <v/>
      </c>
      <c r="I497" s="590" t="str">
        <f>PASHEET!CA69</f>
        <v/>
      </c>
      <c r="J497" s="590" t="str">
        <f>PASHEET!CB69</f>
        <v/>
      </c>
      <c r="K497" s="590" t="str">
        <f>PASHEET!CC69</f>
        <v/>
      </c>
      <c r="L497" s="590" t="str">
        <f>PASHEET!CD69</f>
        <v/>
      </c>
      <c r="M497" s="590" t="str">
        <f>PASHEET!CE69</f>
        <v/>
      </c>
      <c r="N497" s="590" t="str">
        <f>PASHEET!CF69</f>
        <v/>
      </c>
      <c r="O497" s="590" t="str">
        <f>PASHEET!CG69</f>
        <v/>
      </c>
      <c r="Q497" s="591" t="s">
        <v>482</v>
      </c>
      <c r="R497" s="591" t="s">
        <v>483</v>
      </c>
      <c r="S497" s="591" t="s">
        <v>488</v>
      </c>
      <c r="T497" s="591">
        <f>COUNTIFS(L432:L531,S497)</f>
        <v>0</v>
      </c>
      <c r="U497" s="591">
        <f>COUNTIFS(F432:F531,Q486,L432:L531,S497)</f>
        <v>0</v>
      </c>
      <c r="V497" s="591">
        <f>COUNTIFS(F432:F531,R486,L432:L531,S497)</f>
        <v>0</v>
      </c>
      <c r="W497" s="594"/>
      <c r="X497" s="591" t="s">
        <v>482</v>
      </c>
      <c r="Y497" s="591" t="s">
        <v>483</v>
      </c>
      <c r="Z497" s="591" t="s">
        <v>494</v>
      </c>
      <c r="AA497" s="591" t="s">
        <v>488</v>
      </c>
      <c r="AB497" s="591">
        <f>COUNTIFS(G432:G531,Z497,O432:O531,S497)</f>
        <v>0</v>
      </c>
      <c r="AC497" s="591">
        <f>COUNTIFS(F432:F531,X497,G432:G531,Z497,O432:O531,S497)</f>
        <v>0</v>
      </c>
      <c r="AD497" s="591">
        <f>COUNTIFS(F432:F531,Y497,G432:G531,Z497,O432:O531,S497)</f>
        <v>0</v>
      </c>
      <c r="AE497" s="594"/>
    </row>
    <row r="498" spans="1:31">
      <c r="A498" s="596">
        <v>67</v>
      </c>
      <c r="B498" s="596">
        <f t="shared" ref="B498:E498" si="437">B391</f>
        <v>0</v>
      </c>
      <c r="C498" s="596">
        <f t="shared" si="437"/>
        <v>0</v>
      </c>
      <c r="D498" s="597">
        <f t="shared" si="437"/>
        <v>0</v>
      </c>
      <c r="E498" s="597">
        <f t="shared" si="437"/>
        <v>0</v>
      </c>
      <c r="F498" s="590" t="str">
        <f>VLOOKUP(A498,STUDENT!$A$2:$BR$105,68,0)</f>
        <v/>
      </c>
      <c r="G498" s="590" t="b">
        <f>VLOOKUP(A498,STUDENT!$A$2:$BR$105,67,0)</f>
        <v>0</v>
      </c>
      <c r="H498" s="590" t="str">
        <f>PASHEET!BZ70</f>
        <v/>
      </c>
      <c r="I498" s="590" t="str">
        <f>PASHEET!CA70</f>
        <v/>
      </c>
      <c r="J498" s="590" t="str">
        <f>PASHEET!CB70</f>
        <v/>
      </c>
      <c r="K498" s="590" t="str">
        <f>PASHEET!CC70</f>
        <v/>
      </c>
      <c r="L498" s="590" t="str">
        <f>PASHEET!CD70</f>
        <v/>
      </c>
      <c r="M498" s="590" t="str">
        <f>PASHEET!CE70</f>
        <v/>
      </c>
      <c r="N498" s="590" t="str">
        <f>PASHEET!CF70</f>
        <v/>
      </c>
      <c r="O498" s="590" t="str">
        <f>PASHEET!CG70</f>
        <v/>
      </c>
      <c r="Q498" s="591" t="s">
        <v>482</v>
      </c>
      <c r="R498" s="591" t="s">
        <v>483</v>
      </c>
      <c r="S498" s="591" t="s">
        <v>101</v>
      </c>
      <c r="T498" s="591">
        <f>COUNTIFS(L432:L531,S498)</f>
        <v>0</v>
      </c>
      <c r="U498" s="591">
        <f>COUNTIFS(F432:F531,Q487,L432:L531,S498)</f>
        <v>0</v>
      </c>
      <c r="V498" s="591">
        <f>COUNTIFS(F432:F531,R487,L432:L531,S498)</f>
        <v>0</v>
      </c>
      <c r="W498" s="594"/>
      <c r="X498" s="591" t="s">
        <v>482</v>
      </c>
      <c r="Y498" s="591" t="s">
        <v>483</v>
      </c>
      <c r="Z498" s="591" t="s">
        <v>494</v>
      </c>
      <c r="AA498" s="591" t="s">
        <v>101</v>
      </c>
      <c r="AB498" s="591">
        <f>COUNTIFS(G432:G531,Z498,O432:O531,S498)</f>
        <v>0</v>
      </c>
      <c r="AC498" s="591">
        <f>COUNTIFS(F432:F531,X498,G432:G531,Z498,O432:O531,S498)</f>
        <v>0</v>
      </c>
      <c r="AD498" s="591">
        <f>COUNTIFS(F432:F531,Y498,G432:G531,Z498,O432:O531,S498)</f>
        <v>0</v>
      </c>
      <c r="AE498" s="594"/>
    </row>
    <row r="499" spans="1:31">
      <c r="A499" s="590">
        <v>68</v>
      </c>
      <c r="B499" s="596">
        <f t="shared" ref="B499:E499" si="438">B392</f>
        <v>0</v>
      </c>
      <c r="C499" s="596">
        <f t="shared" si="438"/>
        <v>0</v>
      </c>
      <c r="D499" s="597">
        <f t="shared" si="438"/>
        <v>0</v>
      </c>
      <c r="E499" s="597">
        <f t="shared" si="438"/>
        <v>0</v>
      </c>
      <c r="F499" s="590" t="str">
        <f>VLOOKUP(A499,STUDENT!$A$2:$BR$105,68,0)</f>
        <v/>
      </c>
      <c r="G499" s="590" t="b">
        <f>VLOOKUP(A499,STUDENT!$A$2:$BR$105,67,0)</f>
        <v>0</v>
      </c>
      <c r="H499" s="590" t="str">
        <f>PASHEET!BZ71</f>
        <v/>
      </c>
      <c r="I499" s="590" t="str">
        <f>PASHEET!CA71</f>
        <v/>
      </c>
      <c r="J499" s="590" t="str">
        <f>PASHEET!CB71</f>
        <v/>
      </c>
      <c r="K499" s="590" t="str">
        <f>PASHEET!CC71</f>
        <v/>
      </c>
      <c r="L499" s="590" t="str">
        <f>PASHEET!CD71</f>
        <v/>
      </c>
      <c r="M499" s="590" t="str">
        <f>PASHEET!CE71</f>
        <v/>
      </c>
      <c r="N499" s="590" t="str">
        <f>PASHEET!CF71</f>
        <v/>
      </c>
      <c r="O499" s="590" t="str">
        <f>PASHEET!CG71</f>
        <v/>
      </c>
      <c r="Q499" s="591" t="s">
        <v>482</v>
      </c>
      <c r="R499" s="591" t="s">
        <v>483</v>
      </c>
      <c r="S499" s="591" t="s">
        <v>489</v>
      </c>
      <c r="T499" s="591">
        <f>COUNTIFS(L432:L531,S499)</f>
        <v>0</v>
      </c>
      <c r="U499" s="591">
        <f>COUNTIFS(F432:F531,Q488,L432:L531,S499)</f>
        <v>0</v>
      </c>
      <c r="V499" s="591">
        <f>COUNTIFS(F432:F531,R488,L432:L531,S499)</f>
        <v>0</v>
      </c>
      <c r="W499" s="594"/>
      <c r="X499" s="591" t="s">
        <v>482</v>
      </c>
      <c r="Y499" s="591" t="s">
        <v>483</v>
      </c>
      <c r="Z499" s="591" t="s">
        <v>494</v>
      </c>
      <c r="AA499" s="591" t="s">
        <v>489</v>
      </c>
      <c r="AB499" s="591">
        <f>COUNTIFS(G432:G531,Z499,O432:O531,S499)</f>
        <v>0</v>
      </c>
      <c r="AC499" s="591">
        <f>COUNTIFS(F432:F531,X499,G432:G531,Z499,O432:O531,S499)</f>
        <v>0</v>
      </c>
      <c r="AD499" s="591">
        <f>COUNTIFS(F432:F531,Y499,G432:G531,Z499,O432:O531,S499)</f>
        <v>0</v>
      </c>
      <c r="AE499" s="594"/>
    </row>
    <row r="500" spans="1:31">
      <c r="A500" s="596">
        <v>69</v>
      </c>
      <c r="B500" s="596">
        <f t="shared" ref="B500:E500" si="439">B393</f>
        <v>0</v>
      </c>
      <c r="C500" s="596">
        <f t="shared" si="439"/>
        <v>0</v>
      </c>
      <c r="D500" s="597">
        <f t="shared" si="439"/>
        <v>0</v>
      </c>
      <c r="E500" s="597">
        <f t="shared" si="439"/>
        <v>0</v>
      </c>
      <c r="F500" s="590" t="str">
        <f>VLOOKUP(A500,STUDENT!$A$2:$BR$105,68,0)</f>
        <v/>
      </c>
      <c r="G500" s="590" t="b">
        <f>VLOOKUP(A500,STUDENT!$A$2:$BR$105,67,0)</f>
        <v>0</v>
      </c>
      <c r="H500" s="590" t="str">
        <f>PASHEET!BZ72</f>
        <v/>
      </c>
      <c r="I500" s="590" t="str">
        <f>PASHEET!CA72</f>
        <v/>
      </c>
      <c r="J500" s="590" t="str">
        <f>PASHEET!CB72</f>
        <v/>
      </c>
      <c r="K500" s="590" t="str">
        <f>PASHEET!CC72</f>
        <v/>
      </c>
      <c r="L500" s="590" t="str">
        <f>PASHEET!CD72</f>
        <v/>
      </c>
      <c r="M500" s="590" t="str">
        <f>PASHEET!CE72</f>
        <v/>
      </c>
      <c r="N500" s="590" t="str">
        <f>PASHEET!CF72</f>
        <v/>
      </c>
      <c r="O500" s="590" t="str">
        <f>PASHEET!CG72</f>
        <v/>
      </c>
      <c r="Q500" s="591" t="s">
        <v>482</v>
      </c>
      <c r="R500" s="591" t="s">
        <v>483</v>
      </c>
      <c r="S500" s="591"/>
      <c r="T500" s="591"/>
      <c r="U500" s="591"/>
      <c r="V500" s="591"/>
      <c r="W500" s="594"/>
      <c r="X500" s="591" t="s">
        <v>482</v>
      </c>
      <c r="Y500" s="591" t="s">
        <v>483</v>
      </c>
      <c r="Z500" s="591" t="s">
        <v>494</v>
      </c>
      <c r="AA500" s="591"/>
      <c r="AB500" s="591"/>
      <c r="AC500" s="591"/>
      <c r="AD500" s="591"/>
      <c r="AE500" s="594"/>
    </row>
    <row r="501" spans="1:31">
      <c r="A501" s="590">
        <v>70</v>
      </c>
      <c r="B501" s="596">
        <f t="shared" ref="B501:E501" si="440">B394</f>
        <v>0</v>
      </c>
      <c r="C501" s="596">
        <f t="shared" si="440"/>
        <v>0</v>
      </c>
      <c r="D501" s="597">
        <f t="shared" si="440"/>
        <v>0</v>
      </c>
      <c r="E501" s="597">
        <f t="shared" si="440"/>
        <v>0</v>
      </c>
      <c r="F501" s="590" t="str">
        <f>VLOOKUP(A501,STUDENT!$A$2:$BR$105,68,0)</f>
        <v/>
      </c>
      <c r="G501" s="590" t="b">
        <f>VLOOKUP(A501,STUDENT!$A$2:$BR$105,67,0)</f>
        <v>0</v>
      </c>
      <c r="H501" s="590" t="str">
        <f>PASHEET!BZ73</f>
        <v/>
      </c>
      <c r="I501" s="590" t="str">
        <f>PASHEET!CA73</f>
        <v/>
      </c>
      <c r="J501" s="590" t="str">
        <f>PASHEET!CB73</f>
        <v/>
      </c>
      <c r="K501" s="590" t="str">
        <f>PASHEET!CC73</f>
        <v/>
      </c>
      <c r="L501" s="590" t="str">
        <f>PASHEET!CD73</f>
        <v/>
      </c>
      <c r="M501" s="590" t="str">
        <f>PASHEET!CE73</f>
        <v/>
      </c>
      <c r="N501" s="590" t="str">
        <f>PASHEET!CF73</f>
        <v/>
      </c>
      <c r="O501" s="590" t="str">
        <f>PASHEET!CG73</f>
        <v/>
      </c>
      <c r="Q501" s="591"/>
      <c r="R501" s="591"/>
      <c r="S501" s="591" t="s">
        <v>102</v>
      </c>
      <c r="T501" s="591">
        <f>SUM(T493:T500)</f>
        <v>0</v>
      </c>
      <c r="U501" s="591">
        <f t="shared" ref="U501:V501" si="441">SUM(U493:U500)</f>
        <v>0</v>
      </c>
      <c r="V501" s="591">
        <f t="shared" si="441"/>
        <v>0</v>
      </c>
      <c r="W501" s="594"/>
      <c r="X501" s="591"/>
      <c r="Y501" s="591"/>
      <c r="Z501" s="591"/>
      <c r="AA501" s="591" t="s">
        <v>102</v>
      </c>
      <c r="AB501" s="591">
        <f>SUM(AB493:AB500)</f>
        <v>0</v>
      </c>
      <c r="AC501" s="591">
        <f t="shared" ref="AC501:AD501" si="442">SUM(AC493:AC500)</f>
        <v>0</v>
      </c>
      <c r="AD501" s="591">
        <f t="shared" si="442"/>
        <v>0</v>
      </c>
      <c r="AE501" s="594"/>
    </row>
    <row r="502" spans="1:31">
      <c r="A502" s="596">
        <v>71</v>
      </c>
      <c r="B502" s="596">
        <f t="shared" ref="B502:E502" si="443">B395</f>
        <v>0</v>
      </c>
      <c r="C502" s="596">
        <f t="shared" si="443"/>
        <v>0</v>
      </c>
      <c r="D502" s="597">
        <f t="shared" si="443"/>
        <v>0</v>
      </c>
      <c r="E502" s="597">
        <f t="shared" si="443"/>
        <v>0</v>
      </c>
      <c r="F502" s="590" t="str">
        <f>VLOOKUP(A502,STUDENT!$A$2:$BR$105,68,0)</f>
        <v/>
      </c>
      <c r="G502" s="590" t="b">
        <f>VLOOKUP(A502,STUDENT!$A$2:$BR$105,67,0)</f>
        <v>0</v>
      </c>
      <c r="H502" s="590" t="str">
        <f>PASHEET!BZ74</f>
        <v/>
      </c>
      <c r="I502" s="590" t="str">
        <f>PASHEET!CA74</f>
        <v/>
      </c>
      <c r="J502" s="590" t="str">
        <f>PASHEET!CB74</f>
        <v/>
      </c>
      <c r="K502" s="590" t="str">
        <f>PASHEET!CC74</f>
        <v/>
      </c>
      <c r="L502" s="590" t="str">
        <f>PASHEET!CD74</f>
        <v/>
      </c>
      <c r="M502" s="590" t="str">
        <f>PASHEET!CE74</f>
        <v/>
      </c>
      <c r="N502" s="590" t="str">
        <f>PASHEET!CF74</f>
        <v/>
      </c>
      <c r="O502" s="590" t="str">
        <f>PASHEET!CG74</f>
        <v/>
      </c>
      <c r="Q502" s="591"/>
      <c r="R502" s="591"/>
      <c r="S502" s="591"/>
      <c r="T502" s="591"/>
      <c r="U502" s="591"/>
      <c r="V502" s="591"/>
      <c r="W502" s="594"/>
      <c r="X502" s="594"/>
      <c r="Y502" s="594"/>
      <c r="Z502" s="594"/>
      <c r="AA502" s="594"/>
      <c r="AB502" s="591"/>
      <c r="AC502" s="591"/>
      <c r="AD502" s="591"/>
      <c r="AE502" s="594"/>
    </row>
    <row r="503" spans="1:31">
      <c r="A503" s="590">
        <v>72</v>
      </c>
      <c r="B503" s="596">
        <f t="shared" ref="B503:E503" si="444">B396</f>
        <v>0</v>
      </c>
      <c r="C503" s="596">
        <f t="shared" si="444"/>
        <v>0</v>
      </c>
      <c r="D503" s="597">
        <f t="shared" si="444"/>
        <v>0</v>
      </c>
      <c r="E503" s="597">
        <f t="shared" si="444"/>
        <v>0</v>
      </c>
      <c r="F503" s="590" t="str">
        <f>VLOOKUP(A503,STUDENT!$A$2:$BR$105,68,0)</f>
        <v/>
      </c>
      <c r="G503" s="590" t="b">
        <f>VLOOKUP(A503,STUDENT!$A$2:$BR$105,67,0)</f>
        <v>0</v>
      </c>
      <c r="H503" s="590" t="str">
        <f>PASHEET!BZ75</f>
        <v/>
      </c>
      <c r="I503" s="590" t="str">
        <f>PASHEET!CA75</f>
        <v/>
      </c>
      <c r="J503" s="590" t="str">
        <f>PASHEET!CB75</f>
        <v/>
      </c>
      <c r="K503" s="590" t="str">
        <f>PASHEET!CC75</f>
        <v/>
      </c>
      <c r="L503" s="590" t="str">
        <f>PASHEET!CD75</f>
        <v/>
      </c>
      <c r="M503" s="590" t="str">
        <f>PASHEET!CE75</f>
        <v/>
      </c>
      <c r="N503" s="590" t="str">
        <f>PASHEET!CF75</f>
        <v/>
      </c>
      <c r="O503" s="590" t="str">
        <f>PASHEET!CG75</f>
        <v/>
      </c>
      <c r="Q503" s="591"/>
      <c r="R503" s="591"/>
      <c r="S503" s="591"/>
      <c r="T503" s="591"/>
      <c r="U503" s="591"/>
      <c r="V503" s="591"/>
      <c r="W503" s="594"/>
      <c r="X503" s="594"/>
      <c r="Y503" s="594"/>
      <c r="Z503" s="594"/>
      <c r="AA503" s="594"/>
      <c r="AB503" s="591"/>
      <c r="AC503" s="591"/>
      <c r="AD503" s="591"/>
      <c r="AE503" s="594"/>
    </row>
    <row r="504" spans="1:31">
      <c r="A504" s="596">
        <v>73</v>
      </c>
      <c r="B504" s="596">
        <f t="shared" ref="B504:E504" si="445">B397</f>
        <v>0</v>
      </c>
      <c r="C504" s="596">
        <f t="shared" si="445"/>
        <v>0</v>
      </c>
      <c r="D504" s="597">
        <f t="shared" si="445"/>
        <v>0</v>
      </c>
      <c r="E504" s="597">
        <f t="shared" si="445"/>
        <v>0</v>
      </c>
      <c r="F504" s="590" t="str">
        <f>VLOOKUP(A504,STUDENT!$A$2:$BR$105,68,0)</f>
        <v/>
      </c>
      <c r="G504" s="590" t="b">
        <f>VLOOKUP(A504,STUDENT!$A$2:$BR$105,67,0)</f>
        <v>0</v>
      </c>
      <c r="H504" s="590" t="str">
        <f>PASHEET!BZ76</f>
        <v/>
      </c>
      <c r="I504" s="590" t="str">
        <f>PASHEET!CA76</f>
        <v/>
      </c>
      <c r="J504" s="590" t="str">
        <f>PASHEET!CB76</f>
        <v/>
      </c>
      <c r="K504" s="590" t="str">
        <f>PASHEET!CC76</f>
        <v/>
      </c>
      <c r="L504" s="590" t="str">
        <f>PASHEET!CD76</f>
        <v/>
      </c>
      <c r="M504" s="590" t="str">
        <f>PASHEET!CE76</f>
        <v/>
      </c>
      <c r="N504" s="590" t="str">
        <f>PASHEET!CF76</f>
        <v/>
      </c>
      <c r="O504" s="590" t="str">
        <f>PASHEET!CG76</f>
        <v/>
      </c>
      <c r="Q504" s="591"/>
      <c r="R504" s="591"/>
      <c r="S504" s="591"/>
      <c r="T504" s="591"/>
      <c r="U504" s="591"/>
      <c r="V504" s="591"/>
      <c r="W504" s="594"/>
      <c r="X504" s="594"/>
      <c r="Y504" s="594"/>
      <c r="Z504" s="594"/>
      <c r="AA504" s="594"/>
      <c r="AB504" s="591"/>
      <c r="AC504" s="591"/>
      <c r="AD504" s="591"/>
      <c r="AE504" s="594"/>
    </row>
    <row r="505" spans="1:31">
      <c r="A505" s="590">
        <v>74</v>
      </c>
      <c r="B505" s="596">
        <f t="shared" ref="B505:E505" si="446">B398</f>
        <v>0</v>
      </c>
      <c r="C505" s="596">
        <f t="shared" si="446"/>
        <v>0</v>
      </c>
      <c r="D505" s="597">
        <f t="shared" si="446"/>
        <v>0</v>
      </c>
      <c r="E505" s="597">
        <f t="shared" si="446"/>
        <v>0</v>
      </c>
      <c r="F505" s="590" t="str">
        <f>VLOOKUP(A505,STUDENT!$A$2:$BR$105,68,0)</f>
        <v/>
      </c>
      <c r="G505" s="590" t="b">
        <f>VLOOKUP(A505,STUDENT!$A$2:$BR$105,67,0)</f>
        <v>0</v>
      </c>
      <c r="H505" s="590" t="str">
        <f>PASHEET!BZ77</f>
        <v/>
      </c>
      <c r="I505" s="590" t="str">
        <f>PASHEET!CA77</f>
        <v/>
      </c>
      <c r="J505" s="590" t="str">
        <f>PASHEET!CB77</f>
        <v/>
      </c>
      <c r="K505" s="590" t="str">
        <f>PASHEET!CC77</f>
        <v/>
      </c>
      <c r="L505" s="590" t="str">
        <f>PASHEET!CD77</f>
        <v/>
      </c>
      <c r="M505" s="590" t="str">
        <f>PASHEET!CE77</f>
        <v/>
      </c>
      <c r="N505" s="590" t="str">
        <f>PASHEET!CF77</f>
        <v/>
      </c>
      <c r="O505" s="590" t="str">
        <f>PASHEET!CG77</f>
        <v/>
      </c>
      <c r="Q505" s="591" t="s">
        <v>475</v>
      </c>
      <c r="R505" s="591" t="s">
        <v>476</v>
      </c>
      <c r="S505" s="592" t="s">
        <v>477</v>
      </c>
      <c r="T505" s="593" t="s">
        <v>495</v>
      </c>
      <c r="U505" s="592" t="s">
        <v>479</v>
      </c>
      <c r="V505" s="592" t="s">
        <v>480</v>
      </c>
      <c r="W505" s="594"/>
      <c r="X505" s="594"/>
      <c r="Y505" s="594"/>
      <c r="Z505" s="594"/>
      <c r="AA505" s="594"/>
      <c r="AB505" s="591"/>
      <c r="AC505" s="591"/>
      <c r="AD505" s="591"/>
      <c r="AE505" s="594"/>
    </row>
    <row r="506" spans="1:31">
      <c r="A506" s="596">
        <v>75</v>
      </c>
      <c r="B506" s="596">
        <f t="shared" ref="B506:E506" si="447">B399</f>
        <v>0</v>
      </c>
      <c r="C506" s="596">
        <f t="shared" si="447"/>
        <v>0</v>
      </c>
      <c r="D506" s="597">
        <f t="shared" si="447"/>
        <v>0</v>
      </c>
      <c r="E506" s="597">
        <f t="shared" si="447"/>
        <v>0</v>
      </c>
      <c r="F506" s="590" t="str">
        <f>VLOOKUP(A506,STUDENT!$A$2:$BR$105,68,0)</f>
        <v/>
      </c>
      <c r="G506" s="590" t="b">
        <f>VLOOKUP(A506,STUDENT!$A$2:$BR$105,67,0)</f>
        <v>0</v>
      </c>
      <c r="H506" s="590" t="str">
        <f>PASHEET!BZ78</f>
        <v/>
      </c>
      <c r="I506" s="590" t="str">
        <f>PASHEET!CA78</f>
        <v/>
      </c>
      <c r="J506" s="590" t="str">
        <f>PASHEET!CB78</f>
        <v/>
      </c>
      <c r="K506" s="590" t="str">
        <f>PASHEET!CC78</f>
        <v/>
      </c>
      <c r="L506" s="590" t="str">
        <f>PASHEET!CD78</f>
        <v/>
      </c>
      <c r="M506" s="590" t="str">
        <f>PASHEET!CE78</f>
        <v/>
      </c>
      <c r="N506" s="590" t="str">
        <f>PASHEET!CF78</f>
        <v/>
      </c>
      <c r="O506" s="590" t="str">
        <f>PASHEET!CG78</f>
        <v/>
      </c>
      <c r="Q506" s="591" t="s">
        <v>482</v>
      </c>
      <c r="R506" s="591" t="s">
        <v>483</v>
      </c>
      <c r="S506" s="591" t="s">
        <v>50</v>
      </c>
      <c r="T506" s="591">
        <f>COUNTIFS(M432:M531,S506)</f>
        <v>0</v>
      </c>
      <c r="U506" s="591">
        <f>COUNTIFS(F432:F531,Q495,M432:M531,S506)</f>
        <v>0</v>
      </c>
      <c r="V506" s="591">
        <f>COUNTIFS(F432:F531,R495,M432:M531,S506)</f>
        <v>0</v>
      </c>
      <c r="W506" s="594"/>
      <c r="X506" s="594"/>
      <c r="Y506" s="594"/>
      <c r="Z506" s="594"/>
      <c r="AA506" s="594"/>
      <c r="AB506" s="591"/>
      <c r="AC506" s="591"/>
      <c r="AD506" s="591"/>
      <c r="AE506" s="594"/>
    </row>
    <row r="507" spans="1:31">
      <c r="A507" s="590">
        <v>76</v>
      </c>
      <c r="B507" s="596">
        <f t="shared" ref="B507:E507" si="448">B400</f>
        <v>0</v>
      </c>
      <c r="C507" s="596">
        <f t="shared" si="448"/>
        <v>0</v>
      </c>
      <c r="D507" s="597">
        <f t="shared" si="448"/>
        <v>0</v>
      </c>
      <c r="E507" s="597">
        <f t="shared" si="448"/>
        <v>0</v>
      </c>
      <c r="F507" s="590" t="str">
        <f>VLOOKUP(A507,STUDENT!$A$2:$BR$105,68,0)</f>
        <v/>
      </c>
      <c r="G507" s="590" t="b">
        <f>VLOOKUP(A507,STUDENT!$A$2:$BR$105,67,0)</f>
        <v>0</v>
      </c>
      <c r="H507" s="590" t="str">
        <f>PASHEET!BZ79</f>
        <v/>
      </c>
      <c r="I507" s="590" t="str">
        <f>PASHEET!CA79</f>
        <v/>
      </c>
      <c r="J507" s="590" t="str">
        <f>PASHEET!CB79</f>
        <v/>
      </c>
      <c r="K507" s="590" t="str">
        <f>PASHEET!CC79</f>
        <v/>
      </c>
      <c r="L507" s="590" t="str">
        <f>PASHEET!CD79</f>
        <v/>
      </c>
      <c r="M507" s="590" t="str">
        <f>PASHEET!CE79</f>
        <v/>
      </c>
      <c r="N507" s="590" t="str">
        <f>PASHEET!CF79</f>
        <v/>
      </c>
      <c r="O507" s="590" t="str">
        <f>PASHEET!CG79</f>
        <v/>
      </c>
      <c r="Q507" s="591" t="s">
        <v>482</v>
      </c>
      <c r="R507" s="591" t="s">
        <v>483</v>
      </c>
      <c r="S507" s="591" t="s">
        <v>485</v>
      </c>
      <c r="T507" s="591">
        <f>COUNTIFS(M432:M531,S507)</f>
        <v>0</v>
      </c>
      <c r="U507" s="591">
        <f>COUNTIFS(F432:F531,Q496,M432:M531,S507)</f>
        <v>0</v>
      </c>
      <c r="V507" s="591">
        <f>COUNTIFS(F432:F531,R496,M432:M531,S507)</f>
        <v>0</v>
      </c>
      <c r="W507" s="594"/>
      <c r="X507" s="594"/>
      <c r="Y507" s="594"/>
      <c r="Z507" s="594"/>
      <c r="AA507" s="594"/>
      <c r="AB507" s="591"/>
      <c r="AC507" s="591"/>
      <c r="AD507" s="591"/>
      <c r="AE507" s="594"/>
    </row>
    <row r="508" spans="1:31">
      <c r="A508" s="596">
        <v>77</v>
      </c>
      <c r="B508" s="596">
        <f t="shared" ref="B508:E508" si="449">B401</f>
        <v>0</v>
      </c>
      <c r="C508" s="596">
        <f t="shared" si="449"/>
        <v>0</v>
      </c>
      <c r="D508" s="597">
        <f t="shared" si="449"/>
        <v>0</v>
      </c>
      <c r="E508" s="597">
        <f t="shared" si="449"/>
        <v>0</v>
      </c>
      <c r="F508" s="590" t="str">
        <f>VLOOKUP(A508,STUDENT!$A$2:$BR$105,68,0)</f>
        <v/>
      </c>
      <c r="G508" s="590" t="b">
        <f>VLOOKUP(A508,STUDENT!$A$2:$BR$105,67,0)</f>
        <v>0</v>
      </c>
      <c r="H508" s="590" t="str">
        <f>PASHEET!BZ80</f>
        <v/>
      </c>
      <c r="I508" s="590" t="str">
        <f>PASHEET!CA80</f>
        <v/>
      </c>
      <c r="J508" s="590" t="str">
        <f>PASHEET!CB80</f>
        <v/>
      </c>
      <c r="K508" s="590" t="str">
        <f>PASHEET!CC80</f>
        <v/>
      </c>
      <c r="L508" s="590" t="str">
        <f>PASHEET!CD80</f>
        <v/>
      </c>
      <c r="M508" s="590" t="str">
        <f>PASHEET!CE80</f>
        <v/>
      </c>
      <c r="N508" s="590" t="str">
        <f>PASHEET!CF80</f>
        <v/>
      </c>
      <c r="O508" s="590" t="str">
        <f>PASHEET!CG80</f>
        <v/>
      </c>
      <c r="Q508" s="591" t="s">
        <v>482</v>
      </c>
      <c r="R508" s="591" t="s">
        <v>483</v>
      </c>
      <c r="S508" s="591" t="s">
        <v>486</v>
      </c>
      <c r="T508" s="591">
        <f>COUNTIFS(M432:M531,S508)</f>
        <v>0</v>
      </c>
      <c r="U508" s="591">
        <f>COUNTIFS(F432:F531,Q497,M432:M531,S508)</f>
        <v>0</v>
      </c>
      <c r="V508" s="591">
        <f>COUNTIFS(F432:F531,R497,M432:M531,S508)</f>
        <v>0</v>
      </c>
      <c r="W508" s="594"/>
      <c r="X508" s="594"/>
      <c r="Y508" s="594"/>
      <c r="Z508" s="594"/>
      <c r="AA508" s="594"/>
      <c r="AB508" s="591"/>
      <c r="AC508" s="591"/>
      <c r="AD508" s="591"/>
      <c r="AE508" s="594"/>
    </row>
    <row r="509" spans="1:31">
      <c r="A509" s="590">
        <v>78</v>
      </c>
      <c r="B509" s="596">
        <f t="shared" ref="B509:E509" si="450">B402</f>
        <v>0</v>
      </c>
      <c r="C509" s="596">
        <f t="shared" si="450"/>
        <v>0</v>
      </c>
      <c r="D509" s="597">
        <f t="shared" si="450"/>
        <v>0</v>
      </c>
      <c r="E509" s="597">
        <f t="shared" si="450"/>
        <v>0</v>
      </c>
      <c r="F509" s="590" t="str">
        <f>VLOOKUP(A509,STUDENT!$A$2:$BR$105,68,0)</f>
        <v/>
      </c>
      <c r="G509" s="590" t="b">
        <f>VLOOKUP(A509,STUDENT!$A$2:$BR$105,67,0)</f>
        <v>0</v>
      </c>
      <c r="H509" s="590" t="str">
        <f>PASHEET!BZ81</f>
        <v/>
      </c>
      <c r="I509" s="590" t="str">
        <f>PASHEET!CA81</f>
        <v/>
      </c>
      <c r="J509" s="590" t="str">
        <f>PASHEET!CB81</f>
        <v/>
      </c>
      <c r="K509" s="590" t="str">
        <f>PASHEET!CC81</f>
        <v/>
      </c>
      <c r="L509" s="590" t="str">
        <f>PASHEET!CD81</f>
        <v/>
      </c>
      <c r="M509" s="590" t="str">
        <f>PASHEET!CE81</f>
        <v/>
      </c>
      <c r="N509" s="590" t="str">
        <f>PASHEET!CF81</f>
        <v/>
      </c>
      <c r="O509" s="590" t="str">
        <f>PASHEET!CG81</f>
        <v/>
      </c>
      <c r="Q509" s="591" t="s">
        <v>482</v>
      </c>
      <c r="R509" s="591" t="s">
        <v>483</v>
      </c>
      <c r="S509" s="591" t="s">
        <v>487</v>
      </c>
      <c r="T509" s="591">
        <f>COUNTIFS(M432:M531,S509)</f>
        <v>0</v>
      </c>
      <c r="U509" s="591">
        <f>COUNTIFS(F432:F531,Q498,M432:M531,S509)</f>
        <v>0</v>
      </c>
      <c r="V509" s="591">
        <f>COUNTIFS(F432:F531,R498,M432:M531,S509)</f>
        <v>0</v>
      </c>
      <c r="W509" s="594"/>
      <c r="X509" s="594"/>
      <c r="Y509" s="594"/>
      <c r="Z509" s="594"/>
      <c r="AA509" s="594"/>
      <c r="AB509" s="591"/>
      <c r="AC509" s="591"/>
      <c r="AD509" s="591"/>
      <c r="AE509" s="594"/>
    </row>
    <row r="510" spans="1:31">
      <c r="A510" s="596">
        <v>79</v>
      </c>
      <c r="B510" s="596">
        <f t="shared" ref="B510:E510" si="451">B403</f>
        <v>0</v>
      </c>
      <c r="C510" s="596">
        <f t="shared" si="451"/>
        <v>0</v>
      </c>
      <c r="D510" s="597">
        <f t="shared" si="451"/>
        <v>0</v>
      </c>
      <c r="E510" s="597">
        <f t="shared" si="451"/>
        <v>0</v>
      </c>
      <c r="F510" s="590" t="str">
        <f>VLOOKUP(A510,STUDENT!$A$2:$BR$105,68,0)</f>
        <v/>
      </c>
      <c r="G510" s="590" t="b">
        <f>VLOOKUP(A510,STUDENT!$A$2:$BR$105,67,0)</f>
        <v>0</v>
      </c>
      <c r="H510" s="590" t="str">
        <f>PASHEET!BZ82</f>
        <v/>
      </c>
      <c r="I510" s="590" t="str">
        <f>PASHEET!CA82</f>
        <v/>
      </c>
      <c r="J510" s="590" t="str">
        <f>PASHEET!CB82</f>
        <v/>
      </c>
      <c r="K510" s="590" t="str">
        <f>PASHEET!CC82</f>
        <v/>
      </c>
      <c r="L510" s="590" t="str">
        <f>PASHEET!CD82</f>
        <v/>
      </c>
      <c r="M510" s="590" t="str">
        <f>PASHEET!CE82</f>
        <v/>
      </c>
      <c r="N510" s="590" t="str">
        <f>PASHEET!CF82</f>
        <v/>
      </c>
      <c r="O510" s="590" t="str">
        <f>PASHEET!CG82</f>
        <v/>
      </c>
      <c r="Q510" s="591" t="s">
        <v>482</v>
      </c>
      <c r="R510" s="591" t="s">
        <v>483</v>
      </c>
      <c r="S510" s="591" t="s">
        <v>488</v>
      </c>
      <c r="T510" s="591">
        <f>COUNTIFS(M432:M531,S510)</f>
        <v>0</v>
      </c>
      <c r="U510" s="591">
        <f>COUNTIFS(F432:F531,Q499,M432:M531,S510)</f>
        <v>0</v>
      </c>
      <c r="V510" s="591">
        <f>COUNTIFS(F432:F531,R499,M432:M531,S510)</f>
        <v>0</v>
      </c>
      <c r="W510" s="594"/>
      <c r="X510" s="594"/>
      <c r="Y510" s="594"/>
      <c r="Z510" s="594"/>
      <c r="AA510" s="594"/>
      <c r="AB510" s="591"/>
      <c r="AC510" s="591"/>
      <c r="AD510" s="591"/>
      <c r="AE510" s="594"/>
    </row>
    <row r="511" spans="1:31">
      <c r="A511" s="590">
        <v>80</v>
      </c>
      <c r="B511" s="596">
        <f t="shared" ref="B511:E511" si="452">B404</f>
        <v>0</v>
      </c>
      <c r="C511" s="596">
        <f t="shared" si="452"/>
        <v>0</v>
      </c>
      <c r="D511" s="597">
        <f t="shared" si="452"/>
        <v>0</v>
      </c>
      <c r="E511" s="597">
        <f t="shared" si="452"/>
        <v>0</v>
      </c>
      <c r="F511" s="590" t="str">
        <f>VLOOKUP(A511,STUDENT!$A$2:$BR$105,68,0)</f>
        <v/>
      </c>
      <c r="G511" s="590" t="b">
        <f>VLOOKUP(A511,STUDENT!$A$2:$BR$105,67,0)</f>
        <v>0</v>
      </c>
      <c r="H511" s="590" t="str">
        <f>PASHEET!BZ83</f>
        <v/>
      </c>
      <c r="I511" s="590" t="str">
        <f>PASHEET!CA83</f>
        <v/>
      </c>
      <c r="J511" s="590" t="str">
        <f>PASHEET!CB83</f>
        <v/>
      </c>
      <c r="K511" s="590" t="str">
        <f>PASHEET!CC83</f>
        <v/>
      </c>
      <c r="L511" s="590" t="str">
        <f>PASHEET!CD83</f>
        <v/>
      </c>
      <c r="M511" s="590" t="str">
        <f>PASHEET!CE83</f>
        <v/>
      </c>
      <c r="N511" s="590" t="str">
        <f>PASHEET!CF83</f>
        <v/>
      </c>
      <c r="O511" s="590" t="str">
        <f>PASHEET!CG83</f>
        <v/>
      </c>
      <c r="Q511" s="591" t="s">
        <v>482</v>
      </c>
      <c r="R511" s="591" t="s">
        <v>483</v>
      </c>
      <c r="S511" s="591" t="s">
        <v>101</v>
      </c>
      <c r="T511" s="591">
        <f>COUNTIFS(M432:M531,S511)</f>
        <v>0</v>
      </c>
      <c r="U511" s="591">
        <f>COUNTIFS(F432:F531,Q500,M432:M531,S511)</f>
        <v>0</v>
      </c>
      <c r="V511" s="591">
        <f>COUNTIFS(F432:F531,R500,M432:M531,S511)</f>
        <v>0</v>
      </c>
      <c r="W511" s="594"/>
      <c r="X511" s="594"/>
      <c r="Y511" s="594"/>
      <c r="Z511" s="594"/>
      <c r="AA511" s="594"/>
      <c r="AB511" s="591"/>
      <c r="AC511" s="591"/>
      <c r="AD511" s="591"/>
      <c r="AE511" s="594"/>
    </row>
    <row r="512" spans="1:31">
      <c r="A512" s="596">
        <v>81</v>
      </c>
      <c r="B512" s="596">
        <f t="shared" ref="B512:E512" si="453">B405</f>
        <v>0</v>
      </c>
      <c r="C512" s="596">
        <f t="shared" si="453"/>
        <v>0</v>
      </c>
      <c r="D512" s="597">
        <f t="shared" si="453"/>
        <v>0</v>
      </c>
      <c r="E512" s="597">
        <f t="shared" si="453"/>
        <v>0</v>
      </c>
      <c r="F512" s="590" t="str">
        <f>VLOOKUP(A512,STUDENT!$A$2:$BR$105,68,0)</f>
        <v/>
      </c>
      <c r="G512" s="590" t="b">
        <f>VLOOKUP(A512,STUDENT!$A$2:$BR$105,67,0)</f>
        <v>0</v>
      </c>
      <c r="H512" s="590" t="str">
        <f>PASHEET!BZ84</f>
        <v/>
      </c>
      <c r="I512" s="590" t="str">
        <f>PASHEET!CA84</f>
        <v/>
      </c>
      <c r="J512" s="590" t="str">
        <f>PASHEET!CB84</f>
        <v/>
      </c>
      <c r="K512" s="590" t="str">
        <f>PASHEET!CC84</f>
        <v/>
      </c>
      <c r="L512" s="590" t="str">
        <f>PASHEET!CD84</f>
        <v/>
      </c>
      <c r="M512" s="590" t="str">
        <f>PASHEET!CE84</f>
        <v/>
      </c>
      <c r="N512" s="590" t="str">
        <f>PASHEET!CF84</f>
        <v/>
      </c>
      <c r="O512" s="590" t="str">
        <f>PASHEET!CG84</f>
        <v/>
      </c>
      <c r="Q512" s="591" t="s">
        <v>482</v>
      </c>
      <c r="R512" s="591" t="s">
        <v>483</v>
      </c>
      <c r="S512" s="591" t="s">
        <v>489</v>
      </c>
      <c r="T512" s="591">
        <f>COUNTIFS(M432:M531,S512)</f>
        <v>0</v>
      </c>
      <c r="U512" s="591">
        <f>COUNTIFS(F432:F531,Q501,M432:M531,S512)</f>
        <v>0</v>
      </c>
      <c r="V512" s="591">
        <f>COUNTIFS(F432:F531,R501,M432:M531,S512)</f>
        <v>0</v>
      </c>
      <c r="W512" s="594"/>
      <c r="X512" s="594"/>
      <c r="Y512" s="594"/>
      <c r="Z512" s="594"/>
      <c r="AA512" s="594"/>
      <c r="AB512" s="591"/>
      <c r="AC512" s="591"/>
      <c r="AD512" s="591"/>
      <c r="AE512" s="594"/>
    </row>
    <row r="513" spans="1:31">
      <c r="A513" s="590">
        <v>82</v>
      </c>
      <c r="B513" s="596">
        <f t="shared" ref="B513:E513" si="454">B406</f>
        <v>0</v>
      </c>
      <c r="C513" s="596">
        <f t="shared" si="454"/>
        <v>0</v>
      </c>
      <c r="D513" s="597">
        <f t="shared" si="454"/>
        <v>0</v>
      </c>
      <c r="E513" s="597">
        <f t="shared" si="454"/>
        <v>0</v>
      </c>
      <c r="F513" s="590" t="str">
        <f>VLOOKUP(A513,STUDENT!$A$2:$BR$105,68,0)</f>
        <v/>
      </c>
      <c r="G513" s="590" t="b">
        <f>VLOOKUP(A513,STUDENT!$A$2:$BR$105,67,0)</f>
        <v>0</v>
      </c>
      <c r="H513" s="590" t="str">
        <f>PASHEET!BZ85</f>
        <v/>
      </c>
      <c r="I513" s="590" t="str">
        <f>PASHEET!CA85</f>
        <v/>
      </c>
      <c r="J513" s="590" t="str">
        <f>PASHEET!CB85</f>
        <v/>
      </c>
      <c r="K513" s="590" t="str">
        <f>PASHEET!CC85</f>
        <v/>
      </c>
      <c r="L513" s="590" t="str">
        <f>PASHEET!CD85</f>
        <v/>
      </c>
      <c r="M513" s="590" t="str">
        <f>PASHEET!CE85</f>
        <v/>
      </c>
      <c r="N513" s="590" t="str">
        <f>PASHEET!CF85</f>
        <v/>
      </c>
      <c r="O513" s="590" t="str">
        <f>PASHEET!CG85</f>
        <v/>
      </c>
      <c r="Q513" s="591" t="s">
        <v>482</v>
      </c>
      <c r="R513" s="591" t="s">
        <v>483</v>
      </c>
      <c r="S513" s="591"/>
      <c r="T513" s="591"/>
      <c r="U513" s="591"/>
      <c r="V513" s="591"/>
      <c r="W513" s="594"/>
      <c r="X513" s="594"/>
      <c r="Y513" s="594"/>
      <c r="Z513" s="594"/>
      <c r="AA513" s="594"/>
      <c r="AB513" s="591"/>
      <c r="AC513" s="591"/>
      <c r="AD513" s="591"/>
      <c r="AE513" s="594"/>
    </row>
    <row r="514" spans="1:31">
      <c r="A514" s="596">
        <v>83</v>
      </c>
      <c r="B514" s="596">
        <f t="shared" ref="B514:E514" si="455">B407</f>
        <v>0</v>
      </c>
      <c r="C514" s="596">
        <f t="shared" si="455"/>
        <v>0</v>
      </c>
      <c r="D514" s="597">
        <f t="shared" si="455"/>
        <v>0</v>
      </c>
      <c r="E514" s="597">
        <f t="shared" si="455"/>
        <v>0</v>
      </c>
      <c r="F514" s="590" t="str">
        <f>VLOOKUP(A514,STUDENT!$A$2:$BR$105,68,0)</f>
        <v/>
      </c>
      <c r="G514" s="590" t="b">
        <f>VLOOKUP(A514,STUDENT!$A$2:$BR$105,67,0)</f>
        <v>0</v>
      </c>
      <c r="H514" s="590" t="str">
        <f>PASHEET!BZ86</f>
        <v/>
      </c>
      <c r="I514" s="590" t="str">
        <f>PASHEET!CA86</f>
        <v/>
      </c>
      <c r="J514" s="590" t="str">
        <f>PASHEET!CB86</f>
        <v/>
      </c>
      <c r="K514" s="590" t="str">
        <f>PASHEET!CC86</f>
        <v/>
      </c>
      <c r="L514" s="590" t="str">
        <f>PASHEET!CD86</f>
        <v/>
      </c>
      <c r="M514" s="590" t="str">
        <f>PASHEET!CE86</f>
        <v/>
      </c>
      <c r="N514" s="590" t="str">
        <f>PASHEET!CF86</f>
        <v/>
      </c>
      <c r="O514" s="590" t="str">
        <f>PASHEET!CG86</f>
        <v/>
      </c>
      <c r="Q514" s="591"/>
      <c r="R514" s="591"/>
      <c r="S514" s="591" t="s">
        <v>102</v>
      </c>
      <c r="T514" s="591">
        <f>SUM(T506:T513)</f>
        <v>0</v>
      </c>
      <c r="U514" s="591">
        <f t="shared" ref="U514:V514" si="456">SUM(U506:U513)</f>
        <v>0</v>
      </c>
      <c r="V514" s="591">
        <f t="shared" si="456"/>
        <v>0</v>
      </c>
      <c r="W514" s="594"/>
      <c r="X514" s="594"/>
      <c r="Y514" s="594"/>
      <c r="Z514" s="594"/>
      <c r="AA514" s="594"/>
      <c r="AB514" s="591"/>
      <c r="AC514" s="591"/>
      <c r="AD514" s="591"/>
      <c r="AE514" s="594"/>
    </row>
    <row r="515" spans="1:31">
      <c r="A515" s="590">
        <v>84</v>
      </c>
      <c r="B515" s="596">
        <f t="shared" ref="B515:E515" si="457">B408</f>
        <v>0</v>
      </c>
      <c r="C515" s="596">
        <f t="shared" si="457"/>
        <v>0</v>
      </c>
      <c r="D515" s="597">
        <f t="shared" si="457"/>
        <v>0</v>
      </c>
      <c r="E515" s="597">
        <f t="shared" si="457"/>
        <v>0</v>
      </c>
      <c r="F515" s="590" t="str">
        <f>VLOOKUP(A515,STUDENT!$A$2:$BR$105,68,0)</f>
        <v/>
      </c>
      <c r="G515" s="590" t="b">
        <f>VLOOKUP(A515,STUDENT!$A$2:$BR$105,67,0)</f>
        <v>0</v>
      </c>
      <c r="H515" s="590" t="str">
        <f>PASHEET!BZ87</f>
        <v/>
      </c>
      <c r="I515" s="590" t="str">
        <f>PASHEET!CA87</f>
        <v/>
      </c>
      <c r="J515" s="590" t="str">
        <f>PASHEET!CB87</f>
        <v/>
      </c>
      <c r="K515" s="590" t="str">
        <f>PASHEET!CC87</f>
        <v/>
      </c>
      <c r="L515" s="590" t="str">
        <f>PASHEET!CD87</f>
        <v/>
      </c>
      <c r="M515" s="590" t="str">
        <f>PASHEET!CE87</f>
        <v/>
      </c>
      <c r="N515" s="590" t="str">
        <f>PASHEET!CF87</f>
        <v/>
      </c>
      <c r="O515" s="590" t="str">
        <f>PASHEET!CG87</f>
        <v/>
      </c>
      <c r="Q515" s="591"/>
      <c r="R515" s="591"/>
      <c r="S515" s="591"/>
      <c r="T515" s="591"/>
      <c r="U515" s="591"/>
      <c r="V515" s="591"/>
      <c r="W515" s="594"/>
      <c r="X515" s="594"/>
      <c r="Y515" s="594"/>
      <c r="Z515" s="594"/>
      <c r="AA515" s="594"/>
      <c r="AB515" s="591"/>
      <c r="AC515" s="591"/>
      <c r="AD515" s="591"/>
      <c r="AE515" s="594"/>
    </row>
    <row r="516" spans="1:31">
      <c r="A516" s="596">
        <v>85</v>
      </c>
      <c r="B516" s="596">
        <f t="shared" ref="B516:E516" si="458">B409</f>
        <v>0</v>
      </c>
      <c r="C516" s="596">
        <f t="shared" si="458"/>
        <v>0</v>
      </c>
      <c r="D516" s="597">
        <f t="shared" si="458"/>
        <v>0</v>
      </c>
      <c r="E516" s="597">
        <f t="shared" si="458"/>
        <v>0</v>
      </c>
      <c r="F516" s="590" t="str">
        <f>VLOOKUP(A516,STUDENT!$A$2:$BR$105,68,0)</f>
        <v/>
      </c>
      <c r="G516" s="590" t="b">
        <f>VLOOKUP(A516,STUDENT!$A$2:$BR$105,67,0)</f>
        <v>0</v>
      </c>
      <c r="H516" s="590" t="str">
        <f>PASHEET!BZ88</f>
        <v/>
      </c>
      <c r="I516" s="590" t="str">
        <f>PASHEET!CA88</f>
        <v/>
      </c>
      <c r="J516" s="590" t="str">
        <f>PASHEET!CB88</f>
        <v/>
      </c>
      <c r="K516" s="590" t="str">
        <f>PASHEET!CC88</f>
        <v/>
      </c>
      <c r="L516" s="590" t="str">
        <f>PASHEET!CD88</f>
        <v/>
      </c>
      <c r="M516" s="590" t="str">
        <f>PASHEET!CE88</f>
        <v/>
      </c>
      <c r="N516" s="590" t="str">
        <f>PASHEET!CF88</f>
        <v/>
      </c>
      <c r="O516" s="590" t="str">
        <f>PASHEET!CG88</f>
        <v/>
      </c>
      <c r="Q516" s="591"/>
      <c r="R516" s="591"/>
      <c r="S516" s="591"/>
      <c r="T516" s="591"/>
      <c r="U516" s="591"/>
      <c r="V516" s="591"/>
      <c r="W516" s="594"/>
      <c r="X516" s="594"/>
      <c r="Y516" s="594"/>
      <c r="Z516" s="594"/>
      <c r="AA516" s="594"/>
      <c r="AB516" s="591"/>
      <c r="AC516" s="591"/>
      <c r="AD516" s="591"/>
      <c r="AE516" s="594"/>
    </row>
    <row r="517" spans="1:31">
      <c r="A517" s="590">
        <v>86</v>
      </c>
      <c r="B517" s="596">
        <f t="shared" ref="B517:E517" si="459">B410</f>
        <v>0</v>
      </c>
      <c r="C517" s="596">
        <f t="shared" si="459"/>
        <v>0</v>
      </c>
      <c r="D517" s="597">
        <f t="shared" si="459"/>
        <v>0</v>
      </c>
      <c r="E517" s="597">
        <f t="shared" si="459"/>
        <v>0</v>
      </c>
      <c r="F517" s="590" t="str">
        <f>VLOOKUP(A517,STUDENT!$A$2:$BR$105,68,0)</f>
        <v/>
      </c>
      <c r="G517" s="590" t="b">
        <f>VLOOKUP(A517,STUDENT!$A$2:$BR$105,67,0)</f>
        <v>0</v>
      </c>
      <c r="H517" s="590" t="str">
        <f>PASHEET!BZ89</f>
        <v/>
      </c>
      <c r="I517" s="590" t="str">
        <f>PASHEET!CA89</f>
        <v/>
      </c>
      <c r="J517" s="590" t="str">
        <f>PASHEET!CB89</f>
        <v/>
      </c>
      <c r="K517" s="590" t="str">
        <f>PASHEET!CC89</f>
        <v/>
      </c>
      <c r="L517" s="590" t="str">
        <f>PASHEET!CD89</f>
        <v/>
      </c>
      <c r="M517" s="590" t="str">
        <f>PASHEET!CE89</f>
        <v/>
      </c>
      <c r="N517" s="590" t="str">
        <f>PASHEET!CF89</f>
        <v/>
      </c>
      <c r="O517" s="590" t="str">
        <f>PASHEET!CG89</f>
        <v/>
      </c>
      <c r="Q517" s="591"/>
      <c r="R517" s="591"/>
      <c r="S517" s="591"/>
      <c r="T517" s="591"/>
      <c r="U517" s="591"/>
      <c r="V517" s="591"/>
      <c r="W517" s="594"/>
      <c r="X517" s="594"/>
      <c r="Y517" s="594"/>
      <c r="Z517" s="594"/>
      <c r="AA517" s="594"/>
      <c r="AB517" s="591"/>
      <c r="AC517" s="591"/>
      <c r="AD517" s="591"/>
      <c r="AE517" s="594"/>
    </row>
    <row r="518" spans="1:31">
      <c r="A518" s="596">
        <v>87</v>
      </c>
      <c r="B518" s="596">
        <f t="shared" ref="B518:E518" si="460">B411</f>
        <v>0</v>
      </c>
      <c r="C518" s="596">
        <f t="shared" si="460"/>
        <v>0</v>
      </c>
      <c r="D518" s="597">
        <f t="shared" si="460"/>
        <v>0</v>
      </c>
      <c r="E518" s="597">
        <f t="shared" si="460"/>
        <v>0</v>
      </c>
      <c r="F518" s="590" t="str">
        <f>VLOOKUP(A518,STUDENT!$A$2:$BR$105,68,0)</f>
        <v/>
      </c>
      <c r="G518" s="590" t="b">
        <f>VLOOKUP(A518,STUDENT!$A$2:$BR$105,67,0)</f>
        <v>0</v>
      </c>
      <c r="H518" s="590" t="str">
        <f>PASHEET!BZ90</f>
        <v/>
      </c>
      <c r="I518" s="590" t="str">
        <f>PASHEET!CA90</f>
        <v/>
      </c>
      <c r="J518" s="590" t="str">
        <f>PASHEET!CB90</f>
        <v/>
      </c>
      <c r="K518" s="590" t="str">
        <f>PASHEET!CC90</f>
        <v/>
      </c>
      <c r="L518" s="590" t="str">
        <f>PASHEET!CD90</f>
        <v/>
      </c>
      <c r="M518" s="590" t="str">
        <f>PASHEET!CE90</f>
        <v/>
      </c>
      <c r="N518" s="590" t="str">
        <f>PASHEET!CF90</f>
        <v/>
      </c>
      <c r="O518" s="590" t="str">
        <f>PASHEET!CG90</f>
        <v/>
      </c>
      <c r="Q518" s="591" t="s">
        <v>475</v>
      </c>
      <c r="R518" s="591" t="s">
        <v>476</v>
      </c>
      <c r="S518" s="592" t="s">
        <v>477</v>
      </c>
      <c r="T518" s="593" t="s">
        <v>354</v>
      </c>
      <c r="U518" s="592" t="s">
        <v>479</v>
      </c>
      <c r="V518" s="592" t="s">
        <v>480</v>
      </c>
      <c r="W518" s="594"/>
      <c r="X518" s="594"/>
      <c r="Y518" s="594"/>
      <c r="Z518" s="594"/>
      <c r="AA518" s="594"/>
      <c r="AB518" s="591"/>
      <c r="AC518" s="591"/>
      <c r="AD518" s="591"/>
      <c r="AE518" s="594"/>
    </row>
    <row r="519" spans="1:31">
      <c r="A519" s="590">
        <v>88</v>
      </c>
      <c r="B519" s="596">
        <f t="shared" ref="B519:E519" si="461">B412</f>
        <v>0</v>
      </c>
      <c r="C519" s="596">
        <f t="shared" si="461"/>
        <v>0</v>
      </c>
      <c r="D519" s="597">
        <f t="shared" si="461"/>
        <v>0</v>
      </c>
      <c r="E519" s="597">
        <f t="shared" si="461"/>
        <v>0</v>
      </c>
      <c r="F519" s="590" t="str">
        <f>VLOOKUP(A519,STUDENT!$A$2:$BR$105,68,0)</f>
        <v/>
      </c>
      <c r="G519" s="590" t="b">
        <f>VLOOKUP(A519,STUDENT!$A$2:$BR$105,67,0)</f>
        <v>0</v>
      </c>
      <c r="H519" s="590" t="str">
        <f>PASHEET!BZ91</f>
        <v/>
      </c>
      <c r="I519" s="590" t="str">
        <f>PASHEET!CA91</f>
        <v/>
      </c>
      <c r="J519" s="590" t="str">
        <f>PASHEET!CB91</f>
        <v/>
      </c>
      <c r="K519" s="590" t="str">
        <f>PASHEET!CC91</f>
        <v/>
      </c>
      <c r="L519" s="590" t="str">
        <f>PASHEET!CD91</f>
        <v/>
      </c>
      <c r="M519" s="590" t="str">
        <f>PASHEET!CE91</f>
        <v/>
      </c>
      <c r="N519" s="590" t="str">
        <f>PASHEET!CF91</f>
        <v/>
      </c>
      <c r="O519" s="590" t="str">
        <f>PASHEET!CG91</f>
        <v/>
      </c>
      <c r="Q519" s="591" t="s">
        <v>482</v>
      </c>
      <c r="R519" s="591" t="s">
        <v>483</v>
      </c>
      <c r="S519" s="591" t="s">
        <v>50</v>
      </c>
      <c r="T519" s="591">
        <f>COUNTIFS(N432:N531,S519)</f>
        <v>0</v>
      </c>
      <c r="U519" s="591">
        <f>COUNTIFS(F432:F531,Q508,N432:N531,S519)</f>
        <v>0</v>
      </c>
      <c r="V519" s="591">
        <f>COUNTIFS(F432:F531,R508,N432:N531,S519)</f>
        <v>0</v>
      </c>
      <c r="W519" s="594"/>
      <c r="X519" s="594"/>
      <c r="Y519" s="594"/>
      <c r="Z519" s="594"/>
      <c r="AA519" s="594"/>
      <c r="AB519" s="591"/>
      <c r="AC519" s="591"/>
      <c r="AD519" s="591"/>
      <c r="AE519" s="594"/>
    </row>
    <row r="520" spans="1:31">
      <c r="A520" s="596">
        <v>89</v>
      </c>
      <c r="B520" s="596">
        <f t="shared" ref="B520:E520" si="462">B413</f>
        <v>0</v>
      </c>
      <c r="C520" s="596">
        <f t="shared" si="462"/>
        <v>0</v>
      </c>
      <c r="D520" s="597">
        <f t="shared" si="462"/>
        <v>0</v>
      </c>
      <c r="E520" s="597">
        <f t="shared" si="462"/>
        <v>0</v>
      </c>
      <c r="F520" s="590" t="str">
        <f>VLOOKUP(A520,STUDENT!$A$2:$BR$105,68,0)</f>
        <v/>
      </c>
      <c r="G520" s="590" t="b">
        <f>VLOOKUP(A520,STUDENT!$A$2:$BR$105,67,0)</f>
        <v>0</v>
      </c>
      <c r="H520" s="590" t="str">
        <f>PASHEET!BZ92</f>
        <v/>
      </c>
      <c r="I520" s="590" t="str">
        <f>PASHEET!CA92</f>
        <v/>
      </c>
      <c r="J520" s="590" t="str">
        <f>PASHEET!CB92</f>
        <v/>
      </c>
      <c r="K520" s="590" t="str">
        <f>PASHEET!CC92</f>
        <v/>
      </c>
      <c r="L520" s="590" t="str">
        <f>PASHEET!CD92</f>
        <v/>
      </c>
      <c r="M520" s="590" t="str">
        <f>PASHEET!CE92</f>
        <v/>
      </c>
      <c r="N520" s="590" t="str">
        <f>PASHEET!CF92</f>
        <v/>
      </c>
      <c r="O520" s="590" t="str">
        <f>PASHEET!CG92</f>
        <v/>
      </c>
      <c r="Q520" s="591" t="s">
        <v>482</v>
      </c>
      <c r="R520" s="591" t="s">
        <v>483</v>
      </c>
      <c r="S520" s="591" t="s">
        <v>485</v>
      </c>
      <c r="T520" s="591">
        <f>COUNTIFS(N432:N531,S520)</f>
        <v>0</v>
      </c>
      <c r="U520" s="591">
        <f>COUNTIFS(F432:F531,Q509,N432:N531,S520)</f>
        <v>0</v>
      </c>
      <c r="V520" s="591">
        <f>COUNTIFS(F432:F531,R509,N432:N531,S520)</f>
        <v>0</v>
      </c>
      <c r="W520" s="594"/>
      <c r="X520" s="594"/>
      <c r="Y520" s="594"/>
      <c r="Z520" s="594"/>
      <c r="AA520" s="594"/>
      <c r="AB520" s="591"/>
      <c r="AC520" s="591"/>
      <c r="AD520" s="591"/>
      <c r="AE520" s="594"/>
    </row>
    <row r="521" spans="1:31">
      <c r="A521" s="590">
        <v>90</v>
      </c>
      <c r="B521" s="596">
        <f t="shared" ref="B521:E521" si="463">B414</f>
        <v>0</v>
      </c>
      <c r="C521" s="596">
        <f t="shared" si="463"/>
        <v>0</v>
      </c>
      <c r="D521" s="597">
        <f t="shared" si="463"/>
        <v>0</v>
      </c>
      <c r="E521" s="597">
        <f t="shared" si="463"/>
        <v>0</v>
      </c>
      <c r="F521" s="590" t="str">
        <f>VLOOKUP(A521,STUDENT!$A$2:$BR$105,68,0)</f>
        <v/>
      </c>
      <c r="G521" s="590" t="b">
        <f>VLOOKUP(A521,STUDENT!$A$2:$BR$105,67,0)</f>
        <v>0</v>
      </c>
      <c r="H521" s="590" t="str">
        <f>PASHEET!BZ93</f>
        <v/>
      </c>
      <c r="I521" s="590" t="str">
        <f>PASHEET!CA93</f>
        <v/>
      </c>
      <c r="J521" s="590" t="str">
        <f>PASHEET!CB93</f>
        <v/>
      </c>
      <c r="K521" s="590" t="str">
        <f>PASHEET!CC93</f>
        <v/>
      </c>
      <c r="L521" s="590" t="str">
        <f>PASHEET!CD93</f>
        <v/>
      </c>
      <c r="M521" s="590" t="str">
        <f>PASHEET!CE93</f>
        <v/>
      </c>
      <c r="N521" s="590" t="str">
        <f>PASHEET!CF93</f>
        <v/>
      </c>
      <c r="O521" s="590" t="str">
        <f>PASHEET!CG93</f>
        <v/>
      </c>
      <c r="Q521" s="591" t="s">
        <v>482</v>
      </c>
      <c r="R521" s="591" t="s">
        <v>483</v>
      </c>
      <c r="S521" s="591" t="s">
        <v>486</v>
      </c>
      <c r="T521" s="591">
        <f>COUNTIFS(N432:N531,S521)</f>
        <v>0</v>
      </c>
      <c r="U521" s="591">
        <f>COUNTIFS(F432:F531,Q510,N432:N531,S521)</f>
        <v>0</v>
      </c>
      <c r="V521" s="591">
        <f>COUNTIFS(F432:F531,R510,N432:N531,S521)</f>
        <v>0</v>
      </c>
      <c r="W521" s="594"/>
      <c r="X521" s="594"/>
      <c r="Y521" s="594"/>
      <c r="Z521" s="594"/>
      <c r="AA521" s="594"/>
      <c r="AB521" s="591"/>
      <c r="AC521" s="591"/>
      <c r="AD521" s="591"/>
      <c r="AE521" s="594"/>
    </row>
    <row r="522" spans="1:31">
      <c r="A522" s="596">
        <v>91</v>
      </c>
      <c r="B522" s="596">
        <f t="shared" ref="B522:E522" si="464">B415</f>
        <v>0</v>
      </c>
      <c r="C522" s="596">
        <f t="shared" si="464"/>
        <v>0</v>
      </c>
      <c r="D522" s="597">
        <f t="shared" si="464"/>
        <v>0</v>
      </c>
      <c r="E522" s="597">
        <f t="shared" si="464"/>
        <v>0</v>
      </c>
      <c r="F522" s="590" t="str">
        <f>VLOOKUP(A522,STUDENT!$A$2:$BR$105,68,0)</f>
        <v/>
      </c>
      <c r="G522" s="590" t="b">
        <f>VLOOKUP(A522,STUDENT!$A$2:$BR$105,67,0)</f>
        <v>0</v>
      </c>
      <c r="H522" s="590" t="str">
        <f>PASHEET!BZ94</f>
        <v/>
      </c>
      <c r="I522" s="590" t="str">
        <f>PASHEET!CA94</f>
        <v/>
      </c>
      <c r="J522" s="590" t="str">
        <f>PASHEET!CB94</f>
        <v/>
      </c>
      <c r="K522" s="590" t="str">
        <f>PASHEET!CC94</f>
        <v/>
      </c>
      <c r="L522" s="590" t="str">
        <f>PASHEET!CD94</f>
        <v/>
      </c>
      <c r="M522" s="590" t="str">
        <f>PASHEET!CE94</f>
        <v/>
      </c>
      <c r="N522" s="590" t="str">
        <f>PASHEET!CF94</f>
        <v/>
      </c>
      <c r="O522" s="590" t="str">
        <f>PASHEET!CG94</f>
        <v/>
      </c>
      <c r="Q522" s="591" t="s">
        <v>482</v>
      </c>
      <c r="R522" s="591" t="s">
        <v>483</v>
      </c>
      <c r="S522" s="591" t="s">
        <v>487</v>
      </c>
      <c r="T522" s="591">
        <f>COUNTIFS(N432:N531,S522)</f>
        <v>0</v>
      </c>
      <c r="U522" s="591">
        <f>COUNTIFS(F432:F531,Q511,N432:N531,S522)</f>
        <v>0</v>
      </c>
      <c r="V522" s="591">
        <f>COUNTIFS(F432:F531,R511,N432:N531,S522)</f>
        <v>0</v>
      </c>
      <c r="W522" s="594"/>
      <c r="X522" s="594"/>
      <c r="Y522" s="594"/>
      <c r="Z522" s="594"/>
      <c r="AA522" s="594"/>
      <c r="AB522" s="591"/>
      <c r="AC522" s="591"/>
      <c r="AD522" s="591"/>
      <c r="AE522" s="594"/>
    </row>
    <row r="523" spans="1:31">
      <c r="A523" s="590">
        <v>92</v>
      </c>
      <c r="B523" s="596">
        <f t="shared" ref="B523:E523" si="465">B416</f>
        <v>0</v>
      </c>
      <c r="C523" s="596">
        <f t="shared" si="465"/>
        <v>0</v>
      </c>
      <c r="D523" s="597">
        <f t="shared" si="465"/>
        <v>0</v>
      </c>
      <c r="E523" s="597">
        <f t="shared" si="465"/>
        <v>0</v>
      </c>
      <c r="F523" s="590" t="str">
        <f>VLOOKUP(A523,STUDENT!$A$2:$BR$105,68,0)</f>
        <v/>
      </c>
      <c r="G523" s="590" t="b">
        <f>VLOOKUP(A523,STUDENT!$A$2:$BR$105,67,0)</f>
        <v>0</v>
      </c>
      <c r="H523" s="590" t="str">
        <f>PASHEET!BZ95</f>
        <v/>
      </c>
      <c r="I523" s="590" t="str">
        <f>PASHEET!CA95</f>
        <v/>
      </c>
      <c r="J523" s="590" t="str">
        <f>PASHEET!CB95</f>
        <v/>
      </c>
      <c r="K523" s="590" t="str">
        <f>PASHEET!CC95</f>
        <v/>
      </c>
      <c r="L523" s="590" t="str">
        <f>PASHEET!CD95</f>
        <v/>
      </c>
      <c r="M523" s="590" t="str">
        <f>PASHEET!CE95</f>
        <v/>
      </c>
      <c r="N523" s="590" t="str">
        <f>PASHEET!CF95</f>
        <v/>
      </c>
      <c r="O523" s="590" t="str">
        <f>PASHEET!CG95</f>
        <v/>
      </c>
      <c r="Q523" s="591" t="s">
        <v>482</v>
      </c>
      <c r="R523" s="591" t="s">
        <v>483</v>
      </c>
      <c r="S523" s="591" t="s">
        <v>488</v>
      </c>
      <c r="T523" s="591">
        <f>COUNTIFS(N432:N531,S523)</f>
        <v>0</v>
      </c>
      <c r="U523" s="591">
        <f>COUNTIFS(F432:F531,Q512,N432:N531,S523)</f>
        <v>0</v>
      </c>
      <c r="V523" s="591">
        <f>COUNTIFS(F432:F531,R512,N432:N531,S523)</f>
        <v>0</v>
      </c>
      <c r="W523" s="594"/>
      <c r="X523" s="594"/>
      <c r="Y523" s="594"/>
      <c r="Z523" s="594"/>
      <c r="AA523" s="594"/>
      <c r="AB523" s="591"/>
      <c r="AC523" s="591"/>
      <c r="AD523" s="591"/>
      <c r="AE523" s="594"/>
    </row>
    <row r="524" spans="1:31">
      <c r="A524" s="596">
        <v>93</v>
      </c>
      <c r="B524" s="596">
        <f t="shared" ref="B524:E524" si="466">B417</f>
        <v>0</v>
      </c>
      <c r="C524" s="596">
        <f t="shared" si="466"/>
        <v>0</v>
      </c>
      <c r="D524" s="597">
        <f t="shared" si="466"/>
        <v>0</v>
      </c>
      <c r="E524" s="597">
        <f t="shared" si="466"/>
        <v>0</v>
      </c>
      <c r="F524" s="590" t="str">
        <f>VLOOKUP(A524,STUDENT!$A$2:$BR$105,68,0)</f>
        <v/>
      </c>
      <c r="G524" s="590" t="b">
        <f>VLOOKUP(A524,STUDENT!$A$2:$BR$105,67,0)</f>
        <v>0</v>
      </c>
      <c r="H524" s="590" t="str">
        <f>PASHEET!BZ96</f>
        <v/>
      </c>
      <c r="I524" s="590" t="str">
        <f>PASHEET!CA96</f>
        <v/>
      </c>
      <c r="J524" s="590" t="str">
        <f>PASHEET!CB96</f>
        <v/>
      </c>
      <c r="K524" s="590" t="str">
        <f>PASHEET!CC96</f>
        <v/>
      </c>
      <c r="L524" s="590" t="str">
        <f>PASHEET!CD96</f>
        <v/>
      </c>
      <c r="M524" s="590" t="str">
        <f>PASHEET!CE96</f>
        <v/>
      </c>
      <c r="N524" s="590" t="str">
        <f>PASHEET!CF96</f>
        <v/>
      </c>
      <c r="O524" s="590" t="str">
        <f>PASHEET!CG96</f>
        <v/>
      </c>
      <c r="Q524" s="591" t="s">
        <v>482</v>
      </c>
      <c r="R524" s="591" t="s">
        <v>483</v>
      </c>
      <c r="S524" s="591" t="s">
        <v>101</v>
      </c>
      <c r="T524" s="591">
        <f>COUNTIFS(N432:N531,S524)</f>
        <v>0</v>
      </c>
      <c r="U524" s="591">
        <f>COUNTIFS(F432:F531,Q513,N432:N531,S524)</f>
        <v>0</v>
      </c>
      <c r="V524" s="591">
        <f>COUNTIFS(F432:F531,R513,N432:N531,S524)</f>
        <v>0</v>
      </c>
      <c r="W524" s="594"/>
      <c r="X524" s="594"/>
      <c r="Y524" s="594"/>
      <c r="Z524" s="594"/>
      <c r="AA524" s="594"/>
      <c r="AB524" s="591"/>
      <c r="AC524" s="591"/>
      <c r="AD524" s="591"/>
      <c r="AE524" s="594"/>
    </row>
    <row r="525" spans="1:31">
      <c r="A525" s="590">
        <v>94</v>
      </c>
      <c r="B525" s="596">
        <f t="shared" ref="B525:E525" si="467">B418</f>
        <v>0</v>
      </c>
      <c r="C525" s="596">
        <f t="shared" si="467"/>
        <v>0</v>
      </c>
      <c r="D525" s="597">
        <f t="shared" si="467"/>
        <v>0</v>
      </c>
      <c r="E525" s="597">
        <f t="shared" si="467"/>
        <v>0</v>
      </c>
      <c r="F525" s="590" t="str">
        <f>VLOOKUP(A525,STUDENT!$A$2:$BR$105,68,0)</f>
        <v/>
      </c>
      <c r="G525" s="590" t="b">
        <f>VLOOKUP(A525,STUDENT!$A$2:$BR$105,67,0)</f>
        <v>0</v>
      </c>
      <c r="H525" s="590" t="str">
        <f>PASHEET!BZ97</f>
        <v/>
      </c>
      <c r="I525" s="590" t="str">
        <f>PASHEET!CA97</f>
        <v/>
      </c>
      <c r="J525" s="590" t="str">
        <f>PASHEET!CB97</f>
        <v/>
      </c>
      <c r="K525" s="590" t="str">
        <f>PASHEET!CC97</f>
        <v/>
      </c>
      <c r="L525" s="590" t="str">
        <f>PASHEET!CD97</f>
        <v/>
      </c>
      <c r="M525" s="590" t="str">
        <f>PASHEET!CE97</f>
        <v/>
      </c>
      <c r="N525" s="590" t="str">
        <f>PASHEET!CF97</f>
        <v/>
      </c>
      <c r="O525" s="590" t="str">
        <f>PASHEET!CG97</f>
        <v/>
      </c>
      <c r="Q525" s="591" t="s">
        <v>482</v>
      </c>
      <c r="R525" s="591" t="s">
        <v>483</v>
      </c>
      <c r="S525" s="591" t="s">
        <v>489</v>
      </c>
      <c r="T525" s="591">
        <f>COUNTIFS(N432:N531,S525)</f>
        <v>0</v>
      </c>
      <c r="U525" s="591">
        <f>COUNTIFS(F432:F531,Q514,N432:N531,S525)</f>
        <v>0</v>
      </c>
      <c r="V525" s="591">
        <f>COUNTIFS(F432:F531,R514,N432:N531,S525)</f>
        <v>0</v>
      </c>
      <c r="W525" s="594"/>
      <c r="X525" s="594"/>
      <c r="Y525" s="594"/>
      <c r="Z525" s="594"/>
      <c r="AA525" s="594"/>
      <c r="AB525" s="591"/>
      <c r="AC525" s="591"/>
      <c r="AD525" s="591"/>
      <c r="AE525" s="594"/>
    </row>
    <row r="526" spans="1:31">
      <c r="A526" s="596">
        <v>95</v>
      </c>
      <c r="B526" s="596">
        <f t="shared" ref="B526:E526" si="468">B419</f>
        <v>0</v>
      </c>
      <c r="C526" s="596">
        <f t="shared" si="468"/>
        <v>0</v>
      </c>
      <c r="D526" s="597">
        <f t="shared" si="468"/>
        <v>0</v>
      </c>
      <c r="E526" s="597">
        <f t="shared" si="468"/>
        <v>0</v>
      </c>
      <c r="F526" s="590" t="str">
        <f>VLOOKUP(A526,STUDENT!$A$2:$BR$105,68,0)</f>
        <v/>
      </c>
      <c r="G526" s="590" t="b">
        <f>VLOOKUP(A526,STUDENT!$A$2:$BR$105,67,0)</f>
        <v>0</v>
      </c>
      <c r="H526" s="590" t="str">
        <f>PASHEET!BZ98</f>
        <v/>
      </c>
      <c r="I526" s="590" t="str">
        <f>PASHEET!CA98</f>
        <v/>
      </c>
      <c r="J526" s="590" t="str">
        <f>PASHEET!CB98</f>
        <v/>
      </c>
      <c r="K526" s="590" t="str">
        <f>PASHEET!CC98</f>
        <v/>
      </c>
      <c r="L526" s="590" t="str">
        <f>PASHEET!CD98</f>
        <v/>
      </c>
      <c r="M526" s="590" t="str">
        <f>PASHEET!CE98</f>
        <v/>
      </c>
      <c r="N526" s="590" t="str">
        <f>PASHEET!CF98</f>
        <v/>
      </c>
      <c r="O526" s="590" t="str">
        <f>PASHEET!CG98</f>
        <v/>
      </c>
      <c r="Q526" s="591" t="s">
        <v>482</v>
      </c>
      <c r="R526" s="591" t="s">
        <v>483</v>
      </c>
      <c r="S526" s="591"/>
      <c r="T526" s="591"/>
      <c r="U526" s="591"/>
      <c r="V526" s="591"/>
      <c r="W526" s="594"/>
      <c r="X526" s="594"/>
      <c r="Y526" s="594"/>
      <c r="Z526" s="594"/>
      <c r="AA526" s="594"/>
      <c r="AB526" s="591"/>
      <c r="AC526" s="591"/>
      <c r="AD526" s="591"/>
      <c r="AE526" s="594"/>
    </row>
    <row r="527" spans="1:31">
      <c r="A527" s="590">
        <v>96</v>
      </c>
      <c r="B527" s="596">
        <f t="shared" ref="B527:E527" si="469">B420</f>
        <v>0</v>
      </c>
      <c r="C527" s="596">
        <f t="shared" si="469"/>
        <v>0</v>
      </c>
      <c r="D527" s="597">
        <f t="shared" si="469"/>
        <v>0</v>
      </c>
      <c r="E527" s="597">
        <f t="shared" si="469"/>
        <v>0</v>
      </c>
      <c r="F527" s="590" t="str">
        <f>VLOOKUP(A527,STUDENT!$A$2:$BR$105,68,0)</f>
        <v/>
      </c>
      <c r="G527" s="590" t="b">
        <f>VLOOKUP(A527,STUDENT!$A$2:$BR$105,67,0)</f>
        <v>0</v>
      </c>
      <c r="H527" s="590" t="str">
        <f>PASHEET!BZ99</f>
        <v/>
      </c>
      <c r="I527" s="590" t="str">
        <f>PASHEET!CA99</f>
        <v/>
      </c>
      <c r="J527" s="590" t="str">
        <f>PASHEET!CB99</f>
        <v/>
      </c>
      <c r="K527" s="590" t="str">
        <f>PASHEET!CC99</f>
        <v/>
      </c>
      <c r="L527" s="590" t="str">
        <f>PASHEET!CD99</f>
        <v/>
      </c>
      <c r="M527" s="590" t="str">
        <f>PASHEET!CE99</f>
        <v/>
      </c>
      <c r="N527" s="590" t="str">
        <f>PASHEET!CF99</f>
        <v/>
      </c>
      <c r="O527" s="590" t="str">
        <f>PASHEET!CG99</f>
        <v/>
      </c>
      <c r="Q527" s="591"/>
      <c r="R527" s="591"/>
      <c r="S527" s="591" t="s">
        <v>102</v>
      </c>
      <c r="T527" s="591">
        <f>SUM(T519:T526)</f>
        <v>0</v>
      </c>
      <c r="U527" s="591">
        <f t="shared" ref="U527:V527" si="470">SUM(U519:U526)</f>
        <v>0</v>
      </c>
      <c r="V527" s="591">
        <f t="shared" si="470"/>
        <v>0</v>
      </c>
      <c r="W527" s="594"/>
      <c r="X527" s="594"/>
      <c r="Y527" s="594"/>
      <c r="Z527" s="594"/>
      <c r="AA527" s="594"/>
      <c r="AB527" s="591"/>
      <c r="AC527" s="591"/>
      <c r="AD527" s="591"/>
      <c r="AE527" s="594"/>
    </row>
    <row r="528" spans="1:31">
      <c r="A528" s="596">
        <v>97</v>
      </c>
      <c r="B528" s="596">
        <f t="shared" ref="B528:E528" si="471">B421</f>
        <v>0</v>
      </c>
      <c r="C528" s="596">
        <f t="shared" si="471"/>
        <v>0</v>
      </c>
      <c r="D528" s="597">
        <f t="shared" si="471"/>
        <v>0</v>
      </c>
      <c r="E528" s="597">
        <f t="shared" si="471"/>
        <v>0</v>
      </c>
      <c r="F528" s="590" t="str">
        <f>VLOOKUP(A528,STUDENT!$A$2:$BR$105,68,0)</f>
        <v/>
      </c>
      <c r="G528" s="590" t="b">
        <f>VLOOKUP(A528,STUDENT!$A$2:$BR$105,67,0)</f>
        <v>0</v>
      </c>
      <c r="H528" s="590" t="str">
        <f>PASHEET!BZ100</f>
        <v/>
      </c>
      <c r="I528" s="590" t="str">
        <f>PASHEET!CA100</f>
        <v/>
      </c>
      <c r="J528" s="590" t="str">
        <f>PASHEET!CB100</f>
        <v/>
      </c>
      <c r="K528" s="590" t="str">
        <f>PASHEET!CC100</f>
        <v/>
      </c>
      <c r="L528" s="590" t="str">
        <f>PASHEET!CD100</f>
        <v/>
      </c>
      <c r="M528" s="590" t="str">
        <f>PASHEET!CE100</f>
        <v/>
      </c>
      <c r="N528" s="590" t="str">
        <f>PASHEET!CF100</f>
        <v/>
      </c>
      <c r="O528" s="590" t="str">
        <f>PASHEET!CG100</f>
        <v/>
      </c>
      <c r="Q528" s="598"/>
      <c r="R528" s="598"/>
      <c r="S528" s="598"/>
      <c r="T528" s="598"/>
      <c r="U528" s="598"/>
      <c r="V528" s="598"/>
      <c r="W528" s="595"/>
      <c r="X528" s="595"/>
      <c r="Y528" s="595"/>
      <c r="Z528" s="595"/>
      <c r="AA528" s="595"/>
      <c r="AB528" s="598"/>
      <c r="AC528" s="598"/>
      <c r="AD528" s="598"/>
      <c r="AE528" s="595"/>
    </row>
    <row r="529" spans="1:31">
      <c r="A529" s="590">
        <v>98</v>
      </c>
      <c r="B529" s="596">
        <f t="shared" ref="B529:E529" si="472">B422</f>
        <v>0</v>
      </c>
      <c r="C529" s="596">
        <f t="shared" si="472"/>
        <v>0</v>
      </c>
      <c r="D529" s="597">
        <f t="shared" si="472"/>
        <v>0</v>
      </c>
      <c r="E529" s="597">
        <f t="shared" si="472"/>
        <v>0</v>
      </c>
      <c r="F529" s="590" t="str">
        <f>VLOOKUP(A529,STUDENT!$A$2:$BR$105,68,0)</f>
        <v/>
      </c>
      <c r="G529" s="590" t="b">
        <f>VLOOKUP(A529,STUDENT!$A$2:$BR$105,67,0)</f>
        <v>0</v>
      </c>
      <c r="H529" s="590" t="str">
        <f>PASHEET!BZ101</f>
        <v/>
      </c>
      <c r="I529" s="590" t="str">
        <f>PASHEET!CA101</f>
        <v/>
      </c>
      <c r="J529" s="590" t="str">
        <f>PASHEET!CB101</f>
        <v/>
      </c>
      <c r="K529" s="590" t="str">
        <f>PASHEET!CC101</f>
        <v/>
      </c>
      <c r="L529" s="590" t="str">
        <f>PASHEET!CD101</f>
        <v/>
      </c>
      <c r="M529" s="590" t="str">
        <f>PASHEET!CE101</f>
        <v/>
      </c>
      <c r="N529" s="590" t="str">
        <f>PASHEET!CF101</f>
        <v/>
      </c>
      <c r="O529" s="590" t="str">
        <f>PASHEET!CG101</f>
        <v/>
      </c>
      <c r="Q529" s="598"/>
      <c r="R529" s="598"/>
      <c r="S529" s="598"/>
      <c r="T529" s="598"/>
      <c r="U529" s="598"/>
      <c r="V529" s="598"/>
      <c r="W529" s="595"/>
      <c r="X529" s="595"/>
      <c r="Y529" s="595"/>
      <c r="Z529" s="595"/>
      <c r="AA529" s="595"/>
      <c r="AB529" s="598"/>
      <c r="AC529" s="598"/>
      <c r="AD529" s="598"/>
      <c r="AE529" s="595"/>
    </row>
    <row r="530" spans="1:31">
      <c r="A530" s="596">
        <v>99</v>
      </c>
      <c r="B530" s="596">
        <f t="shared" ref="B530:E530" si="473">B423</f>
        <v>0</v>
      </c>
      <c r="C530" s="596">
        <f t="shared" si="473"/>
        <v>0</v>
      </c>
      <c r="D530" s="597">
        <f t="shared" si="473"/>
        <v>0</v>
      </c>
      <c r="E530" s="597">
        <f t="shared" si="473"/>
        <v>0</v>
      </c>
      <c r="F530" s="590" t="str">
        <f>VLOOKUP(A530,STUDENT!$A$2:$BR$105,68,0)</f>
        <v/>
      </c>
      <c r="G530" s="590" t="b">
        <f>VLOOKUP(A530,STUDENT!$A$2:$BR$105,67,0)</f>
        <v>0</v>
      </c>
      <c r="H530" s="590" t="str">
        <f>PASHEET!BZ102</f>
        <v/>
      </c>
      <c r="I530" s="590" t="str">
        <f>PASHEET!CA102</f>
        <v/>
      </c>
      <c r="J530" s="590" t="str">
        <f>PASHEET!CB102</f>
        <v/>
      </c>
      <c r="K530" s="590" t="str">
        <f>PASHEET!CC102</f>
        <v/>
      </c>
      <c r="L530" s="590" t="str">
        <f>PASHEET!CD102</f>
        <v/>
      </c>
      <c r="M530" s="590" t="str">
        <f>PASHEET!CE102</f>
        <v/>
      </c>
      <c r="N530" s="590" t="str">
        <f>PASHEET!CF102</f>
        <v/>
      </c>
      <c r="O530" s="590" t="str">
        <f>PASHEET!CG102</f>
        <v/>
      </c>
      <c r="Q530" s="598"/>
      <c r="R530" s="598"/>
      <c r="S530" s="598"/>
      <c r="T530" s="598"/>
      <c r="U530" s="598"/>
      <c r="V530" s="598"/>
      <c r="W530" s="595"/>
      <c r="X530" s="595"/>
      <c r="Y530" s="595"/>
      <c r="Z530" s="595"/>
      <c r="AA530" s="595"/>
      <c r="AB530" s="598"/>
      <c r="AC530" s="598"/>
      <c r="AD530" s="598"/>
      <c r="AE530" s="595"/>
    </row>
    <row r="531" spans="1:31">
      <c r="A531" s="590">
        <v>100</v>
      </c>
      <c r="B531" s="596">
        <f t="shared" ref="B531:E531" si="474">B424</f>
        <v>0</v>
      </c>
      <c r="C531" s="596">
        <f t="shared" si="474"/>
        <v>0</v>
      </c>
      <c r="D531" s="597">
        <f t="shared" si="474"/>
        <v>0</v>
      </c>
      <c r="E531" s="597">
        <f t="shared" si="474"/>
        <v>0</v>
      </c>
      <c r="F531" s="590" t="str">
        <f>VLOOKUP(A531,STUDENT!$A$2:$BR$105,68,0)</f>
        <v/>
      </c>
      <c r="G531" s="590" t="b">
        <f>VLOOKUP(A531,STUDENT!$A$2:$BR$105,67,0)</f>
        <v>0</v>
      </c>
      <c r="H531" s="590" t="str">
        <f>PASHEET!BZ103</f>
        <v/>
      </c>
      <c r="I531" s="590" t="str">
        <f>PASHEET!CA103</f>
        <v/>
      </c>
      <c r="J531" s="590" t="str">
        <f>PASHEET!CB103</f>
        <v/>
      </c>
      <c r="K531" s="590" t="str">
        <f>PASHEET!CC103</f>
        <v/>
      </c>
      <c r="L531" s="590" t="str">
        <f>PASHEET!CD103</f>
        <v/>
      </c>
      <c r="M531" s="590" t="str">
        <f>PASHEET!CE103</f>
        <v/>
      </c>
      <c r="N531" s="590" t="str">
        <f>PASHEET!CF103</f>
        <v/>
      </c>
      <c r="O531" s="590" t="str">
        <f>PASHEET!CG103</f>
        <v/>
      </c>
      <c r="Q531" s="598"/>
      <c r="R531" s="598"/>
      <c r="S531" s="598"/>
      <c r="T531" s="598"/>
      <c r="U531" s="598"/>
      <c r="V531" s="598"/>
      <c r="W531" s="595"/>
      <c r="X531" s="595"/>
      <c r="Y531" s="595"/>
      <c r="Z531" s="595"/>
      <c r="AA531" s="595"/>
      <c r="AB531" s="598"/>
      <c r="AC531" s="598"/>
      <c r="AD531" s="598"/>
      <c r="AE531" s="595"/>
    </row>
    <row r="536" spans="1:31">
      <c r="A536" s="588"/>
      <c r="B536" s="589"/>
      <c r="C536" s="588"/>
      <c r="D536" s="588" t="s">
        <v>500</v>
      </c>
      <c r="E536" s="588"/>
      <c r="F536" s="576"/>
      <c r="G536" s="576"/>
      <c r="H536" s="590"/>
      <c r="I536" s="590"/>
      <c r="J536" s="590"/>
      <c r="K536" s="590"/>
      <c r="L536" s="590"/>
      <c r="M536" s="590"/>
      <c r="N536" s="590"/>
      <c r="O536" s="590"/>
    </row>
    <row r="537" ht="36" spans="1:31">
      <c r="A537" s="588" t="s">
        <v>109</v>
      </c>
      <c r="B537" s="589" t="s">
        <v>114</v>
      </c>
      <c r="C537" s="588" t="s">
        <v>112</v>
      </c>
      <c r="D537" s="588" t="s">
        <v>113</v>
      </c>
      <c r="E537" s="588" t="s">
        <v>327</v>
      </c>
      <c r="F537" s="576" t="s">
        <v>473</v>
      </c>
      <c r="G537" s="576" t="s">
        <v>474</v>
      </c>
      <c r="H537" s="590" t="s">
        <v>87</v>
      </c>
      <c r="I537" s="590" t="s">
        <v>350</v>
      </c>
      <c r="J537" s="590" t="s">
        <v>88</v>
      </c>
      <c r="K537" s="590" t="s">
        <v>351</v>
      </c>
      <c r="L537" s="590" t="s">
        <v>352</v>
      </c>
      <c r="M537" s="590" t="s">
        <v>353</v>
      </c>
      <c r="N537" s="590" t="s">
        <v>354</v>
      </c>
      <c r="O537" s="590" t="s">
        <v>102</v>
      </c>
      <c r="Q537" s="591" t="s">
        <v>475</v>
      </c>
      <c r="R537" s="591" t="s">
        <v>476</v>
      </c>
      <c r="S537" s="592" t="s">
        <v>477</v>
      </c>
      <c r="T537" s="593" t="s">
        <v>478</v>
      </c>
      <c r="U537" s="592" t="s">
        <v>479</v>
      </c>
      <c r="V537" s="592" t="s">
        <v>480</v>
      </c>
      <c r="W537" s="594"/>
      <c r="X537" s="591" t="s">
        <v>475</v>
      </c>
      <c r="Y537" s="591" t="s">
        <v>476</v>
      </c>
      <c r="Z537" s="591" t="s">
        <v>474</v>
      </c>
      <c r="AA537" s="592" t="s">
        <v>477</v>
      </c>
      <c r="AB537" s="593" t="s">
        <v>481</v>
      </c>
      <c r="AC537" s="592" t="s">
        <v>479</v>
      </c>
      <c r="AD537" s="592" t="s">
        <v>480</v>
      </c>
      <c r="AE537" s="594"/>
    </row>
    <row r="538" spans="1:31">
      <c r="A538" s="588"/>
      <c r="B538" s="589"/>
      <c r="C538" s="588"/>
      <c r="D538" s="588"/>
      <c r="E538" s="588"/>
      <c r="F538" s="576"/>
      <c r="G538" s="576"/>
      <c r="H538" s="590"/>
      <c r="I538" s="590"/>
      <c r="J538" s="590"/>
      <c r="K538" s="590"/>
      <c r="L538" s="590"/>
      <c r="M538" s="590"/>
      <c r="N538" s="590"/>
      <c r="O538" s="590"/>
      <c r="Q538" s="591" t="s">
        <v>482</v>
      </c>
      <c r="R538" s="591" t="s">
        <v>483</v>
      </c>
      <c r="S538" s="591" t="s">
        <v>50</v>
      </c>
      <c r="T538" s="591">
        <f>COUNTIFS(O539:O638,S538)</f>
        <v>0</v>
      </c>
      <c r="U538" s="591">
        <f>COUNTIFS(F539:F638,Q538,O539:O638,S538)</f>
        <v>0</v>
      </c>
      <c r="V538" s="591">
        <f t="shared" ref="V538:V544" si="475">COUNTIFS(F539:F638,R538,O539:O638,S538)</f>
        <v>0</v>
      </c>
      <c r="W538" s="594"/>
      <c r="X538" s="591" t="s">
        <v>482</v>
      </c>
      <c r="Y538" s="591" t="s">
        <v>483</v>
      </c>
      <c r="Z538" s="591" t="s">
        <v>484</v>
      </c>
      <c r="AA538" s="591" t="s">
        <v>50</v>
      </c>
      <c r="AB538" s="591">
        <f>COUNTIFS(G539:G638,Z538,O539:O638,S538)</f>
        <v>0</v>
      </c>
      <c r="AC538" s="591">
        <f>COUNTIFS(F539:F638,X538,G539:G638,Z538,O539:O638,S538)</f>
        <v>0</v>
      </c>
      <c r="AD538" s="591">
        <f>COUNTIFS(F539:F638,Y538,G539:G638,Z538,O539:O638,S538)</f>
        <v>0</v>
      </c>
      <c r="AE538" s="594"/>
    </row>
    <row r="539" spans="1:31">
      <c r="A539" s="596">
        <v>1</v>
      </c>
      <c r="B539" s="596">
        <f>B432</f>
        <v>14779</v>
      </c>
      <c r="C539" s="596">
        <f t="shared" ref="C539:E539" si="476">C432</f>
        <v>20220171896</v>
      </c>
      <c r="D539" s="597" t="str">
        <f t="shared" si="476"/>
        <v>NAKSH</v>
      </c>
      <c r="E539" s="597" t="str">
        <f t="shared" si="476"/>
        <v>NARESH</v>
      </c>
      <c r="F539" s="590" t="str">
        <f>VLOOKUP(A539,STUDENT!$A$2:$BR$105,68,0)</f>
        <v/>
      </c>
      <c r="G539" s="590" t="b">
        <f>VLOOKUP(A539,STUDENT!$A$2:$BR$105,67,0)</f>
        <v>0</v>
      </c>
      <c r="H539" s="590" t="str">
        <f>MARKS!DV4</f>
        <v>C</v>
      </c>
      <c r="I539" s="590">
        <f>MARKS!DW4</f>
        <v>0</v>
      </c>
      <c r="J539" s="590">
        <f>MARKS!DX4</f>
        <v>0</v>
      </c>
      <c r="K539" s="590">
        <f>MARKS!DY4</f>
        <v>0</v>
      </c>
      <c r="L539" s="590">
        <f>MARKS!DZ4</f>
        <v>0</v>
      </c>
      <c r="M539" s="590">
        <f>MARKS!EA4</f>
        <v>0</v>
      </c>
      <c r="N539" s="590">
        <f>MARKS!EB4</f>
        <v>0</v>
      </c>
      <c r="O539" s="590" t="str">
        <f>MARKS!EC4</f>
        <v>E</v>
      </c>
      <c r="Q539" s="591" t="s">
        <v>482</v>
      </c>
      <c r="R539" s="591" t="s">
        <v>483</v>
      </c>
      <c r="S539" s="591" t="s">
        <v>485</v>
      </c>
      <c r="T539" s="591">
        <f>COUNTIFS(O539:O638,S539)</f>
        <v>0</v>
      </c>
      <c r="U539" s="591">
        <f>COUNTIFS(F539:F638,Q539,O539:O638,S539)</f>
        <v>0</v>
      </c>
      <c r="V539" s="591">
        <f t="shared" si="475"/>
        <v>0</v>
      </c>
      <c r="W539" s="594"/>
      <c r="X539" s="591" t="s">
        <v>482</v>
      </c>
      <c r="Y539" s="591" t="s">
        <v>483</v>
      </c>
      <c r="Z539" s="591" t="s">
        <v>484</v>
      </c>
      <c r="AA539" s="591" t="s">
        <v>485</v>
      </c>
      <c r="AB539" s="591">
        <f>COUNTIFS(G539:G638,Z539,O539:O638,S539)</f>
        <v>0</v>
      </c>
      <c r="AC539" s="591">
        <f>COUNTIFS(F539:F638,X539,G539:G638,Z539,O539:O638,S539)</f>
        <v>0</v>
      </c>
      <c r="AD539" s="591">
        <f>COUNTIFS(F539:F638,Y539,G539:G638,Z539,O539:O638,S539)</f>
        <v>0</v>
      </c>
      <c r="AE539" s="594"/>
    </row>
    <row r="540" spans="1:31">
      <c r="A540" s="590">
        <v>2</v>
      </c>
      <c r="B540" s="596">
        <f t="shared" ref="B540:E540" si="477">B433</f>
        <v>14733</v>
      </c>
      <c r="C540" s="596">
        <f t="shared" si="477"/>
        <v>20220354217</v>
      </c>
      <c r="D540" s="597" t="str">
        <f t="shared" si="477"/>
        <v>NAVEEN</v>
      </c>
      <c r="E540" s="597" t="str">
        <f t="shared" si="477"/>
        <v>SANJAY</v>
      </c>
      <c r="F540" s="590" t="str">
        <f>VLOOKUP(A540,STUDENT!$A$2:$BR$105,68,0)</f>
        <v/>
      </c>
      <c r="G540" s="590" t="b">
        <f>VLOOKUP(A540,STUDENT!$A$2:$BR$105,67,0)</f>
        <v>0</v>
      </c>
      <c r="H540" s="590" t="str">
        <f>MARKS!DV5</f>
        <v>E</v>
      </c>
      <c r="I540" s="590">
        <f>MARKS!DW5</f>
        <v>0</v>
      </c>
      <c r="J540" s="590">
        <f>MARKS!DX5</f>
        <v>0</v>
      </c>
      <c r="K540" s="590">
        <f>MARKS!DY5</f>
        <v>0</v>
      </c>
      <c r="L540" s="590">
        <f>MARKS!DZ5</f>
        <v>0</v>
      </c>
      <c r="M540" s="590">
        <f>MARKS!EA5</f>
        <v>0</v>
      </c>
      <c r="N540" s="590">
        <f>MARKS!EB5</f>
        <v>0</v>
      </c>
      <c r="O540" s="590" t="str">
        <f>MARKS!EC5</f>
        <v>E</v>
      </c>
      <c r="Q540" s="591" t="s">
        <v>482</v>
      </c>
      <c r="R540" s="591" t="s">
        <v>483</v>
      </c>
      <c r="S540" s="591" t="s">
        <v>486</v>
      </c>
      <c r="T540" s="591">
        <f>COUNTIFS(O539:O638,S540)</f>
        <v>0</v>
      </c>
      <c r="U540" s="591">
        <f>COUNTIFS(F539:F638,Q540,O539:O638,S540)</f>
        <v>0</v>
      </c>
      <c r="V540" s="591">
        <f t="shared" si="475"/>
        <v>0</v>
      </c>
      <c r="W540" s="594"/>
      <c r="X540" s="591" t="s">
        <v>482</v>
      </c>
      <c r="Y540" s="591" t="s">
        <v>483</v>
      </c>
      <c r="Z540" s="591" t="s">
        <v>484</v>
      </c>
      <c r="AA540" s="591" t="s">
        <v>486</v>
      </c>
      <c r="AB540" s="591">
        <f>COUNTIFS(G539:G638,Z540,O539:O638,S540)</f>
        <v>0</v>
      </c>
      <c r="AC540" s="591">
        <f>COUNTIFS(F539:F638,X540,G539:G638,Z540,O539:O638,S540)</f>
        <v>0</v>
      </c>
      <c r="AD540" s="591">
        <f>COUNTIFS(F539:F638,Y540,G539:G638,Z540,O539:O638,S540)</f>
        <v>0</v>
      </c>
      <c r="AE540" s="594"/>
    </row>
    <row r="541" spans="1:31">
      <c r="A541" s="596">
        <v>3</v>
      </c>
      <c r="B541" s="596">
        <f t="shared" ref="B541:E541" si="478">B434</f>
        <v>14757</v>
      </c>
      <c r="C541" s="596">
        <f t="shared" si="478"/>
        <v>20220402586</v>
      </c>
      <c r="D541" s="597" t="str">
        <f t="shared" si="478"/>
        <v>AADITYA KUMAR</v>
      </c>
      <c r="E541" s="597" t="str">
        <f t="shared" si="478"/>
        <v>DHARMENDRA KUMAR</v>
      </c>
      <c r="F541" s="590" t="str">
        <f>VLOOKUP(A541,STUDENT!$A$2:$BR$105,68,0)</f>
        <v/>
      </c>
      <c r="G541" s="590" t="b">
        <f>VLOOKUP(A541,STUDENT!$A$2:$BR$105,67,0)</f>
        <v>0</v>
      </c>
      <c r="H541" s="590" t="str">
        <f>MARKS!DV6</f>
        <v>C</v>
      </c>
      <c r="I541" s="590">
        <f>MARKS!DW6</f>
        <v>0</v>
      </c>
      <c r="J541" s="590">
        <f>MARKS!DX6</f>
        <v>0</v>
      </c>
      <c r="K541" s="590">
        <f>MARKS!DY6</f>
        <v>0</v>
      </c>
      <c r="L541" s="590">
        <f>MARKS!DZ6</f>
        <v>0</v>
      </c>
      <c r="M541" s="590">
        <f>MARKS!EA6</f>
        <v>0</v>
      </c>
      <c r="N541" s="590">
        <f>MARKS!EB6</f>
        <v>0</v>
      </c>
      <c r="O541" s="590" t="str">
        <f>MARKS!EC6</f>
        <v>E</v>
      </c>
      <c r="Q541" s="591" t="s">
        <v>482</v>
      </c>
      <c r="R541" s="591" t="s">
        <v>483</v>
      </c>
      <c r="S541" s="591" t="s">
        <v>487</v>
      </c>
      <c r="T541" s="591">
        <f>COUNTIFS(O539:O638,S541)</f>
        <v>0</v>
      </c>
      <c r="U541" s="591">
        <f>COUNTIFS(F539:F638,Q541,O539:O638,S541)</f>
        <v>0</v>
      </c>
      <c r="V541" s="591">
        <f t="shared" si="475"/>
        <v>0</v>
      </c>
      <c r="W541" s="594"/>
      <c r="X541" s="591" t="s">
        <v>482</v>
      </c>
      <c r="Y541" s="591" t="s">
        <v>483</v>
      </c>
      <c r="Z541" s="591" t="s">
        <v>484</v>
      </c>
      <c r="AA541" s="591" t="s">
        <v>487</v>
      </c>
      <c r="AB541" s="591">
        <f>COUNTIFS(G539:G638,Z541,O539:O638,S541)</f>
        <v>0</v>
      </c>
      <c r="AC541" s="591">
        <f>COUNTIFS(F539:F638,X541,G539:G638,Z541,O539:O638,S541)</f>
        <v>0</v>
      </c>
      <c r="AD541" s="591">
        <f>COUNTIFS(F539:F638,Y541,G539:G638,Z541,O539:O638,S541)</f>
        <v>0</v>
      </c>
      <c r="AE541" s="594"/>
    </row>
    <row r="542" spans="1:31">
      <c r="A542" s="590">
        <v>4</v>
      </c>
      <c r="B542" s="596">
        <f t="shared" ref="B542:E542" si="479">B435</f>
        <v>14778</v>
      </c>
      <c r="C542" s="596">
        <f t="shared" si="479"/>
        <v>20220448164</v>
      </c>
      <c r="D542" s="597" t="str">
        <f t="shared" si="479"/>
        <v>PRINCE KUMAR RAY</v>
      </c>
      <c r="E542" s="597" t="str">
        <f t="shared" si="479"/>
        <v>RAMSHARAN RAY</v>
      </c>
      <c r="F542" s="590" t="str">
        <f>VLOOKUP(A542,STUDENT!$A$2:$BR$105,68,0)</f>
        <v/>
      </c>
      <c r="G542" s="590" t="b">
        <f>VLOOKUP(A542,STUDENT!$A$2:$BR$105,67,0)</f>
        <v>0</v>
      </c>
      <c r="H542" s="590" t="str">
        <f>MARKS!DV7</f>
        <v>E</v>
      </c>
      <c r="I542" s="590">
        <f>MARKS!DW7</f>
        <v>0</v>
      </c>
      <c r="J542" s="590">
        <f>MARKS!DX7</f>
        <v>0</v>
      </c>
      <c r="K542" s="590">
        <f>MARKS!DY7</f>
        <v>0</v>
      </c>
      <c r="L542" s="590">
        <f>MARKS!DZ7</f>
        <v>0</v>
      </c>
      <c r="M542" s="590">
        <f>MARKS!EA7</f>
        <v>0</v>
      </c>
      <c r="N542" s="590">
        <f>MARKS!EB7</f>
        <v>0</v>
      </c>
      <c r="O542" s="590" t="str">
        <f>MARKS!EC7</f>
        <v>E</v>
      </c>
      <c r="Q542" s="591" t="s">
        <v>482</v>
      </c>
      <c r="R542" s="591" t="s">
        <v>483</v>
      </c>
      <c r="S542" s="591" t="s">
        <v>488</v>
      </c>
      <c r="T542" s="591">
        <f>COUNTIFS(O539:O638,S542)</f>
        <v>39</v>
      </c>
      <c r="U542" s="591">
        <f>COUNTIFS(F539:F638,Q542,O539:O638,S542)</f>
        <v>0</v>
      </c>
      <c r="V542" s="591">
        <f t="shared" si="475"/>
        <v>0</v>
      </c>
      <c r="W542" s="594"/>
      <c r="X542" s="591" t="s">
        <v>482</v>
      </c>
      <c r="Y542" s="591" t="s">
        <v>483</v>
      </c>
      <c r="Z542" s="591" t="s">
        <v>484</v>
      </c>
      <c r="AA542" s="591" t="s">
        <v>488</v>
      </c>
      <c r="AB542" s="591">
        <f>COUNTIFS(G539:G638,Z542,O539:O638,S542)</f>
        <v>0</v>
      </c>
      <c r="AC542" s="591">
        <f>COUNTIFS(F539:F638,X542,G539:G638,Z542,O539:O638,S542)</f>
        <v>0</v>
      </c>
      <c r="AD542" s="591">
        <f>COUNTIFS(F539:F638,Y542,G539:G638,Z542,O539:O638,S542)</f>
        <v>0</v>
      </c>
      <c r="AE542" s="594"/>
    </row>
    <row r="543" spans="1:31">
      <c r="A543" s="596">
        <v>5</v>
      </c>
      <c r="B543" s="596">
        <f t="shared" ref="B543:E543" si="480">B436</f>
        <v>14785</v>
      </c>
      <c r="C543" s="596">
        <f t="shared" si="480"/>
        <v>20220482313</v>
      </c>
      <c r="D543" s="597" t="str">
        <f t="shared" si="480"/>
        <v>KIRSHNA</v>
      </c>
      <c r="E543" s="597" t="str">
        <f t="shared" si="480"/>
        <v>VISHNU KASHYAP</v>
      </c>
      <c r="F543" s="590" t="str">
        <f>VLOOKUP(A543,STUDENT!$A$2:$BR$105,68,0)</f>
        <v/>
      </c>
      <c r="G543" s="590" t="b">
        <f>VLOOKUP(A543,STUDENT!$A$2:$BR$105,67,0)</f>
        <v>0</v>
      </c>
      <c r="H543" s="590" t="str">
        <f>MARKS!DV8</f>
        <v>D</v>
      </c>
      <c r="I543" s="590">
        <f>MARKS!DW8</f>
        <v>0</v>
      </c>
      <c r="J543" s="590">
        <f>MARKS!DX8</f>
        <v>0</v>
      </c>
      <c r="K543" s="590">
        <f>MARKS!DY8</f>
        <v>0</v>
      </c>
      <c r="L543" s="590">
        <f>MARKS!DZ8</f>
        <v>0</v>
      </c>
      <c r="M543" s="590">
        <f>MARKS!EA8</f>
        <v>0</v>
      </c>
      <c r="N543" s="590">
        <f>MARKS!EB8</f>
        <v>0</v>
      </c>
      <c r="O543" s="590" t="str">
        <f>MARKS!EC8</f>
        <v>E</v>
      </c>
      <c r="Q543" s="591" t="s">
        <v>482</v>
      </c>
      <c r="R543" s="591" t="s">
        <v>483</v>
      </c>
      <c r="S543" s="591" t="s">
        <v>101</v>
      </c>
      <c r="T543" s="591">
        <f>COUNTIFS(O539:O638,S543)</f>
        <v>0</v>
      </c>
      <c r="U543" s="591">
        <f>COUNTIFS(F539:F638,Q543,O539:O638,S543)</f>
        <v>0</v>
      </c>
      <c r="V543" s="591">
        <f t="shared" si="475"/>
        <v>0</v>
      </c>
      <c r="W543" s="594"/>
      <c r="X543" s="591" t="s">
        <v>482</v>
      </c>
      <c r="Y543" s="591" t="s">
        <v>483</v>
      </c>
      <c r="Z543" s="591" t="s">
        <v>484</v>
      </c>
      <c r="AA543" s="591" t="s">
        <v>101</v>
      </c>
      <c r="AB543" s="591">
        <f>COUNTIFS(G539:G638,Z543,O539:O638,S543)</f>
        <v>0</v>
      </c>
      <c r="AC543" s="591">
        <f>COUNTIFS(F539:F638,X543,G539:G638,Z543,O539:O638,S543)</f>
        <v>0</v>
      </c>
      <c r="AD543" s="591">
        <f>COUNTIFS(F539:F638,Y543,G539:G638,Z543,O539:O638,S543)</f>
        <v>0</v>
      </c>
      <c r="AE543" s="594"/>
    </row>
    <row r="544" spans="1:31">
      <c r="A544" s="590">
        <v>6</v>
      </c>
      <c r="B544" s="596">
        <f t="shared" ref="B544:E544" si="481">B437</f>
        <v>14780</v>
      </c>
      <c r="C544" s="596">
        <f t="shared" si="481"/>
        <v>20230048303</v>
      </c>
      <c r="D544" s="597" t="str">
        <f t="shared" si="481"/>
        <v>MD SOPHIYAN ALAM</v>
      </c>
      <c r="E544" s="597" t="str">
        <f t="shared" si="481"/>
        <v>MD TABREJ ALAM</v>
      </c>
      <c r="F544" s="590" t="str">
        <f>VLOOKUP(A544,STUDENT!$A$2:$BR$105,68,0)</f>
        <v/>
      </c>
      <c r="G544" s="590" t="b">
        <f>VLOOKUP(A544,STUDENT!$A$2:$BR$105,67,0)</f>
        <v>0</v>
      </c>
      <c r="H544" s="590" t="str">
        <f>MARKS!DV9</f>
        <v>E</v>
      </c>
      <c r="I544" s="590">
        <f>MARKS!DW9</f>
        <v>0</v>
      </c>
      <c r="J544" s="590">
        <f>MARKS!DX9</f>
        <v>0</v>
      </c>
      <c r="K544" s="590">
        <f>MARKS!DY9</f>
        <v>0</v>
      </c>
      <c r="L544" s="590">
        <f>MARKS!DZ9</f>
        <v>0</v>
      </c>
      <c r="M544" s="590">
        <f>MARKS!EA9</f>
        <v>0</v>
      </c>
      <c r="N544" s="590">
        <f>MARKS!EB9</f>
        <v>0</v>
      </c>
      <c r="O544" s="590" t="str">
        <f>MARKS!EC9</f>
        <v>E</v>
      </c>
      <c r="Q544" s="591" t="s">
        <v>482</v>
      </c>
      <c r="R544" s="591" t="s">
        <v>483</v>
      </c>
      <c r="S544" s="591" t="s">
        <v>489</v>
      </c>
      <c r="T544" s="591">
        <f>COUNTIFS(O539:O638,S544)</f>
        <v>0</v>
      </c>
      <c r="U544" s="591">
        <f>COUNTIFS(F539:F638,Q544,O539:O638,S544)</f>
        <v>0</v>
      </c>
      <c r="V544" s="591">
        <f t="shared" si="475"/>
        <v>0</v>
      </c>
      <c r="W544" s="594"/>
      <c r="X544" s="591" t="s">
        <v>482</v>
      </c>
      <c r="Y544" s="591" t="s">
        <v>483</v>
      </c>
      <c r="Z544" s="591" t="s">
        <v>484</v>
      </c>
      <c r="AA544" s="591" t="s">
        <v>489</v>
      </c>
      <c r="AB544" s="591">
        <f>COUNTIFS(G539:G638,Z544,O539:O638,S544)</f>
        <v>0</v>
      </c>
      <c r="AC544" s="591">
        <f>COUNTIFS(F539:F638,X544,G539:G638,Z544,O539:O638,S544)</f>
        <v>0</v>
      </c>
      <c r="AD544" s="591">
        <f>COUNTIFS(F539:F638,Y544,G539:G638,Z544,O539:O638,S544)</f>
        <v>0</v>
      </c>
      <c r="AE544" s="594"/>
    </row>
    <row r="545" spans="1:31">
      <c r="A545" s="596">
        <v>7</v>
      </c>
      <c r="B545" s="596">
        <f t="shared" ref="B545:E545" si="482">B438</f>
        <v>14773</v>
      </c>
      <c r="C545" s="596">
        <f t="shared" si="482"/>
        <v>20230083520</v>
      </c>
      <c r="D545" s="597" t="str">
        <f t="shared" si="482"/>
        <v>MD SAUBAN</v>
      </c>
      <c r="E545" s="597" t="str">
        <f t="shared" si="482"/>
        <v>MD IRSHAD</v>
      </c>
      <c r="F545" s="590" t="str">
        <f>VLOOKUP(A545,STUDENT!$A$2:$BR$105,68,0)</f>
        <v/>
      </c>
      <c r="G545" s="590" t="b">
        <f>VLOOKUP(A545,STUDENT!$A$2:$BR$105,67,0)</f>
        <v>0</v>
      </c>
      <c r="H545" s="590" t="str">
        <f>MARKS!DV10</f>
        <v>E</v>
      </c>
      <c r="I545" s="590">
        <f>MARKS!DW10</f>
        <v>0</v>
      </c>
      <c r="J545" s="590">
        <f>MARKS!DX10</f>
        <v>0</v>
      </c>
      <c r="K545" s="590">
        <f>MARKS!DY10</f>
        <v>0</v>
      </c>
      <c r="L545" s="590">
        <f>MARKS!DZ10</f>
        <v>0</v>
      </c>
      <c r="M545" s="590">
        <f>MARKS!EA10</f>
        <v>0</v>
      </c>
      <c r="N545" s="590">
        <f>MARKS!EB10</f>
        <v>0</v>
      </c>
      <c r="O545" s="590" t="str">
        <f>MARKS!EC10</f>
        <v>E</v>
      </c>
      <c r="Q545" s="591" t="s">
        <v>482</v>
      </c>
      <c r="R545" s="591" t="s">
        <v>483</v>
      </c>
      <c r="S545" s="591"/>
      <c r="T545" s="591"/>
      <c r="U545" s="591"/>
      <c r="V545" s="591"/>
      <c r="W545" s="594"/>
      <c r="X545" s="591" t="s">
        <v>482</v>
      </c>
      <c r="Y545" s="591" t="s">
        <v>483</v>
      </c>
      <c r="Z545" s="591" t="s">
        <v>484</v>
      </c>
      <c r="AA545" s="591"/>
      <c r="AB545" s="591"/>
      <c r="AC545" s="591"/>
      <c r="AD545" s="591"/>
      <c r="AE545" s="594"/>
    </row>
    <row r="546" spans="1:31">
      <c r="A546" s="590">
        <v>8</v>
      </c>
      <c r="B546" s="596">
        <f t="shared" ref="B546:E546" si="483">B439</f>
        <v>14769</v>
      </c>
      <c r="C546" s="596">
        <f t="shared" si="483"/>
        <v>20230095636</v>
      </c>
      <c r="D546" s="597" t="str">
        <f t="shared" si="483"/>
        <v>DEEPANSHU</v>
      </c>
      <c r="E546" s="597" t="str">
        <f t="shared" si="483"/>
        <v>AKHILESH KUMAR</v>
      </c>
      <c r="F546" s="590" t="str">
        <f>VLOOKUP(A546,STUDENT!$A$2:$BR$105,68,0)</f>
        <v/>
      </c>
      <c r="G546" s="590" t="b">
        <f>VLOOKUP(A546,STUDENT!$A$2:$BR$105,67,0)</f>
        <v>0</v>
      </c>
      <c r="H546" s="590" t="str">
        <f>MARKS!DV11</f>
        <v>C</v>
      </c>
      <c r="I546" s="590">
        <f>MARKS!DW11</f>
        <v>0</v>
      </c>
      <c r="J546" s="590">
        <f>MARKS!DX11</f>
        <v>0</v>
      </c>
      <c r="K546" s="590">
        <f>MARKS!DY11</f>
        <v>0</v>
      </c>
      <c r="L546" s="590">
        <f>MARKS!DZ11</f>
        <v>0</v>
      </c>
      <c r="M546" s="590">
        <f>MARKS!EA11</f>
        <v>0</v>
      </c>
      <c r="N546" s="590">
        <f>MARKS!EB11</f>
        <v>0</v>
      </c>
      <c r="O546" s="590" t="str">
        <f>MARKS!EC11</f>
        <v>E</v>
      </c>
      <c r="Q546" s="591"/>
      <c r="R546" s="591"/>
      <c r="S546" s="591" t="s">
        <v>102</v>
      </c>
      <c r="T546" s="591">
        <f>SUM(T538:T545)</f>
        <v>39</v>
      </c>
      <c r="U546" s="591">
        <f t="shared" ref="U546:V546" si="484">SUM(U538:U545)</f>
        <v>0</v>
      </c>
      <c r="V546" s="591">
        <f t="shared" si="484"/>
        <v>0</v>
      </c>
      <c r="W546" s="594"/>
      <c r="X546" s="591"/>
      <c r="Y546" s="591"/>
      <c r="Z546" s="591"/>
      <c r="AA546" s="591" t="s">
        <v>102</v>
      </c>
      <c r="AB546" s="591">
        <f>SUM(AB538:AB545)</f>
        <v>0</v>
      </c>
      <c r="AC546" s="591">
        <f t="shared" ref="AC546:AD546" si="485">SUM(AC538:AC545)</f>
        <v>0</v>
      </c>
      <c r="AD546" s="591">
        <f t="shared" si="485"/>
        <v>0</v>
      </c>
      <c r="AE546" s="594"/>
    </row>
    <row r="547" spans="1:31">
      <c r="A547" s="596">
        <v>9</v>
      </c>
      <c r="B547" s="596">
        <f t="shared" ref="B547:E547" si="486">B440</f>
        <v>14754</v>
      </c>
      <c r="C547" s="596">
        <f t="shared" si="486"/>
        <v>20230130143</v>
      </c>
      <c r="D547" s="597" t="str">
        <f t="shared" si="486"/>
        <v>ANUJ</v>
      </c>
      <c r="E547" s="597" t="str">
        <f t="shared" si="486"/>
        <v>RANJEET DAS</v>
      </c>
      <c r="F547" s="590" t="str">
        <f>VLOOKUP(A547,STUDENT!$A$2:$BR$105,68,0)</f>
        <v/>
      </c>
      <c r="G547" s="590" t="b">
        <f>VLOOKUP(A547,STUDENT!$A$2:$BR$105,67,0)</f>
        <v>0</v>
      </c>
      <c r="H547" s="590" t="str">
        <f>MARKS!DV12</f>
        <v>C</v>
      </c>
      <c r="I547" s="590">
        <f>MARKS!DW12</f>
        <v>0</v>
      </c>
      <c r="J547" s="590">
        <f>MARKS!DX12</f>
        <v>0</v>
      </c>
      <c r="K547" s="590">
        <f>MARKS!DY12</f>
        <v>0</v>
      </c>
      <c r="L547" s="590">
        <f>MARKS!DZ12</f>
        <v>0</v>
      </c>
      <c r="M547" s="590">
        <f>MARKS!EA12</f>
        <v>0</v>
      </c>
      <c r="N547" s="590">
        <f>MARKS!EB12</f>
        <v>0</v>
      </c>
      <c r="O547" s="590" t="str">
        <f>MARKS!EC12</f>
        <v>E</v>
      </c>
      <c r="Q547" s="591"/>
      <c r="R547" s="591"/>
      <c r="S547" s="591"/>
      <c r="T547" s="591"/>
      <c r="U547" s="591"/>
      <c r="V547" s="591"/>
      <c r="W547" s="594"/>
      <c r="X547" s="594"/>
      <c r="Y547" s="594"/>
      <c r="Z547" s="594"/>
      <c r="AA547" s="594"/>
      <c r="AB547" s="591"/>
      <c r="AC547" s="591"/>
      <c r="AD547" s="591"/>
      <c r="AE547" s="594"/>
    </row>
    <row r="548" spans="1:31">
      <c r="A548" s="590">
        <v>10</v>
      </c>
      <c r="B548" s="596">
        <f t="shared" ref="B548:E548" si="487">B441</f>
        <v>14774</v>
      </c>
      <c r="C548" s="596">
        <f t="shared" si="487"/>
        <v>20230268614</v>
      </c>
      <c r="D548" s="597" t="str">
        <f t="shared" si="487"/>
        <v>PIYUSH KUMAR</v>
      </c>
      <c r="E548" s="597" t="str">
        <f t="shared" si="487"/>
        <v>MUNNA LAL</v>
      </c>
      <c r="F548" s="590" t="str">
        <f>VLOOKUP(A548,STUDENT!$A$2:$BR$105,68,0)</f>
        <v/>
      </c>
      <c r="G548" s="590" t="b">
        <f>VLOOKUP(A548,STUDENT!$A$2:$BR$105,67,0)</f>
        <v>0</v>
      </c>
      <c r="H548" s="590" t="str">
        <f>MARKS!DV13</f>
        <v>C</v>
      </c>
      <c r="I548" s="590">
        <f>MARKS!DW13</f>
        <v>0</v>
      </c>
      <c r="J548" s="590">
        <f>MARKS!DX13</f>
        <v>0</v>
      </c>
      <c r="K548" s="590">
        <f>MARKS!DY13</f>
        <v>0</v>
      </c>
      <c r="L548" s="590">
        <f>MARKS!DZ13</f>
        <v>0</v>
      </c>
      <c r="M548" s="590">
        <f>MARKS!EA13</f>
        <v>0</v>
      </c>
      <c r="N548" s="590">
        <f>MARKS!EB13</f>
        <v>0</v>
      </c>
      <c r="O548" s="590" t="str">
        <f>MARKS!EC13</f>
        <v>E</v>
      </c>
      <c r="Q548" s="591"/>
      <c r="R548" s="591"/>
      <c r="S548" s="591"/>
      <c r="T548" s="591"/>
      <c r="U548" s="591"/>
      <c r="V548" s="591"/>
      <c r="W548" s="594"/>
      <c r="X548" s="594"/>
      <c r="Y548" s="594"/>
      <c r="Z548" s="594"/>
      <c r="AA548" s="594"/>
      <c r="AB548" s="591"/>
      <c r="AC548" s="591"/>
      <c r="AD548" s="591"/>
      <c r="AE548" s="594"/>
    </row>
    <row r="549" spans="1:31">
      <c r="A549" s="596">
        <v>11</v>
      </c>
      <c r="B549" s="596">
        <f t="shared" ref="B549:E549" si="488">B442</f>
        <v>14775</v>
      </c>
      <c r="C549" s="596">
        <f t="shared" si="488"/>
        <v>20230349168</v>
      </c>
      <c r="D549" s="597" t="str">
        <f t="shared" si="488"/>
        <v>MD MAHTAB</v>
      </c>
      <c r="E549" s="597" t="str">
        <f t="shared" si="488"/>
        <v>MD ASRAF</v>
      </c>
      <c r="F549" s="590" t="str">
        <f>VLOOKUP(A549,STUDENT!$A$2:$BR$105,68,0)</f>
        <v/>
      </c>
      <c r="G549" s="590" t="b">
        <f>VLOOKUP(A549,STUDENT!$A$2:$BR$105,67,0)</f>
        <v>0</v>
      </c>
      <c r="H549" s="590" t="str">
        <f>MARKS!DV14</f>
        <v>D</v>
      </c>
      <c r="I549" s="590">
        <f>MARKS!DW14</f>
        <v>0</v>
      </c>
      <c r="J549" s="590">
        <f>MARKS!DX14</f>
        <v>0</v>
      </c>
      <c r="K549" s="590">
        <f>MARKS!DY14</f>
        <v>0</v>
      </c>
      <c r="L549" s="590">
        <f>MARKS!DZ14</f>
        <v>0</v>
      </c>
      <c r="M549" s="590">
        <f>MARKS!EA14</f>
        <v>0</v>
      </c>
      <c r="N549" s="590">
        <f>MARKS!EB14</f>
        <v>0</v>
      </c>
      <c r="O549" s="590" t="str">
        <f>MARKS!EC14</f>
        <v>E</v>
      </c>
      <c r="Q549" s="591" t="s">
        <v>475</v>
      </c>
      <c r="R549" s="591" t="s">
        <v>476</v>
      </c>
      <c r="S549" s="592" t="s">
        <v>477</v>
      </c>
      <c r="T549" s="593" t="s">
        <v>87</v>
      </c>
      <c r="U549" s="592" t="s">
        <v>479</v>
      </c>
      <c r="V549" s="592" t="s">
        <v>480</v>
      </c>
      <c r="W549" s="594"/>
      <c r="X549" s="591" t="s">
        <v>475</v>
      </c>
      <c r="Y549" s="591" t="s">
        <v>476</v>
      </c>
      <c r="Z549" s="591" t="s">
        <v>474</v>
      </c>
      <c r="AA549" s="592" t="s">
        <v>477</v>
      </c>
      <c r="AB549" s="593" t="s">
        <v>490</v>
      </c>
      <c r="AC549" s="592" t="s">
        <v>479</v>
      </c>
      <c r="AD549" s="592" t="s">
        <v>480</v>
      </c>
      <c r="AE549" s="594"/>
    </row>
    <row r="550" spans="1:31">
      <c r="A550" s="590">
        <v>12</v>
      </c>
      <c r="B550" s="596">
        <f t="shared" ref="B550:E550" si="489">B443</f>
        <v>14734</v>
      </c>
      <c r="C550" s="596">
        <f t="shared" si="489"/>
        <v>20240008153</v>
      </c>
      <c r="D550" s="597" t="str">
        <f t="shared" si="489"/>
        <v>PRADEEP</v>
      </c>
      <c r="E550" s="597" t="str">
        <f t="shared" si="489"/>
        <v>RAM BHAWAN</v>
      </c>
      <c r="F550" s="590" t="str">
        <f>VLOOKUP(A550,STUDENT!$A$2:$BR$105,68,0)</f>
        <v/>
      </c>
      <c r="G550" s="590" t="b">
        <f>VLOOKUP(A550,STUDENT!$A$2:$BR$105,67,0)</f>
        <v>0</v>
      </c>
      <c r="H550" s="590" t="str">
        <f>MARKS!DV15</f>
        <v>D</v>
      </c>
      <c r="I550" s="590">
        <f>MARKS!DW15</f>
        <v>0</v>
      </c>
      <c r="J550" s="590">
        <f>MARKS!DX15</f>
        <v>0</v>
      </c>
      <c r="K550" s="590">
        <f>MARKS!DY15</f>
        <v>0</v>
      </c>
      <c r="L550" s="590">
        <f>MARKS!DZ15</f>
        <v>0</v>
      </c>
      <c r="M550" s="590">
        <f>MARKS!EA15</f>
        <v>0</v>
      </c>
      <c r="N550" s="590">
        <f>MARKS!EB15</f>
        <v>0</v>
      </c>
      <c r="O550" s="590" t="str">
        <f>MARKS!EC15</f>
        <v>E</v>
      </c>
      <c r="Q550" s="591" t="s">
        <v>482</v>
      </c>
      <c r="R550" s="591" t="s">
        <v>483</v>
      </c>
      <c r="S550" s="591" t="s">
        <v>50</v>
      </c>
      <c r="T550" s="591">
        <f>COUNTIFS(H539:H638,S550)</f>
        <v>0</v>
      </c>
      <c r="U550" s="591">
        <f>COUNTIFS(F539:F638,Q539,H539:H638,S550)</f>
        <v>0</v>
      </c>
      <c r="V550" s="591">
        <f>COUNTIFS(F539:F638,R539,H539:H638,S550)</f>
        <v>0</v>
      </c>
      <c r="W550" s="594"/>
      <c r="X550" s="591" t="s">
        <v>482</v>
      </c>
      <c r="Y550" s="591" t="s">
        <v>483</v>
      </c>
      <c r="Z550" s="591" t="s">
        <v>490</v>
      </c>
      <c r="AA550" s="591" t="s">
        <v>50</v>
      </c>
      <c r="AB550" s="591">
        <f>COUNTIFS(G539:G638,Z550,O539:O638,S550)</f>
        <v>0</v>
      </c>
      <c r="AC550" s="591">
        <f>COUNTIFS(F539:F638,X550,G539:G638,Z550,O539:O638,S550)</f>
        <v>0</v>
      </c>
      <c r="AD550" s="591">
        <f>COUNTIFS(F539:F638,Y550,G539:G638,Z550,O539:O638,S550)</f>
        <v>0</v>
      </c>
      <c r="AE550" s="594"/>
    </row>
    <row r="551" spans="1:31">
      <c r="A551" s="596">
        <v>13</v>
      </c>
      <c r="B551" s="596">
        <f t="shared" ref="B551:E551" si="490">B444</f>
        <v>14735</v>
      </c>
      <c r="C551" s="596">
        <f t="shared" si="490"/>
        <v>20240008167</v>
      </c>
      <c r="D551" s="597" t="str">
        <f t="shared" si="490"/>
        <v>MOHD JISAN</v>
      </c>
      <c r="E551" s="597" t="str">
        <f t="shared" si="490"/>
        <v>MD ZAMEEL</v>
      </c>
      <c r="F551" s="590" t="str">
        <f>VLOOKUP(A551,STUDENT!$A$2:$BR$105,68,0)</f>
        <v/>
      </c>
      <c r="G551" s="590" t="b">
        <f>VLOOKUP(A551,STUDENT!$A$2:$BR$105,67,0)</f>
        <v>0</v>
      </c>
      <c r="H551" s="590" t="str">
        <f>MARKS!DV16</f>
        <v>C</v>
      </c>
      <c r="I551" s="590">
        <f>MARKS!DW16</f>
        <v>0</v>
      </c>
      <c r="J551" s="590">
        <f>MARKS!DX16</f>
        <v>0</v>
      </c>
      <c r="K551" s="590">
        <f>MARKS!DY16</f>
        <v>0</v>
      </c>
      <c r="L551" s="590">
        <f>MARKS!DZ16</f>
        <v>0</v>
      </c>
      <c r="M551" s="590">
        <f>MARKS!EA16</f>
        <v>0</v>
      </c>
      <c r="N551" s="590">
        <f>MARKS!EB16</f>
        <v>0</v>
      </c>
      <c r="O551" s="590" t="str">
        <f>MARKS!EC16</f>
        <v>E</v>
      </c>
      <c r="Q551" s="591" t="s">
        <v>482</v>
      </c>
      <c r="R551" s="591" t="s">
        <v>483</v>
      </c>
      <c r="S551" s="591" t="s">
        <v>485</v>
      </c>
      <c r="T551" s="591">
        <f>COUNTIFS(H539:H638,S551)</f>
        <v>0</v>
      </c>
      <c r="U551" s="591">
        <f>COUNTIFS(F539:F638,Q540,H539:H638,S551)</f>
        <v>0</v>
      </c>
      <c r="V551" s="591">
        <f>COUNTIFS(F539:F638,R540,H539:H638,S551)</f>
        <v>0</v>
      </c>
      <c r="W551" s="594"/>
      <c r="X551" s="591" t="s">
        <v>482</v>
      </c>
      <c r="Y551" s="591" t="s">
        <v>483</v>
      </c>
      <c r="Z551" s="591" t="s">
        <v>490</v>
      </c>
      <c r="AA551" s="591" t="s">
        <v>485</v>
      </c>
      <c r="AB551" s="591">
        <f>COUNTIFS(G539:G638,Z551,O539:O638,S551)</f>
        <v>0</v>
      </c>
      <c r="AC551" s="591">
        <f>COUNTIFS(F539:F638,X551,G539:G638,Z551,O539:O638,S551)</f>
        <v>0</v>
      </c>
      <c r="AD551" s="591">
        <f>COUNTIFS(F539:F638,Y551,G539:G638,Z551,O539:O638,S551)</f>
        <v>0</v>
      </c>
      <c r="AE551" s="594"/>
    </row>
    <row r="552" spans="1:31">
      <c r="A552" s="590">
        <v>14</v>
      </c>
      <c r="B552" s="596">
        <f t="shared" ref="B552:E552" si="491">B445</f>
        <v>14745</v>
      </c>
      <c r="C552" s="596">
        <f t="shared" si="491"/>
        <v>20240015035</v>
      </c>
      <c r="D552" s="597" t="str">
        <f t="shared" si="491"/>
        <v>KARN KUMAR</v>
      </c>
      <c r="E552" s="597" t="str">
        <f t="shared" si="491"/>
        <v>MUKESH RAY</v>
      </c>
      <c r="F552" s="590" t="str">
        <f>VLOOKUP(A552,STUDENT!$A$2:$BR$105,68,0)</f>
        <v/>
      </c>
      <c r="G552" s="590" t="b">
        <f>VLOOKUP(A552,STUDENT!$A$2:$BR$105,67,0)</f>
        <v>0</v>
      </c>
      <c r="H552" s="590" t="str">
        <f>MARKS!DV17</f>
        <v>D</v>
      </c>
      <c r="I552" s="590">
        <f>MARKS!DW17</f>
        <v>0</v>
      </c>
      <c r="J552" s="590">
        <f>MARKS!DX17</f>
        <v>0</v>
      </c>
      <c r="K552" s="590">
        <f>MARKS!DY17</f>
        <v>0</v>
      </c>
      <c r="L552" s="590">
        <f>MARKS!DZ17</f>
        <v>0</v>
      </c>
      <c r="M552" s="590">
        <f>MARKS!EA17</f>
        <v>0</v>
      </c>
      <c r="N552" s="590">
        <f>MARKS!EB17</f>
        <v>0</v>
      </c>
      <c r="O552" s="590" t="str">
        <f>MARKS!EC17</f>
        <v>E</v>
      </c>
      <c r="Q552" s="591" t="s">
        <v>482</v>
      </c>
      <c r="R552" s="591" t="s">
        <v>483</v>
      </c>
      <c r="S552" s="591" t="s">
        <v>486</v>
      </c>
      <c r="T552" s="591">
        <f>COUNTIFS(H539:H638,S552)</f>
        <v>19</v>
      </c>
      <c r="U552" s="591">
        <f>COUNTIFS(F539:F638,Q541,H539:H638,S552)</f>
        <v>0</v>
      </c>
      <c r="V552" s="591">
        <f>COUNTIFS(F539:F638,R541,H539:H638,S552)</f>
        <v>0</v>
      </c>
      <c r="W552" s="594"/>
      <c r="X552" s="591" t="s">
        <v>482</v>
      </c>
      <c r="Y552" s="591" t="s">
        <v>483</v>
      </c>
      <c r="Z552" s="591" t="s">
        <v>490</v>
      </c>
      <c r="AA552" s="591" t="s">
        <v>486</v>
      </c>
      <c r="AB552" s="591">
        <f>COUNTIFS(G539:G638,Z552,O539:O638,S552)</f>
        <v>0</v>
      </c>
      <c r="AC552" s="591">
        <f>COUNTIFS(F539:F638,X552,G539:G638,Z552,O539:O638,S552)</f>
        <v>0</v>
      </c>
      <c r="AD552" s="591">
        <f>COUNTIFS(F539:F638,Y552,G539:G638,Z552,O539:O638,S552)</f>
        <v>0</v>
      </c>
      <c r="AE552" s="594"/>
    </row>
    <row r="553" spans="1:31">
      <c r="A553" s="596">
        <v>15</v>
      </c>
      <c r="B553" s="596">
        <f t="shared" ref="B553:E553" si="492">B446</f>
        <v>14746</v>
      </c>
      <c r="C553" s="596">
        <f t="shared" si="492"/>
        <v>20240015112</v>
      </c>
      <c r="D553" s="597" t="str">
        <f t="shared" si="492"/>
        <v>ROKI</v>
      </c>
      <c r="E553" s="597" t="str">
        <f t="shared" si="492"/>
        <v>KUAR SINGH</v>
      </c>
      <c r="F553" s="590" t="str">
        <f>VLOOKUP(A553,STUDENT!$A$2:$BR$105,68,0)</f>
        <v/>
      </c>
      <c r="G553" s="590" t="b">
        <f>VLOOKUP(A553,STUDENT!$A$2:$BR$105,67,0)</f>
        <v>0</v>
      </c>
      <c r="H553" s="590" t="str">
        <f>MARKS!DV18</f>
        <v>D</v>
      </c>
      <c r="I553" s="590">
        <f>MARKS!DW18</f>
        <v>0</v>
      </c>
      <c r="J553" s="590">
        <f>MARKS!DX18</f>
        <v>0</v>
      </c>
      <c r="K553" s="590">
        <f>MARKS!DY18</f>
        <v>0</v>
      </c>
      <c r="L553" s="590">
        <f>MARKS!DZ18</f>
        <v>0</v>
      </c>
      <c r="M553" s="590">
        <f>MARKS!EA18</f>
        <v>0</v>
      </c>
      <c r="N553" s="590">
        <f>MARKS!EB18</f>
        <v>0</v>
      </c>
      <c r="O553" s="590" t="str">
        <f>MARKS!EC18</f>
        <v>E</v>
      </c>
      <c r="Q553" s="591" t="s">
        <v>482</v>
      </c>
      <c r="R553" s="591" t="s">
        <v>483</v>
      </c>
      <c r="S553" s="591" t="s">
        <v>487</v>
      </c>
      <c r="T553" s="591">
        <f>COUNTIFS(H539:H638,S553)</f>
        <v>11</v>
      </c>
      <c r="U553" s="591">
        <f>COUNTIFS(F539:F638,Q542,H539:H638,S553)</f>
        <v>0</v>
      </c>
      <c r="V553" s="591">
        <f>COUNTIFS(F539:F638,R542,H539:H638,S553)</f>
        <v>0</v>
      </c>
      <c r="W553" s="594"/>
      <c r="X553" s="591" t="s">
        <v>482</v>
      </c>
      <c r="Y553" s="591" t="s">
        <v>483</v>
      </c>
      <c r="Z553" s="591" t="s">
        <v>490</v>
      </c>
      <c r="AA553" s="591" t="s">
        <v>487</v>
      </c>
      <c r="AB553" s="591">
        <f>COUNTIFS(G539:G638,Z553,O539:O638,S553)</f>
        <v>0</v>
      </c>
      <c r="AC553" s="591">
        <f>COUNTIFS(F539:F638,X553,G539:G638,Z553,O539:O638,S553)</f>
        <v>0</v>
      </c>
      <c r="AD553" s="591">
        <f>COUNTIFS(F539:F638,Y553,G539:G638,Z553,O539:O638,S553)</f>
        <v>0</v>
      </c>
      <c r="AE553" s="594"/>
    </row>
    <row r="554" spans="1:31">
      <c r="A554" s="590">
        <v>16</v>
      </c>
      <c r="B554" s="596">
        <f t="shared" ref="B554:E554" si="493">B447</f>
        <v>14748</v>
      </c>
      <c r="C554" s="596">
        <f t="shared" si="493"/>
        <v>20240015199</v>
      </c>
      <c r="D554" s="597" t="str">
        <f t="shared" si="493"/>
        <v>MD BILAL</v>
      </c>
      <c r="E554" s="597" t="str">
        <f t="shared" si="493"/>
        <v>MD AFROJ</v>
      </c>
      <c r="F554" s="590" t="str">
        <f>VLOOKUP(A554,STUDENT!$A$2:$BR$105,68,0)</f>
        <v/>
      </c>
      <c r="G554" s="590" t="b">
        <f>VLOOKUP(A554,STUDENT!$A$2:$BR$105,67,0)</f>
        <v>0</v>
      </c>
      <c r="H554" s="590" t="str">
        <f>MARKS!DV19</f>
        <v>C</v>
      </c>
      <c r="I554" s="590">
        <f>MARKS!DW19</f>
        <v>0</v>
      </c>
      <c r="J554" s="590">
        <f>MARKS!DX19</f>
        <v>0</v>
      </c>
      <c r="K554" s="590">
        <f>MARKS!DY19</f>
        <v>0</v>
      </c>
      <c r="L554" s="590">
        <f>MARKS!DZ19</f>
        <v>0</v>
      </c>
      <c r="M554" s="590">
        <f>MARKS!EA19</f>
        <v>0</v>
      </c>
      <c r="N554" s="590">
        <f>MARKS!EB19</f>
        <v>0</v>
      </c>
      <c r="O554" s="590" t="str">
        <f>MARKS!EC19</f>
        <v>E</v>
      </c>
      <c r="Q554" s="591" t="s">
        <v>482</v>
      </c>
      <c r="R554" s="591" t="s">
        <v>483</v>
      </c>
      <c r="S554" s="591" t="s">
        <v>488</v>
      </c>
      <c r="T554" s="591">
        <f>COUNTIFS(H539:H638,S554)</f>
        <v>9</v>
      </c>
      <c r="U554" s="591">
        <f>COUNTIFS(F539:F638,Q543,H539:H638,S554)</f>
        <v>0</v>
      </c>
      <c r="V554" s="591">
        <f>COUNTIFS(F539:F638,R543,H539:H638,S554)</f>
        <v>0</v>
      </c>
      <c r="W554" s="594"/>
      <c r="X554" s="591" t="s">
        <v>482</v>
      </c>
      <c r="Y554" s="591" t="s">
        <v>483</v>
      </c>
      <c r="Z554" s="591" t="s">
        <v>490</v>
      </c>
      <c r="AA554" s="591" t="s">
        <v>488</v>
      </c>
      <c r="AB554" s="591">
        <f>COUNTIFS(G539:G638,Z554,O539:O638,S554)</f>
        <v>0</v>
      </c>
      <c r="AC554" s="591">
        <f>COUNTIFS(F539:F638,X554,G539:G638,Z554,O539:O638,S554)</f>
        <v>0</v>
      </c>
      <c r="AD554" s="591">
        <f>COUNTIFS(F539:F638,Y554,G539:G638,Z554,O539:O638,S554)</f>
        <v>0</v>
      </c>
      <c r="AE554" s="594"/>
    </row>
    <row r="555" spans="1:31">
      <c r="A555" s="596">
        <v>17</v>
      </c>
      <c r="B555" s="596">
        <f t="shared" ref="B555:E555" si="494">B448</f>
        <v>14755</v>
      </c>
      <c r="C555" s="596">
        <f t="shared" si="494"/>
        <v>20240023044</v>
      </c>
      <c r="D555" s="597" t="str">
        <f t="shared" si="494"/>
        <v>GAURAV KUMAR</v>
      </c>
      <c r="E555" s="597" t="str">
        <f t="shared" si="494"/>
        <v>HARINDER YADAV</v>
      </c>
      <c r="F555" s="590" t="str">
        <f>VLOOKUP(A555,STUDENT!$A$2:$BR$105,68,0)</f>
        <v/>
      </c>
      <c r="G555" s="590" t="b">
        <f>VLOOKUP(A555,STUDENT!$A$2:$BR$105,67,0)</f>
        <v>0</v>
      </c>
      <c r="H555" s="590" t="str">
        <f>MARKS!DV20</f>
        <v>E</v>
      </c>
      <c r="I555" s="590">
        <f>MARKS!DW20</f>
        <v>0</v>
      </c>
      <c r="J555" s="590">
        <f>MARKS!DX20</f>
        <v>0</v>
      </c>
      <c r="K555" s="590">
        <f>MARKS!DY20</f>
        <v>0</v>
      </c>
      <c r="L555" s="590">
        <f>MARKS!DZ20</f>
        <v>0</v>
      </c>
      <c r="M555" s="590">
        <f>MARKS!EA20</f>
        <v>0</v>
      </c>
      <c r="N555" s="590">
        <f>MARKS!EB20</f>
        <v>0</v>
      </c>
      <c r="O555" s="590" t="str">
        <f>MARKS!EC20</f>
        <v>E</v>
      </c>
      <c r="Q555" s="591" t="s">
        <v>482</v>
      </c>
      <c r="R555" s="591" t="s">
        <v>483</v>
      </c>
      <c r="S555" s="591" t="s">
        <v>101</v>
      </c>
      <c r="T555" s="591">
        <f>COUNTIFS(H539:H638,S555)</f>
        <v>0</v>
      </c>
      <c r="U555" s="591">
        <f>COUNTIFS(F539:F638,Q544,H539:H638,S555)</f>
        <v>0</v>
      </c>
      <c r="V555" s="591">
        <f>COUNTIFS(F539:F638,R544,H539:H638,S555)</f>
        <v>0</v>
      </c>
      <c r="W555" s="594"/>
      <c r="X555" s="591" t="s">
        <v>482</v>
      </c>
      <c r="Y555" s="591" t="s">
        <v>483</v>
      </c>
      <c r="Z555" s="591" t="s">
        <v>490</v>
      </c>
      <c r="AA555" s="591" t="s">
        <v>101</v>
      </c>
      <c r="AB555" s="591">
        <f>COUNTIFS(G539:G638,Z555,O539:O638,S555)</f>
        <v>0</v>
      </c>
      <c r="AC555" s="591">
        <f>COUNTIFS(F539:F638,X555,G539:G638,Z555,O539:O638,S555)</f>
        <v>0</v>
      </c>
      <c r="AD555" s="591">
        <f>COUNTIFS(F539:F638,Y555,G539:G638,Z555,O539:O638,S555)</f>
        <v>0</v>
      </c>
      <c r="AE555" s="594"/>
    </row>
    <row r="556" spans="1:31">
      <c r="A556" s="590">
        <v>18</v>
      </c>
      <c r="B556" s="596">
        <f t="shared" ref="B556:E556" si="495">B449</f>
        <v>14756</v>
      </c>
      <c r="C556" s="596">
        <f t="shared" si="495"/>
        <v>20240023055</v>
      </c>
      <c r="D556" s="597" t="str">
        <f t="shared" si="495"/>
        <v>SAURAV KUMAR</v>
      </c>
      <c r="E556" s="597" t="str">
        <f t="shared" si="495"/>
        <v>HARINDER YADAV</v>
      </c>
      <c r="F556" s="590" t="str">
        <f>VLOOKUP(A556,STUDENT!$A$2:$BR$105,68,0)</f>
        <v/>
      </c>
      <c r="G556" s="590" t="b">
        <f>VLOOKUP(A556,STUDENT!$A$2:$BR$105,67,0)</f>
        <v>0</v>
      </c>
      <c r="H556" s="590" t="str">
        <f>MARKS!DV21</f>
        <v>E</v>
      </c>
      <c r="I556" s="590">
        <f>MARKS!DW21</f>
        <v>0</v>
      </c>
      <c r="J556" s="590">
        <f>MARKS!DX21</f>
        <v>0</v>
      </c>
      <c r="K556" s="590">
        <f>MARKS!DY21</f>
        <v>0</v>
      </c>
      <c r="L556" s="590">
        <f>MARKS!DZ21</f>
        <v>0</v>
      </c>
      <c r="M556" s="590">
        <f>MARKS!EA21</f>
        <v>0</v>
      </c>
      <c r="N556" s="590">
        <f>MARKS!EB21</f>
        <v>0</v>
      </c>
      <c r="O556" s="590" t="str">
        <f>MARKS!EC21</f>
        <v>E</v>
      </c>
      <c r="Q556" s="591" t="s">
        <v>482</v>
      </c>
      <c r="R556" s="591" t="s">
        <v>483</v>
      </c>
      <c r="S556" s="591" t="s">
        <v>489</v>
      </c>
      <c r="T556" s="591">
        <f>COUNTIFS(H539:H638,S556)</f>
        <v>0</v>
      </c>
      <c r="U556" s="591">
        <f>COUNTIFS(F539:F638,Q545,H539:H638,S556)</f>
        <v>0</v>
      </c>
      <c r="V556" s="591">
        <f>COUNTIFS(F539:F638,R545,H539:H638,S556)</f>
        <v>0</v>
      </c>
      <c r="W556" s="594"/>
      <c r="X556" s="591" t="s">
        <v>482</v>
      </c>
      <c r="Y556" s="591" t="s">
        <v>483</v>
      </c>
      <c r="Z556" s="591" t="s">
        <v>490</v>
      </c>
      <c r="AA556" s="591" t="s">
        <v>489</v>
      </c>
      <c r="AB556" s="591">
        <f>COUNTIFS(G539:G638,Z556,O539:O638,S556)</f>
        <v>0</v>
      </c>
      <c r="AC556" s="591">
        <f>COUNTIFS(F539:F638,X556,G539:G638,Z556,O539:O638,S556)</f>
        <v>0</v>
      </c>
      <c r="AD556" s="591">
        <f>COUNTIFS(F539:F638,Y556,G539:G638,Z556,O539:O638,S556)</f>
        <v>0</v>
      </c>
      <c r="AE556" s="594"/>
    </row>
    <row r="557" spans="1:31">
      <c r="A557" s="596">
        <v>19</v>
      </c>
      <c r="B557" s="596">
        <f t="shared" ref="B557:E557" si="496">B450</f>
        <v>14758</v>
      </c>
      <c r="C557" s="596">
        <f t="shared" si="496"/>
        <v>20240023083</v>
      </c>
      <c r="D557" s="597" t="str">
        <f t="shared" si="496"/>
        <v>HANAM AYUBI</v>
      </c>
      <c r="E557" s="597" t="str">
        <f t="shared" si="496"/>
        <v>MD PARWEZ</v>
      </c>
      <c r="F557" s="590" t="str">
        <f>VLOOKUP(A557,STUDENT!$A$2:$BR$105,68,0)</f>
        <v/>
      </c>
      <c r="G557" s="590" t="b">
        <f>VLOOKUP(A557,STUDENT!$A$2:$BR$105,67,0)</f>
        <v>0</v>
      </c>
      <c r="H557" s="590" t="str">
        <f>MARKS!DV22</f>
        <v>C</v>
      </c>
      <c r="I557" s="590">
        <f>MARKS!DW22</f>
        <v>0</v>
      </c>
      <c r="J557" s="590">
        <f>MARKS!DX22</f>
        <v>0</v>
      </c>
      <c r="K557" s="590">
        <f>MARKS!DY22</f>
        <v>0</v>
      </c>
      <c r="L557" s="590">
        <f>MARKS!DZ22</f>
        <v>0</v>
      </c>
      <c r="M557" s="590">
        <f>MARKS!EA22</f>
        <v>0</v>
      </c>
      <c r="N557" s="590">
        <f>MARKS!EB22</f>
        <v>0</v>
      </c>
      <c r="O557" s="590" t="str">
        <f>MARKS!EC22</f>
        <v>E</v>
      </c>
      <c r="Q557" s="591" t="s">
        <v>482</v>
      </c>
      <c r="R557" s="591" t="s">
        <v>483</v>
      </c>
      <c r="S557" s="591"/>
      <c r="T557" s="591"/>
      <c r="U557" s="591"/>
      <c r="V557" s="591"/>
      <c r="W557" s="594"/>
      <c r="X557" s="591" t="s">
        <v>482</v>
      </c>
      <c r="Y557" s="591" t="s">
        <v>483</v>
      </c>
      <c r="Z557" s="591" t="s">
        <v>490</v>
      </c>
      <c r="AA557" s="591"/>
      <c r="AB557" s="591"/>
      <c r="AC557" s="591"/>
      <c r="AD557" s="591"/>
      <c r="AE557" s="594"/>
    </row>
    <row r="558" spans="1:31">
      <c r="A558" s="590">
        <v>20</v>
      </c>
      <c r="B558" s="596">
        <f t="shared" ref="B558:E558" si="497">B451</f>
        <v>14768</v>
      </c>
      <c r="C558" s="596">
        <f t="shared" si="497"/>
        <v>20240028340</v>
      </c>
      <c r="D558" s="597" t="str">
        <f t="shared" si="497"/>
        <v>ANKUR</v>
      </c>
      <c r="E558" s="597" t="str">
        <f t="shared" si="497"/>
        <v>ASHOK KUMAR GUPTA</v>
      </c>
      <c r="F558" s="590" t="str">
        <f>VLOOKUP(A558,STUDENT!$A$2:$BR$105,68,0)</f>
        <v/>
      </c>
      <c r="G558" s="590" t="b">
        <f>VLOOKUP(A558,STUDENT!$A$2:$BR$105,67,0)</f>
        <v>0</v>
      </c>
      <c r="H558" s="590" t="str">
        <f>MARKS!DV23</f>
        <v>E</v>
      </c>
      <c r="I558" s="590">
        <f>MARKS!DW23</f>
        <v>0</v>
      </c>
      <c r="J558" s="590">
        <f>MARKS!DX23</f>
        <v>0</v>
      </c>
      <c r="K558" s="590">
        <f>MARKS!DY23</f>
        <v>0</v>
      </c>
      <c r="L558" s="590">
        <f>MARKS!DZ23</f>
        <v>0</v>
      </c>
      <c r="M558" s="590">
        <f>MARKS!EA23</f>
        <v>0</v>
      </c>
      <c r="N558" s="590">
        <f>MARKS!EB23</f>
        <v>0</v>
      </c>
      <c r="O558" s="590" t="str">
        <f>MARKS!EC23</f>
        <v>E</v>
      </c>
      <c r="Q558" s="591"/>
      <c r="R558" s="591"/>
      <c r="S558" s="591" t="s">
        <v>102</v>
      </c>
      <c r="T558" s="591">
        <f>SUM(T550:T557)</f>
        <v>39</v>
      </c>
      <c r="U558" s="591">
        <f t="shared" ref="U558:V558" si="498">SUM(U550:U557)</f>
        <v>0</v>
      </c>
      <c r="V558" s="591">
        <f t="shared" si="498"/>
        <v>0</v>
      </c>
      <c r="W558" s="594"/>
      <c r="X558" s="591"/>
      <c r="Y558" s="591"/>
      <c r="Z558" s="591"/>
      <c r="AA558" s="591" t="s">
        <v>102</v>
      </c>
      <c r="AB558" s="591">
        <f>SUM(AB550:AB557)</f>
        <v>0</v>
      </c>
      <c r="AC558" s="591">
        <f t="shared" ref="AC558:AD558" si="499">SUM(AC550:AC557)</f>
        <v>0</v>
      </c>
      <c r="AD558" s="591">
        <f t="shared" si="499"/>
        <v>0</v>
      </c>
      <c r="AE558" s="594"/>
    </row>
    <row r="559" spans="1:31">
      <c r="A559" s="596">
        <v>21</v>
      </c>
      <c r="B559" s="596">
        <f t="shared" ref="B559:E559" si="500">B452</f>
        <v>14792</v>
      </c>
      <c r="C559" s="596">
        <f t="shared" si="500"/>
        <v>20240074441</v>
      </c>
      <c r="D559" s="597" t="str">
        <f t="shared" si="500"/>
        <v>SOBHIT PASWAN</v>
      </c>
      <c r="E559" s="597" t="str">
        <f t="shared" si="500"/>
        <v>SHANKAR PASWAN</v>
      </c>
      <c r="F559" s="590" t="str">
        <f>VLOOKUP(A559,STUDENT!$A$2:$BR$105,68,0)</f>
        <v/>
      </c>
      <c r="G559" s="590" t="b">
        <f>VLOOKUP(A559,STUDENT!$A$2:$BR$105,67,0)</f>
        <v>0</v>
      </c>
      <c r="H559" s="590" t="str">
        <f>MARKS!DV24</f>
        <v>D</v>
      </c>
      <c r="I559" s="590">
        <f>MARKS!DW24</f>
        <v>0</v>
      </c>
      <c r="J559" s="590">
        <f>MARKS!DX24</f>
        <v>0</v>
      </c>
      <c r="K559" s="590">
        <f>MARKS!DY24</f>
        <v>0</v>
      </c>
      <c r="L559" s="590">
        <f>MARKS!DZ24</f>
        <v>0</v>
      </c>
      <c r="M559" s="590">
        <f>MARKS!EA24</f>
        <v>0</v>
      </c>
      <c r="N559" s="590">
        <f>MARKS!EB24</f>
        <v>0</v>
      </c>
      <c r="O559" s="590" t="str">
        <f>MARKS!EC24</f>
        <v>E</v>
      </c>
      <c r="Q559" s="591"/>
      <c r="R559" s="591"/>
      <c r="S559" s="591"/>
      <c r="T559" s="591"/>
      <c r="U559" s="591"/>
      <c r="V559" s="591"/>
      <c r="W559" s="594"/>
      <c r="X559" s="594"/>
      <c r="Y559" s="594"/>
      <c r="Z559" s="594"/>
      <c r="AA559" s="594"/>
      <c r="AB559" s="591"/>
      <c r="AC559" s="591"/>
      <c r="AD559" s="591"/>
      <c r="AE559" s="594"/>
    </row>
    <row r="560" spans="1:31">
      <c r="A560" s="590">
        <v>22</v>
      </c>
      <c r="B560" s="596">
        <f t="shared" ref="B560:E560" si="501">B453</f>
        <v>14804</v>
      </c>
      <c r="C560" s="596">
        <f t="shared" si="501"/>
        <v>20240100859</v>
      </c>
      <c r="D560" s="597" t="str">
        <f t="shared" si="501"/>
        <v>ABHISHEK MUKHIYA</v>
      </c>
      <c r="E560" s="597" t="str">
        <f t="shared" si="501"/>
        <v>ARJUN MUKHIYA</v>
      </c>
      <c r="F560" s="590" t="str">
        <f>VLOOKUP(A560,STUDENT!$A$2:$BR$105,68,0)</f>
        <v/>
      </c>
      <c r="G560" s="590" t="b">
        <f>VLOOKUP(A560,STUDENT!$A$2:$BR$105,67,0)</f>
        <v>0</v>
      </c>
      <c r="H560" s="590" t="str">
        <f>MARKS!DV25</f>
        <v>C</v>
      </c>
      <c r="I560" s="590">
        <f>MARKS!DW25</f>
        <v>0</v>
      </c>
      <c r="J560" s="590">
        <f>MARKS!DX25</f>
        <v>0</v>
      </c>
      <c r="K560" s="590">
        <f>MARKS!DY25</f>
        <v>0</v>
      </c>
      <c r="L560" s="590">
        <f>MARKS!DZ25</f>
        <v>0</v>
      </c>
      <c r="M560" s="590">
        <f>MARKS!EA25</f>
        <v>0</v>
      </c>
      <c r="N560" s="590">
        <f>MARKS!EB25</f>
        <v>0</v>
      </c>
      <c r="O560" s="590" t="str">
        <f>MARKS!EC25</f>
        <v>E</v>
      </c>
      <c r="Q560" s="591"/>
      <c r="R560" s="591"/>
      <c r="S560" s="591"/>
      <c r="T560" s="591"/>
      <c r="U560" s="591"/>
      <c r="V560" s="591"/>
      <c r="W560" s="594"/>
      <c r="X560" s="594"/>
      <c r="Y560" s="594"/>
      <c r="Z560" s="594"/>
      <c r="AA560" s="594"/>
      <c r="AB560" s="591"/>
      <c r="AC560" s="591"/>
      <c r="AD560" s="591"/>
      <c r="AE560" s="594"/>
    </row>
    <row r="561" spans="1:31">
      <c r="A561" s="596">
        <v>23</v>
      </c>
      <c r="B561" s="596">
        <f t="shared" ref="B561:E561" si="502">B454</f>
        <v>14805</v>
      </c>
      <c r="C561" s="596">
        <f t="shared" si="502"/>
        <v>20240100885</v>
      </c>
      <c r="D561" s="597" t="str">
        <f t="shared" si="502"/>
        <v>NITIN</v>
      </c>
      <c r="E561" s="597" t="str">
        <f t="shared" si="502"/>
        <v>AJAY</v>
      </c>
      <c r="F561" s="590" t="str">
        <f>VLOOKUP(A561,STUDENT!$A$2:$BR$105,68,0)</f>
        <v/>
      </c>
      <c r="G561" s="590" t="b">
        <f>VLOOKUP(A561,STUDENT!$A$2:$BR$105,67,0)</f>
        <v>0</v>
      </c>
      <c r="H561" s="590" t="str">
        <f>MARKS!DV26</f>
        <v>C</v>
      </c>
      <c r="I561" s="590">
        <f>MARKS!DW26</f>
        <v>0</v>
      </c>
      <c r="J561" s="590">
        <f>MARKS!DX26</f>
        <v>0</v>
      </c>
      <c r="K561" s="590">
        <f>MARKS!DY26</f>
        <v>0</v>
      </c>
      <c r="L561" s="590">
        <f>MARKS!DZ26</f>
        <v>0</v>
      </c>
      <c r="M561" s="590">
        <f>MARKS!EA26</f>
        <v>0</v>
      </c>
      <c r="N561" s="590">
        <f>MARKS!EB26</f>
        <v>0</v>
      </c>
      <c r="O561" s="590" t="str">
        <f>MARKS!EC26</f>
        <v>E</v>
      </c>
      <c r="Q561" s="591" t="s">
        <v>475</v>
      </c>
      <c r="R561" s="591" t="s">
        <v>476</v>
      </c>
      <c r="S561" s="592" t="s">
        <v>477</v>
      </c>
      <c r="T561" s="593" t="s">
        <v>89</v>
      </c>
      <c r="U561" s="592" t="s">
        <v>479</v>
      </c>
      <c r="V561" s="592" t="s">
        <v>480</v>
      </c>
      <c r="W561" s="594"/>
      <c r="X561" s="591" t="s">
        <v>475</v>
      </c>
      <c r="Y561" s="591" t="s">
        <v>476</v>
      </c>
      <c r="Z561" s="591" t="s">
        <v>474</v>
      </c>
      <c r="AA561" s="592" t="s">
        <v>477</v>
      </c>
      <c r="AB561" s="593" t="s">
        <v>491</v>
      </c>
      <c r="AC561" s="592" t="s">
        <v>479</v>
      </c>
      <c r="AD561" s="592" t="s">
        <v>480</v>
      </c>
      <c r="AE561" s="594"/>
    </row>
    <row r="562" spans="1:31">
      <c r="A562" s="590">
        <v>24</v>
      </c>
      <c r="B562" s="596">
        <f t="shared" ref="B562:E562" si="503">B455</f>
        <v>14806</v>
      </c>
      <c r="C562" s="596">
        <f t="shared" si="503"/>
        <v>20240100904</v>
      </c>
      <c r="D562" s="597" t="str">
        <f t="shared" si="503"/>
        <v>SOORYA VANSHAL</v>
      </c>
      <c r="E562" s="597" t="str">
        <f t="shared" si="503"/>
        <v>KAMLESH KUMAR</v>
      </c>
      <c r="F562" s="590" t="str">
        <f>VLOOKUP(A562,STUDENT!$A$2:$BR$105,68,0)</f>
        <v/>
      </c>
      <c r="G562" s="590" t="b">
        <f>VLOOKUP(A562,STUDENT!$A$2:$BR$105,67,0)</f>
        <v>0</v>
      </c>
      <c r="H562" s="590" t="str">
        <f>MARKS!DV27</f>
        <v>C</v>
      </c>
      <c r="I562" s="590">
        <f>MARKS!DW27</f>
        <v>0</v>
      </c>
      <c r="J562" s="590">
        <f>MARKS!DX27</f>
        <v>0</v>
      </c>
      <c r="K562" s="590">
        <f>MARKS!DY27</f>
        <v>0</v>
      </c>
      <c r="L562" s="590">
        <f>MARKS!DZ27</f>
        <v>0</v>
      </c>
      <c r="M562" s="590">
        <f>MARKS!EA27</f>
        <v>0</v>
      </c>
      <c r="N562" s="590">
        <f>MARKS!EB27</f>
        <v>0</v>
      </c>
      <c r="O562" s="590" t="str">
        <f>MARKS!EC27</f>
        <v>E</v>
      </c>
      <c r="Q562" s="591" t="s">
        <v>482</v>
      </c>
      <c r="R562" s="591" t="s">
        <v>483</v>
      </c>
      <c r="S562" s="591" t="s">
        <v>50</v>
      </c>
      <c r="T562" s="591">
        <f>COUNTIFS(I539:I638,S562)</f>
        <v>0</v>
      </c>
      <c r="U562" s="591">
        <f>COUNTIFS(F539:F638,Q551,I539:I638,S562)</f>
        <v>0</v>
      </c>
      <c r="V562" s="591">
        <f>COUNTIFS(F539:F638,R551,I539:I638,S562)</f>
        <v>0</v>
      </c>
      <c r="W562" s="594"/>
      <c r="X562" s="591" t="s">
        <v>482</v>
      </c>
      <c r="Y562" s="591" t="s">
        <v>483</v>
      </c>
      <c r="Z562" s="591" t="s">
        <v>491</v>
      </c>
      <c r="AA562" s="591" t="s">
        <v>50</v>
      </c>
      <c r="AB562" s="591">
        <f>COUNTIFS(G539:G638,Z562,O539:O638,S562)</f>
        <v>0</v>
      </c>
      <c r="AC562" s="591">
        <f>COUNTIFS(F539:F638,X562,G539:G638,Z562,O539:O638,S562)</f>
        <v>0</v>
      </c>
      <c r="AD562" s="591">
        <f>COUNTIFS(F539:F638,Y562,G539:G638,Z562,O539:O638,S562)</f>
        <v>0</v>
      </c>
      <c r="AE562" s="594"/>
    </row>
    <row r="563" spans="1:31">
      <c r="A563" s="596">
        <v>25</v>
      </c>
      <c r="B563" s="596">
        <f t="shared" ref="B563:E563" si="504">B456</f>
        <v>14943</v>
      </c>
      <c r="C563" s="596">
        <f t="shared" si="504"/>
        <v>20250012364</v>
      </c>
      <c r="D563" s="597" t="str">
        <f t="shared" si="504"/>
        <v>ANSHU KUMAR PANDIT</v>
      </c>
      <c r="E563" s="597" t="str">
        <f t="shared" si="504"/>
        <v>RAMESH KUMAR PANDIT</v>
      </c>
      <c r="F563" s="590" t="str">
        <f>VLOOKUP(A563,STUDENT!$A$2:$BR$105,68,0)</f>
        <v/>
      </c>
      <c r="G563" s="590" t="b">
        <f>VLOOKUP(A563,STUDENT!$A$2:$BR$105,67,0)</f>
        <v>0</v>
      </c>
      <c r="H563" s="590" t="str">
        <f>MARKS!DV28</f>
        <v>C</v>
      </c>
      <c r="I563" s="590">
        <f>MARKS!DW28</f>
        <v>0</v>
      </c>
      <c r="J563" s="590">
        <f>MARKS!DX28</f>
        <v>0</v>
      </c>
      <c r="K563" s="590">
        <f>MARKS!DY28</f>
        <v>0</v>
      </c>
      <c r="L563" s="590">
        <f>MARKS!DZ28</f>
        <v>0</v>
      </c>
      <c r="M563" s="590">
        <f>MARKS!EA28</f>
        <v>0</v>
      </c>
      <c r="N563" s="590">
        <f>MARKS!EB28</f>
        <v>0</v>
      </c>
      <c r="O563" s="590" t="str">
        <f>MARKS!EC28</f>
        <v>E</v>
      </c>
      <c r="Q563" s="591" t="s">
        <v>482</v>
      </c>
      <c r="R563" s="591" t="s">
        <v>483</v>
      </c>
      <c r="S563" s="591" t="s">
        <v>485</v>
      </c>
      <c r="T563" s="591">
        <f>COUNTIFS(I539:I638,S563)</f>
        <v>0</v>
      </c>
      <c r="U563" s="591">
        <f>COUNTIFS(F539:F638,Q552,I539:I638,S563)</f>
        <v>0</v>
      </c>
      <c r="V563" s="591">
        <f>COUNTIFS(F539:F638,R552,I539:I638,S563)</f>
        <v>0</v>
      </c>
      <c r="W563" s="594"/>
      <c r="X563" s="591" t="s">
        <v>482</v>
      </c>
      <c r="Y563" s="591" t="s">
        <v>483</v>
      </c>
      <c r="Z563" s="591" t="s">
        <v>491</v>
      </c>
      <c r="AA563" s="591" t="s">
        <v>485</v>
      </c>
      <c r="AB563" s="591">
        <f>COUNTIFS(G539:G638,Z563,O539:O638,S563)</f>
        <v>0</v>
      </c>
      <c r="AC563" s="591">
        <f>COUNTIFS(F539:F638,X563,G539:G638,Z563,O539:O638,S563)</f>
        <v>0</v>
      </c>
      <c r="AD563" s="591">
        <f>COUNTIFS(F539:F638,Y563,G539:G638,Z563,O539:O638,S563)</f>
        <v>0</v>
      </c>
      <c r="AE563" s="594"/>
    </row>
    <row r="564" spans="1:31">
      <c r="A564" s="590">
        <v>26</v>
      </c>
      <c r="B564" s="596">
        <f t="shared" ref="B564:E564" si="505">B457</f>
        <v>14960</v>
      </c>
      <c r="C564" s="596">
        <f t="shared" si="505"/>
        <v>20250045334</v>
      </c>
      <c r="D564" s="597" t="str">
        <f t="shared" si="505"/>
        <v>MD ADAN SHEKH</v>
      </c>
      <c r="E564" s="597" t="str">
        <f t="shared" si="505"/>
        <v>MD ISHTIKHAR</v>
      </c>
      <c r="F564" s="590" t="str">
        <f>VLOOKUP(A564,STUDENT!$A$2:$BR$105,68,0)</f>
        <v/>
      </c>
      <c r="G564" s="590" t="b">
        <f>VLOOKUP(A564,STUDENT!$A$2:$BR$105,67,0)</f>
        <v>0</v>
      </c>
      <c r="H564" s="590" t="str">
        <f>MARKS!DV29</f>
        <v>D</v>
      </c>
      <c r="I564" s="590">
        <f>MARKS!DW29</f>
        <v>0</v>
      </c>
      <c r="J564" s="590">
        <f>MARKS!DX29</f>
        <v>0</v>
      </c>
      <c r="K564" s="590">
        <f>MARKS!DY29</f>
        <v>0</v>
      </c>
      <c r="L564" s="590">
        <f>MARKS!DZ29</f>
        <v>0</v>
      </c>
      <c r="M564" s="590">
        <f>MARKS!EA29</f>
        <v>0</v>
      </c>
      <c r="N564" s="590">
        <f>MARKS!EB29</f>
        <v>0</v>
      </c>
      <c r="O564" s="590" t="str">
        <f>MARKS!EC29</f>
        <v>E</v>
      </c>
      <c r="Q564" s="591" t="s">
        <v>482</v>
      </c>
      <c r="R564" s="591" t="s">
        <v>483</v>
      </c>
      <c r="S564" s="591" t="s">
        <v>486</v>
      </c>
      <c r="T564" s="591">
        <f>COUNTIFS(I539:I638,S564)</f>
        <v>0</v>
      </c>
      <c r="U564" s="591">
        <f>COUNTIFS(F539:F638,Q553,I539:I638,S564)</f>
        <v>0</v>
      </c>
      <c r="V564" s="591">
        <f>COUNTIFS(F539:F638,R553,I539:I638,S564)</f>
        <v>0</v>
      </c>
      <c r="W564" s="594"/>
      <c r="X564" s="591" t="s">
        <v>482</v>
      </c>
      <c r="Y564" s="591" t="s">
        <v>483</v>
      </c>
      <c r="Z564" s="591" t="s">
        <v>491</v>
      </c>
      <c r="AA564" s="591" t="s">
        <v>486</v>
      </c>
      <c r="AB564" s="591">
        <f>COUNTIFS(G539:G638,Z564,O539:O638,S564)</f>
        <v>0</v>
      </c>
      <c r="AC564" s="591">
        <f>COUNTIFS(F539:F638,X564,G539:G638,Z564,O539:O638,S564)</f>
        <v>0</v>
      </c>
      <c r="AD564" s="591">
        <f>COUNTIFS(F539:F638,Y564,G539:G638,Z564,O539:O638,S564)</f>
        <v>0</v>
      </c>
      <c r="AE564" s="594"/>
    </row>
    <row r="565" spans="1:31">
      <c r="A565" s="596">
        <v>27</v>
      </c>
      <c r="B565" s="596">
        <f t="shared" ref="B565:E565" si="506">B458</f>
        <v>14976</v>
      </c>
      <c r="C565" s="596">
        <f t="shared" si="506"/>
        <v>20250064030</v>
      </c>
      <c r="D565" s="597" t="str">
        <f t="shared" si="506"/>
        <v>KARTIK</v>
      </c>
      <c r="E565" s="597" t="str">
        <f t="shared" si="506"/>
        <v>SUNIL</v>
      </c>
      <c r="F565" s="590" t="str">
        <f>VLOOKUP(A565,STUDENT!$A$2:$BR$105,68,0)</f>
        <v/>
      </c>
      <c r="G565" s="590" t="b">
        <f>VLOOKUP(A565,STUDENT!$A$2:$BR$105,67,0)</f>
        <v>0</v>
      </c>
      <c r="H565" s="590" t="str">
        <f>MARKS!DV30</f>
        <v>D</v>
      </c>
      <c r="I565" s="590">
        <f>MARKS!DW30</f>
        <v>0</v>
      </c>
      <c r="J565" s="590">
        <f>MARKS!DX30</f>
        <v>0</v>
      </c>
      <c r="K565" s="590">
        <f>MARKS!DY30</f>
        <v>0</v>
      </c>
      <c r="L565" s="590">
        <f>MARKS!DZ30</f>
        <v>0</v>
      </c>
      <c r="M565" s="590">
        <f>MARKS!EA30</f>
        <v>0</v>
      </c>
      <c r="N565" s="590">
        <f>MARKS!EB30</f>
        <v>0</v>
      </c>
      <c r="O565" s="590" t="str">
        <f>MARKS!EC30</f>
        <v>E</v>
      </c>
      <c r="Q565" s="591" t="s">
        <v>482</v>
      </c>
      <c r="R565" s="591" t="s">
        <v>483</v>
      </c>
      <c r="S565" s="591" t="s">
        <v>487</v>
      </c>
      <c r="T565" s="591">
        <f>COUNTIFS(I539:I638,S565)</f>
        <v>0</v>
      </c>
      <c r="U565" s="591">
        <f>COUNTIFS(F539:F638,Q554,I539:I638,S565)</f>
        <v>0</v>
      </c>
      <c r="V565" s="591">
        <f>COUNTIFS(F539:F638,R554,I539:I638,S565)</f>
        <v>0</v>
      </c>
      <c r="W565" s="594"/>
      <c r="X565" s="591" t="s">
        <v>482</v>
      </c>
      <c r="Y565" s="591" t="s">
        <v>483</v>
      </c>
      <c r="Z565" s="591" t="s">
        <v>491</v>
      </c>
      <c r="AA565" s="591" t="s">
        <v>487</v>
      </c>
      <c r="AB565" s="591">
        <f>COUNTIFS(G539:G638,Z565,O539:O638,S565)</f>
        <v>0</v>
      </c>
      <c r="AC565" s="591">
        <f>COUNTIFS(F539:F638,X565,G539:G638,Z565,O539:O638,S565)</f>
        <v>0</v>
      </c>
      <c r="AD565" s="591">
        <f>COUNTIFS(F539:F638,Y565,G539:G638,Z565,O539:O638,S565)</f>
        <v>0</v>
      </c>
      <c r="AE565" s="594"/>
    </row>
    <row r="566" spans="1:31">
      <c r="A566" s="590">
        <v>28</v>
      </c>
      <c r="B566" s="596">
        <f t="shared" ref="B566:E566" si="507">B459</f>
        <v>14999</v>
      </c>
      <c r="C566" s="596">
        <f t="shared" si="507"/>
        <v>20250104050</v>
      </c>
      <c r="D566" s="597" t="str">
        <f t="shared" si="507"/>
        <v>ABDUL REHMAN</v>
      </c>
      <c r="E566" s="597" t="str">
        <f t="shared" si="507"/>
        <v>MD LAL BABU</v>
      </c>
      <c r="F566" s="590" t="str">
        <f>VLOOKUP(A566,STUDENT!$A$2:$BR$105,68,0)</f>
        <v/>
      </c>
      <c r="G566" s="590" t="b">
        <f>VLOOKUP(A566,STUDENT!$A$2:$BR$105,67,0)</f>
        <v>0</v>
      </c>
      <c r="H566" s="590" t="str">
        <f>MARKS!DV31</f>
        <v>D</v>
      </c>
      <c r="I566" s="590">
        <f>MARKS!DW31</f>
        <v>0</v>
      </c>
      <c r="J566" s="590">
        <f>MARKS!DX31</f>
        <v>0</v>
      </c>
      <c r="K566" s="590">
        <f>MARKS!DY31</f>
        <v>0</v>
      </c>
      <c r="L566" s="590">
        <f>MARKS!DZ31</f>
        <v>0</v>
      </c>
      <c r="M566" s="590">
        <f>MARKS!EA31</f>
        <v>0</v>
      </c>
      <c r="N566" s="590">
        <f>MARKS!EB31</f>
        <v>0</v>
      </c>
      <c r="O566" s="590" t="str">
        <f>MARKS!EC31</f>
        <v>E</v>
      </c>
      <c r="Q566" s="591" t="s">
        <v>482</v>
      </c>
      <c r="R566" s="591" t="s">
        <v>483</v>
      </c>
      <c r="S566" s="591" t="s">
        <v>488</v>
      </c>
      <c r="T566" s="591">
        <f>COUNTIFS(I539:I638,S566)</f>
        <v>0</v>
      </c>
      <c r="U566" s="591">
        <f>COUNTIFS(F539:F638,Q555,I539:I638,S566)</f>
        <v>0</v>
      </c>
      <c r="V566" s="591">
        <f>COUNTIFS(F539:F638,R555,I539:I638,S566)</f>
        <v>0</v>
      </c>
      <c r="W566" s="594"/>
      <c r="X566" s="591" t="s">
        <v>482</v>
      </c>
      <c r="Y566" s="591" t="s">
        <v>483</v>
      </c>
      <c r="Z566" s="591" t="s">
        <v>491</v>
      </c>
      <c r="AA566" s="591" t="s">
        <v>488</v>
      </c>
      <c r="AB566" s="591">
        <f>COUNTIFS(G539:G638,Z566,O539:O638,S566)</f>
        <v>0</v>
      </c>
      <c r="AC566" s="591">
        <f>COUNTIFS(F539:F638,X566,G539:G638,Z566,O539:O638,S566)</f>
        <v>0</v>
      </c>
      <c r="AD566" s="591">
        <f>COUNTIFS(F539:F638,Y566,G539:G638,Z566,O539:O638,S566)</f>
        <v>0</v>
      </c>
      <c r="AE566" s="594"/>
    </row>
    <row r="567" spans="1:31">
      <c r="A567" s="596">
        <v>29</v>
      </c>
      <c r="B567" s="596">
        <f t="shared" ref="B567:E567" si="508">B460</f>
        <v>15000</v>
      </c>
      <c r="C567" s="596">
        <f t="shared" si="508"/>
        <v>20250104062</v>
      </c>
      <c r="D567" s="597" t="str">
        <f t="shared" si="508"/>
        <v>KARTIK</v>
      </c>
      <c r="E567" s="597" t="str">
        <f t="shared" si="508"/>
        <v>AMAN YADAV</v>
      </c>
      <c r="F567" s="590" t="str">
        <f>VLOOKUP(A567,STUDENT!$A$2:$BR$105,68,0)</f>
        <v/>
      </c>
      <c r="G567" s="590" t="b">
        <f>VLOOKUP(A567,STUDENT!$A$2:$BR$105,67,0)</f>
        <v>0</v>
      </c>
      <c r="H567" s="590" t="str">
        <f>MARKS!DV32</f>
        <v>C</v>
      </c>
      <c r="I567" s="590">
        <f>MARKS!DW32</f>
        <v>0</v>
      </c>
      <c r="J567" s="590">
        <f>MARKS!DX32</f>
        <v>0</v>
      </c>
      <c r="K567" s="590">
        <f>MARKS!DY32</f>
        <v>0</v>
      </c>
      <c r="L567" s="590">
        <f>MARKS!DZ32</f>
        <v>0</v>
      </c>
      <c r="M567" s="590">
        <f>MARKS!EA32</f>
        <v>0</v>
      </c>
      <c r="N567" s="590">
        <f>MARKS!EB32</f>
        <v>0</v>
      </c>
      <c r="O567" s="590" t="str">
        <f>MARKS!EC32</f>
        <v>E</v>
      </c>
      <c r="Q567" s="591" t="s">
        <v>482</v>
      </c>
      <c r="R567" s="591" t="s">
        <v>483</v>
      </c>
      <c r="S567" s="591" t="s">
        <v>101</v>
      </c>
      <c r="T567" s="591">
        <f>COUNTIFS(I539:I638,S567)</f>
        <v>0</v>
      </c>
      <c r="U567" s="591">
        <f>COUNTIFS(F539:F638,Q556,I539:I638,S567)</f>
        <v>0</v>
      </c>
      <c r="V567" s="591">
        <f>COUNTIFS(F539:F638,R556,I539:I638,S567)</f>
        <v>0</v>
      </c>
      <c r="W567" s="594"/>
      <c r="X567" s="591" t="s">
        <v>482</v>
      </c>
      <c r="Y567" s="591" t="s">
        <v>483</v>
      </c>
      <c r="Z567" s="591" t="s">
        <v>491</v>
      </c>
      <c r="AA567" s="591" t="s">
        <v>101</v>
      </c>
      <c r="AB567" s="591">
        <f>COUNTIFS(G539:G638,Z567,O539:O638,S567)</f>
        <v>0</v>
      </c>
      <c r="AC567" s="591">
        <f>COUNTIFS(F539:F638,X567,G539:G638,Z567,O539:O638,S567)</f>
        <v>0</v>
      </c>
      <c r="AD567" s="591">
        <f>COUNTIFS(F539:F638,Y567,G539:G638,Z567,O539:O638,S567)</f>
        <v>0</v>
      </c>
      <c r="AE567" s="594"/>
    </row>
    <row r="568" spans="1:31">
      <c r="A568" s="590">
        <v>30</v>
      </c>
      <c r="B568" s="596">
        <f t="shared" ref="B568:E568" si="509">B461</f>
        <v>15022</v>
      </c>
      <c r="C568" s="596">
        <f t="shared" si="509"/>
        <v>20250141853</v>
      </c>
      <c r="D568" s="597" t="str">
        <f t="shared" si="509"/>
        <v>AYAN</v>
      </c>
      <c r="E568" s="597" t="str">
        <f t="shared" si="509"/>
        <v>BABU HASAN</v>
      </c>
      <c r="F568" s="590" t="str">
        <f>VLOOKUP(A568,STUDENT!$A$2:$BR$105,68,0)</f>
        <v/>
      </c>
      <c r="G568" s="590" t="b">
        <f>VLOOKUP(A568,STUDENT!$A$2:$BR$105,67,0)</f>
        <v>0</v>
      </c>
      <c r="H568" s="590" t="str">
        <f>MARKS!DV33</f>
        <v>C</v>
      </c>
      <c r="I568" s="590">
        <f>MARKS!DW33</f>
        <v>0</v>
      </c>
      <c r="J568" s="590">
        <f>MARKS!DX33</f>
        <v>0</v>
      </c>
      <c r="K568" s="590">
        <f>MARKS!DY33</f>
        <v>0</v>
      </c>
      <c r="L568" s="590">
        <f>MARKS!DZ33</f>
        <v>0</v>
      </c>
      <c r="M568" s="590">
        <f>MARKS!EA33</f>
        <v>0</v>
      </c>
      <c r="N568" s="590">
        <f>MARKS!EB33</f>
        <v>0</v>
      </c>
      <c r="O568" s="590" t="str">
        <f>MARKS!EC33</f>
        <v>E</v>
      </c>
      <c r="Q568" s="591" t="s">
        <v>482</v>
      </c>
      <c r="R568" s="591" t="s">
        <v>483</v>
      </c>
      <c r="S568" s="591" t="s">
        <v>489</v>
      </c>
      <c r="T568" s="591">
        <f>COUNTIFS(I539:I638,S568)</f>
        <v>0</v>
      </c>
      <c r="U568" s="591">
        <f>COUNTIFS(F539:F638,Q557,I539:I638,S568)</f>
        <v>0</v>
      </c>
      <c r="V568" s="591">
        <f>COUNTIFS(F539:F638,R557,I539:I638,S568)</f>
        <v>0</v>
      </c>
      <c r="W568" s="594"/>
      <c r="X568" s="591" t="s">
        <v>482</v>
      </c>
      <c r="Y568" s="591" t="s">
        <v>483</v>
      </c>
      <c r="Z568" s="591" t="s">
        <v>491</v>
      </c>
      <c r="AA568" s="591" t="s">
        <v>489</v>
      </c>
      <c r="AB568" s="591">
        <f>COUNTIFS(G539:G638,Z568,O539:O638,S568)</f>
        <v>0</v>
      </c>
      <c r="AC568" s="591">
        <f>COUNTIFS(F539:F638,X568,G539:G638,Z568,O539:O638,S568)</f>
        <v>0</v>
      </c>
      <c r="AD568" s="591">
        <f>COUNTIFS(F539:F638,Y568,G539:G638,Z568,O539:O638,S568)</f>
        <v>0</v>
      </c>
      <c r="AE568" s="594"/>
    </row>
    <row r="569" spans="1:31">
      <c r="A569" s="596">
        <v>31</v>
      </c>
      <c r="B569" s="596">
        <f t="shared" ref="B569:E569" si="510">B462</f>
        <v>15034</v>
      </c>
      <c r="C569" s="596">
        <f t="shared" si="510"/>
        <v>20250188568</v>
      </c>
      <c r="D569" s="597" t="str">
        <f t="shared" si="510"/>
        <v>RAM CHANDER KUMAR</v>
      </c>
      <c r="E569" s="597" t="str">
        <f t="shared" si="510"/>
        <v>AKASH SHARMA</v>
      </c>
      <c r="F569" s="590" t="str">
        <f>VLOOKUP(A569,STUDENT!$A$2:$BR$105,68,0)</f>
        <v/>
      </c>
      <c r="G569" s="590" t="b">
        <f>VLOOKUP(A569,STUDENT!$A$2:$BR$105,67,0)</f>
        <v>0</v>
      </c>
      <c r="H569" s="590" t="str">
        <f>MARKS!DV34</f>
        <v>C</v>
      </c>
      <c r="I569" s="590">
        <f>MARKS!DW34</f>
        <v>0</v>
      </c>
      <c r="J569" s="590">
        <f>MARKS!DX34</f>
        <v>0</v>
      </c>
      <c r="K569" s="590">
        <f>MARKS!DY34</f>
        <v>0</v>
      </c>
      <c r="L569" s="590">
        <f>MARKS!DZ34</f>
        <v>0</v>
      </c>
      <c r="M569" s="590">
        <f>MARKS!EA34</f>
        <v>0</v>
      </c>
      <c r="N569" s="590">
        <f>MARKS!EB34</f>
        <v>0</v>
      </c>
      <c r="O569" s="590" t="str">
        <f>MARKS!EC34</f>
        <v>E</v>
      </c>
      <c r="Q569" s="591" t="s">
        <v>482</v>
      </c>
      <c r="R569" s="591" t="s">
        <v>483</v>
      </c>
      <c r="S569" s="591"/>
      <c r="T569" s="591"/>
      <c r="U569" s="591"/>
      <c r="V569" s="591"/>
      <c r="W569" s="594"/>
      <c r="X569" s="591" t="s">
        <v>482</v>
      </c>
      <c r="Y569" s="591" t="s">
        <v>483</v>
      </c>
      <c r="Z569" s="591" t="s">
        <v>491</v>
      </c>
      <c r="AA569" s="591"/>
      <c r="AB569" s="591"/>
      <c r="AC569" s="591"/>
      <c r="AD569" s="591"/>
      <c r="AE569" s="594"/>
    </row>
    <row r="570" spans="1:31">
      <c r="A570" s="590">
        <v>32</v>
      </c>
      <c r="B570" s="596">
        <f t="shared" ref="B570:E570" si="511">B463</f>
        <v>15035</v>
      </c>
      <c r="C570" s="596">
        <f t="shared" si="511"/>
        <v>20250188626</v>
      </c>
      <c r="D570" s="597" t="str">
        <f t="shared" si="511"/>
        <v>HARSHIT</v>
      </c>
      <c r="E570" s="597" t="str">
        <f t="shared" si="511"/>
        <v>ANKIT SINGH</v>
      </c>
      <c r="F570" s="590" t="str">
        <f>VLOOKUP(A570,STUDENT!$A$2:$BR$105,68,0)</f>
        <v/>
      </c>
      <c r="G570" s="590" t="b">
        <f>VLOOKUP(A570,STUDENT!$A$2:$BR$105,67,0)</f>
        <v>0</v>
      </c>
      <c r="H570" s="590" t="str">
        <f>MARKS!DV35</f>
        <v>C</v>
      </c>
      <c r="I570" s="590">
        <f>MARKS!DW35</f>
        <v>0</v>
      </c>
      <c r="J570" s="590">
        <f>MARKS!DX35</f>
        <v>0</v>
      </c>
      <c r="K570" s="590">
        <f>MARKS!DY35</f>
        <v>0</v>
      </c>
      <c r="L570" s="590">
        <f>MARKS!DZ35</f>
        <v>0</v>
      </c>
      <c r="M570" s="590">
        <f>MARKS!EA35</f>
        <v>0</v>
      </c>
      <c r="N570" s="590">
        <f>MARKS!EB35</f>
        <v>0</v>
      </c>
      <c r="O570" s="590" t="str">
        <f>MARKS!EC35</f>
        <v>E</v>
      </c>
      <c r="Q570" s="591"/>
      <c r="R570" s="591"/>
      <c r="S570" s="591" t="s">
        <v>102</v>
      </c>
      <c r="T570" s="591">
        <f>SUM(T562:T569)</f>
        <v>0</v>
      </c>
      <c r="U570" s="591">
        <f t="shared" ref="U570:V570" si="512">SUM(U562:U569)</f>
        <v>0</v>
      </c>
      <c r="V570" s="591">
        <f t="shared" si="512"/>
        <v>0</v>
      </c>
      <c r="W570" s="594"/>
      <c r="X570" s="591"/>
      <c r="Y570" s="591"/>
      <c r="Z570" s="591"/>
      <c r="AA570" s="591" t="s">
        <v>102</v>
      </c>
      <c r="AB570" s="591">
        <f>SUM(AB562:AB569)</f>
        <v>0</v>
      </c>
      <c r="AC570" s="591">
        <f t="shared" ref="AC570:AD570" si="513">SUM(AC562:AC569)</f>
        <v>0</v>
      </c>
      <c r="AD570" s="591">
        <f t="shared" si="513"/>
        <v>0</v>
      </c>
      <c r="AE570" s="594"/>
    </row>
    <row r="571" spans="1:31">
      <c r="A571" s="596">
        <v>33</v>
      </c>
      <c r="B571" s="596">
        <f t="shared" ref="B571:E571" si="514">B464</f>
        <v>15077</v>
      </c>
      <c r="C571" s="596">
        <f t="shared" si="514"/>
        <v>20250246710</v>
      </c>
      <c r="D571" s="597" t="str">
        <f t="shared" si="514"/>
        <v>HEMANT KUMAR</v>
      </c>
      <c r="E571" s="597" t="str">
        <f t="shared" si="514"/>
        <v>PRADEEP KUMAR</v>
      </c>
      <c r="F571" s="590" t="str">
        <f>VLOOKUP(A571,STUDENT!$A$2:$BR$105,68,0)</f>
        <v/>
      </c>
      <c r="G571" s="590" t="b">
        <f>VLOOKUP(A571,STUDENT!$A$2:$BR$105,67,0)</f>
        <v>0</v>
      </c>
      <c r="H571" s="590" t="str">
        <f>MARKS!DV36</f>
        <v>C</v>
      </c>
      <c r="I571" s="590">
        <f>MARKS!DW36</f>
        <v>0</v>
      </c>
      <c r="J571" s="590">
        <f>MARKS!DX36</f>
        <v>0</v>
      </c>
      <c r="K571" s="590">
        <f>MARKS!DY36</f>
        <v>0</v>
      </c>
      <c r="L571" s="590">
        <f>MARKS!DZ36</f>
        <v>0</v>
      </c>
      <c r="M571" s="590">
        <f>MARKS!EA36</f>
        <v>0</v>
      </c>
      <c r="N571" s="590">
        <f>MARKS!EB36</f>
        <v>0</v>
      </c>
      <c r="O571" s="590" t="str">
        <f>MARKS!EC36</f>
        <v>E</v>
      </c>
      <c r="Q571" s="591"/>
      <c r="R571" s="591"/>
      <c r="S571" s="591"/>
      <c r="T571" s="591"/>
      <c r="U571" s="591"/>
      <c r="V571" s="591"/>
      <c r="W571" s="594"/>
      <c r="X571" s="594"/>
      <c r="Y571" s="594"/>
      <c r="Z571" s="594"/>
      <c r="AA571" s="594"/>
      <c r="AB571" s="591"/>
      <c r="AC571" s="591"/>
      <c r="AD571" s="591"/>
      <c r="AE571" s="594"/>
    </row>
    <row r="572" spans="1:31">
      <c r="A572" s="590">
        <v>34</v>
      </c>
      <c r="B572" s="596">
        <f t="shared" ref="B572:E572" si="515">B465</f>
        <v>15088</v>
      </c>
      <c r="C572" s="596">
        <f t="shared" si="515"/>
        <v>20250257787</v>
      </c>
      <c r="D572" s="597" t="str">
        <f t="shared" si="515"/>
        <v>VEERPARTAP SINGH</v>
      </c>
      <c r="E572" s="597" t="str">
        <f t="shared" si="515"/>
        <v>VIJAY SINGH</v>
      </c>
      <c r="F572" s="590" t="str">
        <f>VLOOKUP(A572,STUDENT!$A$2:$BR$105,68,0)</f>
        <v/>
      </c>
      <c r="G572" s="590" t="b">
        <f>VLOOKUP(A572,STUDENT!$A$2:$BR$105,67,0)</f>
        <v>0</v>
      </c>
      <c r="H572" s="590" t="str">
        <f>MARKS!DV37</f>
        <v>C</v>
      </c>
      <c r="I572" s="590">
        <f>MARKS!DW37</f>
        <v>0</v>
      </c>
      <c r="J572" s="590">
        <f>MARKS!DX37</f>
        <v>0</v>
      </c>
      <c r="K572" s="590">
        <f>MARKS!DY37</f>
        <v>0</v>
      </c>
      <c r="L572" s="590">
        <f>MARKS!DZ37</f>
        <v>0</v>
      </c>
      <c r="M572" s="590">
        <f>MARKS!EA37</f>
        <v>0</v>
      </c>
      <c r="N572" s="590">
        <f>MARKS!EB37</f>
        <v>0</v>
      </c>
      <c r="O572" s="590" t="str">
        <f>MARKS!EC37</f>
        <v>E</v>
      </c>
      <c r="Q572" s="591"/>
      <c r="R572" s="591"/>
      <c r="S572" s="591"/>
      <c r="T572" s="591"/>
      <c r="U572" s="591"/>
      <c r="V572" s="591"/>
      <c r="W572" s="594"/>
      <c r="X572" s="594"/>
      <c r="Y572" s="594"/>
      <c r="Z572" s="594"/>
      <c r="AA572" s="594"/>
      <c r="AB572" s="591"/>
      <c r="AC572" s="591"/>
      <c r="AD572" s="591"/>
      <c r="AE572" s="594"/>
    </row>
    <row r="573" spans="1:31">
      <c r="A573" s="596">
        <v>35</v>
      </c>
      <c r="B573" s="596">
        <f t="shared" ref="B573:E573" si="516">B466</f>
        <v>15104</v>
      </c>
      <c r="C573" s="596">
        <f t="shared" si="516"/>
        <v>20250272033</v>
      </c>
      <c r="D573" s="597" t="str">
        <f t="shared" si="516"/>
        <v>NIKHIL KUMAR</v>
      </c>
      <c r="E573" s="597" t="str">
        <f t="shared" si="516"/>
        <v>SUNIL KUMAR</v>
      </c>
      <c r="F573" s="590" t="str">
        <f>VLOOKUP(A573,STUDENT!$A$2:$BR$105,68,0)</f>
        <v/>
      </c>
      <c r="G573" s="590" t="b">
        <f>VLOOKUP(A573,STUDENT!$A$2:$BR$105,67,0)</f>
        <v>0</v>
      </c>
      <c r="H573" s="590" t="str">
        <f>MARKS!DV38</f>
        <v>E</v>
      </c>
      <c r="I573" s="590">
        <f>MARKS!DW38</f>
        <v>0</v>
      </c>
      <c r="J573" s="590">
        <f>MARKS!DX38</f>
        <v>0</v>
      </c>
      <c r="K573" s="590">
        <f>MARKS!DY38</f>
        <v>0</v>
      </c>
      <c r="L573" s="590">
        <f>MARKS!DZ38</f>
        <v>0</v>
      </c>
      <c r="M573" s="590">
        <f>MARKS!EA38</f>
        <v>0</v>
      </c>
      <c r="N573" s="590">
        <f>MARKS!EB38</f>
        <v>0</v>
      </c>
      <c r="O573" s="590" t="str">
        <f>MARKS!EC38</f>
        <v>E</v>
      </c>
      <c r="Q573" s="591" t="s">
        <v>475</v>
      </c>
      <c r="R573" s="591" t="s">
        <v>476</v>
      </c>
      <c r="S573" s="592" t="s">
        <v>477</v>
      </c>
      <c r="T573" s="593" t="s">
        <v>88</v>
      </c>
      <c r="U573" s="592" t="s">
        <v>479</v>
      </c>
      <c r="V573" s="592" t="s">
        <v>480</v>
      </c>
      <c r="W573" s="594"/>
      <c r="X573" s="591" t="s">
        <v>475</v>
      </c>
      <c r="Y573" s="591" t="s">
        <v>476</v>
      </c>
      <c r="Z573" s="591" t="s">
        <v>474</v>
      </c>
      <c r="AA573" s="592" t="s">
        <v>477</v>
      </c>
      <c r="AB573" s="593" t="s">
        <v>492</v>
      </c>
      <c r="AC573" s="592" t="s">
        <v>479</v>
      </c>
      <c r="AD573" s="592" t="s">
        <v>480</v>
      </c>
      <c r="AE573" s="594"/>
    </row>
    <row r="574" spans="1:31">
      <c r="A574" s="590">
        <v>36</v>
      </c>
      <c r="B574" s="596">
        <f t="shared" ref="B574:E574" si="517">B467</f>
        <v>15143</v>
      </c>
      <c r="C574" s="596">
        <f t="shared" si="517"/>
        <v>20250310265</v>
      </c>
      <c r="D574" s="597" t="str">
        <f t="shared" si="517"/>
        <v>JITENDRA</v>
      </c>
      <c r="E574" s="597" t="str">
        <f t="shared" si="517"/>
        <v>RAM SUMAR</v>
      </c>
      <c r="F574" s="590" t="str">
        <f>VLOOKUP(A574,STUDENT!$A$2:$BR$105,68,0)</f>
        <v/>
      </c>
      <c r="G574" s="590" t="b">
        <f>VLOOKUP(A574,STUDENT!$A$2:$BR$105,67,0)</f>
        <v>0</v>
      </c>
      <c r="H574" s="590" t="str">
        <f>MARKS!DV39</f>
        <v>C</v>
      </c>
      <c r="I574" s="590">
        <f>MARKS!DW39</f>
        <v>0</v>
      </c>
      <c r="J574" s="590">
        <f>MARKS!DX39</f>
        <v>0</v>
      </c>
      <c r="K574" s="590">
        <f>MARKS!DY39</f>
        <v>0</v>
      </c>
      <c r="L574" s="590">
        <f>MARKS!DZ39</f>
        <v>0</v>
      </c>
      <c r="M574" s="590">
        <f>MARKS!EA39</f>
        <v>0</v>
      </c>
      <c r="N574" s="590">
        <f>MARKS!EB39</f>
        <v>0</v>
      </c>
      <c r="O574" s="590" t="str">
        <f>MARKS!EC39</f>
        <v>E</v>
      </c>
      <c r="Q574" s="591" t="s">
        <v>482</v>
      </c>
      <c r="R574" s="591" t="s">
        <v>483</v>
      </c>
      <c r="S574" s="591" t="s">
        <v>50</v>
      </c>
      <c r="T574" s="591">
        <f>COUNTIFS(J539:J638,S574)</f>
        <v>0</v>
      </c>
      <c r="U574" s="591">
        <f>COUNTIFS(F539:F638,Q563,J539:J638,S574)</f>
        <v>0</v>
      </c>
      <c r="V574" s="591">
        <f>COUNTIFS(F539:F638,R563,J539:J638,S574)</f>
        <v>0</v>
      </c>
      <c r="W574" s="594"/>
      <c r="X574" s="591" t="s">
        <v>482</v>
      </c>
      <c r="Y574" s="591" t="s">
        <v>483</v>
      </c>
      <c r="Z574" s="591" t="s">
        <v>492</v>
      </c>
      <c r="AA574" s="591" t="s">
        <v>50</v>
      </c>
      <c r="AB574" s="591">
        <f>COUNTIFS(G539:G638,Z574,O539:O638,S574)</f>
        <v>0</v>
      </c>
      <c r="AC574" s="591">
        <f>COUNTIFS(F539:F638,X574,G539:G638,Z574,O539:O638,S574)</f>
        <v>0</v>
      </c>
      <c r="AD574" s="591">
        <f>COUNTIFS(F539:F638,Y574,G539:G638,Z574,O539:O638,S574)</f>
        <v>0</v>
      </c>
      <c r="AE574" s="594"/>
    </row>
    <row r="575" spans="1:31">
      <c r="A575" s="596">
        <v>37</v>
      </c>
      <c r="B575" s="596">
        <f t="shared" ref="B575:E575" si="518">B468</f>
        <v>15144</v>
      </c>
      <c r="C575" s="596">
        <f t="shared" si="518"/>
        <v>20250310269</v>
      </c>
      <c r="D575" s="597" t="str">
        <f t="shared" si="518"/>
        <v>MOHD AYAN</v>
      </c>
      <c r="E575" s="597" t="str">
        <f t="shared" si="518"/>
        <v>BUDHAN MIYAN</v>
      </c>
      <c r="F575" s="590" t="str">
        <f>VLOOKUP(A575,STUDENT!$A$2:$BR$105,68,0)</f>
        <v/>
      </c>
      <c r="G575" s="590" t="b">
        <f>VLOOKUP(A575,STUDENT!$A$2:$BR$105,67,0)</f>
        <v>0</v>
      </c>
      <c r="H575" s="590" t="str">
        <f>MARKS!DV40</f>
        <v>D</v>
      </c>
      <c r="I575" s="590">
        <f>MARKS!DW40</f>
        <v>0</v>
      </c>
      <c r="J575" s="590">
        <f>MARKS!DX40</f>
        <v>0</v>
      </c>
      <c r="K575" s="590">
        <f>MARKS!DY40</f>
        <v>0</v>
      </c>
      <c r="L575" s="590">
        <f>MARKS!DZ40</f>
        <v>0</v>
      </c>
      <c r="M575" s="590">
        <f>MARKS!EA40</f>
        <v>0</v>
      </c>
      <c r="N575" s="590">
        <f>MARKS!EB40</f>
        <v>0</v>
      </c>
      <c r="O575" s="590" t="str">
        <f>MARKS!EC40</f>
        <v>E</v>
      </c>
      <c r="Q575" s="591" t="s">
        <v>482</v>
      </c>
      <c r="R575" s="591" t="s">
        <v>483</v>
      </c>
      <c r="S575" s="591" t="s">
        <v>485</v>
      </c>
      <c r="T575" s="591">
        <f>COUNTIFS(J539:J638,S575)</f>
        <v>0</v>
      </c>
      <c r="U575" s="591">
        <f>COUNTIFS(F539:F638,Q564,J539:J638,S575)</f>
        <v>0</v>
      </c>
      <c r="V575" s="591">
        <f>COUNTIFS(F539:F638,R564,J539:J638,S575)</f>
        <v>0</v>
      </c>
      <c r="W575" s="594"/>
      <c r="X575" s="591" t="s">
        <v>482</v>
      </c>
      <c r="Y575" s="591" t="s">
        <v>483</v>
      </c>
      <c r="Z575" s="591" t="s">
        <v>492</v>
      </c>
      <c r="AA575" s="591" t="s">
        <v>485</v>
      </c>
      <c r="AB575" s="591">
        <f>COUNTIFS(G539:G638,Z575,O539:O638,S575)</f>
        <v>0</v>
      </c>
      <c r="AC575" s="591">
        <f>COUNTIFS(F539:F638,X575,G539:G638,Z575,O539:O638,S575)</f>
        <v>0</v>
      </c>
      <c r="AD575" s="591">
        <f>COUNTIFS(F539:F638,Y575,G539:G638,Z575,O539:O638,S575)</f>
        <v>0</v>
      </c>
      <c r="AE575" s="594"/>
    </row>
    <row r="576" spans="1:31">
      <c r="A576" s="590">
        <v>38</v>
      </c>
      <c r="B576" s="596">
        <f t="shared" ref="B576:E576" si="519">B469</f>
        <v>15145</v>
      </c>
      <c r="C576" s="596">
        <f t="shared" si="519"/>
        <v>20250310277</v>
      </c>
      <c r="D576" s="597" t="str">
        <f t="shared" si="519"/>
        <v>RAJA KUMAR</v>
      </c>
      <c r="E576" s="597" t="str">
        <f t="shared" si="519"/>
        <v>AMAR PODDAR</v>
      </c>
      <c r="F576" s="590" t="str">
        <f>VLOOKUP(A576,STUDENT!$A$2:$BR$105,68,0)</f>
        <v/>
      </c>
      <c r="G576" s="590" t="b">
        <f>VLOOKUP(A576,STUDENT!$A$2:$BR$105,67,0)</f>
        <v>0</v>
      </c>
      <c r="H576" s="590" t="str">
        <f>MARKS!DV41</f>
        <v>E</v>
      </c>
      <c r="I576" s="590">
        <f>MARKS!DW41</f>
        <v>0</v>
      </c>
      <c r="J576" s="590">
        <f>MARKS!DX41</f>
        <v>0</v>
      </c>
      <c r="K576" s="590">
        <f>MARKS!DY41</f>
        <v>0</v>
      </c>
      <c r="L576" s="590">
        <f>MARKS!DZ41</f>
        <v>0</v>
      </c>
      <c r="M576" s="590">
        <f>MARKS!EA41</f>
        <v>0</v>
      </c>
      <c r="N576" s="590">
        <f>MARKS!EB41</f>
        <v>0</v>
      </c>
      <c r="O576" s="590" t="str">
        <f>MARKS!EC41</f>
        <v>E</v>
      </c>
      <c r="Q576" s="591" t="s">
        <v>482</v>
      </c>
      <c r="R576" s="591" t="s">
        <v>483</v>
      </c>
      <c r="S576" s="591" t="s">
        <v>486</v>
      </c>
      <c r="T576" s="591">
        <f>COUNTIFS(J539:J638,S576)</f>
        <v>0</v>
      </c>
      <c r="U576" s="591">
        <f>COUNTIFS(F539:F638,Q565,J539:J638,S576)</f>
        <v>0</v>
      </c>
      <c r="V576" s="591">
        <f>COUNTIFS(F539:F638,R565,J539:J638,S576)</f>
        <v>0</v>
      </c>
      <c r="W576" s="594"/>
      <c r="X576" s="591" t="s">
        <v>482</v>
      </c>
      <c r="Y576" s="591" t="s">
        <v>483</v>
      </c>
      <c r="Z576" s="591" t="s">
        <v>492</v>
      </c>
      <c r="AA576" s="591" t="s">
        <v>486</v>
      </c>
      <c r="AB576" s="591">
        <f>COUNTIFS(G539:G638,Z576,O539:O638,S576)</f>
        <v>0</v>
      </c>
      <c r="AC576" s="591">
        <f>COUNTIFS(F539:F638,X576,G539:G638,Z576,O539:O638,S576)</f>
        <v>0</v>
      </c>
      <c r="AD576" s="591">
        <f>COUNTIFS(F539:F638,Y576,G539:G638,Z576,O539:O638,S576)</f>
        <v>0</v>
      </c>
      <c r="AE576" s="594"/>
    </row>
    <row r="577" spans="1:31">
      <c r="A577" s="596">
        <v>39</v>
      </c>
      <c r="B577" s="596">
        <f t="shared" ref="B577:E577" si="520">B470</f>
        <v>15149</v>
      </c>
      <c r="C577" s="596">
        <f t="shared" si="520"/>
        <v>20250325088</v>
      </c>
      <c r="D577" s="597" t="str">
        <f t="shared" si="520"/>
        <v>LOVECESH KUMAR</v>
      </c>
      <c r="E577" s="597" t="str">
        <f t="shared" si="520"/>
        <v>SANDEEP KUMAR</v>
      </c>
      <c r="F577" s="590" t="str">
        <f>VLOOKUP(A577,STUDENT!$A$2:$BR$105,68,0)</f>
        <v/>
      </c>
      <c r="G577" s="590" t="b">
        <f>VLOOKUP(A577,STUDENT!$A$2:$BR$105,67,0)</f>
        <v>0</v>
      </c>
      <c r="H577" s="590" t="str">
        <f>MARKS!DV42</f>
        <v>D</v>
      </c>
      <c r="I577" s="590">
        <f>MARKS!DW42</f>
        <v>0</v>
      </c>
      <c r="J577" s="590">
        <f>MARKS!DX42</f>
        <v>0</v>
      </c>
      <c r="K577" s="590">
        <f>MARKS!DY42</f>
        <v>0</v>
      </c>
      <c r="L577" s="590">
        <f>MARKS!DZ42</f>
        <v>0</v>
      </c>
      <c r="M577" s="590">
        <f>MARKS!EA42</f>
        <v>0</v>
      </c>
      <c r="N577" s="590">
        <f>MARKS!EB42</f>
        <v>0</v>
      </c>
      <c r="O577" s="590" t="str">
        <f>MARKS!EC42</f>
        <v>E</v>
      </c>
      <c r="Q577" s="591" t="s">
        <v>482</v>
      </c>
      <c r="R577" s="591" t="s">
        <v>483</v>
      </c>
      <c r="S577" s="591" t="s">
        <v>487</v>
      </c>
      <c r="T577" s="591">
        <f>COUNTIFS(J539:J638,S577)</f>
        <v>0</v>
      </c>
      <c r="U577" s="591">
        <f>COUNTIFS(F539:F638,Q566,J539:J638,S577)</f>
        <v>0</v>
      </c>
      <c r="V577" s="591">
        <f>COUNTIFS(F539:F638,R566,J539:J638,S577)</f>
        <v>0</v>
      </c>
      <c r="W577" s="594"/>
      <c r="X577" s="591" t="s">
        <v>482</v>
      </c>
      <c r="Y577" s="591" t="s">
        <v>483</v>
      </c>
      <c r="Z577" s="591" t="s">
        <v>492</v>
      </c>
      <c r="AA577" s="591" t="s">
        <v>487</v>
      </c>
      <c r="AB577" s="591">
        <f>COUNTIFS(G539:G638,Z577,O539:O638,S577)</f>
        <v>0</v>
      </c>
      <c r="AC577" s="591">
        <f>COUNTIFS(F539:F638,X577,G539:G638,Z577,O539:O638,S577)</f>
        <v>0</v>
      </c>
      <c r="AD577" s="591">
        <f>COUNTIFS(F539:F638,Y577,G539:G638,Z577,O539:O638,S577)</f>
        <v>0</v>
      </c>
      <c r="AE577" s="594"/>
    </row>
    <row r="578" spans="1:31">
      <c r="A578" s="590">
        <v>40</v>
      </c>
      <c r="B578" s="596">
        <f t="shared" ref="B578:E578" si="521">B471</f>
        <v>0</v>
      </c>
      <c r="C578" s="596">
        <f t="shared" si="521"/>
        <v>0</v>
      </c>
      <c r="D578" s="597">
        <f t="shared" si="521"/>
        <v>0</v>
      </c>
      <c r="E578" s="597">
        <f t="shared" si="521"/>
        <v>0</v>
      </c>
      <c r="F578" s="590" t="str">
        <f>VLOOKUP(A578,STUDENT!$A$2:$BR$105,68,0)</f>
        <v/>
      </c>
      <c r="G578" s="590" t="b">
        <f>VLOOKUP(A578,STUDENT!$A$2:$BR$105,67,0)</f>
        <v>0</v>
      </c>
      <c r="H578" s="590" t="str">
        <f>MARKS!DV43</f>
        <v/>
      </c>
      <c r="I578" s="590" t="str">
        <f>MARKS!DW43</f>
        <v/>
      </c>
      <c r="J578" s="590" t="str">
        <f>MARKS!DX43</f>
        <v/>
      </c>
      <c r="K578" s="590" t="str">
        <f>MARKS!DY43</f>
        <v/>
      </c>
      <c r="L578" s="590" t="str">
        <f>MARKS!DZ43</f>
        <v/>
      </c>
      <c r="M578" s="590" t="str">
        <f>MARKS!EA43</f>
        <v/>
      </c>
      <c r="N578" s="590" t="str">
        <f>MARKS!EB43</f>
        <v/>
      </c>
      <c r="O578" s="590" t="str">
        <f>MARKS!EC43</f>
        <v/>
      </c>
      <c r="Q578" s="591" t="s">
        <v>482</v>
      </c>
      <c r="R578" s="591" t="s">
        <v>483</v>
      </c>
      <c r="S578" s="591" t="s">
        <v>488</v>
      </c>
      <c r="T578" s="591">
        <f>COUNTIFS(J539:J638,S578)</f>
        <v>0</v>
      </c>
      <c r="U578" s="591">
        <f>COUNTIFS(F539:F638,Q567,J539:J638,S578)</f>
        <v>0</v>
      </c>
      <c r="V578" s="591">
        <f>COUNTIFS(F539:F638,R567,J539:J638,S578)</f>
        <v>0</v>
      </c>
      <c r="W578" s="594"/>
      <c r="X578" s="591" t="s">
        <v>482</v>
      </c>
      <c r="Y578" s="591" t="s">
        <v>483</v>
      </c>
      <c r="Z578" s="591" t="s">
        <v>492</v>
      </c>
      <c r="AA578" s="591" t="s">
        <v>488</v>
      </c>
      <c r="AB578" s="591">
        <f>COUNTIFS(G539:G638,Z578,O539:O638,S578)</f>
        <v>0</v>
      </c>
      <c r="AC578" s="591">
        <f>COUNTIFS(F539:F638,X578,G539:G638,Z578,O539:O638,S578)</f>
        <v>0</v>
      </c>
      <c r="AD578" s="591">
        <f>COUNTIFS(F539:F638,Y578,G539:G638,Z578,O539:O638,S578)</f>
        <v>0</v>
      </c>
      <c r="AE578" s="594"/>
    </row>
    <row r="579" spans="1:31">
      <c r="A579" s="596">
        <v>41</v>
      </c>
      <c r="B579" s="596">
        <f t="shared" ref="B579:E579" si="522">B472</f>
        <v>0</v>
      </c>
      <c r="C579" s="596">
        <f t="shared" si="522"/>
        <v>0</v>
      </c>
      <c r="D579" s="597">
        <f t="shared" si="522"/>
        <v>0</v>
      </c>
      <c r="E579" s="597">
        <f t="shared" si="522"/>
        <v>0</v>
      </c>
      <c r="F579" s="590" t="str">
        <f>VLOOKUP(A579,STUDENT!$A$2:$BR$105,68,0)</f>
        <v/>
      </c>
      <c r="G579" s="590" t="b">
        <f>VLOOKUP(A579,STUDENT!$A$2:$BR$105,67,0)</f>
        <v>0</v>
      </c>
      <c r="H579" s="590" t="str">
        <f>MARKS!DV44</f>
        <v/>
      </c>
      <c r="I579" s="590" t="str">
        <f>MARKS!DW44</f>
        <v/>
      </c>
      <c r="J579" s="590" t="str">
        <f>MARKS!DX44</f>
        <v/>
      </c>
      <c r="K579" s="590" t="str">
        <f>MARKS!DY44</f>
        <v/>
      </c>
      <c r="L579" s="590" t="str">
        <f>MARKS!DZ44</f>
        <v/>
      </c>
      <c r="M579" s="590" t="str">
        <f>MARKS!EA44</f>
        <v/>
      </c>
      <c r="N579" s="590" t="str">
        <f>MARKS!EB44</f>
        <v/>
      </c>
      <c r="O579" s="590" t="str">
        <f>MARKS!EC44</f>
        <v/>
      </c>
      <c r="Q579" s="591" t="s">
        <v>482</v>
      </c>
      <c r="R579" s="591" t="s">
        <v>483</v>
      </c>
      <c r="S579" s="591" t="s">
        <v>101</v>
      </c>
      <c r="T579" s="591">
        <f>COUNTIFS(J539:J638,S579)</f>
        <v>0</v>
      </c>
      <c r="U579" s="591">
        <f>COUNTIFS(F539:F638,Q568,J539:J638,S579)</f>
        <v>0</v>
      </c>
      <c r="V579" s="591">
        <f>COUNTIFS(F539:F638,R568,J539:J638,S579)</f>
        <v>0</v>
      </c>
      <c r="W579" s="594"/>
      <c r="X579" s="591" t="s">
        <v>482</v>
      </c>
      <c r="Y579" s="591" t="s">
        <v>483</v>
      </c>
      <c r="Z579" s="591" t="s">
        <v>492</v>
      </c>
      <c r="AA579" s="591" t="s">
        <v>101</v>
      </c>
      <c r="AB579" s="591">
        <f>COUNTIFS(G539:G638,Z579,O539:O638,S579)</f>
        <v>0</v>
      </c>
      <c r="AC579" s="591">
        <f>COUNTIFS(F539:F638,X579,G539:G638,Z579,O539:O638,S579)</f>
        <v>0</v>
      </c>
      <c r="AD579" s="591">
        <f>COUNTIFS(F539:F638,Y579,G539:G638,Z579,O539:O638,S579)</f>
        <v>0</v>
      </c>
      <c r="AE579" s="594"/>
    </row>
    <row r="580" spans="1:31">
      <c r="A580" s="590">
        <v>42</v>
      </c>
      <c r="B580" s="596">
        <f t="shared" ref="B580:E580" si="523">B473</f>
        <v>0</v>
      </c>
      <c r="C580" s="596">
        <f t="shared" si="523"/>
        <v>0</v>
      </c>
      <c r="D580" s="597">
        <f t="shared" si="523"/>
        <v>0</v>
      </c>
      <c r="E580" s="597">
        <f t="shared" si="523"/>
        <v>0</v>
      </c>
      <c r="F580" s="590" t="str">
        <f>VLOOKUP(A580,STUDENT!$A$2:$BR$105,68,0)</f>
        <v/>
      </c>
      <c r="G580" s="590" t="b">
        <f>VLOOKUP(A580,STUDENT!$A$2:$BR$105,67,0)</f>
        <v>0</v>
      </c>
      <c r="H580" s="590" t="str">
        <f>MARKS!DV45</f>
        <v/>
      </c>
      <c r="I580" s="590" t="str">
        <f>MARKS!DW45</f>
        <v/>
      </c>
      <c r="J580" s="590" t="str">
        <f>MARKS!DX45</f>
        <v/>
      </c>
      <c r="K580" s="590" t="str">
        <f>MARKS!DY45</f>
        <v/>
      </c>
      <c r="L580" s="590" t="str">
        <f>MARKS!DZ45</f>
        <v/>
      </c>
      <c r="M580" s="590" t="str">
        <f>MARKS!EA45</f>
        <v/>
      </c>
      <c r="N580" s="590" t="str">
        <f>MARKS!EB45</f>
        <v/>
      </c>
      <c r="O580" s="590" t="str">
        <f>MARKS!EC45</f>
        <v/>
      </c>
      <c r="Q580" s="591" t="s">
        <v>482</v>
      </c>
      <c r="R580" s="591" t="s">
        <v>483</v>
      </c>
      <c r="S580" s="591" t="s">
        <v>489</v>
      </c>
      <c r="T580" s="591">
        <f>COUNTIFS(J539:J638,S580)</f>
        <v>0</v>
      </c>
      <c r="U580" s="591">
        <f>COUNTIFS(F539:F638,Q569,J539:J638,S580)</f>
        <v>0</v>
      </c>
      <c r="V580" s="591">
        <f>COUNTIFS(F539:F638,R569,J539:J638,S580)</f>
        <v>0</v>
      </c>
      <c r="W580" s="594"/>
      <c r="X580" s="591" t="s">
        <v>482</v>
      </c>
      <c r="Y580" s="591" t="s">
        <v>483</v>
      </c>
      <c r="Z580" s="591" t="s">
        <v>492</v>
      </c>
      <c r="AA580" s="591" t="s">
        <v>489</v>
      </c>
      <c r="AB580" s="591">
        <f>COUNTIFS(G539:G638,Z580,O539:O638,S580)</f>
        <v>0</v>
      </c>
      <c r="AC580" s="591">
        <f>COUNTIFS(F539:F638,X580,G539:G638,Z580,O539:O638,S580)</f>
        <v>0</v>
      </c>
      <c r="AD580" s="591">
        <f>COUNTIFS(F539:F638,Y580,G539:G638,Z580,O539:O638,S580)</f>
        <v>0</v>
      </c>
      <c r="AE580" s="594"/>
    </row>
    <row r="581" spans="1:31">
      <c r="A581" s="596">
        <v>43</v>
      </c>
      <c r="B581" s="596">
        <f t="shared" ref="B581:E581" si="524">B474</f>
        <v>0</v>
      </c>
      <c r="C581" s="596">
        <f t="shared" si="524"/>
        <v>0</v>
      </c>
      <c r="D581" s="597">
        <f t="shared" si="524"/>
        <v>0</v>
      </c>
      <c r="E581" s="597">
        <f t="shared" si="524"/>
        <v>0</v>
      </c>
      <c r="F581" s="590" t="str">
        <f>VLOOKUP(A581,STUDENT!$A$2:$BR$105,68,0)</f>
        <v/>
      </c>
      <c r="G581" s="590" t="b">
        <f>VLOOKUP(A581,STUDENT!$A$2:$BR$105,67,0)</f>
        <v>0</v>
      </c>
      <c r="H581" s="590" t="str">
        <f>MARKS!DV46</f>
        <v/>
      </c>
      <c r="I581" s="590" t="str">
        <f>MARKS!DW46</f>
        <v/>
      </c>
      <c r="J581" s="590" t="str">
        <f>MARKS!DX46</f>
        <v/>
      </c>
      <c r="K581" s="590" t="str">
        <f>MARKS!DY46</f>
        <v/>
      </c>
      <c r="L581" s="590" t="str">
        <f>MARKS!DZ46</f>
        <v/>
      </c>
      <c r="M581" s="590" t="str">
        <f>MARKS!EA46</f>
        <v/>
      </c>
      <c r="N581" s="590" t="str">
        <f>MARKS!EB46</f>
        <v/>
      </c>
      <c r="O581" s="590" t="str">
        <f>MARKS!EC46</f>
        <v/>
      </c>
      <c r="Q581" s="591" t="s">
        <v>482</v>
      </c>
      <c r="R581" s="591" t="s">
        <v>483</v>
      </c>
      <c r="S581" s="591"/>
      <c r="T581" s="591"/>
      <c r="U581" s="591"/>
      <c r="V581" s="591"/>
      <c r="W581" s="594"/>
      <c r="X581" s="591" t="s">
        <v>482</v>
      </c>
      <c r="Y581" s="591" t="s">
        <v>483</v>
      </c>
      <c r="Z581" s="591" t="s">
        <v>492</v>
      </c>
      <c r="AA581" s="591"/>
      <c r="AB581" s="591"/>
      <c r="AC581" s="591"/>
      <c r="AD581" s="591"/>
      <c r="AE581" s="594"/>
    </row>
    <row r="582" spans="1:31">
      <c r="A582" s="590">
        <v>44</v>
      </c>
      <c r="B582" s="596">
        <f t="shared" ref="B582:E582" si="525">B475</f>
        <v>0</v>
      </c>
      <c r="C582" s="596">
        <f t="shared" si="525"/>
        <v>0</v>
      </c>
      <c r="D582" s="597">
        <f t="shared" si="525"/>
        <v>0</v>
      </c>
      <c r="E582" s="597">
        <f t="shared" si="525"/>
        <v>0</v>
      </c>
      <c r="F582" s="590" t="str">
        <f>VLOOKUP(A582,STUDENT!$A$2:$BR$105,68,0)</f>
        <v/>
      </c>
      <c r="G582" s="590" t="b">
        <f>VLOOKUP(A582,STUDENT!$A$2:$BR$105,67,0)</f>
        <v>0</v>
      </c>
      <c r="H582" s="590" t="str">
        <f>MARKS!DV47</f>
        <v/>
      </c>
      <c r="I582" s="590" t="str">
        <f>MARKS!DW47</f>
        <v/>
      </c>
      <c r="J582" s="590" t="str">
        <f>MARKS!DX47</f>
        <v/>
      </c>
      <c r="K582" s="590" t="str">
        <f>MARKS!DY47</f>
        <v/>
      </c>
      <c r="L582" s="590" t="str">
        <f>MARKS!DZ47</f>
        <v/>
      </c>
      <c r="M582" s="590" t="str">
        <f>MARKS!EA47</f>
        <v/>
      </c>
      <c r="N582" s="590" t="str">
        <f>MARKS!EB47</f>
        <v/>
      </c>
      <c r="O582" s="590" t="str">
        <f>MARKS!EC47</f>
        <v/>
      </c>
      <c r="Q582" s="591"/>
      <c r="R582" s="591"/>
      <c r="S582" s="591" t="s">
        <v>102</v>
      </c>
      <c r="T582" s="591">
        <f>SUM(T574:T581)</f>
        <v>0</v>
      </c>
      <c r="U582" s="591">
        <f t="shared" ref="U582:V582" si="526">SUM(U574:U581)</f>
        <v>0</v>
      </c>
      <c r="V582" s="591">
        <f t="shared" si="526"/>
        <v>0</v>
      </c>
      <c r="W582" s="594"/>
      <c r="X582" s="591"/>
      <c r="Y582" s="591"/>
      <c r="Z582" s="591"/>
      <c r="AA582" s="591" t="s">
        <v>102</v>
      </c>
      <c r="AB582" s="591">
        <f>SUM(AB574:AB581)</f>
        <v>0</v>
      </c>
      <c r="AC582" s="591">
        <f t="shared" ref="AC582:AD582" si="527">SUM(AC574:AC581)</f>
        <v>0</v>
      </c>
      <c r="AD582" s="591">
        <f t="shared" si="527"/>
        <v>0</v>
      </c>
      <c r="AE582" s="594"/>
    </row>
    <row r="583" spans="1:31">
      <c r="A583" s="596">
        <v>45</v>
      </c>
      <c r="B583" s="596">
        <f t="shared" ref="B583:E583" si="528">B476</f>
        <v>0</v>
      </c>
      <c r="C583" s="596">
        <f t="shared" si="528"/>
        <v>0</v>
      </c>
      <c r="D583" s="597">
        <f t="shared" si="528"/>
        <v>0</v>
      </c>
      <c r="E583" s="597">
        <f t="shared" si="528"/>
        <v>0</v>
      </c>
      <c r="F583" s="590" t="str">
        <f>VLOOKUP(A583,STUDENT!$A$2:$BR$105,68,0)</f>
        <v/>
      </c>
      <c r="G583" s="590" t="b">
        <f>VLOOKUP(A583,STUDENT!$A$2:$BR$105,67,0)</f>
        <v>0</v>
      </c>
      <c r="H583" s="590" t="str">
        <f>MARKS!DV48</f>
        <v/>
      </c>
      <c r="I583" s="590" t="str">
        <f>MARKS!DW48</f>
        <v/>
      </c>
      <c r="J583" s="590" t="str">
        <f>MARKS!DX48</f>
        <v/>
      </c>
      <c r="K583" s="590" t="str">
        <f>MARKS!DY48</f>
        <v/>
      </c>
      <c r="L583" s="590" t="str">
        <f>MARKS!DZ48</f>
        <v/>
      </c>
      <c r="M583" s="590" t="str">
        <f>MARKS!EA48</f>
        <v/>
      </c>
      <c r="N583" s="590" t="str">
        <f>MARKS!EB48</f>
        <v/>
      </c>
      <c r="O583" s="590" t="str">
        <f>MARKS!EC48</f>
        <v/>
      </c>
      <c r="Q583" s="591"/>
      <c r="R583" s="591"/>
      <c r="S583" s="591"/>
      <c r="T583" s="591"/>
      <c r="U583" s="591"/>
      <c r="V583" s="591"/>
      <c r="W583" s="594"/>
      <c r="X583" s="594"/>
      <c r="Y583" s="594"/>
      <c r="Z583" s="594"/>
      <c r="AA583" s="594"/>
      <c r="AB583" s="591"/>
      <c r="AC583" s="591"/>
      <c r="AD583" s="591"/>
      <c r="AE583" s="594"/>
    </row>
    <row r="584" spans="1:31">
      <c r="A584" s="590">
        <v>46</v>
      </c>
      <c r="B584" s="596">
        <f t="shared" ref="B584:E584" si="529">B477</f>
        <v>0</v>
      </c>
      <c r="C584" s="596">
        <f t="shared" si="529"/>
        <v>0</v>
      </c>
      <c r="D584" s="597">
        <f t="shared" si="529"/>
        <v>0</v>
      </c>
      <c r="E584" s="597">
        <f t="shared" si="529"/>
        <v>0</v>
      </c>
      <c r="F584" s="590" t="str">
        <f>VLOOKUP(A584,STUDENT!$A$2:$BR$105,68,0)</f>
        <v/>
      </c>
      <c r="G584" s="590" t="b">
        <f>VLOOKUP(A584,STUDENT!$A$2:$BR$105,67,0)</f>
        <v>0</v>
      </c>
      <c r="H584" s="590" t="str">
        <f>MARKS!DV49</f>
        <v/>
      </c>
      <c r="I584" s="590" t="str">
        <f>MARKS!DW49</f>
        <v/>
      </c>
      <c r="J584" s="590" t="str">
        <f>MARKS!DX49</f>
        <v/>
      </c>
      <c r="K584" s="590" t="str">
        <f>MARKS!DY49</f>
        <v/>
      </c>
      <c r="L584" s="590" t="str">
        <f>MARKS!DZ49</f>
        <v/>
      </c>
      <c r="M584" s="590" t="str">
        <f>MARKS!EA49</f>
        <v/>
      </c>
      <c r="N584" s="590" t="str">
        <f>MARKS!EB49</f>
        <v/>
      </c>
      <c r="O584" s="590" t="str">
        <f>MARKS!EC49</f>
        <v/>
      </c>
      <c r="Q584" s="591"/>
      <c r="R584" s="591"/>
      <c r="S584" s="591"/>
      <c r="T584" s="591"/>
      <c r="U584" s="591"/>
      <c r="V584" s="591"/>
      <c r="W584" s="594"/>
      <c r="X584" s="594"/>
      <c r="Y584" s="594"/>
      <c r="Z584" s="594"/>
      <c r="AA584" s="594"/>
      <c r="AB584" s="591"/>
      <c r="AC584" s="591"/>
      <c r="AD584" s="591"/>
      <c r="AE584" s="594"/>
    </row>
    <row r="585" spans="1:31">
      <c r="A585" s="596">
        <v>47</v>
      </c>
      <c r="B585" s="596">
        <f t="shared" ref="B585:E585" si="530">B478</f>
        <v>0</v>
      </c>
      <c r="C585" s="596">
        <f t="shared" si="530"/>
        <v>0</v>
      </c>
      <c r="D585" s="597">
        <f t="shared" si="530"/>
        <v>0</v>
      </c>
      <c r="E585" s="597">
        <f t="shared" si="530"/>
        <v>0</v>
      </c>
      <c r="F585" s="590" t="str">
        <f>VLOOKUP(A585,STUDENT!$A$2:$BR$105,68,0)</f>
        <v/>
      </c>
      <c r="G585" s="590" t="b">
        <f>VLOOKUP(A585,STUDENT!$A$2:$BR$105,67,0)</f>
        <v>0</v>
      </c>
      <c r="H585" s="590" t="str">
        <f>MARKS!DV50</f>
        <v/>
      </c>
      <c r="I585" s="590" t="str">
        <f>MARKS!DW50</f>
        <v/>
      </c>
      <c r="J585" s="590" t="str">
        <f>MARKS!DX50</f>
        <v/>
      </c>
      <c r="K585" s="590" t="str">
        <f>MARKS!DY50</f>
        <v/>
      </c>
      <c r="L585" s="590" t="str">
        <f>MARKS!DZ50</f>
        <v/>
      </c>
      <c r="M585" s="590" t="str">
        <f>MARKS!EA50</f>
        <v/>
      </c>
      <c r="N585" s="590" t="str">
        <f>MARKS!EB50</f>
        <v/>
      </c>
      <c r="O585" s="590" t="str">
        <f>MARKS!EC50</f>
        <v/>
      </c>
      <c r="Q585" s="591"/>
      <c r="R585" s="591"/>
      <c r="S585" s="591"/>
      <c r="T585" s="591"/>
      <c r="U585" s="591"/>
      <c r="V585" s="591"/>
      <c r="W585" s="594"/>
      <c r="X585" s="594"/>
      <c r="Y585" s="594"/>
      <c r="Z585" s="594"/>
      <c r="AA585" s="594"/>
      <c r="AB585" s="591"/>
      <c r="AC585" s="591"/>
      <c r="AD585" s="591"/>
      <c r="AE585" s="594"/>
    </row>
    <row r="586" spans="1:31">
      <c r="A586" s="590">
        <v>48</v>
      </c>
      <c r="B586" s="596">
        <f t="shared" ref="B586:E586" si="531">B479</f>
        <v>0</v>
      </c>
      <c r="C586" s="596">
        <f t="shared" si="531"/>
        <v>0</v>
      </c>
      <c r="D586" s="597">
        <f t="shared" si="531"/>
        <v>0</v>
      </c>
      <c r="E586" s="597">
        <f t="shared" si="531"/>
        <v>0</v>
      </c>
      <c r="F586" s="590" t="str">
        <f>VLOOKUP(A586,STUDENT!$A$2:$BR$105,68,0)</f>
        <v/>
      </c>
      <c r="G586" s="590" t="b">
        <f>VLOOKUP(A586,STUDENT!$A$2:$BR$105,67,0)</f>
        <v>0</v>
      </c>
      <c r="H586" s="590" t="str">
        <f>MARKS!DV51</f>
        <v/>
      </c>
      <c r="I586" s="590" t="str">
        <f>MARKS!DW51</f>
        <v/>
      </c>
      <c r="J586" s="590" t="str">
        <f>MARKS!DX51</f>
        <v/>
      </c>
      <c r="K586" s="590" t="str">
        <f>MARKS!DY51</f>
        <v/>
      </c>
      <c r="L586" s="590" t="str">
        <f>MARKS!DZ51</f>
        <v/>
      </c>
      <c r="M586" s="590" t="str">
        <f>MARKS!EA51</f>
        <v/>
      </c>
      <c r="N586" s="590" t="str">
        <f>MARKS!EB51</f>
        <v/>
      </c>
      <c r="O586" s="590" t="str">
        <f>MARKS!EC51</f>
        <v/>
      </c>
      <c r="Q586" s="591" t="s">
        <v>475</v>
      </c>
      <c r="R586" s="591" t="s">
        <v>476</v>
      </c>
      <c r="S586" s="592" t="s">
        <v>477</v>
      </c>
      <c r="T586" s="593" t="s">
        <v>351</v>
      </c>
      <c r="U586" s="592" t="s">
        <v>479</v>
      </c>
      <c r="V586" s="592" t="s">
        <v>480</v>
      </c>
      <c r="W586" s="594"/>
      <c r="X586" s="591" t="s">
        <v>475</v>
      </c>
      <c r="Y586" s="591" t="s">
        <v>476</v>
      </c>
      <c r="Z586" s="591" t="s">
        <v>474</v>
      </c>
      <c r="AA586" s="592" t="s">
        <v>477</v>
      </c>
      <c r="AB586" s="593" t="s">
        <v>493</v>
      </c>
      <c r="AC586" s="592" t="s">
        <v>479</v>
      </c>
      <c r="AD586" s="592" t="s">
        <v>480</v>
      </c>
      <c r="AE586" s="594"/>
    </row>
    <row r="587" spans="1:31">
      <c r="A587" s="596">
        <v>49</v>
      </c>
      <c r="B587" s="596">
        <f t="shared" ref="B587:E587" si="532">B480</f>
        <v>0</v>
      </c>
      <c r="C587" s="596">
        <f t="shared" si="532"/>
        <v>0</v>
      </c>
      <c r="D587" s="597">
        <f t="shared" si="532"/>
        <v>0</v>
      </c>
      <c r="E587" s="597">
        <f t="shared" si="532"/>
        <v>0</v>
      </c>
      <c r="F587" s="590" t="str">
        <f>VLOOKUP(A587,STUDENT!$A$2:$BR$105,68,0)</f>
        <v/>
      </c>
      <c r="G587" s="590" t="b">
        <f>VLOOKUP(A587,STUDENT!$A$2:$BR$105,67,0)</f>
        <v>0</v>
      </c>
      <c r="H587" s="590" t="str">
        <f>MARKS!DV52</f>
        <v/>
      </c>
      <c r="I587" s="590" t="str">
        <f>MARKS!DW52</f>
        <v/>
      </c>
      <c r="J587" s="590" t="str">
        <f>MARKS!DX52</f>
        <v/>
      </c>
      <c r="K587" s="590" t="str">
        <f>MARKS!DY52</f>
        <v/>
      </c>
      <c r="L587" s="590" t="str">
        <f>MARKS!DZ52</f>
        <v/>
      </c>
      <c r="M587" s="590" t="str">
        <f>MARKS!EA52</f>
        <v/>
      </c>
      <c r="N587" s="590" t="str">
        <f>MARKS!EB52</f>
        <v/>
      </c>
      <c r="O587" s="590" t="str">
        <f>MARKS!EC52</f>
        <v/>
      </c>
      <c r="Q587" s="591" t="s">
        <v>482</v>
      </c>
      <c r="R587" s="591" t="s">
        <v>483</v>
      </c>
      <c r="S587" s="591" t="s">
        <v>50</v>
      </c>
      <c r="T587" s="591">
        <f>COUNTIFS(K539:K638,S587)</f>
        <v>0</v>
      </c>
      <c r="U587" s="591">
        <f>COUNTIFS(F539:F638,Q576,K539:K638,S587)</f>
        <v>0</v>
      </c>
      <c r="V587" s="591">
        <f>COUNTIFS(F539:F638,R576,K539:K638,S587)</f>
        <v>0</v>
      </c>
      <c r="W587" s="594"/>
      <c r="X587" s="591" t="s">
        <v>482</v>
      </c>
      <c r="Y587" s="591" t="s">
        <v>483</v>
      </c>
      <c r="Z587" s="591" t="s">
        <v>493</v>
      </c>
      <c r="AA587" s="591" t="s">
        <v>50</v>
      </c>
      <c r="AB587" s="591">
        <f>COUNTIFS(G539:G638,Z587,O539:O638,S587)</f>
        <v>0</v>
      </c>
      <c r="AC587" s="591">
        <f>COUNTIFS(F539:F638,X587,G539:G638,Z587,O539:O638,S587)</f>
        <v>0</v>
      </c>
      <c r="AD587" s="591">
        <f>COUNTIFS(F539:F638,Y587,G539:G638,Z587,O539:O638,S587)</f>
        <v>0</v>
      </c>
      <c r="AE587" s="594"/>
    </row>
    <row r="588" spans="1:31">
      <c r="A588" s="590">
        <v>50</v>
      </c>
      <c r="B588" s="596">
        <f t="shared" ref="B588:E588" si="533">B481</f>
        <v>0</v>
      </c>
      <c r="C588" s="596">
        <f t="shared" si="533"/>
        <v>0</v>
      </c>
      <c r="D588" s="597">
        <f t="shared" si="533"/>
        <v>0</v>
      </c>
      <c r="E588" s="597">
        <f t="shared" si="533"/>
        <v>0</v>
      </c>
      <c r="F588" s="590" t="str">
        <f>VLOOKUP(A588,STUDENT!$A$2:$BR$105,68,0)</f>
        <v/>
      </c>
      <c r="G588" s="590" t="b">
        <f>VLOOKUP(A588,STUDENT!$A$2:$BR$105,67,0)</f>
        <v>0</v>
      </c>
      <c r="H588" s="590" t="str">
        <f>MARKS!DV53</f>
        <v/>
      </c>
      <c r="I588" s="590" t="str">
        <f>MARKS!DW53</f>
        <v/>
      </c>
      <c r="J588" s="590" t="str">
        <f>MARKS!DX53</f>
        <v/>
      </c>
      <c r="K588" s="590" t="str">
        <f>MARKS!DY53</f>
        <v/>
      </c>
      <c r="L588" s="590" t="str">
        <f>MARKS!DZ53</f>
        <v/>
      </c>
      <c r="M588" s="590" t="str">
        <f>MARKS!EA53</f>
        <v/>
      </c>
      <c r="N588" s="590" t="str">
        <f>MARKS!EB53</f>
        <v/>
      </c>
      <c r="O588" s="590" t="str">
        <f>MARKS!EC53</f>
        <v/>
      </c>
      <c r="Q588" s="591" t="s">
        <v>482</v>
      </c>
      <c r="R588" s="591" t="s">
        <v>483</v>
      </c>
      <c r="S588" s="591" t="s">
        <v>485</v>
      </c>
      <c r="T588" s="591">
        <f>COUNTIFS(K539:K638,S588)</f>
        <v>0</v>
      </c>
      <c r="U588" s="591">
        <f>COUNTIFS(F539:F638,Q577,K539:K638,S588)</f>
        <v>0</v>
      </c>
      <c r="V588" s="591">
        <f>COUNTIFS(F539:F638,R577,K539:K638,S588)</f>
        <v>0</v>
      </c>
      <c r="W588" s="594"/>
      <c r="X588" s="591" t="s">
        <v>482</v>
      </c>
      <c r="Y588" s="591" t="s">
        <v>483</v>
      </c>
      <c r="Z588" s="591" t="s">
        <v>493</v>
      </c>
      <c r="AA588" s="591" t="s">
        <v>485</v>
      </c>
      <c r="AB588" s="591">
        <f>COUNTIFS(G539:G638,Z588,O539:O638,S588)</f>
        <v>0</v>
      </c>
      <c r="AC588" s="591">
        <f>COUNTIFS(F539:F638,X588,G539:G638,Z588,O539:O638,S588)</f>
        <v>0</v>
      </c>
      <c r="AD588" s="591">
        <f>COUNTIFS(F539:F638,Y588,G539:G638,Z588,O539:O638,S588)</f>
        <v>0</v>
      </c>
      <c r="AE588" s="594"/>
    </row>
    <row r="589" spans="1:31">
      <c r="A589" s="596">
        <v>51</v>
      </c>
      <c r="B589" s="596">
        <f t="shared" ref="B589:E589" si="534">B482</f>
        <v>0</v>
      </c>
      <c r="C589" s="596">
        <f t="shared" si="534"/>
        <v>0</v>
      </c>
      <c r="D589" s="597">
        <f t="shared" si="534"/>
        <v>0</v>
      </c>
      <c r="E589" s="597">
        <f t="shared" si="534"/>
        <v>0</v>
      </c>
      <c r="F589" s="590" t="str">
        <f>VLOOKUP(A589,STUDENT!$A$2:$BR$105,68,0)</f>
        <v/>
      </c>
      <c r="G589" s="590" t="b">
        <f>VLOOKUP(A589,STUDENT!$A$2:$BR$105,67,0)</f>
        <v>0</v>
      </c>
      <c r="H589" s="590" t="str">
        <f>MARKS!DV54</f>
        <v/>
      </c>
      <c r="I589" s="590" t="str">
        <f>MARKS!DW54</f>
        <v/>
      </c>
      <c r="J589" s="590" t="str">
        <f>MARKS!DX54</f>
        <v/>
      </c>
      <c r="K589" s="590" t="str">
        <f>MARKS!DY54</f>
        <v/>
      </c>
      <c r="L589" s="590" t="str">
        <f>MARKS!DZ54</f>
        <v/>
      </c>
      <c r="M589" s="590" t="str">
        <f>MARKS!EA54</f>
        <v/>
      </c>
      <c r="N589" s="590" t="str">
        <f>MARKS!EB54</f>
        <v/>
      </c>
      <c r="O589" s="590" t="str">
        <f>MARKS!EC54</f>
        <v/>
      </c>
      <c r="Q589" s="591" t="s">
        <v>482</v>
      </c>
      <c r="R589" s="591" t="s">
        <v>483</v>
      </c>
      <c r="S589" s="591" t="s">
        <v>486</v>
      </c>
      <c r="T589" s="591">
        <f>COUNTIFS(K539:K638,S589)</f>
        <v>0</v>
      </c>
      <c r="U589" s="591">
        <f>COUNTIFS(F539:F638,Q578,K539:K638,S589)</f>
        <v>0</v>
      </c>
      <c r="V589" s="591">
        <f>COUNTIFS(F539:F638,R578,K539:K638,S589)</f>
        <v>0</v>
      </c>
      <c r="W589" s="594"/>
      <c r="X589" s="591" t="s">
        <v>482</v>
      </c>
      <c r="Y589" s="591" t="s">
        <v>483</v>
      </c>
      <c r="Z589" s="591" t="s">
        <v>493</v>
      </c>
      <c r="AA589" s="591" t="s">
        <v>486</v>
      </c>
      <c r="AB589" s="591">
        <f>COUNTIFS(G539:G638,Z589,O539:O638,S589)</f>
        <v>0</v>
      </c>
      <c r="AC589" s="591">
        <f>COUNTIFS(F539:F638,X589,G539:G638,Z589,O539:O638,S589)</f>
        <v>0</v>
      </c>
      <c r="AD589" s="591">
        <f>COUNTIFS(F539:F638,Y589,G539:G638,Z589,O539:O638,S589)</f>
        <v>0</v>
      </c>
      <c r="AE589" s="594"/>
    </row>
    <row r="590" spans="1:31">
      <c r="A590" s="590">
        <v>52</v>
      </c>
      <c r="B590" s="596">
        <f t="shared" ref="B590:E590" si="535">B483</f>
        <v>0</v>
      </c>
      <c r="C590" s="596">
        <f t="shared" si="535"/>
        <v>0</v>
      </c>
      <c r="D590" s="597">
        <f t="shared" si="535"/>
        <v>0</v>
      </c>
      <c r="E590" s="597">
        <f t="shared" si="535"/>
        <v>0</v>
      </c>
      <c r="F590" s="590" t="str">
        <f>VLOOKUP(A590,STUDENT!$A$2:$BR$105,68,0)</f>
        <v/>
      </c>
      <c r="G590" s="590" t="b">
        <f>VLOOKUP(A590,STUDENT!$A$2:$BR$105,67,0)</f>
        <v>0</v>
      </c>
      <c r="H590" s="590" t="str">
        <f>MARKS!DV55</f>
        <v/>
      </c>
      <c r="I590" s="590" t="str">
        <f>MARKS!DW55</f>
        <v/>
      </c>
      <c r="J590" s="590" t="str">
        <f>MARKS!DX55</f>
        <v/>
      </c>
      <c r="K590" s="590" t="str">
        <f>MARKS!DY55</f>
        <v/>
      </c>
      <c r="L590" s="590" t="str">
        <f>MARKS!DZ55</f>
        <v/>
      </c>
      <c r="M590" s="590" t="str">
        <f>MARKS!EA55</f>
        <v/>
      </c>
      <c r="N590" s="590" t="str">
        <f>MARKS!EB55</f>
        <v/>
      </c>
      <c r="O590" s="590" t="str">
        <f>MARKS!EC55</f>
        <v/>
      </c>
      <c r="Q590" s="591" t="s">
        <v>482</v>
      </c>
      <c r="R590" s="591" t="s">
        <v>483</v>
      </c>
      <c r="S590" s="591" t="s">
        <v>487</v>
      </c>
      <c r="T590" s="591">
        <f>COUNTIFS(K539:K638,S590)</f>
        <v>0</v>
      </c>
      <c r="U590" s="591">
        <f>COUNTIFS(F539:F638,Q579,K539:K638,S590)</f>
        <v>0</v>
      </c>
      <c r="V590" s="591">
        <f>COUNTIFS(F539:F638,R579,K539:K638,S590)</f>
        <v>0</v>
      </c>
      <c r="W590" s="594"/>
      <c r="X590" s="591" t="s">
        <v>482</v>
      </c>
      <c r="Y590" s="591" t="s">
        <v>483</v>
      </c>
      <c r="Z590" s="591" t="s">
        <v>493</v>
      </c>
      <c r="AA590" s="591" t="s">
        <v>487</v>
      </c>
      <c r="AB590" s="591">
        <f>COUNTIFS(G539:G638,Z590,O539:O638,S590)</f>
        <v>0</v>
      </c>
      <c r="AC590" s="591">
        <f>COUNTIFS(F539:F638,X590,G539:G638,Z590,O539:O638,S590)</f>
        <v>0</v>
      </c>
      <c r="AD590" s="591">
        <f>COUNTIFS(F539:F638,Y590,G539:G638,Z590,O539:O638,S590)</f>
        <v>0</v>
      </c>
      <c r="AE590" s="594"/>
    </row>
    <row r="591" spans="1:31">
      <c r="A591" s="596">
        <v>53</v>
      </c>
      <c r="B591" s="596">
        <f t="shared" ref="B591:E591" si="536">B484</f>
        <v>0</v>
      </c>
      <c r="C591" s="596">
        <f t="shared" si="536"/>
        <v>0</v>
      </c>
      <c r="D591" s="597">
        <f t="shared" si="536"/>
        <v>0</v>
      </c>
      <c r="E591" s="597">
        <f t="shared" si="536"/>
        <v>0</v>
      </c>
      <c r="F591" s="590" t="str">
        <f>VLOOKUP(A591,STUDENT!$A$2:$BR$105,68,0)</f>
        <v/>
      </c>
      <c r="G591" s="590" t="b">
        <f>VLOOKUP(A591,STUDENT!$A$2:$BR$105,67,0)</f>
        <v>0</v>
      </c>
      <c r="H591" s="590" t="str">
        <f>MARKS!DV56</f>
        <v/>
      </c>
      <c r="I591" s="590" t="str">
        <f>MARKS!DW56</f>
        <v/>
      </c>
      <c r="J591" s="590" t="str">
        <f>MARKS!DX56</f>
        <v/>
      </c>
      <c r="K591" s="590" t="str">
        <f>MARKS!DY56</f>
        <v/>
      </c>
      <c r="L591" s="590" t="str">
        <f>MARKS!DZ56</f>
        <v/>
      </c>
      <c r="M591" s="590" t="str">
        <f>MARKS!EA56</f>
        <v/>
      </c>
      <c r="N591" s="590" t="str">
        <f>MARKS!EB56</f>
        <v/>
      </c>
      <c r="O591" s="590" t="str">
        <f>MARKS!EC56</f>
        <v/>
      </c>
      <c r="Q591" s="591" t="s">
        <v>482</v>
      </c>
      <c r="R591" s="591" t="s">
        <v>483</v>
      </c>
      <c r="S591" s="591" t="s">
        <v>488</v>
      </c>
      <c r="T591" s="591">
        <f>COUNTIFS(K539:K638,S591)</f>
        <v>0</v>
      </c>
      <c r="U591" s="591">
        <f>COUNTIFS(F539:F638,Q580,K539:K638,S591)</f>
        <v>0</v>
      </c>
      <c r="V591" s="591">
        <f>COUNTIFS(F539:F638,R580,K539:K638,S591)</f>
        <v>0</v>
      </c>
      <c r="W591" s="594"/>
      <c r="X591" s="591" t="s">
        <v>482</v>
      </c>
      <c r="Y591" s="591" t="s">
        <v>483</v>
      </c>
      <c r="Z591" s="591" t="s">
        <v>493</v>
      </c>
      <c r="AA591" s="591" t="s">
        <v>488</v>
      </c>
      <c r="AB591" s="591">
        <f>COUNTIFS(G539:G638,Z591,O539:O638,S591)</f>
        <v>0</v>
      </c>
      <c r="AC591" s="591">
        <f>COUNTIFS(F539:F638,X591,G539:G638,Z591,O539:O638,S591)</f>
        <v>0</v>
      </c>
      <c r="AD591" s="591">
        <f>COUNTIFS(F539:F638,Y591,G539:G638,Z591,O539:O638,S591)</f>
        <v>0</v>
      </c>
      <c r="AE591" s="594"/>
    </row>
    <row r="592" spans="1:31">
      <c r="A592" s="590">
        <v>54</v>
      </c>
      <c r="B592" s="596">
        <f t="shared" ref="B592:E592" si="537">B485</f>
        <v>0</v>
      </c>
      <c r="C592" s="596">
        <f t="shared" si="537"/>
        <v>0</v>
      </c>
      <c r="D592" s="597">
        <f t="shared" si="537"/>
        <v>0</v>
      </c>
      <c r="E592" s="597">
        <f t="shared" si="537"/>
        <v>0</v>
      </c>
      <c r="F592" s="590" t="str">
        <f>VLOOKUP(A592,STUDENT!$A$2:$BR$105,68,0)</f>
        <v/>
      </c>
      <c r="G592" s="590" t="b">
        <f>VLOOKUP(A592,STUDENT!$A$2:$BR$105,67,0)</f>
        <v>0</v>
      </c>
      <c r="H592" s="590" t="str">
        <f>MARKS!DV57</f>
        <v/>
      </c>
      <c r="I592" s="590" t="str">
        <f>MARKS!DW57</f>
        <v/>
      </c>
      <c r="J592" s="590" t="str">
        <f>MARKS!DX57</f>
        <v/>
      </c>
      <c r="K592" s="590" t="str">
        <f>MARKS!DY57</f>
        <v/>
      </c>
      <c r="L592" s="590" t="str">
        <f>MARKS!DZ57</f>
        <v/>
      </c>
      <c r="M592" s="590" t="str">
        <f>MARKS!EA57</f>
        <v/>
      </c>
      <c r="N592" s="590" t="str">
        <f>MARKS!EB57</f>
        <v/>
      </c>
      <c r="O592" s="590" t="str">
        <f>MARKS!EC57</f>
        <v/>
      </c>
      <c r="Q592" s="591" t="s">
        <v>482</v>
      </c>
      <c r="R592" s="591" t="s">
        <v>483</v>
      </c>
      <c r="S592" s="591" t="s">
        <v>101</v>
      </c>
      <c r="T592" s="591">
        <f>COUNTIFS(K539:K638,S592)</f>
        <v>0</v>
      </c>
      <c r="U592" s="591">
        <f>COUNTIFS(F539:F638,Q581,K539:K638,S592)</f>
        <v>0</v>
      </c>
      <c r="V592" s="591">
        <f>COUNTIFS(F539:F638,R581,K539:K638,S592)</f>
        <v>0</v>
      </c>
      <c r="W592" s="594"/>
      <c r="X592" s="591" t="s">
        <v>482</v>
      </c>
      <c r="Y592" s="591" t="s">
        <v>483</v>
      </c>
      <c r="Z592" s="591" t="s">
        <v>493</v>
      </c>
      <c r="AA592" s="591" t="s">
        <v>101</v>
      </c>
      <c r="AB592" s="591">
        <f>COUNTIFS(G539:G638,Z592,O539:O638,S592)</f>
        <v>0</v>
      </c>
      <c r="AC592" s="591">
        <f>COUNTIFS(F539:F638,X592,G539:G638,Z592,O539:O638,S592)</f>
        <v>0</v>
      </c>
      <c r="AD592" s="591">
        <f>COUNTIFS(F539:F638,Y592,G539:G638,Z592,O539:O638,S592)</f>
        <v>0</v>
      </c>
      <c r="AE592" s="594"/>
    </row>
    <row r="593" spans="1:31">
      <c r="A593" s="596">
        <v>55</v>
      </c>
      <c r="B593" s="596">
        <f t="shared" ref="B593:E593" si="538">B486</f>
        <v>0</v>
      </c>
      <c r="C593" s="596">
        <f t="shared" si="538"/>
        <v>0</v>
      </c>
      <c r="D593" s="597">
        <f t="shared" si="538"/>
        <v>0</v>
      </c>
      <c r="E593" s="597">
        <f t="shared" si="538"/>
        <v>0</v>
      </c>
      <c r="F593" s="590" t="str">
        <f>VLOOKUP(A593,STUDENT!$A$2:$BR$105,68,0)</f>
        <v/>
      </c>
      <c r="G593" s="590" t="b">
        <f>VLOOKUP(A593,STUDENT!$A$2:$BR$105,67,0)</f>
        <v>0</v>
      </c>
      <c r="H593" s="590" t="str">
        <f>MARKS!DV58</f>
        <v/>
      </c>
      <c r="I593" s="590" t="str">
        <f>MARKS!DW58</f>
        <v/>
      </c>
      <c r="J593" s="590" t="str">
        <f>MARKS!DX58</f>
        <v/>
      </c>
      <c r="K593" s="590" t="str">
        <f>MARKS!DY58</f>
        <v/>
      </c>
      <c r="L593" s="590" t="str">
        <f>MARKS!DZ58</f>
        <v/>
      </c>
      <c r="M593" s="590" t="str">
        <f>MARKS!EA58</f>
        <v/>
      </c>
      <c r="N593" s="590" t="str">
        <f>MARKS!EB58</f>
        <v/>
      </c>
      <c r="O593" s="590" t="str">
        <f>MARKS!EC58</f>
        <v/>
      </c>
      <c r="Q593" s="591" t="s">
        <v>482</v>
      </c>
      <c r="R593" s="591" t="s">
        <v>483</v>
      </c>
      <c r="S593" s="591" t="s">
        <v>489</v>
      </c>
      <c r="T593" s="591">
        <f>COUNTIFS(K539:K638,S593)</f>
        <v>0</v>
      </c>
      <c r="U593" s="591">
        <f>COUNTIFS(F539:F638,Q582,K539:K638,S593)</f>
        <v>0</v>
      </c>
      <c r="V593" s="591">
        <f>COUNTIFS(F539:F638,R582,K539:K638,S593)</f>
        <v>0</v>
      </c>
      <c r="W593" s="594"/>
      <c r="X593" s="591" t="s">
        <v>482</v>
      </c>
      <c r="Y593" s="591" t="s">
        <v>483</v>
      </c>
      <c r="Z593" s="591" t="s">
        <v>493</v>
      </c>
      <c r="AA593" s="591" t="s">
        <v>489</v>
      </c>
      <c r="AB593" s="591">
        <f>COUNTIFS(G539:G638,Z593,O539:O638,S593)</f>
        <v>0</v>
      </c>
      <c r="AC593" s="591">
        <f>COUNTIFS(F539:F638,X593,G539:G638,Z593,O539:O638,S593)</f>
        <v>0</v>
      </c>
      <c r="AD593" s="591">
        <f>COUNTIFS(F539:F638,Y593,G539:G638,Z593,O539:O638,S593)</f>
        <v>0</v>
      </c>
      <c r="AE593" s="594"/>
    </row>
    <row r="594" spans="1:31">
      <c r="A594" s="590">
        <v>56</v>
      </c>
      <c r="B594" s="596">
        <f t="shared" ref="B594:E594" si="539">B487</f>
        <v>0</v>
      </c>
      <c r="C594" s="596">
        <f t="shared" si="539"/>
        <v>0</v>
      </c>
      <c r="D594" s="597">
        <f t="shared" si="539"/>
        <v>0</v>
      </c>
      <c r="E594" s="597">
        <f t="shared" si="539"/>
        <v>0</v>
      </c>
      <c r="F594" s="590" t="str">
        <f>VLOOKUP(A594,STUDENT!$A$2:$BR$105,68,0)</f>
        <v/>
      </c>
      <c r="G594" s="590" t="b">
        <f>VLOOKUP(A594,STUDENT!$A$2:$BR$105,67,0)</f>
        <v>0</v>
      </c>
      <c r="H594" s="590" t="str">
        <f>MARKS!DV59</f>
        <v/>
      </c>
      <c r="I594" s="590" t="str">
        <f>MARKS!DW59</f>
        <v/>
      </c>
      <c r="J594" s="590" t="str">
        <f>MARKS!DX59</f>
        <v/>
      </c>
      <c r="K594" s="590" t="str">
        <f>MARKS!DY59</f>
        <v/>
      </c>
      <c r="L594" s="590" t="str">
        <f>MARKS!DZ59</f>
        <v/>
      </c>
      <c r="M594" s="590" t="str">
        <f>MARKS!EA59</f>
        <v/>
      </c>
      <c r="N594" s="590" t="str">
        <f>MARKS!EB59</f>
        <v/>
      </c>
      <c r="O594" s="590" t="str">
        <f>MARKS!EC59</f>
        <v/>
      </c>
      <c r="Q594" s="591" t="s">
        <v>482</v>
      </c>
      <c r="R594" s="591" t="s">
        <v>483</v>
      </c>
      <c r="S594" s="591"/>
      <c r="T594" s="591"/>
      <c r="U594" s="591"/>
      <c r="V594" s="591"/>
      <c r="W594" s="594"/>
      <c r="X594" s="591" t="s">
        <v>482</v>
      </c>
      <c r="Y594" s="591" t="s">
        <v>483</v>
      </c>
      <c r="Z594" s="591" t="s">
        <v>493</v>
      </c>
      <c r="AA594" s="591"/>
      <c r="AB594" s="591"/>
      <c r="AC594" s="591"/>
      <c r="AD594" s="591"/>
      <c r="AE594" s="594"/>
    </row>
    <row r="595" spans="1:31">
      <c r="A595" s="596">
        <v>57</v>
      </c>
      <c r="B595" s="596">
        <f t="shared" ref="B595:E595" si="540">B488</f>
        <v>0</v>
      </c>
      <c r="C595" s="596">
        <f t="shared" si="540"/>
        <v>0</v>
      </c>
      <c r="D595" s="597">
        <f t="shared" si="540"/>
        <v>0</v>
      </c>
      <c r="E595" s="597">
        <f t="shared" si="540"/>
        <v>0</v>
      </c>
      <c r="F595" s="590" t="str">
        <f>VLOOKUP(A595,STUDENT!$A$2:$BR$105,68,0)</f>
        <v/>
      </c>
      <c r="G595" s="590" t="b">
        <f>VLOOKUP(A595,STUDENT!$A$2:$BR$105,67,0)</f>
        <v>0</v>
      </c>
      <c r="H595" s="590" t="str">
        <f>MARKS!DV60</f>
        <v/>
      </c>
      <c r="I595" s="590" t="str">
        <f>MARKS!DW60</f>
        <v/>
      </c>
      <c r="J595" s="590" t="str">
        <f>MARKS!DX60</f>
        <v/>
      </c>
      <c r="K595" s="590" t="str">
        <f>MARKS!DY60</f>
        <v/>
      </c>
      <c r="L595" s="590" t="str">
        <f>MARKS!DZ60</f>
        <v/>
      </c>
      <c r="M595" s="590" t="str">
        <f>MARKS!EA60</f>
        <v/>
      </c>
      <c r="N595" s="590" t="str">
        <f>MARKS!EB60</f>
        <v/>
      </c>
      <c r="O595" s="590" t="str">
        <f>MARKS!EC60</f>
        <v/>
      </c>
      <c r="Q595" s="591"/>
      <c r="R595" s="591"/>
      <c r="S595" s="591" t="s">
        <v>102</v>
      </c>
      <c r="T595" s="591">
        <f>SUM(T587:T594)</f>
        <v>0</v>
      </c>
      <c r="U595" s="591">
        <f t="shared" ref="U595:V595" si="541">SUM(U587:U594)</f>
        <v>0</v>
      </c>
      <c r="V595" s="591">
        <f t="shared" si="541"/>
        <v>0</v>
      </c>
      <c r="W595" s="594"/>
      <c r="X595" s="591"/>
      <c r="Y595" s="591"/>
      <c r="Z595" s="591"/>
      <c r="AA595" s="591" t="s">
        <v>102</v>
      </c>
      <c r="AB595" s="591">
        <f>SUM(AB587:AB594)</f>
        <v>0</v>
      </c>
      <c r="AC595" s="591">
        <f t="shared" ref="AC595:AD595" si="542">SUM(AC587:AC594)</f>
        <v>0</v>
      </c>
      <c r="AD595" s="591">
        <f t="shared" si="542"/>
        <v>0</v>
      </c>
      <c r="AE595" s="594"/>
    </row>
    <row r="596" spans="1:31">
      <c r="A596" s="590">
        <v>58</v>
      </c>
      <c r="B596" s="596">
        <f t="shared" ref="B596:E596" si="543">B489</f>
        <v>0</v>
      </c>
      <c r="C596" s="596">
        <f t="shared" si="543"/>
        <v>0</v>
      </c>
      <c r="D596" s="597">
        <f t="shared" si="543"/>
        <v>0</v>
      </c>
      <c r="E596" s="597">
        <f t="shared" si="543"/>
        <v>0</v>
      </c>
      <c r="F596" s="590" t="str">
        <f>VLOOKUP(A596,STUDENT!$A$2:$BR$105,68,0)</f>
        <v/>
      </c>
      <c r="G596" s="590" t="b">
        <f>VLOOKUP(A596,STUDENT!$A$2:$BR$105,67,0)</f>
        <v>0</v>
      </c>
      <c r="H596" s="590" t="str">
        <f>MARKS!DV61</f>
        <v/>
      </c>
      <c r="I596" s="590" t="str">
        <f>MARKS!DW61</f>
        <v/>
      </c>
      <c r="J596" s="590" t="str">
        <f>MARKS!DX61</f>
        <v/>
      </c>
      <c r="K596" s="590" t="str">
        <f>MARKS!DY61</f>
        <v/>
      </c>
      <c r="L596" s="590" t="str">
        <f>MARKS!DZ61</f>
        <v/>
      </c>
      <c r="M596" s="590" t="str">
        <f>MARKS!EA61</f>
        <v/>
      </c>
      <c r="N596" s="590" t="str">
        <f>MARKS!EB61</f>
        <v/>
      </c>
      <c r="O596" s="590" t="str">
        <f>MARKS!EC61</f>
        <v/>
      </c>
      <c r="Q596" s="591"/>
      <c r="R596" s="591"/>
      <c r="S596" s="591"/>
      <c r="T596" s="591"/>
      <c r="U596" s="591"/>
      <c r="V596" s="591"/>
      <c r="W596" s="594"/>
      <c r="X596" s="594"/>
      <c r="Y596" s="594"/>
      <c r="Z596" s="594"/>
      <c r="AA596" s="594"/>
      <c r="AB596" s="591"/>
      <c r="AC596" s="591"/>
      <c r="AD596" s="591"/>
      <c r="AE596" s="594"/>
    </row>
    <row r="597" spans="1:31">
      <c r="A597" s="596">
        <v>59</v>
      </c>
      <c r="B597" s="596">
        <f t="shared" ref="B597:E597" si="544">B490</f>
        <v>0</v>
      </c>
      <c r="C597" s="596">
        <f t="shared" si="544"/>
        <v>0</v>
      </c>
      <c r="D597" s="597">
        <f t="shared" si="544"/>
        <v>0</v>
      </c>
      <c r="E597" s="597">
        <f t="shared" si="544"/>
        <v>0</v>
      </c>
      <c r="F597" s="590" t="str">
        <f>VLOOKUP(A597,STUDENT!$A$2:$BR$105,68,0)</f>
        <v/>
      </c>
      <c r="G597" s="590" t="b">
        <f>VLOOKUP(A597,STUDENT!$A$2:$BR$105,67,0)</f>
        <v>0</v>
      </c>
      <c r="H597" s="590" t="str">
        <f>MARKS!DV62</f>
        <v/>
      </c>
      <c r="I597" s="590" t="str">
        <f>MARKS!DW62</f>
        <v/>
      </c>
      <c r="J597" s="590" t="str">
        <f>MARKS!DX62</f>
        <v/>
      </c>
      <c r="K597" s="590" t="str">
        <f>MARKS!DY62</f>
        <v/>
      </c>
      <c r="L597" s="590" t="str">
        <f>MARKS!DZ62</f>
        <v/>
      </c>
      <c r="M597" s="590" t="str">
        <f>MARKS!EA62</f>
        <v/>
      </c>
      <c r="N597" s="590" t="str">
        <f>MARKS!EB62</f>
        <v/>
      </c>
      <c r="O597" s="590" t="str">
        <f>MARKS!EC62</f>
        <v/>
      </c>
      <c r="Q597" s="591"/>
      <c r="R597" s="591"/>
      <c r="S597" s="591"/>
      <c r="T597" s="591"/>
      <c r="U597" s="591"/>
      <c r="V597" s="591"/>
      <c r="W597" s="594"/>
      <c r="X597" s="594"/>
      <c r="Y597" s="594"/>
      <c r="Z597" s="594"/>
      <c r="AA597" s="594"/>
      <c r="AB597" s="591"/>
      <c r="AC597" s="591"/>
      <c r="AD597" s="591"/>
      <c r="AE597" s="594"/>
    </row>
    <row r="598" spans="1:31">
      <c r="A598" s="590">
        <v>60</v>
      </c>
      <c r="B598" s="596">
        <f t="shared" ref="B598:E598" si="545">B491</f>
        <v>0</v>
      </c>
      <c r="C598" s="596">
        <f t="shared" si="545"/>
        <v>0</v>
      </c>
      <c r="D598" s="597">
        <f t="shared" si="545"/>
        <v>0</v>
      </c>
      <c r="E598" s="597">
        <f t="shared" si="545"/>
        <v>0</v>
      </c>
      <c r="F598" s="590" t="str">
        <f>VLOOKUP(A598,STUDENT!$A$2:$BR$105,68,0)</f>
        <v/>
      </c>
      <c r="G598" s="590" t="b">
        <f>VLOOKUP(A598,STUDENT!$A$2:$BR$105,67,0)</f>
        <v>0</v>
      </c>
      <c r="H598" s="590" t="str">
        <f>MARKS!DV63</f>
        <v/>
      </c>
      <c r="I598" s="590" t="str">
        <f>MARKS!DW63</f>
        <v/>
      </c>
      <c r="J598" s="590" t="str">
        <f>MARKS!DX63</f>
        <v/>
      </c>
      <c r="K598" s="590" t="str">
        <f>MARKS!DY63</f>
        <v/>
      </c>
      <c r="L598" s="590" t="str">
        <f>MARKS!DZ63</f>
        <v/>
      </c>
      <c r="M598" s="590" t="str">
        <f>MARKS!EA63</f>
        <v/>
      </c>
      <c r="N598" s="590" t="str">
        <f>MARKS!EB63</f>
        <v/>
      </c>
      <c r="O598" s="590" t="str">
        <f>MARKS!EC63</f>
        <v/>
      </c>
      <c r="Q598" s="591"/>
      <c r="R598" s="591"/>
      <c r="S598" s="591"/>
      <c r="T598" s="591"/>
      <c r="U598" s="591"/>
      <c r="V598" s="591"/>
      <c r="W598" s="594"/>
      <c r="X598" s="594"/>
      <c r="Y598" s="594"/>
      <c r="Z598" s="594"/>
      <c r="AA598" s="594"/>
      <c r="AB598" s="591"/>
      <c r="AC598" s="591"/>
      <c r="AD598" s="591"/>
      <c r="AE598" s="594"/>
    </row>
    <row r="599" spans="1:31">
      <c r="A599" s="596">
        <v>61</v>
      </c>
      <c r="B599" s="596">
        <f t="shared" ref="B599:E599" si="546">B492</f>
        <v>0</v>
      </c>
      <c r="C599" s="596">
        <f t="shared" si="546"/>
        <v>0</v>
      </c>
      <c r="D599" s="597">
        <f t="shared" si="546"/>
        <v>0</v>
      </c>
      <c r="E599" s="597">
        <f t="shared" si="546"/>
        <v>0</v>
      </c>
      <c r="F599" s="590" t="str">
        <f>VLOOKUP(A599,STUDENT!$A$2:$BR$105,68,0)</f>
        <v/>
      </c>
      <c r="G599" s="590" t="b">
        <f>VLOOKUP(A599,STUDENT!$A$2:$BR$105,67,0)</f>
        <v>0</v>
      </c>
      <c r="H599" s="590" t="str">
        <f>MARKS!DV64</f>
        <v/>
      </c>
      <c r="I599" s="590" t="str">
        <f>MARKS!DW64</f>
        <v/>
      </c>
      <c r="J599" s="590" t="str">
        <f>MARKS!DX64</f>
        <v/>
      </c>
      <c r="K599" s="590" t="str">
        <f>MARKS!DY64</f>
        <v/>
      </c>
      <c r="L599" s="590" t="str">
        <f>MARKS!DZ64</f>
        <v/>
      </c>
      <c r="M599" s="590" t="str">
        <f>MARKS!EA64</f>
        <v/>
      </c>
      <c r="N599" s="590" t="str">
        <f>MARKS!EB64</f>
        <v/>
      </c>
      <c r="O599" s="590" t="str">
        <f>MARKS!EC64</f>
        <v/>
      </c>
      <c r="Q599" s="591" t="s">
        <v>475</v>
      </c>
      <c r="R599" s="591" t="s">
        <v>476</v>
      </c>
      <c r="S599" s="592" t="s">
        <v>477</v>
      </c>
      <c r="T599" s="593" t="s">
        <v>352</v>
      </c>
      <c r="U599" s="592" t="s">
        <v>479</v>
      </c>
      <c r="V599" s="592" t="s">
        <v>480</v>
      </c>
      <c r="W599" s="594"/>
      <c r="X599" s="591" t="s">
        <v>475</v>
      </c>
      <c r="Y599" s="591" t="s">
        <v>476</v>
      </c>
      <c r="Z599" s="591" t="s">
        <v>474</v>
      </c>
      <c r="AA599" s="592" t="s">
        <v>477</v>
      </c>
      <c r="AB599" s="593" t="s">
        <v>494</v>
      </c>
      <c r="AC599" s="592" t="s">
        <v>479</v>
      </c>
      <c r="AD599" s="592" t="s">
        <v>480</v>
      </c>
      <c r="AE599" s="594"/>
    </row>
    <row r="600" spans="1:31">
      <c r="A600" s="590">
        <v>62</v>
      </c>
      <c r="B600" s="596">
        <f t="shared" ref="B600:E600" si="547">B493</f>
        <v>0</v>
      </c>
      <c r="C600" s="596">
        <f t="shared" si="547"/>
        <v>0</v>
      </c>
      <c r="D600" s="597">
        <f t="shared" si="547"/>
        <v>0</v>
      </c>
      <c r="E600" s="597">
        <f t="shared" si="547"/>
        <v>0</v>
      </c>
      <c r="F600" s="590" t="str">
        <f>VLOOKUP(A600,STUDENT!$A$2:$BR$105,68,0)</f>
        <v/>
      </c>
      <c r="G600" s="590" t="b">
        <f>VLOOKUP(A600,STUDENT!$A$2:$BR$105,67,0)</f>
        <v>0</v>
      </c>
      <c r="H600" s="590" t="str">
        <f>MARKS!DV65</f>
        <v/>
      </c>
      <c r="I600" s="590" t="str">
        <f>MARKS!DW65</f>
        <v/>
      </c>
      <c r="J600" s="590" t="str">
        <f>MARKS!DX65</f>
        <v/>
      </c>
      <c r="K600" s="590" t="str">
        <f>MARKS!DY65</f>
        <v/>
      </c>
      <c r="L600" s="590" t="str">
        <f>MARKS!DZ65</f>
        <v/>
      </c>
      <c r="M600" s="590" t="str">
        <f>MARKS!EA65</f>
        <v/>
      </c>
      <c r="N600" s="590" t="str">
        <f>MARKS!EB65</f>
        <v/>
      </c>
      <c r="O600" s="590" t="str">
        <f>MARKS!EC65</f>
        <v/>
      </c>
      <c r="Q600" s="591" t="s">
        <v>482</v>
      </c>
      <c r="R600" s="591" t="s">
        <v>483</v>
      </c>
      <c r="S600" s="591" t="s">
        <v>50</v>
      </c>
      <c r="T600" s="591">
        <f>COUNTIFS(L539:L638,S600)</f>
        <v>0</v>
      </c>
      <c r="U600" s="591">
        <f>COUNTIFS(F539:F638,Q589,L539:L638,S600)</f>
        <v>0</v>
      </c>
      <c r="V600" s="591">
        <f>COUNTIFS(F539:F638,R589,L539:L638,S600)</f>
        <v>0</v>
      </c>
      <c r="W600" s="594"/>
      <c r="X600" s="591" t="s">
        <v>482</v>
      </c>
      <c r="Y600" s="591" t="s">
        <v>483</v>
      </c>
      <c r="Z600" s="591" t="s">
        <v>494</v>
      </c>
      <c r="AA600" s="591" t="s">
        <v>50</v>
      </c>
      <c r="AB600" s="591">
        <f>COUNTIFS(G539:G638,Z600,O539:O638,S600)</f>
        <v>0</v>
      </c>
      <c r="AC600" s="591">
        <f>COUNTIFS(F539:F638,X600,G539:G638,Z600,O539:O638,S600)</f>
        <v>0</v>
      </c>
      <c r="AD600" s="591">
        <f>COUNTIFS(F539:F638,Y600,G539:G638,Z600,O539:O638,S600)</f>
        <v>0</v>
      </c>
      <c r="AE600" s="594"/>
    </row>
    <row r="601" spans="1:31">
      <c r="A601" s="596">
        <v>63</v>
      </c>
      <c r="B601" s="596">
        <f t="shared" ref="B601:E601" si="548">B494</f>
        <v>0</v>
      </c>
      <c r="C601" s="596">
        <f t="shared" si="548"/>
        <v>0</v>
      </c>
      <c r="D601" s="597">
        <f t="shared" si="548"/>
        <v>0</v>
      </c>
      <c r="E601" s="597">
        <f t="shared" si="548"/>
        <v>0</v>
      </c>
      <c r="F601" s="590" t="str">
        <f>VLOOKUP(A601,STUDENT!$A$2:$BR$105,68,0)</f>
        <v/>
      </c>
      <c r="G601" s="590" t="b">
        <f>VLOOKUP(A601,STUDENT!$A$2:$BR$105,67,0)</f>
        <v>0</v>
      </c>
      <c r="H601" s="590" t="str">
        <f>MARKS!DV66</f>
        <v/>
      </c>
      <c r="I601" s="590" t="str">
        <f>MARKS!DW66</f>
        <v/>
      </c>
      <c r="J601" s="590" t="str">
        <f>MARKS!DX66</f>
        <v/>
      </c>
      <c r="K601" s="590" t="str">
        <f>MARKS!DY66</f>
        <v/>
      </c>
      <c r="L601" s="590" t="str">
        <f>MARKS!DZ66</f>
        <v/>
      </c>
      <c r="M601" s="590" t="str">
        <f>MARKS!EA66</f>
        <v/>
      </c>
      <c r="N601" s="590" t="str">
        <f>MARKS!EB66</f>
        <v/>
      </c>
      <c r="O601" s="590" t="str">
        <f>MARKS!EC66</f>
        <v/>
      </c>
      <c r="Q601" s="591" t="s">
        <v>482</v>
      </c>
      <c r="R601" s="591" t="s">
        <v>483</v>
      </c>
      <c r="S601" s="591" t="s">
        <v>485</v>
      </c>
      <c r="T601" s="591">
        <f>COUNTIFS(L539:L638,S601)</f>
        <v>0</v>
      </c>
      <c r="U601" s="591">
        <f>COUNTIFS(F539:F638,Q590,L539:L638,S601)</f>
        <v>0</v>
      </c>
      <c r="V601" s="591">
        <f>COUNTIFS(F539:F638,R590,L539:L638,S601)</f>
        <v>0</v>
      </c>
      <c r="W601" s="594"/>
      <c r="X601" s="591" t="s">
        <v>482</v>
      </c>
      <c r="Y601" s="591" t="s">
        <v>483</v>
      </c>
      <c r="Z601" s="591" t="s">
        <v>494</v>
      </c>
      <c r="AA601" s="591" t="s">
        <v>485</v>
      </c>
      <c r="AB601" s="591">
        <f>COUNTIFS(G539:G638,Z601,O539:O638,S601)</f>
        <v>0</v>
      </c>
      <c r="AC601" s="591">
        <f>COUNTIFS(F539:F638,X601,G539:G638,Z601,O539:O638,S601)</f>
        <v>0</v>
      </c>
      <c r="AD601" s="591">
        <f>COUNTIFS(F539:F638,Y601,G539:G638,Z601,O539:O638,S601)</f>
        <v>0</v>
      </c>
      <c r="AE601" s="594"/>
    </row>
    <row r="602" spans="1:31">
      <c r="A602" s="590">
        <v>64</v>
      </c>
      <c r="B602" s="596">
        <f t="shared" ref="B602:E602" si="549">B495</f>
        <v>0</v>
      </c>
      <c r="C602" s="596">
        <f t="shared" si="549"/>
        <v>0</v>
      </c>
      <c r="D602" s="597">
        <f t="shared" si="549"/>
        <v>0</v>
      </c>
      <c r="E602" s="597">
        <f t="shared" si="549"/>
        <v>0</v>
      </c>
      <c r="F602" s="590" t="str">
        <f>VLOOKUP(A602,STUDENT!$A$2:$BR$105,68,0)</f>
        <v/>
      </c>
      <c r="G602" s="590" t="b">
        <f>VLOOKUP(A602,STUDENT!$A$2:$BR$105,67,0)</f>
        <v>0</v>
      </c>
      <c r="H602" s="590" t="str">
        <f>MARKS!DV67</f>
        <v/>
      </c>
      <c r="I602" s="590" t="str">
        <f>MARKS!DW67</f>
        <v/>
      </c>
      <c r="J602" s="590" t="str">
        <f>MARKS!DX67</f>
        <v/>
      </c>
      <c r="K602" s="590" t="str">
        <f>MARKS!DY67</f>
        <v/>
      </c>
      <c r="L602" s="590" t="str">
        <f>MARKS!DZ67</f>
        <v/>
      </c>
      <c r="M602" s="590" t="str">
        <f>MARKS!EA67</f>
        <v/>
      </c>
      <c r="N602" s="590" t="str">
        <f>MARKS!EB67</f>
        <v/>
      </c>
      <c r="O602" s="590" t="str">
        <f>MARKS!EC67</f>
        <v/>
      </c>
      <c r="Q602" s="591" t="s">
        <v>482</v>
      </c>
      <c r="R602" s="591" t="s">
        <v>483</v>
      </c>
      <c r="S602" s="591" t="s">
        <v>486</v>
      </c>
      <c r="T602" s="591">
        <f>COUNTIFS(L539:L638,S602)</f>
        <v>0</v>
      </c>
      <c r="U602" s="591">
        <f>COUNTIFS(F539:F638,Q591,L539:L638,S602)</f>
        <v>0</v>
      </c>
      <c r="V602" s="591">
        <f>COUNTIFS(F539:F638,R591,L539:L638,S602)</f>
        <v>0</v>
      </c>
      <c r="W602" s="594"/>
      <c r="X602" s="591" t="s">
        <v>482</v>
      </c>
      <c r="Y602" s="591" t="s">
        <v>483</v>
      </c>
      <c r="Z602" s="591" t="s">
        <v>494</v>
      </c>
      <c r="AA602" s="591" t="s">
        <v>486</v>
      </c>
      <c r="AB602" s="591">
        <f>COUNTIFS(G539:G638,Z602,O539:O638,S602)</f>
        <v>0</v>
      </c>
      <c r="AC602" s="591">
        <f>COUNTIFS(F539:F638,X602,G539:G638,Z602,O539:O638,S602)</f>
        <v>0</v>
      </c>
      <c r="AD602" s="591">
        <f>COUNTIFS(F539:F638,Y602,G539:G638,Z602,O539:O638,S602)</f>
        <v>0</v>
      </c>
      <c r="AE602" s="594"/>
    </row>
    <row r="603" spans="1:31">
      <c r="A603" s="596">
        <v>65</v>
      </c>
      <c r="B603" s="596">
        <f t="shared" ref="B603:E603" si="550">B496</f>
        <v>0</v>
      </c>
      <c r="C603" s="596">
        <f t="shared" si="550"/>
        <v>0</v>
      </c>
      <c r="D603" s="597">
        <f t="shared" si="550"/>
        <v>0</v>
      </c>
      <c r="E603" s="597">
        <f t="shared" si="550"/>
        <v>0</v>
      </c>
      <c r="F603" s="590" t="str">
        <f>VLOOKUP(A603,STUDENT!$A$2:$BR$105,68,0)</f>
        <v/>
      </c>
      <c r="G603" s="590" t="b">
        <f>VLOOKUP(A603,STUDENT!$A$2:$BR$105,67,0)</f>
        <v>0</v>
      </c>
      <c r="H603" s="590" t="str">
        <f>MARKS!DV68</f>
        <v/>
      </c>
      <c r="I603" s="590" t="str">
        <f>MARKS!DW68</f>
        <v/>
      </c>
      <c r="J603" s="590" t="str">
        <f>MARKS!DX68</f>
        <v/>
      </c>
      <c r="K603" s="590" t="str">
        <f>MARKS!DY68</f>
        <v/>
      </c>
      <c r="L603" s="590" t="str">
        <f>MARKS!DZ68</f>
        <v/>
      </c>
      <c r="M603" s="590" t="str">
        <f>MARKS!EA68</f>
        <v/>
      </c>
      <c r="N603" s="590" t="str">
        <f>MARKS!EB68</f>
        <v/>
      </c>
      <c r="O603" s="590" t="str">
        <f>MARKS!EC68</f>
        <v/>
      </c>
      <c r="Q603" s="591" t="s">
        <v>482</v>
      </c>
      <c r="R603" s="591" t="s">
        <v>483</v>
      </c>
      <c r="S603" s="591" t="s">
        <v>487</v>
      </c>
      <c r="T603" s="591">
        <f>COUNTIFS(L539:L638,S603)</f>
        <v>0</v>
      </c>
      <c r="U603" s="591">
        <f>COUNTIFS(F539:F638,Q592,L539:L638,S603)</f>
        <v>0</v>
      </c>
      <c r="V603" s="591">
        <f>COUNTIFS(F539:F638,R592,L539:L638,S603)</f>
        <v>0</v>
      </c>
      <c r="W603" s="594"/>
      <c r="X603" s="591" t="s">
        <v>482</v>
      </c>
      <c r="Y603" s="591" t="s">
        <v>483</v>
      </c>
      <c r="Z603" s="591" t="s">
        <v>494</v>
      </c>
      <c r="AA603" s="591" t="s">
        <v>487</v>
      </c>
      <c r="AB603" s="591">
        <f>COUNTIFS(G539:G638,Z603,O539:O638,S603)</f>
        <v>0</v>
      </c>
      <c r="AC603" s="591">
        <f>COUNTIFS(F539:F638,X603,G539:G638,Z603,O539:O638,S603)</f>
        <v>0</v>
      </c>
      <c r="AD603" s="591">
        <f>COUNTIFS(F539:F638,Y603,G539:G638,Z603,O539:O638,S603)</f>
        <v>0</v>
      </c>
      <c r="AE603" s="594"/>
    </row>
    <row r="604" spans="1:31">
      <c r="A604" s="590">
        <v>66</v>
      </c>
      <c r="B604" s="596">
        <f t="shared" ref="B604:E604" si="551">B497</f>
        <v>0</v>
      </c>
      <c r="C604" s="596">
        <f t="shared" si="551"/>
        <v>0</v>
      </c>
      <c r="D604" s="597">
        <f t="shared" si="551"/>
        <v>0</v>
      </c>
      <c r="E604" s="597">
        <f t="shared" si="551"/>
        <v>0</v>
      </c>
      <c r="F604" s="590" t="str">
        <f>VLOOKUP(A604,STUDENT!$A$2:$BR$105,68,0)</f>
        <v/>
      </c>
      <c r="G604" s="590" t="b">
        <f>VLOOKUP(A604,STUDENT!$A$2:$BR$105,67,0)</f>
        <v>0</v>
      </c>
      <c r="H604" s="590" t="str">
        <f>MARKS!DV69</f>
        <v/>
      </c>
      <c r="I604" s="590" t="str">
        <f>MARKS!DW69</f>
        <v/>
      </c>
      <c r="J604" s="590" t="str">
        <f>MARKS!DX69</f>
        <v/>
      </c>
      <c r="K604" s="590" t="str">
        <f>MARKS!DY69</f>
        <v/>
      </c>
      <c r="L604" s="590" t="str">
        <f>MARKS!DZ69</f>
        <v/>
      </c>
      <c r="M604" s="590" t="str">
        <f>MARKS!EA69</f>
        <v/>
      </c>
      <c r="N604" s="590" t="str">
        <f>MARKS!EB69</f>
        <v/>
      </c>
      <c r="O604" s="590" t="str">
        <f>MARKS!EC69</f>
        <v/>
      </c>
      <c r="Q604" s="591" t="s">
        <v>482</v>
      </c>
      <c r="R604" s="591" t="s">
        <v>483</v>
      </c>
      <c r="S604" s="591" t="s">
        <v>488</v>
      </c>
      <c r="T604" s="591">
        <f>COUNTIFS(L539:L638,S604)</f>
        <v>0</v>
      </c>
      <c r="U604" s="591">
        <f>COUNTIFS(F539:F638,Q593,L539:L638,S604)</f>
        <v>0</v>
      </c>
      <c r="V604" s="591">
        <f>COUNTIFS(F539:F638,R593,L539:L638,S604)</f>
        <v>0</v>
      </c>
      <c r="W604" s="594"/>
      <c r="X604" s="591" t="s">
        <v>482</v>
      </c>
      <c r="Y604" s="591" t="s">
        <v>483</v>
      </c>
      <c r="Z604" s="591" t="s">
        <v>494</v>
      </c>
      <c r="AA604" s="591" t="s">
        <v>488</v>
      </c>
      <c r="AB604" s="591">
        <f>COUNTIFS(G539:G638,Z604,O539:O638,S604)</f>
        <v>0</v>
      </c>
      <c r="AC604" s="591">
        <f>COUNTIFS(F539:F638,X604,G539:G638,Z604,O539:O638,S604)</f>
        <v>0</v>
      </c>
      <c r="AD604" s="591">
        <f>COUNTIFS(F539:F638,Y604,G539:G638,Z604,O539:O638,S604)</f>
        <v>0</v>
      </c>
      <c r="AE604" s="594"/>
    </row>
    <row r="605" spans="1:31">
      <c r="A605" s="596">
        <v>67</v>
      </c>
      <c r="B605" s="596">
        <f t="shared" ref="B605:E605" si="552">B498</f>
        <v>0</v>
      </c>
      <c r="C605" s="596">
        <f t="shared" si="552"/>
        <v>0</v>
      </c>
      <c r="D605" s="597">
        <f t="shared" si="552"/>
        <v>0</v>
      </c>
      <c r="E605" s="597">
        <f t="shared" si="552"/>
        <v>0</v>
      </c>
      <c r="F605" s="590" t="str">
        <f>VLOOKUP(A605,STUDENT!$A$2:$BR$105,68,0)</f>
        <v/>
      </c>
      <c r="G605" s="590" t="b">
        <f>VLOOKUP(A605,STUDENT!$A$2:$BR$105,67,0)</f>
        <v>0</v>
      </c>
      <c r="H605" s="590" t="str">
        <f>MARKS!DV70</f>
        <v/>
      </c>
      <c r="I605" s="590" t="str">
        <f>MARKS!DW70</f>
        <v/>
      </c>
      <c r="J605" s="590" t="str">
        <f>MARKS!DX70</f>
        <v/>
      </c>
      <c r="K605" s="590" t="str">
        <f>MARKS!DY70</f>
        <v/>
      </c>
      <c r="L605" s="590" t="str">
        <f>MARKS!DZ70</f>
        <v/>
      </c>
      <c r="M605" s="590" t="str">
        <f>MARKS!EA70</f>
        <v/>
      </c>
      <c r="N605" s="590" t="str">
        <f>MARKS!EB70</f>
        <v/>
      </c>
      <c r="O605" s="590" t="str">
        <f>MARKS!EC70</f>
        <v/>
      </c>
      <c r="Q605" s="591" t="s">
        <v>482</v>
      </c>
      <c r="R605" s="591" t="s">
        <v>483</v>
      </c>
      <c r="S605" s="591" t="s">
        <v>101</v>
      </c>
      <c r="T605" s="591">
        <f>COUNTIFS(L539:L638,S605)</f>
        <v>0</v>
      </c>
      <c r="U605" s="591">
        <f>COUNTIFS(F539:F638,Q594,L539:L638,S605)</f>
        <v>0</v>
      </c>
      <c r="V605" s="591">
        <f>COUNTIFS(F539:F638,R594,L539:L638,S605)</f>
        <v>0</v>
      </c>
      <c r="W605" s="594"/>
      <c r="X605" s="591" t="s">
        <v>482</v>
      </c>
      <c r="Y605" s="591" t="s">
        <v>483</v>
      </c>
      <c r="Z605" s="591" t="s">
        <v>494</v>
      </c>
      <c r="AA605" s="591" t="s">
        <v>101</v>
      </c>
      <c r="AB605" s="591">
        <f>COUNTIFS(G539:G638,Z605,O539:O638,S605)</f>
        <v>0</v>
      </c>
      <c r="AC605" s="591">
        <f>COUNTIFS(F539:F638,X605,G539:G638,Z605,O539:O638,S605)</f>
        <v>0</v>
      </c>
      <c r="AD605" s="591">
        <f>COUNTIFS(F539:F638,Y605,G539:G638,Z605,O539:O638,S605)</f>
        <v>0</v>
      </c>
      <c r="AE605" s="594"/>
    </row>
    <row r="606" spans="1:31">
      <c r="A606" s="590">
        <v>68</v>
      </c>
      <c r="B606" s="596">
        <f t="shared" ref="B606:E606" si="553">B499</f>
        <v>0</v>
      </c>
      <c r="C606" s="596">
        <f t="shared" si="553"/>
        <v>0</v>
      </c>
      <c r="D606" s="597">
        <f t="shared" si="553"/>
        <v>0</v>
      </c>
      <c r="E606" s="597">
        <f t="shared" si="553"/>
        <v>0</v>
      </c>
      <c r="F606" s="590" t="str">
        <f>VLOOKUP(A606,STUDENT!$A$2:$BR$105,68,0)</f>
        <v/>
      </c>
      <c r="G606" s="590" t="b">
        <f>VLOOKUP(A606,STUDENT!$A$2:$BR$105,67,0)</f>
        <v>0</v>
      </c>
      <c r="H606" s="590" t="str">
        <f>MARKS!DV71</f>
        <v/>
      </c>
      <c r="I606" s="590" t="str">
        <f>MARKS!DW71</f>
        <v/>
      </c>
      <c r="J606" s="590" t="str">
        <f>MARKS!DX71</f>
        <v/>
      </c>
      <c r="K606" s="590" t="str">
        <f>MARKS!DY71</f>
        <v/>
      </c>
      <c r="L606" s="590" t="str">
        <f>MARKS!DZ71</f>
        <v/>
      </c>
      <c r="M606" s="590" t="str">
        <f>MARKS!EA71</f>
        <v/>
      </c>
      <c r="N606" s="590" t="str">
        <f>MARKS!EB71</f>
        <v/>
      </c>
      <c r="O606" s="590" t="str">
        <f>MARKS!EC71</f>
        <v/>
      </c>
      <c r="Q606" s="591" t="s">
        <v>482</v>
      </c>
      <c r="R606" s="591" t="s">
        <v>483</v>
      </c>
      <c r="S606" s="591" t="s">
        <v>489</v>
      </c>
      <c r="T606" s="591">
        <f>COUNTIFS(L539:L638,S606)</f>
        <v>0</v>
      </c>
      <c r="U606" s="591">
        <f>COUNTIFS(F539:F638,Q595,L539:L638,S606)</f>
        <v>0</v>
      </c>
      <c r="V606" s="591">
        <f>COUNTIFS(F539:F638,R595,L539:L638,S606)</f>
        <v>0</v>
      </c>
      <c r="W606" s="594"/>
      <c r="X606" s="591" t="s">
        <v>482</v>
      </c>
      <c r="Y606" s="591" t="s">
        <v>483</v>
      </c>
      <c r="Z606" s="591" t="s">
        <v>494</v>
      </c>
      <c r="AA606" s="591" t="s">
        <v>489</v>
      </c>
      <c r="AB606" s="591">
        <f>COUNTIFS(G539:G638,Z606,O539:O638,S606)</f>
        <v>0</v>
      </c>
      <c r="AC606" s="591">
        <f>COUNTIFS(F539:F638,X606,G539:G638,Z606,O539:O638,S606)</f>
        <v>0</v>
      </c>
      <c r="AD606" s="591">
        <f>COUNTIFS(F539:F638,Y606,G539:G638,Z606,O539:O638,S606)</f>
        <v>0</v>
      </c>
      <c r="AE606" s="594"/>
    </row>
    <row r="607" spans="1:31">
      <c r="A607" s="596">
        <v>69</v>
      </c>
      <c r="B607" s="596">
        <f t="shared" ref="B607:E607" si="554">B500</f>
        <v>0</v>
      </c>
      <c r="C607" s="596">
        <f t="shared" si="554"/>
        <v>0</v>
      </c>
      <c r="D607" s="597">
        <f t="shared" si="554"/>
        <v>0</v>
      </c>
      <c r="E607" s="597">
        <f t="shared" si="554"/>
        <v>0</v>
      </c>
      <c r="F607" s="590" t="str">
        <f>VLOOKUP(A607,STUDENT!$A$2:$BR$105,68,0)</f>
        <v/>
      </c>
      <c r="G607" s="590" t="b">
        <f>VLOOKUP(A607,STUDENT!$A$2:$BR$105,67,0)</f>
        <v>0</v>
      </c>
      <c r="H607" s="590" t="str">
        <f>MARKS!DV72</f>
        <v/>
      </c>
      <c r="I607" s="590" t="str">
        <f>MARKS!DW72</f>
        <v/>
      </c>
      <c r="J607" s="590" t="str">
        <f>MARKS!DX72</f>
        <v/>
      </c>
      <c r="K607" s="590" t="str">
        <f>MARKS!DY72</f>
        <v/>
      </c>
      <c r="L607" s="590" t="str">
        <f>MARKS!DZ72</f>
        <v/>
      </c>
      <c r="M607" s="590" t="str">
        <f>MARKS!EA72</f>
        <v/>
      </c>
      <c r="N607" s="590" t="str">
        <f>MARKS!EB72</f>
        <v/>
      </c>
      <c r="O607" s="590" t="str">
        <f>MARKS!EC72</f>
        <v/>
      </c>
      <c r="Q607" s="591" t="s">
        <v>482</v>
      </c>
      <c r="R607" s="591" t="s">
        <v>483</v>
      </c>
      <c r="S607" s="591"/>
      <c r="T607" s="591"/>
      <c r="U607" s="591"/>
      <c r="V607" s="591"/>
      <c r="W607" s="594"/>
      <c r="X607" s="591" t="s">
        <v>482</v>
      </c>
      <c r="Y607" s="591" t="s">
        <v>483</v>
      </c>
      <c r="Z607" s="591" t="s">
        <v>494</v>
      </c>
      <c r="AA607" s="591"/>
      <c r="AB607" s="591"/>
      <c r="AC607" s="591"/>
      <c r="AD607" s="591"/>
      <c r="AE607" s="594"/>
    </row>
    <row r="608" spans="1:31">
      <c r="A608" s="590">
        <v>70</v>
      </c>
      <c r="B608" s="596">
        <f t="shared" ref="B608:E608" si="555">B501</f>
        <v>0</v>
      </c>
      <c r="C608" s="596">
        <f t="shared" si="555"/>
        <v>0</v>
      </c>
      <c r="D608" s="597">
        <f t="shared" si="555"/>
        <v>0</v>
      </c>
      <c r="E608" s="597">
        <f t="shared" si="555"/>
        <v>0</v>
      </c>
      <c r="F608" s="590" t="str">
        <f>VLOOKUP(A608,STUDENT!$A$2:$BR$105,68,0)</f>
        <v/>
      </c>
      <c r="G608" s="590" t="b">
        <f>VLOOKUP(A608,STUDENT!$A$2:$BR$105,67,0)</f>
        <v>0</v>
      </c>
      <c r="H608" s="590" t="str">
        <f>MARKS!DV73</f>
        <v/>
      </c>
      <c r="I608" s="590" t="str">
        <f>MARKS!DW73</f>
        <v/>
      </c>
      <c r="J608" s="590" t="str">
        <f>MARKS!DX73</f>
        <v/>
      </c>
      <c r="K608" s="590" t="str">
        <f>MARKS!DY73</f>
        <v/>
      </c>
      <c r="L608" s="590" t="str">
        <f>MARKS!DZ73</f>
        <v/>
      </c>
      <c r="M608" s="590" t="str">
        <f>MARKS!EA73</f>
        <v/>
      </c>
      <c r="N608" s="590" t="str">
        <f>MARKS!EB73</f>
        <v/>
      </c>
      <c r="O608" s="590" t="str">
        <f>MARKS!EC73</f>
        <v/>
      </c>
      <c r="Q608" s="591"/>
      <c r="R608" s="591"/>
      <c r="S608" s="591" t="s">
        <v>102</v>
      </c>
      <c r="T608" s="591">
        <f>SUM(T600:T607)</f>
        <v>0</v>
      </c>
      <c r="U608" s="591">
        <f t="shared" ref="U608:V608" si="556">SUM(U600:U607)</f>
        <v>0</v>
      </c>
      <c r="V608" s="591">
        <f t="shared" si="556"/>
        <v>0</v>
      </c>
      <c r="W608" s="594"/>
      <c r="X608" s="591"/>
      <c r="Y608" s="591"/>
      <c r="Z608" s="591"/>
      <c r="AA608" s="591" t="s">
        <v>102</v>
      </c>
      <c r="AB608" s="591">
        <f>SUM(AB600:AB607)</f>
        <v>0</v>
      </c>
      <c r="AC608" s="591">
        <f t="shared" ref="AC608:AD608" si="557">SUM(AC600:AC607)</f>
        <v>0</v>
      </c>
      <c r="AD608" s="591">
        <f t="shared" si="557"/>
        <v>0</v>
      </c>
      <c r="AE608" s="594"/>
    </row>
    <row r="609" spans="1:31">
      <c r="A609" s="596">
        <v>71</v>
      </c>
      <c r="B609" s="596">
        <f t="shared" ref="B609:E609" si="558">B502</f>
        <v>0</v>
      </c>
      <c r="C609" s="596">
        <f t="shared" si="558"/>
        <v>0</v>
      </c>
      <c r="D609" s="597">
        <f t="shared" si="558"/>
        <v>0</v>
      </c>
      <c r="E609" s="597">
        <f t="shared" si="558"/>
        <v>0</v>
      </c>
      <c r="F609" s="590" t="str">
        <f>VLOOKUP(A609,STUDENT!$A$2:$BR$105,68,0)</f>
        <v/>
      </c>
      <c r="G609" s="590" t="b">
        <f>VLOOKUP(A609,STUDENT!$A$2:$BR$105,67,0)</f>
        <v>0</v>
      </c>
      <c r="H609" s="590" t="str">
        <f>MARKS!DV74</f>
        <v/>
      </c>
      <c r="I609" s="590" t="str">
        <f>MARKS!DW74</f>
        <v/>
      </c>
      <c r="J609" s="590" t="str">
        <f>MARKS!DX74</f>
        <v/>
      </c>
      <c r="K609" s="590" t="str">
        <f>MARKS!DY74</f>
        <v/>
      </c>
      <c r="L609" s="590" t="str">
        <f>MARKS!DZ74</f>
        <v/>
      </c>
      <c r="M609" s="590" t="str">
        <f>MARKS!EA74</f>
        <v/>
      </c>
      <c r="N609" s="590" t="str">
        <f>MARKS!EB74</f>
        <v/>
      </c>
      <c r="O609" s="590" t="str">
        <f>MARKS!EC74</f>
        <v/>
      </c>
      <c r="Q609" s="591"/>
      <c r="R609" s="591"/>
      <c r="S609" s="591"/>
      <c r="T609" s="591"/>
      <c r="U609" s="591"/>
      <c r="V609" s="591"/>
      <c r="W609" s="594"/>
      <c r="X609" s="594"/>
      <c r="Y609" s="594"/>
      <c r="Z609" s="594"/>
      <c r="AA609" s="594"/>
      <c r="AB609" s="591"/>
      <c r="AC609" s="591"/>
      <c r="AD609" s="591"/>
      <c r="AE609" s="594"/>
    </row>
    <row r="610" spans="1:31">
      <c r="A610" s="590">
        <v>72</v>
      </c>
      <c r="B610" s="596">
        <f t="shared" ref="B610:E610" si="559">B503</f>
        <v>0</v>
      </c>
      <c r="C610" s="596">
        <f t="shared" si="559"/>
        <v>0</v>
      </c>
      <c r="D610" s="597">
        <f t="shared" si="559"/>
        <v>0</v>
      </c>
      <c r="E610" s="597">
        <f t="shared" si="559"/>
        <v>0</v>
      </c>
      <c r="F610" s="590" t="str">
        <f>VLOOKUP(A610,STUDENT!$A$2:$BR$105,68,0)</f>
        <v/>
      </c>
      <c r="G610" s="590" t="b">
        <f>VLOOKUP(A610,STUDENT!$A$2:$BR$105,67,0)</f>
        <v>0</v>
      </c>
      <c r="H610" s="590" t="str">
        <f>MARKS!DV75</f>
        <v/>
      </c>
      <c r="I610" s="590" t="str">
        <f>MARKS!DW75</f>
        <v/>
      </c>
      <c r="J610" s="590" t="str">
        <f>MARKS!DX75</f>
        <v/>
      </c>
      <c r="K610" s="590" t="str">
        <f>MARKS!DY75</f>
        <v/>
      </c>
      <c r="L610" s="590" t="str">
        <f>MARKS!DZ75</f>
        <v/>
      </c>
      <c r="M610" s="590" t="str">
        <f>MARKS!EA75</f>
        <v/>
      </c>
      <c r="N610" s="590" t="str">
        <f>MARKS!EB75</f>
        <v/>
      </c>
      <c r="O610" s="590" t="str">
        <f>MARKS!EC75</f>
        <v/>
      </c>
      <c r="Q610" s="591"/>
      <c r="R610" s="591"/>
      <c r="S610" s="591"/>
      <c r="T610" s="591"/>
      <c r="U610" s="591"/>
      <c r="V610" s="591"/>
      <c r="W610" s="594"/>
      <c r="X610" s="594"/>
      <c r="Y610" s="594"/>
      <c r="Z610" s="594"/>
      <c r="AA610" s="594"/>
      <c r="AB610" s="591"/>
      <c r="AC610" s="591"/>
      <c r="AD610" s="591"/>
      <c r="AE610" s="594"/>
    </row>
    <row r="611" spans="1:31">
      <c r="A611" s="596">
        <v>73</v>
      </c>
      <c r="B611" s="596">
        <f t="shared" ref="B611:E611" si="560">B504</f>
        <v>0</v>
      </c>
      <c r="C611" s="596">
        <f t="shared" si="560"/>
        <v>0</v>
      </c>
      <c r="D611" s="597">
        <f t="shared" si="560"/>
        <v>0</v>
      </c>
      <c r="E611" s="597">
        <f t="shared" si="560"/>
        <v>0</v>
      </c>
      <c r="F611" s="590" t="str">
        <f>VLOOKUP(A611,STUDENT!$A$2:$BR$105,68,0)</f>
        <v/>
      </c>
      <c r="G611" s="590" t="b">
        <f>VLOOKUP(A611,STUDENT!$A$2:$BR$105,67,0)</f>
        <v>0</v>
      </c>
      <c r="H611" s="590" t="str">
        <f>MARKS!DV76</f>
        <v/>
      </c>
      <c r="I611" s="590" t="str">
        <f>MARKS!DW76</f>
        <v/>
      </c>
      <c r="J611" s="590" t="str">
        <f>MARKS!DX76</f>
        <v/>
      </c>
      <c r="K611" s="590" t="str">
        <f>MARKS!DY76</f>
        <v/>
      </c>
      <c r="L611" s="590" t="str">
        <f>MARKS!DZ76</f>
        <v/>
      </c>
      <c r="M611" s="590" t="str">
        <f>MARKS!EA76</f>
        <v/>
      </c>
      <c r="N611" s="590" t="str">
        <f>MARKS!EB76</f>
        <v/>
      </c>
      <c r="O611" s="590" t="str">
        <f>MARKS!EC76</f>
        <v/>
      </c>
      <c r="Q611" s="591"/>
      <c r="R611" s="591"/>
      <c r="S611" s="591"/>
      <c r="T611" s="591"/>
      <c r="U611" s="591"/>
      <c r="V611" s="591"/>
      <c r="W611" s="594"/>
      <c r="X611" s="594"/>
      <c r="Y611" s="594"/>
      <c r="Z611" s="594"/>
      <c r="AA611" s="594"/>
      <c r="AB611" s="591"/>
      <c r="AC611" s="591"/>
      <c r="AD611" s="591"/>
      <c r="AE611" s="594"/>
    </row>
    <row r="612" spans="1:31">
      <c r="A612" s="590">
        <v>74</v>
      </c>
      <c r="B612" s="596">
        <f t="shared" ref="B612:E612" si="561">B505</f>
        <v>0</v>
      </c>
      <c r="C612" s="596">
        <f t="shared" si="561"/>
        <v>0</v>
      </c>
      <c r="D612" s="597">
        <f t="shared" si="561"/>
        <v>0</v>
      </c>
      <c r="E612" s="597">
        <f t="shared" si="561"/>
        <v>0</v>
      </c>
      <c r="F612" s="590" t="str">
        <f>VLOOKUP(A612,STUDENT!$A$2:$BR$105,68,0)</f>
        <v/>
      </c>
      <c r="G612" s="590" t="b">
        <f>VLOOKUP(A612,STUDENT!$A$2:$BR$105,67,0)</f>
        <v>0</v>
      </c>
      <c r="H612" s="590" t="str">
        <f>MARKS!DV77</f>
        <v/>
      </c>
      <c r="I612" s="590" t="str">
        <f>MARKS!DW77</f>
        <v/>
      </c>
      <c r="J612" s="590" t="str">
        <f>MARKS!DX77</f>
        <v/>
      </c>
      <c r="K612" s="590" t="str">
        <f>MARKS!DY77</f>
        <v/>
      </c>
      <c r="L612" s="590" t="str">
        <f>MARKS!DZ77</f>
        <v/>
      </c>
      <c r="M612" s="590" t="str">
        <f>MARKS!EA77</f>
        <v/>
      </c>
      <c r="N612" s="590" t="str">
        <f>MARKS!EB77</f>
        <v/>
      </c>
      <c r="O612" s="590" t="str">
        <f>MARKS!EC77</f>
        <v/>
      </c>
      <c r="Q612" s="591" t="s">
        <v>475</v>
      </c>
      <c r="R612" s="591" t="s">
        <v>476</v>
      </c>
      <c r="S612" s="592" t="s">
        <v>477</v>
      </c>
      <c r="T612" s="593" t="s">
        <v>495</v>
      </c>
      <c r="U612" s="592" t="s">
        <v>479</v>
      </c>
      <c r="V612" s="592" t="s">
        <v>480</v>
      </c>
      <c r="W612" s="594"/>
      <c r="X612" s="594"/>
      <c r="Y612" s="594"/>
      <c r="Z612" s="594"/>
      <c r="AA612" s="594"/>
      <c r="AB612" s="591"/>
      <c r="AC612" s="591"/>
      <c r="AD612" s="591"/>
      <c r="AE612" s="594"/>
    </row>
    <row r="613" spans="1:31">
      <c r="A613" s="596">
        <v>75</v>
      </c>
      <c r="B613" s="596">
        <f t="shared" ref="B613:E613" si="562">B506</f>
        <v>0</v>
      </c>
      <c r="C613" s="596">
        <f t="shared" si="562"/>
        <v>0</v>
      </c>
      <c r="D613" s="597">
        <f t="shared" si="562"/>
        <v>0</v>
      </c>
      <c r="E613" s="597">
        <f t="shared" si="562"/>
        <v>0</v>
      </c>
      <c r="F613" s="590" t="str">
        <f>VLOOKUP(A613,STUDENT!$A$2:$BR$105,68,0)</f>
        <v/>
      </c>
      <c r="G613" s="590" t="b">
        <f>VLOOKUP(A613,STUDENT!$A$2:$BR$105,67,0)</f>
        <v>0</v>
      </c>
      <c r="H613" s="590" t="str">
        <f>MARKS!DV78</f>
        <v/>
      </c>
      <c r="I613" s="590" t="str">
        <f>MARKS!DW78</f>
        <v/>
      </c>
      <c r="J613" s="590" t="str">
        <f>MARKS!DX78</f>
        <v/>
      </c>
      <c r="K613" s="590" t="str">
        <f>MARKS!DY78</f>
        <v/>
      </c>
      <c r="L613" s="590" t="str">
        <f>MARKS!DZ78</f>
        <v/>
      </c>
      <c r="M613" s="590" t="str">
        <f>MARKS!EA78</f>
        <v/>
      </c>
      <c r="N613" s="590" t="str">
        <f>MARKS!EB78</f>
        <v/>
      </c>
      <c r="O613" s="590" t="str">
        <f>MARKS!EC78</f>
        <v/>
      </c>
      <c r="Q613" s="591" t="s">
        <v>482</v>
      </c>
      <c r="R613" s="591" t="s">
        <v>483</v>
      </c>
      <c r="S613" s="591" t="s">
        <v>50</v>
      </c>
      <c r="T613" s="591">
        <f>COUNTIFS(M539:M638,S613)</f>
        <v>0</v>
      </c>
      <c r="U613" s="591">
        <f>COUNTIFS(F539:F638,Q602,M539:M638,S613)</f>
        <v>0</v>
      </c>
      <c r="V613" s="591">
        <f>COUNTIFS(F539:F638,R602,M539:M638,S613)</f>
        <v>0</v>
      </c>
      <c r="W613" s="594"/>
      <c r="X613" s="594"/>
      <c r="Y613" s="594"/>
      <c r="Z613" s="594"/>
      <c r="AA613" s="594"/>
      <c r="AB613" s="591"/>
      <c r="AC613" s="591"/>
      <c r="AD613" s="591"/>
      <c r="AE613" s="594"/>
    </row>
    <row r="614" spans="1:31">
      <c r="A614" s="590">
        <v>76</v>
      </c>
      <c r="B614" s="596">
        <f t="shared" ref="B614:E614" si="563">B507</f>
        <v>0</v>
      </c>
      <c r="C614" s="596">
        <f t="shared" si="563"/>
        <v>0</v>
      </c>
      <c r="D614" s="597">
        <f t="shared" si="563"/>
        <v>0</v>
      </c>
      <c r="E614" s="597">
        <f t="shared" si="563"/>
        <v>0</v>
      </c>
      <c r="F614" s="590" t="str">
        <f>VLOOKUP(A614,STUDENT!$A$2:$BR$105,68,0)</f>
        <v/>
      </c>
      <c r="G614" s="590" t="b">
        <f>VLOOKUP(A614,STUDENT!$A$2:$BR$105,67,0)</f>
        <v>0</v>
      </c>
      <c r="H614" s="590" t="str">
        <f>MARKS!DV79</f>
        <v/>
      </c>
      <c r="I614" s="590" t="str">
        <f>MARKS!DW79</f>
        <v/>
      </c>
      <c r="J614" s="590" t="str">
        <f>MARKS!DX79</f>
        <v/>
      </c>
      <c r="K614" s="590" t="str">
        <f>MARKS!DY79</f>
        <v/>
      </c>
      <c r="L614" s="590" t="str">
        <f>MARKS!DZ79</f>
        <v/>
      </c>
      <c r="M614" s="590" t="str">
        <f>MARKS!EA79</f>
        <v/>
      </c>
      <c r="N614" s="590" t="str">
        <f>MARKS!EB79</f>
        <v/>
      </c>
      <c r="O614" s="590" t="str">
        <f>MARKS!EC79</f>
        <v/>
      </c>
      <c r="Q614" s="591" t="s">
        <v>482</v>
      </c>
      <c r="R614" s="591" t="s">
        <v>483</v>
      </c>
      <c r="S614" s="591" t="s">
        <v>485</v>
      </c>
      <c r="T614" s="591">
        <f>COUNTIFS(M539:M638,S614)</f>
        <v>0</v>
      </c>
      <c r="U614" s="591">
        <f>COUNTIFS(F539:F638,Q603,M539:M638,S614)</f>
        <v>0</v>
      </c>
      <c r="V614" s="591">
        <f>COUNTIFS(F539:F638,R603,M539:M638,S614)</f>
        <v>0</v>
      </c>
      <c r="W614" s="594"/>
      <c r="X614" s="594"/>
      <c r="Y614" s="594"/>
      <c r="Z614" s="594"/>
      <c r="AA614" s="594"/>
      <c r="AB614" s="591"/>
      <c r="AC614" s="591"/>
      <c r="AD614" s="591"/>
      <c r="AE614" s="594"/>
    </row>
    <row r="615" spans="1:31">
      <c r="A615" s="596">
        <v>77</v>
      </c>
      <c r="B615" s="596">
        <f t="shared" ref="B615:E615" si="564">B508</f>
        <v>0</v>
      </c>
      <c r="C615" s="596">
        <f t="shared" si="564"/>
        <v>0</v>
      </c>
      <c r="D615" s="597">
        <f t="shared" si="564"/>
        <v>0</v>
      </c>
      <c r="E615" s="597">
        <f t="shared" si="564"/>
        <v>0</v>
      </c>
      <c r="F615" s="590" t="str">
        <f>VLOOKUP(A615,STUDENT!$A$2:$BR$105,68,0)</f>
        <v/>
      </c>
      <c r="G615" s="590" t="b">
        <f>VLOOKUP(A615,STUDENT!$A$2:$BR$105,67,0)</f>
        <v>0</v>
      </c>
      <c r="H615" s="590" t="str">
        <f>MARKS!DV80</f>
        <v/>
      </c>
      <c r="I615" s="590" t="str">
        <f>MARKS!DW80</f>
        <v/>
      </c>
      <c r="J615" s="590" t="str">
        <f>MARKS!DX80</f>
        <v/>
      </c>
      <c r="K615" s="590" t="str">
        <f>MARKS!DY80</f>
        <v/>
      </c>
      <c r="L615" s="590" t="str">
        <f>MARKS!DZ80</f>
        <v/>
      </c>
      <c r="M615" s="590" t="str">
        <f>MARKS!EA80</f>
        <v/>
      </c>
      <c r="N615" s="590" t="str">
        <f>MARKS!EB80</f>
        <v/>
      </c>
      <c r="O615" s="590" t="str">
        <f>MARKS!EC80</f>
        <v/>
      </c>
      <c r="Q615" s="591" t="s">
        <v>482</v>
      </c>
      <c r="R615" s="591" t="s">
        <v>483</v>
      </c>
      <c r="S615" s="591" t="s">
        <v>486</v>
      </c>
      <c r="T615" s="591">
        <f>COUNTIFS(M539:M638,S615)</f>
        <v>0</v>
      </c>
      <c r="U615" s="591">
        <f>COUNTIFS(F539:F638,Q604,M539:M638,S615)</f>
        <v>0</v>
      </c>
      <c r="V615" s="591">
        <f>COUNTIFS(F539:F638,R604,M539:M638,S615)</f>
        <v>0</v>
      </c>
      <c r="W615" s="594"/>
      <c r="X615" s="594"/>
      <c r="Y615" s="594"/>
      <c r="Z615" s="594"/>
      <c r="AA615" s="594"/>
      <c r="AB615" s="591"/>
      <c r="AC615" s="591"/>
      <c r="AD615" s="591"/>
      <c r="AE615" s="594"/>
    </row>
    <row r="616" spans="1:31">
      <c r="A616" s="590">
        <v>78</v>
      </c>
      <c r="B616" s="596">
        <f t="shared" ref="B616:E616" si="565">B509</f>
        <v>0</v>
      </c>
      <c r="C616" s="596">
        <f t="shared" si="565"/>
        <v>0</v>
      </c>
      <c r="D616" s="597">
        <f t="shared" si="565"/>
        <v>0</v>
      </c>
      <c r="E616" s="597">
        <f t="shared" si="565"/>
        <v>0</v>
      </c>
      <c r="F616" s="590" t="str">
        <f>VLOOKUP(A616,STUDENT!$A$2:$BR$105,68,0)</f>
        <v/>
      </c>
      <c r="G616" s="590" t="b">
        <f>VLOOKUP(A616,STUDENT!$A$2:$BR$105,67,0)</f>
        <v>0</v>
      </c>
      <c r="H616" s="590" t="str">
        <f>MARKS!DV81</f>
        <v/>
      </c>
      <c r="I616" s="590" t="str">
        <f>MARKS!DW81</f>
        <v/>
      </c>
      <c r="J616" s="590" t="str">
        <f>MARKS!DX81</f>
        <v/>
      </c>
      <c r="K616" s="590" t="str">
        <f>MARKS!DY81</f>
        <v/>
      </c>
      <c r="L616" s="590" t="str">
        <f>MARKS!DZ81</f>
        <v/>
      </c>
      <c r="M616" s="590" t="str">
        <f>MARKS!EA81</f>
        <v/>
      </c>
      <c r="N616" s="590" t="str">
        <f>MARKS!EB81</f>
        <v/>
      </c>
      <c r="O616" s="590" t="str">
        <f>MARKS!EC81</f>
        <v/>
      </c>
      <c r="Q616" s="591" t="s">
        <v>482</v>
      </c>
      <c r="R616" s="591" t="s">
        <v>483</v>
      </c>
      <c r="S616" s="591" t="s">
        <v>487</v>
      </c>
      <c r="T616" s="591">
        <f>COUNTIFS(M539:M638,S616)</f>
        <v>0</v>
      </c>
      <c r="U616" s="591">
        <f>COUNTIFS(F539:F638,Q605,M539:M638,S616)</f>
        <v>0</v>
      </c>
      <c r="V616" s="591">
        <f>COUNTIFS(F539:F638,R605,M539:M638,S616)</f>
        <v>0</v>
      </c>
      <c r="W616" s="594"/>
      <c r="X616" s="594"/>
      <c r="Y616" s="594"/>
      <c r="Z616" s="594"/>
      <c r="AA616" s="594"/>
      <c r="AB616" s="591"/>
      <c r="AC616" s="591"/>
      <c r="AD616" s="591"/>
      <c r="AE616" s="594"/>
    </row>
    <row r="617" spans="1:31">
      <c r="A617" s="596">
        <v>79</v>
      </c>
      <c r="B617" s="596">
        <f t="shared" ref="B617:E617" si="566">B510</f>
        <v>0</v>
      </c>
      <c r="C617" s="596">
        <f t="shared" si="566"/>
        <v>0</v>
      </c>
      <c r="D617" s="597">
        <f t="shared" si="566"/>
        <v>0</v>
      </c>
      <c r="E617" s="597">
        <f t="shared" si="566"/>
        <v>0</v>
      </c>
      <c r="F617" s="590" t="str">
        <f>VLOOKUP(A617,STUDENT!$A$2:$BR$105,68,0)</f>
        <v/>
      </c>
      <c r="G617" s="590" t="b">
        <f>VLOOKUP(A617,STUDENT!$A$2:$BR$105,67,0)</f>
        <v>0</v>
      </c>
      <c r="H617" s="590" t="str">
        <f>MARKS!DV82</f>
        <v/>
      </c>
      <c r="I617" s="590" t="str">
        <f>MARKS!DW82</f>
        <v/>
      </c>
      <c r="J617" s="590" t="str">
        <f>MARKS!DX82</f>
        <v/>
      </c>
      <c r="K617" s="590" t="str">
        <f>MARKS!DY82</f>
        <v/>
      </c>
      <c r="L617" s="590" t="str">
        <f>MARKS!DZ82</f>
        <v/>
      </c>
      <c r="M617" s="590" t="str">
        <f>MARKS!EA82</f>
        <v/>
      </c>
      <c r="N617" s="590" t="str">
        <f>MARKS!EB82</f>
        <v/>
      </c>
      <c r="O617" s="590" t="str">
        <f>MARKS!EC82</f>
        <v/>
      </c>
      <c r="Q617" s="591" t="s">
        <v>482</v>
      </c>
      <c r="R617" s="591" t="s">
        <v>483</v>
      </c>
      <c r="S617" s="591" t="s">
        <v>488</v>
      </c>
      <c r="T617" s="591">
        <f>COUNTIFS(M539:M638,S617)</f>
        <v>0</v>
      </c>
      <c r="U617" s="591">
        <f>COUNTIFS(F539:F638,Q606,M539:M638,S617)</f>
        <v>0</v>
      </c>
      <c r="V617" s="591">
        <f>COUNTIFS(F539:F638,R606,M539:M638,S617)</f>
        <v>0</v>
      </c>
      <c r="W617" s="594"/>
      <c r="X617" s="594"/>
      <c r="Y617" s="594"/>
      <c r="Z617" s="594"/>
      <c r="AA617" s="594"/>
      <c r="AB617" s="591"/>
      <c r="AC617" s="591"/>
      <c r="AD617" s="591"/>
      <c r="AE617" s="594"/>
    </row>
    <row r="618" spans="1:31">
      <c r="A618" s="590">
        <v>80</v>
      </c>
      <c r="B618" s="596">
        <f t="shared" ref="B618:E618" si="567">B511</f>
        <v>0</v>
      </c>
      <c r="C618" s="596">
        <f t="shared" si="567"/>
        <v>0</v>
      </c>
      <c r="D618" s="597">
        <f t="shared" si="567"/>
        <v>0</v>
      </c>
      <c r="E618" s="597">
        <f t="shared" si="567"/>
        <v>0</v>
      </c>
      <c r="F618" s="590" t="str">
        <f>VLOOKUP(A618,STUDENT!$A$2:$BR$105,68,0)</f>
        <v/>
      </c>
      <c r="G618" s="590" t="b">
        <f>VLOOKUP(A618,STUDENT!$A$2:$BR$105,67,0)</f>
        <v>0</v>
      </c>
      <c r="H618" s="590" t="str">
        <f>MARKS!DV83</f>
        <v/>
      </c>
      <c r="I618" s="590" t="str">
        <f>MARKS!DW83</f>
        <v/>
      </c>
      <c r="J618" s="590" t="str">
        <f>MARKS!DX83</f>
        <v/>
      </c>
      <c r="K618" s="590" t="str">
        <f>MARKS!DY83</f>
        <v/>
      </c>
      <c r="L618" s="590" t="str">
        <f>MARKS!DZ83</f>
        <v/>
      </c>
      <c r="M618" s="590" t="str">
        <f>MARKS!EA83</f>
        <v/>
      </c>
      <c r="N618" s="590" t="str">
        <f>MARKS!EB83</f>
        <v/>
      </c>
      <c r="O618" s="590" t="str">
        <f>MARKS!EC83</f>
        <v/>
      </c>
      <c r="Q618" s="591" t="s">
        <v>482</v>
      </c>
      <c r="R618" s="591" t="s">
        <v>483</v>
      </c>
      <c r="S618" s="591" t="s">
        <v>101</v>
      </c>
      <c r="T618" s="591">
        <f>COUNTIFS(M539:M638,S618)</f>
        <v>0</v>
      </c>
      <c r="U618" s="591">
        <f>COUNTIFS(F539:F638,Q607,M539:M638,S618)</f>
        <v>0</v>
      </c>
      <c r="V618" s="591">
        <f>COUNTIFS(F539:F638,R607,M539:M638,S618)</f>
        <v>0</v>
      </c>
      <c r="W618" s="594"/>
      <c r="X618" s="594"/>
      <c r="Y618" s="594"/>
      <c r="Z618" s="594"/>
      <c r="AA618" s="594"/>
      <c r="AB618" s="591"/>
      <c r="AC618" s="591"/>
      <c r="AD618" s="591"/>
      <c r="AE618" s="594"/>
    </row>
    <row r="619" spans="1:31">
      <c r="A619" s="596">
        <v>81</v>
      </c>
      <c r="B619" s="596">
        <f t="shared" ref="B619:E619" si="568">B512</f>
        <v>0</v>
      </c>
      <c r="C619" s="596">
        <f t="shared" si="568"/>
        <v>0</v>
      </c>
      <c r="D619" s="597">
        <f t="shared" si="568"/>
        <v>0</v>
      </c>
      <c r="E619" s="597">
        <f t="shared" si="568"/>
        <v>0</v>
      </c>
      <c r="F619" s="590" t="str">
        <f>VLOOKUP(A619,STUDENT!$A$2:$BR$105,68,0)</f>
        <v/>
      </c>
      <c r="G619" s="590" t="b">
        <f>VLOOKUP(A619,STUDENT!$A$2:$BR$105,67,0)</f>
        <v>0</v>
      </c>
      <c r="H619" s="590" t="str">
        <f>MARKS!DV84</f>
        <v/>
      </c>
      <c r="I619" s="590" t="str">
        <f>MARKS!DW84</f>
        <v/>
      </c>
      <c r="J619" s="590" t="str">
        <f>MARKS!DX84</f>
        <v/>
      </c>
      <c r="K619" s="590" t="str">
        <f>MARKS!DY84</f>
        <v/>
      </c>
      <c r="L619" s="590" t="str">
        <f>MARKS!DZ84</f>
        <v/>
      </c>
      <c r="M619" s="590" t="str">
        <f>MARKS!EA84</f>
        <v/>
      </c>
      <c r="N619" s="590" t="str">
        <f>MARKS!EB84</f>
        <v/>
      </c>
      <c r="O619" s="590" t="str">
        <f>MARKS!EC84</f>
        <v/>
      </c>
      <c r="Q619" s="591" t="s">
        <v>482</v>
      </c>
      <c r="R619" s="591" t="s">
        <v>483</v>
      </c>
      <c r="S619" s="591" t="s">
        <v>489</v>
      </c>
      <c r="T619" s="591">
        <f>COUNTIFS(M539:M638,S619)</f>
        <v>0</v>
      </c>
      <c r="U619" s="591">
        <f>COUNTIFS(F539:F638,Q608,M539:M638,S619)</f>
        <v>0</v>
      </c>
      <c r="V619" s="591">
        <f>COUNTIFS(F539:F638,R608,M539:M638,S619)</f>
        <v>0</v>
      </c>
      <c r="W619" s="594"/>
      <c r="X619" s="594"/>
      <c r="Y619" s="594"/>
      <c r="Z619" s="594"/>
      <c r="AA619" s="594"/>
      <c r="AB619" s="591"/>
      <c r="AC619" s="591"/>
      <c r="AD619" s="591"/>
      <c r="AE619" s="594"/>
    </row>
    <row r="620" spans="1:31">
      <c r="A620" s="590">
        <v>82</v>
      </c>
      <c r="B620" s="596">
        <f t="shared" ref="B620:E620" si="569">B513</f>
        <v>0</v>
      </c>
      <c r="C620" s="596">
        <f t="shared" si="569"/>
        <v>0</v>
      </c>
      <c r="D620" s="597">
        <f t="shared" si="569"/>
        <v>0</v>
      </c>
      <c r="E620" s="597">
        <f t="shared" si="569"/>
        <v>0</v>
      </c>
      <c r="F620" s="590" t="str">
        <f>VLOOKUP(A620,STUDENT!$A$2:$BR$105,68,0)</f>
        <v/>
      </c>
      <c r="G620" s="590" t="b">
        <f>VLOOKUP(A620,STUDENT!$A$2:$BR$105,67,0)</f>
        <v>0</v>
      </c>
      <c r="H620" s="590" t="str">
        <f>MARKS!DV85</f>
        <v/>
      </c>
      <c r="I620" s="590" t="str">
        <f>MARKS!DW85</f>
        <v/>
      </c>
      <c r="J620" s="590" t="str">
        <f>MARKS!DX85</f>
        <v/>
      </c>
      <c r="K620" s="590" t="str">
        <f>MARKS!DY85</f>
        <v/>
      </c>
      <c r="L620" s="590" t="str">
        <f>MARKS!DZ85</f>
        <v/>
      </c>
      <c r="M620" s="590" t="str">
        <f>MARKS!EA85</f>
        <v/>
      </c>
      <c r="N620" s="590" t="str">
        <f>MARKS!EB85</f>
        <v/>
      </c>
      <c r="O620" s="590" t="str">
        <f>MARKS!EC85</f>
        <v/>
      </c>
      <c r="Q620" s="591" t="s">
        <v>482</v>
      </c>
      <c r="R620" s="591" t="s">
        <v>483</v>
      </c>
      <c r="S620" s="591"/>
      <c r="T620" s="591"/>
      <c r="U620" s="591"/>
      <c r="V620" s="591"/>
      <c r="W620" s="594"/>
      <c r="X620" s="594"/>
      <c r="Y620" s="594"/>
      <c r="Z620" s="594"/>
      <c r="AA620" s="594"/>
      <c r="AB620" s="591"/>
      <c r="AC620" s="591"/>
      <c r="AD620" s="591"/>
      <c r="AE620" s="594"/>
    </row>
    <row r="621" spans="1:31">
      <c r="A621" s="596">
        <v>83</v>
      </c>
      <c r="B621" s="596">
        <f t="shared" ref="B621:E621" si="570">B514</f>
        <v>0</v>
      </c>
      <c r="C621" s="596">
        <f t="shared" si="570"/>
        <v>0</v>
      </c>
      <c r="D621" s="597">
        <f t="shared" si="570"/>
        <v>0</v>
      </c>
      <c r="E621" s="597">
        <f t="shared" si="570"/>
        <v>0</v>
      </c>
      <c r="F621" s="590" t="str">
        <f>VLOOKUP(A621,STUDENT!$A$2:$BR$105,68,0)</f>
        <v/>
      </c>
      <c r="G621" s="590" t="b">
        <f>VLOOKUP(A621,STUDENT!$A$2:$BR$105,67,0)</f>
        <v>0</v>
      </c>
      <c r="H621" s="590" t="str">
        <f>MARKS!DV86</f>
        <v/>
      </c>
      <c r="I621" s="590" t="str">
        <f>MARKS!DW86</f>
        <v/>
      </c>
      <c r="J621" s="590" t="str">
        <f>MARKS!DX86</f>
        <v/>
      </c>
      <c r="K621" s="590" t="str">
        <f>MARKS!DY86</f>
        <v/>
      </c>
      <c r="L621" s="590" t="str">
        <f>MARKS!DZ86</f>
        <v/>
      </c>
      <c r="M621" s="590" t="str">
        <f>MARKS!EA86</f>
        <v/>
      </c>
      <c r="N621" s="590" t="str">
        <f>MARKS!EB86</f>
        <v/>
      </c>
      <c r="O621" s="590" t="str">
        <f>MARKS!EC86</f>
        <v/>
      </c>
      <c r="Q621" s="591"/>
      <c r="R621" s="591"/>
      <c r="S621" s="591" t="s">
        <v>102</v>
      </c>
      <c r="T621" s="591">
        <f>SUM(T613:T620)</f>
        <v>0</v>
      </c>
      <c r="U621" s="591">
        <f t="shared" ref="U621:V621" si="571">SUM(U613:U620)</f>
        <v>0</v>
      </c>
      <c r="V621" s="591">
        <f t="shared" si="571"/>
        <v>0</v>
      </c>
      <c r="W621" s="594"/>
      <c r="X621" s="594"/>
      <c r="Y621" s="594"/>
      <c r="Z621" s="594"/>
      <c r="AA621" s="594"/>
      <c r="AB621" s="591"/>
      <c r="AC621" s="591"/>
      <c r="AD621" s="591"/>
      <c r="AE621" s="594"/>
    </row>
    <row r="622" spans="1:31">
      <c r="A622" s="590">
        <v>84</v>
      </c>
      <c r="B622" s="596">
        <f t="shared" ref="B622:E622" si="572">B515</f>
        <v>0</v>
      </c>
      <c r="C622" s="596">
        <f t="shared" si="572"/>
        <v>0</v>
      </c>
      <c r="D622" s="597">
        <f t="shared" si="572"/>
        <v>0</v>
      </c>
      <c r="E622" s="597">
        <f t="shared" si="572"/>
        <v>0</v>
      </c>
      <c r="F622" s="590" t="str">
        <f>VLOOKUP(A622,STUDENT!$A$2:$BR$105,68,0)</f>
        <v/>
      </c>
      <c r="G622" s="590" t="b">
        <f>VLOOKUP(A622,STUDENT!$A$2:$BR$105,67,0)</f>
        <v>0</v>
      </c>
      <c r="H622" s="590" t="str">
        <f>MARKS!DV87</f>
        <v/>
      </c>
      <c r="I622" s="590" t="str">
        <f>MARKS!DW87</f>
        <v/>
      </c>
      <c r="J622" s="590" t="str">
        <f>MARKS!DX87</f>
        <v/>
      </c>
      <c r="K622" s="590" t="str">
        <f>MARKS!DY87</f>
        <v/>
      </c>
      <c r="L622" s="590" t="str">
        <f>MARKS!DZ87</f>
        <v/>
      </c>
      <c r="M622" s="590" t="str">
        <f>MARKS!EA87</f>
        <v/>
      </c>
      <c r="N622" s="590" t="str">
        <f>MARKS!EB87</f>
        <v/>
      </c>
      <c r="O622" s="590" t="str">
        <f>MARKS!EC87</f>
        <v/>
      </c>
      <c r="Q622" s="591"/>
      <c r="R622" s="591"/>
      <c r="S622" s="591"/>
      <c r="T622" s="591"/>
      <c r="U622" s="591"/>
      <c r="V622" s="591"/>
      <c r="W622" s="594"/>
      <c r="X622" s="594"/>
      <c r="Y622" s="594"/>
      <c r="Z622" s="594"/>
      <c r="AA622" s="594"/>
      <c r="AB622" s="591"/>
      <c r="AC622" s="591"/>
      <c r="AD622" s="591"/>
      <c r="AE622" s="594"/>
    </row>
    <row r="623" spans="1:31">
      <c r="A623" s="596">
        <v>85</v>
      </c>
      <c r="B623" s="596">
        <f t="shared" ref="B623:E623" si="573">B516</f>
        <v>0</v>
      </c>
      <c r="C623" s="596">
        <f t="shared" si="573"/>
        <v>0</v>
      </c>
      <c r="D623" s="597">
        <f t="shared" si="573"/>
        <v>0</v>
      </c>
      <c r="E623" s="597">
        <f t="shared" si="573"/>
        <v>0</v>
      </c>
      <c r="F623" s="590" t="str">
        <f>VLOOKUP(A623,STUDENT!$A$2:$BR$105,68,0)</f>
        <v/>
      </c>
      <c r="G623" s="590" t="b">
        <f>VLOOKUP(A623,STUDENT!$A$2:$BR$105,67,0)</f>
        <v>0</v>
      </c>
      <c r="H623" s="590" t="str">
        <f>MARKS!DV88</f>
        <v/>
      </c>
      <c r="I623" s="590" t="str">
        <f>MARKS!DW88</f>
        <v/>
      </c>
      <c r="J623" s="590" t="str">
        <f>MARKS!DX88</f>
        <v/>
      </c>
      <c r="K623" s="590" t="str">
        <f>MARKS!DY88</f>
        <v/>
      </c>
      <c r="L623" s="590" t="str">
        <f>MARKS!DZ88</f>
        <v/>
      </c>
      <c r="M623" s="590" t="str">
        <f>MARKS!EA88</f>
        <v/>
      </c>
      <c r="N623" s="590" t="str">
        <f>MARKS!EB88</f>
        <v/>
      </c>
      <c r="O623" s="590" t="str">
        <f>MARKS!EC88</f>
        <v/>
      </c>
      <c r="Q623" s="591"/>
      <c r="R623" s="591"/>
      <c r="S623" s="591"/>
      <c r="T623" s="591"/>
      <c r="U623" s="591"/>
      <c r="V623" s="591"/>
      <c r="W623" s="594"/>
      <c r="X623" s="594"/>
      <c r="Y623" s="594"/>
      <c r="Z623" s="594"/>
      <c r="AA623" s="594"/>
      <c r="AB623" s="591"/>
      <c r="AC623" s="591"/>
      <c r="AD623" s="591"/>
      <c r="AE623" s="594"/>
    </row>
    <row r="624" spans="1:31">
      <c r="A624" s="590">
        <v>86</v>
      </c>
      <c r="B624" s="596">
        <f t="shared" ref="B624:E624" si="574">B517</f>
        <v>0</v>
      </c>
      <c r="C624" s="596">
        <f t="shared" si="574"/>
        <v>0</v>
      </c>
      <c r="D624" s="597">
        <f t="shared" si="574"/>
        <v>0</v>
      </c>
      <c r="E624" s="597">
        <f t="shared" si="574"/>
        <v>0</v>
      </c>
      <c r="F624" s="590" t="str">
        <f>VLOOKUP(A624,STUDENT!$A$2:$BR$105,68,0)</f>
        <v/>
      </c>
      <c r="G624" s="590" t="b">
        <f>VLOOKUP(A624,STUDENT!$A$2:$BR$105,67,0)</f>
        <v>0</v>
      </c>
      <c r="H624" s="590" t="str">
        <f>MARKS!DV89</f>
        <v/>
      </c>
      <c r="I624" s="590" t="str">
        <f>MARKS!DW89</f>
        <v/>
      </c>
      <c r="J624" s="590" t="str">
        <f>MARKS!DX89</f>
        <v/>
      </c>
      <c r="K624" s="590" t="str">
        <f>MARKS!DY89</f>
        <v/>
      </c>
      <c r="L624" s="590" t="str">
        <f>MARKS!DZ89</f>
        <v/>
      </c>
      <c r="M624" s="590" t="str">
        <f>MARKS!EA89</f>
        <v/>
      </c>
      <c r="N624" s="590" t="str">
        <f>MARKS!EB89</f>
        <v/>
      </c>
      <c r="O624" s="590" t="str">
        <f>MARKS!EC89</f>
        <v/>
      </c>
      <c r="Q624" s="591"/>
      <c r="R624" s="591"/>
      <c r="S624" s="591"/>
      <c r="T624" s="591"/>
      <c r="U624" s="591"/>
      <c r="V624" s="591"/>
      <c r="W624" s="594"/>
      <c r="X624" s="594"/>
      <c r="Y624" s="594"/>
      <c r="Z624" s="594"/>
      <c r="AA624" s="594"/>
      <c r="AB624" s="591"/>
      <c r="AC624" s="591"/>
      <c r="AD624" s="591"/>
      <c r="AE624" s="594"/>
    </row>
    <row r="625" spans="1:31">
      <c r="A625" s="596">
        <v>87</v>
      </c>
      <c r="B625" s="596">
        <f t="shared" ref="B625:E625" si="575">B518</f>
        <v>0</v>
      </c>
      <c r="C625" s="596">
        <f t="shared" si="575"/>
        <v>0</v>
      </c>
      <c r="D625" s="597">
        <f t="shared" si="575"/>
        <v>0</v>
      </c>
      <c r="E625" s="597">
        <f t="shared" si="575"/>
        <v>0</v>
      </c>
      <c r="F625" s="590" t="str">
        <f>VLOOKUP(A625,STUDENT!$A$2:$BR$105,68,0)</f>
        <v/>
      </c>
      <c r="G625" s="590" t="b">
        <f>VLOOKUP(A625,STUDENT!$A$2:$BR$105,67,0)</f>
        <v>0</v>
      </c>
      <c r="H625" s="590" t="str">
        <f>MARKS!DV90</f>
        <v/>
      </c>
      <c r="I625" s="590" t="str">
        <f>MARKS!DW90</f>
        <v/>
      </c>
      <c r="J625" s="590" t="str">
        <f>MARKS!DX90</f>
        <v/>
      </c>
      <c r="K625" s="590" t="str">
        <f>MARKS!DY90</f>
        <v/>
      </c>
      <c r="L625" s="590" t="str">
        <f>MARKS!DZ90</f>
        <v/>
      </c>
      <c r="M625" s="590" t="str">
        <f>MARKS!EA90</f>
        <v/>
      </c>
      <c r="N625" s="590" t="str">
        <f>MARKS!EB90</f>
        <v/>
      </c>
      <c r="O625" s="590" t="str">
        <f>MARKS!EC90</f>
        <v/>
      </c>
      <c r="Q625" s="591" t="s">
        <v>475</v>
      </c>
      <c r="R625" s="591" t="s">
        <v>476</v>
      </c>
      <c r="S625" s="592" t="s">
        <v>477</v>
      </c>
      <c r="T625" s="593" t="s">
        <v>354</v>
      </c>
      <c r="U625" s="592" t="s">
        <v>479</v>
      </c>
      <c r="V625" s="592" t="s">
        <v>480</v>
      </c>
      <c r="W625" s="594"/>
      <c r="X625" s="594"/>
      <c r="Y625" s="594"/>
      <c r="Z625" s="594"/>
      <c r="AA625" s="594"/>
      <c r="AB625" s="591"/>
      <c r="AC625" s="591"/>
      <c r="AD625" s="591"/>
      <c r="AE625" s="594"/>
    </row>
    <row r="626" spans="1:31">
      <c r="A626" s="590">
        <v>88</v>
      </c>
      <c r="B626" s="596">
        <f t="shared" ref="B626:E626" si="576">B519</f>
        <v>0</v>
      </c>
      <c r="C626" s="596">
        <f t="shared" si="576"/>
        <v>0</v>
      </c>
      <c r="D626" s="597">
        <f t="shared" si="576"/>
        <v>0</v>
      </c>
      <c r="E626" s="597">
        <f t="shared" si="576"/>
        <v>0</v>
      </c>
      <c r="F626" s="590" t="str">
        <f>VLOOKUP(A626,STUDENT!$A$2:$BR$105,68,0)</f>
        <v/>
      </c>
      <c r="G626" s="590" t="b">
        <f>VLOOKUP(A626,STUDENT!$A$2:$BR$105,67,0)</f>
        <v>0</v>
      </c>
      <c r="H626" s="590" t="str">
        <f>MARKS!DV91</f>
        <v/>
      </c>
      <c r="I626" s="590" t="str">
        <f>MARKS!DW91</f>
        <v/>
      </c>
      <c r="J626" s="590" t="str">
        <f>MARKS!DX91</f>
        <v/>
      </c>
      <c r="K626" s="590" t="str">
        <f>MARKS!DY91</f>
        <v/>
      </c>
      <c r="L626" s="590" t="str">
        <f>MARKS!DZ91</f>
        <v/>
      </c>
      <c r="M626" s="590" t="str">
        <f>MARKS!EA91</f>
        <v/>
      </c>
      <c r="N626" s="590" t="str">
        <f>MARKS!EB91</f>
        <v/>
      </c>
      <c r="O626" s="590" t="str">
        <f>MARKS!EC91</f>
        <v/>
      </c>
      <c r="Q626" s="591" t="s">
        <v>482</v>
      </c>
      <c r="R626" s="591" t="s">
        <v>483</v>
      </c>
      <c r="S626" s="591" t="s">
        <v>50</v>
      </c>
      <c r="T626" s="591">
        <f>COUNTIFS(N539:N638,S626)</f>
        <v>0</v>
      </c>
      <c r="U626" s="591">
        <f>COUNTIFS(F539:F638,Q615,N539:N638,S626)</f>
        <v>0</v>
      </c>
      <c r="V626" s="591">
        <f>COUNTIFS(F539:F638,R615,N539:N638,S626)</f>
        <v>0</v>
      </c>
      <c r="W626" s="594"/>
      <c r="X626" s="594"/>
      <c r="Y626" s="594"/>
      <c r="Z626" s="594"/>
      <c r="AA626" s="594"/>
      <c r="AB626" s="591"/>
      <c r="AC626" s="591"/>
      <c r="AD626" s="591"/>
      <c r="AE626" s="594"/>
    </row>
    <row r="627" spans="1:31">
      <c r="A627" s="596">
        <v>89</v>
      </c>
      <c r="B627" s="596">
        <f t="shared" ref="B627:E627" si="577">B520</f>
        <v>0</v>
      </c>
      <c r="C627" s="596">
        <f t="shared" si="577"/>
        <v>0</v>
      </c>
      <c r="D627" s="597">
        <f t="shared" si="577"/>
        <v>0</v>
      </c>
      <c r="E627" s="597">
        <f t="shared" si="577"/>
        <v>0</v>
      </c>
      <c r="F627" s="590" t="str">
        <f>VLOOKUP(A627,STUDENT!$A$2:$BR$105,68,0)</f>
        <v/>
      </c>
      <c r="G627" s="590" t="b">
        <f>VLOOKUP(A627,STUDENT!$A$2:$BR$105,67,0)</f>
        <v>0</v>
      </c>
      <c r="H627" s="590" t="str">
        <f>MARKS!DV92</f>
        <v/>
      </c>
      <c r="I627" s="590" t="str">
        <f>MARKS!DW92</f>
        <v/>
      </c>
      <c r="J627" s="590" t="str">
        <f>MARKS!DX92</f>
        <v/>
      </c>
      <c r="K627" s="590" t="str">
        <f>MARKS!DY92</f>
        <v/>
      </c>
      <c r="L627" s="590" t="str">
        <f>MARKS!DZ92</f>
        <v/>
      </c>
      <c r="M627" s="590" t="str">
        <f>MARKS!EA92</f>
        <v/>
      </c>
      <c r="N627" s="590" t="str">
        <f>MARKS!EB92</f>
        <v/>
      </c>
      <c r="O627" s="590" t="str">
        <f>MARKS!EC92</f>
        <v/>
      </c>
      <c r="Q627" s="591" t="s">
        <v>482</v>
      </c>
      <c r="R627" s="591" t="s">
        <v>483</v>
      </c>
      <c r="S627" s="591" t="s">
        <v>485</v>
      </c>
      <c r="T627" s="591">
        <f>COUNTIFS(N539:N638,S627)</f>
        <v>0</v>
      </c>
      <c r="U627" s="591">
        <f>COUNTIFS(F539:F638,Q616,N539:N638,S627)</f>
        <v>0</v>
      </c>
      <c r="V627" s="591">
        <f>COUNTIFS(F539:F638,R616,N539:N638,S627)</f>
        <v>0</v>
      </c>
      <c r="W627" s="594"/>
      <c r="X627" s="594"/>
      <c r="Y627" s="594"/>
      <c r="Z627" s="594"/>
      <c r="AA627" s="594"/>
      <c r="AB627" s="591"/>
      <c r="AC627" s="591"/>
      <c r="AD627" s="591"/>
      <c r="AE627" s="594"/>
    </row>
    <row r="628" spans="1:31">
      <c r="A628" s="590">
        <v>90</v>
      </c>
      <c r="B628" s="596">
        <f t="shared" ref="B628:E628" si="578">B521</f>
        <v>0</v>
      </c>
      <c r="C628" s="596">
        <f t="shared" si="578"/>
        <v>0</v>
      </c>
      <c r="D628" s="597">
        <f t="shared" si="578"/>
        <v>0</v>
      </c>
      <c r="E628" s="597">
        <f t="shared" si="578"/>
        <v>0</v>
      </c>
      <c r="F628" s="590" t="str">
        <f>VLOOKUP(A628,STUDENT!$A$2:$BR$105,68,0)</f>
        <v/>
      </c>
      <c r="G628" s="590" t="b">
        <f>VLOOKUP(A628,STUDENT!$A$2:$BR$105,67,0)</f>
        <v>0</v>
      </c>
      <c r="H628" s="590" t="str">
        <f>MARKS!DV93</f>
        <v/>
      </c>
      <c r="I628" s="590" t="str">
        <f>MARKS!DW93</f>
        <v/>
      </c>
      <c r="J628" s="590" t="str">
        <f>MARKS!DX93</f>
        <v/>
      </c>
      <c r="K628" s="590" t="str">
        <f>MARKS!DY93</f>
        <v/>
      </c>
      <c r="L628" s="590" t="str">
        <f>MARKS!DZ93</f>
        <v/>
      </c>
      <c r="M628" s="590" t="str">
        <f>MARKS!EA93</f>
        <v/>
      </c>
      <c r="N628" s="590" t="str">
        <f>MARKS!EB93</f>
        <v/>
      </c>
      <c r="O628" s="590" t="str">
        <f>MARKS!EC93</f>
        <v/>
      </c>
      <c r="Q628" s="591" t="s">
        <v>482</v>
      </c>
      <c r="R628" s="591" t="s">
        <v>483</v>
      </c>
      <c r="S628" s="591" t="s">
        <v>486</v>
      </c>
      <c r="T628" s="591">
        <f>COUNTIFS(N539:N638,S628)</f>
        <v>0</v>
      </c>
      <c r="U628" s="591">
        <f>COUNTIFS(F539:F638,Q617,N539:N638,S628)</f>
        <v>0</v>
      </c>
      <c r="V628" s="591">
        <f>COUNTIFS(F539:F638,R617,N539:N638,S628)</f>
        <v>0</v>
      </c>
      <c r="W628" s="594"/>
      <c r="X628" s="594"/>
      <c r="Y628" s="594"/>
      <c r="Z628" s="594"/>
      <c r="AA628" s="594"/>
      <c r="AB628" s="591"/>
      <c r="AC628" s="591"/>
      <c r="AD628" s="591"/>
      <c r="AE628" s="594"/>
    </row>
    <row r="629" spans="1:31">
      <c r="A629" s="596">
        <v>91</v>
      </c>
      <c r="B629" s="596">
        <f t="shared" ref="B629:E629" si="579">B522</f>
        <v>0</v>
      </c>
      <c r="C629" s="596">
        <f t="shared" si="579"/>
        <v>0</v>
      </c>
      <c r="D629" s="597">
        <f t="shared" si="579"/>
        <v>0</v>
      </c>
      <c r="E629" s="597">
        <f t="shared" si="579"/>
        <v>0</v>
      </c>
      <c r="F629" s="590" t="str">
        <f>VLOOKUP(A629,STUDENT!$A$2:$BR$105,68,0)</f>
        <v/>
      </c>
      <c r="G629" s="590" t="b">
        <f>VLOOKUP(A629,STUDENT!$A$2:$BR$105,67,0)</f>
        <v>0</v>
      </c>
      <c r="H629" s="590" t="str">
        <f>MARKS!DV94</f>
        <v/>
      </c>
      <c r="I629" s="590" t="str">
        <f>MARKS!DW94</f>
        <v/>
      </c>
      <c r="J629" s="590" t="str">
        <f>MARKS!DX94</f>
        <v/>
      </c>
      <c r="K629" s="590" t="str">
        <f>MARKS!DY94</f>
        <v/>
      </c>
      <c r="L629" s="590" t="str">
        <f>MARKS!DZ94</f>
        <v/>
      </c>
      <c r="M629" s="590" t="str">
        <f>MARKS!EA94</f>
        <v/>
      </c>
      <c r="N629" s="590" t="str">
        <f>MARKS!EB94</f>
        <v/>
      </c>
      <c r="O629" s="590" t="str">
        <f>MARKS!EC94</f>
        <v/>
      </c>
      <c r="Q629" s="591" t="s">
        <v>482</v>
      </c>
      <c r="R629" s="591" t="s">
        <v>483</v>
      </c>
      <c r="S629" s="591" t="s">
        <v>487</v>
      </c>
      <c r="T629" s="591">
        <f>COUNTIFS(N539:N638,S629)</f>
        <v>0</v>
      </c>
      <c r="U629" s="591">
        <f>COUNTIFS(F539:F638,Q618,N539:N638,S629)</f>
        <v>0</v>
      </c>
      <c r="V629" s="591">
        <f>COUNTIFS(F539:F638,R618,N539:N638,S629)</f>
        <v>0</v>
      </c>
      <c r="W629" s="594"/>
      <c r="X629" s="594"/>
      <c r="Y629" s="594"/>
      <c r="Z629" s="594"/>
      <c r="AA629" s="594"/>
      <c r="AB629" s="591"/>
      <c r="AC629" s="591"/>
      <c r="AD629" s="591"/>
      <c r="AE629" s="594"/>
    </row>
    <row r="630" spans="1:31">
      <c r="A630" s="590">
        <v>92</v>
      </c>
      <c r="B630" s="596">
        <f t="shared" ref="B630:E630" si="580">B523</f>
        <v>0</v>
      </c>
      <c r="C630" s="596">
        <f t="shared" si="580"/>
        <v>0</v>
      </c>
      <c r="D630" s="597">
        <f t="shared" si="580"/>
        <v>0</v>
      </c>
      <c r="E630" s="597">
        <f t="shared" si="580"/>
        <v>0</v>
      </c>
      <c r="F630" s="590" t="str">
        <f>VLOOKUP(A630,STUDENT!$A$2:$BR$105,68,0)</f>
        <v/>
      </c>
      <c r="G630" s="590" t="b">
        <f>VLOOKUP(A630,STUDENT!$A$2:$BR$105,67,0)</f>
        <v>0</v>
      </c>
      <c r="H630" s="590" t="str">
        <f>MARKS!DV95</f>
        <v/>
      </c>
      <c r="I630" s="590" t="str">
        <f>MARKS!DW95</f>
        <v/>
      </c>
      <c r="J630" s="590" t="str">
        <f>MARKS!DX95</f>
        <v/>
      </c>
      <c r="K630" s="590" t="str">
        <f>MARKS!DY95</f>
        <v/>
      </c>
      <c r="L630" s="590" t="str">
        <f>MARKS!DZ95</f>
        <v/>
      </c>
      <c r="M630" s="590" t="str">
        <f>MARKS!EA95</f>
        <v/>
      </c>
      <c r="N630" s="590" t="str">
        <f>MARKS!EB95</f>
        <v/>
      </c>
      <c r="O630" s="590" t="str">
        <f>MARKS!EC95</f>
        <v/>
      </c>
      <c r="Q630" s="591" t="s">
        <v>482</v>
      </c>
      <c r="R630" s="591" t="s">
        <v>483</v>
      </c>
      <c r="S630" s="591" t="s">
        <v>488</v>
      </c>
      <c r="T630" s="591">
        <f>COUNTIFS(N539:N638,S630)</f>
        <v>0</v>
      </c>
      <c r="U630" s="591">
        <f>COUNTIFS(F539:F638,Q619,N539:N638,S630)</f>
        <v>0</v>
      </c>
      <c r="V630" s="591">
        <f>COUNTIFS(F539:F638,R619,N539:N638,S630)</f>
        <v>0</v>
      </c>
      <c r="W630" s="594"/>
      <c r="X630" s="594"/>
      <c r="Y630" s="594"/>
      <c r="Z630" s="594"/>
      <c r="AA630" s="594"/>
      <c r="AB630" s="591"/>
      <c r="AC630" s="591"/>
      <c r="AD630" s="591"/>
      <c r="AE630" s="594"/>
    </row>
    <row r="631" spans="1:31">
      <c r="A631" s="596">
        <v>93</v>
      </c>
      <c r="B631" s="596">
        <f t="shared" ref="B631:E631" si="581">B524</f>
        <v>0</v>
      </c>
      <c r="C631" s="596">
        <f t="shared" si="581"/>
        <v>0</v>
      </c>
      <c r="D631" s="597">
        <f t="shared" si="581"/>
        <v>0</v>
      </c>
      <c r="E631" s="597">
        <f t="shared" si="581"/>
        <v>0</v>
      </c>
      <c r="F631" s="590" t="str">
        <f>VLOOKUP(A631,STUDENT!$A$2:$BR$105,68,0)</f>
        <v/>
      </c>
      <c r="G631" s="590" t="b">
        <f>VLOOKUP(A631,STUDENT!$A$2:$BR$105,67,0)</f>
        <v>0</v>
      </c>
      <c r="H631" s="590" t="str">
        <f>MARKS!DV96</f>
        <v/>
      </c>
      <c r="I631" s="590" t="str">
        <f>MARKS!DW96</f>
        <v/>
      </c>
      <c r="J631" s="590" t="str">
        <f>MARKS!DX96</f>
        <v/>
      </c>
      <c r="K631" s="590" t="str">
        <f>MARKS!DY96</f>
        <v/>
      </c>
      <c r="L631" s="590" t="str">
        <f>MARKS!DZ96</f>
        <v/>
      </c>
      <c r="M631" s="590" t="str">
        <f>MARKS!EA96</f>
        <v/>
      </c>
      <c r="N631" s="590" t="str">
        <f>MARKS!EB96</f>
        <v/>
      </c>
      <c r="O631" s="590" t="str">
        <f>MARKS!EC96</f>
        <v/>
      </c>
      <c r="Q631" s="591" t="s">
        <v>482</v>
      </c>
      <c r="R631" s="591" t="s">
        <v>483</v>
      </c>
      <c r="S631" s="591" t="s">
        <v>101</v>
      </c>
      <c r="T631" s="591">
        <f>COUNTIFS(N539:N638,S631)</f>
        <v>0</v>
      </c>
      <c r="U631" s="591">
        <f>COUNTIFS(F539:F638,Q620,N539:N638,S631)</f>
        <v>0</v>
      </c>
      <c r="V631" s="591">
        <f>COUNTIFS(F539:F638,R620,N539:N638,S631)</f>
        <v>0</v>
      </c>
      <c r="W631" s="594"/>
      <c r="X631" s="594"/>
      <c r="Y631" s="594"/>
      <c r="Z631" s="594"/>
      <c r="AA631" s="594"/>
      <c r="AB631" s="591"/>
      <c r="AC631" s="591"/>
      <c r="AD631" s="591"/>
      <c r="AE631" s="594"/>
    </row>
    <row r="632" spans="1:31">
      <c r="A632" s="590">
        <v>94</v>
      </c>
      <c r="B632" s="596">
        <f t="shared" ref="B632:E632" si="582">B525</f>
        <v>0</v>
      </c>
      <c r="C632" s="596">
        <f t="shared" si="582"/>
        <v>0</v>
      </c>
      <c r="D632" s="597">
        <f t="shared" si="582"/>
        <v>0</v>
      </c>
      <c r="E632" s="597">
        <f t="shared" si="582"/>
        <v>0</v>
      </c>
      <c r="F632" s="590" t="str">
        <f>VLOOKUP(A632,STUDENT!$A$2:$BR$105,68,0)</f>
        <v/>
      </c>
      <c r="G632" s="590" t="b">
        <f>VLOOKUP(A632,STUDENT!$A$2:$BR$105,67,0)</f>
        <v>0</v>
      </c>
      <c r="H632" s="590" t="str">
        <f>MARKS!DV97</f>
        <v/>
      </c>
      <c r="I632" s="590" t="str">
        <f>MARKS!DW97</f>
        <v/>
      </c>
      <c r="J632" s="590" t="str">
        <f>MARKS!DX97</f>
        <v/>
      </c>
      <c r="K632" s="590" t="str">
        <f>MARKS!DY97</f>
        <v/>
      </c>
      <c r="L632" s="590" t="str">
        <f>MARKS!DZ97</f>
        <v/>
      </c>
      <c r="M632" s="590" t="str">
        <f>MARKS!EA97</f>
        <v/>
      </c>
      <c r="N632" s="590" t="str">
        <f>MARKS!EB97</f>
        <v/>
      </c>
      <c r="O632" s="590" t="str">
        <f>MARKS!EC97</f>
        <v/>
      </c>
      <c r="Q632" s="591" t="s">
        <v>482</v>
      </c>
      <c r="R632" s="591" t="s">
        <v>483</v>
      </c>
      <c r="S632" s="591" t="s">
        <v>489</v>
      </c>
      <c r="T632" s="591">
        <f>COUNTIFS(N539:N638,S632)</f>
        <v>0</v>
      </c>
      <c r="U632" s="591">
        <f>COUNTIFS(F539:F638,Q621,N539:N638,S632)</f>
        <v>0</v>
      </c>
      <c r="V632" s="591">
        <f>COUNTIFS(F539:F638,R621,N539:N638,S632)</f>
        <v>0</v>
      </c>
      <c r="W632" s="594"/>
      <c r="X632" s="594"/>
      <c r="Y632" s="594"/>
      <c r="Z632" s="594"/>
      <c r="AA632" s="594"/>
      <c r="AB632" s="591"/>
      <c r="AC632" s="591"/>
      <c r="AD632" s="591"/>
      <c r="AE632" s="594"/>
    </row>
    <row r="633" spans="1:31">
      <c r="A633" s="596">
        <v>95</v>
      </c>
      <c r="B633" s="596">
        <f t="shared" ref="B633:E633" si="583">B526</f>
        <v>0</v>
      </c>
      <c r="C633" s="596">
        <f t="shared" si="583"/>
        <v>0</v>
      </c>
      <c r="D633" s="597">
        <f t="shared" si="583"/>
        <v>0</v>
      </c>
      <c r="E633" s="597">
        <f t="shared" si="583"/>
        <v>0</v>
      </c>
      <c r="F633" s="590" t="str">
        <f>VLOOKUP(A633,STUDENT!$A$2:$BR$105,68,0)</f>
        <v/>
      </c>
      <c r="G633" s="590" t="b">
        <f>VLOOKUP(A633,STUDENT!$A$2:$BR$105,67,0)</f>
        <v>0</v>
      </c>
      <c r="H633" s="590" t="str">
        <f>MARKS!DV98</f>
        <v/>
      </c>
      <c r="I633" s="590" t="str">
        <f>MARKS!DW98</f>
        <v/>
      </c>
      <c r="J633" s="590" t="str">
        <f>MARKS!DX98</f>
        <v/>
      </c>
      <c r="K633" s="590" t="str">
        <f>MARKS!DY98</f>
        <v/>
      </c>
      <c r="L633" s="590" t="str">
        <f>MARKS!DZ98</f>
        <v/>
      </c>
      <c r="M633" s="590" t="str">
        <f>MARKS!EA98</f>
        <v/>
      </c>
      <c r="N633" s="590" t="str">
        <f>MARKS!EB98</f>
        <v/>
      </c>
      <c r="O633" s="590" t="str">
        <f>MARKS!EC98</f>
        <v/>
      </c>
      <c r="Q633" s="591" t="s">
        <v>482</v>
      </c>
      <c r="R633" s="591" t="s">
        <v>483</v>
      </c>
      <c r="S633" s="591"/>
      <c r="T633" s="591"/>
      <c r="U633" s="591"/>
      <c r="V633" s="591"/>
      <c r="W633" s="594"/>
      <c r="X633" s="594"/>
      <c r="Y633" s="594"/>
      <c r="Z633" s="594"/>
      <c r="AA633" s="594"/>
      <c r="AB633" s="591"/>
      <c r="AC633" s="591"/>
      <c r="AD633" s="591"/>
      <c r="AE633" s="594"/>
    </row>
    <row r="634" spans="1:31">
      <c r="A634" s="590">
        <v>96</v>
      </c>
      <c r="B634" s="596">
        <f t="shared" ref="B634:E634" si="584">B527</f>
        <v>0</v>
      </c>
      <c r="C634" s="596">
        <f t="shared" si="584"/>
        <v>0</v>
      </c>
      <c r="D634" s="597">
        <f t="shared" si="584"/>
        <v>0</v>
      </c>
      <c r="E634" s="597">
        <f t="shared" si="584"/>
        <v>0</v>
      </c>
      <c r="F634" s="590" t="str">
        <f>VLOOKUP(A634,STUDENT!$A$2:$BR$105,68,0)</f>
        <v/>
      </c>
      <c r="G634" s="590" t="b">
        <f>VLOOKUP(A634,STUDENT!$A$2:$BR$105,67,0)</f>
        <v>0</v>
      </c>
      <c r="H634" s="590" t="str">
        <f>MARKS!DV99</f>
        <v/>
      </c>
      <c r="I634" s="590" t="str">
        <f>MARKS!DW99</f>
        <v/>
      </c>
      <c r="J634" s="590" t="str">
        <f>MARKS!DX99</f>
        <v/>
      </c>
      <c r="K634" s="590" t="str">
        <f>MARKS!DY99</f>
        <v/>
      </c>
      <c r="L634" s="590" t="str">
        <f>MARKS!DZ99</f>
        <v/>
      </c>
      <c r="M634" s="590" t="str">
        <f>MARKS!EA99</f>
        <v/>
      </c>
      <c r="N634" s="590" t="str">
        <f>MARKS!EB99</f>
        <v/>
      </c>
      <c r="O634" s="590" t="str">
        <f>MARKS!EC99</f>
        <v/>
      </c>
      <c r="Q634" s="591"/>
      <c r="R634" s="591"/>
      <c r="S634" s="591" t="s">
        <v>102</v>
      </c>
      <c r="T634" s="591">
        <f>SUM(T626:T633)</f>
        <v>0</v>
      </c>
      <c r="U634" s="591">
        <f t="shared" ref="U634:V634" si="585">SUM(U626:U633)</f>
        <v>0</v>
      </c>
      <c r="V634" s="591">
        <f t="shared" si="585"/>
        <v>0</v>
      </c>
      <c r="W634" s="594"/>
      <c r="X634" s="594"/>
      <c r="Y634" s="594"/>
      <c r="Z634" s="594"/>
      <c r="AA634" s="594"/>
      <c r="AB634" s="591"/>
      <c r="AC634" s="591"/>
      <c r="AD634" s="591"/>
      <c r="AE634" s="594"/>
    </row>
    <row r="635" spans="1:31">
      <c r="A635" s="596">
        <v>97</v>
      </c>
      <c r="B635" s="596">
        <f t="shared" ref="B635:E635" si="586">B528</f>
        <v>0</v>
      </c>
      <c r="C635" s="596">
        <f t="shared" si="586"/>
        <v>0</v>
      </c>
      <c r="D635" s="597">
        <f t="shared" si="586"/>
        <v>0</v>
      </c>
      <c r="E635" s="597">
        <f t="shared" si="586"/>
        <v>0</v>
      </c>
      <c r="F635" s="590" t="str">
        <f>VLOOKUP(A635,STUDENT!$A$2:$BR$105,68,0)</f>
        <v/>
      </c>
      <c r="G635" s="590" t="b">
        <f>VLOOKUP(A635,STUDENT!$A$2:$BR$105,67,0)</f>
        <v>0</v>
      </c>
      <c r="H635" s="590" t="str">
        <f>MARKS!DV100</f>
        <v/>
      </c>
      <c r="I635" s="590" t="str">
        <f>MARKS!DW100</f>
        <v/>
      </c>
      <c r="J635" s="590" t="str">
        <f>MARKS!DX100</f>
        <v/>
      </c>
      <c r="K635" s="590" t="str">
        <f>MARKS!DY100</f>
        <v/>
      </c>
      <c r="L635" s="590" t="str">
        <f>MARKS!DZ100</f>
        <v/>
      </c>
      <c r="M635" s="590" t="str">
        <f>MARKS!EA100</f>
        <v/>
      </c>
      <c r="N635" s="590" t="str">
        <f>MARKS!EB100</f>
        <v/>
      </c>
      <c r="O635" s="590" t="str">
        <f>MARKS!EC100</f>
        <v/>
      </c>
      <c r="Q635" s="598"/>
      <c r="R635" s="598"/>
      <c r="S635" s="598"/>
      <c r="T635" s="598"/>
      <c r="U635" s="598"/>
      <c r="V635" s="598"/>
      <c r="W635" s="595"/>
      <c r="X635" s="595"/>
      <c r="Y635" s="595"/>
      <c r="Z635" s="595"/>
      <c r="AA635" s="595"/>
      <c r="AB635" s="598"/>
      <c r="AC635" s="598"/>
      <c r="AD635" s="598"/>
      <c r="AE635" s="595"/>
    </row>
    <row r="636" spans="1:31">
      <c r="A636" s="590">
        <v>98</v>
      </c>
      <c r="B636" s="596">
        <f t="shared" ref="B636:E636" si="587">B529</f>
        <v>0</v>
      </c>
      <c r="C636" s="596">
        <f t="shared" si="587"/>
        <v>0</v>
      </c>
      <c r="D636" s="597">
        <f t="shared" si="587"/>
        <v>0</v>
      </c>
      <c r="E636" s="597">
        <f t="shared" si="587"/>
        <v>0</v>
      </c>
      <c r="F636" s="590" t="str">
        <f>VLOOKUP(A636,STUDENT!$A$2:$BR$105,68,0)</f>
        <v/>
      </c>
      <c r="G636" s="590" t="b">
        <f>VLOOKUP(A636,STUDENT!$A$2:$BR$105,67,0)</f>
        <v>0</v>
      </c>
      <c r="H636" s="590" t="str">
        <f>MARKS!DV101</f>
        <v/>
      </c>
      <c r="I636" s="590" t="str">
        <f>MARKS!DW101</f>
        <v/>
      </c>
      <c r="J636" s="590" t="str">
        <f>MARKS!DX101</f>
        <v/>
      </c>
      <c r="K636" s="590" t="str">
        <f>MARKS!DY101</f>
        <v/>
      </c>
      <c r="L636" s="590" t="str">
        <f>MARKS!DZ101</f>
        <v/>
      </c>
      <c r="M636" s="590" t="str">
        <f>MARKS!EA101</f>
        <v/>
      </c>
      <c r="N636" s="590" t="str">
        <f>MARKS!EB101</f>
        <v/>
      </c>
      <c r="O636" s="590" t="str">
        <f>MARKS!EC101</f>
        <v/>
      </c>
      <c r="Q636" s="598"/>
      <c r="R636" s="598"/>
      <c r="S636" s="598"/>
      <c r="T636" s="598"/>
      <c r="U636" s="598"/>
      <c r="V636" s="598"/>
      <c r="W636" s="595"/>
      <c r="X636" s="595"/>
      <c r="Y636" s="595"/>
      <c r="Z636" s="595"/>
      <c r="AA636" s="595"/>
      <c r="AB636" s="598"/>
      <c r="AC636" s="598"/>
      <c r="AD636" s="598"/>
      <c r="AE636" s="595"/>
    </row>
    <row r="637" spans="1:31">
      <c r="A637" s="596">
        <v>99</v>
      </c>
      <c r="B637" s="596">
        <f t="shared" ref="B637:E637" si="588">B530</f>
        <v>0</v>
      </c>
      <c r="C637" s="596">
        <f t="shared" si="588"/>
        <v>0</v>
      </c>
      <c r="D637" s="597">
        <f t="shared" si="588"/>
        <v>0</v>
      </c>
      <c r="E637" s="597">
        <f t="shared" si="588"/>
        <v>0</v>
      </c>
      <c r="F637" s="590" t="str">
        <f>VLOOKUP(A637,STUDENT!$A$2:$BR$105,68,0)</f>
        <v/>
      </c>
      <c r="G637" s="590" t="b">
        <f>VLOOKUP(A637,STUDENT!$A$2:$BR$105,67,0)</f>
        <v>0</v>
      </c>
      <c r="H637" s="590" t="str">
        <f>MARKS!DV102</f>
        <v/>
      </c>
      <c r="I637" s="590" t="str">
        <f>MARKS!DW102</f>
        <v/>
      </c>
      <c r="J637" s="590" t="str">
        <f>MARKS!DX102</f>
        <v/>
      </c>
      <c r="K637" s="590" t="str">
        <f>MARKS!DY102</f>
        <v/>
      </c>
      <c r="L637" s="590" t="str">
        <f>MARKS!DZ102</f>
        <v/>
      </c>
      <c r="M637" s="590" t="str">
        <f>MARKS!EA102</f>
        <v/>
      </c>
      <c r="N637" s="590" t="str">
        <f>MARKS!EB102</f>
        <v/>
      </c>
      <c r="O637" s="590" t="str">
        <f>MARKS!EC102</f>
        <v/>
      </c>
      <c r="Q637" s="598"/>
      <c r="R637" s="598"/>
      <c r="S637" s="598"/>
      <c r="T637" s="598"/>
      <c r="U637" s="598"/>
      <c r="V637" s="598"/>
      <c r="W637" s="595"/>
      <c r="X637" s="595"/>
      <c r="Y637" s="595"/>
      <c r="Z637" s="595"/>
      <c r="AA637" s="595"/>
      <c r="AB637" s="598"/>
      <c r="AC637" s="598"/>
      <c r="AD637" s="598"/>
      <c r="AE637" s="595"/>
    </row>
    <row r="638" spans="1:31">
      <c r="A638" s="590">
        <v>100</v>
      </c>
      <c r="B638" s="596">
        <f t="shared" ref="B638:E638" si="589">B531</f>
        <v>0</v>
      </c>
      <c r="C638" s="596">
        <f t="shared" si="589"/>
        <v>0</v>
      </c>
      <c r="D638" s="597">
        <f t="shared" si="589"/>
        <v>0</v>
      </c>
      <c r="E638" s="597">
        <f t="shared" si="589"/>
        <v>0</v>
      </c>
      <c r="F638" s="590" t="str">
        <f>VLOOKUP(A638,STUDENT!$A$2:$BR$105,68,0)</f>
        <v/>
      </c>
      <c r="G638" s="590" t="b">
        <f>VLOOKUP(A638,STUDENT!$A$2:$BR$105,67,0)</f>
        <v>0</v>
      </c>
      <c r="H638" s="590" t="str">
        <f>MARKS!DV103</f>
        <v/>
      </c>
      <c r="I638" s="590" t="str">
        <f>MARKS!DW103</f>
        <v/>
      </c>
      <c r="J638" s="590" t="str">
        <f>MARKS!DX103</f>
        <v/>
      </c>
      <c r="K638" s="590" t="str">
        <f>MARKS!DY103</f>
        <v/>
      </c>
      <c r="L638" s="590" t="str">
        <f>MARKS!DZ103</f>
        <v/>
      </c>
      <c r="M638" s="590" t="str">
        <f>MARKS!EA103</f>
        <v/>
      </c>
      <c r="N638" s="590" t="str">
        <f>MARKS!EB103</f>
        <v/>
      </c>
      <c r="O638" s="590" t="str">
        <f>MARKS!EC103</f>
        <v/>
      </c>
      <c r="Q638" s="598"/>
      <c r="R638" s="598"/>
      <c r="S638" s="598"/>
      <c r="T638" s="598"/>
      <c r="U638" s="598"/>
      <c r="V638" s="598"/>
      <c r="W638" s="595"/>
      <c r="X638" s="595"/>
      <c r="Y638" s="595"/>
      <c r="Z638" s="595"/>
      <c r="AA638" s="595"/>
      <c r="AB638" s="598"/>
      <c r="AC638" s="598"/>
      <c r="AD638" s="598"/>
      <c r="AE638" s="595"/>
    </row>
    <row r="643" spans="1:31">
      <c r="A643" s="588"/>
      <c r="B643" s="589"/>
      <c r="C643" s="588"/>
      <c r="D643" s="588" t="s">
        <v>501</v>
      </c>
      <c r="E643" s="588"/>
      <c r="F643" s="576"/>
      <c r="G643" s="576"/>
      <c r="H643" s="590"/>
      <c r="I643" s="590"/>
      <c r="J643" s="590"/>
      <c r="K643" s="590"/>
      <c r="L643" s="590"/>
      <c r="M643" s="590"/>
      <c r="N643" s="590"/>
      <c r="O643" s="590"/>
    </row>
    <row r="644" ht="36" spans="1:31">
      <c r="A644" s="588" t="s">
        <v>109</v>
      </c>
      <c r="B644" s="589" t="s">
        <v>114</v>
      </c>
      <c r="C644" s="588" t="s">
        <v>112</v>
      </c>
      <c r="D644" s="588" t="s">
        <v>113</v>
      </c>
      <c r="E644" s="588" t="s">
        <v>327</v>
      </c>
      <c r="F644" s="576" t="s">
        <v>473</v>
      </c>
      <c r="G644" s="576" t="s">
        <v>474</v>
      </c>
      <c r="H644" s="590" t="s">
        <v>87</v>
      </c>
      <c r="I644" s="590" t="s">
        <v>350</v>
      </c>
      <c r="J644" s="590" t="s">
        <v>88</v>
      </c>
      <c r="K644" s="590" t="s">
        <v>351</v>
      </c>
      <c r="L644" s="590" t="s">
        <v>352</v>
      </c>
      <c r="M644" s="590" t="s">
        <v>353</v>
      </c>
      <c r="N644" s="590" t="s">
        <v>354</v>
      </c>
      <c r="O644" s="590" t="s">
        <v>102</v>
      </c>
      <c r="Q644" s="591" t="s">
        <v>475</v>
      </c>
      <c r="R644" s="591" t="s">
        <v>476</v>
      </c>
      <c r="S644" s="592" t="s">
        <v>477</v>
      </c>
      <c r="T644" s="593" t="s">
        <v>478</v>
      </c>
      <c r="U644" s="592" t="s">
        <v>479</v>
      </c>
      <c r="V644" s="592" t="s">
        <v>480</v>
      </c>
      <c r="W644" s="594"/>
      <c r="X644" s="591" t="s">
        <v>475</v>
      </c>
      <c r="Y644" s="591" t="s">
        <v>476</v>
      </c>
      <c r="Z644" s="591" t="s">
        <v>474</v>
      </c>
      <c r="AA644" s="592" t="s">
        <v>477</v>
      </c>
      <c r="AB644" s="593" t="s">
        <v>481</v>
      </c>
      <c r="AC644" s="592" t="s">
        <v>479</v>
      </c>
      <c r="AD644" s="592" t="s">
        <v>480</v>
      </c>
      <c r="AE644" s="594"/>
    </row>
    <row r="645" spans="1:31">
      <c r="A645" s="588"/>
      <c r="B645" s="589"/>
      <c r="C645" s="588"/>
      <c r="D645" s="588"/>
      <c r="E645" s="588"/>
      <c r="F645" s="576"/>
      <c r="G645" s="576"/>
      <c r="H645" s="590"/>
      <c r="I645" s="590"/>
      <c r="J645" s="590"/>
      <c r="K645" s="590"/>
      <c r="L645" s="590"/>
      <c r="M645" s="590"/>
      <c r="N645" s="590"/>
      <c r="O645" s="590"/>
      <c r="Q645" s="591" t="s">
        <v>482</v>
      </c>
      <c r="R645" s="591" t="s">
        <v>483</v>
      </c>
      <c r="S645" s="591" t="s">
        <v>50</v>
      </c>
      <c r="T645" s="591">
        <f>COUNTIFS(O646:O745,S645)</f>
        <v>0</v>
      </c>
      <c r="U645" s="591">
        <f>COUNTIFS(F646:F745,Q645,O646:O745,S645)</f>
        <v>0</v>
      </c>
      <c r="V645" s="591">
        <f t="shared" ref="V645:V651" si="590">COUNTIFS(F646:F745,R645,O646:O745,S645)</f>
        <v>0</v>
      </c>
      <c r="W645" s="594"/>
      <c r="X645" s="591" t="s">
        <v>482</v>
      </c>
      <c r="Y645" s="591" t="s">
        <v>483</v>
      </c>
      <c r="Z645" s="591" t="s">
        <v>484</v>
      </c>
      <c r="AA645" s="591" t="s">
        <v>50</v>
      </c>
      <c r="AB645" s="591">
        <f>COUNTIFS(G646:G745,Z645,O646:O745,S645)</f>
        <v>0</v>
      </c>
      <c r="AC645" s="591">
        <f>COUNTIFS(F646:F745,X645,G646:G745,Z645,O646:O745,S645)</f>
        <v>0</v>
      </c>
      <c r="AD645" s="591">
        <f>COUNTIFS(F646:F745,Y645,G646:G745,Z645,O646:O745,S645)</f>
        <v>0</v>
      </c>
      <c r="AE645" s="594"/>
    </row>
    <row r="646" spans="1:31">
      <c r="A646" s="596">
        <v>1</v>
      </c>
      <c r="B646" s="596">
        <f>B539</f>
        <v>14779</v>
      </c>
      <c r="C646" s="596">
        <f t="shared" ref="C646:E646" si="591">C539</f>
        <v>20220171896</v>
      </c>
      <c r="D646" s="597" t="str">
        <f t="shared" si="591"/>
        <v>NAKSH</v>
      </c>
      <c r="E646" s="597" t="str">
        <f t="shared" si="591"/>
        <v>NARESH</v>
      </c>
      <c r="F646" s="590" t="str">
        <f>VLOOKUP(A646,STUDENT!$A$2:$BR$105,68,0)</f>
        <v/>
      </c>
      <c r="G646" s="590" t="b">
        <f>VLOOKUP(A646,STUDENT!$A$2:$BR$105,67,0)</f>
        <v>0</v>
      </c>
      <c r="H646" s="590" t="str">
        <f>MARKS!CP4</f>
        <v>C</v>
      </c>
      <c r="I646" s="590" t="str">
        <f>MARKS!CQ4</f>
        <v>E</v>
      </c>
      <c r="J646" s="590" t="str">
        <f>MARKS!CR4</f>
        <v>E</v>
      </c>
      <c r="K646" s="590" t="str">
        <f>MARKS!CS4</f>
        <v>E</v>
      </c>
      <c r="L646" s="590" t="str">
        <f>MARKS!CT4</f>
        <v>E</v>
      </c>
      <c r="M646" s="590" t="str">
        <f>MARKS!CU4</f>
        <v>E</v>
      </c>
      <c r="N646" s="590">
        <f>MARKS!CV4</f>
        <v>0</v>
      </c>
      <c r="O646" s="590" t="str">
        <f>MARKS!CW4</f>
        <v>E</v>
      </c>
      <c r="Q646" s="591" t="s">
        <v>482</v>
      </c>
      <c r="R646" s="591" t="s">
        <v>483</v>
      </c>
      <c r="S646" s="591" t="s">
        <v>485</v>
      </c>
      <c r="T646" s="591">
        <f>COUNTIFS(O646:O745,S646)</f>
        <v>0</v>
      </c>
      <c r="U646" s="591">
        <f>COUNTIFS(F646:F745,Q646,O646:O745,S646)</f>
        <v>0</v>
      </c>
      <c r="V646" s="591">
        <f t="shared" si="590"/>
        <v>0</v>
      </c>
      <c r="W646" s="594"/>
      <c r="X646" s="591" t="s">
        <v>482</v>
      </c>
      <c r="Y646" s="591" t="s">
        <v>483</v>
      </c>
      <c r="Z646" s="591" t="s">
        <v>484</v>
      </c>
      <c r="AA646" s="591" t="s">
        <v>485</v>
      </c>
      <c r="AB646" s="591">
        <f>COUNTIFS(G646:G745,Z646,O646:O745,S646)</f>
        <v>0</v>
      </c>
      <c r="AC646" s="591">
        <f>COUNTIFS(F646:F745,X646,G646:G745,Z646,O646:O745,S646)</f>
        <v>0</v>
      </c>
      <c r="AD646" s="591">
        <f>COUNTIFS(F646:F745,Y646,G646:G745,Z646,O646:O745,S646)</f>
        <v>0</v>
      </c>
      <c r="AE646" s="594"/>
    </row>
    <row r="647" spans="1:31">
      <c r="A647" s="590">
        <v>2</v>
      </c>
      <c r="B647" s="596">
        <f t="shared" ref="B647:E647" si="592">B540</f>
        <v>14733</v>
      </c>
      <c r="C647" s="596">
        <f t="shared" si="592"/>
        <v>20220354217</v>
      </c>
      <c r="D647" s="597" t="str">
        <f t="shared" si="592"/>
        <v>NAVEEN</v>
      </c>
      <c r="E647" s="597" t="str">
        <f t="shared" si="592"/>
        <v>SANJAY</v>
      </c>
      <c r="F647" s="590" t="str">
        <f>VLOOKUP(A647,STUDENT!$A$2:$BR$105,68,0)</f>
        <v/>
      </c>
      <c r="G647" s="590" t="b">
        <f>VLOOKUP(A647,STUDENT!$A$2:$BR$105,67,0)</f>
        <v>0</v>
      </c>
      <c r="H647" s="590" t="str">
        <f>MARKS!CP5</f>
        <v>E</v>
      </c>
      <c r="I647" s="590" t="str">
        <f>MARKS!CQ5</f>
        <v>E</v>
      </c>
      <c r="J647" s="590" t="str">
        <f>MARKS!CR5</f>
        <v>E</v>
      </c>
      <c r="K647" s="590" t="str">
        <f>MARKS!CS5</f>
        <v>E</v>
      </c>
      <c r="L647" s="590" t="str">
        <f>MARKS!CT5</f>
        <v>E</v>
      </c>
      <c r="M647" s="590" t="str">
        <f>MARKS!CU5</f>
        <v>E</v>
      </c>
      <c r="N647" s="590">
        <f>MARKS!CV5</f>
        <v>0</v>
      </c>
      <c r="O647" s="590" t="str">
        <f>MARKS!CW5</f>
        <v>E</v>
      </c>
      <c r="Q647" s="591" t="s">
        <v>482</v>
      </c>
      <c r="R647" s="591" t="s">
        <v>483</v>
      </c>
      <c r="S647" s="591" t="s">
        <v>486</v>
      </c>
      <c r="T647" s="591">
        <f>COUNTIFS(O646:O745,S647)</f>
        <v>0</v>
      </c>
      <c r="U647" s="591">
        <f>COUNTIFS(F646:F745,Q647,O646:O745,S647)</f>
        <v>0</v>
      </c>
      <c r="V647" s="591">
        <f t="shared" si="590"/>
        <v>0</v>
      </c>
      <c r="W647" s="594"/>
      <c r="X647" s="591" t="s">
        <v>482</v>
      </c>
      <c r="Y647" s="591" t="s">
        <v>483</v>
      </c>
      <c r="Z647" s="591" t="s">
        <v>484</v>
      </c>
      <c r="AA647" s="591" t="s">
        <v>486</v>
      </c>
      <c r="AB647" s="591">
        <f>COUNTIFS(G646:G745,Z647,O646:O745,S647)</f>
        <v>0</v>
      </c>
      <c r="AC647" s="591">
        <f>COUNTIFS(F646:F745,X647,G646:G745,Z647,O646:O745,S647)</f>
        <v>0</v>
      </c>
      <c r="AD647" s="591">
        <f>COUNTIFS(F646:F745,Y647,G646:G745,Z647,O646:O745,S647)</f>
        <v>0</v>
      </c>
      <c r="AE647" s="594"/>
    </row>
    <row r="648" spans="1:31">
      <c r="A648" s="596">
        <v>3</v>
      </c>
      <c r="B648" s="596">
        <f t="shared" ref="B648:E648" si="593">B541</f>
        <v>14757</v>
      </c>
      <c r="C648" s="596">
        <f t="shared" si="593"/>
        <v>20220402586</v>
      </c>
      <c r="D648" s="597" t="str">
        <f t="shared" si="593"/>
        <v>AADITYA KUMAR</v>
      </c>
      <c r="E648" s="597" t="str">
        <f t="shared" si="593"/>
        <v>DHARMENDRA KUMAR</v>
      </c>
      <c r="F648" s="590" t="str">
        <f>VLOOKUP(A648,STUDENT!$A$2:$BR$105,68,0)</f>
        <v/>
      </c>
      <c r="G648" s="590" t="b">
        <f>VLOOKUP(A648,STUDENT!$A$2:$BR$105,67,0)</f>
        <v>0</v>
      </c>
      <c r="H648" s="590" t="str">
        <f>MARKS!CP6</f>
        <v>C</v>
      </c>
      <c r="I648" s="590" t="str">
        <f>MARKS!CQ6</f>
        <v>E</v>
      </c>
      <c r="J648" s="590" t="str">
        <f>MARKS!CR6</f>
        <v>E</v>
      </c>
      <c r="K648" s="590" t="str">
        <f>MARKS!CS6</f>
        <v>E</v>
      </c>
      <c r="L648" s="590" t="str">
        <f>MARKS!CT6</f>
        <v>E</v>
      </c>
      <c r="M648" s="590" t="str">
        <f>MARKS!CU6</f>
        <v>E</v>
      </c>
      <c r="N648" s="590">
        <f>MARKS!CV6</f>
        <v>0</v>
      </c>
      <c r="O648" s="590" t="str">
        <f>MARKS!CW6</f>
        <v>E</v>
      </c>
      <c r="Q648" s="591" t="s">
        <v>482</v>
      </c>
      <c r="R648" s="591" t="s">
        <v>483</v>
      </c>
      <c r="S648" s="591" t="s">
        <v>487</v>
      </c>
      <c r="T648" s="591">
        <f>COUNTIFS(O646:O745,S648)</f>
        <v>1</v>
      </c>
      <c r="U648" s="591">
        <f>COUNTIFS(F646:F745,Q648,O646:O745,S648)</f>
        <v>0</v>
      </c>
      <c r="V648" s="591">
        <f t="shared" si="590"/>
        <v>0</v>
      </c>
      <c r="W648" s="594"/>
      <c r="X648" s="591" t="s">
        <v>482</v>
      </c>
      <c r="Y648" s="591" t="s">
        <v>483</v>
      </c>
      <c r="Z648" s="591" t="s">
        <v>484</v>
      </c>
      <c r="AA648" s="591" t="s">
        <v>487</v>
      </c>
      <c r="AB648" s="591">
        <f>COUNTIFS(G646:G745,Z648,O646:O745,S648)</f>
        <v>0</v>
      </c>
      <c r="AC648" s="591">
        <f>COUNTIFS(F646:F745,X648,G646:G745,Z648,O646:O745,S648)</f>
        <v>0</v>
      </c>
      <c r="AD648" s="591">
        <f>COUNTIFS(F646:F745,Y648,G646:G745,Z648,O646:O745,S648)</f>
        <v>0</v>
      </c>
      <c r="AE648" s="594"/>
    </row>
    <row r="649" spans="1:31">
      <c r="A649" s="590">
        <v>4</v>
      </c>
      <c r="B649" s="596">
        <f t="shared" ref="B649:E649" si="594">B542</f>
        <v>14778</v>
      </c>
      <c r="C649" s="596">
        <f t="shared" si="594"/>
        <v>20220448164</v>
      </c>
      <c r="D649" s="597" t="str">
        <f t="shared" si="594"/>
        <v>PRINCE KUMAR RAY</v>
      </c>
      <c r="E649" s="597" t="str">
        <f t="shared" si="594"/>
        <v>RAMSHARAN RAY</v>
      </c>
      <c r="F649" s="590" t="str">
        <f>VLOOKUP(A649,STUDENT!$A$2:$BR$105,68,0)</f>
        <v/>
      </c>
      <c r="G649" s="590" t="b">
        <f>VLOOKUP(A649,STUDENT!$A$2:$BR$105,67,0)</f>
        <v>0</v>
      </c>
      <c r="H649" s="590" t="str">
        <f>MARKS!CP7</f>
        <v>E</v>
      </c>
      <c r="I649" s="590" t="str">
        <f>MARKS!CQ7</f>
        <v>E</v>
      </c>
      <c r="J649" s="590" t="str">
        <f>MARKS!CR7</f>
        <v>E</v>
      </c>
      <c r="K649" s="590" t="str">
        <f>MARKS!CS7</f>
        <v>E</v>
      </c>
      <c r="L649" s="590" t="str">
        <f>MARKS!CT7</f>
        <v>E</v>
      </c>
      <c r="M649" s="590" t="str">
        <f>MARKS!CU7</f>
        <v>E</v>
      </c>
      <c r="N649" s="590">
        <f>MARKS!CV7</f>
        <v>0</v>
      </c>
      <c r="O649" s="590" t="str">
        <f>MARKS!CW7</f>
        <v>E</v>
      </c>
      <c r="Q649" s="591" t="s">
        <v>482</v>
      </c>
      <c r="R649" s="591" t="s">
        <v>483</v>
      </c>
      <c r="S649" s="591" t="s">
        <v>488</v>
      </c>
      <c r="T649" s="591">
        <f>COUNTIFS(O646:O745,S649)</f>
        <v>38</v>
      </c>
      <c r="U649" s="591">
        <f>COUNTIFS(F646:F745,Q649,O646:O745,S649)</f>
        <v>0</v>
      </c>
      <c r="V649" s="591">
        <f t="shared" si="590"/>
        <v>0</v>
      </c>
      <c r="W649" s="594"/>
      <c r="X649" s="591" t="s">
        <v>482</v>
      </c>
      <c r="Y649" s="591" t="s">
        <v>483</v>
      </c>
      <c r="Z649" s="591" t="s">
        <v>484</v>
      </c>
      <c r="AA649" s="591" t="s">
        <v>488</v>
      </c>
      <c r="AB649" s="591">
        <f>COUNTIFS(G646:G745,Z649,O646:O745,S649)</f>
        <v>0</v>
      </c>
      <c r="AC649" s="591">
        <f>COUNTIFS(F646:F745,X649,G646:G745,Z649,O646:O745,S649)</f>
        <v>0</v>
      </c>
      <c r="AD649" s="591">
        <f>COUNTIFS(F646:F745,Y649,G646:G745,Z649,O646:O745,S649)</f>
        <v>0</v>
      </c>
      <c r="AE649" s="594"/>
    </row>
    <row r="650" spans="1:31">
      <c r="A650" s="596">
        <v>5</v>
      </c>
      <c r="B650" s="596">
        <f t="shared" ref="B650:E650" si="595">B543</f>
        <v>14785</v>
      </c>
      <c r="C650" s="596">
        <f t="shared" si="595"/>
        <v>20220482313</v>
      </c>
      <c r="D650" s="597" t="str">
        <f t="shared" si="595"/>
        <v>KIRSHNA</v>
      </c>
      <c r="E650" s="597" t="str">
        <f t="shared" si="595"/>
        <v>VISHNU KASHYAP</v>
      </c>
      <c r="F650" s="590" t="str">
        <f>VLOOKUP(A650,STUDENT!$A$2:$BR$105,68,0)</f>
        <v/>
      </c>
      <c r="G650" s="590" t="b">
        <f>VLOOKUP(A650,STUDENT!$A$2:$BR$105,67,0)</f>
        <v>0</v>
      </c>
      <c r="H650" s="590" t="str">
        <f>MARKS!CP8</f>
        <v>D</v>
      </c>
      <c r="I650" s="590" t="str">
        <f>MARKS!CQ8</f>
        <v>E</v>
      </c>
      <c r="J650" s="590" t="str">
        <f>MARKS!CR8</f>
        <v>E</v>
      </c>
      <c r="K650" s="590" t="str">
        <f>MARKS!CS8</f>
        <v>E</v>
      </c>
      <c r="L650" s="590" t="str">
        <f>MARKS!CT8</f>
        <v>E</v>
      </c>
      <c r="M650" s="590" t="str">
        <f>MARKS!CU8</f>
        <v>E</v>
      </c>
      <c r="N650" s="590">
        <f>MARKS!CV8</f>
        <v>0</v>
      </c>
      <c r="O650" s="590" t="str">
        <f>MARKS!CW8</f>
        <v>E</v>
      </c>
      <c r="Q650" s="591" t="s">
        <v>482</v>
      </c>
      <c r="R650" s="591" t="s">
        <v>483</v>
      </c>
      <c r="S650" s="591" t="s">
        <v>101</v>
      </c>
      <c r="T650" s="591">
        <f>COUNTIFS(O646:O745,S650)</f>
        <v>0</v>
      </c>
      <c r="U650" s="591">
        <f>COUNTIFS(F646:F745,Q650,O646:O745,S650)</f>
        <v>0</v>
      </c>
      <c r="V650" s="591">
        <f t="shared" si="590"/>
        <v>0</v>
      </c>
      <c r="W650" s="594"/>
      <c r="X650" s="591" t="s">
        <v>482</v>
      </c>
      <c r="Y650" s="591" t="s">
        <v>483</v>
      </c>
      <c r="Z650" s="591" t="s">
        <v>484</v>
      </c>
      <c r="AA650" s="591" t="s">
        <v>101</v>
      </c>
      <c r="AB650" s="591">
        <f>COUNTIFS(G646:G745,Z650,O646:O745,S650)</f>
        <v>0</v>
      </c>
      <c r="AC650" s="591">
        <f>COUNTIFS(F646:F745,X650,G646:G745,Z650,O646:O745,S650)</f>
        <v>0</v>
      </c>
      <c r="AD650" s="591">
        <f>COUNTIFS(F646:F745,Y650,G646:G745,Z650,O646:O745,S650)</f>
        <v>0</v>
      </c>
      <c r="AE650" s="594"/>
    </row>
    <row r="651" spans="1:31">
      <c r="A651" s="590">
        <v>6</v>
      </c>
      <c r="B651" s="596">
        <f t="shared" ref="B651:E651" si="596">B544</f>
        <v>14780</v>
      </c>
      <c r="C651" s="596">
        <f t="shared" si="596"/>
        <v>20230048303</v>
      </c>
      <c r="D651" s="597" t="str">
        <f t="shared" si="596"/>
        <v>MD SOPHIYAN ALAM</v>
      </c>
      <c r="E651" s="597" t="str">
        <f t="shared" si="596"/>
        <v>MD TABREJ ALAM</v>
      </c>
      <c r="F651" s="590" t="str">
        <f>VLOOKUP(A651,STUDENT!$A$2:$BR$105,68,0)</f>
        <v/>
      </c>
      <c r="G651" s="590" t="b">
        <f>VLOOKUP(A651,STUDENT!$A$2:$BR$105,67,0)</f>
        <v>0</v>
      </c>
      <c r="H651" s="590" t="str">
        <f>MARKS!CP9</f>
        <v>E</v>
      </c>
      <c r="I651" s="590" t="str">
        <f>MARKS!CQ9</f>
        <v>E</v>
      </c>
      <c r="J651" s="590" t="str">
        <f>MARKS!CR9</f>
        <v>E</v>
      </c>
      <c r="K651" s="590" t="str">
        <f>MARKS!CS9</f>
        <v>E</v>
      </c>
      <c r="L651" s="590" t="str">
        <f>MARKS!CT9</f>
        <v>E</v>
      </c>
      <c r="M651" s="590" t="str">
        <f>MARKS!CU9</f>
        <v>E</v>
      </c>
      <c r="N651" s="590">
        <f>MARKS!CV9</f>
        <v>0</v>
      </c>
      <c r="O651" s="590" t="str">
        <f>MARKS!CW9</f>
        <v>E</v>
      </c>
      <c r="Q651" s="591" t="s">
        <v>482</v>
      </c>
      <c r="R651" s="591" t="s">
        <v>483</v>
      </c>
      <c r="S651" s="591" t="s">
        <v>489</v>
      </c>
      <c r="T651" s="591">
        <f>COUNTIFS(O646:O745,S651)</f>
        <v>0</v>
      </c>
      <c r="U651" s="591">
        <f>COUNTIFS(F646:F745,Q651,O646:O745,S651)</f>
        <v>0</v>
      </c>
      <c r="V651" s="591">
        <f t="shared" si="590"/>
        <v>0</v>
      </c>
      <c r="W651" s="594"/>
      <c r="X651" s="591" t="s">
        <v>482</v>
      </c>
      <c r="Y651" s="591" t="s">
        <v>483</v>
      </c>
      <c r="Z651" s="591" t="s">
        <v>484</v>
      </c>
      <c r="AA651" s="591" t="s">
        <v>489</v>
      </c>
      <c r="AB651" s="591">
        <f>COUNTIFS(G646:G745,Z651,O646:O745,S651)</f>
        <v>0</v>
      </c>
      <c r="AC651" s="591">
        <f>COUNTIFS(F646:F745,X651,G646:G745,Z651,O646:O745,S651)</f>
        <v>0</v>
      </c>
      <c r="AD651" s="591">
        <f>COUNTIFS(F646:F745,Y651,G646:G745,Z651,O646:O745,S651)</f>
        <v>0</v>
      </c>
      <c r="AE651" s="594"/>
    </row>
    <row r="652" spans="1:31">
      <c r="A652" s="596">
        <v>7</v>
      </c>
      <c r="B652" s="596">
        <f t="shared" ref="B652:E652" si="597">B545</f>
        <v>14773</v>
      </c>
      <c r="C652" s="596">
        <f t="shared" si="597"/>
        <v>20230083520</v>
      </c>
      <c r="D652" s="597" t="str">
        <f t="shared" si="597"/>
        <v>MD SAUBAN</v>
      </c>
      <c r="E652" s="597" t="str">
        <f t="shared" si="597"/>
        <v>MD IRSHAD</v>
      </c>
      <c r="F652" s="590" t="str">
        <f>VLOOKUP(A652,STUDENT!$A$2:$BR$105,68,0)</f>
        <v/>
      </c>
      <c r="G652" s="590" t="b">
        <f>VLOOKUP(A652,STUDENT!$A$2:$BR$105,67,0)</f>
        <v>0</v>
      </c>
      <c r="H652" s="590" t="str">
        <f>MARKS!CP10</f>
        <v>E</v>
      </c>
      <c r="I652" s="590" t="str">
        <f>MARKS!CQ10</f>
        <v>E</v>
      </c>
      <c r="J652" s="590" t="str">
        <f>MARKS!CR10</f>
        <v>E</v>
      </c>
      <c r="K652" s="590" t="str">
        <f>MARKS!CS10</f>
        <v>E</v>
      </c>
      <c r="L652" s="590" t="str">
        <f>MARKS!CT10</f>
        <v>E</v>
      </c>
      <c r="M652" s="590" t="str">
        <f>MARKS!CU10</f>
        <v>E</v>
      </c>
      <c r="N652" s="590">
        <f>MARKS!CV10</f>
        <v>0</v>
      </c>
      <c r="O652" s="590" t="str">
        <f>MARKS!CW10</f>
        <v>E</v>
      </c>
      <c r="Q652" s="591" t="s">
        <v>482</v>
      </c>
      <c r="R652" s="591" t="s">
        <v>483</v>
      </c>
      <c r="S652" s="591"/>
      <c r="T652" s="591"/>
      <c r="U652" s="591"/>
      <c r="V652" s="591"/>
      <c r="W652" s="594"/>
      <c r="X652" s="591" t="s">
        <v>482</v>
      </c>
      <c r="Y652" s="591" t="s">
        <v>483</v>
      </c>
      <c r="Z652" s="591" t="s">
        <v>484</v>
      </c>
      <c r="AA652" s="591"/>
      <c r="AB652" s="591"/>
      <c r="AC652" s="591"/>
      <c r="AD652" s="591"/>
      <c r="AE652" s="594"/>
    </row>
    <row r="653" spans="1:31">
      <c r="A653" s="590">
        <v>8</v>
      </c>
      <c r="B653" s="596">
        <f t="shared" ref="B653:E653" si="598">B546</f>
        <v>14769</v>
      </c>
      <c r="C653" s="596">
        <f t="shared" si="598"/>
        <v>20230095636</v>
      </c>
      <c r="D653" s="597" t="str">
        <f t="shared" si="598"/>
        <v>DEEPANSHU</v>
      </c>
      <c r="E653" s="597" t="str">
        <f t="shared" si="598"/>
        <v>AKHILESH KUMAR</v>
      </c>
      <c r="F653" s="590" t="str">
        <f>VLOOKUP(A653,STUDENT!$A$2:$BR$105,68,0)</f>
        <v/>
      </c>
      <c r="G653" s="590" t="b">
        <f>VLOOKUP(A653,STUDENT!$A$2:$BR$105,67,0)</f>
        <v>0</v>
      </c>
      <c r="H653" s="590" t="str">
        <f>MARKS!CP11</f>
        <v>C</v>
      </c>
      <c r="I653" s="590" t="str">
        <f>MARKS!CQ11</f>
        <v>E</v>
      </c>
      <c r="J653" s="590" t="str">
        <f>MARKS!CR11</f>
        <v>E</v>
      </c>
      <c r="K653" s="590" t="str">
        <f>MARKS!CS11</f>
        <v>E</v>
      </c>
      <c r="L653" s="590" t="str">
        <f>MARKS!CT11</f>
        <v>E</v>
      </c>
      <c r="M653" s="590" t="str">
        <f>MARKS!CU11</f>
        <v>E</v>
      </c>
      <c r="N653" s="590">
        <f>MARKS!CV11</f>
        <v>0</v>
      </c>
      <c r="O653" s="590" t="str">
        <f>MARKS!CW11</f>
        <v>E</v>
      </c>
      <c r="Q653" s="591"/>
      <c r="R653" s="591"/>
      <c r="S653" s="591" t="s">
        <v>102</v>
      </c>
      <c r="T653" s="591">
        <f>SUM(T645:T652)</f>
        <v>39</v>
      </c>
      <c r="U653" s="591">
        <f t="shared" ref="U653:V653" si="599">SUM(U645:U652)</f>
        <v>0</v>
      </c>
      <c r="V653" s="591">
        <f t="shared" si="599"/>
        <v>0</v>
      </c>
      <c r="W653" s="594"/>
      <c r="X653" s="591"/>
      <c r="Y653" s="591"/>
      <c r="Z653" s="591"/>
      <c r="AA653" s="591" t="s">
        <v>102</v>
      </c>
      <c r="AB653" s="591">
        <f>SUM(AB645:AB652)</f>
        <v>0</v>
      </c>
      <c r="AC653" s="591">
        <f t="shared" ref="AC653:AD653" si="600">SUM(AC645:AC652)</f>
        <v>0</v>
      </c>
      <c r="AD653" s="591">
        <f t="shared" si="600"/>
        <v>0</v>
      </c>
      <c r="AE653" s="594"/>
    </row>
    <row r="654" spans="1:31">
      <c r="A654" s="596">
        <v>9</v>
      </c>
      <c r="B654" s="596">
        <f t="shared" ref="B654:E654" si="601">B547</f>
        <v>14754</v>
      </c>
      <c r="C654" s="596">
        <f t="shared" si="601"/>
        <v>20230130143</v>
      </c>
      <c r="D654" s="597" t="str">
        <f t="shared" si="601"/>
        <v>ANUJ</v>
      </c>
      <c r="E654" s="597" t="str">
        <f t="shared" si="601"/>
        <v>RANJEET DAS</v>
      </c>
      <c r="F654" s="590" t="str">
        <f>VLOOKUP(A654,STUDENT!$A$2:$BR$105,68,0)</f>
        <v/>
      </c>
      <c r="G654" s="590" t="b">
        <f>VLOOKUP(A654,STUDENT!$A$2:$BR$105,67,0)</f>
        <v>0</v>
      </c>
      <c r="H654" s="590" t="str">
        <f>MARKS!CP12</f>
        <v>C</v>
      </c>
      <c r="I654" s="590" t="str">
        <f>MARKS!CQ12</f>
        <v>E</v>
      </c>
      <c r="J654" s="590" t="str">
        <f>MARKS!CR12</f>
        <v>E</v>
      </c>
      <c r="K654" s="590" t="str">
        <f>MARKS!CS12</f>
        <v>E</v>
      </c>
      <c r="L654" s="590" t="str">
        <f>MARKS!CT12</f>
        <v>E</v>
      </c>
      <c r="M654" s="590" t="str">
        <f>MARKS!CU12</f>
        <v>E</v>
      </c>
      <c r="N654" s="590">
        <f>MARKS!CV12</f>
        <v>0</v>
      </c>
      <c r="O654" s="590" t="str">
        <f>MARKS!CW12</f>
        <v>E</v>
      </c>
      <c r="Q654" s="591"/>
      <c r="R654" s="591"/>
      <c r="S654" s="591"/>
      <c r="T654" s="591"/>
      <c r="U654" s="591"/>
      <c r="V654" s="591"/>
      <c r="W654" s="594"/>
      <c r="X654" s="594"/>
      <c r="Y654" s="594"/>
      <c r="Z654" s="594"/>
      <c r="AA654" s="594"/>
      <c r="AB654" s="591"/>
      <c r="AC654" s="591"/>
      <c r="AD654" s="591"/>
      <c r="AE654" s="594"/>
    </row>
    <row r="655" spans="1:31">
      <c r="A655" s="590">
        <v>10</v>
      </c>
      <c r="B655" s="596">
        <f t="shared" ref="B655:E655" si="602">B548</f>
        <v>14774</v>
      </c>
      <c r="C655" s="596">
        <f t="shared" si="602"/>
        <v>20230268614</v>
      </c>
      <c r="D655" s="597" t="str">
        <f t="shared" si="602"/>
        <v>PIYUSH KUMAR</v>
      </c>
      <c r="E655" s="597" t="str">
        <f t="shared" si="602"/>
        <v>MUNNA LAL</v>
      </c>
      <c r="F655" s="590" t="str">
        <f>VLOOKUP(A655,STUDENT!$A$2:$BR$105,68,0)</f>
        <v/>
      </c>
      <c r="G655" s="590" t="b">
        <f>VLOOKUP(A655,STUDENT!$A$2:$BR$105,67,0)</f>
        <v>0</v>
      </c>
      <c r="H655" s="590" t="str">
        <f>MARKS!CP13</f>
        <v>C</v>
      </c>
      <c r="I655" s="590" t="str">
        <f>MARKS!CQ13</f>
        <v>E</v>
      </c>
      <c r="J655" s="590" t="str">
        <f>MARKS!CR13</f>
        <v>E</v>
      </c>
      <c r="K655" s="590" t="str">
        <f>MARKS!CS13</f>
        <v>E</v>
      </c>
      <c r="L655" s="590" t="str">
        <f>MARKS!CT13</f>
        <v>E</v>
      </c>
      <c r="M655" s="590" t="str">
        <f>MARKS!CU13</f>
        <v>E</v>
      </c>
      <c r="N655" s="590">
        <f>MARKS!CV13</f>
        <v>0</v>
      </c>
      <c r="O655" s="590" t="str">
        <f>MARKS!CW13</f>
        <v>E</v>
      </c>
      <c r="Q655" s="591"/>
      <c r="R655" s="591"/>
      <c r="S655" s="591"/>
      <c r="T655" s="591"/>
      <c r="U655" s="591"/>
      <c r="V655" s="591"/>
      <c r="W655" s="594"/>
      <c r="X655" s="594"/>
      <c r="Y655" s="594"/>
      <c r="Z655" s="594"/>
      <c r="AA655" s="594"/>
      <c r="AB655" s="591"/>
      <c r="AC655" s="591"/>
      <c r="AD655" s="591"/>
      <c r="AE655" s="594"/>
    </row>
    <row r="656" spans="1:31">
      <c r="A656" s="596">
        <v>11</v>
      </c>
      <c r="B656" s="596">
        <f t="shared" ref="B656:E656" si="603">B549</f>
        <v>14775</v>
      </c>
      <c r="C656" s="596">
        <f t="shared" si="603"/>
        <v>20230349168</v>
      </c>
      <c r="D656" s="597" t="str">
        <f t="shared" si="603"/>
        <v>MD MAHTAB</v>
      </c>
      <c r="E656" s="597" t="str">
        <f t="shared" si="603"/>
        <v>MD ASRAF</v>
      </c>
      <c r="F656" s="590" t="str">
        <f>VLOOKUP(A656,STUDENT!$A$2:$BR$105,68,0)</f>
        <v/>
      </c>
      <c r="G656" s="590" t="b">
        <f>VLOOKUP(A656,STUDENT!$A$2:$BR$105,67,0)</f>
        <v>0</v>
      </c>
      <c r="H656" s="590" t="str">
        <f>MARKS!CP14</f>
        <v>D</v>
      </c>
      <c r="I656" s="590" t="str">
        <f>MARKS!CQ14</f>
        <v>E</v>
      </c>
      <c r="J656" s="590" t="str">
        <f>MARKS!CR14</f>
        <v>E</v>
      </c>
      <c r="K656" s="590" t="str">
        <f>MARKS!CS14</f>
        <v>E</v>
      </c>
      <c r="L656" s="590" t="str">
        <f>MARKS!CT14</f>
        <v>E</v>
      </c>
      <c r="M656" s="590" t="str">
        <f>MARKS!CU14</f>
        <v>E</v>
      </c>
      <c r="N656" s="590">
        <f>MARKS!CV14</f>
        <v>0</v>
      </c>
      <c r="O656" s="590" t="str">
        <f>MARKS!CW14</f>
        <v>E</v>
      </c>
      <c r="Q656" s="591" t="s">
        <v>475</v>
      </c>
      <c r="R656" s="591" t="s">
        <v>476</v>
      </c>
      <c r="S656" s="592" t="s">
        <v>477</v>
      </c>
      <c r="T656" s="593" t="s">
        <v>87</v>
      </c>
      <c r="U656" s="592" t="s">
        <v>479</v>
      </c>
      <c r="V656" s="592" t="s">
        <v>480</v>
      </c>
      <c r="W656" s="594"/>
      <c r="X656" s="591" t="s">
        <v>475</v>
      </c>
      <c r="Y656" s="591" t="s">
        <v>476</v>
      </c>
      <c r="Z656" s="591" t="s">
        <v>474</v>
      </c>
      <c r="AA656" s="592" t="s">
        <v>477</v>
      </c>
      <c r="AB656" s="593" t="s">
        <v>490</v>
      </c>
      <c r="AC656" s="592" t="s">
        <v>479</v>
      </c>
      <c r="AD656" s="592" t="s">
        <v>480</v>
      </c>
      <c r="AE656" s="594"/>
    </row>
    <row r="657" spans="1:31">
      <c r="A657" s="590">
        <v>12</v>
      </c>
      <c r="B657" s="596">
        <f t="shared" ref="B657:E657" si="604">B550</f>
        <v>14734</v>
      </c>
      <c r="C657" s="596">
        <f t="shared" si="604"/>
        <v>20240008153</v>
      </c>
      <c r="D657" s="597" t="str">
        <f t="shared" si="604"/>
        <v>PRADEEP</v>
      </c>
      <c r="E657" s="597" t="str">
        <f t="shared" si="604"/>
        <v>RAM BHAWAN</v>
      </c>
      <c r="F657" s="590" t="str">
        <f>VLOOKUP(A657,STUDENT!$A$2:$BR$105,68,0)</f>
        <v/>
      </c>
      <c r="G657" s="590" t="b">
        <f>VLOOKUP(A657,STUDENT!$A$2:$BR$105,67,0)</f>
        <v>0</v>
      </c>
      <c r="H657" s="590" t="str">
        <f>MARKS!CP15</f>
        <v>D</v>
      </c>
      <c r="I657" s="590" t="str">
        <f>MARKS!CQ15</f>
        <v>E</v>
      </c>
      <c r="J657" s="590" t="str">
        <f>MARKS!CR15</f>
        <v>E</v>
      </c>
      <c r="K657" s="590" t="str">
        <f>MARKS!CS15</f>
        <v>E</v>
      </c>
      <c r="L657" s="590" t="str">
        <f>MARKS!CT15</f>
        <v>E</v>
      </c>
      <c r="M657" s="590" t="str">
        <f>MARKS!CU15</f>
        <v>E</v>
      </c>
      <c r="N657" s="590">
        <f>MARKS!CV15</f>
        <v>0</v>
      </c>
      <c r="O657" s="590" t="str">
        <f>MARKS!CW15</f>
        <v>E</v>
      </c>
      <c r="Q657" s="591" t="s">
        <v>482</v>
      </c>
      <c r="R657" s="591" t="s">
        <v>483</v>
      </c>
      <c r="S657" s="591" t="s">
        <v>50</v>
      </c>
      <c r="T657" s="591">
        <f>COUNTIFS(H646:H745,S657)</f>
        <v>0</v>
      </c>
      <c r="U657" s="591">
        <f>COUNTIFS(F646:F745,Q646,H646:H745,S657)</f>
        <v>0</v>
      </c>
      <c r="V657" s="591">
        <f>COUNTIFS(F646:F745,R646,H646:H745,S657)</f>
        <v>0</v>
      </c>
      <c r="W657" s="594"/>
      <c r="X657" s="591" t="s">
        <v>482</v>
      </c>
      <c r="Y657" s="591" t="s">
        <v>483</v>
      </c>
      <c r="Z657" s="591" t="s">
        <v>490</v>
      </c>
      <c r="AA657" s="591" t="s">
        <v>50</v>
      </c>
      <c r="AB657" s="591">
        <f>COUNTIFS(G646:G745,Z657,O646:O745,S657)</f>
        <v>0</v>
      </c>
      <c r="AC657" s="591">
        <f>COUNTIFS(F646:F745,X657,G646:G745,Z657,O646:O745,S657)</f>
        <v>0</v>
      </c>
      <c r="AD657" s="591">
        <f>COUNTIFS(F646:F745,Y657,G646:G745,Z657,O646:O745,S657)</f>
        <v>0</v>
      </c>
      <c r="AE657" s="594"/>
    </row>
    <row r="658" spans="1:31">
      <c r="A658" s="596">
        <v>13</v>
      </c>
      <c r="B658" s="596">
        <f t="shared" ref="B658:E658" si="605">B551</f>
        <v>14735</v>
      </c>
      <c r="C658" s="596">
        <f t="shared" si="605"/>
        <v>20240008167</v>
      </c>
      <c r="D658" s="597" t="str">
        <f t="shared" si="605"/>
        <v>MOHD JISAN</v>
      </c>
      <c r="E658" s="597" t="str">
        <f t="shared" si="605"/>
        <v>MD ZAMEEL</v>
      </c>
      <c r="F658" s="590" t="str">
        <f>VLOOKUP(A658,STUDENT!$A$2:$BR$105,68,0)</f>
        <v/>
      </c>
      <c r="G658" s="590" t="b">
        <f>VLOOKUP(A658,STUDENT!$A$2:$BR$105,67,0)</f>
        <v>0</v>
      </c>
      <c r="H658" s="590" t="str">
        <f>MARKS!CP16</f>
        <v>C</v>
      </c>
      <c r="I658" s="590" t="str">
        <f>MARKS!CQ16</f>
        <v>E</v>
      </c>
      <c r="J658" s="590" t="str">
        <f>MARKS!CR16</f>
        <v>E</v>
      </c>
      <c r="K658" s="590" t="str">
        <f>MARKS!CS16</f>
        <v>E</v>
      </c>
      <c r="L658" s="590" t="str">
        <f>MARKS!CT16</f>
        <v>E</v>
      </c>
      <c r="M658" s="590" t="str">
        <f>MARKS!CU16</f>
        <v>E</v>
      </c>
      <c r="N658" s="590">
        <f>MARKS!CV16</f>
        <v>0</v>
      </c>
      <c r="O658" s="590" t="str">
        <f>MARKS!CW16</f>
        <v>E</v>
      </c>
      <c r="Q658" s="591" t="s">
        <v>482</v>
      </c>
      <c r="R658" s="591" t="s">
        <v>483</v>
      </c>
      <c r="S658" s="591" t="s">
        <v>485</v>
      </c>
      <c r="T658" s="591">
        <f>COUNTIFS(H646:H745,S658)</f>
        <v>0</v>
      </c>
      <c r="U658" s="591">
        <f>COUNTIFS(F646:F745,Q647,H646:H745,S658)</f>
        <v>0</v>
      </c>
      <c r="V658" s="591">
        <f>COUNTIFS(F646:F745,R647,H646:H745,S658)</f>
        <v>0</v>
      </c>
      <c r="W658" s="594"/>
      <c r="X658" s="591" t="s">
        <v>482</v>
      </c>
      <c r="Y658" s="591" t="s">
        <v>483</v>
      </c>
      <c r="Z658" s="591" t="s">
        <v>490</v>
      </c>
      <c r="AA658" s="591" t="s">
        <v>485</v>
      </c>
      <c r="AB658" s="591">
        <f>COUNTIFS(G646:G745,Z658,O646:O745,S658)</f>
        <v>0</v>
      </c>
      <c r="AC658" s="591">
        <f>COUNTIFS(F646:F745,X658,G646:G745,Z658,O646:O745,S658)</f>
        <v>0</v>
      </c>
      <c r="AD658" s="591">
        <f>COUNTIFS(F646:F745,Y658,G646:G745,Z658,O646:O745,S658)</f>
        <v>0</v>
      </c>
      <c r="AE658" s="594"/>
    </row>
    <row r="659" spans="1:31">
      <c r="A659" s="590">
        <v>14</v>
      </c>
      <c r="B659" s="596">
        <f t="shared" ref="B659:E659" si="606">B552</f>
        <v>14745</v>
      </c>
      <c r="C659" s="596">
        <f t="shared" si="606"/>
        <v>20240015035</v>
      </c>
      <c r="D659" s="597" t="str">
        <f t="shared" si="606"/>
        <v>KARN KUMAR</v>
      </c>
      <c r="E659" s="597" t="str">
        <f t="shared" si="606"/>
        <v>MUKESH RAY</v>
      </c>
      <c r="F659" s="590" t="str">
        <f>VLOOKUP(A659,STUDENT!$A$2:$BR$105,68,0)</f>
        <v/>
      </c>
      <c r="G659" s="590" t="b">
        <f>VLOOKUP(A659,STUDENT!$A$2:$BR$105,67,0)</f>
        <v>0</v>
      </c>
      <c r="H659" s="590" t="str">
        <f>MARKS!CP17</f>
        <v>E</v>
      </c>
      <c r="I659" s="590" t="str">
        <f>MARKS!CQ17</f>
        <v>E</v>
      </c>
      <c r="J659" s="590" t="str">
        <f>MARKS!CR17</f>
        <v>E</v>
      </c>
      <c r="K659" s="590" t="str">
        <f>MARKS!CS17</f>
        <v>E</v>
      </c>
      <c r="L659" s="590" t="str">
        <f>MARKS!CT17</f>
        <v>E</v>
      </c>
      <c r="M659" s="590" t="str">
        <f>MARKS!CU17</f>
        <v>E</v>
      </c>
      <c r="N659" s="590">
        <f>MARKS!CV17</f>
        <v>0</v>
      </c>
      <c r="O659" s="590" t="str">
        <f>MARKS!CW17</f>
        <v>E</v>
      </c>
      <c r="Q659" s="591" t="s">
        <v>482</v>
      </c>
      <c r="R659" s="591" t="s">
        <v>483</v>
      </c>
      <c r="S659" s="591" t="s">
        <v>486</v>
      </c>
      <c r="T659" s="591">
        <f>COUNTIFS(H646:H745,S659)</f>
        <v>15</v>
      </c>
      <c r="U659" s="591">
        <f>COUNTIFS(F646:F745,Q648,H646:H745,S659)</f>
        <v>0</v>
      </c>
      <c r="V659" s="591">
        <f>COUNTIFS(F646:F745,R648,H646:H745,S659)</f>
        <v>0</v>
      </c>
      <c r="W659" s="594"/>
      <c r="X659" s="591" t="s">
        <v>482</v>
      </c>
      <c r="Y659" s="591" t="s">
        <v>483</v>
      </c>
      <c r="Z659" s="591" t="s">
        <v>490</v>
      </c>
      <c r="AA659" s="591" t="s">
        <v>486</v>
      </c>
      <c r="AB659" s="591">
        <f>COUNTIFS(G646:G745,Z659,O646:O745,S659)</f>
        <v>0</v>
      </c>
      <c r="AC659" s="591">
        <f>COUNTIFS(F646:F745,X659,G646:G745,Z659,O646:O745,S659)</f>
        <v>0</v>
      </c>
      <c r="AD659" s="591">
        <f>COUNTIFS(F646:F745,Y659,G646:G745,Z659,O646:O745,S659)</f>
        <v>0</v>
      </c>
      <c r="AE659" s="594"/>
    </row>
    <row r="660" spans="1:31">
      <c r="A660" s="596">
        <v>15</v>
      </c>
      <c r="B660" s="596">
        <f t="shared" ref="B660:E660" si="607">B553</f>
        <v>14746</v>
      </c>
      <c r="C660" s="596">
        <f t="shared" si="607"/>
        <v>20240015112</v>
      </c>
      <c r="D660" s="597" t="str">
        <f t="shared" si="607"/>
        <v>ROKI</v>
      </c>
      <c r="E660" s="597" t="str">
        <f t="shared" si="607"/>
        <v>KUAR SINGH</v>
      </c>
      <c r="F660" s="590" t="str">
        <f>VLOOKUP(A660,STUDENT!$A$2:$BR$105,68,0)</f>
        <v/>
      </c>
      <c r="G660" s="590" t="b">
        <f>VLOOKUP(A660,STUDENT!$A$2:$BR$105,67,0)</f>
        <v>0</v>
      </c>
      <c r="H660" s="590" t="str">
        <f>MARKS!CP18</f>
        <v>D</v>
      </c>
      <c r="I660" s="590" t="str">
        <f>MARKS!CQ18</f>
        <v>E</v>
      </c>
      <c r="J660" s="590" t="str">
        <f>MARKS!CR18</f>
        <v>E</v>
      </c>
      <c r="K660" s="590" t="str">
        <f>MARKS!CS18</f>
        <v>E</v>
      </c>
      <c r="L660" s="590" t="str">
        <f>MARKS!CT18</f>
        <v>E</v>
      </c>
      <c r="M660" s="590" t="str">
        <f>MARKS!CU18</f>
        <v>E</v>
      </c>
      <c r="N660" s="590">
        <f>MARKS!CV18</f>
        <v>0</v>
      </c>
      <c r="O660" s="590" t="str">
        <f>MARKS!CW18</f>
        <v>E</v>
      </c>
      <c r="Q660" s="591" t="s">
        <v>482</v>
      </c>
      <c r="R660" s="591" t="s">
        <v>483</v>
      </c>
      <c r="S660" s="591" t="s">
        <v>487</v>
      </c>
      <c r="T660" s="591">
        <f>COUNTIFS(H646:H745,S660)</f>
        <v>10</v>
      </c>
      <c r="U660" s="591">
        <f>COUNTIFS(F646:F745,Q649,H646:H745,S660)</f>
        <v>0</v>
      </c>
      <c r="V660" s="591">
        <f>COUNTIFS(F646:F745,R649,H646:H745,S660)</f>
        <v>0</v>
      </c>
      <c r="W660" s="594"/>
      <c r="X660" s="591" t="s">
        <v>482</v>
      </c>
      <c r="Y660" s="591" t="s">
        <v>483</v>
      </c>
      <c r="Z660" s="591" t="s">
        <v>490</v>
      </c>
      <c r="AA660" s="591" t="s">
        <v>487</v>
      </c>
      <c r="AB660" s="591">
        <f>COUNTIFS(G646:G745,Z660,O646:O745,S660)</f>
        <v>0</v>
      </c>
      <c r="AC660" s="591">
        <f>COUNTIFS(F646:F745,X660,G646:G745,Z660,O646:O745,S660)</f>
        <v>0</v>
      </c>
      <c r="AD660" s="591">
        <f>COUNTIFS(F646:F745,Y660,G646:G745,Z660,O646:O745,S660)</f>
        <v>0</v>
      </c>
      <c r="AE660" s="594"/>
    </row>
    <row r="661" spans="1:31">
      <c r="A661" s="590">
        <v>16</v>
      </c>
      <c r="B661" s="596">
        <f t="shared" ref="B661:E661" si="608">B554</f>
        <v>14748</v>
      </c>
      <c r="C661" s="596">
        <f t="shared" si="608"/>
        <v>20240015199</v>
      </c>
      <c r="D661" s="597" t="str">
        <f t="shared" si="608"/>
        <v>MD BILAL</v>
      </c>
      <c r="E661" s="597" t="str">
        <f t="shared" si="608"/>
        <v>MD AFROJ</v>
      </c>
      <c r="F661" s="590" t="str">
        <f>VLOOKUP(A661,STUDENT!$A$2:$BR$105,68,0)</f>
        <v/>
      </c>
      <c r="G661" s="590" t="b">
        <f>VLOOKUP(A661,STUDENT!$A$2:$BR$105,67,0)</f>
        <v>0</v>
      </c>
      <c r="H661" s="590" t="str">
        <f>MARKS!CP19</f>
        <v>C</v>
      </c>
      <c r="I661" s="590" t="str">
        <f>MARKS!CQ19</f>
        <v>E</v>
      </c>
      <c r="J661" s="590" t="str">
        <f>MARKS!CR19</f>
        <v>E</v>
      </c>
      <c r="K661" s="590" t="str">
        <f>MARKS!CS19</f>
        <v>E</v>
      </c>
      <c r="L661" s="590" t="str">
        <f>MARKS!CT19</f>
        <v>E</v>
      </c>
      <c r="M661" s="590" t="str">
        <f>MARKS!CU19</f>
        <v>E</v>
      </c>
      <c r="N661" s="590">
        <f>MARKS!CV19</f>
        <v>0</v>
      </c>
      <c r="O661" s="590" t="str">
        <f>MARKS!CW19</f>
        <v>E</v>
      </c>
      <c r="Q661" s="591" t="s">
        <v>482</v>
      </c>
      <c r="R661" s="591" t="s">
        <v>483</v>
      </c>
      <c r="S661" s="591" t="s">
        <v>488</v>
      </c>
      <c r="T661" s="591">
        <f>COUNTIFS(H646:H745,S661)</f>
        <v>14</v>
      </c>
      <c r="U661" s="591">
        <f>COUNTIFS(F646:F745,Q650,H646:H745,S661)</f>
        <v>0</v>
      </c>
      <c r="V661" s="591">
        <f>COUNTIFS(F646:F745,R650,H646:H745,S661)</f>
        <v>0</v>
      </c>
      <c r="W661" s="594"/>
      <c r="X661" s="591" t="s">
        <v>482</v>
      </c>
      <c r="Y661" s="591" t="s">
        <v>483</v>
      </c>
      <c r="Z661" s="591" t="s">
        <v>490</v>
      </c>
      <c r="AA661" s="591" t="s">
        <v>488</v>
      </c>
      <c r="AB661" s="591">
        <f>COUNTIFS(G646:G745,Z661,O646:O745,S661)</f>
        <v>0</v>
      </c>
      <c r="AC661" s="591">
        <f>COUNTIFS(F646:F745,X661,G646:G745,Z661,O646:O745,S661)</f>
        <v>0</v>
      </c>
      <c r="AD661" s="591">
        <f>COUNTIFS(F646:F745,Y661,G646:G745,Z661,O646:O745,S661)</f>
        <v>0</v>
      </c>
      <c r="AE661" s="594"/>
    </row>
    <row r="662" spans="1:31">
      <c r="A662" s="596">
        <v>17</v>
      </c>
      <c r="B662" s="596">
        <f t="shared" ref="B662:E662" si="609">B555</f>
        <v>14755</v>
      </c>
      <c r="C662" s="596">
        <f t="shared" si="609"/>
        <v>20240023044</v>
      </c>
      <c r="D662" s="597" t="str">
        <f t="shared" si="609"/>
        <v>GAURAV KUMAR</v>
      </c>
      <c r="E662" s="597" t="str">
        <f t="shared" si="609"/>
        <v>HARINDER YADAV</v>
      </c>
      <c r="F662" s="590" t="str">
        <f>VLOOKUP(A662,STUDENT!$A$2:$BR$105,68,0)</f>
        <v/>
      </c>
      <c r="G662" s="590" t="b">
        <f>VLOOKUP(A662,STUDENT!$A$2:$BR$105,67,0)</f>
        <v>0</v>
      </c>
      <c r="H662" s="590" t="str">
        <f>MARKS!CP20</f>
        <v>E</v>
      </c>
      <c r="I662" s="590" t="str">
        <f>MARKS!CQ20</f>
        <v>E</v>
      </c>
      <c r="J662" s="590" t="str">
        <f>MARKS!CR20</f>
        <v>E</v>
      </c>
      <c r="K662" s="590" t="str">
        <f>MARKS!CS20</f>
        <v>E</v>
      </c>
      <c r="L662" s="590" t="str">
        <f>MARKS!CT20</f>
        <v>E</v>
      </c>
      <c r="M662" s="590" t="str">
        <f>MARKS!CU20</f>
        <v>E</v>
      </c>
      <c r="N662" s="590">
        <f>MARKS!CV20</f>
        <v>0</v>
      </c>
      <c r="O662" s="590" t="str">
        <f>MARKS!CW20</f>
        <v>E</v>
      </c>
      <c r="Q662" s="591" t="s">
        <v>482</v>
      </c>
      <c r="R662" s="591" t="s">
        <v>483</v>
      </c>
      <c r="S662" s="591" t="s">
        <v>101</v>
      </c>
      <c r="T662" s="591">
        <f>COUNTIFS(H646:H745,S662)</f>
        <v>0</v>
      </c>
      <c r="U662" s="591">
        <f>COUNTIFS(F646:F745,Q651,H646:H745,S662)</f>
        <v>0</v>
      </c>
      <c r="V662" s="591">
        <f>COUNTIFS(F646:F745,R651,H646:H745,S662)</f>
        <v>0</v>
      </c>
      <c r="W662" s="594"/>
      <c r="X662" s="591" t="s">
        <v>482</v>
      </c>
      <c r="Y662" s="591" t="s">
        <v>483</v>
      </c>
      <c r="Z662" s="591" t="s">
        <v>490</v>
      </c>
      <c r="AA662" s="591" t="s">
        <v>101</v>
      </c>
      <c r="AB662" s="591">
        <f>COUNTIFS(G646:G745,Z662,O646:O745,S662)</f>
        <v>0</v>
      </c>
      <c r="AC662" s="591">
        <f>COUNTIFS(F646:F745,X662,G646:G745,Z662,O646:O745,S662)</f>
        <v>0</v>
      </c>
      <c r="AD662" s="591">
        <f>COUNTIFS(F646:F745,Y662,G646:G745,Z662,O646:O745,S662)</f>
        <v>0</v>
      </c>
      <c r="AE662" s="594"/>
    </row>
    <row r="663" spans="1:31">
      <c r="A663" s="590">
        <v>18</v>
      </c>
      <c r="B663" s="596">
        <f t="shared" ref="B663:E663" si="610">B556</f>
        <v>14756</v>
      </c>
      <c r="C663" s="596">
        <f t="shared" si="610"/>
        <v>20240023055</v>
      </c>
      <c r="D663" s="597" t="str">
        <f t="shared" si="610"/>
        <v>SAURAV KUMAR</v>
      </c>
      <c r="E663" s="597" t="str">
        <f t="shared" si="610"/>
        <v>HARINDER YADAV</v>
      </c>
      <c r="F663" s="590" t="str">
        <f>VLOOKUP(A663,STUDENT!$A$2:$BR$105,68,0)</f>
        <v/>
      </c>
      <c r="G663" s="590" t="b">
        <f>VLOOKUP(A663,STUDENT!$A$2:$BR$105,67,0)</f>
        <v>0</v>
      </c>
      <c r="H663" s="590" t="str">
        <f>MARKS!CP21</f>
        <v>E</v>
      </c>
      <c r="I663" s="590" t="str">
        <f>MARKS!CQ21</f>
        <v>E</v>
      </c>
      <c r="J663" s="590" t="str">
        <f>MARKS!CR21</f>
        <v>E</v>
      </c>
      <c r="K663" s="590" t="str">
        <f>MARKS!CS21</f>
        <v>E</v>
      </c>
      <c r="L663" s="590" t="str">
        <f>MARKS!CT21</f>
        <v>E</v>
      </c>
      <c r="M663" s="590" t="str">
        <f>MARKS!CU21</f>
        <v>E</v>
      </c>
      <c r="N663" s="590">
        <f>MARKS!CV21</f>
        <v>0</v>
      </c>
      <c r="O663" s="590" t="str">
        <f>MARKS!CW21</f>
        <v>E</v>
      </c>
      <c r="Q663" s="591" t="s">
        <v>482</v>
      </c>
      <c r="R663" s="591" t="s">
        <v>483</v>
      </c>
      <c r="S663" s="591" t="s">
        <v>489</v>
      </c>
      <c r="T663" s="591">
        <f>COUNTIFS(H646:H745,S663)</f>
        <v>0</v>
      </c>
      <c r="U663" s="591">
        <f>COUNTIFS(F646:F745,Q652,H646:H745,S663)</f>
        <v>0</v>
      </c>
      <c r="V663" s="591">
        <f>COUNTIFS(F646:F745,R652,H646:H745,S663)</f>
        <v>0</v>
      </c>
      <c r="W663" s="594"/>
      <c r="X663" s="591" t="s">
        <v>482</v>
      </c>
      <c r="Y663" s="591" t="s">
        <v>483</v>
      </c>
      <c r="Z663" s="591" t="s">
        <v>490</v>
      </c>
      <c r="AA663" s="591" t="s">
        <v>489</v>
      </c>
      <c r="AB663" s="591">
        <f>COUNTIFS(G646:G745,Z663,O646:O745,S663)</f>
        <v>0</v>
      </c>
      <c r="AC663" s="591">
        <f>COUNTIFS(F646:F745,X663,G646:G745,Z663,O646:O745,S663)</f>
        <v>0</v>
      </c>
      <c r="AD663" s="591">
        <f>COUNTIFS(F646:F745,Y663,G646:G745,Z663,O646:O745,S663)</f>
        <v>0</v>
      </c>
      <c r="AE663" s="594"/>
    </row>
    <row r="664" spans="1:31">
      <c r="A664" s="596">
        <v>19</v>
      </c>
      <c r="B664" s="596">
        <f t="shared" ref="B664:E664" si="611">B557</f>
        <v>14758</v>
      </c>
      <c r="C664" s="596">
        <f t="shared" si="611"/>
        <v>20240023083</v>
      </c>
      <c r="D664" s="597" t="str">
        <f t="shared" si="611"/>
        <v>HANAM AYUBI</v>
      </c>
      <c r="E664" s="597" t="str">
        <f t="shared" si="611"/>
        <v>MD PARWEZ</v>
      </c>
      <c r="F664" s="590" t="str">
        <f>VLOOKUP(A664,STUDENT!$A$2:$BR$105,68,0)</f>
        <v/>
      </c>
      <c r="G664" s="590" t="b">
        <f>VLOOKUP(A664,STUDENT!$A$2:$BR$105,67,0)</f>
        <v>0</v>
      </c>
      <c r="H664" s="590" t="str">
        <f>MARKS!CP22</f>
        <v>C</v>
      </c>
      <c r="I664" s="590" t="str">
        <f>MARKS!CQ22</f>
        <v>E</v>
      </c>
      <c r="J664" s="590" t="str">
        <f>MARKS!CR22</f>
        <v>E</v>
      </c>
      <c r="K664" s="590" t="str">
        <f>MARKS!CS22</f>
        <v>E</v>
      </c>
      <c r="L664" s="590" t="str">
        <f>MARKS!CT22</f>
        <v>E</v>
      </c>
      <c r="M664" s="590" t="str">
        <f>MARKS!CU22</f>
        <v>E</v>
      </c>
      <c r="N664" s="590">
        <f>MARKS!CV22</f>
        <v>0</v>
      </c>
      <c r="O664" s="590" t="str">
        <f>MARKS!CW22</f>
        <v>E</v>
      </c>
      <c r="Q664" s="591" t="s">
        <v>482</v>
      </c>
      <c r="R664" s="591" t="s">
        <v>483</v>
      </c>
      <c r="S664" s="591"/>
      <c r="T664" s="591"/>
      <c r="U664" s="591"/>
      <c r="V664" s="591"/>
      <c r="W664" s="594"/>
      <c r="X664" s="591" t="s">
        <v>482</v>
      </c>
      <c r="Y664" s="591" t="s">
        <v>483</v>
      </c>
      <c r="Z664" s="591" t="s">
        <v>490</v>
      </c>
      <c r="AA664" s="591"/>
      <c r="AB664" s="591"/>
      <c r="AC664" s="591"/>
      <c r="AD664" s="591"/>
      <c r="AE664" s="594"/>
    </row>
    <row r="665" spans="1:31">
      <c r="A665" s="590">
        <v>20</v>
      </c>
      <c r="B665" s="596">
        <f t="shared" ref="B665:E665" si="612">B558</f>
        <v>14768</v>
      </c>
      <c r="C665" s="596">
        <f t="shared" si="612"/>
        <v>20240028340</v>
      </c>
      <c r="D665" s="597" t="str">
        <f t="shared" si="612"/>
        <v>ANKUR</v>
      </c>
      <c r="E665" s="597" t="str">
        <f t="shared" si="612"/>
        <v>ASHOK KUMAR GUPTA</v>
      </c>
      <c r="F665" s="590" t="str">
        <f>VLOOKUP(A665,STUDENT!$A$2:$BR$105,68,0)</f>
        <v/>
      </c>
      <c r="G665" s="590" t="b">
        <f>VLOOKUP(A665,STUDENT!$A$2:$BR$105,67,0)</f>
        <v>0</v>
      </c>
      <c r="H665" s="590" t="str">
        <f>MARKS!CP23</f>
        <v>E</v>
      </c>
      <c r="I665" s="590" t="str">
        <f>MARKS!CQ23</f>
        <v>E</v>
      </c>
      <c r="J665" s="590" t="str">
        <f>MARKS!CR23</f>
        <v>E</v>
      </c>
      <c r="K665" s="590" t="str">
        <f>MARKS!CS23</f>
        <v>E</v>
      </c>
      <c r="L665" s="590" t="str">
        <f>MARKS!CT23</f>
        <v>E</v>
      </c>
      <c r="M665" s="590" t="str">
        <f>MARKS!CU23</f>
        <v>E</v>
      </c>
      <c r="N665" s="590">
        <f>MARKS!CV23</f>
        <v>0</v>
      </c>
      <c r="O665" s="590" t="str">
        <f>MARKS!CW23</f>
        <v>E</v>
      </c>
      <c r="Q665" s="591"/>
      <c r="R665" s="591"/>
      <c r="S665" s="591" t="s">
        <v>102</v>
      </c>
      <c r="T665" s="591">
        <f>SUM(T657:T664)</f>
        <v>39</v>
      </c>
      <c r="U665" s="591">
        <f t="shared" ref="U665:V665" si="613">SUM(U657:U664)</f>
        <v>0</v>
      </c>
      <c r="V665" s="591">
        <f t="shared" si="613"/>
        <v>0</v>
      </c>
      <c r="W665" s="594"/>
      <c r="X665" s="591"/>
      <c r="Y665" s="591"/>
      <c r="Z665" s="591"/>
      <c r="AA665" s="591" t="s">
        <v>102</v>
      </c>
      <c r="AB665" s="591">
        <f>SUM(AB657:AB664)</f>
        <v>0</v>
      </c>
      <c r="AC665" s="591">
        <f t="shared" ref="AC665:AD665" si="614">SUM(AC657:AC664)</f>
        <v>0</v>
      </c>
      <c r="AD665" s="591">
        <f t="shared" si="614"/>
        <v>0</v>
      </c>
      <c r="AE665" s="594"/>
    </row>
    <row r="666" spans="1:31">
      <c r="A666" s="596">
        <v>21</v>
      </c>
      <c r="B666" s="596">
        <f t="shared" ref="B666:E666" si="615">B559</f>
        <v>14792</v>
      </c>
      <c r="C666" s="596">
        <f t="shared" si="615"/>
        <v>20240074441</v>
      </c>
      <c r="D666" s="597" t="str">
        <f t="shared" si="615"/>
        <v>SOBHIT PASWAN</v>
      </c>
      <c r="E666" s="597" t="str">
        <f t="shared" si="615"/>
        <v>SHANKAR PASWAN</v>
      </c>
      <c r="F666" s="590" t="str">
        <f>VLOOKUP(A666,STUDENT!$A$2:$BR$105,68,0)</f>
        <v/>
      </c>
      <c r="G666" s="590" t="b">
        <f>VLOOKUP(A666,STUDENT!$A$2:$BR$105,67,0)</f>
        <v>0</v>
      </c>
      <c r="H666" s="590" t="str">
        <f>MARKS!CP24</f>
        <v>E</v>
      </c>
      <c r="I666" s="590" t="str">
        <f>MARKS!CQ24</f>
        <v>E</v>
      </c>
      <c r="J666" s="590" t="str">
        <f>MARKS!CR24</f>
        <v>E</v>
      </c>
      <c r="K666" s="590" t="str">
        <f>MARKS!CS24</f>
        <v>E</v>
      </c>
      <c r="L666" s="590" t="str">
        <f>MARKS!CT24</f>
        <v>E</v>
      </c>
      <c r="M666" s="590" t="str">
        <f>MARKS!CU24</f>
        <v>E</v>
      </c>
      <c r="N666" s="590">
        <f>MARKS!CV24</f>
        <v>0</v>
      </c>
      <c r="O666" s="590" t="str">
        <f>MARKS!CW24</f>
        <v>E</v>
      </c>
      <c r="Q666" s="591"/>
      <c r="R666" s="591"/>
      <c r="S666" s="591"/>
      <c r="T666" s="591"/>
      <c r="U666" s="591"/>
      <c r="V666" s="591"/>
      <c r="W666" s="594"/>
      <c r="X666" s="594"/>
      <c r="Y666" s="594"/>
      <c r="Z666" s="594"/>
      <c r="AA666" s="594"/>
      <c r="AB666" s="591"/>
      <c r="AC666" s="591"/>
      <c r="AD666" s="591"/>
      <c r="AE666" s="594"/>
    </row>
    <row r="667" spans="1:31">
      <c r="A667" s="590">
        <v>22</v>
      </c>
      <c r="B667" s="596">
        <f t="shared" ref="B667:E667" si="616">B560</f>
        <v>14804</v>
      </c>
      <c r="C667" s="596">
        <f t="shared" si="616"/>
        <v>20240100859</v>
      </c>
      <c r="D667" s="597" t="str">
        <f t="shared" si="616"/>
        <v>ABHISHEK MUKHIYA</v>
      </c>
      <c r="E667" s="597" t="str">
        <f t="shared" si="616"/>
        <v>ARJUN MUKHIYA</v>
      </c>
      <c r="F667" s="590" t="str">
        <f>VLOOKUP(A667,STUDENT!$A$2:$BR$105,68,0)</f>
        <v/>
      </c>
      <c r="G667" s="590" t="b">
        <f>VLOOKUP(A667,STUDENT!$A$2:$BR$105,67,0)</f>
        <v>0</v>
      </c>
      <c r="H667" s="590" t="str">
        <f>MARKS!CP25</f>
        <v>C</v>
      </c>
      <c r="I667" s="590" t="str">
        <f>MARKS!CQ25</f>
        <v>E</v>
      </c>
      <c r="J667" s="590" t="str">
        <f>MARKS!CR25</f>
        <v>E</v>
      </c>
      <c r="K667" s="590" t="str">
        <f>MARKS!CS25</f>
        <v>E</v>
      </c>
      <c r="L667" s="590" t="str">
        <f>MARKS!CT25</f>
        <v>E</v>
      </c>
      <c r="M667" s="590" t="str">
        <f>MARKS!CU25</f>
        <v>E</v>
      </c>
      <c r="N667" s="590">
        <f>MARKS!CV25</f>
        <v>0</v>
      </c>
      <c r="O667" s="590" t="str">
        <f>MARKS!CW25</f>
        <v>E</v>
      </c>
      <c r="Q667" s="591"/>
      <c r="R667" s="591"/>
      <c r="S667" s="591"/>
      <c r="T667" s="591"/>
      <c r="U667" s="591"/>
      <c r="V667" s="591"/>
      <c r="W667" s="594"/>
      <c r="X667" s="594"/>
      <c r="Y667" s="594"/>
      <c r="Z667" s="594"/>
      <c r="AA667" s="594"/>
      <c r="AB667" s="591"/>
      <c r="AC667" s="591"/>
      <c r="AD667" s="591"/>
      <c r="AE667" s="594"/>
    </row>
    <row r="668" spans="1:31">
      <c r="A668" s="596">
        <v>23</v>
      </c>
      <c r="B668" s="596">
        <f t="shared" ref="B668:E668" si="617">B561</f>
        <v>14805</v>
      </c>
      <c r="C668" s="596">
        <f t="shared" si="617"/>
        <v>20240100885</v>
      </c>
      <c r="D668" s="597" t="str">
        <f t="shared" si="617"/>
        <v>NITIN</v>
      </c>
      <c r="E668" s="597" t="str">
        <f t="shared" si="617"/>
        <v>AJAY</v>
      </c>
      <c r="F668" s="590" t="str">
        <f>VLOOKUP(A668,STUDENT!$A$2:$BR$105,68,0)</f>
        <v/>
      </c>
      <c r="G668" s="590" t="b">
        <f>VLOOKUP(A668,STUDENT!$A$2:$BR$105,67,0)</f>
        <v>0</v>
      </c>
      <c r="H668" s="590" t="str">
        <f>MARKS!CP26</f>
        <v>C</v>
      </c>
      <c r="I668" s="590" t="str">
        <f>MARKS!CQ26</f>
        <v>E</v>
      </c>
      <c r="J668" s="590" t="str">
        <f>MARKS!CR26</f>
        <v>E</v>
      </c>
      <c r="K668" s="590" t="str">
        <f>MARKS!CS26</f>
        <v>E</v>
      </c>
      <c r="L668" s="590" t="str">
        <f>MARKS!CT26</f>
        <v>E</v>
      </c>
      <c r="M668" s="590" t="str">
        <f>MARKS!CU26</f>
        <v>E</v>
      </c>
      <c r="N668" s="590">
        <f>MARKS!CV26</f>
        <v>0</v>
      </c>
      <c r="O668" s="590" t="str">
        <f>MARKS!CW26</f>
        <v>E</v>
      </c>
      <c r="Q668" s="591" t="s">
        <v>475</v>
      </c>
      <c r="R668" s="591" t="s">
        <v>476</v>
      </c>
      <c r="S668" s="592" t="s">
        <v>477</v>
      </c>
      <c r="T668" s="593" t="s">
        <v>89</v>
      </c>
      <c r="U668" s="592" t="s">
        <v>479</v>
      </c>
      <c r="V668" s="592" t="s">
        <v>480</v>
      </c>
      <c r="W668" s="594"/>
      <c r="X668" s="591" t="s">
        <v>475</v>
      </c>
      <c r="Y668" s="591" t="s">
        <v>476</v>
      </c>
      <c r="Z668" s="591" t="s">
        <v>474</v>
      </c>
      <c r="AA668" s="592" t="s">
        <v>477</v>
      </c>
      <c r="AB668" s="593" t="s">
        <v>491</v>
      </c>
      <c r="AC668" s="592" t="s">
        <v>479</v>
      </c>
      <c r="AD668" s="592" t="s">
        <v>480</v>
      </c>
      <c r="AE668" s="594"/>
    </row>
    <row r="669" spans="1:31">
      <c r="A669" s="590">
        <v>24</v>
      </c>
      <c r="B669" s="596">
        <f t="shared" ref="B669:E669" si="618">B562</f>
        <v>14806</v>
      </c>
      <c r="C669" s="596">
        <f t="shared" si="618"/>
        <v>20240100904</v>
      </c>
      <c r="D669" s="597" t="str">
        <f t="shared" si="618"/>
        <v>SOORYA VANSHAL</v>
      </c>
      <c r="E669" s="597" t="str">
        <f t="shared" si="618"/>
        <v>KAMLESH KUMAR</v>
      </c>
      <c r="F669" s="590" t="str">
        <f>VLOOKUP(A669,STUDENT!$A$2:$BR$105,68,0)</f>
        <v/>
      </c>
      <c r="G669" s="590" t="b">
        <f>VLOOKUP(A669,STUDENT!$A$2:$BR$105,67,0)</f>
        <v>0</v>
      </c>
      <c r="H669" s="590" t="str">
        <f>MARKS!CP27</f>
        <v>C</v>
      </c>
      <c r="I669" s="590" t="str">
        <f>MARKS!CQ27</f>
        <v>E</v>
      </c>
      <c r="J669" s="590" t="str">
        <f>MARKS!CR27</f>
        <v>E</v>
      </c>
      <c r="K669" s="590" t="str">
        <f>MARKS!CS27</f>
        <v>E</v>
      </c>
      <c r="L669" s="590" t="str">
        <f>MARKS!CT27</f>
        <v>E</v>
      </c>
      <c r="M669" s="590" t="str">
        <f>MARKS!CU27</f>
        <v>E</v>
      </c>
      <c r="N669" s="590">
        <f>MARKS!CV27</f>
        <v>0</v>
      </c>
      <c r="O669" s="590" t="str">
        <f>MARKS!CW27</f>
        <v>E</v>
      </c>
      <c r="Q669" s="591" t="s">
        <v>482</v>
      </c>
      <c r="R669" s="591" t="s">
        <v>483</v>
      </c>
      <c r="S669" s="591" t="s">
        <v>50</v>
      </c>
      <c r="T669" s="591">
        <f>COUNTIFS(I646:I745,S669)</f>
        <v>0</v>
      </c>
      <c r="U669" s="591">
        <f>COUNTIFS(F646:F745,Q658,I646:I745,S669)</f>
        <v>0</v>
      </c>
      <c r="V669" s="591">
        <f>COUNTIFS(F646:F745,R658,I646:I745,S669)</f>
        <v>0</v>
      </c>
      <c r="W669" s="594"/>
      <c r="X669" s="591" t="s">
        <v>482</v>
      </c>
      <c r="Y669" s="591" t="s">
        <v>483</v>
      </c>
      <c r="Z669" s="591" t="s">
        <v>491</v>
      </c>
      <c r="AA669" s="591" t="s">
        <v>50</v>
      </c>
      <c r="AB669" s="591">
        <f>COUNTIFS(G646:G745,Z669,O646:O745,S669)</f>
        <v>0</v>
      </c>
      <c r="AC669" s="591">
        <f>COUNTIFS(F646:F745,X669,G646:G745,Z669,O646:O745,S669)</f>
        <v>0</v>
      </c>
      <c r="AD669" s="591">
        <f>COUNTIFS(F646:F745,Y669,G646:G745,Z669,O646:O745,S669)</f>
        <v>0</v>
      </c>
      <c r="AE669" s="594"/>
    </row>
    <row r="670" spans="1:31">
      <c r="A670" s="596">
        <v>25</v>
      </c>
      <c r="B670" s="596">
        <f t="shared" ref="B670:E670" si="619">B563</f>
        <v>14943</v>
      </c>
      <c r="C670" s="596">
        <f t="shared" si="619"/>
        <v>20250012364</v>
      </c>
      <c r="D670" s="597" t="str">
        <f t="shared" si="619"/>
        <v>ANSHU KUMAR PANDIT</v>
      </c>
      <c r="E670" s="597" t="str">
        <f t="shared" si="619"/>
        <v>RAMESH KUMAR PANDIT</v>
      </c>
      <c r="F670" s="590" t="str">
        <f>VLOOKUP(A670,STUDENT!$A$2:$BR$105,68,0)</f>
        <v/>
      </c>
      <c r="G670" s="590" t="b">
        <f>VLOOKUP(A670,STUDENT!$A$2:$BR$105,67,0)</f>
        <v>0</v>
      </c>
      <c r="H670" s="590" t="str">
        <f>MARKS!CP28</f>
        <v>C</v>
      </c>
      <c r="I670" s="590" t="str">
        <f>MARKS!CQ28</f>
        <v>E</v>
      </c>
      <c r="J670" s="590" t="str">
        <f>MARKS!CR28</f>
        <v>E</v>
      </c>
      <c r="K670" s="590" t="str">
        <f>MARKS!CS28</f>
        <v>E</v>
      </c>
      <c r="L670" s="590" t="str">
        <f>MARKS!CT28</f>
        <v>E</v>
      </c>
      <c r="M670" s="590" t="str">
        <f>MARKS!CU28</f>
        <v>E</v>
      </c>
      <c r="N670" s="590">
        <f>MARKS!CV28</f>
        <v>0</v>
      </c>
      <c r="O670" s="590" t="str">
        <f>MARKS!CW28</f>
        <v>E</v>
      </c>
      <c r="Q670" s="591" t="s">
        <v>482</v>
      </c>
      <c r="R670" s="591" t="s">
        <v>483</v>
      </c>
      <c r="S670" s="591" t="s">
        <v>485</v>
      </c>
      <c r="T670" s="591">
        <f>COUNTIFS(I646:I745,S670)</f>
        <v>0</v>
      </c>
      <c r="U670" s="591">
        <f>COUNTIFS(F646:F745,Q659,I646:I745,S670)</f>
        <v>0</v>
      </c>
      <c r="V670" s="591">
        <f>COUNTIFS(F646:F745,R659,I646:I745,S670)</f>
        <v>0</v>
      </c>
      <c r="W670" s="594"/>
      <c r="X670" s="591" t="s">
        <v>482</v>
      </c>
      <c r="Y670" s="591" t="s">
        <v>483</v>
      </c>
      <c r="Z670" s="591" t="s">
        <v>491</v>
      </c>
      <c r="AA670" s="591" t="s">
        <v>485</v>
      </c>
      <c r="AB670" s="591">
        <f>COUNTIFS(G646:G745,Z670,O646:O745,S670)</f>
        <v>0</v>
      </c>
      <c r="AC670" s="591">
        <f>COUNTIFS(F646:F745,X670,G646:G745,Z670,O646:O745,S670)</f>
        <v>0</v>
      </c>
      <c r="AD670" s="591">
        <f>COUNTIFS(F646:F745,Y670,G646:G745,Z670,O646:O745,S670)</f>
        <v>0</v>
      </c>
      <c r="AE670" s="594"/>
    </row>
    <row r="671" spans="1:31">
      <c r="A671" s="590">
        <v>26</v>
      </c>
      <c r="B671" s="596">
        <f t="shared" ref="B671:E671" si="620">B564</f>
        <v>14960</v>
      </c>
      <c r="C671" s="596">
        <f t="shared" si="620"/>
        <v>20250045334</v>
      </c>
      <c r="D671" s="597" t="str">
        <f t="shared" si="620"/>
        <v>MD ADAN SHEKH</v>
      </c>
      <c r="E671" s="597" t="str">
        <f t="shared" si="620"/>
        <v>MD ISHTIKHAR</v>
      </c>
      <c r="F671" s="590" t="str">
        <f>VLOOKUP(A671,STUDENT!$A$2:$BR$105,68,0)</f>
        <v/>
      </c>
      <c r="G671" s="590" t="b">
        <f>VLOOKUP(A671,STUDENT!$A$2:$BR$105,67,0)</f>
        <v>0</v>
      </c>
      <c r="H671" s="590" t="str">
        <f>MARKS!CP29</f>
        <v>D</v>
      </c>
      <c r="I671" s="590" t="str">
        <f>MARKS!CQ29</f>
        <v>E</v>
      </c>
      <c r="J671" s="590" t="str">
        <f>MARKS!CR29</f>
        <v>E</v>
      </c>
      <c r="K671" s="590" t="str">
        <f>MARKS!CS29</f>
        <v>E</v>
      </c>
      <c r="L671" s="590" t="str">
        <f>MARKS!CT29</f>
        <v>E</v>
      </c>
      <c r="M671" s="590" t="str">
        <f>MARKS!CU29</f>
        <v>E</v>
      </c>
      <c r="N671" s="590">
        <f>MARKS!CV29</f>
        <v>0</v>
      </c>
      <c r="O671" s="590" t="str">
        <f>MARKS!CW29</f>
        <v>E</v>
      </c>
      <c r="Q671" s="591" t="s">
        <v>482</v>
      </c>
      <c r="R671" s="591" t="s">
        <v>483</v>
      </c>
      <c r="S671" s="591" t="s">
        <v>486</v>
      </c>
      <c r="T671" s="591">
        <f>COUNTIFS(I646:I745,S671)</f>
        <v>0</v>
      </c>
      <c r="U671" s="591">
        <f>COUNTIFS(F646:F745,Q660,I646:I745,S671)</f>
        <v>0</v>
      </c>
      <c r="V671" s="591">
        <f>COUNTIFS(F646:F745,R660,I646:I745,S671)</f>
        <v>0</v>
      </c>
      <c r="W671" s="594"/>
      <c r="X671" s="591" t="s">
        <v>482</v>
      </c>
      <c r="Y671" s="591" t="s">
        <v>483</v>
      </c>
      <c r="Z671" s="591" t="s">
        <v>491</v>
      </c>
      <c r="AA671" s="591" t="s">
        <v>486</v>
      </c>
      <c r="AB671" s="591">
        <f>COUNTIFS(G646:G745,Z671,O646:O745,S671)</f>
        <v>0</v>
      </c>
      <c r="AC671" s="591">
        <f>COUNTIFS(F646:F745,X671,G646:G745,Z671,O646:O745,S671)</f>
        <v>0</v>
      </c>
      <c r="AD671" s="591">
        <f>COUNTIFS(F646:F745,Y671,G646:G745,Z671,O646:O745,S671)</f>
        <v>0</v>
      </c>
      <c r="AE671" s="594"/>
    </row>
    <row r="672" spans="1:31">
      <c r="A672" s="596">
        <v>27</v>
      </c>
      <c r="B672" s="596">
        <f t="shared" ref="B672:E672" si="621">B565</f>
        <v>14976</v>
      </c>
      <c r="C672" s="596">
        <f t="shared" si="621"/>
        <v>20250064030</v>
      </c>
      <c r="D672" s="597" t="str">
        <f t="shared" si="621"/>
        <v>KARTIK</v>
      </c>
      <c r="E672" s="597" t="str">
        <f t="shared" si="621"/>
        <v>SUNIL</v>
      </c>
      <c r="F672" s="590" t="str">
        <f>VLOOKUP(A672,STUDENT!$A$2:$BR$105,68,0)</f>
        <v/>
      </c>
      <c r="G672" s="590" t="b">
        <f>VLOOKUP(A672,STUDENT!$A$2:$BR$105,67,0)</f>
        <v>0</v>
      </c>
      <c r="H672" s="590" t="str">
        <f>MARKS!CP30</f>
        <v>E</v>
      </c>
      <c r="I672" s="590" t="str">
        <f>MARKS!CQ30</f>
        <v>E</v>
      </c>
      <c r="J672" s="590" t="str">
        <f>MARKS!CR30</f>
        <v>E</v>
      </c>
      <c r="K672" s="590" t="str">
        <f>MARKS!CS30</f>
        <v>E</v>
      </c>
      <c r="L672" s="590" t="str">
        <f>MARKS!CT30</f>
        <v>E</v>
      </c>
      <c r="M672" s="590" t="str">
        <f>MARKS!CU30</f>
        <v>E</v>
      </c>
      <c r="N672" s="590">
        <f>MARKS!CV30</f>
        <v>0</v>
      </c>
      <c r="O672" s="590" t="str">
        <f>MARKS!CW30</f>
        <v>E</v>
      </c>
      <c r="Q672" s="591" t="s">
        <v>482</v>
      </c>
      <c r="R672" s="591" t="s">
        <v>483</v>
      </c>
      <c r="S672" s="591" t="s">
        <v>487</v>
      </c>
      <c r="T672" s="591">
        <f>COUNTIFS(I646:I745,S672)</f>
        <v>0</v>
      </c>
      <c r="U672" s="591">
        <f>COUNTIFS(F646:F745,Q661,I646:I745,S672)</f>
        <v>0</v>
      </c>
      <c r="V672" s="591">
        <f>COUNTIFS(F646:F745,R661,I646:I745,S672)</f>
        <v>0</v>
      </c>
      <c r="W672" s="594"/>
      <c r="X672" s="591" t="s">
        <v>482</v>
      </c>
      <c r="Y672" s="591" t="s">
        <v>483</v>
      </c>
      <c r="Z672" s="591" t="s">
        <v>491</v>
      </c>
      <c r="AA672" s="591" t="s">
        <v>487</v>
      </c>
      <c r="AB672" s="591">
        <f>COUNTIFS(G646:G745,Z672,O646:O745,S672)</f>
        <v>0</v>
      </c>
      <c r="AC672" s="591">
        <f>COUNTIFS(F646:F745,X672,G646:G745,Z672,O646:O745,S672)</f>
        <v>0</v>
      </c>
      <c r="AD672" s="591">
        <f>COUNTIFS(F646:F745,Y672,G646:G745,Z672,O646:O745,S672)</f>
        <v>0</v>
      </c>
      <c r="AE672" s="594"/>
    </row>
    <row r="673" spans="1:31">
      <c r="A673" s="590">
        <v>28</v>
      </c>
      <c r="B673" s="596">
        <f t="shared" ref="B673:E673" si="622">B566</f>
        <v>14999</v>
      </c>
      <c r="C673" s="596">
        <f t="shared" si="622"/>
        <v>20250104050</v>
      </c>
      <c r="D673" s="597" t="str">
        <f t="shared" si="622"/>
        <v>ABDUL REHMAN</v>
      </c>
      <c r="E673" s="597" t="str">
        <f t="shared" si="622"/>
        <v>MD LAL BABU</v>
      </c>
      <c r="F673" s="590" t="str">
        <f>VLOOKUP(A673,STUDENT!$A$2:$BR$105,68,0)</f>
        <v/>
      </c>
      <c r="G673" s="590" t="b">
        <f>VLOOKUP(A673,STUDENT!$A$2:$BR$105,67,0)</f>
        <v>0</v>
      </c>
      <c r="H673" s="590" t="str">
        <f>MARKS!CP31</f>
        <v>E</v>
      </c>
      <c r="I673" s="590" t="str">
        <f>MARKS!CQ31</f>
        <v>E</v>
      </c>
      <c r="J673" s="590" t="str">
        <f>MARKS!CR31</f>
        <v>E</v>
      </c>
      <c r="K673" s="590" t="str">
        <f>MARKS!CS31</f>
        <v>E</v>
      </c>
      <c r="L673" s="590" t="str">
        <f>MARKS!CT31</f>
        <v>E</v>
      </c>
      <c r="M673" s="590" t="str">
        <f>MARKS!CU31</f>
        <v>E</v>
      </c>
      <c r="N673" s="590">
        <f>MARKS!CV31</f>
        <v>0</v>
      </c>
      <c r="O673" s="590" t="str">
        <f>MARKS!CW31</f>
        <v>E</v>
      </c>
      <c r="Q673" s="591" t="s">
        <v>482</v>
      </c>
      <c r="R673" s="591" t="s">
        <v>483</v>
      </c>
      <c r="S673" s="591" t="s">
        <v>488</v>
      </c>
      <c r="T673" s="591">
        <f>COUNTIFS(I646:I745,S673)</f>
        <v>39</v>
      </c>
      <c r="U673" s="591">
        <f>COUNTIFS(F646:F745,Q662,I646:I745,S673)</f>
        <v>0</v>
      </c>
      <c r="V673" s="591">
        <f>COUNTIFS(F646:F745,R662,I646:I745,S673)</f>
        <v>0</v>
      </c>
      <c r="W673" s="594"/>
      <c r="X673" s="591" t="s">
        <v>482</v>
      </c>
      <c r="Y673" s="591" t="s">
        <v>483</v>
      </c>
      <c r="Z673" s="591" t="s">
        <v>491</v>
      </c>
      <c r="AA673" s="591" t="s">
        <v>488</v>
      </c>
      <c r="AB673" s="591">
        <f>COUNTIFS(G646:G745,Z673,O646:O745,S673)</f>
        <v>0</v>
      </c>
      <c r="AC673" s="591">
        <f>COUNTIFS(F646:F745,X673,G646:G745,Z673,O646:O745,S673)</f>
        <v>0</v>
      </c>
      <c r="AD673" s="591">
        <f>COUNTIFS(F646:F745,Y673,G646:G745,Z673,O646:O745,S673)</f>
        <v>0</v>
      </c>
      <c r="AE673" s="594"/>
    </row>
    <row r="674" spans="1:31">
      <c r="A674" s="596">
        <v>29</v>
      </c>
      <c r="B674" s="596">
        <f t="shared" ref="B674:E674" si="623">B567</f>
        <v>15000</v>
      </c>
      <c r="C674" s="596">
        <f t="shared" si="623"/>
        <v>20250104062</v>
      </c>
      <c r="D674" s="597" t="str">
        <f t="shared" si="623"/>
        <v>KARTIK</v>
      </c>
      <c r="E674" s="597" t="str">
        <f t="shared" si="623"/>
        <v>AMAN YADAV</v>
      </c>
      <c r="F674" s="590" t="str">
        <f>VLOOKUP(A674,STUDENT!$A$2:$BR$105,68,0)</f>
        <v/>
      </c>
      <c r="G674" s="590" t="b">
        <f>VLOOKUP(A674,STUDENT!$A$2:$BR$105,67,0)</f>
        <v>0</v>
      </c>
      <c r="H674" s="590" t="str">
        <f>MARKS!CP32</f>
        <v>D</v>
      </c>
      <c r="I674" s="590" t="str">
        <f>MARKS!CQ32</f>
        <v>E</v>
      </c>
      <c r="J674" s="590" t="str">
        <f>MARKS!CR32</f>
        <v>E</v>
      </c>
      <c r="K674" s="590" t="str">
        <f>MARKS!CS32</f>
        <v>E</v>
      </c>
      <c r="L674" s="590" t="str">
        <f>MARKS!CT32</f>
        <v>E</v>
      </c>
      <c r="M674" s="590" t="str">
        <f>MARKS!CU32</f>
        <v>E</v>
      </c>
      <c r="N674" s="590">
        <f>MARKS!CV32</f>
        <v>0</v>
      </c>
      <c r="O674" s="590" t="str">
        <f>MARKS!CW32</f>
        <v>E</v>
      </c>
      <c r="Q674" s="591" t="s">
        <v>482</v>
      </c>
      <c r="R674" s="591" t="s">
        <v>483</v>
      </c>
      <c r="S674" s="591" t="s">
        <v>101</v>
      </c>
      <c r="T674" s="591">
        <f>COUNTIFS(I646:I745,S674)</f>
        <v>0</v>
      </c>
      <c r="U674" s="591">
        <f>COUNTIFS(F646:F745,Q663,I646:I745,S674)</f>
        <v>0</v>
      </c>
      <c r="V674" s="591">
        <f>COUNTIFS(F646:F745,R663,I646:I745,S674)</f>
        <v>0</v>
      </c>
      <c r="W674" s="594"/>
      <c r="X674" s="591" t="s">
        <v>482</v>
      </c>
      <c r="Y674" s="591" t="s">
        <v>483</v>
      </c>
      <c r="Z674" s="591" t="s">
        <v>491</v>
      </c>
      <c r="AA674" s="591" t="s">
        <v>101</v>
      </c>
      <c r="AB674" s="591">
        <f>COUNTIFS(G646:G745,Z674,O646:O745,S674)</f>
        <v>0</v>
      </c>
      <c r="AC674" s="591">
        <f>COUNTIFS(F646:F745,X674,G646:G745,Z674,O646:O745,S674)</f>
        <v>0</v>
      </c>
      <c r="AD674" s="591">
        <f>COUNTIFS(F646:F745,Y674,G646:G745,Z674,O646:O745,S674)</f>
        <v>0</v>
      </c>
      <c r="AE674" s="594"/>
    </row>
    <row r="675" spans="1:31">
      <c r="A675" s="590">
        <v>30</v>
      </c>
      <c r="B675" s="596">
        <f t="shared" ref="B675:E675" si="624">B568</f>
        <v>15022</v>
      </c>
      <c r="C675" s="596">
        <f t="shared" si="624"/>
        <v>20250141853</v>
      </c>
      <c r="D675" s="597" t="str">
        <f t="shared" si="624"/>
        <v>AYAN</v>
      </c>
      <c r="E675" s="597" t="str">
        <f t="shared" si="624"/>
        <v>BABU HASAN</v>
      </c>
      <c r="F675" s="590" t="str">
        <f>VLOOKUP(A675,STUDENT!$A$2:$BR$105,68,0)</f>
        <v/>
      </c>
      <c r="G675" s="590" t="b">
        <f>VLOOKUP(A675,STUDENT!$A$2:$BR$105,67,0)</f>
        <v>0</v>
      </c>
      <c r="H675" s="590" t="str">
        <f>MARKS!CP33</f>
        <v>C</v>
      </c>
      <c r="I675" s="590" t="str">
        <f>MARKS!CQ33</f>
        <v>E</v>
      </c>
      <c r="J675" s="590" t="str">
        <f>MARKS!CR33</f>
        <v>E</v>
      </c>
      <c r="K675" s="590" t="str">
        <f>MARKS!CS33</f>
        <v>E</v>
      </c>
      <c r="L675" s="590" t="str">
        <f>MARKS!CT33</f>
        <v>E</v>
      </c>
      <c r="M675" s="590" t="str">
        <f>MARKS!CU33</f>
        <v>E</v>
      </c>
      <c r="N675" s="590">
        <f>MARKS!CV33</f>
        <v>0</v>
      </c>
      <c r="O675" s="590" t="str">
        <f>MARKS!CW33</f>
        <v>E</v>
      </c>
      <c r="Q675" s="591" t="s">
        <v>482</v>
      </c>
      <c r="R675" s="591" t="s">
        <v>483</v>
      </c>
      <c r="S675" s="591" t="s">
        <v>489</v>
      </c>
      <c r="T675" s="591">
        <f>COUNTIFS(I646:I745,S675)</f>
        <v>0</v>
      </c>
      <c r="U675" s="591">
        <f>COUNTIFS(F646:F745,Q664,I646:I745,S675)</f>
        <v>0</v>
      </c>
      <c r="V675" s="591">
        <f>COUNTIFS(F646:F745,R664,I646:I745,S675)</f>
        <v>0</v>
      </c>
      <c r="W675" s="594"/>
      <c r="X675" s="591" t="s">
        <v>482</v>
      </c>
      <c r="Y675" s="591" t="s">
        <v>483</v>
      </c>
      <c r="Z675" s="591" t="s">
        <v>491</v>
      </c>
      <c r="AA675" s="591" t="s">
        <v>489</v>
      </c>
      <c r="AB675" s="591">
        <f>COUNTIFS(G646:G745,Z675,O646:O745,S675)</f>
        <v>0</v>
      </c>
      <c r="AC675" s="591">
        <f>COUNTIFS(F646:F745,X675,G646:G745,Z675,O646:O745,S675)</f>
        <v>0</v>
      </c>
      <c r="AD675" s="591">
        <f>COUNTIFS(F646:F745,Y675,G646:G745,Z675,O646:O745,S675)</f>
        <v>0</v>
      </c>
      <c r="AE675" s="594"/>
    </row>
    <row r="676" spans="1:31">
      <c r="A676" s="596">
        <v>31</v>
      </c>
      <c r="B676" s="596">
        <f t="shared" ref="B676:E676" si="625">B569</f>
        <v>15034</v>
      </c>
      <c r="C676" s="596">
        <f t="shared" si="625"/>
        <v>20250188568</v>
      </c>
      <c r="D676" s="597" t="str">
        <f t="shared" si="625"/>
        <v>RAM CHANDER KUMAR</v>
      </c>
      <c r="E676" s="597" t="str">
        <f t="shared" si="625"/>
        <v>AKASH SHARMA</v>
      </c>
      <c r="F676" s="590" t="str">
        <f>VLOOKUP(A676,STUDENT!$A$2:$BR$105,68,0)</f>
        <v/>
      </c>
      <c r="G676" s="590" t="b">
        <f>VLOOKUP(A676,STUDENT!$A$2:$BR$105,67,0)</f>
        <v>0</v>
      </c>
      <c r="H676" s="590" t="str">
        <f>MARKS!CP34</f>
        <v>D</v>
      </c>
      <c r="I676" s="590" t="str">
        <f>MARKS!CQ34</f>
        <v>E</v>
      </c>
      <c r="J676" s="590" t="str">
        <f>MARKS!CR34</f>
        <v>E</v>
      </c>
      <c r="K676" s="590" t="str">
        <f>MARKS!CS34</f>
        <v>E</v>
      </c>
      <c r="L676" s="590" t="str">
        <f>MARKS!CT34</f>
        <v>E</v>
      </c>
      <c r="M676" s="590" t="str">
        <f>MARKS!CU34</f>
        <v>E</v>
      </c>
      <c r="N676" s="590">
        <f>MARKS!CV34</f>
        <v>0</v>
      </c>
      <c r="O676" s="590" t="str">
        <f>MARKS!CW34</f>
        <v>E</v>
      </c>
      <c r="Q676" s="591" t="s">
        <v>482</v>
      </c>
      <c r="R676" s="591" t="s">
        <v>483</v>
      </c>
      <c r="S676" s="591"/>
      <c r="T676" s="591"/>
      <c r="U676" s="591"/>
      <c r="V676" s="591"/>
      <c r="W676" s="594"/>
      <c r="X676" s="591" t="s">
        <v>482</v>
      </c>
      <c r="Y676" s="591" t="s">
        <v>483</v>
      </c>
      <c r="Z676" s="591" t="s">
        <v>491</v>
      </c>
      <c r="AA676" s="591"/>
      <c r="AB676" s="591"/>
      <c r="AC676" s="591"/>
      <c r="AD676" s="591"/>
      <c r="AE676" s="594"/>
    </row>
    <row r="677" spans="1:31">
      <c r="A677" s="590">
        <v>32</v>
      </c>
      <c r="B677" s="596">
        <f t="shared" ref="B677:E677" si="626">B570</f>
        <v>15035</v>
      </c>
      <c r="C677" s="596">
        <f t="shared" si="626"/>
        <v>20250188626</v>
      </c>
      <c r="D677" s="597" t="str">
        <f t="shared" si="626"/>
        <v>HARSHIT</v>
      </c>
      <c r="E677" s="597" t="str">
        <f t="shared" si="626"/>
        <v>ANKIT SINGH</v>
      </c>
      <c r="F677" s="590" t="str">
        <f>VLOOKUP(A677,STUDENT!$A$2:$BR$105,68,0)</f>
        <v/>
      </c>
      <c r="G677" s="590" t="b">
        <f>VLOOKUP(A677,STUDENT!$A$2:$BR$105,67,0)</f>
        <v>0</v>
      </c>
      <c r="H677" s="590" t="str">
        <f>MARKS!CP35</f>
        <v>C</v>
      </c>
      <c r="I677" s="590" t="str">
        <f>MARKS!CQ35</f>
        <v>E</v>
      </c>
      <c r="J677" s="590" t="str">
        <f>MARKS!CR35</f>
        <v>E</v>
      </c>
      <c r="K677" s="590" t="str">
        <f>MARKS!CS35</f>
        <v>E</v>
      </c>
      <c r="L677" s="590" t="str">
        <f>MARKS!CT35</f>
        <v>E</v>
      </c>
      <c r="M677" s="590" t="str">
        <f>MARKS!CU35</f>
        <v>E</v>
      </c>
      <c r="N677" s="590">
        <f>MARKS!CV35</f>
        <v>0</v>
      </c>
      <c r="O677" s="590" t="str">
        <f>MARKS!CW35</f>
        <v>D</v>
      </c>
      <c r="Q677" s="591"/>
      <c r="R677" s="591"/>
      <c r="S677" s="591" t="s">
        <v>102</v>
      </c>
      <c r="T677" s="591">
        <f>SUM(T669:T676)</f>
        <v>39</v>
      </c>
      <c r="U677" s="591">
        <f t="shared" ref="U677:V677" si="627">SUM(U669:U676)</f>
        <v>0</v>
      </c>
      <c r="V677" s="591">
        <f t="shared" si="627"/>
        <v>0</v>
      </c>
      <c r="W677" s="594"/>
      <c r="X677" s="591"/>
      <c r="Y677" s="591"/>
      <c r="Z677" s="591"/>
      <c r="AA677" s="591" t="s">
        <v>102</v>
      </c>
      <c r="AB677" s="591">
        <f>SUM(AB669:AB676)</f>
        <v>0</v>
      </c>
      <c r="AC677" s="591">
        <f t="shared" ref="AC677:AD677" si="628">SUM(AC669:AC676)</f>
        <v>0</v>
      </c>
      <c r="AD677" s="591">
        <f t="shared" si="628"/>
        <v>0</v>
      </c>
      <c r="AE677" s="594"/>
    </row>
    <row r="678" spans="1:31">
      <c r="A678" s="596">
        <v>33</v>
      </c>
      <c r="B678" s="596">
        <f t="shared" ref="B678:E678" si="629">B571</f>
        <v>15077</v>
      </c>
      <c r="C678" s="596">
        <f t="shared" si="629"/>
        <v>20250246710</v>
      </c>
      <c r="D678" s="597" t="str">
        <f t="shared" si="629"/>
        <v>HEMANT KUMAR</v>
      </c>
      <c r="E678" s="597" t="str">
        <f t="shared" si="629"/>
        <v>PRADEEP KUMAR</v>
      </c>
      <c r="F678" s="590" t="str">
        <f>VLOOKUP(A678,STUDENT!$A$2:$BR$105,68,0)</f>
        <v/>
      </c>
      <c r="G678" s="590" t="b">
        <f>VLOOKUP(A678,STUDENT!$A$2:$BR$105,67,0)</f>
        <v>0</v>
      </c>
      <c r="H678" s="590" t="str">
        <f>MARKS!CP36</f>
        <v>C</v>
      </c>
      <c r="I678" s="590" t="str">
        <f>MARKS!CQ36</f>
        <v>E</v>
      </c>
      <c r="J678" s="590" t="str">
        <f>MARKS!CR36</f>
        <v>E</v>
      </c>
      <c r="K678" s="590" t="str">
        <f>MARKS!CS36</f>
        <v>E</v>
      </c>
      <c r="L678" s="590" t="str">
        <f>MARKS!CT36</f>
        <v>E</v>
      </c>
      <c r="M678" s="590" t="str">
        <f>MARKS!CU36</f>
        <v>E</v>
      </c>
      <c r="N678" s="590">
        <f>MARKS!CV36</f>
        <v>0</v>
      </c>
      <c r="O678" s="590" t="str">
        <f>MARKS!CW36</f>
        <v>E</v>
      </c>
      <c r="Q678" s="591"/>
      <c r="R678" s="591"/>
      <c r="S678" s="591"/>
      <c r="T678" s="591"/>
      <c r="U678" s="591"/>
      <c r="V678" s="591"/>
      <c r="W678" s="594"/>
      <c r="X678" s="594"/>
      <c r="Y678" s="594"/>
      <c r="Z678" s="594"/>
      <c r="AA678" s="594"/>
      <c r="AB678" s="591"/>
      <c r="AC678" s="591"/>
      <c r="AD678" s="591"/>
      <c r="AE678" s="594"/>
    </row>
    <row r="679" spans="1:31">
      <c r="A679" s="590">
        <v>34</v>
      </c>
      <c r="B679" s="596">
        <f t="shared" ref="B679:E679" si="630">B572</f>
        <v>15088</v>
      </c>
      <c r="C679" s="596">
        <f t="shared" si="630"/>
        <v>20250257787</v>
      </c>
      <c r="D679" s="597" t="str">
        <f t="shared" si="630"/>
        <v>VEERPARTAP SINGH</v>
      </c>
      <c r="E679" s="597" t="str">
        <f t="shared" si="630"/>
        <v>VIJAY SINGH</v>
      </c>
      <c r="F679" s="590" t="str">
        <f>VLOOKUP(A679,STUDENT!$A$2:$BR$105,68,0)</f>
        <v/>
      </c>
      <c r="G679" s="590" t="b">
        <f>VLOOKUP(A679,STUDENT!$A$2:$BR$105,67,0)</f>
        <v>0</v>
      </c>
      <c r="H679" s="590" t="str">
        <f>MARKS!CP37</f>
        <v>D</v>
      </c>
      <c r="I679" s="590" t="str">
        <f>MARKS!CQ37</f>
        <v>E</v>
      </c>
      <c r="J679" s="590" t="str">
        <f>MARKS!CR37</f>
        <v>E</v>
      </c>
      <c r="K679" s="590" t="str">
        <f>MARKS!CS37</f>
        <v>E</v>
      </c>
      <c r="L679" s="590" t="str">
        <f>MARKS!CT37</f>
        <v>E</v>
      </c>
      <c r="M679" s="590" t="str">
        <f>MARKS!CU37</f>
        <v>E</v>
      </c>
      <c r="N679" s="590">
        <f>MARKS!CV37</f>
        <v>0</v>
      </c>
      <c r="O679" s="590" t="str">
        <f>MARKS!CW37</f>
        <v>E</v>
      </c>
      <c r="Q679" s="591"/>
      <c r="R679" s="591"/>
      <c r="S679" s="591"/>
      <c r="T679" s="591"/>
      <c r="U679" s="591"/>
      <c r="V679" s="591"/>
      <c r="W679" s="594"/>
      <c r="X679" s="594"/>
      <c r="Y679" s="594"/>
      <c r="Z679" s="594"/>
      <c r="AA679" s="594"/>
      <c r="AB679" s="591"/>
      <c r="AC679" s="591"/>
      <c r="AD679" s="591"/>
      <c r="AE679" s="594"/>
    </row>
    <row r="680" spans="1:31">
      <c r="A680" s="596">
        <v>35</v>
      </c>
      <c r="B680" s="596">
        <f t="shared" ref="B680:E680" si="631">B573</f>
        <v>15104</v>
      </c>
      <c r="C680" s="596">
        <f t="shared" si="631"/>
        <v>20250272033</v>
      </c>
      <c r="D680" s="597" t="str">
        <f t="shared" si="631"/>
        <v>NIKHIL KUMAR</v>
      </c>
      <c r="E680" s="597" t="str">
        <f t="shared" si="631"/>
        <v>SUNIL KUMAR</v>
      </c>
      <c r="F680" s="590" t="str">
        <f>VLOOKUP(A680,STUDENT!$A$2:$BR$105,68,0)</f>
        <v/>
      </c>
      <c r="G680" s="590" t="b">
        <f>VLOOKUP(A680,STUDENT!$A$2:$BR$105,67,0)</f>
        <v>0</v>
      </c>
      <c r="H680" s="590" t="str">
        <f>MARKS!CP38</f>
        <v>D</v>
      </c>
      <c r="I680" s="590" t="str">
        <f>MARKS!CQ38</f>
        <v>E</v>
      </c>
      <c r="J680" s="590" t="str">
        <f>MARKS!CR38</f>
        <v>E</v>
      </c>
      <c r="K680" s="590" t="str">
        <f>MARKS!CS38</f>
        <v>E</v>
      </c>
      <c r="L680" s="590" t="str">
        <f>MARKS!CT38</f>
        <v>E</v>
      </c>
      <c r="M680" s="590" t="str">
        <f>MARKS!CU38</f>
        <v>E</v>
      </c>
      <c r="N680" s="590">
        <f>MARKS!CV38</f>
        <v>0</v>
      </c>
      <c r="O680" s="590" t="str">
        <f>MARKS!CW38</f>
        <v>E</v>
      </c>
      <c r="Q680" s="591" t="s">
        <v>475</v>
      </c>
      <c r="R680" s="591" t="s">
        <v>476</v>
      </c>
      <c r="S680" s="592" t="s">
        <v>477</v>
      </c>
      <c r="T680" s="593" t="s">
        <v>88</v>
      </c>
      <c r="U680" s="592" t="s">
        <v>479</v>
      </c>
      <c r="V680" s="592" t="s">
        <v>480</v>
      </c>
      <c r="W680" s="594"/>
      <c r="X680" s="591" t="s">
        <v>475</v>
      </c>
      <c r="Y680" s="591" t="s">
        <v>476</v>
      </c>
      <c r="Z680" s="591" t="s">
        <v>474</v>
      </c>
      <c r="AA680" s="592" t="s">
        <v>477</v>
      </c>
      <c r="AB680" s="593" t="s">
        <v>492</v>
      </c>
      <c r="AC680" s="592" t="s">
        <v>479</v>
      </c>
      <c r="AD680" s="592" t="s">
        <v>480</v>
      </c>
      <c r="AE680" s="594"/>
    </row>
    <row r="681" spans="1:31">
      <c r="A681" s="590">
        <v>36</v>
      </c>
      <c r="B681" s="596">
        <f t="shared" ref="B681:E681" si="632">B574</f>
        <v>15143</v>
      </c>
      <c r="C681" s="596">
        <f t="shared" si="632"/>
        <v>20250310265</v>
      </c>
      <c r="D681" s="597" t="str">
        <f t="shared" si="632"/>
        <v>JITENDRA</v>
      </c>
      <c r="E681" s="597" t="str">
        <f t="shared" si="632"/>
        <v>RAM SUMAR</v>
      </c>
      <c r="F681" s="590" t="str">
        <f>VLOOKUP(A681,STUDENT!$A$2:$BR$105,68,0)</f>
        <v/>
      </c>
      <c r="G681" s="590" t="b">
        <f>VLOOKUP(A681,STUDENT!$A$2:$BR$105,67,0)</f>
        <v>0</v>
      </c>
      <c r="H681" s="590" t="str">
        <f>MARKS!CP39</f>
        <v>D</v>
      </c>
      <c r="I681" s="590" t="str">
        <f>MARKS!CQ39</f>
        <v>E</v>
      </c>
      <c r="J681" s="590" t="str">
        <f>MARKS!CR39</f>
        <v>E</v>
      </c>
      <c r="K681" s="590" t="str">
        <f>MARKS!CS39</f>
        <v>E</v>
      </c>
      <c r="L681" s="590" t="str">
        <f>MARKS!CT39</f>
        <v>E</v>
      </c>
      <c r="M681" s="590" t="str">
        <f>MARKS!CU39</f>
        <v>E</v>
      </c>
      <c r="N681" s="590">
        <f>MARKS!CV39</f>
        <v>0</v>
      </c>
      <c r="O681" s="590" t="str">
        <f>MARKS!CW39</f>
        <v>E</v>
      </c>
      <c r="Q681" s="591" t="s">
        <v>482</v>
      </c>
      <c r="R681" s="591" t="s">
        <v>483</v>
      </c>
      <c r="S681" s="591" t="s">
        <v>50</v>
      </c>
      <c r="T681" s="591">
        <f>COUNTIFS(J646:J745,S681)</f>
        <v>0</v>
      </c>
      <c r="U681" s="591">
        <f>COUNTIFS(F646:F745,Q670,J646:J745,S681)</f>
        <v>0</v>
      </c>
      <c r="V681" s="591">
        <f>COUNTIFS(F646:F745,R670,J646:J745,S681)</f>
        <v>0</v>
      </c>
      <c r="W681" s="594"/>
      <c r="X681" s="591" t="s">
        <v>482</v>
      </c>
      <c r="Y681" s="591" t="s">
        <v>483</v>
      </c>
      <c r="Z681" s="591" t="s">
        <v>492</v>
      </c>
      <c r="AA681" s="591" t="s">
        <v>50</v>
      </c>
      <c r="AB681" s="591">
        <f>COUNTIFS(G646:G745,Z681,O646:O745,S681)</f>
        <v>0</v>
      </c>
      <c r="AC681" s="591">
        <f>COUNTIFS(F646:F745,X681,G646:G745,Z681,O646:O745,S681)</f>
        <v>0</v>
      </c>
      <c r="AD681" s="591">
        <f>COUNTIFS(F646:F745,Y681,G646:G745,Z681,O646:O745,S681)</f>
        <v>0</v>
      </c>
      <c r="AE681" s="594"/>
    </row>
    <row r="682" spans="1:31">
      <c r="A682" s="596">
        <v>37</v>
      </c>
      <c r="B682" s="596">
        <f t="shared" ref="B682:E682" si="633">B575</f>
        <v>15144</v>
      </c>
      <c r="C682" s="596">
        <f t="shared" si="633"/>
        <v>20250310269</v>
      </c>
      <c r="D682" s="597" t="str">
        <f t="shared" si="633"/>
        <v>MOHD AYAN</v>
      </c>
      <c r="E682" s="597" t="str">
        <f t="shared" si="633"/>
        <v>BUDHAN MIYAN</v>
      </c>
      <c r="F682" s="590" t="str">
        <f>VLOOKUP(A682,STUDENT!$A$2:$BR$105,68,0)</f>
        <v/>
      </c>
      <c r="G682" s="590" t="b">
        <f>VLOOKUP(A682,STUDENT!$A$2:$BR$105,67,0)</f>
        <v>0</v>
      </c>
      <c r="H682" s="590" t="str">
        <f>MARKS!CP40</f>
        <v>E</v>
      </c>
      <c r="I682" s="590" t="str">
        <f>MARKS!CQ40</f>
        <v>E</v>
      </c>
      <c r="J682" s="590" t="str">
        <f>MARKS!CR40</f>
        <v>E</v>
      </c>
      <c r="K682" s="590" t="str">
        <f>MARKS!CS40</f>
        <v>E</v>
      </c>
      <c r="L682" s="590" t="str">
        <f>MARKS!CT40</f>
        <v>E</v>
      </c>
      <c r="M682" s="590" t="str">
        <f>MARKS!CU40</f>
        <v>E</v>
      </c>
      <c r="N682" s="590">
        <f>MARKS!CV40</f>
        <v>0</v>
      </c>
      <c r="O682" s="590" t="str">
        <f>MARKS!CW40</f>
        <v>E</v>
      </c>
      <c r="Q682" s="591" t="s">
        <v>482</v>
      </c>
      <c r="R682" s="591" t="s">
        <v>483</v>
      </c>
      <c r="S682" s="591" t="s">
        <v>485</v>
      </c>
      <c r="T682" s="591">
        <f>COUNTIFS(J646:J745,S682)</f>
        <v>0</v>
      </c>
      <c r="U682" s="591">
        <f>COUNTIFS(F646:F745,Q671,J646:J745,S682)</f>
        <v>0</v>
      </c>
      <c r="V682" s="591">
        <f>COUNTIFS(F646:F745,R671,J646:J745,S682)</f>
        <v>0</v>
      </c>
      <c r="W682" s="594"/>
      <c r="X682" s="591" t="s">
        <v>482</v>
      </c>
      <c r="Y682" s="591" t="s">
        <v>483</v>
      </c>
      <c r="Z682" s="591" t="s">
        <v>492</v>
      </c>
      <c r="AA682" s="591" t="s">
        <v>485</v>
      </c>
      <c r="AB682" s="591">
        <f>COUNTIFS(G646:G745,Z682,O646:O745,S682)</f>
        <v>0</v>
      </c>
      <c r="AC682" s="591">
        <f>COUNTIFS(F646:F745,X682,G646:G745,Z682,O646:O745,S682)</f>
        <v>0</v>
      </c>
      <c r="AD682" s="591">
        <f>COUNTIFS(F646:F745,Y682,G646:G745,Z682,O646:O745,S682)</f>
        <v>0</v>
      </c>
      <c r="AE682" s="594"/>
    </row>
    <row r="683" spans="1:31">
      <c r="A683" s="590">
        <v>38</v>
      </c>
      <c r="B683" s="596">
        <f t="shared" ref="B683:E683" si="634">B576</f>
        <v>15145</v>
      </c>
      <c r="C683" s="596">
        <f t="shared" si="634"/>
        <v>20250310277</v>
      </c>
      <c r="D683" s="597" t="str">
        <f t="shared" si="634"/>
        <v>RAJA KUMAR</v>
      </c>
      <c r="E683" s="597" t="str">
        <f t="shared" si="634"/>
        <v>AMAR PODDAR</v>
      </c>
      <c r="F683" s="590" t="str">
        <f>VLOOKUP(A683,STUDENT!$A$2:$BR$105,68,0)</f>
        <v/>
      </c>
      <c r="G683" s="590" t="b">
        <f>VLOOKUP(A683,STUDENT!$A$2:$BR$105,67,0)</f>
        <v>0</v>
      </c>
      <c r="H683" s="590" t="str">
        <f>MARKS!CP41</f>
        <v>E</v>
      </c>
      <c r="I683" s="590" t="str">
        <f>MARKS!CQ41</f>
        <v>E</v>
      </c>
      <c r="J683" s="590" t="str">
        <f>MARKS!CR41</f>
        <v>E</v>
      </c>
      <c r="K683" s="590" t="str">
        <f>MARKS!CS41</f>
        <v>E</v>
      </c>
      <c r="L683" s="590" t="str">
        <f>MARKS!CT41</f>
        <v>E</v>
      </c>
      <c r="M683" s="590" t="str">
        <f>MARKS!CU41</f>
        <v>E</v>
      </c>
      <c r="N683" s="590">
        <f>MARKS!CV41</f>
        <v>0</v>
      </c>
      <c r="O683" s="590" t="str">
        <f>MARKS!CW41</f>
        <v>E</v>
      </c>
      <c r="Q683" s="591" t="s">
        <v>482</v>
      </c>
      <c r="R683" s="591" t="s">
        <v>483</v>
      </c>
      <c r="S683" s="591" t="s">
        <v>486</v>
      </c>
      <c r="T683" s="591">
        <f>COUNTIFS(J646:J745,S683)</f>
        <v>0</v>
      </c>
      <c r="U683" s="591">
        <f>COUNTIFS(F646:F745,Q672,J646:J745,S683)</f>
        <v>0</v>
      </c>
      <c r="V683" s="591">
        <f>COUNTIFS(F646:F745,R672,J646:J745,S683)</f>
        <v>0</v>
      </c>
      <c r="W683" s="594"/>
      <c r="X683" s="591" t="s">
        <v>482</v>
      </c>
      <c r="Y683" s="591" t="s">
        <v>483</v>
      </c>
      <c r="Z683" s="591" t="s">
        <v>492</v>
      </c>
      <c r="AA683" s="591" t="s">
        <v>486</v>
      </c>
      <c r="AB683" s="591">
        <f>COUNTIFS(G646:G745,Z683,O646:O745,S683)</f>
        <v>0</v>
      </c>
      <c r="AC683" s="591">
        <f>COUNTIFS(F646:F745,X683,G646:G745,Z683,O646:O745,S683)</f>
        <v>0</v>
      </c>
      <c r="AD683" s="591">
        <f>COUNTIFS(F646:F745,Y683,G646:G745,Z683,O646:O745,S683)</f>
        <v>0</v>
      </c>
      <c r="AE683" s="594"/>
    </row>
    <row r="684" spans="1:31">
      <c r="A684" s="596">
        <v>39</v>
      </c>
      <c r="B684" s="596">
        <f t="shared" ref="B684:E684" si="635">B577</f>
        <v>15149</v>
      </c>
      <c r="C684" s="596">
        <f t="shared" si="635"/>
        <v>20250325088</v>
      </c>
      <c r="D684" s="597" t="str">
        <f t="shared" si="635"/>
        <v>LOVECESH KUMAR</v>
      </c>
      <c r="E684" s="597" t="str">
        <f t="shared" si="635"/>
        <v>SANDEEP KUMAR</v>
      </c>
      <c r="F684" s="590" t="str">
        <f>VLOOKUP(A684,STUDENT!$A$2:$BR$105,68,0)</f>
        <v/>
      </c>
      <c r="G684" s="590" t="b">
        <f>VLOOKUP(A684,STUDENT!$A$2:$BR$105,67,0)</f>
        <v>0</v>
      </c>
      <c r="H684" s="590" t="str">
        <f>MARKS!CP42</f>
        <v>E</v>
      </c>
      <c r="I684" s="590" t="str">
        <f>MARKS!CQ42</f>
        <v>E</v>
      </c>
      <c r="J684" s="590" t="str">
        <f>MARKS!CR42</f>
        <v>E</v>
      </c>
      <c r="K684" s="590" t="str">
        <f>MARKS!CS42</f>
        <v>E</v>
      </c>
      <c r="L684" s="590" t="str">
        <f>MARKS!CT42</f>
        <v>E</v>
      </c>
      <c r="M684" s="590" t="str">
        <f>MARKS!CU42</f>
        <v>E</v>
      </c>
      <c r="N684" s="590">
        <f>MARKS!CV42</f>
        <v>0</v>
      </c>
      <c r="O684" s="590" t="str">
        <f>MARKS!CW42</f>
        <v>E</v>
      </c>
      <c r="Q684" s="591" t="s">
        <v>482</v>
      </c>
      <c r="R684" s="591" t="s">
        <v>483</v>
      </c>
      <c r="S684" s="591" t="s">
        <v>487</v>
      </c>
      <c r="T684" s="591">
        <f>COUNTIFS(J646:J745,S684)</f>
        <v>0</v>
      </c>
      <c r="U684" s="591">
        <f>COUNTIFS(F646:F745,Q673,J646:J745,S684)</f>
        <v>0</v>
      </c>
      <c r="V684" s="591">
        <f>COUNTIFS(F646:F745,R673,J646:J745,S684)</f>
        <v>0</v>
      </c>
      <c r="W684" s="594"/>
      <c r="X684" s="591" t="s">
        <v>482</v>
      </c>
      <c r="Y684" s="591" t="s">
        <v>483</v>
      </c>
      <c r="Z684" s="591" t="s">
        <v>492</v>
      </c>
      <c r="AA684" s="591" t="s">
        <v>487</v>
      </c>
      <c r="AB684" s="591">
        <f>COUNTIFS(G646:G745,Z684,O646:O745,S684)</f>
        <v>0</v>
      </c>
      <c r="AC684" s="591">
        <f>COUNTIFS(F646:F745,X684,G646:G745,Z684,O646:O745,S684)</f>
        <v>0</v>
      </c>
      <c r="AD684" s="591">
        <f>COUNTIFS(F646:F745,Y684,G646:G745,Z684,O646:O745,S684)</f>
        <v>0</v>
      </c>
      <c r="AE684" s="594"/>
    </row>
    <row r="685" spans="1:31">
      <c r="A685" s="590">
        <v>40</v>
      </c>
      <c r="B685" s="596">
        <f t="shared" ref="B685:E685" si="636">B578</f>
        <v>0</v>
      </c>
      <c r="C685" s="596">
        <f t="shared" si="636"/>
        <v>0</v>
      </c>
      <c r="D685" s="597">
        <f t="shared" si="636"/>
        <v>0</v>
      </c>
      <c r="E685" s="597">
        <f t="shared" si="636"/>
        <v>0</v>
      </c>
      <c r="F685" s="590" t="str">
        <f>VLOOKUP(A685,STUDENT!$A$2:$BR$105,68,0)</f>
        <v/>
      </c>
      <c r="G685" s="590" t="b">
        <f>VLOOKUP(A685,STUDENT!$A$2:$BR$105,67,0)</f>
        <v>0</v>
      </c>
      <c r="H685" s="590" t="str">
        <f>MARKS!CP43</f>
        <v/>
      </c>
      <c r="I685" s="590" t="str">
        <f>MARKS!CQ43</f>
        <v/>
      </c>
      <c r="J685" s="590" t="str">
        <f>MARKS!CR43</f>
        <v/>
      </c>
      <c r="K685" s="590" t="str">
        <f>MARKS!CS43</f>
        <v/>
      </c>
      <c r="L685" s="590" t="str">
        <f>MARKS!CT43</f>
        <v/>
      </c>
      <c r="M685" s="590" t="str">
        <f>MARKS!CU43</f>
        <v/>
      </c>
      <c r="N685" s="590" t="str">
        <f>MARKS!CV43</f>
        <v/>
      </c>
      <c r="O685" s="590" t="str">
        <f>MARKS!CW43</f>
        <v/>
      </c>
      <c r="Q685" s="591" t="s">
        <v>482</v>
      </c>
      <c r="R685" s="591" t="s">
        <v>483</v>
      </c>
      <c r="S685" s="591" t="s">
        <v>488</v>
      </c>
      <c r="T685" s="591">
        <f>COUNTIFS(J646:J745,S685)</f>
        <v>39</v>
      </c>
      <c r="U685" s="591">
        <f>COUNTIFS(F646:F745,Q674,J646:J745,S685)</f>
        <v>0</v>
      </c>
      <c r="V685" s="591">
        <f>COUNTIFS(F646:F745,R674,J646:J745,S685)</f>
        <v>0</v>
      </c>
      <c r="W685" s="594"/>
      <c r="X685" s="591" t="s">
        <v>482</v>
      </c>
      <c r="Y685" s="591" t="s">
        <v>483</v>
      </c>
      <c r="Z685" s="591" t="s">
        <v>492</v>
      </c>
      <c r="AA685" s="591" t="s">
        <v>488</v>
      </c>
      <c r="AB685" s="591">
        <f>COUNTIFS(G646:G745,Z685,O646:O745,S685)</f>
        <v>0</v>
      </c>
      <c r="AC685" s="591">
        <f>COUNTIFS(F646:F745,X685,G646:G745,Z685,O646:O745,S685)</f>
        <v>0</v>
      </c>
      <c r="AD685" s="591">
        <f>COUNTIFS(F646:F745,Y685,G646:G745,Z685,O646:O745,S685)</f>
        <v>0</v>
      </c>
      <c r="AE685" s="594"/>
    </row>
    <row r="686" spans="1:31">
      <c r="A686" s="596">
        <v>41</v>
      </c>
      <c r="B686" s="596">
        <f t="shared" ref="B686:E686" si="637">B579</f>
        <v>0</v>
      </c>
      <c r="C686" s="596">
        <f t="shared" si="637"/>
        <v>0</v>
      </c>
      <c r="D686" s="597">
        <f t="shared" si="637"/>
        <v>0</v>
      </c>
      <c r="E686" s="597">
        <f t="shared" si="637"/>
        <v>0</v>
      </c>
      <c r="F686" s="590" t="str">
        <f>VLOOKUP(A686,STUDENT!$A$2:$BR$105,68,0)</f>
        <v/>
      </c>
      <c r="G686" s="590" t="b">
        <f>VLOOKUP(A686,STUDENT!$A$2:$BR$105,67,0)</f>
        <v>0</v>
      </c>
      <c r="H686" s="590" t="str">
        <f>MARKS!CP44</f>
        <v/>
      </c>
      <c r="I686" s="590" t="str">
        <f>MARKS!CQ44</f>
        <v/>
      </c>
      <c r="J686" s="590" t="str">
        <f>MARKS!CR44</f>
        <v/>
      </c>
      <c r="K686" s="590" t="str">
        <f>MARKS!CS44</f>
        <v/>
      </c>
      <c r="L686" s="590" t="str">
        <f>MARKS!CT44</f>
        <v/>
      </c>
      <c r="M686" s="590" t="str">
        <f>MARKS!CU44</f>
        <v/>
      </c>
      <c r="N686" s="590" t="str">
        <f>MARKS!CV44</f>
        <v/>
      </c>
      <c r="O686" s="590" t="str">
        <f>MARKS!CW44</f>
        <v/>
      </c>
      <c r="Q686" s="591" t="s">
        <v>482</v>
      </c>
      <c r="R686" s="591" t="s">
        <v>483</v>
      </c>
      <c r="S686" s="591" t="s">
        <v>101</v>
      </c>
      <c r="T686" s="591">
        <f>COUNTIFS(J646:J745,S686)</f>
        <v>0</v>
      </c>
      <c r="U686" s="591">
        <f>COUNTIFS(F646:F745,Q675,J646:J745,S686)</f>
        <v>0</v>
      </c>
      <c r="V686" s="591">
        <f>COUNTIFS(F646:F745,R675,J646:J745,S686)</f>
        <v>0</v>
      </c>
      <c r="W686" s="594"/>
      <c r="X686" s="591" t="s">
        <v>482</v>
      </c>
      <c r="Y686" s="591" t="s">
        <v>483</v>
      </c>
      <c r="Z686" s="591" t="s">
        <v>492</v>
      </c>
      <c r="AA686" s="591" t="s">
        <v>101</v>
      </c>
      <c r="AB686" s="591">
        <f>COUNTIFS(G646:G745,Z686,O646:O745,S686)</f>
        <v>0</v>
      </c>
      <c r="AC686" s="591">
        <f>COUNTIFS(F646:F745,X686,G646:G745,Z686,O646:O745,S686)</f>
        <v>0</v>
      </c>
      <c r="AD686" s="591">
        <f>COUNTIFS(F646:F745,Y686,G646:G745,Z686,O646:O745,S686)</f>
        <v>0</v>
      </c>
      <c r="AE686" s="594"/>
    </row>
    <row r="687" spans="1:31">
      <c r="A687" s="590">
        <v>42</v>
      </c>
      <c r="B687" s="596">
        <f t="shared" ref="B687:E687" si="638">B580</f>
        <v>0</v>
      </c>
      <c r="C687" s="596">
        <f t="shared" si="638"/>
        <v>0</v>
      </c>
      <c r="D687" s="597">
        <f t="shared" si="638"/>
        <v>0</v>
      </c>
      <c r="E687" s="597">
        <f t="shared" si="638"/>
        <v>0</v>
      </c>
      <c r="F687" s="590" t="str">
        <f>VLOOKUP(A687,STUDENT!$A$2:$BR$105,68,0)</f>
        <v/>
      </c>
      <c r="G687" s="590" t="b">
        <f>VLOOKUP(A687,STUDENT!$A$2:$BR$105,67,0)</f>
        <v>0</v>
      </c>
      <c r="H687" s="590" t="str">
        <f>MARKS!CP45</f>
        <v/>
      </c>
      <c r="I687" s="590" t="str">
        <f>MARKS!CQ45</f>
        <v/>
      </c>
      <c r="J687" s="590" t="str">
        <f>MARKS!CR45</f>
        <v/>
      </c>
      <c r="K687" s="590" t="str">
        <f>MARKS!CS45</f>
        <v/>
      </c>
      <c r="L687" s="590" t="str">
        <f>MARKS!CT45</f>
        <v/>
      </c>
      <c r="M687" s="590" t="str">
        <f>MARKS!CU45</f>
        <v/>
      </c>
      <c r="N687" s="590" t="str">
        <f>MARKS!CV45</f>
        <v/>
      </c>
      <c r="O687" s="590" t="str">
        <f>MARKS!CW45</f>
        <v/>
      </c>
      <c r="Q687" s="591" t="s">
        <v>482</v>
      </c>
      <c r="R687" s="591" t="s">
        <v>483</v>
      </c>
      <c r="S687" s="591" t="s">
        <v>489</v>
      </c>
      <c r="T687" s="591">
        <f>COUNTIFS(J646:J745,S687)</f>
        <v>0</v>
      </c>
      <c r="U687" s="591">
        <f>COUNTIFS(F646:F745,Q676,J646:J745,S687)</f>
        <v>0</v>
      </c>
      <c r="V687" s="591">
        <f>COUNTIFS(F646:F745,R676,J646:J745,S687)</f>
        <v>0</v>
      </c>
      <c r="W687" s="594"/>
      <c r="X687" s="591" t="s">
        <v>482</v>
      </c>
      <c r="Y687" s="591" t="s">
        <v>483</v>
      </c>
      <c r="Z687" s="591" t="s">
        <v>492</v>
      </c>
      <c r="AA687" s="591" t="s">
        <v>489</v>
      </c>
      <c r="AB687" s="591">
        <f>COUNTIFS(G646:G745,Z687,O646:O745,S687)</f>
        <v>0</v>
      </c>
      <c r="AC687" s="591">
        <f>COUNTIFS(F646:F745,X687,G646:G745,Z687,O646:O745,S687)</f>
        <v>0</v>
      </c>
      <c r="AD687" s="591">
        <f>COUNTIFS(F646:F745,Y687,G646:G745,Z687,O646:O745,S687)</f>
        <v>0</v>
      </c>
      <c r="AE687" s="594"/>
    </row>
    <row r="688" spans="1:31">
      <c r="A688" s="596">
        <v>43</v>
      </c>
      <c r="B688" s="596">
        <f t="shared" ref="B688:E688" si="639">B581</f>
        <v>0</v>
      </c>
      <c r="C688" s="596">
        <f t="shared" si="639"/>
        <v>0</v>
      </c>
      <c r="D688" s="597">
        <f t="shared" si="639"/>
        <v>0</v>
      </c>
      <c r="E688" s="597">
        <f t="shared" si="639"/>
        <v>0</v>
      </c>
      <c r="F688" s="590" t="str">
        <f>VLOOKUP(A688,STUDENT!$A$2:$BR$105,68,0)</f>
        <v/>
      </c>
      <c r="G688" s="590" t="b">
        <f>VLOOKUP(A688,STUDENT!$A$2:$BR$105,67,0)</f>
        <v>0</v>
      </c>
      <c r="H688" s="590" t="str">
        <f>MARKS!CP46</f>
        <v/>
      </c>
      <c r="I688" s="590" t="str">
        <f>MARKS!CQ46</f>
        <v/>
      </c>
      <c r="J688" s="590" t="str">
        <f>MARKS!CR46</f>
        <v/>
      </c>
      <c r="K688" s="590" t="str">
        <f>MARKS!CS46</f>
        <v/>
      </c>
      <c r="L688" s="590" t="str">
        <f>MARKS!CT46</f>
        <v/>
      </c>
      <c r="M688" s="590" t="str">
        <f>MARKS!CU46</f>
        <v/>
      </c>
      <c r="N688" s="590" t="str">
        <f>MARKS!CV46</f>
        <v/>
      </c>
      <c r="O688" s="590" t="str">
        <f>MARKS!CW46</f>
        <v/>
      </c>
      <c r="Q688" s="591" t="s">
        <v>482</v>
      </c>
      <c r="R688" s="591" t="s">
        <v>483</v>
      </c>
      <c r="S688" s="591"/>
      <c r="T688" s="591"/>
      <c r="U688" s="591"/>
      <c r="V688" s="591"/>
      <c r="W688" s="594"/>
      <c r="X688" s="591" t="s">
        <v>482</v>
      </c>
      <c r="Y688" s="591" t="s">
        <v>483</v>
      </c>
      <c r="Z688" s="591" t="s">
        <v>492</v>
      </c>
      <c r="AA688" s="591"/>
      <c r="AB688" s="591"/>
      <c r="AC688" s="591"/>
      <c r="AD688" s="591"/>
      <c r="AE688" s="594"/>
    </row>
    <row r="689" spans="1:31">
      <c r="A689" s="590">
        <v>44</v>
      </c>
      <c r="B689" s="596">
        <f t="shared" ref="B689:E689" si="640">B582</f>
        <v>0</v>
      </c>
      <c r="C689" s="596">
        <f t="shared" si="640"/>
        <v>0</v>
      </c>
      <c r="D689" s="597">
        <f t="shared" si="640"/>
        <v>0</v>
      </c>
      <c r="E689" s="597">
        <f t="shared" si="640"/>
        <v>0</v>
      </c>
      <c r="F689" s="590" t="str">
        <f>VLOOKUP(A689,STUDENT!$A$2:$BR$105,68,0)</f>
        <v/>
      </c>
      <c r="G689" s="590" t="b">
        <f>VLOOKUP(A689,STUDENT!$A$2:$BR$105,67,0)</f>
        <v>0</v>
      </c>
      <c r="H689" s="590" t="str">
        <f>MARKS!CP47</f>
        <v/>
      </c>
      <c r="I689" s="590" t="str">
        <f>MARKS!CQ47</f>
        <v/>
      </c>
      <c r="J689" s="590" t="str">
        <f>MARKS!CR47</f>
        <v/>
      </c>
      <c r="K689" s="590" t="str">
        <f>MARKS!CS47</f>
        <v/>
      </c>
      <c r="L689" s="590" t="str">
        <f>MARKS!CT47</f>
        <v/>
      </c>
      <c r="M689" s="590" t="str">
        <f>MARKS!CU47</f>
        <v/>
      </c>
      <c r="N689" s="590" t="str">
        <f>MARKS!CV47</f>
        <v/>
      </c>
      <c r="O689" s="590" t="str">
        <f>MARKS!CW47</f>
        <v/>
      </c>
      <c r="Q689" s="591"/>
      <c r="R689" s="591"/>
      <c r="S689" s="591" t="s">
        <v>102</v>
      </c>
      <c r="T689" s="591">
        <f>SUM(T681:T688)</f>
        <v>39</v>
      </c>
      <c r="U689" s="591">
        <f t="shared" ref="U689:V689" si="641">SUM(U681:U688)</f>
        <v>0</v>
      </c>
      <c r="V689" s="591">
        <f t="shared" si="641"/>
        <v>0</v>
      </c>
      <c r="W689" s="594"/>
      <c r="X689" s="591"/>
      <c r="Y689" s="591"/>
      <c r="Z689" s="591"/>
      <c r="AA689" s="591" t="s">
        <v>102</v>
      </c>
      <c r="AB689" s="591">
        <f>SUM(AB681:AB688)</f>
        <v>0</v>
      </c>
      <c r="AC689" s="591">
        <f t="shared" ref="AC689:AD689" si="642">SUM(AC681:AC688)</f>
        <v>0</v>
      </c>
      <c r="AD689" s="591">
        <f t="shared" si="642"/>
        <v>0</v>
      </c>
      <c r="AE689" s="594"/>
    </row>
    <row r="690" spans="1:31">
      <c r="A690" s="596">
        <v>45</v>
      </c>
      <c r="B690" s="596">
        <f t="shared" ref="B690:E690" si="643">B583</f>
        <v>0</v>
      </c>
      <c r="C690" s="596">
        <f t="shared" si="643"/>
        <v>0</v>
      </c>
      <c r="D690" s="597">
        <f t="shared" si="643"/>
        <v>0</v>
      </c>
      <c r="E690" s="597">
        <f t="shared" si="643"/>
        <v>0</v>
      </c>
      <c r="F690" s="590" t="str">
        <f>VLOOKUP(A690,STUDENT!$A$2:$BR$105,68,0)</f>
        <v/>
      </c>
      <c r="G690" s="590" t="b">
        <f>VLOOKUP(A690,STUDENT!$A$2:$BR$105,67,0)</f>
        <v>0</v>
      </c>
      <c r="H690" s="590" t="str">
        <f>MARKS!CP48</f>
        <v/>
      </c>
      <c r="I690" s="590" t="str">
        <f>MARKS!CQ48</f>
        <v/>
      </c>
      <c r="J690" s="590" t="str">
        <f>MARKS!CR48</f>
        <v/>
      </c>
      <c r="K690" s="590" t="str">
        <f>MARKS!CS48</f>
        <v/>
      </c>
      <c r="L690" s="590" t="str">
        <f>MARKS!CT48</f>
        <v/>
      </c>
      <c r="M690" s="590" t="str">
        <f>MARKS!CU48</f>
        <v/>
      </c>
      <c r="N690" s="590" t="str">
        <f>MARKS!CV48</f>
        <v/>
      </c>
      <c r="O690" s="590" t="str">
        <f>MARKS!CW48</f>
        <v/>
      </c>
      <c r="Q690" s="591"/>
      <c r="R690" s="591"/>
      <c r="S690" s="591"/>
      <c r="T690" s="591"/>
      <c r="U690" s="591"/>
      <c r="V690" s="591"/>
      <c r="W690" s="594"/>
      <c r="X690" s="594"/>
      <c r="Y690" s="594"/>
      <c r="Z690" s="594"/>
      <c r="AA690" s="594"/>
      <c r="AB690" s="591"/>
      <c r="AC690" s="591"/>
      <c r="AD690" s="591"/>
      <c r="AE690" s="594"/>
    </row>
    <row r="691" spans="1:31">
      <c r="A691" s="590">
        <v>46</v>
      </c>
      <c r="B691" s="596">
        <f t="shared" ref="B691:E691" si="644">B584</f>
        <v>0</v>
      </c>
      <c r="C691" s="596">
        <f t="shared" si="644"/>
        <v>0</v>
      </c>
      <c r="D691" s="597">
        <f t="shared" si="644"/>
        <v>0</v>
      </c>
      <c r="E691" s="597">
        <f t="shared" si="644"/>
        <v>0</v>
      </c>
      <c r="F691" s="590" t="str">
        <f>VLOOKUP(A691,STUDENT!$A$2:$BR$105,68,0)</f>
        <v/>
      </c>
      <c r="G691" s="590" t="b">
        <f>VLOOKUP(A691,STUDENT!$A$2:$BR$105,67,0)</f>
        <v>0</v>
      </c>
      <c r="H691" s="590" t="str">
        <f>MARKS!CP49</f>
        <v/>
      </c>
      <c r="I691" s="590" t="str">
        <f>MARKS!CQ49</f>
        <v/>
      </c>
      <c r="J691" s="590" t="str">
        <f>MARKS!CR49</f>
        <v/>
      </c>
      <c r="K691" s="590" t="str">
        <f>MARKS!CS49</f>
        <v/>
      </c>
      <c r="L691" s="590" t="str">
        <f>MARKS!CT49</f>
        <v/>
      </c>
      <c r="M691" s="590" t="str">
        <f>MARKS!CU49</f>
        <v/>
      </c>
      <c r="N691" s="590" t="str">
        <f>MARKS!CV49</f>
        <v/>
      </c>
      <c r="O691" s="590" t="str">
        <f>MARKS!CW49</f>
        <v/>
      </c>
      <c r="Q691" s="591"/>
      <c r="R691" s="591"/>
      <c r="S691" s="591"/>
      <c r="T691" s="591"/>
      <c r="U691" s="591"/>
      <c r="V691" s="591"/>
      <c r="W691" s="594"/>
      <c r="X691" s="594"/>
      <c r="Y691" s="594"/>
      <c r="Z691" s="594"/>
      <c r="AA691" s="594"/>
      <c r="AB691" s="591"/>
      <c r="AC691" s="591"/>
      <c r="AD691" s="591"/>
      <c r="AE691" s="594"/>
    </row>
    <row r="692" spans="1:31">
      <c r="A692" s="596">
        <v>47</v>
      </c>
      <c r="B692" s="596">
        <f t="shared" ref="B692:E692" si="645">B585</f>
        <v>0</v>
      </c>
      <c r="C692" s="596">
        <f t="shared" si="645"/>
        <v>0</v>
      </c>
      <c r="D692" s="597">
        <f t="shared" si="645"/>
        <v>0</v>
      </c>
      <c r="E692" s="597">
        <f t="shared" si="645"/>
        <v>0</v>
      </c>
      <c r="F692" s="590" t="str">
        <f>VLOOKUP(A692,STUDENT!$A$2:$BR$105,68,0)</f>
        <v/>
      </c>
      <c r="G692" s="590" t="b">
        <f>VLOOKUP(A692,STUDENT!$A$2:$BR$105,67,0)</f>
        <v>0</v>
      </c>
      <c r="H692" s="590" t="str">
        <f>MARKS!CP50</f>
        <v/>
      </c>
      <c r="I692" s="590" t="str">
        <f>MARKS!CQ50</f>
        <v/>
      </c>
      <c r="J692" s="590" t="str">
        <f>MARKS!CR50</f>
        <v/>
      </c>
      <c r="K692" s="590" t="str">
        <f>MARKS!CS50</f>
        <v/>
      </c>
      <c r="L692" s="590" t="str">
        <f>MARKS!CT50</f>
        <v/>
      </c>
      <c r="M692" s="590" t="str">
        <f>MARKS!CU50</f>
        <v/>
      </c>
      <c r="N692" s="590" t="str">
        <f>MARKS!CV50</f>
        <v/>
      </c>
      <c r="O692" s="590" t="str">
        <f>MARKS!CW50</f>
        <v/>
      </c>
      <c r="Q692" s="591"/>
      <c r="R692" s="591"/>
      <c r="S692" s="591"/>
      <c r="T692" s="591"/>
      <c r="U692" s="591"/>
      <c r="V692" s="591"/>
      <c r="W692" s="594"/>
      <c r="X692" s="594"/>
      <c r="Y692" s="594"/>
      <c r="Z692" s="594"/>
      <c r="AA692" s="594"/>
      <c r="AB692" s="591"/>
      <c r="AC692" s="591"/>
      <c r="AD692" s="591"/>
      <c r="AE692" s="594"/>
    </row>
    <row r="693" spans="1:31">
      <c r="A693" s="590">
        <v>48</v>
      </c>
      <c r="B693" s="596">
        <f t="shared" ref="B693:E693" si="646">B586</f>
        <v>0</v>
      </c>
      <c r="C693" s="596">
        <f t="shared" si="646"/>
        <v>0</v>
      </c>
      <c r="D693" s="597">
        <f t="shared" si="646"/>
        <v>0</v>
      </c>
      <c r="E693" s="597">
        <f t="shared" si="646"/>
        <v>0</v>
      </c>
      <c r="F693" s="590" t="str">
        <f>VLOOKUP(A693,STUDENT!$A$2:$BR$105,68,0)</f>
        <v/>
      </c>
      <c r="G693" s="590" t="b">
        <f>VLOOKUP(A693,STUDENT!$A$2:$BR$105,67,0)</f>
        <v>0</v>
      </c>
      <c r="H693" s="590" t="str">
        <f>MARKS!CP51</f>
        <v/>
      </c>
      <c r="I693" s="590" t="str">
        <f>MARKS!CQ51</f>
        <v/>
      </c>
      <c r="J693" s="590" t="str">
        <f>MARKS!CR51</f>
        <v/>
      </c>
      <c r="K693" s="590" t="str">
        <f>MARKS!CS51</f>
        <v/>
      </c>
      <c r="L693" s="590" t="str">
        <f>MARKS!CT51</f>
        <v/>
      </c>
      <c r="M693" s="590" t="str">
        <f>MARKS!CU51</f>
        <v/>
      </c>
      <c r="N693" s="590" t="str">
        <f>MARKS!CV51</f>
        <v/>
      </c>
      <c r="O693" s="590" t="str">
        <f>MARKS!CW51</f>
        <v/>
      </c>
      <c r="Q693" s="591" t="s">
        <v>475</v>
      </c>
      <c r="R693" s="591" t="s">
        <v>476</v>
      </c>
      <c r="S693" s="592" t="s">
        <v>477</v>
      </c>
      <c r="T693" s="593" t="s">
        <v>351</v>
      </c>
      <c r="U693" s="592" t="s">
        <v>479</v>
      </c>
      <c r="V693" s="592" t="s">
        <v>480</v>
      </c>
      <c r="W693" s="594"/>
      <c r="X693" s="591" t="s">
        <v>475</v>
      </c>
      <c r="Y693" s="591" t="s">
        <v>476</v>
      </c>
      <c r="Z693" s="591" t="s">
        <v>474</v>
      </c>
      <c r="AA693" s="592" t="s">
        <v>477</v>
      </c>
      <c r="AB693" s="593" t="s">
        <v>493</v>
      </c>
      <c r="AC693" s="592" t="s">
        <v>479</v>
      </c>
      <c r="AD693" s="592" t="s">
        <v>480</v>
      </c>
      <c r="AE693" s="594"/>
    </row>
    <row r="694" spans="1:31">
      <c r="A694" s="596">
        <v>49</v>
      </c>
      <c r="B694" s="596">
        <f t="shared" ref="B694:E694" si="647">B587</f>
        <v>0</v>
      </c>
      <c r="C694" s="596">
        <f t="shared" si="647"/>
        <v>0</v>
      </c>
      <c r="D694" s="597">
        <f t="shared" si="647"/>
        <v>0</v>
      </c>
      <c r="E694" s="597">
        <f t="shared" si="647"/>
        <v>0</v>
      </c>
      <c r="F694" s="590" t="str">
        <f>VLOOKUP(A694,STUDENT!$A$2:$BR$105,68,0)</f>
        <v/>
      </c>
      <c r="G694" s="590" t="b">
        <f>VLOOKUP(A694,STUDENT!$A$2:$BR$105,67,0)</f>
        <v>0</v>
      </c>
      <c r="H694" s="590" t="str">
        <f>MARKS!CP52</f>
        <v/>
      </c>
      <c r="I694" s="590" t="str">
        <f>MARKS!CQ52</f>
        <v/>
      </c>
      <c r="J694" s="590" t="str">
        <f>MARKS!CR52</f>
        <v/>
      </c>
      <c r="K694" s="590" t="str">
        <f>MARKS!CS52</f>
        <v/>
      </c>
      <c r="L694" s="590" t="str">
        <f>MARKS!CT52</f>
        <v/>
      </c>
      <c r="M694" s="590" t="str">
        <f>MARKS!CU52</f>
        <v/>
      </c>
      <c r="N694" s="590" t="str">
        <f>MARKS!CV52</f>
        <v/>
      </c>
      <c r="O694" s="590" t="str">
        <f>MARKS!CW52</f>
        <v/>
      </c>
      <c r="Q694" s="591" t="s">
        <v>482</v>
      </c>
      <c r="R694" s="591" t="s">
        <v>483</v>
      </c>
      <c r="S694" s="591" t="s">
        <v>50</v>
      </c>
      <c r="T694" s="591">
        <f>COUNTIFS(K646:K745,S694)</f>
        <v>0</v>
      </c>
      <c r="U694" s="591">
        <f>COUNTIFS(F646:F745,Q683,K646:K745,S694)</f>
        <v>0</v>
      </c>
      <c r="V694" s="591">
        <f>COUNTIFS(F646:F745,R683,K646:K745,S694)</f>
        <v>0</v>
      </c>
      <c r="W694" s="594"/>
      <c r="X694" s="591" t="s">
        <v>482</v>
      </c>
      <c r="Y694" s="591" t="s">
        <v>483</v>
      </c>
      <c r="Z694" s="591" t="s">
        <v>493</v>
      </c>
      <c r="AA694" s="591" t="s">
        <v>50</v>
      </c>
      <c r="AB694" s="591">
        <f>COUNTIFS(G646:G745,Z694,O646:O745,S694)</f>
        <v>0</v>
      </c>
      <c r="AC694" s="591">
        <f>COUNTIFS(F646:F745,X694,G646:G745,Z694,O646:O745,S694)</f>
        <v>0</v>
      </c>
      <c r="AD694" s="591">
        <f>COUNTIFS(F646:F745,Y694,G646:G745,Z694,O646:O745,S694)</f>
        <v>0</v>
      </c>
      <c r="AE694" s="594"/>
    </row>
    <row r="695" spans="1:31">
      <c r="A695" s="590">
        <v>50</v>
      </c>
      <c r="B695" s="596">
        <f t="shared" ref="B695:E695" si="648">B588</f>
        <v>0</v>
      </c>
      <c r="C695" s="596">
        <f t="shared" si="648"/>
        <v>0</v>
      </c>
      <c r="D695" s="597">
        <f t="shared" si="648"/>
        <v>0</v>
      </c>
      <c r="E695" s="597">
        <f t="shared" si="648"/>
        <v>0</v>
      </c>
      <c r="F695" s="590" t="str">
        <f>VLOOKUP(A695,STUDENT!$A$2:$BR$105,68,0)</f>
        <v/>
      </c>
      <c r="G695" s="590" t="b">
        <f>VLOOKUP(A695,STUDENT!$A$2:$BR$105,67,0)</f>
        <v>0</v>
      </c>
      <c r="H695" s="590" t="str">
        <f>MARKS!CP53</f>
        <v/>
      </c>
      <c r="I695" s="590" t="str">
        <f>MARKS!CQ53</f>
        <v/>
      </c>
      <c r="J695" s="590" t="str">
        <f>MARKS!CR53</f>
        <v/>
      </c>
      <c r="K695" s="590" t="str">
        <f>MARKS!CS53</f>
        <v/>
      </c>
      <c r="L695" s="590" t="str">
        <f>MARKS!CT53</f>
        <v/>
      </c>
      <c r="M695" s="590" t="str">
        <f>MARKS!CU53</f>
        <v/>
      </c>
      <c r="N695" s="590" t="str">
        <f>MARKS!CV53</f>
        <v/>
      </c>
      <c r="O695" s="590" t="str">
        <f>MARKS!CW53</f>
        <v/>
      </c>
      <c r="Q695" s="591" t="s">
        <v>482</v>
      </c>
      <c r="R695" s="591" t="s">
        <v>483</v>
      </c>
      <c r="S695" s="591" t="s">
        <v>485</v>
      </c>
      <c r="T695" s="591">
        <f>COUNTIFS(K646:K745,S695)</f>
        <v>0</v>
      </c>
      <c r="U695" s="591">
        <f>COUNTIFS(F646:F745,Q684,K646:K745,S695)</f>
        <v>0</v>
      </c>
      <c r="V695" s="591">
        <f>COUNTIFS(F646:F745,R684,K646:K745,S695)</f>
        <v>0</v>
      </c>
      <c r="W695" s="594"/>
      <c r="X695" s="591" t="s">
        <v>482</v>
      </c>
      <c r="Y695" s="591" t="s">
        <v>483</v>
      </c>
      <c r="Z695" s="591" t="s">
        <v>493</v>
      </c>
      <c r="AA695" s="591" t="s">
        <v>485</v>
      </c>
      <c r="AB695" s="591">
        <f>COUNTIFS(G646:G745,Z695,O646:O745,S695)</f>
        <v>0</v>
      </c>
      <c r="AC695" s="591">
        <f>COUNTIFS(F646:F745,X695,G646:G745,Z695,O646:O745,S695)</f>
        <v>0</v>
      </c>
      <c r="AD695" s="591">
        <f>COUNTIFS(F646:F745,Y695,G646:G745,Z695,O646:O745,S695)</f>
        <v>0</v>
      </c>
      <c r="AE695" s="594"/>
    </row>
    <row r="696" spans="1:31">
      <c r="A696" s="596">
        <v>51</v>
      </c>
      <c r="B696" s="596">
        <f t="shared" ref="B696:E696" si="649">B589</f>
        <v>0</v>
      </c>
      <c r="C696" s="596">
        <f t="shared" si="649"/>
        <v>0</v>
      </c>
      <c r="D696" s="597">
        <f t="shared" si="649"/>
        <v>0</v>
      </c>
      <c r="E696" s="597">
        <f t="shared" si="649"/>
        <v>0</v>
      </c>
      <c r="F696" s="590" t="str">
        <f>VLOOKUP(A696,STUDENT!$A$2:$BR$105,68,0)</f>
        <v/>
      </c>
      <c r="G696" s="590" t="b">
        <f>VLOOKUP(A696,STUDENT!$A$2:$BR$105,67,0)</f>
        <v>0</v>
      </c>
      <c r="H696" s="590" t="str">
        <f>MARKS!CP54</f>
        <v/>
      </c>
      <c r="I696" s="590" t="str">
        <f>MARKS!CQ54</f>
        <v/>
      </c>
      <c r="J696" s="590" t="str">
        <f>MARKS!CR54</f>
        <v/>
      </c>
      <c r="K696" s="590" t="str">
        <f>MARKS!CS54</f>
        <v/>
      </c>
      <c r="L696" s="590" t="str">
        <f>MARKS!CT54</f>
        <v/>
      </c>
      <c r="M696" s="590" t="str">
        <f>MARKS!CU54</f>
        <v/>
      </c>
      <c r="N696" s="590" t="str">
        <f>MARKS!CV54</f>
        <v/>
      </c>
      <c r="O696" s="590" t="str">
        <f>MARKS!CW54</f>
        <v/>
      </c>
      <c r="Q696" s="591" t="s">
        <v>482</v>
      </c>
      <c r="R696" s="591" t="s">
        <v>483</v>
      </c>
      <c r="S696" s="591" t="s">
        <v>486</v>
      </c>
      <c r="T696" s="591">
        <f>COUNTIFS(K646:K745,S696)</f>
        <v>0</v>
      </c>
      <c r="U696" s="591">
        <f>COUNTIFS(F646:F745,Q685,K646:K745,S696)</f>
        <v>0</v>
      </c>
      <c r="V696" s="591">
        <f>COUNTIFS(F646:F745,R685,K646:K745,S696)</f>
        <v>0</v>
      </c>
      <c r="W696" s="594"/>
      <c r="X696" s="591" t="s">
        <v>482</v>
      </c>
      <c r="Y696" s="591" t="s">
        <v>483</v>
      </c>
      <c r="Z696" s="591" t="s">
        <v>493</v>
      </c>
      <c r="AA696" s="591" t="s">
        <v>486</v>
      </c>
      <c r="AB696" s="591">
        <f>COUNTIFS(G646:G745,Z696,O646:O745,S696)</f>
        <v>0</v>
      </c>
      <c r="AC696" s="591">
        <f>COUNTIFS(F646:F745,X696,G646:G745,Z696,O646:O745,S696)</f>
        <v>0</v>
      </c>
      <c r="AD696" s="591">
        <f>COUNTIFS(F646:F745,Y696,G646:G745,Z696,O646:O745,S696)</f>
        <v>0</v>
      </c>
      <c r="AE696" s="594"/>
    </row>
    <row r="697" spans="1:31">
      <c r="A697" s="590">
        <v>52</v>
      </c>
      <c r="B697" s="596">
        <f t="shared" ref="B697:E697" si="650">B590</f>
        <v>0</v>
      </c>
      <c r="C697" s="596">
        <f t="shared" si="650"/>
        <v>0</v>
      </c>
      <c r="D697" s="597">
        <f t="shared" si="650"/>
        <v>0</v>
      </c>
      <c r="E697" s="597">
        <f t="shared" si="650"/>
        <v>0</v>
      </c>
      <c r="F697" s="590" t="str">
        <f>VLOOKUP(A697,STUDENT!$A$2:$BR$105,68,0)</f>
        <v/>
      </c>
      <c r="G697" s="590" t="b">
        <f>VLOOKUP(A697,STUDENT!$A$2:$BR$105,67,0)</f>
        <v>0</v>
      </c>
      <c r="H697" s="590" t="str">
        <f>MARKS!CP55</f>
        <v/>
      </c>
      <c r="I697" s="590" t="str">
        <f>MARKS!CQ55</f>
        <v/>
      </c>
      <c r="J697" s="590" t="str">
        <f>MARKS!CR55</f>
        <v/>
      </c>
      <c r="K697" s="590" t="str">
        <f>MARKS!CS55</f>
        <v/>
      </c>
      <c r="L697" s="590" t="str">
        <f>MARKS!CT55</f>
        <v/>
      </c>
      <c r="M697" s="590" t="str">
        <f>MARKS!CU55</f>
        <v/>
      </c>
      <c r="N697" s="590" t="str">
        <f>MARKS!CV55</f>
        <v/>
      </c>
      <c r="O697" s="590" t="str">
        <f>MARKS!CW55</f>
        <v/>
      </c>
      <c r="Q697" s="591" t="s">
        <v>482</v>
      </c>
      <c r="R697" s="591" t="s">
        <v>483</v>
      </c>
      <c r="S697" s="591" t="s">
        <v>487</v>
      </c>
      <c r="T697" s="591">
        <f>COUNTIFS(K646:K745,S697)</f>
        <v>0</v>
      </c>
      <c r="U697" s="591">
        <f>COUNTIFS(F646:F745,Q686,K646:K745,S697)</f>
        <v>0</v>
      </c>
      <c r="V697" s="591">
        <f>COUNTIFS(F646:F745,R686,K646:K745,S697)</f>
        <v>0</v>
      </c>
      <c r="W697" s="594"/>
      <c r="X697" s="591" t="s">
        <v>482</v>
      </c>
      <c r="Y697" s="591" t="s">
        <v>483</v>
      </c>
      <c r="Z697" s="591" t="s">
        <v>493</v>
      </c>
      <c r="AA697" s="591" t="s">
        <v>487</v>
      </c>
      <c r="AB697" s="591">
        <f>COUNTIFS(G646:G745,Z697,O646:O745,S697)</f>
        <v>0</v>
      </c>
      <c r="AC697" s="591">
        <f>COUNTIFS(F646:F745,X697,G646:G745,Z697,O646:O745,S697)</f>
        <v>0</v>
      </c>
      <c r="AD697" s="591">
        <f>COUNTIFS(F646:F745,Y697,G646:G745,Z697,O646:O745,S697)</f>
        <v>0</v>
      </c>
      <c r="AE697" s="594"/>
    </row>
    <row r="698" spans="1:31">
      <c r="A698" s="596">
        <v>53</v>
      </c>
      <c r="B698" s="596">
        <f t="shared" ref="B698:E698" si="651">B591</f>
        <v>0</v>
      </c>
      <c r="C698" s="596">
        <f t="shared" si="651"/>
        <v>0</v>
      </c>
      <c r="D698" s="597">
        <f t="shared" si="651"/>
        <v>0</v>
      </c>
      <c r="E698" s="597">
        <f t="shared" si="651"/>
        <v>0</v>
      </c>
      <c r="F698" s="590" t="str">
        <f>VLOOKUP(A698,STUDENT!$A$2:$BR$105,68,0)</f>
        <v/>
      </c>
      <c r="G698" s="590" t="b">
        <f>VLOOKUP(A698,STUDENT!$A$2:$BR$105,67,0)</f>
        <v>0</v>
      </c>
      <c r="H698" s="590" t="str">
        <f>MARKS!CP56</f>
        <v/>
      </c>
      <c r="I698" s="590" t="str">
        <f>MARKS!CQ56</f>
        <v/>
      </c>
      <c r="J698" s="590" t="str">
        <f>MARKS!CR56</f>
        <v/>
      </c>
      <c r="K698" s="590" t="str">
        <f>MARKS!CS56</f>
        <v/>
      </c>
      <c r="L698" s="590" t="str">
        <f>MARKS!CT56</f>
        <v/>
      </c>
      <c r="M698" s="590" t="str">
        <f>MARKS!CU56</f>
        <v/>
      </c>
      <c r="N698" s="590" t="str">
        <f>MARKS!CV56</f>
        <v/>
      </c>
      <c r="O698" s="590" t="str">
        <f>MARKS!CW56</f>
        <v/>
      </c>
      <c r="Q698" s="591" t="s">
        <v>482</v>
      </c>
      <c r="R698" s="591" t="s">
        <v>483</v>
      </c>
      <c r="S698" s="591" t="s">
        <v>488</v>
      </c>
      <c r="T698" s="591">
        <f>COUNTIFS(K646:K745,S698)</f>
        <v>39</v>
      </c>
      <c r="U698" s="591">
        <f>COUNTIFS(F646:F745,Q687,K646:K745,S698)</f>
        <v>0</v>
      </c>
      <c r="V698" s="591">
        <f>COUNTIFS(F646:F745,R687,K646:K745,S698)</f>
        <v>0</v>
      </c>
      <c r="W698" s="594"/>
      <c r="X698" s="591" t="s">
        <v>482</v>
      </c>
      <c r="Y698" s="591" t="s">
        <v>483</v>
      </c>
      <c r="Z698" s="591" t="s">
        <v>493</v>
      </c>
      <c r="AA698" s="591" t="s">
        <v>488</v>
      </c>
      <c r="AB698" s="591">
        <f>COUNTIFS(G646:G745,Z698,O646:O745,S698)</f>
        <v>0</v>
      </c>
      <c r="AC698" s="591">
        <f>COUNTIFS(F646:F745,X698,G646:G745,Z698,O646:O745,S698)</f>
        <v>0</v>
      </c>
      <c r="AD698" s="591">
        <f>COUNTIFS(F646:F745,Y698,G646:G745,Z698,O646:O745,S698)</f>
        <v>0</v>
      </c>
      <c r="AE698" s="594"/>
    </row>
    <row r="699" spans="1:31">
      <c r="A699" s="590">
        <v>54</v>
      </c>
      <c r="B699" s="596">
        <f t="shared" ref="B699:E699" si="652">B592</f>
        <v>0</v>
      </c>
      <c r="C699" s="596">
        <f t="shared" si="652"/>
        <v>0</v>
      </c>
      <c r="D699" s="597">
        <f t="shared" si="652"/>
        <v>0</v>
      </c>
      <c r="E699" s="597">
        <f t="shared" si="652"/>
        <v>0</v>
      </c>
      <c r="F699" s="590" t="str">
        <f>VLOOKUP(A699,STUDENT!$A$2:$BR$105,68,0)</f>
        <v/>
      </c>
      <c r="G699" s="590" t="b">
        <f>VLOOKUP(A699,STUDENT!$A$2:$BR$105,67,0)</f>
        <v>0</v>
      </c>
      <c r="H699" s="590" t="str">
        <f>MARKS!CP57</f>
        <v/>
      </c>
      <c r="I699" s="590" t="str">
        <f>MARKS!CQ57</f>
        <v/>
      </c>
      <c r="J699" s="590" t="str">
        <f>MARKS!CR57</f>
        <v/>
      </c>
      <c r="K699" s="590" t="str">
        <f>MARKS!CS57</f>
        <v/>
      </c>
      <c r="L699" s="590" t="str">
        <f>MARKS!CT57</f>
        <v/>
      </c>
      <c r="M699" s="590" t="str">
        <f>MARKS!CU57</f>
        <v/>
      </c>
      <c r="N699" s="590" t="str">
        <f>MARKS!CV57</f>
        <v/>
      </c>
      <c r="O699" s="590" t="str">
        <f>MARKS!CW57</f>
        <v/>
      </c>
      <c r="Q699" s="591" t="s">
        <v>482</v>
      </c>
      <c r="R699" s="591" t="s">
        <v>483</v>
      </c>
      <c r="S699" s="591" t="s">
        <v>101</v>
      </c>
      <c r="T699" s="591">
        <f>COUNTIFS(K646:K745,S699)</f>
        <v>0</v>
      </c>
      <c r="U699" s="591">
        <f>COUNTIFS(F646:F745,Q688,K646:K745,S699)</f>
        <v>0</v>
      </c>
      <c r="V699" s="591">
        <f>COUNTIFS(F646:F745,R688,K646:K745,S699)</f>
        <v>0</v>
      </c>
      <c r="W699" s="594"/>
      <c r="X699" s="591" t="s">
        <v>482</v>
      </c>
      <c r="Y699" s="591" t="s">
        <v>483</v>
      </c>
      <c r="Z699" s="591" t="s">
        <v>493</v>
      </c>
      <c r="AA699" s="591" t="s">
        <v>101</v>
      </c>
      <c r="AB699" s="591">
        <f>COUNTIFS(G646:G745,Z699,O646:O745,S699)</f>
        <v>0</v>
      </c>
      <c r="AC699" s="591">
        <f>COUNTIFS(F646:F745,X699,G646:G745,Z699,O646:O745,S699)</f>
        <v>0</v>
      </c>
      <c r="AD699" s="591">
        <f>COUNTIFS(F646:F745,Y699,G646:G745,Z699,O646:O745,S699)</f>
        <v>0</v>
      </c>
      <c r="AE699" s="594"/>
    </row>
    <row r="700" spans="1:31">
      <c r="A700" s="596">
        <v>55</v>
      </c>
      <c r="B700" s="596">
        <f t="shared" ref="B700:E700" si="653">B593</f>
        <v>0</v>
      </c>
      <c r="C700" s="596">
        <f t="shared" si="653"/>
        <v>0</v>
      </c>
      <c r="D700" s="597">
        <f t="shared" si="653"/>
        <v>0</v>
      </c>
      <c r="E700" s="597">
        <f t="shared" si="653"/>
        <v>0</v>
      </c>
      <c r="F700" s="590" t="str">
        <f>VLOOKUP(A700,STUDENT!$A$2:$BR$105,68,0)</f>
        <v/>
      </c>
      <c r="G700" s="590" t="b">
        <f>VLOOKUP(A700,STUDENT!$A$2:$BR$105,67,0)</f>
        <v>0</v>
      </c>
      <c r="H700" s="590" t="str">
        <f>MARKS!CP58</f>
        <v/>
      </c>
      <c r="I700" s="590" t="str">
        <f>MARKS!CQ58</f>
        <v/>
      </c>
      <c r="J700" s="590" t="str">
        <f>MARKS!CR58</f>
        <v/>
      </c>
      <c r="K700" s="590" t="str">
        <f>MARKS!CS58</f>
        <v/>
      </c>
      <c r="L700" s="590" t="str">
        <f>MARKS!CT58</f>
        <v/>
      </c>
      <c r="M700" s="590" t="str">
        <f>MARKS!CU58</f>
        <v/>
      </c>
      <c r="N700" s="590" t="str">
        <f>MARKS!CV58</f>
        <v/>
      </c>
      <c r="O700" s="590" t="str">
        <f>MARKS!CW58</f>
        <v/>
      </c>
      <c r="Q700" s="591" t="s">
        <v>482</v>
      </c>
      <c r="R700" s="591" t="s">
        <v>483</v>
      </c>
      <c r="S700" s="591" t="s">
        <v>489</v>
      </c>
      <c r="T700" s="591">
        <f>COUNTIFS(K646:K745,S700)</f>
        <v>0</v>
      </c>
      <c r="U700" s="591">
        <f>COUNTIFS(F646:F745,Q689,K646:K745,S700)</f>
        <v>0</v>
      </c>
      <c r="V700" s="591">
        <f>COUNTIFS(F646:F745,R689,K646:K745,S700)</f>
        <v>0</v>
      </c>
      <c r="W700" s="594"/>
      <c r="X700" s="591" t="s">
        <v>482</v>
      </c>
      <c r="Y700" s="591" t="s">
        <v>483</v>
      </c>
      <c r="Z700" s="591" t="s">
        <v>493</v>
      </c>
      <c r="AA700" s="591" t="s">
        <v>489</v>
      </c>
      <c r="AB700" s="591">
        <f>COUNTIFS(G646:G745,Z700,O646:O745,S700)</f>
        <v>0</v>
      </c>
      <c r="AC700" s="591">
        <f>COUNTIFS(F646:F745,X700,G646:G745,Z700,O646:O745,S700)</f>
        <v>0</v>
      </c>
      <c r="AD700" s="591">
        <f>COUNTIFS(F646:F745,Y700,G646:G745,Z700,O646:O745,S700)</f>
        <v>0</v>
      </c>
      <c r="AE700" s="594"/>
    </row>
    <row r="701" spans="1:31">
      <c r="A701" s="590">
        <v>56</v>
      </c>
      <c r="B701" s="596">
        <f t="shared" ref="B701:E701" si="654">B594</f>
        <v>0</v>
      </c>
      <c r="C701" s="596">
        <f t="shared" si="654"/>
        <v>0</v>
      </c>
      <c r="D701" s="597">
        <f t="shared" si="654"/>
        <v>0</v>
      </c>
      <c r="E701" s="597">
        <f t="shared" si="654"/>
        <v>0</v>
      </c>
      <c r="F701" s="590" t="str">
        <f>VLOOKUP(A701,STUDENT!$A$2:$BR$105,68,0)</f>
        <v/>
      </c>
      <c r="G701" s="590" t="b">
        <f>VLOOKUP(A701,STUDENT!$A$2:$BR$105,67,0)</f>
        <v>0</v>
      </c>
      <c r="H701" s="590" t="str">
        <f>MARKS!CP59</f>
        <v/>
      </c>
      <c r="I701" s="590" t="str">
        <f>MARKS!CQ59</f>
        <v/>
      </c>
      <c r="J701" s="590" t="str">
        <f>MARKS!CR59</f>
        <v/>
      </c>
      <c r="K701" s="590" t="str">
        <f>MARKS!CS59</f>
        <v/>
      </c>
      <c r="L701" s="590" t="str">
        <f>MARKS!CT59</f>
        <v/>
      </c>
      <c r="M701" s="590" t="str">
        <f>MARKS!CU59</f>
        <v/>
      </c>
      <c r="N701" s="590" t="str">
        <f>MARKS!CV59</f>
        <v/>
      </c>
      <c r="O701" s="590" t="str">
        <f>MARKS!CW59</f>
        <v/>
      </c>
      <c r="Q701" s="591" t="s">
        <v>482</v>
      </c>
      <c r="R701" s="591" t="s">
        <v>483</v>
      </c>
      <c r="S701" s="591"/>
      <c r="T701" s="591"/>
      <c r="U701" s="591"/>
      <c r="V701" s="591"/>
      <c r="W701" s="594"/>
      <c r="X701" s="591" t="s">
        <v>482</v>
      </c>
      <c r="Y701" s="591" t="s">
        <v>483</v>
      </c>
      <c r="Z701" s="591" t="s">
        <v>493</v>
      </c>
      <c r="AA701" s="591"/>
      <c r="AB701" s="591"/>
      <c r="AC701" s="591"/>
      <c r="AD701" s="591"/>
      <c r="AE701" s="594"/>
    </row>
    <row r="702" spans="1:31">
      <c r="A702" s="596">
        <v>57</v>
      </c>
      <c r="B702" s="596">
        <f t="shared" ref="B702:E702" si="655">B595</f>
        <v>0</v>
      </c>
      <c r="C702" s="596">
        <f t="shared" si="655"/>
        <v>0</v>
      </c>
      <c r="D702" s="597">
        <f t="shared" si="655"/>
        <v>0</v>
      </c>
      <c r="E702" s="597">
        <f t="shared" si="655"/>
        <v>0</v>
      </c>
      <c r="F702" s="590" t="str">
        <f>VLOOKUP(A702,STUDENT!$A$2:$BR$105,68,0)</f>
        <v/>
      </c>
      <c r="G702" s="590" t="b">
        <f>VLOOKUP(A702,STUDENT!$A$2:$BR$105,67,0)</f>
        <v>0</v>
      </c>
      <c r="H702" s="590" t="str">
        <f>MARKS!CP60</f>
        <v/>
      </c>
      <c r="I702" s="590" t="str">
        <f>MARKS!CQ60</f>
        <v/>
      </c>
      <c r="J702" s="590" t="str">
        <f>MARKS!CR60</f>
        <v/>
      </c>
      <c r="K702" s="590" t="str">
        <f>MARKS!CS60</f>
        <v/>
      </c>
      <c r="L702" s="590" t="str">
        <f>MARKS!CT60</f>
        <v/>
      </c>
      <c r="M702" s="590" t="str">
        <f>MARKS!CU60</f>
        <v/>
      </c>
      <c r="N702" s="590" t="str">
        <f>MARKS!CV60</f>
        <v/>
      </c>
      <c r="O702" s="590" t="str">
        <f>MARKS!CW60</f>
        <v/>
      </c>
      <c r="Q702" s="591"/>
      <c r="R702" s="591"/>
      <c r="S702" s="591" t="s">
        <v>102</v>
      </c>
      <c r="T702" s="591">
        <f>SUM(T694:T701)</f>
        <v>39</v>
      </c>
      <c r="U702" s="591">
        <f t="shared" ref="U702:V702" si="656">SUM(U694:U701)</f>
        <v>0</v>
      </c>
      <c r="V702" s="591">
        <f t="shared" si="656"/>
        <v>0</v>
      </c>
      <c r="W702" s="594"/>
      <c r="X702" s="591"/>
      <c r="Y702" s="591"/>
      <c r="Z702" s="591"/>
      <c r="AA702" s="591" t="s">
        <v>102</v>
      </c>
      <c r="AB702" s="591">
        <f>SUM(AB694:AB701)</f>
        <v>0</v>
      </c>
      <c r="AC702" s="591">
        <f t="shared" ref="AC702:AD702" si="657">SUM(AC694:AC701)</f>
        <v>0</v>
      </c>
      <c r="AD702" s="591">
        <f t="shared" si="657"/>
        <v>0</v>
      </c>
      <c r="AE702" s="594"/>
    </row>
    <row r="703" spans="1:31">
      <c r="A703" s="590">
        <v>58</v>
      </c>
      <c r="B703" s="596">
        <f t="shared" ref="B703:E703" si="658">B596</f>
        <v>0</v>
      </c>
      <c r="C703" s="596">
        <f t="shared" si="658"/>
        <v>0</v>
      </c>
      <c r="D703" s="597">
        <f t="shared" si="658"/>
        <v>0</v>
      </c>
      <c r="E703" s="597">
        <f t="shared" si="658"/>
        <v>0</v>
      </c>
      <c r="F703" s="590" t="str">
        <f>VLOOKUP(A703,STUDENT!$A$2:$BR$105,68,0)</f>
        <v/>
      </c>
      <c r="G703" s="590" t="b">
        <f>VLOOKUP(A703,STUDENT!$A$2:$BR$105,67,0)</f>
        <v>0</v>
      </c>
      <c r="H703" s="590" t="str">
        <f>MARKS!CP61</f>
        <v/>
      </c>
      <c r="I703" s="590" t="str">
        <f>MARKS!CQ61</f>
        <v/>
      </c>
      <c r="J703" s="590" t="str">
        <f>MARKS!CR61</f>
        <v/>
      </c>
      <c r="K703" s="590" t="str">
        <f>MARKS!CS61</f>
        <v/>
      </c>
      <c r="L703" s="590" t="str">
        <f>MARKS!CT61</f>
        <v/>
      </c>
      <c r="M703" s="590" t="str">
        <f>MARKS!CU61</f>
        <v/>
      </c>
      <c r="N703" s="590" t="str">
        <f>MARKS!CV61</f>
        <v/>
      </c>
      <c r="O703" s="590" t="str">
        <f>MARKS!CW61</f>
        <v/>
      </c>
      <c r="Q703" s="591"/>
      <c r="R703" s="591"/>
      <c r="S703" s="591"/>
      <c r="T703" s="591"/>
      <c r="U703" s="591"/>
      <c r="V703" s="591"/>
      <c r="W703" s="594"/>
      <c r="X703" s="594"/>
      <c r="Y703" s="594"/>
      <c r="Z703" s="594"/>
      <c r="AA703" s="594"/>
      <c r="AB703" s="591"/>
      <c r="AC703" s="591"/>
      <c r="AD703" s="591"/>
      <c r="AE703" s="594"/>
    </row>
    <row r="704" spans="1:31">
      <c r="A704" s="596">
        <v>59</v>
      </c>
      <c r="B704" s="596">
        <f t="shared" ref="B704:E704" si="659">B597</f>
        <v>0</v>
      </c>
      <c r="C704" s="596">
        <f t="shared" si="659"/>
        <v>0</v>
      </c>
      <c r="D704" s="597">
        <f t="shared" si="659"/>
        <v>0</v>
      </c>
      <c r="E704" s="597">
        <f t="shared" si="659"/>
        <v>0</v>
      </c>
      <c r="F704" s="590" t="str">
        <f>VLOOKUP(A704,STUDENT!$A$2:$BR$105,68,0)</f>
        <v/>
      </c>
      <c r="G704" s="590" t="b">
        <f>VLOOKUP(A704,STUDENT!$A$2:$BR$105,67,0)</f>
        <v>0</v>
      </c>
      <c r="H704" s="590" t="str">
        <f>MARKS!CP62</f>
        <v/>
      </c>
      <c r="I704" s="590" t="str">
        <f>MARKS!CQ62</f>
        <v/>
      </c>
      <c r="J704" s="590" t="str">
        <f>MARKS!CR62</f>
        <v/>
      </c>
      <c r="K704" s="590" t="str">
        <f>MARKS!CS62</f>
        <v/>
      </c>
      <c r="L704" s="590" t="str">
        <f>MARKS!CT62</f>
        <v/>
      </c>
      <c r="M704" s="590" t="str">
        <f>MARKS!CU62</f>
        <v/>
      </c>
      <c r="N704" s="590" t="str">
        <f>MARKS!CV62</f>
        <v/>
      </c>
      <c r="O704" s="590" t="str">
        <f>MARKS!CW62</f>
        <v/>
      </c>
      <c r="Q704" s="591"/>
      <c r="R704" s="591"/>
      <c r="S704" s="591"/>
      <c r="T704" s="591"/>
      <c r="U704" s="591"/>
      <c r="V704" s="591"/>
      <c r="W704" s="594"/>
      <c r="X704" s="594"/>
      <c r="Y704" s="594"/>
      <c r="Z704" s="594"/>
      <c r="AA704" s="594"/>
      <c r="AB704" s="591"/>
      <c r="AC704" s="591"/>
      <c r="AD704" s="591"/>
      <c r="AE704" s="594"/>
    </row>
    <row r="705" spans="1:31">
      <c r="A705" s="590">
        <v>60</v>
      </c>
      <c r="B705" s="596">
        <f t="shared" ref="B705:E705" si="660">B598</f>
        <v>0</v>
      </c>
      <c r="C705" s="596">
        <f t="shared" si="660"/>
        <v>0</v>
      </c>
      <c r="D705" s="597">
        <f t="shared" si="660"/>
        <v>0</v>
      </c>
      <c r="E705" s="597">
        <f t="shared" si="660"/>
        <v>0</v>
      </c>
      <c r="F705" s="590" t="str">
        <f>VLOOKUP(A705,STUDENT!$A$2:$BR$105,68,0)</f>
        <v/>
      </c>
      <c r="G705" s="590" t="b">
        <f>VLOOKUP(A705,STUDENT!$A$2:$BR$105,67,0)</f>
        <v>0</v>
      </c>
      <c r="H705" s="590" t="str">
        <f>MARKS!CP63</f>
        <v/>
      </c>
      <c r="I705" s="590" t="str">
        <f>MARKS!CQ63</f>
        <v/>
      </c>
      <c r="J705" s="590" t="str">
        <f>MARKS!CR63</f>
        <v/>
      </c>
      <c r="K705" s="590" t="str">
        <f>MARKS!CS63</f>
        <v/>
      </c>
      <c r="L705" s="590" t="str">
        <f>MARKS!CT63</f>
        <v/>
      </c>
      <c r="M705" s="590" t="str">
        <f>MARKS!CU63</f>
        <v/>
      </c>
      <c r="N705" s="590" t="str">
        <f>MARKS!CV63</f>
        <v/>
      </c>
      <c r="O705" s="590" t="str">
        <f>MARKS!CW63</f>
        <v/>
      </c>
      <c r="Q705" s="591"/>
      <c r="R705" s="591"/>
      <c r="S705" s="591"/>
      <c r="T705" s="591"/>
      <c r="U705" s="591"/>
      <c r="V705" s="591"/>
      <c r="W705" s="594"/>
      <c r="X705" s="594"/>
      <c r="Y705" s="594"/>
      <c r="Z705" s="594"/>
      <c r="AA705" s="594"/>
      <c r="AB705" s="591"/>
      <c r="AC705" s="591"/>
      <c r="AD705" s="591"/>
      <c r="AE705" s="594"/>
    </row>
    <row r="706" spans="1:31">
      <c r="A706" s="596">
        <v>61</v>
      </c>
      <c r="B706" s="596">
        <f t="shared" ref="B706:E706" si="661">B599</f>
        <v>0</v>
      </c>
      <c r="C706" s="596">
        <f t="shared" si="661"/>
        <v>0</v>
      </c>
      <c r="D706" s="597">
        <f t="shared" si="661"/>
        <v>0</v>
      </c>
      <c r="E706" s="597">
        <f t="shared" si="661"/>
        <v>0</v>
      </c>
      <c r="F706" s="590" t="str">
        <f>VLOOKUP(A706,STUDENT!$A$2:$BR$105,68,0)</f>
        <v/>
      </c>
      <c r="G706" s="590" t="b">
        <f>VLOOKUP(A706,STUDENT!$A$2:$BR$105,67,0)</f>
        <v>0</v>
      </c>
      <c r="H706" s="590" t="str">
        <f>MARKS!CP64</f>
        <v/>
      </c>
      <c r="I706" s="590" t="str">
        <f>MARKS!CQ64</f>
        <v/>
      </c>
      <c r="J706" s="590" t="str">
        <f>MARKS!CR64</f>
        <v/>
      </c>
      <c r="K706" s="590" t="str">
        <f>MARKS!CS64</f>
        <v/>
      </c>
      <c r="L706" s="590" t="str">
        <f>MARKS!CT64</f>
        <v/>
      </c>
      <c r="M706" s="590" t="str">
        <f>MARKS!CU64</f>
        <v/>
      </c>
      <c r="N706" s="590" t="str">
        <f>MARKS!CV64</f>
        <v/>
      </c>
      <c r="O706" s="590" t="str">
        <f>MARKS!CW64</f>
        <v/>
      </c>
      <c r="Q706" s="591" t="s">
        <v>475</v>
      </c>
      <c r="R706" s="591" t="s">
        <v>476</v>
      </c>
      <c r="S706" s="592" t="s">
        <v>477</v>
      </c>
      <c r="T706" s="593" t="s">
        <v>352</v>
      </c>
      <c r="U706" s="592" t="s">
        <v>479</v>
      </c>
      <c r="V706" s="592" t="s">
        <v>480</v>
      </c>
      <c r="W706" s="594"/>
      <c r="X706" s="591" t="s">
        <v>475</v>
      </c>
      <c r="Y706" s="591" t="s">
        <v>476</v>
      </c>
      <c r="Z706" s="591" t="s">
        <v>474</v>
      </c>
      <c r="AA706" s="592" t="s">
        <v>477</v>
      </c>
      <c r="AB706" s="593" t="s">
        <v>494</v>
      </c>
      <c r="AC706" s="592" t="s">
        <v>479</v>
      </c>
      <c r="AD706" s="592" t="s">
        <v>480</v>
      </c>
      <c r="AE706" s="594"/>
    </row>
    <row r="707" spans="1:31">
      <c r="A707" s="590">
        <v>62</v>
      </c>
      <c r="B707" s="596">
        <f t="shared" ref="B707:E707" si="662">B600</f>
        <v>0</v>
      </c>
      <c r="C707" s="596">
        <f t="shared" si="662"/>
        <v>0</v>
      </c>
      <c r="D707" s="597">
        <f t="shared" si="662"/>
        <v>0</v>
      </c>
      <c r="E707" s="597">
        <f t="shared" si="662"/>
        <v>0</v>
      </c>
      <c r="F707" s="590" t="str">
        <f>VLOOKUP(A707,STUDENT!$A$2:$BR$105,68,0)</f>
        <v/>
      </c>
      <c r="G707" s="590" t="b">
        <f>VLOOKUP(A707,STUDENT!$A$2:$BR$105,67,0)</f>
        <v>0</v>
      </c>
      <c r="H707" s="590" t="str">
        <f>MARKS!CP65</f>
        <v/>
      </c>
      <c r="I707" s="590" t="str">
        <f>MARKS!CQ65</f>
        <v/>
      </c>
      <c r="J707" s="590" t="str">
        <f>MARKS!CR65</f>
        <v/>
      </c>
      <c r="K707" s="590" t="str">
        <f>MARKS!CS65</f>
        <v/>
      </c>
      <c r="L707" s="590" t="str">
        <f>MARKS!CT65</f>
        <v/>
      </c>
      <c r="M707" s="590" t="str">
        <f>MARKS!CU65</f>
        <v/>
      </c>
      <c r="N707" s="590" t="str">
        <f>MARKS!CV65</f>
        <v/>
      </c>
      <c r="O707" s="590" t="str">
        <f>MARKS!CW65</f>
        <v/>
      </c>
      <c r="Q707" s="591" t="s">
        <v>482</v>
      </c>
      <c r="R707" s="591" t="s">
        <v>483</v>
      </c>
      <c r="S707" s="591" t="s">
        <v>50</v>
      </c>
      <c r="T707" s="591">
        <f>COUNTIFS(L646:L745,S707)</f>
        <v>0</v>
      </c>
      <c r="U707" s="591">
        <f>COUNTIFS(F646:F745,Q696,L646:L745,S707)</f>
        <v>0</v>
      </c>
      <c r="V707" s="591">
        <f>COUNTIFS(F646:F745,R696,L646:L745,S707)</f>
        <v>0</v>
      </c>
      <c r="W707" s="594"/>
      <c r="X707" s="591" t="s">
        <v>482</v>
      </c>
      <c r="Y707" s="591" t="s">
        <v>483</v>
      </c>
      <c r="Z707" s="591" t="s">
        <v>494</v>
      </c>
      <c r="AA707" s="591" t="s">
        <v>50</v>
      </c>
      <c r="AB707" s="591">
        <f>COUNTIFS(G646:G745,Z707,O646:O745,S707)</f>
        <v>0</v>
      </c>
      <c r="AC707" s="591">
        <f>COUNTIFS(F646:F745,X707,G646:G745,Z707,O646:O745,S707)</f>
        <v>0</v>
      </c>
      <c r="AD707" s="591">
        <f>COUNTIFS(F646:F745,Y707,G646:G745,Z707,O646:O745,S707)</f>
        <v>0</v>
      </c>
      <c r="AE707" s="594"/>
    </row>
    <row r="708" spans="1:31">
      <c r="A708" s="596">
        <v>63</v>
      </c>
      <c r="B708" s="596">
        <f t="shared" ref="B708:E708" si="663">B601</f>
        <v>0</v>
      </c>
      <c r="C708" s="596">
        <f t="shared" si="663"/>
        <v>0</v>
      </c>
      <c r="D708" s="597">
        <f t="shared" si="663"/>
        <v>0</v>
      </c>
      <c r="E708" s="597">
        <f t="shared" si="663"/>
        <v>0</v>
      </c>
      <c r="F708" s="590" t="str">
        <f>VLOOKUP(A708,STUDENT!$A$2:$BR$105,68,0)</f>
        <v/>
      </c>
      <c r="G708" s="590" t="b">
        <f>VLOOKUP(A708,STUDENT!$A$2:$BR$105,67,0)</f>
        <v>0</v>
      </c>
      <c r="H708" s="590" t="str">
        <f>MARKS!CP66</f>
        <v/>
      </c>
      <c r="I708" s="590" t="str">
        <f>MARKS!CQ66</f>
        <v/>
      </c>
      <c r="J708" s="590" t="str">
        <f>MARKS!CR66</f>
        <v/>
      </c>
      <c r="K708" s="590" t="str">
        <f>MARKS!CS66</f>
        <v/>
      </c>
      <c r="L708" s="590" t="str">
        <f>MARKS!CT66</f>
        <v/>
      </c>
      <c r="M708" s="590" t="str">
        <f>MARKS!CU66</f>
        <v/>
      </c>
      <c r="N708" s="590" t="str">
        <f>MARKS!CV66</f>
        <v/>
      </c>
      <c r="O708" s="590" t="str">
        <f>MARKS!CW66</f>
        <v/>
      </c>
      <c r="Q708" s="591" t="s">
        <v>482</v>
      </c>
      <c r="R708" s="591" t="s">
        <v>483</v>
      </c>
      <c r="S708" s="591" t="s">
        <v>485</v>
      </c>
      <c r="T708" s="591">
        <f>COUNTIFS(L646:L745,S708)</f>
        <v>0</v>
      </c>
      <c r="U708" s="591">
        <f>COUNTIFS(F646:F745,Q697,L646:L745,S708)</f>
        <v>0</v>
      </c>
      <c r="V708" s="591">
        <f>COUNTIFS(F646:F745,R697,L646:L745,S708)</f>
        <v>0</v>
      </c>
      <c r="W708" s="594"/>
      <c r="X708" s="591" t="s">
        <v>482</v>
      </c>
      <c r="Y708" s="591" t="s">
        <v>483</v>
      </c>
      <c r="Z708" s="591" t="s">
        <v>494</v>
      </c>
      <c r="AA708" s="591" t="s">
        <v>485</v>
      </c>
      <c r="AB708" s="591">
        <f>COUNTIFS(G646:G745,Z708,O646:O745,S708)</f>
        <v>0</v>
      </c>
      <c r="AC708" s="591">
        <f>COUNTIFS(F646:F745,X708,G646:G745,Z708,O646:O745,S708)</f>
        <v>0</v>
      </c>
      <c r="AD708" s="591">
        <f>COUNTIFS(F646:F745,Y708,G646:G745,Z708,O646:O745,S708)</f>
        <v>0</v>
      </c>
      <c r="AE708" s="594"/>
    </row>
    <row r="709" spans="1:31">
      <c r="A709" s="590">
        <v>64</v>
      </c>
      <c r="B709" s="596">
        <f t="shared" ref="B709:E709" si="664">B602</f>
        <v>0</v>
      </c>
      <c r="C709" s="596">
        <f t="shared" si="664"/>
        <v>0</v>
      </c>
      <c r="D709" s="597">
        <f t="shared" si="664"/>
        <v>0</v>
      </c>
      <c r="E709" s="597">
        <f t="shared" si="664"/>
        <v>0</v>
      </c>
      <c r="F709" s="590" t="str">
        <f>VLOOKUP(A709,STUDENT!$A$2:$BR$105,68,0)</f>
        <v/>
      </c>
      <c r="G709" s="590" t="b">
        <f>VLOOKUP(A709,STUDENT!$A$2:$BR$105,67,0)</f>
        <v>0</v>
      </c>
      <c r="H709" s="590" t="str">
        <f>MARKS!CP67</f>
        <v/>
      </c>
      <c r="I709" s="590" t="str">
        <f>MARKS!CQ67</f>
        <v/>
      </c>
      <c r="J709" s="590" t="str">
        <f>MARKS!CR67</f>
        <v/>
      </c>
      <c r="K709" s="590" t="str">
        <f>MARKS!CS67</f>
        <v/>
      </c>
      <c r="L709" s="590" t="str">
        <f>MARKS!CT67</f>
        <v/>
      </c>
      <c r="M709" s="590" t="str">
        <f>MARKS!CU67</f>
        <v/>
      </c>
      <c r="N709" s="590" t="str">
        <f>MARKS!CV67</f>
        <v/>
      </c>
      <c r="O709" s="590" t="str">
        <f>MARKS!CW67</f>
        <v/>
      </c>
      <c r="Q709" s="591" t="s">
        <v>482</v>
      </c>
      <c r="R709" s="591" t="s">
        <v>483</v>
      </c>
      <c r="S709" s="591" t="s">
        <v>486</v>
      </c>
      <c r="T709" s="591">
        <f>COUNTIFS(L646:L745,S709)</f>
        <v>0</v>
      </c>
      <c r="U709" s="591">
        <f>COUNTIFS(F646:F745,Q698,L646:L745,S709)</f>
        <v>0</v>
      </c>
      <c r="V709" s="591">
        <f>COUNTIFS(F646:F745,R698,L646:L745,S709)</f>
        <v>0</v>
      </c>
      <c r="W709" s="594"/>
      <c r="X709" s="591" t="s">
        <v>482</v>
      </c>
      <c r="Y709" s="591" t="s">
        <v>483</v>
      </c>
      <c r="Z709" s="591" t="s">
        <v>494</v>
      </c>
      <c r="AA709" s="591" t="s">
        <v>486</v>
      </c>
      <c r="AB709" s="591">
        <f>COUNTIFS(G646:G745,Z709,O646:O745,S709)</f>
        <v>0</v>
      </c>
      <c r="AC709" s="591">
        <f>COUNTIFS(F646:F745,X709,G646:G745,Z709,O646:O745,S709)</f>
        <v>0</v>
      </c>
      <c r="AD709" s="591">
        <f>COUNTIFS(F646:F745,Y709,G646:G745,Z709,O646:O745,S709)</f>
        <v>0</v>
      </c>
      <c r="AE709" s="594"/>
    </row>
    <row r="710" spans="1:31">
      <c r="A710" s="596">
        <v>65</v>
      </c>
      <c r="B710" s="596">
        <f t="shared" ref="B710:E710" si="665">B603</f>
        <v>0</v>
      </c>
      <c r="C710" s="596">
        <f t="shared" si="665"/>
        <v>0</v>
      </c>
      <c r="D710" s="597">
        <f t="shared" si="665"/>
        <v>0</v>
      </c>
      <c r="E710" s="597">
        <f t="shared" si="665"/>
        <v>0</v>
      </c>
      <c r="F710" s="590" t="str">
        <f>VLOOKUP(A710,STUDENT!$A$2:$BR$105,68,0)</f>
        <v/>
      </c>
      <c r="G710" s="590" t="b">
        <f>VLOOKUP(A710,STUDENT!$A$2:$BR$105,67,0)</f>
        <v>0</v>
      </c>
      <c r="H710" s="590" t="str">
        <f>MARKS!CP68</f>
        <v/>
      </c>
      <c r="I710" s="590" t="str">
        <f>MARKS!CQ68</f>
        <v/>
      </c>
      <c r="J710" s="590" t="str">
        <f>MARKS!CR68</f>
        <v/>
      </c>
      <c r="K710" s="590" t="str">
        <f>MARKS!CS68</f>
        <v/>
      </c>
      <c r="L710" s="590" t="str">
        <f>MARKS!CT68</f>
        <v/>
      </c>
      <c r="M710" s="590" t="str">
        <f>MARKS!CU68</f>
        <v/>
      </c>
      <c r="N710" s="590" t="str">
        <f>MARKS!CV68</f>
        <v/>
      </c>
      <c r="O710" s="590" t="str">
        <f>MARKS!CW68</f>
        <v/>
      </c>
      <c r="Q710" s="591" t="s">
        <v>482</v>
      </c>
      <c r="R710" s="591" t="s">
        <v>483</v>
      </c>
      <c r="S710" s="591" t="s">
        <v>487</v>
      </c>
      <c r="T710" s="591">
        <f>COUNTIFS(L646:L745,S710)</f>
        <v>0</v>
      </c>
      <c r="U710" s="591">
        <f>COUNTIFS(F646:F745,Q699,L646:L745,S710)</f>
        <v>0</v>
      </c>
      <c r="V710" s="591">
        <f>COUNTIFS(F646:F745,R699,L646:L745,S710)</f>
        <v>0</v>
      </c>
      <c r="W710" s="594"/>
      <c r="X710" s="591" t="s">
        <v>482</v>
      </c>
      <c r="Y710" s="591" t="s">
        <v>483</v>
      </c>
      <c r="Z710" s="591" t="s">
        <v>494</v>
      </c>
      <c r="AA710" s="591" t="s">
        <v>487</v>
      </c>
      <c r="AB710" s="591">
        <f>COUNTIFS(G646:G745,Z710,O646:O745,S710)</f>
        <v>0</v>
      </c>
      <c r="AC710" s="591">
        <f>COUNTIFS(F646:F745,X710,G646:G745,Z710,O646:O745,S710)</f>
        <v>0</v>
      </c>
      <c r="AD710" s="591">
        <f>COUNTIFS(F646:F745,Y710,G646:G745,Z710,O646:O745,S710)</f>
        <v>0</v>
      </c>
      <c r="AE710" s="594"/>
    </row>
    <row r="711" spans="1:31">
      <c r="A711" s="590">
        <v>66</v>
      </c>
      <c r="B711" s="596">
        <f t="shared" ref="B711:E711" si="666">B604</f>
        <v>0</v>
      </c>
      <c r="C711" s="596">
        <f t="shared" si="666"/>
        <v>0</v>
      </c>
      <c r="D711" s="597">
        <f t="shared" si="666"/>
        <v>0</v>
      </c>
      <c r="E711" s="597">
        <f t="shared" si="666"/>
        <v>0</v>
      </c>
      <c r="F711" s="590" t="str">
        <f>VLOOKUP(A711,STUDENT!$A$2:$BR$105,68,0)</f>
        <v/>
      </c>
      <c r="G711" s="590" t="b">
        <f>VLOOKUP(A711,STUDENT!$A$2:$BR$105,67,0)</f>
        <v>0</v>
      </c>
      <c r="H711" s="590" t="str">
        <f>MARKS!CP69</f>
        <v/>
      </c>
      <c r="I711" s="590" t="str">
        <f>MARKS!CQ69</f>
        <v/>
      </c>
      <c r="J711" s="590" t="str">
        <f>MARKS!CR69</f>
        <v/>
      </c>
      <c r="K711" s="590" t="str">
        <f>MARKS!CS69</f>
        <v/>
      </c>
      <c r="L711" s="590" t="str">
        <f>MARKS!CT69</f>
        <v/>
      </c>
      <c r="M711" s="590" t="str">
        <f>MARKS!CU69</f>
        <v/>
      </c>
      <c r="N711" s="590" t="str">
        <f>MARKS!CV69</f>
        <v/>
      </c>
      <c r="O711" s="590" t="str">
        <f>MARKS!CW69</f>
        <v/>
      </c>
      <c r="Q711" s="591" t="s">
        <v>482</v>
      </c>
      <c r="R711" s="591" t="s">
        <v>483</v>
      </c>
      <c r="S711" s="591" t="s">
        <v>488</v>
      </c>
      <c r="T711" s="591">
        <f>COUNTIFS(L646:L745,S711)</f>
        <v>39</v>
      </c>
      <c r="U711" s="591">
        <f>COUNTIFS(F646:F745,Q700,L646:L745,S711)</f>
        <v>0</v>
      </c>
      <c r="V711" s="591">
        <f>COUNTIFS(F646:F745,R700,L646:L745,S711)</f>
        <v>0</v>
      </c>
      <c r="W711" s="594"/>
      <c r="X711" s="591" t="s">
        <v>482</v>
      </c>
      <c r="Y711" s="591" t="s">
        <v>483</v>
      </c>
      <c r="Z711" s="591" t="s">
        <v>494</v>
      </c>
      <c r="AA711" s="591" t="s">
        <v>488</v>
      </c>
      <c r="AB711" s="591">
        <f>COUNTIFS(G646:G745,Z711,O646:O745,S711)</f>
        <v>0</v>
      </c>
      <c r="AC711" s="591">
        <f>COUNTIFS(F646:F745,X711,G646:G745,Z711,O646:O745,S711)</f>
        <v>0</v>
      </c>
      <c r="AD711" s="591">
        <f>COUNTIFS(F646:F745,Y711,G646:G745,Z711,O646:O745,S711)</f>
        <v>0</v>
      </c>
      <c r="AE711" s="594"/>
    </row>
    <row r="712" spans="1:31">
      <c r="A712" s="596">
        <v>67</v>
      </c>
      <c r="B712" s="596">
        <f t="shared" ref="B712:E712" si="667">B605</f>
        <v>0</v>
      </c>
      <c r="C712" s="596">
        <f t="shared" si="667"/>
        <v>0</v>
      </c>
      <c r="D712" s="597">
        <f t="shared" si="667"/>
        <v>0</v>
      </c>
      <c r="E712" s="597">
        <f t="shared" si="667"/>
        <v>0</v>
      </c>
      <c r="F712" s="590" t="str">
        <f>VLOOKUP(A712,STUDENT!$A$2:$BR$105,68,0)</f>
        <v/>
      </c>
      <c r="G712" s="590" t="b">
        <f>VLOOKUP(A712,STUDENT!$A$2:$BR$105,67,0)</f>
        <v>0</v>
      </c>
      <c r="H712" s="590" t="str">
        <f>MARKS!CP70</f>
        <v/>
      </c>
      <c r="I712" s="590" t="str">
        <f>MARKS!CQ70</f>
        <v/>
      </c>
      <c r="J712" s="590" t="str">
        <f>MARKS!CR70</f>
        <v/>
      </c>
      <c r="K712" s="590" t="str">
        <f>MARKS!CS70</f>
        <v/>
      </c>
      <c r="L712" s="590" t="str">
        <f>MARKS!CT70</f>
        <v/>
      </c>
      <c r="M712" s="590" t="str">
        <f>MARKS!CU70</f>
        <v/>
      </c>
      <c r="N712" s="590" t="str">
        <f>MARKS!CV70</f>
        <v/>
      </c>
      <c r="O712" s="590" t="str">
        <f>MARKS!CW70</f>
        <v/>
      </c>
      <c r="Q712" s="591" t="s">
        <v>482</v>
      </c>
      <c r="R712" s="591" t="s">
        <v>483</v>
      </c>
      <c r="S712" s="591" t="s">
        <v>101</v>
      </c>
      <c r="T712" s="591">
        <f>COUNTIFS(L646:L745,S712)</f>
        <v>0</v>
      </c>
      <c r="U712" s="591">
        <f>COUNTIFS(F646:F745,Q701,L646:L745,S712)</f>
        <v>0</v>
      </c>
      <c r="V712" s="591">
        <f>COUNTIFS(F646:F745,R701,L646:L745,S712)</f>
        <v>0</v>
      </c>
      <c r="W712" s="594"/>
      <c r="X712" s="591" t="s">
        <v>482</v>
      </c>
      <c r="Y712" s="591" t="s">
        <v>483</v>
      </c>
      <c r="Z712" s="591" t="s">
        <v>494</v>
      </c>
      <c r="AA712" s="591" t="s">
        <v>101</v>
      </c>
      <c r="AB712" s="591">
        <f>COUNTIFS(G646:G745,Z712,O646:O745,S712)</f>
        <v>0</v>
      </c>
      <c r="AC712" s="591">
        <f>COUNTIFS(F646:F745,X712,G646:G745,Z712,O646:O745,S712)</f>
        <v>0</v>
      </c>
      <c r="AD712" s="591">
        <f>COUNTIFS(F646:F745,Y712,G646:G745,Z712,O646:O745,S712)</f>
        <v>0</v>
      </c>
      <c r="AE712" s="594"/>
    </row>
    <row r="713" spans="1:31">
      <c r="A713" s="590">
        <v>68</v>
      </c>
      <c r="B713" s="596">
        <f t="shared" ref="B713:E713" si="668">B606</f>
        <v>0</v>
      </c>
      <c r="C713" s="596">
        <f t="shared" si="668"/>
        <v>0</v>
      </c>
      <c r="D713" s="597">
        <f t="shared" si="668"/>
        <v>0</v>
      </c>
      <c r="E713" s="597">
        <f t="shared" si="668"/>
        <v>0</v>
      </c>
      <c r="F713" s="590" t="str">
        <f>VLOOKUP(A713,STUDENT!$A$2:$BR$105,68,0)</f>
        <v/>
      </c>
      <c r="G713" s="590" t="b">
        <f>VLOOKUP(A713,STUDENT!$A$2:$BR$105,67,0)</f>
        <v>0</v>
      </c>
      <c r="H713" s="590" t="str">
        <f>MARKS!CP71</f>
        <v/>
      </c>
      <c r="I713" s="590" t="str">
        <f>MARKS!CQ71</f>
        <v/>
      </c>
      <c r="J713" s="590" t="str">
        <f>MARKS!CR71</f>
        <v/>
      </c>
      <c r="K713" s="590" t="str">
        <f>MARKS!CS71</f>
        <v/>
      </c>
      <c r="L713" s="590" t="str">
        <f>MARKS!CT71</f>
        <v/>
      </c>
      <c r="M713" s="590" t="str">
        <f>MARKS!CU71</f>
        <v/>
      </c>
      <c r="N713" s="590" t="str">
        <f>MARKS!CV71</f>
        <v/>
      </c>
      <c r="O713" s="590" t="str">
        <f>MARKS!CW71</f>
        <v/>
      </c>
      <c r="Q713" s="591" t="s">
        <v>482</v>
      </c>
      <c r="R713" s="591" t="s">
        <v>483</v>
      </c>
      <c r="S713" s="591" t="s">
        <v>489</v>
      </c>
      <c r="T713" s="591">
        <f>COUNTIFS(L646:L745,S713)</f>
        <v>0</v>
      </c>
      <c r="U713" s="591">
        <f>COUNTIFS(F646:F745,Q702,L646:L745,S713)</f>
        <v>0</v>
      </c>
      <c r="V713" s="591">
        <f>COUNTIFS(F646:F745,R702,L646:L745,S713)</f>
        <v>0</v>
      </c>
      <c r="W713" s="594"/>
      <c r="X713" s="591" t="s">
        <v>482</v>
      </c>
      <c r="Y713" s="591" t="s">
        <v>483</v>
      </c>
      <c r="Z713" s="591" t="s">
        <v>494</v>
      </c>
      <c r="AA713" s="591" t="s">
        <v>489</v>
      </c>
      <c r="AB713" s="591">
        <f>COUNTIFS(G646:G745,Z713,O646:O745,S713)</f>
        <v>0</v>
      </c>
      <c r="AC713" s="591">
        <f>COUNTIFS(F646:F745,X713,G646:G745,Z713,O646:O745,S713)</f>
        <v>0</v>
      </c>
      <c r="AD713" s="591">
        <f>COUNTIFS(F646:F745,Y713,G646:G745,Z713,O646:O745,S713)</f>
        <v>0</v>
      </c>
      <c r="AE713" s="594"/>
    </row>
    <row r="714" spans="1:31">
      <c r="A714" s="596">
        <v>69</v>
      </c>
      <c r="B714" s="596">
        <f t="shared" ref="B714:E714" si="669">B607</f>
        <v>0</v>
      </c>
      <c r="C714" s="596">
        <f t="shared" si="669"/>
        <v>0</v>
      </c>
      <c r="D714" s="597">
        <f t="shared" si="669"/>
        <v>0</v>
      </c>
      <c r="E714" s="597">
        <f t="shared" si="669"/>
        <v>0</v>
      </c>
      <c r="F714" s="590" t="str">
        <f>VLOOKUP(A714,STUDENT!$A$2:$BR$105,68,0)</f>
        <v/>
      </c>
      <c r="G714" s="590" t="b">
        <f>VLOOKUP(A714,STUDENT!$A$2:$BR$105,67,0)</f>
        <v>0</v>
      </c>
      <c r="H714" s="590" t="str">
        <f>MARKS!CP72</f>
        <v/>
      </c>
      <c r="I714" s="590" t="str">
        <f>MARKS!CQ72</f>
        <v/>
      </c>
      <c r="J714" s="590" t="str">
        <f>MARKS!CR72</f>
        <v/>
      </c>
      <c r="K714" s="590" t="str">
        <f>MARKS!CS72</f>
        <v/>
      </c>
      <c r="L714" s="590" t="str">
        <f>MARKS!CT72</f>
        <v/>
      </c>
      <c r="M714" s="590" t="str">
        <f>MARKS!CU72</f>
        <v/>
      </c>
      <c r="N714" s="590" t="str">
        <f>MARKS!CV72</f>
        <v/>
      </c>
      <c r="O714" s="590" t="str">
        <f>MARKS!CW72</f>
        <v/>
      </c>
      <c r="Q714" s="591" t="s">
        <v>482</v>
      </c>
      <c r="R714" s="591" t="s">
        <v>483</v>
      </c>
      <c r="S714" s="591"/>
      <c r="T714" s="591"/>
      <c r="U714" s="591"/>
      <c r="V714" s="591"/>
      <c r="W714" s="594"/>
      <c r="X714" s="591" t="s">
        <v>482</v>
      </c>
      <c r="Y714" s="591" t="s">
        <v>483</v>
      </c>
      <c r="Z714" s="591" t="s">
        <v>494</v>
      </c>
      <c r="AA714" s="591"/>
      <c r="AB714" s="591"/>
      <c r="AC714" s="591"/>
      <c r="AD714" s="591"/>
      <c r="AE714" s="594"/>
    </row>
    <row r="715" spans="1:31">
      <c r="A715" s="590">
        <v>70</v>
      </c>
      <c r="B715" s="596">
        <f t="shared" ref="B715:E715" si="670">B608</f>
        <v>0</v>
      </c>
      <c r="C715" s="596">
        <f t="shared" si="670"/>
        <v>0</v>
      </c>
      <c r="D715" s="597">
        <f t="shared" si="670"/>
        <v>0</v>
      </c>
      <c r="E715" s="597">
        <f t="shared" si="670"/>
        <v>0</v>
      </c>
      <c r="F715" s="590" t="str">
        <f>VLOOKUP(A715,STUDENT!$A$2:$BR$105,68,0)</f>
        <v/>
      </c>
      <c r="G715" s="590" t="b">
        <f>VLOOKUP(A715,STUDENT!$A$2:$BR$105,67,0)</f>
        <v>0</v>
      </c>
      <c r="H715" s="590" t="str">
        <f>MARKS!CP73</f>
        <v/>
      </c>
      <c r="I715" s="590" t="str">
        <f>MARKS!CQ73</f>
        <v/>
      </c>
      <c r="J715" s="590" t="str">
        <f>MARKS!CR73</f>
        <v/>
      </c>
      <c r="K715" s="590" t="str">
        <f>MARKS!CS73</f>
        <v/>
      </c>
      <c r="L715" s="590" t="str">
        <f>MARKS!CT73</f>
        <v/>
      </c>
      <c r="M715" s="590" t="str">
        <f>MARKS!CU73</f>
        <v/>
      </c>
      <c r="N715" s="590" t="str">
        <f>MARKS!CV73</f>
        <v/>
      </c>
      <c r="O715" s="590" t="str">
        <f>MARKS!CW73</f>
        <v/>
      </c>
      <c r="Q715" s="591"/>
      <c r="R715" s="591"/>
      <c r="S715" s="591" t="s">
        <v>102</v>
      </c>
      <c r="T715" s="591">
        <f>SUM(T707:T714)</f>
        <v>39</v>
      </c>
      <c r="U715" s="591">
        <f t="shared" ref="U715:V715" si="671">SUM(U707:U714)</f>
        <v>0</v>
      </c>
      <c r="V715" s="591">
        <f t="shared" si="671"/>
        <v>0</v>
      </c>
      <c r="W715" s="594"/>
      <c r="X715" s="591"/>
      <c r="Y715" s="591"/>
      <c r="Z715" s="591"/>
      <c r="AA715" s="591" t="s">
        <v>102</v>
      </c>
      <c r="AB715" s="591">
        <f>SUM(AB707:AB714)</f>
        <v>0</v>
      </c>
      <c r="AC715" s="591">
        <f t="shared" ref="AC715:AD715" si="672">SUM(AC707:AC714)</f>
        <v>0</v>
      </c>
      <c r="AD715" s="591">
        <f t="shared" si="672"/>
        <v>0</v>
      </c>
      <c r="AE715" s="594"/>
    </row>
    <row r="716" spans="1:31">
      <c r="A716" s="596">
        <v>71</v>
      </c>
      <c r="B716" s="596">
        <f t="shared" ref="B716:E716" si="673">B609</f>
        <v>0</v>
      </c>
      <c r="C716" s="596">
        <f t="shared" si="673"/>
        <v>0</v>
      </c>
      <c r="D716" s="597">
        <f t="shared" si="673"/>
        <v>0</v>
      </c>
      <c r="E716" s="597">
        <f t="shared" si="673"/>
        <v>0</v>
      </c>
      <c r="F716" s="590" t="str">
        <f>VLOOKUP(A716,STUDENT!$A$2:$BR$105,68,0)</f>
        <v/>
      </c>
      <c r="G716" s="590" t="b">
        <f>VLOOKUP(A716,STUDENT!$A$2:$BR$105,67,0)</f>
        <v>0</v>
      </c>
      <c r="H716" s="590" t="str">
        <f>MARKS!CP74</f>
        <v/>
      </c>
      <c r="I716" s="590" t="str">
        <f>MARKS!CQ74</f>
        <v/>
      </c>
      <c r="J716" s="590" t="str">
        <f>MARKS!CR74</f>
        <v/>
      </c>
      <c r="K716" s="590" t="str">
        <f>MARKS!CS74</f>
        <v/>
      </c>
      <c r="L716" s="590" t="str">
        <f>MARKS!CT74</f>
        <v/>
      </c>
      <c r="M716" s="590" t="str">
        <f>MARKS!CU74</f>
        <v/>
      </c>
      <c r="N716" s="590" t="str">
        <f>MARKS!CV74</f>
        <v/>
      </c>
      <c r="O716" s="590" t="str">
        <f>MARKS!CW74</f>
        <v/>
      </c>
      <c r="Q716" s="591"/>
      <c r="R716" s="591"/>
      <c r="S716" s="591"/>
      <c r="T716" s="591"/>
      <c r="U716" s="591"/>
      <c r="V716" s="591"/>
      <c r="W716" s="594"/>
      <c r="X716" s="594"/>
      <c r="Y716" s="594"/>
      <c r="Z716" s="594"/>
      <c r="AA716" s="594"/>
      <c r="AB716" s="591"/>
      <c r="AC716" s="591"/>
      <c r="AD716" s="591"/>
      <c r="AE716" s="594"/>
    </row>
    <row r="717" spans="1:31">
      <c r="A717" s="590">
        <v>72</v>
      </c>
      <c r="B717" s="596">
        <f t="shared" ref="B717:E717" si="674">B610</f>
        <v>0</v>
      </c>
      <c r="C717" s="596">
        <f t="shared" si="674"/>
        <v>0</v>
      </c>
      <c r="D717" s="597">
        <f t="shared" si="674"/>
        <v>0</v>
      </c>
      <c r="E717" s="597">
        <f t="shared" si="674"/>
        <v>0</v>
      </c>
      <c r="F717" s="590" t="str">
        <f>VLOOKUP(A717,STUDENT!$A$2:$BR$105,68,0)</f>
        <v/>
      </c>
      <c r="G717" s="590" t="b">
        <f>VLOOKUP(A717,STUDENT!$A$2:$BR$105,67,0)</f>
        <v>0</v>
      </c>
      <c r="H717" s="590" t="str">
        <f>MARKS!CP75</f>
        <v/>
      </c>
      <c r="I717" s="590" t="str">
        <f>MARKS!CQ75</f>
        <v/>
      </c>
      <c r="J717" s="590" t="str">
        <f>MARKS!CR75</f>
        <v/>
      </c>
      <c r="K717" s="590" t="str">
        <f>MARKS!CS75</f>
        <v/>
      </c>
      <c r="L717" s="590" t="str">
        <f>MARKS!CT75</f>
        <v/>
      </c>
      <c r="M717" s="590" t="str">
        <f>MARKS!CU75</f>
        <v/>
      </c>
      <c r="N717" s="590" t="str">
        <f>MARKS!CV75</f>
        <v/>
      </c>
      <c r="O717" s="590" t="str">
        <f>MARKS!CW75</f>
        <v/>
      </c>
      <c r="Q717" s="591"/>
      <c r="R717" s="591"/>
      <c r="S717" s="591"/>
      <c r="T717" s="591"/>
      <c r="U717" s="591"/>
      <c r="V717" s="591"/>
      <c r="W717" s="594"/>
      <c r="X717" s="594"/>
      <c r="Y717" s="594"/>
      <c r="Z717" s="594"/>
      <c r="AA717" s="594"/>
      <c r="AB717" s="591"/>
      <c r="AC717" s="591"/>
      <c r="AD717" s="591"/>
      <c r="AE717" s="594"/>
    </row>
    <row r="718" spans="1:31">
      <c r="A718" s="596">
        <v>73</v>
      </c>
      <c r="B718" s="596">
        <f t="shared" ref="B718:E718" si="675">B611</f>
        <v>0</v>
      </c>
      <c r="C718" s="596">
        <f t="shared" si="675"/>
        <v>0</v>
      </c>
      <c r="D718" s="597">
        <f t="shared" si="675"/>
        <v>0</v>
      </c>
      <c r="E718" s="597">
        <f t="shared" si="675"/>
        <v>0</v>
      </c>
      <c r="F718" s="590" t="str">
        <f>VLOOKUP(A718,STUDENT!$A$2:$BR$105,68,0)</f>
        <v/>
      </c>
      <c r="G718" s="590" t="b">
        <f>VLOOKUP(A718,STUDENT!$A$2:$BR$105,67,0)</f>
        <v>0</v>
      </c>
      <c r="H718" s="590" t="str">
        <f>MARKS!CP76</f>
        <v/>
      </c>
      <c r="I718" s="590" t="str">
        <f>MARKS!CQ76</f>
        <v/>
      </c>
      <c r="J718" s="590" t="str">
        <f>MARKS!CR76</f>
        <v/>
      </c>
      <c r="K718" s="590" t="str">
        <f>MARKS!CS76</f>
        <v/>
      </c>
      <c r="L718" s="590" t="str">
        <f>MARKS!CT76</f>
        <v/>
      </c>
      <c r="M718" s="590" t="str">
        <f>MARKS!CU76</f>
        <v/>
      </c>
      <c r="N718" s="590" t="str">
        <f>MARKS!CV76</f>
        <v/>
      </c>
      <c r="O718" s="590" t="str">
        <f>MARKS!CW76</f>
        <v/>
      </c>
      <c r="Q718" s="591"/>
      <c r="R718" s="591"/>
      <c r="S718" s="591"/>
      <c r="T718" s="591"/>
      <c r="U718" s="591"/>
      <c r="V718" s="591"/>
      <c r="W718" s="594"/>
      <c r="X718" s="594"/>
      <c r="Y718" s="594"/>
      <c r="Z718" s="594"/>
      <c r="AA718" s="594"/>
      <c r="AB718" s="591"/>
      <c r="AC718" s="591"/>
      <c r="AD718" s="591"/>
      <c r="AE718" s="594"/>
    </row>
    <row r="719" spans="1:31">
      <c r="A719" s="590">
        <v>74</v>
      </c>
      <c r="B719" s="596">
        <f t="shared" ref="B719:E719" si="676">B612</f>
        <v>0</v>
      </c>
      <c r="C719" s="596">
        <f t="shared" si="676"/>
        <v>0</v>
      </c>
      <c r="D719" s="597">
        <f t="shared" si="676"/>
        <v>0</v>
      </c>
      <c r="E719" s="597">
        <f t="shared" si="676"/>
        <v>0</v>
      </c>
      <c r="F719" s="590" t="str">
        <f>VLOOKUP(A719,STUDENT!$A$2:$BR$105,68,0)</f>
        <v/>
      </c>
      <c r="G719" s="590" t="b">
        <f>VLOOKUP(A719,STUDENT!$A$2:$BR$105,67,0)</f>
        <v>0</v>
      </c>
      <c r="H719" s="590" t="str">
        <f>MARKS!CP77</f>
        <v/>
      </c>
      <c r="I719" s="590" t="str">
        <f>MARKS!CQ77</f>
        <v/>
      </c>
      <c r="J719" s="590" t="str">
        <f>MARKS!CR77</f>
        <v/>
      </c>
      <c r="K719" s="590" t="str">
        <f>MARKS!CS77</f>
        <v/>
      </c>
      <c r="L719" s="590" t="str">
        <f>MARKS!CT77</f>
        <v/>
      </c>
      <c r="M719" s="590" t="str">
        <f>MARKS!CU77</f>
        <v/>
      </c>
      <c r="N719" s="590" t="str">
        <f>MARKS!CV77</f>
        <v/>
      </c>
      <c r="O719" s="590" t="str">
        <f>MARKS!CW77</f>
        <v/>
      </c>
      <c r="Q719" s="591" t="s">
        <v>475</v>
      </c>
      <c r="R719" s="591" t="s">
        <v>476</v>
      </c>
      <c r="S719" s="592" t="s">
        <v>477</v>
      </c>
      <c r="T719" s="593" t="s">
        <v>495</v>
      </c>
      <c r="U719" s="592" t="s">
        <v>479</v>
      </c>
      <c r="V719" s="592" t="s">
        <v>480</v>
      </c>
      <c r="W719" s="594"/>
      <c r="X719" s="594"/>
      <c r="Y719" s="594"/>
      <c r="Z719" s="594"/>
      <c r="AA719" s="594"/>
      <c r="AB719" s="591"/>
      <c r="AC719" s="591"/>
      <c r="AD719" s="591"/>
      <c r="AE719" s="594"/>
    </row>
    <row r="720" spans="1:31">
      <c r="A720" s="596">
        <v>75</v>
      </c>
      <c r="B720" s="596">
        <f t="shared" ref="B720:E720" si="677">B613</f>
        <v>0</v>
      </c>
      <c r="C720" s="596">
        <f t="shared" si="677"/>
        <v>0</v>
      </c>
      <c r="D720" s="597">
        <f t="shared" si="677"/>
        <v>0</v>
      </c>
      <c r="E720" s="597">
        <f t="shared" si="677"/>
        <v>0</v>
      </c>
      <c r="F720" s="590" t="str">
        <f>VLOOKUP(A720,STUDENT!$A$2:$BR$105,68,0)</f>
        <v/>
      </c>
      <c r="G720" s="590" t="b">
        <f>VLOOKUP(A720,STUDENT!$A$2:$BR$105,67,0)</f>
        <v>0</v>
      </c>
      <c r="H720" s="590" t="str">
        <f>MARKS!CP78</f>
        <v/>
      </c>
      <c r="I720" s="590" t="str">
        <f>MARKS!CQ78</f>
        <v/>
      </c>
      <c r="J720" s="590" t="str">
        <f>MARKS!CR78</f>
        <v/>
      </c>
      <c r="K720" s="590" t="str">
        <f>MARKS!CS78</f>
        <v/>
      </c>
      <c r="L720" s="590" t="str">
        <f>MARKS!CT78</f>
        <v/>
      </c>
      <c r="M720" s="590" t="str">
        <f>MARKS!CU78</f>
        <v/>
      </c>
      <c r="N720" s="590" t="str">
        <f>MARKS!CV78</f>
        <v/>
      </c>
      <c r="O720" s="590" t="str">
        <f>MARKS!CW78</f>
        <v/>
      </c>
      <c r="Q720" s="591" t="s">
        <v>482</v>
      </c>
      <c r="R720" s="591" t="s">
        <v>483</v>
      </c>
      <c r="S720" s="591" t="s">
        <v>50</v>
      </c>
      <c r="T720" s="591">
        <f>COUNTIFS(M646:M745,S720)</f>
        <v>0</v>
      </c>
      <c r="U720" s="591">
        <f>COUNTIFS(F646:F745,Q709,M646:M745,S720)</f>
        <v>0</v>
      </c>
      <c r="V720" s="591">
        <f>COUNTIFS(F646:F745,R709,M646:M745,S720)</f>
        <v>0</v>
      </c>
      <c r="W720" s="594"/>
      <c r="X720" s="594"/>
      <c r="Y720" s="594"/>
      <c r="Z720" s="594"/>
      <c r="AA720" s="594"/>
      <c r="AB720" s="591"/>
      <c r="AC720" s="591"/>
      <c r="AD720" s="591"/>
      <c r="AE720" s="594"/>
    </row>
    <row r="721" spans="1:31">
      <c r="A721" s="590">
        <v>76</v>
      </c>
      <c r="B721" s="596">
        <f t="shared" ref="B721:E721" si="678">B614</f>
        <v>0</v>
      </c>
      <c r="C721" s="596">
        <f t="shared" si="678"/>
        <v>0</v>
      </c>
      <c r="D721" s="597">
        <f t="shared" si="678"/>
        <v>0</v>
      </c>
      <c r="E721" s="597">
        <f t="shared" si="678"/>
        <v>0</v>
      </c>
      <c r="F721" s="590" t="str">
        <f>VLOOKUP(A721,STUDENT!$A$2:$BR$105,68,0)</f>
        <v/>
      </c>
      <c r="G721" s="590" t="b">
        <f>VLOOKUP(A721,STUDENT!$A$2:$BR$105,67,0)</f>
        <v>0</v>
      </c>
      <c r="H721" s="590" t="str">
        <f>MARKS!CP79</f>
        <v/>
      </c>
      <c r="I721" s="590" t="str">
        <f>MARKS!CQ79</f>
        <v/>
      </c>
      <c r="J721" s="590" t="str">
        <f>MARKS!CR79</f>
        <v/>
      </c>
      <c r="K721" s="590" t="str">
        <f>MARKS!CS79</f>
        <v/>
      </c>
      <c r="L721" s="590" t="str">
        <f>MARKS!CT79</f>
        <v/>
      </c>
      <c r="M721" s="590" t="str">
        <f>MARKS!CU79</f>
        <v/>
      </c>
      <c r="N721" s="590" t="str">
        <f>MARKS!CV79</f>
        <v/>
      </c>
      <c r="O721" s="590" t="str">
        <f>MARKS!CW79</f>
        <v/>
      </c>
      <c r="Q721" s="591" t="s">
        <v>482</v>
      </c>
      <c r="R721" s="591" t="s">
        <v>483</v>
      </c>
      <c r="S721" s="591" t="s">
        <v>485</v>
      </c>
      <c r="T721" s="591">
        <f>COUNTIFS(M646:M745,S721)</f>
        <v>0</v>
      </c>
      <c r="U721" s="591">
        <f>COUNTIFS(F646:F745,Q710,M646:M745,S721)</f>
        <v>0</v>
      </c>
      <c r="V721" s="591">
        <f>COUNTIFS(F646:F745,R710,M646:M745,S721)</f>
        <v>0</v>
      </c>
      <c r="W721" s="594"/>
      <c r="X721" s="594"/>
      <c r="Y721" s="594"/>
      <c r="Z721" s="594"/>
      <c r="AA721" s="594"/>
      <c r="AB721" s="591"/>
      <c r="AC721" s="591"/>
      <c r="AD721" s="591"/>
      <c r="AE721" s="594"/>
    </row>
    <row r="722" spans="1:31">
      <c r="A722" s="596">
        <v>77</v>
      </c>
      <c r="B722" s="596">
        <f t="shared" ref="B722:E722" si="679">B615</f>
        <v>0</v>
      </c>
      <c r="C722" s="596">
        <f t="shared" si="679"/>
        <v>0</v>
      </c>
      <c r="D722" s="597">
        <f t="shared" si="679"/>
        <v>0</v>
      </c>
      <c r="E722" s="597">
        <f t="shared" si="679"/>
        <v>0</v>
      </c>
      <c r="F722" s="590" t="str">
        <f>VLOOKUP(A722,STUDENT!$A$2:$BR$105,68,0)</f>
        <v/>
      </c>
      <c r="G722" s="590" t="b">
        <f>VLOOKUP(A722,STUDENT!$A$2:$BR$105,67,0)</f>
        <v>0</v>
      </c>
      <c r="H722" s="590" t="str">
        <f>MARKS!CP80</f>
        <v/>
      </c>
      <c r="I722" s="590" t="str">
        <f>MARKS!CQ80</f>
        <v/>
      </c>
      <c r="J722" s="590" t="str">
        <f>MARKS!CR80</f>
        <v/>
      </c>
      <c r="K722" s="590" t="str">
        <f>MARKS!CS80</f>
        <v/>
      </c>
      <c r="L722" s="590" t="str">
        <f>MARKS!CT80</f>
        <v/>
      </c>
      <c r="M722" s="590" t="str">
        <f>MARKS!CU80</f>
        <v/>
      </c>
      <c r="N722" s="590" t="str">
        <f>MARKS!CV80</f>
        <v/>
      </c>
      <c r="O722" s="590" t="str">
        <f>MARKS!CW80</f>
        <v/>
      </c>
      <c r="Q722" s="591" t="s">
        <v>482</v>
      </c>
      <c r="R722" s="591" t="s">
        <v>483</v>
      </c>
      <c r="S722" s="591" t="s">
        <v>486</v>
      </c>
      <c r="T722" s="591">
        <f>COUNTIFS(M646:M745,S722)</f>
        <v>0</v>
      </c>
      <c r="U722" s="591">
        <f>COUNTIFS(F646:F745,Q711,M646:M745,S722)</f>
        <v>0</v>
      </c>
      <c r="V722" s="591">
        <f>COUNTIFS(F646:F745,R711,M646:M745,S722)</f>
        <v>0</v>
      </c>
      <c r="W722" s="594"/>
      <c r="X722" s="594"/>
      <c r="Y722" s="594"/>
      <c r="Z722" s="594"/>
      <c r="AA722" s="594"/>
      <c r="AB722" s="591"/>
      <c r="AC722" s="591"/>
      <c r="AD722" s="591"/>
      <c r="AE722" s="594"/>
    </row>
    <row r="723" spans="1:31">
      <c r="A723" s="590">
        <v>78</v>
      </c>
      <c r="B723" s="596">
        <f t="shared" ref="B723:E723" si="680">B616</f>
        <v>0</v>
      </c>
      <c r="C723" s="596">
        <f t="shared" si="680"/>
        <v>0</v>
      </c>
      <c r="D723" s="597">
        <f t="shared" si="680"/>
        <v>0</v>
      </c>
      <c r="E723" s="597">
        <f t="shared" si="680"/>
        <v>0</v>
      </c>
      <c r="F723" s="590" t="str">
        <f>VLOOKUP(A723,STUDENT!$A$2:$BR$105,68,0)</f>
        <v/>
      </c>
      <c r="G723" s="590" t="b">
        <f>VLOOKUP(A723,STUDENT!$A$2:$BR$105,67,0)</f>
        <v>0</v>
      </c>
      <c r="H723" s="590" t="str">
        <f>MARKS!CP81</f>
        <v/>
      </c>
      <c r="I723" s="590" t="str">
        <f>MARKS!CQ81</f>
        <v/>
      </c>
      <c r="J723" s="590" t="str">
        <f>MARKS!CR81</f>
        <v/>
      </c>
      <c r="K723" s="590" t="str">
        <f>MARKS!CS81</f>
        <v/>
      </c>
      <c r="L723" s="590" t="str">
        <f>MARKS!CT81</f>
        <v/>
      </c>
      <c r="M723" s="590" t="str">
        <f>MARKS!CU81</f>
        <v/>
      </c>
      <c r="N723" s="590" t="str">
        <f>MARKS!CV81</f>
        <v/>
      </c>
      <c r="O723" s="590" t="str">
        <f>MARKS!CW81</f>
        <v/>
      </c>
      <c r="Q723" s="591" t="s">
        <v>482</v>
      </c>
      <c r="R723" s="591" t="s">
        <v>483</v>
      </c>
      <c r="S723" s="591" t="s">
        <v>487</v>
      </c>
      <c r="T723" s="591">
        <f>COUNTIFS(M646:M745,S723)</f>
        <v>0</v>
      </c>
      <c r="U723" s="591">
        <f>COUNTIFS(F646:F745,Q712,M646:M745,S723)</f>
        <v>0</v>
      </c>
      <c r="V723" s="591">
        <f>COUNTIFS(F646:F745,R712,M646:M745,S723)</f>
        <v>0</v>
      </c>
      <c r="W723" s="594"/>
      <c r="X723" s="594"/>
      <c r="Y723" s="594"/>
      <c r="Z723" s="594"/>
      <c r="AA723" s="594"/>
      <c r="AB723" s="591"/>
      <c r="AC723" s="591"/>
      <c r="AD723" s="591"/>
      <c r="AE723" s="594"/>
    </row>
    <row r="724" spans="1:31">
      <c r="A724" s="596">
        <v>79</v>
      </c>
      <c r="B724" s="596">
        <f t="shared" ref="B724:E724" si="681">B617</f>
        <v>0</v>
      </c>
      <c r="C724" s="596">
        <f t="shared" si="681"/>
        <v>0</v>
      </c>
      <c r="D724" s="597">
        <f t="shared" si="681"/>
        <v>0</v>
      </c>
      <c r="E724" s="597">
        <f t="shared" si="681"/>
        <v>0</v>
      </c>
      <c r="F724" s="590" t="str">
        <f>VLOOKUP(A724,STUDENT!$A$2:$BR$105,68,0)</f>
        <v/>
      </c>
      <c r="G724" s="590" t="b">
        <f>VLOOKUP(A724,STUDENT!$A$2:$BR$105,67,0)</f>
        <v>0</v>
      </c>
      <c r="H724" s="590" t="str">
        <f>MARKS!CP82</f>
        <v/>
      </c>
      <c r="I724" s="590" t="str">
        <f>MARKS!CQ82</f>
        <v/>
      </c>
      <c r="J724" s="590" t="str">
        <f>MARKS!CR82</f>
        <v/>
      </c>
      <c r="K724" s="590" t="str">
        <f>MARKS!CS82</f>
        <v/>
      </c>
      <c r="L724" s="590" t="str">
        <f>MARKS!CT82</f>
        <v/>
      </c>
      <c r="M724" s="590" t="str">
        <f>MARKS!CU82</f>
        <v/>
      </c>
      <c r="N724" s="590" t="str">
        <f>MARKS!CV82</f>
        <v/>
      </c>
      <c r="O724" s="590" t="str">
        <f>MARKS!CW82</f>
        <v/>
      </c>
      <c r="Q724" s="591" t="s">
        <v>482</v>
      </c>
      <c r="R724" s="591" t="s">
        <v>483</v>
      </c>
      <c r="S724" s="591" t="s">
        <v>488</v>
      </c>
      <c r="T724" s="591">
        <f>COUNTIFS(M646:M745,S724)</f>
        <v>39</v>
      </c>
      <c r="U724" s="591">
        <f>COUNTIFS(F646:F745,Q713,M646:M745,S724)</f>
        <v>0</v>
      </c>
      <c r="V724" s="591">
        <f>COUNTIFS(F646:F745,R713,M646:M745,S724)</f>
        <v>0</v>
      </c>
      <c r="W724" s="594"/>
      <c r="X724" s="594"/>
      <c r="Y724" s="594"/>
      <c r="Z724" s="594"/>
      <c r="AA724" s="594"/>
      <c r="AB724" s="591"/>
      <c r="AC724" s="591"/>
      <c r="AD724" s="591"/>
      <c r="AE724" s="594"/>
    </row>
    <row r="725" spans="1:31">
      <c r="A725" s="590">
        <v>80</v>
      </c>
      <c r="B725" s="596">
        <f t="shared" ref="B725:E725" si="682">B618</f>
        <v>0</v>
      </c>
      <c r="C725" s="596">
        <f t="shared" si="682"/>
        <v>0</v>
      </c>
      <c r="D725" s="597">
        <f t="shared" si="682"/>
        <v>0</v>
      </c>
      <c r="E725" s="597">
        <f t="shared" si="682"/>
        <v>0</v>
      </c>
      <c r="F725" s="590" t="str">
        <f>VLOOKUP(A725,STUDENT!$A$2:$BR$105,68,0)</f>
        <v/>
      </c>
      <c r="G725" s="590" t="b">
        <f>VLOOKUP(A725,STUDENT!$A$2:$BR$105,67,0)</f>
        <v>0</v>
      </c>
      <c r="H725" s="590" t="str">
        <f>MARKS!CP83</f>
        <v/>
      </c>
      <c r="I725" s="590" t="str">
        <f>MARKS!CQ83</f>
        <v/>
      </c>
      <c r="J725" s="590" t="str">
        <f>MARKS!CR83</f>
        <v/>
      </c>
      <c r="K725" s="590" t="str">
        <f>MARKS!CS83</f>
        <v/>
      </c>
      <c r="L725" s="590" t="str">
        <f>MARKS!CT83</f>
        <v/>
      </c>
      <c r="M725" s="590" t="str">
        <f>MARKS!CU83</f>
        <v/>
      </c>
      <c r="N725" s="590" t="str">
        <f>MARKS!CV83</f>
        <v/>
      </c>
      <c r="O725" s="590" t="str">
        <f>MARKS!CW83</f>
        <v/>
      </c>
      <c r="Q725" s="591" t="s">
        <v>482</v>
      </c>
      <c r="R725" s="591" t="s">
        <v>483</v>
      </c>
      <c r="S725" s="591" t="s">
        <v>101</v>
      </c>
      <c r="T725" s="591">
        <f>COUNTIFS(M646:M745,S725)</f>
        <v>0</v>
      </c>
      <c r="U725" s="591">
        <f>COUNTIFS(F646:F745,Q714,M646:M745,S725)</f>
        <v>0</v>
      </c>
      <c r="V725" s="591">
        <f>COUNTIFS(F646:F745,R714,M646:M745,S725)</f>
        <v>0</v>
      </c>
      <c r="W725" s="594"/>
      <c r="X725" s="594"/>
      <c r="Y725" s="594"/>
      <c r="Z725" s="594"/>
      <c r="AA725" s="594"/>
      <c r="AB725" s="591"/>
      <c r="AC725" s="591"/>
      <c r="AD725" s="591"/>
      <c r="AE725" s="594"/>
    </row>
    <row r="726" spans="1:31">
      <c r="A726" s="596">
        <v>81</v>
      </c>
      <c r="B726" s="596">
        <f t="shared" ref="B726:E726" si="683">B619</f>
        <v>0</v>
      </c>
      <c r="C726" s="596">
        <f t="shared" si="683"/>
        <v>0</v>
      </c>
      <c r="D726" s="597">
        <f t="shared" si="683"/>
        <v>0</v>
      </c>
      <c r="E726" s="597">
        <f t="shared" si="683"/>
        <v>0</v>
      </c>
      <c r="F726" s="590" t="str">
        <f>VLOOKUP(A726,STUDENT!$A$2:$BR$105,68,0)</f>
        <v/>
      </c>
      <c r="G726" s="590" t="b">
        <f>VLOOKUP(A726,STUDENT!$A$2:$BR$105,67,0)</f>
        <v>0</v>
      </c>
      <c r="H726" s="590" t="str">
        <f>MARKS!CP84</f>
        <v/>
      </c>
      <c r="I726" s="590" t="str">
        <f>MARKS!CQ84</f>
        <v/>
      </c>
      <c r="J726" s="590" t="str">
        <f>MARKS!CR84</f>
        <v/>
      </c>
      <c r="K726" s="590" t="str">
        <f>MARKS!CS84</f>
        <v/>
      </c>
      <c r="L726" s="590" t="str">
        <f>MARKS!CT84</f>
        <v/>
      </c>
      <c r="M726" s="590" t="str">
        <f>MARKS!CU84</f>
        <v/>
      </c>
      <c r="N726" s="590" t="str">
        <f>MARKS!CV84</f>
        <v/>
      </c>
      <c r="O726" s="590" t="str">
        <f>MARKS!CW84</f>
        <v/>
      </c>
      <c r="Q726" s="591" t="s">
        <v>482</v>
      </c>
      <c r="R726" s="591" t="s">
        <v>483</v>
      </c>
      <c r="S726" s="591" t="s">
        <v>489</v>
      </c>
      <c r="T726" s="591">
        <f>COUNTIFS(M646:M745,S726)</f>
        <v>0</v>
      </c>
      <c r="U726" s="591">
        <f>COUNTIFS(F646:F745,Q715,M646:M745,S726)</f>
        <v>0</v>
      </c>
      <c r="V726" s="591">
        <f>COUNTIFS(F646:F745,R715,M646:M745,S726)</f>
        <v>0</v>
      </c>
      <c r="W726" s="594"/>
      <c r="X726" s="594"/>
      <c r="Y726" s="594"/>
      <c r="Z726" s="594"/>
      <c r="AA726" s="594"/>
      <c r="AB726" s="591"/>
      <c r="AC726" s="591"/>
      <c r="AD726" s="591"/>
      <c r="AE726" s="594"/>
    </row>
    <row r="727" spans="1:31">
      <c r="A727" s="590">
        <v>82</v>
      </c>
      <c r="B727" s="596">
        <f t="shared" ref="B727:E727" si="684">B620</f>
        <v>0</v>
      </c>
      <c r="C727" s="596">
        <f t="shared" si="684"/>
        <v>0</v>
      </c>
      <c r="D727" s="597">
        <f t="shared" si="684"/>
        <v>0</v>
      </c>
      <c r="E727" s="597">
        <f t="shared" si="684"/>
        <v>0</v>
      </c>
      <c r="F727" s="590" t="str">
        <f>VLOOKUP(A727,STUDENT!$A$2:$BR$105,68,0)</f>
        <v/>
      </c>
      <c r="G727" s="590" t="b">
        <f>VLOOKUP(A727,STUDENT!$A$2:$BR$105,67,0)</f>
        <v>0</v>
      </c>
      <c r="H727" s="590" t="str">
        <f>MARKS!CP85</f>
        <v/>
      </c>
      <c r="I727" s="590" t="str">
        <f>MARKS!CQ85</f>
        <v/>
      </c>
      <c r="J727" s="590" t="str">
        <f>MARKS!CR85</f>
        <v/>
      </c>
      <c r="K727" s="590" t="str">
        <f>MARKS!CS85</f>
        <v/>
      </c>
      <c r="L727" s="590" t="str">
        <f>MARKS!CT85</f>
        <v/>
      </c>
      <c r="M727" s="590" t="str">
        <f>MARKS!CU85</f>
        <v/>
      </c>
      <c r="N727" s="590" t="str">
        <f>MARKS!CV85</f>
        <v/>
      </c>
      <c r="O727" s="590" t="str">
        <f>MARKS!CW85</f>
        <v/>
      </c>
      <c r="Q727" s="591" t="s">
        <v>482</v>
      </c>
      <c r="R727" s="591" t="s">
        <v>483</v>
      </c>
      <c r="S727" s="591"/>
      <c r="T727" s="591"/>
      <c r="U727" s="591"/>
      <c r="V727" s="591"/>
      <c r="W727" s="594"/>
      <c r="X727" s="594"/>
      <c r="Y727" s="594"/>
      <c r="Z727" s="594"/>
      <c r="AA727" s="594"/>
      <c r="AB727" s="591"/>
      <c r="AC727" s="591"/>
      <c r="AD727" s="591"/>
      <c r="AE727" s="594"/>
    </row>
    <row r="728" spans="1:31">
      <c r="A728" s="596">
        <v>83</v>
      </c>
      <c r="B728" s="596">
        <f t="shared" ref="B728:E728" si="685">B621</f>
        <v>0</v>
      </c>
      <c r="C728" s="596">
        <f t="shared" si="685"/>
        <v>0</v>
      </c>
      <c r="D728" s="597">
        <f t="shared" si="685"/>
        <v>0</v>
      </c>
      <c r="E728" s="597">
        <f t="shared" si="685"/>
        <v>0</v>
      </c>
      <c r="F728" s="590" t="str">
        <f>VLOOKUP(A728,STUDENT!$A$2:$BR$105,68,0)</f>
        <v/>
      </c>
      <c r="G728" s="590" t="b">
        <f>VLOOKUP(A728,STUDENT!$A$2:$BR$105,67,0)</f>
        <v>0</v>
      </c>
      <c r="H728" s="590" t="str">
        <f>MARKS!CP86</f>
        <v/>
      </c>
      <c r="I728" s="590" t="str">
        <f>MARKS!CQ86</f>
        <v/>
      </c>
      <c r="J728" s="590" t="str">
        <f>MARKS!CR86</f>
        <v/>
      </c>
      <c r="K728" s="590" t="str">
        <f>MARKS!CS86</f>
        <v/>
      </c>
      <c r="L728" s="590" t="str">
        <f>MARKS!CT86</f>
        <v/>
      </c>
      <c r="M728" s="590" t="str">
        <f>MARKS!CU86</f>
        <v/>
      </c>
      <c r="N728" s="590" t="str">
        <f>MARKS!CV86</f>
        <v/>
      </c>
      <c r="O728" s="590" t="str">
        <f>MARKS!CW86</f>
        <v/>
      </c>
      <c r="Q728" s="591"/>
      <c r="R728" s="591"/>
      <c r="S728" s="591" t="s">
        <v>102</v>
      </c>
      <c r="T728" s="591">
        <f>SUM(T720:T727)</f>
        <v>39</v>
      </c>
      <c r="U728" s="591">
        <f t="shared" ref="U728:V728" si="686">SUM(U720:U727)</f>
        <v>0</v>
      </c>
      <c r="V728" s="591">
        <f t="shared" si="686"/>
        <v>0</v>
      </c>
      <c r="W728" s="594"/>
      <c r="X728" s="594"/>
      <c r="Y728" s="594"/>
      <c r="Z728" s="594"/>
      <c r="AA728" s="594"/>
      <c r="AB728" s="591"/>
      <c r="AC728" s="591"/>
      <c r="AD728" s="591"/>
      <c r="AE728" s="594"/>
    </row>
    <row r="729" spans="1:31">
      <c r="A729" s="590">
        <v>84</v>
      </c>
      <c r="B729" s="596">
        <f t="shared" ref="B729:E729" si="687">B622</f>
        <v>0</v>
      </c>
      <c r="C729" s="596">
        <f t="shared" si="687"/>
        <v>0</v>
      </c>
      <c r="D729" s="597">
        <f t="shared" si="687"/>
        <v>0</v>
      </c>
      <c r="E729" s="597">
        <f t="shared" si="687"/>
        <v>0</v>
      </c>
      <c r="F729" s="590" t="str">
        <f>VLOOKUP(A729,STUDENT!$A$2:$BR$105,68,0)</f>
        <v/>
      </c>
      <c r="G729" s="590" t="b">
        <f>VLOOKUP(A729,STUDENT!$A$2:$BR$105,67,0)</f>
        <v>0</v>
      </c>
      <c r="H729" s="590" t="str">
        <f>MARKS!CP87</f>
        <v/>
      </c>
      <c r="I729" s="590" t="str">
        <f>MARKS!CQ87</f>
        <v/>
      </c>
      <c r="J729" s="590" t="str">
        <f>MARKS!CR87</f>
        <v/>
      </c>
      <c r="K729" s="590" t="str">
        <f>MARKS!CS87</f>
        <v/>
      </c>
      <c r="L729" s="590" t="str">
        <f>MARKS!CT87</f>
        <v/>
      </c>
      <c r="M729" s="590" t="str">
        <f>MARKS!CU87</f>
        <v/>
      </c>
      <c r="N729" s="590" t="str">
        <f>MARKS!CV87</f>
        <v/>
      </c>
      <c r="O729" s="590" t="str">
        <f>MARKS!CW87</f>
        <v/>
      </c>
      <c r="Q729" s="591"/>
      <c r="R729" s="591"/>
      <c r="S729" s="591"/>
      <c r="T729" s="591"/>
      <c r="U729" s="591"/>
      <c r="V729" s="591"/>
      <c r="W729" s="594"/>
      <c r="X729" s="594"/>
      <c r="Y729" s="594"/>
      <c r="Z729" s="594"/>
      <c r="AA729" s="594"/>
      <c r="AB729" s="591"/>
      <c r="AC729" s="591"/>
      <c r="AD729" s="591"/>
      <c r="AE729" s="594"/>
    </row>
    <row r="730" spans="1:31">
      <c r="A730" s="596">
        <v>85</v>
      </c>
      <c r="B730" s="596">
        <f t="shared" ref="B730:E730" si="688">B623</f>
        <v>0</v>
      </c>
      <c r="C730" s="596">
        <f t="shared" si="688"/>
        <v>0</v>
      </c>
      <c r="D730" s="597">
        <f t="shared" si="688"/>
        <v>0</v>
      </c>
      <c r="E730" s="597">
        <f t="shared" si="688"/>
        <v>0</v>
      </c>
      <c r="F730" s="590" t="str">
        <f>VLOOKUP(A730,STUDENT!$A$2:$BR$105,68,0)</f>
        <v/>
      </c>
      <c r="G730" s="590" t="b">
        <f>VLOOKUP(A730,STUDENT!$A$2:$BR$105,67,0)</f>
        <v>0</v>
      </c>
      <c r="H730" s="590" t="str">
        <f>MARKS!CP88</f>
        <v/>
      </c>
      <c r="I730" s="590" t="str">
        <f>MARKS!CQ88</f>
        <v/>
      </c>
      <c r="J730" s="590" t="str">
        <f>MARKS!CR88</f>
        <v/>
      </c>
      <c r="K730" s="590" t="str">
        <f>MARKS!CS88</f>
        <v/>
      </c>
      <c r="L730" s="590" t="str">
        <f>MARKS!CT88</f>
        <v/>
      </c>
      <c r="M730" s="590" t="str">
        <f>MARKS!CU88</f>
        <v/>
      </c>
      <c r="N730" s="590" t="str">
        <f>MARKS!CV88</f>
        <v/>
      </c>
      <c r="O730" s="590" t="str">
        <f>MARKS!CW88</f>
        <v/>
      </c>
      <c r="Q730" s="591"/>
      <c r="R730" s="591"/>
      <c r="S730" s="591"/>
      <c r="T730" s="591"/>
      <c r="U730" s="591"/>
      <c r="V730" s="591"/>
      <c r="W730" s="594"/>
      <c r="X730" s="594"/>
      <c r="Y730" s="594"/>
      <c r="Z730" s="594"/>
      <c r="AA730" s="594"/>
      <c r="AB730" s="591"/>
      <c r="AC730" s="591"/>
      <c r="AD730" s="591"/>
      <c r="AE730" s="594"/>
    </row>
    <row r="731" spans="1:31">
      <c r="A731" s="590">
        <v>86</v>
      </c>
      <c r="B731" s="596">
        <f t="shared" ref="B731:E731" si="689">B624</f>
        <v>0</v>
      </c>
      <c r="C731" s="596">
        <f t="shared" si="689"/>
        <v>0</v>
      </c>
      <c r="D731" s="597">
        <f t="shared" si="689"/>
        <v>0</v>
      </c>
      <c r="E731" s="597">
        <f t="shared" si="689"/>
        <v>0</v>
      </c>
      <c r="F731" s="590" t="str">
        <f>VLOOKUP(A731,STUDENT!$A$2:$BR$105,68,0)</f>
        <v/>
      </c>
      <c r="G731" s="590" t="b">
        <f>VLOOKUP(A731,STUDENT!$A$2:$BR$105,67,0)</f>
        <v>0</v>
      </c>
      <c r="H731" s="590" t="str">
        <f>MARKS!CP89</f>
        <v/>
      </c>
      <c r="I731" s="590" t="str">
        <f>MARKS!CQ89</f>
        <v/>
      </c>
      <c r="J731" s="590" t="str">
        <f>MARKS!CR89</f>
        <v/>
      </c>
      <c r="K731" s="590" t="str">
        <f>MARKS!CS89</f>
        <v/>
      </c>
      <c r="L731" s="590" t="str">
        <f>MARKS!CT89</f>
        <v/>
      </c>
      <c r="M731" s="590" t="str">
        <f>MARKS!CU89</f>
        <v/>
      </c>
      <c r="N731" s="590" t="str">
        <f>MARKS!CV89</f>
        <v/>
      </c>
      <c r="O731" s="590" t="str">
        <f>MARKS!CW89</f>
        <v/>
      </c>
      <c r="Q731" s="591"/>
      <c r="R731" s="591"/>
      <c r="S731" s="591"/>
      <c r="T731" s="591"/>
      <c r="U731" s="591"/>
      <c r="V731" s="591"/>
      <c r="W731" s="594"/>
      <c r="X731" s="594"/>
      <c r="Y731" s="594"/>
      <c r="Z731" s="594"/>
      <c r="AA731" s="594"/>
      <c r="AB731" s="591"/>
      <c r="AC731" s="591"/>
      <c r="AD731" s="591"/>
      <c r="AE731" s="594"/>
    </row>
    <row r="732" spans="1:31">
      <c r="A732" s="596">
        <v>87</v>
      </c>
      <c r="B732" s="596">
        <f t="shared" ref="B732:E732" si="690">B625</f>
        <v>0</v>
      </c>
      <c r="C732" s="596">
        <f t="shared" si="690"/>
        <v>0</v>
      </c>
      <c r="D732" s="597">
        <f t="shared" si="690"/>
        <v>0</v>
      </c>
      <c r="E732" s="597">
        <f t="shared" si="690"/>
        <v>0</v>
      </c>
      <c r="F732" s="590" t="str">
        <f>VLOOKUP(A732,STUDENT!$A$2:$BR$105,68,0)</f>
        <v/>
      </c>
      <c r="G732" s="590" t="b">
        <f>VLOOKUP(A732,STUDENT!$A$2:$BR$105,67,0)</f>
        <v>0</v>
      </c>
      <c r="H732" s="590" t="str">
        <f>MARKS!CP90</f>
        <v/>
      </c>
      <c r="I732" s="590" t="str">
        <f>MARKS!CQ90</f>
        <v/>
      </c>
      <c r="J732" s="590" t="str">
        <f>MARKS!CR90</f>
        <v/>
      </c>
      <c r="K732" s="590" t="str">
        <f>MARKS!CS90</f>
        <v/>
      </c>
      <c r="L732" s="590" t="str">
        <f>MARKS!CT90</f>
        <v/>
      </c>
      <c r="M732" s="590" t="str">
        <f>MARKS!CU90</f>
        <v/>
      </c>
      <c r="N732" s="590" t="str">
        <f>MARKS!CV90</f>
        <v/>
      </c>
      <c r="O732" s="590" t="str">
        <f>MARKS!CW90</f>
        <v/>
      </c>
      <c r="Q732" s="591" t="s">
        <v>475</v>
      </c>
      <c r="R732" s="591" t="s">
        <v>476</v>
      </c>
      <c r="S732" s="592" t="s">
        <v>477</v>
      </c>
      <c r="T732" s="593" t="s">
        <v>354</v>
      </c>
      <c r="U732" s="592" t="s">
        <v>479</v>
      </c>
      <c r="V732" s="592" t="s">
        <v>480</v>
      </c>
      <c r="W732" s="594"/>
      <c r="X732" s="594"/>
      <c r="Y732" s="594"/>
      <c r="Z732" s="594"/>
      <c r="AA732" s="594"/>
      <c r="AB732" s="591"/>
      <c r="AC732" s="591"/>
      <c r="AD732" s="591"/>
      <c r="AE732" s="594"/>
    </row>
    <row r="733" spans="1:31">
      <c r="A733" s="590">
        <v>88</v>
      </c>
      <c r="B733" s="596">
        <f t="shared" ref="B733:E733" si="691">B626</f>
        <v>0</v>
      </c>
      <c r="C733" s="596">
        <f t="shared" si="691"/>
        <v>0</v>
      </c>
      <c r="D733" s="597">
        <f t="shared" si="691"/>
        <v>0</v>
      </c>
      <c r="E733" s="597">
        <f t="shared" si="691"/>
        <v>0</v>
      </c>
      <c r="F733" s="590" t="str">
        <f>VLOOKUP(A733,STUDENT!$A$2:$BR$105,68,0)</f>
        <v/>
      </c>
      <c r="G733" s="590" t="b">
        <f>VLOOKUP(A733,STUDENT!$A$2:$BR$105,67,0)</f>
        <v>0</v>
      </c>
      <c r="H733" s="590" t="str">
        <f>MARKS!CP91</f>
        <v/>
      </c>
      <c r="I733" s="590" t="str">
        <f>MARKS!CQ91</f>
        <v/>
      </c>
      <c r="J733" s="590" t="str">
        <f>MARKS!CR91</f>
        <v/>
      </c>
      <c r="K733" s="590" t="str">
        <f>MARKS!CS91</f>
        <v/>
      </c>
      <c r="L733" s="590" t="str">
        <f>MARKS!CT91</f>
        <v/>
      </c>
      <c r="M733" s="590" t="str">
        <f>MARKS!CU91</f>
        <v/>
      </c>
      <c r="N733" s="590" t="str">
        <f>MARKS!CV91</f>
        <v/>
      </c>
      <c r="O733" s="590" t="str">
        <f>MARKS!CW91</f>
        <v/>
      </c>
      <c r="Q733" s="591" t="s">
        <v>482</v>
      </c>
      <c r="R733" s="591" t="s">
        <v>483</v>
      </c>
      <c r="S733" s="591" t="s">
        <v>50</v>
      </c>
      <c r="T733" s="591">
        <f>COUNTIFS(N646:N745,S733)</f>
        <v>0</v>
      </c>
      <c r="U733" s="591">
        <f>COUNTIFS(F646:F745,Q722,N646:N745,S733)</f>
        <v>0</v>
      </c>
      <c r="V733" s="591">
        <f>COUNTIFS(F646:F745,R722,N646:N745,S733)</f>
        <v>0</v>
      </c>
      <c r="W733" s="594"/>
      <c r="X733" s="594"/>
      <c r="Y733" s="594"/>
      <c r="Z733" s="594"/>
      <c r="AA733" s="594"/>
      <c r="AB733" s="591"/>
      <c r="AC733" s="591"/>
      <c r="AD733" s="591"/>
      <c r="AE733" s="594"/>
    </row>
    <row r="734" spans="1:31">
      <c r="A734" s="596">
        <v>89</v>
      </c>
      <c r="B734" s="596">
        <f t="shared" ref="B734:E734" si="692">B627</f>
        <v>0</v>
      </c>
      <c r="C734" s="596">
        <f t="shared" si="692"/>
        <v>0</v>
      </c>
      <c r="D734" s="597">
        <f t="shared" si="692"/>
        <v>0</v>
      </c>
      <c r="E734" s="597">
        <f t="shared" si="692"/>
        <v>0</v>
      </c>
      <c r="F734" s="590" t="str">
        <f>VLOOKUP(A734,STUDENT!$A$2:$BR$105,68,0)</f>
        <v/>
      </c>
      <c r="G734" s="590" t="b">
        <f>VLOOKUP(A734,STUDENT!$A$2:$BR$105,67,0)</f>
        <v>0</v>
      </c>
      <c r="H734" s="590" t="str">
        <f>MARKS!CP92</f>
        <v/>
      </c>
      <c r="I734" s="590" t="str">
        <f>MARKS!CQ92</f>
        <v/>
      </c>
      <c r="J734" s="590" t="str">
        <f>MARKS!CR92</f>
        <v/>
      </c>
      <c r="K734" s="590" t="str">
        <f>MARKS!CS92</f>
        <v/>
      </c>
      <c r="L734" s="590" t="str">
        <f>MARKS!CT92</f>
        <v/>
      </c>
      <c r="M734" s="590" t="str">
        <f>MARKS!CU92</f>
        <v/>
      </c>
      <c r="N734" s="590" t="str">
        <f>MARKS!CV92</f>
        <v/>
      </c>
      <c r="O734" s="590" t="str">
        <f>MARKS!CW92</f>
        <v/>
      </c>
      <c r="Q734" s="591" t="s">
        <v>482</v>
      </c>
      <c r="R734" s="591" t="s">
        <v>483</v>
      </c>
      <c r="S734" s="591" t="s">
        <v>485</v>
      </c>
      <c r="T734" s="591">
        <f>COUNTIFS(N646:N745,S734)</f>
        <v>0</v>
      </c>
      <c r="U734" s="591">
        <f>COUNTIFS(F646:F745,Q723,N646:N745,S734)</f>
        <v>0</v>
      </c>
      <c r="V734" s="591">
        <f>COUNTIFS(F646:F745,R723,N646:N745,S734)</f>
        <v>0</v>
      </c>
      <c r="W734" s="594"/>
      <c r="X734" s="594"/>
      <c r="Y734" s="594"/>
      <c r="Z734" s="594"/>
      <c r="AA734" s="594"/>
      <c r="AB734" s="591"/>
      <c r="AC734" s="591"/>
      <c r="AD734" s="591"/>
      <c r="AE734" s="594"/>
    </row>
    <row r="735" spans="1:31">
      <c r="A735" s="590">
        <v>90</v>
      </c>
      <c r="B735" s="596">
        <f t="shared" ref="B735:E735" si="693">B628</f>
        <v>0</v>
      </c>
      <c r="C735" s="596">
        <f t="shared" si="693"/>
        <v>0</v>
      </c>
      <c r="D735" s="597">
        <f t="shared" si="693"/>
        <v>0</v>
      </c>
      <c r="E735" s="597">
        <f t="shared" si="693"/>
        <v>0</v>
      </c>
      <c r="F735" s="590" t="str">
        <f>VLOOKUP(A735,STUDENT!$A$2:$BR$105,68,0)</f>
        <v/>
      </c>
      <c r="G735" s="590" t="b">
        <f>VLOOKUP(A735,STUDENT!$A$2:$BR$105,67,0)</f>
        <v>0</v>
      </c>
      <c r="H735" s="590" t="str">
        <f>MARKS!CP93</f>
        <v/>
      </c>
      <c r="I735" s="590" t="str">
        <f>MARKS!CQ93</f>
        <v/>
      </c>
      <c r="J735" s="590" t="str">
        <f>MARKS!CR93</f>
        <v/>
      </c>
      <c r="K735" s="590" t="str">
        <f>MARKS!CS93</f>
        <v/>
      </c>
      <c r="L735" s="590" t="str">
        <f>MARKS!CT93</f>
        <v/>
      </c>
      <c r="M735" s="590" t="str">
        <f>MARKS!CU93</f>
        <v/>
      </c>
      <c r="N735" s="590" t="str">
        <f>MARKS!CV93</f>
        <v/>
      </c>
      <c r="O735" s="590" t="str">
        <f>MARKS!CW93</f>
        <v/>
      </c>
      <c r="Q735" s="591" t="s">
        <v>482</v>
      </c>
      <c r="R735" s="591" t="s">
        <v>483</v>
      </c>
      <c r="S735" s="591" t="s">
        <v>486</v>
      </c>
      <c r="T735" s="591">
        <f>COUNTIFS(N646:N745,S735)</f>
        <v>0</v>
      </c>
      <c r="U735" s="591">
        <f>COUNTIFS(F646:F745,Q724,N646:N745,S735)</f>
        <v>0</v>
      </c>
      <c r="V735" s="591">
        <f>COUNTIFS(F646:F745,R724,N646:N745,S735)</f>
        <v>0</v>
      </c>
      <c r="W735" s="594"/>
      <c r="X735" s="594"/>
      <c r="Y735" s="594"/>
      <c r="Z735" s="594"/>
      <c r="AA735" s="594"/>
      <c r="AB735" s="591"/>
      <c r="AC735" s="591"/>
      <c r="AD735" s="591"/>
      <c r="AE735" s="594"/>
    </row>
    <row r="736" spans="1:31">
      <c r="A736" s="596">
        <v>91</v>
      </c>
      <c r="B736" s="596">
        <f t="shared" ref="B736:E736" si="694">B629</f>
        <v>0</v>
      </c>
      <c r="C736" s="596">
        <f t="shared" si="694"/>
        <v>0</v>
      </c>
      <c r="D736" s="597">
        <f t="shared" si="694"/>
        <v>0</v>
      </c>
      <c r="E736" s="597">
        <f t="shared" si="694"/>
        <v>0</v>
      </c>
      <c r="F736" s="590" t="str">
        <f>VLOOKUP(A736,STUDENT!$A$2:$BR$105,68,0)</f>
        <v/>
      </c>
      <c r="G736" s="590" t="b">
        <f>VLOOKUP(A736,STUDENT!$A$2:$BR$105,67,0)</f>
        <v>0</v>
      </c>
      <c r="H736" s="590" t="str">
        <f>MARKS!CP94</f>
        <v/>
      </c>
      <c r="I736" s="590" t="str">
        <f>MARKS!CQ94</f>
        <v/>
      </c>
      <c r="J736" s="590" t="str">
        <f>MARKS!CR94</f>
        <v/>
      </c>
      <c r="K736" s="590" t="str">
        <f>MARKS!CS94</f>
        <v/>
      </c>
      <c r="L736" s="590" t="str">
        <f>MARKS!CT94</f>
        <v/>
      </c>
      <c r="M736" s="590" t="str">
        <f>MARKS!CU94</f>
        <v/>
      </c>
      <c r="N736" s="590" t="str">
        <f>MARKS!CV94</f>
        <v/>
      </c>
      <c r="O736" s="590" t="str">
        <f>MARKS!CW94</f>
        <v/>
      </c>
      <c r="Q736" s="591" t="s">
        <v>482</v>
      </c>
      <c r="R736" s="591" t="s">
        <v>483</v>
      </c>
      <c r="S736" s="591" t="s">
        <v>487</v>
      </c>
      <c r="T736" s="591">
        <f>COUNTIFS(N646:N745,S736)</f>
        <v>0</v>
      </c>
      <c r="U736" s="591">
        <f>COUNTIFS(F646:F745,Q725,N646:N745,S736)</f>
        <v>0</v>
      </c>
      <c r="V736" s="591">
        <f>COUNTIFS(F646:F745,R725,N646:N745,S736)</f>
        <v>0</v>
      </c>
      <c r="W736" s="594"/>
      <c r="X736" s="594"/>
      <c r="Y736" s="594"/>
      <c r="Z736" s="594"/>
      <c r="AA736" s="594"/>
      <c r="AB736" s="591"/>
      <c r="AC736" s="591"/>
      <c r="AD736" s="591"/>
      <c r="AE736" s="594"/>
    </row>
    <row r="737" spans="1:31">
      <c r="A737" s="590">
        <v>92</v>
      </c>
      <c r="B737" s="596">
        <f t="shared" ref="B737:E737" si="695">B630</f>
        <v>0</v>
      </c>
      <c r="C737" s="596">
        <f t="shared" si="695"/>
        <v>0</v>
      </c>
      <c r="D737" s="597">
        <f t="shared" si="695"/>
        <v>0</v>
      </c>
      <c r="E737" s="597">
        <f t="shared" si="695"/>
        <v>0</v>
      </c>
      <c r="F737" s="590" t="str">
        <f>VLOOKUP(A737,STUDENT!$A$2:$BR$105,68,0)</f>
        <v/>
      </c>
      <c r="G737" s="590" t="b">
        <f>VLOOKUP(A737,STUDENT!$A$2:$BR$105,67,0)</f>
        <v>0</v>
      </c>
      <c r="H737" s="590" t="str">
        <f>MARKS!CP95</f>
        <v/>
      </c>
      <c r="I737" s="590" t="str">
        <f>MARKS!CQ95</f>
        <v/>
      </c>
      <c r="J737" s="590" t="str">
        <f>MARKS!CR95</f>
        <v/>
      </c>
      <c r="K737" s="590" t="str">
        <f>MARKS!CS95</f>
        <v/>
      </c>
      <c r="L737" s="590" t="str">
        <f>MARKS!CT95</f>
        <v/>
      </c>
      <c r="M737" s="590" t="str">
        <f>MARKS!CU95</f>
        <v/>
      </c>
      <c r="N737" s="590" t="str">
        <f>MARKS!CV95</f>
        <v/>
      </c>
      <c r="O737" s="590" t="str">
        <f>MARKS!CW95</f>
        <v/>
      </c>
      <c r="Q737" s="591" t="s">
        <v>482</v>
      </c>
      <c r="R737" s="591" t="s">
        <v>483</v>
      </c>
      <c r="S737" s="591" t="s">
        <v>488</v>
      </c>
      <c r="T737" s="591">
        <f>COUNTIFS(N646:N745,S737)</f>
        <v>0</v>
      </c>
      <c r="U737" s="591">
        <f>COUNTIFS(F646:F745,Q726,N646:N745,S737)</f>
        <v>0</v>
      </c>
      <c r="V737" s="591">
        <f>COUNTIFS(F646:F745,R726,N646:N745,S737)</f>
        <v>0</v>
      </c>
      <c r="W737" s="594"/>
      <c r="X737" s="594"/>
      <c r="Y737" s="594"/>
      <c r="Z737" s="594"/>
      <c r="AA737" s="594"/>
      <c r="AB737" s="591"/>
      <c r="AC737" s="591"/>
      <c r="AD737" s="591"/>
      <c r="AE737" s="594"/>
    </row>
    <row r="738" spans="1:31">
      <c r="A738" s="596">
        <v>93</v>
      </c>
      <c r="B738" s="596">
        <f t="shared" ref="B738:E738" si="696">B631</f>
        <v>0</v>
      </c>
      <c r="C738" s="596">
        <f t="shared" si="696"/>
        <v>0</v>
      </c>
      <c r="D738" s="597">
        <f t="shared" si="696"/>
        <v>0</v>
      </c>
      <c r="E738" s="597">
        <f t="shared" si="696"/>
        <v>0</v>
      </c>
      <c r="F738" s="590" t="str">
        <f>VLOOKUP(A738,STUDENT!$A$2:$BR$105,68,0)</f>
        <v/>
      </c>
      <c r="G738" s="590" t="b">
        <f>VLOOKUP(A738,STUDENT!$A$2:$BR$105,67,0)</f>
        <v>0</v>
      </c>
      <c r="H738" s="590" t="str">
        <f>MARKS!CP96</f>
        <v/>
      </c>
      <c r="I738" s="590" t="str">
        <f>MARKS!CQ96</f>
        <v/>
      </c>
      <c r="J738" s="590" t="str">
        <f>MARKS!CR96</f>
        <v/>
      </c>
      <c r="K738" s="590" t="str">
        <f>MARKS!CS96</f>
        <v/>
      </c>
      <c r="L738" s="590" t="str">
        <f>MARKS!CT96</f>
        <v/>
      </c>
      <c r="M738" s="590" t="str">
        <f>MARKS!CU96</f>
        <v/>
      </c>
      <c r="N738" s="590" t="str">
        <f>MARKS!CV96</f>
        <v/>
      </c>
      <c r="O738" s="590" t="str">
        <f>MARKS!CW96</f>
        <v/>
      </c>
      <c r="Q738" s="591" t="s">
        <v>482</v>
      </c>
      <c r="R738" s="591" t="s">
        <v>483</v>
      </c>
      <c r="S738" s="591" t="s">
        <v>101</v>
      </c>
      <c r="T738" s="591">
        <f>COUNTIFS(N646:N745,S738)</f>
        <v>0</v>
      </c>
      <c r="U738" s="591">
        <f>COUNTIFS(F646:F745,Q727,N646:N745,S738)</f>
        <v>0</v>
      </c>
      <c r="V738" s="591">
        <f>COUNTIFS(F646:F745,R727,N646:N745,S738)</f>
        <v>0</v>
      </c>
      <c r="W738" s="594"/>
      <c r="X738" s="594"/>
      <c r="Y738" s="594"/>
      <c r="Z738" s="594"/>
      <c r="AA738" s="594"/>
      <c r="AB738" s="591"/>
      <c r="AC738" s="591"/>
      <c r="AD738" s="591"/>
      <c r="AE738" s="594"/>
    </row>
    <row r="739" spans="1:31">
      <c r="A739" s="590">
        <v>94</v>
      </c>
      <c r="B739" s="596">
        <f t="shared" ref="B739:E739" si="697">B632</f>
        <v>0</v>
      </c>
      <c r="C739" s="596">
        <f t="shared" si="697"/>
        <v>0</v>
      </c>
      <c r="D739" s="597">
        <f t="shared" si="697"/>
        <v>0</v>
      </c>
      <c r="E739" s="597">
        <f t="shared" si="697"/>
        <v>0</v>
      </c>
      <c r="F739" s="590" t="str">
        <f>VLOOKUP(A739,STUDENT!$A$2:$BR$105,68,0)</f>
        <v/>
      </c>
      <c r="G739" s="590" t="b">
        <f>VLOOKUP(A739,STUDENT!$A$2:$BR$105,67,0)</f>
        <v>0</v>
      </c>
      <c r="H739" s="590" t="str">
        <f>MARKS!CP97</f>
        <v/>
      </c>
      <c r="I739" s="590" t="str">
        <f>MARKS!CQ97</f>
        <v/>
      </c>
      <c r="J739" s="590" t="str">
        <f>MARKS!CR97</f>
        <v/>
      </c>
      <c r="K739" s="590" t="str">
        <f>MARKS!CS97</f>
        <v/>
      </c>
      <c r="L739" s="590" t="str">
        <f>MARKS!CT97</f>
        <v/>
      </c>
      <c r="M739" s="590" t="str">
        <f>MARKS!CU97</f>
        <v/>
      </c>
      <c r="N739" s="590" t="str">
        <f>MARKS!CV97</f>
        <v/>
      </c>
      <c r="O739" s="590" t="str">
        <f>MARKS!CW97</f>
        <v/>
      </c>
      <c r="Q739" s="591" t="s">
        <v>482</v>
      </c>
      <c r="R739" s="591" t="s">
        <v>483</v>
      </c>
      <c r="S739" s="591" t="s">
        <v>489</v>
      </c>
      <c r="T739" s="591">
        <f>COUNTIFS(N646:N745,S739)</f>
        <v>0</v>
      </c>
      <c r="U739" s="591">
        <f>COUNTIFS(F646:F745,Q728,N646:N745,S739)</f>
        <v>0</v>
      </c>
      <c r="V739" s="591">
        <f>COUNTIFS(F646:F745,R728,N646:N745,S739)</f>
        <v>0</v>
      </c>
      <c r="W739" s="594"/>
      <c r="X739" s="594"/>
      <c r="Y739" s="594"/>
      <c r="Z739" s="594"/>
      <c r="AA739" s="594"/>
      <c r="AB739" s="591"/>
      <c r="AC739" s="591"/>
      <c r="AD739" s="591"/>
      <c r="AE739" s="594"/>
    </row>
    <row r="740" spans="1:31">
      <c r="A740" s="596">
        <v>95</v>
      </c>
      <c r="B740" s="596">
        <f t="shared" ref="B740:E740" si="698">B633</f>
        <v>0</v>
      </c>
      <c r="C740" s="596">
        <f t="shared" si="698"/>
        <v>0</v>
      </c>
      <c r="D740" s="597">
        <f t="shared" si="698"/>
        <v>0</v>
      </c>
      <c r="E740" s="597">
        <f t="shared" si="698"/>
        <v>0</v>
      </c>
      <c r="F740" s="590" t="str">
        <f>VLOOKUP(A740,STUDENT!$A$2:$BR$105,68,0)</f>
        <v/>
      </c>
      <c r="G740" s="590" t="b">
        <f>VLOOKUP(A740,STUDENT!$A$2:$BR$105,67,0)</f>
        <v>0</v>
      </c>
      <c r="H740" s="590" t="str">
        <f>MARKS!CP98</f>
        <v/>
      </c>
      <c r="I740" s="590" t="str">
        <f>MARKS!CQ98</f>
        <v/>
      </c>
      <c r="J740" s="590" t="str">
        <f>MARKS!CR98</f>
        <v/>
      </c>
      <c r="K740" s="590" t="str">
        <f>MARKS!CS98</f>
        <v/>
      </c>
      <c r="L740" s="590" t="str">
        <f>MARKS!CT98</f>
        <v/>
      </c>
      <c r="M740" s="590" t="str">
        <f>MARKS!CU98</f>
        <v/>
      </c>
      <c r="N740" s="590" t="str">
        <f>MARKS!CV98</f>
        <v/>
      </c>
      <c r="O740" s="590" t="str">
        <f>MARKS!CW98</f>
        <v/>
      </c>
      <c r="Q740" s="591" t="s">
        <v>482</v>
      </c>
      <c r="R740" s="591" t="s">
        <v>483</v>
      </c>
      <c r="S740" s="591"/>
      <c r="T740" s="591"/>
      <c r="U740" s="591"/>
      <c r="V740" s="591"/>
      <c r="W740" s="594"/>
      <c r="X740" s="594"/>
      <c r="Y740" s="594"/>
      <c r="Z740" s="594"/>
      <c r="AA740" s="594"/>
      <c r="AB740" s="591"/>
      <c r="AC740" s="591"/>
      <c r="AD740" s="591"/>
      <c r="AE740" s="594"/>
    </row>
    <row r="741" spans="1:31">
      <c r="A741" s="590">
        <v>96</v>
      </c>
      <c r="B741" s="596">
        <f t="shared" ref="B741:E741" si="699">B634</f>
        <v>0</v>
      </c>
      <c r="C741" s="596">
        <f t="shared" si="699"/>
        <v>0</v>
      </c>
      <c r="D741" s="597">
        <f t="shared" si="699"/>
        <v>0</v>
      </c>
      <c r="E741" s="597">
        <f t="shared" si="699"/>
        <v>0</v>
      </c>
      <c r="F741" s="590" t="str">
        <f>VLOOKUP(A741,STUDENT!$A$2:$BR$105,68,0)</f>
        <v/>
      </c>
      <c r="G741" s="590" t="b">
        <f>VLOOKUP(A741,STUDENT!$A$2:$BR$105,67,0)</f>
        <v>0</v>
      </c>
      <c r="H741" s="590" t="str">
        <f>MARKS!CP99</f>
        <v/>
      </c>
      <c r="I741" s="590" t="str">
        <f>MARKS!CQ99</f>
        <v/>
      </c>
      <c r="J741" s="590" t="str">
        <f>MARKS!CR99</f>
        <v/>
      </c>
      <c r="K741" s="590" t="str">
        <f>MARKS!CS99</f>
        <v/>
      </c>
      <c r="L741" s="590" t="str">
        <f>MARKS!CT99</f>
        <v/>
      </c>
      <c r="M741" s="590" t="str">
        <f>MARKS!CU99</f>
        <v/>
      </c>
      <c r="N741" s="590" t="str">
        <f>MARKS!CV99</f>
        <v/>
      </c>
      <c r="O741" s="590" t="str">
        <f>MARKS!CW99</f>
        <v/>
      </c>
      <c r="Q741" s="591"/>
      <c r="R741" s="591"/>
      <c r="S741" s="591" t="s">
        <v>102</v>
      </c>
      <c r="T741" s="591">
        <f>SUM(T733:T740)</f>
        <v>0</v>
      </c>
      <c r="U741" s="591">
        <f t="shared" ref="U741:V741" si="700">SUM(U733:U740)</f>
        <v>0</v>
      </c>
      <c r="V741" s="591">
        <f t="shared" si="700"/>
        <v>0</v>
      </c>
      <c r="W741" s="594"/>
      <c r="X741" s="594"/>
      <c r="Y741" s="594"/>
      <c r="Z741" s="594"/>
      <c r="AA741" s="594"/>
      <c r="AB741" s="591"/>
      <c r="AC741" s="591"/>
      <c r="AD741" s="591"/>
      <c r="AE741" s="594"/>
    </row>
    <row r="742" spans="1:31">
      <c r="A742" s="596">
        <v>97</v>
      </c>
      <c r="B742" s="596">
        <f t="shared" ref="B742:E742" si="701">B635</f>
        <v>0</v>
      </c>
      <c r="C742" s="596">
        <f t="shared" si="701"/>
        <v>0</v>
      </c>
      <c r="D742" s="597">
        <f t="shared" si="701"/>
        <v>0</v>
      </c>
      <c r="E742" s="597">
        <f t="shared" si="701"/>
        <v>0</v>
      </c>
      <c r="F742" s="590" t="str">
        <f>VLOOKUP(A742,STUDENT!$A$2:$BR$105,68,0)</f>
        <v/>
      </c>
      <c r="G742" s="590" t="b">
        <f>VLOOKUP(A742,STUDENT!$A$2:$BR$105,67,0)</f>
        <v>0</v>
      </c>
      <c r="H742" s="590" t="str">
        <f>MARKS!CP100</f>
        <v/>
      </c>
      <c r="I742" s="590" t="str">
        <f>MARKS!CQ100</f>
        <v/>
      </c>
      <c r="J742" s="590" t="str">
        <f>MARKS!CR100</f>
        <v/>
      </c>
      <c r="K742" s="590" t="str">
        <f>MARKS!CS100</f>
        <v/>
      </c>
      <c r="L742" s="590" t="str">
        <f>MARKS!CT100</f>
        <v/>
      </c>
      <c r="M742" s="590" t="str">
        <f>MARKS!CU100</f>
        <v/>
      </c>
      <c r="N742" s="590" t="str">
        <f>MARKS!CV100</f>
        <v/>
      </c>
      <c r="O742" s="590" t="str">
        <f>MARKS!CW100</f>
        <v/>
      </c>
      <c r="Q742" s="598"/>
      <c r="R742" s="598"/>
      <c r="S742" s="598"/>
      <c r="T742" s="598"/>
      <c r="U742" s="598"/>
      <c r="V742" s="598"/>
      <c r="W742" s="595"/>
      <c r="X742" s="595"/>
      <c r="Y742" s="595"/>
      <c r="Z742" s="595"/>
      <c r="AA742" s="595"/>
      <c r="AB742" s="598"/>
      <c r="AC742" s="598"/>
      <c r="AD742" s="598"/>
      <c r="AE742" s="595"/>
    </row>
    <row r="743" spans="1:31">
      <c r="A743" s="590">
        <v>98</v>
      </c>
      <c r="B743" s="596">
        <f t="shared" ref="B743:E743" si="702">B636</f>
        <v>0</v>
      </c>
      <c r="C743" s="596">
        <f t="shared" si="702"/>
        <v>0</v>
      </c>
      <c r="D743" s="597">
        <f t="shared" si="702"/>
        <v>0</v>
      </c>
      <c r="E743" s="597">
        <f t="shared" si="702"/>
        <v>0</v>
      </c>
      <c r="F743" s="590" t="str">
        <f>VLOOKUP(A743,STUDENT!$A$2:$BR$105,68,0)</f>
        <v/>
      </c>
      <c r="G743" s="590" t="b">
        <f>VLOOKUP(A743,STUDENT!$A$2:$BR$105,67,0)</f>
        <v>0</v>
      </c>
      <c r="H743" s="590" t="str">
        <f>MARKS!CP101</f>
        <v/>
      </c>
      <c r="I743" s="590" t="str">
        <f>MARKS!CQ101</f>
        <v/>
      </c>
      <c r="J743" s="590" t="str">
        <f>MARKS!CR101</f>
        <v/>
      </c>
      <c r="K743" s="590" t="str">
        <f>MARKS!CS101</f>
        <v/>
      </c>
      <c r="L743" s="590" t="str">
        <f>MARKS!CT101</f>
        <v/>
      </c>
      <c r="M743" s="590" t="str">
        <f>MARKS!CU101</f>
        <v/>
      </c>
      <c r="N743" s="590" t="str">
        <f>MARKS!CV101</f>
        <v/>
      </c>
      <c r="O743" s="590" t="str">
        <f>MARKS!CW101</f>
        <v/>
      </c>
      <c r="Q743" s="598"/>
      <c r="R743" s="598"/>
      <c r="S743" s="598"/>
      <c r="T743" s="598"/>
      <c r="U743" s="598"/>
      <c r="V743" s="598"/>
      <c r="W743" s="595"/>
      <c r="X743" s="595"/>
      <c r="Y743" s="595"/>
      <c r="Z743" s="595"/>
      <c r="AA743" s="595"/>
      <c r="AB743" s="598"/>
      <c r="AC743" s="598"/>
      <c r="AD743" s="598"/>
      <c r="AE743" s="595"/>
    </row>
    <row r="744" spans="1:31">
      <c r="A744" s="596">
        <v>99</v>
      </c>
      <c r="B744" s="596">
        <f t="shared" ref="B744:E744" si="703">B637</f>
        <v>0</v>
      </c>
      <c r="C744" s="596">
        <f t="shared" si="703"/>
        <v>0</v>
      </c>
      <c r="D744" s="597">
        <f t="shared" si="703"/>
        <v>0</v>
      </c>
      <c r="E744" s="597">
        <f t="shared" si="703"/>
        <v>0</v>
      </c>
      <c r="F744" s="590" t="str">
        <f>VLOOKUP(A744,STUDENT!$A$2:$BR$105,68,0)</f>
        <v/>
      </c>
      <c r="G744" s="590" t="b">
        <f>VLOOKUP(A744,STUDENT!$A$2:$BR$105,67,0)</f>
        <v>0</v>
      </c>
      <c r="H744" s="590" t="str">
        <f>MARKS!CP102</f>
        <v/>
      </c>
      <c r="I744" s="590" t="str">
        <f>MARKS!CQ102</f>
        <v/>
      </c>
      <c r="J744" s="590" t="str">
        <f>MARKS!CR102</f>
        <v/>
      </c>
      <c r="K744" s="590" t="str">
        <f>MARKS!CS102</f>
        <v/>
      </c>
      <c r="L744" s="590" t="str">
        <f>MARKS!CT102</f>
        <v/>
      </c>
      <c r="M744" s="590" t="str">
        <f>MARKS!CU102</f>
        <v/>
      </c>
      <c r="N744" s="590" t="str">
        <f>MARKS!CV102</f>
        <v/>
      </c>
      <c r="O744" s="590" t="str">
        <f>MARKS!CW102</f>
        <v/>
      </c>
      <c r="Q744" s="598"/>
      <c r="R744" s="598"/>
      <c r="S744" s="598"/>
      <c r="T744" s="598"/>
      <c r="U744" s="598"/>
      <c r="V744" s="598"/>
      <c r="W744" s="595"/>
      <c r="X744" s="595"/>
      <c r="Y744" s="595"/>
      <c r="Z744" s="595"/>
      <c r="AA744" s="595"/>
      <c r="AB744" s="598"/>
      <c r="AC744" s="598"/>
      <c r="AD744" s="598"/>
      <c r="AE744" s="595"/>
    </row>
    <row r="745" spans="1:31">
      <c r="A745" s="590">
        <v>100</v>
      </c>
      <c r="B745" s="596">
        <f t="shared" ref="B745:E745" si="704">B638</f>
        <v>0</v>
      </c>
      <c r="C745" s="596">
        <f t="shared" si="704"/>
        <v>0</v>
      </c>
      <c r="D745" s="597">
        <f t="shared" si="704"/>
        <v>0</v>
      </c>
      <c r="E745" s="597">
        <f t="shared" si="704"/>
        <v>0</v>
      </c>
      <c r="F745" s="590" t="str">
        <f>VLOOKUP(A745,STUDENT!$A$2:$BR$105,68,0)</f>
        <v/>
      </c>
      <c r="G745" s="590" t="b">
        <f>VLOOKUP(A745,STUDENT!$A$2:$BR$105,67,0)</f>
        <v>0</v>
      </c>
      <c r="H745" s="590" t="str">
        <f>MARKS!CP103</f>
        <v/>
      </c>
      <c r="I745" s="590" t="str">
        <f>MARKS!CQ103</f>
        <v/>
      </c>
      <c r="J745" s="590" t="str">
        <f>MARKS!CR103</f>
        <v/>
      </c>
      <c r="K745" s="590" t="str">
        <f>MARKS!CS103</f>
        <v/>
      </c>
      <c r="L745" s="590" t="str">
        <f>MARKS!CT103</f>
        <v/>
      </c>
      <c r="M745" s="590" t="str">
        <f>MARKS!CU103</f>
        <v/>
      </c>
      <c r="N745" s="590" t="str">
        <f>MARKS!CV103</f>
        <v/>
      </c>
      <c r="O745" s="590" t="str">
        <f>MARKS!CW103</f>
        <v/>
      </c>
      <c r="Q745" s="598"/>
      <c r="R745" s="598"/>
      <c r="S745" s="598"/>
      <c r="T745" s="598"/>
      <c r="U745" s="598"/>
      <c r="V745" s="598"/>
      <c r="W745" s="595"/>
      <c r="X745" s="595"/>
      <c r="Y745" s="595"/>
      <c r="Z745" s="595"/>
      <c r="AA745" s="595"/>
      <c r="AB745" s="598"/>
      <c r="AC745" s="598"/>
      <c r="AD745" s="598"/>
      <c r="AE745" s="595"/>
    </row>
  </sheetData>
  <sheetProtection password="BF6F" sheet="1" formatCells="0" formatColumns="0" formatRows="0" objects="1" scenarios="1"/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topLeftCell="A42" workbookViewId="0">
      <selection activeCell="D56" sqref="D56"/>
    </sheetView>
  </sheetViews>
  <sheetFormatPr defaultColWidth="9.13888888888889" defaultRowHeight="14.4"/>
  <cols>
    <col min="1" max="1" width="16.287037037037" style="568" customWidth="1"/>
    <col min="2" max="2" width="10.8611111111111" style="568" customWidth="1"/>
    <col min="3" max="8" width="10.712962962963" style="568" customWidth="1"/>
    <col min="9" max="9" width="9.13888888888889" style="568"/>
    <col min="10" max="11" width="9.13888888888889" style="569"/>
    <col min="12" max="16384" width="9.13888888888889" style="568"/>
  </cols>
  <sheetData>
    <row r="1" ht="18" spans="1:11">
      <c r="B1" s="570" t="str">
        <f>"Periodic Assessment Report"&amp;" ("&amp;STUDENT!$B$2&amp;"-"&amp;ENTRY!$D$11&amp;")"</f>
        <v>Periodic Assessment Report (III-A-2026-27)</v>
      </c>
      <c r="C1" s="570"/>
      <c r="D1" s="570"/>
      <c r="E1" s="570"/>
      <c r="F1" s="570"/>
      <c r="G1" s="570"/>
      <c r="H1" s="570"/>
      <c r="I1" s="570"/>
    </row>
    <row r="2" ht="21" spans="1:11">
      <c r="A2" s="569"/>
      <c r="B2" s="571" t="s">
        <v>502</v>
      </c>
      <c r="C2" s="571"/>
      <c r="D2" s="571"/>
      <c r="E2" s="571"/>
      <c r="F2" s="571"/>
      <c r="G2" s="571"/>
      <c r="H2" s="571"/>
      <c r="I2" s="571"/>
    </row>
    <row r="3" spans="1:11">
      <c r="A3" s="569"/>
      <c r="B3" s="569"/>
      <c r="C3" s="569"/>
      <c r="D3" s="569"/>
      <c r="E3" s="569"/>
      <c r="F3" s="569"/>
      <c r="G3" s="569"/>
      <c r="H3" s="569"/>
      <c r="I3" s="569"/>
    </row>
    <row r="4" ht="54" spans="1:11">
      <c r="A4" s="572" t="s">
        <v>503</v>
      </c>
      <c r="B4" s="573" t="s">
        <v>504</v>
      </c>
      <c r="C4" s="573" t="s">
        <v>505</v>
      </c>
      <c r="D4" s="573" t="s">
        <v>506</v>
      </c>
      <c r="E4" s="573" t="s">
        <v>507</v>
      </c>
      <c r="F4" s="573" t="s">
        <v>508</v>
      </c>
      <c r="G4" s="573" t="s">
        <v>509</v>
      </c>
      <c r="H4" s="573" t="s">
        <v>510</v>
      </c>
      <c r="I4" s="574" t="s">
        <v>382</v>
      </c>
      <c r="J4" s="575" t="s">
        <v>511</v>
      </c>
      <c r="K4" s="576" t="s">
        <v>382</v>
      </c>
    </row>
    <row r="5" ht="18" spans="1:11">
      <c r="A5" s="572" t="s">
        <v>512</v>
      </c>
      <c r="B5" s="577">
        <f t="array" ref="B5:H5">TRANSPOSE('SUM1'!T15:T21)</f>
        <v>2</v>
      </c>
      <c r="C5" s="577">
        <v>15</v>
      </c>
      <c r="D5" s="577">
        <v>15</v>
      </c>
      <c r="E5" s="577">
        <v>2</v>
      </c>
      <c r="F5" s="577">
        <v>0</v>
      </c>
      <c r="G5" s="577">
        <v>5</v>
      </c>
      <c r="H5" s="577">
        <v>0</v>
      </c>
      <c r="I5" s="578">
        <f>SUM(B5:H5)</f>
        <v>39</v>
      </c>
      <c r="J5" s="576" t="s">
        <v>50</v>
      </c>
      <c r="K5" s="576">
        <f>'SUM1'!T3</f>
        <v>0</v>
      </c>
    </row>
    <row r="6" ht="18" spans="1:11">
      <c r="A6" s="572" t="s">
        <v>513</v>
      </c>
      <c r="B6" s="577">
        <f t="array" ref="B6:H6">TRANSPOSE('SUM1'!T27:T33)</f>
        <v>0</v>
      </c>
      <c r="C6" s="577">
        <v>8</v>
      </c>
      <c r="D6" s="577">
        <v>18</v>
      </c>
      <c r="E6" s="577">
        <v>8</v>
      </c>
      <c r="F6" s="577">
        <v>0</v>
      </c>
      <c r="G6" s="577">
        <v>5</v>
      </c>
      <c r="H6" s="577">
        <v>0</v>
      </c>
      <c r="I6" s="578">
        <f t="shared" ref="I6:I10" si="0">SUM(B6:H6)</f>
        <v>39</v>
      </c>
      <c r="J6" s="576" t="s">
        <v>485</v>
      </c>
      <c r="K6" s="576">
        <f>'SUM1'!T4</f>
        <v>7</v>
      </c>
    </row>
    <row r="7" ht="18" spans="1:11">
      <c r="A7" s="572" t="s">
        <v>514</v>
      </c>
      <c r="B7" s="577">
        <f t="array" ref="B7:H7">TRANSPOSE('SUM1'!T39:T45)</f>
        <v>1</v>
      </c>
      <c r="C7" s="577">
        <v>13</v>
      </c>
      <c r="D7" s="577">
        <v>16</v>
      </c>
      <c r="E7" s="577">
        <v>4</v>
      </c>
      <c r="F7" s="577">
        <v>0</v>
      </c>
      <c r="G7" s="577">
        <v>5</v>
      </c>
      <c r="H7" s="577">
        <v>0</v>
      </c>
      <c r="I7" s="578">
        <f t="shared" si="0"/>
        <v>39</v>
      </c>
      <c r="J7" s="576" t="s">
        <v>486</v>
      </c>
      <c r="K7" s="576">
        <f>'SUM1'!T5</f>
        <v>24</v>
      </c>
    </row>
    <row r="8" ht="18" spans="1:11">
      <c r="A8" s="572" t="s">
        <v>351</v>
      </c>
      <c r="B8" s="577">
        <f t="array" ref="B8:H8">TRANSPOSE('SUM1'!T52:T58)</f>
        <v>0</v>
      </c>
      <c r="C8" s="577">
        <v>15</v>
      </c>
      <c r="D8" s="577">
        <v>18</v>
      </c>
      <c r="E8" s="577">
        <v>1</v>
      </c>
      <c r="F8" s="577">
        <v>0</v>
      </c>
      <c r="G8" s="577">
        <v>5</v>
      </c>
      <c r="H8" s="577">
        <v>0</v>
      </c>
      <c r="I8" s="578">
        <f t="shared" si="0"/>
        <v>39</v>
      </c>
      <c r="J8" s="576" t="s">
        <v>487</v>
      </c>
      <c r="K8" s="576">
        <f>'SUM1'!T6</f>
        <v>3</v>
      </c>
    </row>
    <row r="9" ht="18" spans="1:11">
      <c r="A9" s="572" t="s">
        <v>352</v>
      </c>
      <c r="B9" s="577">
        <f t="array" ref="B9:H9">TRANSPOSE('SUM1'!T65:T71)</f>
        <v>0</v>
      </c>
      <c r="C9" s="577">
        <v>0</v>
      </c>
      <c r="D9" s="577">
        <v>0</v>
      </c>
      <c r="E9" s="577">
        <v>0</v>
      </c>
      <c r="F9" s="577">
        <v>0</v>
      </c>
      <c r="G9" s="577">
        <v>0</v>
      </c>
      <c r="H9" s="577">
        <v>0</v>
      </c>
      <c r="I9" s="578">
        <f t="shared" si="0"/>
        <v>0</v>
      </c>
      <c r="J9" s="576" t="s">
        <v>488</v>
      </c>
      <c r="K9" s="576">
        <f>'SUM1'!T7</f>
        <v>0</v>
      </c>
    </row>
    <row r="10" ht="18" spans="1:11">
      <c r="A10" s="572" t="s">
        <v>515</v>
      </c>
      <c r="B10" s="577">
        <f t="array" ref="B10:H10">TRANSPOSE('SUM1'!T78:T84)</f>
        <v>15</v>
      </c>
      <c r="C10" s="577">
        <v>12</v>
      </c>
      <c r="D10" s="577">
        <v>6</v>
      </c>
      <c r="E10" s="577">
        <v>0</v>
      </c>
      <c r="F10" s="577">
        <v>1</v>
      </c>
      <c r="G10" s="577">
        <v>5</v>
      </c>
      <c r="H10" s="577">
        <v>0</v>
      </c>
      <c r="I10" s="578">
        <f t="shared" si="0"/>
        <v>39</v>
      </c>
      <c r="J10" s="576" t="s">
        <v>101</v>
      </c>
      <c r="K10" s="576">
        <f>'SUM1'!T8</f>
        <v>5</v>
      </c>
    </row>
    <row r="11" ht="18" spans="1:11">
      <c r="A11" s="579"/>
      <c r="B11" s="580"/>
      <c r="C11" s="580"/>
      <c r="D11" s="580"/>
      <c r="E11" s="580"/>
      <c r="F11" s="580"/>
      <c r="G11" s="580"/>
      <c r="H11" s="580"/>
      <c r="I11" s="581"/>
    </row>
    <row r="12" ht="18" spans="1:11">
      <c r="A12" s="582"/>
      <c r="B12" s="570"/>
      <c r="C12" s="570"/>
      <c r="D12" s="570"/>
      <c r="E12" s="570"/>
      <c r="F12" s="570"/>
      <c r="G12" s="570"/>
      <c r="H12" s="570"/>
      <c r="I12" s="570"/>
    </row>
    <row r="13" ht="18" spans="1:11">
      <c r="A13" s="582"/>
      <c r="B13" s="570" t="str">
        <f>"Periodic Assessment Report"&amp;" ("&amp;STUDENT!$B$2&amp;"-"&amp;ENTRY!$D$11&amp;")"</f>
        <v>Periodic Assessment Report (III-A-2026-27)</v>
      </c>
      <c r="C13" s="570"/>
      <c r="D13" s="570"/>
      <c r="E13" s="570"/>
      <c r="F13" s="570"/>
      <c r="G13" s="570"/>
      <c r="H13" s="570"/>
      <c r="I13" s="570"/>
    </row>
    <row r="14" ht="21" spans="1:11">
      <c r="A14" s="569"/>
      <c r="B14" s="571" t="s">
        <v>516</v>
      </c>
      <c r="C14" s="571"/>
      <c r="D14" s="571"/>
      <c r="E14" s="571"/>
      <c r="F14" s="571"/>
      <c r="G14" s="571"/>
      <c r="H14" s="571"/>
      <c r="I14" s="571"/>
    </row>
    <row r="15" spans="1:11">
      <c r="A15" s="569"/>
      <c r="B15" s="569"/>
      <c r="C15" s="569"/>
      <c r="D15" s="569"/>
      <c r="E15" s="569"/>
      <c r="F15" s="569"/>
      <c r="G15" s="569"/>
      <c r="H15" s="569"/>
      <c r="I15" s="569"/>
    </row>
    <row r="16" ht="54" spans="1:11">
      <c r="A16" s="572" t="s">
        <v>503</v>
      </c>
      <c r="B16" s="573" t="s">
        <v>504</v>
      </c>
      <c r="C16" s="573" t="s">
        <v>505</v>
      </c>
      <c r="D16" s="573" t="s">
        <v>506</v>
      </c>
      <c r="E16" s="573" t="s">
        <v>507</v>
      </c>
      <c r="F16" s="573" t="s">
        <v>508</v>
      </c>
      <c r="G16" s="573" t="s">
        <v>509</v>
      </c>
      <c r="H16" s="573" t="s">
        <v>510</v>
      </c>
      <c r="I16" s="583" t="s">
        <v>382</v>
      </c>
      <c r="J16" s="575" t="s">
        <v>511</v>
      </c>
      <c r="K16" s="576" t="s">
        <v>382</v>
      </c>
    </row>
    <row r="17" ht="18" spans="1:11">
      <c r="A17" s="572" t="s">
        <v>512</v>
      </c>
      <c r="B17" s="577">
        <f t="array" ref="B17:H17">TRANSPOSE('SUM1'!T122:T128)</f>
        <v>0</v>
      </c>
      <c r="C17" s="577">
        <v>0</v>
      </c>
      <c r="D17" s="577">
        <v>0</v>
      </c>
      <c r="E17" s="577">
        <v>0</v>
      </c>
      <c r="F17" s="577">
        <v>0</v>
      </c>
      <c r="G17" s="577">
        <v>0</v>
      </c>
      <c r="H17" s="577">
        <v>0</v>
      </c>
      <c r="I17" s="584">
        <f>SUM(B17:H17)</f>
        <v>0</v>
      </c>
      <c r="J17" s="576" t="s">
        <v>50</v>
      </c>
      <c r="K17" s="576">
        <f>'SUM1'!T110</f>
        <v>0</v>
      </c>
    </row>
    <row r="18" ht="18" spans="1:11">
      <c r="A18" s="572" t="s">
        <v>513</v>
      </c>
      <c r="B18" s="577">
        <f t="array" ref="B18:H18">TRANSPOSE('SUM1'!T134:T140)</f>
        <v>0</v>
      </c>
      <c r="C18" s="577">
        <v>0</v>
      </c>
      <c r="D18" s="577">
        <v>0</v>
      </c>
      <c r="E18" s="577">
        <v>0</v>
      </c>
      <c r="F18" s="577">
        <v>0</v>
      </c>
      <c r="G18" s="577">
        <v>0</v>
      </c>
      <c r="H18" s="577">
        <v>0</v>
      </c>
      <c r="I18" s="584">
        <f t="shared" ref="I18:I22" si="1">SUM(B18:H18)</f>
        <v>0</v>
      </c>
      <c r="J18" s="576" t="s">
        <v>485</v>
      </c>
      <c r="K18" s="576">
        <f>'SUM1'!T111</f>
        <v>0</v>
      </c>
    </row>
    <row r="19" ht="18" spans="1:11">
      <c r="A19" s="572" t="s">
        <v>514</v>
      </c>
      <c r="B19" s="577">
        <f t="array" ref="B19:H19">TRANSPOSE('SUM1'!T146:T152)</f>
        <v>0</v>
      </c>
      <c r="C19" s="577">
        <v>0</v>
      </c>
      <c r="D19" s="577">
        <v>0</v>
      </c>
      <c r="E19" s="577">
        <v>0</v>
      </c>
      <c r="F19" s="577">
        <v>0</v>
      </c>
      <c r="G19" s="577">
        <v>0</v>
      </c>
      <c r="H19" s="577">
        <v>0</v>
      </c>
      <c r="I19" s="584">
        <f t="shared" si="1"/>
        <v>0</v>
      </c>
      <c r="J19" s="576" t="s">
        <v>486</v>
      </c>
      <c r="K19" s="576">
        <f>'SUM1'!T112</f>
        <v>0</v>
      </c>
    </row>
    <row r="20" ht="18" spans="1:11">
      <c r="A20" s="572" t="s">
        <v>351</v>
      </c>
      <c r="B20" s="577">
        <f t="array" ref="B20:H20">TRANSPOSE('SUM1'!T159:T165)</f>
        <v>0</v>
      </c>
      <c r="C20" s="577">
        <v>0</v>
      </c>
      <c r="D20" s="577">
        <v>0</v>
      </c>
      <c r="E20" s="577">
        <v>0</v>
      </c>
      <c r="F20" s="577">
        <v>0</v>
      </c>
      <c r="G20" s="577">
        <v>0</v>
      </c>
      <c r="H20" s="577">
        <v>0</v>
      </c>
      <c r="I20" s="584">
        <f t="shared" si="1"/>
        <v>0</v>
      </c>
      <c r="J20" s="576" t="s">
        <v>487</v>
      </c>
      <c r="K20" s="576">
        <f>'SUM1'!T113</f>
        <v>0</v>
      </c>
    </row>
    <row r="21" ht="18" spans="1:11">
      <c r="A21" s="572" t="s">
        <v>352</v>
      </c>
      <c r="B21" s="577">
        <f t="array" ref="B21:H21">TRANSPOSE('SUM1'!T172:T178)</f>
        <v>0</v>
      </c>
      <c r="C21" s="577">
        <v>0</v>
      </c>
      <c r="D21" s="577">
        <v>0</v>
      </c>
      <c r="E21" s="577">
        <v>0</v>
      </c>
      <c r="F21" s="577">
        <v>0</v>
      </c>
      <c r="G21" s="577">
        <v>0</v>
      </c>
      <c r="H21" s="577">
        <v>0</v>
      </c>
      <c r="I21" s="584">
        <f t="shared" si="1"/>
        <v>0</v>
      </c>
      <c r="J21" s="576" t="s">
        <v>488</v>
      </c>
      <c r="K21" s="576">
        <f>'SUM1'!T114</f>
        <v>0</v>
      </c>
    </row>
    <row r="22" ht="18" spans="1:11">
      <c r="A22" s="572" t="s">
        <v>515</v>
      </c>
      <c r="B22" s="577">
        <f t="array" ref="B22:H22">TRANSPOSE('SUM1'!T185:T191)</f>
        <v>0</v>
      </c>
      <c r="C22" s="577">
        <v>0</v>
      </c>
      <c r="D22" s="577">
        <v>0</v>
      </c>
      <c r="E22" s="577">
        <v>0</v>
      </c>
      <c r="F22" s="577">
        <v>0</v>
      </c>
      <c r="G22" s="577">
        <v>0</v>
      </c>
      <c r="H22" s="577">
        <v>0</v>
      </c>
      <c r="I22" s="584">
        <f t="shared" si="1"/>
        <v>0</v>
      </c>
      <c r="J22" s="576" t="s">
        <v>101</v>
      </c>
      <c r="K22" s="576">
        <f>'SUM1'!T115</f>
        <v>39</v>
      </c>
    </row>
    <row r="23" ht="18" spans="1:11">
      <c r="A23" s="582"/>
      <c r="B23" s="570"/>
      <c r="C23" s="570"/>
      <c r="D23" s="570"/>
      <c r="E23" s="570"/>
      <c r="F23" s="570"/>
      <c r="G23" s="570"/>
      <c r="H23" s="570"/>
      <c r="I23" s="570"/>
    </row>
    <row r="24" ht="18" spans="1:11">
      <c r="A24" s="582"/>
      <c r="B24" s="570"/>
      <c r="C24" s="570"/>
      <c r="D24" s="570"/>
      <c r="E24" s="570"/>
      <c r="F24" s="570"/>
      <c r="G24" s="570"/>
      <c r="H24" s="570"/>
      <c r="I24" s="570"/>
    </row>
    <row r="25" ht="18" spans="1:11">
      <c r="A25" s="582"/>
      <c r="B25" s="570" t="str">
        <f>"Periodic Assessment Report"&amp;" ("&amp;STUDENT!$B$2&amp;"-"&amp;ENTRY!$D$11&amp;")"</f>
        <v>Periodic Assessment Report (III-A-2026-27)</v>
      </c>
      <c r="C25" s="570"/>
      <c r="D25" s="570"/>
      <c r="E25" s="570"/>
      <c r="F25" s="570"/>
      <c r="G25" s="570"/>
      <c r="H25" s="570"/>
      <c r="I25" s="570"/>
    </row>
    <row r="26" ht="21" spans="1:11">
      <c r="A26" s="569"/>
      <c r="B26" s="571" t="s">
        <v>517</v>
      </c>
      <c r="C26" s="571"/>
      <c r="D26" s="571"/>
      <c r="E26" s="571"/>
      <c r="F26" s="571"/>
      <c r="G26" s="571"/>
      <c r="H26" s="571"/>
      <c r="I26" s="571"/>
    </row>
    <row r="27" spans="1:11">
      <c r="A27" s="569"/>
      <c r="B27" s="569"/>
      <c r="C27" s="569"/>
      <c r="D27" s="569"/>
      <c r="E27" s="569"/>
      <c r="F27" s="569"/>
      <c r="G27" s="569"/>
      <c r="H27" s="569"/>
      <c r="I27" s="569"/>
    </row>
    <row r="28" ht="54" spans="1:11">
      <c r="A28" s="572" t="s">
        <v>503</v>
      </c>
      <c r="B28" s="573" t="s">
        <v>504</v>
      </c>
      <c r="C28" s="573" t="s">
        <v>505</v>
      </c>
      <c r="D28" s="573" t="s">
        <v>506</v>
      </c>
      <c r="E28" s="573" t="s">
        <v>507</v>
      </c>
      <c r="F28" s="573" t="s">
        <v>508</v>
      </c>
      <c r="G28" s="573" t="s">
        <v>509</v>
      </c>
      <c r="H28" s="573" t="s">
        <v>510</v>
      </c>
      <c r="I28" s="583" t="s">
        <v>382</v>
      </c>
      <c r="J28" s="575" t="s">
        <v>511</v>
      </c>
      <c r="K28" s="576" t="s">
        <v>382</v>
      </c>
    </row>
    <row r="29" ht="18" spans="1:11">
      <c r="A29" s="585" t="s">
        <v>512</v>
      </c>
      <c r="B29" s="577">
        <f t="array" ref="B29:H29">TRANSPOSE('SUM1'!T229:T235)</f>
        <v>0</v>
      </c>
      <c r="C29" s="577">
        <v>0</v>
      </c>
      <c r="D29" s="577">
        <v>11</v>
      </c>
      <c r="E29" s="577">
        <v>10</v>
      </c>
      <c r="F29" s="577">
        <v>18</v>
      </c>
      <c r="G29" s="577">
        <v>0</v>
      </c>
      <c r="H29" s="577">
        <v>0</v>
      </c>
      <c r="I29" s="584">
        <f>SUM(B29:H29)</f>
        <v>39</v>
      </c>
      <c r="J29" s="576" t="s">
        <v>50</v>
      </c>
      <c r="K29" s="576">
        <f>'SUM1'!T217</f>
        <v>0</v>
      </c>
    </row>
    <row r="30" ht="18" spans="1:11">
      <c r="A30" s="585" t="s">
        <v>513</v>
      </c>
      <c r="B30" s="577">
        <f t="array" ref="B30:H30">TRANSPOSE('SUM1'!T241:T247)</f>
        <v>0</v>
      </c>
      <c r="C30" s="577">
        <v>0</v>
      </c>
      <c r="D30" s="577">
        <v>9</v>
      </c>
      <c r="E30" s="577">
        <v>13</v>
      </c>
      <c r="F30" s="577">
        <v>17</v>
      </c>
      <c r="G30" s="577">
        <v>0</v>
      </c>
      <c r="H30" s="577">
        <v>0</v>
      </c>
      <c r="I30" s="584">
        <f t="shared" ref="I30:I34" si="2">SUM(B30:H30)</f>
        <v>39</v>
      </c>
      <c r="J30" s="576" t="s">
        <v>485</v>
      </c>
      <c r="K30" s="576">
        <f>'SUM1'!T218</f>
        <v>0</v>
      </c>
    </row>
    <row r="31" ht="18" spans="1:11">
      <c r="A31" s="585" t="s">
        <v>514</v>
      </c>
      <c r="B31" s="577">
        <f t="array" ref="B31:H31">TRANSPOSE('SUM1'!T253:T259)</f>
        <v>0</v>
      </c>
      <c r="C31" s="577">
        <v>0</v>
      </c>
      <c r="D31" s="577">
        <v>12</v>
      </c>
      <c r="E31" s="577">
        <v>14</v>
      </c>
      <c r="F31" s="577">
        <v>13</v>
      </c>
      <c r="G31" s="577">
        <v>0</v>
      </c>
      <c r="H31" s="577">
        <v>0</v>
      </c>
      <c r="I31" s="584">
        <f t="shared" si="2"/>
        <v>39</v>
      </c>
      <c r="J31" s="576" t="s">
        <v>486</v>
      </c>
      <c r="K31" s="576">
        <f>'SUM1'!T219</f>
        <v>13</v>
      </c>
    </row>
    <row r="32" ht="18" spans="1:11">
      <c r="A32" s="585" t="s">
        <v>351</v>
      </c>
      <c r="B32" s="577">
        <f t="array" ref="B32:H32">TRANSPOSE('SUM1'!T266:T272)</f>
        <v>0</v>
      </c>
      <c r="C32" s="577">
        <v>0</v>
      </c>
      <c r="D32" s="577">
        <v>14</v>
      </c>
      <c r="E32" s="577">
        <v>11</v>
      </c>
      <c r="F32" s="577">
        <v>14</v>
      </c>
      <c r="G32" s="577">
        <v>0</v>
      </c>
      <c r="H32" s="577">
        <v>0</v>
      </c>
      <c r="I32" s="584">
        <f t="shared" si="2"/>
        <v>39</v>
      </c>
      <c r="J32" s="576" t="s">
        <v>487</v>
      </c>
      <c r="K32" s="576">
        <f>'SUM1'!T220</f>
        <v>10</v>
      </c>
    </row>
    <row r="33" ht="18" spans="1:11">
      <c r="A33" s="585" t="s">
        <v>352</v>
      </c>
      <c r="B33" s="577">
        <f t="array" ref="B33:H33">TRANSPOSE('SUM1'!T279:T285)</f>
        <v>0</v>
      </c>
      <c r="C33" s="577">
        <v>0</v>
      </c>
      <c r="D33" s="577">
        <v>10</v>
      </c>
      <c r="E33" s="577">
        <v>16</v>
      </c>
      <c r="F33" s="577">
        <v>13</v>
      </c>
      <c r="G33" s="577">
        <v>0</v>
      </c>
      <c r="H33" s="577">
        <v>0</v>
      </c>
      <c r="I33" s="584">
        <f t="shared" si="2"/>
        <v>39</v>
      </c>
      <c r="J33" s="576" t="s">
        <v>488</v>
      </c>
      <c r="K33" s="576">
        <f>'SUM1'!T221</f>
        <v>16</v>
      </c>
    </row>
    <row r="34" ht="18" spans="1:11">
      <c r="A34" s="585" t="s">
        <v>515</v>
      </c>
      <c r="B34" s="577">
        <f t="array" ref="B34:H34">TRANSPOSE('SUM1'!T292:T298)</f>
        <v>0</v>
      </c>
      <c r="C34" s="577">
        <v>0</v>
      </c>
      <c r="D34" s="577">
        <v>25</v>
      </c>
      <c r="E34" s="577">
        <v>11</v>
      </c>
      <c r="F34" s="577">
        <v>3</v>
      </c>
      <c r="G34" s="577">
        <v>0</v>
      </c>
      <c r="H34" s="577">
        <v>0</v>
      </c>
      <c r="I34" s="584">
        <f t="shared" si="2"/>
        <v>39</v>
      </c>
      <c r="J34" s="576" t="s">
        <v>101</v>
      </c>
      <c r="K34" s="576">
        <f>'SUM1'!T222</f>
        <v>0</v>
      </c>
    </row>
    <row r="37" ht="18" spans="1:11">
      <c r="B37" s="570" t="str">
        <f>"Periodic Assessment Report"&amp;" ("&amp;STUDENT!$B$2&amp;"-"&amp;ENTRY!$D$11&amp;")"</f>
        <v>Periodic Assessment Report (III-A-2026-27)</v>
      </c>
      <c r="C37" s="570"/>
      <c r="D37" s="570"/>
      <c r="E37" s="570"/>
      <c r="F37" s="570"/>
      <c r="G37" s="570"/>
      <c r="H37" s="570"/>
      <c r="I37" s="570"/>
    </row>
    <row r="38" ht="21" spans="1:11">
      <c r="A38" s="569"/>
      <c r="B38" s="571" t="s">
        <v>518</v>
      </c>
      <c r="C38" s="571"/>
      <c r="D38" s="571"/>
      <c r="E38" s="571"/>
      <c r="F38" s="571"/>
      <c r="G38" s="571"/>
      <c r="H38" s="571"/>
      <c r="I38" s="571"/>
    </row>
    <row r="39" spans="1:11">
      <c r="A39" s="569"/>
      <c r="B39" s="569"/>
      <c r="C39" s="569"/>
      <c r="D39" s="569"/>
      <c r="E39" s="569"/>
      <c r="F39" s="569"/>
      <c r="G39" s="569"/>
      <c r="H39" s="569"/>
      <c r="I39" s="569"/>
    </row>
    <row r="40" ht="54" spans="1:11">
      <c r="A40" s="572" t="s">
        <v>503</v>
      </c>
      <c r="B40" s="573" t="s">
        <v>504</v>
      </c>
      <c r="C40" s="573" t="s">
        <v>505</v>
      </c>
      <c r="D40" s="573" t="s">
        <v>506</v>
      </c>
      <c r="E40" s="573" t="s">
        <v>507</v>
      </c>
      <c r="F40" s="573" t="s">
        <v>508</v>
      </c>
      <c r="G40" s="573" t="s">
        <v>509</v>
      </c>
      <c r="H40" s="573" t="s">
        <v>510</v>
      </c>
      <c r="I40" s="583" t="s">
        <v>382</v>
      </c>
      <c r="J40" s="575" t="s">
        <v>511</v>
      </c>
      <c r="K40" s="576" t="s">
        <v>382</v>
      </c>
    </row>
    <row r="41" ht="18" spans="1:11">
      <c r="A41" s="572" t="s">
        <v>512</v>
      </c>
      <c r="B41" s="577">
        <f t="array" ref="B41:H41">TRANSPOSE('SUM1'!T336:T342)</f>
        <v>0</v>
      </c>
      <c r="C41" s="577">
        <v>0</v>
      </c>
      <c r="D41" s="577">
        <v>0</v>
      </c>
      <c r="E41" s="577">
        <v>0</v>
      </c>
      <c r="F41" s="577">
        <v>0</v>
      </c>
      <c r="G41" s="577">
        <v>0</v>
      </c>
      <c r="H41" s="577">
        <v>0</v>
      </c>
      <c r="I41" s="584">
        <f>SUM(B41:H41)</f>
        <v>0</v>
      </c>
      <c r="J41" s="576" t="s">
        <v>50</v>
      </c>
      <c r="K41" s="576">
        <f>'SUM1'!T324</f>
        <v>0</v>
      </c>
    </row>
    <row r="42" ht="18" spans="1:11">
      <c r="A42" s="572" t="s">
        <v>513</v>
      </c>
      <c r="B42" s="577">
        <f t="array" ref="B42:H42">TRANSPOSE('SUM1'!T348:T354)</f>
        <v>0</v>
      </c>
      <c r="C42" s="577">
        <v>0</v>
      </c>
      <c r="D42" s="577">
        <v>0</v>
      </c>
      <c r="E42" s="577">
        <v>0</v>
      </c>
      <c r="F42" s="577">
        <v>0</v>
      </c>
      <c r="G42" s="577">
        <v>0</v>
      </c>
      <c r="H42" s="577">
        <v>0</v>
      </c>
      <c r="I42" s="584">
        <f t="shared" ref="I42:I46" si="3">SUM(B42:H42)</f>
        <v>0</v>
      </c>
      <c r="J42" s="576" t="s">
        <v>485</v>
      </c>
      <c r="K42" s="576">
        <f>'SUM1'!T325</f>
        <v>0</v>
      </c>
    </row>
    <row r="43" ht="18" spans="1:11">
      <c r="A43" s="572" t="s">
        <v>514</v>
      </c>
      <c r="B43" s="577">
        <f t="array" ref="B43:H43">TRANSPOSE('SUM1'!T360:T366)</f>
        <v>0</v>
      </c>
      <c r="C43" s="577">
        <v>0</v>
      </c>
      <c r="D43" s="577">
        <v>0</v>
      </c>
      <c r="E43" s="577">
        <v>0</v>
      </c>
      <c r="F43" s="577">
        <v>0</v>
      </c>
      <c r="G43" s="577">
        <v>0</v>
      </c>
      <c r="H43" s="577">
        <v>0</v>
      </c>
      <c r="I43" s="584">
        <f t="shared" si="3"/>
        <v>0</v>
      </c>
      <c r="J43" s="576" t="s">
        <v>486</v>
      </c>
      <c r="K43" s="576">
        <f>'SUM1'!T326</f>
        <v>0</v>
      </c>
    </row>
    <row r="44" ht="18" spans="1:11">
      <c r="A44" s="572" t="s">
        <v>351</v>
      </c>
      <c r="B44" s="577">
        <f t="array" ref="B44:H44">TRANSPOSE('SUM1'!T373:T379)</f>
        <v>0</v>
      </c>
      <c r="C44" s="577">
        <v>0</v>
      </c>
      <c r="D44" s="577">
        <v>0</v>
      </c>
      <c r="E44" s="577">
        <v>0</v>
      </c>
      <c r="F44" s="577">
        <v>0</v>
      </c>
      <c r="G44" s="577">
        <v>0</v>
      </c>
      <c r="H44" s="577">
        <v>0</v>
      </c>
      <c r="I44" s="584">
        <f t="shared" si="3"/>
        <v>0</v>
      </c>
      <c r="J44" s="576" t="s">
        <v>487</v>
      </c>
      <c r="K44" s="576">
        <f>'SUM1'!T327</f>
        <v>0</v>
      </c>
    </row>
    <row r="45" ht="18" spans="1:11">
      <c r="A45" s="572" t="s">
        <v>352</v>
      </c>
      <c r="B45" s="577">
        <f t="array" ref="B45:H45">TRANSPOSE('SUM1'!T386:T392)</f>
        <v>0</v>
      </c>
      <c r="C45" s="577">
        <v>0</v>
      </c>
      <c r="D45" s="577">
        <v>0</v>
      </c>
      <c r="E45" s="577">
        <v>0</v>
      </c>
      <c r="F45" s="577">
        <v>0</v>
      </c>
      <c r="G45" s="577">
        <v>0</v>
      </c>
      <c r="H45" s="577">
        <v>0</v>
      </c>
      <c r="I45" s="584">
        <f t="shared" si="3"/>
        <v>0</v>
      </c>
      <c r="J45" s="576" t="s">
        <v>488</v>
      </c>
      <c r="K45" s="576">
        <f>'SUM1'!T328</f>
        <v>0</v>
      </c>
    </row>
    <row r="46" ht="18" spans="1:11">
      <c r="A46" s="572" t="s">
        <v>515</v>
      </c>
      <c r="B46" s="577">
        <f t="array" ref="B46:H46">TRANSPOSE('SUM1'!T399:T405)</f>
        <v>0</v>
      </c>
      <c r="C46" s="577">
        <v>0</v>
      </c>
      <c r="D46" s="577">
        <v>0</v>
      </c>
      <c r="E46" s="577">
        <v>0</v>
      </c>
      <c r="F46" s="577">
        <v>0</v>
      </c>
      <c r="G46" s="577">
        <v>0</v>
      </c>
      <c r="H46" s="577">
        <v>0</v>
      </c>
      <c r="I46" s="584">
        <f t="shared" si="3"/>
        <v>0</v>
      </c>
      <c r="J46" s="576" t="s">
        <v>101</v>
      </c>
      <c r="K46" s="576">
        <f>'SUM1'!T329</f>
        <v>39</v>
      </c>
    </row>
    <row r="47" ht="18" spans="1:11">
      <c r="A47" s="579"/>
      <c r="B47" s="580"/>
      <c r="C47" s="580"/>
      <c r="D47" s="580"/>
      <c r="E47" s="580"/>
      <c r="F47" s="580"/>
      <c r="G47" s="580"/>
      <c r="H47" s="580"/>
      <c r="I47" s="581"/>
    </row>
    <row r="48" ht="18" spans="1:11">
      <c r="A48" s="582"/>
      <c r="B48" s="570"/>
      <c r="C48" s="570"/>
      <c r="D48" s="570"/>
      <c r="E48" s="570"/>
      <c r="F48" s="570"/>
      <c r="G48" s="570"/>
      <c r="H48" s="570"/>
      <c r="I48" s="570"/>
    </row>
    <row r="49" ht="18" spans="1:11">
      <c r="A49" s="582"/>
      <c r="B49" s="570" t="str">
        <f>"Periodic Assessment Report"&amp;" ("&amp;STUDENT!$B$2&amp;"-"&amp;ENTRY!$D$11&amp;")"</f>
        <v>Periodic Assessment Report (III-A-2026-27)</v>
      </c>
      <c r="C49" s="570"/>
      <c r="D49" s="570"/>
      <c r="E49" s="570"/>
      <c r="F49" s="570"/>
      <c r="G49" s="570"/>
      <c r="H49" s="570"/>
      <c r="I49" s="570"/>
    </row>
    <row r="50" ht="21" spans="1:11">
      <c r="A50" s="569"/>
      <c r="B50" s="571" t="s">
        <v>519</v>
      </c>
      <c r="C50" s="571"/>
      <c r="D50" s="571"/>
      <c r="E50" s="571"/>
      <c r="F50" s="571"/>
      <c r="G50" s="571"/>
      <c r="H50" s="571"/>
      <c r="I50" s="571"/>
    </row>
    <row r="51" spans="1:11">
      <c r="A51" s="569"/>
      <c r="B51" s="569"/>
      <c r="C51" s="569"/>
      <c r="D51" s="569"/>
      <c r="E51" s="569"/>
      <c r="F51" s="569"/>
      <c r="G51" s="569"/>
      <c r="H51" s="569"/>
      <c r="I51" s="569"/>
    </row>
    <row r="52" ht="54" spans="1:11">
      <c r="A52" s="572" t="s">
        <v>503</v>
      </c>
      <c r="B52" s="573" t="s">
        <v>504</v>
      </c>
      <c r="C52" s="573" t="s">
        <v>505</v>
      </c>
      <c r="D52" s="573" t="s">
        <v>506</v>
      </c>
      <c r="E52" s="573" t="s">
        <v>507</v>
      </c>
      <c r="F52" s="573" t="s">
        <v>508</v>
      </c>
      <c r="G52" s="573" t="s">
        <v>509</v>
      </c>
      <c r="H52" s="573" t="s">
        <v>510</v>
      </c>
      <c r="I52" s="583" t="s">
        <v>382</v>
      </c>
      <c r="J52" s="575" t="s">
        <v>511</v>
      </c>
      <c r="K52" s="576" t="s">
        <v>382</v>
      </c>
    </row>
    <row r="53" ht="18" spans="1:11">
      <c r="A53" s="572" t="s">
        <v>512</v>
      </c>
      <c r="B53" s="586">
        <f t="array" ref="B53:H53">TRANSPOSE('SUM1'!T443:T449)</f>
        <v>0</v>
      </c>
      <c r="C53" s="586">
        <v>0</v>
      </c>
      <c r="D53" s="586">
        <v>0</v>
      </c>
      <c r="E53" s="586">
        <v>0</v>
      </c>
      <c r="F53" s="586">
        <v>0</v>
      </c>
      <c r="G53" s="586">
        <v>0</v>
      </c>
      <c r="H53" s="586">
        <v>0</v>
      </c>
      <c r="I53" s="584">
        <f>SUM(B53:H53)</f>
        <v>0</v>
      </c>
      <c r="J53" s="576" t="s">
        <v>50</v>
      </c>
      <c r="K53" s="576">
        <f>'SUM1'!T431</f>
        <v>0</v>
      </c>
    </row>
    <row r="54" ht="18" spans="1:11">
      <c r="A54" s="572" t="s">
        <v>513</v>
      </c>
      <c r="B54" s="586">
        <f t="array" ref="B54:H54">TRANSPOSE('SUM1'!T455:T461)</f>
        <v>0</v>
      </c>
      <c r="C54" s="586">
        <v>0</v>
      </c>
      <c r="D54" s="586">
        <v>0</v>
      </c>
      <c r="E54" s="586">
        <v>0</v>
      </c>
      <c r="F54" s="586">
        <v>0</v>
      </c>
      <c r="G54" s="586">
        <v>0</v>
      </c>
      <c r="H54" s="586">
        <v>0</v>
      </c>
      <c r="I54" s="584">
        <f t="shared" ref="I54:I58" si="4">SUM(B54:H54)</f>
        <v>0</v>
      </c>
      <c r="J54" s="576" t="s">
        <v>485</v>
      </c>
      <c r="K54" s="576">
        <f>'SUM1'!T432</f>
        <v>0</v>
      </c>
    </row>
    <row r="55" ht="18" spans="1:11">
      <c r="A55" s="572" t="s">
        <v>514</v>
      </c>
      <c r="B55" s="586">
        <f t="array" ref="B55:H55">TRANSPOSE('SUM1'!T467:T473)</f>
        <v>0</v>
      </c>
      <c r="C55" s="586">
        <v>0</v>
      </c>
      <c r="D55" s="586">
        <v>0</v>
      </c>
      <c r="E55" s="586">
        <v>0</v>
      </c>
      <c r="F55" s="586">
        <v>0</v>
      </c>
      <c r="G55" s="586">
        <v>0</v>
      </c>
      <c r="H55" s="586">
        <v>0</v>
      </c>
      <c r="I55" s="584">
        <f t="shared" si="4"/>
        <v>0</v>
      </c>
      <c r="J55" s="576" t="s">
        <v>486</v>
      </c>
      <c r="K55" s="576">
        <f>'SUM1'!T433</f>
        <v>0</v>
      </c>
    </row>
    <row r="56" ht="18" spans="1:11">
      <c r="A56" s="572" t="s">
        <v>351</v>
      </c>
      <c r="B56" s="586">
        <f t="array" ref="B56:H56">TRANSPOSE('SUM1'!T480:T486)</f>
        <v>0</v>
      </c>
      <c r="C56" s="586">
        <v>0</v>
      </c>
      <c r="D56" s="586">
        <v>0</v>
      </c>
      <c r="E56" s="586">
        <v>0</v>
      </c>
      <c r="F56" s="586">
        <v>0</v>
      </c>
      <c r="G56" s="586">
        <v>0</v>
      </c>
      <c r="H56" s="586">
        <v>0</v>
      </c>
      <c r="I56" s="584">
        <f t="shared" si="4"/>
        <v>0</v>
      </c>
      <c r="J56" s="576" t="s">
        <v>487</v>
      </c>
      <c r="K56" s="576">
        <f>'SUM1'!T434</f>
        <v>0</v>
      </c>
    </row>
    <row r="57" ht="18" spans="1:11">
      <c r="A57" s="572" t="s">
        <v>352</v>
      </c>
      <c r="B57" s="586">
        <f t="array" ref="B57:H57">TRANSPOSE('SUM1'!T493:T499)</f>
        <v>0</v>
      </c>
      <c r="C57" s="586">
        <v>0</v>
      </c>
      <c r="D57" s="586">
        <v>0</v>
      </c>
      <c r="E57" s="586">
        <v>0</v>
      </c>
      <c r="F57" s="586">
        <v>0</v>
      </c>
      <c r="G57" s="586">
        <v>0</v>
      </c>
      <c r="H57" s="586">
        <v>0</v>
      </c>
      <c r="I57" s="584">
        <f t="shared" si="4"/>
        <v>0</v>
      </c>
      <c r="J57" s="576" t="s">
        <v>488</v>
      </c>
      <c r="K57" s="576">
        <f>'SUM1'!T435</f>
        <v>0</v>
      </c>
    </row>
    <row r="58" ht="18" spans="1:11">
      <c r="A58" s="572" t="s">
        <v>515</v>
      </c>
      <c r="B58" s="586">
        <f t="array" ref="B58:H58">TRANSPOSE('SUM1'!T506:T512)</f>
        <v>0</v>
      </c>
      <c r="C58" s="586">
        <v>0</v>
      </c>
      <c r="D58" s="586">
        <v>0</v>
      </c>
      <c r="E58" s="586">
        <v>0</v>
      </c>
      <c r="F58" s="586">
        <v>0</v>
      </c>
      <c r="G58" s="586">
        <v>0</v>
      </c>
      <c r="H58" s="586">
        <v>0</v>
      </c>
      <c r="I58" s="584">
        <f t="shared" si="4"/>
        <v>0</v>
      </c>
      <c r="J58" s="576" t="s">
        <v>101</v>
      </c>
      <c r="K58" s="576">
        <f>'SUM1'!T436</f>
        <v>39</v>
      </c>
    </row>
    <row r="59" ht="18" spans="1:11">
      <c r="A59" s="582"/>
      <c r="B59" s="570"/>
      <c r="C59" s="570"/>
      <c r="D59" s="570"/>
      <c r="E59" s="570"/>
      <c r="F59" s="570"/>
      <c r="G59" s="570"/>
      <c r="H59" s="570"/>
      <c r="I59" s="570"/>
    </row>
    <row r="60" ht="18" spans="1:11">
      <c r="A60" s="582"/>
      <c r="B60" s="570"/>
      <c r="C60" s="570"/>
      <c r="D60" s="570"/>
      <c r="E60" s="570"/>
      <c r="F60" s="570"/>
      <c r="G60" s="570"/>
      <c r="H60" s="570"/>
      <c r="I60" s="570"/>
    </row>
    <row r="61" ht="18" spans="1:11">
      <c r="A61" s="582"/>
      <c r="B61" s="570" t="str">
        <f>"Periodic Assessment Report"&amp;" ("&amp;STUDENT!$B$2&amp;"-"&amp;ENTRY!$D$11&amp;")"</f>
        <v>Periodic Assessment Report (III-A-2026-27)</v>
      </c>
      <c r="C61" s="570"/>
      <c r="D61" s="570"/>
      <c r="E61" s="570"/>
      <c r="F61" s="570"/>
      <c r="G61" s="570"/>
      <c r="H61" s="570"/>
      <c r="I61" s="570"/>
    </row>
    <row r="62" ht="21" spans="1:11">
      <c r="A62" s="569"/>
      <c r="B62" s="571" t="s">
        <v>520</v>
      </c>
      <c r="C62" s="571"/>
      <c r="D62" s="571"/>
      <c r="E62" s="571"/>
      <c r="F62" s="571"/>
      <c r="G62" s="571"/>
      <c r="H62" s="571"/>
      <c r="I62" s="571"/>
    </row>
    <row r="63" spans="1:11">
      <c r="A63" s="569"/>
      <c r="B63" s="569"/>
      <c r="C63" s="569"/>
      <c r="D63" s="569"/>
      <c r="E63" s="569"/>
      <c r="F63" s="569"/>
      <c r="G63" s="569"/>
      <c r="H63" s="569"/>
      <c r="I63" s="569"/>
    </row>
    <row r="64" ht="54" spans="1:11">
      <c r="A64" s="572" t="s">
        <v>503</v>
      </c>
      <c r="B64" s="573" t="s">
        <v>504</v>
      </c>
      <c r="C64" s="573" t="s">
        <v>505</v>
      </c>
      <c r="D64" s="573" t="s">
        <v>506</v>
      </c>
      <c r="E64" s="573" t="s">
        <v>507</v>
      </c>
      <c r="F64" s="573" t="s">
        <v>508</v>
      </c>
      <c r="G64" s="573" t="s">
        <v>509</v>
      </c>
      <c r="H64" s="573" t="s">
        <v>510</v>
      </c>
      <c r="I64" s="583" t="s">
        <v>382</v>
      </c>
      <c r="J64" s="575" t="s">
        <v>511</v>
      </c>
      <c r="K64" s="576" t="s">
        <v>382</v>
      </c>
    </row>
    <row r="65" ht="18" spans="1:11">
      <c r="A65" s="585" t="s">
        <v>512</v>
      </c>
      <c r="B65" s="586">
        <f t="array" ref="B65:H65">TRANSPOSE('SUM1'!T550:T556)</f>
        <v>0</v>
      </c>
      <c r="C65" s="586">
        <v>0</v>
      </c>
      <c r="D65" s="586">
        <v>19</v>
      </c>
      <c r="E65" s="586">
        <v>11</v>
      </c>
      <c r="F65" s="586">
        <v>9</v>
      </c>
      <c r="G65" s="586">
        <v>0</v>
      </c>
      <c r="H65" s="586">
        <v>0</v>
      </c>
      <c r="I65" s="584">
        <f>SUM(B65:H65)</f>
        <v>39</v>
      </c>
      <c r="J65" s="576" t="s">
        <v>50</v>
      </c>
      <c r="K65" s="576">
        <f>'SUM1'!T538</f>
        <v>0</v>
      </c>
    </row>
    <row r="66" ht="18" spans="1:11">
      <c r="A66" s="585" t="s">
        <v>513</v>
      </c>
      <c r="B66" s="586">
        <f t="array" ref="B66:H66">TRANSPOSE('SUM1'!T562:T568)</f>
        <v>0</v>
      </c>
      <c r="C66" s="586">
        <v>0</v>
      </c>
      <c r="D66" s="586">
        <v>0</v>
      </c>
      <c r="E66" s="586">
        <v>0</v>
      </c>
      <c r="F66" s="586">
        <v>0</v>
      </c>
      <c r="G66" s="586">
        <v>0</v>
      </c>
      <c r="H66" s="586">
        <v>0</v>
      </c>
      <c r="I66" s="584">
        <f t="shared" ref="I66:I70" si="5">SUM(B66:H66)</f>
        <v>0</v>
      </c>
      <c r="J66" s="576" t="s">
        <v>485</v>
      </c>
      <c r="K66" s="576">
        <f>'SUM1'!T539</f>
        <v>0</v>
      </c>
    </row>
    <row r="67" ht="18" spans="1:11">
      <c r="A67" s="585" t="s">
        <v>514</v>
      </c>
      <c r="B67" s="586">
        <f t="array" ref="B67:H67">TRANSPOSE('SUM1'!T574:T580)</f>
        <v>0</v>
      </c>
      <c r="C67" s="586">
        <v>0</v>
      </c>
      <c r="D67" s="586">
        <v>0</v>
      </c>
      <c r="E67" s="586">
        <v>0</v>
      </c>
      <c r="F67" s="586">
        <v>0</v>
      </c>
      <c r="G67" s="586">
        <v>0</v>
      </c>
      <c r="H67" s="586">
        <v>0</v>
      </c>
      <c r="I67" s="584">
        <f t="shared" si="5"/>
        <v>0</v>
      </c>
      <c r="J67" s="576" t="s">
        <v>486</v>
      </c>
      <c r="K67" s="576">
        <f>'SUM1'!T540</f>
        <v>0</v>
      </c>
    </row>
    <row r="68" ht="18" spans="1:11">
      <c r="A68" s="585" t="s">
        <v>351</v>
      </c>
      <c r="B68" s="586">
        <f t="array" ref="B68:H68">TRANSPOSE('SUM1'!T587:T593)</f>
        <v>0</v>
      </c>
      <c r="C68" s="586">
        <v>0</v>
      </c>
      <c r="D68" s="586">
        <v>0</v>
      </c>
      <c r="E68" s="586">
        <v>0</v>
      </c>
      <c r="F68" s="586">
        <v>0</v>
      </c>
      <c r="G68" s="586">
        <v>0</v>
      </c>
      <c r="H68" s="586">
        <v>0</v>
      </c>
      <c r="I68" s="584">
        <f t="shared" si="5"/>
        <v>0</v>
      </c>
      <c r="J68" s="576" t="s">
        <v>487</v>
      </c>
      <c r="K68" s="576">
        <f>'SUM1'!T541</f>
        <v>0</v>
      </c>
    </row>
    <row r="69" ht="18" spans="1:11">
      <c r="A69" s="585" t="s">
        <v>352</v>
      </c>
      <c r="B69" s="586">
        <f t="array" ref="B69:H69">TRANSPOSE('SUM1'!T600:T606)</f>
        <v>0</v>
      </c>
      <c r="C69" s="586">
        <v>0</v>
      </c>
      <c r="D69" s="586">
        <v>0</v>
      </c>
      <c r="E69" s="586">
        <v>0</v>
      </c>
      <c r="F69" s="586">
        <v>0</v>
      </c>
      <c r="G69" s="586">
        <v>0</v>
      </c>
      <c r="H69" s="586">
        <v>0</v>
      </c>
      <c r="I69" s="584">
        <f t="shared" si="5"/>
        <v>0</v>
      </c>
      <c r="J69" s="576" t="s">
        <v>488</v>
      </c>
      <c r="K69" s="576">
        <f>'SUM1'!T542</f>
        <v>39</v>
      </c>
    </row>
    <row r="70" ht="18" spans="1:11">
      <c r="A70" s="585" t="s">
        <v>515</v>
      </c>
      <c r="B70" s="586">
        <f t="array" ref="B70:H70">TRANSPOSE('SUM1'!T613:T619)</f>
        <v>0</v>
      </c>
      <c r="C70" s="586">
        <v>0</v>
      </c>
      <c r="D70" s="586">
        <v>0</v>
      </c>
      <c r="E70" s="586">
        <v>0</v>
      </c>
      <c r="F70" s="586">
        <v>0</v>
      </c>
      <c r="G70" s="586">
        <v>0</v>
      </c>
      <c r="H70" s="586">
        <v>0</v>
      </c>
      <c r="I70" s="584">
        <f t="shared" si="5"/>
        <v>0</v>
      </c>
      <c r="J70" s="576" t="s">
        <v>101</v>
      </c>
      <c r="K70" s="576">
        <f>'SUM1'!T543</f>
        <v>0</v>
      </c>
    </row>
    <row r="73" ht="18" spans="1:11">
      <c r="B73" s="570" t="str">
        <f>"Periodic Assessment Report"&amp;" ("&amp;STUDENT!$B$2&amp;"-"&amp;ENTRY!$D$11&amp;")"</f>
        <v>Periodic Assessment Report (III-A-2026-27)</v>
      </c>
      <c r="C73" s="570"/>
      <c r="D73" s="570"/>
      <c r="E73" s="570"/>
      <c r="F73" s="570"/>
      <c r="G73" s="570"/>
      <c r="H73" s="570"/>
      <c r="I73" s="570"/>
    </row>
    <row r="74" ht="21" spans="1:11">
      <c r="A74" s="569"/>
      <c r="B74" s="571" t="s">
        <v>521</v>
      </c>
      <c r="C74" s="571"/>
      <c r="D74" s="571"/>
      <c r="E74" s="571"/>
      <c r="F74" s="571"/>
      <c r="G74" s="571"/>
      <c r="H74" s="571"/>
      <c r="I74" s="571"/>
    </row>
    <row r="75" spans="1:11">
      <c r="A75" s="569"/>
      <c r="B75" s="569"/>
      <c r="C75" s="569"/>
      <c r="D75" s="569"/>
      <c r="E75" s="569"/>
      <c r="F75" s="569"/>
      <c r="G75" s="569"/>
      <c r="H75" s="569"/>
      <c r="I75" s="569"/>
    </row>
    <row r="76" ht="54" spans="1:11">
      <c r="A76" s="572" t="s">
        <v>503</v>
      </c>
      <c r="B76" s="573" t="s">
        <v>504</v>
      </c>
      <c r="C76" s="573" t="s">
        <v>505</v>
      </c>
      <c r="D76" s="573" t="s">
        <v>506</v>
      </c>
      <c r="E76" s="573" t="s">
        <v>507</v>
      </c>
      <c r="F76" s="573" t="s">
        <v>508</v>
      </c>
      <c r="G76" s="573" t="s">
        <v>509</v>
      </c>
      <c r="H76" s="573" t="s">
        <v>510</v>
      </c>
      <c r="I76" s="583" t="s">
        <v>382</v>
      </c>
      <c r="J76" s="575" t="s">
        <v>511</v>
      </c>
      <c r="K76" s="576" t="s">
        <v>382</v>
      </c>
    </row>
    <row r="77" ht="18" spans="1:11">
      <c r="A77" s="572" t="s">
        <v>512</v>
      </c>
      <c r="B77" s="586">
        <f t="array" ref="B77:H77">TRANSPOSE('SUM1'!T657:T663)</f>
        <v>0</v>
      </c>
      <c r="C77" s="586">
        <v>0</v>
      </c>
      <c r="D77" s="586">
        <v>15</v>
      </c>
      <c r="E77" s="586">
        <v>10</v>
      </c>
      <c r="F77" s="586">
        <v>14</v>
      </c>
      <c r="G77" s="586">
        <v>0</v>
      </c>
      <c r="H77" s="586">
        <v>0</v>
      </c>
      <c r="I77" s="584">
        <f>SUM(B77:H77)</f>
        <v>39</v>
      </c>
      <c r="J77" s="576" t="s">
        <v>50</v>
      </c>
      <c r="K77" s="576">
        <f>'SUM1'!T645</f>
        <v>0</v>
      </c>
    </row>
    <row r="78" ht="18" spans="1:11">
      <c r="A78" s="572" t="s">
        <v>513</v>
      </c>
      <c r="B78" s="586">
        <f t="array" ref="B78:H78">TRANSPOSE('SUM1'!T669:T675)</f>
        <v>0</v>
      </c>
      <c r="C78" s="586">
        <v>0</v>
      </c>
      <c r="D78" s="586">
        <v>0</v>
      </c>
      <c r="E78" s="586">
        <v>0</v>
      </c>
      <c r="F78" s="586">
        <v>39</v>
      </c>
      <c r="G78" s="586">
        <v>0</v>
      </c>
      <c r="H78" s="586">
        <v>0</v>
      </c>
      <c r="I78" s="584">
        <f t="shared" ref="I78:I82" si="6">SUM(B78:H78)</f>
        <v>39</v>
      </c>
      <c r="J78" s="576" t="s">
        <v>485</v>
      </c>
      <c r="K78" s="576">
        <f>'SUM1'!T646</f>
        <v>0</v>
      </c>
    </row>
    <row r="79" ht="18" spans="1:11">
      <c r="A79" s="572" t="s">
        <v>514</v>
      </c>
      <c r="B79" s="586">
        <f t="array" ref="B79:H79">TRANSPOSE('SUM1'!T681:T687)</f>
        <v>0</v>
      </c>
      <c r="C79" s="586">
        <v>0</v>
      </c>
      <c r="D79" s="586">
        <v>0</v>
      </c>
      <c r="E79" s="586">
        <v>0</v>
      </c>
      <c r="F79" s="586">
        <v>39</v>
      </c>
      <c r="G79" s="586">
        <v>0</v>
      </c>
      <c r="H79" s="586">
        <v>0</v>
      </c>
      <c r="I79" s="584">
        <f t="shared" si="6"/>
        <v>39</v>
      </c>
      <c r="J79" s="576" t="s">
        <v>486</v>
      </c>
      <c r="K79" s="576">
        <f>'SUM1'!T647</f>
        <v>0</v>
      </c>
    </row>
    <row r="80" ht="18" spans="1:11">
      <c r="A80" s="572" t="s">
        <v>351</v>
      </c>
      <c r="B80" s="586">
        <f t="array" ref="B80:H80">TRANSPOSE('SUM1'!T694:T700)</f>
        <v>0</v>
      </c>
      <c r="C80" s="586">
        <v>0</v>
      </c>
      <c r="D80" s="586">
        <v>0</v>
      </c>
      <c r="E80" s="586">
        <v>0</v>
      </c>
      <c r="F80" s="586">
        <v>39</v>
      </c>
      <c r="G80" s="586">
        <v>0</v>
      </c>
      <c r="H80" s="586">
        <v>0</v>
      </c>
      <c r="I80" s="584">
        <f t="shared" si="6"/>
        <v>39</v>
      </c>
      <c r="J80" s="576" t="s">
        <v>487</v>
      </c>
      <c r="K80" s="576">
        <f>'SUM1'!T648</f>
        <v>1</v>
      </c>
    </row>
    <row r="81" ht="18" spans="1:11">
      <c r="A81" s="572" t="s">
        <v>352</v>
      </c>
      <c r="B81" s="586">
        <f t="array" ref="B81:H81">TRANSPOSE('SUM1'!T707:T713)</f>
        <v>0</v>
      </c>
      <c r="C81" s="586">
        <v>0</v>
      </c>
      <c r="D81" s="586">
        <v>0</v>
      </c>
      <c r="E81" s="586">
        <v>0</v>
      </c>
      <c r="F81" s="586">
        <v>39</v>
      </c>
      <c r="G81" s="586">
        <v>0</v>
      </c>
      <c r="H81" s="586">
        <v>0</v>
      </c>
      <c r="I81" s="584">
        <f t="shared" si="6"/>
        <v>39</v>
      </c>
      <c r="J81" s="576" t="s">
        <v>488</v>
      </c>
      <c r="K81" s="576">
        <f>'SUM1'!T649</f>
        <v>38</v>
      </c>
    </row>
    <row r="82" ht="18" spans="1:11">
      <c r="A82" s="572" t="s">
        <v>515</v>
      </c>
      <c r="B82" s="586">
        <f t="array" ref="B82:H82">TRANSPOSE('SUM1'!T720:T726)</f>
        <v>0</v>
      </c>
      <c r="C82" s="586">
        <v>0</v>
      </c>
      <c r="D82" s="586">
        <v>0</v>
      </c>
      <c r="E82" s="586">
        <v>0</v>
      </c>
      <c r="F82" s="586">
        <v>39</v>
      </c>
      <c r="G82" s="586">
        <v>0</v>
      </c>
      <c r="H82" s="586">
        <v>0</v>
      </c>
      <c r="I82" s="584">
        <f t="shared" si="6"/>
        <v>39</v>
      </c>
      <c r="J82" s="576" t="s">
        <v>101</v>
      </c>
      <c r="K82" s="576">
        <f>'SUM1'!T650</f>
        <v>0</v>
      </c>
    </row>
    <row r="83" ht="18" spans="1:11">
      <c r="A83" s="579"/>
      <c r="B83" s="580"/>
      <c r="C83" s="580"/>
      <c r="D83" s="580"/>
      <c r="E83" s="580"/>
      <c r="F83" s="580"/>
      <c r="G83" s="580"/>
      <c r="H83" s="580"/>
      <c r="I83" s="581"/>
    </row>
    <row r="84" ht="18" spans="1:11">
      <c r="A84" s="582"/>
      <c r="B84" s="570"/>
      <c r="C84" s="570"/>
      <c r="D84" s="570"/>
      <c r="E84" s="570"/>
      <c r="F84" s="570"/>
      <c r="G84" s="570"/>
      <c r="H84" s="570"/>
      <c r="I84" s="570"/>
    </row>
    <row r="85" ht="18" spans="1:11">
      <c r="A85" s="582"/>
      <c r="B85" s="570" t="str">
        <f>"Periodic Assessment Report"&amp;" ("&amp;STUDENT!$B$2&amp;"-"&amp;ENTRY!$D$11&amp;")"</f>
        <v>Periodic Assessment Report (III-A-2026-27)</v>
      </c>
      <c r="C85" s="570"/>
      <c r="D85" s="570"/>
      <c r="E85" s="570"/>
      <c r="F85" s="570"/>
      <c r="G85" s="570"/>
      <c r="H85" s="570"/>
      <c r="I85" s="570"/>
    </row>
    <row r="86" ht="21" spans="1:11">
      <c r="A86" s="569"/>
      <c r="B86" s="571"/>
      <c r="C86" s="571"/>
      <c r="D86" s="571"/>
      <c r="E86" s="571"/>
      <c r="F86" s="571"/>
      <c r="G86" s="571"/>
      <c r="H86" s="571"/>
      <c r="I86" s="571"/>
    </row>
    <row r="87" spans="1:11">
      <c r="A87" s="569"/>
      <c r="B87" s="569"/>
      <c r="C87" s="569"/>
      <c r="D87" s="569"/>
      <c r="E87" s="569"/>
      <c r="F87" s="569"/>
      <c r="G87" s="569"/>
      <c r="H87" s="569"/>
      <c r="I87" s="569"/>
    </row>
    <row r="88" ht="54" spans="1:11">
      <c r="A88" s="572" t="s">
        <v>503</v>
      </c>
      <c r="B88" s="573" t="s">
        <v>504</v>
      </c>
      <c r="C88" s="573" t="s">
        <v>505</v>
      </c>
      <c r="D88" s="573" t="s">
        <v>506</v>
      </c>
      <c r="E88" s="573" t="s">
        <v>507</v>
      </c>
      <c r="F88" s="573" t="s">
        <v>508</v>
      </c>
      <c r="G88" s="573" t="s">
        <v>509</v>
      </c>
      <c r="H88" s="573" t="s">
        <v>510</v>
      </c>
      <c r="I88" s="583" t="s">
        <v>382</v>
      </c>
      <c r="J88" s="575" t="s">
        <v>511</v>
      </c>
      <c r="K88" s="576" t="s">
        <v>382</v>
      </c>
    </row>
    <row r="89" ht="18" spans="1:11">
      <c r="A89" s="572" t="s">
        <v>512</v>
      </c>
      <c r="B89" s="586"/>
      <c r="C89" s="586"/>
      <c r="D89" s="586"/>
      <c r="E89" s="586"/>
      <c r="F89" s="586"/>
      <c r="G89" s="586"/>
      <c r="H89" s="586"/>
      <c r="I89" s="584">
        <f>SUM(B89:H89)</f>
        <v>0</v>
      </c>
      <c r="J89" s="576" t="s">
        <v>50</v>
      </c>
      <c r="K89" s="576"/>
    </row>
    <row r="90" ht="18" spans="1:11">
      <c r="A90" s="572" t="s">
        <v>513</v>
      </c>
      <c r="B90" s="586"/>
      <c r="C90" s="586"/>
      <c r="D90" s="586"/>
      <c r="E90" s="586"/>
      <c r="F90" s="586"/>
      <c r="G90" s="586"/>
      <c r="H90" s="586"/>
      <c r="I90" s="584">
        <f t="shared" ref="I90:I94" si="7">SUM(B90:H90)</f>
        <v>0</v>
      </c>
      <c r="J90" s="576" t="s">
        <v>485</v>
      </c>
      <c r="K90" s="576"/>
    </row>
    <row r="91" ht="18" spans="1:11">
      <c r="A91" s="572" t="s">
        <v>514</v>
      </c>
      <c r="B91" s="586"/>
      <c r="C91" s="586"/>
      <c r="D91" s="586"/>
      <c r="E91" s="586"/>
      <c r="F91" s="586"/>
      <c r="G91" s="586"/>
      <c r="H91" s="586"/>
      <c r="I91" s="584">
        <f t="shared" si="7"/>
        <v>0</v>
      </c>
      <c r="J91" s="576" t="s">
        <v>486</v>
      </c>
      <c r="K91" s="576"/>
    </row>
    <row r="92" ht="18" spans="1:11">
      <c r="A92" s="572" t="s">
        <v>351</v>
      </c>
      <c r="B92" s="586"/>
      <c r="C92" s="586"/>
      <c r="D92" s="586"/>
      <c r="E92" s="586"/>
      <c r="F92" s="586"/>
      <c r="G92" s="586"/>
      <c r="H92" s="586"/>
      <c r="I92" s="584">
        <f t="shared" si="7"/>
        <v>0</v>
      </c>
      <c r="J92" s="576" t="s">
        <v>487</v>
      </c>
      <c r="K92" s="576"/>
    </row>
    <row r="93" ht="18" spans="1:11">
      <c r="A93" s="572" t="s">
        <v>352</v>
      </c>
      <c r="B93" s="586"/>
      <c r="C93" s="586"/>
      <c r="D93" s="586"/>
      <c r="E93" s="586"/>
      <c r="F93" s="586"/>
      <c r="G93" s="586"/>
      <c r="H93" s="586"/>
      <c r="I93" s="584">
        <f t="shared" si="7"/>
        <v>0</v>
      </c>
      <c r="J93" s="576" t="s">
        <v>488</v>
      </c>
      <c r="K93" s="576"/>
    </row>
    <row r="94" ht="18" spans="1:11">
      <c r="A94" s="572" t="s">
        <v>515</v>
      </c>
      <c r="B94" s="586"/>
      <c r="C94" s="586"/>
      <c r="D94" s="586"/>
      <c r="E94" s="586"/>
      <c r="F94" s="586"/>
      <c r="G94" s="586"/>
      <c r="H94" s="586"/>
      <c r="I94" s="584">
        <f t="shared" si="7"/>
        <v>0</v>
      </c>
      <c r="J94" s="576" t="s">
        <v>101</v>
      </c>
      <c r="K94" s="576"/>
    </row>
    <row r="95" ht="18" spans="1:11">
      <c r="A95" s="582"/>
      <c r="B95" s="570"/>
      <c r="C95" s="570"/>
      <c r="D95" s="570"/>
      <c r="E95" s="570"/>
      <c r="F95" s="570"/>
      <c r="G95" s="570"/>
      <c r="H95" s="570"/>
      <c r="I95" s="570"/>
    </row>
    <row r="96" ht="18" spans="1:11">
      <c r="A96" s="582"/>
      <c r="B96" s="570"/>
      <c r="C96" s="570"/>
      <c r="D96" s="570"/>
      <c r="E96" s="570"/>
      <c r="F96" s="570"/>
      <c r="G96" s="570"/>
      <c r="H96" s="570"/>
      <c r="I96" s="570"/>
    </row>
  </sheetData>
  <sheetProtection password="BF6F" sheet="1" formatCells="0" formatColumns="0" formatRows="0" objects="1" scenarios="1"/>
  <mergeCells count="16">
    <mergeCell ref="B1:I1"/>
    <mergeCell ref="B2:I2"/>
    <mergeCell ref="B13:I13"/>
    <mergeCell ref="B14:I14"/>
    <mergeCell ref="B25:I25"/>
    <mergeCell ref="B26:I26"/>
    <mergeCell ref="B37:I37"/>
    <mergeCell ref="B38:I38"/>
    <mergeCell ref="B49:I49"/>
    <mergeCell ref="B50:I50"/>
    <mergeCell ref="B61:I61"/>
    <mergeCell ref="B62:I62"/>
    <mergeCell ref="B73:I73"/>
    <mergeCell ref="B74:I74"/>
    <mergeCell ref="B85:I85"/>
    <mergeCell ref="B86:I86"/>
  </mergeCells>
  <pageMargins left="0.23" right="0.27" top="0.36" bottom="0.39" header="0.3" footer="0.3"/>
  <pageSetup paperSize="9" scale="80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63"/>
  <sheetViews>
    <sheetView zoomScale="55" zoomScaleNormal="55" topLeftCell="A12" workbookViewId="0">
      <selection activeCell="Q18" sqref="Q18"/>
    </sheetView>
  </sheetViews>
  <sheetFormatPr defaultColWidth="9.13888888888889" defaultRowHeight="13.8"/>
  <cols>
    <col min="1" max="1" width="0.861111111111111" style="452" customWidth="1"/>
    <col min="2" max="2" width="14" style="452" customWidth="1"/>
    <col min="3" max="3" width="8.71296296296296" style="452" customWidth="1"/>
    <col min="4" max="4" width="0.861111111111111" style="452" customWidth="1"/>
    <col min="5" max="5" width="9.13888888888889" style="452"/>
    <col min="6" max="6" width="0.861111111111111" style="452" customWidth="1"/>
    <col min="7" max="7" width="14.5740740740741" style="452" customWidth="1"/>
    <col min="8" max="8" width="9.13888888888889" style="452" customWidth="1"/>
    <col min="9" max="11" width="9.13888888888889" style="452"/>
    <col min="12" max="13" width="11.4259259259259" style="452" customWidth="1"/>
    <col min="14" max="14" width="7.71296296296296" style="452" customWidth="1"/>
    <col min="15" max="15" width="0.861111111111111" style="452" customWidth="1"/>
    <col min="16" max="17" width="8.71296296296296" style="452" customWidth="1"/>
    <col min="18" max="18" width="0.861111111111111" style="452" customWidth="1"/>
    <col min="19" max="16384" width="9.13888888888889" style="452"/>
  </cols>
  <sheetData>
    <row r="1" ht="5.1" customHeight="1" spans="1:19">
      <c r="A1" s="453"/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5"/>
    </row>
    <row r="2" spans="1:19">
      <c r="A2" s="456"/>
      <c r="B2" s="457" t="s">
        <v>522</v>
      </c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8"/>
      <c r="S2" s="459"/>
    </row>
    <row r="3" ht="24.95" customHeight="1" spans="1:19">
      <c r="A3" s="456"/>
      <c r="B3" s="460"/>
      <c r="C3" s="460"/>
      <c r="D3" s="460"/>
      <c r="E3" s="460"/>
      <c r="F3" s="460"/>
      <c r="G3" s="461" t="str">
        <f>"STUDENT ASSESSMENT REPORT : "&amp;ENTRY!$D$11</f>
        <v>STUDENT ASSESSMENT REPORT : 2026-27</v>
      </c>
      <c r="H3" s="461"/>
      <c r="I3" s="461"/>
      <c r="J3" s="461"/>
      <c r="K3" s="461"/>
      <c r="L3" s="461"/>
      <c r="M3" s="460"/>
      <c r="N3" s="460"/>
      <c r="O3" s="460"/>
      <c r="P3" s="460"/>
      <c r="Q3" s="460"/>
      <c r="R3" s="458"/>
      <c r="S3" s="459"/>
    </row>
    <row r="4" spans="1:19">
      <c r="A4" s="456"/>
      <c r="B4" s="462" t="s">
        <v>523</v>
      </c>
      <c r="C4" s="462"/>
      <c r="D4" s="462"/>
      <c r="E4" s="462"/>
      <c r="F4" s="462"/>
      <c r="G4" s="462"/>
      <c r="H4" s="462"/>
      <c r="I4" s="462"/>
      <c r="J4" s="462"/>
      <c r="K4" s="462"/>
      <c r="L4" s="462"/>
      <c r="M4" s="462"/>
      <c r="N4" s="462"/>
      <c r="O4" s="462"/>
      <c r="P4" s="462"/>
      <c r="Q4" s="462"/>
      <c r="R4" s="458"/>
      <c r="S4" s="459"/>
    </row>
    <row r="5" spans="1:19">
      <c r="A5" s="456"/>
      <c r="B5" s="463"/>
      <c r="C5" s="463"/>
      <c r="D5" s="463"/>
      <c r="E5" s="463"/>
      <c r="F5" s="463"/>
      <c r="G5" s="463"/>
      <c r="H5" s="463"/>
      <c r="I5" s="463"/>
      <c r="J5" s="464"/>
      <c r="K5" s="464"/>
      <c r="L5" s="464"/>
      <c r="M5" s="464"/>
      <c r="N5" s="464"/>
      <c r="O5" s="464"/>
      <c r="P5" s="464"/>
      <c r="Q5" s="464"/>
      <c r="R5" s="458"/>
    </row>
    <row r="6" ht="18" customHeight="1" spans="1:19">
      <c r="A6" s="456"/>
      <c r="B6" s="465" t="s">
        <v>524</v>
      </c>
      <c r="C6" s="465"/>
      <c r="D6" s="465"/>
      <c r="E6" s="466" t="str">
        <f>ENTRY!$D$6&amp;"  ( "&amp;ENTRY!$D$2&amp;" )"</f>
        <v>MCP NITHARI NO 1 BOYS  ( MCD )</v>
      </c>
      <c r="F6" s="466"/>
      <c r="G6" s="466"/>
      <c r="H6" s="466"/>
      <c r="I6" s="466"/>
      <c r="J6" s="466"/>
      <c r="K6" s="466"/>
      <c r="L6" s="466"/>
      <c r="M6" s="466"/>
      <c r="N6" s="466"/>
      <c r="O6" s="467"/>
      <c r="P6" s="468"/>
      <c r="Q6" s="468"/>
      <c r="R6" s="458"/>
      <c r="S6" s="459"/>
    </row>
    <row r="7" ht="15" customHeight="1" spans="1:19">
      <c r="A7" s="456"/>
      <c r="B7" s="465"/>
      <c r="C7" s="465"/>
      <c r="D7" s="465"/>
      <c r="E7" s="465"/>
      <c r="F7" s="465"/>
      <c r="G7" s="465"/>
      <c r="H7" s="465"/>
      <c r="I7" s="465"/>
      <c r="J7" s="465"/>
      <c r="K7" s="465"/>
      <c r="L7" s="465"/>
      <c r="M7" s="465"/>
      <c r="N7" s="465"/>
      <c r="O7" s="467"/>
      <c r="P7" s="468"/>
      <c r="Q7" s="468"/>
      <c r="R7" s="458"/>
    </row>
    <row r="8" ht="18" customHeight="1" spans="1:19">
      <c r="A8" s="456"/>
      <c r="B8" s="469" t="str">
        <f>"SCHOOL ID - "&amp;ENTRY!$D$7</f>
        <v>SCHOOL ID - </v>
      </c>
      <c r="C8" s="469"/>
      <c r="D8" s="469"/>
      <c r="E8" s="469"/>
      <c r="F8" s="469"/>
      <c r="G8" s="470" t="s">
        <v>525</v>
      </c>
      <c r="H8" s="470"/>
      <c r="I8" s="471">
        <f>ENTRY!$D$10</f>
        <v>40</v>
      </c>
      <c r="J8" s="471"/>
      <c r="K8" s="472" t="s">
        <v>526</v>
      </c>
      <c r="L8" s="473" t="str">
        <f>ENTRY!$D$5</f>
        <v>ROHINI ZONE</v>
      </c>
      <c r="M8" s="473"/>
      <c r="N8" s="473"/>
      <c r="O8" s="474"/>
      <c r="P8" s="475"/>
      <c r="Q8" s="475"/>
      <c r="R8" s="458"/>
      <c r="S8" s="459"/>
    </row>
    <row r="9" ht="9.95" customHeight="1" spans="1:19">
      <c r="A9" s="456"/>
      <c r="B9" s="469"/>
      <c r="C9" s="469"/>
      <c r="D9" s="469"/>
      <c r="E9" s="469"/>
      <c r="F9" s="469"/>
      <c r="G9" s="469"/>
      <c r="H9" s="469"/>
      <c r="I9" s="469"/>
      <c r="J9" s="472"/>
      <c r="K9" s="472"/>
      <c r="L9" s="472"/>
      <c r="M9" s="476"/>
      <c r="N9" s="476"/>
      <c r="O9" s="474"/>
      <c r="P9" s="477"/>
      <c r="Q9" s="478"/>
      <c r="R9" s="458"/>
    </row>
    <row r="10" s="448" customFormat="1" ht="18" customHeight="1" spans="1:19">
      <c r="A10" s="456"/>
      <c r="B10" s="479" t="s">
        <v>527</v>
      </c>
      <c r="C10" s="480"/>
      <c r="D10" s="481">
        <f>VLOOKUP(N12,STUDENT!$A$2:$BR$105,5,0)</f>
        <v>0</v>
      </c>
      <c r="E10" s="481"/>
      <c r="F10" s="481"/>
      <c r="G10" s="481"/>
      <c r="H10" s="481"/>
      <c r="I10" s="482"/>
      <c r="J10" s="483" t="s">
        <v>528</v>
      </c>
      <c r="K10" s="484"/>
      <c r="L10" s="485" t="str">
        <f>IFERROR(VLOOKUP(N12,STUDENT!$A$2:$BR$105,59,0),"")</f>
        <v/>
      </c>
      <c r="M10" s="485"/>
      <c r="N10" s="486"/>
      <c r="O10" s="487"/>
      <c r="P10" s="488"/>
      <c r="Q10" s="489"/>
      <c r="R10" s="458"/>
    </row>
    <row r="11" ht="18" customHeight="1" spans="1:19">
      <c r="A11" s="456"/>
      <c r="B11" s="490" t="s">
        <v>529</v>
      </c>
      <c r="C11" s="491"/>
      <c r="D11" s="481">
        <f>VLOOKUP(N12,STUDENT!$A$2:$BR$105,8,0)</f>
        <v>0</v>
      </c>
      <c r="E11" s="481"/>
      <c r="F11" s="481"/>
      <c r="G11" s="481"/>
      <c r="H11" s="481"/>
      <c r="I11" s="482"/>
      <c r="J11" s="492" t="s">
        <v>530</v>
      </c>
      <c r="K11" s="493"/>
      <c r="L11" s="481">
        <f>VLOOKUP(N12,STUDENT!$A$2:$BR$105,9,0)</f>
        <v>0</v>
      </c>
      <c r="M11" s="481"/>
      <c r="N11" s="482"/>
      <c r="O11" s="494"/>
      <c r="P11" s="488"/>
      <c r="Q11" s="489"/>
      <c r="R11" s="458"/>
    </row>
    <row r="12" ht="18" customHeight="1" spans="1:19">
      <c r="A12" s="456"/>
      <c r="B12" s="490" t="s">
        <v>531</v>
      </c>
      <c r="C12" s="491"/>
      <c r="D12" s="495" t="str">
        <f>VLOOKUP(N12,STUDENT!$A$2:$BR$105,2,0)</f>
        <v>III-A</v>
      </c>
      <c r="E12" s="495"/>
      <c r="F12" s="495"/>
      <c r="G12" s="495"/>
      <c r="H12" s="495"/>
      <c r="I12" s="496"/>
      <c r="J12" s="492" t="s">
        <v>532</v>
      </c>
      <c r="K12" s="493"/>
      <c r="L12" s="495">
        <f>VLOOKUP(N12,STUDENT!$A$2:$BR$105,6,0)</f>
        <v>0</v>
      </c>
      <c r="M12" s="497" t="s">
        <v>533</v>
      </c>
      <c r="N12" s="498">
        <v>40</v>
      </c>
      <c r="O12" s="474"/>
      <c r="P12" s="488"/>
      <c r="Q12" s="489"/>
      <c r="R12" s="458"/>
    </row>
    <row r="13" ht="18" customHeight="1" spans="1:19">
      <c r="A13" s="456"/>
      <c r="B13" s="490" t="s">
        <v>534</v>
      </c>
      <c r="C13" s="491"/>
      <c r="D13" s="495">
        <f>VLOOKUP(N12,STUDENT!$A$2:$BR$105,20,0)</f>
        <v>0</v>
      </c>
      <c r="E13" s="495"/>
      <c r="F13" s="495"/>
      <c r="G13" s="495"/>
      <c r="H13" s="495"/>
      <c r="I13" s="496"/>
      <c r="J13" s="499" t="s">
        <v>535</v>
      </c>
      <c r="K13" s="500"/>
      <c r="L13" s="501">
        <f>IFERROR(VLOOKUP(N12,STUDENT!$A$2:$BR$105,3,0),"")</f>
        <v>0</v>
      </c>
      <c r="M13" s="501"/>
      <c r="N13" s="502"/>
      <c r="O13" s="474"/>
      <c r="P13" s="488"/>
      <c r="Q13" s="489"/>
      <c r="R13" s="458"/>
    </row>
    <row r="14" ht="18" customHeight="1" spans="1:19">
      <c r="A14" s="456"/>
      <c r="B14" s="490" t="s">
        <v>536</v>
      </c>
      <c r="C14" s="491"/>
      <c r="D14" s="481">
        <f>VLOOKUP(N12,STUDENT!$A$2:$BR$105,22,0)</f>
        <v>0</v>
      </c>
      <c r="E14" s="481"/>
      <c r="F14" s="481"/>
      <c r="G14" s="481"/>
      <c r="H14" s="481"/>
      <c r="I14" s="481"/>
      <c r="J14" s="481"/>
      <c r="K14" s="481"/>
      <c r="L14" s="481"/>
      <c r="M14" s="481"/>
      <c r="N14" s="482"/>
      <c r="O14" s="474"/>
      <c r="P14" s="488"/>
      <c r="Q14" s="489"/>
      <c r="R14" s="458"/>
    </row>
    <row r="15" ht="9.95" customHeight="1" spans="1:19">
      <c r="A15" s="456"/>
      <c r="B15" s="503"/>
      <c r="C15" s="503"/>
      <c r="D15" s="503"/>
      <c r="J15" s="504"/>
      <c r="K15" s="504"/>
      <c r="L15" s="504"/>
      <c r="M15" s="504"/>
      <c r="N15" s="504"/>
      <c r="O15" s="474"/>
      <c r="P15" s="505"/>
      <c r="Q15" s="506"/>
      <c r="R15" s="458"/>
    </row>
    <row r="16" s="448" customFormat="1" ht="18" customHeight="1" spans="1:19">
      <c r="A16" s="456"/>
      <c r="B16" s="467" t="s">
        <v>537</v>
      </c>
      <c r="C16" s="467"/>
      <c r="D16" s="467"/>
      <c r="E16" s="467"/>
      <c r="G16" s="507" t="s">
        <v>538</v>
      </c>
      <c r="H16" s="507"/>
      <c r="I16" s="507"/>
      <c r="J16" s="507"/>
      <c r="K16" s="507"/>
      <c r="L16" s="507"/>
      <c r="M16" s="507"/>
      <c r="N16" s="507"/>
      <c r="O16" s="507"/>
      <c r="P16" s="507"/>
      <c r="Q16" s="507"/>
      <c r="R16" s="458"/>
    </row>
    <row r="17" s="448" customFormat="1" ht="18" customHeight="1" spans="1:18">
      <c r="A17" s="456"/>
      <c r="B17" s="508"/>
      <c r="C17" s="509" t="s">
        <v>539</v>
      </c>
      <c r="D17" s="510"/>
      <c r="E17" s="56" t="s">
        <v>540</v>
      </c>
      <c r="G17" s="508"/>
      <c r="H17" s="511" t="s">
        <v>541</v>
      </c>
      <c r="I17" s="511" t="s">
        <v>542</v>
      </c>
      <c r="J17" s="511" t="s">
        <v>543</v>
      </c>
      <c r="K17" s="511" t="s">
        <v>544</v>
      </c>
      <c r="L17" s="511" t="s">
        <v>545</v>
      </c>
      <c r="M17" s="511" t="s">
        <v>382</v>
      </c>
      <c r="N17" s="511" t="s">
        <v>546</v>
      </c>
      <c r="O17" s="511"/>
      <c r="P17" s="511"/>
      <c r="Q17" s="511"/>
      <c r="R17" s="458"/>
    </row>
    <row r="18" s="448" customFormat="1" ht="18" customHeight="1" spans="1:18">
      <c r="A18" s="456"/>
      <c r="B18" s="508" t="s">
        <v>547</v>
      </c>
      <c r="C18" s="512">
        <v>20</v>
      </c>
      <c r="D18" s="513"/>
      <c r="E18" s="511">
        <v>20</v>
      </c>
      <c r="G18" s="508" t="s">
        <v>547</v>
      </c>
      <c r="H18" s="511">
        <v>5</v>
      </c>
      <c r="I18" s="511">
        <v>5</v>
      </c>
      <c r="J18" s="511">
        <v>5</v>
      </c>
      <c r="K18" s="511">
        <v>5</v>
      </c>
      <c r="L18" s="511">
        <v>30</v>
      </c>
      <c r="M18" s="511">
        <v>50</v>
      </c>
      <c r="N18" s="514"/>
      <c r="O18" s="515"/>
      <c r="P18" s="515"/>
      <c r="Q18" s="516"/>
      <c r="R18" s="458"/>
    </row>
    <row r="19" ht="18" customHeight="1" spans="1:18">
      <c r="A19" s="456"/>
      <c r="B19" s="517" t="s">
        <v>512</v>
      </c>
      <c r="C19" s="518">
        <f>VLOOKUP(N12,PASHEET!$A$4:$CJ$105,6,0)</f>
        <v>0</v>
      </c>
      <c r="D19" s="519"/>
      <c r="E19" s="520">
        <f>VLOOKUP(N12,PASHEET!$A$4:$CJ$105,14,0)</f>
        <v>0</v>
      </c>
      <c r="F19" s="521"/>
      <c r="G19" s="517" t="s">
        <v>512</v>
      </c>
      <c r="H19" s="520">
        <f>VLOOKUP(N12,PASHEET!$A$4:$CJ$105,38,0)</f>
        <v>0</v>
      </c>
      <c r="I19" s="520">
        <f>VLOOKUP(N12,MARKS!$A$4:$CW$105,6,0)</f>
        <v>0</v>
      </c>
      <c r="J19" s="520">
        <f>VLOOKUP(N12,MARKS!$A$4:$CW$105,14,0)</f>
        <v>0</v>
      </c>
      <c r="K19" s="520">
        <f>VLOOKUP(N12,MARKS!$A$4:$CW$105,22,0)</f>
        <v>0</v>
      </c>
      <c r="L19" s="520">
        <f>VLOOKUP(N12,MARKS!$A$4:$CW$105,30,0)</f>
        <v>0</v>
      </c>
      <c r="M19" s="522">
        <f>SUM(H19:L19)</f>
        <v>0</v>
      </c>
      <c r="N19" s="523"/>
      <c r="O19" s="524"/>
      <c r="P19" s="525">
        <f>IF(M19="Ab","Ab",IF(M19="DAB","DAB",IF(M19&gt;40,"A",IF(M19&gt;30,"B",IF(M19&gt;22,"C",IF(M19&gt;15,"D",IF(M19&gt;0,"E",0)))))))</f>
        <v>0</v>
      </c>
      <c r="Q19" s="519"/>
      <c r="R19" s="458"/>
    </row>
    <row r="20" ht="18" customHeight="1" spans="1:18">
      <c r="A20" s="456"/>
      <c r="B20" s="517" t="s">
        <v>513</v>
      </c>
      <c r="C20" s="518">
        <f>VLOOKUP(N12,PASHEET!$A$4:$CJ$105,7,0)</f>
        <v>0</v>
      </c>
      <c r="D20" s="519"/>
      <c r="E20" s="520">
        <f>VLOOKUP(N12,PASHEET!$A$4:$CJ$105,15,0)</f>
        <v>0</v>
      </c>
      <c r="F20" s="521"/>
      <c r="G20" s="517" t="s">
        <v>513</v>
      </c>
      <c r="H20" s="520">
        <f>VLOOKUP(N12,PASHEET!$A$4:$CJ$105,39,0)</f>
        <v>0</v>
      </c>
      <c r="I20" s="520">
        <f>VLOOKUP(N12,MARKS!$A$4:$CW$105,7,0)</f>
        <v>0</v>
      </c>
      <c r="J20" s="520">
        <f>VLOOKUP(N12,MARKS!$A$4:$CW$105,15,0)</f>
        <v>0</v>
      </c>
      <c r="K20" s="520">
        <f>VLOOKUP(N12,MARKS!$A$4:$CW$105,23,0)</f>
        <v>0</v>
      </c>
      <c r="L20" s="520">
        <f>VLOOKUP(N12,MARKS!$A$4:$CW$105,31,0)</f>
        <v>0</v>
      </c>
      <c r="M20" s="522">
        <f t="shared" ref="M20:M25" si="0">SUM(H20:L20)</f>
        <v>0</v>
      </c>
      <c r="N20" s="523"/>
      <c r="O20" s="524"/>
      <c r="P20" s="525">
        <f t="shared" ref="P20:P25" si="1">IF(M20="Ab","Ab",IF(M20="DAB","DAB",IF(M20&gt;40,"A",IF(M20&gt;30,"B",IF(M20&gt;22,"C",IF(M20&gt;15,"D",IF(M20&gt;0,"E",0)))))))</f>
        <v>0</v>
      </c>
      <c r="Q20" s="519"/>
      <c r="R20" s="458"/>
    </row>
    <row r="21" ht="18" customHeight="1" spans="1:18">
      <c r="A21" s="456"/>
      <c r="B21" s="517" t="s">
        <v>514</v>
      </c>
      <c r="C21" s="518">
        <f>VLOOKUP(N12,PASHEET!$A$4:$CJ$105,8,0)</f>
        <v>0</v>
      </c>
      <c r="D21" s="519"/>
      <c r="E21" s="520">
        <f>VLOOKUP(N12,PASHEET!$A$4:$CJ$105,16,0)</f>
        <v>0</v>
      </c>
      <c r="F21" s="521"/>
      <c r="G21" s="517" t="s">
        <v>514</v>
      </c>
      <c r="H21" s="520">
        <f>VLOOKUP(N12,PASHEET!$A$4:$CJ$105,40,0)</f>
        <v>0</v>
      </c>
      <c r="I21" s="520">
        <f>VLOOKUP(N12,MARKS!$A$4:$CW$105,8,0)</f>
        <v>0</v>
      </c>
      <c r="J21" s="520">
        <f>VLOOKUP(N12,MARKS!$A$4:$CW$105,16,0)</f>
        <v>0</v>
      </c>
      <c r="K21" s="520">
        <f>VLOOKUP(N12,MARKS!$A$4:$CW$105,24,0)</f>
        <v>0</v>
      </c>
      <c r="L21" s="520">
        <f>VLOOKUP(N12,MARKS!$A$4:$CW$105,32,0)</f>
        <v>0</v>
      </c>
      <c r="M21" s="522">
        <f t="shared" si="0"/>
        <v>0</v>
      </c>
      <c r="N21" s="523"/>
      <c r="O21" s="524"/>
      <c r="P21" s="525">
        <f t="shared" si="1"/>
        <v>0</v>
      </c>
      <c r="Q21" s="519"/>
      <c r="R21" s="458"/>
    </row>
    <row r="22" ht="18" customHeight="1" spans="1:18">
      <c r="A22" s="456"/>
      <c r="B22" s="517" t="s">
        <v>351</v>
      </c>
      <c r="C22" s="518">
        <f>VLOOKUP(N12,PASHEET!$A$4:$CJ$105,9,0)</f>
        <v>0</v>
      </c>
      <c r="D22" s="519"/>
      <c r="E22" s="520">
        <f>VLOOKUP(N12,PASHEET!$A$4:$CJ$105,17,0)</f>
        <v>0</v>
      </c>
      <c r="F22" s="521"/>
      <c r="G22" s="517" t="s">
        <v>351</v>
      </c>
      <c r="H22" s="520">
        <f>VLOOKUP(N12,PASHEET!$A$4:$CJ$105,41,0)</f>
        <v>0</v>
      </c>
      <c r="I22" s="520">
        <f>VLOOKUP(N12,MARKS!$A$4:$CW$105,9,0)</f>
        <v>0</v>
      </c>
      <c r="J22" s="520">
        <f>VLOOKUP(N12,MARKS!$A$4:$CW$105,17,0)</f>
        <v>0</v>
      </c>
      <c r="K22" s="520">
        <f>VLOOKUP(N12,MARKS!$A$4:$CW$105,25,0)</f>
        <v>0</v>
      </c>
      <c r="L22" s="520">
        <f>VLOOKUP(N12,MARKS!$A$4:$CW$105,33,0)</f>
        <v>0</v>
      </c>
      <c r="M22" s="522">
        <f t="shared" si="0"/>
        <v>0</v>
      </c>
      <c r="N22" s="523"/>
      <c r="O22" s="524"/>
      <c r="P22" s="525">
        <f t="shared" si="1"/>
        <v>0</v>
      </c>
      <c r="Q22" s="519"/>
      <c r="R22" s="458"/>
    </row>
    <row r="23" ht="18" customHeight="1" spans="1:18">
      <c r="A23" s="456"/>
      <c r="B23" s="517" t="s">
        <v>548</v>
      </c>
      <c r="C23" s="518">
        <f>VLOOKUP(N12,PASHEET!$A$4:$CJ$105,10,0)</f>
        <v>0</v>
      </c>
      <c r="D23" s="519"/>
      <c r="E23" s="520">
        <f>VLOOKUP(N12,PASHEET!$A$4:$CJ$105,18,0)</f>
        <v>0</v>
      </c>
      <c r="F23" s="521"/>
      <c r="G23" s="517" t="s">
        <v>548</v>
      </c>
      <c r="H23" s="520">
        <f>VLOOKUP(N12,PASHEET!$A$4:$CJ$105,42,0)</f>
        <v>0</v>
      </c>
      <c r="I23" s="520">
        <f>VLOOKUP(N12,MARKS!$A$4:$CW$105,10,0)</f>
        <v>0</v>
      </c>
      <c r="J23" s="520">
        <f>VLOOKUP(N12,MARKS!$A$4:$CW$105,18,0)</f>
        <v>0</v>
      </c>
      <c r="K23" s="520">
        <f>VLOOKUP(N12,MARKS!$A$4:$CW$105,26,0)</f>
        <v>0</v>
      </c>
      <c r="L23" s="520">
        <f>VLOOKUP(N12,MARKS!$A$4:$CW$105,34,0)</f>
        <v>0</v>
      </c>
      <c r="M23" s="522">
        <f t="shared" si="0"/>
        <v>0</v>
      </c>
      <c r="N23" s="523"/>
      <c r="O23" s="524"/>
      <c r="P23" s="525">
        <f t="shared" si="1"/>
        <v>0</v>
      </c>
      <c r="Q23" s="519"/>
      <c r="R23" s="458"/>
    </row>
    <row r="24" ht="18" customHeight="1" spans="1:18">
      <c r="A24" s="456"/>
      <c r="B24" s="517" t="s">
        <v>549</v>
      </c>
      <c r="C24" s="518">
        <f>VLOOKUP(N12,PASHEET!$A$4:$CJ$105,11,0)</f>
        <v>0</v>
      </c>
      <c r="D24" s="519"/>
      <c r="E24" s="520">
        <f>VLOOKUP(N12,PASHEET!$A$4:$CJ$105,19,0)</f>
        <v>0</v>
      </c>
      <c r="F24" s="521"/>
      <c r="G24" s="517" t="s">
        <v>549</v>
      </c>
      <c r="H24" s="520">
        <f>VLOOKUP(N12,PASHEET!$A$4:$CJ$105,43,0)</f>
        <v>0</v>
      </c>
      <c r="I24" s="520">
        <f>VLOOKUP(N12,MARKS!$A$4:$CW$105,11,0)</f>
        <v>0</v>
      </c>
      <c r="J24" s="520">
        <f>VLOOKUP(N12,MARKS!$A$4:$CW$105,19,0)</f>
        <v>0</v>
      </c>
      <c r="K24" s="520">
        <f>VLOOKUP(N12,MARKS!$A$4:$CW$105,27,0)</f>
        <v>0</v>
      </c>
      <c r="L24" s="520">
        <f>VLOOKUP(N12,MARKS!$A$4:$CW$105,35,0)</f>
        <v>0</v>
      </c>
      <c r="M24" s="522">
        <f t="shared" si="0"/>
        <v>0</v>
      </c>
      <c r="N24" s="523"/>
      <c r="O24" s="524"/>
      <c r="P24" s="525">
        <f t="shared" si="1"/>
        <v>0</v>
      </c>
      <c r="Q24" s="519"/>
      <c r="R24" s="458"/>
    </row>
    <row r="25" ht="18" customHeight="1" spans="1:18">
      <c r="A25" s="456"/>
      <c r="B25" s="517" t="s">
        <v>550</v>
      </c>
      <c r="C25" s="518">
        <f>VLOOKUP(N12,PASHEET!$A$4:$CJ$105,12,0)</f>
        <v>0</v>
      </c>
      <c r="D25" s="519"/>
      <c r="E25" s="520">
        <f>VLOOKUP(N12,PASHEET!$A$4:$CJ$105,20,0)</f>
        <v>0</v>
      </c>
      <c r="F25" s="521"/>
      <c r="G25" s="517" t="s">
        <v>550</v>
      </c>
      <c r="H25" s="520">
        <f>VLOOKUP(N12,PASHEET!$A$4:$CJ$105,44,0)</f>
        <v>0</v>
      </c>
      <c r="I25" s="520">
        <f>VLOOKUP(N12,MARKS!$A$4:$CW$105,12,0)</f>
        <v>0</v>
      </c>
      <c r="J25" s="520">
        <f>VLOOKUP(N12,MARKS!$A$4:$CW$105,20,0)</f>
        <v>0</v>
      </c>
      <c r="K25" s="520">
        <f>VLOOKUP(N12,MARKS!$A$4:$CW$105,28,0)</f>
        <v>0</v>
      </c>
      <c r="L25" s="520">
        <f>VLOOKUP(N12,MARKS!$A$4:$CW$105,36,0)</f>
        <v>0</v>
      </c>
      <c r="M25" s="522">
        <f t="shared" si="0"/>
        <v>0</v>
      </c>
      <c r="N25" s="523"/>
      <c r="O25" s="524"/>
      <c r="P25" s="525">
        <f t="shared" si="1"/>
        <v>0</v>
      </c>
      <c r="Q25" s="519"/>
      <c r="R25" s="458"/>
    </row>
    <row r="26" ht="18" customHeight="1" spans="1:18">
      <c r="A26" s="456"/>
      <c r="B26" s="526" t="s">
        <v>382</v>
      </c>
      <c r="C26" s="518">
        <f>SUM(C19:C25)</f>
        <v>0</v>
      </c>
      <c r="D26" s="519"/>
      <c r="E26" s="520">
        <f>SUM(E19:E25)</f>
        <v>0</v>
      </c>
      <c r="F26" s="521"/>
      <c r="G26" s="517" t="s">
        <v>382</v>
      </c>
      <c r="H26" s="520">
        <f>SUM(H19:H25)</f>
        <v>0</v>
      </c>
      <c r="I26" s="520">
        <f t="shared" ref="I26:L26" si="2">SUM(I19:I25)</f>
        <v>0</v>
      </c>
      <c r="J26" s="520">
        <f t="shared" si="2"/>
        <v>0</v>
      </c>
      <c r="K26" s="520">
        <f t="shared" si="2"/>
        <v>0</v>
      </c>
      <c r="L26" s="520">
        <f t="shared" si="2"/>
        <v>0</v>
      </c>
      <c r="M26" s="522" t="str">
        <f>IF(L26=0,"Ab",SUM(M19:M25))</f>
        <v>Ab</v>
      </c>
      <c r="N26" s="514"/>
      <c r="O26" s="527"/>
      <c r="P26" s="512" t="str">
        <f>IF(M26="","",IF(M26="Ab","Ab",IF(M26="DAB","DAB",IF(M26&gt;240,"A",IF(M26&gt;180,"B",IF(M26&gt;132,"C",IF(M26&gt;99,"D",IF(M26&gt;0,"E",0))))))))</f>
        <v>Ab</v>
      </c>
      <c r="Q26" s="528"/>
      <c r="R26" s="458"/>
    </row>
    <row r="27" s="412" customFormat="1" ht="18" customHeight="1" spans="1:18">
      <c r="A27" s="456"/>
      <c r="B27" s="529" t="s">
        <v>551</v>
      </c>
      <c r="C27" s="529"/>
      <c r="D27" s="530"/>
      <c r="E27" s="531" t="str">
        <f>IF(ENTRY!$D$25&gt;0,ENTRY!$D$25,"")</f>
        <v/>
      </c>
      <c r="H27" s="529" t="s">
        <v>552</v>
      </c>
      <c r="I27" s="529"/>
      <c r="J27" s="529"/>
      <c r="K27" s="531">
        <f>VLOOKUP(N12,PASHEET!$A$4:$CJ$105,86,0)</f>
        <v>45</v>
      </c>
      <c r="L27" s="440"/>
      <c r="M27" s="529" t="s">
        <v>553</v>
      </c>
      <c r="N27" s="529"/>
      <c r="O27" s="532"/>
      <c r="P27" s="533" t="e">
        <f>IF(K27&gt;0,K27/E27*100,"")</f>
        <v>#VALUE!</v>
      </c>
      <c r="Q27" s="422"/>
      <c r="R27" s="458"/>
    </row>
    <row r="28" ht="9.95" customHeight="1" spans="1:18">
      <c r="A28" s="456"/>
      <c r="R28" s="458"/>
    </row>
    <row r="29" s="448" customFormat="1" ht="18" customHeight="1" spans="1:18">
      <c r="A29" s="456"/>
      <c r="B29" s="467" t="s">
        <v>554</v>
      </c>
      <c r="C29" s="467"/>
      <c r="D29" s="467"/>
      <c r="E29" s="467"/>
      <c r="G29" s="507" t="s">
        <v>555</v>
      </c>
      <c r="H29" s="507"/>
      <c r="I29" s="507"/>
      <c r="J29" s="507"/>
      <c r="K29" s="507"/>
      <c r="L29" s="507"/>
      <c r="M29" s="507"/>
      <c r="N29" s="507"/>
      <c r="O29" s="507"/>
      <c r="P29" s="507"/>
      <c r="Q29" s="507"/>
      <c r="R29" s="458"/>
    </row>
    <row r="30" s="448" customFormat="1" ht="18" customHeight="1" spans="1:18">
      <c r="A30" s="456"/>
      <c r="B30" s="508"/>
      <c r="C30" s="509" t="s">
        <v>556</v>
      </c>
      <c r="D30" s="510"/>
      <c r="E30" s="56" t="s">
        <v>557</v>
      </c>
      <c r="G30" s="508"/>
      <c r="H30" s="511" t="s">
        <v>541</v>
      </c>
      <c r="I30" s="511" t="s">
        <v>542</v>
      </c>
      <c r="J30" s="511" t="s">
        <v>543</v>
      </c>
      <c r="K30" s="511" t="s">
        <v>544</v>
      </c>
      <c r="L30" s="511" t="s">
        <v>558</v>
      </c>
      <c r="M30" s="511" t="s">
        <v>382</v>
      </c>
      <c r="N30" s="511" t="s">
        <v>546</v>
      </c>
      <c r="O30" s="511"/>
      <c r="P30" s="511"/>
      <c r="Q30" s="511"/>
      <c r="R30" s="458"/>
    </row>
    <row r="31" s="448" customFormat="1" ht="18" customHeight="1" spans="1:18">
      <c r="A31" s="456"/>
      <c r="B31" s="508" t="s">
        <v>547</v>
      </c>
      <c r="C31" s="512">
        <v>20</v>
      </c>
      <c r="D31" s="513"/>
      <c r="E31" s="511">
        <v>20</v>
      </c>
      <c r="G31" s="508" t="s">
        <v>547</v>
      </c>
      <c r="H31" s="511">
        <v>5</v>
      </c>
      <c r="I31" s="511">
        <v>5</v>
      </c>
      <c r="J31" s="511">
        <v>5</v>
      </c>
      <c r="K31" s="511">
        <v>5</v>
      </c>
      <c r="L31" s="511">
        <v>30</v>
      </c>
      <c r="M31" s="511">
        <v>50</v>
      </c>
      <c r="N31" s="514"/>
      <c r="O31" s="515"/>
      <c r="P31" s="515"/>
      <c r="Q31" s="516"/>
      <c r="R31" s="458"/>
    </row>
    <row r="32" ht="18" customHeight="1" spans="1:18">
      <c r="A32" s="456"/>
      <c r="B32" s="517" t="s">
        <v>512</v>
      </c>
      <c r="C32" s="518">
        <f>VLOOKUP(N12,PASHEET!$A$4:$CJ$105,22,0)</f>
        <v>0</v>
      </c>
      <c r="D32" s="519"/>
      <c r="E32" s="520">
        <f>VLOOKUP(N12,PASHEET!$A$4:$CJ$105,30,0)</f>
        <v>0</v>
      </c>
      <c r="F32" s="521"/>
      <c r="G32" s="517" t="s">
        <v>512</v>
      </c>
      <c r="H32" s="520">
        <f>VLOOKUP(N12,PASHEET!$A$4:$CJ$105,46,0)</f>
        <v>0</v>
      </c>
      <c r="I32" s="520">
        <f>VLOOKUP(N12,MARKS!$A$4:$CW$105,38,0)</f>
        <v>0</v>
      </c>
      <c r="J32" s="520">
        <f>VLOOKUP(N12,MARKS!$A$4:$CW$105,46,0)</f>
        <v>0</v>
      </c>
      <c r="K32" s="520">
        <f>VLOOKUP(N12,MARKS!$A$4:$CW$105,54,0)</f>
        <v>0</v>
      </c>
      <c r="L32" s="520">
        <f>VLOOKUP(N12,MARKS!$A$4:$CW$105,62,0)</f>
        <v>0</v>
      </c>
      <c r="M32" s="522">
        <f>SUM(H32:L32)</f>
        <v>0</v>
      </c>
      <c r="N32" s="523"/>
      <c r="O32" s="524"/>
      <c r="P32" s="525">
        <f>IF(M32="Ab","Ab",IF(M32="DAB","DAB",IF(M32&gt;40,"A",IF(M32&gt;30,"B",IF(M32&gt;22,"C",IF(M32&gt;15,"D",IF(M32&gt;0,"E",0)))))))</f>
        <v>0</v>
      </c>
      <c r="Q32" s="519"/>
      <c r="R32" s="458"/>
    </row>
    <row r="33" ht="18" customHeight="1" spans="1:18">
      <c r="A33" s="456"/>
      <c r="B33" s="517" t="s">
        <v>513</v>
      </c>
      <c r="C33" s="518">
        <f>VLOOKUP(N12,PASHEET!$A$4:$CJ$105,23,0)</f>
        <v>0</v>
      </c>
      <c r="D33" s="519"/>
      <c r="E33" s="520">
        <f>VLOOKUP(N12,PASHEET!$A$4:$CJ$105,31,0)</f>
        <v>0</v>
      </c>
      <c r="F33" s="521"/>
      <c r="G33" s="517" t="s">
        <v>513</v>
      </c>
      <c r="H33" s="520">
        <f>VLOOKUP(N12,PASHEET!$A$4:$CJ$105,47,0)</f>
        <v>0</v>
      </c>
      <c r="I33" s="520">
        <f>VLOOKUP(N12,MARKS!$A$4:$CW$105,39,0)</f>
        <v>0</v>
      </c>
      <c r="J33" s="520">
        <f>VLOOKUP(N12,MARKS!$A$4:$CW$105,47,0)</f>
        <v>0</v>
      </c>
      <c r="K33" s="520">
        <f>VLOOKUP(N12,MARKS!$A$4:$CW$105,55,0)</f>
        <v>0</v>
      </c>
      <c r="L33" s="520">
        <f>VLOOKUP(N12,MARKS!$A$4:$CW$105,63,0)</f>
        <v>0</v>
      </c>
      <c r="M33" s="522">
        <f t="shared" ref="M33:M38" si="3">SUM(H33:L33)</f>
        <v>0</v>
      </c>
      <c r="N33" s="523"/>
      <c r="O33" s="524"/>
      <c r="P33" s="525">
        <f t="shared" ref="P33:P38" si="4">IF(M33="Ab","Ab",IF(M33="DAB","DAB",IF(M33&gt;40,"A",IF(M33&gt;30,"B",IF(M33&gt;22,"C",IF(M33&gt;15,"D",IF(M33&gt;0,"E",0)))))))</f>
        <v>0</v>
      </c>
      <c r="Q33" s="519"/>
      <c r="R33" s="458"/>
    </row>
    <row r="34" ht="18" customHeight="1" spans="1:18">
      <c r="A34" s="456"/>
      <c r="B34" s="517" t="s">
        <v>514</v>
      </c>
      <c r="C34" s="518">
        <f>VLOOKUP(N12,PASHEET!$A$4:$CJ$105,24,0)</f>
        <v>0</v>
      </c>
      <c r="D34" s="519"/>
      <c r="E34" s="520">
        <f>VLOOKUP(N12,PASHEET!$A$4:$CJ$105,32,0)</f>
        <v>0</v>
      </c>
      <c r="F34" s="521"/>
      <c r="G34" s="517" t="s">
        <v>514</v>
      </c>
      <c r="H34" s="520">
        <f>VLOOKUP(N12,PASHEET!$A$4:$CJ$105,48,0)</f>
        <v>0</v>
      </c>
      <c r="I34" s="520">
        <f>VLOOKUP(N12,MARKS!$A$4:$CW$105,40,0)</f>
        <v>0</v>
      </c>
      <c r="J34" s="520">
        <f>VLOOKUP(N12,MARKS!$A$4:$CW$105,48,0)</f>
        <v>0</v>
      </c>
      <c r="K34" s="520">
        <f>VLOOKUP(N12,MARKS!$A$4:$CW$105,56,0)</f>
        <v>0</v>
      </c>
      <c r="L34" s="520">
        <f>VLOOKUP(N12,MARKS!$A$4:$CW$105,64,0)</f>
        <v>0</v>
      </c>
      <c r="M34" s="522">
        <f t="shared" si="3"/>
        <v>0</v>
      </c>
      <c r="N34" s="523"/>
      <c r="O34" s="524"/>
      <c r="P34" s="525">
        <f t="shared" si="4"/>
        <v>0</v>
      </c>
      <c r="Q34" s="519"/>
      <c r="R34" s="458"/>
    </row>
    <row r="35" ht="18" customHeight="1" spans="1:18">
      <c r="A35" s="456"/>
      <c r="B35" s="517" t="s">
        <v>351</v>
      </c>
      <c r="C35" s="518">
        <f>VLOOKUP(N12,PASHEET!$A$4:$CJ$105,25,0)</f>
        <v>0</v>
      </c>
      <c r="D35" s="519"/>
      <c r="E35" s="520">
        <f>VLOOKUP(N12,PASHEET!$A$4:$CJ$105,33,0)</f>
        <v>0</v>
      </c>
      <c r="F35" s="521"/>
      <c r="G35" s="517" t="s">
        <v>351</v>
      </c>
      <c r="H35" s="520">
        <f>VLOOKUP(N12,PASHEET!$A$4:$CJ$105,49,0)</f>
        <v>0</v>
      </c>
      <c r="I35" s="520">
        <f>VLOOKUP(N12,MARKS!$A$4:$CW$105,41,0)</f>
        <v>0</v>
      </c>
      <c r="J35" s="520">
        <f>VLOOKUP(N12,MARKS!$A$4:$CW$105,49,0)</f>
        <v>0</v>
      </c>
      <c r="K35" s="520">
        <f>VLOOKUP(N12,MARKS!$A$4:$CW$105,57,0)</f>
        <v>0</v>
      </c>
      <c r="L35" s="520">
        <f>VLOOKUP(N12,MARKS!$A$4:$CW$105,65,0)</f>
        <v>0</v>
      </c>
      <c r="M35" s="522">
        <f t="shared" si="3"/>
        <v>0</v>
      </c>
      <c r="N35" s="523"/>
      <c r="O35" s="524"/>
      <c r="P35" s="525">
        <f t="shared" si="4"/>
        <v>0</v>
      </c>
      <c r="Q35" s="519"/>
      <c r="R35" s="458"/>
    </row>
    <row r="36" ht="18" customHeight="1" spans="1:18">
      <c r="A36" s="456"/>
      <c r="B36" s="517" t="s">
        <v>548</v>
      </c>
      <c r="C36" s="518">
        <f>VLOOKUP(N12,PASHEET!$A$4:$CJ$105,26,0)</f>
        <v>0</v>
      </c>
      <c r="D36" s="519"/>
      <c r="E36" s="520">
        <f>VLOOKUP(N12,PASHEET!$A$4:$CJ$105,34,0)</f>
        <v>0</v>
      </c>
      <c r="F36" s="521"/>
      <c r="G36" s="517" t="s">
        <v>548</v>
      </c>
      <c r="H36" s="520">
        <f>VLOOKUP(N12,PASHEET!$A$4:$CJ$105,50,0)</f>
        <v>0</v>
      </c>
      <c r="I36" s="520">
        <f>VLOOKUP(N12,MARKS!$A$4:$CW$105,42,0)</f>
        <v>0</v>
      </c>
      <c r="J36" s="520">
        <f>VLOOKUP(N12,MARKS!$A$4:$CW$105,50,0)</f>
        <v>0</v>
      </c>
      <c r="K36" s="520">
        <f>VLOOKUP(N12,MARKS!$A$4:$CW$105,58,0)</f>
        <v>0</v>
      </c>
      <c r="L36" s="520">
        <f>VLOOKUP(N12,MARKS!$A$4:$CW$105,66,0)</f>
        <v>0</v>
      </c>
      <c r="M36" s="522">
        <f t="shared" si="3"/>
        <v>0</v>
      </c>
      <c r="N36" s="523"/>
      <c r="O36" s="524"/>
      <c r="P36" s="525">
        <f t="shared" si="4"/>
        <v>0</v>
      </c>
      <c r="Q36" s="519"/>
      <c r="R36" s="458"/>
    </row>
    <row r="37" ht="18" customHeight="1" spans="1:18">
      <c r="A37" s="456"/>
      <c r="B37" s="517" t="s">
        <v>549</v>
      </c>
      <c r="C37" s="518">
        <f>VLOOKUP(N12,PASHEET!$A$4:$CJ$105,27,0)</f>
        <v>0</v>
      </c>
      <c r="D37" s="519"/>
      <c r="E37" s="520">
        <f>VLOOKUP(N12,PASHEET!$A$4:$CJ$105,35,0)</f>
        <v>0</v>
      </c>
      <c r="F37" s="521"/>
      <c r="G37" s="517" t="s">
        <v>549</v>
      </c>
      <c r="H37" s="520">
        <f>VLOOKUP(N12,PASHEET!$A$4:$CJ$105,51,0)</f>
        <v>0</v>
      </c>
      <c r="I37" s="520">
        <f>VLOOKUP(N12,MARKS!$A$4:$CW$105,43,0)</f>
        <v>0</v>
      </c>
      <c r="J37" s="520">
        <f>VLOOKUP(N12,MARKS!$A$4:$CW$105,51,0)</f>
        <v>0</v>
      </c>
      <c r="K37" s="520">
        <f>VLOOKUP(N12,MARKS!$A$4:$CW$105,59,0)</f>
        <v>0</v>
      </c>
      <c r="L37" s="520">
        <f>VLOOKUP(N12,MARKS!$A$4:$CW$105,67,0)</f>
        <v>0</v>
      </c>
      <c r="M37" s="522">
        <f t="shared" si="3"/>
        <v>0</v>
      </c>
      <c r="N37" s="523"/>
      <c r="O37" s="524"/>
      <c r="P37" s="525">
        <f t="shared" si="4"/>
        <v>0</v>
      </c>
      <c r="Q37" s="519"/>
      <c r="R37" s="458"/>
    </row>
    <row r="38" ht="18" customHeight="1" spans="1:18">
      <c r="A38" s="456"/>
      <c r="B38" s="517" t="s">
        <v>550</v>
      </c>
      <c r="C38" s="518">
        <f>VLOOKUP(N12,PASHEET!$A$4:$CJ$105,28,0)</f>
        <v>0</v>
      </c>
      <c r="D38" s="519"/>
      <c r="E38" s="520">
        <f>VLOOKUP(N12,PASHEET!$A$4:$CJ$105,36,0)</f>
        <v>0</v>
      </c>
      <c r="F38" s="521"/>
      <c r="G38" s="517" t="s">
        <v>550</v>
      </c>
      <c r="H38" s="520">
        <f>VLOOKUP(N12,PASHEET!$A$4:$CJ$105,52,0)</f>
        <v>0</v>
      </c>
      <c r="I38" s="520">
        <f>VLOOKUP(N12,MARKS!$A$4:$CW$105,44,0)</f>
        <v>0</v>
      </c>
      <c r="J38" s="520">
        <f>VLOOKUP(N12,MARKS!$A$4:$CW$105,52,0)</f>
        <v>0</v>
      </c>
      <c r="K38" s="520">
        <f>VLOOKUP(N12,MARKS!$A$4:$CW$105,60,0)</f>
        <v>0</v>
      </c>
      <c r="L38" s="520">
        <f>VLOOKUP(N12,MARKS!$A$4:$CW$105,68,0)</f>
        <v>0</v>
      </c>
      <c r="M38" s="522">
        <f t="shared" si="3"/>
        <v>0</v>
      </c>
      <c r="N38" s="523"/>
      <c r="O38" s="524"/>
      <c r="P38" s="525">
        <f t="shared" si="4"/>
        <v>0</v>
      </c>
      <c r="Q38" s="519"/>
      <c r="R38" s="458"/>
    </row>
    <row r="39" ht="18" customHeight="1" spans="1:18">
      <c r="A39" s="456"/>
      <c r="B39" s="526" t="s">
        <v>382</v>
      </c>
      <c r="C39" s="518">
        <f>SUM(C32:C38)</f>
        <v>0</v>
      </c>
      <c r="D39" s="519"/>
      <c r="E39" s="520">
        <f>SUM(E32:E38)</f>
        <v>0</v>
      </c>
      <c r="F39" s="521"/>
      <c r="G39" s="517" t="s">
        <v>382</v>
      </c>
      <c r="H39" s="520">
        <f>IF(E53&gt;0,SUM(H32:H38),"")</f>
        <v>0</v>
      </c>
      <c r="I39" s="520">
        <f>IF(E53&gt;0,SUM(I32:I38),"")</f>
        <v>0</v>
      </c>
      <c r="J39" s="520">
        <f>IF(E53&gt;0,SUM(J32:J38),"")</f>
        <v>0</v>
      </c>
      <c r="K39" s="520">
        <f>IF(E53&gt;0,SUM(K32:K38),"")</f>
        <v>0</v>
      </c>
      <c r="L39" s="520" t="str">
        <f>IF(E53="","",SUM(L32:L38))</f>
        <v/>
      </c>
      <c r="M39" s="522" t="str">
        <f>IF(L39="","",IF(L39=0,"Ab",SUM(M32:M38)))</f>
        <v/>
      </c>
      <c r="N39" s="514"/>
      <c r="O39" s="527"/>
      <c r="P39" s="512" t="str">
        <f>IF(M39="","",IF(M39="Ab","Ab",IF(M39="DAB","DAB",IF(M39&gt;240,"A",IF(M39&gt;180,"B",IF(M39&gt;132,"C",IF(M39&gt;99,"D",IF(M39&gt;0,"E",0))))))))</f>
        <v/>
      </c>
      <c r="Q39" s="528"/>
      <c r="R39" s="458"/>
    </row>
    <row r="40" s="412" customFormat="1" ht="18" customHeight="1" spans="1:18">
      <c r="A40" s="456"/>
      <c r="B40" s="529" t="s">
        <v>551</v>
      </c>
      <c r="C40" s="529"/>
      <c r="D40" s="530"/>
      <c r="E40" s="531">
        <f>IFERROR(IF(E53&gt;0,E53-E27,""),0)</f>
        <v>0</v>
      </c>
      <c r="H40" s="529" t="s">
        <v>552</v>
      </c>
      <c r="I40" s="529"/>
      <c r="J40" s="529"/>
      <c r="K40" s="531" t="str">
        <f>IF(K53&gt;0,K53-K27,"")</f>
        <v/>
      </c>
      <c r="L40" s="440"/>
      <c r="M40" s="529" t="s">
        <v>553</v>
      </c>
      <c r="N40" s="529"/>
      <c r="O40" s="532"/>
      <c r="P40" s="533">
        <f>IFERROR(IF(K40&gt;0,K40/E40*100,""),0)</f>
        <v>0</v>
      </c>
      <c r="Q40" s="422"/>
      <c r="R40" s="458"/>
    </row>
    <row r="41" ht="9.95" customHeight="1" spans="1:18">
      <c r="A41" s="456"/>
      <c r="R41" s="458"/>
    </row>
    <row r="42" s="448" customFormat="1" ht="18" customHeight="1" spans="1:18">
      <c r="A42" s="456"/>
      <c r="B42" s="467"/>
      <c r="C42" s="467"/>
      <c r="D42" s="467"/>
      <c r="E42" s="467"/>
      <c r="G42" s="507" t="s">
        <v>559</v>
      </c>
      <c r="H42" s="507"/>
      <c r="I42" s="507"/>
      <c r="J42" s="507"/>
      <c r="K42" s="507"/>
      <c r="L42" s="507"/>
      <c r="M42" s="507"/>
      <c r="N42" s="507"/>
      <c r="O42" s="507"/>
      <c r="P42" s="507"/>
      <c r="Q42" s="507"/>
      <c r="R42" s="458"/>
    </row>
    <row r="43" ht="18" customHeight="1" spans="1:18">
      <c r="A43" s="456"/>
      <c r="B43" s="534" t="s">
        <v>560</v>
      </c>
      <c r="C43" s="535"/>
      <c r="E43" s="536"/>
      <c r="F43" s="537"/>
      <c r="G43" s="538"/>
      <c r="H43" s="511" t="s">
        <v>541</v>
      </c>
      <c r="I43" s="511" t="s">
        <v>542</v>
      </c>
      <c r="J43" s="511" t="s">
        <v>543</v>
      </c>
      <c r="K43" s="511" t="s">
        <v>544</v>
      </c>
      <c r="L43" s="511" t="s">
        <v>561</v>
      </c>
      <c r="M43" s="511" t="s">
        <v>382</v>
      </c>
      <c r="N43" s="511" t="s">
        <v>546</v>
      </c>
      <c r="P43" s="539" t="s">
        <v>562</v>
      </c>
      <c r="Q43" s="540"/>
      <c r="R43" s="458"/>
    </row>
    <row r="44" ht="18" customHeight="1" spans="1:18">
      <c r="A44" s="456"/>
      <c r="B44" s="541"/>
      <c r="C44" s="542"/>
      <c r="E44" s="543" t="s">
        <v>547</v>
      </c>
      <c r="F44" s="544"/>
      <c r="G44" s="545"/>
      <c r="H44" s="511">
        <v>10</v>
      </c>
      <c r="I44" s="511">
        <v>10</v>
      </c>
      <c r="J44" s="511">
        <v>10</v>
      </c>
      <c r="K44" s="511">
        <v>10</v>
      </c>
      <c r="L44" s="511">
        <v>60</v>
      </c>
      <c r="M44" s="511">
        <v>100</v>
      </c>
      <c r="N44" s="511"/>
      <c r="P44" s="546"/>
      <c r="Q44" s="547"/>
      <c r="R44" s="458"/>
    </row>
    <row r="45" ht="18" customHeight="1" spans="1:18">
      <c r="A45" s="456"/>
      <c r="B45" s="541"/>
      <c r="C45" s="542"/>
      <c r="E45" s="548" t="s">
        <v>512</v>
      </c>
      <c r="F45" s="548"/>
      <c r="G45" s="548"/>
      <c r="H45" s="520" t="str">
        <f>IF(H32&gt;0,H19+H32,"")</f>
        <v/>
      </c>
      <c r="I45" s="520" t="str">
        <f t="shared" ref="I45:M45" si="5">IF(I32&gt;0,I19+I32,"")</f>
        <v/>
      </c>
      <c r="J45" s="520" t="str">
        <f t="shared" si="5"/>
        <v/>
      </c>
      <c r="K45" s="520" t="str">
        <f t="shared" si="5"/>
        <v/>
      </c>
      <c r="L45" s="520" t="str">
        <f t="shared" si="5"/>
        <v/>
      </c>
      <c r="M45" s="522" t="str">
        <f t="shared" si="5"/>
        <v/>
      </c>
      <c r="N45" s="522" t="str">
        <f>IF(M45="","",IF(M45="Ab","Ab",IF(M45="DAB","DAB",IF(M45&gt;80,"A",IF(M45&gt;60,"B",IF(M45&gt;44,"C",IF(M45&gt;32,"D",IF(M45&gt;0,"E",0))))))))</f>
        <v/>
      </c>
      <c r="P45" s="546"/>
      <c r="Q45" s="547"/>
      <c r="R45" s="458"/>
    </row>
    <row r="46" ht="18" customHeight="1" spans="1:18">
      <c r="A46" s="456"/>
      <c r="B46" s="541"/>
      <c r="C46" s="542"/>
      <c r="E46" s="548" t="s">
        <v>513</v>
      </c>
      <c r="F46" s="548"/>
      <c r="G46" s="548"/>
      <c r="H46" s="520" t="str">
        <f t="shared" ref="H46:M46" si="6">IF(H33&gt;0,H20+H33,"")</f>
        <v/>
      </c>
      <c r="I46" s="520" t="str">
        <f t="shared" si="6"/>
        <v/>
      </c>
      <c r="J46" s="520" t="str">
        <f t="shared" si="6"/>
        <v/>
      </c>
      <c r="K46" s="520" t="str">
        <f t="shared" si="6"/>
        <v/>
      </c>
      <c r="L46" s="520" t="str">
        <f t="shared" si="6"/>
        <v/>
      </c>
      <c r="M46" s="522" t="str">
        <f t="shared" si="6"/>
        <v/>
      </c>
      <c r="N46" s="522" t="str">
        <f t="shared" ref="N46:N51" si="7">IF(M46="","",IF(M46="Ab","Ab",IF(M46="DAB","DAB",IF(M46&gt;80,"A",IF(M46&gt;60,"B",IF(M46&gt;44,"C",IF(M46&gt;32,"D",IF(M46&gt;0,"E",0))))))))</f>
        <v/>
      </c>
      <c r="P46" s="546"/>
      <c r="Q46" s="547"/>
      <c r="R46" s="458"/>
    </row>
    <row r="47" ht="18" customHeight="1" spans="1:18">
      <c r="A47" s="456"/>
      <c r="B47" s="541"/>
      <c r="C47" s="542"/>
      <c r="E47" s="548" t="s">
        <v>514</v>
      </c>
      <c r="F47" s="548"/>
      <c r="G47" s="548"/>
      <c r="H47" s="520" t="str">
        <f t="shared" ref="H47:M47" si="8">IF(H34&gt;0,H21+H34,"")</f>
        <v/>
      </c>
      <c r="I47" s="520" t="str">
        <f t="shared" si="8"/>
        <v/>
      </c>
      <c r="J47" s="520" t="str">
        <f t="shared" si="8"/>
        <v/>
      </c>
      <c r="K47" s="520" t="str">
        <f t="shared" si="8"/>
        <v/>
      </c>
      <c r="L47" s="520" t="str">
        <f t="shared" si="8"/>
        <v/>
      </c>
      <c r="M47" s="522" t="str">
        <f t="shared" si="8"/>
        <v/>
      </c>
      <c r="N47" s="522" t="str">
        <f t="shared" si="7"/>
        <v/>
      </c>
      <c r="P47" s="549"/>
      <c r="Q47" s="550"/>
      <c r="R47" s="458"/>
    </row>
    <row r="48" ht="18" customHeight="1" spans="1:18">
      <c r="A48" s="456"/>
      <c r="B48" s="541"/>
      <c r="C48" s="542"/>
      <c r="E48" s="548" t="s">
        <v>351</v>
      </c>
      <c r="F48" s="548"/>
      <c r="G48" s="548"/>
      <c r="H48" s="520" t="str">
        <f t="shared" ref="H48:M48" si="9">IF(H35&gt;0,H22+H35,"")</f>
        <v/>
      </c>
      <c r="I48" s="520" t="str">
        <f t="shared" si="9"/>
        <v/>
      </c>
      <c r="J48" s="520" t="str">
        <f t="shared" si="9"/>
        <v/>
      </c>
      <c r="K48" s="520" t="str">
        <f t="shared" si="9"/>
        <v/>
      </c>
      <c r="L48" s="520" t="str">
        <f t="shared" si="9"/>
        <v/>
      </c>
      <c r="M48" s="522" t="str">
        <f t="shared" si="9"/>
        <v/>
      </c>
      <c r="N48" s="522" t="str">
        <f t="shared" si="7"/>
        <v/>
      </c>
      <c r="P48" s="539" t="s">
        <v>563</v>
      </c>
      <c r="Q48" s="540"/>
      <c r="R48" s="458"/>
    </row>
    <row r="49" ht="18" customHeight="1" spans="1:18">
      <c r="A49" s="456"/>
      <c r="B49" s="541"/>
      <c r="C49" s="542"/>
      <c r="E49" s="548" t="s">
        <v>548</v>
      </c>
      <c r="F49" s="548"/>
      <c r="G49" s="548"/>
      <c r="H49" s="520" t="str">
        <f t="shared" ref="H49:M49" si="10">IF(H36&gt;0,H23+H36,"")</f>
        <v/>
      </c>
      <c r="I49" s="520" t="str">
        <f t="shared" si="10"/>
        <v/>
      </c>
      <c r="J49" s="520" t="str">
        <f t="shared" si="10"/>
        <v/>
      </c>
      <c r="K49" s="520" t="str">
        <f t="shared" si="10"/>
        <v/>
      </c>
      <c r="L49" s="520" t="str">
        <f t="shared" si="10"/>
        <v/>
      </c>
      <c r="M49" s="522" t="str">
        <f t="shared" si="10"/>
        <v/>
      </c>
      <c r="N49" s="522" t="str">
        <f t="shared" si="7"/>
        <v/>
      </c>
      <c r="P49" s="546"/>
      <c r="Q49" s="547"/>
      <c r="R49" s="458"/>
    </row>
    <row r="50" ht="18" customHeight="1" spans="1:18">
      <c r="A50" s="456"/>
      <c r="B50" s="541"/>
      <c r="C50" s="542"/>
      <c r="E50" s="548" t="s">
        <v>549</v>
      </c>
      <c r="F50" s="548"/>
      <c r="G50" s="548"/>
      <c r="H50" s="520" t="str">
        <f t="shared" ref="H50:M50" si="11">IF(H37&gt;0,H24+H37,"")</f>
        <v/>
      </c>
      <c r="I50" s="520" t="str">
        <f t="shared" si="11"/>
        <v/>
      </c>
      <c r="J50" s="520" t="str">
        <f t="shared" si="11"/>
        <v/>
      </c>
      <c r="K50" s="520" t="str">
        <f t="shared" si="11"/>
        <v/>
      </c>
      <c r="L50" s="520" t="str">
        <f t="shared" si="11"/>
        <v/>
      </c>
      <c r="M50" s="522" t="str">
        <f t="shared" si="11"/>
        <v/>
      </c>
      <c r="N50" s="522" t="str">
        <f t="shared" si="7"/>
        <v/>
      </c>
      <c r="P50" s="546"/>
      <c r="Q50" s="547"/>
      <c r="R50" s="458"/>
    </row>
    <row r="51" ht="18" customHeight="1" spans="1:18">
      <c r="A51" s="456"/>
      <c r="B51" s="541"/>
      <c r="C51" s="542"/>
      <c r="E51" s="548" t="s">
        <v>550</v>
      </c>
      <c r="F51" s="548"/>
      <c r="G51" s="548"/>
      <c r="H51" s="520" t="str">
        <f t="shared" ref="H51:M51" si="12">IF(H38&gt;0,H25+H38,"")</f>
        <v/>
      </c>
      <c r="I51" s="520" t="str">
        <f t="shared" si="12"/>
        <v/>
      </c>
      <c r="J51" s="520" t="str">
        <f t="shared" si="12"/>
        <v/>
      </c>
      <c r="K51" s="520" t="str">
        <f t="shared" si="12"/>
        <v/>
      </c>
      <c r="L51" s="520" t="str">
        <f t="shared" si="12"/>
        <v/>
      </c>
      <c r="M51" s="522" t="str">
        <f t="shared" si="12"/>
        <v/>
      </c>
      <c r="N51" s="522" t="str">
        <f t="shared" si="7"/>
        <v/>
      </c>
      <c r="P51" s="546"/>
      <c r="Q51" s="547"/>
      <c r="R51" s="458"/>
    </row>
    <row r="52" ht="18" customHeight="1" spans="1:18">
      <c r="A52" s="456"/>
      <c r="B52" s="551"/>
      <c r="C52" s="552"/>
      <c r="E52" s="553" t="s">
        <v>382</v>
      </c>
      <c r="F52" s="553"/>
      <c r="G52" s="553"/>
      <c r="H52" s="522">
        <f>IF(E53&gt;0,SUM(H45:H51),"")</f>
        <v>0</v>
      </c>
      <c r="I52" s="522">
        <f>IF(E53&gt;0,SUM(I45:I51),"")</f>
        <v>0</v>
      </c>
      <c r="J52" s="522">
        <f>IF(E53&gt;0,SUM(J45:J51),"")</f>
        <v>0</v>
      </c>
      <c r="K52" s="522">
        <f>IF(E53&gt;0,SUM(K45:K51),"")</f>
        <v>0</v>
      </c>
      <c r="L52" s="522" t="str">
        <f>IF(E53="","",SUM(L45:L51))</f>
        <v/>
      </c>
      <c r="M52" s="511" t="str">
        <f>IF(L52="","",IF(L52=0,"Ab",SUM(M45:M51)))</f>
        <v/>
      </c>
      <c r="N52" s="511" t="str">
        <f>IF(M52="","",IF(M52="Ab","Ab",IF(M52="DAB","DAB",IF(M52&gt;480,"A",IF(M52&gt;360,"B",IF(M52&gt;264,"C",IF(M52&gt;192,"D",IF(M52&gt;0,"E",0))))))))</f>
        <v/>
      </c>
      <c r="P52" s="549"/>
      <c r="Q52" s="550"/>
      <c r="R52" s="458"/>
    </row>
    <row r="53" s="412" customFormat="1" ht="18" customHeight="1" spans="1:18">
      <c r="A53" s="456"/>
      <c r="B53" s="529" t="s">
        <v>551</v>
      </c>
      <c r="C53" s="529"/>
      <c r="D53" s="530"/>
      <c r="E53" s="530" t="str">
        <f>IF(ENTRY!$D$26&gt;0,ENTRY!$D$26,"")</f>
        <v/>
      </c>
      <c r="H53" s="529" t="s">
        <v>552</v>
      </c>
      <c r="I53" s="529"/>
      <c r="J53" s="529"/>
      <c r="K53" s="531">
        <f>VLOOKUP(N12,PASHEET!$A$4:$CJ$105,87,0)</f>
        <v>0</v>
      </c>
      <c r="L53" s="554" t="str">
        <f>IF(M52="","",IF(M52="Ab","Ab",M52/6))</f>
        <v/>
      </c>
      <c r="M53" s="529" t="s">
        <v>553</v>
      </c>
      <c r="N53" s="529"/>
      <c r="O53" s="532"/>
      <c r="P53" s="533" t="str">
        <f>IF(K53&gt;0,K53/E53*100,"")</f>
        <v/>
      </c>
      <c r="Q53" s="422"/>
      <c r="R53" s="458"/>
    </row>
    <row r="54" s="412" customFormat="1" ht="18" customHeight="1" spans="1:18">
      <c r="A54" s="456"/>
      <c r="B54" s="529"/>
      <c r="C54" s="529"/>
      <c r="D54" s="440"/>
      <c r="E54" s="555"/>
      <c r="H54" s="529"/>
      <c r="I54" s="529"/>
      <c r="J54" s="529"/>
      <c r="K54" s="422"/>
      <c r="L54" s="422"/>
      <c r="M54" s="529"/>
      <c r="N54" s="529"/>
      <c r="O54" s="422"/>
      <c r="P54" s="422"/>
      <c r="Q54" s="422"/>
      <c r="R54" s="458"/>
    </row>
    <row r="55" s="449" customFormat="1" ht="18" customHeight="1" spans="1:18">
      <c r="A55" s="456"/>
      <c r="D55" s="556"/>
      <c r="E55" s="556"/>
      <c r="H55" s="557" t="s">
        <v>564</v>
      </c>
      <c r="I55" s="558" t="str">
        <f>IF(M52="","",M52)</f>
        <v/>
      </c>
      <c r="J55" s="559" t="str">
        <f>IF(M52="","",IF(M52&gt;0,"/ 600",""))</f>
        <v/>
      </c>
      <c r="K55" s="560" t="str">
        <f>IF(M52="","",IF(M52="Ab","Ab",M52/6))</f>
        <v/>
      </c>
      <c r="L55" s="556"/>
      <c r="O55" s="556"/>
      <c r="P55" s="556"/>
      <c r="Q55" s="556"/>
      <c r="R55" s="458"/>
    </row>
    <row r="56" s="450" customFormat="1" ht="18" customHeight="1" spans="1:18">
      <c r="A56" s="456"/>
      <c r="H56" s="451" t="s">
        <v>565</v>
      </c>
      <c r="I56" s="512" t="str">
        <f>IF(L53="","",IF(L53="Ab","P.U.N.D.P.",IF(AND(M45&lt;33),"P.U.N.D.P.",IF(AND(M46&lt;33),"P.U.N.D.P.",IF(AND(M47&lt;33),"P.U.N.D.P.",IF(AND(M48&lt;33),"P.U.N.D.P.",IF(AND(M49&lt;33),"P.U.N.D.P.",IF(AND(M50&lt;33),"P.U.N.D.P.",IF(AND(L53&gt;32.99),"PASSED",)))))))))</f>
        <v/>
      </c>
      <c r="J56" s="512"/>
      <c r="K56" s="560"/>
      <c r="R56" s="458"/>
    </row>
    <row r="57" s="450" customFormat="1" ht="18" customHeight="1" spans="1:18">
      <c r="A57" s="456"/>
      <c r="H57" s="451"/>
      <c r="I57" s="561"/>
      <c r="J57" s="561"/>
      <c r="K57" s="562"/>
      <c r="R57" s="458"/>
    </row>
    <row r="58" s="450" customFormat="1" ht="18" customHeight="1" spans="1:18">
      <c r="A58" s="456"/>
      <c r="H58" s="451"/>
      <c r="I58" s="561"/>
      <c r="J58" s="561"/>
      <c r="K58" s="562"/>
      <c r="R58" s="458"/>
    </row>
    <row r="59" spans="1:18">
      <c r="A59" s="456"/>
      <c r="C59" s="563" t="str">
        <f>PROPER(ENTRY!$D$19)</f>
        <v>Indrajeet</v>
      </c>
      <c r="D59" s="563"/>
      <c r="E59" s="563"/>
      <c r="F59" s="563"/>
      <c r="G59" s="563"/>
      <c r="L59" s="563" t="str">
        <f>PROPER(ENTRY!$D$12)</f>
        <v>Shambhu Dayal Meena</v>
      </c>
      <c r="M59" s="563"/>
      <c r="N59" s="563"/>
      <c r="R59" s="458"/>
    </row>
    <row r="60" s="451" customFormat="1" ht="18" customHeight="1" spans="1:18">
      <c r="A60" s="456"/>
      <c r="C60" s="507" t="s">
        <v>566</v>
      </c>
      <c r="D60" s="507"/>
      <c r="E60" s="507"/>
      <c r="F60" s="507"/>
      <c r="G60" s="507"/>
      <c r="L60" s="507" t="s">
        <v>567</v>
      </c>
      <c r="M60" s="507"/>
      <c r="N60" s="507"/>
      <c r="R60" s="458"/>
    </row>
    <row r="61" spans="1:18">
      <c r="A61" s="456"/>
      <c r="R61" s="458"/>
    </row>
    <row r="62" ht="5.1" customHeight="1" spans="1:18">
      <c r="A62" s="564"/>
      <c r="B62" s="565"/>
      <c r="C62" s="565"/>
      <c r="D62" s="565"/>
      <c r="E62" s="565"/>
      <c r="F62" s="565"/>
      <c r="G62" s="565"/>
      <c r="H62" s="565"/>
      <c r="I62" s="565"/>
      <c r="J62" s="565"/>
      <c r="K62" s="565"/>
      <c r="L62" s="565"/>
      <c r="M62" s="565"/>
      <c r="N62" s="565"/>
      <c r="O62" s="565"/>
      <c r="P62" s="565"/>
      <c r="Q62" s="565"/>
      <c r="R62" s="566"/>
    </row>
    <row r="63" spans="1:18">
      <c r="A63" s="459"/>
      <c r="Q63" s="459"/>
      <c r="R63" s="567"/>
    </row>
  </sheetData>
  <sheetProtection password="BF6F" sheet="1" formatCells="0" formatColumns="0" formatRows="0" objects="1" scenarios="1"/>
  <mergeCells count="67">
    <mergeCell ref="B1:Q1"/>
    <mergeCell ref="B2:Q2"/>
    <mergeCell ref="G3:L3"/>
    <mergeCell ref="B4:Q4"/>
    <mergeCell ref="B6:D6"/>
    <mergeCell ref="E6:N6"/>
    <mergeCell ref="B8:F8"/>
    <mergeCell ref="G8:H8"/>
    <mergeCell ref="I8:J8"/>
    <mergeCell ref="L8:N8"/>
    <mergeCell ref="P8:Q8"/>
    <mergeCell ref="B10:C10"/>
    <mergeCell ref="D10:I10"/>
    <mergeCell ref="J10:K10"/>
    <mergeCell ref="L10:N10"/>
    <mergeCell ref="B11:C11"/>
    <mergeCell ref="D11:I11"/>
    <mergeCell ref="J11:K11"/>
    <mergeCell ref="L11:N11"/>
    <mergeCell ref="B12:C12"/>
    <mergeCell ref="D12:I12"/>
    <mergeCell ref="J12:K12"/>
    <mergeCell ref="B13:C13"/>
    <mergeCell ref="D13:I13"/>
    <mergeCell ref="J13:K13"/>
    <mergeCell ref="L13:N13"/>
    <mergeCell ref="B14:C14"/>
    <mergeCell ref="D14:N14"/>
    <mergeCell ref="B16:E16"/>
    <mergeCell ref="G16:Q16"/>
    <mergeCell ref="N17:Q17"/>
    <mergeCell ref="B27:C27"/>
    <mergeCell ref="H27:J27"/>
    <mergeCell ref="M27:N27"/>
    <mergeCell ref="B29:E29"/>
    <mergeCell ref="G29:Q29"/>
    <mergeCell ref="N30:Q30"/>
    <mergeCell ref="B40:C40"/>
    <mergeCell ref="H40:J40"/>
    <mergeCell ref="M40:N40"/>
    <mergeCell ref="B42:E42"/>
    <mergeCell ref="G42:Q42"/>
    <mergeCell ref="E44:G44"/>
    <mergeCell ref="E45:G45"/>
    <mergeCell ref="E46:G46"/>
    <mergeCell ref="E47:G47"/>
    <mergeCell ref="E48:G48"/>
    <mergeCell ref="E49:G49"/>
    <mergeCell ref="E50:G50"/>
    <mergeCell ref="E51:G51"/>
    <mergeCell ref="E52:G52"/>
    <mergeCell ref="B53:C53"/>
    <mergeCell ref="H53:J53"/>
    <mergeCell ref="M53:N53"/>
    <mergeCell ref="I56:J56"/>
    <mergeCell ref="C59:G59"/>
    <mergeCell ref="L59:N59"/>
    <mergeCell ref="C60:G60"/>
    <mergeCell ref="L60:N60"/>
    <mergeCell ref="B62:Q62"/>
    <mergeCell ref="A1:A62"/>
    <mergeCell ref="K55:K56"/>
    <mergeCell ref="R1:R62"/>
    <mergeCell ref="B43:C52"/>
    <mergeCell ref="P43:Q47"/>
    <mergeCell ref="P48:Q52"/>
    <mergeCell ref="P9:Q15"/>
  </mergeCells>
  <pageMargins left="0.28" right="0.27" top="0.42" bottom="0.38" header="0.3" footer="0.28"/>
  <pageSetup paperSize="9" scale="68" orientation="portrait" horizontalDpi="300" verticalDpi="300"/>
  <headerFooter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C3:T92"/>
  <sheetViews>
    <sheetView workbookViewId="0">
      <selection activeCell="T13" sqref="T13"/>
    </sheetView>
  </sheetViews>
  <sheetFormatPr defaultColWidth="9.13888888888889" defaultRowHeight="13.8"/>
  <cols>
    <col min="1" max="2" width="3.71296296296296" style="412" customWidth="1"/>
    <col min="3" max="3" width="10.4259259259259" style="412" customWidth="1"/>
    <col min="4" max="6" width="9.13888888888889" style="412"/>
    <col min="7" max="7" width="15.4259259259259" style="412" customWidth="1"/>
    <col min="8" max="10" width="9.13888888888889" style="412"/>
    <col min="11" max="11" width="12.4259259259259" style="412" customWidth="1"/>
    <col min="12" max="13" width="9.13888888888889" style="412"/>
    <col min="14" max="17" width="7.71296296296296" style="412" customWidth="1"/>
    <col min="18" max="16384" width="9.13888888888889" style="412"/>
  </cols>
  <sheetData>
    <row r="3" spans="3:20">
      <c r="S3" s="413">
        <v>1</v>
      </c>
      <c r="T3" s="413"/>
    </row>
    <row r="4" spans="3:20">
      <c r="S4" s="413"/>
      <c r="T4" s="413"/>
    </row>
    <row r="5" spans="3:20">
      <c r="S5" s="413"/>
      <c r="T5" s="413"/>
    </row>
    <row r="6" spans="3:20">
      <c r="S6" s="413"/>
      <c r="T6" s="413"/>
    </row>
    <row r="7" spans="3:20">
      <c r="S7" s="413"/>
      <c r="T7" s="413"/>
    </row>
    <row r="10" ht="15" customHeight="1" spans="3:20">
      <c r="O10" s="414"/>
      <c r="P10" s="414"/>
    </row>
    <row r="11" ht="15" customHeight="1" spans="3:20">
      <c r="O11" s="414"/>
      <c r="P11" s="414"/>
    </row>
    <row r="12" ht="15" customHeight="1" spans="3:20">
      <c r="O12" s="414"/>
      <c r="P12" s="414"/>
    </row>
    <row r="13" ht="15" customHeight="1" spans="3:20">
      <c r="O13" s="414"/>
      <c r="P13" s="414"/>
    </row>
    <row r="14" ht="15" customHeight="1" spans="3:20">
      <c r="O14" s="414"/>
      <c r="P14" s="414"/>
    </row>
    <row r="15" ht="20.4" spans="3:20">
      <c r="C15" s="384" t="str">
        <f>"SESSION : "&amp;ENTRY!$D$11</f>
        <v>SESSION : 2026-27</v>
      </c>
      <c r="D15" s="384"/>
      <c r="E15" s="384"/>
      <c r="F15" s="384"/>
      <c r="G15" s="384"/>
      <c r="H15" s="384"/>
      <c r="I15" s="384"/>
      <c r="J15" s="384"/>
      <c r="K15" s="384"/>
      <c r="L15" s="384"/>
      <c r="M15" s="384"/>
      <c r="N15" s="384"/>
      <c r="O15" s="384"/>
      <c r="P15" s="384"/>
      <c r="Q15" s="384"/>
    </row>
    <row r="16" ht="15.6" spans="3:20">
      <c r="C16" s="415"/>
      <c r="D16" s="415"/>
      <c r="E16" s="415"/>
      <c r="F16" s="415"/>
      <c r="G16" s="415"/>
      <c r="H16" s="415"/>
      <c r="I16" s="415"/>
      <c r="J16" s="415"/>
      <c r="K16" s="415"/>
      <c r="L16" s="415"/>
      <c r="M16" s="415"/>
      <c r="N16" s="415"/>
      <c r="O16" s="415"/>
      <c r="P16" s="415"/>
      <c r="Q16" s="415"/>
    </row>
    <row r="17" ht="15.6" spans="3:17">
      <c r="C17" s="416" t="s">
        <v>568</v>
      </c>
      <c r="D17" s="416"/>
      <c r="E17" s="416"/>
      <c r="F17" s="416"/>
      <c r="G17" s="415"/>
      <c r="H17" s="415"/>
      <c r="I17" s="415"/>
      <c r="J17" s="415"/>
      <c r="K17" s="415"/>
      <c r="L17" s="415"/>
      <c r="M17" s="415"/>
    </row>
    <row r="18" s="410" customFormat="1" ht="18" customHeight="1" spans="3:17">
      <c r="C18" s="410" t="s">
        <v>569</v>
      </c>
      <c r="D18" s="417" t="str">
        <f>VLOOKUP(P19,STUDENT!$A$2:$BR$105,5,0)</f>
        <v>NAKSH</v>
      </c>
      <c r="E18" s="417"/>
      <c r="F18" s="417"/>
      <c r="G18" s="417"/>
      <c r="H18" s="418" t="s">
        <v>570</v>
      </c>
      <c r="I18" s="418"/>
      <c r="J18" s="417" t="str">
        <f>VLOOKUP(P19,STUDENT!$A$2:$BR$105,8,0)</f>
        <v>NARESH</v>
      </c>
      <c r="K18" s="417"/>
      <c r="L18" s="417"/>
      <c r="M18" s="417"/>
      <c r="N18" s="418" t="s">
        <v>571</v>
      </c>
      <c r="O18" s="418"/>
      <c r="P18" s="419" t="str">
        <f>VLOOKUP(P19,STUDENT!$A$2:$BR$105,2,0)</f>
        <v>III-A</v>
      </c>
      <c r="Q18" s="419"/>
    </row>
    <row r="19" s="410" customFormat="1" ht="18" customHeight="1" spans="3:17">
      <c r="C19" s="410" t="s">
        <v>572</v>
      </c>
      <c r="D19" s="419">
        <f>VLOOKUP(P19,STUDENT!$A$2:$BR$105,6,0)</f>
        <v>14779</v>
      </c>
      <c r="E19" s="419"/>
      <c r="F19" s="420" t="s">
        <v>573</v>
      </c>
      <c r="G19" s="419" t="str">
        <f>ENTRY!$D$6</f>
        <v>MCP NITHARI NO 1 BOYS</v>
      </c>
      <c r="H19" s="419"/>
      <c r="I19" s="419"/>
      <c r="J19" s="419"/>
      <c r="K19" s="419"/>
      <c r="L19" s="419"/>
      <c r="M19" s="419"/>
      <c r="N19" s="421" t="s">
        <v>574</v>
      </c>
      <c r="O19" s="421"/>
      <c r="P19" s="419">
        <f>S3</f>
        <v>1</v>
      </c>
      <c r="Q19" s="419"/>
    </row>
    <row r="20" spans="3:17">
      <c r="C20" s="422"/>
      <c r="D20" s="422"/>
      <c r="E20" s="422"/>
      <c r="F20" s="422"/>
      <c r="G20" s="422"/>
      <c r="H20" s="422"/>
      <c r="I20" s="422"/>
      <c r="J20" s="422"/>
      <c r="K20" s="422"/>
      <c r="L20" s="422"/>
      <c r="M20" s="422"/>
      <c r="N20" s="422"/>
      <c r="O20" s="422"/>
      <c r="P20" s="422"/>
      <c r="Q20" s="422"/>
    </row>
    <row r="21" spans="3:17">
      <c r="C21" s="422"/>
      <c r="D21" s="422"/>
      <c r="E21" s="422"/>
      <c r="F21" s="422"/>
      <c r="G21" s="422"/>
      <c r="H21" s="422"/>
      <c r="I21" s="422"/>
      <c r="J21" s="422"/>
      <c r="K21" s="422"/>
      <c r="L21" s="422"/>
      <c r="M21" s="422"/>
      <c r="N21" s="422"/>
      <c r="O21" s="422"/>
      <c r="P21" s="422"/>
      <c r="Q21" s="422"/>
    </row>
    <row r="22" ht="15.75" customHeight="1" spans="3:17">
      <c r="C22" s="423" t="s">
        <v>575</v>
      </c>
      <c r="D22" s="423"/>
      <c r="E22" s="423"/>
      <c r="F22" s="423"/>
      <c r="M22" s="424"/>
      <c r="N22" s="425"/>
      <c r="O22" s="422"/>
    </row>
    <row r="23" ht="15.6" spans="3:17">
      <c r="M23" s="424"/>
      <c r="N23" s="425"/>
      <c r="O23" s="422"/>
    </row>
    <row r="24" ht="15.75" customHeight="1" spans="3:17">
      <c r="D24" s="426"/>
      <c r="E24" s="427"/>
      <c r="F24" s="427"/>
      <c r="G24" s="427"/>
      <c r="H24" s="427"/>
      <c r="I24" s="427"/>
      <c r="J24" s="427"/>
      <c r="K24" s="427"/>
      <c r="L24" s="427"/>
      <c r="M24" s="427"/>
      <c r="N24" s="427"/>
      <c r="O24" s="427"/>
    </row>
    <row r="25" ht="15.75" customHeight="1" spans="3:17">
      <c r="D25" s="427"/>
      <c r="E25" s="427"/>
      <c r="F25" s="427"/>
      <c r="G25" s="427"/>
      <c r="H25" s="427"/>
      <c r="I25" s="427"/>
      <c r="J25" s="427"/>
      <c r="K25" s="427"/>
      <c r="L25" s="427"/>
      <c r="M25" s="427"/>
      <c r="N25" s="427"/>
      <c r="O25" s="427"/>
    </row>
    <row r="26" ht="15.6" spans="3:17">
      <c r="M26" s="424"/>
      <c r="N26" s="425"/>
      <c r="O26" s="422"/>
    </row>
    <row r="27" ht="15.6" spans="3:17">
      <c r="M27" s="424"/>
      <c r="N27" s="425"/>
      <c r="O27" s="422"/>
    </row>
    <row r="28" ht="15.6" spans="3:17">
      <c r="M28" s="428" t="s">
        <v>576</v>
      </c>
      <c r="N28" s="429" t="s">
        <v>577</v>
      </c>
      <c r="O28" s="430"/>
      <c r="P28" s="429" t="s">
        <v>578</v>
      </c>
      <c r="Q28" s="430"/>
    </row>
    <row r="29" ht="15.6" spans="3:17">
      <c r="J29" s="429" t="s">
        <v>503</v>
      </c>
      <c r="K29" s="431" t="s">
        <v>579</v>
      </c>
      <c r="L29" s="431" t="s">
        <v>580</v>
      </c>
      <c r="M29" s="428"/>
      <c r="N29" s="429" t="s">
        <v>581</v>
      </c>
      <c r="O29" s="430"/>
      <c r="P29" s="429" t="s">
        <v>582</v>
      </c>
      <c r="Q29" s="430"/>
    </row>
    <row r="30" ht="15.6" spans="3:17">
      <c r="C30" s="423" t="s">
        <v>583</v>
      </c>
      <c r="D30" s="432"/>
      <c r="E30" s="433" t="s">
        <v>584</v>
      </c>
      <c r="F30" s="433"/>
      <c r="G30" s="434"/>
      <c r="J30" s="429" t="s">
        <v>512</v>
      </c>
      <c r="K30" s="430"/>
      <c r="L30" s="430"/>
      <c r="M30" s="428"/>
      <c r="N30" s="429" t="s">
        <v>585</v>
      </c>
      <c r="O30" s="430"/>
      <c r="P30" s="429" t="s">
        <v>586</v>
      </c>
      <c r="Q30" s="430"/>
    </row>
    <row r="31" ht="15.6" spans="3:17">
      <c r="C31" s="435" t="s">
        <v>587</v>
      </c>
      <c r="D31" s="436"/>
      <c r="E31" s="433" t="s">
        <v>588</v>
      </c>
      <c r="F31" s="433"/>
      <c r="G31" s="434"/>
      <c r="H31" s="437" t="s">
        <v>589</v>
      </c>
      <c r="I31" s="435"/>
      <c r="J31" s="429" t="s">
        <v>514</v>
      </c>
      <c r="K31" s="430"/>
      <c r="L31" s="430"/>
      <c r="M31" s="428"/>
      <c r="N31" s="429" t="s">
        <v>590</v>
      </c>
      <c r="O31" s="430"/>
      <c r="P31" s="429" t="s">
        <v>591</v>
      </c>
      <c r="Q31" s="430"/>
    </row>
    <row r="32" ht="15.6" spans="3:17">
      <c r="C32" s="435" t="s">
        <v>592</v>
      </c>
      <c r="D32" s="436"/>
      <c r="E32" s="433" t="s">
        <v>593</v>
      </c>
      <c r="F32" s="433"/>
      <c r="G32" s="434"/>
      <c r="H32" s="437" t="s">
        <v>594</v>
      </c>
      <c r="I32" s="435"/>
      <c r="J32" s="429" t="s">
        <v>513</v>
      </c>
      <c r="K32" s="430"/>
      <c r="L32" s="430"/>
      <c r="M32" s="428"/>
      <c r="N32" s="429" t="s">
        <v>595</v>
      </c>
      <c r="O32" s="430"/>
      <c r="P32" s="429" t="s">
        <v>596</v>
      </c>
      <c r="Q32" s="430"/>
    </row>
    <row r="33" ht="15.6" spans="3:17">
      <c r="C33" s="438"/>
      <c r="D33" s="438"/>
      <c r="E33" s="439"/>
      <c r="F33" s="439"/>
      <c r="G33" s="422"/>
      <c r="H33" s="438"/>
      <c r="I33" s="438"/>
      <c r="J33" s="425"/>
      <c r="K33" s="440"/>
      <c r="L33" s="440"/>
      <c r="M33" s="428"/>
      <c r="N33" s="429" t="s">
        <v>597</v>
      </c>
      <c r="O33" s="430"/>
      <c r="P33" s="429" t="s">
        <v>598</v>
      </c>
      <c r="Q33" s="430"/>
    </row>
    <row r="34" ht="15.6" spans="3:17">
      <c r="C34" s="423" t="s">
        <v>599</v>
      </c>
      <c r="D34" s="423"/>
      <c r="E34" s="423"/>
      <c r="F34" s="423"/>
      <c r="N34" s="441" t="s">
        <v>600</v>
      </c>
      <c r="O34" s="442"/>
      <c r="P34" s="442"/>
      <c r="Q34" s="443"/>
    </row>
    <row r="37" spans="3:17">
      <c r="D37" s="426"/>
      <c r="E37" s="427"/>
      <c r="F37" s="427"/>
      <c r="G37" s="427"/>
      <c r="H37" s="427"/>
      <c r="I37" s="427"/>
      <c r="J37" s="427"/>
      <c r="K37" s="427"/>
      <c r="L37" s="427"/>
      <c r="M37" s="427"/>
      <c r="N37" s="427"/>
      <c r="O37" s="427"/>
    </row>
    <row r="38" spans="3:17">
      <c r="D38" s="427"/>
      <c r="E38" s="427"/>
      <c r="F38" s="427"/>
      <c r="G38" s="427"/>
      <c r="H38" s="427"/>
      <c r="I38" s="427"/>
      <c r="J38" s="427"/>
      <c r="K38" s="427"/>
      <c r="L38" s="427"/>
      <c r="M38" s="427"/>
      <c r="N38" s="427"/>
      <c r="O38" s="427"/>
    </row>
    <row r="41" ht="15.6" spans="3:17">
      <c r="C41" s="423" t="s">
        <v>601</v>
      </c>
      <c r="D41" s="423"/>
      <c r="E41" s="423"/>
      <c r="F41" s="423"/>
    </row>
    <row r="44" spans="3:17">
      <c r="D44" s="426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427"/>
    </row>
    <row r="45" spans="3:17">
      <c r="D45" s="427"/>
      <c r="E45" s="427"/>
      <c r="F45" s="427"/>
      <c r="G45" s="427"/>
      <c r="H45" s="427"/>
      <c r="I45" s="427"/>
      <c r="J45" s="427"/>
      <c r="K45" s="427"/>
      <c r="L45" s="427"/>
      <c r="M45" s="427"/>
      <c r="N45" s="427"/>
      <c r="O45" s="427"/>
    </row>
    <row r="48" ht="15.6" spans="3:17">
      <c r="C48" s="423" t="s">
        <v>602</v>
      </c>
      <c r="D48" s="423"/>
      <c r="E48" s="423"/>
      <c r="F48" s="423"/>
    </row>
    <row r="51" spans="3:15">
      <c r="D51" s="426"/>
      <c r="E51" s="427"/>
      <c r="F51" s="427"/>
      <c r="G51" s="427"/>
      <c r="H51" s="427"/>
      <c r="I51" s="427"/>
      <c r="J51" s="427"/>
      <c r="K51" s="427"/>
      <c r="L51" s="427"/>
      <c r="M51" s="427"/>
      <c r="N51" s="427"/>
      <c r="O51" s="427"/>
    </row>
    <row r="52" spans="3:15">
      <c r="D52" s="427"/>
      <c r="E52" s="427"/>
      <c r="F52" s="427"/>
      <c r="G52" s="427"/>
      <c r="H52" s="427"/>
      <c r="I52" s="427"/>
      <c r="J52" s="427"/>
      <c r="K52" s="427"/>
      <c r="L52" s="427"/>
      <c r="M52" s="427"/>
      <c r="N52" s="427"/>
      <c r="O52" s="427"/>
    </row>
    <row r="55" ht="15.6" spans="3:15">
      <c r="C55" s="423" t="s">
        <v>603</v>
      </c>
      <c r="D55" s="423"/>
      <c r="E55" s="423"/>
      <c r="F55" s="423"/>
    </row>
    <row r="58" spans="3:15">
      <c r="D58" s="426"/>
      <c r="E58" s="427"/>
      <c r="F58" s="427"/>
      <c r="G58" s="427"/>
      <c r="H58" s="427"/>
      <c r="I58" s="427"/>
      <c r="J58" s="427"/>
      <c r="K58" s="427"/>
      <c r="L58" s="427"/>
      <c r="M58" s="427"/>
      <c r="N58" s="427"/>
      <c r="O58" s="427"/>
    </row>
    <row r="59" spans="3:15">
      <c r="D59" s="427"/>
      <c r="E59" s="427"/>
      <c r="F59" s="427"/>
      <c r="G59" s="427"/>
      <c r="H59" s="427"/>
      <c r="I59" s="427"/>
      <c r="J59" s="427"/>
      <c r="K59" s="427"/>
      <c r="L59" s="427"/>
      <c r="M59" s="427"/>
      <c r="N59" s="427"/>
      <c r="O59" s="427"/>
    </row>
    <row r="62" ht="15.6" spans="3:15">
      <c r="C62" s="423" t="s">
        <v>604</v>
      </c>
      <c r="D62" s="423"/>
      <c r="E62" s="423"/>
      <c r="F62" s="423"/>
    </row>
    <row r="65" spans="3:15">
      <c r="D65" s="427"/>
      <c r="E65" s="427"/>
      <c r="F65" s="427"/>
      <c r="G65" s="427"/>
      <c r="H65" s="427"/>
      <c r="I65" s="427"/>
      <c r="J65" s="427"/>
      <c r="K65" s="427"/>
      <c r="L65" s="427"/>
      <c r="M65" s="427"/>
      <c r="N65" s="427"/>
      <c r="O65" s="427"/>
    </row>
    <row r="68" ht="15.6" spans="3:15">
      <c r="C68" s="423" t="s">
        <v>605</v>
      </c>
      <c r="D68" s="423"/>
      <c r="E68" s="423"/>
      <c r="F68" s="423"/>
    </row>
    <row r="71" spans="3:15">
      <c r="D71" s="426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</row>
    <row r="72" spans="3:15">
      <c r="D72" s="427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7"/>
    </row>
    <row r="75" ht="15.6" spans="3:15">
      <c r="C75" s="423" t="s">
        <v>606</v>
      </c>
      <c r="D75" s="423"/>
      <c r="E75" s="423"/>
      <c r="F75" s="423"/>
    </row>
    <row r="78" ht="15" spans="3:15">
      <c r="D78" s="444" t="s">
        <v>607</v>
      </c>
      <c r="E78" s="444"/>
      <c r="F78" s="444"/>
      <c r="G78" s="444"/>
      <c r="H78" s="430"/>
      <c r="I78" s="445" t="s">
        <v>608</v>
      </c>
      <c r="J78" s="446"/>
      <c r="K78" s="426"/>
      <c r="L78" s="427"/>
      <c r="M78" s="427"/>
      <c r="N78" s="427"/>
      <c r="O78" s="427"/>
    </row>
    <row r="79" ht="15" spans="3:15">
      <c r="D79" s="444" t="s">
        <v>609</v>
      </c>
      <c r="E79" s="444"/>
      <c r="F79" s="444"/>
      <c r="G79" s="444"/>
      <c r="H79" s="430"/>
      <c r="K79" s="427"/>
      <c r="L79" s="427"/>
      <c r="M79" s="427"/>
      <c r="N79" s="427"/>
      <c r="O79" s="427"/>
    </row>
    <row r="80" ht="15" spans="3:15">
      <c r="D80" s="444" t="s">
        <v>610</v>
      </c>
      <c r="E80" s="444"/>
      <c r="F80" s="444"/>
      <c r="G80" s="444"/>
      <c r="H80" s="430"/>
      <c r="K80" s="427"/>
      <c r="L80" s="427"/>
      <c r="M80" s="427"/>
      <c r="N80" s="427"/>
      <c r="O80" s="427"/>
    </row>
    <row r="81" ht="15" spans="3:16">
      <c r="D81" s="444" t="s">
        <v>611</v>
      </c>
      <c r="E81" s="444"/>
      <c r="F81" s="444"/>
      <c r="G81" s="444"/>
      <c r="H81" s="430"/>
      <c r="K81" s="427"/>
      <c r="L81" s="427"/>
      <c r="M81" s="427"/>
      <c r="N81" s="427"/>
      <c r="O81" s="427"/>
    </row>
    <row r="82" ht="9.95" customHeight="1"/>
    <row r="84" ht="15.6" spans="3:16">
      <c r="C84" s="423" t="s">
        <v>612</v>
      </c>
      <c r="D84" s="423"/>
      <c r="E84" s="423"/>
      <c r="F84" s="423"/>
    </row>
    <row r="87" spans="3:16">
      <c r="D87" s="427"/>
      <c r="E87" s="427"/>
      <c r="F87" s="427"/>
      <c r="G87" s="427"/>
      <c r="H87" s="427"/>
      <c r="I87" s="427"/>
      <c r="J87" s="427"/>
      <c r="K87" s="427"/>
      <c r="L87" s="427"/>
      <c r="M87" s="427"/>
      <c r="N87" s="427"/>
      <c r="O87" s="427"/>
    </row>
    <row r="92" s="411" customFormat="1" ht="16.8" spans="3:16">
      <c r="C92" s="447" t="s">
        <v>613</v>
      </c>
      <c r="D92" s="447"/>
      <c r="E92" s="447"/>
      <c r="F92" s="447"/>
      <c r="H92" s="447" t="s">
        <v>614</v>
      </c>
      <c r="I92" s="447"/>
      <c r="J92" s="447"/>
      <c r="M92" s="447" t="s">
        <v>615</v>
      </c>
      <c r="N92" s="447"/>
      <c r="O92" s="447"/>
      <c r="P92" s="447"/>
    </row>
  </sheetData>
  <sheetProtection password="BF6F" sheet="1" formatCells="0" formatColumns="0" formatRows="0" objects="1" scenarios="1"/>
  <mergeCells count="47">
    <mergeCell ref="C15:Q15"/>
    <mergeCell ref="C17:F17"/>
    <mergeCell ref="D18:G18"/>
    <mergeCell ref="H18:I18"/>
    <mergeCell ref="J18:M18"/>
    <mergeCell ref="N18:O18"/>
    <mergeCell ref="P18:Q18"/>
    <mergeCell ref="D19:E19"/>
    <mergeCell ref="G19:M19"/>
    <mergeCell ref="N19:O19"/>
    <mergeCell ref="P19:Q19"/>
    <mergeCell ref="C22:F22"/>
    <mergeCell ref="C30:D30"/>
    <mergeCell ref="C32:D32"/>
    <mergeCell ref="E32:F32"/>
    <mergeCell ref="H32:I32"/>
    <mergeCell ref="C33:D33"/>
    <mergeCell ref="E33:F33"/>
    <mergeCell ref="H33:I33"/>
    <mergeCell ref="C34:F34"/>
    <mergeCell ref="O34:P34"/>
    <mergeCell ref="C41:F41"/>
    <mergeCell ref="C48:F48"/>
    <mergeCell ref="C55:F55"/>
    <mergeCell ref="C62:F62"/>
    <mergeCell ref="D65:O65"/>
    <mergeCell ref="C68:F68"/>
    <mergeCell ref="C75:F75"/>
    <mergeCell ref="D78:G78"/>
    <mergeCell ref="I78:J78"/>
    <mergeCell ref="D79:G79"/>
    <mergeCell ref="D80:G80"/>
    <mergeCell ref="D81:G81"/>
    <mergeCell ref="C84:F84"/>
    <mergeCell ref="D87:O87"/>
    <mergeCell ref="C92:F92"/>
    <mergeCell ref="H92:J92"/>
    <mergeCell ref="M92:P92"/>
    <mergeCell ref="M28:M33"/>
    <mergeCell ref="S3:T7"/>
    <mergeCell ref="D24:O25"/>
    <mergeCell ref="D37:O38"/>
    <mergeCell ref="D44:O45"/>
    <mergeCell ref="D51:O52"/>
    <mergeCell ref="D58:O59"/>
    <mergeCell ref="D71:O72"/>
    <mergeCell ref="K78:O81"/>
  </mergeCells>
  <pageMargins left="0.39" right="0.23" top="0.38" bottom="0.4" header="0.3" footer="0.3"/>
  <pageSetup paperSize="9" scale="55" orientation="portrait" horizontalDpi="300" verticalDpi="300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48"/>
  <sheetViews>
    <sheetView workbookViewId="0">
      <selection activeCell="W11" sqref="W11"/>
    </sheetView>
  </sheetViews>
  <sheetFormatPr defaultColWidth="9.13888888888889" defaultRowHeight="17.4"/>
  <cols>
    <col min="1" max="1" width="1.42592592592593" style="380" customWidth="1"/>
    <col min="2" max="4" width="0.861111111111111" style="240" customWidth="1"/>
    <col min="5" max="5" width="1.71296296296296" style="240" customWidth="1"/>
    <col min="6" max="7" width="8.71296296296296" style="240" customWidth="1"/>
    <col min="8" max="9" width="7.71296296296296" style="240" customWidth="1"/>
    <col min="10" max="10" width="13.712962962963" style="240" customWidth="1"/>
    <col min="11" max="12" width="12.712962962963" style="240" customWidth="1"/>
    <col min="13" max="13" width="13.712962962963" style="240" customWidth="1"/>
    <col min="14" max="14" width="7.71296296296296" style="240" customWidth="1"/>
    <col min="15" max="16" width="9.13888888888889" style="240"/>
    <col min="17" max="17" width="5.57407407407407" style="240" customWidth="1"/>
    <col min="18" max="18" width="1.71296296296296" style="240" customWidth="1"/>
    <col min="19" max="19" width="0.861111111111111" style="240" customWidth="1"/>
    <col min="20" max="20" width="1.42592592592593" style="380" customWidth="1"/>
    <col min="21" max="27" width="9.13888888888889" style="239"/>
    <col min="28" max="16384" width="9.13888888888889" style="240"/>
  </cols>
  <sheetData>
    <row r="1" s="380" customFormat="1" ht="8.1" customHeight="1" spans="1:27">
      <c r="U1" s="239"/>
      <c r="V1" s="239"/>
      <c r="W1" s="239"/>
      <c r="X1" s="239"/>
      <c r="Y1" s="239"/>
      <c r="Z1" s="239"/>
      <c r="AA1" s="239"/>
    </row>
    <row r="2" spans="1:27">
      <c r="P2" s="242"/>
      <c r="Q2" s="242"/>
      <c r="R2" s="242"/>
      <c r="S2" s="242"/>
    </row>
    <row r="3" spans="1:27">
      <c r="P3" s="242"/>
      <c r="Q3" s="242"/>
      <c r="R3" s="242"/>
      <c r="S3" s="242"/>
    </row>
    <row r="4" spans="1:27">
      <c r="P4" s="242"/>
      <c r="Q4" s="242"/>
      <c r="R4" s="242"/>
      <c r="S4" s="242"/>
    </row>
    <row r="5" ht="17.25" customHeight="1" spans="1:27">
      <c r="P5" s="242"/>
      <c r="Q5" s="242"/>
      <c r="R5" s="242"/>
      <c r="S5" s="242"/>
      <c r="V5" s="381">
        <v>1</v>
      </c>
      <c r="W5" s="381"/>
    </row>
    <row r="6" ht="17.25" customHeight="1" spans="1:27">
      <c r="V6" s="381"/>
      <c r="W6" s="381"/>
    </row>
    <row r="7" s="238" customFormat="1" ht="31.2" spans="1:27">
      <c r="A7" s="382"/>
      <c r="H7" s="383" t="s">
        <v>616</v>
      </c>
      <c r="I7" s="383"/>
      <c r="J7" s="383"/>
      <c r="K7" s="383"/>
      <c r="L7" s="383"/>
      <c r="M7" s="383"/>
      <c r="N7" s="383"/>
      <c r="T7" s="382"/>
      <c r="U7" s="245"/>
      <c r="V7" s="381"/>
      <c r="W7" s="381"/>
      <c r="X7" s="245"/>
      <c r="Y7" s="245"/>
      <c r="Z7" s="245"/>
      <c r="AA7" s="245"/>
    </row>
    <row r="8" ht="23.25" customHeight="1" spans="1:27">
      <c r="H8" s="246" t="s">
        <v>617</v>
      </c>
      <c r="I8" s="246"/>
      <c r="J8" s="246"/>
      <c r="K8" s="246"/>
      <c r="L8" s="246"/>
      <c r="M8" s="246"/>
      <c r="N8" s="246"/>
      <c r="V8" s="381"/>
      <c r="W8" s="381"/>
    </row>
    <row r="13" ht="20.4" spans="1:27">
      <c r="I13" s="384" t="str">
        <f>"SESSION : "&amp;ENTRY!$D$11</f>
        <v>SESSION : 2026-27</v>
      </c>
      <c r="J13" s="384"/>
      <c r="K13" s="384"/>
      <c r="L13" s="384"/>
      <c r="M13" s="384"/>
      <c r="P13" s="385">
        <f>V5</f>
        <v>1</v>
      </c>
      <c r="U13" s="240"/>
    </row>
    <row r="14" ht="35.1" customHeight="1" spans="1:27">
      <c r="F14" s="386" t="s">
        <v>618</v>
      </c>
      <c r="G14" s="386"/>
      <c r="H14" s="386"/>
      <c r="I14" s="386"/>
      <c r="J14" s="387"/>
      <c r="K14" s="388"/>
      <c r="L14" s="388"/>
      <c r="M14" s="388"/>
      <c r="N14" s="388"/>
      <c r="O14" s="388"/>
      <c r="P14" s="388"/>
      <c r="Q14" s="389"/>
      <c r="R14" s="389"/>
    </row>
    <row r="15" ht="35.1" customHeight="1" spans="1:27">
      <c r="F15" s="386" t="s">
        <v>619</v>
      </c>
      <c r="G15" s="386"/>
      <c r="H15" s="386"/>
      <c r="I15" s="386"/>
      <c r="J15" s="390" t="str">
        <f>PROPER(VLOOKUP(P13,STUDENT!$A$2:$BR$105,5,0))</f>
        <v>Naksh</v>
      </c>
      <c r="K15" s="390"/>
      <c r="L15" s="390"/>
      <c r="M15" s="390"/>
      <c r="N15" s="391"/>
      <c r="O15" s="392"/>
      <c r="P15" s="392"/>
    </row>
    <row r="16" ht="35.1" customHeight="1" spans="1:27">
      <c r="F16" s="386" t="s">
        <v>620</v>
      </c>
      <c r="G16" s="386"/>
      <c r="H16" s="386"/>
      <c r="I16" s="386"/>
      <c r="J16" s="390" t="str">
        <f>PROPER(VLOOKUP(P13,STUDENT!$A$2:$BR$105,8,0))</f>
        <v>Naresh</v>
      </c>
      <c r="K16" s="390"/>
      <c r="L16" s="390"/>
      <c r="M16" s="390"/>
      <c r="N16" s="391"/>
      <c r="O16" s="393"/>
      <c r="P16" s="393"/>
    </row>
    <row r="17" ht="35.1" customHeight="1" spans="5:18">
      <c r="F17" s="386" t="s">
        <v>395</v>
      </c>
      <c r="G17" s="386"/>
      <c r="H17" s="386"/>
      <c r="I17" s="386"/>
      <c r="J17" s="390" t="str">
        <f>PROPER(VLOOKUP(P13,STUDENT!$A$2:$BR$105,2,0))</f>
        <v>Iii-A</v>
      </c>
      <c r="K17" s="390"/>
      <c r="L17" s="390"/>
      <c r="M17" s="390"/>
      <c r="N17" s="391"/>
      <c r="O17" s="393"/>
      <c r="P17" s="393"/>
    </row>
    <row r="18" ht="35.1" customHeight="1" spans="5:18">
      <c r="F18" s="386" t="s">
        <v>392</v>
      </c>
      <c r="G18" s="386"/>
      <c r="H18" s="386"/>
      <c r="I18" s="386"/>
      <c r="J18" s="390" t="str">
        <f>PROPER(ENTRY!$D$6)</f>
        <v>Mcp Nithari No 1 Boys</v>
      </c>
      <c r="K18" s="390"/>
      <c r="L18" s="390"/>
      <c r="M18" s="390"/>
      <c r="N18" s="394"/>
      <c r="O18" s="395"/>
      <c r="P18" s="395"/>
    </row>
    <row r="19" ht="35.1" customHeight="1" spans="5:18">
      <c r="F19" s="386" t="s">
        <v>621</v>
      </c>
      <c r="G19" s="386"/>
      <c r="H19" s="386"/>
      <c r="I19" s="386"/>
      <c r="J19" s="396" t="str">
        <f>PROPER(ENTRY!$D$12)</f>
        <v>Shambhu Dayal Meena</v>
      </c>
      <c r="K19" s="396"/>
      <c r="L19" s="396"/>
      <c r="M19" s="396"/>
      <c r="N19" s="396"/>
      <c r="O19" s="396"/>
      <c r="P19" s="396"/>
    </row>
    <row r="20" ht="35.1" customHeight="1" spans="5:18">
      <c r="F20" s="386" t="s">
        <v>622</v>
      </c>
      <c r="G20" s="386"/>
      <c r="H20" s="386"/>
      <c r="I20" s="386"/>
      <c r="J20" s="386"/>
      <c r="K20" s="386"/>
      <c r="L20" s="390" t="str">
        <f>PROPER(ENTRY!$D$19)</f>
        <v>Indrajeet</v>
      </c>
      <c r="M20" s="390"/>
      <c r="N20" s="390"/>
      <c r="O20" s="390"/>
      <c r="P20" s="390"/>
    </row>
    <row r="21" ht="35.1" customHeight="1" spans="5:18">
      <c r="F21" s="386" t="s">
        <v>623</v>
      </c>
      <c r="G21" s="386"/>
      <c r="H21" s="386"/>
      <c r="I21" s="386"/>
      <c r="J21" s="386"/>
      <c r="K21" s="386"/>
      <c r="L21" s="397" t="str">
        <f>PROPER(ENTRY!$D$13)</f>
        <v>Devender Singh</v>
      </c>
      <c r="M21" s="397"/>
      <c r="N21" s="397"/>
      <c r="O21" s="397"/>
      <c r="P21" s="397"/>
    </row>
    <row r="23" ht="39.95" customHeight="1" spans="5:18">
      <c r="E23" s="398" t="s">
        <v>624</v>
      </c>
      <c r="F23" s="399"/>
      <c r="G23" s="399"/>
      <c r="H23" s="399"/>
      <c r="I23" s="399"/>
      <c r="J23" s="399"/>
      <c r="K23" s="399"/>
      <c r="L23" s="399"/>
      <c r="M23" s="399"/>
      <c r="N23" s="399"/>
      <c r="O23" s="399"/>
      <c r="P23" s="399"/>
      <c r="Q23" s="399"/>
      <c r="R23" s="400"/>
    </row>
    <row r="24" ht="30" customHeight="1" spans="5:18">
      <c r="E24" s="401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2"/>
      <c r="Q24" s="402"/>
      <c r="R24" s="403"/>
    </row>
    <row r="25" ht="30" customHeight="1" spans="5:18">
      <c r="E25" s="401"/>
      <c r="F25" s="404"/>
      <c r="G25" s="405"/>
      <c r="H25" s="405"/>
      <c r="I25" s="405"/>
      <c r="J25" s="405"/>
      <c r="K25" s="405"/>
      <c r="L25" s="405"/>
      <c r="M25" s="405"/>
      <c r="N25" s="405"/>
      <c r="O25" s="405"/>
      <c r="P25" s="405"/>
      <c r="Q25" s="406"/>
      <c r="R25" s="403"/>
    </row>
    <row r="26" ht="30" customHeight="1" spans="5:18">
      <c r="E26" s="401"/>
      <c r="F26" s="404"/>
      <c r="G26" s="405"/>
      <c r="H26" s="405"/>
      <c r="I26" s="405"/>
      <c r="J26" s="405"/>
      <c r="K26" s="405"/>
      <c r="L26" s="405"/>
      <c r="M26" s="405"/>
      <c r="N26" s="405"/>
      <c r="O26" s="405"/>
      <c r="P26" s="405"/>
      <c r="Q26" s="406"/>
      <c r="R26" s="403"/>
    </row>
    <row r="27" ht="30" customHeight="1" spans="5:18">
      <c r="E27" s="401"/>
      <c r="F27" s="404"/>
      <c r="G27" s="405"/>
      <c r="H27" s="405"/>
      <c r="I27" s="405"/>
      <c r="J27" s="405"/>
      <c r="K27" s="405"/>
      <c r="L27" s="405"/>
      <c r="M27" s="405"/>
      <c r="N27" s="405"/>
      <c r="O27" s="405"/>
      <c r="P27" s="405"/>
      <c r="Q27" s="406"/>
      <c r="R27" s="403"/>
    </row>
    <row r="28" ht="30" customHeight="1" spans="5:18">
      <c r="E28" s="401"/>
      <c r="F28" s="404"/>
      <c r="G28" s="405"/>
      <c r="H28" s="405"/>
      <c r="I28" s="405"/>
      <c r="J28" s="405"/>
      <c r="K28" s="405"/>
      <c r="L28" s="405"/>
      <c r="M28" s="405"/>
      <c r="N28" s="405"/>
      <c r="O28" s="405"/>
      <c r="P28" s="405"/>
      <c r="Q28" s="406"/>
      <c r="R28" s="403"/>
    </row>
    <row r="29" ht="30" customHeight="1" spans="5:18">
      <c r="E29" s="401"/>
      <c r="F29" s="404"/>
      <c r="G29" s="405"/>
      <c r="H29" s="405"/>
      <c r="I29" s="405"/>
      <c r="J29" s="405"/>
      <c r="K29" s="405"/>
      <c r="L29" s="405"/>
      <c r="M29" s="405"/>
      <c r="N29" s="405"/>
      <c r="O29" s="405"/>
      <c r="P29" s="405"/>
      <c r="Q29" s="406"/>
      <c r="R29" s="403"/>
    </row>
    <row r="30" ht="30" customHeight="1" spans="5:18">
      <c r="E30" s="401"/>
      <c r="F30" s="404"/>
      <c r="G30" s="405"/>
      <c r="H30" s="405"/>
      <c r="I30" s="405"/>
      <c r="J30" s="405"/>
      <c r="K30" s="405"/>
      <c r="L30" s="405"/>
      <c r="M30" s="405"/>
      <c r="N30" s="405"/>
      <c r="O30" s="405"/>
      <c r="P30" s="405"/>
      <c r="Q30" s="406"/>
      <c r="R30" s="403"/>
    </row>
    <row r="31" ht="30" customHeight="1" spans="5:18">
      <c r="E31" s="401"/>
      <c r="F31" s="404"/>
      <c r="G31" s="405"/>
      <c r="H31" s="405"/>
      <c r="I31" s="405"/>
      <c r="J31" s="405"/>
      <c r="K31" s="405"/>
      <c r="L31" s="405"/>
      <c r="M31" s="405"/>
      <c r="N31" s="405"/>
      <c r="O31" s="405"/>
      <c r="P31" s="405"/>
      <c r="Q31" s="406"/>
      <c r="R31" s="403"/>
    </row>
    <row r="32" ht="18" spans="5:18">
      <c r="E32" s="407"/>
      <c r="F32" s="404"/>
      <c r="G32" s="405"/>
      <c r="H32" s="405"/>
      <c r="I32" s="405"/>
      <c r="J32" s="405"/>
      <c r="K32" s="405"/>
      <c r="L32" s="405"/>
      <c r="M32" s="405"/>
      <c r="N32" s="405"/>
      <c r="O32" s="405"/>
      <c r="P32" s="405"/>
      <c r="Q32" s="406"/>
      <c r="R32" s="408"/>
    </row>
    <row r="34" spans="6:27">
      <c r="F34" s="409" t="s">
        <v>625</v>
      </c>
      <c r="G34" s="409"/>
      <c r="H34" s="409"/>
      <c r="I34" s="409"/>
      <c r="J34" s="409"/>
      <c r="K34" s="409"/>
      <c r="L34" s="409"/>
      <c r="M34" s="409"/>
      <c r="N34" s="409"/>
      <c r="O34" s="409"/>
      <c r="P34" s="409"/>
      <c r="Q34" s="409"/>
    </row>
    <row r="35" spans="6:27">
      <c r="F35" s="409" t="s">
        <v>626</v>
      </c>
      <c r="G35" s="409"/>
      <c r="H35" s="409"/>
      <c r="I35" s="409"/>
      <c r="J35" s="409"/>
      <c r="K35" s="409"/>
      <c r="L35" s="409"/>
      <c r="M35" s="409"/>
      <c r="N35" s="409"/>
      <c r="O35" s="409"/>
      <c r="P35" s="409"/>
      <c r="Q35" s="409"/>
    </row>
    <row r="43" spans="6:27">
      <c r="G43" s="409" t="s">
        <v>627</v>
      </c>
      <c r="H43" s="409"/>
      <c r="I43" s="409"/>
      <c r="J43" s="409"/>
      <c r="M43" s="409" t="s">
        <v>628</v>
      </c>
      <c r="N43" s="409"/>
      <c r="O43" s="409"/>
      <c r="P43" s="409"/>
    </row>
    <row r="44" spans="6:27">
      <c r="G44" s="409"/>
      <c r="H44" s="409"/>
      <c r="I44" s="409"/>
      <c r="J44" s="409"/>
      <c r="M44" s="409"/>
      <c r="N44" s="409"/>
      <c r="O44" s="409"/>
      <c r="P44" s="409"/>
    </row>
    <row r="48" s="380" customFormat="1" ht="8.1" customHeight="1" spans="6:27">
      <c r="U48" s="239"/>
      <c r="V48" s="239"/>
      <c r="W48" s="239"/>
      <c r="X48" s="239"/>
      <c r="Y48" s="239"/>
      <c r="Z48" s="239"/>
      <c r="AA48" s="239"/>
    </row>
  </sheetData>
  <sheetProtection password="BF6F" sheet="1" formatCells="0" formatColumns="0" formatRows="0" objects="1" scenarios="1"/>
  <mergeCells count="36">
    <mergeCell ref="P2:S2"/>
    <mergeCell ref="H7:N7"/>
    <mergeCell ref="H8:N8"/>
    <mergeCell ref="I13:M13"/>
    <mergeCell ref="F14:I14"/>
    <mergeCell ref="J14:P14"/>
    <mergeCell ref="F15:I15"/>
    <mergeCell ref="J15:M15"/>
    <mergeCell ref="F16:I16"/>
    <mergeCell ref="J16:M16"/>
    <mergeCell ref="F17:I17"/>
    <mergeCell ref="J17:M17"/>
    <mergeCell ref="F18:I18"/>
    <mergeCell ref="J18:M18"/>
    <mergeCell ref="F19:I19"/>
    <mergeCell ref="J19:P19"/>
    <mergeCell ref="F20:K20"/>
    <mergeCell ref="L20:P20"/>
    <mergeCell ref="F21:K21"/>
    <mergeCell ref="L21:P21"/>
    <mergeCell ref="E23:R23"/>
    <mergeCell ref="F24:Q24"/>
    <mergeCell ref="F25:Q25"/>
    <mergeCell ref="F26:Q26"/>
    <mergeCell ref="F27:Q27"/>
    <mergeCell ref="F28:Q28"/>
    <mergeCell ref="F29:Q29"/>
    <mergeCell ref="F30:Q30"/>
    <mergeCell ref="F31:Q31"/>
    <mergeCell ref="F32:Q32"/>
    <mergeCell ref="F34:Q34"/>
    <mergeCell ref="F35:Q35"/>
    <mergeCell ref="G43:J43"/>
    <mergeCell ref="M43:P43"/>
    <mergeCell ref="V5:W8"/>
    <mergeCell ref="O15:P18"/>
  </mergeCells>
  <pageMargins left="0.25" right="0.25" top="0.4" bottom="0.36" header="0.26" footer="0.3"/>
  <pageSetup paperSize="9" scale="74" orientation="portrait" horizontalDpi="300" verticalDpi="300"/>
  <headerFooter/>
  <drawing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16"/>
  <sheetViews>
    <sheetView topLeftCell="A51" workbookViewId="0">
      <selection activeCell="S6" sqref="S6"/>
    </sheetView>
  </sheetViews>
  <sheetFormatPr defaultColWidth="9.13888888888889" defaultRowHeight="17.4"/>
  <cols>
    <col min="1" max="1" width="1.42592592592593" style="240" customWidth="1"/>
    <col min="2" max="2" width="0.861111111111111" style="240" customWidth="1"/>
    <col min="3" max="4" width="11.712962962963" style="240" customWidth="1"/>
    <col min="5" max="8" width="9.13888888888889" style="240"/>
    <col min="9" max="10" width="11.712962962963" style="240" customWidth="1"/>
    <col min="11" max="14" width="9.13888888888889" style="240"/>
    <col min="15" max="15" width="0.861111111111111" style="240" customWidth="1"/>
    <col min="16" max="16" width="1.42592592592593" style="240" customWidth="1"/>
    <col min="17" max="23" width="9.13888888888889" style="239"/>
    <col min="24" max="16384" width="9.13888888888889" style="240"/>
  </cols>
  <sheetData>
    <row r="1" ht="8.1" customHeight="1" spans="1:23">
      <c r="A1" s="241"/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</row>
    <row r="2" spans="1:23">
      <c r="A2" s="241"/>
      <c r="M2" s="242" t="s">
        <v>629</v>
      </c>
      <c r="N2" s="242"/>
      <c r="O2" s="242"/>
      <c r="P2" s="241"/>
    </row>
    <row r="3" spans="1:23">
      <c r="A3" s="241"/>
      <c r="P3" s="241"/>
    </row>
    <row r="4" s="238" customFormat="1" ht="30" spans="1:23">
      <c r="A4" s="243"/>
      <c r="E4" s="244" t="s">
        <v>616</v>
      </c>
      <c r="F4" s="244"/>
      <c r="G4" s="244"/>
      <c r="H4" s="244"/>
      <c r="I4" s="244"/>
      <c r="J4" s="244"/>
      <c r="K4" s="244"/>
      <c r="P4" s="243"/>
      <c r="Q4" s="245"/>
      <c r="R4" s="245"/>
      <c r="S4" s="245"/>
      <c r="T4" s="245"/>
      <c r="U4" s="245"/>
      <c r="V4" s="245"/>
      <c r="W4" s="245"/>
    </row>
    <row r="5" ht="23.4" spans="1:23">
      <c r="A5" s="241"/>
      <c r="E5" s="246" t="s">
        <v>617</v>
      </c>
      <c r="F5" s="246"/>
      <c r="G5" s="246"/>
      <c r="H5" s="246"/>
      <c r="I5" s="246"/>
      <c r="J5" s="246"/>
      <c r="K5" s="246"/>
      <c r="P5" s="241"/>
    </row>
    <row r="6" spans="1:23">
      <c r="A6" s="241"/>
      <c r="P6" s="241"/>
    </row>
    <row r="7" spans="1:23">
      <c r="A7" s="241"/>
      <c r="P7" s="241"/>
    </row>
    <row r="8" spans="1:23">
      <c r="A8" s="241"/>
      <c r="P8" s="241"/>
    </row>
    <row r="9" spans="1:23">
      <c r="A9" s="241"/>
      <c r="P9" s="241"/>
    </row>
    <row r="10" spans="1:23">
      <c r="A10" s="241"/>
      <c r="F10" s="247" t="str">
        <f>"Session : "&amp;ENTRY!$D$11</f>
        <v>Session : 2026-27</v>
      </c>
      <c r="G10" s="247"/>
      <c r="H10" s="247"/>
      <c r="I10" s="247"/>
      <c r="J10" s="247"/>
      <c r="M10" s="248">
        <v>1</v>
      </c>
      <c r="P10" s="241"/>
    </row>
    <row r="11" ht="17.25" customHeight="1" spans="1:23">
      <c r="A11" s="241"/>
      <c r="F11" s="247"/>
      <c r="G11" s="247"/>
      <c r="H11" s="247"/>
      <c r="I11" s="247"/>
      <c r="J11" s="247"/>
      <c r="P11" s="241"/>
    </row>
    <row r="12" ht="17.25" customHeight="1" spans="1:23">
      <c r="A12" s="241"/>
      <c r="F12" s="247"/>
      <c r="G12" s="247"/>
      <c r="H12" s="247"/>
      <c r="I12" s="247"/>
      <c r="J12" s="247"/>
      <c r="P12" s="241"/>
    </row>
    <row r="13" spans="1:23">
      <c r="A13" s="241"/>
      <c r="C13" s="249" t="s">
        <v>619</v>
      </c>
      <c r="D13" s="249"/>
      <c r="E13" s="250" t="str">
        <f>VLOOKUP(M10,STUDENT!$A$2:$BR$105,5,0)</f>
        <v>NAKSH</v>
      </c>
      <c r="F13" s="250"/>
      <c r="G13" s="250"/>
      <c r="H13" s="250"/>
      <c r="I13" s="250"/>
      <c r="J13" s="251" t="s">
        <v>395</v>
      </c>
      <c r="K13" s="251"/>
      <c r="L13" s="252" t="str">
        <f>VLOOKUP(M10,STUDENT!$A$2:$BR$105,2,0)</f>
        <v>III-A</v>
      </c>
      <c r="M13" s="253"/>
      <c r="N13" s="253"/>
      <c r="P13" s="241"/>
    </row>
    <row r="14" spans="1:23">
      <c r="A14" s="241"/>
      <c r="L14" s="254"/>
      <c r="P14" s="241"/>
    </row>
    <row r="15" spans="1:23">
      <c r="A15" s="241"/>
      <c r="C15" s="249" t="s">
        <v>392</v>
      </c>
      <c r="D15" s="249"/>
      <c r="E15" s="255" t="str">
        <f>ENTRY!$D$6</f>
        <v>MCP NITHARI NO 1 BOYS</v>
      </c>
      <c r="F15" s="255"/>
      <c r="G15" s="255"/>
      <c r="H15" s="255"/>
      <c r="I15" s="256"/>
      <c r="J15" s="255"/>
      <c r="K15" s="255"/>
      <c r="L15" s="255"/>
      <c r="M15" s="255"/>
      <c r="N15" s="255"/>
      <c r="P15" s="241"/>
    </row>
    <row r="16" spans="1:23">
      <c r="A16" s="241"/>
      <c r="I16" s="254"/>
      <c r="P16" s="241"/>
    </row>
    <row r="17" spans="1:16">
      <c r="A17" s="241"/>
      <c r="C17" s="257" t="s">
        <v>630</v>
      </c>
      <c r="D17" s="255" t="str">
        <f>VLOOKUP(M10,STUDENT!$A$2:$BR$105,22,0)</f>
        <v>PLOT NO 6 A, KH NO 36/17 INDER ENCALVE II</v>
      </c>
      <c r="E17" s="255"/>
      <c r="F17" s="255"/>
      <c r="G17" s="255"/>
      <c r="H17" s="255"/>
      <c r="I17" s="256"/>
      <c r="J17" s="255"/>
      <c r="K17" s="255"/>
      <c r="L17" s="255"/>
      <c r="M17" s="255"/>
      <c r="N17" s="255"/>
      <c r="P17" s="241"/>
    </row>
    <row r="18" spans="1:16">
      <c r="A18" s="241"/>
      <c r="I18" s="254"/>
      <c r="P18" s="241"/>
    </row>
    <row r="19" ht="18.15" spans="1:16">
      <c r="A19" s="241"/>
      <c r="C19" s="258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P19" s="241"/>
    </row>
    <row r="20" ht="32.1" customHeight="1" spans="1:16">
      <c r="A20" s="241"/>
      <c r="C20" s="259" t="s">
        <v>631</v>
      </c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1"/>
      <c r="P20" s="241"/>
    </row>
    <row r="21" ht="18" customHeight="1" spans="1:16">
      <c r="A21" s="241"/>
      <c r="C21" s="262" t="s">
        <v>632</v>
      </c>
      <c r="D21" s="263"/>
      <c r="E21" s="263"/>
      <c r="F21" s="263"/>
      <c r="G21" s="263"/>
      <c r="H21" s="264"/>
      <c r="I21" s="265" t="s">
        <v>633</v>
      </c>
      <c r="J21" s="263"/>
      <c r="K21" s="263"/>
      <c r="L21" s="263"/>
      <c r="M21" s="263"/>
      <c r="N21" s="266"/>
      <c r="P21" s="241"/>
    </row>
    <row r="22" ht="18" customHeight="1" spans="1:16">
      <c r="A22" s="241"/>
      <c r="C22" s="267"/>
      <c r="D22" s="268"/>
      <c r="E22" s="268"/>
      <c r="F22" s="268"/>
      <c r="G22" s="268"/>
      <c r="H22" s="269"/>
      <c r="I22" s="270"/>
      <c r="J22" s="268"/>
      <c r="K22" s="268"/>
      <c r="L22" s="268"/>
      <c r="M22" s="268"/>
      <c r="N22" s="271"/>
      <c r="P22" s="241"/>
    </row>
    <row r="23" ht="18" customHeight="1" spans="1:16">
      <c r="A23" s="241"/>
      <c r="C23" s="267"/>
      <c r="D23" s="268"/>
      <c r="E23" s="268"/>
      <c r="F23" s="268"/>
      <c r="G23" s="268"/>
      <c r="H23" s="269"/>
      <c r="I23" s="270"/>
      <c r="J23" s="268"/>
      <c r="K23" s="268"/>
      <c r="L23" s="268"/>
      <c r="M23" s="268"/>
      <c r="N23" s="271"/>
      <c r="P23" s="241"/>
    </row>
    <row r="24" ht="18" customHeight="1" spans="1:16">
      <c r="A24" s="241"/>
      <c r="C24" s="267"/>
      <c r="D24" s="268"/>
      <c r="E24" s="268"/>
      <c r="F24" s="268"/>
      <c r="G24" s="268"/>
      <c r="H24" s="269"/>
      <c r="I24" s="270"/>
      <c r="J24" s="268"/>
      <c r="K24" s="268"/>
      <c r="L24" s="268"/>
      <c r="M24" s="268"/>
      <c r="N24" s="271"/>
      <c r="P24" s="241"/>
    </row>
    <row r="25" ht="18" customHeight="1" spans="1:16">
      <c r="A25" s="241"/>
      <c r="C25" s="267"/>
      <c r="D25" s="268"/>
      <c r="E25" s="268"/>
      <c r="F25" s="268"/>
      <c r="G25" s="268"/>
      <c r="H25" s="269"/>
      <c r="I25" s="270"/>
      <c r="J25" s="268"/>
      <c r="K25" s="268"/>
      <c r="L25" s="268"/>
      <c r="M25" s="268"/>
      <c r="N25" s="271"/>
      <c r="P25" s="241"/>
    </row>
    <row r="26" ht="18" customHeight="1" spans="1:16">
      <c r="A26" s="241"/>
      <c r="C26" s="267"/>
      <c r="D26" s="268"/>
      <c r="E26" s="268"/>
      <c r="F26" s="268"/>
      <c r="G26" s="268"/>
      <c r="H26" s="269"/>
      <c r="I26" s="270"/>
      <c r="J26" s="268"/>
      <c r="K26" s="268"/>
      <c r="L26" s="268"/>
      <c r="M26" s="268"/>
      <c r="N26" s="271"/>
      <c r="P26" s="241"/>
    </row>
    <row r="27" ht="18" customHeight="1" spans="1:16">
      <c r="A27" s="241"/>
      <c r="C27" s="267"/>
      <c r="D27" s="268"/>
      <c r="E27" s="268"/>
      <c r="F27" s="268"/>
      <c r="G27" s="268"/>
      <c r="H27" s="269"/>
      <c r="I27" s="270"/>
      <c r="J27" s="268"/>
      <c r="K27" s="268"/>
      <c r="L27" s="268"/>
      <c r="M27" s="268"/>
      <c r="N27" s="271"/>
      <c r="P27" s="241"/>
    </row>
    <row r="28" ht="18" customHeight="1" spans="1:16">
      <c r="A28" s="241"/>
      <c r="C28" s="267"/>
      <c r="D28" s="268"/>
      <c r="E28" s="268"/>
      <c r="F28" s="268"/>
      <c r="G28" s="268"/>
      <c r="H28" s="269"/>
      <c r="I28" s="270"/>
      <c r="J28" s="268"/>
      <c r="K28" s="268"/>
      <c r="L28" s="268"/>
      <c r="M28" s="268"/>
      <c r="N28" s="271"/>
      <c r="P28" s="241"/>
    </row>
    <row r="29" ht="18" customHeight="1" spans="1:16">
      <c r="A29" s="241"/>
      <c r="C29" s="272" t="s">
        <v>634</v>
      </c>
      <c r="D29" s="273"/>
      <c r="E29" s="273"/>
      <c r="F29" s="273"/>
      <c r="G29" s="273"/>
      <c r="H29" s="274"/>
      <c r="I29" s="275" t="s">
        <v>635</v>
      </c>
      <c r="J29" s="276"/>
      <c r="K29" s="276"/>
      <c r="L29" s="276"/>
      <c r="M29" s="276"/>
      <c r="N29" s="277"/>
      <c r="P29" s="241"/>
    </row>
    <row r="30" ht="5.1" customHeight="1" spans="1:16">
      <c r="A30" s="241"/>
      <c r="P30" s="241"/>
    </row>
    <row r="31" ht="32.1" customHeight="1" spans="1:16">
      <c r="A31" s="241"/>
      <c r="C31" s="278" t="s">
        <v>631</v>
      </c>
      <c r="D31" s="279"/>
      <c r="E31" s="279"/>
      <c r="F31" s="279"/>
      <c r="G31" s="279"/>
      <c r="H31" s="279"/>
      <c r="I31" s="279"/>
      <c r="J31" s="279"/>
      <c r="K31" s="279"/>
      <c r="L31" s="279"/>
      <c r="M31" s="279"/>
      <c r="N31" s="280"/>
      <c r="P31" s="241"/>
    </row>
    <row r="32" ht="18" customHeight="1" spans="1:16">
      <c r="A32" s="241"/>
      <c r="C32" s="281" t="s">
        <v>632</v>
      </c>
      <c r="D32" s="282"/>
      <c r="E32" s="282"/>
      <c r="F32" s="282"/>
      <c r="G32" s="282"/>
      <c r="H32" s="282"/>
      <c r="I32" s="283" t="s">
        <v>633</v>
      </c>
      <c r="J32" s="282"/>
      <c r="K32" s="282"/>
      <c r="L32" s="282"/>
      <c r="M32" s="282"/>
      <c r="N32" s="284"/>
      <c r="P32" s="241"/>
    </row>
    <row r="33" ht="18" customHeight="1" spans="1:16">
      <c r="A33" s="241"/>
      <c r="C33" s="285"/>
      <c r="D33" s="268"/>
      <c r="E33" s="268"/>
      <c r="F33" s="268"/>
      <c r="G33" s="268"/>
      <c r="H33" s="268"/>
      <c r="I33" s="286"/>
      <c r="J33" s="268"/>
      <c r="K33" s="268"/>
      <c r="L33" s="268"/>
      <c r="M33" s="268"/>
      <c r="N33" s="287"/>
      <c r="P33" s="241"/>
    </row>
    <row r="34" ht="18" customHeight="1" spans="1:16">
      <c r="A34" s="241"/>
      <c r="C34" s="285"/>
      <c r="D34" s="268"/>
      <c r="E34" s="268"/>
      <c r="F34" s="268"/>
      <c r="G34" s="268"/>
      <c r="H34" s="268"/>
      <c r="I34" s="286"/>
      <c r="J34" s="268"/>
      <c r="K34" s="268"/>
      <c r="L34" s="268"/>
      <c r="M34" s="268"/>
      <c r="N34" s="287"/>
      <c r="P34" s="241"/>
    </row>
    <row r="35" ht="18" customHeight="1" spans="1:16">
      <c r="A35" s="241"/>
      <c r="C35" s="285"/>
      <c r="D35" s="268"/>
      <c r="E35" s="268"/>
      <c r="F35" s="268"/>
      <c r="G35" s="268"/>
      <c r="H35" s="268"/>
      <c r="I35" s="286"/>
      <c r="J35" s="268"/>
      <c r="K35" s="268"/>
      <c r="L35" s="268"/>
      <c r="M35" s="268"/>
      <c r="N35" s="287"/>
      <c r="P35" s="241"/>
    </row>
    <row r="36" ht="18" customHeight="1" spans="1:16">
      <c r="A36" s="241"/>
      <c r="C36" s="285"/>
      <c r="D36" s="268"/>
      <c r="E36" s="268"/>
      <c r="F36" s="268"/>
      <c r="G36" s="268"/>
      <c r="H36" s="268"/>
      <c r="I36" s="286"/>
      <c r="J36" s="268"/>
      <c r="K36" s="268"/>
      <c r="L36" s="268"/>
      <c r="M36" s="268"/>
      <c r="N36" s="287"/>
      <c r="P36" s="241"/>
    </row>
    <row r="37" ht="18" customHeight="1" spans="1:16">
      <c r="A37" s="241"/>
      <c r="C37" s="285"/>
      <c r="D37" s="268"/>
      <c r="E37" s="268"/>
      <c r="F37" s="268"/>
      <c r="G37" s="268"/>
      <c r="H37" s="268"/>
      <c r="I37" s="286"/>
      <c r="J37" s="268"/>
      <c r="K37" s="268"/>
      <c r="L37" s="268"/>
      <c r="M37" s="268"/>
      <c r="N37" s="287"/>
      <c r="P37" s="241"/>
    </row>
    <row r="38" ht="18" customHeight="1" spans="1:16">
      <c r="A38" s="241"/>
      <c r="C38" s="285"/>
      <c r="D38" s="268"/>
      <c r="E38" s="268"/>
      <c r="F38" s="268"/>
      <c r="G38" s="268"/>
      <c r="H38" s="268"/>
      <c r="I38" s="286"/>
      <c r="J38" s="268"/>
      <c r="K38" s="268"/>
      <c r="L38" s="268"/>
      <c r="M38" s="268"/>
      <c r="N38" s="287"/>
      <c r="P38" s="241"/>
    </row>
    <row r="39" ht="18" customHeight="1" spans="1:16">
      <c r="A39" s="241"/>
      <c r="C39" s="285"/>
      <c r="D39" s="268"/>
      <c r="E39" s="268"/>
      <c r="F39" s="268"/>
      <c r="G39" s="268"/>
      <c r="H39" s="268"/>
      <c r="I39" s="286"/>
      <c r="J39" s="268"/>
      <c r="K39" s="268"/>
      <c r="L39" s="268"/>
      <c r="M39" s="268"/>
      <c r="N39" s="287"/>
      <c r="P39" s="241"/>
    </row>
    <row r="40" ht="18" customHeight="1" spans="1:16">
      <c r="A40" s="241"/>
      <c r="C40" s="288" t="s">
        <v>634</v>
      </c>
      <c r="D40" s="289"/>
      <c r="E40" s="289"/>
      <c r="F40" s="289"/>
      <c r="G40" s="289"/>
      <c r="H40" s="290"/>
      <c r="I40" s="291" t="s">
        <v>635</v>
      </c>
      <c r="J40" s="292"/>
      <c r="K40" s="292"/>
      <c r="L40" s="292"/>
      <c r="M40" s="292"/>
      <c r="N40" s="293"/>
      <c r="O40" s="294"/>
      <c r="P40" s="241"/>
    </row>
    <row r="41" ht="5.1" customHeight="1" spans="1:16">
      <c r="A41" s="241"/>
      <c r="P41" s="241"/>
    </row>
    <row r="42" ht="32.1" customHeight="1" spans="1:16">
      <c r="A42" s="241"/>
      <c r="B42" s="295"/>
      <c r="C42" s="296" t="s">
        <v>631</v>
      </c>
      <c r="D42" s="297"/>
      <c r="E42" s="297"/>
      <c r="F42" s="297"/>
      <c r="G42" s="297"/>
      <c r="H42" s="297"/>
      <c r="I42" s="297"/>
      <c r="J42" s="297"/>
      <c r="K42" s="297"/>
      <c r="L42" s="297"/>
      <c r="M42" s="297"/>
      <c r="N42" s="298"/>
      <c r="O42" s="299"/>
      <c r="P42" s="241"/>
    </row>
    <row r="43" ht="18" customHeight="1" spans="1:16">
      <c r="A43" s="241"/>
      <c r="C43" s="300" t="s">
        <v>632</v>
      </c>
      <c r="D43" s="301"/>
      <c r="E43" s="301"/>
      <c r="F43" s="301"/>
      <c r="G43" s="301"/>
      <c r="H43" s="301"/>
      <c r="I43" s="302" t="s">
        <v>633</v>
      </c>
      <c r="J43" s="301"/>
      <c r="K43" s="301"/>
      <c r="L43" s="301"/>
      <c r="M43" s="301"/>
      <c r="N43" s="303"/>
      <c r="P43" s="241"/>
    </row>
    <row r="44" ht="18" customHeight="1" spans="1:16">
      <c r="A44" s="241"/>
      <c r="C44" s="304"/>
      <c r="D44" s="268"/>
      <c r="E44" s="268"/>
      <c r="F44" s="268"/>
      <c r="G44" s="268"/>
      <c r="H44" s="268"/>
      <c r="I44" s="305"/>
      <c r="J44" s="268"/>
      <c r="K44" s="268"/>
      <c r="L44" s="268"/>
      <c r="M44" s="268"/>
      <c r="N44" s="306"/>
      <c r="P44" s="241"/>
    </row>
    <row r="45" ht="18" customHeight="1" spans="1:16">
      <c r="A45" s="241"/>
      <c r="C45" s="304"/>
      <c r="D45" s="268"/>
      <c r="E45" s="268"/>
      <c r="F45" s="268"/>
      <c r="G45" s="268"/>
      <c r="H45" s="268"/>
      <c r="I45" s="305"/>
      <c r="J45" s="268"/>
      <c r="K45" s="268"/>
      <c r="L45" s="268"/>
      <c r="M45" s="268"/>
      <c r="N45" s="306"/>
      <c r="P45" s="241"/>
    </row>
    <row r="46" ht="18" customHeight="1" spans="1:16">
      <c r="A46" s="241"/>
      <c r="C46" s="304"/>
      <c r="D46" s="268"/>
      <c r="E46" s="268"/>
      <c r="F46" s="268"/>
      <c r="G46" s="268"/>
      <c r="H46" s="268"/>
      <c r="I46" s="305"/>
      <c r="J46" s="268"/>
      <c r="K46" s="268"/>
      <c r="L46" s="268"/>
      <c r="M46" s="268"/>
      <c r="N46" s="306"/>
      <c r="P46" s="241"/>
    </row>
    <row r="47" ht="18" customHeight="1" spans="1:16">
      <c r="A47" s="241"/>
      <c r="C47" s="304"/>
      <c r="D47" s="268"/>
      <c r="E47" s="268"/>
      <c r="F47" s="268"/>
      <c r="G47" s="268"/>
      <c r="H47" s="268"/>
      <c r="I47" s="305"/>
      <c r="J47" s="268"/>
      <c r="K47" s="268"/>
      <c r="L47" s="268"/>
      <c r="M47" s="268"/>
      <c r="N47" s="306"/>
      <c r="P47" s="241"/>
    </row>
    <row r="48" ht="18" customHeight="1" spans="1:16">
      <c r="A48" s="241"/>
      <c r="C48" s="304"/>
      <c r="D48" s="268"/>
      <c r="E48" s="268"/>
      <c r="F48" s="268"/>
      <c r="G48" s="268"/>
      <c r="H48" s="268"/>
      <c r="I48" s="305"/>
      <c r="J48" s="268"/>
      <c r="K48" s="268"/>
      <c r="L48" s="268"/>
      <c r="M48" s="268"/>
      <c r="N48" s="306"/>
      <c r="P48" s="241"/>
    </row>
    <row r="49" ht="18" customHeight="1" spans="1:16">
      <c r="A49" s="241"/>
      <c r="C49" s="304"/>
      <c r="D49" s="268"/>
      <c r="E49" s="268"/>
      <c r="F49" s="268"/>
      <c r="G49" s="268"/>
      <c r="H49" s="268"/>
      <c r="I49" s="305"/>
      <c r="J49" s="268"/>
      <c r="K49" s="268"/>
      <c r="L49" s="268"/>
      <c r="M49" s="268"/>
      <c r="N49" s="306"/>
      <c r="P49" s="241"/>
    </row>
    <row r="50" ht="18" customHeight="1" spans="1:16">
      <c r="A50" s="241"/>
      <c r="C50" s="304"/>
      <c r="D50" s="268"/>
      <c r="E50" s="268"/>
      <c r="F50" s="268"/>
      <c r="G50" s="268"/>
      <c r="H50" s="268"/>
      <c r="I50" s="305"/>
      <c r="J50" s="268"/>
      <c r="K50" s="268"/>
      <c r="L50" s="268"/>
      <c r="M50" s="268"/>
      <c r="N50" s="306"/>
      <c r="P50" s="241"/>
    </row>
    <row r="51" ht="18" customHeight="1" spans="1:16">
      <c r="A51" s="241"/>
      <c r="C51" s="307" t="s">
        <v>634</v>
      </c>
      <c r="D51" s="308"/>
      <c r="E51" s="308"/>
      <c r="F51" s="308"/>
      <c r="G51" s="308"/>
      <c r="H51" s="308"/>
      <c r="I51" s="309" t="s">
        <v>635</v>
      </c>
      <c r="J51" s="310"/>
      <c r="K51" s="310"/>
      <c r="L51" s="310"/>
      <c r="M51" s="310"/>
      <c r="N51" s="311"/>
      <c r="P51" s="241"/>
    </row>
    <row r="52" ht="5.1" customHeight="1" spans="1:16">
      <c r="A52" s="241"/>
      <c r="P52" s="241"/>
    </row>
    <row r="53" ht="8.1" customHeight="1" spans="1:16">
      <c r="A53" s="241"/>
      <c r="B53" s="241"/>
      <c r="C53" s="241"/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</row>
    <row r="54" s="239" customFormat="1" ht="15" customHeight="1"/>
    <row r="55" s="239" customFormat="1" ht="15" customHeight="1"/>
    <row r="56" s="239" customFormat="1" ht="15" customHeight="1"/>
    <row r="57" s="239" customFormat="1" ht="15" customHeight="1"/>
    <row r="58" ht="15" customHeight="1"/>
    <row r="59" ht="8.1" customHeight="1" spans="1:16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  <c r="P59" s="241"/>
    </row>
    <row r="60" ht="15" customHeight="1" spans="1:16">
      <c r="A60" s="241"/>
      <c r="C60" s="312" t="s">
        <v>636</v>
      </c>
      <c r="D60" s="312"/>
      <c r="E60" s="312"/>
      <c r="F60" s="312"/>
      <c r="G60" s="312"/>
      <c r="H60" s="312"/>
      <c r="I60" s="312"/>
      <c r="J60" s="312"/>
      <c r="K60" s="312"/>
      <c r="L60" s="312"/>
      <c r="M60" s="312"/>
      <c r="N60" s="312"/>
      <c r="P60" s="241"/>
    </row>
    <row r="61" ht="30" customHeight="1" spans="1:16">
      <c r="A61" s="241"/>
      <c r="C61" s="313" t="s">
        <v>631</v>
      </c>
      <c r="D61" s="314"/>
      <c r="E61" s="314"/>
      <c r="F61" s="314"/>
      <c r="G61" s="314"/>
      <c r="H61" s="314"/>
      <c r="I61" s="314"/>
      <c r="J61" s="314"/>
      <c r="K61" s="314"/>
      <c r="L61" s="314"/>
      <c r="M61" s="314"/>
      <c r="N61" s="315"/>
      <c r="O61" s="316"/>
      <c r="P61" s="241"/>
    </row>
    <row r="62" ht="18" customHeight="1" spans="1:16">
      <c r="A62" s="241"/>
      <c r="C62" s="317" t="s">
        <v>632</v>
      </c>
      <c r="D62" s="318"/>
      <c r="E62" s="318"/>
      <c r="F62" s="318"/>
      <c r="G62" s="318"/>
      <c r="H62" s="318"/>
      <c r="I62" s="319" t="s">
        <v>633</v>
      </c>
      <c r="J62" s="318"/>
      <c r="K62" s="318"/>
      <c r="L62" s="318"/>
      <c r="M62" s="318"/>
      <c r="N62" s="320"/>
      <c r="P62" s="241"/>
    </row>
    <row r="63" ht="18" customHeight="1" spans="1:16">
      <c r="A63" s="241"/>
      <c r="C63" s="321"/>
      <c r="D63" s="268"/>
      <c r="E63" s="268"/>
      <c r="F63" s="268"/>
      <c r="G63" s="268"/>
      <c r="H63" s="268"/>
      <c r="I63" s="322"/>
      <c r="J63" s="268"/>
      <c r="K63" s="268"/>
      <c r="L63" s="268"/>
      <c r="M63" s="268"/>
      <c r="N63" s="323"/>
      <c r="P63" s="241"/>
    </row>
    <row r="64" ht="18" customHeight="1" spans="1:16">
      <c r="A64" s="241"/>
      <c r="C64" s="321"/>
      <c r="D64" s="268"/>
      <c r="E64" s="268"/>
      <c r="F64" s="268"/>
      <c r="G64" s="268"/>
      <c r="H64" s="268"/>
      <c r="I64" s="322"/>
      <c r="J64" s="268"/>
      <c r="K64" s="268"/>
      <c r="L64" s="268"/>
      <c r="M64" s="268"/>
      <c r="N64" s="323"/>
      <c r="P64" s="241"/>
    </row>
    <row r="65" ht="18" customHeight="1" spans="1:16">
      <c r="A65" s="241"/>
      <c r="C65" s="321"/>
      <c r="D65" s="268"/>
      <c r="E65" s="268"/>
      <c r="F65" s="268"/>
      <c r="G65" s="268"/>
      <c r="H65" s="268"/>
      <c r="I65" s="322"/>
      <c r="J65" s="268"/>
      <c r="K65" s="268"/>
      <c r="L65" s="268"/>
      <c r="M65" s="268"/>
      <c r="N65" s="323"/>
      <c r="P65" s="241"/>
    </row>
    <row r="66" ht="18" customHeight="1" spans="1:16">
      <c r="A66" s="241"/>
      <c r="C66" s="321"/>
      <c r="D66" s="268"/>
      <c r="E66" s="268"/>
      <c r="F66" s="268"/>
      <c r="G66" s="268"/>
      <c r="H66" s="268"/>
      <c r="I66" s="322"/>
      <c r="J66" s="268"/>
      <c r="K66" s="268"/>
      <c r="L66" s="268"/>
      <c r="M66" s="268"/>
      <c r="N66" s="323"/>
      <c r="P66" s="241"/>
    </row>
    <row r="67" ht="18" customHeight="1" spans="1:16">
      <c r="A67" s="241"/>
      <c r="C67" s="321"/>
      <c r="D67" s="268"/>
      <c r="E67" s="268"/>
      <c r="F67" s="268"/>
      <c r="G67" s="268"/>
      <c r="H67" s="268"/>
      <c r="I67" s="322"/>
      <c r="J67" s="268"/>
      <c r="K67" s="268"/>
      <c r="L67" s="268"/>
      <c r="M67" s="268"/>
      <c r="N67" s="323"/>
      <c r="P67" s="241"/>
    </row>
    <row r="68" ht="18" customHeight="1" spans="1:16">
      <c r="A68" s="241"/>
      <c r="C68" s="321"/>
      <c r="D68" s="268"/>
      <c r="E68" s="268"/>
      <c r="F68" s="268"/>
      <c r="G68" s="268"/>
      <c r="H68" s="268"/>
      <c r="I68" s="322"/>
      <c r="J68" s="268"/>
      <c r="K68" s="268"/>
      <c r="L68" s="268"/>
      <c r="M68" s="268"/>
      <c r="N68" s="323"/>
      <c r="P68" s="241"/>
    </row>
    <row r="69" ht="18" customHeight="1" spans="1:16">
      <c r="A69" s="241"/>
      <c r="C69" s="321"/>
      <c r="D69" s="268"/>
      <c r="E69" s="268"/>
      <c r="F69" s="268"/>
      <c r="G69" s="268"/>
      <c r="H69" s="268"/>
      <c r="I69" s="322"/>
      <c r="J69" s="268"/>
      <c r="K69" s="268"/>
      <c r="L69" s="268"/>
      <c r="M69" s="268"/>
      <c r="N69" s="323"/>
      <c r="P69" s="241"/>
    </row>
    <row r="70" ht="18" customHeight="1" spans="1:16">
      <c r="A70" s="241"/>
      <c r="C70" s="324" t="s">
        <v>634</v>
      </c>
      <c r="D70" s="325"/>
      <c r="E70" s="325"/>
      <c r="F70" s="325"/>
      <c r="G70" s="325"/>
      <c r="H70" s="325"/>
      <c r="I70" s="326" t="s">
        <v>635</v>
      </c>
      <c r="J70" s="327"/>
      <c r="K70" s="327"/>
      <c r="L70" s="327"/>
      <c r="M70" s="327"/>
      <c r="N70" s="328"/>
      <c r="P70" s="241"/>
    </row>
    <row r="71" ht="5.1" customHeight="1" spans="1:16">
      <c r="A71" s="241"/>
      <c r="P71" s="241"/>
    </row>
    <row r="72" ht="30" customHeight="1" spans="1:16">
      <c r="A72" s="241"/>
      <c r="C72" s="329" t="s">
        <v>631</v>
      </c>
      <c r="D72" s="330"/>
      <c r="E72" s="330"/>
      <c r="F72" s="330"/>
      <c r="G72" s="330"/>
      <c r="H72" s="330"/>
      <c r="I72" s="330"/>
      <c r="J72" s="330"/>
      <c r="K72" s="330"/>
      <c r="L72" s="330"/>
      <c r="M72" s="330"/>
      <c r="N72" s="331"/>
      <c r="P72" s="241"/>
    </row>
    <row r="73" ht="18" customHeight="1" spans="1:16">
      <c r="A73" s="241"/>
      <c r="C73" s="332" t="s">
        <v>632</v>
      </c>
      <c r="D73" s="333"/>
      <c r="E73" s="333"/>
      <c r="F73" s="333"/>
      <c r="G73" s="333"/>
      <c r="H73" s="333"/>
      <c r="I73" s="334" t="s">
        <v>633</v>
      </c>
      <c r="J73" s="333"/>
      <c r="K73" s="333"/>
      <c r="L73" s="333"/>
      <c r="M73" s="333"/>
      <c r="N73" s="335"/>
      <c r="P73" s="241"/>
    </row>
    <row r="74" ht="18" customHeight="1" spans="1:16">
      <c r="A74" s="241"/>
      <c r="C74" s="336"/>
      <c r="D74" s="268"/>
      <c r="E74" s="268"/>
      <c r="F74" s="268"/>
      <c r="G74" s="268"/>
      <c r="H74" s="268"/>
      <c r="I74" s="337"/>
      <c r="J74" s="268"/>
      <c r="K74" s="268"/>
      <c r="L74" s="268"/>
      <c r="M74" s="268"/>
      <c r="N74" s="338"/>
      <c r="P74" s="241"/>
    </row>
    <row r="75" ht="18" customHeight="1" spans="1:16">
      <c r="A75" s="241"/>
      <c r="C75" s="336"/>
      <c r="D75" s="268"/>
      <c r="E75" s="268"/>
      <c r="F75" s="268"/>
      <c r="G75" s="268"/>
      <c r="H75" s="268"/>
      <c r="I75" s="337"/>
      <c r="J75" s="268"/>
      <c r="K75" s="268"/>
      <c r="L75" s="268"/>
      <c r="M75" s="268"/>
      <c r="N75" s="338"/>
      <c r="P75" s="241"/>
    </row>
    <row r="76" ht="18" customHeight="1" spans="1:16">
      <c r="A76" s="241"/>
      <c r="C76" s="336"/>
      <c r="D76" s="268"/>
      <c r="E76" s="268"/>
      <c r="F76" s="268"/>
      <c r="G76" s="268"/>
      <c r="H76" s="268"/>
      <c r="I76" s="337"/>
      <c r="J76" s="268"/>
      <c r="K76" s="268"/>
      <c r="L76" s="268"/>
      <c r="M76" s="268"/>
      <c r="N76" s="338"/>
      <c r="P76" s="241"/>
    </row>
    <row r="77" ht="18" customHeight="1" spans="1:16">
      <c r="A77" s="241"/>
      <c r="C77" s="336"/>
      <c r="D77" s="268"/>
      <c r="E77" s="268"/>
      <c r="F77" s="268"/>
      <c r="G77" s="268"/>
      <c r="H77" s="268"/>
      <c r="I77" s="337"/>
      <c r="J77" s="268"/>
      <c r="K77" s="268"/>
      <c r="L77" s="268"/>
      <c r="M77" s="268"/>
      <c r="N77" s="338"/>
      <c r="P77" s="241"/>
    </row>
    <row r="78" ht="18" customHeight="1" spans="1:16">
      <c r="A78" s="241"/>
      <c r="C78" s="336"/>
      <c r="D78" s="268"/>
      <c r="E78" s="268"/>
      <c r="F78" s="268"/>
      <c r="G78" s="268"/>
      <c r="H78" s="268"/>
      <c r="I78" s="337"/>
      <c r="J78" s="268"/>
      <c r="K78" s="268"/>
      <c r="L78" s="268"/>
      <c r="M78" s="268"/>
      <c r="N78" s="338"/>
      <c r="P78" s="241"/>
    </row>
    <row r="79" ht="18" customHeight="1" spans="1:16">
      <c r="A79" s="241"/>
      <c r="C79" s="336"/>
      <c r="D79" s="268"/>
      <c r="E79" s="268"/>
      <c r="F79" s="268"/>
      <c r="G79" s="268"/>
      <c r="H79" s="268"/>
      <c r="I79" s="337"/>
      <c r="J79" s="268"/>
      <c r="K79" s="268"/>
      <c r="L79" s="268"/>
      <c r="M79" s="268"/>
      <c r="N79" s="338"/>
      <c r="P79" s="241"/>
    </row>
    <row r="80" ht="18" customHeight="1" spans="1:16">
      <c r="A80" s="241"/>
      <c r="C80" s="336"/>
      <c r="D80" s="268"/>
      <c r="E80" s="268"/>
      <c r="F80" s="268"/>
      <c r="G80" s="268"/>
      <c r="H80" s="268"/>
      <c r="I80" s="337"/>
      <c r="J80" s="268"/>
      <c r="K80" s="268"/>
      <c r="L80" s="268"/>
      <c r="M80" s="268"/>
      <c r="N80" s="338"/>
      <c r="P80" s="241"/>
    </row>
    <row r="81" ht="18" customHeight="1" spans="1:16">
      <c r="A81" s="241"/>
      <c r="C81" s="339" t="s">
        <v>634</v>
      </c>
      <c r="D81" s="340"/>
      <c r="E81" s="340"/>
      <c r="F81" s="340"/>
      <c r="G81" s="340"/>
      <c r="H81" s="340"/>
      <c r="I81" s="341" t="s">
        <v>635</v>
      </c>
      <c r="J81" s="342"/>
      <c r="K81" s="342"/>
      <c r="L81" s="342"/>
      <c r="M81" s="342"/>
      <c r="N81" s="343"/>
      <c r="P81" s="241"/>
    </row>
    <row r="82" ht="5.1" customHeight="1" spans="1:16">
      <c r="A82" s="241"/>
      <c r="P82" s="241"/>
    </row>
    <row r="83" ht="30" customHeight="1" spans="1:16">
      <c r="A83" s="241"/>
      <c r="C83" s="344" t="s">
        <v>631</v>
      </c>
      <c r="D83" s="345"/>
      <c r="E83" s="345"/>
      <c r="F83" s="345"/>
      <c r="G83" s="345"/>
      <c r="H83" s="345"/>
      <c r="I83" s="345"/>
      <c r="J83" s="345"/>
      <c r="K83" s="345"/>
      <c r="L83" s="345"/>
      <c r="M83" s="345"/>
      <c r="N83" s="346"/>
      <c r="P83" s="241"/>
    </row>
    <row r="84" ht="18" customHeight="1" spans="1:16">
      <c r="A84" s="241"/>
      <c r="C84" s="347" t="s">
        <v>632</v>
      </c>
      <c r="D84" s="348"/>
      <c r="E84" s="348"/>
      <c r="F84" s="348"/>
      <c r="G84" s="348"/>
      <c r="H84" s="349"/>
      <c r="I84" s="348" t="s">
        <v>633</v>
      </c>
      <c r="J84" s="348"/>
      <c r="K84" s="348"/>
      <c r="L84" s="348"/>
      <c r="M84" s="348"/>
      <c r="N84" s="350"/>
      <c r="P84" s="241"/>
    </row>
    <row r="85" ht="18" customHeight="1" spans="1:16">
      <c r="A85" s="241"/>
      <c r="C85" s="351"/>
      <c r="D85" s="268"/>
      <c r="E85" s="268"/>
      <c r="F85" s="268"/>
      <c r="G85" s="268"/>
      <c r="H85" s="268"/>
      <c r="I85" s="352"/>
      <c r="J85" s="268"/>
      <c r="K85" s="268"/>
      <c r="L85" s="268"/>
      <c r="M85" s="268"/>
      <c r="N85" s="353"/>
      <c r="P85" s="241"/>
    </row>
    <row r="86" ht="18" customHeight="1" spans="1:16">
      <c r="A86" s="241"/>
      <c r="C86" s="351"/>
      <c r="D86" s="268"/>
      <c r="E86" s="268"/>
      <c r="F86" s="268"/>
      <c r="G86" s="268"/>
      <c r="H86" s="268"/>
      <c r="I86" s="352"/>
      <c r="J86" s="268"/>
      <c r="K86" s="268"/>
      <c r="L86" s="268"/>
      <c r="M86" s="268"/>
      <c r="N86" s="353"/>
      <c r="P86" s="241"/>
    </row>
    <row r="87" ht="18" customHeight="1" spans="1:16">
      <c r="A87" s="241"/>
      <c r="C87" s="351"/>
      <c r="D87" s="268"/>
      <c r="E87" s="268"/>
      <c r="F87" s="268"/>
      <c r="G87" s="268"/>
      <c r="H87" s="268"/>
      <c r="I87" s="352"/>
      <c r="J87" s="268"/>
      <c r="K87" s="268"/>
      <c r="L87" s="268"/>
      <c r="M87" s="268"/>
      <c r="N87" s="353"/>
      <c r="P87" s="241"/>
    </row>
    <row r="88" ht="18" customHeight="1" spans="1:16">
      <c r="A88" s="241"/>
      <c r="C88" s="351"/>
      <c r="D88" s="268"/>
      <c r="E88" s="268"/>
      <c r="F88" s="268"/>
      <c r="G88" s="268"/>
      <c r="H88" s="268"/>
      <c r="I88" s="352"/>
      <c r="J88" s="268"/>
      <c r="K88" s="268"/>
      <c r="L88" s="268"/>
      <c r="M88" s="268"/>
      <c r="N88" s="353"/>
      <c r="P88" s="241"/>
    </row>
    <row r="89" ht="18" customHeight="1" spans="1:16">
      <c r="A89" s="241"/>
      <c r="C89" s="351"/>
      <c r="D89" s="268"/>
      <c r="E89" s="268"/>
      <c r="F89" s="268"/>
      <c r="G89" s="268"/>
      <c r="H89" s="268"/>
      <c r="I89" s="352"/>
      <c r="J89" s="268"/>
      <c r="K89" s="268"/>
      <c r="L89" s="268"/>
      <c r="M89" s="268"/>
      <c r="N89" s="353"/>
      <c r="P89" s="241"/>
    </row>
    <row r="90" ht="18" customHeight="1" spans="1:16">
      <c r="A90" s="241"/>
      <c r="C90" s="351"/>
      <c r="D90" s="268"/>
      <c r="E90" s="268"/>
      <c r="F90" s="268"/>
      <c r="G90" s="268"/>
      <c r="H90" s="268"/>
      <c r="I90" s="352"/>
      <c r="J90" s="268"/>
      <c r="K90" s="268"/>
      <c r="L90" s="268"/>
      <c r="M90" s="268"/>
      <c r="N90" s="353"/>
      <c r="P90" s="241"/>
    </row>
    <row r="91" ht="18" customHeight="1" spans="1:16">
      <c r="A91" s="241"/>
      <c r="C91" s="351"/>
      <c r="D91" s="268"/>
      <c r="E91" s="268"/>
      <c r="F91" s="268"/>
      <c r="G91" s="268"/>
      <c r="H91" s="268"/>
      <c r="I91" s="352"/>
      <c r="J91" s="268"/>
      <c r="K91" s="268"/>
      <c r="L91" s="268"/>
      <c r="M91" s="268"/>
      <c r="N91" s="353"/>
      <c r="P91" s="241"/>
    </row>
    <row r="92" ht="18" customHeight="1" spans="1:16">
      <c r="A92" s="241"/>
      <c r="C92" s="354" t="s">
        <v>634</v>
      </c>
      <c r="D92" s="355"/>
      <c r="E92" s="355"/>
      <c r="F92" s="355"/>
      <c r="G92" s="355"/>
      <c r="H92" s="355"/>
      <c r="I92" s="356" t="s">
        <v>635</v>
      </c>
      <c r="J92" s="357"/>
      <c r="K92" s="357"/>
      <c r="L92" s="357"/>
      <c r="M92" s="357"/>
      <c r="N92" s="358"/>
      <c r="P92" s="241"/>
    </row>
    <row r="93" ht="5.1" customHeight="1" spans="1:16">
      <c r="A93" s="241"/>
      <c r="P93" s="241"/>
    </row>
    <row r="94" ht="30" customHeight="1" spans="1:16">
      <c r="A94" s="241"/>
      <c r="B94" s="359"/>
      <c r="C94" s="360" t="s">
        <v>631</v>
      </c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2"/>
      <c r="P94" s="241"/>
    </row>
    <row r="95" ht="18" customHeight="1" spans="1:16">
      <c r="A95" s="241"/>
      <c r="C95" s="363" t="s">
        <v>632</v>
      </c>
      <c r="D95" s="364"/>
      <c r="E95" s="364"/>
      <c r="F95" s="364"/>
      <c r="G95" s="364"/>
      <c r="H95" s="365"/>
      <c r="I95" s="364" t="s">
        <v>633</v>
      </c>
      <c r="J95" s="364"/>
      <c r="K95" s="364"/>
      <c r="L95" s="364"/>
      <c r="M95" s="364"/>
      <c r="N95" s="366"/>
      <c r="P95" s="241"/>
    </row>
    <row r="96" ht="18" customHeight="1" spans="1:16">
      <c r="A96" s="241"/>
      <c r="C96" s="367"/>
      <c r="D96" s="268"/>
      <c r="E96" s="268"/>
      <c r="F96" s="268"/>
      <c r="G96" s="268"/>
      <c r="H96" s="268"/>
      <c r="I96" s="368"/>
      <c r="J96" s="268"/>
      <c r="K96" s="268"/>
      <c r="L96" s="268"/>
      <c r="M96" s="268"/>
      <c r="N96" s="369"/>
      <c r="P96" s="241"/>
    </row>
    <row r="97" ht="18" customHeight="1" spans="1:16">
      <c r="A97" s="241"/>
      <c r="C97" s="367"/>
      <c r="D97" s="268"/>
      <c r="E97" s="268"/>
      <c r="F97" s="268"/>
      <c r="G97" s="268"/>
      <c r="H97" s="268"/>
      <c r="I97" s="368"/>
      <c r="J97" s="268"/>
      <c r="K97" s="268"/>
      <c r="L97" s="268"/>
      <c r="M97" s="268"/>
      <c r="N97" s="369"/>
      <c r="P97" s="241"/>
    </row>
    <row r="98" ht="18" customHeight="1" spans="1:16">
      <c r="A98" s="241"/>
      <c r="C98" s="367"/>
      <c r="D98" s="268"/>
      <c r="E98" s="268"/>
      <c r="F98" s="268"/>
      <c r="G98" s="268"/>
      <c r="H98" s="268"/>
      <c r="I98" s="368"/>
      <c r="J98" s="268"/>
      <c r="K98" s="268"/>
      <c r="L98" s="268"/>
      <c r="M98" s="268"/>
      <c r="N98" s="369"/>
      <c r="P98" s="241"/>
    </row>
    <row r="99" ht="18" customHeight="1" spans="1:16">
      <c r="A99" s="241"/>
      <c r="C99" s="367"/>
      <c r="D99" s="268"/>
      <c r="E99" s="268"/>
      <c r="F99" s="268"/>
      <c r="G99" s="268"/>
      <c r="H99" s="268"/>
      <c r="I99" s="368"/>
      <c r="J99" s="268"/>
      <c r="K99" s="268"/>
      <c r="L99" s="268"/>
      <c r="M99" s="268"/>
      <c r="N99" s="369"/>
      <c r="P99" s="241"/>
    </row>
    <row r="100" ht="18" customHeight="1" spans="1:16">
      <c r="A100" s="241"/>
      <c r="C100" s="367"/>
      <c r="D100" s="268"/>
      <c r="E100" s="268"/>
      <c r="F100" s="268"/>
      <c r="G100" s="268"/>
      <c r="H100" s="268"/>
      <c r="I100" s="368"/>
      <c r="J100" s="268"/>
      <c r="K100" s="268"/>
      <c r="L100" s="268"/>
      <c r="M100" s="268"/>
      <c r="N100" s="369"/>
      <c r="P100" s="241"/>
    </row>
    <row r="101" ht="18" customHeight="1" spans="1:16">
      <c r="A101" s="241"/>
      <c r="C101" s="367"/>
      <c r="D101" s="268"/>
      <c r="E101" s="268"/>
      <c r="F101" s="268"/>
      <c r="G101" s="268"/>
      <c r="H101" s="268"/>
      <c r="I101" s="368"/>
      <c r="J101" s="268"/>
      <c r="K101" s="268"/>
      <c r="L101" s="268"/>
      <c r="M101" s="268"/>
      <c r="N101" s="369"/>
      <c r="P101" s="241"/>
    </row>
    <row r="102" ht="18" customHeight="1" spans="1:16">
      <c r="A102" s="241"/>
      <c r="C102" s="367"/>
      <c r="D102" s="268"/>
      <c r="E102" s="268"/>
      <c r="F102" s="268"/>
      <c r="G102" s="268"/>
      <c r="H102" s="268"/>
      <c r="I102" s="368"/>
      <c r="J102" s="268"/>
      <c r="K102" s="268"/>
      <c r="L102" s="268"/>
      <c r="M102" s="268"/>
      <c r="N102" s="369"/>
      <c r="P102" s="241"/>
    </row>
    <row r="103" ht="18" customHeight="1" spans="1:16">
      <c r="A103" s="241"/>
      <c r="C103" s="370" t="s">
        <v>634</v>
      </c>
      <c r="D103" s="371"/>
      <c r="E103" s="371"/>
      <c r="F103" s="371"/>
      <c r="G103" s="371"/>
      <c r="H103" s="371"/>
      <c r="I103" s="372" t="s">
        <v>635</v>
      </c>
      <c r="J103" s="373"/>
      <c r="K103" s="373"/>
      <c r="L103" s="373"/>
      <c r="M103" s="373"/>
      <c r="N103" s="374"/>
      <c r="P103" s="241"/>
    </row>
    <row r="104" ht="5.1" customHeight="1" spans="1:16">
      <c r="A104" s="241"/>
      <c r="P104" s="241"/>
    </row>
    <row r="105" ht="30" customHeight="1" spans="1:16">
      <c r="A105" s="241"/>
      <c r="C105" s="375" t="s">
        <v>631</v>
      </c>
      <c r="D105" s="376"/>
      <c r="E105" s="376"/>
      <c r="F105" s="376"/>
      <c r="G105" s="376"/>
      <c r="H105" s="376"/>
      <c r="I105" s="376"/>
      <c r="J105" s="376"/>
      <c r="K105" s="376"/>
      <c r="L105" s="376"/>
      <c r="M105" s="376"/>
      <c r="N105" s="377"/>
      <c r="P105" s="241"/>
    </row>
    <row r="106" ht="18" customHeight="1" spans="1:16">
      <c r="A106" s="241"/>
      <c r="C106" s="378" t="s">
        <v>632</v>
      </c>
      <c r="D106" s="379"/>
      <c r="E106" s="379"/>
      <c r="F106" s="379"/>
      <c r="G106" s="379"/>
      <c r="H106" s="379"/>
      <c r="I106" s="302" t="s">
        <v>633</v>
      </c>
      <c r="J106" s="301"/>
      <c r="K106" s="301"/>
      <c r="L106" s="301"/>
      <c r="M106" s="301"/>
      <c r="N106" s="303"/>
      <c r="P106" s="241"/>
    </row>
    <row r="107" ht="18" customHeight="1" spans="1:16">
      <c r="A107" s="241"/>
      <c r="C107" s="304"/>
      <c r="D107" s="268"/>
      <c r="E107" s="268"/>
      <c r="F107" s="268"/>
      <c r="G107" s="268"/>
      <c r="H107" s="268"/>
      <c r="I107" s="305"/>
      <c r="J107" s="268"/>
      <c r="K107" s="268"/>
      <c r="L107" s="268"/>
      <c r="M107" s="268"/>
      <c r="N107" s="306"/>
      <c r="P107" s="241"/>
    </row>
    <row r="108" ht="18" customHeight="1" spans="1:16">
      <c r="A108" s="241"/>
      <c r="C108" s="304"/>
      <c r="D108" s="268"/>
      <c r="E108" s="268"/>
      <c r="F108" s="268"/>
      <c r="G108" s="268"/>
      <c r="H108" s="268"/>
      <c r="I108" s="305"/>
      <c r="J108" s="268"/>
      <c r="K108" s="268"/>
      <c r="L108" s="268"/>
      <c r="M108" s="268"/>
      <c r="N108" s="306"/>
      <c r="P108" s="241"/>
    </row>
    <row r="109" ht="18" customHeight="1" spans="1:16">
      <c r="A109" s="241"/>
      <c r="C109" s="304"/>
      <c r="D109" s="268"/>
      <c r="E109" s="268"/>
      <c r="F109" s="268"/>
      <c r="G109" s="268"/>
      <c r="H109" s="268"/>
      <c r="I109" s="305"/>
      <c r="J109" s="268"/>
      <c r="K109" s="268"/>
      <c r="L109" s="268"/>
      <c r="M109" s="268"/>
      <c r="N109" s="306"/>
      <c r="P109" s="241"/>
    </row>
    <row r="110" ht="18" customHeight="1" spans="1:16">
      <c r="A110" s="241"/>
      <c r="C110" s="304"/>
      <c r="D110" s="268"/>
      <c r="E110" s="268"/>
      <c r="F110" s="268"/>
      <c r="G110" s="268"/>
      <c r="H110" s="268"/>
      <c r="I110" s="305"/>
      <c r="J110" s="268"/>
      <c r="K110" s="268"/>
      <c r="L110" s="268"/>
      <c r="M110" s="268"/>
      <c r="N110" s="306"/>
      <c r="P110" s="241"/>
    </row>
    <row r="111" ht="18" customHeight="1" spans="1:16">
      <c r="A111" s="241"/>
      <c r="C111" s="304"/>
      <c r="D111" s="268"/>
      <c r="E111" s="268"/>
      <c r="F111" s="268"/>
      <c r="G111" s="268"/>
      <c r="H111" s="268"/>
      <c r="I111" s="305"/>
      <c r="J111" s="268"/>
      <c r="K111" s="268"/>
      <c r="L111" s="268"/>
      <c r="M111" s="268"/>
      <c r="N111" s="306"/>
      <c r="P111" s="241"/>
    </row>
    <row r="112" ht="18" customHeight="1" spans="1:16">
      <c r="A112" s="241"/>
      <c r="C112" s="304"/>
      <c r="D112" s="268"/>
      <c r="E112" s="268"/>
      <c r="F112" s="268"/>
      <c r="G112" s="268"/>
      <c r="H112" s="268"/>
      <c r="I112" s="305"/>
      <c r="J112" s="268"/>
      <c r="K112" s="268"/>
      <c r="L112" s="268"/>
      <c r="M112" s="268"/>
      <c r="N112" s="306"/>
      <c r="P112" s="241"/>
    </row>
    <row r="113" ht="18" customHeight="1" spans="1:16">
      <c r="A113" s="241"/>
      <c r="C113" s="304"/>
      <c r="D113" s="268"/>
      <c r="E113" s="268"/>
      <c r="F113" s="268"/>
      <c r="G113" s="268"/>
      <c r="H113" s="268"/>
      <c r="I113" s="305"/>
      <c r="J113" s="268"/>
      <c r="K113" s="268"/>
      <c r="L113" s="268"/>
      <c r="M113" s="268"/>
      <c r="N113" s="306"/>
      <c r="P113" s="241"/>
    </row>
    <row r="114" ht="18" customHeight="1" spans="1:16">
      <c r="A114" s="241"/>
      <c r="C114" s="307" t="s">
        <v>634</v>
      </c>
      <c r="D114" s="308"/>
      <c r="E114" s="308"/>
      <c r="F114" s="308"/>
      <c r="G114" s="308"/>
      <c r="H114" s="308"/>
      <c r="I114" s="309" t="s">
        <v>635</v>
      </c>
      <c r="J114" s="310"/>
      <c r="K114" s="310"/>
      <c r="L114" s="310"/>
      <c r="M114" s="310"/>
      <c r="N114" s="311"/>
      <c r="P114" s="241"/>
    </row>
    <row r="115" ht="5.1" customHeight="1" spans="1:16">
      <c r="A115" s="241"/>
      <c r="P115" s="241"/>
    </row>
    <row r="116" ht="8.1" customHeight="1" spans="1:16">
      <c r="A116" s="241"/>
      <c r="B116" s="241"/>
      <c r="C116" s="241"/>
      <c r="D116" s="241"/>
      <c r="E116" s="241"/>
      <c r="F116" s="241"/>
      <c r="G116" s="241"/>
      <c r="H116" s="241"/>
      <c r="I116" s="241"/>
      <c r="J116" s="241"/>
      <c r="K116" s="241"/>
      <c r="L116" s="241"/>
      <c r="M116" s="241"/>
      <c r="N116" s="241"/>
      <c r="O116" s="241"/>
      <c r="P116" s="241"/>
    </row>
  </sheetData>
  <sheetProtection password="BF6F" sheet="1" formatCells="0" formatColumns="0" formatRows="0" objects="1" scenarios="1"/>
  <mergeCells count="69">
    <mergeCell ref="M2:O2"/>
    <mergeCell ref="E4:K4"/>
    <mergeCell ref="E5:K5"/>
    <mergeCell ref="F10:J10"/>
    <mergeCell ref="C13:D13"/>
    <mergeCell ref="E13:I13"/>
    <mergeCell ref="J13:K13"/>
    <mergeCell ref="L13:N13"/>
    <mergeCell ref="C15:D15"/>
    <mergeCell ref="E15:N15"/>
    <mergeCell ref="D17:N17"/>
    <mergeCell ref="C19:N19"/>
    <mergeCell ref="C20:N20"/>
    <mergeCell ref="C21:H21"/>
    <mergeCell ref="I21:N21"/>
    <mergeCell ref="C29:H29"/>
    <mergeCell ref="I29:N29"/>
    <mergeCell ref="C31:N31"/>
    <mergeCell ref="C32:H32"/>
    <mergeCell ref="I32:N32"/>
    <mergeCell ref="C40:H40"/>
    <mergeCell ref="I40:N40"/>
    <mergeCell ref="C42:N42"/>
    <mergeCell ref="C43:H43"/>
    <mergeCell ref="I43:N43"/>
    <mergeCell ref="C51:H51"/>
    <mergeCell ref="I51:N51"/>
    <mergeCell ref="C60:N60"/>
    <mergeCell ref="C61:N61"/>
    <mergeCell ref="C62:H62"/>
    <mergeCell ref="I62:N62"/>
    <mergeCell ref="C70:H70"/>
    <mergeCell ref="I70:N70"/>
    <mergeCell ref="C72:N72"/>
    <mergeCell ref="C73:H73"/>
    <mergeCell ref="I73:N73"/>
    <mergeCell ref="C81:H81"/>
    <mergeCell ref="I81:N81"/>
    <mergeCell ref="C83:N83"/>
    <mergeCell ref="C84:H84"/>
    <mergeCell ref="I84:N84"/>
    <mergeCell ref="C92:H92"/>
    <mergeCell ref="I92:N92"/>
    <mergeCell ref="C94:N94"/>
    <mergeCell ref="C95:H95"/>
    <mergeCell ref="I95:N95"/>
    <mergeCell ref="C103:H103"/>
    <mergeCell ref="I103:N103"/>
    <mergeCell ref="C105:N105"/>
    <mergeCell ref="C106:H106"/>
    <mergeCell ref="I106:N106"/>
    <mergeCell ref="C114:H114"/>
    <mergeCell ref="I114:N114"/>
    <mergeCell ref="C107:H113"/>
    <mergeCell ref="I107:N113"/>
    <mergeCell ref="C96:H102"/>
    <mergeCell ref="I96:N102"/>
    <mergeCell ref="C85:H91"/>
    <mergeCell ref="I85:N91"/>
    <mergeCell ref="C74:H80"/>
    <mergeCell ref="I74:N80"/>
    <mergeCell ref="C63:H69"/>
    <mergeCell ref="I63:N69"/>
    <mergeCell ref="C44:H50"/>
    <mergeCell ref="I44:N50"/>
    <mergeCell ref="C33:H39"/>
    <mergeCell ref="I33:N39"/>
    <mergeCell ref="C22:H28"/>
    <mergeCell ref="I22:N28"/>
  </mergeCells>
  <pageMargins left="0.25" right="0.25" top="0.4" bottom="0.36" header="0.26" footer="0.3"/>
  <pageSetup paperSize="9" scale="80" orientation="portrait" horizontalDpi="300" verticalDpi="300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BG123"/>
  <sheetViews>
    <sheetView workbookViewId="0">
      <selection activeCell="I13" sqref="I13"/>
    </sheetView>
  </sheetViews>
  <sheetFormatPr defaultColWidth="9.13888888888889" defaultRowHeight="13.8"/>
  <cols>
    <col min="1" max="1" width="6.71296296296296" style="100" customWidth="1"/>
    <col min="2" max="2" width="16.712962962963" style="100" customWidth="1"/>
    <col min="3" max="4" width="26.712962962963" style="100" customWidth="1"/>
    <col min="5" max="5" width="5.71296296296296" style="100" customWidth="1"/>
    <col min="6" max="6" width="6.71296296296296" style="100" customWidth="1"/>
    <col min="7" max="7" width="16.712962962963" style="100" customWidth="1"/>
    <col min="8" max="8" width="7.71296296296296" style="100" customWidth="1"/>
    <col min="9" max="51" width="5.71296296296296" style="100" customWidth="1"/>
    <col min="52" max="52" width="8.86111111111111" style="100" customWidth="1"/>
    <col min="53" max="53" width="5.71296296296296" style="100" customWidth="1"/>
    <col min="54" max="56" width="7.71296296296296" style="100" customWidth="1"/>
    <col min="57" max="57" width="15.5740740740741" style="100" customWidth="1"/>
    <col min="58" max="59" width="9.13888888888889" style="141"/>
    <col min="60" max="60" width="10.712962962963" style="100" customWidth="1"/>
    <col min="61" max="16384" width="9.13888888888889" style="100"/>
  </cols>
  <sheetData>
    <row r="2" s="136" customFormat="1" ht="22.2" spans="1:59">
      <c r="A2" s="142" t="s">
        <v>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3"/>
      <c r="BG2" s="143"/>
    </row>
    <row r="3" s="137" customFormat="1" ht="20.1" customHeight="1" spans="1:59">
      <c r="A3" s="144" t="str">
        <f>"EDUCATION DEPARTMENT - "&amp;ENTRY!$D$5</f>
        <v>EDUCATION DEPARTMENT - ROHINI ZONE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5"/>
      <c r="BG3" s="145"/>
    </row>
    <row r="4" s="137" customFormat="1" ht="21.95" customHeight="1" spans="1:59">
      <c r="A4" s="146" t="str">
        <f>"ANNUAL ASSESSMENT SHEET - SESSION : "&amp;ENTRY!$D$11</f>
        <v>ANNUAL ASSESSMENT SHEET - SESSION : 2026-27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5"/>
      <c r="BG4" s="145"/>
    </row>
    <row r="5" s="138" customFormat="1" ht="17.4" spans="1:59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47" t="s">
        <v>637</v>
      </c>
      <c r="BD5" s="147"/>
      <c r="BE5" s="147"/>
      <c r="BF5" s="148"/>
      <c r="BG5" s="148"/>
    </row>
    <row r="7" s="97" customFormat="1" ht="20.1" customHeight="1" spans="1:59">
      <c r="A7" s="99" t="s">
        <v>419</v>
      </c>
      <c r="B7" s="99"/>
      <c r="C7" s="106" t="str">
        <f>ENTRY!$D$6</f>
        <v>MCP NITHARI NO 1 BOYS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Q7" s="149" t="s">
        <v>437</v>
      </c>
      <c r="R7" s="149"/>
      <c r="S7" s="149"/>
      <c r="T7" s="106">
        <f>ENTRY!$D$7</f>
        <v>0</v>
      </c>
      <c r="U7" s="106"/>
      <c r="V7" s="150"/>
      <c r="W7" s="151" t="s">
        <v>438</v>
      </c>
      <c r="X7" s="151"/>
      <c r="Y7" s="151"/>
      <c r="Z7" s="152">
        <f>ENTRY!$D$10</f>
        <v>40</v>
      </c>
      <c r="AA7" s="152"/>
      <c r="AD7" s="154" t="s">
        <v>638</v>
      </c>
      <c r="AE7" s="154"/>
      <c r="AF7" s="154"/>
      <c r="AG7" s="154"/>
      <c r="AH7" s="154"/>
      <c r="AI7" s="154"/>
      <c r="AJ7" s="106" t="str">
        <f>ENTRY!$D$19</f>
        <v>INDRAJEET</v>
      </c>
      <c r="AK7" s="106"/>
      <c r="AL7" s="106"/>
      <c r="AM7" s="106"/>
      <c r="AN7" s="106"/>
      <c r="AO7" s="106"/>
      <c r="AP7" s="106"/>
      <c r="AQ7" s="106"/>
      <c r="AR7" s="106"/>
      <c r="AS7" s="106"/>
      <c r="AT7" s="150"/>
      <c r="AU7" s="150"/>
      <c r="AV7" s="149" t="s">
        <v>639</v>
      </c>
      <c r="AW7" s="149"/>
      <c r="AX7" s="149"/>
      <c r="AY7" s="149"/>
      <c r="AZ7" s="152" t="str">
        <f>ENTRY!$D$20&amp;"-"&amp;ENTRY!$D$21</f>
        <v>III-A</v>
      </c>
      <c r="BA7" s="152"/>
      <c r="BF7" s="155"/>
      <c r="BG7" s="155"/>
    </row>
    <row r="9" s="139" customFormat="1" ht="20.1" customHeight="1" spans="1:59">
      <c r="A9" s="156" t="s">
        <v>640</v>
      </c>
      <c r="B9" s="120" t="s">
        <v>641</v>
      </c>
      <c r="C9" s="47" t="s">
        <v>642</v>
      </c>
      <c r="D9" s="120" t="s">
        <v>643</v>
      </c>
      <c r="E9" s="157" t="s">
        <v>473</v>
      </c>
      <c r="F9" s="158" t="s">
        <v>474</v>
      </c>
      <c r="G9" s="158" t="s">
        <v>644</v>
      </c>
      <c r="H9" s="157" t="s">
        <v>38</v>
      </c>
      <c r="I9" s="159" t="s">
        <v>645</v>
      </c>
      <c r="J9" s="50"/>
      <c r="K9" s="50"/>
      <c r="L9" s="50"/>
      <c r="M9" s="50"/>
      <c r="N9" s="50"/>
      <c r="O9" s="50"/>
      <c r="P9" s="50" t="s">
        <v>89</v>
      </c>
      <c r="Q9" s="50"/>
      <c r="R9" s="50"/>
      <c r="S9" s="50"/>
      <c r="T9" s="50"/>
      <c r="U9" s="50"/>
      <c r="V9" s="50"/>
      <c r="W9" s="50" t="s">
        <v>88</v>
      </c>
      <c r="X9" s="50"/>
      <c r="Y9" s="50"/>
      <c r="Z9" s="50"/>
      <c r="AA9" s="50"/>
      <c r="AB9" s="50"/>
      <c r="AC9" s="50"/>
      <c r="AD9" s="50" t="s">
        <v>351</v>
      </c>
      <c r="AE9" s="50"/>
      <c r="AF9" s="50"/>
      <c r="AG9" s="50"/>
      <c r="AH9" s="50"/>
      <c r="AI9" s="50"/>
      <c r="AJ9" s="50"/>
      <c r="AK9" s="50" t="s">
        <v>646</v>
      </c>
      <c r="AL9" s="50"/>
      <c r="AM9" s="50"/>
      <c r="AN9" s="50"/>
      <c r="AO9" s="50"/>
      <c r="AP9" s="50"/>
      <c r="AQ9" s="50"/>
      <c r="AR9" s="50" t="s">
        <v>647</v>
      </c>
      <c r="AS9" s="50"/>
      <c r="AT9" s="50"/>
      <c r="AU9" s="50"/>
      <c r="AV9" s="50"/>
      <c r="AW9" s="50"/>
      <c r="AX9" s="50"/>
      <c r="AY9" s="161"/>
      <c r="AZ9" s="162"/>
      <c r="BA9" s="162"/>
      <c r="BB9" s="161"/>
      <c r="BC9" s="163"/>
      <c r="BD9" s="163"/>
      <c r="BE9" s="162"/>
      <c r="BF9" s="164"/>
      <c r="BG9" s="164"/>
    </row>
    <row r="10" ht="108.65" spans="1:59">
      <c r="A10" s="156"/>
      <c r="B10" s="120"/>
      <c r="C10" s="47"/>
      <c r="D10" s="120"/>
      <c r="E10" s="157"/>
      <c r="F10" s="165"/>
      <c r="G10" s="165"/>
      <c r="H10" s="158"/>
      <c r="I10" s="166" t="s">
        <v>648</v>
      </c>
      <c r="J10" s="166" t="s">
        <v>649</v>
      </c>
      <c r="K10" s="166" t="s">
        <v>543</v>
      </c>
      <c r="L10" s="166" t="s">
        <v>650</v>
      </c>
      <c r="M10" s="166" t="s">
        <v>651</v>
      </c>
      <c r="N10" s="157" t="s">
        <v>382</v>
      </c>
      <c r="O10" s="165" t="s">
        <v>546</v>
      </c>
      <c r="P10" s="166" t="s">
        <v>648</v>
      </c>
      <c r="Q10" s="166" t="s">
        <v>649</v>
      </c>
      <c r="R10" s="166" t="s">
        <v>543</v>
      </c>
      <c r="S10" s="166" t="s">
        <v>650</v>
      </c>
      <c r="T10" s="166" t="s">
        <v>651</v>
      </c>
      <c r="U10" s="157" t="s">
        <v>382</v>
      </c>
      <c r="V10" s="165" t="s">
        <v>546</v>
      </c>
      <c r="W10" s="166" t="s">
        <v>648</v>
      </c>
      <c r="X10" s="166" t="s">
        <v>649</v>
      </c>
      <c r="Y10" s="166" t="s">
        <v>543</v>
      </c>
      <c r="Z10" s="166" t="s">
        <v>650</v>
      </c>
      <c r="AA10" s="166" t="s">
        <v>651</v>
      </c>
      <c r="AB10" s="157" t="s">
        <v>382</v>
      </c>
      <c r="AC10" s="165" t="s">
        <v>546</v>
      </c>
      <c r="AD10" s="166" t="s">
        <v>648</v>
      </c>
      <c r="AE10" s="166" t="s">
        <v>649</v>
      </c>
      <c r="AF10" s="166" t="s">
        <v>543</v>
      </c>
      <c r="AG10" s="166" t="s">
        <v>650</v>
      </c>
      <c r="AH10" s="166" t="s">
        <v>651</v>
      </c>
      <c r="AI10" s="157" t="s">
        <v>382</v>
      </c>
      <c r="AJ10" s="165" t="s">
        <v>546</v>
      </c>
      <c r="AK10" s="166" t="s">
        <v>648</v>
      </c>
      <c r="AL10" s="166" t="s">
        <v>649</v>
      </c>
      <c r="AM10" s="166" t="s">
        <v>543</v>
      </c>
      <c r="AN10" s="166" t="s">
        <v>650</v>
      </c>
      <c r="AO10" s="166" t="s">
        <v>651</v>
      </c>
      <c r="AP10" s="157" t="s">
        <v>382</v>
      </c>
      <c r="AQ10" s="165" t="s">
        <v>546</v>
      </c>
      <c r="AR10" s="166" t="s">
        <v>648</v>
      </c>
      <c r="AS10" s="166" t="s">
        <v>649</v>
      </c>
      <c r="AT10" s="166" t="s">
        <v>543</v>
      </c>
      <c r="AU10" s="166" t="s">
        <v>650</v>
      </c>
      <c r="AV10" s="166" t="s">
        <v>651</v>
      </c>
      <c r="AW10" s="157" t="s">
        <v>382</v>
      </c>
      <c r="AX10" s="165" t="s">
        <v>546</v>
      </c>
      <c r="AY10" s="168" t="s">
        <v>652</v>
      </c>
      <c r="AZ10" s="169" t="s">
        <v>653</v>
      </c>
      <c r="BA10" s="169" t="s">
        <v>654</v>
      </c>
      <c r="BB10" s="168" t="s">
        <v>655</v>
      </c>
      <c r="BC10" s="170"/>
      <c r="BD10" s="170"/>
      <c r="BE10" s="171" t="s">
        <v>656</v>
      </c>
    </row>
    <row r="11" s="98" customFormat="1" ht="20.1" customHeight="1" spans="1:59">
      <c r="A11" s="156"/>
      <c r="B11" s="120"/>
      <c r="C11" s="47"/>
      <c r="D11" s="120"/>
      <c r="E11" s="47" t="s">
        <v>657</v>
      </c>
      <c r="F11" s="172"/>
      <c r="G11" s="172"/>
      <c r="H11" s="47" t="s">
        <v>658</v>
      </c>
      <c r="I11" s="47">
        <v>10</v>
      </c>
      <c r="J11" s="47">
        <v>10</v>
      </c>
      <c r="K11" s="47">
        <v>10</v>
      </c>
      <c r="L11" s="47">
        <v>10</v>
      </c>
      <c r="M11" s="50">
        <v>60</v>
      </c>
      <c r="N11" s="50">
        <v>100</v>
      </c>
      <c r="O11" s="51"/>
      <c r="P11" s="47">
        <v>10</v>
      </c>
      <c r="Q11" s="47">
        <v>10</v>
      </c>
      <c r="R11" s="47">
        <v>10</v>
      </c>
      <c r="S11" s="47">
        <v>10</v>
      </c>
      <c r="T11" s="50">
        <v>60</v>
      </c>
      <c r="U11" s="50">
        <v>100</v>
      </c>
      <c r="V11" s="51"/>
      <c r="W11" s="47">
        <v>10</v>
      </c>
      <c r="X11" s="47">
        <v>10</v>
      </c>
      <c r="Y11" s="47">
        <v>10</v>
      </c>
      <c r="Z11" s="47">
        <v>10</v>
      </c>
      <c r="AA11" s="50">
        <v>60</v>
      </c>
      <c r="AB11" s="50">
        <v>100</v>
      </c>
      <c r="AC11" s="51"/>
      <c r="AD11" s="47">
        <v>10</v>
      </c>
      <c r="AE11" s="47">
        <v>10</v>
      </c>
      <c r="AF11" s="47">
        <v>10</v>
      </c>
      <c r="AG11" s="47">
        <v>10</v>
      </c>
      <c r="AH11" s="50">
        <v>60</v>
      </c>
      <c r="AI11" s="50">
        <v>100</v>
      </c>
      <c r="AJ11" s="51"/>
      <c r="AK11" s="47">
        <v>10</v>
      </c>
      <c r="AL11" s="47">
        <v>10</v>
      </c>
      <c r="AM11" s="47">
        <v>10</v>
      </c>
      <c r="AN11" s="47">
        <v>10</v>
      </c>
      <c r="AO11" s="50">
        <v>60</v>
      </c>
      <c r="AP11" s="50">
        <v>100</v>
      </c>
      <c r="AQ11" s="51"/>
      <c r="AR11" s="47">
        <v>10</v>
      </c>
      <c r="AS11" s="47">
        <v>10</v>
      </c>
      <c r="AT11" s="47">
        <v>10</v>
      </c>
      <c r="AU11" s="47">
        <v>10</v>
      </c>
      <c r="AV11" s="50">
        <v>60</v>
      </c>
      <c r="AW11" s="50">
        <v>100</v>
      </c>
      <c r="AX11" s="51"/>
      <c r="AY11" s="50">
        <v>600</v>
      </c>
      <c r="AZ11" s="51"/>
      <c r="BA11" s="51"/>
      <c r="BB11" s="174" t="s">
        <v>87</v>
      </c>
      <c r="BC11" s="174" t="s">
        <v>350</v>
      </c>
      <c r="BD11" s="175" t="s">
        <v>88</v>
      </c>
      <c r="BE11" s="51"/>
      <c r="BF11" s="130"/>
      <c r="BG11" s="130"/>
    </row>
    <row r="12" s="98" customFormat="1" ht="27" customHeight="1" spans="1:59">
      <c r="A12" s="47">
        <f>IF(ENTRY!D24&gt;0,1,0)</f>
        <v>1</v>
      </c>
      <c r="B12" s="47">
        <f>IF(A12&gt;0,STUDENT!F2,"")</f>
        <v>14779</v>
      </c>
      <c r="C12" s="176" t="str">
        <f>IF(A12&gt;0,UPPER(STUDENT!E2),"")</f>
        <v>NAKSH</v>
      </c>
      <c r="D12" s="176" t="str">
        <f>IF(A12&gt;0,UPPER(STUDENT!H2),"")</f>
        <v>NARESH</v>
      </c>
      <c r="E12" s="47" t="str">
        <f>IF(A12&gt;0,UPPER(STUDENT!BP2),"")</f>
        <v/>
      </c>
      <c r="F12" s="47" t="str">
        <f>IF(A12&gt;0,UPPER(STUDENT!BO2),"")</f>
        <v>FALSE</v>
      </c>
      <c r="G12" s="47" t="str">
        <f>IF(A12&gt;0,UPPER(STUDENT!Q2),"")</f>
        <v/>
      </c>
      <c r="H12" s="69">
        <f>IF(A12&gt;0,PASHEET!CI4/PASHEET!CJ4*100,"")</f>
        <v>83.9328537170264</v>
      </c>
      <c r="I12" s="177">
        <f>IF(A12&gt;0,SUM(PASHEET!AL4,PASHEET!AT4),"")</f>
        <v>1</v>
      </c>
      <c r="J12" s="177">
        <f>IF(A12&gt;0,SUM(MARKS!F4,MARKS!AL4),"")</f>
        <v>0</v>
      </c>
      <c r="K12" s="177">
        <f>IF(A12&gt;0,SUM(MARKS!N4,MARKS!AT4),"")</f>
        <v>0</v>
      </c>
      <c r="L12" s="177">
        <f>IF(A12&gt;0,SUM(MARKS!V4,MARKS!BB4),"")</f>
        <v>0</v>
      </c>
      <c r="M12" s="177">
        <f>IF(A12&gt;0,SUM(MARKS!AD4,MARKS!BJ4),"")</f>
        <v>50</v>
      </c>
      <c r="N12" s="177">
        <f>IF(A12&gt;0,SUM(I12,J12,K12,L12,M12),"")</f>
        <v>51</v>
      </c>
      <c r="O12" s="177" t="str">
        <f>IF(N12="","",IF(N12=0,"Ab",IF(N12&gt;80,"A",IF(N12&gt;60,"B",IF(N12&gt;44,"C",IF(N12&gt;=33,"D",IF(N12&lt;=32,"E","")))))))</f>
        <v>C</v>
      </c>
      <c r="P12" s="177">
        <f>IF(A12&gt;0,SUM(PASHEET!AM4,PASHEET!AU4),"")</f>
        <v>1</v>
      </c>
      <c r="Q12" s="177">
        <f>IF(A12&gt;0,SUM(MARKS!G4,MARKS!AM4),"")</f>
        <v>0</v>
      </c>
      <c r="R12" s="177">
        <f>IF(A12&gt;0,SUM(MARKS!O4,MARKS!AU4),"")</f>
        <v>0</v>
      </c>
      <c r="S12" s="177">
        <f>IF(A12&gt;0,SUM(MARKS!W4,MARKS!BC4),"")</f>
        <v>0</v>
      </c>
      <c r="T12" s="177">
        <f>IF(A12&gt;0,SUM(MARKS!AE4,MARKS!BK4),"")</f>
        <v>19</v>
      </c>
      <c r="U12" s="177">
        <f>IF(A12&gt;0,SUM(P12,Q12,R12,S12,T12),"")</f>
        <v>20</v>
      </c>
      <c r="V12" s="177" t="str">
        <f>IF(U12="","",IF(U12=0,"Ab",IF(U12&gt;80,"A",IF(U12&gt;60,"B",IF(U12&gt;44,"C",IF(U12&gt;=33,"D",IF(U12&lt;=32,"E","")))))))</f>
        <v>E</v>
      </c>
      <c r="W12" s="177">
        <f>IF(A12&gt;0,SUM(PASHEET!AN4,PASHEET!AV4),"")</f>
        <v>1</v>
      </c>
      <c r="X12" s="177">
        <f>IF(A12&gt;0,SUM(MARKS!H4,MARKS!AN4),"")</f>
        <v>0</v>
      </c>
      <c r="Y12" s="177">
        <f>IF(A12&gt;0,SUM(MARKS!P4,MARKS!AV4),"")</f>
        <v>0</v>
      </c>
      <c r="Z12" s="177">
        <f>IF(A12&gt;0,SUM(MARKS!X4,MARKS!BD4),"")</f>
        <v>0</v>
      </c>
      <c r="AA12" s="177">
        <f>IF(A12&gt;0,SUM(MARKS!AF4,MARKS!BL4),"")</f>
        <v>21</v>
      </c>
      <c r="AB12" s="177">
        <f>IF(A12&gt;0,SUM(W12,X12,Y12,Z12,AA12),"")</f>
        <v>22</v>
      </c>
      <c r="AC12" s="177" t="str">
        <f>IF(AB12="","",IF(AB12=0,"Ab",IF(AB12&gt;80,"A",IF(AB12&gt;60,"B",IF(AB12&gt;44,"C",IF(AB12&gt;=33,"D",IF(AB12&lt;=32,"E","")))))))</f>
        <v>E</v>
      </c>
      <c r="AD12" s="177">
        <f>IF(A12&gt;0,SUM(PASHEET!AO4,PASHEET!AW4),"")</f>
        <v>2</v>
      </c>
      <c r="AE12" s="177">
        <f>IF(A12&gt;0,SUM(MARKS!I4,MARKS!AO4),"")</f>
        <v>0</v>
      </c>
      <c r="AF12" s="177">
        <f>IF(A12&gt;0,SUM(MARKS!Q4,MARKS!AW4),"")</f>
        <v>0</v>
      </c>
      <c r="AG12" s="177">
        <f>IF(A12&gt;0,SUM(MARKS!Y4,MARKS!BE4),"")</f>
        <v>0</v>
      </c>
      <c r="AH12" s="177">
        <f>IF(A12&gt;0,SUM(MARKS!AG4,MARKS!BM4),"")</f>
        <v>23</v>
      </c>
      <c r="AI12" s="177">
        <f>IF(A12&gt;0,SUM(AD12,AE12,AF12,AG12,AH12),"")</f>
        <v>25</v>
      </c>
      <c r="AJ12" s="177" t="str">
        <f>IF(AI12="","",IF(AI12=0,"Ab",IF(AI12&gt;80,"A",IF(AI12&gt;60,"B",IF(AI12&gt;44,"C",IF(AI12&gt;=33,"D",IF(AI12&lt;=32,"E","")))))))</f>
        <v>E</v>
      </c>
      <c r="AK12" s="177">
        <f>IF(A12&gt;0,SUM(PASHEET!AP4,PASHEET!AX4),"")</f>
        <v>0</v>
      </c>
      <c r="AL12" s="177">
        <f>IF(A12&gt;0,SUM(MARKS!J4,MARKS!AP4),"")</f>
        <v>0</v>
      </c>
      <c r="AM12" s="177">
        <f>IF(A12&gt;0,SUM(MARKS!R4,MARKS!AX4),"")</f>
        <v>0</v>
      </c>
      <c r="AN12" s="177">
        <f>IF(A12&gt;0,SUM(MARKS!Z4,MARKS!BF4),"")</f>
        <v>0</v>
      </c>
      <c r="AO12" s="177">
        <f>IF(A12&gt;0,SUM(MARKS!AH4,MARKS!BN4),"")</f>
        <v>21</v>
      </c>
      <c r="AP12" s="177">
        <f>IF(A12&gt;0,SUM(AK12,AL12,AM12,AN12,AO12),"")</f>
        <v>21</v>
      </c>
      <c r="AQ12" s="177" t="str">
        <f>IF(AP12="","",IF(AP12=0,"Ab",IF(AP12&gt;80,"A",IF(AP12&gt;60,"B",IF(AP12&gt;44,"C",IF(AP12&gt;=33,"D",IF(AP12&lt;=32,"E","")))))))</f>
        <v>E</v>
      </c>
      <c r="AR12" s="177">
        <f>IF(A12&gt;0,SUM(PASHEET!AQ4,PASHEET!AY4),"")</f>
        <v>2</v>
      </c>
      <c r="AS12" s="177">
        <f>IF(A12&gt;0,SUM(MARKS!K4,MARKS!AQ4),"")</f>
        <v>0</v>
      </c>
      <c r="AT12" s="177">
        <f>IF(A12&gt;0,SUM(MARKS!S4,MARKS!AY4),"")</f>
        <v>0</v>
      </c>
      <c r="AU12" s="177">
        <f>IF(A12&gt;0,SUM(MARKS!AA4,MARKS!BG4),"")</f>
        <v>0</v>
      </c>
      <c r="AV12" s="177">
        <f>IF(A12&gt;0,SUM(MARKS!AI4,MARKS!BO4),"")</f>
        <v>27</v>
      </c>
      <c r="AW12" s="177">
        <f>IF(A12&gt;0,SUM(AR12,AS12,AT12,AU12,AV12),"")</f>
        <v>29</v>
      </c>
      <c r="AX12" s="177" t="str">
        <f>IF(AW12="","",IF(AW12=0,"Ab",IF(AW12&gt;80,"A",IF(AW12&gt;60,"B",IF(AW12&gt;44,"C",IF(AW12&gt;=33,"D",IF(AW12&lt;=32,"E","")))))))</f>
        <v>E</v>
      </c>
      <c r="AY12" s="47">
        <f>IF(A12&gt;0,SUM(N12,U12,AB12,AI12,AP12,AW12),"")</f>
        <v>168</v>
      </c>
      <c r="AZ12" s="70">
        <f>IFERROR(IF(A12&gt;0,AY12/$AY$11*100,""),"")</f>
        <v>28</v>
      </c>
      <c r="BA12" s="177" t="str">
        <f>IF(AZ12="","",IF(AZ12=0,"Ab",IF(AZ12&gt;80,"A",IF(AZ12&gt;60,"B",IF(AZ12&gt;44,"C",IF(AZ12&gt;=33,"D",IF(AZ12&lt;=32,"E","")))))))</f>
        <v>E</v>
      </c>
      <c r="BB12" s="47">
        <f>IF(A12&gt;0,FLN!I4,"")</f>
        <v>2</v>
      </c>
      <c r="BC12" s="47">
        <f>IF(A12&gt;0,FLN!J4,"")</f>
        <v>2</v>
      </c>
      <c r="BD12" s="47">
        <f>IF(A12&gt;0,FLN!K4,"")</f>
        <v>3</v>
      </c>
      <c r="BE12" s="47" t="str">
        <f>IF(AZ12="","",IF(AZ12="Ab","PROMOTED",IF(BF12=1,"FIRST",IF(BF12=2,"SECOND",IF(BF12=3,"THIRD",IF(AND(N12&lt;33),"PROMOTED",IF(AND(U12&lt;33),"PROMOTED",IF(AND(AB12&lt;33),"PROMOTED",IF(AND(AI12&lt;33),"PROMOTED",IF(AND(AP12&lt;33),"PROMOTED",IF(AND(AW12&lt;33),"PROMOTED",IF(AND(AZ12&lt;33),"PROMOTED",IF(AND(AZ12&gt;32.99),"PASSED")))))))))))))</f>
        <v>PROMOTED</v>
      </c>
      <c r="BF12" s="130">
        <f>IF(AY12="","",IFERROR(RANK(AY12,$AY$12:$AY$111,0)+COUNTIFS($AY$12:AY12,AY12)-1,0))</f>
        <v>8</v>
      </c>
      <c r="BG12" s="130">
        <f>IF(AY12="","",AY12)</f>
        <v>168</v>
      </c>
    </row>
    <row r="13" s="98" customFormat="1" ht="27" customHeight="1" spans="1:59">
      <c r="A13" s="47">
        <f>IF(A12=0,0,IF(A12&lt;ENTRY!$D$24,A12+1,0))</f>
        <v>2</v>
      </c>
      <c r="B13" s="47">
        <f>IF(A13&gt;0,STUDENT!F3,"")</f>
        <v>14733</v>
      </c>
      <c r="C13" s="176" t="str">
        <f>IF(A13&gt;0,UPPER(STUDENT!E3),"")</f>
        <v>NAVEEN</v>
      </c>
      <c r="D13" s="176" t="str">
        <f>IF(A13&gt;0,UPPER(STUDENT!H3),"")</f>
        <v>SANJAY</v>
      </c>
      <c r="E13" s="47" t="str">
        <f>IF(A13&gt;0,UPPER(STUDENT!BP3),"")</f>
        <v/>
      </c>
      <c r="F13" s="47" t="str">
        <f>IF(A13&gt;0,UPPER(STUDENT!BO3),"")</f>
        <v>FALSE</v>
      </c>
      <c r="G13" s="47" t="str">
        <f>IF(A13&gt;0,UPPER(STUDENT!Q3),"")</f>
        <v/>
      </c>
      <c r="H13" s="69">
        <f>IF(A13&gt;0,PASHEET!CI5/PASHEET!CJ5*100,"")</f>
        <v>69.5443645083933</v>
      </c>
      <c r="I13" s="177">
        <f>IF(A13&gt;0,SUM(PASHEET!AL5,PASHEET!AT5),"")</f>
        <v>1</v>
      </c>
      <c r="J13" s="177">
        <f>IF(A13&gt;0,SUM(MARKS!F5,MARKS!AL5),"")</f>
        <v>0</v>
      </c>
      <c r="K13" s="177">
        <f>IF(A13&gt;0,SUM(MARKS!N5,MARKS!AT5),"")</f>
        <v>0</v>
      </c>
      <c r="L13" s="177">
        <f>IF(A13&gt;0,SUM(MARKS!V5,MARKS!BB5),"")</f>
        <v>0</v>
      </c>
      <c r="M13" s="177">
        <f>IF(A13&gt;0,SUM(MARKS!AD5,MARKS!BJ5),"")</f>
        <v>27</v>
      </c>
      <c r="N13" s="177">
        <f t="shared" ref="N13:N76" si="0">IF(A13&gt;0,SUM(I13,J13,K13,L13,M13),"")</f>
        <v>28</v>
      </c>
      <c r="O13" s="177" t="str">
        <f t="shared" ref="O13:O76" si="1">IF(N13="","",IF(N13=0,"Ab",IF(N13&gt;80,"A",IF(N13&gt;60,"B",IF(N13&gt;44,"C",IF(N13&gt;=33,"D",IF(N13&lt;=32,"E","")))))))</f>
        <v>E</v>
      </c>
      <c r="P13" s="177">
        <f>IF(A13&gt;0,SUM(PASHEET!AM5,PASHEET!AU5),"")</f>
        <v>1</v>
      </c>
      <c r="Q13" s="177">
        <f>IF(A13&gt;0,SUM(MARKS!G5,MARKS!AM5),"")</f>
        <v>0</v>
      </c>
      <c r="R13" s="177">
        <f>IF(A13&gt;0,SUM(MARKS!O5,MARKS!AU5),"")</f>
        <v>0</v>
      </c>
      <c r="S13" s="177">
        <f>IF(A13&gt;0,SUM(MARKS!W5,MARKS!BC5),"")</f>
        <v>0</v>
      </c>
      <c r="T13" s="177">
        <f>IF(A13&gt;0,SUM(MARKS!AE5,MARKS!BK5),"")</f>
        <v>11</v>
      </c>
      <c r="U13" s="177">
        <f t="shared" ref="U13:U76" si="2">IF(A13&gt;0,SUM(P13,Q13,R13,S13,T13),"")</f>
        <v>12</v>
      </c>
      <c r="V13" s="177" t="str">
        <f t="shared" ref="V13:V76" si="3">IF(U13="","",IF(U13=0,"Ab",IF(U13&gt;80,"A",IF(U13&gt;60,"B",IF(U13&gt;44,"C",IF(U13&gt;=33,"D",IF(U13&lt;=32,"E","")))))))</f>
        <v>E</v>
      </c>
      <c r="W13" s="177">
        <f>IF(A13&gt;0,SUM(PASHEET!AN5,PASHEET!AV5),"")</f>
        <v>1</v>
      </c>
      <c r="X13" s="177">
        <f>IF(A13&gt;0,SUM(MARKS!H5,MARKS!AN5),"")</f>
        <v>0</v>
      </c>
      <c r="Y13" s="177">
        <f>IF(A13&gt;0,SUM(MARKS!P5,MARKS!AV5),"")</f>
        <v>0</v>
      </c>
      <c r="Z13" s="177">
        <f>IF(A13&gt;0,SUM(MARKS!X5,MARKS!BD5),"")</f>
        <v>0</v>
      </c>
      <c r="AA13" s="177">
        <f>IF(A13&gt;0,SUM(MARKS!AF5,MARKS!BL5),"")</f>
        <v>13</v>
      </c>
      <c r="AB13" s="177">
        <f t="shared" ref="AB13:AB76" si="4">IF(A13&gt;0,SUM(W13,X13,Y13,Z13,AA13),"")</f>
        <v>14</v>
      </c>
      <c r="AC13" s="177" t="str">
        <f t="shared" ref="AC13:AC76" si="5">IF(AB13="","",IF(AB13=0,"Ab",IF(AB13&gt;80,"A",IF(AB13&gt;60,"B",IF(AB13&gt;44,"C",IF(AB13&gt;=33,"D",IF(AB13&lt;=32,"E","")))))))</f>
        <v>E</v>
      </c>
      <c r="AD13" s="177">
        <f>IF(A13&gt;0,SUM(PASHEET!AO5,PASHEET!AW5),"")</f>
        <v>2</v>
      </c>
      <c r="AE13" s="177">
        <f>IF(A13&gt;0,SUM(MARKS!I5,MARKS!AO5),"")</f>
        <v>0</v>
      </c>
      <c r="AF13" s="177">
        <f>IF(A13&gt;0,SUM(MARKS!Q5,MARKS!AW5),"")</f>
        <v>0</v>
      </c>
      <c r="AG13" s="177">
        <f>IF(A13&gt;0,SUM(MARKS!Y5,MARKS!BE5),"")</f>
        <v>0</v>
      </c>
      <c r="AH13" s="177">
        <f>IF(A13&gt;0,SUM(MARKS!AG5,MARKS!BM5),"")</f>
        <v>13</v>
      </c>
      <c r="AI13" s="177">
        <f t="shared" ref="AI13:AI76" si="6">IF(A13&gt;0,SUM(AD13,AE13,AF13,AG13,AH13),"")</f>
        <v>15</v>
      </c>
      <c r="AJ13" s="177" t="str">
        <f t="shared" ref="AJ13:AJ76" si="7">IF(AI13="","",IF(AI13=0,"Ab",IF(AI13&gt;80,"A",IF(AI13&gt;60,"B",IF(AI13&gt;44,"C",IF(AI13&gt;=33,"D",IF(AI13&lt;=32,"E","")))))))</f>
        <v>E</v>
      </c>
      <c r="AK13" s="177">
        <f>IF(A13&gt;0,SUM(PASHEET!AP5,PASHEET!AX5),"")</f>
        <v>0</v>
      </c>
      <c r="AL13" s="177">
        <f>IF(A13&gt;0,SUM(MARKS!J5,MARKS!AP5),"")</f>
        <v>0</v>
      </c>
      <c r="AM13" s="177">
        <f>IF(A13&gt;0,SUM(MARKS!R5,MARKS!AX5),"")</f>
        <v>0</v>
      </c>
      <c r="AN13" s="177">
        <f>IF(A13&gt;0,SUM(MARKS!Z5,MARKS!BF5),"")</f>
        <v>0</v>
      </c>
      <c r="AO13" s="177">
        <f>IF(A13&gt;0,SUM(MARKS!AH5,MARKS!BN5),"")</f>
        <v>15</v>
      </c>
      <c r="AP13" s="177">
        <f t="shared" ref="AP13:AP76" si="8">IF(A13&gt;0,SUM(AK13,AL13,AM13,AN13,AO13),"")</f>
        <v>15</v>
      </c>
      <c r="AQ13" s="177" t="str">
        <f t="shared" ref="AQ13:AQ76" si="9">IF(AP13="","",IF(AP13=0,"Ab",IF(AP13&gt;80,"A",IF(AP13&gt;60,"B",IF(AP13&gt;44,"C",IF(AP13&gt;=33,"D",IF(AP13&lt;=32,"E","")))))))</f>
        <v>E</v>
      </c>
      <c r="AR13" s="177">
        <f>IF(A13&gt;0,SUM(PASHEET!AQ5,PASHEET!AY5),"")</f>
        <v>2</v>
      </c>
      <c r="AS13" s="177">
        <f>IF(A13&gt;0,SUM(MARKS!K5,MARKS!AQ5),"")</f>
        <v>0</v>
      </c>
      <c r="AT13" s="177">
        <f>IF(A13&gt;0,SUM(MARKS!S5,MARKS!AY5),"")</f>
        <v>0</v>
      </c>
      <c r="AU13" s="177">
        <f>IF(A13&gt;0,SUM(MARKS!AA5,MARKS!BG5),"")</f>
        <v>0</v>
      </c>
      <c r="AV13" s="177">
        <f>IF(A13&gt;0,SUM(MARKS!AI5,MARKS!BO5),"")</f>
        <v>25</v>
      </c>
      <c r="AW13" s="177">
        <f t="shared" ref="AW13:AW76" si="10">IF(A13&gt;0,SUM(AR13,AS13,AT13,AU13,AV13),"")</f>
        <v>27</v>
      </c>
      <c r="AX13" s="177" t="str">
        <f t="shared" ref="AX13:AX76" si="11">IF(AW13="","",IF(AW13=0,"Ab",IF(AW13&gt;80,"A",IF(AW13&gt;60,"B",IF(AW13&gt;44,"C",IF(AW13&gt;=33,"D",IF(AW13&lt;=32,"E","")))))))</f>
        <v>E</v>
      </c>
      <c r="AY13" s="47">
        <f t="shared" ref="AY13:AY76" si="12">IF(A13&gt;0,SUM(N13,U13,AB13,AI13,AP13,AW13),"")</f>
        <v>111</v>
      </c>
      <c r="AZ13" s="70">
        <f t="shared" ref="AZ13:AZ76" si="13">IFERROR(IF(A13&gt;0,AY13/$AY$11*100,""),"")</f>
        <v>18.5</v>
      </c>
      <c r="BA13" s="177" t="str">
        <f t="shared" ref="BA13:BA76" si="14">IF(AZ13="","",IF(AZ13=0,"Ab",IF(AZ13&gt;80,"A",IF(AZ13&gt;60,"B",IF(AZ13&gt;44,"C",IF(AZ13&gt;=33,"D",IF(AZ13&lt;=32,"E","")))))))</f>
        <v>E</v>
      </c>
      <c r="BB13" s="47">
        <f>IF(A13&gt;0,FLN!I5,"")</f>
        <v>3</v>
      </c>
      <c r="BC13" s="47">
        <f>IF(A13&gt;0,FLN!J5,"")</f>
        <v>2</v>
      </c>
      <c r="BD13" s="47">
        <f>IF(A13&gt;0,FLN!K5,"")</f>
        <v>3</v>
      </c>
      <c r="BE13" s="47" t="str">
        <f t="shared" ref="BE13:BE76" si="15">IF(AZ13="","",IF(AZ13="Ab","PROMOTED",IF(BF13=1,"FIRST",IF(BF13=2,"SECOND",IF(BF13=3,"THIRD",IF(AND(N13&lt;33),"PROMOTED",IF(AND(U13&lt;33),"PROMOTED",IF(AND(AB13&lt;33),"PROMOTED",IF(AND(AI13&lt;33),"PROMOTED",IF(AND(AP13&lt;33),"PROMOTED",IF(AND(AW13&lt;33),"PROMOTED",IF(AND(AZ13&lt;33),"PROMOTED",IF(AND(AZ13&gt;32.99),"PASSED")))))))))))))</f>
        <v>PROMOTED</v>
      </c>
      <c r="BF13" s="130">
        <f>IF(AY13="","",IFERROR(RANK(AY13,$AY$12:$AY$111,0)+COUNTIFS($AY$12:AY13,AY13)-1,0))</f>
        <v>31</v>
      </c>
      <c r="BG13" s="130">
        <f t="shared" ref="BG13:BG76" si="16">IF(AY13="","",AY13)</f>
        <v>111</v>
      </c>
    </row>
    <row r="14" s="98" customFormat="1" ht="27" customHeight="1" spans="1:59">
      <c r="A14" s="47">
        <f>IF(A13=0,0,IF(A13&lt;ENTRY!$D$24,A13+1,0))</f>
        <v>3</v>
      </c>
      <c r="B14" s="47">
        <f>IF(A14&gt;0,STUDENT!F4,"")</f>
        <v>14757</v>
      </c>
      <c r="C14" s="176" t="str">
        <f>IF(A14&gt;0,UPPER(STUDENT!E4),"")</f>
        <v>AADITYA KUMAR</v>
      </c>
      <c r="D14" s="176" t="str">
        <f>IF(A14&gt;0,UPPER(STUDENT!H4),"")</f>
        <v>DHARMENDRA KUMAR</v>
      </c>
      <c r="E14" s="47" t="str">
        <f>IF(A14&gt;0,UPPER(STUDENT!BP4),"")</f>
        <v/>
      </c>
      <c r="F14" s="47" t="str">
        <f>IF(A14&gt;0,UPPER(STUDENT!BO4),"")</f>
        <v>FALSE</v>
      </c>
      <c r="G14" s="47" t="str">
        <f>IF(A14&gt;0,UPPER(STUDENT!Q4),"")</f>
        <v/>
      </c>
      <c r="H14" s="69">
        <f>IF(A14&gt;0,PASHEET!CI6/PASHEET!CJ6*100,"")</f>
        <v>43.1654676258993</v>
      </c>
      <c r="I14" s="177">
        <f>IF(A14&gt;0,SUM(PASHEET!AL6,PASHEET!AT6),"")</f>
        <v>2</v>
      </c>
      <c r="J14" s="177">
        <f>IF(A14&gt;0,SUM(MARKS!F6,MARKS!AL6),"")</f>
        <v>0</v>
      </c>
      <c r="K14" s="177">
        <f>IF(A14&gt;0,SUM(MARKS!N6,MARKS!AT6),"")</f>
        <v>0</v>
      </c>
      <c r="L14" s="177">
        <f>IF(A14&gt;0,SUM(MARKS!V6,MARKS!BB6),"")</f>
        <v>0</v>
      </c>
      <c r="M14" s="177">
        <f>IF(A14&gt;0,SUM(MARKS!AD6,MARKS!BJ6),"")</f>
        <v>46</v>
      </c>
      <c r="N14" s="177">
        <f t="shared" si="0"/>
        <v>48</v>
      </c>
      <c r="O14" s="177" t="str">
        <f t="shared" si="1"/>
        <v>C</v>
      </c>
      <c r="P14" s="177">
        <f>IF(A14&gt;0,SUM(PASHEET!AM6,PASHEET!AU6),"")</f>
        <v>1</v>
      </c>
      <c r="Q14" s="177">
        <f>IF(A14&gt;0,SUM(MARKS!G6,MARKS!AM6),"")</f>
        <v>0</v>
      </c>
      <c r="R14" s="177">
        <f>IF(A14&gt;0,SUM(MARKS!O6,MARKS!AU6),"")</f>
        <v>0</v>
      </c>
      <c r="S14" s="177">
        <f>IF(A14&gt;0,SUM(MARKS!W6,MARKS!BC6),"")</f>
        <v>0</v>
      </c>
      <c r="T14" s="177">
        <f>IF(A14&gt;0,SUM(MARKS!AE6,MARKS!BK6),"")</f>
        <v>16</v>
      </c>
      <c r="U14" s="177">
        <f t="shared" si="2"/>
        <v>17</v>
      </c>
      <c r="V14" s="177" t="str">
        <f t="shared" si="3"/>
        <v>E</v>
      </c>
      <c r="W14" s="177">
        <f>IF(A14&gt;0,SUM(PASHEET!AN6,PASHEET!AV6),"")</f>
        <v>2</v>
      </c>
      <c r="X14" s="177">
        <f>IF(A14&gt;0,SUM(MARKS!H6,MARKS!AN6),"")</f>
        <v>0</v>
      </c>
      <c r="Y14" s="177">
        <f>IF(A14&gt;0,SUM(MARKS!P6,MARKS!AV6),"")</f>
        <v>0</v>
      </c>
      <c r="Z14" s="177">
        <f>IF(A14&gt;0,SUM(MARKS!X6,MARKS!BD6),"")</f>
        <v>0</v>
      </c>
      <c r="AA14" s="177">
        <f>IF(A14&gt;0,SUM(MARKS!AF6,MARKS!BL6),"")</f>
        <v>12</v>
      </c>
      <c r="AB14" s="177">
        <f t="shared" si="4"/>
        <v>14</v>
      </c>
      <c r="AC14" s="177" t="str">
        <f t="shared" si="5"/>
        <v>E</v>
      </c>
      <c r="AD14" s="177">
        <f>IF(A14&gt;0,SUM(PASHEET!AO6,PASHEET!AW6),"")</f>
        <v>1</v>
      </c>
      <c r="AE14" s="177">
        <f>IF(A14&gt;0,SUM(MARKS!I6,MARKS!AO6),"")</f>
        <v>0</v>
      </c>
      <c r="AF14" s="177">
        <f>IF(A14&gt;0,SUM(MARKS!Q6,MARKS!AW6),"")</f>
        <v>0</v>
      </c>
      <c r="AG14" s="177">
        <f>IF(A14&gt;0,SUM(MARKS!Y6,MARKS!BE6),"")</f>
        <v>0</v>
      </c>
      <c r="AH14" s="177">
        <f>IF(A14&gt;0,SUM(MARKS!AG6,MARKS!BM6),"")</f>
        <v>23</v>
      </c>
      <c r="AI14" s="177">
        <f t="shared" si="6"/>
        <v>24</v>
      </c>
      <c r="AJ14" s="177" t="str">
        <f t="shared" si="7"/>
        <v>E</v>
      </c>
      <c r="AK14" s="177">
        <f>IF(A14&gt;0,SUM(PASHEET!AP6,PASHEET!AX6),"")</f>
        <v>0</v>
      </c>
      <c r="AL14" s="177">
        <f>IF(A14&gt;0,SUM(MARKS!J6,MARKS!AP6),"")</f>
        <v>0</v>
      </c>
      <c r="AM14" s="177">
        <f>IF(A14&gt;0,SUM(MARKS!R6,MARKS!AX6),"")</f>
        <v>0</v>
      </c>
      <c r="AN14" s="177">
        <f>IF(A14&gt;0,SUM(MARKS!Z6,MARKS!BF6),"")</f>
        <v>0</v>
      </c>
      <c r="AO14" s="177">
        <f>IF(A14&gt;0,SUM(MARKS!AH6,MARKS!BN6),"")</f>
        <v>20</v>
      </c>
      <c r="AP14" s="177">
        <f t="shared" si="8"/>
        <v>20</v>
      </c>
      <c r="AQ14" s="177" t="str">
        <f t="shared" si="9"/>
        <v>E</v>
      </c>
      <c r="AR14" s="177">
        <f>IF(A14&gt;0,SUM(PASHEET!AQ6,PASHEET!AY6),"")</f>
        <v>2</v>
      </c>
      <c r="AS14" s="177">
        <f>IF(A14&gt;0,SUM(MARKS!K6,MARKS!AQ6),"")</f>
        <v>0</v>
      </c>
      <c r="AT14" s="177">
        <f>IF(A14&gt;0,SUM(MARKS!S6,MARKS!AY6),"")</f>
        <v>0</v>
      </c>
      <c r="AU14" s="177">
        <f>IF(A14&gt;0,SUM(MARKS!AA6,MARKS!BG6),"")</f>
        <v>0</v>
      </c>
      <c r="AV14" s="177">
        <f>IF(A14&gt;0,SUM(MARKS!AI6,MARKS!BO6),"")</f>
        <v>25</v>
      </c>
      <c r="AW14" s="177">
        <f t="shared" si="10"/>
        <v>27</v>
      </c>
      <c r="AX14" s="177" t="str">
        <f t="shared" si="11"/>
        <v>E</v>
      </c>
      <c r="AY14" s="47">
        <f t="shared" si="12"/>
        <v>150</v>
      </c>
      <c r="AZ14" s="70">
        <f t="shared" si="13"/>
        <v>25</v>
      </c>
      <c r="BA14" s="177" t="str">
        <f t="shared" si="14"/>
        <v>E</v>
      </c>
      <c r="BB14" s="47">
        <f>IF(A14&gt;0,FLN!I6,"")</f>
        <v>3</v>
      </c>
      <c r="BC14" s="47">
        <f>IF(A14&gt;0,FLN!J6,"")</f>
        <v>3</v>
      </c>
      <c r="BD14" s="47">
        <f>IF(A14&gt;0,FLN!K6,"")</f>
        <v>4</v>
      </c>
      <c r="BE14" s="47" t="str">
        <f t="shared" si="15"/>
        <v>PROMOTED</v>
      </c>
      <c r="BF14" s="130">
        <f>IF(AY14="","",IFERROR(RANK(AY14,$AY$12:$AY$111,0)+COUNTIFS($AY$12:AY14,AY14)-1,0))</f>
        <v>14</v>
      </c>
      <c r="BG14" s="130">
        <f t="shared" si="16"/>
        <v>150</v>
      </c>
    </row>
    <row r="15" s="98" customFormat="1" ht="27" customHeight="1" spans="1:59">
      <c r="A15" s="47">
        <f>IF(A14=0,0,IF(A14&lt;ENTRY!$D$24,A14+1,0))</f>
        <v>4</v>
      </c>
      <c r="B15" s="47">
        <f>IF(A15&gt;0,STUDENT!F5,"")</f>
        <v>14778</v>
      </c>
      <c r="C15" s="176" t="str">
        <f>IF(A15&gt;0,UPPER(STUDENT!E5),"")</f>
        <v>PRINCE KUMAR RAY</v>
      </c>
      <c r="D15" s="176" t="str">
        <f>IF(A15&gt;0,UPPER(STUDENT!H5),"")</f>
        <v>RAMSHARAN RAY</v>
      </c>
      <c r="E15" s="47" t="str">
        <f>IF(A15&gt;0,UPPER(STUDENT!BP5),"")</f>
        <v/>
      </c>
      <c r="F15" s="47" t="str">
        <f>IF(A15&gt;0,UPPER(STUDENT!BO5),"")</f>
        <v>FALSE</v>
      </c>
      <c r="G15" s="47" t="str">
        <f>IF(A15&gt;0,UPPER(STUDENT!Q5),"")</f>
        <v/>
      </c>
      <c r="H15" s="69">
        <f>IF(A15&gt;0,PASHEET!CI7/PASHEET!CJ7*100,"")</f>
        <v>52.757793764988</v>
      </c>
      <c r="I15" s="177">
        <f>IF(A15&gt;0,SUM(PASHEET!AL7,PASHEET!AT7),"")</f>
        <v>2</v>
      </c>
      <c r="J15" s="177">
        <f>IF(A15&gt;0,SUM(MARKS!F7,MARKS!AL7),"")</f>
        <v>0</v>
      </c>
      <c r="K15" s="177">
        <f>IF(A15&gt;0,SUM(MARKS!N7,MARKS!AT7),"")</f>
        <v>0</v>
      </c>
      <c r="L15" s="177">
        <f>IF(A15&gt;0,SUM(MARKS!V7,MARKS!BB7),"")</f>
        <v>0</v>
      </c>
      <c r="M15" s="177">
        <f>IF(A15&gt;0,SUM(MARKS!AD7,MARKS!BJ7),"")</f>
        <v>25</v>
      </c>
      <c r="N15" s="177">
        <f t="shared" si="0"/>
        <v>27</v>
      </c>
      <c r="O15" s="177" t="str">
        <f t="shared" si="1"/>
        <v>E</v>
      </c>
      <c r="P15" s="177">
        <f>IF(A15&gt;0,SUM(PASHEET!AM7,PASHEET!AU7),"")</f>
        <v>1</v>
      </c>
      <c r="Q15" s="177">
        <f>IF(A15&gt;0,SUM(MARKS!G7,MARKS!AM7),"")</f>
        <v>0</v>
      </c>
      <c r="R15" s="177">
        <f>IF(A15&gt;0,SUM(MARKS!O7,MARKS!AU7),"")</f>
        <v>0</v>
      </c>
      <c r="S15" s="177">
        <f>IF(A15&gt;0,SUM(MARKS!W7,MARKS!BC7),"")</f>
        <v>0</v>
      </c>
      <c r="T15" s="177">
        <f>IF(A15&gt;0,SUM(MARKS!AE7,MARKS!BK7),"")</f>
        <v>11</v>
      </c>
      <c r="U15" s="177">
        <f t="shared" si="2"/>
        <v>12</v>
      </c>
      <c r="V15" s="177" t="str">
        <f t="shared" si="3"/>
        <v>E</v>
      </c>
      <c r="W15" s="177">
        <f>IF(A15&gt;0,SUM(PASHEET!AN7,PASHEET!AV7),"")</f>
        <v>2</v>
      </c>
      <c r="X15" s="177">
        <f>IF(A15&gt;0,SUM(MARKS!H7,MARKS!AN7),"")</f>
        <v>0</v>
      </c>
      <c r="Y15" s="177">
        <f>IF(A15&gt;0,SUM(MARKS!P7,MARKS!AV7),"")</f>
        <v>0</v>
      </c>
      <c r="Z15" s="177">
        <f>IF(A15&gt;0,SUM(MARKS!X7,MARKS!BD7),"")</f>
        <v>0</v>
      </c>
      <c r="AA15" s="177">
        <f>IF(A15&gt;0,SUM(MARKS!AF7,MARKS!BL7),"")</f>
        <v>15</v>
      </c>
      <c r="AB15" s="177">
        <f t="shared" si="4"/>
        <v>17</v>
      </c>
      <c r="AC15" s="177" t="str">
        <f t="shared" si="5"/>
        <v>E</v>
      </c>
      <c r="AD15" s="177">
        <f>IF(A15&gt;0,SUM(PASHEET!AO7,PASHEET!AW7),"")</f>
        <v>2</v>
      </c>
      <c r="AE15" s="177">
        <f>IF(A15&gt;0,SUM(MARKS!I7,MARKS!AO7),"")</f>
        <v>0</v>
      </c>
      <c r="AF15" s="177">
        <f>IF(A15&gt;0,SUM(MARKS!Q7,MARKS!AW7),"")</f>
        <v>0</v>
      </c>
      <c r="AG15" s="177">
        <f>IF(A15&gt;0,SUM(MARKS!Y7,MARKS!BE7),"")</f>
        <v>0</v>
      </c>
      <c r="AH15" s="177">
        <f>IF(A15&gt;0,SUM(MARKS!AG7,MARKS!BM7),"")</f>
        <v>15</v>
      </c>
      <c r="AI15" s="177">
        <f t="shared" si="6"/>
        <v>17</v>
      </c>
      <c r="AJ15" s="177" t="str">
        <f t="shared" si="7"/>
        <v>E</v>
      </c>
      <c r="AK15" s="177">
        <f>IF(A15&gt;0,SUM(PASHEET!AP7,PASHEET!AX7),"")</f>
        <v>0</v>
      </c>
      <c r="AL15" s="177">
        <f>IF(A15&gt;0,SUM(MARKS!J7,MARKS!AP7),"")</f>
        <v>0</v>
      </c>
      <c r="AM15" s="177">
        <f>IF(A15&gt;0,SUM(MARKS!R7,MARKS!AX7),"")</f>
        <v>0</v>
      </c>
      <c r="AN15" s="177">
        <f>IF(A15&gt;0,SUM(MARKS!Z7,MARKS!BF7),"")</f>
        <v>0</v>
      </c>
      <c r="AO15" s="177">
        <f>IF(A15&gt;0,SUM(MARKS!AH7,MARKS!BN7),"")</f>
        <v>11</v>
      </c>
      <c r="AP15" s="177">
        <f t="shared" si="8"/>
        <v>11</v>
      </c>
      <c r="AQ15" s="177" t="str">
        <f t="shared" si="9"/>
        <v>E</v>
      </c>
      <c r="AR15" s="177">
        <f>IF(A15&gt;0,SUM(PASHEET!AQ7,PASHEET!AY7),"")</f>
        <v>1</v>
      </c>
      <c r="AS15" s="177">
        <f>IF(A15&gt;0,SUM(MARKS!K7,MARKS!AQ7),"")</f>
        <v>0</v>
      </c>
      <c r="AT15" s="177">
        <f>IF(A15&gt;0,SUM(MARKS!S7,MARKS!AY7),"")</f>
        <v>0</v>
      </c>
      <c r="AU15" s="177">
        <f>IF(A15&gt;0,SUM(MARKS!AA7,MARKS!BG7),"")</f>
        <v>0</v>
      </c>
      <c r="AV15" s="177">
        <f>IF(A15&gt;0,SUM(MARKS!AI7,MARKS!BO7),"")</f>
        <v>25</v>
      </c>
      <c r="AW15" s="177">
        <f t="shared" si="10"/>
        <v>26</v>
      </c>
      <c r="AX15" s="177" t="str">
        <f t="shared" si="11"/>
        <v>E</v>
      </c>
      <c r="AY15" s="47">
        <f t="shared" si="12"/>
        <v>110</v>
      </c>
      <c r="AZ15" s="70">
        <f t="shared" si="13"/>
        <v>18.3333333333333</v>
      </c>
      <c r="BA15" s="177" t="str">
        <f t="shared" si="14"/>
        <v>E</v>
      </c>
      <c r="BB15" s="47">
        <f>IF(A15&gt;0,FLN!I7,"")</f>
        <v>3</v>
      </c>
      <c r="BC15" s="47">
        <f>IF(A15&gt;0,FLN!J7,"")</f>
        <v>2</v>
      </c>
      <c r="BD15" s="47">
        <f>IF(A15&gt;0,FLN!K7,"")</f>
        <v>3</v>
      </c>
      <c r="BE15" s="47" t="str">
        <f t="shared" si="15"/>
        <v>PROMOTED</v>
      </c>
      <c r="BF15" s="130">
        <f>IF(AY15="","",IFERROR(RANK(AY15,$AY$12:$AY$111,0)+COUNTIFS($AY$12:AY15,AY15)-1,0))</f>
        <v>32</v>
      </c>
      <c r="BG15" s="130">
        <f t="shared" si="16"/>
        <v>110</v>
      </c>
    </row>
    <row r="16" s="98" customFormat="1" ht="27" customHeight="1" spans="1:59">
      <c r="A16" s="47">
        <f>IF(A15=0,0,IF(A15&lt;ENTRY!$D$24,A15+1,0))</f>
        <v>5</v>
      </c>
      <c r="B16" s="47">
        <f>IF(A16&gt;0,STUDENT!F6,"")</f>
        <v>14785</v>
      </c>
      <c r="C16" s="176" t="str">
        <f>IF(A16&gt;0,UPPER(STUDENT!E6),"")</f>
        <v>KIRSHNA</v>
      </c>
      <c r="D16" s="176" t="str">
        <f>IF(A16&gt;0,UPPER(STUDENT!H6),"")</f>
        <v>VISHNU KASHYAP</v>
      </c>
      <c r="E16" s="47" t="str">
        <f>IF(A16&gt;0,UPPER(STUDENT!BP6),"")</f>
        <v/>
      </c>
      <c r="F16" s="47" t="str">
        <f>IF(A16&gt;0,UPPER(STUDENT!BO6),"")</f>
        <v>FALSE</v>
      </c>
      <c r="G16" s="47" t="str">
        <f>IF(A16&gt;0,UPPER(STUDENT!Q6),"")</f>
        <v/>
      </c>
      <c r="H16" s="69">
        <f>IF(A16&gt;0,PASHEET!CI8/PASHEET!CJ8*100,"")</f>
        <v>70</v>
      </c>
      <c r="I16" s="177">
        <f>IF(A16&gt;0,SUM(PASHEET!AL8,PASHEET!AT8),"")</f>
        <v>2</v>
      </c>
      <c r="J16" s="177">
        <f>IF(A16&gt;0,SUM(MARKS!F8,MARKS!AL8),"")</f>
        <v>0</v>
      </c>
      <c r="K16" s="177">
        <f>IF(A16&gt;0,SUM(MARKS!N8,MARKS!AT8),"")</f>
        <v>0</v>
      </c>
      <c r="L16" s="177">
        <f>IF(A16&gt;0,SUM(MARKS!V8,MARKS!BB8),"")</f>
        <v>0</v>
      </c>
      <c r="M16" s="177">
        <f>IF(A16&gt;0,SUM(MARKS!AD8,MARKS!BJ8),"")</f>
        <v>35</v>
      </c>
      <c r="N16" s="177">
        <f t="shared" si="0"/>
        <v>37</v>
      </c>
      <c r="O16" s="177" t="str">
        <f t="shared" si="1"/>
        <v>D</v>
      </c>
      <c r="P16" s="177">
        <f>IF(A16&gt;0,SUM(PASHEET!AM8,PASHEET!AU8),"")</f>
        <v>1</v>
      </c>
      <c r="Q16" s="177">
        <f>IF(A16&gt;0,SUM(MARKS!G8,MARKS!AM8),"")</f>
        <v>0</v>
      </c>
      <c r="R16" s="177">
        <f>IF(A16&gt;0,SUM(MARKS!O8,MARKS!AU8),"")</f>
        <v>0</v>
      </c>
      <c r="S16" s="177">
        <f>IF(A16&gt;0,SUM(MARKS!W8,MARKS!BC8),"")</f>
        <v>0</v>
      </c>
      <c r="T16" s="177">
        <f>IF(A16&gt;0,SUM(MARKS!AE8,MARKS!BK8),"")</f>
        <v>19</v>
      </c>
      <c r="U16" s="177">
        <f t="shared" si="2"/>
        <v>20</v>
      </c>
      <c r="V16" s="177" t="str">
        <f t="shared" si="3"/>
        <v>E</v>
      </c>
      <c r="W16" s="177">
        <f>IF(A16&gt;0,SUM(PASHEET!AN8,PASHEET!AV8),"")</f>
        <v>1</v>
      </c>
      <c r="X16" s="177">
        <f>IF(A16&gt;0,SUM(MARKS!H8,MARKS!AN8),"")</f>
        <v>0</v>
      </c>
      <c r="Y16" s="177">
        <f>IF(A16&gt;0,SUM(MARKS!P8,MARKS!AV8),"")</f>
        <v>0</v>
      </c>
      <c r="Z16" s="177">
        <f>IF(A16&gt;0,SUM(MARKS!X8,MARKS!BD8),"")</f>
        <v>0</v>
      </c>
      <c r="AA16" s="177">
        <f>IF(A16&gt;0,SUM(MARKS!AF8,MARKS!BL8),"")</f>
        <v>20</v>
      </c>
      <c r="AB16" s="177">
        <f t="shared" si="4"/>
        <v>21</v>
      </c>
      <c r="AC16" s="177" t="str">
        <f t="shared" si="5"/>
        <v>E</v>
      </c>
      <c r="AD16" s="177">
        <f>IF(A16&gt;0,SUM(PASHEET!AO8,PASHEET!AW8),"")</f>
        <v>2</v>
      </c>
      <c r="AE16" s="177">
        <f>IF(A16&gt;0,SUM(MARKS!I8,MARKS!AO8),"")</f>
        <v>0</v>
      </c>
      <c r="AF16" s="177">
        <f>IF(A16&gt;0,SUM(MARKS!Q8,MARKS!AW8),"")</f>
        <v>0</v>
      </c>
      <c r="AG16" s="177">
        <f>IF(A16&gt;0,SUM(MARKS!Y8,MARKS!BE8),"")</f>
        <v>0</v>
      </c>
      <c r="AH16" s="177">
        <f>IF(A16&gt;0,SUM(MARKS!AG8,MARKS!BM8),"")</f>
        <v>15</v>
      </c>
      <c r="AI16" s="177">
        <f t="shared" si="6"/>
        <v>17</v>
      </c>
      <c r="AJ16" s="177" t="str">
        <f t="shared" si="7"/>
        <v>E</v>
      </c>
      <c r="AK16" s="177">
        <f>IF(A16&gt;0,SUM(PASHEET!AP8,PASHEET!AX8),"")</f>
        <v>0</v>
      </c>
      <c r="AL16" s="177">
        <f>IF(A16&gt;0,SUM(MARKS!J8,MARKS!AP8),"")</f>
        <v>0</v>
      </c>
      <c r="AM16" s="177">
        <f>IF(A16&gt;0,SUM(MARKS!R8,MARKS!AX8),"")</f>
        <v>0</v>
      </c>
      <c r="AN16" s="177">
        <f>IF(A16&gt;0,SUM(MARKS!Z8,MARKS!BF8),"")</f>
        <v>0</v>
      </c>
      <c r="AO16" s="177">
        <f>IF(A16&gt;0,SUM(MARKS!AH8,MARKS!BN8),"")</f>
        <v>18</v>
      </c>
      <c r="AP16" s="177">
        <f t="shared" si="8"/>
        <v>18</v>
      </c>
      <c r="AQ16" s="177" t="str">
        <f t="shared" si="9"/>
        <v>E</v>
      </c>
      <c r="AR16" s="177">
        <f>IF(A16&gt;0,SUM(PASHEET!AQ8,PASHEET!AY8),"")</f>
        <v>2</v>
      </c>
      <c r="AS16" s="177">
        <f>IF(A16&gt;0,SUM(MARKS!K8,MARKS!AQ8),"")</f>
        <v>0</v>
      </c>
      <c r="AT16" s="177">
        <f>IF(A16&gt;0,SUM(MARKS!S8,MARKS!AY8),"")</f>
        <v>0</v>
      </c>
      <c r="AU16" s="177">
        <f>IF(A16&gt;0,SUM(MARKS!AA8,MARKS!BG8),"")</f>
        <v>0</v>
      </c>
      <c r="AV16" s="177">
        <f>IF(A16&gt;0,SUM(MARKS!AI8,MARKS!BO8),"")</f>
        <v>28</v>
      </c>
      <c r="AW16" s="177">
        <f t="shared" si="10"/>
        <v>30</v>
      </c>
      <c r="AX16" s="177" t="str">
        <f t="shared" si="11"/>
        <v>E</v>
      </c>
      <c r="AY16" s="47">
        <f t="shared" si="12"/>
        <v>143</v>
      </c>
      <c r="AZ16" s="70">
        <f t="shared" si="13"/>
        <v>23.8333333333333</v>
      </c>
      <c r="BA16" s="177" t="str">
        <f t="shared" si="14"/>
        <v>E</v>
      </c>
      <c r="BB16" s="47">
        <f>IF(A16&gt;0,FLN!I8,"")</f>
        <v>2</v>
      </c>
      <c r="BC16" s="47">
        <f>IF(A16&gt;0,FLN!J8,"")</f>
        <v>2</v>
      </c>
      <c r="BD16" s="47">
        <f>IF(A16&gt;0,FLN!K8,"")</f>
        <v>3</v>
      </c>
      <c r="BE16" s="47" t="str">
        <f t="shared" si="15"/>
        <v>PROMOTED</v>
      </c>
      <c r="BF16" s="130">
        <f>IF(AY16="","",IFERROR(RANK(AY16,$AY$12:$AY$111,0)+COUNTIFS($AY$12:AY16,AY16)-1,0))</f>
        <v>16</v>
      </c>
      <c r="BG16" s="130">
        <f t="shared" si="16"/>
        <v>143</v>
      </c>
    </row>
    <row r="17" s="98" customFormat="1" ht="27" customHeight="1" spans="1:59">
      <c r="A17" s="47">
        <f>IF(A16=0,0,IF(A16&lt;ENTRY!$D$24,A16+1,0))</f>
        <v>6</v>
      </c>
      <c r="B17" s="47">
        <f>IF(A17&gt;0,STUDENT!F7,"")</f>
        <v>14780</v>
      </c>
      <c r="C17" s="176" t="str">
        <f>IF(A17&gt;0,UPPER(STUDENT!E7),"")</f>
        <v>MD SOPHIYAN ALAM</v>
      </c>
      <c r="D17" s="176" t="str">
        <f>IF(A17&gt;0,UPPER(STUDENT!H7),"")</f>
        <v>MD TABREJ ALAM</v>
      </c>
      <c r="E17" s="47" t="str">
        <f>IF(A17&gt;0,UPPER(STUDENT!BP7),"")</f>
        <v/>
      </c>
      <c r="F17" s="47" t="str">
        <f>IF(A17&gt;0,UPPER(STUDENT!BO7),"")</f>
        <v>FALSE</v>
      </c>
      <c r="G17" s="47" t="str">
        <f>IF(A17&gt;0,UPPER(STUDENT!Q7),"")</f>
        <v/>
      </c>
      <c r="H17" s="69">
        <f>IF(A17&gt;0,PASHEET!CI9/PASHEET!CJ9*100,"")</f>
        <v>89.4736842105263</v>
      </c>
      <c r="I17" s="177">
        <f>IF(A17&gt;0,SUM(PASHEET!AL9,PASHEET!AT9),"")</f>
        <v>2</v>
      </c>
      <c r="J17" s="177">
        <f>IF(A17&gt;0,SUM(MARKS!F9,MARKS!AL9),"")</f>
        <v>0</v>
      </c>
      <c r="K17" s="177">
        <f>IF(A17&gt;0,SUM(MARKS!N9,MARKS!AT9),"")</f>
        <v>0</v>
      </c>
      <c r="L17" s="177">
        <f>IF(A17&gt;0,SUM(MARKS!V9,MARKS!BB9),"")</f>
        <v>0</v>
      </c>
      <c r="M17" s="177">
        <f>IF(A17&gt;0,SUM(MARKS!AD9,MARKS!BJ9),"")</f>
        <v>30</v>
      </c>
      <c r="N17" s="177">
        <f t="shared" si="0"/>
        <v>32</v>
      </c>
      <c r="O17" s="177" t="str">
        <f t="shared" si="1"/>
        <v>E</v>
      </c>
      <c r="P17" s="177">
        <f>IF(A17&gt;0,SUM(PASHEET!AM9,PASHEET!AU9),"")</f>
        <v>2</v>
      </c>
      <c r="Q17" s="177">
        <f>IF(A17&gt;0,SUM(MARKS!G9,MARKS!AM9),"")</f>
        <v>0</v>
      </c>
      <c r="R17" s="177">
        <f>IF(A17&gt;0,SUM(MARKS!O9,MARKS!AU9),"")</f>
        <v>0</v>
      </c>
      <c r="S17" s="177">
        <f>IF(A17&gt;0,SUM(MARKS!W9,MARKS!BC9),"")</f>
        <v>0</v>
      </c>
      <c r="T17" s="177">
        <f>IF(A17&gt;0,SUM(MARKS!AE9,MARKS!BK9),"")</f>
        <v>16</v>
      </c>
      <c r="U17" s="177">
        <f t="shared" si="2"/>
        <v>18</v>
      </c>
      <c r="V17" s="177" t="str">
        <f t="shared" si="3"/>
        <v>E</v>
      </c>
      <c r="W17" s="177">
        <f>IF(A17&gt;0,SUM(PASHEET!AN9,PASHEET!AV9),"")</f>
        <v>2</v>
      </c>
      <c r="X17" s="177">
        <f>IF(A17&gt;0,SUM(MARKS!H9,MARKS!AN9),"")</f>
        <v>0</v>
      </c>
      <c r="Y17" s="177">
        <f>IF(A17&gt;0,SUM(MARKS!P9,MARKS!AV9),"")</f>
        <v>0</v>
      </c>
      <c r="Z17" s="177">
        <f>IF(A17&gt;0,SUM(MARKS!X9,MARKS!BD9),"")</f>
        <v>0</v>
      </c>
      <c r="AA17" s="177">
        <f>IF(A17&gt;0,SUM(MARKS!AF9,MARKS!BL9),"")</f>
        <v>12</v>
      </c>
      <c r="AB17" s="177">
        <f t="shared" si="4"/>
        <v>14</v>
      </c>
      <c r="AC17" s="177" t="str">
        <f t="shared" si="5"/>
        <v>E</v>
      </c>
      <c r="AD17" s="177">
        <f>IF(A17&gt;0,SUM(PASHEET!AO9,PASHEET!AW9),"")</f>
        <v>2</v>
      </c>
      <c r="AE17" s="177">
        <f>IF(A17&gt;0,SUM(MARKS!I9,MARKS!AO9),"")</f>
        <v>0</v>
      </c>
      <c r="AF17" s="177">
        <f>IF(A17&gt;0,SUM(MARKS!Q9,MARKS!AW9),"")</f>
        <v>0</v>
      </c>
      <c r="AG17" s="177">
        <f>IF(A17&gt;0,SUM(MARKS!Y9,MARKS!BE9),"")</f>
        <v>0</v>
      </c>
      <c r="AH17" s="177">
        <f>IF(A17&gt;0,SUM(MARKS!AG9,MARKS!BM9),"")</f>
        <v>13</v>
      </c>
      <c r="AI17" s="177">
        <f t="shared" si="6"/>
        <v>15</v>
      </c>
      <c r="AJ17" s="177" t="str">
        <f t="shared" si="7"/>
        <v>E</v>
      </c>
      <c r="AK17" s="177">
        <f>IF(A17&gt;0,SUM(PASHEET!AP9,PASHEET!AX9),"")</f>
        <v>0</v>
      </c>
      <c r="AL17" s="177">
        <f>IF(A17&gt;0,SUM(MARKS!J9,MARKS!AP9),"")</f>
        <v>0</v>
      </c>
      <c r="AM17" s="177">
        <f>IF(A17&gt;0,SUM(MARKS!R9,MARKS!AX9),"")</f>
        <v>0</v>
      </c>
      <c r="AN17" s="177">
        <f>IF(A17&gt;0,SUM(MARKS!Z9,MARKS!BF9),"")</f>
        <v>0</v>
      </c>
      <c r="AO17" s="177">
        <f>IF(A17&gt;0,SUM(MARKS!AH9,MARKS!BN9),"")</f>
        <v>15</v>
      </c>
      <c r="AP17" s="177">
        <f t="shared" si="8"/>
        <v>15</v>
      </c>
      <c r="AQ17" s="177" t="str">
        <f t="shared" si="9"/>
        <v>E</v>
      </c>
      <c r="AR17" s="177">
        <f>IF(A17&gt;0,SUM(PASHEET!AQ9,PASHEET!AY9),"")</f>
        <v>2</v>
      </c>
      <c r="AS17" s="177">
        <f>IF(A17&gt;0,SUM(MARKS!K9,MARKS!AQ9),"")</f>
        <v>0</v>
      </c>
      <c r="AT17" s="177">
        <f>IF(A17&gt;0,SUM(MARKS!S9,MARKS!AY9),"")</f>
        <v>0</v>
      </c>
      <c r="AU17" s="177">
        <f>IF(A17&gt;0,SUM(MARKS!AA9,MARKS!BG9),"")</f>
        <v>0</v>
      </c>
      <c r="AV17" s="177">
        <f>IF(A17&gt;0,SUM(MARKS!AI9,MARKS!BO9),"")</f>
        <v>16</v>
      </c>
      <c r="AW17" s="177">
        <f t="shared" si="10"/>
        <v>18</v>
      </c>
      <c r="AX17" s="177" t="str">
        <f t="shared" si="11"/>
        <v>E</v>
      </c>
      <c r="AY17" s="47">
        <f t="shared" si="12"/>
        <v>112</v>
      </c>
      <c r="AZ17" s="70">
        <f t="shared" si="13"/>
        <v>18.6666666666667</v>
      </c>
      <c r="BA17" s="177" t="str">
        <f t="shared" si="14"/>
        <v>E</v>
      </c>
      <c r="BB17" s="47">
        <f>IF(A17&gt;0,FLN!I9,"")</f>
        <v>4</v>
      </c>
      <c r="BC17" s="47">
        <f>IF(A17&gt;0,FLN!J9,"")</f>
        <v>3</v>
      </c>
      <c r="BD17" s="47">
        <f>IF(A17&gt;0,FLN!K9,"")</f>
        <v>4</v>
      </c>
      <c r="BE17" s="47" t="str">
        <f t="shared" si="15"/>
        <v>PROMOTED</v>
      </c>
      <c r="BF17" s="130">
        <f>IF(AY17="","",IFERROR(RANK(AY17,$AY$12:$AY$111,0)+COUNTIFS($AY$12:AY17,AY17)-1,0))</f>
        <v>29</v>
      </c>
      <c r="BG17" s="130">
        <f t="shared" si="16"/>
        <v>112</v>
      </c>
    </row>
    <row r="18" s="98" customFormat="1" ht="27" customHeight="1" spans="1:59">
      <c r="A18" s="47">
        <f>IF(A17=0,0,IF(A17&lt;ENTRY!$D$24,A17+1,0))</f>
        <v>7</v>
      </c>
      <c r="B18" s="47">
        <f>IF(A18&gt;0,STUDENT!F8,"")</f>
        <v>14773</v>
      </c>
      <c r="C18" s="176" t="str">
        <f>IF(A18&gt;0,UPPER(STUDENT!E8),"")</f>
        <v>MD SAUBAN</v>
      </c>
      <c r="D18" s="176" t="str">
        <f>IF(A18&gt;0,UPPER(STUDENT!H8),"")</f>
        <v>MD IRSHAD</v>
      </c>
      <c r="E18" s="47" t="str">
        <f>IF(A18&gt;0,UPPER(STUDENT!BP8),"")</f>
        <v/>
      </c>
      <c r="F18" s="47" t="str">
        <f>IF(A18&gt;0,UPPER(STUDENT!BO8),"")</f>
        <v>FALSE</v>
      </c>
      <c r="G18" s="47" t="str">
        <f>IF(A18&gt;0,UPPER(STUDENT!Q8),"")</f>
        <v/>
      </c>
      <c r="H18" s="69" t="e">
        <f>IF(A18&gt;0,PASHEET!CI10/PASHEET!CJ10*100,"")</f>
        <v>#DIV/0!</v>
      </c>
      <c r="I18" s="177">
        <f>IF(A18&gt;0,SUM(PASHEET!AL10,PASHEET!AT10),"")</f>
        <v>2</v>
      </c>
      <c r="J18" s="177">
        <f>IF(A18&gt;0,SUM(MARKS!F10,MARKS!AL10),"")</f>
        <v>0</v>
      </c>
      <c r="K18" s="177">
        <f>IF(A18&gt;0,SUM(MARKS!N10,MARKS!AT10),"")</f>
        <v>0</v>
      </c>
      <c r="L18" s="177">
        <f>IF(A18&gt;0,SUM(MARKS!V10,MARKS!BB10),"")</f>
        <v>0</v>
      </c>
      <c r="M18" s="177">
        <f>IF(A18&gt;0,SUM(MARKS!AD10,MARKS!BJ10),"")</f>
        <v>25</v>
      </c>
      <c r="N18" s="177">
        <f t="shared" si="0"/>
        <v>27</v>
      </c>
      <c r="O18" s="177" t="str">
        <f t="shared" si="1"/>
        <v>E</v>
      </c>
      <c r="P18" s="177">
        <f>IF(A18&gt;0,SUM(PASHEET!AM10,PASHEET!AU10),"")</f>
        <v>1</v>
      </c>
      <c r="Q18" s="177">
        <f>IF(A18&gt;0,SUM(MARKS!G10,MARKS!AM10),"")</f>
        <v>0</v>
      </c>
      <c r="R18" s="177">
        <f>IF(A18&gt;0,SUM(MARKS!O10,MARKS!AU10),"")</f>
        <v>0</v>
      </c>
      <c r="S18" s="177">
        <f>IF(A18&gt;0,SUM(MARKS!W10,MARKS!BC10),"")</f>
        <v>0</v>
      </c>
      <c r="T18" s="177">
        <f>IF(A18&gt;0,SUM(MARKS!AE10,MARKS!BK10),"")</f>
        <v>11</v>
      </c>
      <c r="U18" s="177">
        <f t="shared" si="2"/>
        <v>12</v>
      </c>
      <c r="V18" s="177" t="str">
        <f t="shared" si="3"/>
        <v>E</v>
      </c>
      <c r="W18" s="177">
        <f>IF(A18&gt;0,SUM(PASHEET!AN10,PASHEET!AV10),"")</f>
        <v>2</v>
      </c>
      <c r="X18" s="177">
        <f>IF(A18&gt;0,SUM(MARKS!H10,MARKS!AN10),"")</f>
        <v>0</v>
      </c>
      <c r="Y18" s="177">
        <f>IF(A18&gt;0,SUM(MARKS!P10,MARKS!AV10),"")</f>
        <v>0</v>
      </c>
      <c r="Z18" s="177">
        <f>IF(A18&gt;0,SUM(MARKS!X10,MARKS!BD10),"")</f>
        <v>0</v>
      </c>
      <c r="AA18" s="177">
        <f>IF(A18&gt;0,SUM(MARKS!AF10,MARKS!BL10),"")</f>
        <v>11</v>
      </c>
      <c r="AB18" s="177">
        <f t="shared" si="4"/>
        <v>13</v>
      </c>
      <c r="AC18" s="177" t="str">
        <f t="shared" si="5"/>
        <v>E</v>
      </c>
      <c r="AD18" s="177">
        <f>IF(A18&gt;0,SUM(PASHEET!AO10,PASHEET!AW10),"")</f>
        <v>2</v>
      </c>
      <c r="AE18" s="177">
        <f>IF(A18&gt;0,SUM(MARKS!I10,MARKS!AO10),"")</f>
        <v>0</v>
      </c>
      <c r="AF18" s="177">
        <f>IF(A18&gt;0,SUM(MARKS!Q10,MARKS!AW10),"")</f>
        <v>0</v>
      </c>
      <c r="AG18" s="177">
        <f>IF(A18&gt;0,SUM(MARKS!Y10,MARKS!BE10),"")</f>
        <v>0</v>
      </c>
      <c r="AH18" s="177">
        <f>IF(A18&gt;0,SUM(MARKS!AG10,MARKS!BM10),"")</f>
        <v>13</v>
      </c>
      <c r="AI18" s="177">
        <f t="shared" si="6"/>
        <v>15</v>
      </c>
      <c r="AJ18" s="177" t="str">
        <f t="shared" si="7"/>
        <v>E</v>
      </c>
      <c r="AK18" s="177">
        <f>IF(A18&gt;0,SUM(PASHEET!AP10,PASHEET!AX10),"")</f>
        <v>0</v>
      </c>
      <c r="AL18" s="177">
        <f>IF(A18&gt;0,SUM(MARKS!J10,MARKS!AP10),"")</f>
        <v>0</v>
      </c>
      <c r="AM18" s="177">
        <f>IF(A18&gt;0,SUM(MARKS!R10,MARKS!AX10),"")</f>
        <v>0</v>
      </c>
      <c r="AN18" s="177">
        <f>IF(A18&gt;0,SUM(MARKS!Z10,MARKS!BF10),"")</f>
        <v>0</v>
      </c>
      <c r="AO18" s="177">
        <f>IF(A18&gt;0,SUM(MARKS!AH10,MARKS!BN10),"")</f>
        <v>15</v>
      </c>
      <c r="AP18" s="177">
        <f t="shared" si="8"/>
        <v>15</v>
      </c>
      <c r="AQ18" s="177" t="str">
        <f t="shared" si="9"/>
        <v>E</v>
      </c>
      <c r="AR18" s="177">
        <f>IF(A18&gt;0,SUM(PASHEET!AQ10,PASHEET!AY10),"")</f>
        <v>2</v>
      </c>
      <c r="AS18" s="177">
        <f>IF(A18&gt;0,SUM(MARKS!K10,MARKS!AQ10),"")</f>
        <v>0</v>
      </c>
      <c r="AT18" s="177">
        <f>IF(A18&gt;0,SUM(MARKS!S10,MARKS!AY10),"")</f>
        <v>0</v>
      </c>
      <c r="AU18" s="177">
        <f>IF(A18&gt;0,SUM(MARKS!AA10,MARKS!BG10),"")</f>
        <v>0</v>
      </c>
      <c r="AV18" s="177">
        <f>IF(A18&gt;0,SUM(MARKS!AI10,MARKS!BO10),"")</f>
        <v>20</v>
      </c>
      <c r="AW18" s="177">
        <f t="shared" si="10"/>
        <v>22</v>
      </c>
      <c r="AX18" s="177" t="str">
        <f t="shared" si="11"/>
        <v>E</v>
      </c>
      <c r="AY18" s="47">
        <f t="shared" si="12"/>
        <v>104</v>
      </c>
      <c r="AZ18" s="70">
        <f t="shared" si="13"/>
        <v>17.3333333333333</v>
      </c>
      <c r="BA18" s="177" t="str">
        <f t="shared" si="14"/>
        <v>E</v>
      </c>
      <c r="BB18" s="47">
        <f>IF(A18&gt;0,FLN!I10,"")</f>
        <v>4</v>
      </c>
      <c r="BC18" s="47">
        <f>IF(A18&gt;0,FLN!J10,"")</f>
        <v>3</v>
      </c>
      <c r="BD18" s="47">
        <f>IF(A18&gt;0,FLN!K10,"")</f>
        <v>4</v>
      </c>
      <c r="BE18" s="47" t="str">
        <f t="shared" si="15"/>
        <v>PROMOTED</v>
      </c>
      <c r="BF18" s="130">
        <f>IF(AY18="","",IFERROR(RANK(AY18,$AY$12:$AY$111,0)+COUNTIFS($AY$12:AY18,AY18)-1,0))</f>
        <v>37</v>
      </c>
      <c r="BG18" s="130">
        <f t="shared" si="16"/>
        <v>104</v>
      </c>
    </row>
    <row r="19" s="98" customFormat="1" ht="27" customHeight="1" spans="1:59">
      <c r="A19" s="47">
        <f>IF(A18=0,0,IF(A18&lt;ENTRY!$D$24,A18+1,0))</f>
        <v>8</v>
      </c>
      <c r="B19" s="47">
        <f>IF(A19&gt;0,STUDENT!F9,"")</f>
        <v>14769</v>
      </c>
      <c r="C19" s="176" t="str">
        <f>IF(A19&gt;0,UPPER(STUDENT!E9),"")</f>
        <v>DEEPANSHU</v>
      </c>
      <c r="D19" s="176" t="str">
        <f>IF(A19&gt;0,UPPER(STUDENT!H9),"")</f>
        <v>AKHILESH KUMAR</v>
      </c>
      <c r="E19" s="47" t="str">
        <f>IF(A19&gt;0,UPPER(STUDENT!BP9),"")</f>
        <v/>
      </c>
      <c r="F19" s="47" t="str">
        <f>IF(A19&gt;0,UPPER(STUDENT!BO9),"")</f>
        <v>FALSE</v>
      </c>
      <c r="G19" s="47" t="str">
        <f>IF(A19&gt;0,UPPER(STUDENT!Q9),"")</f>
        <v/>
      </c>
      <c r="H19" s="69" t="e">
        <f>IF(A19&gt;0,PASHEET!CI11/PASHEET!CJ11*100,"")</f>
        <v>#DIV/0!</v>
      </c>
      <c r="I19" s="177">
        <f>IF(A19&gt;0,SUM(PASHEET!AL11,PASHEET!AT11),"")</f>
        <v>2</v>
      </c>
      <c r="J19" s="177">
        <f>IF(A19&gt;0,SUM(MARKS!F11,MARKS!AL11),"")</f>
        <v>0</v>
      </c>
      <c r="K19" s="177">
        <f>IF(A19&gt;0,SUM(MARKS!N11,MARKS!AT11),"")</f>
        <v>0</v>
      </c>
      <c r="L19" s="177">
        <f>IF(A19&gt;0,SUM(MARKS!V11,MARKS!BB11),"")</f>
        <v>0</v>
      </c>
      <c r="M19" s="177">
        <f>IF(A19&gt;0,SUM(MARKS!AD11,MARKS!BJ11),"")</f>
        <v>45</v>
      </c>
      <c r="N19" s="177">
        <f t="shared" si="0"/>
        <v>47</v>
      </c>
      <c r="O19" s="177" t="str">
        <f t="shared" si="1"/>
        <v>C</v>
      </c>
      <c r="P19" s="177">
        <f>IF(A19&gt;0,SUM(PASHEET!AM11,PASHEET!AU11),"")</f>
        <v>1</v>
      </c>
      <c r="Q19" s="177">
        <f>IF(A19&gt;0,SUM(MARKS!G11,MARKS!AM11),"")</f>
        <v>0</v>
      </c>
      <c r="R19" s="177">
        <f>IF(A19&gt;0,SUM(MARKS!O11,MARKS!AU11),"")</f>
        <v>0</v>
      </c>
      <c r="S19" s="177">
        <f>IF(A19&gt;0,SUM(MARKS!W11,MARKS!BC11),"")</f>
        <v>0</v>
      </c>
      <c r="T19" s="177">
        <f>IF(A19&gt;0,SUM(MARKS!AE11,MARKS!BK11),"")</f>
        <v>17</v>
      </c>
      <c r="U19" s="177">
        <f t="shared" si="2"/>
        <v>18</v>
      </c>
      <c r="V19" s="177" t="str">
        <f t="shared" si="3"/>
        <v>E</v>
      </c>
      <c r="W19" s="177">
        <f>IF(A19&gt;0,SUM(PASHEET!AN11,PASHEET!AV11),"")</f>
        <v>2</v>
      </c>
      <c r="X19" s="177">
        <f>IF(A19&gt;0,SUM(MARKS!H11,MARKS!AN11),"")</f>
        <v>0</v>
      </c>
      <c r="Y19" s="177">
        <f>IF(A19&gt;0,SUM(MARKS!P11,MARKS!AV11),"")</f>
        <v>0</v>
      </c>
      <c r="Z19" s="177">
        <f>IF(A19&gt;0,SUM(MARKS!X11,MARKS!BD11),"")</f>
        <v>0</v>
      </c>
      <c r="AA19" s="177">
        <f>IF(A19&gt;0,SUM(MARKS!AF11,MARKS!BL11),"")</f>
        <v>21</v>
      </c>
      <c r="AB19" s="177">
        <f t="shared" si="4"/>
        <v>23</v>
      </c>
      <c r="AC19" s="177" t="str">
        <f t="shared" si="5"/>
        <v>E</v>
      </c>
      <c r="AD19" s="177">
        <f>IF(A19&gt;0,SUM(PASHEET!AO11,PASHEET!AW11),"")</f>
        <v>2</v>
      </c>
      <c r="AE19" s="177">
        <f>IF(A19&gt;0,SUM(MARKS!I11,MARKS!AO11),"")</f>
        <v>0</v>
      </c>
      <c r="AF19" s="177">
        <f>IF(A19&gt;0,SUM(MARKS!Q11,MARKS!AW11),"")</f>
        <v>0</v>
      </c>
      <c r="AG19" s="177">
        <f>IF(A19&gt;0,SUM(MARKS!Y11,MARKS!BE11),"")</f>
        <v>0</v>
      </c>
      <c r="AH19" s="177">
        <f>IF(A19&gt;0,SUM(MARKS!AG11,MARKS!BM11),"")</f>
        <v>21</v>
      </c>
      <c r="AI19" s="177">
        <f t="shared" si="6"/>
        <v>23</v>
      </c>
      <c r="AJ19" s="177" t="str">
        <f t="shared" si="7"/>
        <v>E</v>
      </c>
      <c r="AK19" s="177">
        <f>IF(A19&gt;0,SUM(PASHEET!AP11,PASHEET!AX11),"")</f>
        <v>0</v>
      </c>
      <c r="AL19" s="177">
        <f>IF(A19&gt;0,SUM(MARKS!J11,MARKS!AP11),"")</f>
        <v>0</v>
      </c>
      <c r="AM19" s="177">
        <f>IF(A19&gt;0,SUM(MARKS!R11,MARKS!AX11),"")</f>
        <v>0</v>
      </c>
      <c r="AN19" s="177">
        <f>IF(A19&gt;0,SUM(MARKS!Z11,MARKS!BF11),"")</f>
        <v>0</v>
      </c>
      <c r="AO19" s="177">
        <f>IF(A19&gt;0,SUM(MARKS!AH11,MARKS!BN11),"")</f>
        <v>22</v>
      </c>
      <c r="AP19" s="177">
        <f t="shared" si="8"/>
        <v>22</v>
      </c>
      <c r="AQ19" s="177" t="str">
        <f t="shared" si="9"/>
        <v>E</v>
      </c>
      <c r="AR19" s="177">
        <f>IF(A19&gt;0,SUM(PASHEET!AQ11,PASHEET!AY11),"")</f>
        <v>2</v>
      </c>
      <c r="AS19" s="177">
        <f>IF(A19&gt;0,SUM(MARKS!K11,MARKS!AQ11),"")</f>
        <v>0</v>
      </c>
      <c r="AT19" s="177">
        <f>IF(A19&gt;0,SUM(MARKS!S11,MARKS!AY11),"")</f>
        <v>0</v>
      </c>
      <c r="AU19" s="177">
        <f>IF(A19&gt;0,SUM(MARKS!AA11,MARKS!BG11),"")</f>
        <v>0</v>
      </c>
      <c r="AV19" s="177">
        <f>IF(A19&gt;0,SUM(MARKS!AI11,MARKS!BO11),"")</f>
        <v>28</v>
      </c>
      <c r="AW19" s="177">
        <f t="shared" si="10"/>
        <v>30</v>
      </c>
      <c r="AX19" s="177" t="str">
        <f t="shared" si="11"/>
        <v>E</v>
      </c>
      <c r="AY19" s="47">
        <f t="shared" si="12"/>
        <v>163</v>
      </c>
      <c r="AZ19" s="70">
        <f t="shared" si="13"/>
        <v>27.1666666666667</v>
      </c>
      <c r="BA19" s="177" t="str">
        <f t="shared" si="14"/>
        <v>E</v>
      </c>
      <c r="BB19" s="47">
        <f>IF(A19&gt;0,FLN!I11,"")</f>
        <v>2</v>
      </c>
      <c r="BC19" s="47">
        <f>IF(A19&gt;0,FLN!J11,"")</f>
        <v>2</v>
      </c>
      <c r="BD19" s="47">
        <f>IF(A19&gt;0,FLN!K11,"")</f>
        <v>3</v>
      </c>
      <c r="BE19" s="47" t="str">
        <f t="shared" si="15"/>
        <v>PROMOTED</v>
      </c>
      <c r="BF19" s="130">
        <f>IF(AY19="","",IFERROR(RANK(AY19,$AY$12:$AY$111,0)+COUNTIFS($AY$12:AY19,AY19)-1,0))</f>
        <v>9</v>
      </c>
      <c r="BG19" s="130">
        <f t="shared" si="16"/>
        <v>163</v>
      </c>
    </row>
    <row r="20" s="98" customFormat="1" ht="27" customHeight="1" spans="1:59">
      <c r="A20" s="47">
        <f>IF(A19=0,0,IF(A19&lt;ENTRY!$D$24,A19+1,0))</f>
        <v>9</v>
      </c>
      <c r="B20" s="47">
        <f>IF(A20&gt;0,STUDENT!F10,"")</f>
        <v>14754</v>
      </c>
      <c r="C20" s="176" t="str">
        <f>IF(A20&gt;0,UPPER(STUDENT!E10),"")</f>
        <v>ANUJ</v>
      </c>
      <c r="D20" s="176" t="str">
        <f>IF(A20&gt;0,UPPER(STUDENT!H10),"")</f>
        <v>RANJEET DAS</v>
      </c>
      <c r="E20" s="47" t="str">
        <f>IF(A20&gt;0,UPPER(STUDENT!BP10),"")</f>
        <v/>
      </c>
      <c r="F20" s="47" t="str">
        <f>IF(A20&gt;0,UPPER(STUDENT!BO10),"")</f>
        <v>FALSE</v>
      </c>
      <c r="G20" s="47" t="str">
        <f>IF(A20&gt;0,UPPER(STUDENT!Q10),"")</f>
        <v/>
      </c>
      <c r="H20" s="69" t="e">
        <f>IF(A20&gt;0,PASHEET!CI12/PASHEET!CJ12*100,"")</f>
        <v>#DIV/0!</v>
      </c>
      <c r="I20" s="177">
        <f>IF(A20&gt;0,SUM(PASHEET!AL12,PASHEET!AT12),"")</f>
        <v>2</v>
      </c>
      <c r="J20" s="177">
        <f>IF(A20&gt;0,SUM(MARKS!F12,MARKS!AL12),"")</f>
        <v>0</v>
      </c>
      <c r="K20" s="177">
        <f>IF(A20&gt;0,SUM(MARKS!N12,MARKS!AT12),"")</f>
        <v>0</v>
      </c>
      <c r="L20" s="177">
        <f>IF(A20&gt;0,SUM(MARKS!V12,MARKS!BB12),"")</f>
        <v>0</v>
      </c>
      <c r="M20" s="177">
        <f>IF(A20&gt;0,SUM(MARKS!AD12,MARKS!BJ12),"")</f>
        <v>44</v>
      </c>
      <c r="N20" s="177">
        <f t="shared" si="0"/>
        <v>46</v>
      </c>
      <c r="O20" s="177" t="str">
        <f t="shared" si="1"/>
        <v>C</v>
      </c>
      <c r="P20" s="177">
        <f>IF(A20&gt;0,SUM(PASHEET!AM12,PASHEET!AU12),"")</f>
        <v>2</v>
      </c>
      <c r="Q20" s="177">
        <f>IF(A20&gt;0,SUM(MARKS!G12,MARKS!AM12),"")</f>
        <v>0</v>
      </c>
      <c r="R20" s="177">
        <f>IF(A20&gt;0,SUM(MARKS!O12,MARKS!AU12),"")</f>
        <v>0</v>
      </c>
      <c r="S20" s="177">
        <f>IF(A20&gt;0,SUM(MARKS!W12,MARKS!BC12),"")</f>
        <v>0</v>
      </c>
      <c r="T20" s="177">
        <f>IF(A20&gt;0,SUM(MARKS!AE12,MARKS!BK12),"")</f>
        <v>21</v>
      </c>
      <c r="U20" s="177">
        <f t="shared" si="2"/>
        <v>23</v>
      </c>
      <c r="V20" s="177" t="str">
        <f t="shared" si="3"/>
        <v>E</v>
      </c>
      <c r="W20" s="177">
        <f>IF(A20&gt;0,SUM(PASHEET!AN12,PASHEET!AV12),"")</f>
        <v>1</v>
      </c>
      <c r="X20" s="177">
        <f>IF(A20&gt;0,SUM(MARKS!H12,MARKS!AN12),"")</f>
        <v>0</v>
      </c>
      <c r="Y20" s="177">
        <f>IF(A20&gt;0,SUM(MARKS!P12,MARKS!AV12),"")</f>
        <v>0</v>
      </c>
      <c r="Z20" s="177">
        <f>IF(A20&gt;0,SUM(MARKS!X12,MARKS!BD12),"")</f>
        <v>0</v>
      </c>
      <c r="AA20" s="177">
        <f>IF(A20&gt;0,SUM(MARKS!AF12,MARKS!BL12),"")</f>
        <v>22</v>
      </c>
      <c r="AB20" s="177">
        <f t="shared" si="4"/>
        <v>23</v>
      </c>
      <c r="AC20" s="177" t="str">
        <f t="shared" si="5"/>
        <v>E</v>
      </c>
      <c r="AD20" s="177">
        <f>IF(A20&gt;0,SUM(PASHEET!AO12,PASHEET!AW12),"")</f>
        <v>1</v>
      </c>
      <c r="AE20" s="177">
        <f>IF(A20&gt;0,SUM(MARKS!I12,MARKS!AO12),"")</f>
        <v>0</v>
      </c>
      <c r="AF20" s="177">
        <f>IF(A20&gt;0,SUM(MARKS!Q12,MARKS!AW12),"")</f>
        <v>0</v>
      </c>
      <c r="AG20" s="177">
        <f>IF(A20&gt;0,SUM(MARKS!Y12,MARKS!BE12),"")</f>
        <v>0</v>
      </c>
      <c r="AH20" s="177">
        <f>IF(A20&gt;0,SUM(MARKS!AG12,MARKS!BM12),"")</f>
        <v>23</v>
      </c>
      <c r="AI20" s="177">
        <f t="shared" si="6"/>
        <v>24</v>
      </c>
      <c r="AJ20" s="177" t="str">
        <f t="shared" si="7"/>
        <v>E</v>
      </c>
      <c r="AK20" s="177">
        <f>IF(A20&gt;0,SUM(PASHEET!AP12,PASHEET!AX12),"")</f>
        <v>0</v>
      </c>
      <c r="AL20" s="177">
        <f>IF(A20&gt;0,SUM(MARKS!J12,MARKS!AP12),"")</f>
        <v>0</v>
      </c>
      <c r="AM20" s="177">
        <f>IF(A20&gt;0,SUM(MARKS!R12,MARKS!AX12),"")</f>
        <v>0</v>
      </c>
      <c r="AN20" s="177">
        <f>IF(A20&gt;0,SUM(MARKS!Z12,MARKS!BF12),"")</f>
        <v>0</v>
      </c>
      <c r="AO20" s="177">
        <f>IF(A20&gt;0,SUM(MARKS!AH12,MARKS!BN12),"")</f>
        <v>23</v>
      </c>
      <c r="AP20" s="177">
        <f t="shared" si="8"/>
        <v>23</v>
      </c>
      <c r="AQ20" s="177" t="str">
        <f t="shared" si="9"/>
        <v>E</v>
      </c>
      <c r="AR20" s="177">
        <f>IF(A20&gt;0,SUM(PASHEET!AQ12,PASHEET!AY12),"")</f>
        <v>2</v>
      </c>
      <c r="AS20" s="177">
        <f>IF(A20&gt;0,SUM(MARKS!K12,MARKS!AQ12),"")</f>
        <v>0</v>
      </c>
      <c r="AT20" s="177">
        <f>IF(A20&gt;0,SUM(MARKS!S12,MARKS!AY12),"")</f>
        <v>0</v>
      </c>
      <c r="AU20" s="177">
        <f>IF(A20&gt;0,SUM(MARKS!AA12,MARKS!BG12),"")</f>
        <v>0</v>
      </c>
      <c r="AV20" s="177">
        <f>IF(A20&gt;0,SUM(MARKS!AI12,MARKS!BO12),"")</f>
        <v>18</v>
      </c>
      <c r="AW20" s="177">
        <f t="shared" si="10"/>
        <v>20</v>
      </c>
      <c r="AX20" s="177" t="str">
        <f t="shared" si="11"/>
        <v>E</v>
      </c>
      <c r="AY20" s="47">
        <f t="shared" si="12"/>
        <v>159</v>
      </c>
      <c r="AZ20" s="70">
        <f t="shared" si="13"/>
        <v>26.5</v>
      </c>
      <c r="BA20" s="177" t="str">
        <f t="shared" si="14"/>
        <v>E</v>
      </c>
      <c r="BB20" s="47">
        <f>IF(A20&gt;0,FLN!I12,"")</f>
        <v>2</v>
      </c>
      <c r="BC20" s="47">
        <f>IF(A20&gt;0,FLN!J12,"")</f>
        <v>2</v>
      </c>
      <c r="BD20" s="47">
        <f>IF(A20&gt;0,FLN!K12,"")</f>
        <v>3</v>
      </c>
      <c r="BE20" s="47" t="str">
        <f t="shared" si="15"/>
        <v>PROMOTED</v>
      </c>
      <c r="BF20" s="130">
        <f>IF(AY20="","",IFERROR(RANK(AY20,$AY$12:$AY$111,0)+COUNTIFS($AY$12:AY20,AY20)-1,0))</f>
        <v>12</v>
      </c>
      <c r="BG20" s="130">
        <f t="shared" si="16"/>
        <v>159</v>
      </c>
    </row>
    <row r="21" s="98" customFormat="1" ht="27" customHeight="1" spans="1:59">
      <c r="A21" s="47">
        <f>IF(A20=0,0,IF(A20&lt;ENTRY!$D$24,A20+1,0))</f>
        <v>10</v>
      </c>
      <c r="B21" s="47">
        <f>IF(A21&gt;0,STUDENT!F11,"")</f>
        <v>14774</v>
      </c>
      <c r="C21" s="176" t="str">
        <f>IF(A21&gt;0,UPPER(STUDENT!E11),"")</f>
        <v>PIYUSH KUMAR</v>
      </c>
      <c r="D21" s="176" t="str">
        <f>IF(A21&gt;0,UPPER(STUDENT!H11),"")</f>
        <v>MUNNA LAL</v>
      </c>
      <c r="E21" s="47" t="str">
        <f>IF(A21&gt;0,UPPER(STUDENT!BP11),"")</f>
        <v/>
      </c>
      <c r="F21" s="47" t="str">
        <f>IF(A21&gt;0,UPPER(STUDENT!BO11),"")</f>
        <v>FALSE</v>
      </c>
      <c r="G21" s="47" t="str">
        <f>IF(A21&gt;0,UPPER(STUDENT!Q11),"")</f>
        <v/>
      </c>
      <c r="H21" s="69" t="e">
        <f>IF(A21&gt;0,PASHEET!CI13/PASHEET!CJ13*100,"")</f>
        <v>#DIV/0!</v>
      </c>
      <c r="I21" s="177">
        <f>IF(A21&gt;0,SUM(PASHEET!AL13,PASHEET!AT13),"")</f>
        <v>2</v>
      </c>
      <c r="J21" s="177">
        <f>IF(A21&gt;0,SUM(MARKS!F13,MARKS!AL13),"")</f>
        <v>0</v>
      </c>
      <c r="K21" s="177">
        <f>IF(A21&gt;0,SUM(MARKS!N13,MARKS!AT13),"")</f>
        <v>0</v>
      </c>
      <c r="L21" s="177">
        <f>IF(A21&gt;0,SUM(MARKS!V13,MARKS!BB13),"")</f>
        <v>0</v>
      </c>
      <c r="M21" s="177">
        <f>IF(A21&gt;0,SUM(MARKS!AD13,MARKS!BJ13),"")</f>
        <v>44</v>
      </c>
      <c r="N21" s="177">
        <f t="shared" si="0"/>
        <v>46</v>
      </c>
      <c r="O21" s="177" t="str">
        <f t="shared" si="1"/>
        <v>C</v>
      </c>
      <c r="P21" s="177">
        <f>IF(A21&gt;0,SUM(PASHEET!AM13,PASHEET!AU13),"")</f>
        <v>1</v>
      </c>
      <c r="Q21" s="177">
        <f>IF(A21&gt;0,SUM(MARKS!G13,MARKS!AM13),"")</f>
        <v>0</v>
      </c>
      <c r="R21" s="177">
        <f>IF(A21&gt;0,SUM(MARKS!O13,MARKS!AU13),"")</f>
        <v>0</v>
      </c>
      <c r="S21" s="177">
        <f>IF(A21&gt;0,SUM(MARKS!W13,MARKS!BC13),"")</f>
        <v>0</v>
      </c>
      <c r="T21" s="177">
        <f>IF(A21&gt;0,SUM(MARKS!AE13,MARKS!BK13),"")</f>
        <v>22</v>
      </c>
      <c r="U21" s="177">
        <f t="shared" si="2"/>
        <v>23</v>
      </c>
      <c r="V21" s="177" t="str">
        <f t="shared" si="3"/>
        <v>E</v>
      </c>
      <c r="W21" s="177">
        <f>IF(A21&gt;0,SUM(PASHEET!AN13,PASHEET!AV13),"")</f>
        <v>2</v>
      </c>
      <c r="X21" s="177">
        <f>IF(A21&gt;0,SUM(MARKS!H13,MARKS!AN13),"")</f>
        <v>0</v>
      </c>
      <c r="Y21" s="177">
        <f>IF(A21&gt;0,SUM(MARKS!P13,MARKS!AV13),"")</f>
        <v>0</v>
      </c>
      <c r="Z21" s="177">
        <f>IF(A21&gt;0,SUM(MARKS!X13,MARKS!BD13),"")</f>
        <v>0</v>
      </c>
      <c r="AA21" s="177">
        <f>IF(A21&gt;0,SUM(MARKS!AF13,MARKS!BL13),"")</f>
        <v>22</v>
      </c>
      <c r="AB21" s="177">
        <f t="shared" si="4"/>
        <v>24</v>
      </c>
      <c r="AC21" s="177" t="str">
        <f t="shared" si="5"/>
        <v>E</v>
      </c>
      <c r="AD21" s="177">
        <f>IF(A21&gt;0,SUM(PASHEET!AO13,PASHEET!AW13),"")</f>
        <v>2</v>
      </c>
      <c r="AE21" s="177">
        <f>IF(A21&gt;0,SUM(MARKS!I13,MARKS!AO13),"")</f>
        <v>0</v>
      </c>
      <c r="AF21" s="177">
        <f>IF(A21&gt;0,SUM(MARKS!Q13,MARKS!AW13),"")</f>
        <v>0</v>
      </c>
      <c r="AG21" s="177">
        <f>IF(A21&gt;0,SUM(MARKS!Y13,MARKS!BE13),"")</f>
        <v>0</v>
      </c>
      <c r="AH21" s="177">
        <f>IF(A21&gt;0,SUM(MARKS!AG13,MARKS!BM13),"")</f>
        <v>21</v>
      </c>
      <c r="AI21" s="177">
        <f t="shared" si="6"/>
        <v>23</v>
      </c>
      <c r="AJ21" s="177" t="str">
        <f t="shared" si="7"/>
        <v>E</v>
      </c>
      <c r="AK21" s="177">
        <f>IF(A21&gt;0,SUM(PASHEET!AP13,PASHEET!AX13),"")</f>
        <v>0</v>
      </c>
      <c r="AL21" s="177">
        <f>IF(A21&gt;0,SUM(MARKS!J13,MARKS!AP13),"")</f>
        <v>0</v>
      </c>
      <c r="AM21" s="177">
        <f>IF(A21&gt;0,SUM(MARKS!R13,MARKS!AX13),"")</f>
        <v>0</v>
      </c>
      <c r="AN21" s="177">
        <f>IF(A21&gt;0,SUM(MARKS!Z13,MARKS!BF13),"")</f>
        <v>0</v>
      </c>
      <c r="AO21" s="177">
        <f>IF(A21&gt;0,SUM(MARKS!AH13,MARKS!BN13),"")</f>
        <v>21</v>
      </c>
      <c r="AP21" s="177">
        <f t="shared" si="8"/>
        <v>21</v>
      </c>
      <c r="AQ21" s="177" t="str">
        <f t="shared" si="9"/>
        <v>E</v>
      </c>
      <c r="AR21" s="177">
        <f>IF(A21&gt;0,SUM(PASHEET!AQ13,PASHEET!AY13),"")</f>
        <v>2</v>
      </c>
      <c r="AS21" s="177">
        <f>IF(A21&gt;0,SUM(MARKS!K13,MARKS!AQ13),"")</f>
        <v>0</v>
      </c>
      <c r="AT21" s="177">
        <f>IF(A21&gt;0,SUM(MARKS!S13,MARKS!AY13),"")</f>
        <v>0</v>
      </c>
      <c r="AU21" s="177">
        <f>IF(A21&gt;0,SUM(MARKS!AA13,MARKS!BG13),"")</f>
        <v>0</v>
      </c>
      <c r="AV21" s="177">
        <f>IF(A21&gt;0,SUM(MARKS!AI13,MARKS!BO13),"")</f>
        <v>20</v>
      </c>
      <c r="AW21" s="177">
        <f t="shared" si="10"/>
        <v>22</v>
      </c>
      <c r="AX21" s="177" t="str">
        <f t="shared" si="11"/>
        <v>E</v>
      </c>
      <c r="AY21" s="47">
        <f t="shared" si="12"/>
        <v>159</v>
      </c>
      <c r="AZ21" s="70">
        <f t="shared" si="13"/>
        <v>26.5</v>
      </c>
      <c r="BA21" s="177" t="str">
        <f t="shared" si="14"/>
        <v>E</v>
      </c>
      <c r="BB21" s="47">
        <f>IF(A21&gt;0,FLN!I13,"")</f>
        <v>2</v>
      </c>
      <c r="BC21" s="47">
        <f>IF(A21&gt;0,FLN!J13,"")</f>
        <v>2</v>
      </c>
      <c r="BD21" s="47">
        <f>IF(A21&gt;0,FLN!K13,"")</f>
        <v>3</v>
      </c>
      <c r="BE21" s="47" t="str">
        <f t="shared" si="15"/>
        <v>PROMOTED</v>
      </c>
      <c r="BF21" s="130">
        <f>IF(AY21="","",IFERROR(RANK(AY21,$AY$12:$AY$111,0)+COUNTIFS($AY$12:AY21,AY21)-1,0))</f>
        <v>13</v>
      </c>
      <c r="BG21" s="130">
        <f t="shared" si="16"/>
        <v>159</v>
      </c>
    </row>
    <row r="22" s="98" customFormat="1" ht="27" customHeight="1" spans="1:59">
      <c r="A22" s="47">
        <f>IF(A21=0,0,IF(A21&lt;ENTRY!$D$24,A21+1,0))</f>
        <v>11</v>
      </c>
      <c r="B22" s="47">
        <f>IF(A22&gt;0,STUDENT!F12,"")</f>
        <v>14775</v>
      </c>
      <c r="C22" s="176" t="str">
        <f>IF(A22&gt;0,UPPER(STUDENT!E12),"")</f>
        <v>MD MAHTAB</v>
      </c>
      <c r="D22" s="176" t="str">
        <f>IF(A22&gt;0,UPPER(STUDENT!H12),"")</f>
        <v>MD ASRAF</v>
      </c>
      <c r="E22" s="47" t="str">
        <f>IF(A22&gt;0,UPPER(STUDENT!BP12),"")</f>
        <v/>
      </c>
      <c r="F22" s="47" t="str">
        <f>IF(A22&gt;0,UPPER(STUDENT!BO12),"")</f>
        <v>FALSE</v>
      </c>
      <c r="G22" s="47" t="str">
        <f>IF(A22&gt;0,UPPER(STUDENT!Q12),"")</f>
        <v/>
      </c>
      <c r="H22" s="69" t="e">
        <f>IF(A22&gt;0,PASHEET!CI14/PASHEET!CJ14*100,"")</f>
        <v>#DIV/0!</v>
      </c>
      <c r="I22" s="177">
        <f>IF(A22&gt;0,SUM(PASHEET!AL14,PASHEET!AT14),"")</f>
        <v>0</v>
      </c>
      <c r="J22" s="177">
        <f>IF(A22&gt;0,SUM(MARKS!F14,MARKS!AL14),"")</f>
        <v>0</v>
      </c>
      <c r="K22" s="177">
        <f>IF(A22&gt;0,SUM(MARKS!N14,MARKS!AT14),"")</f>
        <v>0</v>
      </c>
      <c r="L22" s="177">
        <f>IF(A22&gt;0,SUM(MARKS!V14,MARKS!BB14),"")</f>
        <v>0</v>
      </c>
      <c r="M22" s="177">
        <f>IF(A22&gt;0,SUM(MARKS!AD14,MARKS!BJ14),"")</f>
        <v>35</v>
      </c>
      <c r="N22" s="177">
        <f t="shared" si="0"/>
        <v>35</v>
      </c>
      <c r="O22" s="177" t="str">
        <f t="shared" si="1"/>
        <v>D</v>
      </c>
      <c r="P22" s="177">
        <f>IF(A22&gt;0,SUM(PASHEET!AM14,PASHEET!AU14),"")</f>
        <v>0</v>
      </c>
      <c r="Q22" s="177">
        <f>IF(A22&gt;0,SUM(MARKS!G14,MARKS!AM14),"")</f>
        <v>0</v>
      </c>
      <c r="R22" s="177">
        <f>IF(A22&gt;0,SUM(MARKS!O14,MARKS!AU14),"")</f>
        <v>0</v>
      </c>
      <c r="S22" s="177">
        <f>IF(A22&gt;0,SUM(MARKS!W14,MARKS!BC14),"")</f>
        <v>0</v>
      </c>
      <c r="T22" s="177">
        <f>IF(A22&gt;0,SUM(MARKS!AE14,MARKS!BK14),"")</f>
        <v>12</v>
      </c>
      <c r="U22" s="177">
        <f t="shared" si="2"/>
        <v>12</v>
      </c>
      <c r="V22" s="177" t="str">
        <f t="shared" si="3"/>
        <v>E</v>
      </c>
      <c r="W22" s="177">
        <f>IF(A22&gt;0,SUM(PASHEET!AN14,PASHEET!AV14),"")</f>
        <v>0</v>
      </c>
      <c r="X22" s="177">
        <f>IF(A22&gt;0,SUM(MARKS!H14,MARKS!AN14),"")</f>
        <v>0</v>
      </c>
      <c r="Y22" s="177">
        <f>IF(A22&gt;0,SUM(MARKS!P14,MARKS!AV14),"")</f>
        <v>0</v>
      </c>
      <c r="Z22" s="177">
        <f>IF(A22&gt;0,SUM(MARKS!X14,MARKS!BD14),"")</f>
        <v>0</v>
      </c>
      <c r="AA22" s="177">
        <f>IF(A22&gt;0,SUM(MARKS!AF14,MARKS!BL14),"")</f>
        <v>17</v>
      </c>
      <c r="AB22" s="177">
        <f t="shared" si="4"/>
        <v>17</v>
      </c>
      <c r="AC22" s="177" t="str">
        <f t="shared" si="5"/>
        <v>E</v>
      </c>
      <c r="AD22" s="177">
        <f>IF(A22&gt;0,SUM(PASHEET!AO14,PASHEET!AW14),"")</f>
        <v>0</v>
      </c>
      <c r="AE22" s="177">
        <f>IF(A22&gt;0,SUM(MARKS!I14,MARKS!AO14),"")</f>
        <v>0</v>
      </c>
      <c r="AF22" s="177">
        <f>IF(A22&gt;0,SUM(MARKS!Q14,MARKS!AW14),"")</f>
        <v>0</v>
      </c>
      <c r="AG22" s="177">
        <f>IF(A22&gt;0,SUM(MARKS!Y14,MARKS!BE14),"")</f>
        <v>0</v>
      </c>
      <c r="AH22" s="177">
        <f>IF(A22&gt;0,SUM(MARKS!AG14,MARKS!BM14),"")</f>
        <v>18</v>
      </c>
      <c r="AI22" s="177">
        <f t="shared" si="6"/>
        <v>18</v>
      </c>
      <c r="AJ22" s="177" t="str">
        <f t="shared" si="7"/>
        <v>E</v>
      </c>
      <c r="AK22" s="177">
        <f>IF(A22&gt;0,SUM(PASHEET!AP14,PASHEET!AX14),"")</f>
        <v>0</v>
      </c>
      <c r="AL22" s="177">
        <f>IF(A22&gt;0,SUM(MARKS!J14,MARKS!AP14),"")</f>
        <v>0</v>
      </c>
      <c r="AM22" s="177">
        <f>IF(A22&gt;0,SUM(MARKS!R14,MARKS!AX14),"")</f>
        <v>0</v>
      </c>
      <c r="AN22" s="177">
        <f>IF(A22&gt;0,SUM(MARKS!Z14,MARKS!BF14),"")</f>
        <v>0</v>
      </c>
      <c r="AO22" s="177">
        <f>IF(A22&gt;0,SUM(MARKS!AH14,MARKS!BN14),"")</f>
        <v>18</v>
      </c>
      <c r="AP22" s="177">
        <f t="shared" si="8"/>
        <v>18</v>
      </c>
      <c r="AQ22" s="177" t="str">
        <f t="shared" si="9"/>
        <v>E</v>
      </c>
      <c r="AR22" s="177">
        <f>IF(A22&gt;0,SUM(PASHEET!AQ14,PASHEET!AY14),"")</f>
        <v>0</v>
      </c>
      <c r="AS22" s="177">
        <f>IF(A22&gt;0,SUM(MARKS!K14,MARKS!AQ14),"")</f>
        <v>0</v>
      </c>
      <c r="AT22" s="177">
        <f>IF(A22&gt;0,SUM(MARKS!S14,MARKS!AY14),"")</f>
        <v>0</v>
      </c>
      <c r="AU22" s="177">
        <f>IF(A22&gt;0,SUM(MARKS!AA14,MARKS!BG14),"")</f>
        <v>0</v>
      </c>
      <c r="AV22" s="177">
        <f>IF(A22&gt;0,SUM(MARKS!AI14,MARKS!BO14),"")</f>
        <v>20</v>
      </c>
      <c r="AW22" s="177">
        <f t="shared" si="10"/>
        <v>20</v>
      </c>
      <c r="AX22" s="177" t="str">
        <f t="shared" si="11"/>
        <v>E</v>
      </c>
      <c r="AY22" s="47">
        <f t="shared" si="12"/>
        <v>120</v>
      </c>
      <c r="AZ22" s="70">
        <f t="shared" si="13"/>
        <v>20</v>
      </c>
      <c r="BA22" s="177" t="str">
        <f t="shared" si="14"/>
        <v>E</v>
      </c>
      <c r="BB22" s="47" t="str">
        <f>IF(A22&gt;0,FLN!I14,"")</f>
        <v/>
      </c>
      <c r="BC22" s="47" t="str">
        <f>IF(A22&gt;0,FLN!J14,"")</f>
        <v/>
      </c>
      <c r="BD22" s="47" t="str">
        <f>IF(A22&gt;0,FLN!K14,"")</f>
        <v/>
      </c>
      <c r="BE22" s="47" t="str">
        <f t="shared" si="15"/>
        <v>PROMOTED</v>
      </c>
      <c r="BF22" s="130">
        <f>IF(AY22="","",IFERROR(RANK(AY22,$AY$12:$AY$111,0)+COUNTIFS($AY$12:AY22,AY22)-1,0))</f>
        <v>23</v>
      </c>
      <c r="BG22" s="130">
        <f t="shared" si="16"/>
        <v>120</v>
      </c>
    </row>
    <row r="23" s="98" customFormat="1" ht="27" customHeight="1" spans="1:59">
      <c r="A23" s="47">
        <f>IF(A22=0,0,IF(A22&lt;ENTRY!$D$24,A22+1,0))</f>
        <v>12</v>
      </c>
      <c r="B23" s="47">
        <f>IF(A23&gt;0,STUDENT!F13,"")</f>
        <v>14734</v>
      </c>
      <c r="C23" s="176" t="str">
        <f>IF(A23&gt;0,UPPER(STUDENT!E13),"")</f>
        <v>PRADEEP</v>
      </c>
      <c r="D23" s="176" t="str">
        <f>IF(A23&gt;0,UPPER(STUDENT!H13),"")</f>
        <v>RAM BHAWAN</v>
      </c>
      <c r="E23" s="47" t="str">
        <f>IF(A23&gt;0,UPPER(STUDENT!BP13),"")</f>
        <v/>
      </c>
      <c r="F23" s="47" t="str">
        <f>IF(A23&gt;0,UPPER(STUDENT!BO13),"")</f>
        <v>FALSE</v>
      </c>
      <c r="G23" s="47" t="str">
        <f>IF(A23&gt;0,UPPER(STUDENT!Q13),"")</f>
        <v/>
      </c>
      <c r="H23" s="69" t="e">
        <f>IF(A23&gt;0,PASHEET!CI15/PASHEET!CJ15*100,"")</f>
        <v>#DIV/0!</v>
      </c>
      <c r="I23" s="177">
        <f>IF(A23&gt;0,SUM(PASHEET!AL15,PASHEET!AT15),"")</f>
        <v>1</v>
      </c>
      <c r="J23" s="177">
        <f>IF(A23&gt;0,SUM(MARKS!F15,MARKS!AL15),"")</f>
        <v>0</v>
      </c>
      <c r="K23" s="177">
        <f>IF(A23&gt;0,SUM(MARKS!N15,MARKS!AT15),"")</f>
        <v>0</v>
      </c>
      <c r="L23" s="177">
        <f>IF(A23&gt;0,SUM(MARKS!V15,MARKS!BB15),"")</f>
        <v>0</v>
      </c>
      <c r="M23" s="177">
        <f>IF(A23&gt;0,SUM(MARKS!AD15,MARKS!BJ15),"")</f>
        <v>34</v>
      </c>
      <c r="N23" s="177">
        <f t="shared" si="0"/>
        <v>35</v>
      </c>
      <c r="O23" s="177" t="str">
        <f t="shared" si="1"/>
        <v>D</v>
      </c>
      <c r="P23" s="177">
        <f>IF(A23&gt;0,SUM(PASHEET!AM15,PASHEET!AU15),"")</f>
        <v>1</v>
      </c>
      <c r="Q23" s="177">
        <f>IF(A23&gt;0,SUM(MARKS!G15,MARKS!AM15),"")</f>
        <v>0</v>
      </c>
      <c r="R23" s="177">
        <f>IF(A23&gt;0,SUM(MARKS!O15,MARKS!AU15),"")</f>
        <v>0</v>
      </c>
      <c r="S23" s="177">
        <f>IF(A23&gt;0,SUM(MARKS!W15,MARKS!BC15),"")</f>
        <v>0</v>
      </c>
      <c r="T23" s="177">
        <f>IF(A23&gt;0,SUM(MARKS!AE15,MARKS!BK15),"")</f>
        <v>11</v>
      </c>
      <c r="U23" s="177">
        <f t="shared" si="2"/>
        <v>12</v>
      </c>
      <c r="V23" s="177" t="str">
        <f t="shared" si="3"/>
        <v>E</v>
      </c>
      <c r="W23" s="177">
        <f>IF(A23&gt;0,SUM(PASHEET!AN15,PASHEET!AV15),"")</f>
        <v>1</v>
      </c>
      <c r="X23" s="177">
        <f>IF(A23&gt;0,SUM(MARKS!H15,MARKS!AN15),"")</f>
        <v>0</v>
      </c>
      <c r="Y23" s="177">
        <f>IF(A23&gt;0,SUM(MARKS!P15,MARKS!AV15),"")</f>
        <v>0</v>
      </c>
      <c r="Z23" s="177">
        <f>IF(A23&gt;0,SUM(MARKS!X15,MARKS!BD15),"")</f>
        <v>0</v>
      </c>
      <c r="AA23" s="177">
        <f>IF(A23&gt;0,SUM(MARKS!AF15,MARKS!BL15),"")</f>
        <v>23</v>
      </c>
      <c r="AB23" s="177">
        <f t="shared" si="4"/>
        <v>24</v>
      </c>
      <c r="AC23" s="177" t="str">
        <f t="shared" si="5"/>
        <v>E</v>
      </c>
      <c r="AD23" s="177">
        <f>IF(A23&gt;0,SUM(PASHEET!AO15,PASHEET!AW15),"")</f>
        <v>1</v>
      </c>
      <c r="AE23" s="177">
        <f>IF(A23&gt;0,SUM(MARKS!I15,MARKS!AO15),"")</f>
        <v>0</v>
      </c>
      <c r="AF23" s="177">
        <f>IF(A23&gt;0,SUM(MARKS!Q15,MARKS!AW15),"")</f>
        <v>0</v>
      </c>
      <c r="AG23" s="177">
        <f>IF(A23&gt;0,SUM(MARKS!Y15,MARKS!BE15),"")</f>
        <v>0</v>
      </c>
      <c r="AH23" s="177">
        <f>IF(A23&gt;0,SUM(MARKS!AG15,MARKS!BM15),"")</f>
        <v>24</v>
      </c>
      <c r="AI23" s="177">
        <f t="shared" si="6"/>
        <v>25</v>
      </c>
      <c r="AJ23" s="177" t="str">
        <f t="shared" si="7"/>
        <v>E</v>
      </c>
      <c r="AK23" s="177">
        <f>IF(A23&gt;0,SUM(PASHEET!AP15,PASHEET!AX15),"")</f>
        <v>0</v>
      </c>
      <c r="AL23" s="177">
        <f>IF(A23&gt;0,SUM(MARKS!J15,MARKS!AP15),"")</f>
        <v>0</v>
      </c>
      <c r="AM23" s="177">
        <f>IF(A23&gt;0,SUM(MARKS!R15,MARKS!AX15),"")</f>
        <v>0</v>
      </c>
      <c r="AN23" s="177">
        <f>IF(A23&gt;0,SUM(MARKS!Z15,MARKS!BF15),"")</f>
        <v>0</v>
      </c>
      <c r="AO23" s="177">
        <f>IF(A23&gt;0,SUM(MARKS!AH15,MARKS!BN15),"")</f>
        <v>23</v>
      </c>
      <c r="AP23" s="177">
        <f t="shared" si="8"/>
        <v>23</v>
      </c>
      <c r="AQ23" s="177" t="str">
        <f t="shared" si="9"/>
        <v>E</v>
      </c>
      <c r="AR23" s="177">
        <f>IF(A23&gt;0,SUM(PASHEET!AQ15,PASHEET!AY15),"")</f>
        <v>2</v>
      </c>
      <c r="AS23" s="177">
        <f>IF(A23&gt;0,SUM(MARKS!K15,MARKS!AQ15),"")</f>
        <v>0</v>
      </c>
      <c r="AT23" s="177">
        <f>IF(A23&gt;0,SUM(MARKS!S15,MARKS!AY15),"")</f>
        <v>0</v>
      </c>
      <c r="AU23" s="177">
        <f>IF(A23&gt;0,SUM(MARKS!AA15,MARKS!BG15),"")</f>
        <v>0</v>
      </c>
      <c r="AV23" s="177">
        <f>IF(A23&gt;0,SUM(MARKS!AI15,MARKS!BO15),"")</f>
        <v>18</v>
      </c>
      <c r="AW23" s="177">
        <f t="shared" si="10"/>
        <v>20</v>
      </c>
      <c r="AX23" s="177" t="str">
        <f t="shared" si="11"/>
        <v>E</v>
      </c>
      <c r="AY23" s="47">
        <f t="shared" si="12"/>
        <v>139</v>
      </c>
      <c r="AZ23" s="70">
        <f t="shared" si="13"/>
        <v>23.1666666666667</v>
      </c>
      <c r="BA23" s="177" t="str">
        <f t="shared" si="14"/>
        <v>E</v>
      </c>
      <c r="BB23" s="47">
        <f>IF(A23&gt;0,FLN!I15,"")</f>
        <v>2</v>
      </c>
      <c r="BC23" s="47">
        <f>IF(A23&gt;0,FLN!J15,"")</f>
        <v>2</v>
      </c>
      <c r="BD23" s="47">
        <f>IF(A23&gt;0,FLN!K15,"")</f>
        <v>4</v>
      </c>
      <c r="BE23" s="47" t="str">
        <f t="shared" si="15"/>
        <v>PROMOTED</v>
      </c>
      <c r="BF23" s="130">
        <f>IF(AY23="","",IFERROR(RANK(AY23,$AY$12:$AY$111,0)+COUNTIFS($AY$12:AY23,AY23)-1,0))</f>
        <v>17</v>
      </c>
      <c r="BG23" s="130">
        <f t="shared" si="16"/>
        <v>139</v>
      </c>
    </row>
    <row r="24" s="98" customFormat="1" ht="27" customHeight="1" spans="1:59">
      <c r="A24" s="47">
        <f>IF(A23=0,0,IF(A23&lt;ENTRY!$D$24,A23+1,0))</f>
        <v>13</v>
      </c>
      <c r="B24" s="47">
        <f>IF(A24&gt;0,STUDENT!F14,"")</f>
        <v>14735</v>
      </c>
      <c r="C24" s="176" t="str">
        <f>IF(A24&gt;0,UPPER(STUDENT!E14),"")</f>
        <v>MOHD JISAN</v>
      </c>
      <c r="D24" s="176" t="str">
        <f>IF(A24&gt;0,UPPER(STUDENT!H14),"")</f>
        <v>MD ZAMEEL</v>
      </c>
      <c r="E24" s="47" t="str">
        <f>IF(A24&gt;0,UPPER(STUDENT!BP14),"")</f>
        <v/>
      </c>
      <c r="F24" s="47" t="str">
        <f>IF(A24&gt;0,UPPER(STUDENT!BO14),"")</f>
        <v>FALSE</v>
      </c>
      <c r="G24" s="47" t="str">
        <f>IF(A24&gt;0,UPPER(STUDENT!Q14),"")</f>
        <v/>
      </c>
      <c r="H24" s="69" t="e">
        <f>IF(A24&gt;0,PASHEET!CI16/PASHEET!CJ16*100,"")</f>
        <v>#DIV/0!</v>
      </c>
      <c r="I24" s="177">
        <f>IF(A24&gt;0,SUM(PASHEET!AL16,PASHEET!AT16),"")</f>
        <v>1</v>
      </c>
      <c r="J24" s="177">
        <f>IF(A24&gt;0,SUM(MARKS!F16,MARKS!AL16),"")</f>
        <v>0</v>
      </c>
      <c r="K24" s="177">
        <f>IF(A24&gt;0,SUM(MARKS!N16,MARKS!AT16),"")</f>
        <v>0</v>
      </c>
      <c r="L24" s="177">
        <f>IF(A24&gt;0,SUM(MARKS!V16,MARKS!BB16),"")</f>
        <v>0</v>
      </c>
      <c r="M24" s="177">
        <f>IF(A24&gt;0,SUM(MARKS!AD16,MARKS!BJ16),"")</f>
        <v>48</v>
      </c>
      <c r="N24" s="177">
        <f t="shared" si="0"/>
        <v>49</v>
      </c>
      <c r="O24" s="177" t="str">
        <f t="shared" si="1"/>
        <v>C</v>
      </c>
      <c r="P24" s="177">
        <f>IF(A24&gt;0,SUM(PASHEET!AM16,PASHEET!AU16),"")</f>
        <v>1</v>
      </c>
      <c r="Q24" s="177">
        <f>IF(A24&gt;0,SUM(MARKS!G16,MARKS!AM16),"")</f>
        <v>0</v>
      </c>
      <c r="R24" s="177">
        <f>IF(A24&gt;0,SUM(MARKS!O16,MARKS!AU16),"")</f>
        <v>0</v>
      </c>
      <c r="S24" s="177">
        <f>IF(A24&gt;0,SUM(MARKS!W16,MARKS!BC16),"")</f>
        <v>0</v>
      </c>
      <c r="T24" s="177">
        <f>IF(A24&gt;0,SUM(MARKS!AE16,MARKS!BK16),"")</f>
        <v>17</v>
      </c>
      <c r="U24" s="177">
        <f t="shared" si="2"/>
        <v>18</v>
      </c>
      <c r="V24" s="177" t="str">
        <f t="shared" si="3"/>
        <v>E</v>
      </c>
      <c r="W24" s="177">
        <f>IF(A24&gt;0,SUM(PASHEET!AN16,PASHEET!AV16),"")</f>
        <v>1</v>
      </c>
      <c r="X24" s="177">
        <f>IF(A24&gt;0,SUM(MARKS!H16,MARKS!AN16),"")</f>
        <v>0</v>
      </c>
      <c r="Y24" s="177">
        <f>IF(A24&gt;0,SUM(MARKS!P16,MARKS!AV16),"")</f>
        <v>0</v>
      </c>
      <c r="Z24" s="177">
        <f>IF(A24&gt;0,SUM(MARKS!X16,MARKS!BD16),"")</f>
        <v>0</v>
      </c>
      <c r="AA24" s="177">
        <f>IF(A24&gt;0,SUM(MARKS!AF16,MARKS!BL16),"")</f>
        <v>15</v>
      </c>
      <c r="AB24" s="177">
        <f t="shared" si="4"/>
        <v>16</v>
      </c>
      <c r="AC24" s="177" t="str">
        <f t="shared" si="5"/>
        <v>E</v>
      </c>
      <c r="AD24" s="177">
        <f>IF(A24&gt;0,SUM(PASHEET!AO16,PASHEET!AW16),"")</f>
        <v>2</v>
      </c>
      <c r="AE24" s="177">
        <f>IF(A24&gt;0,SUM(MARKS!I16,MARKS!AO16),"")</f>
        <v>0</v>
      </c>
      <c r="AF24" s="177">
        <f>IF(A24&gt;0,SUM(MARKS!Q16,MARKS!AW16),"")</f>
        <v>0</v>
      </c>
      <c r="AG24" s="177">
        <f>IF(A24&gt;0,SUM(MARKS!Y16,MARKS!BE16),"")</f>
        <v>0</v>
      </c>
      <c r="AH24" s="177">
        <f>IF(A24&gt;0,SUM(MARKS!AG16,MARKS!BM16),"")</f>
        <v>15</v>
      </c>
      <c r="AI24" s="177">
        <f t="shared" si="6"/>
        <v>17</v>
      </c>
      <c r="AJ24" s="177" t="str">
        <f t="shared" si="7"/>
        <v>E</v>
      </c>
      <c r="AK24" s="177">
        <f>IF(A24&gt;0,SUM(PASHEET!AP16,PASHEET!AX16),"")</f>
        <v>0</v>
      </c>
      <c r="AL24" s="177">
        <f>IF(A24&gt;0,SUM(MARKS!J16,MARKS!AP16),"")</f>
        <v>0</v>
      </c>
      <c r="AM24" s="177">
        <f>IF(A24&gt;0,SUM(MARKS!R16,MARKS!AX16),"")</f>
        <v>0</v>
      </c>
      <c r="AN24" s="177">
        <f>IF(A24&gt;0,SUM(MARKS!Z16,MARKS!BF16),"")</f>
        <v>0</v>
      </c>
      <c r="AO24" s="177">
        <f>IF(A24&gt;0,SUM(MARKS!AH16,MARKS!BN16),"")</f>
        <v>15</v>
      </c>
      <c r="AP24" s="177">
        <f t="shared" si="8"/>
        <v>15</v>
      </c>
      <c r="AQ24" s="177" t="str">
        <f t="shared" si="9"/>
        <v>E</v>
      </c>
      <c r="AR24" s="177">
        <f>IF(A24&gt;0,SUM(PASHEET!AQ16,PASHEET!AY16),"")</f>
        <v>1</v>
      </c>
      <c r="AS24" s="177">
        <f>IF(A24&gt;0,SUM(MARKS!K16,MARKS!AQ16),"")</f>
        <v>0</v>
      </c>
      <c r="AT24" s="177">
        <f>IF(A24&gt;0,SUM(MARKS!S16,MARKS!AY16),"")</f>
        <v>0</v>
      </c>
      <c r="AU24" s="177">
        <f>IF(A24&gt;0,SUM(MARKS!AA16,MARKS!BG16),"")</f>
        <v>0</v>
      </c>
      <c r="AV24" s="177">
        <f>IF(A24&gt;0,SUM(MARKS!AI16,MARKS!BO16),"")</f>
        <v>28</v>
      </c>
      <c r="AW24" s="177">
        <f t="shared" si="10"/>
        <v>29</v>
      </c>
      <c r="AX24" s="177" t="str">
        <f t="shared" si="11"/>
        <v>E</v>
      </c>
      <c r="AY24" s="47">
        <f t="shared" si="12"/>
        <v>144</v>
      </c>
      <c r="AZ24" s="70">
        <f t="shared" si="13"/>
        <v>24</v>
      </c>
      <c r="BA24" s="177" t="str">
        <f t="shared" si="14"/>
        <v>E</v>
      </c>
      <c r="BB24" s="47">
        <f>IF(A24&gt;0,FLN!I16,"")</f>
        <v>2</v>
      </c>
      <c r="BC24" s="47">
        <f>IF(A24&gt;0,FLN!J16,"")</f>
        <v>2</v>
      </c>
      <c r="BD24" s="47">
        <f>IF(A24&gt;0,FLN!K16,"")</f>
        <v>3</v>
      </c>
      <c r="BE24" s="47" t="str">
        <f t="shared" si="15"/>
        <v>PROMOTED</v>
      </c>
      <c r="BF24" s="130">
        <f>IF(AY24="","",IFERROR(RANK(AY24,$AY$12:$AY$111,0)+COUNTIFS($AY$12:AY24,AY24)-1,0))</f>
        <v>15</v>
      </c>
      <c r="BG24" s="130">
        <f t="shared" si="16"/>
        <v>144</v>
      </c>
    </row>
    <row r="25" s="98" customFormat="1" ht="27" customHeight="1" spans="1:59">
      <c r="A25" s="47">
        <f>IF(A24=0,0,IF(A24&lt;ENTRY!$D$24,A24+1,0))</f>
        <v>14</v>
      </c>
      <c r="B25" s="47">
        <f>IF(A25&gt;0,STUDENT!F15,"")</f>
        <v>14745</v>
      </c>
      <c r="C25" s="176" t="str">
        <f>IF(A25&gt;0,UPPER(STUDENT!E15),"")</f>
        <v>KARN KUMAR</v>
      </c>
      <c r="D25" s="176" t="str">
        <f>IF(A25&gt;0,UPPER(STUDENT!H15),"")</f>
        <v>MUKESH RAY</v>
      </c>
      <c r="E25" s="47" t="str">
        <f>IF(A25&gt;0,UPPER(STUDENT!BP15),"")</f>
        <v/>
      </c>
      <c r="F25" s="47" t="str">
        <f>IF(A25&gt;0,UPPER(STUDENT!BO15),"")</f>
        <v>FALSE</v>
      </c>
      <c r="G25" s="47" t="str">
        <f>IF(A25&gt;0,UPPER(STUDENT!Q15),"")</f>
        <v/>
      </c>
      <c r="H25" s="69" t="e">
        <f>IF(A25&gt;0,PASHEET!CI17/PASHEET!CJ17*100,"")</f>
        <v>#DIV/0!</v>
      </c>
      <c r="I25" s="177">
        <f>IF(A25&gt;0,SUM(PASHEET!AL17,PASHEET!AT17),"")</f>
        <v>1</v>
      </c>
      <c r="J25" s="177">
        <f>IF(A25&gt;0,SUM(MARKS!F17,MARKS!AL17),"")</f>
        <v>0</v>
      </c>
      <c r="K25" s="177">
        <f>IF(A25&gt;0,SUM(MARKS!N17,MARKS!AT17),"")</f>
        <v>0</v>
      </c>
      <c r="L25" s="177">
        <f>IF(A25&gt;0,SUM(MARKS!V17,MARKS!BB17),"")</f>
        <v>0</v>
      </c>
      <c r="M25" s="177">
        <f>IF(A25&gt;0,SUM(MARKS!AD17,MARKS!BJ17),"")</f>
        <v>31</v>
      </c>
      <c r="N25" s="177">
        <f t="shared" si="0"/>
        <v>32</v>
      </c>
      <c r="O25" s="177" t="str">
        <f t="shared" si="1"/>
        <v>E</v>
      </c>
      <c r="P25" s="177">
        <f>IF(A25&gt;0,SUM(PASHEET!AM17,PASHEET!AU17),"")</f>
        <v>1</v>
      </c>
      <c r="Q25" s="177">
        <f>IF(A25&gt;0,SUM(MARKS!G17,MARKS!AM17),"")</f>
        <v>0</v>
      </c>
      <c r="R25" s="177">
        <f>IF(A25&gt;0,SUM(MARKS!O17,MARKS!AU17),"")</f>
        <v>0</v>
      </c>
      <c r="S25" s="177">
        <f>IF(A25&gt;0,SUM(MARKS!W17,MARKS!BC17),"")</f>
        <v>0</v>
      </c>
      <c r="T25" s="177">
        <f>IF(A25&gt;0,SUM(MARKS!AE17,MARKS!BK17),"")</f>
        <v>15</v>
      </c>
      <c r="U25" s="177">
        <f t="shared" si="2"/>
        <v>16</v>
      </c>
      <c r="V25" s="177" t="str">
        <f t="shared" si="3"/>
        <v>E</v>
      </c>
      <c r="W25" s="177">
        <f>IF(A25&gt;0,SUM(PASHEET!AN17,PASHEET!AV17),"")</f>
        <v>1</v>
      </c>
      <c r="X25" s="177">
        <f>IF(A25&gt;0,SUM(MARKS!H17,MARKS!AN17),"")</f>
        <v>0</v>
      </c>
      <c r="Y25" s="177">
        <f>IF(A25&gt;0,SUM(MARKS!P17,MARKS!AV17),"")</f>
        <v>0</v>
      </c>
      <c r="Z25" s="177">
        <f>IF(A25&gt;0,SUM(MARKS!X17,MARKS!BD17),"")</f>
        <v>0</v>
      </c>
      <c r="AA25" s="177">
        <f>IF(A25&gt;0,SUM(MARKS!AF17,MARKS!BL17),"")</f>
        <v>15</v>
      </c>
      <c r="AB25" s="177">
        <f t="shared" si="4"/>
        <v>16</v>
      </c>
      <c r="AC25" s="177" t="str">
        <f t="shared" si="5"/>
        <v>E</v>
      </c>
      <c r="AD25" s="177">
        <f>IF(A25&gt;0,SUM(PASHEET!AO17,PASHEET!AW17),"")</f>
        <v>1</v>
      </c>
      <c r="AE25" s="177">
        <f>IF(A25&gt;0,SUM(MARKS!I17,MARKS!AO17),"")</f>
        <v>0</v>
      </c>
      <c r="AF25" s="177">
        <f>IF(A25&gt;0,SUM(MARKS!Q17,MARKS!AW17),"")</f>
        <v>0</v>
      </c>
      <c r="AG25" s="177">
        <f>IF(A25&gt;0,SUM(MARKS!Y17,MARKS!BE17),"")</f>
        <v>0</v>
      </c>
      <c r="AH25" s="177">
        <f>IF(A25&gt;0,SUM(MARKS!AG17,MARKS!BM17),"")</f>
        <v>20</v>
      </c>
      <c r="AI25" s="177">
        <f t="shared" si="6"/>
        <v>21</v>
      </c>
      <c r="AJ25" s="177" t="str">
        <f t="shared" si="7"/>
        <v>E</v>
      </c>
      <c r="AK25" s="177">
        <f>IF(A25&gt;0,SUM(PASHEET!AP17,PASHEET!AX17),"")</f>
        <v>0</v>
      </c>
      <c r="AL25" s="177">
        <f>IF(A25&gt;0,SUM(MARKS!J17,MARKS!AP17),"")</f>
        <v>0</v>
      </c>
      <c r="AM25" s="177">
        <f>IF(A25&gt;0,SUM(MARKS!R17,MARKS!AX17),"")</f>
        <v>0</v>
      </c>
      <c r="AN25" s="177">
        <f>IF(A25&gt;0,SUM(MARKS!Z17,MARKS!BF17),"")</f>
        <v>0</v>
      </c>
      <c r="AO25" s="177">
        <f>IF(A25&gt;0,SUM(MARKS!AH17,MARKS!BN17),"")</f>
        <v>21</v>
      </c>
      <c r="AP25" s="177">
        <f t="shared" si="8"/>
        <v>21</v>
      </c>
      <c r="AQ25" s="177" t="str">
        <f t="shared" si="9"/>
        <v>E</v>
      </c>
      <c r="AR25" s="177">
        <f>IF(A25&gt;0,SUM(PASHEET!AQ17,PASHEET!AY17),"")</f>
        <v>2</v>
      </c>
      <c r="AS25" s="177">
        <f>IF(A25&gt;0,SUM(MARKS!K17,MARKS!AQ17),"")</f>
        <v>0</v>
      </c>
      <c r="AT25" s="177">
        <f>IF(A25&gt;0,SUM(MARKS!S17,MARKS!AY17),"")</f>
        <v>0</v>
      </c>
      <c r="AU25" s="177">
        <f>IF(A25&gt;0,SUM(MARKS!AA17,MARKS!BG17),"")</f>
        <v>0</v>
      </c>
      <c r="AV25" s="177">
        <f>IF(A25&gt;0,SUM(MARKS!AI17,MARKS!BO17),"")</f>
        <v>25</v>
      </c>
      <c r="AW25" s="177">
        <f t="shared" si="10"/>
        <v>27</v>
      </c>
      <c r="AX25" s="177" t="str">
        <f t="shared" si="11"/>
        <v>E</v>
      </c>
      <c r="AY25" s="47">
        <f t="shared" si="12"/>
        <v>133</v>
      </c>
      <c r="AZ25" s="70">
        <f t="shared" si="13"/>
        <v>22.1666666666667</v>
      </c>
      <c r="BA25" s="177" t="str">
        <f t="shared" si="14"/>
        <v>E</v>
      </c>
      <c r="BB25" s="47">
        <f>IF(A25&gt;0,FLN!I17,"")</f>
        <v>2</v>
      </c>
      <c r="BC25" s="47">
        <f>IF(A25&gt;0,FLN!J17,"")</f>
        <v>2</v>
      </c>
      <c r="BD25" s="47">
        <f>IF(A25&gt;0,FLN!K17,"")</f>
        <v>3</v>
      </c>
      <c r="BE25" s="47" t="str">
        <f t="shared" si="15"/>
        <v>PROMOTED</v>
      </c>
      <c r="BF25" s="130">
        <f>IF(AY25="","",IFERROR(RANK(AY25,$AY$12:$AY$111,0)+COUNTIFS($AY$12:AY25,AY25)-1,0))</f>
        <v>18</v>
      </c>
      <c r="BG25" s="130">
        <f t="shared" si="16"/>
        <v>133</v>
      </c>
    </row>
    <row r="26" s="98" customFormat="1" ht="27" customHeight="1" spans="1:59">
      <c r="A26" s="47">
        <f>IF(A25=0,0,IF(A25&lt;ENTRY!$D$24,A25+1,0))</f>
        <v>15</v>
      </c>
      <c r="B26" s="47">
        <f>IF(A26&gt;0,STUDENT!F16,"")</f>
        <v>14746</v>
      </c>
      <c r="C26" s="176" t="str">
        <f>IF(A26&gt;0,UPPER(STUDENT!E16),"")</f>
        <v>ROKI</v>
      </c>
      <c r="D26" s="176" t="str">
        <f>IF(A26&gt;0,UPPER(STUDENT!H16),"")</f>
        <v>KUAR SINGH</v>
      </c>
      <c r="E26" s="47" t="str">
        <f>IF(A26&gt;0,UPPER(STUDENT!BP16),"")</f>
        <v/>
      </c>
      <c r="F26" s="47" t="str">
        <f>IF(A26&gt;0,UPPER(STUDENT!BO16),"")</f>
        <v>FALSE</v>
      </c>
      <c r="G26" s="47" t="str">
        <f>IF(A26&gt;0,UPPER(STUDENT!Q16),"")</f>
        <v/>
      </c>
      <c r="H26" s="69" t="e">
        <f>IF(A26&gt;0,PASHEET!CI18/PASHEET!CJ18*100,"")</f>
        <v>#DIV/0!</v>
      </c>
      <c r="I26" s="177">
        <f>IF(A26&gt;0,SUM(PASHEET!AL18,PASHEET!AT18),"")</f>
        <v>2</v>
      </c>
      <c r="J26" s="177">
        <f>IF(A26&gt;0,SUM(MARKS!F18,MARKS!AL18),"")</f>
        <v>0</v>
      </c>
      <c r="K26" s="177">
        <f>IF(A26&gt;0,SUM(MARKS!N18,MARKS!AT18),"")</f>
        <v>0</v>
      </c>
      <c r="L26" s="177">
        <f>IF(A26&gt;0,SUM(MARKS!V18,MARKS!BB18),"")</f>
        <v>0</v>
      </c>
      <c r="M26" s="177">
        <f>IF(A26&gt;0,SUM(MARKS!AD18,MARKS!BJ18),"")</f>
        <v>32</v>
      </c>
      <c r="N26" s="177">
        <f t="shared" si="0"/>
        <v>34</v>
      </c>
      <c r="O26" s="177" t="str">
        <f t="shared" si="1"/>
        <v>D</v>
      </c>
      <c r="P26" s="177">
        <f>IF(A26&gt;0,SUM(PASHEET!AM18,PASHEET!AU18),"")</f>
        <v>1</v>
      </c>
      <c r="Q26" s="177">
        <f>IF(A26&gt;0,SUM(MARKS!G18,MARKS!AM18),"")</f>
        <v>0</v>
      </c>
      <c r="R26" s="177">
        <f>IF(A26&gt;0,SUM(MARKS!O18,MARKS!AU18),"")</f>
        <v>0</v>
      </c>
      <c r="S26" s="177">
        <f>IF(A26&gt;0,SUM(MARKS!W18,MARKS!BC18),"")</f>
        <v>0</v>
      </c>
      <c r="T26" s="177">
        <f>IF(A26&gt;0,SUM(MARKS!AE18,MARKS!BK18),"")</f>
        <v>16</v>
      </c>
      <c r="U26" s="177">
        <f t="shared" si="2"/>
        <v>17</v>
      </c>
      <c r="V26" s="177" t="str">
        <f t="shared" si="3"/>
        <v>E</v>
      </c>
      <c r="W26" s="177">
        <f>IF(A26&gt;0,SUM(PASHEET!AN18,PASHEET!AV18),"")</f>
        <v>2</v>
      </c>
      <c r="X26" s="177">
        <f>IF(A26&gt;0,SUM(MARKS!H18,MARKS!AN18),"")</f>
        <v>0</v>
      </c>
      <c r="Y26" s="177">
        <f>IF(A26&gt;0,SUM(MARKS!P18,MARKS!AV18),"")</f>
        <v>0</v>
      </c>
      <c r="Z26" s="177">
        <f>IF(A26&gt;0,SUM(MARKS!X18,MARKS!BD18),"")</f>
        <v>0</v>
      </c>
      <c r="AA26" s="177">
        <f>IF(A26&gt;0,SUM(MARKS!AF18,MARKS!BL18),"")</f>
        <v>11</v>
      </c>
      <c r="AB26" s="177">
        <f t="shared" si="4"/>
        <v>13</v>
      </c>
      <c r="AC26" s="177" t="str">
        <f t="shared" si="5"/>
        <v>E</v>
      </c>
      <c r="AD26" s="177">
        <f>IF(A26&gt;0,SUM(PASHEET!AO18,PASHEET!AW18),"")</f>
        <v>1</v>
      </c>
      <c r="AE26" s="177">
        <f>IF(A26&gt;0,SUM(MARKS!I18,MARKS!AO18),"")</f>
        <v>0</v>
      </c>
      <c r="AF26" s="177">
        <f>IF(A26&gt;0,SUM(MARKS!Q18,MARKS!AW18),"")</f>
        <v>0</v>
      </c>
      <c r="AG26" s="177">
        <f>IF(A26&gt;0,SUM(MARKS!Y18,MARKS!BE18),"")</f>
        <v>0</v>
      </c>
      <c r="AH26" s="177">
        <f>IF(A26&gt;0,SUM(MARKS!AG18,MARKS!BM18),"")</f>
        <v>13</v>
      </c>
      <c r="AI26" s="177">
        <f t="shared" si="6"/>
        <v>14</v>
      </c>
      <c r="AJ26" s="177" t="str">
        <f t="shared" si="7"/>
        <v>E</v>
      </c>
      <c r="AK26" s="177">
        <f>IF(A26&gt;0,SUM(PASHEET!AP18,PASHEET!AX18),"")</f>
        <v>0</v>
      </c>
      <c r="AL26" s="177">
        <f>IF(A26&gt;0,SUM(MARKS!J18,MARKS!AP18),"")</f>
        <v>0</v>
      </c>
      <c r="AM26" s="177">
        <f>IF(A26&gt;0,SUM(MARKS!R18,MARKS!AX18),"")</f>
        <v>0</v>
      </c>
      <c r="AN26" s="177">
        <f>IF(A26&gt;0,SUM(MARKS!Z18,MARKS!BF18),"")</f>
        <v>0</v>
      </c>
      <c r="AO26" s="177">
        <f>IF(A26&gt;0,SUM(MARKS!AH18,MARKS!BN18),"")</f>
        <v>13</v>
      </c>
      <c r="AP26" s="177">
        <f t="shared" si="8"/>
        <v>13</v>
      </c>
      <c r="AQ26" s="177" t="str">
        <f t="shared" si="9"/>
        <v>E</v>
      </c>
      <c r="AR26" s="177">
        <f>IF(A26&gt;0,SUM(PASHEET!AQ18,PASHEET!AY18),"")</f>
        <v>2</v>
      </c>
      <c r="AS26" s="177">
        <f>IF(A26&gt;0,SUM(MARKS!K18,MARKS!AQ18),"")</f>
        <v>0</v>
      </c>
      <c r="AT26" s="177">
        <f>IF(A26&gt;0,SUM(MARKS!S18,MARKS!AY18),"")</f>
        <v>0</v>
      </c>
      <c r="AU26" s="177">
        <f>IF(A26&gt;0,SUM(MARKS!AA18,MARKS!BG18),"")</f>
        <v>0</v>
      </c>
      <c r="AV26" s="177">
        <f>IF(A26&gt;0,SUM(MARKS!AI18,MARKS!BO18),"")</f>
        <v>19</v>
      </c>
      <c r="AW26" s="177">
        <f t="shared" si="10"/>
        <v>21</v>
      </c>
      <c r="AX26" s="177" t="str">
        <f t="shared" si="11"/>
        <v>E</v>
      </c>
      <c r="AY26" s="47">
        <f t="shared" si="12"/>
        <v>112</v>
      </c>
      <c r="AZ26" s="70">
        <f t="shared" si="13"/>
        <v>18.6666666666667</v>
      </c>
      <c r="BA26" s="177" t="str">
        <f t="shared" si="14"/>
        <v>E</v>
      </c>
      <c r="BB26" s="47">
        <f>IF(A26&gt;0,FLN!I18,"")</f>
        <v>3</v>
      </c>
      <c r="BC26" s="47">
        <f>IF(A26&gt;0,FLN!J18,"")</f>
        <v>3</v>
      </c>
      <c r="BD26" s="47">
        <f>IF(A26&gt;0,FLN!K18,"")</f>
        <v>4</v>
      </c>
      <c r="BE26" s="47" t="str">
        <f t="shared" si="15"/>
        <v>PROMOTED</v>
      </c>
      <c r="BF26" s="130">
        <f>IF(AY26="","",IFERROR(RANK(AY26,$AY$12:$AY$111,0)+COUNTIFS($AY$12:AY26,AY26)-1,0))</f>
        <v>30</v>
      </c>
      <c r="BG26" s="130">
        <f t="shared" si="16"/>
        <v>112</v>
      </c>
    </row>
    <row r="27" s="98" customFormat="1" ht="27" customHeight="1" spans="1:59">
      <c r="A27" s="47">
        <f>IF(A26=0,0,IF(A26&lt;ENTRY!$D$24,A26+1,0))</f>
        <v>16</v>
      </c>
      <c r="B27" s="47">
        <f>IF(A27&gt;0,STUDENT!F17,"")</f>
        <v>14748</v>
      </c>
      <c r="C27" s="176" t="str">
        <f>IF(A27&gt;0,UPPER(STUDENT!E17),"")</f>
        <v>MD BILAL</v>
      </c>
      <c r="D27" s="176" t="str">
        <f>IF(A27&gt;0,UPPER(STUDENT!H17),"")</f>
        <v>MD AFROJ</v>
      </c>
      <c r="E27" s="47" t="str">
        <f>IF(A27&gt;0,UPPER(STUDENT!BP17),"")</f>
        <v/>
      </c>
      <c r="F27" s="47" t="str">
        <f>IF(A27&gt;0,UPPER(STUDENT!BO17),"")</f>
        <v>FALSE</v>
      </c>
      <c r="G27" s="47" t="str">
        <f>IF(A27&gt;0,UPPER(STUDENT!Q17),"")</f>
        <v/>
      </c>
      <c r="H27" s="69" t="e">
        <f>IF(A27&gt;0,PASHEET!CI19/PASHEET!CJ19*100,"")</f>
        <v>#DIV/0!</v>
      </c>
      <c r="I27" s="177">
        <f>IF(A27&gt;0,SUM(PASHEET!AL19,PASHEET!AT19),"")</f>
        <v>2</v>
      </c>
      <c r="J27" s="177">
        <f>IF(A27&gt;0,SUM(MARKS!F19,MARKS!AL19),"")</f>
        <v>0</v>
      </c>
      <c r="K27" s="177">
        <f>IF(A27&gt;0,SUM(MARKS!N19,MARKS!AT19),"")</f>
        <v>0</v>
      </c>
      <c r="L27" s="177">
        <f>IF(A27&gt;0,SUM(MARKS!V19,MARKS!BB19),"")</f>
        <v>0</v>
      </c>
      <c r="M27" s="177">
        <f>IF(A27&gt;0,SUM(MARKS!AD19,MARKS!BJ19),"")</f>
        <v>51</v>
      </c>
      <c r="N27" s="177">
        <f t="shared" si="0"/>
        <v>53</v>
      </c>
      <c r="O27" s="177" t="str">
        <f t="shared" si="1"/>
        <v>C</v>
      </c>
      <c r="P27" s="177">
        <f>IF(A27&gt;0,SUM(PASHEET!AM19,PASHEET!AU19),"")</f>
        <v>1</v>
      </c>
      <c r="Q27" s="177">
        <f>IF(A27&gt;0,SUM(MARKS!G19,MARKS!AM19),"")</f>
        <v>0</v>
      </c>
      <c r="R27" s="177">
        <f>IF(A27&gt;0,SUM(MARKS!O19,MARKS!AU19),"")</f>
        <v>0</v>
      </c>
      <c r="S27" s="177">
        <f>IF(A27&gt;0,SUM(MARKS!W19,MARKS!BC19),"")</f>
        <v>0</v>
      </c>
      <c r="T27" s="177">
        <f>IF(A27&gt;0,SUM(MARKS!AE19,MARKS!BK19),"")</f>
        <v>15</v>
      </c>
      <c r="U27" s="177">
        <f t="shared" si="2"/>
        <v>16</v>
      </c>
      <c r="V27" s="177" t="str">
        <f t="shared" si="3"/>
        <v>E</v>
      </c>
      <c r="W27" s="177">
        <f>IF(A27&gt;0,SUM(PASHEET!AN19,PASHEET!AV19),"")</f>
        <v>2</v>
      </c>
      <c r="X27" s="177">
        <f>IF(A27&gt;0,SUM(MARKS!H19,MARKS!AN19),"")</f>
        <v>0</v>
      </c>
      <c r="Y27" s="177">
        <f>IF(A27&gt;0,SUM(MARKS!P19,MARKS!AV19),"")</f>
        <v>0</v>
      </c>
      <c r="Z27" s="177">
        <f>IF(A27&gt;0,SUM(MARKS!X19,MARKS!BD19),"")</f>
        <v>0</v>
      </c>
      <c r="AA27" s="177">
        <f>IF(A27&gt;0,SUM(MARKS!AF19,MARKS!BL19),"")</f>
        <v>22</v>
      </c>
      <c r="AB27" s="177">
        <f t="shared" si="4"/>
        <v>24</v>
      </c>
      <c r="AC27" s="177" t="str">
        <f t="shared" si="5"/>
        <v>E</v>
      </c>
      <c r="AD27" s="177">
        <f>IF(A27&gt;0,SUM(PASHEET!AO19,PASHEET!AW19),"")</f>
        <v>1</v>
      </c>
      <c r="AE27" s="177">
        <f>IF(A27&gt;0,SUM(MARKS!I19,MARKS!AO19),"")</f>
        <v>0</v>
      </c>
      <c r="AF27" s="177">
        <f>IF(A27&gt;0,SUM(MARKS!Q19,MARKS!AW19),"")</f>
        <v>0</v>
      </c>
      <c r="AG27" s="177">
        <f>IF(A27&gt;0,SUM(MARKS!Y19,MARKS!BE19),"")</f>
        <v>0</v>
      </c>
      <c r="AH27" s="177">
        <f>IF(A27&gt;0,SUM(MARKS!AG19,MARKS!BM19),"")</f>
        <v>23</v>
      </c>
      <c r="AI27" s="177">
        <f t="shared" si="6"/>
        <v>24</v>
      </c>
      <c r="AJ27" s="177" t="str">
        <f t="shared" si="7"/>
        <v>E</v>
      </c>
      <c r="AK27" s="177">
        <f>IF(A27&gt;0,SUM(PASHEET!AP19,PASHEET!AX19),"")</f>
        <v>0</v>
      </c>
      <c r="AL27" s="177">
        <f>IF(A27&gt;0,SUM(MARKS!J19,MARKS!AP19),"")</f>
        <v>0</v>
      </c>
      <c r="AM27" s="177">
        <f>IF(A27&gt;0,SUM(MARKS!R19,MARKS!AX19),"")</f>
        <v>0</v>
      </c>
      <c r="AN27" s="177">
        <f>IF(A27&gt;0,SUM(MARKS!Z19,MARKS!BF19),"")</f>
        <v>0</v>
      </c>
      <c r="AO27" s="177">
        <f>IF(A27&gt;0,SUM(MARKS!AH19,MARKS!BN19),"")</f>
        <v>25</v>
      </c>
      <c r="AP27" s="177">
        <f t="shared" si="8"/>
        <v>25</v>
      </c>
      <c r="AQ27" s="177" t="str">
        <f t="shared" si="9"/>
        <v>E</v>
      </c>
      <c r="AR27" s="177">
        <f>IF(A27&gt;0,SUM(PASHEET!AQ19,PASHEET!AY19),"")</f>
        <v>2</v>
      </c>
      <c r="AS27" s="177">
        <f>IF(A27&gt;0,SUM(MARKS!K19,MARKS!AQ19),"")</f>
        <v>0</v>
      </c>
      <c r="AT27" s="177">
        <f>IF(A27&gt;0,SUM(MARKS!S19,MARKS!AY19),"")</f>
        <v>0</v>
      </c>
      <c r="AU27" s="177">
        <f>IF(A27&gt;0,SUM(MARKS!AA19,MARKS!BG19),"")</f>
        <v>0</v>
      </c>
      <c r="AV27" s="177">
        <f>IF(A27&gt;0,SUM(MARKS!AI19,MARKS!BO19),"")</f>
        <v>25</v>
      </c>
      <c r="AW27" s="177">
        <f t="shared" si="10"/>
        <v>27</v>
      </c>
      <c r="AX27" s="177" t="str">
        <f t="shared" si="11"/>
        <v>E</v>
      </c>
      <c r="AY27" s="47">
        <f t="shared" si="12"/>
        <v>169</v>
      </c>
      <c r="AZ27" s="70">
        <f t="shared" si="13"/>
        <v>28.1666666666667</v>
      </c>
      <c r="BA27" s="177" t="str">
        <f t="shared" si="14"/>
        <v>E</v>
      </c>
      <c r="BB27" s="47">
        <f>IF(A27&gt;0,FLN!I19,"")</f>
        <v>2</v>
      </c>
      <c r="BC27" s="47">
        <f>IF(A27&gt;0,FLN!J19,"")</f>
        <v>2</v>
      </c>
      <c r="BD27" s="47">
        <f>IF(A27&gt;0,FLN!K19,"")</f>
        <v>3</v>
      </c>
      <c r="BE27" s="47" t="str">
        <f t="shared" si="15"/>
        <v>PROMOTED</v>
      </c>
      <c r="BF27" s="130">
        <f>IF(AY27="","",IFERROR(RANK(AY27,$AY$12:$AY$111,0)+COUNTIFS($AY$12:AY27,AY27)-1,0))</f>
        <v>6</v>
      </c>
      <c r="BG27" s="130">
        <f t="shared" si="16"/>
        <v>169</v>
      </c>
    </row>
    <row r="28" s="98" customFormat="1" ht="27" customHeight="1" spans="1:59">
      <c r="A28" s="47">
        <f>IF(A27=0,0,IF(A27&lt;ENTRY!$D$24,A27+1,0))</f>
        <v>17</v>
      </c>
      <c r="B28" s="47">
        <f>IF(A28&gt;0,STUDENT!F18,"")</f>
        <v>14755</v>
      </c>
      <c r="C28" s="176" t="str">
        <f>IF(A28&gt;0,UPPER(STUDENT!E18),"")</f>
        <v>GAURAV KUMAR</v>
      </c>
      <c r="D28" s="176" t="str">
        <f>IF(A28&gt;0,UPPER(STUDENT!H18),"")</f>
        <v>HARINDER YADAV</v>
      </c>
      <c r="E28" s="47" t="str">
        <f>IF(A28&gt;0,UPPER(STUDENT!BP18),"")</f>
        <v/>
      </c>
      <c r="F28" s="47" t="str">
        <f>IF(A28&gt;0,UPPER(STUDENT!BO18),"")</f>
        <v>FALSE</v>
      </c>
      <c r="G28" s="47" t="str">
        <f>IF(A28&gt;0,UPPER(STUDENT!Q18),"")</f>
        <v/>
      </c>
      <c r="H28" s="69" t="e">
        <f>IF(A28&gt;0,PASHEET!CI20/PASHEET!CJ20*100,"")</f>
        <v>#DIV/0!</v>
      </c>
      <c r="I28" s="177">
        <f>IF(A28&gt;0,SUM(PASHEET!AL20,PASHEET!AT20),"")</f>
        <v>2</v>
      </c>
      <c r="J28" s="177">
        <f>IF(A28&gt;0,SUM(MARKS!F20,MARKS!AL20),"")</f>
        <v>0</v>
      </c>
      <c r="K28" s="177">
        <f>IF(A28&gt;0,SUM(MARKS!N20,MARKS!AT20),"")</f>
        <v>0</v>
      </c>
      <c r="L28" s="177">
        <f>IF(A28&gt;0,SUM(MARKS!V20,MARKS!BB20),"")</f>
        <v>0</v>
      </c>
      <c r="M28" s="177">
        <f>IF(A28&gt;0,SUM(MARKS!AD20,MARKS!BJ20),"")</f>
        <v>26</v>
      </c>
      <c r="N28" s="177">
        <f t="shared" si="0"/>
        <v>28</v>
      </c>
      <c r="O28" s="177" t="str">
        <f t="shared" si="1"/>
        <v>E</v>
      </c>
      <c r="P28" s="177">
        <f>IF(A28&gt;0,SUM(PASHEET!AM20,PASHEET!AU20),"")</f>
        <v>1</v>
      </c>
      <c r="Q28" s="177">
        <f>IF(A28&gt;0,SUM(MARKS!G20,MARKS!AM20),"")</f>
        <v>0</v>
      </c>
      <c r="R28" s="177">
        <f>IF(A28&gt;0,SUM(MARKS!O20,MARKS!AU20),"")</f>
        <v>0</v>
      </c>
      <c r="S28" s="177">
        <f>IF(A28&gt;0,SUM(MARKS!W20,MARKS!BC20),"")</f>
        <v>0</v>
      </c>
      <c r="T28" s="177">
        <f>IF(A28&gt;0,SUM(MARKS!AE20,MARKS!BK20),"")</f>
        <v>16</v>
      </c>
      <c r="U28" s="177">
        <f t="shared" si="2"/>
        <v>17</v>
      </c>
      <c r="V28" s="177" t="str">
        <f t="shared" si="3"/>
        <v>E</v>
      </c>
      <c r="W28" s="177">
        <f>IF(A28&gt;0,SUM(PASHEET!AN20,PASHEET!AV20),"")</f>
        <v>1</v>
      </c>
      <c r="X28" s="177">
        <f>IF(A28&gt;0,SUM(MARKS!H20,MARKS!AN20),"")</f>
        <v>0</v>
      </c>
      <c r="Y28" s="177">
        <f>IF(A28&gt;0,SUM(MARKS!P20,MARKS!AV20),"")</f>
        <v>0</v>
      </c>
      <c r="Z28" s="177">
        <f>IF(A28&gt;0,SUM(MARKS!X20,MARKS!BD20),"")</f>
        <v>0</v>
      </c>
      <c r="AA28" s="177">
        <f>IF(A28&gt;0,SUM(MARKS!AF20,MARKS!BL20),"")</f>
        <v>11</v>
      </c>
      <c r="AB28" s="177">
        <f t="shared" si="4"/>
        <v>12</v>
      </c>
      <c r="AC28" s="177" t="str">
        <f t="shared" si="5"/>
        <v>E</v>
      </c>
      <c r="AD28" s="177">
        <f>IF(A28&gt;0,SUM(PASHEET!AO20,PASHEET!AW20),"")</f>
        <v>1</v>
      </c>
      <c r="AE28" s="177">
        <f>IF(A28&gt;0,SUM(MARKS!I20,MARKS!AO20),"")</f>
        <v>0</v>
      </c>
      <c r="AF28" s="177">
        <f>IF(A28&gt;0,SUM(MARKS!Q20,MARKS!AW20),"")</f>
        <v>0</v>
      </c>
      <c r="AG28" s="177">
        <f>IF(A28&gt;0,SUM(MARKS!Y20,MARKS!BE20),"")</f>
        <v>0</v>
      </c>
      <c r="AH28" s="177">
        <f>IF(A28&gt;0,SUM(MARKS!AG20,MARKS!BM20),"")</f>
        <v>13</v>
      </c>
      <c r="AI28" s="177">
        <f t="shared" si="6"/>
        <v>14</v>
      </c>
      <c r="AJ28" s="177" t="str">
        <f t="shared" si="7"/>
        <v>E</v>
      </c>
      <c r="AK28" s="177">
        <f>IF(A28&gt;0,SUM(PASHEET!AP20,PASHEET!AX20),"")</f>
        <v>0</v>
      </c>
      <c r="AL28" s="177">
        <f>IF(A28&gt;0,SUM(MARKS!J20,MARKS!AP20),"")</f>
        <v>0</v>
      </c>
      <c r="AM28" s="177">
        <f>IF(A28&gt;0,SUM(MARKS!R20,MARKS!AX20),"")</f>
        <v>0</v>
      </c>
      <c r="AN28" s="177">
        <f>IF(A28&gt;0,SUM(MARKS!Z20,MARKS!BF20),"")</f>
        <v>0</v>
      </c>
      <c r="AO28" s="177">
        <f>IF(A28&gt;0,SUM(MARKS!AH20,MARKS!BN20),"")</f>
        <v>12</v>
      </c>
      <c r="AP28" s="177">
        <f t="shared" si="8"/>
        <v>12</v>
      </c>
      <c r="AQ28" s="177" t="str">
        <f t="shared" si="9"/>
        <v>E</v>
      </c>
      <c r="AR28" s="177">
        <f>IF(A28&gt;0,SUM(PASHEET!AQ20,PASHEET!AY20),"")</f>
        <v>2</v>
      </c>
      <c r="AS28" s="177">
        <f>IF(A28&gt;0,SUM(MARKS!K20,MARKS!AQ20),"")</f>
        <v>0</v>
      </c>
      <c r="AT28" s="177">
        <f>IF(A28&gt;0,SUM(MARKS!S20,MARKS!AY20),"")</f>
        <v>0</v>
      </c>
      <c r="AU28" s="177">
        <f>IF(A28&gt;0,SUM(MARKS!AA20,MARKS!BG20),"")</f>
        <v>0</v>
      </c>
      <c r="AV28" s="177">
        <f>IF(A28&gt;0,SUM(MARKS!AI20,MARKS!BO20),"")</f>
        <v>22</v>
      </c>
      <c r="AW28" s="177">
        <f t="shared" si="10"/>
        <v>24</v>
      </c>
      <c r="AX28" s="177" t="str">
        <f t="shared" si="11"/>
        <v>E</v>
      </c>
      <c r="AY28" s="47">
        <f t="shared" si="12"/>
        <v>107</v>
      </c>
      <c r="AZ28" s="70">
        <f t="shared" si="13"/>
        <v>17.8333333333333</v>
      </c>
      <c r="BA28" s="177" t="str">
        <f t="shared" si="14"/>
        <v>E</v>
      </c>
      <c r="BB28" s="47">
        <f>IF(A28&gt;0,FLN!I20,"")</f>
        <v>2</v>
      </c>
      <c r="BC28" s="47">
        <f>IF(A28&gt;0,FLN!J20,"")</f>
        <v>2</v>
      </c>
      <c r="BD28" s="47">
        <f>IF(A28&gt;0,FLN!K20,"")</f>
        <v>4</v>
      </c>
      <c r="BE28" s="47" t="str">
        <f t="shared" si="15"/>
        <v>PROMOTED</v>
      </c>
      <c r="BF28" s="130">
        <f>IF(AY28="","",IFERROR(RANK(AY28,$AY$12:$AY$111,0)+COUNTIFS($AY$12:AY28,AY28)-1,0))</f>
        <v>34</v>
      </c>
      <c r="BG28" s="130">
        <f t="shared" si="16"/>
        <v>107</v>
      </c>
    </row>
    <row r="29" s="98" customFormat="1" ht="27" customHeight="1" spans="1:59">
      <c r="A29" s="47">
        <f>IF(A28=0,0,IF(A28&lt;ENTRY!$D$24,A28+1,0))</f>
        <v>18</v>
      </c>
      <c r="B29" s="47">
        <f>IF(A29&gt;0,STUDENT!F19,"")</f>
        <v>14756</v>
      </c>
      <c r="C29" s="176" t="str">
        <f>IF(A29&gt;0,UPPER(STUDENT!E19),"")</f>
        <v>SAURAV KUMAR</v>
      </c>
      <c r="D29" s="176" t="str">
        <f>IF(A29&gt;0,UPPER(STUDENT!H19),"")</f>
        <v>HARINDER YADAV</v>
      </c>
      <c r="E29" s="47" t="str">
        <f>IF(A29&gt;0,UPPER(STUDENT!BP19),"")</f>
        <v/>
      </c>
      <c r="F29" s="47" t="str">
        <f>IF(A29&gt;0,UPPER(STUDENT!BO19),"")</f>
        <v>FALSE</v>
      </c>
      <c r="G29" s="47" t="str">
        <f>IF(A29&gt;0,UPPER(STUDENT!Q19),"")</f>
        <v/>
      </c>
      <c r="H29" s="69" t="e">
        <f>IF(A29&gt;0,PASHEET!CI21/PASHEET!CJ21*100,"")</f>
        <v>#DIV/0!</v>
      </c>
      <c r="I29" s="177">
        <f>IF(A29&gt;0,SUM(PASHEET!AL21,PASHEET!AT21),"")</f>
        <v>1</v>
      </c>
      <c r="J29" s="177">
        <f>IF(A29&gt;0,SUM(MARKS!F21,MARKS!AL21),"")</f>
        <v>0</v>
      </c>
      <c r="K29" s="177">
        <f>IF(A29&gt;0,SUM(MARKS!N21,MARKS!AT21),"")</f>
        <v>0</v>
      </c>
      <c r="L29" s="177">
        <f>IF(A29&gt;0,SUM(MARKS!V21,MARKS!BB21),"")</f>
        <v>0</v>
      </c>
      <c r="M29" s="177">
        <f>IF(A29&gt;0,SUM(MARKS!AD21,MARKS!BJ21),"")</f>
        <v>25</v>
      </c>
      <c r="N29" s="177">
        <f t="shared" si="0"/>
        <v>26</v>
      </c>
      <c r="O29" s="177" t="str">
        <f t="shared" si="1"/>
        <v>E</v>
      </c>
      <c r="P29" s="177">
        <f>IF(A29&gt;0,SUM(PASHEET!AM21,PASHEET!AU21),"")</f>
        <v>1</v>
      </c>
      <c r="Q29" s="177">
        <f>IF(A29&gt;0,SUM(MARKS!G21,MARKS!AM21),"")</f>
        <v>0</v>
      </c>
      <c r="R29" s="177">
        <f>IF(A29&gt;0,SUM(MARKS!O21,MARKS!AU21),"")</f>
        <v>0</v>
      </c>
      <c r="S29" s="177">
        <f>IF(A29&gt;0,SUM(MARKS!W21,MARKS!BC21),"")</f>
        <v>0</v>
      </c>
      <c r="T29" s="177">
        <f>IF(A29&gt;0,SUM(MARKS!AE21,MARKS!BK21),"")</f>
        <v>13</v>
      </c>
      <c r="U29" s="177">
        <f t="shared" si="2"/>
        <v>14</v>
      </c>
      <c r="V29" s="177" t="str">
        <f t="shared" si="3"/>
        <v>E</v>
      </c>
      <c r="W29" s="177">
        <f>IF(A29&gt;0,SUM(PASHEET!AN21,PASHEET!AV21),"")</f>
        <v>1</v>
      </c>
      <c r="X29" s="177">
        <f>IF(A29&gt;0,SUM(MARKS!H21,MARKS!AN21),"")</f>
        <v>0</v>
      </c>
      <c r="Y29" s="177">
        <f>IF(A29&gt;0,SUM(MARKS!P21,MARKS!AV21),"")</f>
        <v>0</v>
      </c>
      <c r="Z29" s="177">
        <f>IF(A29&gt;0,SUM(MARKS!X21,MARKS!BD21),"")</f>
        <v>0</v>
      </c>
      <c r="AA29" s="177">
        <f>IF(A29&gt;0,SUM(MARKS!AF21,MARKS!BL21),"")</f>
        <v>17</v>
      </c>
      <c r="AB29" s="177">
        <f t="shared" si="4"/>
        <v>18</v>
      </c>
      <c r="AC29" s="177" t="str">
        <f t="shared" si="5"/>
        <v>E</v>
      </c>
      <c r="AD29" s="177">
        <f>IF(A29&gt;0,SUM(PASHEET!AO21,PASHEET!AW21),"")</f>
        <v>1</v>
      </c>
      <c r="AE29" s="177">
        <f>IF(A29&gt;0,SUM(MARKS!I21,MARKS!AO21),"")</f>
        <v>0</v>
      </c>
      <c r="AF29" s="177">
        <f>IF(A29&gt;0,SUM(MARKS!Q21,MARKS!AW21),"")</f>
        <v>0</v>
      </c>
      <c r="AG29" s="177">
        <f>IF(A29&gt;0,SUM(MARKS!Y21,MARKS!BE21),"")</f>
        <v>0</v>
      </c>
      <c r="AH29" s="177">
        <f>IF(A29&gt;0,SUM(MARKS!AG21,MARKS!BM21),"")</f>
        <v>13</v>
      </c>
      <c r="AI29" s="177">
        <f t="shared" si="6"/>
        <v>14</v>
      </c>
      <c r="AJ29" s="177" t="str">
        <f t="shared" si="7"/>
        <v>E</v>
      </c>
      <c r="AK29" s="177">
        <f>IF(A29&gt;0,SUM(PASHEET!AP21,PASHEET!AX21),"")</f>
        <v>0</v>
      </c>
      <c r="AL29" s="177">
        <f>IF(A29&gt;0,SUM(MARKS!J21,MARKS!AP21),"")</f>
        <v>0</v>
      </c>
      <c r="AM29" s="177">
        <f>IF(A29&gt;0,SUM(MARKS!R21,MARKS!AX21),"")</f>
        <v>0</v>
      </c>
      <c r="AN29" s="177">
        <f>IF(A29&gt;0,SUM(MARKS!Z21,MARKS!BF21),"")</f>
        <v>0</v>
      </c>
      <c r="AO29" s="177">
        <f>IF(A29&gt;0,SUM(MARKS!AH21,MARKS!BN21),"")</f>
        <v>13</v>
      </c>
      <c r="AP29" s="177">
        <f t="shared" si="8"/>
        <v>13</v>
      </c>
      <c r="AQ29" s="177" t="str">
        <f t="shared" si="9"/>
        <v>E</v>
      </c>
      <c r="AR29" s="177">
        <f>IF(A29&gt;0,SUM(PASHEET!AQ21,PASHEET!AY21),"")</f>
        <v>1</v>
      </c>
      <c r="AS29" s="177">
        <f>IF(A29&gt;0,SUM(MARKS!K21,MARKS!AQ21),"")</f>
        <v>0</v>
      </c>
      <c r="AT29" s="177">
        <f>IF(A29&gt;0,SUM(MARKS!S21,MARKS!AY21),"")</f>
        <v>0</v>
      </c>
      <c r="AU29" s="177">
        <f>IF(A29&gt;0,SUM(MARKS!AA21,MARKS!BG21),"")</f>
        <v>0</v>
      </c>
      <c r="AV29" s="177">
        <f>IF(A29&gt;0,SUM(MARKS!AI21,MARKS!BO21),"")</f>
        <v>23</v>
      </c>
      <c r="AW29" s="177">
        <f t="shared" si="10"/>
        <v>24</v>
      </c>
      <c r="AX29" s="177" t="str">
        <f t="shared" si="11"/>
        <v>E</v>
      </c>
      <c r="AY29" s="47">
        <f t="shared" si="12"/>
        <v>109</v>
      </c>
      <c r="AZ29" s="70">
        <f t="shared" si="13"/>
        <v>18.1666666666667</v>
      </c>
      <c r="BA29" s="177" t="str">
        <f t="shared" si="14"/>
        <v>E</v>
      </c>
      <c r="BB29" s="47">
        <f>IF(A29&gt;0,FLN!I21,"")</f>
        <v>2</v>
      </c>
      <c r="BC29" s="47">
        <f>IF(A29&gt;0,FLN!J21,"")</f>
        <v>2</v>
      </c>
      <c r="BD29" s="47">
        <f>IF(A29&gt;0,FLN!K21,"")</f>
        <v>4</v>
      </c>
      <c r="BE29" s="47" t="str">
        <f t="shared" si="15"/>
        <v>PROMOTED</v>
      </c>
      <c r="BF29" s="130">
        <f>IF(AY29="","",IFERROR(RANK(AY29,$AY$12:$AY$111,0)+COUNTIFS($AY$12:AY29,AY29)-1,0))</f>
        <v>33</v>
      </c>
      <c r="BG29" s="130">
        <f t="shared" si="16"/>
        <v>109</v>
      </c>
    </row>
    <row r="30" s="98" customFormat="1" ht="27" customHeight="1" spans="1:59">
      <c r="A30" s="47">
        <f>IF(A29=0,0,IF(A29&lt;ENTRY!$D$24,A29+1,0))</f>
        <v>19</v>
      </c>
      <c r="B30" s="47">
        <f>IF(A30&gt;0,STUDENT!F20,"")</f>
        <v>14758</v>
      </c>
      <c r="C30" s="176" t="str">
        <f>IF(A30&gt;0,UPPER(STUDENT!E20),"")</f>
        <v>HANAM AYUBI</v>
      </c>
      <c r="D30" s="176" t="str">
        <f>IF(A30&gt;0,UPPER(STUDENT!H20),"")</f>
        <v>MD PARWEZ</v>
      </c>
      <c r="E30" s="47" t="str">
        <f>IF(A30&gt;0,UPPER(STUDENT!BP20),"")</f>
        <v/>
      </c>
      <c r="F30" s="47" t="str">
        <f>IF(A30&gt;0,UPPER(STUDENT!BO20),"")</f>
        <v>FALSE</v>
      </c>
      <c r="G30" s="47" t="str">
        <f>IF(A30&gt;0,UPPER(STUDENT!Q20),"")</f>
        <v/>
      </c>
      <c r="H30" s="69" t="e">
        <f>IF(A30&gt;0,PASHEET!CI22/PASHEET!CJ22*100,"")</f>
        <v>#DIV/0!</v>
      </c>
      <c r="I30" s="177">
        <f>IF(A30&gt;0,SUM(PASHEET!AL22,PASHEET!AT22),"")</f>
        <v>1</v>
      </c>
      <c r="J30" s="177">
        <f>IF(A30&gt;0,SUM(MARKS!F22,MARKS!AL22),"")</f>
        <v>0</v>
      </c>
      <c r="K30" s="177">
        <f>IF(A30&gt;0,SUM(MARKS!N22,MARKS!AT22),"")</f>
        <v>0</v>
      </c>
      <c r="L30" s="177">
        <f>IF(A30&gt;0,SUM(MARKS!V22,MARKS!BB22),"")</f>
        <v>0</v>
      </c>
      <c r="M30" s="177">
        <f>IF(A30&gt;0,SUM(MARKS!AD22,MARKS!BJ22),"")</f>
        <v>51</v>
      </c>
      <c r="N30" s="177">
        <f t="shared" si="0"/>
        <v>52</v>
      </c>
      <c r="O30" s="177" t="str">
        <f t="shared" si="1"/>
        <v>C</v>
      </c>
      <c r="P30" s="177">
        <f>IF(A30&gt;0,SUM(PASHEET!AM22,PASHEET!AU22),"")</f>
        <v>1</v>
      </c>
      <c r="Q30" s="177">
        <f>IF(A30&gt;0,SUM(MARKS!G22,MARKS!AM22),"")</f>
        <v>0</v>
      </c>
      <c r="R30" s="177">
        <f>IF(A30&gt;0,SUM(MARKS!O22,MARKS!AU22),"")</f>
        <v>0</v>
      </c>
      <c r="S30" s="177">
        <f>IF(A30&gt;0,SUM(MARKS!W22,MARKS!BC22),"")</f>
        <v>0</v>
      </c>
      <c r="T30" s="177">
        <f>IF(A30&gt;0,SUM(MARKS!AE22,MARKS!BK22),"")</f>
        <v>27</v>
      </c>
      <c r="U30" s="177">
        <f t="shared" si="2"/>
        <v>28</v>
      </c>
      <c r="V30" s="177" t="str">
        <f t="shared" si="3"/>
        <v>E</v>
      </c>
      <c r="W30" s="177">
        <f>IF(A30&gt;0,SUM(PASHEET!AN22,PASHEET!AV22),"")</f>
        <v>1</v>
      </c>
      <c r="X30" s="177">
        <f>IF(A30&gt;0,SUM(MARKS!H22,MARKS!AN22),"")</f>
        <v>0</v>
      </c>
      <c r="Y30" s="177">
        <f>IF(A30&gt;0,SUM(MARKS!P22,MARKS!AV22),"")</f>
        <v>0</v>
      </c>
      <c r="Z30" s="177">
        <f>IF(A30&gt;0,SUM(MARKS!X22,MARKS!BD22),"")</f>
        <v>0</v>
      </c>
      <c r="AA30" s="177">
        <f>IF(A30&gt;0,SUM(MARKS!AF22,MARKS!BL22),"")</f>
        <v>22</v>
      </c>
      <c r="AB30" s="177">
        <f t="shared" si="4"/>
        <v>23</v>
      </c>
      <c r="AC30" s="177" t="str">
        <f t="shared" si="5"/>
        <v>E</v>
      </c>
      <c r="AD30" s="177">
        <f>IF(A30&gt;0,SUM(PASHEET!AO22,PASHEET!AW22),"")</f>
        <v>1</v>
      </c>
      <c r="AE30" s="177">
        <f>IF(A30&gt;0,SUM(MARKS!I22,MARKS!AO22),"")</f>
        <v>0</v>
      </c>
      <c r="AF30" s="177">
        <f>IF(A30&gt;0,SUM(MARKS!Q22,MARKS!AW22),"")</f>
        <v>0</v>
      </c>
      <c r="AG30" s="177">
        <f>IF(A30&gt;0,SUM(MARKS!Y22,MARKS!BE22),"")</f>
        <v>0</v>
      </c>
      <c r="AH30" s="177">
        <f>IF(A30&gt;0,SUM(MARKS!AG22,MARKS!BM22),"")</f>
        <v>26</v>
      </c>
      <c r="AI30" s="177">
        <f t="shared" si="6"/>
        <v>27</v>
      </c>
      <c r="AJ30" s="177" t="str">
        <f t="shared" si="7"/>
        <v>E</v>
      </c>
      <c r="AK30" s="177">
        <f>IF(A30&gt;0,SUM(PASHEET!AP22,PASHEET!AX22),"")</f>
        <v>0</v>
      </c>
      <c r="AL30" s="177">
        <f>IF(A30&gt;0,SUM(MARKS!J22,MARKS!AP22),"")</f>
        <v>0</v>
      </c>
      <c r="AM30" s="177">
        <f>IF(A30&gt;0,SUM(MARKS!R22,MARKS!AX22),"")</f>
        <v>0</v>
      </c>
      <c r="AN30" s="177">
        <f>IF(A30&gt;0,SUM(MARKS!Z22,MARKS!BF22),"")</f>
        <v>0</v>
      </c>
      <c r="AO30" s="177">
        <f>IF(A30&gt;0,SUM(MARKS!AH22,MARKS!BN22),"")</f>
        <v>25</v>
      </c>
      <c r="AP30" s="177">
        <f t="shared" si="8"/>
        <v>25</v>
      </c>
      <c r="AQ30" s="177" t="str">
        <f t="shared" si="9"/>
        <v>E</v>
      </c>
      <c r="AR30" s="177">
        <f>IF(A30&gt;0,SUM(PASHEET!AQ22,PASHEET!AY22),"")</f>
        <v>1</v>
      </c>
      <c r="AS30" s="177">
        <f>IF(A30&gt;0,SUM(MARKS!K22,MARKS!AQ22),"")</f>
        <v>0</v>
      </c>
      <c r="AT30" s="177">
        <f>IF(A30&gt;0,SUM(MARKS!S22,MARKS!AY22),"")</f>
        <v>0</v>
      </c>
      <c r="AU30" s="177">
        <f>IF(A30&gt;0,SUM(MARKS!AA22,MARKS!BG22),"")</f>
        <v>0</v>
      </c>
      <c r="AV30" s="177">
        <f>IF(A30&gt;0,SUM(MARKS!AI22,MARKS!BO22),"")</f>
        <v>28</v>
      </c>
      <c r="AW30" s="177">
        <f t="shared" si="10"/>
        <v>29</v>
      </c>
      <c r="AX30" s="177" t="str">
        <f t="shared" si="11"/>
        <v>E</v>
      </c>
      <c r="AY30" s="47">
        <f t="shared" si="12"/>
        <v>184</v>
      </c>
      <c r="AZ30" s="70">
        <f t="shared" si="13"/>
        <v>30.6666666666667</v>
      </c>
      <c r="BA30" s="177" t="str">
        <f t="shared" si="14"/>
        <v>E</v>
      </c>
      <c r="BB30" s="47">
        <f>IF(A30&gt;0,FLN!I22,"")</f>
        <v>2</v>
      </c>
      <c r="BC30" s="47">
        <f>IF(A30&gt;0,FLN!J22,"")</f>
        <v>2</v>
      </c>
      <c r="BD30" s="47">
        <f>IF(A30&gt;0,FLN!K22,"")</f>
        <v>3</v>
      </c>
      <c r="BE30" s="47" t="str">
        <f t="shared" si="15"/>
        <v>SECOND</v>
      </c>
      <c r="BF30" s="130">
        <f>IF(AY30="","",IFERROR(RANK(AY30,$AY$12:$AY$111,0)+COUNTIFS($AY$12:AY30,AY30)-1,0))</f>
        <v>2</v>
      </c>
      <c r="BG30" s="130">
        <f t="shared" si="16"/>
        <v>184</v>
      </c>
    </row>
    <row r="31" s="98" customFormat="1" ht="27" customHeight="1" spans="1:59">
      <c r="A31" s="47">
        <f>IF(A30=0,0,IF(A30&lt;ENTRY!$D$24,A30+1,0))</f>
        <v>20</v>
      </c>
      <c r="B31" s="47">
        <f>IF(A31&gt;0,STUDENT!F21,"")</f>
        <v>14768</v>
      </c>
      <c r="C31" s="176" t="str">
        <f>IF(A31&gt;0,UPPER(STUDENT!E21),"")</f>
        <v>ANKUR</v>
      </c>
      <c r="D31" s="176" t="str">
        <f>IF(A31&gt;0,UPPER(STUDENT!H21),"")</f>
        <v>ASHOK KUMAR GUPTA</v>
      </c>
      <c r="E31" s="47" t="str">
        <f>IF(A31&gt;0,UPPER(STUDENT!BP21),"")</f>
        <v/>
      </c>
      <c r="F31" s="47" t="str">
        <f>IF(A31&gt;0,UPPER(STUDENT!BO21),"")</f>
        <v>FALSE</v>
      </c>
      <c r="G31" s="47" t="str">
        <f>IF(A31&gt;0,UPPER(STUDENT!Q21),"")</f>
        <v/>
      </c>
      <c r="H31" s="69" t="e">
        <f>IF(A31&gt;0,PASHEET!CI23/PASHEET!CJ23*100,"")</f>
        <v>#DIV/0!</v>
      </c>
      <c r="I31" s="177">
        <f>IF(A31&gt;0,SUM(PASHEET!AL23,PASHEET!AT23),"")</f>
        <v>1</v>
      </c>
      <c r="J31" s="177">
        <f>IF(A31&gt;0,SUM(MARKS!F23,MARKS!AL23),"")</f>
        <v>0</v>
      </c>
      <c r="K31" s="177">
        <f>IF(A31&gt;0,SUM(MARKS!N23,MARKS!AT23),"")</f>
        <v>0</v>
      </c>
      <c r="L31" s="177">
        <f>IF(A31&gt;0,SUM(MARKS!V23,MARKS!BB23),"")</f>
        <v>0</v>
      </c>
      <c r="M31" s="177">
        <f>IF(A31&gt;0,SUM(MARKS!AD23,MARKS!BJ23),"")</f>
        <v>30</v>
      </c>
      <c r="N31" s="177">
        <f t="shared" si="0"/>
        <v>31</v>
      </c>
      <c r="O31" s="177" t="str">
        <f t="shared" si="1"/>
        <v>E</v>
      </c>
      <c r="P31" s="177">
        <f>IF(A31&gt;0,SUM(PASHEET!AM23,PASHEET!AU23),"")</f>
        <v>1</v>
      </c>
      <c r="Q31" s="177">
        <f>IF(A31&gt;0,SUM(MARKS!G23,MARKS!AM23),"")</f>
        <v>0</v>
      </c>
      <c r="R31" s="177">
        <f>IF(A31&gt;0,SUM(MARKS!O23,MARKS!AU23),"")</f>
        <v>0</v>
      </c>
      <c r="S31" s="177">
        <f>IF(A31&gt;0,SUM(MARKS!W23,MARKS!BC23),"")</f>
        <v>0</v>
      </c>
      <c r="T31" s="177">
        <f>IF(A31&gt;0,SUM(MARKS!AE23,MARKS!BK23),"")</f>
        <v>13</v>
      </c>
      <c r="U31" s="177">
        <f t="shared" si="2"/>
        <v>14</v>
      </c>
      <c r="V31" s="177" t="str">
        <f t="shared" si="3"/>
        <v>E</v>
      </c>
      <c r="W31" s="177">
        <f>IF(A31&gt;0,SUM(PASHEET!AN23,PASHEET!AV23),"")</f>
        <v>1</v>
      </c>
      <c r="X31" s="177">
        <f>IF(A31&gt;0,SUM(MARKS!H23,MARKS!AN23),"")</f>
        <v>0</v>
      </c>
      <c r="Y31" s="177">
        <f>IF(A31&gt;0,SUM(MARKS!P23,MARKS!AV23),"")</f>
        <v>0</v>
      </c>
      <c r="Z31" s="177">
        <f>IF(A31&gt;0,SUM(MARKS!X23,MARKS!BD23),"")</f>
        <v>0</v>
      </c>
      <c r="AA31" s="177">
        <f>IF(A31&gt;0,SUM(MARKS!AF23,MARKS!BL23),"")</f>
        <v>18</v>
      </c>
      <c r="AB31" s="177">
        <f t="shared" si="4"/>
        <v>19</v>
      </c>
      <c r="AC31" s="177" t="str">
        <f t="shared" si="5"/>
        <v>E</v>
      </c>
      <c r="AD31" s="177">
        <f>IF(A31&gt;0,SUM(PASHEET!AO23,PASHEET!AW23),"")</f>
        <v>1</v>
      </c>
      <c r="AE31" s="177">
        <f>IF(A31&gt;0,SUM(MARKS!I23,MARKS!AO23),"")</f>
        <v>0</v>
      </c>
      <c r="AF31" s="177">
        <f>IF(A31&gt;0,SUM(MARKS!Q23,MARKS!AW23),"")</f>
        <v>0</v>
      </c>
      <c r="AG31" s="177">
        <f>IF(A31&gt;0,SUM(MARKS!Y23,MARKS!BE23),"")</f>
        <v>0</v>
      </c>
      <c r="AH31" s="177">
        <f>IF(A31&gt;0,SUM(MARKS!AG23,MARKS!BM23),"")</f>
        <v>18</v>
      </c>
      <c r="AI31" s="177">
        <f t="shared" si="6"/>
        <v>19</v>
      </c>
      <c r="AJ31" s="177" t="str">
        <f t="shared" si="7"/>
        <v>E</v>
      </c>
      <c r="AK31" s="177">
        <f>IF(A31&gt;0,SUM(PASHEET!AP23,PASHEET!AX23),"")</f>
        <v>0</v>
      </c>
      <c r="AL31" s="177">
        <f>IF(A31&gt;0,SUM(MARKS!J23,MARKS!AP23),"")</f>
        <v>0</v>
      </c>
      <c r="AM31" s="177">
        <f>IF(A31&gt;0,SUM(MARKS!R23,MARKS!AX23),"")</f>
        <v>0</v>
      </c>
      <c r="AN31" s="177">
        <f>IF(A31&gt;0,SUM(MARKS!Z23,MARKS!BF23),"")</f>
        <v>0</v>
      </c>
      <c r="AO31" s="177">
        <f>IF(A31&gt;0,SUM(MARKS!AH23,MARKS!BN23),"")</f>
        <v>22</v>
      </c>
      <c r="AP31" s="177">
        <f t="shared" si="8"/>
        <v>22</v>
      </c>
      <c r="AQ31" s="177" t="str">
        <f t="shared" si="9"/>
        <v>E</v>
      </c>
      <c r="AR31" s="177">
        <f>IF(A31&gt;0,SUM(PASHEET!AQ23,PASHEET!AY23),"")</f>
        <v>2</v>
      </c>
      <c r="AS31" s="177">
        <f>IF(A31&gt;0,SUM(MARKS!K23,MARKS!AQ23),"")</f>
        <v>0</v>
      </c>
      <c r="AT31" s="177">
        <f>IF(A31&gt;0,SUM(MARKS!S23,MARKS!AY23),"")</f>
        <v>0</v>
      </c>
      <c r="AU31" s="177">
        <f>IF(A31&gt;0,SUM(MARKS!AA23,MARKS!BG23),"")</f>
        <v>0</v>
      </c>
      <c r="AV31" s="177">
        <f>IF(A31&gt;0,SUM(MARKS!AI23,MARKS!BO23),"")</f>
        <v>20</v>
      </c>
      <c r="AW31" s="177">
        <f t="shared" si="10"/>
        <v>22</v>
      </c>
      <c r="AX31" s="177" t="str">
        <f t="shared" si="11"/>
        <v>E</v>
      </c>
      <c r="AY31" s="47">
        <f t="shared" si="12"/>
        <v>127</v>
      </c>
      <c r="AZ31" s="70">
        <f t="shared" si="13"/>
        <v>21.1666666666667</v>
      </c>
      <c r="BA31" s="177" t="str">
        <f t="shared" si="14"/>
        <v>E</v>
      </c>
      <c r="BB31" s="47">
        <f>IF(A31&gt;0,FLN!I23,"")</f>
        <v>2</v>
      </c>
      <c r="BC31" s="47">
        <f>IF(A31&gt;0,FLN!J23,"")</f>
        <v>2</v>
      </c>
      <c r="BD31" s="47">
        <f>IF(A31&gt;0,FLN!K23,"")</f>
        <v>3</v>
      </c>
      <c r="BE31" s="47" t="str">
        <f t="shared" si="15"/>
        <v>PROMOTED</v>
      </c>
      <c r="BF31" s="130">
        <f>IF(AY31="","",IFERROR(RANK(AY31,$AY$12:$AY$111,0)+COUNTIFS($AY$12:AY31,AY31)-1,0))</f>
        <v>20</v>
      </c>
      <c r="BG31" s="130">
        <f t="shared" si="16"/>
        <v>127</v>
      </c>
    </row>
    <row r="32" s="98" customFormat="1" ht="27" customHeight="1" spans="1:59">
      <c r="A32" s="47">
        <f>IF(A31=0,0,IF(A31&lt;ENTRY!$D$24,A31+1,0))</f>
        <v>21</v>
      </c>
      <c r="B32" s="47">
        <f>IF(A32&gt;0,STUDENT!F22,"")</f>
        <v>14792</v>
      </c>
      <c r="C32" s="176" t="str">
        <f>IF(A32&gt;0,UPPER(STUDENT!E22),"")</f>
        <v>SOBHIT PASWAN</v>
      </c>
      <c r="D32" s="176" t="str">
        <f>IF(A32&gt;0,UPPER(STUDENT!H22),"")</f>
        <v>SHANKAR PASWAN</v>
      </c>
      <c r="E32" s="47" t="str">
        <f>IF(A32&gt;0,UPPER(STUDENT!BP22),"")</f>
        <v/>
      </c>
      <c r="F32" s="47" t="str">
        <f>IF(A32&gt;0,UPPER(STUDENT!BO22),"")</f>
        <v>FALSE</v>
      </c>
      <c r="G32" s="47" t="str">
        <f>IF(A32&gt;0,UPPER(STUDENT!Q22),"")</f>
        <v/>
      </c>
      <c r="H32" s="69" t="e">
        <f>IF(A32&gt;0,PASHEET!CI24/PASHEET!CJ24*100,"")</f>
        <v>#DIV/0!</v>
      </c>
      <c r="I32" s="177">
        <f>IF(A32&gt;0,SUM(PASHEET!AL24,PASHEET!AT24),"")</f>
        <v>1</v>
      </c>
      <c r="J32" s="177">
        <f>IF(A32&gt;0,SUM(MARKS!F24,MARKS!AL24),"")</f>
        <v>0</v>
      </c>
      <c r="K32" s="177">
        <f>IF(A32&gt;0,SUM(MARKS!N24,MARKS!AT24),"")</f>
        <v>0</v>
      </c>
      <c r="L32" s="177">
        <f>IF(A32&gt;0,SUM(MARKS!V24,MARKS!BB24),"")</f>
        <v>0</v>
      </c>
      <c r="M32" s="177">
        <f>IF(A32&gt;0,SUM(MARKS!AD24,MARKS!BJ24),"")</f>
        <v>30</v>
      </c>
      <c r="N32" s="177">
        <f t="shared" si="0"/>
        <v>31</v>
      </c>
      <c r="O32" s="177" t="str">
        <f t="shared" si="1"/>
        <v>E</v>
      </c>
      <c r="P32" s="177">
        <f>IF(A32&gt;0,SUM(PASHEET!AM24,PASHEET!AU24),"")</f>
        <v>1</v>
      </c>
      <c r="Q32" s="177">
        <f>IF(A32&gt;0,SUM(MARKS!G24,MARKS!AM24),"")</f>
        <v>0</v>
      </c>
      <c r="R32" s="177">
        <f>IF(A32&gt;0,SUM(MARKS!O24,MARKS!AU24),"")</f>
        <v>0</v>
      </c>
      <c r="S32" s="177">
        <f>IF(A32&gt;0,SUM(MARKS!W24,MARKS!BC24),"")</f>
        <v>0</v>
      </c>
      <c r="T32" s="177">
        <f>IF(A32&gt;0,SUM(MARKS!AE24,MARKS!BK24),"")</f>
        <v>13</v>
      </c>
      <c r="U32" s="177">
        <f t="shared" si="2"/>
        <v>14</v>
      </c>
      <c r="V32" s="177" t="str">
        <f t="shared" si="3"/>
        <v>E</v>
      </c>
      <c r="W32" s="177">
        <f>IF(A32&gt;0,SUM(PASHEET!AN24,PASHEET!AV24),"")</f>
        <v>1</v>
      </c>
      <c r="X32" s="177">
        <f>IF(A32&gt;0,SUM(MARKS!H24,MARKS!AN24),"")</f>
        <v>0</v>
      </c>
      <c r="Y32" s="177">
        <f>IF(A32&gt;0,SUM(MARKS!P24,MARKS!AV24),"")</f>
        <v>0</v>
      </c>
      <c r="Z32" s="177">
        <f>IF(A32&gt;0,SUM(MARKS!X24,MARKS!BD24),"")</f>
        <v>0</v>
      </c>
      <c r="AA32" s="177">
        <f>IF(A32&gt;0,SUM(MARKS!AF24,MARKS!BL24),"")</f>
        <v>13</v>
      </c>
      <c r="AB32" s="177">
        <f t="shared" si="4"/>
        <v>14</v>
      </c>
      <c r="AC32" s="177" t="str">
        <f t="shared" si="5"/>
        <v>E</v>
      </c>
      <c r="AD32" s="177">
        <f>IF(A32&gt;0,SUM(PASHEET!AO24,PASHEET!AW24),"")</f>
        <v>1</v>
      </c>
      <c r="AE32" s="177">
        <f>IF(A32&gt;0,SUM(MARKS!I24,MARKS!AO24),"")</f>
        <v>0</v>
      </c>
      <c r="AF32" s="177">
        <f>IF(A32&gt;0,SUM(MARKS!Q24,MARKS!AW24),"")</f>
        <v>0</v>
      </c>
      <c r="AG32" s="177">
        <f>IF(A32&gt;0,SUM(MARKS!Y24,MARKS!BE24),"")</f>
        <v>0</v>
      </c>
      <c r="AH32" s="177">
        <f>IF(A32&gt;0,SUM(MARKS!AG24,MARKS!BM24),"")</f>
        <v>13</v>
      </c>
      <c r="AI32" s="177">
        <f t="shared" si="6"/>
        <v>14</v>
      </c>
      <c r="AJ32" s="177" t="str">
        <f t="shared" si="7"/>
        <v>E</v>
      </c>
      <c r="AK32" s="177">
        <f>IF(A32&gt;0,SUM(PASHEET!AP24,PASHEET!AX24),"")</f>
        <v>0</v>
      </c>
      <c r="AL32" s="177">
        <f>IF(A32&gt;0,SUM(MARKS!J24,MARKS!AP24),"")</f>
        <v>0</v>
      </c>
      <c r="AM32" s="177">
        <f>IF(A32&gt;0,SUM(MARKS!R24,MARKS!AX24),"")</f>
        <v>0</v>
      </c>
      <c r="AN32" s="177">
        <f>IF(A32&gt;0,SUM(MARKS!Z24,MARKS!BF24),"")</f>
        <v>0</v>
      </c>
      <c r="AO32" s="177">
        <f>IF(A32&gt;0,SUM(MARKS!AH24,MARKS!BN24),"")</f>
        <v>13</v>
      </c>
      <c r="AP32" s="177">
        <f t="shared" si="8"/>
        <v>13</v>
      </c>
      <c r="AQ32" s="177" t="str">
        <f t="shared" si="9"/>
        <v>E</v>
      </c>
      <c r="AR32" s="177">
        <f>IF(A32&gt;0,SUM(PASHEET!AQ24,PASHEET!AY24),"")</f>
        <v>2</v>
      </c>
      <c r="AS32" s="177">
        <f>IF(A32&gt;0,SUM(MARKS!K24,MARKS!AQ24),"")</f>
        <v>0</v>
      </c>
      <c r="AT32" s="177">
        <f>IF(A32&gt;0,SUM(MARKS!S24,MARKS!AY24),"")</f>
        <v>0</v>
      </c>
      <c r="AU32" s="177">
        <f>IF(A32&gt;0,SUM(MARKS!AA24,MARKS!BG24),"")</f>
        <v>0</v>
      </c>
      <c r="AV32" s="177">
        <f>IF(A32&gt;0,SUM(MARKS!AI24,MARKS!BO24),"")</f>
        <v>18</v>
      </c>
      <c r="AW32" s="177">
        <f t="shared" si="10"/>
        <v>20</v>
      </c>
      <c r="AX32" s="177" t="str">
        <f t="shared" si="11"/>
        <v>E</v>
      </c>
      <c r="AY32" s="47">
        <f t="shared" si="12"/>
        <v>106</v>
      </c>
      <c r="AZ32" s="70">
        <f t="shared" si="13"/>
        <v>17.6666666666667</v>
      </c>
      <c r="BA32" s="177" t="str">
        <f t="shared" si="14"/>
        <v>E</v>
      </c>
      <c r="BB32" s="47">
        <f>IF(A32&gt;0,FLN!I24,"")</f>
        <v>2</v>
      </c>
      <c r="BC32" s="47">
        <f>IF(A32&gt;0,FLN!J24,"")</f>
        <v>2</v>
      </c>
      <c r="BD32" s="47">
        <f>IF(A32&gt;0,FLN!K24,"")</f>
        <v>3</v>
      </c>
      <c r="BE32" s="47" t="str">
        <f t="shared" si="15"/>
        <v>PROMOTED</v>
      </c>
      <c r="BF32" s="130">
        <f>IF(AY32="","",IFERROR(RANK(AY32,$AY$12:$AY$111,0)+COUNTIFS($AY$12:AY32,AY32)-1,0))</f>
        <v>36</v>
      </c>
      <c r="BG32" s="130">
        <f t="shared" si="16"/>
        <v>106</v>
      </c>
    </row>
    <row r="33" s="98" customFormat="1" ht="27" customHeight="1" spans="1:59">
      <c r="A33" s="47">
        <f>IF(A32=0,0,IF(A32&lt;ENTRY!$D$24,A32+1,0))</f>
        <v>22</v>
      </c>
      <c r="B33" s="47">
        <f>IF(A33&gt;0,STUDENT!F23,"")</f>
        <v>14804</v>
      </c>
      <c r="C33" s="176" t="str">
        <f>IF(A33&gt;0,UPPER(STUDENT!E23),"")</f>
        <v>ABHISHEK MUKHIYA</v>
      </c>
      <c r="D33" s="176" t="str">
        <f>IF(A33&gt;0,UPPER(STUDENT!H23),"")</f>
        <v>ARJUN MUKHIYA</v>
      </c>
      <c r="E33" s="47" t="str">
        <f>IF(A33&gt;0,UPPER(STUDENT!BP23),"")</f>
        <v/>
      </c>
      <c r="F33" s="47" t="str">
        <f>IF(A33&gt;0,UPPER(STUDENT!BO23),"")</f>
        <v>FALSE</v>
      </c>
      <c r="G33" s="47" t="str">
        <f>IF(A33&gt;0,UPPER(STUDENT!Q23),"")</f>
        <v/>
      </c>
      <c r="H33" s="69" t="e">
        <f>IF(A33&gt;0,PASHEET!CI25/PASHEET!CJ25*100,"")</f>
        <v>#DIV/0!</v>
      </c>
      <c r="I33" s="177">
        <f>IF(A33&gt;0,SUM(PASHEET!AL25,PASHEET!AT25),"")</f>
        <v>2</v>
      </c>
      <c r="J33" s="177">
        <f>IF(A33&gt;0,SUM(MARKS!F25,MARKS!AL25),"")</f>
        <v>0</v>
      </c>
      <c r="K33" s="177">
        <f>IF(A33&gt;0,SUM(MARKS!N25,MARKS!AT25),"")</f>
        <v>0</v>
      </c>
      <c r="L33" s="177">
        <f>IF(A33&gt;0,SUM(MARKS!V25,MARKS!BB25),"")</f>
        <v>0</v>
      </c>
      <c r="M33" s="177">
        <f>IF(A33&gt;0,SUM(MARKS!AD25,MARKS!BJ25),"")</f>
        <v>45</v>
      </c>
      <c r="N33" s="177">
        <f t="shared" si="0"/>
        <v>47</v>
      </c>
      <c r="O33" s="177" t="str">
        <f t="shared" si="1"/>
        <v>C</v>
      </c>
      <c r="P33" s="177">
        <f>IF(A33&gt;0,SUM(PASHEET!AM25,PASHEET!AU25),"")</f>
        <v>2</v>
      </c>
      <c r="Q33" s="177">
        <f>IF(A33&gt;0,SUM(MARKS!G25,MARKS!AM25),"")</f>
        <v>0</v>
      </c>
      <c r="R33" s="177">
        <f>IF(A33&gt;0,SUM(MARKS!O25,MARKS!AU25),"")</f>
        <v>0</v>
      </c>
      <c r="S33" s="177">
        <f>IF(A33&gt;0,SUM(MARKS!W25,MARKS!BC25),"")</f>
        <v>0</v>
      </c>
      <c r="T33" s="177">
        <f>IF(A33&gt;0,SUM(MARKS!AE25,MARKS!BK25),"")</f>
        <v>26</v>
      </c>
      <c r="U33" s="177">
        <f t="shared" si="2"/>
        <v>28</v>
      </c>
      <c r="V33" s="177" t="str">
        <f t="shared" si="3"/>
        <v>E</v>
      </c>
      <c r="W33" s="177">
        <f>IF(A33&gt;0,SUM(PASHEET!AN25,PASHEET!AV25),"")</f>
        <v>2</v>
      </c>
      <c r="X33" s="177">
        <f>IF(A33&gt;0,SUM(MARKS!H25,MARKS!AN25),"")</f>
        <v>0</v>
      </c>
      <c r="Y33" s="177">
        <f>IF(A33&gt;0,SUM(MARKS!P25,MARKS!AV25),"")</f>
        <v>0</v>
      </c>
      <c r="Z33" s="177">
        <f>IF(A33&gt;0,SUM(MARKS!X25,MARKS!BD25),"")</f>
        <v>0</v>
      </c>
      <c r="AA33" s="177">
        <f>IF(A33&gt;0,SUM(MARKS!AF25,MARKS!BL25),"")</f>
        <v>22</v>
      </c>
      <c r="AB33" s="177">
        <f t="shared" si="4"/>
        <v>24</v>
      </c>
      <c r="AC33" s="177" t="str">
        <f t="shared" si="5"/>
        <v>E</v>
      </c>
      <c r="AD33" s="177">
        <f>IF(A33&gt;0,SUM(PASHEET!AO25,PASHEET!AW25),"")</f>
        <v>2</v>
      </c>
      <c r="AE33" s="177">
        <f>IF(A33&gt;0,SUM(MARKS!I25,MARKS!AO25),"")</f>
        <v>0</v>
      </c>
      <c r="AF33" s="177">
        <f>IF(A33&gt;0,SUM(MARKS!Q25,MARKS!AW25),"")</f>
        <v>0</v>
      </c>
      <c r="AG33" s="177">
        <f>IF(A33&gt;0,SUM(MARKS!Y25,MARKS!BE25),"")</f>
        <v>0</v>
      </c>
      <c r="AH33" s="177">
        <f>IF(A33&gt;0,SUM(MARKS!AG25,MARKS!BM25),"")</f>
        <v>23</v>
      </c>
      <c r="AI33" s="177">
        <f t="shared" si="6"/>
        <v>25</v>
      </c>
      <c r="AJ33" s="177" t="str">
        <f t="shared" si="7"/>
        <v>E</v>
      </c>
      <c r="AK33" s="177">
        <f>IF(A33&gt;0,SUM(PASHEET!AP25,PASHEET!AX25),"")</f>
        <v>0</v>
      </c>
      <c r="AL33" s="177">
        <f>IF(A33&gt;0,SUM(MARKS!J25,MARKS!AP25),"")</f>
        <v>0</v>
      </c>
      <c r="AM33" s="177">
        <f>IF(A33&gt;0,SUM(MARKS!R25,MARKS!AX25),"")</f>
        <v>0</v>
      </c>
      <c r="AN33" s="177">
        <f>IF(A33&gt;0,SUM(MARKS!Z25,MARKS!BF25),"")</f>
        <v>0</v>
      </c>
      <c r="AO33" s="177">
        <f>IF(A33&gt;0,SUM(MARKS!AH25,MARKS!BN25),"")</f>
        <v>25</v>
      </c>
      <c r="AP33" s="177">
        <f t="shared" si="8"/>
        <v>25</v>
      </c>
      <c r="AQ33" s="177" t="str">
        <f t="shared" si="9"/>
        <v>E</v>
      </c>
      <c r="AR33" s="177">
        <f>IF(A33&gt;0,SUM(PASHEET!AQ25,PASHEET!AY25),"")</f>
        <v>2</v>
      </c>
      <c r="AS33" s="177">
        <f>IF(A33&gt;0,SUM(MARKS!K25,MARKS!AQ25),"")</f>
        <v>0</v>
      </c>
      <c r="AT33" s="177">
        <f>IF(A33&gt;0,SUM(MARKS!S25,MARKS!AY25),"")</f>
        <v>0</v>
      </c>
      <c r="AU33" s="177">
        <f>IF(A33&gt;0,SUM(MARKS!AA25,MARKS!BG25),"")</f>
        <v>0</v>
      </c>
      <c r="AV33" s="177">
        <f>IF(A33&gt;0,SUM(MARKS!AI25,MARKS!BO25),"")</f>
        <v>25</v>
      </c>
      <c r="AW33" s="177">
        <f t="shared" si="10"/>
        <v>27</v>
      </c>
      <c r="AX33" s="177" t="str">
        <f t="shared" si="11"/>
        <v>E</v>
      </c>
      <c r="AY33" s="47">
        <f t="shared" si="12"/>
        <v>176</v>
      </c>
      <c r="AZ33" s="70">
        <f t="shared" si="13"/>
        <v>29.3333333333333</v>
      </c>
      <c r="BA33" s="177" t="str">
        <f t="shared" si="14"/>
        <v>E</v>
      </c>
      <c r="BB33" s="47">
        <f>IF(A33&gt;0,FLN!I25,"")</f>
        <v>2</v>
      </c>
      <c r="BC33" s="47">
        <f>IF(A33&gt;0,FLN!J25,"")</f>
        <v>2</v>
      </c>
      <c r="BD33" s="47">
        <f>IF(A33&gt;0,FLN!K25,"")</f>
        <v>3</v>
      </c>
      <c r="BE33" s="47" t="str">
        <f t="shared" si="15"/>
        <v>PROMOTED</v>
      </c>
      <c r="BF33" s="130">
        <f>IF(AY33="","",IFERROR(RANK(AY33,$AY$12:$AY$111,0)+COUNTIFS($AY$12:AY33,AY33)-1,0))</f>
        <v>5</v>
      </c>
      <c r="BG33" s="130">
        <f t="shared" si="16"/>
        <v>176</v>
      </c>
    </row>
    <row r="34" s="98" customFormat="1" ht="27" customHeight="1" spans="1:59">
      <c r="A34" s="47">
        <f>IF(A33=0,0,IF(A33&lt;ENTRY!$D$24,A33+1,0))</f>
        <v>23</v>
      </c>
      <c r="B34" s="47">
        <f>IF(A34&gt;0,STUDENT!F24,"")</f>
        <v>14805</v>
      </c>
      <c r="C34" s="176" t="str">
        <f>IF(A34&gt;0,UPPER(STUDENT!E24),"")</f>
        <v>NITIN</v>
      </c>
      <c r="D34" s="176" t="str">
        <f>IF(A34&gt;0,UPPER(STUDENT!H24),"")</f>
        <v>AJAY</v>
      </c>
      <c r="E34" s="47" t="str">
        <f>IF(A34&gt;0,UPPER(STUDENT!BP24),"")</f>
        <v/>
      </c>
      <c r="F34" s="47" t="str">
        <f>IF(A34&gt;0,UPPER(STUDENT!BO24),"")</f>
        <v>FALSE</v>
      </c>
      <c r="G34" s="47" t="str">
        <f>IF(A34&gt;0,UPPER(STUDENT!Q24),"")</f>
        <v/>
      </c>
      <c r="H34" s="69" t="e">
        <f>IF(A34&gt;0,PASHEET!CI26/PASHEET!CJ26*100,"")</f>
        <v>#DIV/0!</v>
      </c>
      <c r="I34" s="177">
        <f>IF(A34&gt;0,SUM(PASHEET!AL26,PASHEET!AT26),"")</f>
        <v>2</v>
      </c>
      <c r="J34" s="177">
        <f>IF(A34&gt;0,SUM(MARKS!F26,MARKS!AL26),"")</f>
        <v>0</v>
      </c>
      <c r="K34" s="177">
        <f>IF(A34&gt;0,SUM(MARKS!N26,MARKS!AT26),"")</f>
        <v>0</v>
      </c>
      <c r="L34" s="177">
        <f>IF(A34&gt;0,SUM(MARKS!V26,MARKS!BB26),"")</f>
        <v>0</v>
      </c>
      <c r="M34" s="177">
        <f>IF(A34&gt;0,SUM(MARKS!AD26,MARKS!BJ26),"")</f>
        <v>45</v>
      </c>
      <c r="N34" s="177">
        <f t="shared" si="0"/>
        <v>47</v>
      </c>
      <c r="O34" s="177" t="str">
        <f t="shared" si="1"/>
        <v>C</v>
      </c>
      <c r="P34" s="177">
        <f>IF(A34&gt;0,SUM(PASHEET!AM26,PASHEET!AU26),"")</f>
        <v>2</v>
      </c>
      <c r="Q34" s="177">
        <f>IF(A34&gt;0,SUM(MARKS!G26,MARKS!AM26),"")</f>
        <v>0</v>
      </c>
      <c r="R34" s="177">
        <f>IF(A34&gt;0,SUM(MARKS!O26,MARKS!AU26),"")</f>
        <v>0</v>
      </c>
      <c r="S34" s="177">
        <f>IF(A34&gt;0,SUM(MARKS!W26,MARKS!BC26),"")</f>
        <v>0</v>
      </c>
      <c r="T34" s="177">
        <f>IF(A34&gt;0,SUM(MARKS!AE26,MARKS!BK26),"")</f>
        <v>23</v>
      </c>
      <c r="U34" s="177">
        <f t="shared" si="2"/>
        <v>25</v>
      </c>
      <c r="V34" s="177" t="str">
        <f t="shared" si="3"/>
        <v>E</v>
      </c>
      <c r="W34" s="177">
        <f>IF(A34&gt;0,SUM(PASHEET!AN26,PASHEET!AV26),"")</f>
        <v>1</v>
      </c>
      <c r="X34" s="177">
        <f>IF(A34&gt;0,SUM(MARKS!H26,MARKS!AN26),"")</f>
        <v>0</v>
      </c>
      <c r="Y34" s="177">
        <f>IF(A34&gt;0,SUM(MARKS!P26,MARKS!AV26),"")</f>
        <v>0</v>
      </c>
      <c r="Z34" s="177">
        <f>IF(A34&gt;0,SUM(MARKS!X26,MARKS!BD26),"")</f>
        <v>0</v>
      </c>
      <c r="AA34" s="177">
        <f>IF(A34&gt;0,SUM(MARKS!AF26,MARKS!BL26),"")</f>
        <v>22</v>
      </c>
      <c r="AB34" s="177">
        <f t="shared" si="4"/>
        <v>23</v>
      </c>
      <c r="AC34" s="177" t="str">
        <f t="shared" si="5"/>
        <v>E</v>
      </c>
      <c r="AD34" s="177">
        <f>IF(A34&gt;0,SUM(PASHEET!AO26,PASHEET!AW26),"")</f>
        <v>1</v>
      </c>
      <c r="AE34" s="177">
        <f>IF(A34&gt;0,SUM(MARKS!I26,MARKS!AO26),"")</f>
        <v>0</v>
      </c>
      <c r="AF34" s="177">
        <f>IF(A34&gt;0,SUM(MARKS!Q26,MARKS!AW26),"")</f>
        <v>0</v>
      </c>
      <c r="AG34" s="177">
        <f>IF(A34&gt;0,SUM(MARKS!Y26,MARKS!BE26),"")</f>
        <v>0</v>
      </c>
      <c r="AH34" s="177">
        <f>IF(A34&gt;0,SUM(MARKS!AG26,MARKS!BM26),"")</f>
        <v>23</v>
      </c>
      <c r="AI34" s="177">
        <f t="shared" si="6"/>
        <v>24</v>
      </c>
      <c r="AJ34" s="177" t="str">
        <f t="shared" si="7"/>
        <v>E</v>
      </c>
      <c r="AK34" s="177">
        <f>IF(A34&gt;0,SUM(PASHEET!AP26,PASHEET!AX26),"")</f>
        <v>0</v>
      </c>
      <c r="AL34" s="177">
        <f>IF(A34&gt;0,SUM(MARKS!J26,MARKS!AP26),"")</f>
        <v>0</v>
      </c>
      <c r="AM34" s="177">
        <f>IF(A34&gt;0,SUM(MARKS!R26,MARKS!AX26),"")</f>
        <v>0</v>
      </c>
      <c r="AN34" s="177">
        <f>IF(A34&gt;0,SUM(MARKS!Z26,MARKS!BF26),"")</f>
        <v>0</v>
      </c>
      <c r="AO34" s="177">
        <f>IF(A34&gt;0,SUM(MARKS!AH26,MARKS!BN26),"")</f>
        <v>21</v>
      </c>
      <c r="AP34" s="177">
        <f t="shared" si="8"/>
        <v>21</v>
      </c>
      <c r="AQ34" s="177" t="str">
        <f t="shared" si="9"/>
        <v>E</v>
      </c>
      <c r="AR34" s="177">
        <f>IF(A34&gt;0,SUM(PASHEET!AQ26,PASHEET!AY26),"")</f>
        <v>2</v>
      </c>
      <c r="AS34" s="177">
        <f>IF(A34&gt;0,SUM(MARKS!K26,MARKS!AQ26),"")</f>
        <v>0</v>
      </c>
      <c r="AT34" s="177">
        <f>IF(A34&gt;0,SUM(MARKS!S26,MARKS!AY26),"")</f>
        <v>0</v>
      </c>
      <c r="AU34" s="177">
        <f>IF(A34&gt;0,SUM(MARKS!AA26,MARKS!BG26),"")</f>
        <v>0</v>
      </c>
      <c r="AV34" s="177">
        <f>IF(A34&gt;0,SUM(MARKS!AI26,MARKS!BO26),"")</f>
        <v>27</v>
      </c>
      <c r="AW34" s="177">
        <f t="shared" si="10"/>
        <v>29</v>
      </c>
      <c r="AX34" s="177" t="str">
        <f t="shared" si="11"/>
        <v>E</v>
      </c>
      <c r="AY34" s="47">
        <f t="shared" si="12"/>
        <v>169</v>
      </c>
      <c r="AZ34" s="70">
        <f t="shared" si="13"/>
        <v>28.1666666666667</v>
      </c>
      <c r="BA34" s="177" t="str">
        <f t="shared" si="14"/>
        <v>E</v>
      </c>
      <c r="BB34" s="47">
        <f>IF(A34&gt;0,FLN!I26,"")</f>
        <v>4</v>
      </c>
      <c r="BC34" s="47">
        <f>IF(A34&gt;0,FLN!J26,"")</f>
        <v>3</v>
      </c>
      <c r="BD34" s="47">
        <f>IF(A34&gt;0,FLN!K26,"")</f>
        <v>4</v>
      </c>
      <c r="BE34" s="47" t="str">
        <f t="shared" si="15"/>
        <v>PROMOTED</v>
      </c>
      <c r="BF34" s="130">
        <f>IF(AY34="","",IFERROR(RANK(AY34,$AY$12:$AY$111,0)+COUNTIFS($AY$12:AY34,AY34)-1,0))</f>
        <v>7</v>
      </c>
      <c r="BG34" s="130">
        <f t="shared" si="16"/>
        <v>169</v>
      </c>
    </row>
    <row r="35" s="98" customFormat="1" ht="27" customHeight="1" spans="1:59">
      <c r="A35" s="47">
        <f>IF(A34=0,0,IF(A34&lt;ENTRY!$D$24,A34+1,0))</f>
        <v>24</v>
      </c>
      <c r="B35" s="47">
        <f>IF(A35&gt;0,STUDENT!F25,"")</f>
        <v>14806</v>
      </c>
      <c r="C35" s="176" t="str">
        <f>IF(A35&gt;0,UPPER(STUDENT!E25),"")</f>
        <v>SOORYA VANSHAL</v>
      </c>
      <c r="D35" s="176" t="str">
        <f>IF(A35&gt;0,UPPER(STUDENT!H25),"")</f>
        <v>KAMLESH KUMAR</v>
      </c>
      <c r="E35" s="47" t="str">
        <f>IF(A35&gt;0,UPPER(STUDENT!BP25),"")</f>
        <v/>
      </c>
      <c r="F35" s="47" t="str">
        <f>IF(A35&gt;0,UPPER(STUDENT!BO25),"")</f>
        <v>FALSE</v>
      </c>
      <c r="G35" s="47" t="str">
        <f>IF(A35&gt;0,UPPER(STUDENT!Q25),"")</f>
        <v/>
      </c>
      <c r="H35" s="69" t="e">
        <f>IF(A35&gt;0,PASHEET!CI27/PASHEET!CJ27*100,"")</f>
        <v>#DIV/0!</v>
      </c>
      <c r="I35" s="177">
        <f>IF(A35&gt;0,SUM(PASHEET!AL27,PASHEET!AT27),"")</f>
        <v>1</v>
      </c>
      <c r="J35" s="177">
        <f>IF(A35&gt;0,SUM(MARKS!F27,MARKS!AL27),"")</f>
        <v>0</v>
      </c>
      <c r="K35" s="177">
        <f>IF(A35&gt;0,SUM(MARKS!N27,MARKS!AT27),"")</f>
        <v>0</v>
      </c>
      <c r="L35" s="177">
        <f>IF(A35&gt;0,SUM(MARKS!V27,MARKS!BB27),"")</f>
        <v>0</v>
      </c>
      <c r="M35" s="177">
        <f>IF(A35&gt;0,SUM(MARKS!AD27,MARKS!BJ27),"")</f>
        <v>47</v>
      </c>
      <c r="N35" s="177">
        <f t="shared" si="0"/>
        <v>48</v>
      </c>
      <c r="O35" s="177" t="str">
        <f t="shared" si="1"/>
        <v>C</v>
      </c>
      <c r="P35" s="177">
        <f>IF(A35&gt;0,SUM(PASHEET!AM27,PASHEET!AU27),"")</f>
        <v>1</v>
      </c>
      <c r="Q35" s="177">
        <f>IF(A35&gt;0,SUM(MARKS!G27,MARKS!AM27),"")</f>
        <v>0</v>
      </c>
      <c r="R35" s="177">
        <f>IF(A35&gt;0,SUM(MARKS!O27,MARKS!AU27),"")</f>
        <v>0</v>
      </c>
      <c r="S35" s="177">
        <f>IF(A35&gt;0,SUM(MARKS!W27,MARKS!BC27),"")</f>
        <v>0</v>
      </c>
      <c r="T35" s="177">
        <f>IF(A35&gt;0,SUM(MARKS!AE27,MARKS!BK27),"")</f>
        <v>22</v>
      </c>
      <c r="U35" s="177">
        <f t="shared" si="2"/>
        <v>23</v>
      </c>
      <c r="V35" s="177" t="str">
        <f t="shared" si="3"/>
        <v>E</v>
      </c>
      <c r="W35" s="177">
        <f>IF(A35&gt;0,SUM(PASHEET!AN27,PASHEET!AV27),"")</f>
        <v>1</v>
      </c>
      <c r="X35" s="177">
        <f>IF(A35&gt;0,SUM(MARKS!H27,MARKS!AN27),"")</f>
        <v>0</v>
      </c>
      <c r="Y35" s="177">
        <f>IF(A35&gt;0,SUM(MARKS!P27,MARKS!AV27),"")</f>
        <v>0</v>
      </c>
      <c r="Z35" s="177">
        <f>IF(A35&gt;0,SUM(MARKS!X27,MARKS!BD27),"")</f>
        <v>0</v>
      </c>
      <c r="AA35" s="177">
        <f>IF(A35&gt;0,SUM(MARKS!AF27,MARKS!BL27),"")</f>
        <v>20</v>
      </c>
      <c r="AB35" s="177">
        <f t="shared" si="4"/>
        <v>21</v>
      </c>
      <c r="AC35" s="177" t="str">
        <f t="shared" si="5"/>
        <v>E</v>
      </c>
      <c r="AD35" s="177">
        <f>IF(A35&gt;0,SUM(PASHEET!AO27,PASHEET!AW27),"")</f>
        <v>1</v>
      </c>
      <c r="AE35" s="177">
        <f>IF(A35&gt;0,SUM(MARKS!I27,MARKS!AO27),"")</f>
        <v>0</v>
      </c>
      <c r="AF35" s="177">
        <f>IF(A35&gt;0,SUM(MARKS!Q27,MARKS!AW27),"")</f>
        <v>0</v>
      </c>
      <c r="AG35" s="177">
        <f>IF(A35&gt;0,SUM(MARKS!Y27,MARKS!BE27),"")</f>
        <v>0</v>
      </c>
      <c r="AH35" s="177">
        <f>IF(A35&gt;0,SUM(MARKS!AG27,MARKS!BM27),"")</f>
        <v>21</v>
      </c>
      <c r="AI35" s="177">
        <f t="shared" si="6"/>
        <v>22</v>
      </c>
      <c r="AJ35" s="177" t="str">
        <f t="shared" si="7"/>
        <v>E</v>
      </c>
      <c r="AK35" s="177">
        <f>IF(A35&gt;0,SUM(PASHEET!AP27,PASHEET!AX27),"")</f>
        <v>0</v>
      </c>
      <c r="AL35" s="177">
        <f>IF(A35&gt;0,SUM(MARKS!J27,MARKS!AP27),"")</f>
        <v>0</v>
      </c>
      <c r="AM35" s="177">
        <f>IF(A35&gt;0,SUM(MARKS!R27,MARKS!AX27),"")</f>
        <v>0</v>
      </c>
      <c r="AN35" s="177">
        <f>IF(A35&gt;0,SUM(MARKS!Z27,MARKS!BF27),"")</f>
        <v>0</v>
      </c>
      <c r="AO35" s="177">
        <f>IF(A35&gt;0,SUM(MARKS!AH27,MARKS!BN27),"")</f>
        <v>21</v>
      </c>
      <c r="AP35" s="177">
        <f t="shared" si="8"/>
        <v>21</v>
      </c>
      <c r="AQ35" s="177" t="str">
        <f t="shared" si="9"/>
        <v>E</v>
      </c>
      <c r="AR35" s="177">
        <f>IF(A35&gt;0,SUM(PASHEET!AQ27,PASHEET!AY27),"")</f>
        <v>2</v>
      </c>
      <c r="AS35" s="177">
        <f>IF(A35&gt;0,SUM(MARKS!K27,MARKS!AQ27),"")</f>
        <v>0</v>
      </c>
      <c r="AT35" s="177">
        <f>IF(A35&gt;0,SUM(MARKS!S27,MARKS!AY27),"")</f>
        <v>0</v>
      </c>
      <c r="AU35" s="177">
        <f>IF(A35&gt;0,SUM(MARKS!AA27,MARKS!BG27),"")</f>
        <v>0</v>
      </c>
      <c r="AV35" s="177">
        <f>IF(A35&gt;0,SUM(MARKS!AI27,MARKS!BO27),"")</f>
        <v>26</v>
      </c>
      <c r="AW35" s="177">
        <f t="shared" si="10"/>
        <v>28</v>
      </c>
      <c r="AX35" s="177" t="str">
        <f t="shared" si="11"/>
        <v>E</v>
      </c>
      <c r="AY35" s="47">
        <f t="shared" si="12"/>
        <v>163</v>
      </c>
      <c r="AZ35" s="70">
        <f t="shared" si="13"/>
        <v>27.1666666666667</v>
      </c>
      <c r="BA35" s="177" t="str">
        <f t="shared" si="14"/>
        <v>E</v>
      </c>
      <c r="BB35" s="47">
        <f>IF(A35&gt;0,FLN!I27,"")</f>
        <v>2</v>
      </c>
      <c r="BC35" s="47">
        <f>IF(A35&gt;0,FLN!J27,"")</f>
        <v>2</v>
      </c>
      <c r="BD35" s="47">
        <f>IF(A35&gt;0,FLN!K27,"")</f>
        <v>3</v>
      </c>
      <c r="BE35" s="47" t="str">
        <f t="shared" si="15"/>
        <v>PROMOTED</v>
      </c>
      <c r="BF35" s="130">
        <f>IF(AY35="","",IFERROR(RANK(AY35,$AY$12:$AY$111,0)+COUNTIFS($AY$12:AY35,AY35)-1,0))</f>
        <v>10</v>
      </c>
      <c r="BG35" s="130">
        <f t="shared" si="16"/>
        <v>163</v>
      </c>
    </row>
    <row r="36" s="98" customFormat="1" ht="27" customHeight="1" spans="1:59">
      <c r="A36" s="47">
        <f>IF(A35=0,0,IF(A35&lt;ENTRY!$D$24,A35+1,0))</f>
        <v>25</v>
      </c>
      <c r="B36" s="47">
        <f>IF(A36&gt;0,STUDENT!F26,"")</f>
        <v>14943</v>
      </c>
      <c r="C36" s="176" t="str">
        <f>IF(A36&gt;0,UPPER(STUDENT!E26),"")</f>
        <v>ANSHU KUMAR PANDIT</v>
      </c>
      <c r="D36" s="176" t="str">
        <f>IF(A36&gt;0,UPPER(STUDENT!H26),"")</f>
        <v>RAMESH KUMAR PANDIT</v>
      </c>
      <c r="E36" s="47" t="str">
        <f>IF(A36&gt;0,UPPER(STUDENT!BP26),"")</f>
        <v/>
      </c>
      <c r="F36" s="47" t="str">
        <f>IF(A36&gt;0,UPPER(STUDENT!BO26),"")</f>
        <v>FALSE</v>
      </c>
      <c r="G36" s="47" t="str">
        <f>IF(A36&gt;0,UPPER(STUDENT!Q26),"")</f>
        <v/>
      </c>
      <c r="H36" s="69" t="e">
        <f>IF(A36&gt;0,PASHEET!CI28/PASHEET!CJ28*100,"")</f>
        <v>#DIV/0!</v>
      </c>
      <c r="I36" s="177">
        <f>IF(A36&gt;0,SUM(PASHEET!AL28,PASHEET!AT28),"")</f>
        <v>2</v>
      </c>
      <c r="J36" s="177">
        <f>IF(A36&gt;0,SUM(MARKS!F28,MARKS!AL28),"")</f>
        <v>0</v>
      </c>
      <c r="K36" s="177">
        <f>IF(A36&gt;0,SUM(MARKS!N28,MARKS!AT28),"")</f>
        <v>0</v>
      </c>
      <c r="L36" s="177">
        <f>IF(A36&gt;0,SUM(MARKS!V28,MARKS!BB28),"")</f>
        <v>0</v>
      </c>
      <c r="M36" s="177">
        <f>IF(A36&gt;0,SUM(MARKS!AD28,MARKS!BJ28),"")</f>
        <v>48</v>
      </c>
      <c r="N36" s="177">
        <f t="shared" si="0"/>
        <v>50</v>
      </c>
      <c r="O36" s="177" t="str">
        <f t="shared" si="1"/>
        <v>C</v>
      </c>
      <c r="P36" s="177">
        <f>IF(A36&gt;0,SUM(PASHEET!AM28,PASHEET!AU28),"")</f>
        <v>2</v>
      </c>
      <c r="Q36" s="177">
        <f>IF(A36&gt;0,SUM(MARKS!G28,MARKS!AM28),"")</f>
        <v>0</v>
      </c>
      <c r="R36" s="177">
        <f>IF(A36&gt;0,SUM(MARKS!O28,MARKS!AU28),"")</f>
        <v>0</v>
      </c>
      <c r="S36" s="177">
        <f>IF(A36&gt;0,SUM(MARKS!W28,MARKS!BC28),"")</f>
        <v>0</v>
      </c>
      <c r="T36" s="177">
        <f>IF(A36&gt;0,SUM(MARKS!AE28,MARKS!BK28),"")</f>
        <v>21</v>
      </c>
      <c r="U36" s="177">
        <f t="shared" si="2"/>
        <v>23</v>
      </c>
      <c r="V36" s="177" t="str">
        <f t="shared" si="3"/>
        <v>E</v>
      </c>
      <c r="W36" s="177">
        <f>IF(A36&gt;0,SUM(PASHEET!AN28,PASHEET!AV28),"")</f>
        <v>2</v>
      </c>
      <c r="X36" s="177">
        <f>IF(A36&gt;0,SUM(MARKS!H28,MARKS!AN28),"")</f>
        <v>0</v>
      </c>
      <c r="Y36" s="177">
        <f>IF(A36&gt;0,SUM(MARKS!P28,MARKS!AV28),"")</f>
        <v>0</v>
      </c>
      <c r="Z36" s="177">
        <f>IF(A36&gt;0,SUM(MARKS!X28,MARKS!BD28),"")</f>
        <v>0</v>
      </c>
      <c r="AA36" s="177">
        <f>IF(A36&gt;0,SUM(MARKS!AF28,MARKS!BL28),"")</f>
        <v>25</v>
      </c>
      <c r="AB36" s="177">
        <f t="shared" si="4"/>
        <v>27</v>
      </c>
      <c r="AC36" s="177" t="str">
        <f t="shared" si="5"/>
        <v>E</v>
      </c>
      <c r="AD36" s="177">
        <f>IF(A36&gt;0,SUM(PASHEET!AO28,PASHEET!AW28),"")</f>
        <v>2</v>
      </c>
      <c r="AE36" s="177">
        <f>IF(A36&gt;0,SUM(MARKS!I28,MARKS!AO28),"")</f>
        <v>0</v>
      </c>
      <c r="AF36" s="177">
        <f>IF(A36&gt;0,SUM(MARKS!Q28,MARKS!AW28),"")</f>
        <v>0</v>
      </c>
      <c r="AG36" s="177">
        <f>IF(A36&gt;0,SUM(MARKS!Y28,MARKS!BE28),"")</f>
        <v>0</v>
      </c>
      <c r="AH36" s="177">
        <f>IF(A36&gt;0,SUM(MARKS!AG28,MARKS!BM28),"")</f>
        <v>26</v>
      </c>
      <c r="AI36" s="177">
        <f t="shared" si="6"/>
        <v>28</v>
      </c>
      <c r="AJ36" s="177" t="str">
        <f t="shared" si="7"/>
        <v>E</v>
      </c>
      <c r="AK36" s="177">
        <f>IF(A36&gt;0,SUM(PASHEET!AP28,PASHEET!AX28),"")</f>
        <v>0</v>
      </c>
      <c r="AL36" s="177">
        <f>IF(A36&gt;0,SUM(MARKS!J28,MARKS!AP28),"")</f>
        <v>0</v>
      </c>
      <c r="AM36" s="177">
        <f>IF(A36&gt;0,SUM(MARKS!R28,MARKS!AX28),"")</f>
        <v>0</v>
      </c>
      <c r="AN36" s="177">
        <f>IF(A36&gt;0,SUM(MARKS!Z28,MARKS!BF28),"")</f>
        <v>0</v>
      </c>
      <c r="AO36" s="177">
        <f>IF(A36&gt;0,SUM(MARKS!AH28,MARKS!BN28),"")</f>
        <v>25</v>
      </c>
      <c r="AP36" s="177">
        <f t="shared" si="8"/>
        <v>25</v>
      </c>
      <c r="AQ36" s="177" t="str">
        <f t="shared" si="9"/>
        <v>E</v>
      </c>
      <c r="AR36" s="177">
        <f>IF(A36&gt;0,SUM(PASHEET!AQ28,PASHEET!AY28),"")</f>
        <v>2</v>
      </c>
      <c r="AS36" s="177">
        <f>IF(A36&gt;0,SUM(MARKS!K28,MARKS!AQ28),"")</f>
        <v>0</v>
      </c>
      <c r="AT36" s="177">
        <f>IF(A36&gt;0,SUM(MARKS!S28,MARKS!AY28),"")</f>
        <v>0</v>
      </c>
      <c r="AU36" s="177">
        <f>IF(A36&gt;0,SUM(MARKS!AA28,MARKS!BG28),"")</f>
        <v>0</v>
      </c>
      <c r="AV36" s="177">
        <f>IF(A36&gt;0,SUM(MARKS!AI28,MARKS!BO28),"")</f>
        <v>28</v>
      </c>
      <c r="AW36" s="177">
        <f t="shared" si="10"/>
        <v>30</v>
      </c>
      <c r="AX36" s="177" t="str">
        <f t="shared" si="11"/>
        <v>E</v>
      </c>
      <c r="AY36" s="47">
        <f t="shared" si="12"/>
        <v>183</v>
      </c>
      <c r="AZ36" s="70">
        <f t="shared" si="13"/>
        <v>30.5</v>
      </c>
      <c r="BA36" s="177" t="str">
        <f t="shared" si="14"/>
        <v>E</v>
      </c>
      <c r="BB36" s="47">
        <f>IF(A36&gt;0,FLN!I28,"")</f>
        <v>3</v>
      </c>
      <c r="BC36" s="47">
        <f>IF(A36&gt;0,FLN!J28,"")</f>
        <v>2</v>
      </c>
      <c r="BD36" s="47">
        <f>IF(A36&gt;0,FLN!K28,"")</f>
        <v>4</v>
      </c>
      <c r="BE36" s="47" t="str">
        <f t="shared" si="15"/>
        <v>THIRD</v>
      </c>
      <c r="BF36" s="130">
        <f>IF(AY36="","",IFERROR(RANK(AY36,$AY$12:$AY$111,0)+COUNTIFS($AY$12:AY36,AY36)-1,0))</f>
        <v>3</v>
      </c>
      <c r="BG36" s="130">
        <f t="shared" si="16"/>
        <v>183</v>
      </c>
    </row>
    <row r="37" s="98" customFormat="1" ht="27" customHeight="1" spans="1:59">
      <c r="A37" s="47">
        <f>IF(A36=0,0,IF(A36&lt;ENTRY!$D$24,A36+1,0))</f>
        <v>26</v>
      </c>
      <c r="B37" s="47">
        <f>IF(A37&gt;0,STUDENT!F27,"")</f>
        <v>14960</v>
      </c>
      <c r="C37" s="176" t="str">
        <f>IF(A37&gt;0,UPPER(STUDENT!E27),"")</f>
        <v>MD ADAN SHEKH</v>
      </c>
      <c r="D37" s="176" t="str">
        <f>IF(A37&gt;0,UPPER(STUDENT!H27),"")</f>
        <v>MD ISHTIKHAR</v>
      </c>
      <c r="E37" s="47" t="str">
        <f>IF(A37&gt;0,UPPER(STUDENT!BP27),"")</f>
        <v/>
      </c>
      <c r="F37" s="47" t="str">
        <f>IF(A37&gt;0,UPPER(STUDENT!BO27),"")</f>
        <v>FALSE</v>
      </c>
      <c r="G37" s="47" t="str">
        <f>IF(A37&gt;0,UPPER(STUDENT!Q27),"")</f>
        <v/>
      </c>
      <c r="H37" s="69" t="e">
        <f>IF(A37&gt;0,PASHEET!CI29/PASHEET!CJ29*100,"")</f>
        <v>#DIV/0!</v>
      </c>
      <c r="I37" s="177">
        <f>IF(A37&gt;0,SUM(PASHEET!AL29,PASHEET!AT29),"")</f>
        <v>1</v>
      </c>
      <c r="J37" s="177">
        <f>IF(A37&gt;0,SUM(MARKS!F29,MARKS!AL29),"")</f>
        <v>0</v>
      </c>
      <c r="K37" s="177">
        <f>IF(A37&gt;0,SUM(MARKS!N29,MARKS!AT29),"")</f>
        <v>0</v>
      </c>
      <c r="L37" s="177">
        <f>IF(A37&gt;0,SUM(MARKS!V29,MARKS!BB29),"")</f>
        <v>0</v>
      </c>
      <c r="M37" s="177">
        <f>IF(A37&gt;0,SUM(MARKS!AD29,MARKS!BJ29),"")</f>
        <v>39</v>
      </c>
      <c r="N37" s="177">
        <f t="shared" si="0"/>
        <v>40</v>
      </c>
      <c r="O37" s="177" t="str">
        <f t="shared" si="1"/>
        <v>D</v>
      </c>
      <c r="P37" s="177">
        <f>IF(A37&gt;0,SUM(PASHEET!AM29,PASHEET!AU29),"")</f>
        <v>1</v>
      </c>
      <c r="Q37" s="177">
        <f>IF(A37&gt;0,SUM(MARKS!G29,MARKS!AM29),"")</f>
        <v>0</v>
      </c>
      <c r="R37" s="177">
        <f>IF(A37&gt;0,SUM(MARKS!O29,MARKS!AU29),"")</f>
        <v>0</v>
      </c>
      <c r="S37" s="177">
        <f>IF(A37&gt;0,SUM(MARKS!W29,MARKS!BC29),"")</f>
        <v>0</v>
      </c>
      <c r="T37" s="177">
        <f>IF(A37&gt;0,SUM(MARKS!AE29,MARKS!BK29),"")</f>
        <v>21</v>
      </c>
      <c r="U37" s="177">
        <f t="shared" si="2"/>
        <v>22</v>
      </c>
      <c r="V37" s="177" t="str">
        <f t="shared" si="3"/>
        <v>E</v>
      </c>
      <c r="W37" s="177">
        <f>IF(A37&gt;0,SUM(PASHEET!AN29,PASHEET!AV29),"")</f>
        <v>1</v>
      </c>
      <c r="X37" s="177">
        <f>IF(A37&gt;0,SUM(MARKS!H29,MARKS!AN29),"")</f>
        <v>0</v>
      </c>
      <c r="Y37" s="177">
        <f>IF(A37&gt;0,SUM(MARKS!P29,MARKS!AV29),"")</f>
        <v>0</v>
      </c>
      <c r="Z37" s="177">
        <f>IF(A37&gt;0,SUM(MARKS!X29,MARKS!BD29),"")</f>
        <v>0</v>
      </c>
      <c r="AA37" s="177">
        <f>IF(A37&gt;0,SUM(MARKS!AF29,MARKS!BL29),"")</f>
        <v>23</v>
      </c>
      <c r="AB37" s="177">
        <f t="shared" si="4"/>
        <v>24</v>
      </c>
      <c r="AC37" s="177" t="str">
        <f t="shared" si="5"/>
        <v>E</v>
      </c>
      <c r="AD37" s="177">
        <f>IF(A37&gt;0,SUM(PASHEET!AO29,PASHEET!AW29),"")</f>
        <v>1</v>
      </c>
      <c r="AE37" s="177">
        <f>IF(A37&gt;0,SUM(MARKS!I29,MARKS!AO29),"")</f>
        <v>0</v>
      </c>
      <c r="AF37" s="177">
        <f>IF(A37&gt;0,SUM(MARKS!Q29,MARKS!AW29),"")</f>
        <v>0</v>
      </c>
      <c r="AG37" s="177">
        <f>IF(A37&gt;0,SUM(MARKS!Y29,MARKS!BE29),"")</f>
        <v>0</v>
      </c>
      <c r="AH37" s="177">
        <f>IF(A37&gt;0,SUM(MARKS!AG29,MARKS!BM29),"")</f>
        <v>25</v>
      </c>
      <c r="AI37" s="177">
        <f t="shared" si="6"/>
        <v>26</v>
      </c>
      <c r="AJ37" s="177" t="str">
        <f t="shared" si="7"/>
        <v>E</v>
      </c>
      <c r="AK37" s="177">
        <f>IF(A37&gt;0,SUM(PASHEET!AP29,PASHEET!AX29),"")</f>
        <v>0</v>
      </c>
      <c r="AL37" s="177">
        <f>IF(A37&gt;0,SUM(MARKS!J29,MARKS!AP29),"")</f>
        <v>0</v>
      </c>
      <c r="AM37" s="177">
        <f>IF(A37&gt;0,SUM(MARKS!R29,MARKS!AX29),"")</f>
        <v>0</v>
      </c>
      <c r="AN37" s="177">
        <f>IF(A37&gt;0,SUM(MARKS!Z29,MARKS!BF29),"")</f>
        <v>0</v>
      </c>
      <c r="AO37" s="177">
        <f>IF(A37&gt;0,SUM(MARKS!AH29,MARKS!BN29),"")</f>
        <v>23</v>
      </c>
      <c r="AP37" s="177">
        <f t="shared" si="8"/>
        <v>23</v>
      </c>
      <c r="AQ37" s="177" t="str">
        <f t="shared" si="9"/>
        <v>E</v>
      </c>
      <c r="AR37" s="177">
        <f>IF(A37&gt;0,SUM(PASHEET!AQ29,PASHEET!AY29),"")</f>
        <v>1</v>
      </c>
      <c r="AS37" s="177">
        <f>IF(A37&gt;0,SUM(MARKS!K29,MARKS!AQ29),"")</f>
        <v>0</v>
      </c>
      <c r="AT37" s="177">
        <f>IF(A37&gt;0,SUM(MARKS!S29,MARKS!AY29),"")</f>
        <v>0</v>
      </c>
      <c r="AU37" s="177">
        <f>IF(A37&gt;0,SUM(MARKS!AA29,MARKS!BG29),"")</f>
        <v>0</v>
      </c>
      <c r="AV37" s="177">
        <f>IF(A37&gt;0,SUM(MARKS!AI29,MARKS!BO29),"")</f>
        <v>27</v>
      </c>
      <c r="AW37" s="177">
        <f t="shared" si="10"/>
        <v>28</v>
      </c>
      <c r="AX37" s="177" t="str">
        <f t="shared" si="11"/>
        <v>E</v>
      </c>
      <c r="AY37" s="47">
        <f t="shared" si="12"/>
        <v>163</v>
      </c>
      <c r="AZ37" s="70">
        <f t="shared" si="13"/>
        <v>27.1666666666667</v>
      </c>
      <c r="BA37" s="177" t="str">
        <f t="shared" si="14"/>
        <v>E</v>
      </c>
      <c r="BB37" s="47">
        <f>IF(A37&gt;0,FLN!I29,"")</f>
        <v>2</v>
      </c>
      <c r="BC37" s="47">
        <f>IF(A37&gt;0,FLN!J29,"")</f>
        <v>2</v>
      </c>
      <c r="BD37" s="47">
        <f>IF(A37&gt;0,FLN!K29,"")</f>
        <v>3</v>
      </c>
      <c r="BE37" s="47" t="str">
        <f t="shared" si="15"/>
        <v>PROMOTED</v>
      </c>
      <c r="BF37" s="130">
        <f>IF(AY37="","",IFERROR(RANK(AY37,$AY$12:$AY$111,0)+COUNTIFS($AY$12:AY37,AY37)-1,0))</f>
        <v>11</v>
      </c>
      <c r="BG37" s="130">
        <f t="shared" si="16"/>
        <v>163</v>
      </c>
    </row>
    <row r="38" s="98" customFormat="1" ht="27" customHeight="1" spans="1:59">
      <c r="A38" s="47">
        <f>IF(A37=0,0,IF(A37&lt;ENTRY!$D$24,A37+1,0))</f>
        <v>27</v>
      </c>
      <c r="B38" s="47">
        <f>IF(A38&gt;0,STUDENT!F28,"")</f>
        <v>14976</v>
      </c>
      <c r="C38" s="176" t="str">
        <f>IF(A38&gt;0,UPPER(STUDENT!E28),"")</f>
        <v>KARTIK</v>
      </c>
      <c r="D38" s="176" t="str">
        <f>IF(A38&gt;0,UPPER(STUDENT!H28),"")</f>
        <v>SUNIL</v>
      </c>
      <c r="E38" s="47" t="str">
        <f>IF(A38&gt;0,UPPER(STUDENT!BP28),"")</f>
        <v/>
      </c>
      <c r="F38" s="47" t="str">
        <f>IF(A38&gt;0,UPPER(STUDENT!BO28),"")</f>
        <v>FALSE</v>
      </c>
      <c r="G38" s="47" t="str">
        <f>IF(A38&gt;0,UPPER(STUDENT!Q28),"")</f>
        <v/>
      </c>
      <c r="H38" s="69" t="e">
        <f>IF(A38&gt;0,PASHEET!CI30/PASHEET!CJ30*100,"")</f>
        <v>#DIV/0!</v>
      </c>
      <c r="I38" s="177">
        <f>IF(A38&gt;0,SUM(PASHEET!AL30,PASHEET!AT30),"")</f>
        <v>1</v>
      </c>
      <c r="J38" s="177">
        <f>IF(A38&gt;0,SUM(MARKS!F30,MARKS!AL30),"")</f>
        <v>0</v>
      </c>
      <c r="K38" s="177">
        <f>IF(A38&gt;0,SUM(MARKS!N30,MARKS!AT30),"")</f>
        <v>0</v>
      </c>
      <c r="L38" s="177">
        <f>IF(A38&gt;0,SUM(MARKS!V30,MARKS!BB30),"")</f>
        <v>0</v>
      </c>
      <c r="M38" s="177">
        <f>IF(A38&gt;0,SUM(MARKS!AD30,MARKS!BJ30),"")</f>
        <v>29</v>
      </c>
      <c r="N38" s="177">
        <f t="shared" si="0"/>
        <v>30</v>
      </c>
      <c r="O38" s="177" t="str">
        <f t="shared" si="1"/>
        <v>E</v>
      </c>
      <c r="P38" s="177">
        <f>IF(A38&gt;0,SUM(PASHEET!AM30,PASHEET!AU30),"")</f>
        <v>1</v>
      </c>
      <c r="Q38" s="177">
        <f>IF(A38&gt;0,SUM(MARKS!G30,MARKS!AM30),"")</f>
        <v>0</v>
      </c>
      <c r="R38" s="177">
        <f>IF(A38&gt;0,SUM(MARKS!O30,MARKS!AU30),"")</f>
        <v>0</v>
      </c>
      <c r="S38" s="177">
        <f>IF(A38&gt;0,SUM(MARKS!W30,MARKS!BC30),"")</f>
        <v>0</v>
      </c>
      <c r="T38" s="177">
        <f>IF(A38&gt;0,SUM(MARKS!AE30,MARKS!BK30),"")</f>
        <v>11</v>
      </c>
      <c r="U38" s="177">
        <f t="shared" si="2"/>
        <v>12</v>
      </c>
      <c r="V38" s="177" t="str">
        <f t="shared" si="3"/>
        <v>E</v>
      </c>
      <c r="W38" s="177">
        <f>IF(A38&gt;0,SUM(PASHEET!AN30,PASHEET!AV30),"")</f>
        <v>2</v>
      </c>
      <c r="X38" s="177">
        <f>IF(A38&gt;0,SUM(MARKS!H30,MARKS!AN30),"")</f>
        <v>0</v>
      </c>
      <c r="Y38" s="177">
        <f>IF(A38&gt;0,SUM(MARKS!P30,MARKS!AV30),"")</f>
        <v>0</v>
      </c>
      <c r="Z38" s="177">
        <f>IF(A38&gt;0,SUM(MARKS!X30,MARKS!BD30),"")</f>
        <v>0</v>
      </c>
      <c r="AA38" s="177">
        <f>IF(A38&gt;0,SUM(MARKS!AF30,MARKS!BL30),"")</f>
        <v>15</v>
      </c>
      <c r="AB38" s="177">
        <f t="shared" si="4"/>
        <v>17</v>
      </c>
      <c r="AC38" s="177" t="str">
        <f t="shared" si="5"/>
        <v>E</v>
      </c>
      <c r="AD38" s="177">
        <f>IF(A38&gt;0,SUM(PASHEET!AO30,PASHEET!AW30),"")</f>
        <v>2</v>
      </c>
      <c r="AE38" s="177">
        <f>IF(A38&gt;0,SUM(MARKS!I30,MARKS!AO30),"")</f>
        <v>0</v>
      </c>
      <c r="AF38" s="177">
        <f>IF(A38&gt;0,SUM(MARKS!Q30,MARKS!AW30),"")</f>
        <v>0</v>
      </c>
      <c r="AG38" s="177">
        <f>IF(A38&gt;0,SUM(MARKS!Y30,MARKS!BE30),"")</f>
        <v>0</v>
      </c>
      <c r="AH38" s="177">
        <f>IF(A38&gt;0,SUM(MARKS!AG30,MARKS!BM30),"")</f>
        <v>11</v>
      </c>
      <c r="AI38" s="177">
        <f t="shared" si="6"/>
        <v>13</v>
      </c>
      <c r="AJ38" s="177" t="str">
        <f t="shared" si="7"/>
        <v>E</v>
      </c>
      <c r="AK38" s="177">
        <f>IF(A38&gt;0,SUM(PASHEET!AP30,PASHEET!AX30),"")</f>
        <v>0</v>
      </c>
      <c r="AL38" s="177">
        <f>IF(A38&gt;0,SUM(MARKS!J30,MARKS!AP30),"")</f>
        <v>0</v>
      </c>
      <c r="AM38" s="177">
        <f>IF(A38&gt;0,SUM(MARKS!R30,MARKS!AX30),"")</f>
        <v>0</v>
      </c>
      <c r="AN38" s="177">
        <f>IF(A38&gt;0,SUM(MARKS!Z30,MARKS!BF30),"")</f>
        <v>0</v>
      </c>
      <c r="AO38" s="177">
        <f>IF(A38&gt;0,SUM(MARKS!AH30,MARKS!BN30),"")</f>
        <v>16</v>
      </c>
      <c r="AP38" s="177">
        <f t="shared" si="8"/>
        <v>16</v>
      </c>
      <c r="AQ38" s="177" t="str">
        <f t="shared" si="9"/>
        <v>E</v>
      </c>
      <c r="AR38" s="177">
        <f>IF(A38&gt;0,SUM(PASHEET!AQ30,PASHEET!AY30),"")</f>
        <v>2</v>
      </c>
      <c r="AS38" s="177">
        <f>IF(A38&gt;0,SUM(MARKS!K30,MARKS!AQ30),"")</f>
        <v>0</v>
      </c>
      <c r="AT38" s="177">
        <f>IF(A38&gt;0,SUM(MARKS!S30,MARKS!AY30),"")</f>
        <v>0</v>
      </c>
      <c r="AU38" s="177">
        <f>IF(A38&gt;0,SUM(MARKS!AA30,MARKS!BG30),"")</f>
        <v>0</v>
      </c>
      <c r="AV38" s="177">
        <f>IF(A38&gt;0,SUM(MARKS!AI30,MARKS!BO30),"")</f>
        <v>13</v>
      </c>
      <c r="AW38" s="177">
        <f t="shared" si="10"/>
        <v>15</v>
      </c>
      <c r="AX38" s="177" t="str">
        <f t="shared" si="11"/>
        <v>E</v>
      </c>
      <c r="AY38" s="47">
        <f t="shared" si="12"/>
        <v>103</v>
      </c>
      <c r="AZ38" s="70">
        <f t="shared" si="13"/>
        <v>17.1666666666667</v>
      </c>
      <c r="BA38" s="177" t="str">
        <f t="shared" si="14"/>
        <v>E</v>
      </c>
      <c r="BB38" s="47">
        <f>IF(A38&gt;0,FLN!I30,"")</f>
        <v>2</v>
      </c>
      <c r="BC38" s="47">
        <f>IF(A38&gt;0,FLN!J30,"")</f>
        <v>2</v>
      </c>
      <c r="BD38" s="47">
        <f>IF(A38&gt;0,FLN!K30,"")</f>
        <v>3</v>
      </c>
      <c r="BE38" s="47" t="str">
        <f t="shared" si="15"/>
        <v>PROMOTED</v>
      </c>
      <c r="BF38" s="130">
        <f>IF(AY38="","",IFERROR(RANK(AY38,$AY$12:$AY$111,0)+COUNTIFS($AY$12:AY38,AY38)-1,0))</f>
        <v>38</v>
      </c>
      <c r="BG38" s="130">
        <f t="shared" si="16"/>
        <v>103</v>
      </c>
    </row>
    <row r="39" s="98" customFormat="1" ht="27" customHeight="1" spans="1:59">
      <c r="A39" s="47">
        <f>IF(A38=0,0,IF(A38&lt;ENTRY!$D$24,A38+1,0))</f>
        <v>28</v>
      </c>
      <c r="B39" s="47">
        <f>IF(A39&gt;0,STUDENT!F29,"")</f>
        <v>14999</v>
      </c>
      <c r="C39" s="176" t="str">
        <f>IF(A39&gt;0,UPPER(STUDENT!E29),"")</f>
        <v>ABDUL REHMAN</v>
      </c>
      <c r="D39" s="176" t="str">
        <f>IF(A39&gt;0,UPPER(STUDENT!H29),"")</f>
        <v>MD LAL BABU</v>
      </c>
      <c r="E39" s="47" t="str">
        <f>IF(A39&gt;0,UPPER(STUDENT!BP29),"")</f>
        <v/>
      </c>
      <c r="F39" s="47" t="str">
        <f>IF(A39&gt;0,UPPER(STUDENT!BO29),"")</f>
        <v>FALSE</v>
      </c>
      <c r="G39" s="47" t="str">
        <f>IF(A39&gt;0,UPPER(STUDENT!Q29),"")</f>
        <v/>
      </c>
      <c r="H39" s="69" t="e">
        <f>IF(A39&gt;0,PASHEET!CI31/PASHEET!CJ31*100,"")</f>
        <v>#DIV/0!</v>
      </c>
      <c r="I39" s="177">
        <f>IF(A39&gt;0,SUM(PASHEET!AL31,PASHEET!AT31),"")</f>
        <v>1</v>
      </c>
      <c r="J39" s="177">
        <f>IF(A39&gt;0,SUM(MARKS!F31,MARKS!AL31),"")</f>
        <v>0</v>
      </c>
      <c r="K39" s="177">
        <f>IF(A39&gt;0,SUM(MARKS!N31,MARKS!AT31),"")</f>
        <v>0</v>
      </c>
      <c r="L39" s="177">
        <f>IF(A39&gt;0,SUM(MARKS!V31,MARKS!BB31),"")</f>
        <v>0</v>
      </c>
      <c r="M39" s="177">
        <f>IF(A39&gt;0,SUM(MARKS!AD31,MARKS!BJ31),"")</f>
        <v>31</v>
      </c>
      <c r="N39" s="177">
        <f t="shared" si="0"/>
        <v>32</v>
      </c>
      <c r="O39" s="177" t="str">
        <f t="shared" si="1"/>
        <v>E</v>
      </c>
      <c r="P39" s="177">
        <f>IF(A39&gt;0,SUM(PASHEET!AM31,PASHEET!AU31),"")</f>
        <v>2</v>
      </c>
      <c r="Q39" s="177">
        <f>IF(A39&gt;0,SUM(MARKS!G31,MARKS!AM31),"")</f>
        <v>0</v>
      </c>
      <c r="R39" s="177">
        <f>IF(A39&gt;0,SUM(MARKS!O31,MARKS!AU31),"")</f>
        <v>0</v>
      </c>
      <c r="S39" s="177">
        <f>IF(A39&gt;0,SUM(MARKS!W31,MARKS!BC31),"")</f>
        <v>0</v>
      </c>
      <c r="T39" s="177">
        <f>IF(A39&gt;0,SUM(MARKS!AE31,MARKS!BK31),"")</f>
        <v>11</v>
      </c>
      <c r="U39" s="177">
        <f t="shared" si="2"/>
        <v>13</v>
      </c>
      <c r="V39" s="177" t="str">
        <f t="shared" si="3"/>
        <v>E</v>
      </c>
      <c r="W39" s="177">
        <f>IF(A39&gt;0,SUM(PASHEET!AN31,PASHEET!AV31),"")</f>
        <v>1</v>
      </c>
      <c r="X39" s="177">
        <f>IF(A39&gt;0,SUM(MARKS!H31,MARKS!AN31),"")</f>
        <v>0</v>
      </c>
      <c r="Y39" s="177">
        <f>IF(A39&gt;0,SUM(MARKS!P31,MARKS!AV31),"")</f>
        <v>0</v>
      </c>
      <c r="Z39" s="177">
        <f>IF(A39&gt;0,SUM(MARKS!X31,MARKS!BD31),"")</f>
        <v>0</v>
      </c>
      <c r="AA39" s="177">
        <f>IF(A39&gt;0,SUM(MARKS!AF31,MARKS!BL31),"")</f>
        <v>11</v>
      </c>
      <c r="AB39" s="177">
        <f t="shared" si="4"/>
        <v>12</v>
      </c>
      <c r="AC39" s="177" t="str">
        <f t="shared" si="5"/>
        <v>E</v>
      </c>
      <c r="AD39" s="177">
        <f>IF(A39&gt;0,SUM(PASHEET!AO31,PASHEET!AW31),"")</f>
        <v>1</v>
      </c>
      <c r="AE39" s="177">
        <f>IF(A39&gt;0,SUM(MARKS!I31,MARKS!AO31),"")</f>
        <v>0</v>
      </c>
      <c r="AF39" s="177">
        <f>IF(A39&gt;0,SUM(MARKS!Q31,MARKS!AW31),"")</f>
        <v>0</v>
      </c>
      <c r="AG39" s="177">
        <f>IF(A39&gt;0,SUM(MARKS!Y31,MARKS!BE31),"")</f>
        <v>0</v>
      </c>
      <c r="AH39" s="177">
        <f>IF(A39&gt;0,SUM(MARKS!AG31,MARKS!BM31),"")</f>
        <v>13</v>
      </c>
      <c r="AI39" s="177">
        <f t="shared" si="6"/>
        <v>14</v>
      </c>
      <c r="AJ39" s="177" t="str">
        <f t="shared" si="7"/>
        <v>E</v>
      </c>
      <c r="AK39" s="177">
        <f>IF(A39&gt;0,SUM(PASHEET!AP31,PASHEET!AX31),"")</f>
        <v>0</v>
      </c>
      <c r="AL39" s="177">
        <f>IF(A39&gt;0,SUM(MARKS!J31,MARKS!AP31),"")</f>
        <v>0</v>
      </c>
      <c r="AM39" s="177">
        <f>IF(A39&gt;0,SUM(MARKS!R31,MARKS!AX31),"")</f>
        <v>0</v>
      </c>
      <c r="AN39" s="177">
        <f>IF(A39&gt;0,SUM(MARKS!Z31,MARKS!BF31),"")</f>
        <v>0</v>
      </c>
      <c r="AO39" s="177">
        <f>IF(A39&gt;0,SUM(MARKS!AH31,MARKS!BN31),"")</f>
        <v>16</v>
      </c>
      <c r="AP39" s="177">
        <f t="shared" si="8"/>
        <v>16</v>
      </c>
      <c r="AQ39" s="177" t="str">
        <f t="shared" si="9"/>
        <v>E</v>
      </c>
      <c r="AR39" s="177">
        <f>IF(A39&gt;0,SUM(PASHEET!AQ31,PASHEET!AY31),"")</f>
        <v>2</v>
      </c>
      <c r="AS39" s="177">
        <f>IF(A39&gt;0,SUM(MARKS!K31,MARKS!AQ31),"")</f>
        <v>0</v>
      </c>
      <c r="AT39" s="177">
        <f>IF(A39&gt;0,SUM(MARKS!S31,MARKS!AY31),"")</f>
        <v>0</v>
      </c>
      <c r="AU39" s="177">
        <f>IF(A39&gt;0,SUM(MARKS!AA31,MARKS!BG31),"")</f>
        <v>0</v>
      </c>
      <c r="AV39" s="177">
        <f>IF(A39&gt;0,SUM(MARKS!AI31,MARKS!BO31),"")</f>
        <v>13</v>
      </c>
      <c r="AW39" s="177">
        <f t="shared" si="10"/>
        <v>15</v>
      </c>
      <c r="AX39" s="177" t="str">
        <f t="shared" si="11"/>
        <v>E</v>
      </c>
      <c r="AY39" s="47">
        <f t="shared" si="12"/>
        <v>102</v>
      </c>
      <c r="AZ39" s="70">
        <f t="shared" si="13"/>
        <v>17</v>
      </c>
      <c r="BA39" s="177" t="str">
        <f t="shared" si="14"/>
        <v>E</v>
      </c>
      <c r="BB39" s="47">
        <f>IF(A39&gt;0,FLN!I31,"")</f>
        <v>2</v>
      </c>
      <c r="BC39" s="47">
        <f>IF(A39&gt;0,FLN!J31,"")</f>
        <v>2</v>
      </c>
      <c r="BD39" s="47">
        <f>IF(A39&gt;0,FLN!K31,"")</f>
        <v>3</v>
      </c>
      <c r="BE39" s="47" t="str">
        <f t="shared" si="15"/>
        <v>PROMOTED</v>
      </c>
      <c r="BF39" s="130">
        <f>IF(AY39="","",IFERROR(RANK(AY39,$AY$12:$AY$111,0)+COUNTIFS($AY$12:AY39,AY39)-1,0))</f>
        <v>39</v>
      </c>
      <c r="BG39" s="130">
        <f t="shared" si="16"/>
        <v>102</v>
      </c>
    </row>
    <row r="40" s="98" customFormat="1" ht="27" customHeight="1" spans="1:59">
      <c r="A40" s="47">
        <f>IF(A39=0,0,IF(A39&lt;ENTRY!$D$24,A39+1,0))</f>
        <v>29</v>
      </c>
      <c r="B40" s="47">
        <f>IF(A40&gt;0,STUDENT!F30,"")</f>
        <v>15000</v>
      </c>
      <c r="C40" s="176" t="str">
        <f>IF(A40&gt;0,UPPER(STUDENT!E30),"")</f>
        <v>KARTIK</v>
      </c>
      <c r="D40" s="176" t="str">
        <f>IF(A40&gt;0,UPPER(STUDENT!H30),"")</f>
        <v>AMAN YADAV</v>
      </c>
      <c r="E40" s="47" t="str">
        <f>IF(A40&gt;0,UPPER(STUDENT!BP30),"")</f>
        <v/>
      </c>
      <c r="F40" s="47" t="str">
        <f>IF(A40&gt;0,UPPER(STUDENT!BO30),"")</f>
        <v>FALSE</v>
      </c>
      <c r="G40" s="47" t="str">
        <f>IF(A40&gt;0,UPPER(STUDENT!Q30),"")</f>
        <v/>
      </c>
      <c r="H40" s="69" t="e">
        <f>IF(A40&gt;0,PASHEET!CI32/PASHEET!CJ32*100,"")</f>
        <v>#DIV/0!</v>
      </c>
      <c r="I40" s="177">
        <f>IF(A40&gt;0,SUM(PASHEET!AL32,PASHEET!AT32),"")</f>
        <v>1</v>
      </c>
      <c r="J40" s="177">
        <f>IF(A40&gt;0,SUM(MARKS!F32,MARKS!AL32),"")</f>
        <v>0</v>
      </c>
      <c r="K40" s="177">
        <f>IF(A40&gt;0,SUM(MARKS!N32,MARKS!AT32),"")</f>
        <v>0</v>
      </c>
      <c r="L40" s="177">
        <f>IF(A40&gt;0,SUM(MARKS!V32,MARKS!BB32),"")</f>
        <v>0</v>
      </c>
      <c r="M40" s="177">
        <f>IF(A40&gt;0,SUM(MARKS!AD32,MARKS!BJ32),"")</f>
        <v>37</v>
      </c>
      <c r="N40" s="177">
        <f t="shared" si="0"/>
        <v>38</v>
      </c>
      <c r="O40" s="177" t="str">
        <f t="shared" si="1"/>
        <v>D</v>
      </c>
      <c r="P40" s="177">
        <f>IF(A40&gt;0,SUM(PASHEET!AM32,PASHEET!AU32),"")</f>
        <v>1</v>
      </c>
      <c r="Q40" s="177">
        <f>IF(A40&gt;0,SUM(MARKS!G32,MARKS!AM32),"")</f>
        <v>0</v>
      </c>
      <c r="R40" s="177">
        <f>IF(A40&gt;0,SUM(MARKS!O32,MARKS!AU32),"")</f>
        <v>0</v>
      </c>
      <c r="S40" s="177">
        <f>IF(A40&gt;0,SUM(MARKS!W32,MARKS!BC32),"")</f>
        <v>0</v>
      </c>
      <c r="T40" s="177">
        <f>IF(A40&gt;0,SUM(MARKS!AE32,MARKS!BK32),"")</f>
        <v>13</v>
      </c>
      <c r="U40" s="177">
        <f t="shared" si="2"/>
        <v>14</v>
      </c>
      <c r="V40" s="177" t="str">
        <f t="shared" si="3"/>
        <v>E</v>
      </c>
      <c r="W40" s="177">
        <f>IF(A40&gt;0,SUM(PASHEET!AN32,PASHEET!AV32),"")</f>
        <v>1</v>
      </c>
      <c r="X40" s="177">
        <f>IF(A40&gt;0,SUM(MARKS!H32,MARKS!AN32),"")</f>
        <v>0</v>
      </c>
      <c r="Y40" s="177">
        <f>IF(A40&gt;0,SUM(MARKS!P32,MARKS!AV32),"")</f>
        <v>0</v>
      </c>
      <c r="Z40" s="177">
        <f>IF(A40&gt;0,SUM(MARKS!X32,MARKS!BD32),"")</f>
        <v>0</v>
      </c>
      <c r="AA40" s="177">
        <f>IF(A40&gt;0,SUM(MARKS!AF32,MARKS!BL32),"")</f>
        <v>12</v>
      </c>
      <c r="AB40" s="177">
        <f t="shared" si="4"/>
        <v>13</v>
      </c>
      <c r="AC40" s="177" t="str">
        <f t="shared" si="5"/>
        <v>E</v>
      </c>
      <c r="AD40" s="177">
        <f>IF(A40&gt;0,SUM(PASHEET!AO32,PASHEET!AW32),"")</f>
        <v>1</v>
      </c>
      <c r="AE40" s="177">
        <f>IF(A40&gt;0,SUM(MARKS!I32,MARKS!AO32),"")</f>
        <v>0</v>
      </c>
      <c r="AF40" s="177">
        <f>IF(A40&gt;0,SUM(MARKS!Q32,MARKS!AW32),"")</f>
        <v>0</v>
      </c>
      <c r="AG40" s="177">
        <f>IF(A40&gt;0,SUM(MARKS!Y32,MARKS!BE32),"")</f>
        <v>0</v>
      </c>
      <c r="AH40" s="177">
        <f>IF(A40&gt;0,SUM(MARKS!AG32,MARKS!BM32),"")</f>
        <v>13</v>
      </c>
      <c r="AI40" s="177">
        <f t="shared" si="6"/>
        <v>14</v>
      </c>
      <c r="AJ40" s="177" t="str">
        <f t="shared" si="7"/>
        <v>E</v>
      </c>
      <c r="AK40" s="177">
        <f>IF(A40&gt;0,SUM(PASHEET!AP32,PASHEET!AX32),"")</f>
        <v>0</v>
      </c>
      <c r="AL40" s="177">
        <f>IF(A40&gt;0,SUM(MARKS!J32,MARKS!AP32),"")</f>
        <v>0</v>
      </c>
      <c r="AM40" s="177">
        <f>IF(A40&gt;0,SUM(MARKS!R32,MARKS!AX32),"")</f>
        <v>0</v>
      </c>
      <c r="AN40" s="177">
        <f>IF(A40&gt;0,SUM(MARKS!Z32,MARKS!BF32),"")</f>
        <v>0</v>
      </c>
      <c r="AO40" s="177">
        <f>IF(A40&gt;0,SUM(MARKS!AH32,MARKS!BN32),"")</f>
        <v>13</v>
      </c>
      <c r="AP40" s="177">
        <f t="shared" si="8"/>
        <v>13</v>
      </c>
      <c r="AQ40" s="177" t="str">
        <f t="shared" si="9"/>
        <v>E</v>
      </c>
      <c r="AR40" s="177">
        <f>IF(A40&gt;0,SUM(PASHEET!AQ32,PASHEET!AY32),"")</f>
        <v>1</v>
      </c>
      <c r="AS40" s="177">
        <f>IF(A40&gt;0,SUM(MARKS!K32,MARKS!AQ32),"")</f>
        <v>0</v>
      </c>
      <c r="AT40" s="177">
        <f>IF(A40&gt;0,SUM(MARKS!S32,MARKS!AY32),"")</f>
        <v>0</v>
      </c>
      <c r="AU40" s="177">
        <f>IF(A40&gt;0,SUM(MARKS!AA32,MARKS!BG32),"")</f>
        <v>0</v>
      </c>
      <c r="AV40" s="177">
        <f>IF(A40&gt;0,SUM(MARKS!AI32,MARKS!BO32),"")</f>
        <v>27</v>
      </c>
      <c r="AW40" s="177">
        <f t="shared" si="10"/>
        <v>28</v>
      </c>
      <c r="AX40" s="177" t="str">
        <f t="shared" si="11"/>
        <v>E</v>
      </c>
      <c r="AY40" s="47">
        <f t="shared" si="12"/>
        <v>120</v>
      </c>
      <c r="AZ40" s="70">
        <f t="shared" si="13"/>
        <v>20</v>
      </c>
      <c r="BA40" s="177" t="str">
        <f t="shared" si="14"/>
        <v>E</v>
      </c>
      <c r="BB40" s="47">
        <f>IF(A40&gt;0,FLN!I32,"")</f>
        <v>2</v>
      </c>
      <c r="BC40" s="47">
        <f>IF(A40&gt;0,FLN!J32,"")</f>
        <v>2</v>
      </c>
      <c r="BD40" s="47">
        <f>IF(A40&gt;0,FLN!K32,"")</f>
        <v>3</v>
      </c>
      <c r="BE40" s="47" t="str">
        <f t="shared" si="15"/>
        <v>PROMOTED</v>
      </c>
      <c r="BF40" s="130">
        <f>IF(AY40="","",IFERROR(RANK(AY40,$AY$12:$AY$111,0)+COUNTIFS($AY$12:AY40,AY40)-1,0))</f>
        <v>24</v>
      </c>
      <c r="BG40" s="130">
        <f t="shared" si="16"/>
        <v>120</v>
      </c>
    </row>
    <row r="41" s="98" customFormat="1" ht="27" customHeight="1" spans="1:59">
      <c r="A41" s="47">
        <f>IF(A40=0,0,IF(A40&lt;ENTRY!$D$24,A40+1,0))</f>
        <v>30</v>
      </c>
      <c r="B41" s="47">
        <f>IF(A41&gt;0,STUDENT!F31,"")</f>
        <v>15022</v>
      </c>
      <c r="C41" s="176" t="str">
        <f>IF(A41&gt;0,UPPER(STUDENT!E31),"")</f>
        <v>AYAN</v>
      </c>
      <c r="D41" s="176" t="str">
        <f>IF(A41&gt;0,UPPER(STUDENT!H31),"")</f>
        <v>BABU HASAN</v>
      </c>
      <c r="E41" s="47" t="str">
        <f>IF(A41&gt;0,UPPER(STUDENT!BP31),"")</f>
        <v/>
      </c>
      <c r="F41" s="47" t="str">
        <f>IF(A41&gt;0,UPPER(STUDENT!BO31),"")</f>
        <v>FALSE</v>
      </c>
      <c r="G41" s="47" t="str">
        <f>IF(A41&gt;0,UPPER(STUDENT!Q31),"")</f>
        <v/>
      </c>
      <c r="H41" s="69" t="e">
        <f>IF(A41&gt;0,PASHEET!CI33/PASHEET!CJ33*100,"")</f>
        <v>#DIV/0!</v>
      </c>
      <c r="I41" s="177">
        <f>IF(A41&gt;0,SUM(PASHEET!AL33,PASHEET!AT33),"")</f>
        <v>1</v>
      </c>
      <c r="J41" s="177">
        <f>IF(A41&gt;0,SUM(MARKS!F33,MARKS!AL33),"")</f>
        <v>0</v>
      </c>
      <c r="K41" s="177">
        <f>IF(A41&gt;0,SUM(MARKS!N33,MARKS!AT33),"")</f>
        <v>0</v>
      </c>
      <c r="L41" s="177">
        <f>IF(A41&gt;0,SUM(MARKS!V33,MARKS!BB33),"")</f>
        <v>0</v>
      </c>
      <c r="M41" s="177">
        <f>IF(A41&gt;0,SUM(MARKS!AD33,MARKS!BJ33),"")</f>
        <v>52</v>
      </c>
      <c r="N41" s="177">
        <f t="shared" si="0"/>
        <v>53</v>
      </c>
      <c r="O41" s="177" t="str">
        <f t="shared" si="1"/>
        <v>C</v>
      </c>
      <c r="P41" s="177">
        <f>IF(A41&gt;0,SUM(PASHEET!AM33,PASHEET!AU33),"")</f>
        <v>1</v>
      </c>
      <c r="Q41" s="177">
        <f>IF(A41&gt;0,SUM(MARKS!G33,MARKS!AM33),"")</f>
        <v>0</v>
      </c>
      <c r="R41" s="177">
        <f>IF(A41&gt;0,SUM(MARKS!O33,MARKS!AU33),"")</f>
        <v>0</v>
      </c>
      <c r="S41" s="177">
        <f>IF(A41&gt;0,SUM(MARKS!W33,MARKS!BC33),"")</f>
        <v>0</v>
      </c>
      <c r="T41" s="177">
        <f>IF(A41&gt;0,SUM(MARKS!AE33,MARKS!BK33),"")</f>
        <v>25</v>
      </c>
      <c r="U41" s="177">
        <f t="shared" si="2"/>
        <v>26</v>
      </c>
      <c r="V41" s="177" t="str">
        <f t="shared" si="3"/>
        <v>E</v>
      </c>
      <c r="W41" s="177">
        <f>IF(A41&gt;0,SUM(PASHEET!AN33,PASHEET!AV33),"")</f>
        <v>1</v>
      </c>
      <c r="X41" s="177">
        <f>IF(A41&gt;0,SUM(MARKS!H33,MARKS!AN33),"")</f>
        <v>0</v>
      </c>
      <c r="Y41" s="177">
        <f>IF(A41&gt;0,SUM(MARKS!P33,MARKS!AV33),"")</f>
        <v>0</v>
      </c>
      <c r="Z41" s="177">
        <f>IF(A41&gt;0,SUM(MARKS!X33,MARKS!BD33),"")</f>
        <v>0</v>
      </c>
      <c r="AA41" s="177">
        <f>IF(A41&gt;0,SUM(MARKS!AF33,MARKS!BL33),"")</f>
        <v>20</v>
      </c>
      <c r="AB41" s="177">
        <f t="shared" si="4"/>
        <v>21</v>
      </c>
      <c r="AC41" s="177" t="str">
        <f t="shared" si="5"/>
        <v>E</v>
      </c>
      <c r="AD41" s="177">
        <f>IF(A41&gt;0,SUM(PASHEET!AO33,PASHEET!AW33),"")</f>
        <v>2</v>
      </c>
      <c r="AE41" s="177">
        <f>IF(A41&gt;0,SUM(MARKS!I33,MARKS!AO33),"")</f>
        <v>0</v>
      </c>
      <c r="AF41" s="177">
        <f>IF(A41&gt;0,SUM(MARKS!Q33,MARKS!AW33),"")</f>
        <v>0</v>
      </c>
      <c r="AG41" s="177">
        <f>IF(A41&gt;0,SUM(MARKS!Y33,MARKS!BE33),"")</f>
        <v>0</v>
      </c>
      <c r="AH41" s="177">
        <f>IF(A41&gt;0,SUM(MARKS!AG33,MARKS!BM33),"")</f>
        <v>26</v>
      </c>
      <c r="AI41" s="177">
        <f t="shared" si="6"/>
        <v>28</v>
      </c>
      <c r="AJ41" s="177" t="str">
        <f t="shared" si="7"/>
        <v>E</v>
      </c>
      <c r="AK41" s="177">
        <f>IF(A41&gt;0,SUM(PASHEET!AP33,PASHEET!AX33),"")</f>
        <v>0</v>
      </c>
      <c r="AL41" s="177">
        <f>IF(A41&gt;0,SUM(MARKS!J33,MARKS!AP33),"")</f>
        <v>0</v>
      </c>
      <c r="AM41" s="177">
        <f>IF(A41&gt;0,SUM(MARKS!R33,MARKS!AX33),"")</f>
        <v>0</v>
      </c>
      <c r="AN41" s="177">
        <f>IF(A41&gt;0,SUM(MARKS!Z33,MARKS!BF33),"")</f>
        <v>0</v>
      </c>
      <c r="AO41" s="177">
        <f>IF(A41&gt;0,SUM(MARKS!AH33,MARKS!BN33),"")</f>
        <v>25</v>
      </c>
      <c r="AP41" s="177">
        <f t="shared" si="8"/>
        <v>25</v>
      </c>
      <c r="AQ41" s="177" t="str">
        <f t="shared" si="9"/>
        <v>E</v>
      </c>
      <c r="AR41" s="177">
        <f>IF(A41&gt;0,SUM(PASHEET!AQ33,PASHEET!AY33),"")</f>
        <v>2</v>
      </c>
      <c r="AS41" s="177">
        <f>IF(A41&gt;0,SUM(MARKS!K33,MARKS!AQ33),"")</f>
        <v>0</v>
      </c>
      <c r="AT41" s="177">
        <f>IF(A41&gt;0,SUM(MARKS!S33,MARKS!AY33),"")</f>
        <v>0</v>
      </c>
      <c r="AU41" s="177">
        <f>IF(A41&gt;0,SUM(MARKS!AA33,MARKS!BG33),"")</f>
        <v>0</v>
      </c>
      <c r="AV41" s="177">
        <f>IF(A41&gt;0,SUM(MARKS!AI33,MARKS!BO33),"")</f>
        <v>27</v>
      </c>
      <c r="AW41" s="177">
        <f t="shared" si="10"/>
        <v>29</v>
      </c>
      <c r="AX41" s="177" t="str">
        <f t="shared" si="11"/>
        <v>E</v>
      </c>
      <c r="AY41" s="47">
        <f t="shared" si="12"/>
        <v>182</v>
      </c>
      <c r="AZ41" s="70">
        <f t="shared" si="13"/>
        <v>30.3333333333333</v>
      </c>
      <c r="BA41" s="177" t="str">
        <f t="shared" si="14"/>
        <v>E</v>
      </c>
      <c r="BB41" s="47">
        <f>IF(A41&gt;0,FLN!I33,"")</f>
        <v>2</v>
      </c>
      <c r="BC41" s="47">
        <f>IF(A41&gt;0,FLN!J33,"")</f>
        <v>2</v>
      </c>
      <c r="BD41" s="47">
        <f>IF(A41&gt;0,FLN!K33,"")</f>
        <v>3</v>
      </c>
      <c r="BE41" s="47" t="str">
        <f t="shared" si="15"/>
        <v>PROMOTED</v>
      </c>
      <c r="BF41" s="130">
        <f>IF(AY41="","",IFERROR(RANK(AY41,$AY$12:$AY$111,0)+COUNTIFS($AY$12:AY41,AY41)-1,0))</f>
        <v>4</v>
      </c>
      <c r="BG41" s="130">
        <f t="shared" si="16"/>
        <v>182</v>
      </c>
    </row>
    <row r="42" s="98" customFormat="1" ht="27" customHeight="1" spans="1:59">
      <c r="A42" s="47">
        <f>IF(A41=0,0,IF(A41&lt;ENTRY!$D$24,A41+1,0))</f>
        <v>31</v>
      </c>
      <c r="B42" s="47">
        <f>IF(A42&gt;0,STUDENT!F32,"")</f>
        <v>15034</v>
      </c>
      <c r="C42" s="176" t="str">
        <f>IF(A42&gt;0,UPPER(STUDENT!E32),"")</f>
        <v>RAM CHANDER KUMAR</v>
      </c>
      <c r="D42" s="176" t="str">
        <f>IF(A42&gt;0,UPPER(STUDENT!H32),"")</f>
        <v>AKASH SHARMA</v>
      </c>
      <c r="E42" s="47" t="str">
        <f>IF(A42&gt;0,UPPER(STUDENT!BP32),"")</f>
        <v/>
      </c>
      <c r="F42" s="47" t="str">
        <f>IF(A42&gt;0,UPPER(STUDENT!BO32),"")</f>
        <v>FALSE</v>
      </c>
      <c r="G42" s="47" t="str">
        <f>IF(A42&gt;0,UPPER(STUDENT!Q32),"")</f>
        <v/>
      </c>
      <c r="H42" s="69" t="e">
        <f>IF(A42&gt;0,PASHEET!CI34/PASHEET!CJ34*100,"")</f>
        <v>#DIV/0!</v>
      </c>
      <c r="I42" s="177">
        <f>IF(A42&gt;0,SUM(PASHEET!AL34,PASHEET!AT34),"")</f>
        <v>1</v>
      </c>
      <c r="J42" s="177">
        <f>IF(A42&gt;0,SUM(MARKS!F34,MARKS!AL34),"")</f>
        <v>0</v>
      </c>
      <c r="K42" s="177">
        <f>IF(A42&gt;0,SUM(MARKS!N34,MARKS!AT34),"")</f>
        <v>0</v>
      </c>
      <c r="L42" s="177">
        <f>IF(A42&gt;0,SUM(MARKS!V34,MARKS!BB34),"")</f>
        <v>0</v>
      </c>
      <c r="M42" s="177">
        <f>IF(A42&gt;0,SUM(MARKS!AD34,MARKS!BJ34),"")</f>
        <v>34</v>
      </c>
      <c r="N42" s="177">
        <f t="shared" si="0"/>
        <v>35</v>
      </c>
      <c r="O42" s="177" t="str">
        <f t="shared" si="1"/>
        <v>D</v>
      </c>
      <c r="P42" s="177">
        <f>IF(A42&gt;0,SUM(PASHEET!AM34,PASHEET!AU34),"")</f>
        <v>1</v>
      </c>
      <c r="Q42" s="177">
        <f>IF(A42&gt;0,SUM(MARKS!G34,MARKS!AM34),"")</f>
        <v>0</v>
      </c>
      <c r="R42" s="177">
        <f>IF(A42&gt;0,SUM(MARKS!O34,MARKS!AU34),"")</f>
        <v>0</v>
      </c>
      <c r="S42" s="177">
        <f>IF(A42&gt;0,SUM(MARKS!W34,MARKS!BC34),"")</f>
        <v>0</v>
      </c>
      <c r="T42" s="177">
        <f>IF(A42&gt;0,SUM(MARKS!AE34,MARKS!BK34),"")</f>
        <v>15</v>
      </c>
      <c r="U42" s="177">
        <f t="shared" si="2"/>
        <v>16</v>
      </c>
      <c r="V42" s="177" t="str">
        <f t="shared" si="3"/>
        <v>E</v>
      </c>
      <c r="W42" s="177">
        <f>IF(A42&gt;0,SUM(PASHEET!AN34,PASHEET!AV34),"")</f>
        <v>1</v>
      </c>
      <c r="X42" s="177">
        <f>IF(A42&gt;0,SUM(MARKS!H34,MARKS!AN34),"")</f>
        <v>0</v>
      </c>
      <c r="Y42" s="177">
        <f>IF(A42&gt;0,SUM(MARKS!P34,MARKS!AV34),"")</f>
        <v>0</v>
      </c>
      <c r="Z42" s="177">
        <f>IF(A42&gt;0,SUM(MARKS!X34,MARKS!BD34),"")</f>
        <v>0</v>
      </c>
      <c r="AA42" s="177">
        <f>IF(A42&gt;0,SUM(MARKS!AF34,MARKS!BL34),"")</f>
        <v>15</v>
      </c>
      <c r="AB42" s="177">
        <f t="shared" si="4"/>
        <v>16</v>
      </c>
      <c r="AC42" s="177" t="str">
        <f t="shared" si="5"/>
        <v>E</v>
      </c>
      <c r="AD42" s="177">
        <f>IF(A42&gt;0,SUM(PASHEET!AO34,PASHEET!AW34),"")</f>
        <v>1</v>
      </c>
      <c r="AE42" s="177">
        <f>IF(A42&gt;0,SUM(MARKS!I34,MARKS!AO34),"")</f>
        <v>0</v>
      </c>
      <c r="AF42" s="177">
        <f>IF(A42&gt;0,SUM(MARKS!Q34,MARKS!AW34),"")</f>
        <v>0</v>
      </c>
      <c r="AG42" s="177">
        <f>IF(A42&gt;0,SUM(MARKS!Y34,MARKS!BE34),"")</f>
        <v>0</v>
      </c>
      <c r="AH42" s="177">
        <f>IF(A42&gt;0,SUM(MARKS!AG34,MARKS!BM34),"")</f>
        <v>16</v>
      </c>
      <c r="AI42" s="177">
        <f t="shared" si="6"/>
        <v>17</v>
      </c>
      <c r="AJ42" s="177" t="str">
        <f t="shared" si="7"/>
        <v>E</v>
      </c>
      <c r="AK42" s="177">
        <f>IF(A42&gt;0,SUM(PASHEET!AP34,PASHEET!AX34),"")</f>
        <v>0</v>
      </c>
      <c r="AL42" s="177">
        <f>IF(A42&gt;0,SUM(MARKS!J34,MARKS!AP34),"")</f>
        <v>0</v>
      </c>
      <c r="AM42" s="177">
        <f>IF(A42&gt;0,SUM(MARKS!R34,MARKS!AX34),"")</f>
        <v>0</v>
      </c>
      <c r="AN42" s="177">
        <f>IF(A42&gt;0,SUM(MARKS!Z34,MARKS!BF34),"")</f>
        <v>0</v>
      </c>
      <c r="AO42" s="177">
        <f>IF(A42&gt;0,SUM(MARKS!AH34,MARKS!BN34),"")</f>
        <v>15</v>
      </c>
      <c r="AP42" s="177">
        <f t="shared" si="8"/>
        <v>15</v>
      </c>
      <c r="AQ42" s="177" t="str">
        <f t="shared" si="9"/>
        <v>E</v>
      </c>
      <c r="AR42" s="177">
        <f>IF(A42&gt;0,SUM(PASHEET!AQ34,PASHEET!AY34),"")</f>
        <v>2</v>
      </c>
      <c r="AS42" s="177">
        <f>IF(A42&gt;0,SUM(MARKS!K34,MARKS!AQ34),"")</f>
        <v>0</v>
      </c>
      <c r="AT42" s="177">
        <f>IF(A42&gt;0,SUM(MARKS!S34,MARKS!AY34),"")</f>
        <v>0</v>
      </c>
      <c r="AU42" s="177">
        <f>IF(A42&gt;0,SUM(MARKS!AA34,MARKS!BG34),"")</f>
        <v>0</v>
      </c>
      <c r="AV42" s="177">
        <f>IF(A42&gt;0,SUM(MARKS!AI34,MARKS!BO34),"")</f>
        <v>17</v>
      </c>
      <c r="AW42" s="177">
        <f t="shared" si="10"/>
        <v>19</v>
      </c>
      <c r="AX42" s="177" t="str">
        <f t="shared" si="11"/>
        <v>E</v>
      </c>
      <c r="AY42" s="47">
        <f t="shared" si="12"/>
        <v>118</v>
      </c>
      <c r="AZ42" s="70">
        <f t="shared" si="13"/>
        <v>19.6666666666667</v>
      </c>
      <c r="BA42" s="177" t="str">
        <f t="shared" si="14"/>
        <v>E</v>
      </c>
      <c r="BB42" s="47">
        <f>IF(A42&gt;0,FLN!I34,"")</f>
        <v>2</v>
      </c>
      <c r="BC42" s="47">
        <f>IF(A42&gt;0,FLN!J34,"")</f>
        <v>2</v>
      </c>
      <c r="BD42" s="47">
        <f>IF(A42&gt;0,FLN!K34,"")</f>
        <v>3</v>
      </c>
      <c r="BE42" s="47" t="str">
        <f t="shared" si="15"/>
        <v>PROMOTED</v>
      </c>
      <c r="BF42" s="130">
        <f>IF(AY42="","",IFERROR(RANK(AY42,$AY$12:$AY$111,0)+COUNTIFS($AY$12:AY42,AY42)-1,0))</f>
        <v>25</v>
      </c>
      <c r="BG42" s="130">
        <f t="shared" si="16"/>
        <v>118</v>
      </c>
    </row>
    <row r="43" s="98" customFormat="1" ht="27" customHeight="1" spans="1:59">
      <c r="A43" s="47">
        <f>IF(A42=0,0,IF(A42&lt;ENTRY!$D$24,A42+1,0))</f>
        <v>32</v>
      </c>
      <c r="B43" s="47">
        <f>IF(A43&gt;0,STUDENT!F33,"")</f>
        <v>15035</v>
      </c>
      <c r="C43" s="176" t="str">
        <f>IF(A43&gt;0,UPPER(STUDENT!E33),"")</f>
        <v>HARSHIT</v>
      </c>
      <c r="D43" s="176" t="str">
        <f>IF(A43&gt;0,UPPER(STUDENT!H33),"")</f>
        <v>ANKIT SINGH</v>
      </c>
      <c r="E43" s="47" t="str">
        <f>IF(A43&gt;0,UPPER(STUDENT!BP33),"")</f>
        <v/>
      </c>
      <c r="F43" s="47" t="str">
        <f>IF(A43&gt;0,UPPER(STUDENT!BO33),"")</f>
        <v>FALSE</v>
      </c>
      <c r="G43" s="47" t="str">
        <f>IF(A43&gt;0,UPPER(STUDENT!Q33),"")</f>
        <v/>
      </c>
      <c r="H43" s="69" t="e">
        <f>IF(A43&gt;0,PASHEET!CI35/PASHEET!CJ35*100,"")</f>
        <v>#DIV/0!</v>
      </c>
      <c r="I43" s="177">
        <f>IF(A43&gt;0,SUM(PASHEET!AL35,PASHEET!AT35),"")</f>
        <v>2</v>
      </c>
      <c r="J43" s="177">
        <f>IF(A43&gt;0,SUM(MARKS!F35,MARKS!AL35),"")</f>
        <v>0</v>
      </c>
      <c r="K43" s="177">
        <f>IF(A43&gt;0,SUM(MARKS!N35,MARKS!AT35),"")</f>
        <v>0</v>
      </c>
      <c r="L43" s="177">
        <f>IF(A43&gt;0,SUM(MARKS!V35,MARKS!BB35),"")</f>
        <v>0</v>
      </c>
      <c r="M43" s="177">
        <f>IF(A43&gt;0,SUM(MARKS!AD35,MARKS!BJ35),"")</f>
        <v>56</v>
      </c>
      <c r="N43" s="177">
        <f t="shared" si="0"/>
        <v>58</v>
      </c>
      <c r="O43" s="177" t="str">
        <f t="shared" si="1"/>
        <v>C</v>
      </c>
      <c r="P43" s="177">
        <f>IF(A43&gt;0,SUM(PASHEET!AM35,PASHEET!AU35),"")</f>
        <v>2</v>
      </c>
      <c r="Q43" s="177">
        <f>IF(A43&gt;0,SUM(MARKS!G35,MARKS!AM35),"")</f>
        <v>0</v>
      </c>
      <c r="R43" s="177">
        <f>IF(A43&gt;0,SUM(MARKS!O35,MARKS!AU35),"")</f>
        <v>0</v>
      </c>
      <c r="S43" s="177">
        <f>IF(A43&gt;0,SUM(MARKS!W35,MARKS!BC35),"")</f>
        <v>0</v>
      </c>
      <c r="T43" s="177">
        <f>IF(A43&gt;0,SUM(MARKS!AE35,MARKS!BK35),"")</f>
        <v>26</v>
      </c>
      <c r="U43" s="177">
        <f t="shared" si="2"/>
        <v>28</v>
      </c>
      <c r="V43" s="177" t="str">
        <f t="shared" si="3"/>
        <v>E</v>
      </c>
      <c r="W43" s="177">
        <f>IF(A43&gt;0,SUM(PASHEET!AN35,PASHEET!AV35),"")</f>
        <v>2</v>
      </c>
      <c r="X43" s="177">
        <f>IF(A43&gt;0,SUM(MARKS!H35,MARKS!AN35),"")</f>
        <v>0</v>
      </c>
      <c r="Y43" s="177">
        <f>IF(A43&gt;0,SUM(MARKS!P35,MARKS!AV35),"")</f>
        <v>0</v>
      </c>
      <c r="Z43" s="177">
        <f>IF(A43&gt;0,SUM(MARKS!X35,MARKS!BD35),"")</f>
        <v>0</v>
      </c>
      <c r="AA43" s="177">
        <f>IF(A43&gt;0,SUM(MARKS!AF35,MARKS!BL35),"")</f>
        <v>26</v>
      </c>
      <c r="AB43" s="177">
        <f t="shared" si="4"/>
        <v>28</v>
      </c>
      <c r="AC43" s="177" t="str">
        <f t="shared" si="5"/>
        <v>E</v>
      </c>
      <c r="AD43" s="177">
        <f>IF(A43&gt;0,SUM(PASHEET!AO35,PASHEET!AW35),"")</f>
        <v>2</v>
      </c>
      <c r="AE43" s="177">
        <f>IF(A43&gt;0,SUM(MARKS!I35,MARKS!AO35),"")</f>
        <v>0</v>
      </c>
      <c r="AF43" s="177">
        <f>IF(A43&gt;0,SUM(MARKS!Q35,MARKS!AW35),"")</f>
        <v>0</v>
      </c>
      <c r="AG43" s="177">
        <f>IF(A43&gt;0,SUM(MARKS!Y35,MARKS!BE35),"")</f>
        <v>0</v>
      </c>
      <c r="AH43" s="177">
        <f>IF(A43&gt;0,SUM(MARKS!AG35,MARKS!BM35),"")</f>
        <v>28</v>
      </c>
      <c r="AI43" s="177">
        <f t="shared" si="6"/>
        <v>30</v>
      </c>
      <c r="AJ43" s="177" t="str">
        <f t="shared" si="7"/>
        <v>E</v>
      </c>
      <c r="AK43" s="177">
        <f>IF(A43&gt;0,SUM(PASHEET!AP35,PASHEET!AX35),"")</f>
        <v>0</v>
      </c>
      <c r="AL43" s="177">
        <f>IF(A43&gt;0,SUM(MARKS!J35,MARKS!AP35),"")</f>
        <v>0</v>
      </c>
      <c r="AM43" s="177">
        <f>IF(A43&gt;0,SUM(MARKS!R35,MARKS!AX35),"")</f>
        <v>0</v>
      </c>
      <c r="AN43" s="177">
        <f>IF(A43&gt;0,SUM(MARKS!Z35,MARKS!BF35),"")</f>
        <v>0</v>
      </c>
      <c r="AO43" s="177">
        <f>IF(A43&gt;0,SUM(MARKS!AH35,MARKS!BN35),"")</f>
        <v>25</v>
      </c>
      <c r="AP43" s="177">
        <f t="shared" si="8"/>
        <v>25</v>
      </c>
      <c r="AQ43" s="177" t="str">
        <f t="shared" si="9"/>
        <v>E</v>
      </c>
      <c r="AR43" s="177">
        <f>IF(A43&gt;0,SUM(PASHEET!AQ35,PASHEET!AY35),"")</f>
        <v>2</v>
      </c>
      <c r="AS43" s="177">
        <f>IF(A43&gt;0,SUM(MARKS!K35,MARKS!AQ35),"")</f>
        <v>0</v>
      </c>
      <c r="AT43" s="177">
        <f>IF(A43&gt;0,SUM(MARKS!S35,MARKS!AY35),"")</f>
        <v>0</v>
      </c>
      <c r="AU43" s="177">
        <f>IF(A43&gt;0,SUM(MARKS!AA35,MARKS!BG35),"")</f>
        <v>0</v>
      </c>
      <c r="AV43" s="177">
        <f>IF(A43&gt;0,SUM(MARKS!AI35,MARKS!BO35),"")</f>
        <v>28</v>
      </c>
      <c r="AW43" s="177">
        <f t="shared" si="10"/>
        <v>30</v>
      </c>
      <c r="AX43" s="177" t="str">
        <f t="shared" si="11"/>
        <v>E</v>
      </c>
      <c r="AY43" s="47">
        <f t="shared" si="12"/>
        <v>199</v>
      </c>
      <c r="AZ43" s="70">
        <f t="shared" si="13"/>
        <v>33.1666666666667</v>
      </c>
      <c r="BA43" s="177" t="str">
        <f t="shared" si="14"/>
        <v>D</v>
      </c>
      <c r="BB43" s="47">
        <f>IF(A43&gt;0,FLN!I35,"")</f>
        <v>2</v>
      </c>
      <c r="BC43" s="47">
        <f>IF(A43&gt;0,FLN!J35,"")</f>
        <v>2</v>
      </c>
      <c r="BD43" s="47">
        <f>IF(A43&gt;0,FLN!K35,"")</f>
        <v>3</v>
      </c>
      <c r="BE43" s="47" t="str">
        <f t="shared" si="15"/>
        <v>FIRST</v>
      </c>
      <c r="BF43" s="130">
        <f>IF(AY43="","",IFERROR(RANK(AY43,$AY$12:$AY$111,0)+COUNTIFS($AY$12:AY43,AY43)-1,0))</f>
        <v>1</v>
      </c>
      <c r="BG43" s="130">
        <f t="shared" si="16"/>
        <v>199</v>
      </c>
    </row>
    <row r="44" s="98" customFormat="1" ht="27" customHeight="1" spans="1:59">
      <c r="A44" s="47">
        <f>IF(A43=0,0,IF(A43&lt;ENTRY!$D$24,A43+1,0))</f>
        <v>33</v>
      </c>
      <c r="B44" s="47">
        <f>IF(A44&gt;0,STUDENT!F34,"")</f>
        <v>15077</v>
      </c>
      <c r="C44" s="176" t="str">
        <f>IF(A44&gt;0,UPPER(STUDENT!E34),"")</f>
        <v>HEMANT KUMAR</v>
      </c>
      <c r="D44" s="176" t="str">
        <f>IF(A44&gt;0,UPPER(STUDENT!H34),"")</f>
        <v>PRADEEP KUMAR</v>
      </c>
      <c r="E44" s="47" t="str">
        <f>IF(A44&gt;0,UPPER(STUDENT!BP34),"")</f>
        <v/>
      </c>
      <c r="F44" s="47" t="str">
        <f>IF(A44&gt;0,UPPER(STUDENT!BO34),"")</f>
        <v>FALSE</v>
      </c>
      <c r="G44" s="47" t="str">
        <f>IF(A44&gt;0,UPPER(STUDENT!Q34),"")</f>
        <v/>
      </c>
      <c r="H44" s="69" t="e">
        <f>IF(A44&gt;0,PASHEET!CI36/PASHEET!CJ36*100,"")</f>
        <v>#DIV/0!</v>
      </c>
      <c r="I44" s="177">
        <f>IF(A44&gt;0,SUM(PASHEET!AL36,PASHEET!AT36),"")</f>
        <v>2</v>
      </c>
      <c r="J44" s="177">
        <f>IF(A44&gt;0,SUM(MARKS!F36,MARKS!AL36),"")</f>
        <v>0</v>
      </c>
      <c r="K44" s="177">
        <f>IF(A44&gt;0,SUM(MARKS!N36,MARKS!AT36),"")</f>
        <v>0</v>
      </c>
      <c r="L44" s="177">
        <f>IF(A44&gt;0,SUM(MARKS!V36,MARKS!BB36),"")</f>
        <v>0</v>
      </c>
      <c r="M44" s="177">
        <f>IF(A44&gt;0,SUM(MARKS!AD36,MARKS!BJ36),"")</f>
        <v>43</v>
      </c>
      <c r="N44" s="177">
        <f t="shared" si="0"/>
        <v>45</v>
      </c>
      <c r="O44" s="177" t="str">
        <f t="shared" si="1"/>
        <v>C</v>
      </c>
      <c r="P44" s="177">
        <f>IF(A44&gt;0,SUM(PASHEET!AM36,PASHEET!AU36),"")</f>
        <v>2</v>
      </c>
      <c r="Q44" s="177">
        <f>IF(A44&gt;0,SUM(MARKS!G36,MARKS!AM36),"")</f>
        <v>0</v>
      </c>
      <c r="R44" s="177">
        <f>IF(A44&gt;0,SUM(MARKS!O36,MARKS!AU36),"")</f>
        <v>0</v>
      </c>
      <c r="S44" s="177">
        <f>IF(A44&gt;0,SUM(MARKS!W36,MARKS!BC36),"")</f>
        <v>0</v>
      </c>
      <c r="T44" s="177">
        <f>IF(A44&gt;0,SUM(MARKS!AE36,MARKS!BK36),"")</f>
        <v>12</v>
      </c>
      <c r="U44" s="177">
        <f t="shared" si="2"/>
        <v>14</v>
      </c>
      <c r="V44" s="177" t="str">
        <f t="shared" si="3"/>
        <v>E</v>
      </c>
      <c r="W44" s="177">
        <f>IF(A44&gt;0,SUM(PASHEET!AN36,PASHEET!AV36),"")</f>
        <v>2</v>
      </c>
      <c r="X44" s="177">
        <f>IF(A44&gt;0,SUM(MARKS!H36,MARKS!AN36),"")</f>
        <v>0</v>
      </c>
      <c r="Y44" s="177">
        <f>IF(A44&gt;0,SUM(MARKS!P36,MARKS!AV36),"")</f>
        <v>0</v>
      </c>
      <c r="Z44" s="177">
        <f>IF(A44&gt;0,SUM(MARKS!X36,MARKS!BD36),"")</f>
        <v>0</v>
      </c>
      <c r="AA44" s="177">
        <f>IF(A44&gt;0,SUM(MARKS!AF36,MARKS!BL36),"")</f>
        <v>15</v>
      </c>
      <c r="AB44" s="177">
        <f t="shared" si="4"/>
        <v>17</v>
      </c>
      <c r="AC44" s="177" t="str">
        <f t="shared" si="5"/>
        <v>E</v>
      </c>
      <c r="AD44" s="177">
        <f>IF(A44&gt;0,SUM(PASHEET!AO36,PASHEET!AW36),"")</f>
        <v>2</v>
      </c>
      <c r="AE44" s="177">
        <f>IF(A44&gt;0,SUM(MARKS!I36,MARKS!AO36),"")</f>
        <v>0</v>
      </c>
      <c r="AF44" s="177">
        <f>IF(A44&gt;0,SUM(MARKS!Q36,MARKS!AW36),"")</f>
        <v>0</v>
      </c>
      <c r="AG44" s="177">
        <f>IF(A44&gt;0,SUM(MARKS!Y36,MARKS!BE36),"")</f>
        <v>0</v>
      </c>
      <c r="AH44" s="177">
        <f>IF(A44&gt;0,SUM(MARKS!AG36,MARKS!BM36),"")</f>
        <v>16</v>
      </c>
      <c r="AI44" s="177">
        <f t="shared" si="6"/>
        <v>18</v>
      </c>
      <c r="AJ44" s="177" t="str">
        <f t="shared" si="7"/>
        <v>E</v>
      </c>
      <c r="AK44" s="177">
        <f>IF(A44&gt;0,SUM(PASHEET!AP36,PASHEET!AX36),"")</f>
        <v>0</v>
      </c>
      <c r="AL44" s="177">
        <f>IF(A44&gt;0,SUM(MARKS!J36,MARKS!AP36),"")</f>
        <v>0</v>
      </c>
      <c r="AM44" s="177">
        <f>IF(A44&gt;0,SUM(MARKS!R36,MARKS!AX36),"")</f>
        <v>0</v>
      </c>
      <c r="AN44" s="177">
        <f>IF(A44&gt;0,SUM(MARKS!Z36,MARKS!BF36),"")</f>
        <v>0</v>
      </c>
      <c r="AO44" s="177">
        <f>IF(A44&gt;0,SUM(MARKS!AH36,MARKS!BN36),"")</f>
        <v>18</v>
      </c>
      <c r="AP44" s="177">
        <f t="shared" si="8"/>
        <v>18</v>
      </c>
      <c r="AQ44" s="177" t="str">
        <f t="shared" si="9"/>
        <v>E</v>
      </c>
      <c r="AR44" s="177">
        <f>IF(A44&gt;0,SUM(PASHEET!AQ36,PASHEET!AY36),"")</f>
        <v>2</v>
      </c>
      <c r="AS44" s="177">
        <f>IF(A44&gt;0,SUM(MARKS!K36,MARKS!AQ36),"")</f>
        <v>0</v>
      </c>
      <c r="AT44" s="177">
        <f>IF(A44&gt;0,SUM(MARKS!S36,MARKS!AY36),"")</f>
        <v>0</v>
      </c>
      <c r="AU44" s="177">
        <f>IF(A44&gt;0,SUM(MARKS!AA36,MARKS!BG36),"")</f>
        <v>0</v>
      </c>
      <c r="AV44" s="177">
        <f>IF(A44&gt;0,SUM(MARKS!AI36,MARKS!BO36),"")</f>
        <v>12</v>
      </c>
      <c r="AW44" s="177">
        <f t="shared" si="10"/>
        <v>14</v>
      </c>
      <c r="AX44" s="177" t="str">
        <f t="shared" si="11"/>
        <v>E</v>
      </c>
      <c r="AY44" s="47">
        <f t="shared" si="12"/>
        <v>126</v>
      </c>
      <c r="AZ44" s="70">
        <f t="shared" si="13"/>
        <v>21</v>
      </c>
      <c r="BA44" s="177" t="str">
        <f t="shared" si="14"/>
        <v>E</v>
      </c>
      <c r="BB44" s="47">
        <f>IF(A44&gt;0,FLN!I36,"")</f>
        <v>2</v>
      </c>
      <c r="BC44" s="47">
        <f>IF(A44&gt;0,FLN!J36,"")</f>
        <v>2</v>
      </c>
      <c r="BD44" s="47">
        <f>IF(A44&gt;0,FLN!K36,"")</f>
        <v>3</v>
      </c>
      <c r="BE44" s="47" t="str">
        <f t="shared" si="15"/>
        <v>PROMOTED</v>
      </c>
      <c r="BF44" s="130">
        <f>IF(AY44="","",IFERROR(RANK(AY44,$AY$12:$AY$111,0)+COUNTIFS($AY$12:AY44,AY44)-1,0))</f>
        <v>21</v>
      </c>
      <c r="BG44" s="130">
        <f t="shared" si="16"/>
        <v>126</v>
      </c>
    </row>
    <row r="45" s="98" customFormat="1" ht="27" customHeight="1" spans="1:59">
      <c r="A45" s="47">
        <f>IF(A44=0,0,IF(A44&lt;ENTRY!$D$24,A44+1,0))</f>
        <v>34</v>
      </c>
      <c r="B45" s="47">
        <f>IF(A45&gt;0,STUDENT!F35,"")</f>
        <v>15088</v>
      </c>
      <c r="C45" s="176" t="str">
        <f>IF(A45&gt;0,UPPER(STUDENT!E35),"")</f>
        <v>VEERPARTAP SINGH</v>
      </c>
      <c r="D45" s="176" t="str">
        <f>IF(A45&gt;0,UPPER(STUDENT!H35),"")</f>
        <v>VIJAY SINGH</v>
      </c>
      <c r="E45" s="47" t="str">
        <f>IF(A45&gt;0,UPPER(STUDENT!BP35),"")</f>
        <v/>
      </c>
      <c r="F45" s="47" t="str">
        <f>IF(A45&gt;0,UPPER(STUDENT!BO35),"")</f>
        <v>FALSE</v>
      </c>
      <c r="G45" s="47" t="str">
        <f>IF(A45&gt;0,UPPER(STUDENT!Q35),"")</f>
        <v/>
      </c>
      <c r="H45" s="69" t="e">
        <f>IF(A45&gt;0,PASHEET!CI37/PASHEET!CJ37*100,"")</f>
        <v>#DIV/0!</v>
      </c>
      <c r="I45" s="177">
        <f>IF(A45&gt;0,SUM(PASHEET!AL37,PASHEET!AT37),"")</f>
        <v>0</v>
      </c>
      <c r="J45" s="177">
        <f>IF(A45&gt;0,SUM(MARKS!F37,MARKS!AL37),"")</f>
        <v>0</v>
      </c>
      <c r="K45" s="177">
        <f>IF(A45&gt;0,SUM(MARKS!N37,MARKS!AT37),"")</f>
        <v>0</v>
      </c>
      <c r="L45" s="177">
        <f>IF(A45&gt;0,SUM(MARKS!V37,MARKS!BB37),"")</f>
        <v>0</v>
      </c>
      <c r="M45" s="177">
        <f>IF(A45&gt;0,SUM(MARKS!AD37,MARKS!BJ37),"")</f>
        <v>38</v>
      </c>
      <c r="N45" s="177">
        <f t="shared" si="0"/>
        <v>38</v>
      </c>
      <c r="O45" s="177" t="str">
        <f t="shared" si="1"/>
        <v>D</v>
      </c>
      <c r="P45" s="177">
        <f>IF(A45&gt;0,SUM(PASHEET!AM37,PASHEET!AU37),"")</f>
        <v>0</v>
      </c>
      <c r="Q45" s="177">
        <f>IF(A45&gt;0,SUM(MARKS!G37,MARKS!AM37),"")</f>
        <v>0</v>
      </c>
      <c r="R45" s="177">
        <f>IF(A45&gt;0,SUM(MARKS!O37,MARKS!AU37),"")</f>
        <v>0</v>
      </c>
      <c r="S45" s="177">
        <f>IF(A45&gt;0,SUM(MARKS!W37,MARKS!BC37),"")</f>
        <v>0</v>
      </c>
      <c r="T45" s="177">
        <f>IF(A45&gt;0,SUM(MARKS!AE37,MARKS!BK37),"")</f>
        <v>11</v>
      </c>
      <c r="U45" s="177">
        <f t="shared" si="2"/>
        <v>11</v>
      </c>
      <c r="V45" s="177" t="str">
        <f t="shared" si="3"/>
        <v>E</v>
      </c>
      <c r="W45" s="177">
        <f>IF(A45&gt;0,SUM(PASHEET!AN37,PASHEET!AV37),"")</f>
        <v>0</v>
      </c>
      <c r="X45" s="177">
        <f>IF(A45&gt;0,SUM(MARKS!H37,MARKS!AN37),"")</f>
        <v>0</v>
      </c>
      <c r="Y45" s="177">
        <f>IF(A45&gt;0,SUM(MARKS!P37,MARKS!AV37),"")</f>
        <v>0</v>
      </c>
      <c r="Z45" s="177">
        <f>IF(A45&gt;0,SUM(MARKS!X37,MARKS!BD37),"")</f>
        <v>0</v>
      </c>
      <c r="AA45" s="177">
        <f>IF(A45&gt;0,SUM(MARKS!AF37,MARKS!BL37),"")</f>
        <v>17</v>
      </c>
      <c r="AB45" s="177">
        <f t="shared" si="4"/>
        <v>17</v>
      </c>
      <c r="AC45" s="177" t="str">
        <f t="shared" si="5"/>
        <v>E</v>
      </c>
      <c r="AD45" s="177">
        <f>IF(A45&gt;0,SUM(PASHEET!AO37,PASHEET!AW37),"")</f>
        <v>0</v>
      </c>
      <c r="AE45" s="177">
        <f>IF(A45&gt;0,SUM(MARKS!I37,MARKS!AO37),"")</f>
        <v>0</v>
      </c>
      <c r="AF45" s="177">
        <f>IF(A45&gt;0,SUM(MARKS!Q37,MARKS!AW37),"")</f>
        <v>0</v>
      </c>
      <c r="AG45" s="177">
        <f>IF(A45&gt;0,SUM(MARKS!Y37,MARKS!BE37),"")</f>
        <v>0</v>
      </c>
      <c r="AH45" s="177">
        <f>IF(A45&gt;0,SUM(MARKS!AG37,MARKS!BM37),"")</f>
        <v>20</v>
      </c>
      <c r="AI45" s="177">
        <f t="shared" si="6"/>
        <v>20</v>
      </c>
      <c r="AJ45" s="177" t="str">
        <f t="shared" si="7"/>
        <v>E</v>
      </c>
      <c r="AK45" s="177">
        <f>IF(A45&gt;0,SUM(PASHEET!AP37,PASHEET!AX37),"")</f>
        <v>0</v>
      </c>
      <c r="AL45" s="177">
        <f>IF(A45&gt;0,SUM(MARKS!J37,MARKS!AP37),"")</f>
        <v>0</v>
      </c>
      <c r="AM45" s="177">
        <f>IF(A45&gt;0,SUM(MARKS!R37,MARKS!AX37),"")</f>
        <v>0</v>
      </c>
      <c r="AN45" s="177">
        <f>IF(A45&gt;0,SUM(MARKS!Z37,MARKS!BF37),"")</f>
        <v>0</v>
      </c>
      <c r="AO45" s="177">
        <f>IF(A45&gt;0,SUM(MARKS!AH37,MARKS!BN37),"")</f>
        <v>23</v>
      </c>
      <c r="AP45" s="177">
        <f t="shared" si="8"/>
        <v>23</v>
      </c>
      <c r="AQ45" s="177" t="str">
        <f t="shared" si="9"/>
        <v>E</v>
      </c>
      <c r="AR45" s="177">
        <f>IF(A45&gt;0,SUM(PASHEET!AQ37,PASHEET!AY37),"")</f>
        <v>0</v>
      </c>
      <c r="AS45" s="177">
        <f>IF(A45&gt;0,SUM(MARKS!K37,MARKS!AQ37),"")</f>
        <v>0</v>
      </c>
      <c r="AT45" s="177">
        <f>IF(A45&gt;0,SUM(MARKS!S37,MARKS!AY37),"")</f>
        <v>0</v>
      </c>
      <c r="AU45" s="177">
        <f>IF(A45&gt;0,SUM(MARKS!AA37,MARKS!BG37),"")</f>
        <v>0</v>
      </c>
      <c r="AV45" s="177">
        <f>IF(A45&gt;0,SUM(MARKS!AI37,MARKS!BO37),"")</f>
        <v>23</v>
      </c>
      <c r="AW45" s="177">
        <f t="shared" si="10"/>
        <v>23</v>
      </c>
      <c r="AX45" s="177" t="str">
        <f t="shared" si="11"/>
        <v>E</v>
      </c>
      <c r="AY45" s="47">
        <f t="shared" si="12"/>
        <v>132</v>
      </c>
      <c r="AZ45" s="70">
        <f t="shared" si="13"/>
        <v>22</v>
      </c>
      <c r="BA45" s="177" t="str">
        <f t="shared" si="14"/>
        <v>E</v>
      </c>
      <c r="BB45" s="47" t="str">
        <f>IF(A45&gt;0,FLN!I37,"")</f>
        <v/>
      </c>
      <c r="BC45" s="47" t="str">
        <f>IF(A45&gt;0,FLN!J37,"")</f>
        <v/>
      </c>
      <c r="BD45" s="47" t="str">
        <f>IF(A45&gt;0,FLN!K37,"")</f>
        <v/>
      </c>
      <c r="BE45" s="47" t="str">
        <f t="shared" si="15"/>
        <v>PROMOTED</v>
      </c>
      <c r="BF45" s="130">
        <f>IF(AY45="","",IFERROR(RANK(AY45,$AY$12:$AY$111,0)+COUNTIFS($AY$12:AY45,AY45)-1,0))</f>
        <v>19</v>
      </c>
      <c r="BG45" s="130">
        <f t="shared" si="16"/>
        <v>132</v>
      </c>
    </row>
    <row r="46" s="98" customFormat="1" ht="27" customHeight="1" spans="1:59">
      <c r="A46" s="47">
        <f>IF(A45=0,0,IF(A45&lt;ENTRY!$D$24,A45+1,0))</f>
        <v>35</v>
      </c>
      <c r="B46" s="47">
        <f>IF(A46&gt;0,STUDENT!F36,"")</f>
        <v>15104</v>
      </c>
      <c r="C46" s="176" t="str">
        <f>IF(A46&gt;0,UPPER(STUDENT!E36),"")</f>
        <v>NIKHIL KUMAR</v>
      </c>
      <c r="D46" s="176" t="str">
        <f>IF(A46&gt;0,UPPER(STUDENT!H36),"")</f>
        <v>SUNIL KUMAR</v>
      </c>
      <c r="E46" s="47" t="str">
        <f>IF(A46&gt;0,UPPER(STUDENT!BP36),"")</f>
        <v/>
      </c>
      <c r="F46" s="47" t="str">
        <f>IF(A46&gt;0,UPPER(STUDENT!BO36),"")</f>
        <v>FALSE</v>
      </c>
      <c r="G46" s="47" t="str">
        <f>IF(A46&gt;0,UPPER(STUDENT!Q36),"")</f>
        <v/>
      </c>
      <c r="H46" s="69" t="e">
        <f>IF(A46&gt;0,PASHEET!CI38/PASHEET!CJ38*100,"")</f>
        <v>#DIV/0!</v>
      </c>
      <c r="I46" s="177">
        <f>IF(A46&gt;0,SUM(PASHEET!AL38,PASHEET!AT38),"")</f>
        <v>1</v>
      </c>
      <c r="J46" s="177">
        <f>IF(A46&gt;0,SUM(MARKS!F38,MARKS!AL38),"")</f>
        <v>0</v>
      </c>
      <c r="K46" s="177">
        <f>IF(A46&gt;0,SUM(MARKS!N38,MARKS!AT38),"")</f>
        <v>0</v>
      </c>
      <c r="L46" s="177">
        <f>IF(A46&gt;0,SUM(MARKS!V38,MARKS!BB38),"")</f>
        <v>0</v>
      </c>
      <c r="M46" s="177">
        <f>IF(A46&gt;0,SUM(MARKS!AD38,MARKS!BJ38),"")</f>
        <v>36</v>
      </c>
      <c r="N46" s="177">
        <f t="shared" si="0"/>
        <v>37</v>
      </c>
      <c r="O46" s="177" t="str">
        <f t="shared" si="1"/>
        <v>D</v>
      </c>
      <c r="P46" s="177">
        <f>IF(A46&gt;0,SUM(PASHEET!AM38,PASHEET!AU38),"")</f>
        <v>1</v>
      </c>
      <c r="Q46" s="177">
        <f>IF(A46&gt;0,SUM(MARKS!G38,MARKS!AM38),"")</f>
        <v>0</v>
      </c>
      <c r="R46" s="177">
        <f>IF(A46&gt;0,SUM(MARKS!O38,MARKS!AU38),"")</f>
        <v>0</v>
      </c>
      <c r="S46" s="177">
        <f>IF(A46&gt;0,SUM(MARKS!W38,MARKS!BC38),"")</f>
        <v>0</v>
      </c>
      <c r="T46" s="177">
        <f>IF(A46&gt;0,SUM(MARKS!AE38,MARKS!BK38),"")</f>
        <v>11</v>
      </c>
      <c r="U46" s="177">
        <f t="shared" si="2"/>
        <v>12</v>
      </c>
      <c r="V46" s="177" t="str">
        <f t="shared" si="3"/>
        <v>E</v>
      </c>
      <c r="W46" s="177">
        <f>IF(A46&gt;0,SUM(PASHEET!AN38,PASHEET!AV38),"")</f>
        <v>2</v>
      </c>
      <c r="X46" s="177">
        <f>IF(A46&gt;0,SUM(MARKS!H38,MARKS!AN38),"")</f>
        <v>0</v>
      </c>
      <c r="Y46" s="177">
        <f>IF(A46&gt;0,SUM(MARKS!P38,MARKS!AV38),"")</f>
        <v>0</v>
      </c>
      <c r="Z46" s="177">
        <f>IF(A46&gt;0,SUM(MARKS!X38,MARKS!BD38),"")</f>
        <v>0</v>
      </c>
      <c r="AA46" s="177">
        <f>IF(A46&gt;0,SUM(MARKS!AF38,MARKS!BL38),"")</f>
        <v>22</v>
      </c>
      <c r="AB46" s="177">
        <f t="shared" si="4"/>
        <v>24</v>
      </c>
      <c r="AC46" s="177" t="str">
        <f t="shared" si="5"/>
        <v>E</v>
      </c>
      <c r="AD46" s="177">
        <f>IF(A46&gt;0,SUM(PASHEET!AO38,PASHEET!AW38),"")</f>
        <v>1</v>
      </c>
      <c r="AE46" s="177">
        <f>IF(A46&gt;0,SUM(MARKS!I38,MARKS!AO38),"")</f>
        <v>0</v>
      </c>
      <c r="AF46" s="177">
        <f>IF(A46&gt;0,SUM(MARKS!Q38,MARKS!AW38),"")</f>
        <v>0</v>
      </c>
      <c r="AG46" s="177">
        <f>IF(A46&gt;0,SUM(MARKS!Y38,MARKS!BE38),"")</f>
        <v>0</v>
      </c>
      <c r="AH46" s="177">
        <f>IF(A46&gt;0,SUM(MARKS!AG38,MARKS!BM38),"")</f>
        <v>13</v>
      </c>
      <c r="AI46" s="177">
        <f t="shared" si="6"/>
        <v>14</v>
      </c>
      <c r="AJ46" s="177" t="str">
        <f t="shared" si="7"/>
        <v>E</v>
      </c>
      <c r="AK46" s="177">
        <f>IF(A46&gt;0,SUM(PASHEET!AP38,PASHEET!AX38),"")</f>
        <v>0</v>
      </c>
      <c r="AL46" s="177">
        <f>IF(A46&gt;0,SUM(MARKS!J38,MARKS!AP38),"")</f>
        <v>0</v>
      </c>
      <c r="AM46" s="177">
        <f>IF(A46&gt;0,SUM(MARKS!R38,MARKS!AX38),"")</f>
        <v>0</v>
      </c>
      <c r="AN46" s="177">
        <f>IF(A46&gt;0,SUM(MARKS!Z38,MARKS!BF38),"")</f>
        <v>0</v>
      </c>
      <c r="AO46" s="177">
        <f>IF(A46&gt;0,SUM(MARKS!AH38,MARKS!BN38),"")</f>
        <v>14</v>
      </c>
      <c r="AP46" s="177">
        <f t="shared" si="8"/>
        <v>14</v>
      </c>
      <c r="AQ46" s="177" t="str">
        <f t="shared" si="9"/>
        <v>E</v>
      </c>
      <c r="AR46" s="177">
        <f>IF(A46&gt;0,SUM(PASHEET!AQ38,PASHEET!AY38),"")</f>
        <v>2</v>
      </c>
      <c r="AS46" s="177">
        <f>IF(A46&gt;0,SUM(MARKS!K38,MARKS!AQ38),"")</f>
        <v>0</v>
      </c>
      <c r="AT46" s="177">
        <f>IF(A46&gt;0,SUM(MARKS!S38,MARKS!AY38),"")</f>
        <v>0</v>
      </c>
      <c r="AU46" s="177">
        <f>IF(A46&gt;0,SUM(MARKS!AA38,MARKS!BG38),"")</f>
        <v>0</v>
      </c>
      <c r="AV46" s="177">
        <f>IF(A46&gt;0,SUM(MARKS!AI38,MARKS!BO38),"")</f>
        <v>22</v>
      </c>
      <c r="AW46" s="177">
        <f t="shared" si="10"/>
        <v>24</v>
      </c>
      <c r="AX46" s="177" t="str">
        <f t="shared" si="11"/>
        <v>E</v>
      </c>
      <c r="AY46" s="47">
        <f t="shared" si="12"/>
        <v>125</v>
      </c>
      <c r="AZ46" s="70">
        <f t="shared" si="13"/>
        <v>20.8333333333333</v>
      </c>
      <c r="BA46" s="177" t="str">
        <f t="shared" si="14"/>
        <v>E</v>
      </c>
      <c r="BB46" s="47">
        <f>IF(A46&gt;0,FLN!I38,"")</f>
        <v>2</v>
      </c>
      <c r="BC46" s="47">
        <f>IF(A46&gt;0,FLN!J38,"")</f>
        <v>2</v>
      </c>
      <c r="BD46" s="47">
        <f>IF(A46&gt;0,FLN!K38,"")</f>
        <v>3</v>
      </c>
      <c r="BE46" s="47" t="str">
        <f t="shared" si="15"/>
        <v>PROMOTED</v>
      </c>
      <c r="BF46" s="130">
        <f>IF(AY46="","",IFERROR(RANK(AY46,$AY$12:$AY$111,0)+COUNTIFS($AY$12:AY46,AY46)-1,0))</f>
        <v>22</v>
      </c>
      <c r="BG46" s="130">
        <f t="shared" si="16"/>
        <v>125</v>
      </c>
    </row>
    <row r="47" s="98" customFormat="1" ht="27" customHeight="1" spans="1:59">
      <c r="A47" s="47">
        <f>IF(A46=0,0,IF(A46&lt;ENTRY!$D$24,A46+1,0))</f>
        <v>36</v>
      </c>
      <c r="B47" s="47">
        <f>IF(A47&gt;0,STUDENT!F37,"")</f>
        <v>15143</v>
      </c>
      <c r="C47" s="176" t="str">
        <f>IF(A47&gt;0,UPPER(STUDENT!E37),"")</f>
        <v>JITENDRA</v>
      </c>
      <c r="D47" s="176" t="str">
        <f>IF(A47&gt;0,UPPER(STUDENT!H37),"")</f>
        <v>RAM SUMAR</v>
      </c>
      <c r="E47" s="47" t="str">
        <f>IF(A47&gt;0,UPPER(STUDENT!BP37),"")</f>
        <v/>
      </c>
      <c r="F47" s="47" t="str">
        <f>IF(A47&gt;0,UPPER(STUDENT!BO37),"")</f>
        <v>FALSE</v>
      </c>
      <c r="G47" s="47" t="str">
        <f>IF(A47&gt;0,UPPER(STUDENT!Q37),"")</f>
        <v/>
      </c>
      <c r="H47" s="69" t="e">
        <f>IF(A47&gt;0,PASHEET!CI39/PASHEET!CJ39*100,"")</f>
        <v>#DIV/0!</v>
      </c>
      <c r="I47" s="177">
        <f>IF(A47&gt;0,SUM(PASHEET!AL39,PASHEET!AT39),"")</f>
        <v>2</v>
      </c>
      <c r="J47" s="177">
        <f>IF(A47&gt;0,SUM(MARKS!F39,MARKS!AL39),"")</f>
        <v>0</v>
      </c>
      <c r="K47" s="177">
        <f>IF(A47&gt;0,SUM(MARKS!N39,MARKS!AT39),"")</f>
        <v>0</v>
      </c>
      <c r="L47" s="177">
        <f>IF(A47&gt;0,SUM(MARKS!V39,MARKS!BB39),"")</f>
        <v>0</v>
      </c>
      <c r="M47" s="177">
        <f>IF(A47&gt;0,SUM(MARKS!AD39,MARKS!BJ39),"")</f>
        <v>33</v>
      </c>
      <c r="N47" s="177">
        <f t="shared" si="0"/>
        <v>35</v>
      </c>
      <c r="O47" s="177" t="str">
        <f t="shared" si="1"/>
        <v>D</v>
      </c>
      <c r="P47" s="177">
        <f>IF(A47&gt;0,SUM(PASHEET!AM39,PASHEET!AU39),"")</f>
        <v>1</v>
      </c>
      <c r="Q47" s="177">
        <f>IF(A47&gt;0,SUM(MARKS!G39,MARKS!AM39),"")</f>
        <v>0</v>
      </c>
      <c r="R47" s="177">
        <f>IF(A47&gt;0,SUM(MARKS!O39,MARKS!AU39),"")</f>
        <v>0</v>
      </c>
      <c r="S47" s="177">
        <f>IF(A47&gt;0,SUM(MARKS!W39,MARKS!BC39),"")</f>
        <v>0</v>
      </c>
      <c r="T47" s="177">
        <f>IF(A47&gt;0,SUM(MARKS!AE39,MARKS!BK39),"")</f>
        <v>13</v>
      </c>
      <c r="U47" s="177">
        <f t="shared" si="2"/>
        <v>14</v>
      </c>
      <c r="V47" s="177" t="str">
        <f t="shared" si="3"/>
        <v>E</v>
      </c>
      <c r="W47" s="177">
        <f>IF(A47&gt;0,SUM(PASHEET!AN39,PASHEET!AV39),"")</f>
        <v>1</v>
      </c>
      <c r="X47" s="177">
        <f>IF(A47&gt;0,SUM(MARKS!H39,MARKS!AN39),"")</f>
        <v>0</v>
      </c>
      <c r="Y47" s="177">
        <f>IF(A47&gt;0,SUM(MARKS!P39,MARKS!AV39),"")</f>
        <v>0</v>
      </c>
      <c r="Z47" s="177">
        <f>IF(A47&gt;0,SUM(MARKS!X39,MARKS!BD39),"")</f>
        <v>0</v>
      </c>
      <c r="AA47" s="177">
        <f>IF(A47&gt;0,SUM(MARKS!AF39,MARKS!BL39),"")</f>
        <v>13</v>
      </c>
      <c r="AB47" s="177">
        <f t="shared" si="4"/>
        <v>14</v>
      </c>
      <c r="AC47" s="177" t="str">
        <f t="shared" si="5"/>
        <v>E</v>
      </c>
      <c r="AD47" s="177">
        <f>IF(A47&gt;0,SUM(PASHEET!AO39,PASHEET!AW39),"")</f>
        <v>1</v>
      </c>
      <c r="AE47" s="177">
        <f>IF(A47&gt;0,SUM(MARKS!I39,MARKS!AO39),"")</f>
        <v>0</v>
      </c>
      <c r="AF47" s="177">
        <f>IF(A47&gt;0,SUM(MARKS!Q39,MARKS!AW39),"")</f>
        <v>0</v>
      </c>
      <c r="AG47" s="177">
        <f>IF(A47&gt;0,SUM(MARKS!Y39,MARKS!BE39),"")</f>
        <v>0</v>
      </c>
      <c r="AH47" s="177">
        <f>IF(A47&gt;0,SUM(MARKS!AG39,MARKS!BM39),"")</f>
        <v>13</v>
      </c>
      <c r="AI47" s="177">
        <f t="shared" si="6"/>
        <v>14</v>
      </c>
      <c r="AJ47" s="177" t="str">
        <f t="shared" si="7"/>
        <v>E</v>
      </c>
      <c r="AK47" s="177">
        <f>IF(A47&gt;0,SUM(PASHEET!AP39,PASHEET!AX39),"")</f>
        <v>0</v>
      </c>
      <c r="AL47" s="177">
        <f>IF(A47&gt;0,SUM(MARKS!J39,MARKS!AP39),"")</f>
        <v>0</v>
      </c>
      <c r="AM47" s="177">
        <f>IF(A47&gt;0,SUM(MARKS!R39,MARKS!AX39),"")</f>
        <v>0</v>
      </c>
      <c r="AN47" s="177">
        <f>IF(A47&gt;0,SUM(MARKS!Z39,MARKS!BF39),"")</f>
        <v>0</v>
      </c>
      <c r="AO47" s="177">
        <f>IF(A47&gt;0,SUM(MARKS!AH39,MARKS!BN39),"")</f>
        <v>12</v>
      </c>
      <c r="AP47" s="177">
        <f t="shared" si="8"/>
        <v>12</v>
      </c>
      <c r="AQ47" s="177" t="str">
        <f t="shared" si="9"/>
        <v>E</v>
      </c>
      <c r="AR47" s="177">
        <f>IF(A47&gt;0,SUM(PASHEET!AQ39,PASHEET!AY39),"")</f>
        <v>1</v>
      </c>
      <c r="AS47" s="177">
        <f>IF(A47&gt;0,SUM(MARKS!K39,MARKS!AQ39),"")</f>
        <v>0</v>
      </c>
      <c r="AT47" s="177">
        <f>IF(A47&gt;0,SUM(MARKS!S39,MARKS!AY39),"")</f>
        <v>0</v>
      </c>
      <c r="AU47" s="177">
        <f>IF(A47&gt;0,SUM(MARKS!AA39,MARKS!BG39),"")</f>
        <v>0</v>
      </c>
      <c r="AV47" s="177">
        <f>IF(A47&gt;0,SUM(MARKS!AI39,MARKS!BO39),"")</f>
        <v>23</v>
      </c>
      <c r="AW47" s="177">
        <f t="shared" si="10"/>
        <v>24</v>
      </c>
      <c r="AX47" s="177" t="str">
        <f t="shared" si="11"/>
        <v>E</v>
      </c>
      <c r="AY47" s="47">
        <f t="shared" si="12"/>
        <v>113</v>
      </c>
      <c r="AZ47" s="70">
        <f t="shared" si="13"/>
        <v>18.8333333333333</v>
      </c>
      <c r="BA47" s="177" t="str">
        <f t="shared" si="14"/>
        <v>E</v>
      </c>
      <c r="BB47" s="47">
        <f>IF(A47&gt;0,FLN!I39,"")</f>
        <v>2</v>
      </c>
      <c r="BC47" s="47">
        <f>IF(A47&gt;0,FLN!J39,"")</f>
        <v>2</v>
      </c>
      <c r="BD47" s="47">
        <f>IF(A47&gt;0,FLN!K39,"")</f>
        <v>3</v>
      </c>
      <c r="BE47" s="47" t="str">
        <f t="shared" si="15"/>
        <v>PROMOTED</v>
      </c>
      <c r="BF47" s="130">
        <f>IF(AY47="","",IFERROR(RANK(AY47,$AY$12:$AY$111,0)+COUNTIFS($AY$12:AY47,AY47)-1,0))</f>
        <v>28</v>
      </c>
      <c r="BG47" s="130">
        <f t="shared" si="16"/>
        <v>113</v>
      </c>
    </row>
    <row r="48" s="98" customFormat="1" ht="27" customHeight="1" spans="1:59">
      <c r="A48" s="47">
        <f>IF(A47=0,0,IF(A47&lt;ENTRY!$D$24,A47+1,0))</f>
        <v>37</v>
      </c>
      <c r="B48" s="47">
        <f>IF(A48&gt;0,STUDENT!F38,"")</f>
        <v>15144</v>
      </c>
      <c r="C48" s="176" t="str">
        <f>IF(A48&gt;0,UPPER(STUDENT!E38),"")</f>
        <v>MOHD AYAN</v>
      </c>
      <c r="D48" s="176" t="str">
        <f>IF(A48&gt;0,UPPER(STUDENT!H38),"")</f>
        <v>BUDHAN MIYAN</v>
      </c>
      <c r="E48" s="47" t="str">
        <f>IF(A48&gt;0,UPPER(STUDENT!BP38),"")</f>
        <v/>
      </c>
      <c r="F48" s="47" t="str">
        <f>IF(A48&gt;0,UPPER(STUDENT!BO38),"")</f>
        <v>FALSE</v>
      </c>
      <c r="G48" s="47" t="str">
        <f>IF(A48&gt;0,UPPER(STUDENT!Q38),"")</f>
        <v/>
      </c>
      <c r="H48" s="69" t="e">
        <f>IF(A48&gt;0,PASHEET!CI40/PASHEET!CJ40*100,"")</f>
        <v>#DIV/0!</v>
      </c>
      <c r="I48" s="177">
        <f>IF(A48&gt;0,SUM(PASHEET!AL40,PASHEET!AT40),"")</f>
        <v>0</v>
      </c>
      <c r="J48" s="177">
        <f>IF(A48&gt;0,SUM(MARKS!F40,MARKS!AL40),"")</f>
        <v>0</v>
      </c>
      <c r="K48" s="177">
        <f>IF(A48&gt;0,SUM(MARKS!N40,MARKS!AT40),"")</f>
        <v>0</v>
      </c>
      <c r="L48" s="177">
        <f>IF(A48&gt;0,SUM(MARKS!V40,MARKS!BB40),"")</f>
        <v>0</v>
      </c>
      <c r="M48" s="177">
        <f>IF(A48&gt;0,SUM(MARKS!AD40,MARKS!BJ40),"")</f>
        <v>33</v>
      </c>
      <c r="N48" s="177">
        <f t="shared" si="0"/>
        <v>33</v>
      </c>
      <c r="O48" s="177" t="str">
        <f t="shared" si="1"/>
        <v>D</v>
      </c>
      <c r="P48" s="177">
        <f>IF(A48&gt;0,SUM(PASHEET!AM40,PASHEET!AU40),"")</f>
        <v>0</v>
      </c>
      <c r="Q48" s="177">
        <f>IF(A48&gt;0,SUM(MARKS!G40,MARKS!AM40),"")</f>
        <v>0</v>
      </c>
      <c r="R48" s="177">
        <f>IF(A48&gt;0,SUM(MARKS!O40,MARKS!AU40),"")</f>
        <v>0</v>
      </c>
      <c r="S48" s="177">
        <f>IF(A48&gt;0,SUM(MARKS!W40,MARKS!BC40),"")</f>
        <v>0</v>
      </c>
      <c r="T48" s="177">
        <f>IF(A48&gt;0,SUM(MARKS!AE40,MARKS!BK40),"")</f>
        <v>14</v>
      </c>
      <c r="U48" s="177">
        <f t="shared" si="2"/>
        <v>14</v>
      </c>
      <c r="V48" s="177" t="str">
        <f t="shared" si="3"/>
        <v>E</v>
      </c>
      <c r="W48" s="177">
        <f>IF(A48&gt;0,SUM(PASHEET!AN40,PASHEET!AV40),"")</f>
        <v>0</v>
      </c>
      <c r="X48" s="177">
        <f>IF(A48&gt;0,SUM(MARKS!H40,MARKS!AN40),"")</f>
        <v>0</v>
      </c>
      <c r="Y48" s="177">
        <f>IF(A48&gt;0,SUM(MARKS!P40,MARKS!AV40),"")</f>
        <v>0</v>
      </c>
      <c r="Z48" s="177">
        <f>IF(A48&gt;0,SUM(MARKS!X40,MARKS!BD40),"")</f>
        <v>0</v>
      </c>
      <c r="AA48" s="177">
        <f>IF(A48&gt;0,SUM(MARKS!AF40,MARKS!BL40),"")</f>
        <v>15</v>
      </c>
      <c r="AB48" s="177">
        <f t="shared" si="4"/>
        <v>15</v>
      </c>
      <c r="AC48" s="177" t="str">
        <f t="shared" si="5"/>
        <v>E</v>
      </c>
      <c r="AD48" s="177">
        <f>IF(A48&gt;0,SUM(PASHEET!AO40,PASHEET!AW40),"")</f>
        <v>0</v>
      </c>
      <c r="AE48" s="177">
        <f>IF(A48&gt;0,SUM(MARKS!I40,MARKS!AO40),"")</f>
        <v>0</v>
      </c>
      <c r="AF48" s="177">
        <f>IF(A48&gt;0,SUM(MARKS!Q40,MARKS!AW40),"")</f>
        <v>0</v>
      </c>
      <c r="AG48" s="177">
        <f>IF(A48&gt;0,SUM(MARKS!Y40,MARKS!BE40),"")</f>
        <v>0</v>
      </c>
      <c r="AH48" s="177">
        <f>IF(A48&gt;0,SUM(MARKS!AG40,MARKS!BM40),"")</f>
        <v>16</v>
      </c>
      <c r="AI48" s="177">
        <f t="shared" si="6"/>
        <v>16</v>
      </c>
      <c r="AJ48" s="177" t="str">
        <f t="shared" si="7"/>
        <v>E</v>
      </c>
      <c r="AK48" s="177">
        <f>IF(A48&gt;0,SUM(PASHEET!AP40,PASHEET!AX40),"")</f>
        <v>0</v>
      </c>
      <c r="AL48" s="177">
        <f>IF(A48&gt;0,SUM(MARKS!J40,MARKS!AP40),"")</f>
        <v>0</v>
      </c>
      <c r="AM48" s="177">
        <f>IF(A48&gt;0,SUM(MARKS!R40,MARKS!AX40),"")</f>
        <v>0</v>
      </c>
      <c r="AN48" s="177">
        <f>IF(A48&gt;0,SUM(MARKS!Z40,MARKS!BF40),"")</f>
        <v>0</v>
      </c>
      <c r="AO48" s="177">
        <f>IF(A48&gt;0,SUM(MARKS!AH40,MARKS!BN40),"")</f>
        <v>16</v>
      </c>
      <c r="AP48" s="177">
        <f t="shared" si="8"/>
        <v>16</v>
      </c>
      <c r="AQ48" s="177" t="str">
        <f t="shared" si="9"/>
        <v>E</v>
      </c>
      <c r="AR48" s="177">
        <f>IF(A48&gt;0,SUM(PASHEET!AQ40,PASHEET!AY40),"")</f>
        <v>0</v>
      </c>
      <c r="AS48" s="177">
        <f>IF(A48&gt;0,SUM(MARKS!K40,MARKS!AQ40),"")</f>
        <v>0</v>
      </c>
      <c r="AT48" s="177">
        <f>IF(A48&gt;0,SUM(MARKS!S40,MARKS!AY40),"")</f>
        <v>0</v>
      </c>
      <c r="AU48" s="177">
        <f>IF(A48&gt;0,SUM(MARKS!AA40,MARKS!BG40),"")</f>
        <v>0</v>
      </c>
      <c r="AV48" s="177">
        <f>IF(A48&gt;0,SUM(MARKS!AI40,MARKS!BO40),"")</f>
        <v>23</v>
      </c>
      <c r="AW48" s="177">
        <f t="shared" si="10"/>
        <v>23</v>
      </c>
      <c r="AX48" s="177" t="str">
        <f t="shared" si="11"/>
        <v>E</v>
      </c>
      <c r="AY48" s="47">
        <f t="shared" si="12"/>
        <v>117</v>
      </c>
      <c r="AZ48" s="70">
        <f t="shared" si="13"/>
        <v>19.5</v>
      </c>
      <c r="BA48" s="177" t="str">
        <f t="shared" si="14"/>
        <v>E</v>
      </c>
      <c r="BB48" s="47">
        <f>IF(A48&gt;0,FLN!I40,"")</f>
        <v>2</v>
      </c>
      <c r="BC48" s="47">
        <f>IF(A48&gt;0,FLN!J40,"")</f>
        <v>2</v>
      </c>
      <c r="BD48" s="47">
        <f>IF(A48&gt;0,FLN!K40,"")</f>
        <v>3</v>
      </c>
      <c r="BE48" s="47" t="str">
        <f t="shared" si="15"/>
        <v>PROMOTED</v>
      </c>
      <c r="BF48" s="130">
        <f>IF(AY48="","",IFERROR(RANK(AY48,$AY$12:$AY$111,0)+COUNTIFS($AY$12:AY48,AY48)-1,0))</f>
        <v>26</v>
      </c>
      <c r="BG48" s="130">
        <f t="shared" si="16"/>
        <v>117</v>
      </c>
    </row>
    <row r="49" s="98" customFormat="1" ht="27" customHeight="1" spans="1:59">
      <c r="A49" s="47">
        <f>IF(A48=0,0,IF(A48&lt;ENTRY!$D$24,A48+1,0))</f>
        <v>38</v>
      </c>
      <c r="B49" s="47">
        <f>IF(A49&gt;0,STUDENT!F39,"")</f>
        <v>15145</v>
      </c>
      <c r="C49" s="176" t="str">
        <f>IF(A49&gt;0,UPPER(STUDENT!E39),"")</f>
        <v>RAJA KUMAR</v>
      </c>
      <c r="D49" s="176" t="str">
        <f>IF(A49&gt;0,UPPER(STUDENT!H39),"")</f>
        <v>AMAR PODDAR</v>
      </c>
      <c r="E49" s="47" t="str">
        <f>IF(A49&gt;0,UPPER(STUDENT!BP39),"")</f>
        <v/>
      </c>
      <c r="F49" s="47" t="str">
        <f>IF(A49&gt;0,UPPER(STUDENT!BO39),"")</f>
        <v>FALSE</v>
      </c>
      <c r="G49" s="47" t="str">
        <f>IF(A49&gt;0,UPPER(STUDENT!Q39),"")</f>
        <v/>
      </c>
      <c r="H49" s="69" t="e">
        <f>IF(A49&gt;0,PASHEET!CI41/PASHEET!CJ41*100,"")</f>
        <v>#DIV/0!</v>
      </c>
      <c r="I49" s="177">
        <f>IF(A49&gt;0,SUM(PASHEET!AL41,PASHEET!AT41),"")</f>
        <v>0</v>
      </c>
      <c r="J49" s="177">
        <f>IF(A49&gt;0,SUM(MARKS!F41,MARKS!AL41),"")</f>
        <v>0</v>
      </c>
      <c r="K49" s="177">
        <f>IF(A49&gt;0,SUM(MARKS!N41,MARKS!AT41),"")</f>
        <v>0</v>
      </c>
      <c r="L49" s="177">
        <f>IF(A49&gt;0,SUM(MARKS!V41,MARKS!BB41),"")</f>
        <v>0</v>
      </c>
      <c r="M49" s="177">
        <f>IF(A49&gt;0,SUM(MARKS!AD41,MARKS!BJ41),"")</f>
        <v>28</v>
      </c>
      <c r="N49" s="177">
        <f t="shared" si="0"/>
        <v>28</v>
      </c>
      <c r="O49" s="177" t="str">
        <f t="shared" si="1"/>
        <v>E</v>
      </c>
      <c r="P49" s="177">
        <f>IF(A49&gt;0,SUM(PASHEET!AM41,PASHEET!AU41),"")</f>
        <v>0</v>
      </c>
      <c r="Q49" s="177">
        <f>IF(A49&gt;0,SUM(MARKS!G41,MARKS!AM41),"")</f>
        <v>0</v>
      </c>
      <c r="R49" s="177">
        <f>IF(A49&gt;0,SUM(MARKS!O41,MARKS!AU41),"")</f>
        <v>0</v>
      </c>
      <c r="S49" s="177">
        <f>IF(A49&gt;0,SUM(MARKS!W41,MARKS!BC41),"")</f>
        <v>0</v>
      </c>
      <c r="T49" s="177">
        <f>IF(A49&gt;0,SUM(MARKS!AE41,MARKS!BK41),"")</f>
        <v>12</v>
      </c>
      <c r="U49" s="177">
        <f t="shared" si="2"/>
        <v>12</v>
      </c>
      <c r="V49" s="177" t="str">
        <f t="shared" si="3"/>
        <v>E</v>
      </c>
      <c r="W49" s="177">
        <f>IF(A49&gt;0,SUM(PASHEET!AN41,PASHEET!AV41),"")</f>
        <v>0</v>
      </c>
      <c r="X49" s="177">
        <f>IF(A49&gt;0,SUM(MARKS!H41,MARKS!AN41),"")</f>
        <v>0</v>
      </c>
      <c r="Y49" s="177">
        <f>IF(A49&gt;0,SUM(MARKS!P41,MARKS!AV41),"")</f>
        <v>0</v>
      </c>
      <c r="Z49" s="177">
        <f>IF(A49&gt;0,SUM(MARKS!X41,MARKS!BD41),"")</f>
        <v>0</v>
      </c>
      <c r="AA49" s="177">
        <f>IF(A49&gt;0,SUM(MARKS!AF41,MARKS!BL41),"")</f>
        <v>12</v>
      </c>
      <c r="AB49" s="177">
        <f t="shared" si="4"/>
        <v>12</v>
      </c>
      <c r="AC49" s="177" t="str">
        <f t="shared" si="5"/>
        <v>E</v>
      </c>
      <c r="AD49" s="177">
        <f>IF(A49&gt;0,SUM(PASHEET!AO41,PASHEET!AW41),"")</f>
        <v>0</v>
      </c>
      <c r="AE49" s="177">
        <f>IF(A49&gt;0,SUM(MARKS!I41,MARKS!AO41),"")</f>
        <v>0</v>
      </c>
      <c r="AF49" s="177">
        <f>IF(A49&gt;0,SUM(MARKS!Q41,MARKS!AW41),"")</f>
        <v>0</v>
      </c>
      <c r="AG49" s="177">
        <f>IF(A49&gt;0,SUM(MARKS!Y41,MARKS!BE41),"")</f>
        <v>0</v>
      </c>
      <c r="AH49" s="177">
        <f>IF(A49&gt;0,SUM(MARKS!AG41,MARKS!BM41),"")</f>
        <v>13</v>
      </c>
      <c r="AI49" s="177">
        <f t="shared" si="6"/>
        <v>13</v>
      </c>
      <c r="AJ49" s="177" t="str">
        <f t="shared" si="7"/>
        <v>E</v>
      </c>
      <c r="AK49" s="177">
        <f>IF(A49&gt;0,SUM(PASHEET!AP41,PASHEET!AX41),"")</f>
        <v>0</v>
      </c>
      <c r="AL49" s="177">
        <f>IF(A49&gt;0,SUM(MARKS!J41,MARKS!AP41),"")</f>
        <v>0</v>
      </c>
      <c r="AM49" s="177">
        <f>IF(A49&gt;0,SUM(MARKS!R41,MARKS!AX41),"")</f>
        <v>0</v>
      </c>
      <c r="AN49" s="177">
        <f>IF(A49&gt;0,SUM(MARKS!Z41,MARKS!BF41),"")</f>
        <v>0</v>
      </c>
      <c r="AO49" s="177">
        <f>IF(A49&gt;0,SUM(MARKS!AH41,MARKS!BN41),"")</f>
        <v>17</v>
      </c>
      <c r="AP49" s="177">
        <f t="shared" si="8"/>
        <v>17</v>
      </c>
      <c r="AQ49" s="177" t="str">
        <f t="shared" si="9"/>
        <v>E</v>
      </c>
      <c r="AR49" s="177">
        <f>IF(A49&gt;0,SUM(PASHEET!AQ41,PASHEET!AY41),"")</f>
        <v>0</v>
      </c>
      <c r="AS49" s="177">
        <f>IF(A49&gt;0,SUM(MARKS!K41,MARKS!AQ41),"")</f>
        <v>0</v>
      </c>
      <c r="AT49" s="177">
        <f>IF(A49&gt;0,SUM(MARKS!S41,MARKS!AY41),"")</f>
        <v>0</v>
      </c>
      <c r="AU49" s="177">
        <f>IF(A49&gt;0,SUM(MARKS!AA41,MARKS!BG41),"")</f>
        <v>0</v>
      </c>
      <c r="AV49" s="177">
        <f>IF(A49&gt;0,SUM(MARKS!AI41,MARKS!BO41),"")</f>
        <v>25</v>
      </c>
      <c r="AW49" s="177">
        <f t="shared" si="10"/>
        <v>25</v>
      </c>
      <c r="AX49" s="177" t="str">
        <f t="shared" si="11"/>
        <v>E</v>
      </c>
      <c r="AY49" s="47">
        <f t="shared" si="12"/>
        <v>107</v>
      </c>
      <c r="AZ49" s="70">
        <f t="shared" si="13"/>
        <v>17.8333333333333</v>
      </c>
      <c r="BA49" s="177" t="str">
        <f t="shared" si="14"/>
        <v>E</v>
      </c>
      <c r="BB49" s="47">
        <f>IF(A49&gt;0,FLN!I41,"")</f>
        <v>2</v>
      </c>
      <c r="BC49" s="47">
        <f>IF(A49&gt;0,FLN!J41,"")</f>
        <v>2</v>
      </c>
      <c r="BD49" s="47">
        <f>IF(A49&gt;0,FLN!K41,"")</f>
        <v>3</v>
      </c>
      <c r="BE49" s="47" t="str">
        <f t="shared" si="15"/>
        <v>PROMOTED</v>
      </c>
      <c r="BF49" s="130">
        <f>IF(AY49="","",IFERROR(RANK(AY49,$AY$12:$AY$111,0)+COUNTIFS($AY$12:AY49,AY49)-1,0))</f>
        <v>35</v>
      </c>
      <c r="BG49" s="130">
        <f t="shared" si="16"/>
        <v>107</v>
      </c>
    </row>
    <row r="50" s="98" customFormat="1" ht="27" customHeight="1" spans="1:59">
      <c r="A50" s="47">
        <f>IF(A49=0,0,IF(A49&lt;ENTRY!$D$24,A49+1,0))</f>
        <v>39</v>
      </c>
      <c r="B50" s="47">
        <f>IF(A50&gt;0,STUDENT!F40,"")</f>
        <v>15149</v>
      </c>
      <c r="C50" s="176" t="str">
        <f>IF(A50&gt;0,UPPER(STUDENT!E40),"")</f>
        <v>LOVECESH KUMAR</v>
      </c>
      <c r="D50" s="176" t="str">
        <f>IF(A50&gt;0,UPPER(STUDENT!H40),"")</f>
        <v>SANDEEP KUMAR</v>
      </c>
      <c r="E50" s="47" t="str">
        <f>IF(A50&gt;0,UPPER(STUDENT!BP40),"")</f>
        <v/>
      </c>
      <c r="F50" s="47" t="str">
        <f>IF(A50&gt;0,UPPER(STUDENT!BO40),"")</f>
        <v>FALSE</v>
      </c>
      <c r="G50" s="47" t="str">
        <f>IF(A50&gt;0,UPPER(STUDENT!Q40),"")</f>
        <v/>
      </c>
      <c r="H50" s="69" t="e">
        <f>IF(A50&gt;0,PASHEET!CI42/PASHEET!CJ42*100,"")</f>
        <v>#DIV/0!</v>
      </c>
      <c r="I50" s="177">
        <f>IF(A50&gt;0,SUM(PASHEET!AL42,PASHEET!AT42),"")</f>
        <v>0</v>
      </c>
      <c r="J50" s="177">
        <f>IF(A50&gt;0,SUM(MARKS!F42,MARKS!AL42),"")</f>
        <v>0</v>
      </c>
      <c r="K50" s="177">
        <f>IF(A50&gt;0,SUM(MARKS!N42,MARKS!AT42),"")</f>
        <v>0</v>
      </c>
      <c r="L50" s="177">
        <f>IF(A50&gt;0,SUM(MARKS!V42,MARKS!BB42),"")</f>
        <v>0</v>
      </c>
      <c r="M50" s="177">
        <f>IF(A50&gt;0,SUM(MARKS!AD42,MARKS!BJ42),"")</f>
        <v>31</v>
      </c>
      <c r="N50" s="177">
        <f t="shared" si="0"/>
        <v>31</v>
      </c>
      <c r="O50" s="177" t="str">
        <f t="shared" si="1"/>
        <v>E</v>
      </c>
      <c r="P50" s="177">
        <f>IF(A50&gt;0,SUM(PASHEET!AM42,PASHEET!AU42),"")</f>
        <v>0</v>
      </c>
      <c r="Q50" s="177">
        <f>IF(A50&gt;0,SUM(MARKS!G42,MARKS!AM42),"")</f>
        <v>0</v>
      </c>
      <c r="R50" s="177">
        <f>IF(A50&gt;0,SUM(MARKS!O42,MARKS!AU42),"")</f>
        <v>0</v>
      </c>
      <c r="S50" s="177">
        <f>IF(A50&gt;0,SUM(MARKS!W42,MARKS!BC42),"")</f>
        <v>0</v>
      </c>
      <c r="T50" s="177">
        <f>IF(A50&gt;0,SUM(MARKS!AE42,MARKS!BK42),"")</f>
        <v>21</v>
      </c>
      <c r="U50" s="177">
        <f t="shared" si="2"/>
        <v>21</v>
      </c>
      <c r="V50" s="177" t="str">
        <f t="shared" si="3"/>
        <v>E</v>
      </c>
      <c r="W50" s="177">
        <f>IF(A50&gt;0,SUM(PASHEET!AN42,PASHEET!AV42),"")</f>
        <v>0</v>
      </c>
      <c r="X50" s="177">
        <f>IF(A50&gt;0,SUM(MARKS!H42,MARKS!AN42),"")</f>
        <v>0</v>
      </c>
      <c r="Y50" s="177">
        <f>IF(A50&gt;0,SUM(MARKS!P42,MARKS!AV42),"")</f>
        <v>0</v>
      </c>
      <c r="Z50" s="177">
        <f>IF(A50&gt;0,SUM(MARKS!X42,MARKS!BD42),"")</f>
        <v>0</v>
      </c>
      <c r="AA50" s="177">
        <f>IF(A50&gt;0,SUM(MARKS!AF42,MARKS!BL42),"")</f>
        <v>15</v>
      </c>
      <c r="AB50" s="177">
        <f t="shared" si="4"/>
        <v>15</v>
      </c>
      <c r="AC50" s="177" t="str">
        <f t="shared" si="5"/>
        <v>E</v>
      </c>
      <c r="AD50" s="177">
        <f>IF(A50&gt;0,SUM(PASHEET!AO42,PASHEET!AW42),"")</f>
        <v>0</v>
      </c>
      <c r="AE50" s="177">
        <f>IF(A50&gt;0,SUM(MARKS!I42,MARKS!AO42),"")</f>
        <v>0</v>
      </c>
      <c r="AF50" s="177">
        <f>IF(A50&gt;0,SUM(MARKS!Q42,MARKS!AW42),"")</f>
        <v>0</v>
      </c>
      <c r="AG50" s="177">
        <f>IF(A50&gt;0,SUM(MARKS!Y42,MARKS!BE42),"")</f>
        <v>0</v>
      </c>
      <c r="AH50" s="177">
        <f>IF(A50&gt;0,SUM(MARKS!AG42,MARKS!BM42),"")</f>
        <v>13</v>
      </c>
      <c r="AI50" s="177">
        <f t="shared" si="6"/>
        <v>13</v>
      </c>
      <c r="AJ50" s="177" t="str">
        <f t="shared" si="7"/>
        <v>E</v>
      </c>
      <c r="AK50" s="177">
        <f>IF(A50&gt;0,SUM(PASHEET!AP42,PASHEET!AX42),"")</f>
        <v>0</v>
      </c>
      <c r="AL50" s="177">
        <f>IF(A50&gt;0,SUM(MARKS!J42,MARKS!AP42),"")</f>
        <v>0</v>
      </c>
      <c r="AM50" s="177">
        <f>IF(A50&gt;0,SUM(MARKS!R42,MARKS!AX42),"")</f>
        <v>0</v>
      </c>
      <c r="AN50" s="177">
        <f>IF(A50&gt;0,SUM(MARKS!Z42,MARKS!BF42),"")</f>
        <v>0</v>
      </c>
      <c r="AO50" s="177">
        <f>IF(A50&gt;0,SUM(MARKS!AH42,MARKS!BN42),"")</f>
        <v>16</v>
      </c>
      <c r="AP50" s="177">
        <f t="shared" si="8"/>
        <v>16</v>
      </c>
      <c r="AQ50" s="177" t="str">
        <f t="shared" si="9"/>
        <v>E</v>
      </c>
      <c r="AR50" s="177">
        <f>IF(A50&gt;0,SUM(PASHEET!AQ42,PASHEET!AY42),"")</f>
        <v>0</v>
      </c>
      <c r="AS50" s="177">
        <f>IF(A50&gt;0,SUM(MARKS!K42,MARKS!AQ42),"")</f>
        <v>0</v>
      </c>
      <c r="AT50" s="177">
        <f>IF(A50&gt;0,SUM(MARKS!S42,MARKS!AY42),"")</f>
        <v>0</v>
      </c>
      <c r="AU50" s="177">
        <f>IF(A50&gt;0,SUM(MARKS!AA42,MARKS!BG42),"")</f>
        <v>0</v>
      </c>
      <c r="AV50" s="177">
        <f>IF(A50&gt;0,SUM(MARKS!AI42,MARKS!BO42),"")</f>
        <v>20</v>
      </c>
      <c r="AW50" s="177">
        <f t="shared" si="10"/>
        <v>20</v>
      </c>
      <c r="AX50" s="177" t="str">
        <f t="shared" si="11"/>
        <v>E</v>
      </c>
      <c r="AY50" s="47">
        <f t="shared" si="12"/>
        <v>116</v>
      </c>
      <c r="AZ50" s="70">
        <f t="shared" si="13"/>
        <v>19.3333333333333</v>
      </c>
      <c r="BA50" s="177" t="str">
        <f t="shared" si="14"/>
        <v>E</v>
      </c>
      <c r="BB50" s="47" t="str">
        <f>IF(A50&gt;0,FLN!I42,"")</f>
        <v/>
      </c>
      <c r="BC50" s="47" t="str">
        <f>IF(A50&gt;0,FLN!J42,"")</f>
        <v/>
      </c>
      <c r="BD50" s="47" t="str">
        <f>IF(A50&gt;0,FLN!K42,"")</f>
        <v/>
      </c>
      <c r="BE50" s="47" t="str">
        <f t="shared" si="15"/>
        <v>PROMOTED</v>
      </c>
      <c r="BF50" s="130">
        <f>IF(AY50="","",IFERROR(RANK(AY50,$AY$12:$AY$111,0)+COUNTIFS($AY$12:AY50,AY50)-1,0))</f>
        <v>27</v>
      </c>
      <c r="BG50" s="130">
        <f t="shared" si="16"/>
        <v>116</v>
      </c>
    </row>
    <row r="51" s="98" customFormat="1" ht="27" customHeight="1" spans="1:59">
      <c r="A51" s="47">
        <f>IF(A50=0,0,IF(A50&lt;ENTRY!$D$24,A50+1,0))</f>
        <v>0</v>
      </c>
      <c r="B51" s="47" t="str">
        <f>IF(A51&gt;0,STUDENT!F41,"")</f>
        <v/>
      </c>
      <c r="C51" s="176" t="str">
        <f>IF(A51&gt;0,UPPER(STUDENT!E41),"")</f>
        <v/>
      </c>
      <c r="D51" s="176" t="str">
        <f>IF(A51&gt;0,UPPER(STUDENT!H41),"")</f>
        <v/>
      </c>
      <c r="E51" s="47" t="str">
        <f>IF(A51&gt;0,UPPER(STUDENT!BP41),"")</f>
        <v/>
      </c>
      <c r="F51" s="47" t="str">
        <f>IF(A51&gt;0,UPPER(STUDENT!BO41),"")</f>
        <v/>
      </c>
      <c r="G51" s="47" t="str">
        <f>IF(A51&gt;0,UPPER(STUDENT!Q41),"")</f>
        <v/>
      </c>
      <c r="H51" s="69" t="str">
        <f>IF(A51&gt;0,PASHEET!CI43/PASHEET!CJ43*100,"")</f>
        <v/>
      </c>
      <c r="I51" s="177" t="str">
        <f>IF(A51&gt;0,SUM(PASHEET!AL43,PASHEET!AT43),"")</f>
        <v/>
      </c>
      <c r="J51" s="177" t="str">
        <f>IF(A51&gt;0,SUM(MARKS!F43,MARKS!AL43),"")</f>
        <v/>
      </c>
      <c r="K51" s="177" t="str">
        <f>IF(A51&gt;0,SUM(MARKS!N43,MARKS!AT43),"")</f>
        <v/>
      </c>
      <c r="L51" s="177" t="str">
        <f>IF(A51&gt;0,SUM(MARKS!V43,MARKS!BB43),"")</f>
        <v/>
      </c>
      <c r="M51" s="177" t="str">
        <f>IF(A51&gt;0,SUM(MARKS!AD43,MARKS!BJ43),"")</f>
        <v/>
      </c>
      <c r="N51" s="177" t="str">
        <f t="shared" si="0"/>
        <v/>
      </c>
      <c r="O51" s="177" t="str">
        <f t="shared" si="1"/>
        <v/>
      </c>
      <c r="P51" s="177" t="str">
        <f>IF(A51&gt;0,SUM(PASHEET!AM43,PASHEET!AU43),"")</f>
        <v/>
      </c>
      <c r="Q51" s="177" t="str">
        <f>IF(A51&gt;0,SUM(MARKS!G43,MARKS!AM43),"")</f>
        <v/>
      </c>
      <c r="R51" s="177" t="str">
        <f>IF(A51&gt;0,SUM(MARKS!O43,MARKS!AU43),"")</f>
        <v/>
      </c>
      <c r="S51" s="177" t="str">
        <f>IF(A51&gt;0,SUM(MARKS!W43,MARKS!BC43),"")</f>
        <v/>
      </c>
      <c r="T51" s="177" t="str">
        <f>IF(A51&gt;0,SUM(MARKS!AE43,MARKS!BK43),"")</f>
        <v/>
      </c>
      <c r="U51" s="177" t="str">
        <f t="shared" si="2"/>
        <v/>
      </c>
      <c r="V51" s="177" t="str">
        <f t="shared" si="3"/>
        <v/>
      </c>
      <c r="W51" s="177" t="str">
        <f>IF(A51&gt;0,SUM(PASHEET!AN43,PASHEET!AV43),"")</f>
        <v/>
      </c>
      <c r="X51" s="177" t="str">
        <f>IF(A51&gt;0,SUM(MARKS!H43,MARKS!AN43),"")</f>
        <v/>
      </c>
      <c r="Y51" s="177" t="str">
        <f>IF(A51&gt;0,SUM(MARKS!P43,MARKS!AV43),"")</f>
        <v/>
      </c>
      <c r="Z51" s="177" t="str">
        <f>IF(A51&gt;0,SUM(MARKS!X43,MARKS!BD43),"")</f>
        <v/>
      </c>
      <c r="AA51" s="177" t="str">
        <f>IF(A51&gt;0,SUM(MARKS!AF43,MARKS!BL43),"")</f>
        <v/>
      </c>
      <c r="AB51" s="177" t="str">
        <f t="shared" si="4"/>
        <v/>
      </c>
      <c r="AC51" s="177" t="str">
        <f t="shared" si="5"/>
        <v/>
      </c>
      <c r="AD51" s="177" t="str">
        <f>IF(A51&gt;0,SUM(PASHEET!AO43,PASHEET!AW43),"")</f>
        <v/>
      </c>
      <c r="AE51" s="177" t="str">
        <f>IF(A51&gt;0,SUM(MARKS!I43,MARKS!AO43),"")</f>
        <v/>
      </c>
      <c r="AF51" s="177" t="str">
        <f>IF(A51&gt;0,SUM(MARKS!Q43,MARKS!AW43),"")</f>
        <v/>
      </c>
      <c r="AG51" s="177" t="str">
        <f>IF(A51&gt;0,SUM(MARKS!Y43,MARKS!BE43),"")</f>
        <v/>
      </c>
      <c r="AH51" s="177" t="str">
        <f>IF(A51&gt;0,SUM(MARKS!AG43,MARKS!BM43),"")</f>
        <v/>
      </c>
      <c r="AI51" s="177" t="str">
        <f t="shared" si="6"/>
        <v/>
      </c>
      <c r="AJ51" s="177" t="str">
        <f t="shared" si="7"/>
        <v/>
      </c>
      <c r="AK51" s="177" t="str">
        <f>IF(A51&gt;0,SUM(PASHEET!AP43,PASHEET!AX43),"")</f>
        <v/>
      </c>
      <c r="AL51" s="177" t="str">
        <f>IF(A51&gt;0,SUM(MARKS!J43,MARKS!AP43),"")</f>
        <v/>
      </c>
      <c r="AM51" s="177" t="str">
        <f>IF(A51&gt;0,SUM(MARKS!R43,MARKS!AX43),"")</f>
        <v/>
      </c>
      <c r="AN51" s="177" t="str">
        <f>IF(A51&gt;0,SUM(MARKS!Z43,MARKS!BF43),"")</f>
        <v/>
      </c>
      <c r="AO51" s="177" t="str">
        <f>IF(A51&gt;0,SUM(MARKS!AH43,MARKS!BN43),"")</f>
        <v/>
      </c>
      <c r="AP51" s="177" t="str">
        <f t="shared" si="8"/>
        <v/>
      </c>
      <c r="AQ51" s="177" t="str">
        <f t="shared" si="9"/>
        <v/>
      </c>
      <c r="AR51" s="177" t="str">
        <f>IF(A51&gt;0,SUM(PASHEET!AQ43,PASHEET!AY43),"")</f>
        <v/>
      </c>
      <c r="AS51" s="177" t="str">
        <f>IF(A51&gt;0,SUM(MARKS!K43,MARKS!AQ43),"")</f>
        <v/>
      </c>
      <c r="AT51" s="177" t="str">
        <f>IF(A51&gt;0,SUM(MARKS!S43,MARKS!AY43),"")</f>
        <v/>
      </c>
      <c r="AU51" s="177" t="str">
        <f>IF(A51&gt;0,SUM(MARKS!AA43,MARKS!BG43),"")</f>
        <v/>
      </c>
      <c r="AV51" s="177" t="str">
        <f>IF(A51&gt;0,SUM(MARKS!AI43,MARKS!BO43),"")</f>
        <v/>
      </c>
      <c r="AW51" s="177" t="str">
        <f t="shared" si="10"/>
        <v/>
      </c>
      <c r="AX51" s="177" t="str">
        <f t="shared" si="11"/>
        <v/>
      </c>
      <c r="AY51" s="47" t="str">
        <f t="shared" si="12"/>
        <v/>
      </c>
      <c r="AZ51" s="70" t="str">
        <f t="shared" si="13"/>
        <v/>
      </c>
      <c r="BA51" s="177" t="str">
        <f t="shared" si="14"/>
        <v/>
      </c>
      <c r="BB51" s="47" t="str">
        <f>IF(A51&gt;0,FLN!I43,"")</f>
        <v/>
      </c>
      <c r="BC51" s="47" t="str">
        <f>IF(A51&gt;0,FLN!J43,"")</f>
        <v/>
      </c>
      <c r="BD51" s="47" t="str">
        <f>IF(A51&gt;0,FLN!K43,"")</f>
        <v/>
      </c>
      <c r="BE51" s="47" t="str">
        <f t="shared" si="15"/>
        <v/>
      </c>
      <c r="BF51" s="130" t="str">
        <f>IF(AY51="","",IFERROR(RANK(AY51,$AY$12:$AY$111,0)+COUNTIFS($AY$12:AY51,AY51)-1,0))</f>
        <v/>
      </c>
      <c r="BG51" s="130" t="str">
        <f t="shared" si="16"/>
        <v/>
      </c>
    </row>
    <row r="52" s="98" customFormat="1" ht="27" customHeight="1" spans="1:59">
      <c r="A52" s="47">
        <f>IF(A51=0,0,IF(A51&lt;ENTRY!$D$24,A51+1,0))</f>
        <v>0</v>
      </c>
      <c r="B52" s="47" t="str">
        <f>IF(A52&gt;0,STUDENT!F42,"")</f>
        <v/>
      </c>
      <c r="C52" s="176" t="str">
        <f>IF(A52&gt;0,UPPER(STUDENT!E42),"")</f>
        <v/>
      </c>
      <c r="D52" s="176" t="str">
        <f>IF(A52&gt;0,UPPER(STUDENT!H42),"")</f>
        <v/>
      </c>
      <c r="E52" s="47" t="str">
        <f>IF(A52&gt;0,UPPER(STUDENT!BP42),"")</f>
        <v/>
      </c>
      <c r="F52" s="47" t="str">
        <f>IF(A52&gt;0,UPPER(STUDENT!BO42),"")</f>
        <v/>
      </c>
      <c r="G52" s="47" t="str">
        <f>IF(A52&gt;0,UPPER(STUDENT!Q42),"")</f>
        <v/>
      </c>
      <c r="H52" s="69" t="str">
        <f>IF(A52&gt;0,PASHEET!CI44/PASHEET!CJ44*100,"")</f>
        <v/>
      </c>
      <c r="I52" s="177" t="str">
        <f>IF(A52&gt;0,SUM(PASHEET!AL44,PASHEET!AT44),"")</f>
        <v/>
      </c>
      <c r="J52" s="177" t="str">
        <f>IF(A52&gt;0,SUM(MARKS!F44,MARKS!AL44),"")</f>
        <v/>
      </c>
      <c r="K52" s="177" t="str">
        <f>IF(A52&gt;0,SUM(MARKS!N44,MARKS!AT44),"")</f>
        <v/>
      </c>
      <c r="L52" s="177" t="str">
        <f>IF(A52&gt;0,SUM(MARKS!V44,MARKS!BB44),"")</f>
        <v/>
      </c>
      <c r="M52" s="177" t="str">
        <f>IF(A52&gt;0,SUM(MARKS!AD44,MARKS!BJ44),"")</f>
        <v/>
      </c>
      <c r="N52" s="177" t="str">
        <f t="shared" si="0"/>
        <v/>
      </c>
      <c r="O52" s="177" t="str">
        <f t="shared" si="1"/>
        <v/>
      </c>
      <c r="P52" s="177" t="str">
        <f>IF(A52&gt;0,SUM(PASHEET!AM44,PASHEET!AU44),"")</f>
        <v/>
      </c>
      <c r="Q52" s="177" t="str">
        <f>IF(A52&gt;0,SUM(MARKS!G44,MARKS!AM44),"")</f>
        <v/>
      </c>
      <c r="R52" s="177" t="str">
        <f>IF(A52&gt;0,SUM(MARKS!O44,MARKS!AU44),"")</f>
        <v/>
      </c>
      <c r="S52" s="177" t="str">
        <f>IF(A52&gt;0,SUM(MARKS!W44,MARKS!BC44),"")</f>
        <v/>
      </c>
      <c r="T52" s="177" t="str">
        <f>IF(A52&gt;0,SUM(MARKS!AE44,MARKS!BK44),"")</f>
        <v/>
      </c>
      <c r="U52" s="177" t="str">
        <f t="shared" si="2"/>
        <v/>
      </c>
      <c r="V52" s="177" t="str">
        <f t="shared" si="3"/>
        <v/>
      </c>
      <c r="W52" s="177" t="str">
        <f>IF(A52&gt;0,SUM(PASHEET!AN44,PASHEET!AV44),"")</f>
        <v/>
      </c>
      <c r="X52" s="177" t="str">
        <f>IF(A52&gt;0,SUM(MARKS!H44,MARKS!AN44),"")</f>
        <v/>
      </c>
      <c r="Y52" s="177" t="str">
        <f>IF(A52&gt;0,SUM(MARKS!P44,MARKS!AV44),"")</f>
        <v/>
      </c>
      <c r="Z52" s="177" t="str">
        <f>IF(A52&gt;0,SUM(MARKS!X44,MARKS!BD44),"")</f>
        <v/>
      </c>
      <c r="AA52" s="177" t="str">
        <f>IF(A52&gt;0,SUM(MARKS!AF44,MARKS!BL44),"")</f>
        <v/>
      </c>
      <c r="AB52" s="177" t="str">
        <f t="shared" si="4"/>
        <v/>
      </c>
      <c r="AC52" s="177" t="str">
        <f t="shared" si="5"/>
        <v/>
      </c>
      <c r="AD52" s="177" t="str">
        <f>IF(A52&gt;0,SUM(PASHEET!AO44,PASHEET!AW44),"")</f>
        <v/>
      </c>
      <c r="AE52" s="177" t="str">
        <f>IF(A52&gt;0,SUM(MARKS!I44,MARKS!AO44),"")</f>
        <v/>
      </c>
      <c r="AF52" s="177" t="str">
        <f>IF(A52&gt;0,SUM(MARKS!Q44,MARKS!AW44),"")</f>
        <v/>
      </c>
      <c r="AG52" s="177" t="str">
        <f>IF(A52&gt;0,SUM(MARKS!Y44,MARKS!BE44),"")</f>
        <v/>
      </c>
      <c r="AH52" s="177" t="str">
        <f>IF(A52&gt;0,SUM(MARKS!AG44,MARKS!BM44),"")</f>
        <v/>
      </c>
      <c r="AI52" s="177" t="str">
        <f t="shared" si="6"/>
        <v/>
      </c>
      <c r="AJ52" s="177" t="str">
        <f t="shared" si="7"/>
        <v/>
      </c>
      <c r="AK52" s="177" t="str">
        <f>IF(A52&gt;0,SUM(PASHEET!AP44,PASHEET!AX44),"")</f>
        <v/>
      </c>
      <c r="AL52" s="177" t="str">
        <f>IF(A52&gt;0,SUM(MARKS!J44,MARKS!AP44),"")</f>
        <v/>
      </c>
      <c r="AM52" s="177" t="str">
        <f>IF(A52&gt;0,SUM(MARKS!R44,MARKS!AX44),"")</f>
        <v/>
      </c>
      <c r="AN52" s="177" t="str">
        <f>IF(A52&gt;0,SUM(MARKS!Z44,MARKS!BF44),"")</f>
        <v/>
      </c>
      <c r="AO52" s="177" t="str">
        <f>IF(A52&gt;0,SUM(MARKS!AH44,MARKS!BN44),"")</f>
        <v/>
      </c>
      <c r="AP52" s="177" t="str">
        <f t="shared" si="8"/>
        <v/>
      </c>
      <c r="AQ52" s="177" t="str">
        <f t="shared" si="9"/>
        <v/>
      </c>
      <c r="AR52" s="177" t="str">
        <f>IF(A52&gt;0,SUM(PASHEET!AQ44,PASHEET!AY44),"")</f>
        <v/>
      </c>
      <c r="AS52" s="177" t="str">
        <f>IF(A52&gt;0,SUM(MARKS!K44,MARKS!AQ44),"")</f>
        <v/>
      </c>
      <c r="AT52" s="177" t="str">
        <f>IF(A52&gt;0,SUM(MARKS!S44,MARKS!AY44),"")</f>
        <v/>
      </c>
      <c r="AU52" s="177" t="str">
        <f>IF(A52&gt;0,SUM(MARKS!AA44,MARKS!BG44),"")</f>
        <v/>
      </c>
      <c r="AV52" s="177" t="str">
        <f>IF(A52&gt;0,SUM(MARKS!AI44,MARKS!BO44),"")</f>
        <v/>
      </c>
      <c r="AW52" s="177" t="str">
        <f t="shared" si="10"/>
        <v/>
      </c>
      <c r="AX52" s="177" t="str">
        <f t="shared" si="11"/>
        <v/>
      </c>
      <c r="AY52" s="47" t="str">
        <f t="shared" si="12"/>
        <v/>
      </c>
      <c r="AZ52" s="70" t="str">
        <f t="shared" si="13"/>
        <v/>
      </c>
      <c r="BA52" s="177" t="str">
        <f t="shared" si="14"/>
        <v/>
      </c>
      <c r="BB52" s="47" t="str">
        <f>IF(A52&gt;0,FLN!I44,"")</f>
        <v/>
      </c>
      <c r="BC52" s="47" t="str">
        <f>IF(A52&gt;0,FLN!J44,"")</f>
        <v/>
      </c>
      <c r="BD52" s="47" t="str">
        <f>IF(A52&gt;0,FLN!K44,"")</f>
        <v/>
      </c>
      <c r="BE52" s="47" t="str">
        <f t="shared" si="15"/>
        <v/>
      </c>
      <c r="BF52" s="130" t="str">
        <f>IF(AY52="","",IFERROR(RANK(AY52,$AY$12:$AY$111,0)+COUNTIFS($AY$12:AY52,AY52)-1,0))</f>
        <v/>
      </c>
      <c r="BG52" s="130" t="str">
        <f t="shared" si="16"/>
        <v/>
      </c>
    </row>
    <row r="53" s="98" customFormat="1" ht="27" customHeight="1" spans="1:59">
      <c r="A53" s="47">
        <f>IF(A52=0,0,IF(A52&lt;ENTRY!$D$24,A52+1,0))</f>
        <v>0</v>
      </c>
      <c r="B53" s="47" t="str">
        <f>IF(A53&gt;0,STUDENT!F43,"")</f>
        <v/>
      </c>
      <c r="C53" s="176" t="str">
        <f>IF(A53&gt;0,UPPER(STUDENT!E43),"")</f>
        <v/>
      </c>
      <c r="D53" s="176" t="str">
        <f>IF(A53&gt;0,UPPER(STUDENT!H43),"")</f>
        <v/>
      </c>
      <c r="E53" s="47" t="str">
        <f>IF(A53&gt;0,UPPER(STUDENT!BP43),"")</f>
        <v/>
      </c>
      <c r="F53" s="47" t="str">
        <f>IF(A53&gt;0,UPPER(STUDENT!BO43),"")</f>
        <v/>
      </c>
      <c r="G53" s="47" t="str">
        <f>IF(A53&gt;0,UPPER(STUDENT!Q43),"")</f>
        <v/>
      </c>
      <c r="H53" s="69" t="str">
        <f>IF(A53&gt;0,PASHEET!CI45/PASHEET!CJ45*100,"")</f>
        <v/>
      </c>
      <c r="I53" s="177" t="str">
        <f>IF(A53&gt;0,SUM(PASHEET!AL45,PASHEET!AT45),"")</f>
        <v/>
      </c>
      <c r="J53" s="177" t="str">
        <f>IF(A53&gt;0,SUM(MARKS!F45,MARKS!AL45),"")</f>
        <v/>
      </c>
      <c r="K53" s="177" t="str">
        <f>IF(A53&gt;0,SUM(MARKS!N45,MARKS!AT45),"")</f>
        <v/>
      </c>
      <c r="L53" s="177" t="str">
        <f>IF(A53&gt;0,SUM(MARKS!V45,MARKS!BB45),"")</f>
        <v/>
      </c>
      <c r="M53" s="177" t="str">
        <f>IF(A53&gt;0,SUM(MARKS!AD45,MARKS!BJ45),"")</f>
        <v/>
      </c>
      <c r="N53" s="177" t="str">
        <f t="shared" si="0"/>
        <v/>
      </c>
      <c r="O53" s="177" t="str">
        <f t="shared" si="1"/>
        <v/>
      </c>
      <c r="P53" s="177" t="str">
        <f>IF(A53&gt;0,SUM(PASHEET!AM45,PASHEET!AU45),"")</f>
        <v/>
      </c>
      <c r="Q53" s="177" t="str">
        <f>IF(A53&gt;0,SUM(MARKS!G45,MARKS!AM45),"")</f>
        <v/>
      </c>
      <c r="R53" s="177" t="str">
        <f>IF(A53&gt;0,SUM(MARKS!O45,MARKS!AU45),"")</f>
        <v/>
      </c>
      <c r="S53" s="177" t="str">
        <f>IF(A53&gt;0,SUM(MARKS!W45,MARKS!BC45),"")</f>
        <v/>
      </c>
      <c r="T53" s="177" t="str">
        <f>IF(A53&gt;0,SUM(MARKS!AE45,MARKS!BK45),"")</f>
        <v/>
      </c>
      <c r="U53" s="177" t="str">
        <f t="shared" si="2"/>
        <v/>
      </c>
      <c r="V53" s="177" t="str">
        <f t="shared" si="3"/>
        <v/>
      </c>
      <c r="W53" s="177" t="str">
        <f>IF(A53&gt;0,SUM(PASHEET!AN45,PASHEET!AV45),"")</f>
        <v/>
      </c>
      <c r="X53" s="177" t="str">
        <f>IF(A53&gt;0,SUM(MARKS!H45,MARKS!AN45),"")</f>
        <v/>
      </c>
      <c r="Y53" s="177" t="str">
        <f>IF(A53&gt;0,SUM(MARKS!P45,MARKS!AV45),"")</f>
        <v/>
      </c>
      <c r="Z53" s="177" t="str">
        <f>IF(A53&gt;0,SUM(MARKS!X45,MARKS!BD45),"")</f>
        <v/>
      </c>
      <c r="AA53" s="177" t="str">
        <f>IF(A53&gt;0,SUM(MARKS!AF45,MARKS!BL45),"")</f>
        <v/>
      </c>
      <c r="AB53" s="177" t="str">
        <f t="shared" si="4"/>
        <v/>
      </c>
      <c r="AC53" s="177" t="str">
        <f t="shared" si="5"/>
        <v/>
      </c>
      <c r="AD53" s="177" t="str">
        <f>IF(A53&gt;0,SUM(PASHEET!AO45,PASHEET!AW45),"")</f>
        <v/>
      </c>
      <c r="AE53" s="177" t="str">
        <f>IF(A53&gt;0,SUM(MARKS!I45,MARKS!AO45),"")</f>
        <v/>
      </c>
      <c r="AF53" s="177" t="str">
        <f>IF(A53&gt;0,SUM(MARKS!Q45,MARKS!AW45),"")</f>
        <v/>
      </c>
      <c r="AG53" s="177" t="str">
        <f>IF(A53&gt;0,SUM(MARKS!Y45,MARKS!BE45),"")</f>
        <v/>
      </c>
      <c r="AH53" s="177" t="str">
        <f>IF(A53&gt;0,SUM(MARKS!AG45,MARKS!BM45),"")</f>
        <v/>
      </c>
      <c r="AI53" s="177" t="str">
        <f t="shared" si="6"/>
        <v/>
      </c>
      <c r="AJ53" s="177" t="str">
        <f t="shared" si="7"/>
        <v/>
      </c>
      <c r="AK53" s="177" t="str">
        <f>IF(A53&gt;0,SUM(PASHEET!AP45,PASHEET!AX45),"")</f>
        <v/>
      </c>
      <c r="AL53" s="177" t="str">
        <f>IF(A53&gt;0,SUM(MARKS!J45,MARKS!AP45),"")</f>
        <v/>
      </c>
      <c r="AM53" s="177" t="str">
        <f>IF(A53&gt;0,SUM(MARKS!R45,MARKS!AX45),"")</f>
        <v/>
      </c>
      <c r="AN53" s="177" t="str">
        <f>IF(A53&gt;0,SUM(MARKS!Z45,MARKS!BF45),"")</f>
        <v/>
      </c>
      <c r="AO53" s="177" t="str">
        <f>IF(A53&gt;0,SUM(MARKS!AH45,MARKS!BN45),"")</f>
        <v/>
      </c>
      <c r="AP53" s="177" t="str">
        <f t="shared" si="8"/>
        <v/>
      </c>
      <c r="AQ53" s="177" t="str">
        <f t="shared" si="9"/>
        <v/>
      </c>
      <c r="AR53" s="177" t="str">
        <f>IF(A53&gt;0,SUM(PASHEET!AQ45,PASHEET!AY45),"")</f>
        <v/>
      </c>
      <c r="AS53" s="177" t="str">
        <f>IF(A53&gt;0,SUM(MARKS!K45,MARKS!AQ45),"")</f>
        <v/>
      </c>
      <c r="AT53" s="177" t="str">
        <f>IF(A53&gt;0,SUM(MARKS!S45,MARKS!AY45),"")</f>
        <v/>
      </c>
      <c r="AU53" s="177" t="str">
        <f>IF(A53&gt;0,SUM(MARKS!AA45,MARKS!BG45),"")</f>
        <v/>
      </c>
      <c r="AV53" s="177" t="str">
        <f>IF(A53&gt;0,SUM(MARKS!AI45,MARKS!BO45),"")</f>
        <v/>
      </c>
      <c r="AW53" s="177" t="str">
        <f t="shared" si="10"/>
        <v/>
      </c>
      <c r="AX53" s="177" t="str">
        <f t="shared" si="11"/>
        <v/>
      </c>
      <c r="AY53" s="47" t="str">
        <f t="shared" si="12"/>
        <v/>
      </c>
      <c r="AZ53" s="70" t="str">
        <f t="shared" si="13"/>
        <v/>
      </c>
      <c r="BA53" s="177" t="str">
        <f t="shared" si="14"/>
        <v/>
      </c>
      <c r="BB53" s="47" t="str">
        <f>IF(A53&gt;0,FLN!I45,"")</f>
        <v/>
      </c>
      <c r="BC53" s="47" t="str">
        <f>IF(A53&gt;0,FLN!J45,"")</f>
        <v/>
      </c>
      <c r="BD53" s="47" t="str">
        <f>IF(A53&gt;0,FLN!K45,"")</f>
        <v/>
      </c>
      <c r="BE53" s="47" t="str">
        <f t="shared" si="15"/>
        <v/>
      </c>
      <c r="BF53" s="130" t="str">
        <f>IF(AY53="","",IFERROR(RANK(AY53,$AY$12:$AY$111,0)+COUNTIFS($AY$12:AY53,AY53)-1,0))</f>
        <v/>
      </c>
      <c r="BG53" s="130" t="str">
        <f t="shared" si="16"/>
        <v/>
      </c>
    </row>
    <row r="54" s="98" customFormat="1" ht="27" customHeight="1" spans="1:59">
      <c r="A54" s="47">
        <f>IF(A53=0,0,IF(A53&lt;ENTRY!$D$24,A53+1,0))</f>
        <v>0</v>
      </c>
      <c r="B54" s="47" t="str">
        <f>IF(A54&gt;0,STUDENT!F44,"")</f>
        <v/>
      </c>
      <c r="C54" s="176" t="str">
        <f>IF(A54&gt;0,UPPER(STUDENT!E44),"")</f>
        <v/>
      </c>
      <c r="D54" s="176" t="str">
        <f>IF(A54&gt;0,UPPER(STUDENT!H44),"")</f>
        <v/>
      </c>
      <c r="E54" s="47" t="str">
        <f>IF(A54&gt;0,UPPER(STUDENT!BP44),"")</f>
        <v/>
      </c>
      <c r="F54" s="47" t="str">
        <f>IF(A54&gt;0,UPPER(STUDENT!BO44),"")</f>
        <v/>
      </c>
      <c r="G54" s="47" t="str">
        <f>IF(A54&gt;0,UPPER(STUDENT!Q44),"")</f>
        <v/>
      </c>
      <c r="H54" s="69" t="str">
        <f>IF(A54&gt;0,PASHEET!CI46/PASHEET!CJ46*100,"")</f>
        <v/>
      </c>
      <c r="I54" s="177" t="str">
        <f>IF(A54&gt;0,SUM(PASHEET!AL46,PASHEET!AT46),"")</f>
        <v/>
      </c>
      <c r="J54" s="177" t="str">
        <f>IF(A54&gt;0,SUM(MARKS!F46,MARKS!AL46),"")</f>
        <v/>
      </c>
      <c r="K54" s="177" t="str">
        <f>IF(A54&gt;0,SUM(MARKS!N46,MARKS!AT46),"")</f>
        <v/>
      </c>
      <c r="L54" s="177" t="str">
        <f>IF(A54&gt;0,SUM(MARKS!V46,MARKS!BB46),"")</f>
        <v/>
      </c>
      <c r="M54" s="177" t="str">
        <f>IF(A54&gt;0,SUM(MARKS!AD46,MARKS!BJ46),"")</f>
        <v/>
      </c>
      <c r="N54" s="177" t="str">
        <f t="shared" si="0"/>
        <v/>
      </c>
      <c r="O54" s="177" t="str">
        <f t="shared" si="1"/>
        <v/>
      </c>
      <c r="P54" s="177" t="str">
        <f>IF(A54&gt;0,SUM(PASHEET!AM46,PASHEET!AU46),"")</f>
        <v/>
      </c>
      <c r="Q54" s="177" t="str">
        <f>IF(A54&gt;0,SUM(MARKS!G46,MARKS!AM46),"")</f>
        <v/>
      </c>
      <c r="R54" s="177" t="str">
        <f>IF(A54&gt;0,SUM(MARKS!O46,MARKS!AU46),"")</f>
        <v/>
      </c>
      <c r="S54" s="177" t="str">
        <f>IF(A54&gt;0,SUM(MARKS!W46,MARKS!BC46),"")</f>
        <v/>
      </c>
      <c r="T54" s="177" t="str">
        <f>IF(A54&gt;0,SUM(MARKS!AE46,MARKS!BK46),"")</f>
        <v/>
      </c>
      <c r="U54" s="177" t="str">
        <f t="shared" si="2"/>
        <v/>
      </c>
      <c r="V54" s="177" t="str">
        <f t="shared" si="3"/>
        <v/>
      </c>
      <c r="W54" s="177" t="str">
        <f>IF(A54&gt;0,SUM(PASHEET!AN46,PASHEET!AV46),"")</f>
        <v/>
      </c>
      <c r="X54" s="177" t="str">
        <f>IF(A54&gt;0,SUM(MARKS!H46,MARKS!AN46),"")</f>
        <v/>
      </c>
      <c r="Y54" s="177" t="str">
        <f>IF(A54&gt;0,SUM(MARKS!P46,MARKS!AV46),"")</f>
        <v/>
      </c>
      <c r="Z54" s="177" t="str">
        <f>IF(A54&gt;0,SUM(MARKS!X46,MARKS!BD46),"")</f>
        <v/>
      </c>
      <c r="AA54" s="177" t="str">
        <f>IF(A54&gt;0,SUM(MARKS!AF46,MARKS!BL46),"")</f>
        <v/>
      </c>
      <c r="AB54" s="177" t="str">
        <f t="shared" si="4"/>
        <v/>
      </c>
      <c r="AC54" s="177" t="str">
        <f t="shared" si="5"/>
        <v/>
      </c>
      <c r="AD54" s="177" t="str">
        <f>IF(A54&gt;0,SUM(PASHEET!AO46,PASHEET!AW46),"")</f>
        <v/>
      </c>
      <c r="AE54" s="177" t="str">
        <f>IF(A54&gt;0,SUM(MARKS!I46,MARKS!AO46),"")</f>
        <v/>
      </c>
      <c r="AF54" s="177" t="str">
        <f>IF(A54&gt;0,SUM(MARKS!Q46,MARKS!AW46),"")</f>
        <v/>
      </c>
      <c r="AG54" s="177" t="str">
        <f>IF(A54&gt;0,SUM(MARKS!Y46,MARKS!BE46),"")</f>
        <v/>
      </c>
      <c r="AH54" s="177" t="str">
        <f>IF(A54&gt;0,SUM(MARKS!AG46,MARKS!BM46),"")</f>
        <v/>
      </c>
      <c r="AI54" s="177" t="str">
        <f t="shared" si="6"/>
        <v/>
      </c>
      <c r="AJ54" s="177" t="str">
        <f t="shared" si="7"/>
        <v/>
      </c>
      <c r="AK54" s="177" t="str">
        <f>IF(A54&gt;0,SUM(PASHEET!AP46,PASHEET!AX46),"")</f>
        <v/>
      </c>
      <c r="AL54" s="177" t="str">
        <f>IF(A54&gt;0,SUM(MARKS!J46,MARKS!AP46),"")</f>
        <v/>
      </c>
      <c r="AM54" s="177" t="str">
        <f>IF(A54&gt;0,SUM(MARKS!R46,MARKS!AX46),"")</f>
        <v/>
      </c>
      <c r="AN54" s="177" t="str">
        <f>IF(A54&gt;0,SUM(MARKS!Z46,MARKS!BF46),"")</f>
        <v/>
      </c>
      <c r="AO54" s="177" t="str">
        <f>IF(A54&gt;0,SUM(MARKS!AH46,MARKS!BN46),"")</f>
        <v/>
      </c>
      <c r="AP54" s="177" t="str">
        <f t="shared" si="8"/>
        <v/>
      </c>
      <c r="AQ54" s="177" t="str">
        <f t="shared" si="9"/>
        <v/>
      </c>
      <c r="AR54" s="177" t="str">
        <f>IF(A54&gt;0,SUM(PASHEET!AQ46,PASHEET!AY46),"")</f>
        <v/>
      </c>
      <c r="AS54" s="177" t="str">
        <f>IF(A54&gt;0,SUM(MARKS!K46,MARKS!AQ46),"")</f>
        <v/>
      </c>
      <c r="AT54" s="177" t="str">
        <f>IF(A54&gt;0,SUM(MARKS!S46,MARKS!AY46),"")</f>
        <v/>
      </c>
      <c r="AU54" s="177" t="str">
        <f>IF(A54&gt;0,SUM(MARKS!AA46,MARKS!BG46),"")</f>
        <v/>
      </c>
      <c r="AV54" s="177" t="str">
        <f>IF(A54&gt;0,SUM(MARKS!AI46,MARKS!BO46),"")</f>
        <v/>
      </c>
      <c r="AW54" s="177" t="str">
        <f t="shared" si="10"/>
        <v/>
      </c>
      <c r="AX54" s="177" t="str">
        <f t="shared" si="11"/>
        <v/>
      </c>
      <c r="AY54" s="47" t="str">
        <f t="shared" si="12"/>
        <v/>
      </c>
      <c r="AZ54" s="70" t="str">
        <f t="shared" si="13"/>
        <v/>
      </c>
      <c r="BA54" s="177" t="str">
        <f t="shared" si="14"/>
        <v/>
      </c>
      <c r="BB54" s="47" t="str">
        <f>IF(A54&gt;0,FLN!I46,"")</f>
        <v/>
      </c>
      <c r="BC54" s="47" t="str">
        <f>IF(A54&gt;0,FLN!J46,"")</f>
        <v/>
      </c>
      <c r="BD54" s="47" t="str">
        <f>IF(A54&gt;0,FLN!K46,"")</f>
        <v/>
      </c>
      <c r="BE54" s="47" t="str">
        <f t="shared" si="15"/>
        <v/>
      </c>
      <c r="BF54" s="130" t="str">
        <f>IF(AY54="","",IFERROR(RANK(AY54,$AY$12:$AY$111,0)+COUNTIFS($AY$12:AY54,AY54)-1,0))</f>
        <v/>
      </c>
      <c r="BG54" s="130" t="str">
        <f t="shared" si="16"/>
        <v/>
      </c>
    </row>
    <row r="55" s="98" customFormat="1" ht="27" customHeight="1" spans="1:59">
      <c r="A55" s="47">
        <f>IF(A54=0,0,IF(A54&lt;ENTRY!$D$24,A54+1,0))</f>
        <v>0</v>
      </c>
      <c r="B55" s="47" t="str">
        <f>IF(A55&gt;0,STUDENT!F45,"")</f>
        <v/>
      </c>
      <c r="C55" s="176" t="str">
        <f>IF(A55&gt;0,UPPER(STUDENT!E45),"")</f>
        <v/>
      </c>
      <c r="D55" s="176" t="str">
        <f>IF(A55&gt;0,UPPER(STUDENT!H45),"")</f>
        <v/>
      </c>
      <c r="E55" s="47" t="str">
        <f>IF(A55&gt;0,UPPER(STUDENT!BP45),"")</f>
        <v/>
      </c>
      <c r="F55" s="47" t="str">
        <f>IF(A55&gt;0,UPPER(STUDENT!BO45),"")</f>
        <v/>
      </c>
      <c r="G55" s="47" t="str">
        <f>IF(A55&gt;0,UPPER(STUDENT!Q45),"")</f>
        <v/>
      </c>
      <c r="H55" s="69" t="str">
        <f>IF(A55&gt;0,PASHEET!CI47/PASHEET!CJ47*100,"")</f>
        <v/>
      </c>
      <c r="I55" s="177" t="str">
        <f>IF(A55&gt;0,SUM(PASHEET!AL47,PASHEET!AT47),"")</f>
        <v/>
      </c>
      <c r="J55" s="177" t="str">
        <f>IF(A55&gt;0,SUM(MARKS!F47,MARKS!AL47),"")</f>
        <v/>
      </c>
      <c r="K55" s="177" t="str">
        <f>IF(A55&gt;0,SUM(MARKS!N47,MARKS!AT47),"")</f>
        <v/>
      </c>
      <c r="L55" s="177" t="str">
        <f>IF(A55&gt;0,SUM(MARKS!V47,MARKS!BB47),"")</f>
        <v/>
      </c>
      <c r="M55" s="177" t="str">
        <f>IF(A55&gt;0,SUM(MARKS!AD47,MARKS!BJ47),"")</f>
        <v/>
      </c>
      <c r="N55" s="177" t="str">
        <f t="shared" si="0"/>
        <v/>
      </c>
      <c r="O55" s="177" t="str">
        <f t="shared" si="1"/>
        <v/>
      </c>
      <c r="P55" s="177" t="str">
        <f>IF(A55&gt;0,SUM(PASHEET!AM47,PASHEET!AU47),"")</f>
        <v/>
      </c>
      <c r="Q55" s="177" t="str">
        <f>IF(A55&gt;0,SUM(MARKS!G47,MARKS!AM47),"")</f>
        <v/>
      </c>
      <c r="R55" s="177" t="str">
        <f>IF(A55&gt;0,SUM(MARKS!O47,MARKS!AU47),"")</f>
        <v/>
      </c>
      <c r="S55" s="177" t="str">
        <f>IF(A55&gt;0,SUM(MARKS!W47,MARKS!BC47),"")</f>
        <v/>
      </c>
      <c r="T55" s="177" t="str">
        <f>IF(A55&gt;0,SUM(MARKS!AE47,MARKS!BK47),"")</f>
        <v/>
      </c>
      <c r="U55" s="177" t="str">
        <f t="shared" si="2"/>
        <v/>
      </c>
      <c r="V55" s="177" t="str">
        <f t="shared" si="3"/>
        <v/>
      </c>
      <c r="W55" s="177" t="str">
        <f>IF(A55&gt;0,SUM(PASHEET!AN47,PASHEET!AV47),"")</f>
        <v/>
      </c>
      <c r="X55" s="177" t="str">
        <f>IF(A55&gt;0,SUM(MARKS!H47,MARKS!AN47),"")</f>
        <v/>
      </c>
      <c r="Y55" s="177" t="str">
        <f>IF(A55&gt;0,SUM(MARKS!P47,MARKS!AV47),"")</f>
        <v/>
      </c>
      <c r="Z55" s="177" t="str">
        <f>IF(A55&gt;0,SUM(MARKS!X47,MARKS!BD47),"")</f>
        <v/>
      </c>
      <c r="AA55" s="177" t="str">
        <f>IF(A55&gt;0,SUM(MARKS!AF47,MARKS!BL47),"")</f>
        <v/>
      </c>
      <c r="AB55" s="177" t="str">
        <f t="shared" si="4"/>
        <v/>
      </c>
      <c r="AC55" s="177" t="str">
        <f t="shared" si="5"/>
        <v/>
      </c>
      <c r="AD55" s="177" t="str">
        <f>IF(A55&gt;0,SUM(PASHEET!AO47,PASHEET!AW47),"")</f>
        <v/>
      </c>
      <c r="AE55" s="177" t="str">
        <f>IF(A55&gt;0,SUM(MARKS!I47,MARKS!AO47),"")</f>
        <v/>
      </c>
      <c r="AF55" s="177" t="str">
        <f>IF(A55&gt;0,SUM(MARKS!Q47,MARKS!AW47),"")</f>
        <v/>
      </c>
      <c r="AG55" s="177" t="str">
        <f>IF(A55&gt;0,SUM(MARKS!Y47,MARKS!BE47),"")</f>
        <v/>
      </c>
      <c r="AH55" s="177" t="str">
        <f>IF(A55&gt;0,SUM(MARKS!AG47,MARKS!BM47),"")</f>
        <v/>
      </c>
      <c r="AI55" s="177" t="str">
        <f t="shared" si="6"/>
        <v/>
      </c>
      <c r="AJ55" s="177" t="str">
        <f t="shared" si="7"/>
        <v/>
      </c>
      <c r="AK55" s="177" t="str">
        <f>IF(A55&gt;0,SUM(PASHEET!AP47,PASHEET!AX47),"")</f>
        <v/>
      </c>
      <c r="AL55" s="177" t="str">
        <f>IF(A55&gt;0,SUM(MARKS!J47,MARKS!AP47),"")</f>
        <v/>
      </c>
      <c r="AM55" s="177" t="str">
        <f>IF(A55&gt;0,SUM(MARKS!R47,MARKS!AX47),"")</f>
        <v/>
      </c>
      <c r="AN55" s="177" t="str">
        <f>IF(A55&gt;0,SUM(MARKS!Z47,MARKS!BF47),"")</f>
        <v/>
      </c>
      <c r="AO55" s="177" t="str">
        <f>IF(A55&gt;0,SUM(MARKS!AH47,MARKS!BN47),"")</f>
        <v/>
      </c>
      <c r="AP55" s="177" t="str">
        <f t="shared" si="8"/>
        <v/>
      </c>
      <c r="AQ55" s="177" t="str">
        <f t="shared" si="9"/>
        <v/>
      </c>
      <c r="AR55" s="177" t="str">
        <f>IF(A55&gt;0,SUM(PASHEET!AQ47,PASHEET!AY47),"")</f>
        <v/>
      </c>
      <c r="AS55" s="177" t="str">
        <f>IF(A55&gt;0,SUM(MARKS!K47,MARKS!AQ47),"")</f>
        <v/>
      </c>
      <c r="AT55" s="177" t="str">
        <f>IF(A55&gt;0,SUM(MARKS!S47,MARKS!AY47),"")</f>
        <v/>
      </c>
      <c r="AU55" s="177" t="str">
        <f>IF(A55&gt;0,SUM(MARKS!AA47,MARKS!BG47),"")</f>
        <v/>
      </c>
      <c r="AV55" s="177" t="str">
        <f>IF(A55&gt;0,SUM(MARKS!AI47,MARKS!BO47),"")</f>
        <v/>
      </c>
      <c r="AW55" s="177" t="str">
        <f t="shared" si="10"/>
        <v/>
      </c>
      <c r="AX55" s="177" t="str">
        <f t="shared" si="11"/>
        <v/>
      </c>
      <c r="AY55" s="47" t="str">
        <f t="shared" si="12"/>
        <v/>
      </c>
      <c r="AZ55" s="70" t="str">
        <f t="shared" si="13"/>
        <v/>
      </c>
      <c r="BA55" s="177" t="str">
        <f t="shared" si="14"/>
        <v/>
      </c>
      <c r="BB55" s="47" t="str">
        <f>IF(A55&gt;0,FLN!I47,"")</f>
        <v/>
      </c>
      <c r="BC55" s="47" t="str">
        <f>IF(A55&gt;0,FLN!J47,"")</f>
        <v/>
      </c>
      <c r="BD55" s="47" t="str">
        <f>IF(A55&gt;0,FLN!K47,"")</f>
        <v/>
      </c>
      <c r="BE55" s="47" t="str">
        <f t="shared" si="15"/>
        <v/>
      </c>
      <c r="BF55" s="130" t="str">
        <f>IF(AY55="","",IFERROR(RANK(AY55,$AY$12:$AY$111,0)+COUNTIFS($AY$12:AY55,AY55)-1,0))</f>
        <v/>
      </c>
      <c r="BG55" s="130" t="str">
        <f t="shared" si="16"/>
        <v/>
      </c>
    </row>
    <row r="56" s="98" customFormat="1" ht="27" customHeight="1" spans="1:59">
      <c r="A56" s="47">
        <f>IF(A55=0,0,IF(A55&lt;ENTRY!$D$24,A55+1,0))</f>
        <v>0</v>
      </c>
      <c r="B56" s="47" t="str">
        <f>IF(A56&gt;0,STUDENT!F46,"")</f>
        <v/>
      </c>
      <c r="C56" s="176" t="str">
        <f>IF(A56&gt;0,UPPER(STUDENT!E46),"")</f>
        <v/>
      </c>
      <c r="D56" s="176" t="str">
        <f>IF(A56&gt;0,UPPER(STUDENT!H46),"")</f>
        <v/>
      </c>
      <c r="E56" s="47" t="str">
        <f>IF(A56&gt;0,UPPER(STUDENT!BP46),"")</f>
        <v/>
      </c>
      <c r="F56" s="47" t="str">
        <f>IF(A56&gt;0,UPPER(STUDENT!BO46),"")</f>
        <v/>
      </c>
      <c r="G56" s="47" t="str">
        <f>IF(A56&gt;0,UPPER(STUDENT!Q46),"")</f>
        <v/>
      </c>
      <c r="H56" s="69" t="str">
        <f>IF(A56&gt;0,PASHEET!CI48/PASHEET!CJ48*100,"")</f>
        <v/>
      </c>
      <c r="I56" s="177" t="str">
        <f>IF(A56&gt;0,SUM(PASHEET!AL48,PASHEET!AT48),"")</f>
        <v/>
      </c>
      <c r="J56" s="177" t="str">
        <f>IF(A56&gt;0,SUM(MARKS!F48,MARKS!AL48),"")</f>
        <v/>
      </c>
      <c r="K56" s="177" t="str">
        <f>IF(A56&gt;0,SUM(MARKS!N48,MARKS!AT48),"")</f>
        <v/>
      </c>
      <c r="L56" s="177" t="str">
        <f>IF(A56&gt;0,SUM(MARKS!V48,MARKS!BB48),"")</f>
        <v/>
      </c>
      <c r="M56" s="177" t="str">
        <f>IF(A56&gt;0,SUM(MARKS!AD48,MARKS!BJ48),"")</f>
        <v/>
      </c>
      <c r="N56" s="177" t="str">
        <f t="shared" si="0"/>
        <v/>
      </c>
      <c r="O56" s="177" t="str">
        <f t="shared" si="1"/>
        <v/>
      </c>
      <c r="P56" s="177" t="str">
        <f>IF(A56&gt;0,SUM(PASHEET!AM48,PASHEET!AU48),"")</f>
        <v/>
      </c>
      <c r="Q56" s="177" t="str">
        <f>IF(A56&gt;0,SUM(MARKS!G48,MARKS!AM48),"")</f>
        <v/>
      </c>
      <c r="R56" s="177" t="str">
        <f>IF(A56&gt;0,SUM(MARKS!O48,MARKS!AU48),"")</f>
        <v/>
      </c>
      <c r="S56" s="177" t="str">
        <f>IF(A56&gt;0,SUM(MARKS!W48,MARKS!BC48),"")</f>
        <v/>
      </c>
      <c r="T56" s="177" t="str">
        <f>IF(A56&gt;0,SUM(MARKS!AE48,MARKS!BK48),"")</f>
        <v/>
      </c>
      <c r="U56" s="177" t="str">
        <f t="shared" si="2"/>
        <v/>
      </c>
      <c r="V56" s="177" t="str">
        <f t="shared" si="3"/>
        <v/>
      </c>
      <c r="W56" s="177" t="str">
        <f>IF(A56&gt;0,SUM(PASHEET!AN48,PASHEET!AV48),"")</f>
        <v/>
      </c>
      <c r="X56" s="177" t="str">
        <f>IF(A56&gt;0,SUM(MARKS!H48,MARKS!AN48),"")</f>
        <v/>
      </c>
      <c r="Y56" s="177" t="str">
        <f>IF(A56&gt;0,SUM(MARKS!P48,MARKS!AV48),"")</f>
        <v/>
      </c>
      <c r="Z56" s="177" t="str">
        <f>IF(A56&gt;0,SUM(MARKS!X48,MARKS!BD48),"")</f>
        <v/>
      </c>
      <c r="AA56" s="177" t="str">
        <f>IF(A56&gt;0,SUM(MARKS!AF48,MARKS!BL48),"")</f>
        <v/>
      </c>
      <c r="AB56" s="177" t="str">
        <f t="shared" si="4"/>
        <v/>
      </c>
      <c r="AC56" s="177" t="str">
        <f t="shared" si="5"/>
        <v/>
      </c>
      <c r="AD56" s="177" t="str">
        <f>IF(A56&gt;0,SUM(PASHEET!AO48,PASHEET!AW48),"")</f>
        <v/>
      </c>
      <c r="AE56" s="177" t="str">
        <f>IF(A56&gt;0,SUM(MARKS!I48,MARKS!AO48),"")</f>
        <v/>
      </c>
      <c r="AF56" s="177" t="str">
        <f>IF(A56&gt;0,SUM(MARKS!Q48,MARKS!AW48),"")</f>
        <v/>
      </c>
      <c r="AG56" s="177" t="str">
        <f>IF(A56&gt;0,SUM(MARKS!Y48,MARKS!BE48),"")</f>
        <v/>
      </c>
      <c r="AH56" s="177" t="str">
        <f>IF(A56&gt;0,SUM(MARKS!AG48,MARKS!BM48),"")</f>
        <v/>
      </c>
      <c r="AI56" s="177" t="str">
        <f t="shared" si="6"/>
        <v/>
      </c>
      <c r="AJ56" s="177" t="str">
        <f t="shared" si="7"/>
        <v/>
      </c>
      <c r="AK56" s="177" t="str">
        <f>IF(A56&gt;0,SUM(PASHEET!AP48,PASHEET!AX48),"")</f>
        <v/>
      </c>
      <c r="AL56" s="177" t="str">
        <f>IF(A56&gt;0,SUM(MARKS!J48,MARKS!AP48),"")</f>
        <v/>
      </c>
      <c r="AM56" s="177" t="str">
        <f>IF(A56&gt;0,SUM(MARKS!R48,MARKS!AX48),"")</f>
        <v/>
      </c>
      <c r="AN56" s="177" t="str">
        <f>IF(A56&gt;0,SUM(MARKS!Z48,MARKS!BF48),"")</f>
        <v/>
      </c>
      <c r="AO56" s="177" t="str">
        <f>IF(A56&gt;0,SUM(MARKS!AH48,MARKS!BN48),"")</f>
        <v/>
      </c>
      <c r="AP56" s="177" t="str">
        <f t="shared" si="8"/>
        <v/>
      </c>
      <c r="AQ56" s="177" t="str">
        <f t="shared" si="9"/>
        <v/>
      </c>
      <c r="AR56" s="177" t="str">
        <f>IF(A56&gt;0,SUM(PASHEET!AQ48,PASHEET!AY48),"")</f>
        <v/>
      </c>
      <c r="AS56" s="177" t="str">
        <f>IF(A56&gt;0,SUM(MARKS!K48,MARKS!AQ48),"")</f>
        <v/>
      </c>
      <c r="AT56" s="177" t="str">
        <f>IF(A56&gt;0,SUM(MARKS!S48,MARKS!AY48),"")</f>
        <v/>
      </c>
      <c r="AU56" s="177" t="str">
        <f>IF(A56&gt;0,SUM(MARKS!AA48,MARKS!BG48),"")</f>
        <v/>
      </c>
      <c r="AV56" s="177" t="str">
        <f>IF(A56&gt;0,SUM(MARKS!AI48,MARKS!BO48),"")</f>
        <v/>
      </c>
      <c r="AW56" s="177" t="str">
        <f t="shared" si="10"/>
        <v/>
      </c>
      <c r="AX56" s="177" t="str">
        <f t="shared" si="11"/>
        <v/>
      </c>
      <c r="AY56" s="47" t="str">
        <f t="shared" si="12"/>
        <v/>
      </c>
      <c r="AZ56" s="70" t="str">
        <f t="shared" si="13"/>
        <v/>
      </c>
      <c r="BA56" s="177" t="str">
        <f t="shared" si="14"/>
        <v/>
      </c>
      <c r="BB56" s="47" t="str">
        <f>IF(A56&gt;0,FLN!I48,"")</f>
        <v/>
      </c>
      <c r="BC56" s="47" t="str">
        <f>IF(A56&gt;0,FLN!J48,"")</f>
        <v/>
      </c>
      <c r="BD56" s="47" t="str">
        <f>IF(A56&gt;0,FLN!K48,"")</f>
        <v/>
      </c>
      <c r="BE56" s="47" t="str">
        <f t="shared" si="15"/>
        <v/>
      </c>
      <c r="BF56" s="130" t="str">
        <f>IF(AY56="","",IFERROR(RANK(AY56,$AY$12:$AY$111,0)+COUNTIFS($AY$12:AY56,AY56)-1,0))</f>
        <v/>
      </c>
      <c r="BG56" s="130" t="str">
        <f t="shared" si="16"/>
        <v/>
      </c>
    </row>
    <row r="57" s="98" customFormat="1" ht="27" customHeight="1" spans="1:59">
      <c r="A57" s="47">
        <f>IF(A56=0,0,IF(A56&lt;ENTRY!$D$24,A56+1,0))</f>
        <v>0</v>
      </c>
      <c r="B57" s="47" t="str">
        <f>IF(A57&gt;0,STUDENT!F47,"")</f>
        <v/>
      </c>
      <c r="C57" s="176" t="str">
        <f>IF(A57&gt;0,UPPER(STUDENT!E47),"")</f>
        <v/>
      </c>
      <c r="D57" s="176" t="str">
        <f>IF(A57&gt;0,UPPER(STUDENT!H47),"")</f>
        <v/>
      </c>
      <c r="E57" s="47" t="str">
        <f>IF(A57&gt;0,UPPER(STUDENT!BP47),"")</f>
        <v/>
      </c>
      <c r="F57" s="47" t="str">
        <f>IF(A57&gt;0,UPPER(STUDENT!BO47),"")</f>
        <v/>
      </c>
      <c r="G57" s="47" t="str">
        <f>IF(A57&gt;0,UPPER(STUDENT!Q47),"")</f>
        <v/>
      </c>
      <c r="H57" s="69" t="str">
        <f>IF(A57&gt;0,PASHEET!CI49/PASHEET!CJ49*100,"")</f>
        <v/>
      </c>
      <c r="I57" s="177" t="str">
        <f>IF(A57&gt;0,SUM(PASHEET!AL49,PASHEET!AT49),"")</f>
        <v/>
      </c>
      <c r="J57" s="177" t="str">
        <f>IF(A57&gt;0,SUM(MARKS!F49,MARKS!AL49),"")</f>
        <v/>
      </c>
      <c r="K57" s="177" t="str">
        <f>IF(A57&gt;0,SUM(MARKS!N49,MARKS!AT49),"")</f>
        <v/>
      </c>
      <c r="L57" s="177" t="str">
        <f>IF(A57&gt;0,SUM(MARKS!V49,MARKS!BB49),"")</f>
        <v/>
      </c>
      <c r="M57" s="177" t="str">
        <f>IF(A57&gt;0,SUM(MARKS!AD49,MARKS!BJ49),"")</f>
        <v/>
      </c>
      <c r="N57" s="177" t="str">
        <f t="shared" si="0"/>
        <v/>
      </c>
      <c r="O57" s="177" t="str">
        <f t="shared" si="1"/>
        <v/>
      </c>
      <c r="P57" s="177" t="str">
        <f>IF(A57&gt;0,SUM(PASHEET!AM49,PASHEET!AU49),"")</f>
        <v/>
      </c>
      <c r="Q57" s="177" t="str">
        <f>IF(A57&gt;0,SUM(MARKS!G49,MARKS!AM49),"")</f>
        <v/>
      </c>
      <c r="R57" s="177" t="str">
        <f>IF(A57&gt;0,SUM(MARKS!O49,MARKS!AU49),"")</f>
        <v/>
      </c>
      <c r="S57" s="177" t="str">
        <f>IF(A57&gt;0,SUM(MARKS!W49,MARKS!BC49),"")</f>
        <v/>
      </c>
      <c r="T57" s="177" t="str">
        <f>IF(A57&gt;0,SUM(MARKS!AE49,MARKS!BK49),"")</f>
        <v/>
      </c>
      <c r="U57" s="177" t="str">
        <f t="shared" si="2"/>
        <v/>
      </c>
      <c r="V57" s="177" t="str">
        <f t="shared" si="3"/>
        <v/>
      </c>
      <c r="W57" s="177" t="str">
        <f>IF(A57&gt;0,SUM(PASHEET!AN49,PASHEET!AV49),"")</f>
        <v/>
      </c>
      <c r="X57" s="177" t="str">
        <f>IF(A57&gt;0,SUM(MARKS!H49,MARKS!AN49),"")</f>
        <v/>
      </c>
      <c r="Y57" s="177" t="str">
        <f>IF(A57&gt;0,SUM(MARKS!P49,MARKS!AV49),"")</f>
        <v/>
      </c>
      <c r="Z57" s="177" t="str">
        <f>IF(A57&gt;0,SUM(MARKS!X49,MARKS!BD49),"")</f>
        <v/>
      </c>
      <c r="AA57" s="177" t="str">
        <f>IF(A57&gt;0,SUM(MARKS!AF49,MARKS!BL49),"")</f>
        <v/>
      </c>
      <c r="AB57" s="177" t="str">
        <f t="shared" si="4"/>
        <v/>
      </c>
      <c r="AC57" s="177" t="str">
        <f t="shared" si="5"/>
        <v/>
      </c>
      <c r="AD57" s="177" t="str">
        <f>IF(A57&gt;0,SUM(PASHEET!AO49,PASHEET!AW49),"")</f>
        <v/>
      </c>
      <c r="AE57" s="177" t="str">
        <f>IF(A57&gt;0,SUM(MARKS!I49,MARKS!AO49),"")</f>
        <v/>
      </c>
      <c r="AF57" s="177" t="str">
        <f>IF(A57&gt;0,SUM(MARKS!Q49,MARKS!AW49),"")</f>
        <v/>
      </c>
      <c r="AG57" s="177" t="str">
        <f>IF(A57&gt;0,SUM(MARKS!Y49,MARKS!BE49),"")</f>
        <v/>
      </c>
      <c r="AH57" s="177" t="str">
        <f>IF(A57&gt;0,SUM(MARKS!AG49,MARKS!BM49),"")</f>
        <v/>
      </c>
      <c r="AI57" s="177" t="str">
        <f t="shared" si="6"/>
        <v/>
      </c>
      <c r="AJ57" s="177" t="str">
        <f t="shared" si="7"/>
        <v/>
      </c>
      <c r="AK57" s="177" t="str">
        <f>IF(A57&gt;0,SUM(PASHEET!AP49,PASHEET!AX49),"")</f>
        <v/>
      </c>
      <c r="AL57" s="177" t="str">
        <f>IF(A57&gt;0,SUM(MARKS!J49,MARKS!AP49),"")</f>
        <v/>
      </c>
      <c r="AM57" s="177" t="str">
        <f>IF(A57&gt;0,SUM(MARKS!R49,MARKS!AX49),"")</f>
        <v/>
      </c>
      <c r="AN57" s="177" t="str">
        <f>IF(A57&gt;0,SUM(MARKS!Z49,MARKS!BF49),"")</f>
        <v/>
      </c>
      <c r="AO57" s="177" t="str">
        <f>IF(A57&gt;0,SUM(MARKS!AH49,MARKS!BN49),"")</f>
        <v/>
      </c>
      <c r="AP57" s="177" t="str">
        <f t="shared" si="8"/>
        <v/>
      </c>
      <c r="AQ57" s="177" t="str">
        <f t="shared" si="9"/>
        <v/>
      </c>
      <c r="AR57" s="177" t="str">
        <f>IF(A57&gt;0,SUM(PASHEET!AQ49,PASHEET!AY49),"")</f>
        <v/>
      </c>
      <c r="AS57" s="177" t="str">
        <f>IF(A57&gt;0,SUM(MARKS!K49,MARKS!AQ49),"")</f>
        <v/>
      </c>
      <c r="AT57" s="177" t="str">
        <f>IF(A57&gt;0,SUM(MARKS!S49,MARKS!AY49),"")</f>
        <v/>
      </c>
      <c r="AU57" s="177" t="str">
        <f>IF(A57&gt;0,SUM(MARKS!AA49,MARKS!BG49),"")</f>
        <v/>
      </c>
      <c r="AV57" s="177" t="str">
        <f>IF(A57&gt;0,SUM(MARKS!AI49,MARKS!BO49),"")</f>
        <v/>
      </c>
      <c r="AW57" s="177" t="str">
        <f t="shared" si="10"/>
        <v/>
      </c>
      <c r="AX57" s="177" t="str">
        <f t="shared" si="11"/>
        <v/>
      </c>
      <c r="AY57" s="47" t="str">
        <f t="shared" si="12"/>
        <v/>
      </c>
      <c r="AZ57" s="70" t="str">
        <f t="shared" si="13"/>
        <v/>
      </c>
      <c r="BA57" s="177" t="str">
        <f t="shared" si="14"/>
        <v/>
      </c>
      <c r="BB57" s="47" t="str">
        <f>IF(A57&gt;0,FLN!I49,"")</f>
        <v/>
      </c>
      <c r="BC57" s="47" t="str">
        <f>IF(A57&gt;0,FLN!J49,"")</f>
        <v/>
      </c>
      <c r="BD57" s="47" t="str">
        <f>IF(A57&gt;0,FLN!K49,"")</f>
        <v/>
      </c>
      <c r="BE57" s="47" t="str">
        <f t="shared" si="15"/>
        <v/>
      </c>
      <c r="BF57" s="130" t="str">
        <f>IF(AY57="","",IFERROR(RANK(AY57,$AY$12:$AY$111,0)+COUNTIFS($AY$12:AY57,AY57)-1,0))</f>
        <v/>
      </c>
      <c r="BG57" s="130" t="str">
        <f t="shared" si="16"/>
        <v/>
      </c>
    </row>
    <row r="58" s="98" customFormat="1" ht="27" customHeight="1" spans="1:59">
      <c r="A58" s="47">
        <f>IF(A57=0,0,IF(A57&lt;ENTRY!$D$24,A57+1,0))</f>
        <v>0</v>
      </c>
      <c r="B58" s="47" t="str">
        <f>IF(A58&gt;0,STUDENT!F48,"")</f>
        <v/>
      </c>
      <c r="C58" s="176" t="str">
        <f>IF(A58&gt;0,UPPER(STUDENT!E48),"")</f>
        <v/>
      </c>
      <c r="D58" s="176" t="str">
        <f>IF(A58&gt;0,UPPER(STUDENT!H48),"")</f>
        <v/>
      </c>
      <c r="E58" s="47" t="str">
        <f>IF(A58&gt;0,UPPER(STUDENT!BP48),"")</f>
        <v/>
      </c>
      <c r="F58" s="47" t="str">
        <f>IF(A58&gt;0,UPPER(STUDENT!BO48),"")</f>
        <v/>
      </c>
      <c r="G58" s="47" t="str">
        <f>IF(A58&gt;0,UPPER(STUDENT!Q48),"")</f>
        <v/>
      </c>
      <c r="H58" s="69" t="str">
        <f>IF(A58&gt;0,PASHEET!CI50/PASHEET!CJ50*100,"")</f>
        <v/>
      </c>
      <c r="I58" s="177" t="str">
        <f>IF(A58&gt;0,SUM(PASHEET!AL50,PASHEET!AT50),"")</f>
        <v/>
      </c>
      <c r="J58" s="177" t="str">
        <f>IF(A58&gt;0,SUM(MARKS!F50,MARKS!AL50),"")</f>
        <v/>
      </c>
      <c r="K58" s="177" t="str">
        <f>IF(A58&gt;0,SUM(MARKS!N50,MARKS!AT50),"")</f>
        <v/>
      </c>
      <c r="L58" s="177" t="str">
        <f>IF(A58&gt;0,SUM(MARKS!V50,MARKS!BB50),"")</f>
        <v/>
      </c>
      <c r="M58" s="177" t="str">
        <f>IF(A58&gt;0,SUM(MARKS!AD50,MARKS!BJ50),"")</f>
        <v/>
      </c>
      <c r="N58" s="177" t="str">
        <f t="shared" si="0"/>
        <v/>
      </c>
      <c r="O58" s="177" t="str">
        <f t="shared" si="1"/>
        <v/>
      </c>
      <c r="P58" s="177" t="str">
        <f>IF(A58&gt;0,SUM(PASHEET!AM50,PASHEET!AU50),"")</f>
        <v/>
      </c>
      <c r="Q58" s="177" t="str">
        <f>IF(A58&gt;0,SUM(MARKS!G50,MARKS!AM50),"")</f>
        <v/>
      </c>
      <c r="R58" s="177" t="str">
        <f>IF(A58&gt;0,SUM(MARKS!O50,MARKS!AU50),"")</f>
        <v/>
      </c>
      <c r="S58" s="177" t="str">
        <f>IF(A58&gt;0,SUM(MARKS!W50,MARKS!BC50),"")</f>
        <v/>
      </c>
      <c r="T58" s="177" t="str">
        <f>IF(A58&gt;0,SUM(MARKS!AE50,MARKS!BK50),"")</f>
        <v/>
      </c>
      <c r="U58" s="177" t="str">
        <f t="shared" si="2"/>
        <v/>
      </c>
      <c r="V58" s="177" t="str">
        <f t="shared" si="3"/>
        <v/>
      </c>
      <c r="W58" s="177" t="str">
        <f>IF(A58&gt;0,SUM(PASHEET!AN50,PASHEET!AV50),"")</f>
        <v/>
      </c>
      <c r="X58" s="177" t="str">
        <f>IF(A58&gt;0,SUM(MARKS!H50,MARKS!AN50),"")</f>
        <v/>
      </c>
      <c r="Y58" s="177" t="str">
        <f>IF(A58&gt;0,SUM(MARKS!P50,MARKS!AV50),"")</f>
        <v/>
      </c>
      <c r="Z58" s="177" t="str">
        <f>IF(A58&gt;0,SUM(MARKS!X50,MARKS!BD50),"")</f>
        <v/>
      </c>
      <c r="AA58" s="177" t="str">
        <f>IF(A58&gt;0,SUM(MARKS!AF50,MARKS!BL50),"")</f>
        <v/>
      </c>
      <c r="AB58" s="177" t="str">
        <f t="shared" si="4"/>
        <v/>
      </c>
      <c r="AC58" s="177" t="str">
        <f t="shared" si="5"/>
        <v/>
      </c>
      <c r="AD58" s="177" t="str">
        <f>IF(A58&gt;0,SUM(PASHEET!AO50,PASHEET!AW50),"")</f>
        <v/>
      </c>
      <c r="AE58" s="177" t="str">
        <f>IF(A58&gt;0,SUM(MARKS!I50,MARKS!AO50),"")</f>
        <v/>
      </c>
      <c r="AF58" s="177" t="str">
        <f>IF(A58&gt;0,SUM(MARKS!Q50,MARKS!AW50),"")</f>
        <v/>
      </c>
      <c r="AG58" s="177" t="str">
        <f>IF(A58&gt;0,SUM(MARKS!Y50,MARKS!BE50),"")</f>
        <v/>
      </c>
      <c r="AH58" s="177" t="str">
        <f>IF(A58&gt;0,SUM(MARKS!AG50,MARKS!BM50),"")</f>
        <v/>
      </c>
      <c r="AI58" s="177" t="str">
        <f t="shared" si="6"/>
        <v/>
      </c>
      <c r="AJ58" s="177" t="str">
        <f t="shared" si="7"/>
        <v/>
      </c>
      <c r="AK58" s="177" t="str">
        <f>IF(A58&gt;0,SUM(PASHEET!AP50,PASHEET!AX50),"")</f>
        <v/>
      </c>
      <c r="AL58" s="177" t="str">
        <f>IF(A58&gt;0,SUM(MARKS!J50,MARKS!AP50),"")</f>
        <v/>
      </c>
      <c r="AM58" s="177" t="str">
        <f>IF(A58&gt;0,SUM(MARKS!R50,MARKS!AX50),"")</f>
        <v/>
      </c>
      <c r="AN58" s="177" t="str">
        <f>IF(A58&gt;0,SUM(MARKS!Z50,MARKS!BF50),"")</f>
        <v/>
      </c>
      <c r="AO58" s="177" t="str">
        <f>IF(A58&gt;0,SUM(MARKS!AH50,MARKS!BN50),"")</f>
        <v/>
      </c>
      <c r="AP58" s="177" t="str">
        <f t="shared" si="8"/>
        <v/>
      </c>
      <c r="AQ58" s="177" t="str">
        <f t="shared" si="9"/>
        <v/>
      </c>
      <c r="AR58" s="177" t="str">
        <f>IF(A58&gt;0,SUM(PASHEET!AQ50,PASHEET!AY50),"")</f>
        <v/>
      </c>
      <c r="AS58" s="177" t="str">
        <f>IF(A58&gt;0,SUM(MARKS!K50,MARKS!AQ50),"")</f>
        <v/>
      </c>
      <c r="AT58" s="177" t="str">
        <f>IF(A58&gt;0,SUM(MARKS!S50,MARKS!AY50),"")</f>
        <v/>
      </c>
      <c r="AU58" s="177" t="str">
        <f>IF(A58&gt;0,SUM(MARKS!AA50,MARKS!BG50),"")</f>
        <v/>
      </c>
      <c r="AV58" s="177" t="str">
        <f>IF(A58&gt;0,SUM(MARKS!AI50,MARKS!BO50),"")</f>
        <v/>
      </c>
      <c r="AW58" s="177" t="str">
        <f t="shared" si="10"/>
        <v/>
      </c>
      <c r="AX58" s="177" t="str">
        <f t="shared" si="11"/>
        <v/>
      </c>
      <c r="AY58" s="47" t="str">
        <f t="shared" si="12"/>
        <v/>
      </c>
      <c r="AZ58" s="70" t="str">
        <f t="shared" si="13"/>
        <v/>
      </c>
      <c r="BA58" s="177" t="str">
        <f t="shared" si="14"/>
        <v/>
      </c>
      <c r="BB58" s="47" t="str">
        <f>IF(A58&gt;0,FLN!I50,"")</f>
        <v/>
      </c>
      <c r="BC58" s="47" t="str">
        <f>IF(A58&gt;0,FLN!J50,"")</f>
        <v/>
      </c>
      <c r="BD58" s="47" t="str">
        <f>IF(A58&gt;0,FLN!K50,"")</f>
        <v/>
      </c>
      <c r="BE58" s="47" t="str">
        <f t="shared" si="15"/>
        <v/>
      </c>
      <c r="BF58" s="130" t="str">
        <f>IF(AY58="","",IFERROR(RANK(AY58,$AY$12:$AY$111,0)+COUNTIFS($AY$12:AY58,AY58)-1,0))</f>
        <v/>
      </c>
      <c r="BG58" s="130" t="str">
        <f t="shared" si="16"/>
        <v/>
      </c>
    </row>
    <row r="59" s="98" customFormat="1" ht="27" customHeight="1" spans="1:59">
      <c r="A59" s="47">
        <f>IF(A58=0,0,IF(A58&lt;ENTRY!$D$24,A58+1,0))</f>
        <v>0</v>
      </c>
      <c r="B59" s="47" t="str">
        <f>IF(A59&gt;0,STUDENT!F49,"")</f>
        <v/>
      </c>
      <c r="C59" s="176" t="str">
        <f>IF(A59&gt;0,UPPER(STUDENT!E49),"")</f>
        <v/>
      </c>
      <c r="D59" s="176" t="str">
        <f>IF(A59&gt;0,UPPER(STUDENT!H49),"")</f>
        <v/>
      </c>
      <c r="E59" s="47" t="str">
        <f>IF(A59&gt;0,UPPER(STUDENT!BP49),"")</f>
        <v/>
      </c>
      <c r="F59" s="47" t="str">
        <f>IF(A59&gt;0,UPPER(STUDENT!BO49),"")</f>
        <v/>
      </c>
      <c r="G59" s="47" t="str">
        <f>IF(A59&gt;0,UPPER(STUDENT!Q49),"")</f>
        <v/>
      </c>
      <c r="H59" s="69" t="str">
        <f>IF(A59&gt;0,PASHEET!CI51/PASHEET!CJ51*100,"")</f>
        <v/>
      </c>
      <c r="I59" s="177" t="str">
        <f>IF(A59&gt;0,SUM(PASHEET!AL51,PASHEET!AT51),"")</f>
        <v/>
      </c>
      <c r="J59" s="177" t="str">
        <f>IF(A59&gt;0,SUM(MARKS!F51,MARKS!AL51),"")</f>
        <v/>
      </c>
      <c r="K59" s="177" t="str">
        <f>IF(A59&gt;0,SUM(MARKS!N51,MARKS!AT51),"")</f>
        <v/>
      </c>
      <c r="L59" s="177" t="str">
        <f>IF(A59&gt;0,SUM(MARKS!V51,MARKS!BB51),"")</f>
        <v/>
      </c>
      <c r="M59" s="177" t="str">
        <f>IF(A59&gt;0,SUM(MARKS!AD51,MARKS!BJ51),"")</f>
        <v/>
      </c>
      <c r="N59" s="177" t="str">
        <f t="shared" si="0"/>
        <v/>
      </c>
      <c r="O59" s="177" t="str">
        <f t="shared" si="1"/>
        <v/>
      </c>
      <c r="P59" s="177" t="str">
        <f>IF(A59&gt;0,SUM(PASHEET!AM51,PASHEET!AU51),"")</f>
        <v/>
      </c>
      <c r="Q59" s="177" t="str">
        <f>IF(A59&gt;0,SUM(MARKS!G51,MARKS!AM51),"")</f>
        <v/>
      </c>
      <c r="R59" s="177" t="str">
        <f>IF(A59&gt;0,SUM(MARKS!O51,MARKS!AU51),"")</f>
        <v/>
      </c>
      <c r="S59" s="177" t="str">
        <f>IF(A59&gt;0,SUM(MARKS!W51,MARKS!BC51),"")</f>
        <v/>
      </c>
      <c r="T59" s="177" t="str">
        <f>IF(A59&gt;0,SUM(MARKS!AE51,MARKS!BK51),"")</f>
        <v/>
      </c>
      <c r="U59" s="177" t="str">
        <f t="shared" si="2"/>
        <v/>
      </c>
      <c r="V59" s="177" t="str">
        <f t="shared" si="3"/>
        <v/>
      </c>
      <c r="W59" s="177" t="str">
        <f>IF(A59&gt;0,SUM(PASHEET!AN51,PASHEET!AV51),"")</f>
        <v/>
      </c>
      <c r="X59" s="177" t="str">
        <f>IF(A59&gt;0,SUM(MARKS!H51,MARKS!AN51),"")</f>
        <v/>
      </c>
      <c r="Y59" s="177" t="str">
        <f>IF(A59&gt;0,SUM(MARKS!P51,MARKS!AV51),"")</f>
        <v/>
      </c>
      <c r="Z59" s="177" t="str">
        <f>IF(A59&gt;0,SUM(MARKS!X51,MARKS!BD51),"")</f>
        <v/>
      </c>
      <c r="AA59" s="177" t="str">
        <f>IF(A59&gt;0,SUM(MARKS!AF51,MARKS!BL51),"")</f>
        <v/>
      </c>
      <c r="AB59" s="177" t="str">
        <f t="shared" si="4"/>
        <v/>
      </c>
      <c r="AC59" s="177" t="str">
        <f t="shared" si="5"/>
        <v/>
      </c>
      <c r="AD59" s="177" t="str">
        <f>IF(A59&gt;0,SUM(PASHEET!AO51,PASHEET!AW51),"")</f>
        <v/>
      </c>
      <c r="AE59" s="177" t="str">
        <f>IF(A59&gt;0,SUM(MARKS!I51,MARKS!AO51),"")</f>
        <v/>
      </c>
      <c r="AF59" s="177" t="str">
        <f>IF(A59&gt;0,SUM(MARKS!Q51,MARKS!AW51),"")</f>
        <v/>
      </c>
      <c r="AG59" s="177" t="str">
        <f>IF(A59&gt;0,SUM(MARKS!Y51,MARKS!BE51),"")</f>
        <v/>
      </c>
      <c r="AH59" s="177" t="str">
        <f>IF(A59&gt;0,SUM(MARKS!AG51,MARKS!BM51),"")</f>
        <v/>
      </c>
      <c r="AI59" s="177" t="str">
        <f t="shared" si="6"/>
        <v/>
      </c>
      <c r="AJ59" s="177" t="str">
        <f t="shared" si="7"/>
        <v/>
      </c>
      <c r="AK59" s="177" t="str">
        <f>IF(A59&gt;0,SUM(PASHEET!AP51,PASHEET!AX51),"")</f>
        <v/>
      </c>
      <c r="AL59" s="177" t="str">
        <f>IF(A59&gt;0,SUM(MARKS!J51,MARKS!AP51),"")</f>
        <v/>
      </c>
      <c r="AM59" s="177" t="str">
        <f>IF(A59&gt;0,SUM(MARKS!R51,MARKS!AX51),"")</f>
        <v/>
      </c>
      <c r="AN59" s="177" t="str">
        <f>IF(A59&gt;0,SUM(MARKS!Z51,MARKS!BF51),"")</f>
        <v/>
      </c>
      <c r="AO59" s="177" t="str">
        <f>IF(A59&gt;0,SUM(MARKS!AH51,MARKS!BN51),"")</f>
        <v/>
      </c>
      <c r="AP59" s="177" t="str">
        <f t="shared" si="8"/>
        <v/>
      </c>
      <c r="AQ59" s="177" t="str">
        <f t="shared" si="9"/>
        <v/>
      </c>
      <c r="AR59" s="177" t="str">
        <f>IF(A59&gt;0,SUM(PASHEET!AQ51,PASHEET!AY51),"")</f>
        <v/>
      </c>
      <c r="AS59" s="177" t="str">
        <f>IF(A59&gt;0,SUM(MARKS!K51,MARKS!AQ51),"")</f>
        <v/>
      </c>
      <c r="AT59" s="177" t="str">
        <f>IF(A59&gt;0,SUM(MARKS!S51,MARKS!AY51),"")</f>
        <v/>
      </c>
      <c r="AU59" s="177" t="str">
        <f>IF(A59&gt;0,SUM(MARKS!AA51,MARKS!BG51),"")</f>
        <v/>
      </c>
      <c r="AV59" s="177" t="str">
        <f>IF(A59&gt;0,SUM(MARKS!AI51,MARKS!BO51),"")</f>
        <v/>
      </c>
      <c r="AW59" s="177" t="str">
        <f t="shared" si="10"/>
        <v/>
      </c>
      <c r="AX59" s="177" t="str">
        <f t="shared" si="11"/>
        <v/>
      </c>
      <c r="AY59" s="47" t="str">
        <f t="shared" si="12"/>
        <v/>
      </c>
      <c r="AZ59" s="70" t="str">
        <f t="shared" si="13"/>
        <v/>
      </c>
      <c r="BA59" s="177" t="str">
        <f t="shared" si="14"/>
        <v/>
      </c>
      <c r="BB59" s="47" t="str">
        <f>IF(A59&gt;0,FLN!I51,"")</f>
        <v/>
      </c>
      <c r="BC59" s="47" t="str">
        <f>IF(A59&gt;0,FLN!J51,"")</f>
        <v/>
      </c>
      <c r="BD59" s="47" t="str">
        <f>IF(A59&gt;0,FLN!K51,"")</f>
        <v/>
      </c>
      <c r="BE59" s="47" t="str">
        <f t="shared" si="15"/>
        <v/>
      </c>
      <c r="BF59" s="130" t="str">
        <f>IF(AY59="","",IFERROR(RANK(AY59,$AY$12:$AY$111,0)+COUNTIFS($AY$12:AY59,AY59)-1,0))</f>
        <v/>
      </c>
      <c r="BG59" s="130" t="str">
        <f t="shared" si="16"/>
        <v/>
      </c>
    </row>
    <row r="60" s="98" customFormat="1" ht="27" customHeight="1" spans="1:59">
      <c r="A60" s="47">
        <f>IF(A59=0,0,IF(A59&lt;ENTRY!$D$24,A59+1,0))</f>
        <v>0</v>
      </c>
      <c r="B60" s="47" t="str">
        <f>IF(A60&gt;0,STUDENT!F50,"")</f>
        <v/>
      </c>
      <c r="C60" s="176" t="str">
        <f>IF(A60&gt;0,UPPER(STUDENT!E50),"")</f>
        <v/>
      </c>
      <c r="D60" s="176" t="str">
        <f>IF(A60&gt;0,UPPER(STUDENT!H50),"")</f>
        <v/>
      </c>
      <c r="E60" s="47" t="str">
        <f>IF(A60&gt;0,UPPER(STUDENT!BP50),"")</f>
        <v/>
      </c>
      <c r="F60" s="47" t="str">
        <f>IF(A60&gt;0,UPPER(STUDENT!BO50),"")</f>
        <v/>
      </c>
      <c r="G60" s="47" t="str">
        <f>IF(A60&gt;0,UPPER(STUDENT!Q50),"")</f>
        <v/>
      </c>
      <c r="H60" s="69" t="str">
        <f>IF(A60&gt;0,PASHEET!CI52/PASHEET!CJ52*100,"")</f>
        <v/>
      </c>
      <c r="I60" s="177" t="str">
        <f>IF(A60&gt;0,SUM(PASHEET!AL52,PASHEET!AT52),"")</f>
        <v/>
      </c>
      <c r="J60" s="177" t="str">
        <f>IF(A60&gt;0,SUM(MARKS!F52,MARKS!AL52),"")</f>
        <v/>
      </c>
      <c r="K60" s="177" t="str">
        <f>IF(A60&gt;0,SUM(MARKS!N52,MARKS!AT52),"")</f>
        <v/>
      </c>
      <c r="L60" s="177" t="str">
        <f>IF(A60&gt;0,SUM(MARKS!V52,MARKS!BB52),"")</f>
        <v/>
      </c>
      <c r="M60" s="177" t="str">
        <f>IF(A60&gt;0,SUM(MARKS!AD52,MARKS!BJ52),"")</f>
        <v/>
      </c>
      <c r="N60" s="177" t="str">
        <f t="shared" si="0"/>
        <v/>
      </c>
      <c r="O60" s="177" t="str">
        <f t="shared" si="1"/>
        <v/>
      </c>
      <c r="P60" s="177" t="str">
        <f>IF(A60&gt;0,SUM(PASHEET!AM52,PASHEET!AU52),"")</f>
        <v/>
      </c>
      <c r="Q60" s="177" t="str">
        <f>IF(A60&gt;0,SUM(MARKS!G52,MARKS!AM52),"")</f>
        <v/>
      </c>
      <c r="R60" s="177" t="str">
        <f>IF(A60&gt;0,SUM(MARKS!O52,MARKS!AU52),"")</f>
        <v/>
      </c>
      <c r="S60" s="177" t="str">
        <f>IF(A60&gt;0,SUM(MARKS!W52,MARKS!BC52),"")</f>
        <v/>
      </c>
      <c r="T60" s="177" t="str">
        <f>IF(A60&gt;0,SUM(MARKS!AE52,MARKS!BK52),"")</f>
        <v/>
      </c>
      <c r="U60" s="177" t="str">
        <f t="shared" si="2"/>
        <v/>
      </c>
      <c r="V60" s="177" t="str">
        <f t="shared" si="3"/>
        <v/>
      </c>
      <c r="W60" s="177" t="str">
        <f>IF(A60&gt;0,SUM(PASHEET!AN52,PASHEET!AV52),"")</f>
        <v/>
      </c>
      <c r="X60" s="177" t="str">
        <f>IF(A60&gt;0,SUM(MARKS!H52,MARKS!AN52),"")</f>
        <v/>
      </c>
      <c r="Y60" s="177" t="str">
        <f>IF(A60&gt;0,SUM(MARKS!P52,MARKS!AV52),"")</f>
        <v/>
      </c>
      <c r="Z60" s="177" t="str">
        <f>IF(A60&gt;0,SUM(MARKS!X52,MARKS!BD52),"")</f>
        <v/>
      </c>
      <c r="AA60" s="177" t="str">
        <f>IF(A60&gt;0,SUM(MARKS!AF52,MARKS!BL52),"")</f>
        <v/>
      </c>
      <c r="AB60" s="177" t="str">
        <f t="shared" si="4"/>
        <v/>
      </c>
      <c r="AC60" s="177" t="str">
        <f t="shared" si="5"/>
        <v/>
      </c>
      <c r="AD60" s="177" t="str">
        <f>IF(A60&gt;0,SUM(PASHEET!AO52,PASHEET!AW52),"")</f>
        <v/>
      </c>
      <c r="AE60" s="177" t="str">
        <f>IF(A60&gt;0,SUM(MARKS!I52,MARKS!AO52),"")</f>
        <v/>
      </c>
      <c r="AF60" s="177" t="str">
        <f>IF(A60&gt;0,SUM(MARKS!Q52,MARKS!AW52),"")</f>
        <v/>
      </c>
      <c r="AG60" s="177" t="str">
        <f>IF(A60&gt;0,SUM(MARKS!Y52,MARKS!BE52),"")</f>
        <v/>
      </c>
      <c r="AH60" s="177" t="str">
        <f>IF(A60&gt;0,SUM(MARKS!AG52,MARKS!BM52),"")</f>
        <v/>
      </c>
      <c r="AI60" s="177" t="str">
        <f t="shared" si="6"/>
        <v/>
      </c>
      <c r="AJ60" s="177" t="str">
        <f t="shared" si="7"/>
        <v/>
      </c>
      <c r="AK60" s="177" t="str">
        <f>IF(A60&gt;0,SUM(PASHEET!AP52,PASHEET!AX52),"")</f>
        <v/>
      </c>
      <c r="AL60" s="177" t="str">
        <f>IF(A60&gt;0,SUM(MARKS!J52,MARKS!AP52),"")</f>
        <v/>
      </c>
      <c r="AM60" s="177" t="str">
        <f>IF(A60&gt;0,SUM(MARKS!R52,MARKS!AX52),"")</f>
        <v/>
      </c>
      <c r="AN60" s="177" t="str">
        <f>IF(A60&gt;0,SUM(MARKS!Z52,MARKS!BF52),"")</f>
        <v/>
      </c>
      <c r="AO60" s="177" t="str">
        <f>IF(A60&gt;0,SUM(MARKS!AH52,MARKS!BN52),"")</f>
        <v/>
      </c>
      <c r="AP60" s="177" t="str">
        <f t="shared" si="8"/>
        <v/>
      </c>
      <c r="AQ60" s="177" t="str">
        <f t="shared" si="9"/>
        <v/>
      </c>
      <c r="AR60" s="177" t="str">
        <f>IF(A60&gt;0,SUM(PASHEET!AQ52,PASHEET!AY52),"")</f>
        <v/>
      </c>
      <c r="AS60" s="177" t="str">
        <f>IF(A60&gt;0,SUM(MARKS!K52,MARKS!AQ52),"")</f>
        <v/>
      </c>
      <c r="AT60" s="177" t="str">
        <f>IF(A60&gt;0,SUM(MARKS!S52,MARKS!AY52),"")</f>
        <v/>
      </c>
      <c r="AU60" s="177" t="str">
        <f>IF(A60&gt;0,SUM(MARKS!AA52,MARKS!BG52),"")</f>
        <v/>
      </c>
      <c r="AV60" s="177" t="str">
        <f>IF(A60&gt;0,SUM(MARKS!AI52,MARKS!BO52),"")</f>
        <v/>
      </c>
      <c r="AW60" s="177" t="str">
        <f t="shared" si="10"/>
        <v/>
      </c>
      <c r="AX60" s="177" t="str">
        <f t="shared" si="11"/>
        <v/>
      </c>
      <c r="AY60" s="47" t="str">
        <f t="shared" si="12"/>
        <v/>
      </c>
      <c r="AZ60" s="70" t="str">
        <f t="shared" si="13"/>
        <v/>
      </c>
      <c r="BA60" s="177" t="str">
        <f t="shared" si="14"/>
        <v/>
      </c>
      <c r="BB60" s="47" t="str">
        <f>IF(A60&gt;0,FLN!I52,"")</f>
        <v/>
      </c>
      <c r="BC60" s="47" t="str">
        <f>IF(A60&gt;0,FLN!J52,"")</f>
        <v/>
      </c>
      <c r="BD60" s="47" t="str">
        <f>IF(A60&gt;0,FLN!K52,"")</f>
        <v/>
      </c>
      <c r="BE60" s="47" t="str">
        <f t="shared" si="15"/>
        <v/>
      </c>
      <c r="BF60" s="130" t="str">
        <f>IF(AY60="","",IFERROR(RANK(AY60,$AY$12:$AY$111,0)+COUNTIFS($AY$12:AY60,AY60)-1,0))</f>
        <v/>
      </c>
      <c r="BG60" s="130" t="str">
        <f t="shared" si="16"/>
        <v/>
      </c>
    </row>
    <row r="61" s="98" customFormat="1" ht="27" customHeight="1" spans="1:59">
      <c r="A61" s="47">
        <f>IF(A60=0,0,IF(A60&lt;ENTRY!$D$24,A60+1,0))</f>
        <v>0</v>
      </c>
      <c r="B61" s="47" t="str">
        <f>IF(A61&gt;0,STUDENT!F51,"")</f>
        <v/>
      </c>
      <c r="C61" s="176" t="str">
        <f>IF(A61&gt;0,UPPER(STUDENT!E51),"")</f>
        <v/>
      </c>
      <c r="D61" s="176" t="str">
        <f>IF(A61&gt;0,UPPER(STUDENT!H51),"")</f>
        <v/>
      </c>
      <c r="E61" s="47" t="str">
        <f>IF(A61&gt;0,UPPER(STUDENT!BP51),"")</f>
        <v/>
      </c>
      <c r="F61" s="47" t="str">
        <f>IF(A61&gt;0,UPPER(STUDENT!BO51),"")</f>
        <v/>
      </c>
      <c r="G61" s="47" t="str">
        <f>IF(A61&gt;0,UPPER(STUDENT!Q51),"")</f>
        <v/>
      </c>
      <c r="H61" s="69" t="str">
        <f>IF(A61&gt;0,PASHEET!CI53/PASHEET!CJ53*100,"")</f>
        <v/>
      </c>
      <c r="I61" s="177" t="str">
        <f>IF(A61&gt;0,SUM(PASHEET!AL53,PASHEET!AT53),"")</f>
        <v/>
      </c>
      <c r="J61" s="177" t="str">
        <f>IF(A61&gt;0,SUM(MARKS!F53,MARKS!AL53),"")</f>
        <v/>
      </c>
      <c r="K61" s="177" t="str">
        <f>IF(A61&gt;0,SUM(MARKS!N53,MARKS!AT53),"")</f>
        <v/>
      </c>
      <c r="L61" s="177" t="str">
        <f>IF(A61&gt;0,SUM(MARKS!V53,MARKS!BB53),"")</f>
        <v/>
      </c>
      <c r="M61" s="177" t="str">
        <f>IF(A61&gt;0,SUM(MARKS!AD53,MARKS!BJ53),"")</f>
        <v/>
      </c>
      <c r="N61" s="177" t="str">
        <f t="shared" si="0"/>
        <v/>
      </c>
      <c r="O61" s="177" t="str">
        <f t="shared" si="1"/>
        <v/>
      </c>
      <c r="P61" s="177" t="str">
        <f>IF(A61&gt;0,SUM(PASHEET!AM53,PASHEET!AU53),"")</f>
        <v/>
      </c>
      <c r="Q61" s="177" t="str">
        <f>IF(A61&gt;0,SUM(MARKS!G53,MARKS!AM53),"")</f>
        <v/>
      </c>
      <c r="R61" s="177" t="str">
        <f>IF(A61&gt;0,SUM(MARKS!O53,MARKS!AU53),"")</f>
        <v/>
      </c>
      <c r="S61" s="177" t="str">
        <f>IF(A61&gt;0,SUM(MARKS!W53,MARKS!BC53),"")</f>
        <v/>
      </c>
      <c r="T61" s="177" t="str">
        <f>IF(A61&gt;0,SUM(MARKS!AE53,MARKS!BK53),"")</f>
        <v/>
      </c>
      <c r="U61" s="177" t="str">
        <f t="shared" si="2"/>
        <v/>
      </c>
      <c r="V61" s="177" t="str">
        <f t="shared" si="3"/>
        <v/>
      </c>
      <c r="W61" s="177" t="str">
        <f>IF(A61&gt;0,SUM(PASHEET!AN53,PASHEET!AV53),"")</f>
        <v/>
      </c>
      <c r="X61" s="177" t="str">
        <f>IF(A61&gt;0,SUM(MARKS!H53,MARKS!AN53),"")</f>
        <v/>
      </c>
      <c r="Y61" s="177" t="str">
        <f>IF(A61&gt;0,SUM(MARKS!P53,MARKS!AV53),"")</f>
        <v/>
      </c>
      <c r="Z61" s="177" t="str">
        <f>IF(A61&gt;0,SUM(MARKS!X53,MARKS!BD53),"")</f>
        <v/>
      </c>
      <c r="AA61" s="177" t="str">
        <f>IF(A61&gt;0,SUM(MARKS!AF53,MARKS!BL53),"")</f>
        <v/>
      </c>
      <c r="AB61" s="177" t="str">
        <f t="shared" si="4"/>
        <v/>
      </c>
      <c r="AC61" s="177" t="str">
        <f t="shared" si="5"/>
        <v/>
      </c>
      <c r="AD61" s="177" t="str">
        <f>IF(A61&gt;0,SUM(PASHEET!AO53,PASHEET!AW53),"")</f>
        <v/>
      </c>
      <c r="AE61" s="177" t="str">
        <f>IF(A61&gt;0,SUM(MARKS!I53,MARKS!AO53),"")</f>
        <v/>
      </c>
      <c r="AF61" s="177" t="str">
        <f>IF(A61&gt;0,SUM(MARKS!Q53,MARKS!AW53),"")</f>
        <v/>
      </c>
      <c r="AG61" s="177" t="str">
        <f>IF(A61&gt;0,SUM(MARKS!Y53,MARKS!BE53),"")</f>
        <v/>
      </c>
      <c r="AH61" s="177" t="str">
        <f>IF(A61&gt;0,SUM(MARKS!AG53,MARKS!BM53),"")</f>
        <v/>
      </c>
      <c r="AI61" s="177" t="str">
        <f t="shared" si="6"/>
        <v/>
      </c>
      <c r="AJ61" s="177" t="str">
        <f t="shared" si="7"/>
        <v/>
      </c>
      <c r="AK61" s="177" t="str">
        <f>IF(A61&gt;0,SUM(PASHEET!AP53,PASHEET!AX53),"")</f>
        <v/>
      </c>
      <c r="AL61" s="177" t="str">
        <f>IF(A61&gt;0,SUM(MARKS!J53,MARKS!AP53),"")</f>
        <v/>
      </c>
      <c r="AM61" s="177" t="str">
        <f>IF(A61&gt;0,SUM(MARKS!R53,MARKS!AX53),"")</f>
        <v/>
      </c>
      <c r="AN61" s="177" t="str">
        <f>IF(A61&gt;0,SUM(MARKS!Z53,MARKS!BF53),"")</f>
        <v/>
      </c>
      <c r="AO61" s="177" t="str">
        <f>IF(A61&gt;0,SUM(MARKS!AH53,MARKS!BN53),"")</f>
        <v/>
      </c>
      <c r="AP61" s="177" t="str">
        <f t="shared" si="8"/>
        <v/>
      </c>
      <c r="AQ61" s="177" t="str">
        <f t="shared" si="9"/>
        <v/>
      </c>
      <c r="AR61" s="177" t="str">
        <f>IF(A61&gt;0,SUM(PASHEET!AQ53,PASHEET!AY53),"")</f>
        <v/>
      </c>
      <c r="AS61" s="177" t="str">
        <f>IF(A61&gt;0,SUM(MARKS!K53,MARKS!AQ53),"")</f>
        <v/>
      </c>
      <c r="AT61" s="177" t="str">
        <f>IF(A61&gt;0,SUM(MARKS!S53,MARKS!AY53),"")</f>
        <v/>
      </c>
      <c r="AU61" s="177" t="str">
        <f>IF(A61&gt;0,SUM(MARKS!AA53,MARKS!BG53),"")</f>
        <v/>
      </c>
      <c r="AV61" s="177" t="str">
        <f>IF(A61&gt;0,SUM(MARKS!AI53,MARKS!BO53),"")</f>
        <v/>
      </c>
      <c r="AW61" s="177" t="str">
        <f t="shared" si="10"/>
        <v/>
      </c>
      <c r="AX61" s="177" t="str">
        <f t="shared" si="11"/>
        <v/>
      </c>
      <c r="AY61" s="47" t="str">
        <f t="shared" si="12"/>
        <v/>
      </c>
      <c r="AZ61" s="70" t="str">
        <f t="shared" si="13"/>
        <v/>
      </c>
      <c r="BA61" s="177" t="str">
        <f t="shared" si="14"/>
        <v/>
      </c>
      <c r="BB61" s="47" t="str">
        <f>IF(A61&gt;0,FLN!I53,"")</f>
        <v/>
      </c>
      <c r="BC61" s="47" t="str">
        <f>IF(A61&gt;0,FLN!J53,"")</f>
        <v/>
      </c>
      <c r="BD61" s="47" t="str">
        <f>IF(A61&gt;0,FLN!K53,"")</f>
        <v/>
      </c>
      <c r="BE61" s="47" t="str">
        <f t="shared" si="15"/>
        <v/>
      </c>
      <c r="BF61" s="130" t="str">
        <f>IF(AY61="","",IFERROR(RANK(AY61,$AY$12:$AY$111,0)+COUNTIFS($AY$12:AY61,AY61)-1,0))</f>
        <v/>
      </c>
      <c r="BG61" s="130" t="str">
        <f t="shared" si="16"/>
        <v/>
      </c>
    </row>
    <row r="62" s="98" customFormat="1" ht="27" customHeight="1" spans="1:59">
      <c r="A62" s="47">
        <f>IF(A61=0,0,IF(A61&lt;ENTRY!$D$24,A61+1,0))</f>
        <v>0</v>
      </c>
      <c r="B62" s="47" t="str">
        <f>IF(A62&gt;0,STUDENT!F52,"")</f>
        <v/>
      </c>
      <c r="C62" s="176" t="str">
        <f>IF(A62&gt;0,UPPER(STUDENT!E52),"")</f>
        <v/>
      </c>
      <c r="D62" s="176" t="str">
        <f>IF(A62&gt;0,UPPER(STUDENT!H52),"")</f>
        <v/>
      </c>
      <c r="E62" s="47" t="str">
        <f>IF(A62&gt;0,UPPER(STUDENT!BP52),"")</f>
        <v/>
      </c>
      <c r="F62" s="47" t="str">
        <f>IF(A62&gt;0,UPPER(STUDENT!BO52),"")</f>
        <v/>
      </c>
      <c r="G62" s="47" t="str">
        <f>IF(A62&gt;0,UPPER(STUDENT!Q52),"")</f>
        <v/>
      </c>
      <c r="H62" s="69" t="str">
        <f>IF(A62&gt;0,PASHEET!CI54/PASHEET!CJ54*100,"")</f>
        <v/>
      </c>
      <c r="I62" s="177" t="str">
        <f>IF(A62&gt;0,SUM(PASHEET!AL54,PASHEET!AT54),"")</f>
        <v/>
      </c>
      <c r="J62" s="177" t="str">
        <f>IF(A62&gt;0,SUM(MARKS!F54,MARKS!AL54),"")</f>
        <v/>
      </c>
      <c r="K62" s="177" t="str">
        <f>IF(A62&gt;0,SUM(MARKS!N54,MARKS!AT54),"")</f>
        <v/>
      </c>
      <c r="L62" s="177" t="str">
        <f>IF(A62&gt;0,SUM(MARKS!V54,MARKS!BB54),"")</f>
        <v/>
      </c>
      <c r="M62" s="177" t="str">
        <f>IF(A62&gt;0,SUM(MARKS!AD54,MARKS!BJ54),"")</f>
        <v/>
      </c>
      <c r="N62" s="177" t="str">
        <f t="shared" si="0"/>
        <v/>
      </c>
      <c r="O62" s="177" t="str">
        <f t="shared" si="1"/>
        <v/>
      </c>
      <c r="P62" s="177" t="str">
        <f>IF(A62&gt;0,SUM(PASHEET!AM54,PASHEET!AU54),"")</f>
        <v/>
      </c>
      <c r="Q62" s="177" t="str">
        <f>IF(A62&gt;0,SUM(MARKS!G54,MARKS!AM54),"")</f>
        <v/>
      </c>
      <c r="R62" s="177" t="str">
        <f>IF(A62&gt;0,SUM(MARKS!O54,MARKS!AU54),"")</f>
        <v/>
      </c>
      <c r="S62" s="177" t="str">
        <f>IF(A62&gt;0,SUM(MARKS!W54,MARKS!BC54),"")</f>
        <v/>
      </c>
      <c r="T62" s="177" t="str">
        <f>IF(A62&gt;0,SUM(MARKS!AE54,MARKS!BK54),"")</f>
        <v/>
      </c>
      <c r="U62" s="177" t="str">
        <f t="shared" si="2"/>
        <v/>
      </c>
      <c r="V62" s="177" t="str">
        <f t="shared" si="3"/>
        <v/>
      </c>
      <c r="W62" s="177" t="str">
        <f>IF(A62&gt;0,SUM(PASHEET!AN54,PASHEET!AV54),"")</f>
        <v/>
      </c>
      <c r="X62" s="177" t="str">
        <f>IF(A62&gt;0,SUM(MARKS!H54,MARKS!AN54),"")</f>
        <v/>
      </c>
      <c r="Y62" s="177" t="str">
        <f>IF(A62&gt;0,SUM(MARKS!P54,MARKS!AV54),"")</f>
        <v/>
      </c>
      <c r="Z62" s="177" t="str">
        <f>IF(A62&gt;0,SUM(MARKS!X54,MARKS!BD54),"")</f>
        <v/>
      </c>
      <c r="AA62" s="177" t="str">
        <f>IF(A62&gt;0,SUM(MARKS!AF54,MARKS!BL54),"")</f>
        <v/>
      </c>
      <c r="AB62" s="177" t="str">
        <f t="shared" si="4"/>
        <v/>
      </c>
      <c r="AC62" s="177" t="str">
        <f t="shared" si="5"/>
        <v/>
      </c>
      <c r="AD62" s="177" t="str">
        <f>IF(A62&gt;0,SUM(PASHEET!AO54,PASHEET!AW54),"")</f>
        <v/>
      </c>
      <c r="AE62" s="177" t="str">
        <f>IF(A62&gt;0,SUM(MARKS!I54,MARKS!AO54),"")</f>
        <v/>
      </c>
      <c r="AF62" s="177" t="str">
        <f>IF(A62&gt;0,SUM(MARKS!Q54,MARKS!AW54),"")</f>
        <v/>
      </c>
      <c r="AG62" s="177" t="str">
        <f>IF(A62&gt;0,SUM(MARKS!Y54,MARKS!BE54),"")</f>
        <v/>
      </c>
      <c r="AH62" s="177" t="str">
        <f>IF(A62&gt;0,SUM(MARKS!AG54,MARKS!BM54),"")</f>
        <v/>
      </c>
      <c r="AI62" s="177" t="str">
        <f t="shared" si="6"/>
        <v/>
      </c>
      <c r="AJ62" s="177" t="str">
        <f t="shared" si="7"/>
        <v/>
      </c>
      <c r="AK62" s="177" t="str">
        <f>IF(A62&gt;0,SUM(PASHEET!AP54,PASHEET!AX54),"")</f>
        <v/>
      </c>
      <c r="AL62" s="177" t="str">
        <f>IF(A62&gt;0,SUM(MARKS!J54,MARKS!AP54),"")</f>
        <v/>
      </c>
      <c r="AM62" s="177" t="str">
        <f>IF(A62&gt;0,SUM(MARKS!R54,MARKS!AX54),"")</f>
        <v/>
      </c>
      <c r="AN62" s="177" t="str">
        <f>IF(A62&gt;0,SUM(MARKS!Z54,MARKS!BF54),"")</f>
        <v/>
      </c>
      <c r="AO62" s="177" t="str">
        <f>IF(A62&gt;0,SUM(MARKS!AH54,MARKS!BN54),"")</f>
        <v/>
      </c>
      <c r="AP62" s="177" t="str">
        <f t="shared" si="8"/>
        <v/>
      </c>
      <c r="AQ62" s="177" t="str">
        <f t="shared" si="9"/>
        <v/>
      </c>
      <c r="AR62" s="177" t="str">
        <f>IF(A62&gt;0,SUM(PASHEET!AQ54,PASHEET!AY54),"")</f>
        <v/>
      </c>
      <c r="AS62" s="177" t="str">
        <f>IF(A62&gt;0,SUM(MARKS!K54,MARKS!AQ54),"")</f>
        <v/>
      </c>
      <c r="AT62" s="177" t="str">
        <f>IF(A62&gt;0,SUM(MARKS!S54,MARKS!AY54),"")</f>
        <v/>
      </c>
      <c r="AU62" s="177" t="str">
        <f>IF(A62&gt;0,SUM(MARKS!AA54,MARKS!BG54),"")</f>
        <v/>
      </c>
      <c r="AV62" s="177" t="str">
        <f>IF(A62&gt;0,SUM(MARKS!AI54,MARKS!BO54),"")</f>
        <v/>
      </c>
      <c r="AW62" s="177" t="str">
        <f t="shared" si="10"/>
        <v/>
      </c>
      <c r="AX62" s="177" t="str">
        <f t="shared" si="11"/>
        <v/>
      </c>
      <c r="AY62" s="47" t="str">
        <f t="shared" si="12"/>
        <v/>
      </c>
      <c r="AZ62" s="70" t="str">
        <f t="shared" si="13"/>
        <v/>
      </c>
      <c r="BA62" s="177" t="str">
        <f t="shared" si="14"/>
        <v/>
      </c>
      <c r="BB62" s="47" t="str">
        <f>IF(A62&gt;0,FLN!I54,"")</f>
        <v/>
      </c>
      <c r="BC62" s="47" t="str">
        <f>IF(A62&gt;0,FLN!J54,"")</f>
        <v/>
      </c>
      <c r="BD62" s="47" t="str">
        <f>IF(A62&gt;0,FLN!K54,"")</f>
        <v/>
      </c>
      <c r="BE62" s="47" t="str">
        <f t="shared" si="15"/>
        <v/>
      </c>
      <c r="BF62" s="130" t="str">
        <f>IF(AY62="","",IFERROR(RANK(AY62,$AY$12:$AY$111,0)+COUNTIFS($AY$12:AY62,AY62)-1,0))</f>
        <v/>
      </c>
      <c r="BG62" s="130" t="str">
        <f t="shared" si="16"/>
        <v/>
      </c>
    </row>
    <row r="63" s="98" customFormat="1" ht="27" customHeight="1" spans="1:59">
      <c r="A63" s="47">
        <f>IF(A62=0,0,IF(A62&lt;ENTRY!$D$24,A62+1,0))</f>
        <v>0</v>
      </c>
      <c r="B63" s="47" t="str">
        <f>IF(A63&gt;0,STUDENT!F53,"")</f>
        <v/>
      </c>
      <c r="C63" s="176" t="str">
        <f>IF(A63&gt;0,UPPER(STUDENT!E53),"")</f>
        <v/>
      </c>
      <c r="D63" s="176" t="str">
        <f>IF(A63&gt;0,UPPER(STUDENT!H53),"")</f>
        <v/>
      </c>
      <c r="E63" s="47" t="str">
        <f>IF(A63&gt;0,UPPER(STUDENT!BP53),"")</f>
        <v/>
      </c>
      <c r="F63" s="47" t="str">
        <f>IF(A63&gt;0,UPPER(STUDENT!BO53),"")</f>
        <v/>
      </c>
      <c r="G63" s="47" t="str">
        <f>IF(A63&gt;0,UPPER(STUDENT!Q53),"")</f>
        <v/>
      </c>
      <c r="H63" s="69" t="str">
        <f>IF(A63&gt;0,PASHEET!CI55/PASHEET!CJ55*100,"")</f>
        <v/>
      </c>
      <c r="I63" s="177" t="str">
        <f>IF(A63&gt;0,SUM(PASHEET!AL55,PASHEET!AT55),"")</f>
        <v/>
      </c>
      <c r="J63" s="177" t="str">
        <f>IF(A63&gt;0,SUM(MARKS!F55,MARKS!AL55),"")</f>
        <v/>
      </c>
      <c r="K63" s="177" t="str">
        <f>IF(A63&gt;0,SUM(MARKS!N55,MARKS!AT55),"")</f>
        <v/>
      </c>
      <c r="L63" s="177" t="str">
        <f>IF(A63&gt;0,SUM(MARKS!V55,MARKS!BB55),"")</f>
        <v/>
      </c>
      <c r="M63" s="177" t="str">
        <f>IF(A63&gt;0,SUM(MARKS!AD55,MARKS!BJ55),"")</f>
        <v/>
      </c>
      <c r="N63" s="177" t="str">
        <f t="shared" si="0"/>
        <v/>
      </c>
      <c r="O63" s="177" t="str">
        <f t="shared" si="1"/>
        <v/>
      </c>
      <c r="P63" s="177" t="str">
        <f>IF(A63&gt;0,SUM(PASHEET!AM55,PASHEET!AU55),"")</f>
        <v/>
      </c>
      <c r="Q63" s="177" t="str">
        <f>IF(A63&gt;0,SUM(MARKS!G55,MARKS!AM55),"")</f>
        <v/>
      </c>
      <c r="R63" s="177" t="str">
        <f>IF(A63&gt;0,SUM(MARKS!O55,MARKS!AU55),"")</f>
        <v/>
      </c>
      <c r="S63" s="177" t="str">
        <f>IF(A63&gt;0,SUM(MARKS!W55,MARKS!BC55),"")</f>
        <v/>
      </c>
      <c r="T63" s="177" t="str">
        <f>IF(A63&gt;0,SUM(MARKS!AE55,MARKS!BK55),"")</f>
        <v/>
      </c>
      <c r="U63" s="177" t="str">
        <f t="shared" si="2"/>
        <v/>
      </c>
      <c r="V63" s="177" t="str">
        <f t="shared" si="3"/>
        <v/>
      </c>
      <c r="W63" s="177" t="str">
        <f>IF(A63&gt;0,SUM(PASHEET!AN55,PASHEET!AV55),"")</f>
        <v/>
      </c>
      <c r="X63" s="177" t="str">
        <f>IF(A63&gt;0,SUM(MARKS!H55,MARKS!AN55),"")</f>
        <v/>
      </c>
      <c r="Y63" s="177" t="str">
        <f>IF(A63&gt;0,SUM(MARKS!P55,MARKS!AV55),"")</f>
        <v/>
      </c>
      <c r="Z63" s="177" t="str">
        <f>IF(A63&gt;0,SUM(MARKS!X55,MARKS!BD55),"")</f>
        <v/>
      </c>
      <c r="AA63" s="177" t="str">
        <f>IF(A63&gt;0,SUM(MARKS!AF55,MARKS!BL55),"")</f>
        <v/>
      </c>
      <c r="AB63" s="177" t="str">
        <f t="shared" si="4"/>
        <v/>
      </c>
      <c r="AC63" s="177" t="str">
        <f t="shared" si="5"/>
        <v/>
      </c>
      <c r="AD63" s="177" t="str">
        <f>IF(A63&gt;0,SUM(PASHEET!AO55,PASHEET!AW55),"")</f>
        <v/>
      </c>
      <c r="AE63" s="177" t="str">
        <f>IF(A63&gt;0,SUM(MARKS!I55,MARKS!AO55),"")</f>
        <v/>
      </c>
      <c r="AF63" s="177" t="str">
        <f>IF(A63&gt;0,SUM(MARKS!Q55,MARKS!AW55),"")</f>
        <v/>
      </c>
      <c r="AG63" s="177" t="str">
        <f>IF(A63&gt;0,SUM(MARKS!Y55,MARKS!BE55),"")</f>
        <v/>
      </c>
      <c r="AH63" s="177" t="str">
        <f>IF(A63&gt;0,SUM(MARKS!AG55,MARKS!BM55),"")</f>
        <v/>
      </c>
      <c r="AI63" s="177" t="str">
        <f t="shared" si="6"/>
        <v/>
      </c>
      <c r="AJ63" s="177" t="str">
        <f t="shared" si="7"/>
        <v/>
      </c>
      <c r="AK63" s="177" t="str">
        <f>IF(A63&gt;0,SUM(PASHEET!AP55,PASHEET!AX55),"")</f>
        <v/>
      </c>
      <c r="AL63" s="177" t="str">
        <f>IF(A63&gt;0,SUM(MARKS!J55,MARKS!AP55),"")</f>
        <v/>
      </c>
      <c r="AM63" s="177" t="str">
        <f>IF(A63&gt;0,SUM(MARKS!R55,MARKS!AX55),"")</f>
        <v/>
      </c>
      <c r="AN63" s="177" t="str">
        <f>IF(A63&gt;0,SUM(MARKS!Z55,MARKS!BF55),"")</f>
        <v/>
      </c>
      <c r="AO63" s="177" t="str">
        <f>IF(A63&gt;0,SUM(MARKS!AH55,MARKS!BN55),"")</f>
        <v/>
      </c>
      <c r="AP63" s="177" t="str">
        <f t="shared" si="8"/>
        <v/>
      </c>
      <c r="AQ63" s="177" t="str">
        <f t="shared" si="9"/>
        <v/>
      </c>
      <c r="AR63" s="177" t="str">
        <f>IF(A63&gt;0,SUM(PASHEET!AQ55,PASHEET!AY55),"")</f>
        <v/>
      </c>
      <c r="AS63" s="177" t="str">
        <f>IF(A63&gt;0,SUM(MARKS!K55,MARKS!AQ55),"")</f>
        <v/>
      </c>
      <c r="AT63" s="177" t="str">
        <f>IF(A63&gt;0,SUM(MARKS!S55,MARKS!AY55),"")</f>
        <v/>
      </c>
      <c r="AU63" s="177" t="str">
        <f>IF(A63&gt;0,SUM(MARKS!AA55,MARKS!BG55),"")</f>
        <v/>
      </c>
      <c r="AV63" s="177" t="str">
        <f>IF(A63&gt;0,SUM(MARKS!AI55,MARKS!BO55),"")</f>
        <v/>
      </c>
      <c r="AW63" s="177" t="str">
        <f t="shared" si="10"/>
        <v/>
      </c>
      <c r="AX63" s="177" t="str">
        <f t="shared" si="11"/>
        <v/>
      </c>
      <c r="AY63" s="47" t="str">
        <f t="shared" si="12"/>
        <v/>
      </c>
      <c r="AZ63" s="70" t="str">
        <f t="shared" si="13"/>
        <v/>
      </c>
      <c r="BA63" s="177" t="str">
        <f t="shared" si="14"/>
        <v/>
      </c>
      <c r="BB63" s="47" t="str">
        <f>IF(A63&gt;0,FLN!I55,"")</f>
        <v/>
      </c>
      <c r="BC63" s="47" t="str">
        <f>IF(A63&gt;0,FLN!J55,"")</f>
        <v/>
      </c>
      <c r="BD63" s="47" t="str">
        <f>IF(A63&gt;0,FLN!K55,"")</f>
        <v/>
      </c>
      <c r="BE63" s="47" t="str">
        <f t="shared" si="15"/>
        <v/>
      </c>
      <c r="BF63" s="130" t="str">
        <f>IF(AY63="","",IFERROR(RANK(AY63,$AY$12:$AY$111,0)+COUNTIFS($AY$12:AY63,AY63)-1,0))</f>
        <v/>
      </c>
      <c r="BG63" s="130" t="str">
        <f t="shared" si="16"/>
        <v/>
      </c>
    </row>
    <row r="64" s="98" customFormat="1" ht="27" customHeight="1" spans="1:59">
      <c r="A64" s="47">
        <f>IF(A63=0,0,IF(A63&lt;ENTRY!$D$24,A63+1,0))</f>
        <v>0</v>
      </c>
      <c r="B64" s="47" t="str">
        <f>IF(A64&gt;0,STUDENT!F54,"")</f>
        <v/>
      </c>
      <c r="C64" s="176" t="str">
        <f>IF(A64&gt;0,UPPER(STUDENT!E54),"")</f>
        <v/>
      </c>
      <c r="D64" s="176" t="str">
        <f>IF(A64&gt;0,UPPER(STUDENT!H54),"")</f>
        <v/>
      </c>
      <c r="E64" s="47" t="str">
        <f>IF(A64&gt;0,UPPER(STUDENT!BP54),"")</f>
        <v/>
      </c>
      <c r="F64" s="47" t="str">
        <f>IF(A64&gt;0,UPPER(STUDENT!BO54),"")</f>
        <v/>
      </c>
      <c r="G64" s="47" t="str">
        <f>IF(A64&gt;0,UPPER(STUDENT!Q54),"")</f>
        <v/>
      </c>
      <c r="H64" s="69" t="str">
        <f>IF(A64&gt;0,PASHEET!CI56/PASHEET!CJ56*100,"")</f>
        <v/>
      </c>
      <c r="I64" s="177" t="str">
        <f>IF(A64&gt;0,SUM(PASHEET!AL56,PASHEET!AT56),"")</f>
        <v/>
      </c>
      <c r="J64" s="177" t="str">
        <f>IF(A64&gt;0,SUM(MARKS!F56,MARKS!AL56),"")</f>
        <v/>
      </c>
      <c r="K64" s="177" t="str">
        <f>IF(A64&gt;0,SUM(MARKS!N56,MARKS!AT56),"")</f>
        <v/>
      </c>
      <c r="L64" s="177" t="str">
        <f>IF(A64&gt;0,SUM(MARKS!V56,MARKS!BB56),"")</f>
        <v/>
      </c>
      <c r="M64" s="177" t="str">
        <f>IF(A64&gt;0,SUM(MARKS!AD56,MARKS!BJ56),"")</f>
        <v/>
      </c>
      <c r="N64" s="177" t="str">
        <f t="shared" si="0"/>
        <v/>
      </c>
      <c r="O64" s="177" t="str">
        <f t="shared" si="1"/>
        <v/>
      </c>
      <c r="P64" s="177" t="str">
        <f>IF(A64&gt;0,SUM(PASHEET!AM56,PASHEET!AU56),"")</f>
        <v/>
      </c>
      <c r="Q64" s="177" t="str">
        <f>IF(A64&gt;0,SUM(MARKS!G56,MARKS!AM56),"")</f>
        <v/>
      </c>
      <c r="R64" s="177" t="str">
        <f>IF(A64&gt;0,SUM(MARKS!O56,MARKS!AU56),"")</f>
        <v/>
      </c>
      <c r="S64" s="177" t="str">
        <f>IF(A64&gt;0,SUM(MARKS!W56,MARKS!BC56),"")</f>
        <v/>
      </c>
      <c r="T64" s="177" t="str">
        <f>IF(A64&gt;0,SUM(MARKS!AE56,MARKS!BK56),"")</f>
        <v/>
      </c>
      <c r="U64" s="177" t="str">
        <f t="shared" si="2"/>
        <v/>
      </c>
      <c r="V64" s="177" t="str">
        <f t="shared" si="3"/>
        <v/>
      </c>
      <c r="W64" s="177" t="str">
        <f>IF(A64&gt;0,SUM(PASHEET!AN56,PASHEET!AV56),"")</f>
        <v/>
      </c>
      <c r="X64" s="177" t="str">
        <f>IF(A64&gt;0,SUM(MARKS!H56,MARKS!AN56),"")</f>
        <v/>
      </c>
      <c r="Y64" s="177" t="str">
        <f>IF(A64&gt;0,SUM(MARKS!P56,MARKS!AV56),"")</f>
        <v/>
      </c>
      <c r="Z64" s="177" t="str">
        <f>IF(A64&gt;0,SUM(MARKS!X56,MARKS!BD56),"")</f>
        <v/>
      </c>
      <c r="AA64" s="177" t="str">
        <f>IF(A64&gt;0,SUM(MARKS!AF56,MARKS!BL56),"")</f>
        <v/>
      </c>
      <c r="AB64" s="177" t="str">
        <f t="shared" si="4"/>
        <v/>
      </c>
      <c r="AC64" s="177" t="str">
        <f t="shared" si="5"/>
        <v/>
      </c>
      <c r="AD64" s="177" t="str">
        <f>IF(A64&gt;0,SUM(PASHEET!AO56,PASHEET!AW56),"")</f>
        <v/>
      </c>
      <c r="AE64" s="177" t="str">
        <f>IF(A64&gt;0,SUM(MARKS!I56,MARKS!AO56),"")</f>
        <v/>
      </c>
      <c r="AF64" s="177" t="str">
        <f>IF(A64&gt;0,SUM(MARKS!Q56,MARKS!AW56),"")</f>
        <v/>
      </c>
      <c r="AG64" s="177" t="str">
        <f>IF(A64&gt;0,SUM(MARKS!Y56,MARKS!BE56),"")</f>
        <v/>
      </c>
      <c r="AH64" s="177" t="str">
        <f>IF(A64&gt;0,SUM(MARKS!AG56,MARKS!BM56),"")</f>
        <v/>
      </c>
      <c r="AI64" s="177" t="str">
        <f t="shared" si="6"/>
        <v/>
      </c>
      <c r="AJ64" s="177" t="str">
        <f t="shared" si="7"/>
        <v/>
      </c>
      <c r="AK64" s="177" t="str">
        <f>IF(A64&gt;0,SUM(PASHEET!AP56,PASHEET!AX56),"")</f>
        <v/>
      </c>
      <c r="AL64" s="177" t="str">
        <f>IF(A64&gt;0,SUM(MARKS!J56,MARKS!AP56),"")</f>
        <v/>
      </c>
      <c r="AM64" s="177" t="str">
        <f>IF(A64&gt;0,SUM(MARKS!R56,MARKS!AX56),"")</f>
        <v/>
      </c>
      <c r="AN64" s="177" t="str">
        <f>IF(A64&gt;0,SUM(MARKS!Z56,MARKS!BF56),"")</f>
        <v/>
      </c>
      <c r="AO64" s="177" t="str">
        <f>IF(A64&gt;0,SUM(MARKS!AH56,MARKS!BN56),"")</f>
        <v/>
      </c>
      <c r="AP64" s="177" t="str">
        <f t="shared" si="8"/>
        <v/>
      </c>
      <c r="AQ64" s="177" t="str">
        <f t="shared" si="9"/>
        <v/>
      </c>
      <c r="AR64" s="177" t="str">
        <f>IF(A64&gt;0,SUM(PASHEET!AQ56,PASHEET!AY56),"")</f>
        <v/>
      </c>
      <c r="AS64" s="177" t="str">
        <f>IF(A64&gt;0,SUM(MARKS!K56,MARKS!AQ56),"")</f>
        <v/>
      </c>
      <c r="AT64" s="177" t="str">
        <f>IF(A64&gt;0,SUM(MARKS!S56,MARKS!AY56),"")</f>
        <v/>
      </c>
      <c r="AU64" s="177" t="str">
        <f>IF(A64&gt;0,SUM(MARKS!AA56,MARKS!BG56),"")</f>
        <v/>
      </c>
      <c r="AV64" s="177" t="str">
        <f>IF(A64&gt;0,SUM(MARKS!AI56,MARKS!BO56),"")</f>
        <v/>
      </c>
      <c r="AW64" s="177" t="str">
        <f t="shared" si="10"/>
        <v/>
      </c>
      <c r="AX64" s="177" t="str">
        <f t="shared" si="11"/>
        <v/>
      </c>
      <c r="AY64" s="47" t="str">
        <f t="shared" si="12"/>
        <v/>
      </c>
      <c r="AZ64" s="70" t="str">
        <f t="shared" si="13"/>
        <v/>
      </c>
      <c r="BA64" s="177" t="str">
        <f t="shared" si="14"/>
        <v/>
      </c>
      <c r="BB64" s="47" t="str">
        <f>IF(A64&gt;0,FLN!I56,"")</f>
        <v/>
      </c>
      <c r="BC64" s="47" t="str">
        <f>IF(A64&gt;0,FLN!J56,"")</f>
        <v/>
      </c>
      <c r="BD64" s="47" t="str">
        <f>IF(A64&gt;0,FLN!K56,"")</f>
        <v/>
      </c>
      <c r="BE64" s="47" t="str">
        <f t="shared" si="15"/>
        <v/>
      </c>
      <c r="BF64" s="130" t="str">
        <f>IF(AY64="","",IFERROR(RANK(AY64,$AY$12:$AY$111,0)+COUNTIFS($AY$12:AY64,AY64)-1,0))</f>
        <v/>
      </c>
      <c r="BG64" s="130" t="str">
        <f t="shared" si="16"/>
        <v/>
      </c>
    </row>
    <row r="65" s="98" customFormat="1" ht="27" customHeight="1" spans="1:59">
      <c r="A65" s="47">
        <f>IF(A64=0,0,IF(A64&lt;ENTRY!$D$24,A64+1,0))</f>
        <v>0</v>
      </c>
      <c r="B65" s="47" t="str">
        <f>IF(A65&gt;0,STUDENT!F55,"")</f>
        <v/>
      </c>
      <c r="C65" s="176" t="str">
        <f>IF(A65&gt;0,UPPER(STUDENT!E55),"")</f>
        <v/>
      </c>
      <c r="D65" s="176" t="str">
        <f>IF(A65&gt;0,UPPER(STUDENT!H55),"")</f>
        <v/>
      </c>
      <c r="E65" s="47" t="str">
        <f>IF(A65&gt;0,UPPER(STUDENT!BP55),"")</f>
        <v/>
      </c>
      <c r="F65" s="47" t="str">
        <f>IF(A65&gt;0,UPPER(STUDENT!BO55),"")</f>
        <v/>
      </c>
      <c r="G65" s="47" t="str">
        <f>IF(A65&gt;0,UPPER(STUDENT!Q55),"")</f>
        <v/>
      </c>
      <c r="H65" s="69" t="str">
        <f>IF(A65&gt;0,PASHEET!CI57/PASHEET!CJ57*100,"")</f>
        <v/>
      </c>
      <c r="I65" s="177" t="str">
        <f>IF(A65&gt;0,SUM(PASHEET!AL57,PASHEET!AT57),"")</f>
        <v/>
      </c>
      <c r="J65" s="177" t="str">
        <f>IF(A65&gt;0,SUM(MARKS!F57,MARKS!AL57),"")</f>
        <v/>
      </c>
      <c r="K65" s="177" t="str">
        <f>IF(A65&gt;0,SUM(MARKS!N57,MARKS!AT57),"")</f>
        <v/>
      </c>
      <c r="L65" s="177" t="str">
        <f>IF(A65&gt;0,SUM(MARKS!V57,MARKS!BB57),"")</f>
        <v/>
      </c>
      <c r="M65" s="177" t="str">
        <f>IF(A65&gt;0,SUM(MARKS!AD57,MARKS!BJ57),"")</f>
        <v/>
      </c>
      <c r="N65" s="177" t="str">
        <f t="shared" si="0"/>
        <v/>
      </c>
      <c r="O65" s="177" t="str">
        <f t="shared" si="1"/>
        <v/>
      </c>
      <c r="P65" s="177" t="str">
        <f>IF(A65&gt;0,SUM(PASHEET!AM57,PASHEET!AU57),"")</f>
        <v/>
      </c>
      <c r="Q65" s="177" t="str">
        <f>IF(A65&gt;0,SUM(MARKS!G57,MARKS!AM57),"")</f>
        <v/>
      </c>
      <c r="R65" s="177" t="str">
        <f>IF(A65&gt;0,SUM(MARKS!O57,MARKS!AU57),"")</f>
        <v/>
      </c>
      <c r="S65" s="177" t="str">
        <f>IF(A65&gt;0,SUM(MARKS!W57,MARKS!BC57),"")</f>
        <v/>
      </c>
      <c r="T65" s="177" t="str">
        <f>IF(A65&gt;0,SUM(MARKS!AE57,MARKS!BK57),"")</f>
        <v/>
      </c>
      <c r="U65" s="177" t="str">
        <f t="shared" si="2"/>
        <v/>
      </c>
      <c r="V65" s="177" t="str">
        <f t="shared" si="3"/>
        <v/>
      </c>
      <c r="W65" s="177" t="str">
        <f>IF(A65&gt;0,SUM(PASHEET!AN57,PASHEET!AV57),"")</f>
        <v/>
      </c>
      <c r="X65" s="177" t="str">
        <f>IF(A65&gt;0,SUM(MARKS!H57,MARKS!AN57),"")</f>
        <v/>
      </c>
      <c r="Y65" s="177" t="str">
        <f>IF(A65&gt;0,SUM(MARKS!P57,MARKS!AV57),"")</f>
        <v/>
      </c>
      <c r="Z65" s="177" t="str">
        <f>IF(A65&gt;0,SUM(MARKS!X57,MARKS!BD57),"")</f>
        <v/>
      </c>
      <c r="AA65" s="177" t="str">
        <f>IF(A65&gt;0,SUM(MARKS!AF57,MARKS!BL57),"")</f>
        <v/>
      </c>
      <c r="AB65" s="177" t="str">
        <f t="shared" si="4"/>
        <v/>
      </c>
      <c r="AC65" s="177" t="str">
        <f t="shared" si="5"/>
        <v/>
      </c>
      <c r="AD65" s="177" t="str">
        <f>IF(A65&gt;0,SUM(PASHEET!AO57,PASHEET!AW57),"")</f>
        <v/>
      </c>
      <c r="AE65" s="177" t="str">
        <f>IF(A65&gt;0,SUM(MARKS!I57,MARKS!AO57),"")</f>
        <v/>
      </c>
      <c r="AF65" s="177" t="str">
        <f>IF(A65&gt;0,SUM(MARKS!Q57,MARKS!AW57),"")</f>
        <v/>
      </c>
      <c r="AG65" s="177" t="str">
        <f>IF(A65&gt;0,SUM(MARKS!Y57,MARKS!BE57),"")</f>
        <v/>
      </c>
      <c r="AH65" s="177" t="str">
        <f>IF(A65&gt;0,SUM(MARKS!AG57,MARKS!BM57),"")</f>
        <v/>
      </c>
      <c r="AI65" s="177" t="str">
        <f t="shared" si="6"/>
        <v/>
      </c>
      <c r="AJ65" s="177" t="str">
        <f t="shared" si="7"/>
        <v/>
      </c>
      <c r="AK65" s="177" t="str">
        <f>IF(A65&gt;0,SUM(PASHEET!AP57,PASHEET!AX57),"")</f>
        <v/>
      </c>
      <c r="AL65" s="177" t="str">
        <f>IF(A65&gt;0,SUM(MARKS!J57,MARKS!AP57),"")</f>
        <v/>
      </c>
      <c r="AM65" s="177" t="str">
        <f>IF(A65&gt;0,SUM(MARKS!R57,MARKS!AX57),"")</f>
        <v/>
      </c>
      <c r="AN65" s="177" t="str">
        <f>IF(A65&gt;0,SUM(MARKS!Z57,MARKS!BF57),"")</f>
        <v/>
      </c>
      <c r="AO65" s="177" t="str">
        <f>IF(A65&gt;0,SUM(MARKS!AH57,MARKS!BN57),"")</f>
        <v/>
      </c>
      <c r="AP65" s="177" t="str">
        <f t="shared" si="8"/>
        <v/>
      </c>
      <c r="AQ65" s="177" t="str">
        <f t="shared" si="9"/>
        <v/>
      </c>
      <c r="AR65" s="177" t="str">
        <f>IF(A65&gt;0,SUM(PASHEET!AQ57,PASHEET!AY57),"")</f>
        <v/>
      </c>
      <c r="AS65" s="177" t="str">
        <f>IF(A65&gt;0,SUM(MARKS!K57,MARKS!AQ57),"")</f>
        <v/>
      </c>
      <c r="AT65" s="177" t="str">
        <f>IF(A65&gt;0,SUM(MARKS!S57,MARKS!AY57),"")</f>
        <v/>
      </c>
      <c r="AU65" s="177" t="str">
        <f>IF(A65&gt;0,SUM(MARKS!AA57,MARKS!BG57),"")</f>
        <v/>
      </c>
      <c r="AV65" s="177" t="str">
        <f>IF(A65&gt;0,SUM(MARKS!AI57,MARKS!BO57),"")</f>
        <v/>
      </c>
      <c r="AW65" s="177" t="str">
        <f t="shared" si="10"/>
        <v/>
      </c>
      <c r="AX65" s="177" t="str">
        <f t="shared" si="11"/>
        <v/>
      </c>
      <c r="AY65" s="47" t="str">
        <f t="shared" si="12"/>
        <v/>
      </c>
      <c r="AZ65" s="70" t="str">
        <f t="shared" si="13"/>
        <v/>
      </c>
      <c r="BA65" s="177" t="str">
        <f t="shared" si="14"/>
        <v/>
      </c>
      <c r="BB65" s="47" t="str">
        <f>IF(A65&gt;0,FLN!I57,"")</f>
        <v/>
      </c>
      <c r="BC65" s="47" t="str">
        <f>IF(A65&gt;0,FLN!J57,"")</f>
        <v/>
      </c>
      <c r="BD65" s="47" t="str">
        <f>IF(A65&gt;0,FLN!K57,"")</f>
        <v/>
      </c>
      <c r="BE65" s="47" t="str">
        <f t="shared" si="15"/>
        <v/>
      </c>
      <c r="BF65" s="130" t="str">
        <f>IF(AY65="","",IFERROR(RANK(AY65,$AY$12:$AY$111,0)+COUNTIFS($AY$12:AY65,AY65)-1,0))</f>
        <v/>
      </c>
      <c r="BG65" s="130" t="str">
        <f t="shared" si="16"/>
        <v/>
      </c>
    </row>
    <row r="66" s="98" customFormat="1" ht="27" customHeight="1" spans="1:59">
      <c r="A66" s="47">
        <f>IF(A65=0,0,IF(A65&lt;ENTRY!$D$24,A65+1,0))</f>
        <v>0</v>
      </c>
      <c r="B66" s="47" t="str">
        <f>IF(A66&gt;0,STUDENT!F56,"")</f>
        <v/>
      </c>
      <c r="C66" s="176" t="str">
        <f>IF(A66&gt;0,UPPER(STUDENT!E56),"")</f>
        <v/>
      </c>
      <c r="D66" s="176" t="str">
        <f>IF(A66&gt;0,UPPER(STUDENT!H56),"")</f>
        <v/>
      </c>
      <c r="E66" s="47" t="str">
        <f>IF(A66&gt;0,UPPER(STUDENT!BP56),"")</f>
        <v/>
      </c>
      <c r="F66" s="47" t="str">
        <f>IF(A66&gt;0,UPPER(STUDENT!BO56),"")</f>
        <v/>
      </c>
      <c r="G66" s="47" t="str">
        <f>IF(A66&gt;0,UPPER(STUDENT!Q56),"")</f>
        <v/>
      </c>
      <c r="H66" s="69" t="str">
        <f>IF(A66&gt;0,PASHEET!CI58/PASHEET!CJ58*100,"")</f>
        <v/>
      </c>
      <c r="I66" s="177" t="str">
        <f>IF(A66&gt;0,SUM(PASHEET!AL58,PASHEET!AT58),"")</f>
        <v/>
      </c>
      <c r="J66" s="177" t="str">
        <f>IF(A66&gt;0,SUM(MARKS!F58,MARKS!AL58),"")</f>
        <v/>
      </c>
      <c r="K66" s="177" t="str">
        <f>IF(A66&gt;0,SUM(MARKS!N58,MARKS!AT58),"")</f>
        <v/>
      </c>
      <c r="L66" s="177" t="str">
        <f>IF(A66&gt;0,SUM(MARKS!V58,MARKS!BB58),"")</f>
        <v/>
      </c>
      <c r="M66" s="177" t="str">
        <f>IF(A66&gt;0,SUM(MARKS!AD58,MARKS!BJ58),"")</f>
        <v/>
      </c>
      <c r="N66" s="177" t="str">
        <f t="shared" si="0"/>
        <v/>
      </c>
      <c r="O66" s="177" t="str">
        <f t="shared" si="1"/>
        <v/>
      </c>
      <c r="P66" s="177" t="str">
        <f>IF(A66&gt;0,SUM(PASHEET!AM58,PASHEET!AU58),"")</f>
        <v/>
      </c>
      <c r="Q66" s="177" t="str">
        <f>IF(A66&gt;0,SUM(MARKS!G58,MARKS!AM58),"")</f>
        <v/>
      </c>
      <c r="R66" s="177" t="str">
        <f>IF(A66&gt;0,SUM(MARKS!O58,MARKS!AU58),"")</f>
        <v/>
      </c>
      <c r="S66" s="177" t="str">
        <f>IF(A66&gt;0,SUM(MARKS!W58,MARKS!BC58),"")</f>
        <v/>
      </c>
      <c r="T66" s="177" t="str">
        <f>IF(A66&gt;0,SUM(MARKS!AE58,MARKS!BK58),"")</f>
        <v/>
      </c>
      <c r="U66" s="177" t="str">
        <f t="shared" si="2"/>
        <v/>
      </c>
      <c r="V66" s="177" t="str">
        <f t="shared" si="3"/>
        <v/>
      </c>
      <c r="W66" s="177" t="str">
        <f>IF(A66&gt;0,SUM(PASHEET!AN58,PASHEET!AV58),"")</f>
        <v/>
      </c>
      <c r="X66" s="177" t="str">
        <f>IF(A66&gt;0,SUM(MARKS!H58,MARKS!AN58),"")</f>
        <v/>
      </c>
      <c r="Y66" s="177" t="str">
        <f>IF(A66&gt;0,SUM(MARKS!P58,MARKS!AV58),"")</f>
        <v/>
      </c>
      <c r="Z66" s="177" t="str">
        <f>IF(A66&gt;0,SUM(MARKS!X58,MARKS!BD58),"")</f>
        <v/>
      </c>
      <c r="AA66" s="177" t="str">
        <f>IF(A66&gt;0,SUM(MARKS!AF58,MARKS!BL58),"")</f>
        <v/>
      </c>
      <c r="AB66" s="177" t="str">
        <f t="shared" si="4"/>
        <v/>
      </c>
      <c r="AC66" s="177" t="str">
        <f t="shared" si="5"/>
        <v/>
      </c>
      <c r="AD66" s="177" t="str">
        <f>IF(A66&gt;0,SUM(PASHEET!AO58,PASHEET!AW58),"")</f>
        <v/>
      </c>
      <c r="AE66" s="177" t="str">
        <f>IF(A66&gt;0,SUM(MARKS!I58,MARKS!AO58),"")</f>
        <v/>
      </c>
      <c r="AF66" s="177" t="str">
        <f>IF(A66&gt;0,SUM(MARKS!Q58,MARKS!AW58),"")</f>
        <v/>
      </c>
      <c r="AG66" s="177" t="str">
        <f>IF(A66&gt;0,SUM(MARKS!Y58,MARKS!BE58),"")</f>
        <v/>
      </c>
      <c r="AH66" s="177" t="str">
        <f>IF(A66&gt;0,SUM(MARKS!AG58,MARKS!BM58),"")</f>
        <v/>
      </c>
      <c r="AI66" s="177" t="str">
        <f t="shared" si="6"/>
        <v/>
      </c>
      <c r="AJ66" s="177" t="str">
        <f t="shared" si="7"/>
        <v/>
      </c>
      <c r="AK66" s="177" t="str">
        <f>IF(A66&gt;0,SUM(PASHEET!AP58,PASHEET!AX58),"")</f>
        <v/>
      </c>
      <c r="AL66" s="177" t="str">
        <f>IF(A66&gt;0,SUM(MARKS!J58,MARKS!AP58),"")</f>
        <v/>
      </c>
      <c r="AM66" s="177" t="str">
        <f>IF(A66&gt;0,SUM(MARKS!R58,MARKS!AX58),"")</f>
        <v/>
      </c>
      <c r="AN66" s="177" t="str">
        <f>IF(A66&gt;0,SUM(MARKS!Z58,MARKS!BF58),"")</f>
        <v/>
      </c>
      <c r="AO66" s="177" t="str">
        <f>IF(A66&gt;0,SUM(MARKS!AH58,MARKS!BN58),"")</f>
        <v/>
      </c>
      <c r="AP66" s="177" t="str">
        <f t="shared" si="8"/>
        <v/>
      </c>
      <c r="AQ66" s="177" t="str">
        <f t="shared" si="9"/>
        <v/>
      </c>
      <c r="AR66" s="177" t="str">
        <f>IF(A66&gt;0,SUM(PASHEET!AQ58,PASHEET!AY58),"")</f>
        <v/>
      </c>
      <c r="AS66" s="177" t="str">
        <f>IF(A66&gt;0,SUM(MARKS!K58,MARKS!AQ58),"")</f>
        <v/>
      </c>
      <c r="AT66" s="177" t="str">
        <f>IF(A66&gt;0,SUM(MARKS!S58,MARKS!AY58),"")</f>
        <v/>
      </c>
      <c r="AU66" s="177" t="str">
        <f>IF(A66&gt;0,SUM(MARKS!AA58,MARKS!BG58),"")</f>
        <v/>
      </c>
      <c r="AV66" s="177" t="str">
        <f>IF(A66&gt;0,SUM(MARKS!AI58,MARKS!BO58),"")</f>
        <v/>
      </c>
      <c r="AW66" s="177" t="str">
        <f t="shared" si="10"/>
        <v/>
      </c>
      <c r="AX66" s="177" t="str">
        <f t="shared" si="11"/>
        <v/>
      </c>
      <c r="AY66" s="47" t="str">
        <f t="shared" si="12"/>
        <v/>
      </c>
      <c r="AZ66" s="70" t="str">
        <f t="shared" si="13"/>
        <v/>
      </c>
      <c r="BA66" s="177" t="str">
        <f t="shared" si="14"/>
        <v/>
      </c>
      <c r="BB66" s="47" t="str">
        <f>IF(A66&gt;0,FLN!I58,"")</f>
        <v/>
      </c>
      <c r="BC66" s="47" t="str">
        <f>IF(A66&gt;0,FLN!J58,"")</f>
        <v/>
      </c>
      <c r="BD66" s="47" t="str">
        <f>IF(A66&gt;0,FLN!K58,"")</f>
        <v/>
      </c>
      <c r="BE66" s="47" t="str">
        <f t="shared" si="15"/>
        <v/>
      </c>
      <c r="BF66" s="130" t="str">
        <f>IF(AY66="","",IFERROR(RANK(AY66,$AY$12:$AY$111,0)+COUNTIFS($AY$12:AY66,AY66)-1,0))</f>
        <v/>
      </c>
      <c r="BG66" s="130" t="str">
        <f t="shared" si="16"/>
        <v/>
      </c>
    </row>
    <row r="67" s="98" customFormat="1" ht="27" customHeight="1" spans="1:59">
      <c r="A67" s="47">
        <f>IF(A66=0,0,IF(A66&lt;ENTRY!$D$24,A66+1,0))</f>
        <v>0</v>
      </c>
      <c r="B67" s="47" t="str">
        <f>IF(A67&gt;0,STUDENT!F57,"")</f>
        <v/>
      </c>
      <c r="C67" s="176" t="str">
        <f>IF(A67&gt;0,UPPER(STUDENT!E57),"")</f>
        <v/>
      </c>
      <c r="D67" s="176" t="str">
        <f>IF(A67&gt;0,UPPER(STUDENT!H57),"")</f>
        <v/>
      </c>
      <c r="E67" s="47" t="str">
        <f>IF(A67&gt;0,UPPER(STUDENT!BP57),"")</f>
        <v/>
      </c>
      <c r="F67" s="47" t="str">
        <f>IF(A67&gt;0,UPPER(STUDENT!BO57),"")</f>
        <v/>
      </c>
      <c r="G67" s="47" t="str">
        <f>IF(A67&gt;0,UPPER(STUDENT!Q57),"")</f>
        <v/>
      </c>
      <c r="H67" s="69" t="str">
        <f>IF(A67&gt;0,PASHEET!CI59/PASHEET!CJ59*100,"")</f>
        <v/>
      </c>
      <c r="I67" s="177" t="str">
        <f>IF(A67&gt;0,SUM(PASHEET!AL59,PASHEET!AT59),"")</f>
        <v/>
      </c>
      <c r="J67" s="177" t="str">
        <f>IF(A67&gt;0,SUM(MARKS!F59,MARKS!AL59),"")</f>
        <v/>
      </c>
      <c r="K67" s="177" t="str">
        <f>IF(A67&gt;0,SUM(MARKS!N59,MARKS!AT59),"")</f>
        <v/>
      </c>
      <c r="L67" s="177" t="str">
        <f>IF(A67&gt;0,SUM(MARKS!V59,MARKS!BB59),"")</f>
        <v/>
      </c>
      <c r="M67" s="177" t="str">
        <f>IF(A67&gt;0,SUM(MARKS!AD59,MARKS!BJ59),"")</f>
        <v/>
      </c>
      <c r="N67" s="177" t="str">
        <f t="shared" si="0"/>
        <v/>
      </c>
      <c r="O67" s="177" t="str">
        <f t="shared" si="1"/>
        <v/>
      </c>
      <c r="P67" s="177" t="str">
        <f>IF(A67&gt;0,SUM(PASHEET!AM59,PASHEET!AU59),"")</f>
        <v/>
      </c>
      <c r="Q67" s="177" t="str">
        <f>IF(A67&gt;0,SUM(MARKS!G59,MARKS!AM59),"")</f>
        <v/>
      </c>
      <c r="R67" s="177" t="str">
        <f>IF(A67&gt;0,SUM(MARKS!O59,MARKS!AU59),"")</f>
        <v/>
      </c>
      <c r="S67" s="177" t="str">
        <f>IF(A67&gt;0,SUM(MARKS!W59,MARKS!BC59),"")</f>
        <v/>
      </c>
      <c r="T67" s="177" t="str">
        <f>IF(A67&gt;0,SUM(MARKS!AE59,MARKS!BK59),"")</f>
        <v/>
      </c>
      <c r="U67" s="177" t="str">
        <f t="shared" si="2"/>
        <v/>
      </c>
      <c r="V67" s="177" t="str">
        <f t="shared" si="3"/>
        <v/>
      </c>
      <c r="W67" s="177" t="str">
        <f>IF(A67&gt;0,SUM(PASHEET!AN59,PASHEET!AV59),"")</f>
        <v/>
      </c>
      <c r="X67" s="177" t="str">
        <f>IF(A67&gt;0,SUM(MARKS!H59,MARKS!AN59),"")</f>
        <v/>
      </c>
      <c r="Y67" s="177" t="str">
        <f>IF(A67&gt;0,SUM(MARKS!P59,MARKS!AV59),"")</f>
        <v/>
      </c>
      <c r="Z67" s="177" t="str">
        <f>IF(A67&gt;0,SUM(MARKS!X59,MARKS!BD59),"")</f>
        <v/>
      </c>
      <c r="AA67" s="177" t="str">
        <f>IF(A67&gt;0,SUM(MARKS!AF59,MARKS!BL59),"")</f>
        <v/>
      </c>
      <c r="AB67" s="177" t="str">
        <f t="shared" si="4"/>
        <v/>
      </c>
      <c r="AC67" s="177" t="str">
        <f t="shared" si="5"/>
        <v/>
      </c>
      <c r="AD67" s="177" t="str">
        <f>IF(A67&gt;0,SUM(PASHEET!AO59,PASHEET!AW59),"")</f>
        <v/>
      </c>
      <c r="AE67" s="177" t="str">
        <f>IF(A67&gt;0,SUM(MARKS!I59,MARKS!AO59),"")</f>
        <v/>
      </c>
      <c r="AF67" s="177" t="str">
        <f>IF(A67&gt;0,SUM(MARKS!Q59,MARKS!AW59),"")</f>
        <v/>
      </c>
      <c r="AG67" s="177" t="str">
        <f>IF(A67&gt;0,SUM(MARKS!Y59,MARKS!BE59),"")</f>
        <v/>
      </c>
      <c r="AH67" s="177" t="str">
        <f>IF(A67&gt;0,SUM(MARKS!AG59,MARKS!BM59),"")</f>
        <v/>
      </c>
      <c r="AI67" s="177" t="str">
        <f t="shared" si="6"/>
        <v/>
      </c>
      <c r="AJ67" s="177" t="str">
        <f t="shared" si="7"/>
        <v/>
      </c>
      <c r="AK67" s="177" t="str">
        <f>IF(A67&gt;0,SUM(PASHEET!AP59,PASHEET!AX59),"")</f>
        <v/>
      </c>
      <c r="AL67" s="177" t="str">
        <f>IF(A67&gt;0,SUM(MARKS!J59,MARKS!AP59),"")</f>
        <v/>
      </c>
      <c r="AM67" s="177" t="str">
        <f>IF(A67&gt;0,SUM(MARKS!R59,MARKS!AX59),"")</f>
        <v/>
      </c>
      <c r="AN67" s="177" t="str">
        <f>IF(A67&gt;0,SUM(MARKS!Z59,MARKS!BF59),"")</f>
        <v/>
      </c>
      <c r="AO67" s="177" t="str">
        <f>IF(A67&gt;0,SUM(MARKS!AH59,MARKS!BN59),"")</f>
        <v/>
      </c>
      <c r="AP67" s="177" t="str">
        <f t="shared" si="8"/>
        <v/>
      </c>
      <c r="AQ67" s="177" t="str">
        <f t="shared" si="9"/>
        <v/>
      </c>
      <c r="AR67" s="177" t="str">
        <f>IF(A67&gt;0,SUM(PASHEET!AQ59,PASHEET!AY59),"")</f>
        <v/>
      </c>
      <c r="AS67" s="177" t="str">
        <f>IF(A67&gt;0,SUM(MARKS!K59,MARKS!AQ59),"")</f>
        <v/>
      </c>
      <c r="AT67" s="177" t="str">
        <f>IF(A67&gt;0,SUM(MARKS!S59,MARKS!AY59),"")</f>
        <v/>
      </c>
      <c r="AU67" s="177" t="str">
        <f>IF(A67&gt;0,SUM(MARKS!AA59,MARKS!BG59),"")</f>
        <v/>
      </c>
      <c r="AV67" s="177" t="str">
        <f>IF(A67&gt;0,SUM(MARKS!AI59,MARKS!BO59),"")</f>
        <v/>
      </c>
      <c r="AW67" s="177" t="str">
        <f t="shared" si="10"/>
        <v/>
      </c>
      <c r="AX67" s="177" t="str">
        <f t="shared" si="11"/>
        <v/>
      </c>
      <c r="AY67" s="47" t="str">
        <f t="shared" si="12"/>
        <v/>
      </c>
      <c r="AZ67" s="70" t="str">
        <f t="shared" si="13"/>
        <v/>
      </c>
      <c r="BA67" s="177" t="str">
        <f t="shared" si="14"/>
        <v/>
      </c>
      <c r="BB67" s="47" t="str">
        <f>IF(A67&gt;0,FLN!I59,"")</f>
        <v/>
      </c>
      <c r="BC67" s="47" t="str">
        <f>IF(A67&gt;0,FLN!J59,"")</f>
        <v/>
      </c>
      <c r="BD67" s="47" t="str">
        <f>IF(A67&gt;0,FLN!K59,"")</f>
        <v/>
      </c>
      <c r="BE67" s="47" t="str">
        <f t="shared" si="15"/>
        <v/>
      </c>
      <c r="BF67" s="130" t="str">
        <f>IF(AY67="","",IFERROR(RANK(AY67,$AY$12:$AY$111,0)+COUNTIFS($AY$12:AY67,AY67)-1,0))</f>
        <v/>
      </c>
      <c r="BG67" s="130" t="str">
        <f t="shared" si="16"/>
        <v/>
      </c>
    </row>
    <row r="68" s="98" customFormat="1" ht="27" customHeight="1" spans="1:59">
      <c r="A68" s="47">
        <f>IF(A67=0,0,IF(A67&lt;ENTRY!$D$24,A67+1,0))</f>
        <v>0</v>
      </c>
      <c r="B68" s="47" t="str">
        <f>IF(A68&gt;0,STUDENT!F58,"")</f>
        <v/>
      </c>
      <c r="C68" s="176" t="str">
        <f>IF(A68&gt;0,UPPER(STUDENT!E58),"")</f>
        <v/>
      </c>
      <c r="D68" s="176" t="str">
        <f>IF(A68&gt;0,UPPER(STUDENT!H58),"")</f>
        <v/>
      </c>
      <c r="E68" s="47" t="str">
        <f>IF(A68&gt;0,UPPER(STUDENT!BP58),"")</f>
        <v/>
      </c>
      <c r="F68" s="47" t="str">
        <f>IF(A68&gt;0,UPPER(STUDENT!BO58),"")</f>
        <v/>
      </c>
      <c r="G68" s="47" t="str">
        <f>IF(A68&gt;0,UPPER(STUDENT!Q58),"")</f>
        <v/>
      </c>
      <c r="H68" s="69" t="str">
        <f>IF(A68&gt;0,PASHEET!CI60/PASHEET!CJ60*100,"")</f>
        <v/>
      </c>
      <c r="I68" s="177" t="str">
        <f>IF(A68&gt;0,SUM(PASHEET!AL60,PASHEET!AT60),"")</f>
        <v/>
      </c>
      <c r="J68" s="177" t="str">
        <f>IF(A68&gt;0,SUM(MARKS!F60,MARKS!AL60),"")</f>
        <v/>
      </c>
      <c r="K68" s="177" t="str">
        <f>IF(A68&gt;0,SUM(MARKS!N60,MARKS!AT60),"")</f>
        <v/>
      </c>
      <c r="L68" s="177" t="str">
        <f>IF(A68&gt;0,SUM(MARKS!V60,MARKS!BB60),"")</f>
        <v/>
      </c>
      <c r="M68" s="177" t="str">
        <f>IF(A68&gt;0,SUM(MARKS!AD60,MARKS!BJ60),"")</f>
        <v/>
      </c>
      <c r="N68" s="177" t="str">
        <f t="shared" si="0"/>
        <v/>
      </c>
      <c r="O68" s="177" t="str">
        <f t="shared" si="1"/>
        <v/>
      </c>
      <c r="P68" s="177" t="str">
        <f>IF(A68&gt;0,SUM(PASHEET!AM60,PASHEET!AU60),"")</f>
        <v/>
      </c>
      <c r="Q68" s="177" t="str">
        <f>IF(A68&gt;0,SUM(MARKS!G60,MARKS!AM60),"")</f>
        <v/>
      </c>
      <c r="R68" s="177" t="str">
        <f>IF(A68&gt;0,SUM(MARKS!O60,MARKS!AU60),"")</f>
        <v/>
      </c>
      <c r="S68" s="177" t="str">
        <f>IF(A68&gt;0,SUM(MARKS!W60,MARKS!BC60),"")</f>
        <v/>
      </c>
      <c r="T68" s="177" t="str">
        <f>IF(A68&gt;0,SUM(MARKS!AE60,MARKS!BK60),"")</f>
        <v/>
      </c>
      <c r="U68" s="177" t="str">
        <f t="shared" si="2"/>
        <v/>
      </c>
      <c r="V68" s="177" t="str">
        <f t="shared" si="3"/>
        <v/>
      </c>
      <c r="W68" s="177" t="str">
        <f>IF(A68&gt;0,SUM(PASHEET!AN60,PASHEET!AV60),"")</f>
        <v/>
      </c>
      <c r="X68" s="177" t="str">
        <f>IF(A68&gt;0,SUM(MARKS!H60,MARKS!AN60),"")</f>
        <v/>
      </c>
      <c r="Y68" s="177" t="str">
        <f>IF(A68&gt;0,SUM(MARKS!P60,MARKS!AV60),"")</f>
        <v/>
      </c>
      <c r="Z68" s="177" t="str">
        <f>IF(A68&gt;0,SUM(MARKS!X60,MARKS!BD60),"")</f>
        <v/>
      </c>
      <c r="AA68" s="177" t="str">
        <f>IF(A68&gt;0,SUM(MARKS!AF60,MARKS!BL60),"")</f>
        <v/>
      </c>
      <c r="AB68" s="177" t="str">
        <f t="shared" si="4"/>
        <v/>
      </c>
      <c r="AC68" s="177" t="str">
        <f t="shared" si="5"/>
        <v/>
      </c>
      <c r="AD68" s="177" t="str">
        <f>IF(A68&gt;0,SUM(PASHEET!AO60,PASHEET!AW60),"")</f>
        <v/>
      </c>
      <c r="AE68" s="177" t="str">
        <f>IF(A68&gt;0,SUM(MARKS!I60,MARKS!AO60),"")</f>
        <v/>
      </c>
      <c r="AF68" s="177" t="str">
        <f>IF(A68&gt;0,SUM(MARKS!Q60,MARKS!AW60),"")</f>
        <v/>
      </c>
      <c r="AG68" s="177" t="str">
        <f>IF(A68&gt;0,SUM(MARKS!Y60,MARKS!BE60),"")</f>
        <v/>
      </c>
      <c r="AH68" s="177" t="str">
        <f>IF(A68&gt;0,SUM(MARKS!AG60,MARKS!BM60),"")</f>
        <v/>
      </c>
      <c r="AI68" s="177" t="str">
        <f t="shared" si="6"/>
        <v/>
      </c>
      <c r="AJ68" s="177" t="str">
        <f t="shared" si="7"/>
        <v/>
      </c>
      <c r="AK68" s="177" t="str">
        <f>IF(A68&gt;0,SUM(PASHEET!AP60,PASHEET!AX60),"")</f>
        <v/>
      </c>
      <c r="AL68" s="177" t="str">
        <f>IF(A68&gt;0,SUM(MARKS!J60,MARKS!AP60),"")</f>
        <v/>
      </c>
      <c r="AM68" s="177" t="str">
        <f>IF(A68&gt;0,SUM(MARKS!R60,MARKS!AX60),"")</f>
        <v/>
      </c>
      <c r="AN68" s="177" t="str">
        <f>IF(A68&gt;0,SUM(MARKS!Z60,MARKS!BF60),"")</f>
        <v/>
      </c>
      <c r="AO68" s="177" t="str">
        <f>IF(A68&gt;0,SUM(MARKS!AH60,MARKS!BN60),"")</f>
        <v/>
      </c>
      <c r="AP68" s="177" t="str">
        <f t="shared" si="8"/>
        <v/>
      </c>
      <c r="AQ68" s="177" t="str">
        <f t="shared" si="9"/>
        <v/>
      </c>
      <c r="AR68" s="177" t="str">
        <f>IF(A68&gt;0,SUM(PASHEET!AQ60,PASHEET!AY60),"")</f>
        <v/>
      </c>
      <c r="AS68" s="177" t="str">
        <f>IF(A68&gt;0,SUM(MARKS!K60,MARKS!AQ60),"")</f>
        <v/>
      </c>
      <c r="AT68" s="177" t="str">
        <f>IF(A68&gt;0,SUM(MARKS!S60,MARKS!AY60),"")</f>
        <v/>
      </c>
      <c r="AU68" s="177" t="str">
        <f>IF(A68&gt;0,SUM(MARKS!AA60,MARKS!BG60),"")</f>
        <v/>
      </c>
      <c r="AV68" s="177" t="str">
        <f>IF(A68&gt;0,SUM(MARKS!AI60,MARKS!BO60),"")</f>
        <v/>
      </c>
      <c r="AW68" s="177" t="str">
        <f t="shared" si="10"/>
        <v/>
      </c>
      <c r="AX68" s="177" t="str">
        <f t="shared" si="11"/>
        <v/>
      </c>
      <c r="AY68" s="47" t="str">
        <f t="shared" si="12"/>
        <v/>
      </c>
      <c r="AZ68" s="70" t="str">
        <f t="shared" si="13"/>
        <v/>
      </c>
      <c r="BA68" s="177" t="str">
        <f t="shared" si="14"/>
        <v/>
      </c>
      <c r="BB68" s="47" t="str">
        <f>IF(A68&gt;0,FLN!I60,"")</f>
        <v/>
      </c>
      <c r="BC68" s="47" t="str">
        <f>IF(A68&gt;0,FLN!J60,"")</f>
        <v/>
      </c>
      <c r="BD68" s="47" t="str">
        <f>IF(A68&gt;0,FLN!K60,"")</f>
        <v/>
      </c>
      <c r="BE68" s="47" t="str">
        <f t="shared" si="15"/>
        <v/>
      </c>
      <c r="BF68" s="130" t="str">
        <f>IF(AY68="","",IFERROR(RANK(AY68,$AY$12:$AY$111,0)+COUNTIFS($AY$12:AY68,AY68)-1,0))</f>
        <v/>
      </c>
      <c r="BG68" s="130" t="str">
        <f t="shared" si="16"/>
        <v/>
      </c>
    </row>
    <row r="69" s="98" customFormat="1" ht="27" customHeight="1" spans="1:59">
      <c r="A69" s="47">
        <f>IF(A68=0,0,IF(A68&lt;ENTRY!$D$24,A68+1,0))</f>
        <v>0</v>
      </c>
      <c r="B69" s="47" t="str">
        <f>IF(A69&gt;0,STUDENT!F59,"")</f>
        <v/>
      </c>
      <c r="C69" s="176" t="str">
        <f>IF(A69&gt;0,UPPER(STUDENT!E59),"")</f>
        <v/>
      </c>
      <c r="D69" s="176" t="str">
        <f>IF(A69&gt;0,UPPER(STUDENT!H59),"")</f>
        <v/>
      </c>
      <c r="E69" s="47" t="str">
        <f>IF(A69&gt;0,UPPER(STUDENT!BP59),"")</f>
        <v/>
      </c>
      <c r="F69" s="47" t="str">
        <f>IF(A69&gt;0,UPPER(STUDENT!BO59),"")</f>
        <v/>
      </c>
      <c r="G69" s="47" t="str">
        <f>IF(A69&gt;0,UPPER(STUDENT!Q59),"")</f>
        <v/>
      </c>
      <c r="H69" s="69" t="str">
        <f>IF(A69&gt;0,PASHEET!CI61/PASHEET!CJ61*100,"")</f>
        <v/>
      </c>
      <c r="I69" s="177" t="str">
        <f>IF(A69&gt;0,SUM(PASHEET!AL61,PASHEET!AT61),"")</f>
        <v/>
      </c>
      <c r="J69" s="177" t="str">
        <f>IF(A69&gt;0,SUM(MARKS!F61,MARKS!AL61),"")</f>
        <v/>
      </c>
      <c r="K69" s="177" t="str">
        <f>IF(A69&gt;0,SUM(MARKS!N61,MARKS!AT61),"")</f>
        <v/>
      </c>
      <c r="L69" s="177" t="str">
        <f>IF(A69&gt;0,SUM(MARKS!V61,MARKS!BB61),"")</f>
        <v/>
      </c>
      <c r="M69" s="177" t="str">
        <f>IF(A69&gt;0,SUM(MARKS!AD61,MARKS!BJ61),"")</f>
        <v/>
      </c>
      <c r="N69" s="177" t="str">
        <f t="shared" si="0"/>
        <v/>
      </c>
      <c r="O69" s="177" t="str">
        <f t="shared" si="1"/>
        <v/>
      </c>
      <c r="P69" s="177" t="str">
        <f>IF(A69&gt;0,SUM(PASHEET!AM61,PASHEET!AU61),"")</f>
        <v/>
      </c>
      <c r="Q69" s="177" t="str">
        <f>IF(A69&gt;0,SUM(MARKS!G61,MARKS!AM61),"")</f>
        <v/>
      </c>
      <c r="R69" s="177" t="str">
        <f>IF(A69&gt;0,SUM(MARKS!O61,MARKS!AU61),"")</f>
        <v/>
      </c>
      <c r="S69" s="177" t="str">
        <f>IF(A69&gt;0,SUM(MARKS!W61,MARKS!BC61),"")</f>
        <v/>
      </c>
      <c r="T69" s="177" t="str">
        <f>IF(A69&gt;0,SUM(MARKS!AE61,MARKS!BK61),"")</f>
        <v/>
      </c>
      <c r="U69" s="177" t="str">
        <f t="shared" si="2"/>
        <v/>
      </c>
      <c r="V69" s="177" t="str">
        <f t="shared" si="3"/>
        <v/>
      </c>
      <c r="W69" s="177" t="str">
        <f>IF(A69&gt;0,SUM(PASHEET!AN61,PASHEET!AV61),"")</f>
        <v/>
      </c>
      <c r="X69" s="177" t="str">
        <f>IF(A69&gt;0,SUM(MARKS!H61,MARKS!AN61),"")</f>
        <v/>
      </c>
      <c r="Y69" s="177" t="str">
        <f>IF(A69&gt;0,SUM(MARKS!P61,MARKS!AV61),"")</f>
        <v/>
      </c>
      <c r="Z69" s="177" t="str">
        <f>IF(A69&gt;0,SUM(MARKS!X61,MARKS!BD61),"")</f>
        <v/>
      </c>
      <c r="AA69" s="177" t="str">
        <f>IF(A69&gt;0,SUM(MARKS!AF61,MARKS!BL61),"")</f>
        <v/>
      </c>
      <c r="AB69" s="177" t="str">
        <f t="shared" si="4"/>
        <v/>
      </c>
      <c r="AC69" s="177" t="str">
        <f t="shared" si="5"/>
        <v/>
      </c>
      <c r="AD69" s="177" t="str">
        <f>IF(A69&gt;0,SUM(PASHEET!AO61,PASHEET!AW61),"")</f>
        <v/>
      </c>
      <c r="AE69" s="177" t="str">
        <f>IF(A69&gt;0,SUM(MARKS!I61,MARKS!AO61),"")</f>
        <v/>
      </c>
      <c r="AF69" s="177" t="str">
        <f>IF(A69&gt;0,SUM(MARKS!Q61,MARKS!AW61),"")</f>
        <v/>
      </c>
      <c r="AG69" s="177" t="str">
        <f>IF(A69&gt;0,SUM(MARKS!Y61,MARKS!BE61),"")</f>
        <v/>
      </c>
      <c r="AH69" s="177" t="str">
        <f>IF(A69&gt;0,SUM(MARKS!AG61,MARKS!BM61),"")</f>
        <v/>
      </c>
      <c r="AI69" s="177" t="str">
        <f t="shared" si="6"/>
        <v/>
      </c>
      <c r="AJ69" s="177" t="str">
        <f t="shared" si="7"/>
        <v/>
      </c>
      <c r="AK69" s="177" t="str">
        <f>IF(A69&gt;0,SUM(PASHEET!AP61,PASHEET!AX61),"")</f>
        <v/>
      </c>
      <c r="AL69" s="177" t="str">
        <f>IF(A69&gt;0,SUM(MARKS!J61,MARKS!AP61),"")</f>
        <v/>
      </c>
      <c r="AM69" s="177" t="str">
        <f>IF(A69&gt;0,SUM(MARKS!R61,MARKS!AX61),"")</f>
        <v/>
      </c>
      <c r="AN69" s="177" t="str">
        <f>IF(A69&gt;0,SUM(MARKS!Z61,MARKS!BF61),"")</f>
        <v/>
      </c>
      <c r="AO69" s="177" t="str">
        <f>IF(A69&gt;0,SUM(MARKS!AH61,MARKS!BN61),"")</f>
        <v/>
      </c>
      <c r="AP69" s="177" t="str">
        <f t="shared" si="8"/>
        <v/>
      </c>
      <c r="AQ69" s="177" t="str">
        <f t="shared" si="9"/>
        <v/>
      </c>
      <c r="AR69" s="177" t="str">
        <f>IF(A69&gt;0,SUM(PASHEET!AQ61,PASHEET!AY61),"")</f>
        <v/>
      </c>
      <c r="AS69" s="177" t="str">
        <f>IF(A69&gt;0,SUM(MARKS!K61,MARKS!AQ61),"")</f>
        <v/>
      </c>
      <c r="AT69" s="177" t="str">
        <f>IF(A69&gt;0,SUM(MARKS!S61,MARKS!AY61),"")</f>
        <v/>
      </c>
      <c r="AU69" s="177" t="str">
        <f>IF(A69&gt;0,SUM(MARKS!AA61,MARKS!BG61),"")</f>
        <v/>
      </c>
      <c r="AV69" s="177" t="str">
        <f>IF(A69&gt;0,SUM(MARKS!AI61,MARKS!BO61),"")</f>
        <v/>
      </c>
      <c r="AW69" s="177" t="str">
        <f t="shared" si="10"/>
        <v/>
      </c>
      <c r="AX69" s="177" t="str">
        <f t="shared" si="11"/>
        <v/>
      </c>
      <c r="AY69" s="47" t="str">
        <f t="shared" si="12"/>
        <v/>
      </c>
      <c r="AZ69" s="70" t="str">
        <f t="shared" si="13"/>
        <v/>
      </c>
      <c r="BA69" s="177" t="str">
        <f t="shared" si="14"/>
        <v/>
      </c>
      <c r="BB69" s="47" t="str">
        <f>IF(A69&gt;0,FLN!I61,"")</f>
        <v/>
      </c>
      <c r="BC69" s="47" t="str">
        <f>IF(A69&gt;0,FLN!J61,"")</f>
        <v/>
      </c>
      <c r="BD69" s="47" t="str">
        <f>IF(A69&gt;0,FLN!K61,"")</f>
        <v/>
      </c>
      <c r="BE69" s="47" t="str">
        <f t="shared" si="15"/>
        <v/>
      </c>
      <c r="BF69" s="130" t="str">
        <f>IF(AY69="","",IFERROR(RANK(AY69,$AY$12:$AY$111,0)+COUNTIFS($AY$12:AY69,AY69)-1,0))</f>
        <v/>
      </c>
      <c r="BG69" s="130" t="str">
        <f t="shared" si="16"/>
        <v/>
      </c>
    </row>
    <row r="70" s="98" customFormat="1" ht="27" customHeight="1" spans="1:59">
      <c r="A70" s="47">
        <f>IF(A69=0,0,IF(A69&lt;ENTRY!$D$24,A69+1,0))</f>
        <v>0</v>
      </c>
      <c r="B70" s="47" t="str">
        <f>IF(A70&gt;0,STUDENT!F60,"")</f>
        <v/>
      </c>
      <c r="C70" s="176" t="str">
        <f>IF(A70&gt;0,UPPER(STUDENT!E60),"")</f>
        <v/>
      </c>
      <c r="D70" s="176" t="str">
        <f>IF(A70&gt;0,UPPER(STUDENT!H60),"")</f>
        <v/>
      </c>
      <c r="E70" s="47" t="str">
        <f>IF(A70&gt;0,UPPER(STUDENT!BP60),"")</f>
        <v/>
      </c>
      <c r="F70" s="47" t="str">
        <f>IF(A70&gt;0,UPPER(STUDENT!BO60),"")</f>
        <v/>
      </c>
      <c r="G70" s="47" t="str">
        <f>IF(A70&gt;0,UPPER(STUDENT!Q60),"")</f>
        <v/>
      </c>
      <c r="H70" s="69" t="str">
        <f>IF(A70&gt;0,PASHEET!CI62/PASHEET!CJ62*100,"")</f>
        <v/>
      </c>
      <c r="I70" s="177" t="str">
        <f>IF(A70&gt;0,SUM(PASHEET!AL62,PASHEET!AT62),"")</f>
        <v/>
      </c>
      <c r="J70" s="177" t="str">
        <f>IF(A70&gt;0,SUM(MARKS!F62,MARKS!AL62),"")</f>
        <v/>
      </c>
      <c r="K70" s="177" t="str">
        <f>IF(A70&gt;0,SUM(MARKS!N62,MARKS!AT62),"")</f>
        <v/>
      </c>
      <c r="L70" s="177" t="str">
        <f>IF(A70&gt;0,SUM(MARKS!V62,MARKS!BB62),"")</f>
        <v/>
      </c>
      <c r="M70" s="177" t="str">
        <f>IF(A70&gt;0,SUM(MARKS!AD62,MARKS!BJ62),"")</f>
        <v/>
      </c>
      <c r="N70" s="177" t="str">
        <f t="shared" si="0"/>
        <v/>
      </c>
      <c r="O70" s="177" t="str">
        <f t="shared" si="1"/>
        <v/>
      </c>
      <c r="P70" s="177" t="str">
        <f>IF(A70&gt;0,SUM(PASHEET!AM62,PASHEET!AU62),"")</f>
        <v/>
      </c>
      <c r="Q70" s="177" t="str">
        <f>IF(A70&gt;0,SUM(MARKS!G62,MARKS!AM62),"")</f>
        <v/>
      </c>
      <c r="R70" s="177" t="str">
        <f>IF(A70&gt;0,SUM(MARKS!O62,MARKS!AU62),"")</f>
        <v/>
      </c>
      <c r="S70" s="177" t="str">
        <f>IF(A70&gt;0,SUM(MARKS!W62,MARKS!BC62),"")</f>
        <v/>
      </c>
      <c r="T70" s="177" t="str">
        <f>IF(A70&gt;0,SUM(MARKS!AE62,MARKS!BK62),"")</f>
        <v/>
      </c>
      <c r="U70" s="177" t="str">
        <f t="shared" si="2"/>
        <v/>
      </c>
      <c r="V70" s="177" t="str">
        <f t="shared" si="3"/>
        <v/>
      </c>
      <c r="W70" s="177" t="str">
        <f>IF(A70&gt;0,SUM(PASHEET!AN62,PASHEET!AV62),"")</f>
        <v/>
      </c>
      <c r="X70" s="177" t="str">
        <f>IF(A70&gt;0,SUM(MARKS!H62,MARKS!AN62),"")</f>
        <v/>
      </c>
      <c r="Y70" s="177" t="str">
        <f>IF(A70&gt;0,SUM(MARKS!P62,MARKS!AV62),"")</f>
        <v/>
      </c>
      <c r="Z70" s="177" t="str">
        <f>IF(A70&gt;0,SUM(MARKS!X62,MARKS!BD62),"")</f>
        <v/>
      </c>
      <c r="AA70" s="177" t="str">
        <f>IF(A70&gt;0,SUM(MARKS!AF62,MARKS!BL62),"")</f>
        <v/>
      </c>
      <c r="AB70" s="177" t="str">
        <f t="shared" si="4"/>
        <v/>
      </c>
      <c r="AC70" s="177" t="str">
        <f t="shared" si="5"/>
        <v/>
      </c>
      <c r="AD70" s="177" t="str">
        <f>IF(A70&gt;0,SUM(PASHEET!AO62,PASHEET!AW62),"")</f>
        <v/>
      </c>
      <c r="AE70" s="177" t="str">
        <f>IF(A70&gt;0,SUM(MARKS!I62,MARKS!AO62),"")</f>
        <v/>
      </c>
      <c r="AF70" s="177" t="str">
        <f>IF(A70&gt;0,SUM(MARKS!Q62,MARKS!AW62),"")</f>
        <v/>
      </c>
      <c r="AG70" s="177" t="str">
        <f>IF(A70&gt;0,SUM(MARKS!Y62,MARKS!BE62),"")</f>
        <v/>
      </c>
      <c r="AH70" s="177" t="str">
        <f>IF(A70&gt;0,SUM(MARKS!AG62,MARKS!BM62),"")</f>
        <v/>
      </c>
      <c r="AI70" s="177" t="str">
        <f t="shared" si="6"/>
        <v/>
      </c>
      <c r="AJ70" s="177" t="str">
        <f t="shared" si="7"/>
        <v/>
      </c>
      <c r="AK70" s="177" t="str">
        <f>IF(A70&gt;0,SUM(PASHEET!AP62,PASHEET!AX62),"")</f>
        <v/>
      </c>
      <c r="AL70" s="177" t="str">
        <f>IF(A70&gt;0,SUM(MARKS!J62,MARKS!AP62),"")</f>
        <v/>
      </c>
      <c r="AM70" s="177" t="str">
        <f>IF(A70&gt;0,SUM(MARKS!R62,MARKS!AX62),"")</f>
        <v/>
      </c>
      <c r="AN70" s="177" t="str">
        <f>IF(A70&gt;0,SUM(MARKS!Z62,MARKS!BF62),"")</f>
        <v/>
      </c>
      <c r="AO70" s="177" t="str">
        <f>IF(A70&gt;0,SUM(MARKS!AH62,MARKS!BN62),"")</f>
        <v/>
      </c>
      <c r="AP70" s="177" t="str">
        <f t="shared" si="8"/>
        <v/>
      </c>
      <c r="AQ70" s="177" t="str">
        <f t="shared" si="9"/>
        <v/>
      </c>
      <c r="AR70" s="177" t="str">
        <f>IF(A70&gt;0,SUM(PASHEET!AQ62,PASHEET!AY62),"")</f>
        <v/>
      </c>
      <c r="AS70" s="177" t="str">
        <f>IF(A70&gt;0,SUM(MARKS!K62,MARKS!AQ62),"")</f>
        <v/>
      </c>
      <c r="AT70" s="177" t="str">
        <f>IF(A70&gt;0,SUM(MARKS!S62,MARKS!AY62),"")</f>
        <v/>
      </c>
      <c r="AU70" s="177" t="str">
        <f>IF(A70&gt;0,SUM(MARKS!AA62,MARKS!BG62),"")</f>
        <v/>
      </c>
      <c r="AV70" s="177" t="str">
        <f>IF(A70&gt;0,SUM(MARKS!AI62,MARKS!BO62),"")</f>
        <v/>
      </c>
      <c r="AW70" s="177" t="str">
        <f t="shared" si="10"/>
        <v/>
      </c>
      <c r="AX70" s="177" t="str">
        <f t="shared" si="11"/>
        <v/>
      </c>
      <c r="AY70" s="47" t="str">
        <f t="shared" si="12"/>
        <v/>
      </c>
      <c r="AZ70" s="70" t="str">
        <f t="shared" si="13"/>
        <v/>
      </c>
      <c r="BA70" s="177" t="str">
        <f t="shared" si="14"/>
        <v/>
      </c>
      <c r="BB70" s="47" t="str">
        <f>IF(A70&gt;0,FLN!I62,"")</f>
        <v/>
      </c>
      <c r="BC70" s="47" t="str">
        <f>IF(A70&gt;0,FLN!J62,"")</f>
        <v/>
      </c>
      <c r="BD70" s="47" t="str">
        <f>IF(A70&gt;0,FLN!K62,"")</f>
        <v/>
      </c>
      <c r="BE70" s="47" t="str">
        <f t="shared" si="15"/>
        <v/>
      </c>
      <c r="BF70" s="130" t="str">
        <f>IF(AY70="","",IFERROR(RANK(AY70,$AY$12:$AY$111,0)+COUNTIFS($AY$12:AY70,AY70)-1,0))</f>
        <v/>
      </c>
      <c r="BG70" s="130" t="str">
        <f t="shared" si="16"/>
        <v/>
      </c>
    </row>
    <row r="71" s="98" customFormat="1" ht="27" customHeight="1" spans="1:59">
      <c r="A71" s="47">
        <f>IF(A70=0,0,IF(A70&lt;ENTRY!$D$24,A70+1,0))</f>
        <v>0</v>
      </c>
      <c r="B71" s="47" t="str">
        <f>IF(A71&gt;0,STUDENT!F61,"")</f>
        <v/>
      </c>
      <c r="C71" s="176" t="str">
        <f>IF(A71&gt;0,UPPER(STUDENT!E61),"")</f>
        <v/>
      </c>
      <c r="D71" s="176" t="str">
        <f>IF(A71&gt;0,UPPER(STUDENT!H61),"")</f>
        <v/>
      </c>
      <c r="E71" s="47" t="str">
        <f>IF(A71&gt;0,UPPER(STUDENT!BP61),"")</f>
        <v/>
      </c>
      <c r="F71" s="47" t="str">
        <f>IF(A71&gt;0,UPPER(STUDENT!BO61),"")</f>
        <v/>
      </c>
      <c r="G71" s="47" t="str">
        <f>IF(A71&gt;0,UPPER(STUDENT!Q61),"")</f>
        <v/>
      </c>
      <c r="H71" s="69" t="str">
        <f>IF(A71&gt;0,PASHEET!CI63/PASHEET!CJ63*100,"")</f>
        <v/>
      </c>
      <c r="I71" s="177" t="str">
        <f>IF(A71&gt;0,SUM(PASHEET!AL63,PASHEET!AT63),"")</f>
        <v/>
      </c>
      <c r="J71" s="177" t="str">
        <f>IF(A71&gt;0,SUM(MARKS!F63,MARKS!AL63),"")</f>
        <v/>
      </c>
      <c r="K71" s="177" t="str">
        <f>IF(A71&gt;0,SUM(MARKS!N63,MARKS!AT63),"")</f>
        <v/>
      </c>
      <c r="L71" s="177" t="str">
        <f>IF(A71&gt;0,SUM(MARKS!V63,MARKS!BB63),"")</f>
        <v/>
      </c>
      <c r="M71" s="177" t="str">
        <f>IF(A71&gt;0,SUM(MARKS!AD63,MARKS!BJ63),"")</f>
        <v/>
      </c>
      <c r="N71" s="177" t="str">
        <f t="shared" si="0"/>
        <v/>
      </c>
      <c r="O71" s="177" t="str">
        <f t="shared" si="1"/>
        <v/>
      </c>
      <c r="P71" s="177" t="str">
        <f>IF(A71&gt;0,SUM(PASHEET!AM63,PASHEET!AU63),"")</f>
        <v/>
      </c>
      <c r="Q71" s="177" t="str">
        <f>IF(A71&gt;0,SUM(MARKS!G63,MARKS!AM63),"")</f>
        <v/>
      </c>
      <c r="R71" s="177" t="str">
        <f>IF(A71&gt;0,SUM(MARKS!O63,MARKS!AU63),"")</f>
        <v/>
      </c>
      <c r="S71" s="177" t="str">
        <f>IF(A71&gt;0,SUM(MARKS!W63,MARKS!BC63),"")</f>
        <v/>
      </c>
      <c r="T71" s="177" t="str">
        <f>IF(A71&gt;0,SUM(MARKS!AE63,MARKS!BK63),"")</f>
        <v/>
      </c>
      <c r="U71" s="177" t="str">
        <f t="shared" si="2"/>
        <v/>
      </c>
      <c r="V71" s="177" t="str">
        <f t="shared" si="3"/>
        <v/>
      </c>
      <c r="W71" s="177" t="str">
        <f>IF(A71&gt;0,SUM(PASHEET!AN63,PASHEET!AV63),"")</f>
        <v/>
      </c>
      <c r="X71" s="177" t="str">
        <f>IF(A71&gt;0,SUM(MARKS!H63,MARKS!AN63),"")</f>
        <v/>
      </c>
      <c r="Y71" s="177" t="str">
        <f>IF(A71&gt;0,SUM(MARKS!P63,MARKS!AV63),"")</f>
        <v/>
      </c>
      <c r="Z71" s="177" t="str">
        <f>IF(A71&gt;0,SUM(MARKS!X63,MARKS!BD63),"")</f>
        <v/>
      </c>
      <c r="AA71" s="177" t="str">
        <f>IF(A71&gt;0,SUM(MARKS!AF63,MARKS!BL63),"")</f>
        <v/>
      </c>
      <c r="AB71" s="177" t="str">
        <f t="shared" si="4"/>
        <v/>
      </c>
      <c r="AC71" s="177" t="str">
        <f t="shared" si="5"/>
        <v/>
      </c>
      <c r="AD71" s="177" t="str">
        <f>IF(A71&gt;0,SUM(PASHEET!AO63,PASHEET!AW63),"")</f>
        <v/>
      </c>
      <c r="AE71" s="177" t="str">
        <f>IF(A71&gt;0,SUM(MARKS!I63,MARKS!AO63),"")</f>
        <v/>
      </c>
      <c r="AF71" s="177" t="str">
        <f>IF(A71&gt;0,SUM(MARKS!Q63,MARKS!AW63),"")</f>
        <v/>
      </c>
      <c r="AG71" s="177" t="str">
        <f>IF(A71&gt;0,SUM(MARKS!Y63,MARKS!BE63),"")</f>
        <v/>
      </c>
      <c r="AH71" s="177" t="str">
        <f>IF(A71&gt;0,SUM(MARKS!AG63,MARKS!BM63),"")</f>
        <v/>
      </c>
      <c r="AI71" s="177" t="str">
        <f t="shared" si="6"/>
        <v/>
      </c>
      <c r="AJ71" s="177" t="str">
        <f t="shared" si="7"/>
        <v/>
      </c>
      <c r="AK71" s="177" t="str">
        <f>IF(A71&gt;0,SUM(PASHEET!AP63,PASHEET!AX63),"")</f>
        <v/>
      </c>
      <c r="AL71" s="177" t="str">
        <f>IF(A71&gt;0,SUM(MARKS!J63,MARKS!AP63),"")</f>
        <v/>
      </c>
      <c r="AM71" s="177" t="str">
        <f>IF(A71&gt;0,SUM(MARKS!R63,MARKS!AX63),"")</f>
        <v/>
      </c>
      <c r="AN71" s="177" t="str">
        <f>IF(A71&gt;0,SUM(MARKS!Z63,MARKS!BF63),"")</f>
        <v/>
      </c>
      <c r="AO71" s="177" t="str">
        <f>IF(A71&gt;0,SUM(MARKS!AH63,MARKS!BN63),"")</f>
        <v/>
      </c>
      <c r="AP71" s="177" t="str">
        <f t="shared" si="8"/>
        <v/>
      </c>
      <c r="AQ71" s="177" t="str">
        <f t="shared" si="9"/>
        <v/>
      </c>
      <c r="AR71" s="177" t="str">
        <f>IF(A71&gt;0,SUM(PASHEET!AQ63,PASHEET!AY63),"")</f>
        <v/>
      </c>
      <c r="AS71" s="177" t="str">
        <f>IF(A71&gt;0,SUM(MARKS!K63,MARKS!AQ63),"")</f>
        <v/>
      </c>
      <c r="AT71" s="177" t="str">
        <f>IF(A71&gt;0,SUM(MARKS!S63,MARKS!AY63),"")</f>
        <v/>
      </c>
      <c r="AU71" s="177" t="str">
        <f>IF(A71&gt;0,SUM(MARKS!AA63,MARKS!BG63),"")</f>
        <v/>
      </c>
      <c r="AV71" s="177" t="str">
        <f>IF(A71&gt;0,SUM(MARKS!AI63,MARKS!BO63),"")</f>
        <v/>
      </c>
      <c r="AW71" s="177" t="str">
        <f t="shared" si="10"/>
        <v/>
      </c>
      <c r="AX71" s="177" t="str">
        <f t="shared" si="11"/>
        <v/>
      </c>
      <c r="AY71" s="47" t="str">
        <f t="shared" si="12"/>
        <v/>
      </c>
      <c r="AZ71" s="70" t="str">
        <f t="shared" si="13"/>
        <v/>
      </c>
      <c r="BA71" s="177" t="str">
        <f t="shared" si="14"/>
        <v/>
      </c>
      <c r="BB71" s="47" t="str">
        <f>IF(A71&gt;0,FLN!I63,"")</f>
        <v/>
      </c>
      <c r="BC71" s="47" t="str">
        <f>IF(A71&gt;0,FLN!J63,"")</f>
        <v/>
      </c>
      <c r="BD71" s="47" t="str">
        <f>IF(A71&gt;0,FLN!K63,"")</f>
        <v/>
      </c>
      <c r="BE71" s="47" t="str">
        <f t="shared" si="15"/>
        <v/>
      </c>
      <c r="BF71" s="130" t="str">
        <f>IF(AY71="","",IFERROR(RANK(AY71,$AY$12:$AY$111,0)+COUNTIFS($AY$12:AY71,AY71)-1,0))</f>
        <v/>
      </c>
      <c r="BG71" s="130" t="str">
        <f t="shared" si="16"/>
        <v/>
      </c>
    </row>
    <row r="72" s="98" customFormat="1" ht="27" customHeight="1" spans="1:59">
      <c r="A72" s="47">
        <f>IF(A71=0,0,IF(A71&lt;ENTRY!$D$24,A71+1,0))</f>
        <v>0</v>
      </c>
      <c r="B72" s="47" t="str">
        <f>IF(A72&gt;0,STUDENT!F62,"")</f>
        <v/>
      </c>
      <c r="C72" s="176" t="str">
        <f>IF(A72&gt;0,UPPER(STUDENT!E62),"")</f>
        <v/>
      </c>
      <c r="D72" s="176" t="str">
        <f>IF(A72&gt;0,UPPER(STUDENT!H62),"")</f>
        <v/>
      </c>
      <c r="E72" s="47" t="str">
        <f>IF(A72&gt;0,UPPER(STUDENT!BP62),"")</f>
        <v/>
      </c>
      <c r="F72" s="47" t="str">
        <f>IF(A72&gt;0,UPPER(STUDENT!BO62),"")</f>
        <v/>
      </c>
      <c r="G72" s="47" t="str">
        <f>IF(A72&gt;0,UPPER(STUDENT!Q62),"")</f>
        <v/>
      </c>
      <c r="H72" s="69" t="str">
        <f>IF(A72&gt;0,PASHEET!CI64/PASHEET!CJ64*100,"")</f>
        <v/>
      </c>
      <c r="I72" s="177" t="str">
        <f>IF(A72&gt;0,SUM(PASHEET!AL64,PASHEET!AT64),"")</f>
        <v/>
      </c>
      <c r="J72" s="177" t="str">
        <f>IF(A72&gt;0,SUM(MARKS!F64,MARKS!AL64),"")</f>
        <v/>
      </c>
      <c r="K72" s="177" t="str">
        <f>IF(A72&gt;0,SUM(MARKS!N64,MARKS!AT64),"")</f>
        <v/>
      </c>
      <c r="L72" s="177" t="str">
        <f>IF(A72&gt;0,SUM(MARKS!V64,MARKS!BB64),"")</f>
        <v/>
      </c>
      <c r="M72" s="177" t="str">
        <f>IF(A72&gt;0,SUM(MARKS!AD64,MARKS!BJ64),"")</f>
        <v/>
      </c>
      <c r="N72" s="177" t="str">
        <f t="shared" si="0"/>
        <v/>
      </c>
      <c r="O72" s="177" t="str">
        <f t="shared" si="1"/>
        <v/>
      </c>
      <c r="P72" s="177" t="str">
        <f>IF(A72&gt;0,SUM(PASHEET!AM64,PASHEET!AU64),"")</f>
        <v/>
      </c>
      <c r="Q72" s="177" t="str">
        <f>IF(A72&gt;0,SUM(MARKS!G64,MARKS!AM64),"")</f>
        <v/>
      </c>
      <c r="R72" s="177" t="str">
        <f>IF(A72&gt;0,SUM(MARKS!O64,MARKS!AU64),"")</f>
        <v/>
      </c>
      <c r="S72" s="177" t="str">
        <f>IF(A72&gt;0,SUM(MARKS!W64,MARKS!BC64),"")</f>
        <v/>
      </c>
      <c r="T72" s="177" t="str">
        <f>IF(A72&gt;0,SUM(MARKS!AE64,MARKS!BK64),"")</f>
        <v/>
      </c>
      <c r="U72" s="177" t="str">
        <f t="shared" si="2"/>
        <v/>
      </c>
      <c r="V72" s="177" t="str">
        <f t="shared" si="3"/>
        <v/>
      </c>
      <c r="W72" s="177" t="str">
        <f>IF(A72&gt;0,SUM(PASHEET!AN64,PASHEET!AV64),"")</f>
        <v/>
      </c>
      <c r="X72" s="177" t="str">
        <f>IF(A72&gt;0,SUM(MARKS!H64,MARKS!AN64),"")</f>
        <v/>
      </c>
      <c r="Y72" s="177" t="str">
        <f>IF(A72&gt;0,SUM(MARKS!P64,MARKS!AV64),"")</f>
        <v/>
      </c>
      <c r="Z72" s="177" t="str">
        <f>IF(A72&gt;0,SUM(MARKS!X64,MARKS!BD64),"")</f>
        <v/>
      </c>
      <c r="AA72" s="177" t="str">
        <f>IF(A72&gt;0,SUM(MARKS!AF64,MARKS!BL64),"")</f>
        <v/>
      </c>
      <c r="AB72" s="177" t="str">
        <f t="shared" si="4"/>
        <v/>
      </c>
      <c r="AC72" s="177" t="str">
        <f t="shared" si="5"/>
        <v/>
      </c>
      <c r="AD72" s="177" t="str">
        <f>IF(A72&gt;0,SUM(PASHEET!AO64,PASHEET!AW64),"")</f>
        <v/>
      </c>
      <c r="AE72" s="177" t="str">
        <f>IF(A72&gt;0,SUM(MARKS!I64,MARKS!AO64),"")</f>
        <v/>
      </c>
      <c r="AF72" s="177" t="str">
        <f>IF(A72&gt;0,SUM(MARKS!Q64,MARKS!AW64),"")</f>
        <v/>
      </c>
      <c r="AG72" s="177" t="str">
        <f>IF(A72&gt;0,SUM(MARKS!Y64,MARKS!BE64),"")</f>
        <v/>
      </c>
      <c r="AH72" s="177" t="str">
        <f>IF(A72&gt;0,SUM(MARKS!AG64,MARKS!BM64),"")</f>
        <v/>
      </c>
      <c r="AI72" s="177" t="str">
        <f t="shared" si="6"/>
        <v/>
      </c>
      <c r="AJ72" s="177" t="str">
        <f t="shared" si="7"/>
        <v/>
      </c>
      <c r="AK72" s="177" t="str">
        <f>IF(A72&gt;0,SUM(PASHEET!AP64,PASHEET!AX64),"")</f>
        <v/>
      </c>
      <c r="AL72" s="177" t="str">
        <f>IF(A72&gt;0,SUM(MARKS!J64,MARKS!AP64),"")</f>
        <v/>
      </c>
      <c r="AM72" s="177" t="str">
        <f>IF(A72&gt;0,SUM(MARKS!R64,MARKS!AX64),"")</f>
        <v/>
      </c>
      <c r="AN72" s="177" t="str">
        <f>IF(A72&gt;0,SUM(MARKS!Z64,MARKS!BF64),"")</f>
        <v/>
      </c>
      <c r="AO72" s="177" t="str">
        <f>IF(A72&gt;0,SUM(MARKS!AH64,MARKS!BN64),"")</f>
        <v/>
      </c>
      <c r="AP72" s="177" t="str">
        <f t="shared" si="8"/>
        <v/>
      </c>
      <c r="AQ72" s="177" t="str">
        <f t="shared" si="9"/>
        <v/>
      </c>
      <c r="AR72" s="177" t="str">
        <f>IF(A72&gt;0,SUM(PASHEET!AQ64,PASHEET!AY64),"")</f>
        <v/>
      </c>
      <c r="AS72" s="177" t="str">
        <f>IF(A72&gt;0,SUM(MARKS!K64,MARKS!AQ64),"")</f>
        <v/>
      </c>
      <c r="AT72" s="177" t="str">
        <f>IF(A72&gt;0,SUM(MARKS!S64,MARKS!AY64),"")</f>
        <v/>
      </c>
      <c r="AU72" s="177" t="str">
        <f>IF(A72&gt;0,SUM(MARKS!AA64,MARKS!BG64),"")</f>
        <v/>
      </c>
      <c r="AV72" s="177" t="str">
        <f>IF(A72&gt;0,SUM(MARKS!AI64,MARKS!BO64),"")</f>
        <v/>
      </c>
      <c r="AW72" s="177" t="str">
        <f t="shared" si="10"/>
        <v/>
      </c>
      <c r="AX72" s="177" t="str">
        <f t="shared" si="11"/>
        <v/>
      </c>
      <c r="AY72" s="47" t="str">
        <f t="shared" si="12"/>
        <v/>
      </c>
      <c r="AZ72" s="70" t="str">
        <f t="shared" si="13"/>
        <v/>
      </c>
      <c r="BA72" s="177" t="str">
        <f t="shared" si="14"/>
        <v/>
      </c>
      <c r="BB72" s="47" t="str">
        <f>IF(A72&gt;0,FLN!I64,"")</f>
        <v/>
      </c>
      <c r="BC72" s="47" t="str">
        <f>IF(A72&gt;0,FLN!J64,"")</f>
        <v/>
      </c>
      <c r="BD72" s="47" t="str">
        <f>IF(A72&gt;0,FLN!K64,"")</f>
        <v/>
      </c>
      <c r="BE72" s="47" t="str">
        <f t="shared" si="15"/>
        <v/>
      </c>
      <c r="BF72" s="130" t="str">
        <f>IF(AY72="","",IFERROR(RANK(AY72,$AY$12:$AY$111,0)+COUNTIFS($AY$12:AY72,AY72)-1,0))</f>
        <v/>
      </c>
      <c r="BG72" s="130" t="str">
        <f t="shared" si="16"/>
        <v/>
      </c>
    </row>
    <row r="73" s="98" customFormat="1" ht="27" customHeight="1" spans="1:59">
      <c r="A73" s="47">
        <f>IF(A72=0,0,IF(A72&lt;ENTRY!$D$24,A72+1,0))</f>
        <v>0</v>
      </c>
      <c r="B73" s="47" t="str">
        <f>IF(A73&gt;0,STUDENT!F63,"")</f>
        <v/>
      </c>
      <c r="C73" s="176" t="str">
        <f>IF(A73&gt;0,UPPER(STUDENT!E63),"")</f>
        <v/>
      </c>
      <c r="D73" s="176" t="str">
        <f>IF(A73&gt;0,UPPER(STUDENT!H63),"")</f>
        <v/>
      </c>
      <c r="E73" s="47" t="str">
        <f>IF(A73&gt;0,UPPER(STUDENT!BP63),"")</f>
        <v/>
      </c>
      <c r="F73" s="47" t="str">
        <f>IF(A73&gt;0,UPPER(STUDENT!BO63),"")</f>
        <v/>
      </c>
      <c r="G73" s="47" t="str">
        <f>IF(A73&gt;0,UPPER(STUDENT!Q63),"")</f>
        <v/>
      </c>
      <c r="H73" s="69" t="str">
        <f>IF(A73&gt;0,PASHEET!CI65/PASHEET!CJ65*100,"")</f>
        <v/>
      </c>
      <c r="I73" s="177" t="str">
        <f>IF(A73&gt;0,SUM(PASHEET!AL65,PASHEET!AT65),"")</f>
        <v/>
      </c>
      <c r="J73" s="177" t="str">
        <f>IF(A73&gt;0,SUM(MARKS!F65,MARKS!AL65),"")</f>
        <v/>
      </c>
      <c r="K73" s="177" t="str">
        <f>IF(A73&gt;0,SUM(MARKS!N65,MARKS!AT65),"")</f>
        <v/>
      </c>
      <c r="L73" s="177" t="str">
        <f>IF(A73&gt;0,SUM(MARKS!V65,MARKS!BB65),"")</f>
        <v/>
      </c>
      <c r="M73" s="177" t="str">
        <f>IF(A73&gt;0,SUM(MARKS!AD65,MARKS!BJ65),"")</f>
        <v/>
      </c>
      <c r="N73" s="177" t="str">
        <f t="shared" si="0"/>
        <v/>
      </c>
      <c r="O73" s="177" t="str">
        <f t="shared" si="1"/>
        <v/>
      </c>
      <c r="P73" s="177" t="str">
        <f>IF(A73&gt;0,SUM(PASHEET!AM65,PASHEET!AU65),"")</f>
        <v/>
      </c>
      <c r="Q73" s="177" t="str">
        <f>IF(A73&gt;0,SUM(MARKS!G65,MARKS!AM65),"")</f>
        <v/>
      </c>
      <c r="R73" s="177" t="str">
        <f>IF(A73&gt;0,SUM(MARKS!O65,MARKS!AU65),"")</f>
        <v/>
      </c>
      <c r="S73" s="177" t="str">
        <f>IF(A73&gt;0,SUM(MARKS!W65,MARKS!BC65),"")</f>
        <v/>
      </c>
      <c r="T73" s="177" t="str">
        <f>IF(A73&gt;0,SUM(MARKS!AE65,MARKS!BK65),"")</f>
        <v/>
      </c>
      <c r="U73" s="177" t="str">
        <f t="shared" si="2"/>
        <v/>
      </c>
      <c r="V73" s="177" t="str">
        <f t="shared" si="3"/>
        <v/>
      </c>
      <c r="W73" s="177" t="str">
        <f>IF(A73&gt;0,SUM(PASHEET!AN65,PASHEET!AV65),"")</f>
        <v/>
      </c>
      <c r="X73" s="177" t="str">
        <f>IF(A73&gt;0,SUM(MARKS!H65,MARKS!AN65),"")</f>
        <v/>
      </c>
      <c r="Y73" s="177" t="str">
        <f>IF(A73&gt;0,SUM(MARKS!P65,MARKS!AV65),"")</f>
        <v/>
      </c>
      <c r="Z73" s="177" t="str">
        <f>IF(A73&gt;0,SUM(MARKS!X65,MARKS!BD65),"")</f>
        <v/>
      </c>
      <c r="AA73" s="177" t="str">
        <f>IF(A73&gt;0,SUM(MARKS!AF65,MARKS!BL65),"")</f>
        <v/>
      </c>
      <c r="AB73" s="177" t="str">
        <f t="shared" si="4"/>
        <v/>
      </c>
      <c r="AC73" s="177" t="str">
        <f t="shared" si="5"/>
        <v/>
      </c>
      <c r="AD73" s="177" t="str">
        <f>IF(A73&gt;0,SUM(PASHEET!AO65,PASHEET!AW65),"")</f>
        <v/>
      </c>
      <c r="AE73" s="177" t="str">
        <f>IF(A73&gt;0,SUM(MARKS!I65,MARKS!AO65),"")</f>
        <v/>
      </c>
      <c r="AF73" s="177" t="str">
        <f>IF(A73&gt;0,SUM(MARKS!Q65,MARKS!AW65),"")</f>
        <v/>
      </c>
      <c r="AG73" s="177" t="str">
        <f>IF(A73&gt;0,SUM(MARKS!Y65,MARKS!BE65),"")</f>
        <v/>
      </c>
      <c r="AH73" s="177" t="str">
        <f>IF(A73&gt;0,SUM(MARKS!AG65,MARKS!BM65),"")</f>
        <v/>
      </c>
      <c r="AI73" s="177" t="str">
        <f t="shared" si="6"/>
        <v/>
      </c>
      <c r="AJ73" s="177" t="str">
        <f t="shared" si="7"/>
        <v/>
      </c>
      <c r="AK73" s="177" t="str">
        <f>IF(A73&gt;0,SUM(PASHEET!AP65,PASHEET!AX65),"")</f>
        <v/>
      </c>
      <c r="AL73" s="177" t="str">
        <f>IF(A73&gt;0,SUM(MARKS!J65,MARKS!AP65),"")</f>
        <v/>
      </c>
      <c r="AM73" s="177" t="str">
        <f>IF(A73&gt;0,SUM(MARKS!R65,MARKS!AX65),"")</f>
        <v/>
      </c>
      <c r="AN73" s="177" t="str">
        <f>IF(A73&gt;0,SUM(MARKS!Z65,MARKS!BF65),"")</f>
        <v/>
      </c>
      <c r="AO73" s="177" t="str">
        <f>IF(A73&gt;0,SUM(MARKS!AH65,MARKS!BN65),"")</f>
        <v/>
      </c>
      <c r="AP73" s="177" t="str">
        <f t="shared" si="8"/>
        <v/>
      </c>
      <c r="AQ73" s="177" t="str">
        <f t="shared" si="9"/>
        <v/>
      </c>
      <c r="AR73" s="177" t="str">
        <f>IF(A73&gt;0,SUM(PASHEET!AQ65,PASHEET!AY65),"")</f>
        <v/>
      </c>
      <c r="AS73" s="177" t="str">
        <f>IF(A73&gt;0,SUM(MARKS!K65,MARKS!AQ65),"")</f>
        <v/>
      </c>
      <c r="AT73" s="177" t="str">
        <f>IF(A73&gt;0,SUM(MARKS!S65,MARKS!AY65),"")</f>
        <v/>
      </c>
      <c r="AU73" s="177" t="str">
        <f>IF(A73&gt;0,SUM(MARKS!AA65,MARKS!BG65),"")</f>
        <v/>
      </c>
      <c r="AV73" s="177" t="str">
        <f>IF(A73&gt;0,SUM(MARKS!AI65,MARKS!BO65),"")</f>
        <v/>
      </c>
      <c r="AW73" s="177" t="str">
        <f t="shared" si="10"/>
        <v/>
      </c>
      <c r="AX73" s="177" t="str">
        <f t="shared" si="11"/>
        <v/>
      </c>
      <c r="AY73" s="47" t="str">
        <f t="shared" si="12"/>
        <v/>
      </c>
      <c r="AZ73" s="70" t="str">
        <f t="shared" si="13"/>
        <v/>
      </c>
      <c r="BA73" s="177" t="str">
        <f t="shared" si="14"/>
        <v/>
      </c>
      <c r="BB73" s="47" t="str">
        <f>IF(A73&gt;0,FLN!I65,"")</f>
        <v/>
      </c>
      <c r="BC73" s="47" t="str">
        <f>IF(A73&gt;0,FLN!J65,"")</f>
        <v/>
      </c>
      <c r="BD73" s="47" t="str">
        <f>IF(A73&gt;0,FLN!K65,"")</f>
        <v/>
      </c>
      <c r="BE73" s="47" t="str">
        <f t="shared" si="15"/>
        <v/>
      </c>
      <c r="BF73" s="130" t="str">
        <f>IF(AY73="","",IFERROR(RANK(AY73,$AY$12:$AY$111,0)+COUNTIFS($AY$12:AY73,AY73)-1,0))</f>
        <v/>
      </c>
      <c r="BG73" s="130" t="str">
        <f t="shared" si="16"/>
        <v/>
      </c>
    </row>
    <row r="74" s="98" customFormat="1" ht="27" customHeight="1" spans="1:59">
      <c r="A74" s="47">
        <f>IF(A73=0,0,IF(A73&lt;ENTRY!$D$24,A73+1,0))</f>
        <v>0</v>
      </c>
      <c r="B74" s="47" t="str">
        <f>IF(A74&gt;0,STUDENT!F64,"")</f>
        <v/>
      </c>
      <c r="C74" s="176" t="str">
        <f>IF(A74&gt;0,UPPER(STUDENT!E64),"")</f>
        <v/>
      </c>
      <c r="D74" s="176" t="str">
        <f>IF(A74&gt;0,UPPER(STUDENT!H64),"")</f>
        <v/>
      </c>
      <c r="E74" s="47" t="str">
        <f>IF(A74&gt;0,UPPER(STUDENT!BP64),"")</f>
        <v/>
      </c>
      <c r="F74" s="47" t="str">
        <f>IF(A74&gt;0,UPPER(STUDENT!BO64),"")</f>
        <v/>
      </c>
      <c r="G74" s="47" t="str">
        <f>IF(A74&gt;0,UPPER(STUDENT!Q64),"")</f>
        <v/>
      </c>
      <c r="H74" s="69" t="str">
        <f>IF(A74&gt;0,PASHEET!CI66/PASHEET!CJ66*100,"")</f>
        <v/>
      </c>
      <c r="I74" s="177" t="str">
        <f>IF(A74&gt;0,SUM(PASHEET!AL66,PASHEET!AT66),"")</f>
        <v/>
      </c>
      <c r="J74" s="177" t="str">
        <f>IF(A74&gt;0,SUM(MARKS!F66,MARKS!AL66),"")</f>
        <v/>
      </c>
      <c r="K74" s="177" t="str">
        <f>IF(A74&gt;0,SUM(MARKS!N66,MARKS!AT66),"")</f>
        <v/>
      </c>
      <c r="L74" s="177" t="str">
        <f>IF(A74&gt;0,SUM(MARKS!V66,MARKS!BB66),"")</f>
        <v/>
      </c>
      <c r="M74" s="177" t="str">
        <f>IF(A74&gt;0,SUM(MARKS!AD66,MARKS!BJ66),"")</f>
        <v/>
      </c>
      <c r="N74" s="177" t="str">
        <f t="shared" si="0"/>
        <v/>
      </c>
      <c r="O74" s="177" t="str">
        <f t="shared" si="1"/>
        <v/>
      </c>
      <c r="P74" s="177" t="str">
        <f>IF(A74&gt;0,SUM(PASHEET!AM66,PASHEET!AU66),"")</f>
        <v/>
      </c>
      <c r="Q74" s="177" t="str">
        <f>IF(A74&gt;0,SUM(MARKS!G66,MARKS!AM66),"")</f>
        <v/>
      </c>
      <c r="R74" s="177" t="str">
        <f>IF(A74&gt;0,SUM(MARKS!O66,MARKS!AU66),"")</f>
        <v/>
      </c>
      <c r="S74" s="177" t="str">
        <f>IF(A74&gt;0,SUM(MARKS!W66,MARKS!BC66),"")</f>
        <v/>
      </c>
      <c r="T74" s="177" t="str">
        <f>IF(A74&gt;0,SUM(MARKS!AE66,MARKS!BK66),"")</f>
        <v/>
      </c>
      <c r="U74" s="177" t="str">
        <f t="shared" si="2"/>
        <v/>
      </c>
      <c r="V74" s="177" t="str">
        <f t="shared" si="3"/>
        <v/>
      </c>
      <c r="W74" s="177" t="str">
        <f>IF(A74&gt;0,SUM(PASHEET!AN66,PASHEET!AV66),"")</f>
        <v/>
      </c>
      <c r="X74" s="177" t="str">
        <f>IF(A74&gt;0,SUM(MARKS!H66,MARKS!AN66),"")</f>
        <v/>
      </c>
      <c r="Y74" s="177" t="str">
        <f>IF(A74&gt;0,SUM(MARKS!P66,MARKS!AV66),"")</f>
        <v/>
      </c>
      <c r="Z74" s="177" t="str">
        <f>IF(A74&gt;0,SUM(MARKS!X66,MARKS!BD66),"")</f>
        <v/>
      </c>
      <c r="AA74" s="177" t="str">
        <f>IF(A74&gt;0,SUM(MARKS!AF66,MARKS!BL66),"")</f>
        <v/>
      </c>
      <c r="AB74" s="177" t="str">
        <f t="shared" si="4"/>
        <v/>
      </c>
      <c r="AC74" s="177" t="str">
        <f t="shared" si="5"/>
        <v/>
      </c>
      <c r="AD74" s="177" t="str">
        <f>IF(A74&gt;0,SUM(PASHEET!AO66,PASHEET!AW66),"")</f>
        <v/>
      </c>
      <c r="AE74" s="177" t="str">
        <f>IF(A74&gt;0,SUM(MARKS!I66,MARKS!AO66),"")</f>
        <v/>
      </c>
      <c r="AF74" s="177" t="str">
        <f>IF(A74&gt;0,SUM(MARKS!Q66,MARKS!AW66),"")</f>
        <v/>
      </c>
      <c r="AG74" s="177" t="str">
        <f>IF(A74&gt;0,SUM(MARKS!Y66,MARKS!BE66),"")</f>
        <v/>
      </c>
      <c r="AH74" s="177" t="str">
        <f>IF(A74&gt;0,SUM(MARKS!AG66,MARKS!BM66),"")</f>
        <v/>
      </c>
      <c r="AI74" s="177" t="str">
        <f t="shared" si="6"/>
        <v/>
      </c>
      <c r="AJ74" s="177" t="str">
        <f t="shared" si="7"/>
        <v/>
      </c>
      <c r="AK74" s="177" t="str">
        <f>IF(A74&gt;0,SUM(PASHEET!AP66,PASHEET!AX66),"")</f>
        <v/>
      </c>
      <c r="AL74" s="177" t="str">
        <f>IF(A74&gt;0,SUM(MARKS!J66,MARKS!AP66),"")</f>
        <v/>
      </c>
      <c r="AM74" s="177" t="str">
        <f>IF(A74&gt;0,SUM(MARKS!R66,MARKS!AX66),"")</f>
        <v/>
      </c>
      <c r="AN74" s="177" t="str">
        <f>IF(A74&gt;0,SUM(MARKS!Z66,MARKS!BF66),"")</f>
        <v/>
      </c>
      <c r="AO74" s="177" t="str">
        <f>IF(A74&gt;0,SUM(MARKS!AH66,MARKS!BN66),"")</f>
        <v/>
      </c>
      <c r="AP74" s="177" t="str">
        <f t="shared" si="8"/>
        <v/>
      </c>
      <c r="AQ74" s="177" t="str">
        <f t="shared" si="9"/>
        <v/>
      </c>
      <c r="AR74" s="177" t="str">
        <f>IF(A74&gt;0,SUM(PASHEET!AQ66,PASHEET!AY66),"")</f>
        <v/>
      </c>
      <c r="AS74" s="177" t="str">
        <f>IF(A74&gt;0,SUM(MARKS!K66,MARKS!AQ66),"")</f>
        <v/>
      </c>
      <c r="AT74" s="177" t="str">
        <f>IF(A74&gt;0,SUM(MARKS!S66,MARKS!AY66),"")</f>
        <v/>
      </c>
      <c r="AU74" s="177" t="str">
        <f>IF(A74&gt;0,SUM(MARKS!AA66,MARKS!BG66),"")</f>
        <v/>
      </c>
      <c r="AV74" s="177" t="str">
        <f>IF(A74&gt;0,SUM(MARKS!AI66,MARKS!BO66),"")</f>
        <v/>
      </c>
      <c r="AW74" s="177" t="str">
        <f t="shared" si="10"/>
        <v/>
      </c>
      <c r="AX74" s="177" t="str">
        <f t="shared" si="11"/>
        <v/>
      </c>
      <c r="AY74" s="47" t="str">
        <f t="shared" si="12"/>
        <v/>
      </c>
      <c r="AZ74" s="70" t="str">
        <f t="shared" si="13"/>
        <v/>
      </c>
      <c r="BA74" s="177" t="str">
        <f t="shared" si="14"/>
        <v/>
      </c>
      <c r="BB74" s="47" t="str">
        <f>IF(A74&gt;0,FLN!I66,"")</f>
        <v/>
      </c>
      <c r="BC74" s="47" t="str">
        <f>IF(A74&gt;0,FLN!J66,"")</f>
        <v/>
      </c>
      <c r="BD74" s="47" t="str">
        <f>IF(A74&gt;0,FLN!K66,"")</f>
        <v/>
      </c>
      <c r="BE74" s="47" t="str">
        <f t="shared" si="15"/>
        <v/>
      </c>
      <c r="BF74" s="130" t="str">
        <f>IF(AY74="","",IFERROR(RANK(AY74,$AY$12:$AY$111,0)+COUNTIFS($AY$12:AY74,AY74)-1,0))</f>
        <v/>
      </c>
      <c r="BG74" s="130" t="str">
        <f t="shared" si="16"/>
        <v/>
      </c>
    </row>
    <row r="75" s="98" customFormat="1" ht="27" customHeight="1" spans="1:59">
      <c r="A75" s="47">
        <f>IF(A74=0,0,IF(A74&lt;ENTRY!$D$24,A74+1,0))</f>
        <v>0</v>
      </c>
      <c r="B75" s="47" t="str">
        <f>IF(A75&gt;0,STUDENT!F65,"")</f>
        <v/>
      </c>
      <c r="C75" s="176" t="str">
        <f>IF(A75&gt;0,UPPER(STUDENT!E65),"")</f>
        <v/>
      </c>
      <c r="D75" s="176" t="str">
        <f>IF(A75&gt;0,UPPER(STUDENT!H65),"")</f>
        <v/>
      </c>
      <c r="E75" s="47" t="str">
        <f>IF(A75&gt;0,UPPER(STUDENT!BP65),"")</f>
        <v/>
      </c>
      <c r="F75" s="47" t="str">
        <f>IF(A75&gt;0,UPPER(STUDENT!BO65),"")</f>
        <v/>
      </c>
      <c r="G75" s="47" t="str">
        <f>IF(A75&gt;0,UPPER(STUDENT!Q65),"")</f>
        <v/>
      </c>
      <c r="H75" s="69" t="str">
        <f>IF(A75&gt;0,PASHEET!CI67/PASHEET!CJ67*100,"")</f>
        <v/>
      </c>
      <c r="I75" s="177" t="str">
        <f>IF(A75&gt;0,SUM(PASHEET!AL67,PASHEET!AT67),"")</f>
        <v/>
      </c>
      <c r="J75" s="177" t="str">
        <f>IF(A75&gt;0,SUM(MARKS!F67,MARKS!AL67),"")</f>
        <v/>
      </c>
      <c r="K75" s="177" t="str">
        <f>IF(A75&gt;0,SUM(MARKS!N67,MARKS!AT67),"")</f>
        <v/>
      </c>
      <c r="L75" s="177" t="str">
        <f>IF(A75&gt;0,SUM(MARKS!V67,MARKS!BB67),"")</f>
        <v/>
      </c>
      <c r="M75" s="177" t="str">
        <f>IF(A75&gt;0,SUM(MARKS!AD67,MARKS!BJ67),"")</f>
        <v/>
      </c>
      <c r="N75" s="177" t="str">
        <f t="shared" si="0"/>
        <v/>
      </c>
      <c r="O75" s="177" t="str">
        <f t="shared" si="1"/>
        <v/>
      </c>
      <c r="P75" s="177" t="str">
        <f>IF(A75&gt;0,SUM(PASHEET!AM67,PASHEET!AU67),"")</f>
        <v/>
      </c>
      <c r="Q75" s="177" t="str">
        <f>IF(A75&gt;0,SUM(MARKS!G67,MARKS!AM67),"")</f>
        <v/>
      </c>
      <c r="R75" s="177" t="str">
        <f>IF(A75&gt;0,SUM(MARKS!O67,MARKS!AU67),"")</f>
        <v/>
      </c>
      <c r="S75" s="177" t="str">
        <f>IF(A75&gt;0,SUM(MARKS!W67,MARKS!BC67),"")</f>
        <v/>
      </c>
      <c r="T75" s="177" t="str">
        <f>IF(A75&gt;0,SUM(MARKS!AE67,MARKS!BK67),"")</f>
        <v/>
      </c>
      <c r="U75" s="177" t="str">
        <f t="shared" si="2"/>
        <v/>
      </c>
      <c r="V75" s="177" t="str">
        <f t="shared" si="3"/>
        <v/>
      </c>
      <c r="W75" s="177" t="str">
        <f>IF(A75&gt;0,SUM(PASHEET!AN67,PASHEET!AV67),"")</f>
        <v/>
      </c>
      <c r="X75" s="177" t="str">
        <f>IF(A75&gt;0,SUM(MARKS!H67,MARKS!AN67),"")</f>
        <v/>
      </c>
      <c r="Y75" s="177" t="str">
        <f>IF(A75&gt;0,SUM(MARKS!P67,MARKS!AV67),"")</f>
        <v/>
      </c>
      <c r="Z75" s="177" t="str">
        <f>IF(A75&gt;0,SUM(MARKS!X67,MARKS!BD67),"")</f>
        <v/>
      </c>
      <c r="AA75" s="177" t="str">
        <f>IF(A75&gt;0,SUM(MARKS!AF67,MARKS!BL67),"")</f>
        <v/>
      </c>
      <c r="AB75" s="177" t="str">
        <f t="shared" si="4"/>
        <v/>
      </c>
      <c r="AC75" s="177" t="str">
        <f t="shared" si="5"/>
        <v/>
      </c>
      <c r="AD75" s="177" t="str">
        <f>IF(A75&gt;0,SUM(PASHEET!AO67,PASHEET!AW67),"")</f>
        <v/>
      </c>
      <c r="AE75" s="177" t="str">
        <f>IF(A75&gt;0,SUM(MARKS!I67,MARKS!AO67),"")</f>
        <v/>
      </c>
      <c r="AF75" s="177" t="str">
        <f>IF(A75&gt;0,SUM(MARKS!Q67,MARKS!AW67),"")</f>
        <v/>
      </c>
      <c r="AG75" s="177" t="str">
        <f>IF(A75&gt;0,SUM(MARKS!Y67,MARKS!BE67),"")</f>
        <v/>
      </c>
      <c r="AH75" s="177" t="str">
        <f>IF(A75&gt;0,SUM(MARKS!AG67,MARKS!BM67),"")</f>
        <v/>
      </c>
      <c r="AI75" s="177" t="str">
        <f t="shared" si="6"/>
        <v/>
      </c>
      <c r="AJ75" s="177" t="str">
        <f t="shared" si="7"/>
        <v/>
      </c>
      <c r="AK75" s="177" t="str">
        <f>IF(A75&gt;0,SUM(PASHEET!AP67,PASHEET!AX67),"")</f>
        <v/>
      </c>
      <c r="AL75" s="177" t="str">
        <f>IF(A75&gt;0,SUM(MARKS!J67,MARKS!AP67),"")</f>
        <v/>
      </c>
      <c r="AM75" s="177" t="str">
        <f>IF(A75&gt;0,SUM(MARKS!R67,MARKS!AX67),"")</f>
        <v/>
      </c>
      <c r="AN75" s="177" t="str">
        <f>IF(A75&gt;0,SUM(MARKS!Z67,MARKS!BF67),"")</f>
        <v/>
      </c>
      <c r="AO75" s="177" t="str">
        <f>IF(A75&gt;0,SUM(MARKS!AH67,MARKS!BN67),"")</f>
        <v/>
      </c>
      <c r="AP75" s="177" t="str">
        <f t="shared" si="8"/>
        <v/>
      </c>
      <c r="AQ75" s="177" t="str">
        <f t="shared" si="9"/>
        <v/>
      </c>
      <c r="AR75" s="177" t="str">
        <f>IF(A75&gt;0,SUM(PASHEET!AQ67,PASHEET!AY67),"")</f>
        <v/>
      </c>
      <c r="AS75" s="177" t="str">
        <f>IF(A75&gt;0,SUM(MARKS!K67,MARKS!AQ67),"")</f>
        <v/>
      </c>
      <c r="AT75" s="177" t="str">
        <f>IF(A75&gt;0,SUM(MARKS!S67,MARKS!AY67),"")</f>
        <v/>
      </c>
      <c r="AU75" s="177" t="str">
        <f>IF(A75&gt;0,SUM(MARKS!AA67,MARKS!BG67),"")</f>
        <v/>
      </c>
      <c r="AV75" s="177" t="str">
        <f>IF(A75&gt;0,SUM(MARKS!AI67,MARKS!BO67),"")</f>
        <v/>
      </c>
      <c r="AW75" s="177" t="str">
        <f t="shared" si="10"/>
        <v/>
      </c>
      <c r="AX75" s="177" t="str">
        <f t="shared" si="11"/>
        <v/>
      </c>
      <c r="AY75" s="47" t="str">
        <f t="shared" si="12"/>
        <v/>
      </c>
      <c r="AZ75" s="70" t="str">
        <f t="shared" si="13"/>
        <v/>
      </c>
      <c r="BA75" s="177" t="str">
        <f t="shared" si="14"/>
        <v/>
      </c>
      <c r="BB75" s="47" t="str">
        <f>IF(A75&gt;0,FLN!I67,"")</f>
        <v/>
      </c>
      <c r="BC75" s="47" t="str">
        <f>IF(A75&gt;0,FLN!J67,"")</f>
        <v/>
      </c>
      <c r="BD75" s="47" t="str">
        <f>IF(A75&gt;0,FLN!K67,"")</f>
        <v/>
      </c>
      <c r="BE75" s="47" t="str">
        <f t="shared" si="15"/>
        <v/>
      </c>
      <c r="BF75" s="130" t="str">
        <f>IF(AY75="","",IFERROR(RANK(AY75,$AY$12:$AY$111,0)+COUNTIFS($AY$12:AY75,AY75)-1,0))</f>
        <v/>
      </c>
      <c r="BG75" s="130" t="str">
        <f t="shared" si="16"/>
        <v/>
      </c>
    </row>
    <row r="76" s="98" customFormat="1" ht="27" customHeight="1" spans="1:59">
      <c r="A76" s="47">
        <f>IF(A75=0,0,IF(A75&lt;ENTRY!$D$24,A75+1,0))</f>
        <v>0</v>
      </c>
      <c r="B76" s="47" t="str">
        <f>IF(A76&gt;0,STUDENT!F66,"")</f>
        <v/>
      </c>
      <c r="C76" s="176" t="str">
        <f>IF(A76&gt;0,UPPER(STUDENT!E66),"")</f>
        <v/>
      </c>
      <c r="D76" s="176" t="str">
        <f>IF(A76&gt;0,UPPER(STUDENT!H66),"")</f>
        <v/>
      </c>
      <c r="E76" s="47" t="str">
        <f>IF(A76&gt;0,UPPER(STUDENT!BP66),"")</f>
        <v/>
      </c>
      <c r="F76" s="47" t="str">
        <f>IF(A76&gt;0,UPPER(STUDENT!BO66),"")</f>
        <v/>
      </c>
      <c r="G76" s="47" t="str">
        <f>IF(A76&gt;0,UPPER(STUDENT!Q66),"")</f>
        <v/>
      </c>
      <c r="H76" s="69" t="str">
        <f>IF(A76&gt;0,PASHEET!CI68/PASHEET!CJ68*100,"")</f>
        <v/>
      </c>
      <c r="I76" s="177" t="str">
        <f>IF(A76&gt;0,SUM(PASHEET!AL68,PASHEET!AT68),"")</f>
        <v/>
      </c>
      <c r="J76" s="177" t="str">
        <f>IF(A76&gt;0,SUM(MARKS!F68,MARKS!AL68),"")</f>
        <v/>
      </c>
      <c r="K76" s="177" t="str">
        <f>IF(A76&gt;0,SUM(MARKS!N68,MARKS!AT68),"")</f>
        <v/>
      </c>
      <c r="L76" s="177" t="str">
        <f>IF(A76&gt;0,SUM(MARKS!V68,MARKS!BB68),"")</f>
        <v/>
      </c>
      <c r="M76" s="177" t="str">
        <f>IF(A76&gt;0,SUM(MARKS!AD68,MARKS!BJ68),"")</f>
        <v/>
      </c>
      <c r="N76" s="177" t="str">
        <f t="shared" si="0"/>
        <v/>
      </c>
      <c r="O76" s="177" t="str">
        <f t="shared" si="1"/>
        <v/>
      </c>
      <c r="P76" s="177" t="str">
        <f>IF(A76&gt;0,SUM(PASHEET!AM68,PASHEET!AU68),"")</f>
        <v/>
      </c>
      <c r="Q76" s="177" t="str">
        <f>IF(A76&gt;0,SUM(MARKS!G68,MARKS!AM68),"")</f>
        <v/>
      </c>
      <c r="R76" s="177" t="str">
        <f>IF(A76&gt;0,SUM(MARKS!O68,MARKS!AU68),"")</f>
        <v/>
      </c>
      <c r="S76" s="177" t="str">
        <f>IF(A76&gt;0,SUM(MARKS!W68,MARKS!BC68),"")</f>
        <v/>
      </c>
      <c r="T76" s="177" t="str">
        <f>IF(A76&gt;0,SUM(MARKS!AE68,MARKS!BK68),"")</f>
        <v/>
      </c>
      <c r="U76" s="177" t="str">
        <f t="shared" si="2"/>
        <v/>
      </c>
      <c r="V76" s="177" t="str">
        <f t="shared" si="3"/>
        <v/>
      </c>
      <c r="W76" s="177" t="str">
        <f>IF(A76&gt;0,SUM(PASHEET!AN68,PASHEET!AV68),"")</f>
        <v/>
      </c>
      <c r="X76" s="177" t="str">
        <f>IF(A76&gt;0,SUM(MARKS!H68,MARKS!AN68),"")</f>
        <v/>
      </c>
      <c r="Y76" s="177" t="str">
        <f>IF(A76&gt;0,SUM(MARKS!P68,MARKS!AV68),"")</f>
        <v/>
      </c>
      <c r="Z76" s="177" t="str">
        <f>IF(A76&gt;0,SUM(MARKS!X68,MARKS!BD68),"")</f>
        <v/>
      </c>
      <c r="AA76" s="177" t="str">
        <f>IF(A76&gt;0,SUM(MARKS!AF68,MARKS!BL68),"")</f>
        <v/>
      </c>
      <c r="AB76" s="177" t="str">
        <f t="shared" si="4"/>
        <v/>
      </c>
      <c r="AC76" s="177" t="str">
        <f t="shared" si="5"/>
        <v/>
      </c>
      <c r="AD76" s="177" t="str">
        <f>IF(A76&gt;0,SUM(PASHEET!AO68,PASHEET!AW68),"")</f>
        <v/>
      </c>
      <c r="AE76" s="177" t="str">
        <f>IF(A76&gt;0,SUM(MARKS!I68,MARKS!AO68),"")</f>
        <v/>
      </c>
      <c r="AF76" s="177" t="str">
        <f>IF(A76&gt;0,SUM(MARKS!Q68,MARKS!AW68),"")</f>
        <v/>
      </c>
      <c r="AG76" s="177" t="str">
        <f>IF(A76&gt;0,SUM(MARKS!Y68,MARKS!BE68),"")</f>
        <v/>
      </c>
      <c r="AH76" s="177" t="str">
        <f>IF(A76&gt;0,SUM(MARKS!AG68,MARKS!BM68),"")</f>
        <v/>
      </c>
      <c r="AI76" s="177" t="str">
        <f t="shared" si="6"/>
        <v/>
      </c>
      <c r="AJ76" s="177" t="str">
        <f t="shared" si="7"/>
        <v/>
      </c>
      <c r="AK76" s="177" t="str">
        <f>IF(A76&gt;0,SUM(PASHEET!AP68,PASHEET!AX68),"")</f>
        <v/>
      </c>
      <c r="AL76" s="177" t="str">
        <f>IF(A76&gt;0,SUM(MARKS!J68,MARKS!AP68),"")</f>
        <v/>
      </c>
      <c r="AM76" s="177" t="str">
        <f>IF(A76&gt;0,SUM(MARKS!R68,MARKS!AX68),"")</f>
        <v/>
      </c>
      <c r="AN76" s="177" t="str">
        <f>IF(A76&gt;0,SUM(MARKS!Z68,MARKS!BF68),"")</f>
        <v/>
      </c>
      <c r="AO76" s="177" t="str">
        <f>IF(A76&gt;0,SUM(MARKS!AH68,MARKS!BN68),"")</f>
        <v/>
      </c>
      <c r="AP76" s="177" t="str">
        <f t="shared" si="8"/>
        <v/>
      </c>
      <c r="AQ76" s="177" t="str">
        <f t="shared" si="9"/>
        <v/>
      </c>
      <c r="AR76" s="177" t="str">
        <f>IF(A76&gt;0,SUM(PASHEET!AQ68,PASHEET!AY68),"")</f>
        <v/>
      </c>
      <c r="AS76" s="177" t="str">
        <f>IF(A76&gt;0,SUM(MARKS!K68,MARKS!AQ68),"")</f>
        <v/>
      </c>
      <c r="AT76" s="177" t="str">
        <f>IF(A76&gt;0,SUM(MARKS!S68,MARKS!AY68),"")</f>
        <v/>
      </c>
      <c r="AU76" s="177" t="str">
        <f>IF(A76&gt;0,SUM(MARKS!AA68,MARKS!BG68),"")</f>
        <v/>
      </c>
      <c r="AV76" s="177" t="str">
        <f>IF(A76&gt;0,SUM(MARKS!AI68,MARKS!BO68),"")</f>
        <v/>
      </c>
      <c r="AW76" s="177" t="str">
        <f t="shared" si="10"/>
        <v/>
      </c>
      <c r="AX76" s="177" t="str">
        <f t="shared" si="11"/>
        <v/>
      </c>
      <c r="AY76" s="47" t="str">
        <f t="shared" si="12"/>
        <v/>
      </c>
      <c r="AZ76" s="70" t="str">
        <f t="shared" si="13"/>
        <v/>
      </c>
      <c r="BA76" s="177" t="str">
        <f t="shared" si="14"/>
        <v/>
      </c>
      <c r="BB76" s="47" t="str">
        <f>IF(A76&gt;0,FLN!I68,"")</f>
        <v/>
      </c>
      <c r="BC76" s="47" t="str">
        <f>IF(A76&gt;0,FLN!J68,"")</f>
        <v/>
      </c>
      <c r="BD76" s="47" t="str">
        <f>IF(A76&gt;0,FLN!K68,"")</f>
        <v/>
      </c>
      <c r="BE76" s="47" t="str">
        <f t="shared" si="15"/>
        <v/>
      </c>
      <c r="BF76" s="130" t="str">
        <f>IF(AY76="","",IFERROR(RANK(AY76,$AY$12:$AY$111,0)+COUNTIFS($AY$12:AY76,AY76)-1,0))</f>
        <v/>
      </c>
      <c r="BG76" s="130" t="str">
        <f t="shared" si="16"/>
        <v/>
      </c>
    </row>
    <row r="77" s="98" customFormat="1" ht="27" customHeight="1" spans="1:59">
      <c r="A77" s="47">
        <f>IF(A76=0,0,IF(A76&lt;ENTRY!$D$24,A76+1,0))</f>
        <v>0</v>
      </c>
      <c r="B77" s="47" t="str">
        <f>IF(A77&gt;0,STUDENT!F67,"")</f>
        <v/>
      </c>
      <c r="C77" s="176" t="str">
        <f>IF(A77&gt;0,UPPER(STUDENT!E67),"")</f>
        <v/>
      </c>
      <c r="D77" s="176" t="str">
        <f>IF(A77&gt;0,UPPER(STUDENT!H67),"")</f>
        <v/>
      </c>
      <c r="E77" s="47" t="str">
        <f>IF(A77&gt;0,UPPER(STUDENT!BP67),"")</f>
        <v/>
      </c>
      <c r="F77" s="47" t="str">
        <f>IF(A77&gt;0,UPPER(STUDENT!BO67),"")</f>
        <v/>
      </c>
      <c r="G77" s="47" t="str">
        <f>IF(A77&gt;0,UPPER(STUDENT!Q67),"")</f>
        <v/>
      </c>
      <c r="H77" s="69" t="str">
        <f>IF(A77&gt;0,PASHEET!CI69/PASHEET!CJ69*100,"")</f>
        <v/>
      </c>
      <c r="I77" s="177" t="str">
        <f>IF(A77&gt;0,SUM(PASHEET!AL69,PASHEET!AT69),"")</f>
        <v/>
      </c>
      <c r="J77" s="177" t="str">
        <f>IF(A77&gt;0,SUM(MARKS!F69,MARKS!AL69),"")</f>
        <v/>
      </c>
      <c r="K77" s="177" t="str">
        <f>IF(A77&gt;0,SUM(MARKS!N69,MARKS!AT69),"")</f>
        <v/>
      </c>
      <c r="L77" s="177" t="str">
        <f>IF(A77&gt;0,SUM(MARKS!V69,MARKS!BB69),"")</f>
        <v/>
      </c>
      <c r="M77" s="177" t="str">
        <f>IF(A77&gt;0,SUM(MARKS!AD69,MARKS!BJ69),"")</f>
        <v/>
      </c>
      <c r="N77" s="177" t="str">
        <f t="shared" ref="N77:N111" si="17">IF(A77&gt;0,SUM(I77,J77,K77,L77,M77),"")</f>
        <v/>
      </c>
      <c r="O77" s="177" t="str">
        <f t="shared" ref="O77:O111" si="18">IF(N77="","",IF(N77=0,"Ab",IF(N77&gt;80,"A",IF(N77&gt;60,"B",IF(N77&gt;44,"C",IF(N77&gt;=33,"D",IF(N77&lt;=32,"E","")))))))</f>
        <v/>
      </c>
      <c r="P77" s="177" t="str">
        <f>IF(A77&gt;0,SUM(PASHEET!AM69,PASHEET!AU69),"")</f>
        <v/>
      </c>
      <c r="Q77" s="177" t="str">
        <f>IF(A77&gt;0,SUM(MARKS!G69,MARKS!AM69),"")</f>
        <v/>
      </c>
      <c r="R77" s="177" t="str">
        <f>IF(A77&gt;0,SUM(MARKS!O69,MARKS!AU69),"")</f>
        <v/>
      </c>
      <c r="S77" s="177" t="str">
        <f>IF(A77&gt;0,SUM(MARKS!W69,MARKS!BC69),"")</f>
        <v/>
      </c>
      <c r="T77" s="177" t="str">
        <f>IF(A77&gt;0,SUM(MARKS!AE69,MARKS!BK69),"")</f>
        <v/>
      </c>
      <c r="U77" s="177" t="str">
        <f t="shared" ref="U77:U111" si="19">IF(A77&gt;0,SUM(P77,Q77,R77,S77,T77),"")</f>
        <v/>
      </c>
      <c r="V77" s="177" t="str">
        <f t="shared" ref="V77:V111" si="20">IF(U77="","",IF(U77=0,"Ab",IF(U77&gt;80,"A",IF(U77&gt;60,"B",IF(U77&gt;44,"C",IF(U77&gt;=33,"D",IF(U77&lt;=32,"E","")))))))</f>
        <v/>
      </c>
      <c r="W77" s="177" t="str">
        <f>IF(A77&gt;0,SUM(PASHEET!AN69,PASHEET!AV69),"")</f>
        <v/>
      </c>
      <c r="X77" s="177" t="str">
        <f>IF(A77&gt;0,SUM(MARKS!H69,MARKS!AN69),"")</f>
        <v/>
      </c>
      <c r="Y77" s="177" t="str">
        <f>IF(A77&gt;0,SUM(MARKS!P69,MARKS!AV69),"")</f>
        <v/>
      </c>
      <c r="Z77" s="177" t="str">
        <f>IF(A77&gt;0,SUM(MARKS!X69,MARKS!BD69),"")</f>
        <v/>
      </c>
      <c r="AA77" s="177" t="str">
        <f>IF(A77&gt;0,SUM(MARKS!AF69,MARKS!BL69),"")</f>
        <v/>
      </c>
      <c r="AB77" s="177" t="str">
        <f t="shared" ref="AB77:AB111" si="21">IF(A77&gt;0,SUM(W77,X77,Y77,Z77,AA77),"")</f>
        <v/>
      </c>
      <c r="AC77" s="177" t="str">
        <f t="shared" ref="AC77:AC111" si="22">IF(AB77="","",IF(AB77=0,"Ab",IF(AB77&gt;80,"A",IF(AB77&gt;60,"B",IF(AB77&gt;44,"C",IF(AB77&gt;=33,"D",IF(AB77&lt;=32,"E","")))))))</f>
        <v/>
      </c>
      <c r="AD77" s="177" t="str">
        <f>IF(A77&gt;0,SUM(PASHEET!AO69,PASHEET!AW69),"")</f>
        <v/>
      </c>
      <c r="AE77" s="177" t="str">
        <f>IF(A77&gt;0,SUM(MARKS!I69,MARKS!AO69),"")</f>
        <v/>
      </c>
      <c r="AF77" s="177" t="str">
        <f>IF(A77&gt;0,SUM(MARKS!Q69,MARKS!AW69),"")</f>
        <v/>
      </c>
      <c r="AG77" s="177" t="str">
        <f>IF(A77&gt;0,SUM(MARKS!Y69,MARKS!BE69),"")</f>
        <v/>
      </c>
      <c r="AH77" s="177" t="str">
        <f>IF(A77&gt;0,SUM(MARKS!AG69,MARKS!BM69),"")</f>
        <v/>
      </c>
      <c r="AI77" s="177" t="str">
        <f t="shared" ref="AI77:AI111" si="23">IF(A77&gt;0,SUM(AD77,AE77,AF77,AG77,AH77),"")</f>
        <v/>
      </c>
      <c r="AJ77" s="177" t="str">
        <f t="shared" ref="AJ77:AJ111" si="24">IF(AI77="","",IF(AI77=0,"Ab",IF(AI77&gt;80,"A",IF(AI77&gt;60,"B",IF(AI77&gt;44,"C",IF(AI77&gt;=33,"D",IF(AI77&lt;=32,"E","")))))))</f>
        <v/>
      </c>
      <c r="AK77" s="177" t="str">
        <f>IF(A77&gt;0,SUM(PASHEET!AP69,PASHEET!AX69),"")</f>
        <v/>
      </c>
      <c r="AL77" s="177" t="str">
        <f>IF(A77&gt;0,SUM(MARKS!J69,MARKS!AP69),"")</f>
        <v/>
      </c>
      <c r="AM77" s="177" t="str">
        <f>IF(A77&gt;0,SUM(MARKS!R69,MARKS!AX69),"")</f>
        <v/>
      </c>
      <c r="AN77" s="177" t="str">
        <f>IF(A77&gt;0,SUM(MARKS!Z69,MARKS!BF69),"")</f>
        <v/>
      </c>
      <c r="AO77" s="177" t="str">
        <f>IF(A77&gt;0,SUM(MARKS!AH69,MARKS!BN69),"")</f>
        <v/>
      </c>
      <c r="AP77" s="177" t="str">
        <f t="shared" ref="AP77:AP111" si="25">IF(A77&gt;0,SUM(AK77,AL77,AM77,AN77,AO77),"")</f>
        <v/>
      </c>
      <c r="AQ77" s="177" t="str">
        <f t="shared" ref="AQ77:AQ111" si="26">IF(AP77="","",IF(AP77=0,"Ab",IF(AP77&gt;80,"A",IF(AP77&gt;60,"B",IF(AP77&gt;44,"C",IF(AP77&gt;=33,"D",IF(AP77&lt;=32,"E","")))))))</f>
        <v/>
      </c>
      <c r="AR77" s="177" t="str">
        <f>IF(A77&gt;0,SUM(PASHEET!AQ69,PASHEET!AY69),"")</f>
        <v/>
      </c>
      <c r="AS77" s="177" t="str">
        <f>IF(A77&gt;0,SUM(MARKS!K69,MARKS!AQ69),"")</f>
        <v/>
      </c>
      <c r="AT77" s="177" t="str">
        <f>IF(A77&gt;0,SUM(MARKS!S69,MARKS!AY69),"")</f>
        <v/>
      </c>
      <c r="AU77" s="177" t="str">
        <f>IF(A77&gt;0,SUM(MARKS!AA69,MARKS!BG69),"")</f>
        <v/>
      </c>
      <c r="AV77" s="177" t="str">
        <f>IF(A77&gt;0,SUM(MARKS!AI69,MARKS!BO69),"")</f>
        <v/>
      </c>
      <c r="AW77" s="177" t="str">
        <f t="shared" ref="AW77:AW111" si="27">IF(A77&gt;0,SUM(AR77,AS77,AT77,AU77,AV77),"")</f>
        <v/>
      </c>
      <c r="AX77" s="177" t="str">
        <f t="shared" ref="AX77:AX111" si="28">IF(AW77="","",IF(AW77=0,"Ab",IF(AW77&gt;80,"A",IF(AW77&gt;60,"B",IF(AW77&gt;44,"C",IF(AW77&gt;=33,"D",IF(AW77&lt;=32,"E","")))))))</f>
        <v/>
      </c>
      <c r="AY77" s="47" t="str">
        <f t="shared" ref="AY77:AY111" si="29">IF(A77&gt;0,SUM(N77,U77,AB77,AI77,AP77,AW77),"")</f>
        <v/>
      </c>
      <c r="AZ77" s="70" t="str">
        <f t="shared" ref="AZ77:AZ111" si="30">IFERROR(IF(A77&gt;0,AY77/$AY$11*100,""),"")</f>
        <v/>
      </c>
      <c r="BA77" s="177" t="str">
        <f t="shared" ref="BA77:BA111" si="31">IF(AZ77="","",IF(AZ77=0,"Ab",IF(AZ77&gt;80,"A",IF(AZ77&gt;60,"B",IF(AZ77&gt;44,"C",IF(AZ77&gt;=33,"D",IF(AZ77&lt;=32,"E","")))))))</f>
        <v/>
      </c>
      <c r="BB77" s="47" t="str">
        <f>IF(A77&gt;0,FLN!I69,"")</f>
        <v/>
      </c>
      <c r="BC77" s="47" t="str">
        <f>IF(A77&gt;0,FLN!J69,"")</f>
        <v/>
      </c>
      <c r="BD77" s="47" t="str">
        <f>IF(A77&gt;0,FLN!K69,"")</f>
        <v/>
      </c>
      <c r="BE77" s="47" t="str">
        <f t="shared" ref="BE77:BE111" si="32">IF(AZ77="","",IF(AZ77="Ab","PROMOTED",IF(BF77=1,"FIRST",IF(BF77=2,"SECOND",IF(BF77=3,"THIRD",IF(AND(N77&lt;33),"PROMOTED",IF(AND(U77&lt;33),"PROMOTED",IF(AND(AB77&lt;33),"PROMOTED",IF(AND(AI77&lt;33),"PROMOTED",IF(AND(AP77&lt;33),"PROMOTED",IF(AND(AW77&lt;33),"PROMOTED",IF(AND(AZ77&lt;33),"PROMOTED",IF(AND(AZ77&gt;32.99),"PASSED")))))))))))))</f>
        <v/>
      </c>
      <c r="BF77" s="130" t="str">
        <f>IF(AY77="","",IFERROR(RANK(AY77,$AY$12:$AY$111,0)+COUNTIFS($AY$12:AY77,AY77)-1,0))</f>
        <v/>
      </c>
      <c r="BG77" s="130" t="str">
        <f t="shared" ref="BG77:BG111" si="33">IF(AY77="","",AY77)</f>
        <v/>
      </c>
    </row>
    <row r="78" s="98" customFormat="1" ht="27" customHeight="1" spans="1:59">
      <c r="A78" s="47">
        <f>IF(A77=0,0,IF(A77&lt;ENTRY!$D$24,A77+1,0))</f>
        <v>0</v>
      </c>
      <c r="B78" s="47" t="str">
        <f>IF(A78&gt;0,STUDENT!F68,"")</f>
        <v/>
      </c>
      <c r="C78" s="176" t="str">
        <f>IF(A78&gt;0,UPPER(STUDENT!E68),"")</f>
        <v/>
      </c>
      <c r="D78" s="176" t="str">
        <f>IF(A78&gt;0,UPPER(STUDENT!H68),"")</f>
        <v/>
      </c>
      <c r="E78" s="47" t="str">
        <f>IF(A78&gt;0,UPPER(STUDENT!BP68),"")</f>
        <v/>
      </c>
      <c r="F78" s="47" t="str">
        <f>IF(A78&gt;0,UPPER(STUDENT!BO68),"")</f>
        <v/>
      </c>
      <c r="G78" s="47" t="str">
        <f>IF(A78&gt;0,UPPER(STUDENT!Q68),"")</f>
        <v/>
      </c>
      <c r="H78" s="69" t="str">
        <f>IF(A78&gt;0,PASHEET!CI70/PASHEET!CJ70*100,"")</f>
        <v/>
      </c>
      <c r="I78" s="177" t="str">
        <f>IF(A78&gt;0,SUM(PASHEET!AL70,PASHEET!AT70),"")</f>
        <v/>
      </c>
      <c r="J78" s="177" t="str">
        <f>IF(A78&gt;0,SUM(MARKS!F70,MARKS!AL70),"")</f>
        <v/>
      </c>
      <c r="K78" s="177" t="str">
        <f>IF(A78&gt;0,SUM(MARKS!N70,MARKS!AT70),"")</f>
        <v/>
      </c>
      <c r="L78" s="177" t="str">
        <f>IF(A78&gt;0,SUM(MARKS!V70,MARKS!BB70),"")</f>
        <v/>
      </c>
      <c r="M78" s="177" t="str">
        <f>IF(A78&gt;0,SUM(MARKS!AD70,MARKS!BJ70),"")</f>
        <v/>
      </c>
      <c r="N78" s="177" t="str">
        <f t="shared" si="17"/>
        <v/>
      </c>
      <c r="O78" s="177" t="str">
        <f t="shared" si="18"/>
        <v/>
      </c>
      <c r="P78" s="177" t="str">
        <f>IF(A78&gt;0,SUM(PASHEET!AM70,PASHEET!AU70),"")</f>
        <v/>
      </c>
      <c r="Q78" s="177" t="str">
        <f>IF(A78&gt;0,SUM(MARKS!G70,MARKS!AM70),"")</f>
        <v/>
      </c>
      <c r="R78" s="177" t="str">
        <f>IF(A78&gt;0,SUM(MARKS!O70,MARKS!AU70),"")</f>
        <v/>
      </c>
      <c r="S78" s="177" t="str">
        <f>IF(A78&gt;0,SUM(MARKS!W70,MARKS!BC70),"")</f>
        <v/>
      </c>
      <c r="T78" s="177" t="str">
        <f>IF(A78&gt;0,SUM(MARKS!AE70,MARKS!BK70),"")</f>
        <v/>
      </c>
      <c r="U78" s="177" t="str">
        <f t="shared" si="19"/>
        <v/>
      </c>
      <c r="V78" s="177" t="str">
        <f t="shared" si="20"/>
        <v/>
      </c>
      <c r="W78" s="177" t="str">
        <f>IF(A78&gt;0,SUM(PASHEET!AN70,PASHEET!AV70),"")</f>
        <v/>
      </c>
      <c r="X78" s="177" t="str">
        <f>IF(A78&gt;0,SUM(MARKS!H70,MARKS!AN70),"")</f>
        <v/>
      </c>
      <c r="Y78" s="177" t="str">
        <f>IF(A78&gt;0,SUM(MARKS!P70,MARKS!AV70),"")</f>
        <v/>
      </c>
      <c r="Z78" s="177" t="str">
        <f>IF(A78&gt;0,SUM(MARKS!X70,MARKS!BD70),"")</f>
        <v/>
      </c>
      <c r="AA78" s="177" t="str">
        <f>IF(A78&gt;0,SUM(MARKS!AF70,MARKS!BL70),"")</f>
        <v/>
      </c>
      <c r="AB78" s="177" t="str">
        <f t="shared" si="21"/>
        <v/>
      </c>
      <c r="AC78" s="177" t="str">
        <f t="shared" si="22"/>
        <v/>
      </c>
      <c r="AD78" s="177" t="str">
        <f>IF(A78&gt;0,SUM(PASHEET!AO70,PASHEET!AW70),"")</f>
        <v/>
      </c>
      <c r="AE78" s="177" t="str">
        <f>IF(A78&gt;0,SUM(MARKS!I70,MARKS!AO70),"")</f>
        <v/>
      </c>
      <c r="AF78" s="177" t="str">
        <f>IF(A78&gt;0,SUM(MARKS!Q70,MARKS!AW70),"")</f>
        <v/>
      </c>
      <c r="AG78" s="177" t="str">
        <f>IF(A78&gt;0,SUM(MARKS!Y70,MARKS!BE70),"")</f>
        <v/>
      </c>
      <c r="AH78" s="177" t="str">
        <f>IF(A78&gt;0,SUM(MARKS!AG70,MARKS!BM70),"")</f>
        <v/>
      </c>
      <c r="AI78" s="177" t="str">
        <f t="shared" si="23"/>
        <v/>
      </c>
      <c r="AJ78" s="177" t="str">
        <f t="shared" si="24"/>
        <v/>
      </c>
      <c r="AK78" s="177" t="str">
        <f>IF(A78&gt;0,SUM(PASHEET!AP70,PASHEET!AX70),"")</f>
        <v/>
      </c>
      <c r="AL78" s="177" t="str">
        <f>IF(A78&gt;0,SUM(MARKS!J70,MARKS!AP70),"")</f>
        <v/>
      </c>
      <c r="AM78" s="177" t="str">
        <f>IF(A78&gt;0,SUM(MARKS!R70,MARKS!AX70),"")</f>
        <v/>
      </c>
      <c r="AN78" s="177" t="str">
        <f>IF(A78&gt;0,SUM(MARKS!Z70,MARKS!BF70),"")</f>
        <v/>
      </c>
      <c r="AO78" s="177" t="str">
        <f>IF(A78&gt;0,SUM(MARKS!AH70,MARKS!BN70),"")</f>
        <v/>
      </c>
      <c r="AP78" s="177" t="str">
        <f t="shared" si="25"/>
        <v/>
      </c>
      <c r="AQ78" s="177" t="str">
        <f t="shared" si="26"/>
        <v/>
      </c>
      <c r="AR78" s="177" t="str">
        <f>IF(A78&gt;0,SUM(PASHEET!AQ70,PASHEET!AY70),"")</f>
        <v/>
      </c>
      <c r="AS78" s="177" t="str">
        <f>IF(A78&gt;0,SUM(MARKS!K70,MARKS!AQ70),"")</f>
        <v/>
      </c>
      <c r="AT78" s="177" t="str">
        <f>IF(A78&gt;0,SUM(MARKS!S70,MARKS!AY70),"")</f>
        <v/>
      </c>
      <c r="AU78" s="177" t="str">
        <f>IF(A78&gt;0,SUM(MARKS!AA70,MARKS!BG70),"")</f>
        <v/>
      </c>
      <c r="AV78" s="177" t="str">
        <f>IF(A78&gt;0,SUM(MARKS!AI70,MARKS!BO70),"")</f>
        <v/>
      </c>
      <c r="AW78" s="177" t="str">
        <f t="shared" si="27"/>
        <v/>
      </c>
      <c r="AX78" s="177" t="str">
        <f t="shared" si="28"/>
        <v/>
      </c>
      <c r="AY78" s="47" t="str">
        <f t="shared" si="29"/>
        <v/>
      </c>
      <c r="AZ78" s="70" t="str">
        <f t="shared" si="30"/>
        <v/>
      </c>
      <c r="BA78" s="177" t="str">
        <f t="shared" si="31"/>
        <v/>
      </c>
      <c r="BB78" s="47" t="str">
        <f>IF(A78&gt;0,FLN!I70,"")</f>
        <v/>
      </c>
      <c r="BC78" s="47" t="str">
        <f>IF(A78&gt;0,FLN!J70,"")</f>
        <v/>
      </c>
      <c r="BD78" s="47" t="str">
        <f>IF(A78&gt;0,FLN!K70,"")</f>
        <v/>
      </c>
      <c r="BE78" s="47" t="str">
        <f t="shared" si="32"/>
        <v/>
      </c>
      <c r="BF78" s="130" t="str">
        <f>IF(AY78="","",IFERROR(RANK(AY78,$AY$12:$AY$111,0)+COUNTIFS($AY$12:AY78,AY78)-1,0))</f>
        <v/>
      </c>
      <c r="BG78" s="130" t="str">
        <f t="shared" si="33"/>
        <v/>
      </c>
    </row>
    <row r="79" s="98" customFormat="1" ht="27" customHeight="1" spans="1:59">
      <c r="A79" s="47">
        <f>IF(A78=0,0,IF(A78&lt;ENTRY!$D$24,A78+1,0))</f>
        <v>0</v>
      </c>
      <c r="B79" s="47" t="str">
        <f>IF(A79&gt;0,STUDENT!F69,"")</f>
        <v/>
      </c>
      <c r="C79" s="176" t="str">
        <f>IF(A79&gt;0,UPPER(STUDENT!E69),"")</f>
        <v/>
      </c>
      <c r="D79" s="176" t="str">
        <f>IF(A79&gt;0,UPPER(STUDENT!H69),"")</f>
        <v/>
      </c>
      <c r="E79" s="47" t="str">
        <f>IF(A79&gt;0,UPPER(STUDENT!BP69),"")</f>
        <v/>
      </c>
      <c r="F79" s="47" t="str">
        <f>IF(A79&gt;0,UPPER(STUDENT!BO69),"")</f>
        <v/>
      </c>
      <c r="G79" s="47" t="str">
        <f>IF(A79&gt;0,UPPER(STUDENT!Q69),"")</f>
        <v/>
      </c>
      <c r="H79" s="69" t="str">
        <f>IF(A79&gt;0,PASHEET!CI71/PASHEET!CJ71*100,"")</f>
        <v/>
      </c>
      <c r="I79" s="177" t="str">
        <f>IF(A79&gt;0,SUM(PASHEET!AL71,PASHEET!AT71),"")</f>
        <v/>
      </c>
      <c r="J79" s="177" t="str">
        <f>IF(A79&gt;0,SUM(MARKS!F71,MARKS!AL71),"")</f>
        <v/>
      </c>
      <c r="K79" s="177" t="str">
        <f>IF(A79&gt;0,SUM(MARKS!N71,MARKS!AT71),"")</f>
        <v/>
      </c>
      <c r="L79" s="177" t="str">
        <f>IF(A79&gt;0,SUM(MARKS!V71,MARKS!BB71),"")</f>
        <v/>
      </c>
      <c r="M79" s="177" t="str">
        <f>IF(A79&gt;0,SUM(MARKS!AD71,MARKS!BJ71),"")</f>
        <v/>
      </c>
      <c r="N79" s="177" t="str">
        <f t="shared" si="17"/>
        <v/>
      </c>
      <c r="O79" s="177" t="str">
        <f t="shared" si="18"/>
        <v/>
      </c>
      <c r="P79" s="177" t="str">
        <f>IF(A79&gt;0,SUM(PASHEET!AM71,PASHEET!AU71),"")</f>
        <v/>
      </c>
      <c r="Q79" s="177" t="str">
        <f>IF(A79&gt;0,SUM(MARKS!G71,MARKS!AM71),"")</f>
        <v/>
      </c>
      <c r="R79" s="177" t="str">
        <f>IF(A79&gt;0,SUM(MARKS!O71,MARKS!AU71),"")</f>
        <v/>
      </c>
      <c r="S79" s="177" t="str">
        <f>IF(A79&gt;0,SUM(MARKS!W71,MARKS!BC71),"")</f>
        <v/>
      </c>
      <c r="T79" s="177" t="str">
        <f>IF(A79&gt;0,SUM(MARKS!AE71,MARKS!BK71),"")</f>
        <v/>
      </c>
      <c r="U79" s="177" t="str">
        <f t="shared" si="19"/>
        <v/>
      </c>
      <c r="V79" s="177" t="str">
        <f t="shared" si="20"/>
        <v/>
      </c>
      <c r="W79" s="177" t="str">
        <f>IF(A79&gt;0,SUM(PASHEET!AN71,PASHEET!AV71),"")</f>
        <v/>
      </c>
      <c r="X79" s="177" t="str">
        <f>IF(A79&gt;0,SUM(MARKS!H71,MARKS!AN71),"")</f>
        <v/>
      </c>
      <c r="Y79" s="177" t="str">
        <f>IF(A79&gt;0,SUM(MARKS!P71,MARKS!AV71),"")</f>
        <v/>
      </c>
      <c r="Z79" s="177" t="str">
        <f>IF(A79&gt;0,SUM(MARKS!X71,MARKS!BD71),"")</f>
        <v/>
      </c>
      <c r="AA79" s="177" t="str">
        <f>IF(A79&gt;0,SUM(MARKS!AF71,MARKS!BL71),"")</f>
        <v/>
      </c>
      <c r="AB79" s="177" t="str">
        <f t="shared" si="21"/>
        <v/>
      </c>
      <c r="AC79" s="177" t="str">
        <f t="shared" si="22"/>
        <v/>
      </c>
      <c r="AD79" s="177" t="str">
        <f>IF(A79&gt;0,SUM(PASHEET!AO71,PASHEET!AW71),"")</f>
        <v/>
      </c>
      <c r="AE79" s="177" t="str">
        <f>IF(A79&gt;0,SUM(MARKS!I71,MARKS!AO71),"")</f>
        <v/>
      </c>
      <c r="AF79" s="177" t="str">
        <f>IF(A79&gt;0,SUM(MARKS!Q71,MARKS!AW71),"")</f>
        <v/>
      </c>
      <c r="AG79" s="177" t="str">
        <f>IF(A79&gt;0,SUM(MARKS!Y71,MARKS!BE71),"")</f>
        <v/>
      </c>
      <c r="AH79" s="177" t="str">
        <f>IF(A79&gt;0,SUM(MARKS!AG71,MARKS!BM71),"")</f>
        <v/>
      </c>
      <c r="AI79" s="177" t="str">
        <f t="shared" si="23"/>
        <v/>
      </c>
      <c r="AJ79" s="177" t="str">
        <f t="shared" si="24"/>
        <v/>
      </c>
      <c r="AK79" s="177" t="str">
        <f>IF(A79&gt;0,SUM(PASHEET!AP71,PASHEET!AX71),"")</f>
        <v/>
      </c>
      <c r="AL79" s="177" t="str">
        <f>IF(A79&gt;0,SUM(MARKS!J71,MARKS!AP71),"")</f>
        <v/>
      </c>
      <c r="AM79" s="177" t="str">
        <f>IF(A79&gt;0,SUM(MARKS!R71,MARKS!AX71),"")</f>
        <v/>
      </c>
      <c r="AN79" s="177" t="str">
        <f>IF(A79&gt;0,SUM(MARKS!Z71,MARKS!BF71),"")</f>
        <v/>
      </c>
      <c r="AO79" s="177" t="str">
        <f>IF(A79&gt;0,SUM(MARKS!AH71,MARKS!BN71),"")</f>
        <v/>
      </c>
      <c r="AP79" s="177" t="str">
        <f t="shared" si="25"/>
        <v/>
      </c>
      <c r="AQ79" s="177" t="str">
        <f t="shared" si="26"/>
        <v/>
      </c>
      <c r="AR79" s="177" t="str">
        <f>IF(A79&gt;0,SUM(PASHEET!AQ71,PASHEET!AY71),"")</f>
        <v/>
      </c>
      <c r="AS79" s="177" t="str">
        <f>IF(A79&gt;0,SUM(MARKS!K71,MARKS!AQ71),"")</f>
        <v/>
      </c>
      <c r="AT79" s="177" t="str">
        <f>IF(A79&gt;0,SUM(MARKS!S71,MARKS!AY71),"")</f>
        <v/>
      </c>
      <c r="AU79" s="177" t="str">
        <f>IF(A79&gt;0,SUM(MARKS!AA71,MARKS!BG71),"")</f>
        <v/>
      </c>
      <c r="AV79" s="177" t="str">
        <f>IF(A79&gt;0,SUM(MARKS!AI71,MARKS!BO71),"")</f>
        <v/>
      </c>
      <c r="AW79" s="177" t="str">
        <f t="shared" si="27"/>
        <v/>
      </c>
      <c r="AX79" s="177" t="str">
        <f t="shared" si="28"/>
        <v/>
      </c>
      <c r="AY79" s="47" t="str">
        <f t="shared" si="29"/>
        <v/>
      </c>
      <c r="AZ79" s="70" t="str">
        <f t="shared" si="30"/>
        <v/>
      </c>
      <c r="BA79" s="177" t="str">
        <f t="shared" si="31"/>
        <v/>
      </c>
      <c r="BB79" s="47" t="str">
        <f>IF(A79&gt;0,FLN!I71,"")</f>
        <v/>
      </c>
      <c r="BC79" s="47" t="str">
        <f>IF(A79&gt;0,FLN!J71,"")</f>
        <v/>
      </c>
      <c r="BD79" s="47" t="str">
        <f>IF(A79&gt;0,FLN!K71,"")</f>
        <v/>
      </c>
      <c r="BE79" s="47" t="str">
        <f t="shared" si="32"/>
        <v/>
      </c>
      <c r="BF79" s="130" t="str">
        <f>IF(AY79="","",IFERROR(RANK(AY79,$AY$12:$AY$111,0)+COUNTIFS($AY$12:AY79,AY79)-1,0))</f>
        <v/>
      </c>
      <c r="BG79" s="130" t="str">
        <f t="shared" si="33"/>
        <v/>
      </c>
    </row>
    <row r="80" s="98" customFormat="1" ht="27" customHeight="1" spans="1:59">
      <c r="A80" s="47">
        <f>IF(A79=0,0,IF(A79&lt;ENTRY!$D$24,A79+1,0))</f>
        <v>0</v>
      </c>
      <c r="B80" s="47" t="str">
        <f>IF(A80&gt;0,STUDENT!F70,"")</f>
        <v/>
      </c>
      <c r="C80" s="176" t="str">
        <f>IF(A80&gt;0,UPPER(STUDENT!E70),"")</f>
        <v/>
      </c>
      <c r="D80" s="176" t="str">
        <f>IF(A80&gt;0,UPPER(STUDENT!H70),"")</f>
        <v/>
      </c>
      <c r="E80" s="47" t="str">
        <f>IF(A80&gt;0,UPPER(STUDENT!BP70),"")</f>
        <v/>
      </c>
      <c r="F80" s="47" t="str">
        <f>IF(A80&gt;0,UPPER(STUDENT!BO70),"")</f>
        <v/>
      </c>
      <c r="G80" s="47" t="str">
        <f>IF(A80&gt;0,UPPER(STUDENT!Q70),"")</f>
        <v/>
      </c>
      <c r="H80" s="69" t="str">
        <f>IF(A80&gt;0,PASHEET!CI72/PASHEET!CJ72*100,"")</f>
        <v/>
      </c>
      <c r="I80" s="177" t="str">
        <f>IF(A80&gt;0,SUM(PASHEET!AL72,PASHEET!AT72),"")</f>
        <v/>
      </c>
      <c r="J80" s="177" t="str">
        <f>IF(A80&gt;0,SUM(MARKS!F72,MARKS!AL72),"")</f>
        <v/>
      </c>
      <c r="K80" s="177" t="str">
        <f>IF(A80&gt;0,SUM(MARKS!N72,MARKS!AT72),"")</f>
        <v/>
      </c>
      <c r="L80" s="177" t="str">
        <f>IF(A80&gt;0,SUM(MARKS!V72,MARKS!BB72),"")</f>
        <v/>
      </c>
      <c r="M80" s="177" t="str">
        <f>IF(A80&gt;0,SUM(MARKS!AD72,MARKS!BJ72),"")</f>
        <v/>
      </c>
      <c r="N80" s="177" t="str">
        <f t="shared" si="17"/>
        <v/>
      </c>
      <c r="O80" s="177" t="str">
        <f t="shared" si="18"/>
        <v/>
      </c>
      <c r="P80" s="177" t="str">
        <f>IF(A80&gt;0,SUM(PASHEET!AM72,PASHEET!AU72),"")</f>
        <v/>
      </c>
      <c r="Q80" s="177" t="str">
        <f>IF(A80&gt;0,SUM(MARKS!G72,MARKS!AM72),"")</f>
        <v/>
      </c>
      <c r="R80" s="177" t="str">
        <f>IF(A80&gt;0,SUM(MARKS!O72,MARKS!AU72),"")</f>
        <v/>
      </c>
      <c r="S80" s="177" t="str">
        <f>IF(A80&gt;0,SUM(MARKS!W72,MARKS!BC72),"")</f>
        <v/>
      </c>
      <c r="T80" s="177" t="str">
        <f>IF(A80&gt;0,SUM(MARKS!AE72,MARKS!BK72),"")</f>
        <v/>
      </c>
      <c r="U80" s="177" t="str">
        <f t="shared" si="19"/>
        <v/>
      </c>
      <c r="V80" s="177" t="str">
        <f t="shared" si="20"/>
        <v/>
      </c>
      <c r="W80" s="177" t="str">
        <f>IF(A80&gt;0,SUM(PASHEET!AN72,PASHEET!AV72),"")</f>
        <v/>
      </c>
      <c r="X80" s="177" t="str">
        <f>IF(A80&gt;0,SUM(MARKS!H72,MARKS!AN72),"")</f>
        <v/>
      </c>
      <c r="Y80" s="177" t="str">
        <f>IF(A80&gt;0,SUM(MARKS!P72,MARKS!AV72),"")</f>
        <v/>
      </c>
      <c r="Z80" s="177" t="str">
        <f>IF(A80&gt;0,SUM(MARKS!X72,MARKS!BD72),"")</f>
        <v/>
      </c>
      <c r="AA80" s="177" t="str">
        <f>IF(A80&gt;0,SUM(MARKS!AF72,MARKS!BL72),"")</f>
        <v/>
      </c>
      <c r="AB80" s="177" t="str">
        <f t="shared" si="21"/>
        <v/>
      </c>
      <c r="AC80" s="177" t="str">
        <f t="shared" si="22"/>
        <v/>
      </c>
      <c r="AD80" s="177" t="str">
        <f>IF(A80&gt;0,SUM(PASHEET!AO72,PASHEET!AW72),"")</f>
        <v/>
      </c>
      <c r="AE80" s="177" t="str">
        <f>IF(A80&gt;0,SUM(MARKS!I72,MARKS!AO72),"")</f>
        <v/>
      </c>
      <c r="AF80" s="177" t="str">
        <f>IF(A80&gt;0,SUM(MARKS!Q72,MARKS!AW72),"")</f>
        <v/>
      </c>
      <c r="AG80" s="177" t="str">
        <f>IF(A80&gt;0,SUM(MARKS!Y72,MARKS!BE72),"")</f>
        <v/>
      </c>
      <c r="AH80" s="177" t="str">
        <f>IF(A80&gt;0,SUM(MARKS!AG72,MARKS!BM72),"")</f>
        <v/>
      </c>
      <c r="AI80" s="177" t="str">
        <f t="shared" si="23"/>
        <v/>
      </c>
      <c r="AJ80" s="177" t="str">
        <f t="shared" si="24"/>
        <v/>
      </c>
      <c r="AK80" s="177" t="str">
        <f>IF(A80&gt;0,SUM(PASHEET!AP72,PASHEET!AX72),"")</f>
        <v/>
      </c>
      <c r="AL80" s="177" t="str">
        <f>IF(A80&gt;0,SUM(MARKS!J72,MARKS!AP72),"")</f>
        <v/>
      </c>
      <c r="AM80" s="177" t="str">
        <f>IF(A80&gt;0,SUM(MARKS!R72,MARKS!AX72),"")</f>
        <v/>
      </c>
      <c r="AN80" s="177" t="str">
        <f>IF(A80&gt;0,SUM(MARKS!Z72,MARKS!BF72),"")</f>
        <v/>
      </c>
      <c r="AO80" s="177" t="str">
        <f>IF(A80&gt;0,SUM(MARKS!AH72,MARKS!BN72),"")</f>
        <v/>
      </c>
      <c r="AP80" s="177" t="str">
        <f t="shared" si="25"/>
        <v/>
      </c>
      <c r="AQ80" s="177" t="str">
        <f t="shared" si="26"/>
        <v/>
      </c>
      <c r="AR80" s="177" t="str">
        <f>IF(A80&gt;0,SUM(PASHEET!AQ72,PASHEET!AY72),"")</f>
        <v/>
      </c>
      <c r="AS80" s="177" t="str">
        <f>IF(A80&gt;0,SUM(MARKS!K72,MARKS!AQ72),"")</f>
        <v/>
      </c>
      <c r="AT80" s="177" t="str">
        <f>IF(A80&gt;0,SUM(MARKS!S72,MARKS!AY72),"")</f>
        <v/>
      </c>
      <c r="AU80" s="177" t="str">
        <f>IF(A80&gt;0,SUM(MARKS!AA72,MARKS!BG72),"")</f>
        <v/>
      </c>
      <c r="AV80" s="177" t="str">
        <f>IF(A80&gt;0,SUM(MARKS!AI72,MARKS!BO72),"")</f>
        <v/>
      </c>
      <c r="AW80" s="177" t="str">
        <f t="shared" si="27"/>
        <v/>
      </c>
      <c r="AX80" s="177" t="str">
        <f t="shared" si="28"/>
        <v/>
      </c>
      <c r="AY80" s="47" t="str">
        <f t="shared" si="29"/>
        <v/>
      </c>
      <c r="AZ80" s="70" t="str">
        <f t="shared" si="30"/>
        <v/>
      </c>
      <c r="BA80" s="177" t="str">
        <f t="shared" si="31"/>
        <v/>
      </c>
      <c r="BB80" s="47" t="str">
        <f>IF(A80&gt;0,FLN!I72,"")</f>
        <v/>
      </c>
      <c r="BC80" s="47" t="str">
        <f>IF(A80&gt;0,FLN!J72,"")</f>
        <v/>
      </c>
      <c r="BD80" s="47" t="str">
        <f>IF(A80&gt;0,FLN!K72,"")</f>
        <v/>
      </c>
      <c r="BE80" s="47" t="str">
        <f t="shared" si="32"/>
        <v/>
      </c>
      <c r="BF80" s="130" t="str">
        <f>IF(AY80="","",IFERROR(RANK(AY80,$AY$12:$AY$111,0)+COUNTIFS($AY$12:AY80,AY80)-1,0))</f>
        <v/>
      </c>
      <c r="BG80" s="130" t="str">
        <f t="shared" si="33"/>
        <v/>
      </c>
    </row>
    <row r="81" s="98" customFormat="1" ht="27" customHeight="1" spans="1:59">
      <c r="A81" s="47">
        <f>IF(A80=0,0,IF(A80&lt;ENTRY!$D$24,A80+1,0))</f>
        <v>0</v>
      </c>
      <c r="B81" s="47" t="str">
        <f>IF(A81&gt;0,STUDENT!F71,"")</f>
        <v/>
      </c>
      <c r="C81" s="176" t="str">
        <f>IF(A81&gt;0,UPPER(STUDENT!E71),"")</f>
        <v/>
      </c>
      <c r="D81" s="176" t="str">
        <f>IF(A81&gt;0,UPPER(STUDENT!H71),"")</f>
        <v/>
      </c>
      <c r="E81" s="47" t="str">
        <f>IF(A81&gt;0,UPPER(STUDENT!BP71),"")</f>
        <v/>
      </c>
      <c r="F81" s="47" t="str">
        <f>IF(A81&gt;0,UPPER(STUDENT!BO71),"")</f>
        <v/>
      </c>
      <c r="G81" s="47" t="str">
        <f>IF(A81&gt;0,UPPER(STUDENT!Q71),"")</f>
        <v/>
      </c>
      <c r="H81" s="69" t="str">
        <f>IF(A81&gt;0,PASHEET!CI73/PASHEET!CJ73*100,"")</f>
        <v/>
      </c>
      <c r="I81" s="177" t="str">
        <f>IF(A81&gt;0,SUM(PASHEET!AL73,PASHEET!AT73),"")</f>
        <v/>
      </c>
      <c r="J81" s="177" t="str">
        <f>IF(A81&gt;0,SUM(MARKS!F73,MARKS!AL73),"")</f>
        <v/>
      </c>
      <c r="K81" s="177" t="str">
        <f>IF(A81&gt;0,SUM(MARKS!N73,MARKS!AT73),"")</f>
        <v/>
      </c>
      <c r="L81" s="177" t="str">
        <f>IF(A81&gt;0,SUM(MARKS!V73,MARKS!BB73),"")</f>
        <v/>
      </c>
      <c r="M81" s="177" t="str">
        <f>IF(A81&gt;0,SUM(MARKS!AD73,MARKS!BJ73),"")</f>
        <v/>
      </c>
      <c r="N81" s="177" t="str">
        <f t="shared" si="17"/>
        <v/>
      </c>
      <c r="O81" s="177" t="str">
        <f t="shared" si="18"/>
        <v/>
      </c>
      <c r="P81" s="177" t="str">
        <f>IF(A81&gt;0,SUM(PASHEET!AM73,PASHEET!AU73),"")</f>
        <v/>
      </c>
      <c r="Q81" s="177" t="str">
        <f>IF(A81&gt;0,SUM(MARKS!G73,MARKS!AM73),"")</f>
        <v/>
      </c>
      <c r="R81" s="177" t="str">
        <f>IF(A81&gt;0,SUM(MARKS!O73,MARKS!AU73),"")</f>
        <v/>
      </c>
      <c r="S81" s="177" t="str">
        <f>IF(A81&gt;0,SUM(MARKS!W73,MARKS!BC73),"")</f>
        <v/>
      </c>
      <c r="T81" s="177" t="str">
        <f>IF(A81&gt;0,SUM(MARKS!AE73,MARKS!BK73),"")</f>
        <v/>
      </c>
      <c r="U81" s="177" t="str">
        <f t="shared" si="19"/>
        <v/>
      </c>
      <c r="V81" s="177" t="str">
        <f t="shared" si="20"/>
        <v/>
      </c>
      <c r="W81" s="177" t="str">
        <f>IF(A81&gt;0,SUM(PASHEET!AN73,PASHEET!AV73),"")</f>
        <v/>
      </c>
      <c r="X81" s="177" t="str">
        <f>IF(A81&gt;0,SUM(MARKS!H73,MARKS!AN73),"")</f>
        <v/>
      </c>
      <c r="Y81" s="177" t="str">
        <f>IF(A81&gt;0,SUM(MARKS!P73,MARKS!AV73),"")</f>
        <v/>
      </c>
      <c r="Z81" s="177" t="str">
        <f>IF(A81&gt;0,SUM(MARKS!X73,MARKS!BD73),"")</f>
        <v/>
      </c>
      <c r="AA81" s="177" t="str">
        <f>IF(A81&gt;0,SUM(MARKS!AF73,MARKS!BL73),"")</f>
        <v/>
      </c>
      <c r="AB81" s="177" t="str">
        <f t="shared" si="21"/>
        <v/>
      </c>
      <c r="AC81" s="177" t="str">
        <f t="shared" si="22"/>
        <v/>
      </c>
      <c r="AD81" s="177" t="str">
        <f>IF(A81&gt;0,SUM(PASHEET!AO73,PASHEET!AW73),"")</f>
        <v/>
      </c>
      <c r="AE81" s="177" t="str">
        <f>IF(A81&gt;0,SUM(MARKS!I73,MARKS!AO73),"")</f>
        <v/>
      </c>
      <c r="AF81" s="177" t="str">
        <f>IF(A81&gt;0,SUM(MARKS!Q73,MARKS!AW73),"")</f>
        <v/>
      </c>
      <c r="AG81" s="177" t="str">
        <f>IF(A81&gt;0,SUM(MARKS!Y73,MARKS!BE73),"")</f>
        <v/>
      </c>
      <c r="AH81" s="177" t="str">
        <f>IF(A81&gt;0,SUM(MARKS!AG73,MARKS!BM73),"")</f>
        <v/>
      </c>
      <c r="AI81" s="177" t="str">
        <f t="shared" si="23"/>
        <v/>
      </c>
      <c r="AJ81" s="177" t="str">
        <f t="shared" si="24"/>
        <v/>
      </c>
      <c r="AK81" s="177" t="str">
        <f>IF(A81&gt;0,SUM(PASHEET!AP73,PASHEET!AX73),"")</f>
        <v/>
      </c>
      <c r="AL81" s="177" t="str">
        <f>IF(A81&gt;0,SUM(MARKS!J73,MARKS!AP73),"")</f>
        <v/>
      </c>
      <c r="AM81" s="177" t="str">
        <f>IF(A81&gt;0,SUM(MARKS!R73,MARKS!AX73),"")</f>
        <v/>
      </c>
      <c r="AN81" s="177" t="str">
        <f>IF(A81&gt;0,SUM(MARKS!Z73,MARKS!BF73),"")</f>
        <v/>
      </c>
      <c r="AO81" s="177" t="str">
        <f>IF(A81&gt;0,SUM(MARKS!AH73,MARKS!BN73),"")</f>
        <v/>
      </c>
      <c r="AP81" s="177" t="str">
        <f t="shared" si="25"/>
        <v/>
      </c>
      <c r="AQ81" s="177" t="str">
        <f t="shared" si="26"/>
        <v/>
      </c>
      <c r="AR81" s="177" t="str">
        <f>IF(A81&gt;0,SUM(PASHEET!AQ73,PASHEET!AY73),"")</f>
        <v/>
      </c>
      <c r="AS81" s="177" t="str">
        <f>IF(A81&gt;0,SUM(MARKS!K73,MARKS!AQ73),"")</f>
        <v/>
      </c>
      <c r="AT81" s="177" t="str">
        <f>IF(A81&gt;0,SUM(MARKS!S73,MARKS!AY73),"")</f>
        <v/>
      </c>
      <c r="AU81" s="177" t="str">
        <f>IF(A81&gt;0,SUM(MARKS!AA73,MARKS!BG73),"")</f>
        <v/>
      </c>
      <c r="AV81" s="177" t="str">
        <f>IF(A81&gt;0,SUM(MARKS!AI73,MARKS!BO73),"")</f>
        <v/>
      </c>
      <c r="AW81" s="177" t="str">
        <f t="shared" si="27"/>
        <v/>
      </c>
      <c r="AX81" s="177" t="str">
        <f t="shared" si="28"/>
        <v/>
      </c>
      <c r="AY81" s="47" t="str">
        <f t="shared" si="29"/>
        <v/>
      </c>
      <c r="AZ81" s="70" t="str">
        <f t="shared" si="30"/>
        <v/>
      </c>
      <c r="BA81" s="177" t="str">
        <f t="shared" si="31"/>
        <v/>
      </c>
      <c r="BB81" s="47" t="str">
        <f>IF(A81&gt;0,FLN!I73,"")</f>
        <v/>
      </c>
      <c r="BC81" s="47" t="str">
        <f>IF(A81&gt;0,FLN!J73,"")</f>
        <v/>
      </c>
      <c r="BD81" s="47" t="str">
        <f>IF(A81&gt;0,FLN!K73,"")</f>
        <v/>
      </c>
      <c r="BE81" s="47" t="str">
        <f t="shared" si="32"/>
        <v/>
      </c>
      <c r="BF81" s="130" t="str">
        <f>IF(AY81="","",IFERROR(RANK(AY81,$AY$12:$AY$111,0)+COUNTIFS($AY$12:AY81,AY81)-1,0))</f>
        <v/>
      </c>
      <c r="BG81" s="130" t="str">
        <f t="shared" si="33"/>
        <v/>
      </c>
    </row>
    <row r="82" s="98" customFormat="1" ht="27" customHeight="1" spans="1:59">
      <c r="A82" s="47">
        <f>IF(A81=0,0,IF(A81&lt;ENTRY!$D$24,A81+1,0))</f>
        <v>0</v>
      </c>
      <c r="B82" s="47" t="str">
        <f>IF(A82&gt;0,STUDENT!F72,"")</f>
        <v/>
      </c>
      <c r="C82" s="176" t="str">
        <f>IF(A82&gt;0,UPPER(STUDENT!E72),"")</f>
        <v/>
      </c>
      <c r="D82" s="176" t="str">
        <f>IF(A82&gt;0,UPPER(STUDENT!H72),"")</f>
        <v/>
      </c>
      <c r="E82" s="47" t="str">
        <f>IF(A82&gt;0,UPPER(STUDENT!BP72),"")</f>
        <v/>
      </c>
      <c r="F82" s="47" t="str">
        <f>IF(A82&gt;0,UPPER(STUDENT!BO72),"")</f>
        <v/>
      </c>
      <c r="G82" s="47" t="str">
        <f>IF(A82&gt;0,UPPER(STUDENT!Q72),"")</f>
        <v/>
      </c>
      <c r="H82" s="69" t="str">
        <f>IF(A82&gt;0,PASHEET!CI74/PASHEET!CJ74*100,"")</f>
        <v/>
      </c>
      <c r="I82" s="177" t="str">
        <f>IF(A82&gt;0,SUM(PASHEET!AL74,PASHEET!AT74),"")</f>
        <v/>
      </c>
      <c r="J82" s="177" t="str">
        <f>IF(A82&gt;0,SUM(MARKS!F74,MARKS!AL74),"")</f>
        <v/>
      </c>
      <c r="K82" s="177" t="str">
        <f>IF(A82&gt;0,SUM(MARKS!N74,MARKS!AT74),"")</f>
        <v/>
      </c>
      <c r="L82" s="177" t="str">
        <f>IF(A82&gt;0,SUM(MARKS!V74,MARKS!BB74),"")</f>
        <v/>
      </c>
      <c r="M82" s="177" t="str">
        <f>IF(A82&gt;0,SUM(MARKS!AD74,MARKS!BJ74),"")</f>
        <v/>
      </c>
      <c r="N82" s="177" t="str">
        <f t="shared" si="17"/>
        <v/>
      </c>
      <c r="O82" s="177" t="str">
        <f t="shared" si="18"/>
        <v/>
      </c>
      <c r="P82" s="177" t="str">
        <f>IF(A82&gt;0,SUM(PASHEET!AM74,PASHEET!AU74),"")</f>
        <v/>
      </c>
      <c r="Q82" s="177" t="str">
        <f>IF(A82&gt;0,SUM(MARKS!G74,MARKS!AM74),"")</f>
        <v/>
      </c>
      <c r="R82" s="177" t="str">
        <f>IF(A82&gt;0,SUM(MARKS!O74,MARKS!AU74),"")</f>
        <v/>
      </c>
      <c r="S82" s="177" t="str">
        <f>IF(A82&gt;0,SUM(MARKS!W74,MARKS!BC74),"")</f>
        <v/>
      </c>
      <c r="T82" s="177" t="str">
        <f>IF(A82&gt;0,SUM(MARKS!AE74,MARKS!BK74),"")</f>
        <v/>
      </c>
      <c r="U82" s="177" t="str">
        <f t="shared" si="19"/>
        <v/>
      </c>
      <c r="V82" s="177" t="str">
        <f t="shared" si="20"/>
        <v/>
      </c>
      <c r="W82" s="177" t="str">
        <f>IF(A82&gt;0,SUM(PASHEET!AN74,PASHEET!AV74),"")</f>
        <v/>
      </c>
      <c r="X82" s="177" t="str">
        <f>IF(A82&gt;0,SUM(MARKS!H74,MARKS!AN74),"")</f>
        <v/>
      </c>
      <c r="Y82" s="177" t="str">
        <f>IF(A82&gt;0,SUM(MARKS!P74,MARKS!AV74),"")</f>
        <v/>
      </c>
      <c r="Z82" s="177" t="str">
        <f>IF(A82&gt;0,SUM(MARKS!X74,MARKS!BD74),"")</f>
        <v/>
      </c>
      <c r="AA82" s="177" t="str">
        <f>IF(A82&gt;0,SUM(MARKS!AF74,MARKS!BL74),"")</f>
        <v/>
      </c>
      <c r="AB82" s="177" t="str">
        <f t="shared" si="21"/>
        <v/>
      </c>
      <c r="AC82" s="177" t="str">
        <f t="shared" si="22"/>
        <v/>
      </c>
      <c r="AD82" s="177" t="str">
        <f>IF(A82&gt;0,SUM(PASHEET!AO74,PASHEET!AW74),"")</f>
        <v/>
      </c>
      <c r="AE82" s="177" t="str">
        <f>IF(A82&gt;0,SUM(MARKS!I74,MARKS!AO74),"")</f>
        <v/>
      </c>
      <c r="AF82" s="177" t="str">
        <f>IF(A82&gt;0,SUM(MARKS!Q74,MARKS!AW74),"")</f>
        <v/>
      </c>
      <c r="AG82" s="177" t="str">
        <f>IF(A82&gt;0,SUM(MARKS!Y74,MARKS!BE74),"")</f>
        <v/>
      </c>
      <c r="AH82" s="177" t="str">
        <f>IF(A82&gt;0,SUM(MARKS!AG74,MARKS!BM74),"")</f>
        <v/>
      </c>
      <c r="AI82" s="177" t="str">
        <f t="shared" si="23"/>
        <v/>
      </c>
      <c r="AJ82" s="177" t="str">
        <f t="shared" si="24"/>
        <v/>
      </c>
      <c r="AK82" s="177" t="str">
        <f>IF(A82&gt;0,SUM(PASHEET!AP74,PASHEET!AX74),"")</f>
        <v/>
      </c>
      <c r="AL82" s="177" t="str">
        <f>IF(A82&gt;0,SUM(MARKS!J74,MARKS!AP74),"")</f>
        <v/>
      </c>
      <c r="AM82" s="177" t="str">
        <f>IF(A82&gt;0,SUM(MARKS!R74,MARKS!AX74),"")</f>
        <v/>
      </c>
      <c r="AN82" s="177" t="str">
        <f>IF(A82&gt;0,SUM(MARKS!Z74,MARKS!BF74),"")</f>
        <v/>
      </c>
      <c r="AO82" s="177" t="str">
        <f>IF(A82&gt;0,SUM(MARKS!AH74,MARKS!BN74),"")</f>
        <v/>
      </c>
      <c r="AP82" s="177" t="str">
        <f t="shared" si="25"/>
        <v/>
      </c>
      <c r="AQ82" s="177" t="str">
        <f t="shared" si="26"/>
        <v/>
      </c>
      <c r="AR82" s="177" t="str">
        <f>IF(A82&gt;0,SUM(PASHEET!AQ74,PASHEET!AY74),"")</f>
        <v/>
      </c>
      <c r="AS82" s="177" t="str">
        <f>IF(A82&gt;0,SUM(MARKS!K74,MARKS!AQ74),"")</f>
        <v/>
      </c>
      <c r="AT82" s="177" t="str">
        <f>IF(A82&gt;0,SUM(MARKS!S74,MARKS!AY74),"")</f>
        <v/>
      </c>
      <c r="AU82" s="177" t="str">
        <f>IF(A82&gt;0,SUM(MARKS!AA74,MARKS!BG74),"")</f>
        <v/>
      </c>
      <c r="AV82" s="177" t="str">
        <f>IF(A82&gt;0,SUM(MARKS!AI74,MARKS!BO74),"")</f>
        <v/>
      </c>
      <c r="AW82" s="177" t="str">
        <f t="shared" si="27"/>
        <v/>
      </c>
      <c r="AX82" s="177" t="str">
        <f t="shared" si="28"/>
        <v/>
      </c>
      <c r="AY82" s="47" t="str">
        <f t="shared" si="29"/>
        <v/>
      </c>
      <c r="AZ82" s="70" t="str">
        <f t="shared" si="30"/>
        <v/>
      </c>
      <c r="BA82" s="177" t="str">
        <f t="shared" si="31"/>
        <v/>
      </c>
      <c r="BB82" s="47" t="str">
        <f>IF(A82&gt;0,FLN!I74,"")</f>
        <v/>
      </c>
      <c r="BC82" s="47" t="str">
        <f>IF(A82&gt;0,FLN!J74,"")</f>
        <v/>
      </c>
      <c r="BD82" s="47" t="str">
        <f>IF(A82&gt;0,FLN!K74,"")</f>
        <v/>
      </c>
      <c r="BE82" s="47" t="str">
        <f t="shared" si="32"/>
        <v/>
      </c>
      <c r="BF82" s="130" t="str">
        <f>IF(AY82="","",IFERROR(RANK(AY82,$AY$12:$AY$111,0)+COUNTIFS($AY$12:AY82,AY82)-1,0))</f>
        <v/>
      </c>
      <c r="BG82" s="130" t="str">
        <f t="shared" si="33"/>
        <v/>
      </c>
    </row>
    <row r="83" s="98" customFormat="1" ht="27" customHeight="1" spans="1:59">
      <c r="A83" s="47">
        <f>IF(A82=0,0,IF(A82&lt;ENTRY!$D$24,A82+1,0))</f>
        <v>0</v>
      </c>
      <c r="B83" s="47" t="str">
        <f>IF(A83&gt;0,STUDENT!F73,"")</f>
        <v/>
      </c>
      <c r="C83" s="176" t="str">
        <f>IF(A83&gt;0,UPPER(STUDENT!E73),"")</f>
        <v/>
      </c>
      <c r="D83" s="176" t="str">
        <f>IF(A83&gt;0,UPPER(STUDENT!H73),"")</f>
        <v/>
      </c>
      <c r="E83" s="47" t="str">
        <f>IF(A83&gt;0,UPPER(STUDENT!BP73),"")</f>
        <v/>
      </c>
      <c r="F83" s="47" t="str">
        <f>IF(A83&gt;0,UPPER(STUDENT!BO73),"")</f>
        <v/>
      </c>
      <c r="G83" s="47" t="str">
        <f>IF(A83&gt;0,UPPER(STUDENT!Q73),"")</f>
        <v/>
      </c>
      <c r="H83" s="69" t="str">
        <f>IF(A83&gt;0,PASHEET!CI75/PASHEET!CJ75*100,"")</f>
        <v/>
      </c>
      <c r="I83" s="177" t="str">
        <f>IF(A83&gt;0,SUM(PASHEET!AL75,PASHEET!AT75),"")</f>
        <v/>
      </c>
      <c r="J83" s="177" t="str">
        <f>IF(A83&gt;0,SUM(MARKS!F75,MARKS!AL75),"")</f>
        <v/>
      </c>
      <c r="K83" s="177" t="str">
        <f>IF(A83&gt;0,SUM(MARKS!N75,MARKS!AT75),"")</f>
        <v/>
      </c>
      <c r="L83" s="177" t="str">
        <f>IF(A83&gt;0,SUM(MARKS!V75,MARKS!BB75),"")</f>
        <v/>
      </c>
      <c r="M83" s="177" t="str">
        <f>IF(A83&gt;0,SUM(MARKS!AD75,MARKS!BJ75),"")</f>
        <v/>
      </c>
      <c r="N83" s="177" t="str">
        <f t="shared" si="17"/>
        <v/>
      </c>
      <c r="O83" s="177" t="str">
        <f t="shared" si="18"/>
        <v/>
      </c>
      <c r="P83" s="177" t="str">
        <f>IF(A83&gt;0,SUM(PASHEET!AM75,PASHEET!AU75),"")</f>
        <v/>
      </c>
      <c r="Q83" s="177" t="str">
        <f>IF(A83&gt;0,SUM(MARKS!G75,MARKS!AM75),"")</f>
        <v/>
      </c>
      <c r="R83" s="177" t="str">
        <f>IF(A83&gt;0,SUM(MARKS!O75,MARKS!AU75),"")</f>
        <v/>
      </c>
      <c r="S83" s="177" t="str">
        <f>IF(A83&gt;0,SUM(MARKS!W75,MARKS!BC75),"")</f>
        <v/>
      </c>
      <c r="T83" s="177" t="str">
        <f>IF(A83&gt;0,SUM(MARKS!AE75,MARKS!BK75),"")</f>
        <v/>
      </c>
      <c r="U83" s="177" t="str">
        <f t="shared" si="19"/>
        <v/>
      </c>
      <c r="V83" s="177" t="str">
        <f t="shared" si="20"/>
        <v/>
      </c>
      <c r="W83" s="177" t="str">
        <f>IF(A83&gt;0,SUM(PASHEET!AN75,PASHEET!AV75),"")</f>
        <v/>
      </c>
      <c r="X83" s="177" t="str">
        <f>IF(A83&gt;0,SUM(MARKS!H75,MARKS!AN75),"")</f>
        <v/>
      </c>
      <c r="Y83" s="177" t="str">
        <f>IF(A83&gt;0,SUM(MARKS!P75,MARKS!AV75),"")</f>
        <v/>
      </c>
      <c r="Z83" s="177" t="str">
        <f>IF(A83&gt;0,SUM(MARKS!X75,MARKS!BD75),"")</f>
        <v/>
      </c>
      <c r="AA83" s="177" t="str">
        <f>IF(A83&gt;0,SUM(MARKS!AF75,MARKS!BL75),"")</f>
        <v/>
      </c>
      <c r="AB83" s="177" t="str">
        <f t="shared" si="21"/>
        <v/>
      </c>
      <c r="AC83" s="177" t="str">
        <f t="shared" si="22"/>
        <v/>
      </c>
      <c r="AD83" s="177" t="str">
        <f>IF(A83&gt;0,SUM(PASHEET!AO75,PASHEET!AW75),"")</f>
        <v/>
      </c>
      <c r="AE83" s="177" t="str">
        <f>IF(A83&gt;0,SUM(MARKS!I75,MARKS!AO75),"")</f>
        <v/>
      </c>
      <c r="AF83" s="177" t="str">
        <f>IF(A83&gt;0,SUM(MARKS!Q75,MARKS!AW75),"")</f>
        <v/>
      </c>
      <c r="AG83" s="177" t="str">
        <f>IF(A83&gt;0,SUM(MARKS!Y75,MARKS!BE75),"")</f>
        <v/>
      </c>
      <c r="AH83" s="177" t="str">
        <f>IF(A83&gt;0,SUM(MARKS!AG75,MARKS!BM75),"")</f>
        <v/>
      </c>
      <c r="AI83" s="177" t="str">
        <f t="shared" si="23"/>
        <v/>
      </c>
      <c r="AJ83" s="177" t="str">
        <f t="shared" si="24"/>
        <v/>
      </c>
      <c r="AK83" s="177" t="str">
        <f>IF(A83&gt;0,SUM(PASHEET!AP75,PASHEET!AX75),"")</f>
        <v/>
      </c>
      <c r="AL83" s="177" t="str">
        <f>IF(A83&gt;0,SUM(MARKS!J75,MARKS!AP75),"")</f>
        <v/>
      </c>
      <c r="AM83" s="177" t="str">
        <f>IF(A83&gt;0,SUM(MARKS!R75,MARKS!AX75),"")</f>
        <v/>
      </c>
      <c r="AN83" s="177" t="str">
        <f>IF(A83&gt;0,SUM(MARKS!Z75,MARKS!BF75),"")</f>
        <v/>
      </c>
      <c r="AO83" s="177" t="str">
        <f>IF(A83&gt;0,SUM(MARKS!AH75,MARKS!BN75),"")</f>
        <v/>
      </c>
      <c r="AP83" s="177" t="str">
        <f t="shared" si="25"/>
        <v/>
      </c>
      <c r="AQ83" s="177" t="str">
        <f t="shared" si="26"/>
        <v/>
      </c>
      <c r="AR83" s="177" t="str">
        <f>IF(A83&gt;0,SUM(PASHEET!AQ75,PASHEET!AY75),"")</f>
        <v/>
      </c>
      <c r="AS83" s="177" t="str">
        <f>IF(A83&gt;0,SUM(MARKS!K75,MARKS!AQ75),"")</f>
        <v/>
      </c>
      <c r="AT83" s="177" t="str">
        <f>IF(A83&gt;0,SUM(MARKS!S75,MARKS!AY75),"")</f>
        <v/>
      </c>
      <c r="AU83" s="177" t="str">
        <f>IF(A83&gt;0,SUM(MARKS!AA75,MARKS!BG75),"")</f>
        <v/>
      </c>
      <c r="AV83" s="177" t="str">
        <f>IF(A83&gt;0,SUM(MARKS!AI75,MARKS!BO75),"")</f>
        <v/>
      </c>
      <c r="AW83" s="177" t="str">
        <f t="shared" si="27"/>
        <v/>
      </c>
      <c r="AX83" s="177" t="str">
        <f t="shared" si="28"/>
        <v/>
      </c>
      <c r="AY83" s="47" t="str">
        <f t="shared" si="29"/>
        <v/>
      </c>
      <c r="AZ83" s="70" t="str">
        <f t="shared" si="30"/>
        <v/>
      </c>
      <c r="BA83" s="177" t="str">
        <f t="shared" si="31"/>
        <v/>
      </c>
      <c r="BB83" s="47" t="str">
        <f>IF(A83&gt;0,FLN!I75,"")</f>
        <v/>
      </c>
      <c r="BC83" s="47" t="str">
        <f>IF(A83&gt;0,FLN!J75,"")</f>
        <v/>
      </c>
      <c r="BD83" s="47" t="str">
        <f>IF(A83&gt;0,FLN!K75,"")</f>
        <v/>
      </c>
      <c r="BE83" s="47" t="str">
        <f t="shared" si="32"/>
        <v/>
      </c>
      <c r="BF83" s="130" t="str">
        <f>IF(AY83="","",IFERROR(RANK(AY83,$AY$12:$AY$111,0)+COUNTIFS($AY$12:AY83,AY83)-1,0))</f>
        <v/>
      </c>
      <c r="BG83" s="130" t="str">
        <f t="shared" si="33"/>
        <v/>
      </c>
    </row>
    <row r="84" s="98" customFormat="1" ht="27" customHeight="1" spans="1:59">
      <c r="A84" s="47">
        <f>IF(A83=0,0,IF(A83&lt;ENTRY!$D$24,A83+1,0))</f>
        <v>0</v>
      </c>
      <c r="B84" s="47" t="str">
        <f>IF(A84&gt;0,STUDENT!F74,"")</f>
        <v/>
      </c>
      <c r="C84" s="176" t="str">
        <f>IF(A84&gt;0,UPPER(STUDENT!E74),"")</f>
        <v/>
      </c>
      <c r="D84" s="176" t="str">
        <f>IF(A84&gt;0,UPPER(STUDENT!H74),"")</f>
        <v/>
      </c>
      <c r="E84" s="47" t="str">
        <f>IF(A84&gt;0,UPPER(STUDENT!BP74),"")</f>
        <v/>
      </c>
      <c r="F84" s="47" t="str">
        <f>IF(A84&gt;0,UPPER(STUDENT!BO74),"")</f>
        <v/>
      </c>
      <c r="G84" s="47" t="str">
        <f>IF(A84&gt;0,UPPER(STUDENT!Q74),"")</f>
        <v/>
      </c>
      <c r="H84" s="69" t="str">
        <f>IF(A84&gt;0,PASHEET!CI76/PASHEET!CJ76*100,"")</f>
        <v/>
      </c>
      <c r="I84" s="177" t="str">
        <f>IF(A84&gt;0,SUM(PASHEET!AL76,PASHEET!AT76),"")</f>
        <v/>
      </c>
      <c r="J84" s="177" t="str">
        <f>IF(A84&gt;0,SUM(MARKS!F76,MARKS!AL76),"")</f>
        <v/>
      </c>
      <c r="K84" s="177" t="str">
        <f>IF(A84&gt;0,SUM(MARKS!N76,MARKS!AT76),"")</f>
        <v/>
      </c>
      <c r="L84" s="177" t="str">
        <f>IF(A84&gt;0,SUM(MARKS!V76,MARKS!BB76),"")</f>
        <v/>
      </c>
      <c r="M84" s="177" t="str">
        <f>IF(A84&gt;0,SUM(MARKS!AD76,MARKS!BJ76),"")</f>
        <v/>
      </c>
      <c r="N84" s="177" t="str">
        <f t="shared" si="17"/>
        <v/>
      </c>
      <c r="O84" s="177" t="str">
        <f t="shared" si="18"/>
        <v/>
      </c>
      <c r="P84" s="177" t="str">
        <f>IF(A84&gt;0,SUM(PASHEET!AM76,PASHEET!AU76),"")</f>
        <v/>
      </c>
      <c r="Q84" s="177" t="str">
        <f>IF(A84&gt;0,SUM(MARKS!G76,MARKS!AM76),"")</f>
        <v/>
      </c>
      <c r="R84" s="177" t="str">
        <f>IF(A84&gt;0,SUM(MARKS!O76,MARKS!AU76),"")</f>
        <v/>
      </c>
      <c r="S84" s="177" t="str">
        <f>IF(A84&gt;0,SUM(MARKS!W76,MARKS!BC76),"")</f>
        <v/>
      </c>
      <c r="T84" s="177" t="str">
        <f>IF(A84&gt;0,SUM(MARKS!AE76,MARKS!BK76),"")</f>
        <v/>
      </c>
      <c r="U84" s="177" t="str">
        <f t="shared" si="19"/>
        <v/>
      </c>
      <c r="V84" s="177" t="str">
        <f t="shared" si="20"/>
        <v/>
      </c>
      <c r="W84" s="177" t="str">
        <f>IF(A84&gt;0,SUM(PASHEET!AN76,PASHEET!AV76),"")</f>
        <v/>
      </c>
      <c r="X84" s="177" t="str">
        <f>IF(A84&gt;0,SUM(MARKS!H76,MARKS!AN76),"")</f>
        <v/>
      </c>
      <c r="Y84" s="177" t="str">
        <f>IF(A84&gt;0,SUM(MARKS!P76,MARKS!AV76),"")</f>
        <v/>
      </c>
      <c r="Z84" s="177" t="str">
        <f>IF(A84&gt;0,SUM(MARKS!X76,MARKS!BD76),"")</f>
        <v/>
      </c>
      <c r="AA84" s="177" t="str">
        <f>IF(A84&gt;0,SUM(MARKS!AF76,MARKS!BL76),"")</f>
        <v/>
      </c>
      <c r="AB84" s="177" t="str">
        <f t="shared" si="21"/>
        <v/>
      </c>
      <c r="AC84" s="177" t="str">
        <f t="shared" si="22"/>
        <v/>
      </c>
      <c r="AD84" s="177" t="str">
        <f>IF(A84&gt;0,SUM(PASHEET!AO76,PASHEET!AW76),"")</f>
        <v/>
      </c>
      <c r="AE84" s="177" t="str">
        <f>IF(A84&gt;0,SUM(MARKS!I76,MARKS!AO76),"")</f>
        <v/>
      </c>
      <c r="AF84" s="177" t="str">
        <f>IF(A84&gt;0,SUM(MARKS!Q76,MARKS!AW76),"")</f>
        <v/>
      </c>
      <c r="AG84" s="177" t="str">
        <f>IF(A84&gt;0,SUM(MARKS!Y76,MARKS!BE76),"")</f>
        <v/>
      </c>
      <c r="AH84" s="177" t="str">
        <f>IF(A84&gt;0,SUM(MARKS!AG76,MARKS!BM76),"")</f>
        <v/>
      </c>
      <c r="AI84" s="177" t="str">
        <f t="shared" si="23"/>
        <v/>
      </c>
      <c r="AJ84" s="177" t="str">
        <f t="shared" si="24"/>
        <v/>
      </c>
      <c r="AK84" s="177" t="str">
        <f>IF(A84&gt;0,SUM(PASHEET!AP76,PASHEET!AX76),"")</f>
        <v/>
      </c>
      <c r="AL84" s="177" t="str">
        <f>IF(A84&gt;0,SUM(MARKS!J76,MARKS!AP76),"")</f>
        <v/>
      </c>
      <c r="AM84" s="177" t="str">
        <f>IF(A84&gt;0,SUM(MARKS!R76,MARKS!AX76),"")</f>
        <v/>
      </c>
      <c r="AN84" s="177" t="str">
        <f>IF(A84&gt;0,SUM(MARKS!Z76,MARKS!BF76),"")</f>
        <v/>
      </c>
      <c r="AO84" s="177" t="str">
        <f>IF(A84&gt;0,SUM(MARKS!AH76,MARKS!BN76),"")</f>
        <v/>
      </c>
      <c r="AP84" s="177" t="str">
        <f t="shared" si="25"/>
        <v/>
      </c>
      <c r="AQ84" s="177" t="str">
        <f t="shared" si="26"/>
        <v/>
      </c>
      <c r="AR84" s="177" t="str">
        <f>IF(A84&gt;0,SUM(PASHEET!AQ76,PASHEET!AY76),"")</f>
        <v/>
      </c>
      <c r="AS84" s="177" t="str">
        <f>IF(A84&gt;0,SUM(MARKS!K76,MARKS!AQ76),"")</f>
        <v/>
      </c>
      <c r="AT84" s="177" t="str">
        <f>IF(A84&gt;0,SUM(MARKS!S76,MARKS!AY76),"")</f>
        <v/>
      </c>
      <c r="AU84" s="177" t="str">
        <f>IF(A84&gt;0,SUM(MARKS!AA76,MARKS!BG76),"")</f>
        <v/>
      </c>
      <c r="AV84" s="177" t="str">
        <f>IF(A84&gt;0,SUM(MARKS!AI76,MARKS!BO76),"")</f>
        <v/>
      </c>
      <c r="AW84" s="177" t="str">
        <f t="shared" si="27"/>
        <v/>
      </c>
      <c r="AX84" s="177" t="str">
        <f t="shared" si="28"/>
        <v/>
      </c>
      <c r="AY84" s="47" t="str">
        <f t="shared" si="29"/>
        <v/>
      </c>
      <c r="AZ84" s="70" t="str">
        <f t="shared" si="30"/>
        <v/>
      </c>
      <c r="BA84" s="177" t="str">
        <f t="shared" si="31"/>
        <v/>
      </c>
      <c r="BB84" s="47" t="str">
        <f>IF(A84&gt;0,FLN!I76,"")</f>
        <v/>
      </c>
      <c r="BC84" s="47" t="str">
        <f>IF(A84&gt;0,FLN!J76,"")</f>
        <v/>
      </c>
      <c r="BD84" s="47" t="str">
        <f>IF(A84&gt;0,FLN!K76,"")</f>
        <v/>
      </c>
      <c r="BE84" s="47" t="str">
        <f t="shared" si="32"/>
        <v/>
      </c>
      <c r="BF84" s="130" t="str">
        <f>IF(AY84="","",IFERROR(RANK(AY84,$AY$12:$AY$111,0)+COUNTIFS($AY$12:AY84,AY84)-1,0))</f>
        <v/>
      </c>
      <c r="BG84" s="130" t="str">
        <f t="shared" si="33"/>
        <v/>
      </c>
    </row>
    <row r="85" s="98" customFormat="1" ht="27" customHeight="1" spans="1:59">
      <c r="A85" s="47">
        <f>IF(A84=0,0,IF(A84&lt;ENTRY!$D$24,A84+1,0))</f>
        <v>0</v>
      </c>
      <c r="B85" s="47" t="str">
        <f>IF(A85&gt;0,STUDENT!F75,"")</f>
        <v/>
      </c>
      <c r="C85" s="176" t="str">
        <f>IF(A85&gt;0,UPPER(STUDENT!E75),"")</f>
        <v/>
      </c>
      <c r="D85" s="176" t="str">
        <f>IF(A85&gt;0,UPPER(STUDENT!H75),"")</f>
        <v/>
      </c>
      <c r="E85" s="47" t="str">
        <f>IF(A85&gt;0,UPPER(STUDENT!BP75),"")</f>
        <v/>
      </c>
      <c r="F85" s="47" t="str">
        <f>IF(A85&gt;0,UPPER(STUDENT!BO75),"")</f>
        <v/>
      </c>
      <c r="G85" s="47" t="str">
        <f>IF(A85&gt;0,UPPER(STUDENT!Q75),"")</f>
        <v/>
      </c>
      <c r="H85" s="69" t="str">
        <f>IF(A85&gt;0,PASHEET!CI77/PASHEET!CJ77*100,"")</f>
        <v/>
      </c>
      <c r="I85" s="177" t="str">
        <f>IF(A85&gt;0,SUM(PASHEET!AL77,PASHEET!AT77),"")</f>
        <v/>
      </c>
      <c r="J85" s="177" t="str">
        <f>IF(A85&gt;0,SUM(MARKS!F77,MARKS!AL77),"")</f>
        <v/>
      </c>
      <c r="K85" s="177" t="str">
        <f>IF(A85&gt;0,SUM(MARKS!N77,MARKS!AT77),"")</f>
        <v/>
      </c>
      <c r="L85" s="177" t="str">
        <f>IF(A85&gt;0,SUM(MARKS!V77,MARKS!BB77),"")</f>
        <v/>
      </c>
      <c r="M85" s="177" t="str">
        <f>IF(A85&gt;0,SUM(MARKS!AD77,MARKS!BJ77),"")</f>
        <v/>
      </c>
      <c r="N85" s="177" t="str">
        <f t="shared" si="17"/>
        <v/>
      </c>
      <c r="O85" s="177" t="str">
        <f t="shared" si="18"/>
        <v/>
      </c>
      <c r="P85" s="177" t="str">
        <f>IF(A85&gt;0,SUM(PASHEET!AM77,PASHEET!AU77),"")</f>
        <v/>
      </c>
      <c r="Q85" s="177" t="str">
        <f>IF(A85&gt;0,SUM(MARKS!G77,MARKS!AM77),"")</f>
        <v/>
      </c>
      <c r="R85" s="177" t="str">
        <f>IF(A85&gt;0,SUM(MARKS!O77,MARKS!AU77),"")</f>
        <v/>
      </c>
      <c r="S85" s="177" t="str">
        <f>IF(A85&gt;0,SUM(MARKS!W77,MARKS!BC77),"")</f>
        <v/>
      </c>
      <c r="T85" s="177" t="str">
        <f>IF(A85&gt;0,SUM(MARKS!AE77,MARKS!BK77),"")</f>
        <v/>
      </c>
      <c r="U85" s="177" t="str">
        <f t="shared" si="19"/>
        <v/>
      </c>
      <c r="V85" s="177" t="str">
        <f t="shared" si="20"/>
        <v/>
      </c>
      <c r="W85" s="177" t="str">
        <f>IF(A85&gt;0,SUM(PASHEET!AN77,PASHEET!AV77),"")</f>
        <v/>
      </c>
      <c r="X85" s="177" t="str">
        <f>IF(A85&gt;0,SUM(MARKS!H77,MARKS!AN77),"")</f>
        <v/>
      </c>
      <c r="Y85" s="177" t="str">
        <f>IF(A85&gt;0,SUM(MARKS!P77,MARKS!AV77),"")</f>
        <v/>
      </c>
      <c r="Z85" s="177" t="str">
        <f>IF(A85&gt;0,SUM(MARKS!X77,MARKS!BD77),"")</f>
        <v/>
      </c>
      <c r="AA85" s="177" t="str">
        <f>IF(A85&gt;0,SUM(MARKS!AF77,MARKS!BL77),"")</f>
        <v/>
      </c>
      <c r="AB85" s="177" t="str">
        <f t="shared" si="21"/>
        <v/>
      </c>
      <c r="AC85" s="177" t="str">
        <f t="shared" si="22"/>
        <v/>
      </c>
      <c r="AD85" s="177" t="str">
        <f>IF(A85&gt;0,SUM(PASHEET!AO77,PASHEET!AW77),"")</f>
        <v/>
      </c>
      <c r="AE85" s="177" t="str">
        <f>IF(A85&gt;0,SUM(MARKS!I77,MARKS!AO77),"")</f>
        <v/>
      </c>
      <c r="AF85" s="177" t="str">
        <f>IF(A85&gt;0,SUM(MARKS!Q77,MARKS!AW77),"")</f>
        <v/>
      </c>
      <c r="AG85" s="177" t="str">
        <f>IF(A85&gt;0,SUM(MARKS!Y77,MARKS!BE77),"")</f>
        <v/>
      </c>
      <c r="AH85" s="177" t="str">
        <f>IF(A85&gt;0,SUM(MARKS!AG77,MARKS!BM77),"")</f>
        <v/>
      </c>
      <c r="AI85" s="177" t="str">
        <f t="shared" si="23"/>
        <v/>
      </c>
      <c r="AJ85" s="177" t="str">
        <f t="shared" si="24"/>
        <v/>
      </c>
      <c r="AK85" s="177" t="str">
        <f>IF(A85&gt;0,SUM(PASHEET!AP77,PASHEET!AX77),"")</f>
        <v/>
      </c>
      <c r="AL85" s="177" t="str">
        <f>IF(A85&gt;0,SUM(MARKS!J77,MARKS!AP77),"")</f>
        <v/>
      </c>
      <c r="AM85" s="177" t="str">
        <f>IF(A85&gt;0,SUM(MARKS!R77,MARKS!AX77),"")</f>
        <v/>
      </c>
      <c r="AN85" s="177" t="str">
        <f>IF(A85&gt;0,SUM(MARKS!Z77,MARKS!BF77),"")</f>
        <v/>
      </c>
      <c r="AO85" s="177" t="str">
        <f>IF(A85&gt;0,SUM(MARKS!AH77,MARKS!BN77),"")</f>
        <v/>
      </c>
      <c r="AP85" s="177" t="str">
        <f t="shared" si="25"/>
        <v/>
      </c>
      <c r="AQ85" s="177" t="str">
        <f t="shared" si="26"/>
        <v/>
      </c>
      <c r="AR85" s="177" t="str">
        <f>IF(A85&gt;0,SUM(PASHEET!AQ77,PASHEET!AY77),"")</f>
        <v/>
      </c>
      <c r="AS85" s="177" t="str">
        <f>IF(A85&gt;0,SUM(MARKS!K77,MARKS!AQ77),"")</f>
        <v/>
      </c>
      <c r="AT85" s="177" t="str">
        <f>IF(A85&gt;0,SUM(MARKS!S77,MARKS!AY77),"")</f>
        <v/>
      </c>
      <c r="AU85" s="177" t="str">
        <f>IF(A85&gt;0,SUM(MARKS!AA77,MARKS!BG77),"")</f>
        <v/>
      </c>
      <c r="AV85" s="177" t="str">
        <f>IF(A85&gt;0,SUM(MARKS!AI77,MARKS!BO77),"")</f>
        <v/>
      </c>
      <c r="AW85" s="177" t="str">
        <f t="shared" si="27"/>
        <v/>
      </c>
      <c r="AX85" s="177" t="str">
        <f t="shared" si="28"/>
        <v/>
      </c>
      <c r="AY85" s="47" t="str">
        <f t="shared" si="29"/>
        <v/>
      </c>
      <c r="AZ85" s="70" t="str">
        <f t="shared" si="30"/>
        <v/>
      </c>
      <c r="BA85" s="177" t="str">
        <f t="shared" si="31"/>
        <v/>
      </c>
      <c r="BB85" s="47" t="str">
        <f>IF(A85&gt;0,FLN!I77,"")</f>
        <v/>
      </c>
      <c r="BC85" s="47" t="str">
        <f>IF(A85&gt;0,FLN!J77,"")</f>
        <v/>
      </c>
      <c r="BD85" s="47" t="str">
        <f>IF(A85&gt;0,FLN!K77,"")</f>
        <v/>
      </c>
      <c r="BE85" s="47" t="str">
        <f t="shared" si="32"/>
        <v/>
      </c>
      <c r="BF85" s="130" t="str">
        <f>IF(AY85="","",IFERROR(RANK(AY85,$AY$12:$AY$111,0)+COUNTIFS($AY$12:AY85,AY85)-1,0))</f>
        <v/>
      </c>
      <c r="BG85" s="130" t="str">
        <f t="shared" si="33"/>
        <v/>
      </c>
    </row>
    <row r="86" s="98" customFormat="1" ht="27" customHeight="1" spans="1:59">
      <c r="A86" s="47">
        <f>IF(A85=0,0,IF(A85&lt;ENTRY!$D$24,A85+1,0))</f>
        <v>0</v>
      </c>
      <c r="B86" s="47" t="str">
        <f>IF(A86&gt;0,STUDENT!F76,"")</f>
        <v/>
      </c>
      <c r="C86" s="176" t="str">
        <f>IF(A86&gt;0,UPPER(STUDENT!E76),"")</f>
        <v/>
      </c>
      <c r="D86" s="176" t="str">
        <f>IF(A86&gt;0,UPPER(STUDENT!H76),"")</f>
        <v/>
      </c>
      <c r="E86" s="47" t="str">
        <f>IF(A86&gt;0,UPPER(STUDENT!BP76),"")</f>
        <v/>
      </c>
      <c r="F86" s="47" t="str">
        <f>IF(A86&gt;0,UPPER(STUDENT!BO76),"")</f>
        <v/>
      </c>
      <c r="G86" s="47" t="str">
        <f>IF(A86&gt;0,UPPER(STUDENT!Q76),"")</f>
        <v/>
      </c>
      <c r="H86" s="69" t="str">
        <f>IF(A86&gt;0,PASHEET!CI78/PASHEET!CJ78*100,"")</f>
        <v/>
      </c>
      <c r="I86" s="177" t="str">
        <f>IF(A86&gt;0,SUM(PASHEET!AL78,PASHEET!AT78),"")</f>
        <v/>
      </c>
      <c r="J86" s="177" t="str">
        <f>IF(A86&gt;0,SUM(MARKS!F78,MARKS!AL78),"")</f>
        <v/>
      </c>
      <c r="K86" s="177" t="str">
        <f>IF(A86&gt;0,SUM(MARKS!N78,MARKS!AT78),"")</f>
        <v/>
      </c>
      <c r="L86" s="177" t="str">
        <f>IF(A86&gt;0,SUM(MARKS!V78,MARKS!BB78),"")</f>
        <v/>
      </c>
      <c r="M86" s="177" t="str">
        <f>IF(A86&gt;0,SUM(MARKS!AD78,MARKS!BJ78),"")</f>
        <v/>
      </c>
      <c r="N86" s="177" t="str">
        <f t="shared" si="17"/>
        <v/>
      </c>
      <c r="O86" s="177" t="str">
        <f t="shared" si="18"/>
        <v/>
      </c>
      <c r="P86" s="177" t="str">
        <f>IF(A86&gt;0,SUM(PASHEET!AM78,PASHEET!AU78),"")</f>
        <v/>
      </c>
      <c r="Q86" s="177" t="str">
        <f>IF(A86&gt;0,SUM(MARKS!G78,MARKS!AM78),"")</f>
        <v/>
      </c>
      <c r="R86" s="177" t="str">
        <f>IF(A86&gt;0,SUM(MARKS!O78,MARKS!AU78),"")</f>
        <v/>
      </c>
      <c r="S86" s="177" t="str">
        <f>IF(A86&gt;0,SUM(MARKS!W78,MARKS!BC78),"")</f>
        <v/>
      </c>
      <c r="T86" s="177" t="str">
        <f>IF(A86&gt;0,SUM(MARKS!AE78,MARKS!BK78),"")</f>
        <v/>
      </c>
      <c r="U86" s="177" t="str">
        <f t="shared" si="19"/>
        <v/>
      </c>
      <c r="V86" s="177" t="str">
        <f t="shared" si="20"/>
        <v/>
      </c>
      <c r="W86" s="177" t="str">
        <f>IF(A86&gt;0,SUM(PASHEET!AN78,PASHEET!AV78),"")</f>
        <v/>
      </c>
      <c r="X86" s="177" t="str">
        <f>IF(A86&gt;0,SUM(MARKS!H78,MARKS!AN78),"")</f>
        <v/>
      </c>
      <c r="Y86" s="177" t="str">
        <f>IF(A86&gt;0,SUM(MARKS!P78,MARKS!AV78),"")</f>
        <v/>
      </c>
      <c r="Z86" s="177" t="str">
        <f>IF(A86&gt;0,SUM(MARKS!X78,MARKS!BD78),"")</f>
        <v/>
      </c>
      <c r="AA86" s="177" t="str">
        <f>IF(A86&gt;0,SUM(MARKS!AF78,MARKS!BL78),"")</f>
        <v/>
      </c>
      <c r="AB86" s="177" t="str">
        <f t="shared" si="21"/>
        <v/>
      </c>
      <c r="AC86" s="177" t="str">
        <f t="shared" si="22"/>
        <v/>
      </c>
      <c r="AD86" s="177" t="str">
        <f>IF(A86&gt;0,SUM(PASHEET!AO78,PASHEET!AW78),"")</f>
        <v/>
      </c>
      <c r="AE86" s="177" t="str">
        <f>IF(A86&gt;0,SUM(MARKS!I78,MARKS!AO78),"")</f>
        <v/>
      </c>
      <c r="AF86" s="177" t="str">
        <f>IF(A86&gt;0,SUM(MARKS!Q78,MARKS!AW78),"")</f>
        <v/>
      </c>
      <c r="AG86" s="177" t="str">
        <f>IF(A86&gt;0,SUM(MARKS!Y78,MARKS!BE78),"")</f>
        <v/>
      </c>
      <c r="AH86" s="177" t="str">
        <f>IF(A86&gt;0,SUM(MARKS!AG78,MARKS!BM78),"")</f>
        <v/>
      </c>
      <c r="AI86" s="177" t="str">
        <f t="shared" si="23"/>
        <v/>
      </c>
      <c r="AJ86" s="177" t="str">
        <f t="shared" si="24"/>
        <v/>
      </c>
      <c r="AK86" s="177" t="str">
        <f>IF(A86&gt;0,SUM(PASHEET!AP78,PASHEET!AX78),"")</f>
        <v/>
      </c>
      <c r="AL86" s="177" t="str">
        <f>IF(A86&gt;0,SUM(MARKS!J78,MARKS!AP78),"")</f>
        <v/>
      </c>
      <c r="AM86" s="177" t="str">
        <f>IF(A86&gt;0,SUM(MARKS!R78,MARKS!AX78),"")</f>
        <v/>
      </c>
      <c r="AN86" s="177" t="str">
        <f>IF(A86&gt;0,SUM(MARKS!Z78,MARKS!BF78),"")</f>
        <v/>
      </c>
      <c r="AO86" s="177" t="str">
        <f>IF(A86&gt;0,SUM(MARKS!AH78,MARKS!BN78),"")</f>
        <v/>
      </c>
      <c r="AP86" s="177" t="str">
        <f t="shared" si="25"/>
        <v/>
      </c>
      <c r="AQ86" s="177" t="str">
        <f t="shared" si="26"/>
        <v/>
      </c>
      <c r="AR86" s="177" t="str">
        <f>IF(A86&gt;0,SUM(PASHEET!AQ78,PASHEET!AY78),"")</f>
        <v/>
      </c>
      <c r="AS86" s="177" t="str">
        <f>IF(A86&gt;0,SUM(MARKS!K78,MARKS!AQ78),"")</f>
        <v/>
      </c>
      <c r="AT86" s="177" t="str">
        <f>IF(A86&gt;0,SUM(MARKS!S78,MARKS!AY78),"")</f>
        <v/>
      </c>
      <c r="AU86" s="177" t="str">
        <f>IF(A86&gt;0,SUM(MARKS!AA78,MARKS!BG78),"")</f>
        <v/>
      </c>
      <c r="AV86" s="177" t="str">
        <f>IF(A86&gt;0,SUM(MARKS!AI78,MARKS!BO78),"")</f>
        <v/>
      </c>
      <c r="AW86" s="177" t="str">
        <f t="shared" si="27"/>
        <v/>
      </c>
      <c r="AX86" s="177" t="str">
        <f t="shared" si="28"/>
        <v/>
      </c>
      <c r="AY86" s="47" t="str">
        <f t="shared" si="29"/>
        <v/>
      </c>
      <c r="AZ86" s="70" t="str">
        <f t="shared" si="30"/>
        <v/>
      </c>
      <c r="BA86" s="177" t="str">
        <f t="shared" si="31"/>
        <v/>
      </c>
      <c r="BB86" s="47" t="str">
        <f>IF(A86&gt;0,FLN!I78,"")</f>
        <v/>
      </c>
      <c r="BC86" s="47" t="str">
        <f>IF(A86&gt;0,FLN!J78,"")</f>
        <v/>
      </c>
      <c r="BD86" s="47" t="str">
        <f>IF(A86&gt;0,FLN!K78,"")</f>
        <v/>
      </c>
      <c r="BE86" s="47" t="str">
        <f t="shared" si="32"/>
        <v/>
      </c>
      <c r="BF86" s="130" t="str">
        <f>IF(AY86="","",IFERROR(RANK(AY86,$AY$12:$AY$111,0)+COUNTIFS($AY$12:AY86,AY86)-1,0))</f>
        <v/>
      </c>
      <c r="BG86" s="130" t="str">
        <f t="shared" si="33"/>
        <v/>
      </c>
    </row>
    <row r="87" s="98" customFormat="1" ht="27" customHeight="1" spans="1:59">
      <c r="A87" s="47">
        <f>IF(A86=0,0,IF(A86&lt;ENTRY!$D$24,A86+1,0))</f>
        <v>0</v>
      </c>
      <c r="B87" s="47" t="str">
        <f>IF(A87&gt;0,STUDENT!F77,"")</f>
        <v/>
      </c>
      <c r="C87" s="176" t="str">
        <f>IF(A87&gt;0,UPPER(STUDENT!E77),"")</f>
        <v/>
      </c>
      <c r="D87" s="176" t="str">
        <f>IF(A87&gt;0,UPPER(STUDENT!H77),"")</f>
        <v/>
      </c>
      <c r="E87" s="47" t="str">
        <f>IF(A87&gt;0,UPPER(STUDENT!BP77),"")</f>
        <v/>
      </c>
      <c r="F87" s="47" t="str">
        <f>IF(A87&gt;0,UPPER(STUDENT!BO77),"")</f>
        <v/>
      </c>
      <c r="G87" s="47" t="str">
        <f>IF(A87&gt;0,UPPER(STUDENT!Q77),"")</f>
        <v/>
      </c>
      <c r="H87" s="69" t="str">
        <f>IF(A87&gt;0,PASHEET!CI79/PASHEET!CJ79*100,"")</f>
        <v/>
      </c>
      <c r="I87" s="177" t="str">
        <f>IF(A87&gt;0,SUM(PASHEET!AL79,PASHEET!AT79),"")</f>
        <v/>
      </c>
      <c r="J87" s="177" t="str">
        <f>IF(A87&gt;0,SUM(MARKS!F79,MARKS!AL79),"")</f>
        <v/>
      </c>
      <c r="K87" s="177" t="str">
        <f>IF(A87&gt;0,SUM(MARKS!N79,MARKS!AT79),"")</f>
        <v/>
      </c>
      <c r="L87" s="177" t="str">
        <f>IF(A87&gt;0,SUM(MARKS!V79,MARKS!BB79),"")</f>
        <v/>
      </c>
      <c r="M87" s="177" t="str">
        <f>IF(A87&gt;0,SUM(MARKS!AD79,MARKS!BJ79),"")</f>
        <v/>
      </c>
      <c r="N87" s="177" t="str">
        <f t="shared" si="17"/>
        <v/>
      </c>
      <c r="O87" s="177" t="str">
        <f t="shared" si="18"/>
        <v/>
      </c>
      <c r="P87" s="177" t="str">
        <f>IF(A87&gt;0,SUM(PASHEET!AM79,PASHEET!AU79),"")</f>
        <v/>
      </c>
      <c r="Q87" s="177" t="str">
        <f>IF(A87&gt;0,SUM(MARKS!G79,MARKS!AM79),"")</f>
        <v/>
      </c>
      <c r="R87" s="177" t="str">
        <f>IF(A87&gt;0,SUM(MARKS!O79,MARKS!AU79),"")</f>
        <v/>
      </c>
      <c r="S87" s="177" t="str">
        <f>IF(A87&gt;0,SUM(MARKS!W79,MARKS!BC79),"")</f>
        <v/>
      </c>
      <c r="T87" s="177" t="str">
        <f>IF(A87&gt;0,SUM(MARKS!AE79,MARKS!BK79),"")</f>
        <v/>
      </c>
      <c r="U87" s="177" t="str">
        <f t="shared" si="19"/>
        <v/>
      </c>
      <c r="V87" s="177" t="str">
        <f t="shared" si="20"/>
        <v/>
      </c>
      <c r="W87" s="177" t="str">
        <f>IF(A87&gt;0,SUM(PASHEET!AN79,PASHEET!AV79),"")</f>
        <v/>
      </c>
      <c r="X87" s="177" t="str">
        <f>IF(A87&gt;0,SUM(MARKS!H79,MARKS!AN79),"")</f>
        <v/>
      </c>
      <c r="Y87" s="177" t="str">
        <f>IF(A87&gt;0,SUM(MARKS!P79,MARKS!AV79),"")</f>
        <v/>
      </c>
      <c r="Z87" s="177" t="str">
        <f>IF(A87&gt;0,SUM(MARKS!X79,MARKS!BD79),"")</f>
        <v/>
      </c>
      <c r="AA87" s="177" t="str">
        <f>IF(A87&gt;0,SUM(MARKS!AF79,MARKS!BL79),"")</f>
        <v/>
      </c>
      <c r="AB87" s="177" t="str">
        <f t="shared" si="21"/>
        <v/>
      </c>
      <c r="AC87" s="177" t="str">
        <f t="shared" si="22"/>
        <v/>
      </c>
      <c r="AD87" s="177" t="str">
        <f>IF(A87&gt;0,SUM(PASHEET!AO79,PASHEET!AW79),"")</f>
        <v/>
      </c>
      <c r="AE87" s="177" t="str">
        <f>IF(A87&gt;0,SUM(MARKS!I79,MARKS!AO79),"")</f>
        <v/>
      </c>
      <c r="AF87" s="177" t="str">
        <f>IF(A87&gt;0,SUM(MARKS!Q79,MARKS!AW79),"")</f>
        <v/>
      </c>
      <c r="AG87" s="177" t="str">
        <f>IF(A87&gt;0,SUM(MARKS!Y79,MARKS!BE79),"")</f>
        <v/>
      </c>
      <c r="AH87" s="177" t="str">
        <f>IF(A87&gt;0,SUM(MARKS!AG79,MARKS!BM79),"")</f>
        <v/>
      </c>
      <c r="AI87" s="177" t="str">
        <f t="shared" si="23"/>
        <v/>
      </c>
      <c r="AJ87" s="177" t="str">
        <f t="shared" si="24"/>
        <v/>
      </c>
      <c r="AK87" s="177" t="str">
        <f>IF(A87&gt;0,SUM(PASHEET!AP79,PASHEET!AX79),"")</f>
        <v/>
      </c>
      <c r="AL87" s="177" t="str">
        <f>IF(A87&gt;0,SUM(MARKS!J79,MARKS!AP79),"")</f>
        <v/>
      </c>
      <c r="AM87" s="177" t="str">
        <f>IF(A87&gt;0,SUM(MARKS!R79,MARKS!AX79),"")</f>
        <v/>
      </c>
      <c r="AN87" s="177" t="str">
        <f>IF(A87&gt;0,SUM(MARKS!Z79,MARKS!BF79),"")</f>
        <v/>
      </c>
      <c r="AO87" s="177" t="str">
        <f>IF(A87&gt;0,SUM(MARKS!AH79,MARKS!BN79),"")</f>
        <v/>
      </c>
      <c r="AP87" s="177" t="str">
        <f t="shared" si="25"/>
        <v/>
      </c>
      <c r="AQ87" s="177" t="str">
        <f t="shared" si="26"/>
        <v/>
      </c>
      <c r="AR87" s="177" t="str">
        <f>IF(A87&gt;0,SUM(PASHEET!AQ79,PASHEET!AY79),"")</f>
        <v/>
      </c>
      <c r="AS87" s="177" t="str">
        <f>IF(A87&gt;0,SUM(MARKS!K79,MARKS!AQ79),"")</f>
        <v/>
      </c>
      <c r="AT87" s="177" t="str">
        <f>IF(A87&gt;0,SUM(MARKS!S79,MARKS!AY79),"")</f>
        <v/>
      </c>
      <c r="AU87" s="177" t="str">
        <f>IF(A87&gt;0,SUM(MARKS!AA79,MARKS!BG79),"")</f>
        <v/>
      </c>
      <c r="AV87" s="177" t="str">
        <f>IF(A87&gt;0,SUM(MARKS!AI79,MARKS!BO79),"")</f>
        <v/>
      </c>
      <c r="AW87" s="177" t="str">
        <f t="shared" si="27"/>
        <v/>
      </c>
      <c r="AX87" s="177" t="str">
        <f t="shared" si="28"/>
        <v/>
      </c>
      <c r="AY87" s="47" t="str">
        <f t="shared" si="29"/>
        <v/>
      </c>
      <c r="AZ87" s="70" t="str">
        <f t="shared" si="30"/>
        <v/>
      </c>
      <c r="BA87" s="177" t="str">
        <f t="shared" si="31"/>
        <v/>
      </c>
      <c r="BB87" s="47" t="str">
        <f>IF(A87&gt;0,FLN!I79,"")</f>
        <v/>
      </c>
      <c r="BC87" s="47" t="str">
        <f>IF(A87&gt;0,FLN!J79,"")</f>
        <v/>
      </c>
      <c r="BD87" s="47" t="str">
        <f>IF(A87&gt;0,FLN!K79,"")</f>
        <v/>
      </c>
      <c r="BE87" s="47" t="str">
        <f t="shared" si="32"/>
        <v/>
      </c>
      <c r="BF87" s="130" t="str">
        <f>IF(AY87="","",IFERROR(RANK(AY87,$AY$12:$AY$111,0)+COUNTIFS($AY$12:AY87,AY87)-1,0))</f>
        <v/>
      </c>
      <c r="BG87" s="130" t="str">
        <f t="shared" si="33"/>
        <v/>
      </c>
    </row>
    <row r="88" s="98" customFormat="1" ht="27" customHeight="1" spans="1:59">
      <c r="A88" s="47">
        <f>IF(A87=0,0,IF(A87&lt;ENTRY!$D$24,A87+1,0))</f>
        <v>0</v>
      </c>
      <c r="B88" s="47" t="str">
        <f>IF(A88&gt;0,STUDENT!F78,"")</f>
        <v/>
      </c>
      <c r="C88" s="176" t="str">
        <f>IF(A88&gt;0,UPPER(STUDENT!E78),"")</f>
        <v/>
      </c>
      <c r="D88" s="176" t="str">
        <f>IF(A88&gt;0,UPPER(STUDENT!H78),"")</f>
        <v/>
      </c>
      <c r="E88" s="47" t="str">
        <f>IF(A88&gt;0,UPPER(STUDENT!BP78),"")</f>
        <v/>
      </c>
      <c r="F88" s="47" t="str">
        <f>IF(A88&gt;0,UPPER(STUDENT!BO78),"")</f>
        <v/>
      </c>
      <c r="G88" s="47" t="str">
        <f>IF(A88&gt;0,UPPER(STUDENT!Q78),"")</f>
        <v/>
      </c>
      <c r="H88" s="69" t="str">
        <f>IF(A88&gt;0,PASHEET!CI80/PASHEET!CJ80*100,"")</f>
        <v/>
      </c>
      <c r="I88" s="177" t="str">
        <f>IF(A88&gt;0,SUM(PASHEET!AL80,PASHEET!AT80),"")</f>
        <v/>
      </c>
      <c r="J88" s="177" t="str">
        <f>IF(A88&gt;0,SUM(MARKS!F80,MARKS!AL80),"")</f>
        <v/>
      </c>
      <c r="K88" s="177" t="str">
        <f>IF(A88&gt;0,SUM(MARKS!N80,MARKS!AT80),"")</f>
        <v/>
      </c>
      <c r="L88" s="177" t="str">
        <f>IF(A88&gt;0,SUM(MARKS!V80,MARKS!BB80),"")</f>
        <v/>
      </c>
      <c r="M88" s="177" t="str">
        <f>IF(A88&gt;0,SUM(MARKS!AD80,MARKS!BJ80),"")</f>
        <v/>
      </c>
      <c r="N88" s="177" t="str">
        <f t="shared" si="17"/>
        <v/>
      </c>
      <c r="O88" s="177" t="str">
        <f t="shared" si="18"/>
        <v/>
      </c>
      <c r="P88" s="177" t="str">
        <f>IF(A88&gt;0,SUM(PASHEET!AM80,PASHEET!AU80),"")</f>
        <v/>
      </c>
      <c r="Q88" s="177" t="str">
        <f>IF(A88&gt;0,SUM(MARKS!G80,MARKS!AM80),"")</f>
        <v/>
      </c>
      <c r="R88" s="177" t="str">
        <f>IF(A88&gt;0,SUM(MARKS!O80,MARKS!AU80),"")</f>
        <v/>
      </c>
      <c r="S88" s="177" t="str">
        <f>IF(A88&gt;0,SUM(MARKS!W80,MARKS!BC80),"")</f>
        <v/>
      </c>
      <c r="T88" s="177" t="str">
        <f>IF(A88&gt;0,SUM(MARKS!AE80,MARKS!BK80),"")</f>
        <v/>
      </c>
      <c r="U88" s="177" t="str">
        <f t="shared" si="19"/>
        <v/>
      </c>
      <c r="V88" s="177" t="str">
        <f t="shared" si="20"/>
        <v/>
      </c>
      <c r="W88" s="177" t="str">
        <f>IF(A88&gt;0,SUM(PASHEET!AN80,PASHEET!AV80),"")</f>
        <v/>
      </c>
      <c r="X88" s="177" t="str">
        <f>IF(A88&gt;0,SUM(MARKS!H80,MARKS!AN80),"")</f>
        <v/>
      </c>
      <c r="Y88" s="177" t="str">
        <f>IF(A88&gt;0,SUM(MARKS!P80,MARKS!AV80),"")</f>
        <v/>
      </c>
      <c r="Z88" s="177" t="str">
        <f>IF(A88&gt;0,SUM(MARKS!X80,MARKS!BD80),"")</f>
        <v/>
      </c>
      <c r="AA88" s="177" t="str">
        <f>IF(A88&gt;0,SUM(MARKS!AF80,MARKS!BL80),"")</f>
        <v/>
      </c>
      <c r="AB88" s="177" t="str">
        <f t="shared" si="21"/>
        <v/>
      </c>
      <c r="AC88" s="177" t="str">
        <f t="shared" si="22"/>
        <v/>
      </c>
      <c r="AD88" s="177" t="str">
        <f>IF(A88&gt;0,SUM(PASHEET!AO80,PASHEET!AW80),"")</f>
        <v/>
      </c>
      <c r="AE88" s="177" t="str">
        <f>IF(A88&gt;0,SUM(MARKS!I80,MARKS!AO80),"")</f>
        <v/>
      </c>
      <c r="AF88" s="177" t="str">
        <f>IF(A88&gt;0,SUM(MARKS!Q80,MARKS!AW80),"")</f>
        <v/>
      </c>
      <c r="AG88" s="177" t="str">
        <f>IF(A88&gt;0,SUM(MARKS!Y80,MARKS!BE80),"")</f>
        <v/>
      </c>
      <c r="AH88" s="177" t="str">
        <f>IF(A88&gt;0,SUM(MARKS!AG80,MARKS!BM80),"")</f>
        <v/>
      </c>
      <c r="AI88" s="177" t="str">
        <f t="shared" si="23"/>
        <v/>
      </c>
      <c r="AJ88" s="177" t="str">
        <f t="shared" si="24"/>
        <v/>
      </c>
      <c r="AK88" s="177" t="str">
        <f>IF(A88&gt;0,SUM(PASHEET!AP80,PASHEET!AX80),"")</f>
        <v/>
      </c>
      <c r="AL88" s="177" t="str">
        <f>IF(A88&gt;0,SUM(MARKS!J80,MARKS!AP80),"")</f>
        <v/>
      </c>
      <c r="AM88" s="177" t="str">
        <f>IF(A88&gt;0,SUM(MARKS!R80,MARKS!AX80),"")</f>
        <v/>
      </c>
      <c r="AN88" s="177" t="str">
        <f>IF(A88&gt;0,SUM(MARKS!Z80,MARKS!BF80),"")</f>
        <v/>
      </c>
      <c r="AO88" s="177" t="str">
        <f>IF(A88&gt;0,SUM(MARKS!AH80,MARKS!BN80),"")</f>
        <v/>
      </c>
      <c r="AP88" s="177" t="str">
        <f t="shared" si="25"/>
        <v/>
      </c>
      <c r="AQ88" s="177" t="str">
        <f t="shared" si="26"/>
        <v/>
      </c>
      <c r="AR88" s="177" t="str">
        <f>IF(A88&gt;0,SUM(PASHEET!AQ80,PASHEET!AY80),"")</f>
        <v/>
      </c>
      <c r="AS88" s="177" t="str">
        <f>IF(A88&gt;0,SUM(MARKS!K80,MARKS!AQ80),"")</f>
        <v/>
      </c>
      <c r="AT88" s="177" t="str">
        <f>IF(A88&gt;0,SUM(MARKS!S80,MARKS!AY80),"")</f>
        <v/>
      </c>
      <c r="AU88" s="177" t="str">
        <f>IF(A88&gt;0,SUM(MARKS!AA80,MARKS!BG80),"")</f>
        <v/>
      </c>
      <c r="AV88" s="177" t="str">
        <f>IF(A88&gt;0,SUM(MARKS!AI80,MARKS!BO80),"")</f>
        <v/>
      </c>
      <c r="AW88" s="177" t="str">
        <f t="shared" si="27"/>
        <v/>
      </c>
      <c r="AX88" s="177" t="str">
        <f t="shared" si="28"/>
        <v/>
      </c>
      <c r="AY88" s="47" t="str">
        <f t="shared" si="29"/>
        <v/>
      </c>
      <c r="AZ88" s="70" t="str">
        <f t="shared" si="30"/>
        <v/>
      </c>
      <c r="BA88" s="177" t="str">
        <f t="shared" si="31"/>
        <v/>
      </c>
      <c r="BB88" s="47" t="str">
        <f>IF(A88&gt;0,FLN!I80,"")</f>
        <v/>
      </c>
      <c r="BC88" s="47" t="str">
        <f>IF(A88&gt;0,FLN!J80,"")</f>
        <v/>
      </c>
      <c r="BD88" s="47" t="str">
        <f>IF(A88&gt;0,FLN!K80,"")</f>
        <v/>
      </c>
      <c r="BE88" s="47" t="str">
        <f t="shared" si="32"/>
        <v/>
      </c>
      <c r="BF88" s="130" t="str">
        <f>IF(AY88="","",IFERROR(RANK(AY88,$AY$12:$AY$111,0)+COUNTIFS($AY$12:AY88,AY88)-1,0))</f>
        <v/>
      </c>
      <c r="BG88" s="130" t="str">
        <f t="shared" si="33"/>
        <v/>
      </c>
    </row>
    <row r="89" s="98" customFormat="1" ht="27" customHeight="1" spans="1:59">
      <c r="A89" s="47">
        <f>IF(A88=0,0,IF(A88&lt;ENTRY!$D$24,A88+1,0))</f>
        <v>0</v>
      </c>
      <c r="B89" s="47" t="str">
        <f>IF(A89&gt;0,STUDENT!F79,"")</f>
        <v/>
      </c>
      <c r="C89" s="176" t="str">
        <f>IF(A89&gt;0,UPPER(STUDENT!E79),"")</f>
        <v/>
      </c>
      <c r="D89" s="176" t="str">
        <f>IF(A89&gt;0,UPPER(STUDENT!H79),"")</f>
        <v/>
      </c>
      <c r="E89" s="47" t="str">
        <f>IF(A89&gt;0,UPPER(STUDENT!BP79),"")</f>
        <v/>
      </c>
      <c r="F89" s="47" t="str">
        <f>IF(A89&gt;0,UPPER(STUDENT!BO79),"")</f>
        <v/>
      </c>
      <c r="G89" s="47" t="str">
        <f>IF(A89&gt;0,UPPER(STUDENT!Q79),"")</f>
        <v/>
      </c>
      <c r="H89" s="69" t="str">
        <f>IF(A89&gt;0,PASHEET!CI81/PASHEET!CJ81*100,"")</f>
        <v/>
      </c>
      <c r="I89" s="177" t="str">
        <f>IF(A89&gt;0,SUM(PASHEET!AL81,PASHEET!AT81),"")</f>
        <v/>
      </c>
      <c r="J89" s="177" t="str">
        <f>IF(A89&gt;0,SUM(MARKS!F81,MARKS!AL81),"")</f>
        <v/>
      </c>
      <c r="K89" s="177" t="str">
        <f>IF(A89&gt;0,SUM(MARKS!N81,MARKS!AT81),"")</f>
        <v/>
      </c>
      <c r="L89" s="177" t="str">
        <f>IF(A89&gt;0,SUM(MARKS!V81,MARKS!BB81),"")</f>
        <v/>
      </c>
      <c r="M89" s="177" t="str">
        <f>IF(A89&gt;0,SUM(MARKS!AD81,MARKS!BJ81),"")</f>
        <v/>
      </c>
      <c r="N89" s="177" t="str">
        <f t="shared" si="17"/>
        <v/>
      </c>
      <c r="O89" s="177" t="str">
        <f t="shared" si="18"/>
        <v/>
      </c>
      <c r="P89" s="177" t="str">
        <f>IF(A89&gt;0,SUM(PASHEET!AM81,PASHEET!AU81),"")</f>
        <v/>
      </c>
      <c r="Q89" s="177" t="str">
        <f>IF(A89&gt;0,SUM(MARKS!G81,MARKS!AM81),"")</f>
        <v/>
      </c>
      <c r="R89" s="177" t="str">
        <f>IF(A89&gt;0,SUM(MARKS!O81,MARKS!AU81),"")</f>
        <v/>
      </c>
      <c r="S89" s="177" t="str">
        <f>IF(A89&gt;0,SUM(MARKS!W81,MARKS!BC81),"")</f>
        <v/>
      </c>
      <c r="T89" s="177" t="str">
        <f>IF(A89&gt;0,SUM(MARKS!AE81,MARKS!BK81),"")</f>
        <v/>
      </c>
      <c r="U89" s="177" t="str">
        <f t="shared" si="19"/>
        <v/>
      </c>
      <c r="V89" s="177" t="str">
        <f t="shared" si="20"/>
        <v/>
      </c>
      <c r="W89" s="177" t="str">
        <f>IF(A89&gt;0,SUM(PASHEET!AN81,PASHEET!AV81),"")</f>
        <v/>
      </c>
      <c r="X89" s="177" t="str">
        <f>IF(A89&gt;0,SUM(MARKS!H81,MARKS!AN81),"")</f>
        <v/>
      </c>
      <c r="Y89" s="177" t="str">
        <f>IF(A89&gt;0,SUM(MARKS!P81,MARKS!AV81),"")</f>
        <v/>
      </c>
      <c r="Z89" s="177" t="str">
        <f>IF(A89&gt;0,SUM(MARKS!X81,MARKS!BD81),"")</f>
        <v/>
      </c>
      <c r="AA89" s="177" t="str">
        <f>IF(A89&gt;0,SUM(MARKS!AF81,MARKS!BL81),"")</f>
        <v/>
      </c>
      <c r="AB89" s="177" t="str">
        <f t="shared" si="21"/>
        <v/>
      </c>
      <c r="AC89" s="177" t="str">
        <f t="shared" si="22"/>
        <v/>
      </c>
      <c r="AD89" s="177" t="str">
        <f>IF(A89&gt;0,SUM(PASHEET!AO81,PASHEET!AW81),"")</f>
        <v/>
      </c>
      <c r="AE89" s="177" t="str">
        <f>IF(A89&gt;0,SUM(MARKS!I81,MARKS!AO81),"")</f>
        <v/>
      </c>
      <c r="AF89" s="177" t="str">
        <f>IF(A89&gt;0,SUM(MARKS!Q81,MARKS!AW81),"")</f>
        <v/>
      </c>
      <c r="AG89" s="177" t="str">
        <f>IF(A89&gt;0,SUM(MARKS!Y81,MARKS!BE81),"")</f>
        <v/>
      </c>
      <c r="AH89" s="177" t="str">
        <f>IF(A89&gt;0,SUM(MARKS!AG81,MARKS!BM81),"")</f>
        <v/>
      </c>
      <c r="AI89" s="177" t="str">
        <f t="shared" si="23"/>
        <v/>
      </c>
      <c r="AJ89" s="177" t="str">
        <f t="shared" si="24"/>
        <v/>
      </c>
      <c r="AK89" s="177" t="str">
        <f>IF(A89&gt;0,SUM(PASHEET!AP81,PASHEET!AX81),"")</f>
        <v/>
      </c>
      <c r="AL89" s="177" t="str">
        <f>IF(A89&gt;0,SUM(MARKS!J81,MARKS!AP81),"")</f>
        <v/>
      </c>
      <c r="AM89" s="177" t="str">
        <f>IF(A89&gt;0,SUM(MARKS!R81,MARKS!AX81),"")</f>
        <v/>
      </c>
      <c r="AN89" s="177" t="str">
        <f>IF(A89&gt;0,SUM(MARKS!Z81,MARKS!BF81),"")</f>
        <v/>
      </c>
      <c r="AO89" s="177" t="str">
        <f>IF(A89&gt;0,SUM(MARKS!AH81,MARKS!BN81),"")</f>
        <v/>
      </c>
      <c r="AP89" s="177" t="str">
        <f t="shared" si="25"/>
        <v/>
      </c>
      <c r="AQ89" s="177" t="str">
        <f t="shared" si="26"/>
        <v/>
      </c>
      <c r="AR89" s="177" t="str">
        <f>IF(A89&gt;0,SUM(PASHEET!AQ81,PASHEET!AY81),"")</f>
        <v/>
      </c>
      <c r="AS89" s="177" t="str">
        <f>IF(A89&gt;0,SUM(MARKS!K81,MARKS!AQ81),"")</f>
        <v/>
      </c>
      <c r="AT89" s="177" t="str">
        <f>IF(A89&gt;0,SUM(MARKS!S81,MARKS!AY81),"")</f>
        <v/>
      </c>
      <c r="AU89" s="177" t="str">
        <f>IF(A89&gt;0,SUM(MARKS!AA81,MARKS!BG81),"")</f>
        <v/>
      </c>
      <c r="AV89" s="177" t="str">
        <f>IF(A89&gt;0,SUM(MARKS!AI81,MARKS!BO81),"")</f>
        <v/>
      </c>
      <c r="AW89" s="177" t="str">
        <f t="shared" si="27"/>
        <v/>
      </c>
      <c r="AX89" s="177" t="str">
        <f t="shared" si="28"/>
        <v/>
      </c>
      <c r="AY89" s="47" t="str">
        <f t="shared" si="29"/>
        <v/>
      </c>
      <c r="AZ89" s="70" t="str">
        <f t="shared" si="30"/>
        <v/>
      </c>
      <c r="BA89" s="177" t="str">
        <f t="shared" si="31"/>
        <v/>
      </c>
      <c r="BB89" s="47" t="str">
        <f>IF(A89&gt;0,FLN!I81,"")</f>
        <v/>
      </c>
      <c r="BC89" s="47" t="str">
        <f>IF(A89&gt;0,FLN!J81,"")</f>
        <v/>
      </c>
      <c r="BD89" s="47" t="str">
        <f>IF(A89&gt;0,FLN!K81,"")</f>
        <v/>
      </c>
      <c r="BE89" s="47" t="str">
        <f t="shared" si="32"/>
        <v/>
      </c>
      <c r="BF89" s="130" t="str">
        <f>IF(AY89="","",IFERROR(RANK(AY89,$AY$12:$AY$111,0)+COUNTIFS($AY$12:AY89,AY89)-1,0))</f>
        <v/>
      </c>
      <c r="BG89" s="130" t="str">
        <f t="shared" si="33"/>
        <v/>
      </c>
    </row>
    <row r="90" s="98" customFormat="1" ht="27" customHeight="1" spans="1:59">
      <c r="A90" s="47">
        <f>IF(A89=0,0,IF(A89&lt;ENTRY!$D$24,A89+1,0))</f>
        <v>0</v>
      </c>
      <c r="B90" s="47" t="str">
        <f>IF(A90&gt;0,STUDENT!F80,"")</f>
        <v/>
      </c>
      <c r="C90" s="176" t="str">
        <f>IF(A90&gt;0,UPPER(STUDENT!E80),"")</f>
        <v/>
      </c>
      <c r="D90" s="176" t="str">
        <f>IF(A90&gt;0,UPPER(STUDENT!H80),"")</f>
        <v/>
      </c>
      <c r="E90" s="47" t="str">
        <f>IF(A90&gt;0,UPPER(STUDENT!BP80),"")</f>
        <v/>
      </c>
      <c r="F90" s="47" t="str">
        <f>IF(A90&gt;0,UPPER(STUDENT!BO80),"")</f>
        <v/>
      </c>
      <c r="G90" s="47" t="str">
        <f>IF(A90&gt;0,UPPER(STUDENT!Q80),"")</f>
        <v/>
      </c>
      <c r="H90" s="69" t="str">
        <f>IF(A90&gt;0,PASHEET!CI82/PASHEET!CJ82*100,"")</f>
        <v/>
      </c>
      <c r="I90" s="177" t="str">
        <f>IF(A90&gt;0,SUM(PASHEET!AL82,PASHEET!AT82),"")</f>
        <v/>
      </c>
      <c r="J90" s="177" t="str">
        <f>IF(A90&gt;0,SUM(MARKS!F82,MARKS!AL82),"")</f>
        <v/>
      </c>
      <c r="K90" s="177" t="str">
        <f>IF(A90&gt;0,SUM(MARKS!N82,MARKS!AT82),"")</f>
        <v/>
      </c>
      <c r="L90" s="177" t="str">
        <f>IF(A90&gt;0,SUM(MARKS!V82,MARKS!BB82),"")</f>
        <v/>
      </c>
      <c r="M90" s="177" t="str">
        <f>IF(A90&gt;0,SUM(MARKS!AD82,MARKS!BJ82),"")</f>
        <v/>
      </c>
      <c r="N90" s="177" t="str">
        <f t="shared" si="17"/>
        <v/>
      </c>
      <c r="O90" s="177" t="str">
        <f t="shared" si="18"/>
        <v/>
      </c>
      <c r="P90" s="177" t="str">
        <f>IF(A90&gt;0,SUM(PASHEET!AM82,PASHEET!AU82),"")</f>
        <v/>
      </c>
      <c r="Q90" s="177" t="str">
        <f>IF(A90&gt;0,SUM(MARKS!G82,MARKS!AM82),"")</f>
        <v/>
      </c>
      <c r="R90" s="177" t="str">
        <f>IF(A90&gt;0,SUM(MARKS!O82,MARKS!AU82),"")</f>
        <v/>
      </c>
      <c r="S90" s="177" t="str">
        <f>IF(A90&gt;0,SUM(MARKS!W82,MARKS!BC82),"")</f>
        <v/>
      </c>
      <c r="T90" s="177" t="str">
        <f>IF(A90&gt;0,SUM(MARKS!AE82,MARKS!BK82),"")</f>
        <v/>
      </c>
      <c r="U90" s="177" t="str">
        <f t="shared" si="19"/>
        <v/>
      </c>
      <c r="V90" s="177" t="str">
        <f t="shared" si="20"/>
        <v/>
      </c>
      <c r="W90" s="177" t="str">
        <f>IF(A90&gt;0,SUM(PASHEET!AN82,PASHEET!AV82),"")</f>
        <v/>
      </c>
      <c r="X90" s="177" t="str">
        <f>IF(A90&gt;0,SUM(MARKS!H82,MARKS!AN82),"")</f>
        <v/>
      </c>
      <c r="Y90" s="177" t="str">
        <f>IF(A90&gt;0,SUM(MARKS!P82,MARKS!AV82),"")</f>
        <v/>
      </c>
      <c r="Z90" s="177" t="str">
        <f>IF(A90&gt;0,SUM(MARKS!X82,MARKS!BD82),"")</f>
        <v/>
      </c>
      <c r="AA90" s="177" t="str">
        <f>IF(A90&gt;0,SUM(MARKS!AF82,MARKS!BL82),"")</f>
        <v/>
      </c>
      <c r="AB90" s="177" t="str">
        <f t="shared" si="21"/>
        <v/>
      </c>
      <c r="AC90" s="177" t="str">
        <f t="shared" si="22"/>
        <v/>
      </c>
      <c r="AD90" s="177" t="str">
        <f>IF(A90&gt;0,SUM(PASHEET!AO82,PASHEET!AW82),"")</f>
        <v/>
      </c>
      <c r="AE90" s="177" t="str">
        <f>IF(A90&gt;0,SUM(MARKS!I82,MARKS!AO82),"")</f>
        <v/>
      </c>
      <c r="AF90" s="177" t="str">
        <f>IF(A90&gt;0,SUM(MARKS!Q82,MARKS!AW82),"")</f>
        <v/>
      </c>
      <c r="AG90" s="177" t="str">
        <f>IF(A90&gt;0,SUM(MARKS!Y82,MARKS!BE82),"")</f>
        <v/>
      </c>
      <c r="AH90" s="177" t="str">
        <f>IF(A90&gt;0,SUM(MARKS!AG82,MARKS!BM82),"")</f>
        <v/>
      </c>
      <c r="AI90" s="177" t="str">
        <f t="shared" si="23"/>
        <v/>
      </c>
      <c r="AJ90" s="177" t="str">
        <f t="shared" si="24"/>
        <v/>
      </c>
      <c r="AK90" s="177" t="str">
        <f>IF(A90&gt;0,SUM(PASHEET!AP82,PASHEET!AX82),"")</f>
        <v/>
      </c>
      <c r="AL90" s="177" t="str">
        <f>IF(A90&gt;0,SUM(MARKS!J82,MARKS!AP82),"")</f>
        <v/>
      </c>
      <c r="AM90" s="177" t="str">
        <f>IF(A90&gt;0,SUM(MARKS!R82,MARKS!AX82),"")</f>
        <v/>
      </c>
      <c r="AN90" s="177" t="str">
        <f>IF(A90&gt;0,SUM(MARKS!Z82,MARKS!BF82),"")</f>
        <v/>
      </c>
      <c r="AO90" s="177" t="str">
        <f>IF(A90&gt;0,SUM(MARKS!AH82,MARKS!BN82),"")</f>
        <v/>
      </c>
      <c r="AP90" s="177" t="str">
        <f t="shared" si="25"/>
        <v/>
      </c>
      <c r="AQ90" s="177" t="str">
        <f t="shared" si="26"/>
        <v/>
      </c>
      <c r="AR90" s="177" t="str">
        <f>IF(A90&gt;0,SUM(PASHEET!AQ82,PASHEET!AY82),"")</f>
        <v/>
      </c>
      <c r="AS90" s="177" t="str">
        <f>IF(A90&gt;0,SUM(MARKS!K82,MARKS!AQ82),"")</f>
        <v/>
      </c>
      <c r="AT90" s="177" t="str">
        <f>IF(A90&gt;0,SUM(MARKS!S82,MARKS!AY82),"")</f>
        <v/>
      </c>
      <c r="AU90" s="177" t="str">
        <f>IF(A90&gt;0,SUM(MARKS!AA82,MARKS!BG82),"")</f>
        <v/>
      </c>
      <c r="AV90" s="177" t="str">
        <f>IF(A90&gt;0,SUM(MARKS!AI82,MARKS!BO82),"")</f>
        <v/>
      </c>
      <c r="AW90" s="177" t="str">
        <f t="shared" si="27"/>
        <v/>
      </c>
      <c r="AX90" s="177" t="str">
        <f t="shared" si="28"/>
        <v/>
      </c>
      <c r="AY90" s="47" t="str">
        <f t="shared" si="29"/>
        <v/>
      </c>
      <c r="AZ90" s="70" t="str">
        <f t="shared" si="30"/>
        <v/>
      </c>
      <c r="BA90" s="177" t="str">
        <f t="shared" si="31"/>
        <v/>
      </c>
      <c r="BB90" s="47" t="str">
        <f>IF(A90&gt;0,FLN!I82,"")</f>
        <v/>
      </c>
      <c r="BC90" s="47" t="str">
        <f>IF(A90&gt;0,FLN!J82,"")</f>
        <v/>
      </c>
      <c r="BD90" s="47" t="str">
        <f>IF(A90&gt;0,FLN!K82,"")</f>
        <v/>
      </c>
      <c r="BE90" s="47" t="str">
        <f t="shared" si="32"/>
        <v/>
      </c>
      <c r="BF90" s="130" t="str">
        <f>IF(AY90="","",IFERROR(RANK(AY90,$AY$12:$AY$111,0)+COUNTIFS($AY$12:AY90,AY90)-1,0))</f>
        <v/>
      </c>
      <c r="BG90" s="130" t="str">
        <f t="shared" si="33"/>
        <v/>
      </c>
    </row>
    <row r="91" s="98" customFormat="1" ht="27" customHeight="1" spans="1:59">
      <c r="A91" s="47">
        <f>IF(A90=0,0,IF(A90&lt;ENTRY!$D$24,A90+1,0))</f>
        <v>0</v>
      </c>
      <c r="B91" s="47" t="str">
        <f>IF(A91&gt;0,STUDENT!F81,"")</f>
        <v/>
      </c>
      <c r="C91" s="176" t="str">
        <f>IF(A91&gt;0,UPPER(STUDENT!E81),"")</f>
        <v/>
      </c>
      <c r="D91" s="176" t="str">
        <f>IF(A91&gt;0,UPPER(STUDENT!H81),"")</f>
        <v/>
      </c>
      <c r="E91" s="47" t="str">
        <f>IF(A91&gt;0,UPPER(STUDENT!BP81),"")</f>
        <v/>
      </c>
      <c r="F91" s="47" t="str">
        <f>IF(A91&gt;0,UPPER(STUDENT!BO81),"")</f>
        <v/>
      </c>
      <c r="G91" s="47" t="str">
        <f>IF(A91&gt;0,UPPER(STUDENT!Q81),"")</f>
        <v/>
      </c>
      <c r="H91" s="69" t="str">
        <f>IF(A91&gt;0,PASHEET!CI83/PASHEET!CJ83*100,"")</f>
        <v/>
      </c>
      <c r="I91" s="177" t="str">
        <f>IF(A91&gt;0,SUM(PASHEET!AL83,PASHEET!AT83),"")</f>
        <v/>
      </c>
      <c r="J91" s="177" t="str">
        <f>IF(A91&gt;0,SUM(MARKS!F83,MARKS!AL83),"")</f>
        <v/>
      </c>
      <c r="K91" s="177" t="str">
        <f>IF(A91&gt;0,SUM(MARKS!N83,MARKS!AT83),"")</f>
        <v/>
      </c>
      <c r="L91" s="177" t="str">
        <f>IF(A91&gt;0,SUM(MARKS!V83,MARKS!BB83),"")</f>
        <v/>
      </c>
      <c r="M91" s="177" t="str">
        <f>IF(A91&gt;0,SUM(MARKS!AD83,MARKS!BJ83),"")</f>
        <v/>
      </c>
      <c r="N91" s="177" t="str">
        <f t="shared" si="17"/>
        <v/>
      </c>
      <c r="O91" s="177" t="str">
        <f t="shared" si="18"/>
        <v/>
      </c>
      <c r="P91" s="177" t="str">
        <f>IF(A91&gt;0,SUM(PASHEET!AM83,PASHEET!AU83),"")</f>
        <v/>
      </c>
      <c r="Q91" s="177" t="str">
        <f>IF(A91&gt;0,SUM(MARKS!G83,MARKS!AM83),"")</f>
        <v/>
      </c>
      <c r="R91" s="177" t="str">
        <f>IF(A91&gt;0,SUM(MARKS!O83,MARKS!AU83),"")</f>
        <v/>
      </c>
      <c r="S91" s="177" t="str">
        <f>IF(A91&gt;0,SUM(MARKS!W83,MARKS!BC83),"")</f>
        <v/>
      </c>
      <c r="T91" s="177" t="str">
        <f>IF(A91&gt;0,SUM(MARKS!AE83,MARKS!BK83),"")</f>
        <v/>
      </c>
      <c r="U91" s="177" t="str">
        <f t="shared" si="19"/>
        <v/>
      </c>
      <c r="V91" s="177" t="str">
        <f t="shared" si="20"/>
        <v/>
      </c>
      <c r="W91" s="177" t="str">
        <f>IF(A91&gt;0,SUM(PASHEET!AN83,PASHEET!AV83),"")</f>
        <v/>
      </c>
      <c r="X91" s="177" t="str">
        <f>IF(A91&gt;0,SUM(MARKS!H83,MARKS!AN83),"")</f>
        <v/>
      </c>
      <c r="Y91" s="177" t="str">
        <f>IF(A91&gt;0,SUM(MARKS!P83,MARKS!AV83),"")</f>
        <v/>
      </c>
      <c r="Z91" s="177" t="str">
        <f>IF(A91&gt;0,SUM(MARKS!X83,MARKS!BD83),"")</f>
        <v/>
      </c>
      <c r="AA91" s="177" t="str">
        <f>IF(A91&gt;0,SUM(MARKS!AF83,MARKS!BL83),"")</f>
        <v/>
      </c>
      <c r="AB91" s="177" t="str">
        <f t="shared" si="21"/>
        <v/>
      </c>
      <c r="AC91" s="177" t="str">
        <f t="shared" si="22"/>
        <v/>
      </c>
      <c r="AD91" s="177" t="str">
        <f>IF(A91&gt;0,SUM(PASHEET!AO83,PASHEET!AW83),"")</f>
        <v/>
      </c>
      <c r="AE91" s="177" t="str">
        <f>IF(A91&gt;0,SUM(MARKS!I83,MARKS!AO83),"")</f>
        <v/>
      </c>
      <c r="AF91" s="177" t="str">
        <f>IF(A91&gt;0,SUM(MARKS!Q83,MARKS!AW83),"")</f>
        <v/>
      </c>
      <c r="AG91" s="177" t="str">
        <f>IF(A91&gt;0,SUM(MARKS!Y83,MARKS!BE83),"")</f>
        <v/>
      </c>
      <c r="AH91" s="177" t="str">
        <f>IF(A91&gt;0,SUM(MARKS!AG83,MARKS!BM83),"")</f>
        <v/>
      </c>
      <c r="AI91" s="177" t="str">
        <f t="shared" si="23"/>
        <v/>
      </c>
      <c r="AJ91" s="177" t="str">
        <f t="shared" si="24"/>
        <v/>
      </c>
      <c r="AK91" s="177" t="str">
        <f>IF(A91&gt;0,SUM(PASHEET!AP83,PASHEET!AX83),"")</f>
        <v/>
      </c>
      <c r="AL91" s="177" t="str">
        <f>IF(A91&gt;0,SUM(MARKS!J83,MARKS!AP83),"")</f>
        <v/>
      </c>
      <c r="AM91" s="177" t="str">
        <f>IF(A91&gt;0,SUM(MARKS!R83,MARKS!AX83),"")</f>
        <v/>
      </c>
      <c r="AN91" s="177" t="str">
        <f>IF(A91&gt;0,SUM(MARKS!Z83,MARKS!BF83),"")</f>
        <v/>
      </c>
      <c r="AO91" s="177" t="str">
        <f>IF(A91&gt;0,SUM(MARKS!AH83,MARKS!BN83),"")</f>
        <v/>
      </c>
      <c r="AP91" s="177" t="str">
        <f t="shared" si="25"/>
        <v/>
      </c>
      <c r="AQ91" s="177" t="str">
        <f t="shared" si="26"/>
        <v/>
      </c>
      <c r="AR91" s="177" t="str">
        <f>IF(A91&gt;0,SUM(PASHEET!AQ83,PASHEET!AY83),"")</f>
        <v/>
      </c>
      <c r="AS91" s="177" t="str">
        <f>IF(A91&gt;0,SUM(MARKS!K83,MARKS!AQ83),"")</f>
        <v/>
      </c>
      <c r="AT91" s="177" t="str">
        <f>IF(A91&gt;0,SUM(MARKS!S83,MARKS!AY83),"")</f>
        <v/>
      </c>
      <c r="AU91" s="177" t="str">
        <f>IF(A91&gt;0,SUM(MARKS!AA83,MARKS!BG83),"")</f>
        <v/>
      </c>
      <c r="AV91" s="177" t="str">
        <f>IF(A91&gt;0,SUM(MARKS!AI83,MARKS!BO83),"")</f>
        <v/>
      </c>
      <c r="AW91" s="177" t="str">
        <f t="shared" si="27"/>
        <v/>
      </c>
      <c r="AX91" s="177" t="str">
        <f t="shared" si="28"/>
        <v/>
      </c>
      <c r="AY91" s="47" t="str">
        <f t="shared" si="29"/>
        <v/>
      </c>
      <c r="AZ91" s="70" t="str">
        <f t="shared" si="30"/>
        <v/>
      </c>
      <c r="BA91" s="177" t="str">
        <f t="shared" si="31"/>
        <v/>
      </c>
      <c r="BB91" s="47" t="str">
        <f>IF(A91&gt;0,FLN!I83,"")</f>
        <v/>
      </c>
      <c r="BC91" s="47" t="str">
        <f>IF(A91&gt;0,FLN!J83,"")</f>
        <v/>
      </c>
      <c r="BD91" s="47" t="str">
        <f>IF(A91&gt;0,FLN!K83,"")</f>
        <v/>
      </c>
      <c r="BE91" s="47" t="str">
        <f t="shared" si="32"/>
        <v/>
      </c>
      <c r="BF91" s="130" t="str">
        <f>IF(AY91="","",IFERROR(RANK(AY91,$AY$12:$AY$111,0)+COUNTIFS($AY$12:AY91,AY91)-1,0))</f>
        <v/>
      </c>
      <c r="BG91" s="130" t="str">
        <f t="shared" si="33"/>
        <v/>
      </c>
    </row>
    <row r="92" s="98" customFormat="1" ht="27" customHeight="1" spans="1:59">
      <c r="A92" s="47">
        <f>IF(A91=0,0,IF(A91&lt;ENTRY!$D$24,A91+1,0))</f>
        <v>0</v>
      </c>
      <c r="B92" s="47" t="str">
        <f>IF(A92&gt;0,STUDENT!F82,"")</f>
        <v/>
      </c>
      <c r="C92" s="176" t="str">
        <f>IF(A92&gt;0,UPPER(STUDENT!E82),"")</f>
        <v/>
      </c>
      <c r="D92" s="176" t="str">
        <f>IF(A92&gt;0,UPPER(STUDENT!H82),"")</f>
        <v/>
      </c>
      <c r="E92" s="47" t="str">
        <f>IF(A92&gt;0,UPPER(STUDENT!BP82),"")</f>
        <v/>
      </c>
      <c r="F92" s="47" t="str">
        <f>IF(A92&gt;0,UPPER(STUDENT!BO82),"")</f>
        <v/>
      </c>
      <c r="G92" s="47" t="str">
        <f>IF(A92&gt;0,UPPER(STUDENT!Q82),"")</f>
        <v/>
      </c>
      <c r="H92" s="69" t="str">
        <f>IF(A92&gt;0,PASHEET!CI84/PASHEET!CJ84*100,"")</f>
        <v/>
      </c>
      <c r="I92" s="177" t="str">
        <f>IF(A92&gt;0,SUM(PASHEET!AL84,PASHEET!AT84),"")</f>
        <v/>
      </c>
      <c r="J92" s="177" t="str">
        <f>IF(A92&gt;0,SUM(MARKS!F84,MARKS!AL84),"")</f>
        <v/>
      </c>
      <c r="K92" s="177" t="str">
        <f>IF(A92&gt;0,SUM(MARKS!N84,MARKS!AT84),"")</f>
        <v/>
      </c>
      <c r="L92" s="177" t="str">
        <f>IF(A92&gt;0,SUM(MARKS!V84,MARKS!BB84),"")</f>
        <v/>
      </c>
      <c r="M92" s="177" t="str">
        <f>IF(A92&gt;0,SUM(MARKS!AD84,MARKS!BJ84),"")</f>
        <v/>
      </c>
      <c r="N92" s="177" t="str">
        <f t="shared" si="17"/>
        <v/>
      </c>
      <c r="O92" s="177" t="str">
        <f t="shared" si="18"/>
        <v/>
      </c>
      <c r="P92" s="177" t="str">
        <f>IF(A92&gt;0,SUM(PASHEET!AM84,PASHEET!AU84),"")</f>
        <v/>
      </c>
      <c r="Q92" s="177" t="str">
        <f>IF(A92&gt;0,SUM(MARKS!G84,MARKS!AM84),"")</f>
        <v/>
      </c>
      <c r="R92" s="177" t="str">
        <f>IF(A92&gt;0,SUM(MARKS!O84,MARKS!AU84),"")</f>
        <v/>
      </c>
      <c r="S92" s="177" t="str">
        <f>IF(A92&gt;0,SUM(MARKS!W84,MARKS!BC84),"")</f>
        <v/>
      </c>
      <c r="T92" s="177" t="str">
        <f>IF(A92&gt;0,SUM(MARKS!AE84,MARKS!BK84),"")</f>
        <v/>
      </c>
      <c r="U92" s="177" t="str">
        <f t="shared" si="19"/>
        <v/>
      </c>
      <c r="V92" s="177" t="str">
        <f t="shared" si="20"/>
        <v/>
      </c>
      <c r="W92" s="177" t="str">
        <f>IF(A92&gt;0,SUM(PASHEET!AN84,PASHEET!AV84),"")</f>
        <v/>
      </c>
      <c r="X92" s="177" t="str">
        <f>IF(A92&gt;0,SUM(MARKS!H84,MARKS!AN84),"")</f>
        <v/>
      </c>
      <c r="Y92" s="177" t="str">
        <f>IF(A92&gt;0,SUM(MARKS!P84,MARKS!AV84),"")</f>
        <v/>
      </c>
      <c r="Z92" s="177" t="str">
        <f>IF(A92&gt;0,SUM(MARKS!X84,MARKS!BD84),"")</f>
        <v/>
      </c>
      <c r="AA92" s="177" t="str">
        <f>IF(A92&gt;0,SUM(MARKS!AF84,MARKS!BL84),"")</f>
        <v/>
      </c>
      <c r="AB92" s="177" t="str">
        <f t="shared" si="21"/>
        <v/>
      </c>
      <c r="AC92" s="177" t="str">
        <f t="shared" si="22"/>
        <v/>
      </c>
      <c r="AD92" s="177" t="str">
        <f>IF(A92&gt;0,SUM(PASHEET!AO84,PASHEET!AW84),"")</f>
        <v/>
      </c>
      <c r="AE92" s="177" t="str">
        <f>IF(A92&gt;0,SUM(MARKS!I84,MARKS!AO84),"")</f>
        <v/>
      </c>
      <c r="AF92" s="177" t="str">
        <f>IF(A92&gt;0,SUM(MARKS!Q84,MARKS!AW84),"")</f>
        <v/>
      </c>
      <c r="AG92" s="177" t="str">
        <f>IF(A92&gt;0,SUM(MARKS!Y84,MARKS!BE84),"")</f>
        <v/>
      </c>
      <c r="AH92" s="177" t="str">
        <f>IF(A92&gt;0,SUM(MARKS!AG84,MARKS!BM84),"")</f>
        <v/>
      </c>
      <c r="AI92" s="177" t="str">
        <f t="shared" si="23"/>
        <v/>
      </c>
      <c r="AJ92" s="177" t="str">
        <f t="shared" si="24"/>
        <v/>
      </c>
      <c r="AK92" s="177" t="str">
        <f>IF(A92&gt;0,SUM(PASHEET!AP84,PASHEET!AX84),"")</f>
        <v/>
      </c>
      <c r="AL92" s="177" t="str">
        <f>IF(A92&gt;0,SUM(MARKS!J84,MARKS!AP84),"")</f>
        <v/>
      </c>
      <c r="AM92" s="177" t="str">
        <f>IF(A92&gt;0,SUM(MARKS!R84,MARKS!AX84),"")</f>
        <v/>
      </c>
      <c r="AN92" s="177" t="str">
        <f>IF(A92&gt;0,SUM(MARKS!Z84,MARKS!BF84),"")</f>
        <v/>
      </c>
      <c r="AO92" s="177" t="str">
        <f>IF(A92&gt;0,SUM(MARKS!AH84,MARKS!BN84),"")</f>
        <v/>
      </c>
      <c r="AP92" s="177" t="str">
        <f t="shared" si="25"/>
        <v/>
      </c>
      <c r="AQ92" s="177" t="str">
        <f t="shared" si="26"/>
        <v/>
      </c>
      <c r="AR92" s="177" t="str">
        <f>IF(A92&gt;0,SUM(PASHEET!AQ84,PASHEET!AY84),"")</f>
        <v/>
      </c>
      <c r="AS92" s="177" t="str">
        <f>IF(A92&gt;0,SUM(MARKS!K84,MARKS!AQ84),"")</f>
        <v/>
      </c>
      <c r="AT92" s="177" t="str">
        <f>IF(A92&gt;0,SUM(MARKS!S84,MARKS!AY84),"")</f>
        <v/>
      </c>
      <c r="AU92" s="177" t="str">
        <f>IF(A92&gt;0,SUM(MARKS!AA84,MARKS!BG84),"")</f>
        <v/>
      </c>
      <c r="AV92" s="177" t="str">
        <f>IF(A92&gt;0,SUM(MARKS!AI84,MARKS!BO84),"")</f>
        <v/>
      </c>
      <c r="AW92" s="177" t="str">
        <f t="shared" si="27"/>
        <v/>
      </c>
      <c r="AX92" s="177" t="str">
        <f t="shared" si="28"/>
        <v/>
      </c>
      <c r="AY92" s="47" t="str">
        <f t="shared" si="29"/>
        <v/>
      </c>
      <c r="AZ92" s="70" t="str">
        <f t="shared" si="30"/>
        <v/>
      </c>
      <c r="BA92" s="177" t="str">
        <f t="shared" si="31"/>
        <v/>
      </c>
      <c r="BB92" s="47" t="str">
        <f>IF(A92&gt;0,FLN!I84,"")</f>
        <v/>
      </c>
      <c r="BC92" s="47" t="str">
        <f>IF(A92&gt;0,FLN!J84,"")</f>
        <v/>
      </c>
      <c r="BD92" s="47" t="str">
        <f>IF(A92&gt;0,FLN!K84,"")</f>
        <v/>
      </c>
      <c r="BE92" s="47" t="str">
        <f t="shared" si="32"/>
        <v/>
      </c>
      <c r="BF92" s="130" t="str">
        <f>IF(AY92="","",IFERROR(RANK(AY92,$AY$12:$AY$111,0)+COUNTIFS($AY$12:AY92,AY92)-1,0))</f>
        <v/>
      </c>
      <c r="BG92" s="130" t="str">
        <f t="shared" si="33"/>
        <v/>
      </c>
    </row>
    <row r="93" s="98" customFormat="1" ht="27" customHeight="1" spans="1:59">
      <c r="A93" s="47">
        <f>IF(A92=0,0,IF(A92&lt;ENTRY!$D$24,A92+1,0))</f>
        <v>0</v>
      </c>
      <c r="B93" s="47" t="str">
        <f>IF(A93&gt;0,STUDENT!F83,"")</f>
        <v/>
      </c>
      <c r="C93" s="176" t="str">
        <f>IF(A93&gt;0,UPPER(STUDENT!E83),"")</f>
        <v/>
      </c>
      <c r="D93" s="176" t="str">
        <f>IF(A93&gt;0,UPPER(STUDENT!H83),"")</f>
        <v/>
      </c>
      <c r="E93" s="47" t="str">
        <f>IF(A93&gt;0,UPPER(STUDENT!BP83),"")</f>
        <v/>
      </c>
      <c r="F93" s="47" t="str">
        <f>IF(A93&gt;0,UPPER(STUDENT!BO83),"")</f>
        <v/>
      </c>
      <c r="G93" s="47" t="str">
        <f>IF(A93&gt;0,UPPER(STUDENT!Q83),"")</f>
        <v/>
      </c>
      <c r="H93" s="69" t="str">
        <f>IF(A93&gt;0,PASHEET!CI85/PASHEET!CJ85*100,"")</f>
        <v/>
      </c>
      <c r="I93" s="177" t="str">
        <f>IF(A93&gt;0,SUM(PASHEET!AL85,PASHEET!AT85),"")</f>
        <v/>
      </c>
      <c r="J93" s="177" t="str">
        <f>IF(A93&gt;0,SUM(MARKS!F85,MARKS!AL85),"")</f>
        <v/>
      </c>
      <c r="K93" s="177" t="str">
        <f>IF(A93&gt;0,SUM(MARKS!N85,MARKS!AT85),"")</f>
        <v/>
      </c>
      <c r="L93" s="177" t="str">
        <f>IF(A93&gt;0,SUM(MARKS!V85,MARKS!BB85),"")</f>
        <v/>
      </c>
      <c r="M93" s="177" t="str">
        <f>IF(A93&gt;0,SUM(MARKS!AD85,MARKS!BJ85),"")</f>
        <v/>
      </c>
      <c r="N93" s="177" t="str">
        <f t="shared" si="17"/>
        <v/>
      </c>
      <c r="O93" s="177" t="str">
        <f t="shared" si="18"/>
        <v/>
      </c>
      <c r="P93" s="177" t="str">
        <f>IF(A93&gt;0,SUM(PASHEET!AM85,PASHEET!AU85),"")</f>
        <v/>
      </c>
      <c r="Q93" s="177" t="str">
        <f>IF(A93&gt;0,SUM(MARKS!G85,MARKS!AM85),"")</f>
        <v/>
      </c>
      <c r="R93" s="177" t="str">
        <f>IF(A93&gt;0,SUM(MARKS!O85,MARKS!AU85),"")</f>
        <v/>
      </c>
      <c r="S93" s="177" t="str">
        <f>IF(A93&gt;0,SUM(MARKS!W85,MARKS!BC85),"")</f>
        <v/>
      </c>
      <c r="T93" s="177" t="str">
        <f>IF(A93&gt;0,SUM(MARKS!AE85,MARKS!BK85),"")</f>
        <v/>
      </c>
      <c r="U93" s="177" t="str">
        <f t="shared" si="19"/>
        <v/>
      </c>
      <c r="V93" s="177" t="str">
        <f t="shared" si="20"/>
        <v/>
      </c>
      <c r="W93" s="177" t="str">
        <f>IF(A93&gt;0,SUM(PASHEET!AN85,PASHEET!AV85),"")</f>
        <v/>
      </c>
      <c r="X93" s="177" t="str">
        <f>IF(A93&gt;0,SUM(MARKS!H85,MARKS!AN85),"")</f>
        <v/>
      </c>
      <c r="Y93" s="177" t="str">
        <f>IF(A93&gt;0,SUM(MARKS!P85,MARKS!AV85),"")</f>
        <v/>
      </c>
      <c r="Z93" s="177" t="str">
        <f>IF(A93&gt;0,SUM(MARKS!X85,MARKS!BD85),"")</f>
        <v/>
      </c>
      <c r="AA93" s="177" t="str">
        <f>IF(A93&gt;0,SUM(MARKS!AF85,MARKS!BL85),"")</f>
        <v/>
      </c>
      <c r="AB93" s="177" t="str">
        <f t="shared" si="21"/>
        <v/>
      </c>
      <c r="AC93" s="177" t="str">
        <f t="shared" si="22"/>
        <v/>
      </c>
      <c r="AD93" s="177" t="str">
        <f>IF(A93&gt;0,SUM(PASHEET!AO85,PASHEET!AW85),"")</f>
        <v/>
      </c>
      <c r="AE93" s="177" t="str">
        <f>IF(A93&gt;0,SUM(MARKS!I85,MARKS!AO85),"")</f>
        <v/>
      </c>
      <c r="AF93" s="177" t="str">
        <f>IF(A93&gt;0,SUM(MARKS!Q85,MARKS!AW85),"")</f>
        <v/>
      </c>
      <c r="AG93" s="177" t="str">
        <f>IF(A93&gt;0,SUM(MARKS!Y85,MARKS!BE85),"")</f>
        <v/>
      </c>
      <c r="AH93" s="177" t="str">
        <f>IF(A93&gt;0,SUM(MARKS!AG85,MARKS!BM85),"")</f>
        <v/>
      </c>
      <c r="AI93" s="177" t="str">
        <f t="shared" si="23"/>
        <v/>
      </c>
      <c r="AJ93" s="177" t="str">
        <f t="shared" si="24"/>
        <v/>
      </c>
      <c r="AK93" s="177" t="str">
        <f>IF(A93&gt;0,SUM(PASHEET!AP85,PASHEET!AX85),"")</f>
        <v/>
      </c>
      <c r="AL93" s="177" t="str">
        <f>IF(A93&gt;0,SUM(MARKS!J85,MARKS!AP85),"")</f>
        <v/>
      </c>
      <c r="AM93" s="177" t="str">
        <f>IF(A93&gt;0,SUM(MARKS!R85,MARKS!AX85),"")</f>
        <v/>
      </c>
      <c r="AN93" s="177" t="str">
        <f>IF(A93&gt;0,SUM(MARKS!Z85,MARKS!BF85),"")</f>
        <v/>
      </c>
      <c r="AO93" s="177" t="str">
        <f>IF(A93&gt;0,SUM(MARKS!AH85,MARKS!BN85),"")</f>
        <v/>
      </c>
      <c r="AP93" s="177" t="str">
        <f t="shared" si="25"/>
        <v/>
      </c>
      <c r="AQ93" s="177" t="str">
        <f t="shared" si="26"/>
        <v/>
      </c>
      <c r="AR93" s="177" t="str">
        <f>IF(A93&gt;0,SUM(PASHEET!AQ85,PASHEET!AY85),"")</f>
        <v/>
      </c>
      <c r="AS93" s="177" t="str">
        <f>IF(A93&gt;0,SUM(MARKS!K85,MARKS!AQ85),"")</f>
        <v/>
      </c>
      <c r="AT93" s="177" t="str">
        <f>IF(A93&gt;0,SUM(MARKS!S85,MARKS!AY85),"")</f>
        <v/>
      </c>
      <c r="AU93" s="177" t="str">
        <f>IF(A93&gt;0,SUM(MARKS!AA85,MARKS!BG85),"")</f>
        <v/>
      </c>
      <c r="AV93" s="177" t="str">
        <f>IF(A93&gt;0,SUM(MARKS!AI85,MARKS!BO85),"")</f>
        <v/>
      </c>
      <c r="AW93" s="177" t="str">
        <f t="shared" si="27"/>
        <v/>
      </c>
      <c r="AX93" s="177" t="str">
        <f t="shared" si="28"/>
        <v/>
      </c>
      <c r="AY93" s="47" t="str">
        <f t="shared" si="29"/>
        <v/>
      </c>
      <c r="AZ93" s="70" t="str">
        <f t="shared" si="30"/>
        <v/>
      </c>
      <c r="BA93" s="177" t="str">
        <f t="shared" si="31"/>
        <v/>
      </c>
      <c r="BB93" s="47" t="str">
        <f>IF(A93&gt;0,FLN!I85,"")</f>
        <v/>
      </c>
      <c r="BC93" s="47" t="str">
        <f>IF(A93&gt;0,FLN!J85,"")</f>
        <v/>
      </c>
      <c r="BD93" s="47" t="str">
        <f>IF(A93&gt;0,FLN!K85,"")</f>
        <v/>
      </c>
      <c r="BE93" s="47" t="str">
        <f t="shared" si="32"/>
        <v/>
      </c>
      <c r="BF93" s="130" t="str">
        <f>IF(AY93="","",IFERROR(RANK(AY93,$AY$12:$AY$111,0)+COUNTIFS($AY$12:AY93,AY93)-1,0))</f>
        <v/>
      </c>
      <c r="BG93" s="130" t="str">
        <f t="shared" si="33"/>
        <v/>
      </c>
    </row>
    <row r="94" s="98" customFormat="1" ht="27" customHeight="1" spans="1:59">
      <c r="A94" s="47">
        <f>IF(A93=0,0,IF(A93&lt;ENTRY!$D$24,A93+1,0))</f>
        <v>0</v>
      </c>
      <c r="B94" s="47" t="str">
        <f>IF(A94&gt;0,STUDENT!F84,"")</f>
        <v/>
      </c>
      <c r="C94" s="176" t="str">
        <f>IF(A94&gt;0,UPPER(STUDENT!E84),"")</f>
        <v/>
      </c>
      <c r="D94" s="176" t="str">
        <f>IF(A94&gt;0,UPPER(STUDENT!H84),"")</f>
        <v/>
      </c>
      <c r="E94" s="47" t="str">
        <f>IF(A94&gt;0,UPPER(STUDENT!BP84),"")</f>
        <v/>
      </c>
      <c r="F94" s="47" t="str">
        <f>IF(A94&gt;0,UPPER(STUDENT!BO84),"")</f>
        <v/>
      </c>
      <c r="G94" s="47" t="str">
        <f>IF(A94&gt;0,UPPER(STUDENT!Q84),"")</f>
        <v/>
      </c>
      <c r="H94" s="69" t="str">
        <f>IF(A94&gt;0,PASHEET!CI86/PASHEET!CJ86*100,"")</f>
        <v/>
      </c>
      <c r="I94" s="177" t="str">
        <f>IF(A94&gt;0,SUM(PASHEET!AL86,PASHEET!AT86),"")</f>
        <v/>
      </c>
      <c r="J94" s="177" t="str">
        <f>IF(A94&gt;0,SUM(MARKS!F86,MARKS!AL86),"")</f>
        <v/>
      </c>
      <c r="K94" s="177" t="str">
        <f>IF(A94&gt;0,SUM(MARKS!N86,MARKS!AT86),"")</f>
        <v/>
      </c>
      <c r="L94" s="177" t="str">
        <f>IF(A94&gt;0,SUM(MARKS!V86,MARKS!BB86),"")</f>
        <v/>
      </c>
      <c r="M94" s="177" t="str">
        <f>IF(A94&gt;0,SUM(MARKS!AD86,MARKS!BJ86),"")</f>
        <v/>
      </c>
      <c r="N94" s="177" t="str">
        <f t="shared" si="17"/>
        <v/>
      </c>
      <c r="O94" s="177" t="str">
        <f t="shared" si="18"/>
        <v/>
      </c>
      <c r="P94" s="177" t="str">
        <f>IF(A94&gt;0,SUM(PASHEET!AM86,PASHEET!AU86),"")</f>
        <v/>
      </c>
      <c r="Q94" s="177" t="str">
        <f>IF(A94&gt;0,SUM(MARKS!G86,MARKS!AM86),"")</f>
        <v/>
      </c>
      <c r="R94" s="177" t="str">
        <f>IF(A94&gt;0,SUM(MARKS!O86,MARKS!AU86),"")</f>
        <v/>
      </c>
      <c r="S94" s="177" t="str">
        <f>IF(A94&gt;0,SUM(MARKS!W86,MARKS!BC86),"")</f>
        <v/>
      </c>
      <c r="T94" s="177" t="str">
        <f>IF(A94&gt;0,SUM(MARKS!AE86,MARKS!BK86),"")</f>
        <v/>
      </c>
      <c r="U94" s="177" t="str">
        <f t="shared" si="19"/>
        <v/>
      </c>
      <c r="V94" s="177" t="str">
        <f t="shared" si="20"/>
        <v/>
      </c>
      <c r="W94" s="177" t="str">
        <f>IF(A94&gt;0,SUM(PASHEET!AN86,PASHEET!AV86),"")</f>
        <v/>
      </c>
      <c r="X94" s="177" t="str">
        <f>IF(A94&gt;0,SUM(MARKS!H86,MARKS!AN86),"")</f>
        <v/>
      </c>
      <c r="Y94" s="177" t="str">
        <f>IF(A94&gt;0,SUM(MARKS!P86,MARKS!AV86),"")</f>
        <v/>
      </c>
      <c r="Z94" s="177" t="str">
        <f>IF(A94&gt;0,SUM(MARKS!X86,MARKS!BD86),"")</f>
        <v/>
      </c>
      <c r="AA94" s="177" t="str">
        <f>IF(A94&gt;0,SUM(MARKS!AF86,MARKS!BL86),"")</f>
        <v/>
      </c>
      <c r="AB94" s="177" t="str">
        <f t="shared" si="21"/>
        <v/>
      </c>
      <c r="AC94" s="177" t="str">
        <f t="shared" si="22"/>
        <v/>
      </c>
      <c r="AD94" s="177" t="str">
        <f>IF(A94&gt;0,SUM(PASHEET!AO86,PASHEET!AW86),"")</f>
        <v/>
      </c>
      <c r="AE94" s="177" t="str">
        <f>IF(A94&gt;0,SUM(MARKS!I86,MARKS!AO86),"")</f>
        <v/>
      </c>
      <c r="AF94" s="177" t="str">
        <f>IF(A94&gt;0,SUM(MARKS!Q86,MARKS!AW86),"")</f>
        <v/>
      </c>
      <c r="AG94" s="177" t="str">
        <f>IF(A94&gt;0,SUM(MARKS!Y86,MARKS!BE86),"")</f>
        <v/>
      </c>
      <c r="AH94" s="177" t="str">
        <f>IF(A94&gt;0,SUM(MARKS!AG86,MARKS!BM86),"")</f>
        <v/>
      </c>
      <c r="AI94" s="177" t="str">
        <f t="shared" si="23"/>
        <v/>
      </c>
      <c r="AJ94" s="177" t="str">
        <f t="shared" si="24"/>
        <v/>
      </c>
      <c r="AK94" s="177" t="str">
        <f>IF(A94&gt;0,SUM(PASHEET!AP86,PASHEET!AX86),"")</f>
        <v/>
      </c>
      <c r="AL94" s="177" t="str">
        <f>IF(A94&gt;0,SUM(MARKS!J86,MARKS!AP86),"")</f>
        <v/>
      </c>
      <c r="AM94" s="177" t="str">
        <f>IF(A94&gt;0,SUM(MARKS!R86,MARKS!AX86),"")</f>
        <v/>
      </c>
      <c r="AN94" s="177" t="str">
        <f>IF(A94&gt;0,SUM(MARKS!Z86,MARKS!BF86),"")</f>
        <v/>
      </c>
      <c r="AO94" s="177" t="str">
        <f>IF(A94&gt;0,SUM(MARKS!AH86,MARKS!BN86),"")</f>
        <v/>
      </c>
      <c r="AP94" s="177" t="str">
        <f t="shared" si="25"/>
        <v/>
      </c>
      <c r="AQ94" s="177" t="str">
        <f t="shared" si="26"/>
        <v/>
      </c>
      <c r="AR94" s="177" t="str">
        <f>IF(A94&gt;0,SUM(PASHEET!AQ86,PASHEET!AY86),"")</f>
        <v/>
      </c>
      <c r="AS94" s="177" t="str">
        <f>IF(A94&gt;0,SUM(MARKS!K86,MARKS!AQ86),"")</f>
        <v/>
      </c>
      <c r="AT94" s="177" t="str">
        <f>IF(A94&gt;0,SUM(MARKS!S86,MARKS!AY86),"")</f>
        <v/>
      </c>
      <c r="AU94" s="177" t="str">
        <f>IF(A94&gt;0,SUM(MARKS!AA86,MARKS!BG86),"")</f>
        <v/>
      </c>
      <c r="AV94" s="177" t="str">
        <f>IF(A94&gt;0,SUM(MARKS!AI86,MARKS!BO86),"")</f>
        <v/>
      </c>
      <c r="AW94" s="177" t="str">
        <f t="shared" si="27"/>
        <v/>
      </c>
      <c r="AX94" s="177" t="str">
        <f t="shared" si="28"/>
        <v/>
      </c>
      <c r="AY94" s="47" t="str">
        <f t="shared" si="29"/>
        <v/>
      </c>
      <c r="AZ94" s="70" t="str">
        <f t="shared" si="30"/>
        <v/>
      </c>
      <c r="BA94" s="177" t="str">
        <f t="shared" si="31"/>
        <v/>
      </c>
      <c r="BB94" s="47" t="str">
        <f>IF(A94&gt;0,FLN!I86,"")</f>
        <v/>
      </c>
      <c r="BC94" s="47" t="str">
        <f>IF(A94&gt;0,FLN!J86,"")</f>
        <v/>
      </c>
      <c r="BD94" s="47" t="str">
        <f>IF(A94&gt;0,FLN!K86,"")</f>
        <v/>
      </c>
      <c r="BE94" s="47" t="str">
        <f t="shared" si="32"/>
        <v/>
      </c>
      <c r="BF94" s="130" t="str">
        <f>IF(AY94="","",IFERROR(RANK(AY94,$AY$12:$AY$111,0)+COUNTIFS($AY$12:AY94,AY94)-1,0))</f>
        <v/>
      </c>
      <c r="BG94" s="130" t="str">
        <f t="shared" si="33"/>
        <v/>
      </c>
    </row>
    <row r="95" s="98" customFormat="1" ht="27" customHeight="1" spans="1:59">
      <c r="A95" s="47">
        <f>IF(A94=0,0,IF(A94&lt;ENTRY!$D$24,A94+1,0))</f>
        <v>0</v>
      </c>
      <c r="B95" s="47" t="str">
        <f>IF(A95&gt;0,STUDENT!F85,"")</f>
        <v/>
      </c>
      <c r="C95" s="176" t="str">
        <f>IF(A95&gt;0,UPPER(STUDENT!E85),"")</f>
        <v/>
      </c>
      <c r="D95" s="176" t="str">
        <f>IF(A95&gt;0,UPPER(STUDENT!H85),"")</f>
        <v/>
      </c>
      <c r="E95" s="47" t="str">
        <f>IF(A95&gt;0,UPPER(STUDENT!BP85),"")</f>
        <v/>
      </c>
      <c r="F95" s="47" t="str">
        <f>IF(A95&gt;0,UPPER(STUDENT!BO85),"")</f>
        <v/>
      </c>
      <c r="G95" s="47" t="str">
        <f>IF(A95&gt;0,UPPER(STUDENT!Q85),"")</f>
        <v/>
      </c>
      <c r="H95" s="69" t="str">
        <f>IF(A95&gt;0,PASHEET!CI87/PASHEET!CJ87*100,"")</f>
        <v/>
      </c>
      <c r="I95" s="177" t="str">
        <f>IF(A95&gt;0,SUM(PASHEET!AL87,PASHEET!AT87),"")</f>
        <v/>
      </c>
      <c r="J95" s="177" t="str">
        <f>IF(A95&gt;0,SUM(MARKS!F87,MARKS!AL87),"")</f>
        <v/>
      </c>
      <c r="K95" s="177" t="str">
        <f>IF(A95&gt;0,SUM(MARKS!N87,MARKS!AT87),"")</f>
        <v/>
      </c>
      <c r="L95" s="177" t="str">
        <f>IF(A95&gt;0,SUM(MARKS!V87,MARKS!BB87),"")</f>
        <v/>
      </c>
      <c r="M95" s="177" t="str">
        <f>IF(A95&gt;0,SUM(MARKS!AD87,MARKS!BJ87),"")</f>
        <v/>
      </c>
      <c r="N95" s="177" t="str">
        <f t="shared" si="17"/>
        <v/>
      </c>
      <c r="O95" s="177" t="str">
        <f t="shared" si="18"/>
        <v/>
      </c>
      <c r="P95" s="177" t="str">
        <f>IF(A95&gt;0,SUM(PASHEET!AM87,PASHEET!AU87),"")</f>
        <v/>
      </c>
      <c r="Q95" s="177" t="str">
        <f>IF(A95&gt;0,SUM(MARKS!G87,MARKS!AM87),"")</f>
        <v/>
      </c>
      <c r="R95" s="177" t="str">
        <f>IF(A95&gt;0,SUM(MARKS!O87,MARKS!AU87),"")</f>
        <v/>
      </c>
      <c r="S95" s="177" t="str">
        <f>IF(A95&gt;0,SUM(MARKS!W87,MARKS!BC87),"")</f>
        <v/>
      </c>
      <c r="T95" s="177" t="str">
        <f>IF(A95&gt;0,SUM(MARKS!AE87,MARKS!BK87),"")</f>
        <v/>
      </c>
      <c r="U95" s="177" t="str">
        <f t="shared" si="19"/>
        <v/>
      </c>
      <c r="V95" s="177" t="str">
        <f t="shared" si="20"/>
        <v/>
      </c>
      <c r="W95" s="177" t="str">
        <f>IF(A95&gt;0,SUM(PASHEET!AN87,PASHEET!AV87),"")</f>
        <v/>
      </c>
      <c r="X95" s="177" t="str">
        <f>IF(A95&gt;0,SUM(MARKS!H87,MARKS!AN87),"")</f>
        <v/>
      </c>
      <c r="Y95" s="177" t="str">
        <f>IF(A95&gt;0,SUM(MARKS!P87,MARKS!AV87),"")</f>
        <v/>
      </c>
      <c r="Z95" s="177" t="str">
        <f>IF(A95&gt;0,SUM(MARKS!X87,MARKS!BD87),"")</f>
        <v/>
      </c>
      <c r="AA95" s="177" t="str">
        <f>IF(A95&gt;0,SUM(MARKS!AF87,MARKS!BL87),"")</f>
        <v/>
      </c>
      <c r="AB95" s="177" t="str">
        <f t="shared" si="21"/>
        <v/>
      </c>
      <c r="AC95" s="177" t="str">
        <f t="shared" si="22"/>
        <v/>
      </c>
      <c r="AD95" s="177" t="str">
        <f>IF(A95&gt;0,SUM(PASHEET!AO87,PASHEET!AW87),"")</f>
        <v/>
      </c>
      <c r="AE95" s="177" t="str">
        <f>IF(A95&gt;0,SUM(MARKS!I87,MARKS!AO87),"")</f>
        <v/>
      </c>
      <c r="AF95" s="177" t="str">
        <f>IF(A95&gt;0,SUM(MARKS!Q87,MARKS!AW87),"")</f>
        <v/>
      </c>
      <c r="AG95" s="177" t="str">
        <f>IF(A95&gt;0,SUM(MARKS!Y87,MARKS!BE87),"")</f>
        <v/>
      </c>
      <c r="AH95" s="177" t="str">
        <f>IF(A95&gt;0,SUM(MARKS!AG87,MARKS!BM87),"")</f>
        <v/>
      </c>
      <c r="AI95" s="177" t="str">
        <f t="shared" si="23"/>
        <v/>
      </c>
      <c r="AJ95" s="177" t="str">
        <f t="shared" si="24"/>
        <v/>
      </c>
      <c r="AK95" s="177" t="str">
        <f>IF(A95&gt;0,SUM(PASHEET!AP87,PASHEET!AX87),"")</f>
        <v/>
      </c>
      <c r="AL95" s="177" t="str">
        <f>IF(A95&gt;0,SUM(MARKS!J87,MARKS!AP87),"")</f>
        <v/>
      </c>
      <c r="AM95" s="177" t="str">
        <f>IF(A95&gt;0,SUM(MARKS!R87,MARKS!AX87),"")</f>
        <v/>
      </c>
      <c r="AN95" s="177" t="str">
        <f>IF(A95&gt;0,SUM(MARKS!Z87,MARKS!BF87),"")</f>
        <v/>
      </c>
      <c r="AO95" s="177" t="str">
        <f>IF(A95&gt;0,SUM(MARKS!AH87,MARKS!BN87),"")</f>
        <v/>
      </c>
      <c r="AP95" s="177" t="str">
        <f t="shared" si="25"/>
        <v/>
      </c>
      <c r="AQ95" s="177" t="str">
        <f t="shared" si="26"/>
        <v/>
      </c>
      <c r="AR95" s="177" t="str">
        <f>IF(A95&gt;0,SUM(PASHEET!AQ87,PASHEET!AY87),"")</f>
        <v/>
      </c>
      <c r="AS95" s="177" t="str">
        <f>IF(A95&gt;0,SUM(MARKS!K87,MARKS!AQ87),"")</f>
        <v/>
      </c>
      <c r="AT95" s="177" t="str">
        <f>IF(A95&gt;0,SUM(MARKS!S87,MARKS!AY87),"")</f>
        <v/>
      </c>
      <c r="AU95" s="177" t="str">
        <f>IF(A95&gt;0,SUM(MARKS!AA87,MARKS!BG87),"")</f>
        <v/>
      </c>
      <c r="AV95" s="177" t="str">
        <f>IF(A95&gt;0,SUM(MARKS!AI87,MARKS!BO87),"")</f>
        <v/>
      </c>
      <c r="AW95" s="177" t="str">
        <f t="shared" si="27"/>
        <v/>
      </c>
      <c r="AX95" s="177" t="str">
        <f t="shared" si="28"/>
        <v/>
      </c>
      <c r="AY95" s="47" t="str">
        <f t="shared" si="29"/>
        <v/>
      </c>
      <c r="AZ95" s="70" t="str">
        <f t="shared" si="30"/>
        <v/>
      </c>
      <c r="BA95" s="177" t="str">
        <f t="shared" si="31"/>
        <v/>
      </c>
      <c r="BB95" s="47" t="str">
        <f>IF(A95&gt;0,FLN!I87,"")</f>
        <v/>
      </c>
      <c r="BC95" s="47" t="str">
        <f>IF(A95&gt;0,FLN!J87,"")</f>
        <v/>
      </c>
      <c r="BD95" s="47" t="str">
        <f>IF(A95&gt;0,FLN!K87,"")</f>
        <v/>
      </c>
      <c r="BE95" s="47" t="str">
        <f t="shared" si="32"/>
        <v/>
      </c>
      <c r="BF95" s="130" t="str">
        <f>IF(AY95="","",IFERROR(RANK(AY95,$AY$12:$AY$111,0)+COUNTIFS($AY$12:AY95,AY95)-1,0))</f>
        <v/>
      </c>
      <c r="BG95" s="130" t="str">
        <f t="shared" si="33"/>
        <v/>
      </c>
    </row>
    <row r="96" s="98" customFormat="1" ht="27" customHeight="1" spans="1:59">
      <c r="A96" s="47">
        <f>IF(A95=0,0,IF(A95&lt;ENTRY!$D$24,A95+1,0))</f>
        <v>0</v>
      </c>
      <c r="B96" s="47" t="str">
        <f>IF(A96&gt;0,STUDENT!F86,"")</f>
        <v/>
      </c>
      <c r="C96" s="176" t="str">
        <f>IF(A96&gt;0,UPPER(STUDENT!E86),"")</f>
        <v/>
      </c>
      <c r="D96" s="176" t="str">
        <f>IF(A96&gt;0,UPPER(STUDENT!H86),"")</f>
        <v/>
      </c>
      <c r="E96" s="47" t="str">
        <f>IF(A96&gt;0,UPPER(STUDENT!BP86),"")</f>
        <v/>
      </c>
      <c r="F96" s="47" t="str">
        <f>IF(A96&gt;0,UPPER(STUDENT!BO86),"")</f>
        <v/>
      </c>
      <c r="G96" s="47" t="str">
        <f>IF(A96&gt;0,UPPER(STUDENT!Q86),"")</f>
        <v/>
      </c>
      <c r="H96" s="69" t="str">
        <f>IF(A96&gt;0,PASHEET!CI88/PASHEET!CJ88*100,"")</f>
        <v/>
      </c>
      <c r="I96" s="177" t="str">
        <f>IF(A96&gt;0,SUM(PASHEET!AL88,PASHEET!AT88),"")</f>
        <v/>
      </c>
      <c r="J96" s="177" t="str">
        <f>IF(A96&gt;0,SUM(MARKS!F88,MARKS!AL88),"")</f>
        <v/>
      </c>
      <c r="K96" s="177" t="str">
        <f>IF(A96&gt;0,SUM(MARKS!N88,MARKS!AT88),"")</f>
        <v/>
      </c>
      <c r="L96" s="177" t="str">
        <f>IF(A96&gt;0,SUM(MARKS!V88,MARKS!BB88),"")</f>
        <v/>
      </c>
      <c r="M96" s="177" t="str">
        <f>IF(A96&gt;0,SUM(MARKS!AD88,MARKS!BJ88),"")</f>
        <v/>
      </c>
      <c r="N96" s="177" t="str">
        <f t="shared" si="17"/>
        <v/>
      </c>
      <c r="O96" s="177" t="str">
        <f t="shared" si="18"/>
        <v/>
      </c>
      <c r="P96" s="177" t="str">
        <f>IF(A96&gt;0,SUM(PASHEET!AM88,PASHEET!AU88),"")</f>
        <v/>
      </c>
      <c r="Q96" s="177" t="str">
        <f>IF(A96&gt;0,SUM(MARKS!G88,MARKS!AM88),"")</f>
        <v/>
      </c>
      <c r="R96" s="177" t="str">
        <f>IF(A96&gt;0,SUM(MARKS!O88,MARKS!AU88),"")</f>
        <v/>
      </c>
      <c r="S96" s="177" t="str">
        <f>IF(A96&gt;0,SUM(MARKS!W88,MARKS!BC88),"")</f>
        <v/>
      </c>
      <c r="T96" s="177" t="str">
        <f>IF(A96&gt;0,SUM(MARKS!AE88,MARKS!BK88),"")</f>
        <v/>
      </c>
      <c r="U96" s="177" t="str">
        <f t="shared" si="19"/>
        <v/>
      </c>
      <c r="V96" s="177" t="str">
        <f t="shared" si="20"/>
        <v/>
      </c>
      <c r="W96" s="177" t="str">
        <f>IF(A96&gt;0,SUM(PASHEET!AN88,PASHEET!AV88),"")</f>
        <v/>
      </c>
      <c r="X96" s="177" t="str">
        <f>IF(A96&gt;0,SUM(MARKS!H88,MARKS!AN88),"")</f>
        <v/>
      </c>
      <c r="Y96" s="177" t="str">
        <f>IF(A96&gt;0,SUM(MARKS!P88,MARKS!AV88),"")</f>
        <v/>
      </c>
      <c r="Z96" s="177" t="str">
        <f>IF(A96&gt;0,SUM(MARKS!X88,MARKS!BD88),"")</f>
        <v/>
      </c>
      <c r="AA96" s="177" t="str">
        <f>IF(A96&gt;0,SUM(MARKS!AF88,MARKS!BL88),"")</f>
        <v/>
      </c>
      <c r="AB96" s="177" t="str">
        <f t="shared" si="21"/>
        <v/>
      </c>
      <c r="AC96" s="177" t="str">
        <f t="shared" si="22"/>
        <v/>
      </c>
      <c r="AD96" s="177" t="str">
        <f>IF(A96&gt;0,SUM(PASHEET!AO88,PASHEET!AW88),"")</f>
        <v/>
      </c>
      <c r="AE96" s="177" t="str">
        <f>IF(A96&gt;0,SUM(MARKS!I88,MARKS!AO88),"")</f>
        <v/>
      </c>
      <c r="AF96" s="177" t="str">
        <f>IF(A96&gt;0,SUM(MARKS!Q88,MARKS!AW88),"")</f>
        <v/>
      </c>
      <c r="AG96" s="177" t="str">
        <f>IF(A96&gt;0,SUM(MARKS!Y88,MARKS!BE88),"")</f>
        <v/>
      </c>
      <c r="AH96" s="177" t="str">
        <f>IF(A96&gt;0,SUM(MARKS!AG88,MARKS!BM88),"")</f>
        <v/>
      </c>
      <c r="AI96" s="177" t="str">
        <f t="shared" si="23"/>
        <v/>
      </c>
      <c r="AJ96" s="177" t="str">
        <f t="shared" si="24"/>
        <v/>
      </c>
      <c r="AK96" s="177" t="str">
        <f>IF(A96&gt;0,SUM(PASHEET!AP88,PASHEET!AX88),"")</f>
        <v/>
      </c>
      <c r="AL96" s="177" t="str">
        <f>IF(A96&gt;0,SUM(MARKS!J88,MARKS!AP88),"")</f>
        <v/>
      </c>
      <c r="AM96" s="177" t="str">
        <f>IF(A96&gt;0,SUM(MARKS!R88,MARKS!AX88),"")</f>
        <v/>
      </c>
      <c r="AN96" s="177" t="str">
        <f>IF(A96&gt;0,SUM(MARKS!Z88,MARKS!BF88),"")</f>
        <v/>
      </c>
      <c r="AO96" s="177" t="str">
        <f>IF(A96&gt;0,SUM(MARKS!AH88,MARKS!BN88),"")</f>
        <v/>
      </c>
      <c r="AP96" s="177" t="str">
        <f t="shared" si="25"/>
        <v/>
      </c>
      <c r="AQ96" s="177" t="str">
        <f t="shared" si="26"/>
        <v/>
      </c>
      <c r="AR96" s="177" t="str">
        <f>IF(A96&gt;0,SUM(PASHEET!AQ88,PASHEET!AY88),"")</f>
        <v/>
      </c>
      <c r="AS96" s="177" t="str">
        <f>IF(A96&gt;0,SUM(MARKS!K88,MARKS!AQ88),"")</f>
        <v/>
      </c>
      <c r="AT96" s="177" t="str">
        <f>IF(A96&gt;0,SUM(MARKS!S88,MARKS!AY88),"")</f>
        <v/>
      </c>
      <c r="AU96" s="177" t="str">
        <f>IF(A96&gt;0,SUM(MARKS!AA88,MARKS!BG88),"")</f>
        <v/>
      </c>
      <c r="AV96" s="177" t="str">
        <f>IF(A96&gt;0,SUM(MARKS!AI88,MARKS!BO88),"")</f>
        <v/>
      </c>
      <c r="AW96" s="177" t="str">
        <f t="shared" si="27"/>
        <v/>
      </c>
      <c r="AX96" s="177" t="str">
        <f t="shared" si="28"/>
        <v/>
      </c>
      <c r="AY96" s="47" t="str">
        <f t="shared" si="29"/>
        <v/>
      </c>
      <c r="AZ96" s="70" t="str">
        <f t="shared" si="30"/>
        <v/>
      </c>
      <c r="BA96" s="177" t="str">
        <f t="shared" si="31"/>
        <v/>
      </c>
      <c r="BB96" s="47" t="str">
        <f>IF(A96&gt;0,FLN!I88,"")</f>
        <v/>
      </c>
      <c r="BC96" s="47" t="str">
        <f>IF(A96&gt;0,FLN!J88,"")</f>
        <v/>
      </c>
      <c r="BD96" s="47" t="str">
        <f>IF(A96&gt;0,FLN!K88,"")</f>
        <v/>
      </c>
      <c r="BE96" s="47" t="str">
        <f t="shared" si="32"/>
        <v/>
      </c>
      <c r="BF96" s="130" t="str">
        <f>IF(AY96="","",IFERROR(RANK(AY96,$AY$12:$AY$111,0)+COUNTIFS($AY$12:AY96,AY96)-1,0))</f>
        <v/>
      </c>
      <c r="BG96" s="130" t="str">
        <f t="shared" si="33"/>
        <v/>
      </c>
    </row>
    <row r="97" s="98" customFormat="1" ht="27" customHeight="1" spans="1:59">
      <c r="A97" s="47">
        <f>IF(A96=0,0,IF(A96&lt;ENTRY!$D$24,A96+1,0))</f>
        <v>0</v>
      </c>
      <c r="B97" s="47" t="str">
        <f>IF(A97&gt;0,STUDENT!F87,"")</f>
        <v/>
      </c>
      <c r="C97" s="176" t="str">
        <f>IF(A97&gt;0,UPPER(STUDENT!E87),"")</f>
        <v/>
      </c>
      <c r="D97" s="176" t="str">
        <f>IF(A97&gt;0,UPPER(STUDENT!H87),"")</f>
        <v/>
      </c>
      <c r="E97" s="47" t="str">
        <f>IF(A97&gt;0,UPPER(STUDENT!BP87),"")</f>
        <v/>
      </c>
      <c r="F97" s="47" t="str">
        <f>IF(A97&gt;0,UPPER(STUDENT!BO87),"")</f>
        <v/>
      </c>
      <c r="G97" s="47" t="str">
        <f>IF(A97&gt;0,UPPER(STUDENT!Q87),"")</f>
        <v/>
      </c>
      <c r="H97" s="69" t="str">
        <f>IF(A97&gt;0,PASHEET!CI89/PASHEET!CJ89*100,"")</f>
        <v/>
      </c>
      <c r="I97" s="177" t="str">
        <f>IF(A97&gt;0,SUM(PASHEET!AL89,PASHEET!AT89),"")</f>
        <v/>
      </c>
      <c r="J97" s="177" t="str">
        <f>IF(A97&gt;0,SUM(MARKS!F89,MARKS!AL89),"")</f>
        <v/>
      </c>
      <c r="K97" s="177" t="str">
        <f>IF(A97&gt;0,SUM(MARKS!N89,MARKS!AT89),"")</f>
        <v/>
      </c>
      <c r="L97" s="177" t="str">
        <f>IF(A97&gt;0,SUM(MARKS!V89,MARKS!BB89),"")</f>
        <v/>
      </c>
      <c r="M97" s="177" t="str">
        <f>IF(A97&gt;0,SUM(MARKS!AD89,MARKS!BJ89),"")</f>
        <v/>
      </c>
      <c r="N97" s="177" t="str">
        <f t="shared" si="17"/>
        <v/>
      </c>
      <c r="O97" s="177" t="str">
        <f t="shared" si="18"/>
        <v/>
      </c>
      <c r="P97" s="177" t="str">
        <f>IF(A97&gt;0,SUM(PASHEET!AM89,PASHEET!AU89),"")</f>
        <v/>
      </c>
      <c r="Q97" s="177" t="str">
        <f>IF(A97&gt;0,SUM(MARKS!G89,MARKS!AM89),"")</f>
        <v/>
      </c>
      <c r="R97" s="177" t="str">
        <f>IF(A97&gt;0,SUM(MARKS!O89,MARKS!AU89),"")</f>
        <v/>
      </c>
      <c r="S97" s="177" t="str">
        <f>IF(A97&gt;0,SUM(MARKS!W89,MARKS!BC89),"")</f>
        <v/>
      </c>
      <c r="T97" s="177" t="str">
        <f>IF(A97&gt;0,SUM(MARKS!AE89,MARKS!BK89),"")</f>
        <v/>
      </c>
      <c r="U97" s="177" t="str">
        <f t="shared" si="19"/>
        <v/>
      </c>
      <c r="V97" s="177" t="str">
        <f t="shared" si="20"/>
        <v/>
      </c>
      <c r="W97" s="177" t="str">
        <f>IF(A97&gt;0,SUM(PASHEET!AN89,PASHEET!AV89),"")</f>
        <v/>
      </c>
      <c r="X97" s="177" t="str">
        <f>IF(A97&gt;0,SUM(MARKS!H89,MARKS!AN89),"")</f>
        <v/>
      </c>
      <c r="Y97" s="177" t="str">
        <f>IF(A97&gt;0,SUM(MARKS!P89,MARKS!AV89),"")</f>
        <v/>
      </c>
      <c r="Z97" s="177" t="str">
        <f>IF(A97&gt;0,SUM(MARKS!X89,MARKS!BD89),"")</f>
        <v/>
      </c>
      <c r="AA97" s="177" t="str">
        <f>IF(A97&gt;0,SUM(MARKS!AF89,MARKS!BL89),"")</f>
        <v/>
      </c>
      <c r="AB97" s="177" t="str">
        <f t="shared" si="21"/>
        <v/>
      </c>
      <c r="AC97" s="177" t="str">
        <f t="shared" si="22"/>
        <v/>
      </c>
      <c r="AD97" s="177" t="str">
        <f>IF(A97&gt;0,SUM(PASHEET!AO89,PASHEET!AW89),"")</f>
        <v/>
      </c>
      <c r="AE97" s="177" t="str">
        <f>IF(A97&gt;0,SUM(MARKS!I89,MARKS!AO89),"")</f>
        <v/>
      </c>
      <c r="AF97" s="177" t="str">
        <f>IF(A97&gt;0,SUM(MARKS!Q89,MARKS!AW89),"")</f>
        <v/>
      </c>
      <c r="AG97" s="177" t="str">
        <f>IF(A97&gt;0,SUM(MARKS!Y89,MARKS!BE89),"")</f>
        <v/>
      </c>
      <c r="AH97" s="177" t="str">
        <f>IF(A97&gt;0,SUM(MARKS!AG89,MARKS!BM89),"")</f>
        <v/>
      </c>
      <c r="AI97" s="177" t="str">
        <f t="shared" si="23"/>
        <v/>
      </c>
      <c r="AJ97" s="177" t="str">
        <f t="shared" si="24"/>
        <v/>
      </c>
      <c r="AK97" s="177" t="str">
        <f>IF(A97&gt;0,SUM(PASHEET!AP89,PASHEET!AX89),"")</f>
        <v/>
      </c>
      <c r="AL97" s="177" t="str">
        <f>IF(A97&gt;0,SUM(MARKS!J89,MARKS!AP89),"")</f>
        <v/>
      </c>
      <c r="AM97" s="177" t="str">
        <f>IF(A97&gt;0,SUM(MARKS!R89,MARKS!AX89),"")</f>
        <v/>
      </c>
      <c r="AN97" s="177" t="str">
        <f>IF(A97&gt;0,SUM(MARKS!Z89,MARKS!BF89),"")</f>
        <v/>
      </c>
      <c r="AO97" s="177" t="str">
        <f>IF(A97&gt;0,SUM(MARKS!AH89,MARKS!BN89),"")</f>
        <v/>
      </c>
      <c r="AP97" s="177" t="str">
        <f t="shared" si="25"/>
        <v/>
      </c>
      <c r="AQ97" s="177" t="str">
        <f t="shared" si="26"/>
        <v/>
      </c>
      <c r="AR97" s="177" t="str">
        <f>IF(A97&gt;0,SUM(PASHEET!AQ89,PASHEET!AY89),"")</f>
        <v/>
      </c>
      <c r="AS97" s="177" t="str">
        <f>IF(A97&gt;0,SUM(MARKS!K89,MARKS!AQ89),"")</f>
        <v/>
      </c>
      <c r="AT97" s="177" t="str">
        <f>IF(A97&gt;0,SUM(MARKS!S89,MARKS!AY89),"")</f>
        <v/>
      </c>
      <c r="AU97" s="177" t="str">
        <f>IF(A97&gt;0,SUM(MARKS!AA89,MARKS!BG89),"")</f>
        <v/>
      </c>
      <c r="AV97" s="177" t="str">
        <f>IF(A97&gt;0,SUM(MARKS!AI89,MARKS!BO89),"")</f>
        <v/>
      </c>
      <c r="AW97" s="177" t="str">
        <f t="shared" si="27"/>
        <v/>
      </c>
      <c r="AX97" s="177" t="str">
        <f t="shared" si="28"/>
        <v/>
      </c>
      <c r="AY97" s="47" t="str">
        <f t="shared" si="29"/>
        <v/>
      </c>
      <c r="AZ97" s="70" t="str">
        <f t="shared" si="30"/>
        <v/>
      </c>
      <c r="BA97" s="177" t="str">
        <f t="shared" si="31"/>
        <v/>
      </c>
      <c r="BB97" s="47" t="str">
        <f>IF(A97&gt;0,FLN!I89,"")</f>
        <v/>
      </c>
      <c r="BC97" s="47" t="str">
        <f>IF(A97&gt;0,FLN!J89,"")</f>
        <v/>
      </c>
      <c r="BD97" s="47" t="str">
        <f>IF(A97&gt;0,FLN!K89,"")</f>
        <v/>
      </c>
      <c r="BE97" s="47" t="str">
        <f t="shared" si="32"/>
        <v/>
      </c>
      <c r="BF97" s="130" t="str">
        <f>IF(AY97="","",IFERROR(RANK(AY97,$AY$12:$AY$111,0)+COUNTIFS($AY$12:AY97,AY97)-1,0))</f>
        <v/>
      </c>
      <c r="BG97" s="130" t="str">
        <f t="shared" si="33"/>
        <v/>
      </c>
    </row>
    <row r="98" s="98" customFormat="1" ht="27" customHeight="1" spans="1:59">
      <c r="A98" s="47">
        <f>IF(A97=0,0,IF(A97&lt;ENTRY!$D$24,A97+1,0))</f>
        <v>0</v>
      </c>
      <c r="B98" s="47" t="str">
        <f>IF(A98&gt;0,STUDENT!F88,"")</f>
        <v/>
      </c>
      <c r="C98" s="176" t="str">
        <f>IF(A98&gt;0,UPPER(STUDENT!E88),"")</f>
        <v/>
      </c>
      <c r="D98" s="176" t="str">
        <f>IF(A98&gt;0,UPPER(STUDENT!H88),"")</f>
        <v/>
      </c>
      <c r="E98" s="47" t="str">
        <f>IF(A98&gt;0,UPPER(STUDENT!BP88),"")</f>
        <v/>
      </c>
      <c r="F98" s="47" t="str">
        <f>IF(A98&gt;0,UPPER(STUDENT!BO88),"")</f>
        <v/>
      </c>
      <c r="G98" s="47" t="str">
        <f>IF(A98&gt;0,UPPER(STUDENT!Q88),"")</f>
        <v/>
      </c>
      <c r="H98" s="69" t="str">
        <f>IF(A98&gt;0,PASHEET!CI90/PASHEET!CJ90*100,"")</f>
        <v/>
      </c>
      <c r="I98" s="177" t="str">
        <f>IF(A98&gt;0,SUM(PASHEET!AL90,PASHEET!AT90),"")</f>
        <v/>
      </c>
      <c r="J98" s="177" t="str">
        <f>IF(A98&gt;0,SUM(MARKS!F90,MARKS!AL90),"")</f>
        <v/>
      </c>
      <c r="K98" s="177" t="str">
        <f>IF(A98&gt;0,SUM(MARKS!N90,MARKS!AT90),"")</f>
        <v/>
      </c>
      <c r="L98" s="177" t="str">
        <f>IF(A98&gt;0,SUM(MARKS!V90,MARKS!BB90),"")</f>
        <v/>
      </c>
      <c r="M98" s="177" t="str">
        <f>IF(A98&gt;0,SUM(MARKS!AD90,MARKS!BJ90),"")</f>
        <v/>
      </c>
      <c r="N98" s="177" t="str">
        <f t="shared" si="17"/>
        <v/>
      </c>
      <c r="O98" s="177" t="str">
        <f t="shared" si="18"/>
        <v/>
      </c>
      <c r="P98" s="177" t="str">
        <f>IF(A98&gt;0,SUM(PASHEET!AM90,PASHEET!AU90),"")</f>
        <v/>
      </c>
      <c r="Q98" s="177" t="str">
        <f>IF(A98&gt;0,SUM(MARKS!G90,MARKS!AM90),"")</f>
        <v/>
      </c>
      <c r="R98" s="177" t="str">
        <f>IF(A98&gt;0,SUM(MARKS!O90,MARKS!AU90),"")</f>
        <v/>
      </c>
      <c r="S98" s="177" t="str">
        <f>IF(A98&gt;0,SUM(MARKS!W90,MARKS!BC90),"")</f>
        <v/>
      </c>
      <c r="T98" s="177" t="str">
        <f>IF(A98&gt;0,SUM(MARKS!AE90,MARKS!BK90),"")</f>
        <v/>
      </c>
      <c r="U98" s="177" t="str">
        <f t="shared" si="19"/>
        <v/>
      </c>
      <c r="V98" s="177" t="str">
        <f t="shared" si="20"/>
        <v/>
      </c>
      <c r="W98" s="177" t="str">
        <f>IF(A98&gt;0,SUM(PASHEET!AN90,PASHEET!AV90),"")</f>
        <v/>
      </c>
      <c r="X98" s="177" t="str">
        <f>IF(A98&gt;0,SUM(MARKS!H90,MARKS!AN90),"")</f>
        <v/>
      </c>
      <c r="Y98" s="177" t="str">
        <f>IF(A98&gt;0,SUM(MARKS!P90,MARKS!AV90),"")</f>
        <v/>
      </c>
      <c r="Z98" s="177" t="str">
        <f>IF(A98&gt;0,SUM(MARKS!X90,MARKS!BD90),"")</f>
        <v/>
      </c>
      <c r="AA98" s="177" t="str">
        <f>IF(A98&gt;0,SUM(MARKS!AF90,MARKS!BL90),"")</f>
        <v/>
      </c>
      <c r="AB98" s="177" t="str">
        <f t="shared" si="21"/>
        <v/>
      </c>
      <c r="AC98" s="177" t="str">
        <f t="shared" si="22"/>
        <v/>
      </c>
      <c r="AD98" s="177" t="str">
        <f>IF(A98&gt;0,SUM(PASHEET!AO90,PASHEET!AW90),"")</f>
        <v/>
      </c>
      <c r="AE98" s="177" t="str">
        <f>IF(A98&gt;0,SUM(MARKS!I90,MARKS!AO90),"")</f>
        <v/>
      </c>
      <c r="AF98" s="177" t="str">
        <f>IF(A98&gt;0,SUM(MARKS!Q90,MARKS!AW90),"")</f>
        <v/>
      </c>
      <c r="AG98" s="177" t="str">
        <f>IF(A98&gt;0,SUM(MARKS!Y90,MARKS!BE90),"")</f>
        <v/>
      </c>
      <c r="AH98" s="177" t="str">
        <f>IF(A98&gt;0,SUM(MARKS!AG90,MARKS!BM90),"")</f>
        <v/>
      </c>
      <c r="AI98" s="177" t="str">
        <f t="shared" si="23"/>
        <v/>
      </c>
      <c r="AJ98" s="177" t="str">
        <f t="shared" si="24"/>
        <v/>
      </c>
      <c r="AK98" s="177" t="str">
        <f>IF(A98&gt;0,SUM(PASHEET!AP90,PASHEET!AX90),"")</f>
        <v/>
      </c>
      <c r="AL98" s="177" t="str">
        <f>IF(A98&gt;0,SUM(MARKS!J90,MARKS!AP90),"")</f>
        <v/>
      </c>
      <c r="AM98" s="177" t="str">
        <f>IF(A98&gt;0,SUM(MARKS!R90,MARKS!AX90),"")</f>
        <v/>
      </c>
      <c r="AN98" s="177" t="str">
        <f>IF(A98&gt;0,SUM(MARKS!Z90,MARKS!BF90),"")</f>
        <v/>
      </c>
      <c r="AO98" s="177" t="str">
        <f>IF(A98&gt;0,SUM(MARKS!AH90,MARKS!BN90),"")</f>
        <v/>
      </c>
      <c r="AP98" s="177" t="str">
        <f t="shared" si="25"/>
        <v/>
      </c>
      <c r="AQ98" s="177" t="str">
        <f t="shared" si="26"/>
        <v/>
      </c>
      <c r="AR98" s="177" t="str">
        <f>IF(A98&gt;0,SUM(PASHEET!AQ90,PASHEET!AY90),"")</f>
        <v/>
      </c>
      <c r="AS98" s="177" t="str">
        <f>IF(A98&gt;0,SUM(MARKS!K90,MARKS!AQ90),"")</f>
        <v/>
      </c>
      <c r="AT98" s="177" t="str">
        <f>IF(A98&gt;0,SUM(MARKS!S90,MARKS!AY90),"")</f>
        <v/>
      </c>
      <c r="AU98" s="177" t="str">
        <f>IF(A98&gt;0,SUM(MARKS!AA90,MARKS!BG90),"")</f>
        <v/>
      </c>
      <c r="AV98" s="177" t="str">
        <f>IF(A98&gt;0,SUM(MARKS!AI90,MARKS!BO90),"")</f>
        <v/>
      </c>
      <c r="AW98" s="177" t="str">
        <f t="shared" si="27"/>
        <v/>
      </c>
      <c r="AX98" s="177" t="str">
        <f t="shared" si="28"/>
        <v/>
      </c>
      <c r="AY98" s="47" t="str">
        <f t="shared" si="29"/>
        <v/>
      </c>
      <c r="AZ98" s="70" t="str">
        <f t="shared" si="30"/>
        <v/>
      </c>
      <c r="BA98" s="177" t="str">
        <f t="shared" si="31"/>
        <v/>
      </c>
      <c r="BB98" s="47" t="str">
        <f>IF(A98&gt;0,FLN!I90,"")</f>
        <v/>
      </c>
      <c r="BC98" s="47" t="str">
        <f>IF(A98&gt;0,FLN!J90,"")</f>
        <v/>
      </c>
      <c r="BD98" s="47" t="str">
        <f>IF(A98&gt;0,FLN!K90,"")</f>
        <v/>
      </c>
      <c r="BE98" s="47" t="str">
        <f t="shared" si="32"/>
        <v/>
      </c>
      <c r="BF98" s="130" t="str">
        <f>IF(AY98="","",IFERROR(RANK(AY98,$AY$12:$AY$111,0)+COUNTIFS($AY$12:AY98,AY98)-1,0))</f>
        <v/>
      </c>
      <c r="BG98" s="130" t="str">
        <f t="shared" si="33"/>
        <v/>
      </c>
    </row>
    <row r="99" s="98" customFormat="1" ht="27" customHeight="1" spans="1:59">
      <c r="A99" s="47">
        <f>IF(A98=0,0,IF(A98&lt;ENTRY!$D$24,A98+1,0))</f>
        <v>0</v>
      </c>
      <c r="B99" s="47" t="str">
        <f>IF(A99&gt;0,STUDENT!F89,"")</f>
        <v/>
      </c>
      <c r="C99" s="176" t="str">
        <f>IF(A99&gt;0,UPPER(STUDENT!E89),"")</f>
        <v/>
      </c>
      <c r="D99" s="176" t="str">
        <f>IF(A99&gt;0,UPPER(STUDENT!H89),"")</f>
        <v/>
      </c>
      <c r="E99" s="47" t="str">
        <f>IF(A99&gt;0,UPPER(STUDENT!BP89),"")</f>
        <v/>
      </c>
      <c r="F99" s="47" t="str">
        <f>IF(A99&gt;0,UPPER(STUDENT!BO89),"")</f>
        <v/>
      </c>
      <c r="G99" s="47" t="str">
        <f>IF(A99&gt;0,UPPER(STUDENT!Q89),"")</f>
        <v/>
      </c>
      <c r="H99" s="69" t="str">
        <f>IF(A99&gt;0,PASHEET!CI91/PASHEET!CJ91*100,"")</f>
        <v/>
      </c>
      <c r="I99" s="177" t="str">
        <f>IF(A99&gt;0,SUM(PASHEET!AL91,PASHEET!AT91),"")</f>
        <v/>
      </c>
      <c r="J99" s="177" t="str">
        <f>IF(A99&gt;0,SUM(MARKS!F91,MARKS!AL91),"")</f>
        <v/>
      </c>
      <c r="K99" s="177" t="str">
        <f>IF(A99&gt;0,SUM(MARKS!N91,MARKS!AT91),"")</f>
        <v/>
      </c>
      <c r="L99" s="177" t="str">
        <f>IF(A99&gt;0,SUM(MARKS!V91,MARKS!BB91),"")</f>
        <v/>
      </c>
      <c r="M99" s="177" t="str">
        <f>IF(A99&gt;0,SUM(MARKS!AD91,MARKS!BJ91),"")</f>
        <v/>
      </c>
      <c r="N99" s="177" t="str">
        <f t="shared" si="17"/>
        <v/>
      </c>
      <c r="O99" s="177" t="str">
        <f t="shared" si="18"/>
        <v/>
      </c>
      <c r="P99" s="177" t="str">
        <f>IF(A99&gt;0,SUM(PASHEET!AM91,PASHEET!AU91),"")</f>
        <v/>
      </c>
      <c r="Q99" s="177" t="str">
        <f>IF(A99&gt;0,SUM(MARKS!G91,MARKS!AM91),"")</f>
        <v/>
      </c>
      <c r="R99" s="177" t="str">
        <f>IF(A99&gt;0,SUM(MARKS!O91,MARKS!AU91),"")</f>
        <v/>
      </c>
      <c r="S99" s="177" t="str">
        <f>IF(A99&gt;0,SUM(MARKS!W91,MARKS!BC91),"")</f>
        <v/>
      </c>
      <c r="T99" s="177" t="str">
        <f>IF(A99&gt;0,SUM(MARKS!AE91,MARKS!BK91),"")</f>
        <v/>
      </c>
      <c r="U99" s="177" t="str">
        <f t="shared" si="19"/>
        <v/>
      </c>
      <c r="V99" s="177" t="str">
        <f t="shared" si="20"/>
        <v/>
      </c>
      <c r="W99" s="177" t="str">
        <f>IF(A99&gt;0,SUM(PASHEET!AN91,PASHEET!AV91),"")</f>
        <v/>
      </c>
      <c r="X99" s="177" t="str">
        <f>IF(A99&gt;0,SUM(MARKS!H91,MARKS!AN91),"")</f>
        <v/>
      </c>
      <c r="Y99" s="177" t="str">
        <f>IF(A99&gt;0,SUM(MARKS!P91,MARKS!AV91),"")</f>
        <v/>
      </c>
      <c r="Z99" s="177" t="str">
        <f>IF(A99&gt;0,SUM(MARKS!X91,MARKS!BD91),"")</f>
        <v/>
      </c>
      <c r="AA99" s="177" t="str">
        <f>IF(A99&gt;0,SUM(MARKS!AF91,MARKS!BL91),"")</f>
        <v/>
      </c>
      <c r="AB99" s="177" t="str">
        <f t="shared" si="21"/>
        <v/>
      </c>
      <c r="AC99" s="177" t="str">
        <f t="shared" si="22"/>
        <v/>
      </c>
      <c r="AD99" s="177" t="str">
        <f>IF(A99&gt;0,SUM(PASHEET!AO91,PASHEET!AW91),"")</f>
        <v/>
      </c>
      <c r="AE99" s="177" t="str">
        <f>IF(A99&gt;0,SUM(MARKS!I91,MARKS!AO91),"")</f>
        <v/>
      </c>
      <c r="AF99" s="177" t="str">
        <f>IF(A99&gt;0,SUM(MARKS!Q91,MARKS!AW91),"")</f>
        <v/>
      </c>
      <c r="AG99" s="177" t="str">
        <f>IF(A99&gt;0,SUM(MARKS!Y91,MARKS!BE91),"")</f>
        <v/>
      </c>
      <c r="AH99" s="177" t="str">
        <f>IF(A99&gt;0,SUM(MARKS!AG91,MARKS!BM91),"")</f>
        <v/>
      </c>
      <c r="AI99" s="177" t="str">
        <f t="shared" si="23"/>
        <v/>
      </c>
      <c r="AJ99" s="177" t="str">
        <f t="shared" si="24"/>
        <v/>
      </c>
      <c r="AK99" s="177" t="str">
        <f>IF(A99&gt;0,SUM(PASHEET!AP91,PASHEET!AX91),"")</f>
        <v/>
      </c>
      <c r="AL99" s="177" t="str">
        <f>IF(A99&gt;0,SUM(MARKS!J91,MARKS!AP91),"")</f>
        <v/>
      </c>
      <c r="AM99" s="177" t="str">
        <f>IF(A99&gt;0,SUM(MARKS!R91,MARKS!AX91),"")</f>
        <v/>
      </c>
      <c r="AN99" s="177" t="str">
        <f>IF(A99&gt;0,SUM(MARKS!Z91,MARKS!BF91),"")</f>
        <v/>
      </c>
      <c r="AO99" s="177" t="str">
        <f>IF(A99&gt;0,SUM(MARKS!AH91,MARKS!BN91),"")</f>
        <v/>
      </c>
      <c r="AP99" s="177" t="str">
        <f t="shared" si="25"/>
        <v/>
      </c>
      <c r="AQ99" s="177" t="str">
        <f t="shared" si="26"/>
        <v/>
      </c>
      <c r="AR99" s="177" t="str">
        <f>IF(A99&gt;0,SUM(PASHEET!AQ91,PASHEET!AY91),"")</f>
        <v/>
      </c>
      <c r="AS99" s="177" t="str">
        <f>IF(A99&gt;0,SUM(MARKS!K91,MARKS!AQ91),"")</f>
        <v/>
      </c>
      <c r="AT99" s="177" t="str">
        <f>IF(A99&gt;0,SUM(MARKS!S91,MARKS!AY91),"")</f>
        <v/>
      </c>
      <c r="AU99" s="177" t="str">
        <f>IF(A99&gt;0,SUM(MARKS!AA91,MARKS!BG91),"")</f>
        <v/>
      </c>
      <c r="AV99" s="177" t="str">
        <f>IF(A99&gt;0,SUM(MARKS!AI91,MARKS!BO91),"")</f>
        <v/>
      </c>
      <c r="AW99" s="177" t="str">
        <f t="shared" si="27"/>
        <v/>
      </c>
      <c r="AX99" s="177" t="str">
        <f t="shared" si="28"/>
        <v/>
      </c>
      <c r="AY99" s="47" t="str">
        <f t="shared" si="29"/>
        <v/>
      </c>
      <c r="AZ99" s="70" t="str">
        <f t="shared" si="30"/>
        <v/>
      </c>
      <c r="BA99" s="177" t="str">
        <f t="shared" si="31"/>
        <v/>
      </c>
      <c r="BB99" s="47" t="str">
        <f>IF(A99&gt;0,FLN!I91,"")</f>
        <v/>
      </c>
      <c r="BC99" s="47" t="str">
        <f>IF(A99&gt;0,FLN!J91,"")</f>
        <v/>
      </c>
      <c r="BD99" s="47" t="str">
        <f>IF(A99&gt;0,FLN!K91,"")</f>
        <v/>
      </c>
      <c r="BE99" s="47" t="str">
        <f t="shared" si="32"/>
        <v/>
      </c>
      <c r="BF99" s="130" t="str">
        <f>IF(AY99="","",IFERROR(RANK(AY99,$AY$12:$AY$111,0)+COUNTIFS($AY$12:AY99,AY99)-1,0))</f>
        <v/>
      </c>
      <c r="BG99" s="130" t="str">
        <f t="shared" si="33"/>
        <v/>
      </c>
    </row>
    <row r="100" s="98" customFormat="1" ht="27" customHeight="1" spans="1:59">
      <c r="A100" s="47">
        <f>IF(A99=0,0,IF(A99&lt;ENTRY!$D$24,A99+1,0))</f>
        <v>0</v>
      </c>
      <c r="B100" s="47" t="str">
        <f>IF(A100&gt;0,STUDENT!F90,"")</f>
        <v/>
      </c>
      <c r="C100" s="176" t="str">
        <f>IF(A100&gt;0,UPPER(STUDENT!E90),"")</f>
        <v/>
      </c>
      <c r="D100" s="176" t="str">
        <f>IF(A100&gt;0,UPPER(STUDENT!H90),"")</f>
        <v/>
      </c>
      <c r="E100" s="47" t="str">
        <f>IF(A100&gt;0,UPPER(STUDENT!BP90),"")</f>
        <v/>
      </c>
      <c r="F100" s="47" t="str">
        <f>IF(A100&gt;0,UPPER(STUDENT!BO90),"")</f>
        <v/>
      </c>
      <c r="G100" s="47" t="str">
        <f>IF(A100&gt;0,UPPER(STUDENT!Q90),"")</f>
        <v/>
      </c>
      <c r="H100" s="69" t="str">
        <f>IF(A100&gt;0,PASHEET!CI92/PASHEET!CJ92*100,"")</f>
        <v/>
      </c>
      <c r="I100" s="177" t="str">
        <f>IF(A100&gt;0,SUM(PASHEET!AL92,PASHEET!AT92),"")</f>
        <v/>
      </c>
      <c r="J100" s="177" t="str">
        <f>IF(A100&gt;0,SUM(MARKS!F92,MARKS!AL92),"")</f>
        <v/>
      </c>
      <c r="K100" s="177" t="str">
        <f>IF(A100&gt;0,SUM(MARKS!N92,MARKS!AT92),"")</f>
        <v/>
      </c>
      <c r="L100" s="177" t="str">
        <f>IF(A100&gt;0,SUM(MARKS!V92,MARKS!BB92),"")</f>
        <v/>
      </c>
      <c r="M100" s="177" t="str">
        <f>IF(A100&gt;0,SUM(MARKS!AD92,MARKS!BJ92),"")</f>
        <v/>
      </c>
      <c r="N100" s="177" t="str">
        <f t="shared" si="17"/>
        <v/>
      </c>
      <c r="O100" s="177" t="str">
        <f t="shared" si="18"/>
        <v/>
      </c>
      <c r="P100" s="177" t="str">
        <f>IF(A100&gt;0,SUM(PASHEET!AM92,PASHEET!AU92),"")</f>
        <v/>
      </c>
      <c r="Q100" s="177" t="str">
        <f>IF(A100&gt;0,SUM(MARKS!G92,MARKS!AM92),"")</f>
        <v/>
      </c>
      <c r="R100" s="177" t="str">
        <f>IF(A100&gt;0,SUM(MARKS!O92,MARKS!AU92),"")</f>
        <v/>
      </c>
      <c r="S100" s="177" t="str">
        <f>IF(A100&gt;0,SUM(MARKS!W92,MARKS!BC92),"")</f>
        <v/>
      </c>
      <c r="T100" s="177" t="str">
        <f>IF(A100&gt;0,SUM(MARKS!AE92,MARKS!BK92),"")</f>
        <v/>
      </c>
      <c r="U100" s="177" t="str">
        <f t="shared" si="19"/>
        <v/>
      </c>
      <c r="V100" s="177" t="str">
        <f t="shared" si="20"/>
        <v/>
      </c>
      <c r="W100" s="177" t="str">
        <f>IF(A100&gt;0,SUM(PASHEET!AN92,PASHEET!AV92),"")</f>
        <v/>
      </c>
      <c r="X100" s="177" t="str">
        <f>IF(A100&gt;0,SUM(MARKS!H92,MARKS!AN92),"")</f>
        <v/>
      </c>
      <c r="Y100" s="177" t="str">
        <f>IF(A100&gt;0,SUM(MARKS!P92,MARKS!AV92),"")</f>
        <v/>
      </c>
      <c r="Z100" s="177" t="str">
        <f>IF(A100&gt;0,SUM(MARKS!X92,MARKS!BD92),"")</f>
        <v/>
      </c>
      <c r="AA100" s="177" t="str">
        <f>IF(A100&gt;0,SUM(MARKS!AF92,MARKS!BL92),"")</f>
        <v/>
      </c>
      <c r="AB100" s="177" t="str">
        <f t="shared" si="21"/>
        <v/>
      </c>
      <c r="AC100" s="177" t="str">
        <f t="shared" si="22"/>
        <v/>
      </c>
      <c r="AD100" s="177" t="str">
        <f>IF(A100&gt;0,SUM(PASHEET!AO92,PASHEET!AW92),"")</f>
        <v/>
      </c>
      <c r="AE100" s="177" t="str">
        <f>IF(A100&gt;0,SUM(MARKS!I92,MARKS!AO92),"")</f>
        <v/>
      </c>
      <c r="AF100" s="177" t="str">
        <f>IF(A100&gt;0,SUM(MARKS!Q92,MARKS!AW92),"")</f>
        <v/>
      </c>
      <c r="AG100" s="177" t="str">
        <f>IF(A100&gt;0,SUM(MARKS!Y92,MARKS!BE92),"")</f>
        <v/>
      </c>
      <c r="AH100" s="177" t="str">
        <f>IF(A100&gt;0,SUM(MARKS!AG92,MARKS!BM92),"")</f>
        <v/>
      </c>
      <c r="AI100" s="177" t="str">
        <f t="shared" si="23"/>
        <v/>
      </c>
      <c r="AJ100" s="177" t="str">
        <f t="shared" si="24"/>
        <v/>
      </c>
      <c r="AK100" s="177" t="str">
        <f>IF(A100&gt;0,SUM(PASHEET!AP92,PASHEET!AX92),"")</f>
        <v/>
      </c>
      <c r="AL100" s="177" t="str">
        <f>IF(A100&gt;0,SUM(MARKS!J92,MARKS!AP92),"")</f>
        <v/>
      </c>
      <c r="AM100" s="177" t="str">
        <f>IF(A100&gt;0,SUM(MARKS!R92,MARKS!AX92),"")</f>
        <v/>
      </c>
      <c r="AN100" s="177" t="str">
        <f>IF(A100&gt;0,SUM(MARKS!Z92,MARKS!BF92),"")</f>
        <v/>
      </c>
      <c r="AO100" s="177" t="str">
        <f>IF(A100&gt;0,SUM(MARKS!AH92,MARKS!BN92),"")</f>
        <v/>
      </c>
      <c r="AP100" s="177" t="str">
        <f t="shared" si="25"/>
        <v/>
      </c>
      <c r="AQ100" s="177" t="str">
        <f t="shared" si="26"/>
        <v/>
      </c>
      <c r="AR100" s="177" t="str">
        <f>IF(A100&gt;0,SUM(PASHEET!AQ92,PASHEET!AY92),"")</f>
        <v/>
      </c>
      <c r="AS100" s="177" t="str">
        <f>IF(A100&gt;0,SUM(MARKS!K92,MARKS!AQ92),"")</f>
        <v/>
      </c>
      <c r="AT100" s="177" t="str">
        <f>IF(A100&gt;0,SUM(MARKS!S92,MARKS!AY92),"")</f>
        <v/>
      </c>
      <c r="AU100" s="177" t="str">
        <f>IF(A100&gt;0,SUM(MARKS!AA92,MARKS!BG92),"")</f>
        <v/>
      </c>
      <c r="AV100" s="177" t="str">
        <f>IF(A100&gt;0,SUM(MARKS!AI92,MARKS!BO92),"")</f>
        <v/>
      </c>
      <c r="AW100" s="177" t="str">
        <f t="shared" si="27"/>
        <v/>
      </c>
      <c r="AX100" s="177" t="str">
        <f t="shared" si="28"/>
        <v/>
      </c>
      <c r="AY100" s="47" t="str">
        <f t="shared" si="29"/>
        <v/>
      </c>
      <c r="AZ100" s="70" t="str">
        <f t="shared" si="30"/>
        <v/>
      </c>
      <c r="BA100" s="177" t="str">
        <f t="shared" si="31"/>
        <v/>
      </c>
      <c r="BB100" s="47" t="str">
        <f>IF(A100&gt;0,FLN!I92,"")</f>
        <v/>
      </c>
      <c r="BC100" s="47" t="str">
        <f>IF(A100&gt;0,FLN!J92,"")</f>
        <v/>
      </c>
      <c r="BD100" s="47" t="str">
        <f>IF(A100&gt;0,FLN!K92,"")</f>
        <v/>
      </c>
      <c r="BE100" s="47" t="str">
        <f t="shared" si="32"/>
        <v/>
      </c>
      <c r="BF100" s="130" t="str">
        <f>IF(AY100="","",IFERROR(RANK(AY100,$AY$12:$AY$111,0)+COUNTIFS($AY$12:AY100,AY100)-1,0))</f>
        <v/>
      </c>
      <c r="BG100" s="130" t="str">
        <f t="shared" si="33"/>
        <v/>
      </c>
    </row>
    <row r="101" s="98" customFormat="1" ht="27" customHeight="1" spans="1:59">
      <c r="A101" s="47">
        <f>IF(A100=0,0,IF(A100&lt;ENTRY!$D$24,A100+1,0))</f>
        <v>0</v>
      </c>
      <c r="B101" s="47" t="str">
        <f>IF(A101&gt;0,STUDENT!F91,"")</f>
        <v/>
      </c>
      <c r="C101" s="176" t="str">
        <f>IF(A101&gt;0,UPPER(STUDENT!E91),"")</f>
        <v/>
      </c>
      <c r="D101" s="176" t="str">
        <f>IF(A101&gt;0,UPPER(STUDENT!H91),"")</f>
        <v/>
      </c>
      <c r="E101" s="47" t="str">
        <f>IF(A101&gt;0,UPPER(STUDENT!BP91),"")</f>
        <v/>
      </c>
      <c r="F101" s="47" t="str">
        <f>IF(A101&gt;0,UPPER(STUDENT!BO91),"")</f>
        <v/>
      </c>
      <c r="G101" s="47" t="str">
        <f>IF(A101&gt;0,UPPER(STUDENT!Q91),"")</f>
        <v/>
      </c>
      <c r="H101" s="69" t="str">
        <f>IF(A101&gt;0,PASHEET!CI93/PASHEET!CJ93*100,"")</f>
        <v/>
      </c>
      <c r="I101" s="177" t="str">
        <f>IF(A101&gt;0,SUM(PASHEET!AL93,PASHEET!AT93),"")</f>
        <v/>
      </c>
      <c r="J101" s="177" t="str">
        <f>IF(A101&gt;0,SUM(MARKS!F93,MARKS!AL93),"")</f>
        <v/>
      </c>
      <c r="K101" s="177" t="str">
        <f>IF(A101&gt;0,SUM(MARKS!N93,MARKS!AT93),"")</f>
        <v/>
      </c>
      <c r="L101" s="177" t="str">
        <f>IF(A101&gt;0,SUM(MARKS!V93,MARKS!BB93),"")</f>
        <v/>
      </c>
      <c r="M101" s="177" t="str">
        <f>IF(A101&gt;0,SUM(MARKS!AD93,MARKS!BJ93),"")</f>
        <v/>
      </c>
      <c r="N101" s="177" t="str">
        <f t="shared" si="17"/>
        <v/>
      </c>
      <c r="O101" s="177" t="str">
        <f t="shared" si="18"/>
        <v/>
      </c>
      <c r="P101" s="177" t="str">
        <f>IF(A101&gt;0,SUM(PASHEET!AM93,PASHEET!AU93),"")</f>
        <v/>
      </c>
      <c r="Q101" s="177" t="str">
        <f>IF(A101&gt;0,SUM(MARKS!G93,MARKS!AM93),"")</f>
        <v/>
      </c>
      <c r="R101" s="177" t="str">
        <f>IF(A101&gt;0,SUM(MARKS!O93,MARKS!AU93),"")</f>
        <v/>
      </c>
      <c r="S101" s="177" t="str">
        <f>IF(A101&gt;0,SUM(MARKS!W93,MARKS!BC93),"")</f>
        <v/>
      </c>
      <c r="T101" s="177" t="str">
        <f>IF(A101&gt;0,SUM(MARKS!AE93,MARKS!BK93),"")</f>
        <v/>
      </c>
      <c r="U101" s="177" t="str">
        <f t="shared" si="19"/>
        <v/>
      </c>
      <c r="V101" s="177" t="str">
        <f t="shared" si="20"/>
        <v/>
      </c>
      <c r="W101" s="177" t="str">
        <f>IF(A101&gt;0,SUM(PASHEET!AN93,PASHEET!AV93),"")</f>
        <v/>
      </c>
      <c r="X101" s="177" t="str">
        <f>IF(A101&gt;0,SUM(MARKS!H93,MARKS!AN93),"")</f>
        <v/>
      </c>
      <c r="Y101" s="177" t="str">
        <f>IF(A101&gt;0,SUM(MARKS!P93,MARKS!AV93),"")</f>
        <v/>
      </c>
      <c r="Z101" s="177" t="str">
        <f>IF(A101&gt;0,SUM(MARKS!X93,MARKS!BD93),"")</f>
        <v/>
      </c>
      <c r="AA101" s="177" t="str">
        <f>IF(A101&gt;0,SUM(MARKS!AF93,MARKS!BL93),"")</f>
        <v/>
      </c>
      <c r="AB101" s="177" t="str">
        <f t="shared" si="21"/>
        <v/>
      </c>
      <c r="AC101" s="177" t="str">
        <f t="shared" si="22"/>
        <v/>
      </c>
      <c r="AD101" s="177" t="str">
        <f>IF(A101&gt;0,SUM(PASHEET!AO93,PASHEET!AW93),"")</f>
        <v/>
      </c>
      <c r="AE101" s="177" t="str">
        <f>IF(A101&gt;0,SUM(MARKS!I93,MARKS!AO93),"")</f>
        <v/>
      </c>
      <c r="AF101" s="177" t="str">
        <f>IF(A101&gt;0,SUM(MARKS!Q93,MARKS!AW93),"")</f>
        <v/>
      </c>
      <c r="AG101" s="177" t="str">
        <f>IF(A101&gt;0,SUM(MARKS!Y93,MARKS!BE93),"")</f>
        <v/>
      </c>
      <c r="AH101" s="177" t="str">
        <f>IF(A101&gt;0,SUM(MARKS!AG93,MARKS!BM93),"")</f>
        <v/>
      </c>
      <c r="AI101" s="177" t="str">
        <f t="shared" si="23"/>
        <v/>
      </c>
      <c r="AJ101" s="177" t="str">
        <f t="shared" si="24"/>
        <v/>
      </c>
      <c r="AK101" s="177" t="str">
        <f>IF(A101&gt;0,SUM(PASHEET!AP93,PASHEET!AX93),"")</f>
        <v/>
      </c>
      <c r="AL101" s="177" t="str">
        <f>IF(A101&gt;0,SUM(MARKS!J93,MARKS!AP93),"")</f>
        <v/>
      </c>
      <c r="AM101" s="177" t="str">
        <f>IF(A101&gt;0,SUM(MARKS!R93,MARKS!AX93),"")</f>
        <v/>
      </c>
      <c r="AN101" s="177" t="str">
        <f>IF(A101&gt;0,SUM(MARKS!Z93,MARKS!BF93),"")</f>
        <v/>
      </c>
      <c r="AO101" s="177" t="str">
        <f>IF(A101&gt;0,SUM(MARKS!AH93,MARKS!BN93),"")</f>
        <v/>
      </c>
      <c r="AP101" s="177" t="str">
        <f t="shared" si="25"/>
        <v/>
      </c>
      <c r="AQ101" s="177" t="str">
        <f t="shared" si="26"/>
        <v/>
      </c>
      <c r="AR101" s="177" t="str">
        <f>IF(A101&gt;0,SUM(PASHEET!AQ93,PASHEET!AY93),"")</f>
        <v/>
      </c>
      <c r="AS101" s="177" t="str">
        <f>IF(A101&gt;0,SUM(MARKS!K93,MARKS!AQ93),"")</f>
        <v/>
      </c>
      <c r="AT101" s="177" t="str">
        <f>IF(A101&gt;0,SUM(MARKS!S93,MARKS!AY93),"")</f>
        <v/>
      </c>
      <c r="AU101" s="177" t="str">
        <f>IF(A101&gt;0,SUM(MARKS!AA93,MARKS!BG93),"")</f>
        <v/>
      </c>
      <c r="AV101" s="177" t="str">
        <f>IF(A101&gt;0,SUM(MARKS!AI93,MARKS!BO93),"")</f>
        <v/>
      </c>
      <c r="AW101" s="177" t="str">
        <f t="shared" si="27"/>
        <v/>
      </c>
      <c r="AX101" s="177" t="str">
        <f t="shared" si="28"/>
        <v/>
      </c>
      <c r="AY101" s="47" t="str">
        <f t="shared" si="29"/>
        <v/>
      </c>
      <c r="AZ101" s="70" t="str">
        <f t="shared" si="30"/>
        <v/>
      </c>
      <c r="BA101" s="177" t="str">
        <f t="shared" si="31"/>
        <v/>
      </c>
      <c r="BB101" s="47" t="str">
        <f>IF(A101&gt;0,FLN!I93,"")</f>
        <v/>
      </c>
      <c r="BC101" s="47" t="str">
        <f>IF(A101&gt;0,FLN!J93,"")</f>
        <v/>
      </c>
      <c r="BD101" s="47" t="str">
        <f>IF(A101&gt;0,FLN!K93,"")</f>
        <v/>
      </c>
      <c r="BE101" s="47" t="str">
        <f t="shared" si="32"/>
        <v/>
      </c>
      <c r="BF101" s="130" t="str">
        <f>IF(AY101="","",IFERROR(RANK(AY101,$AY$12:$AY$111,0)+COUNTIFS($AY$12:AY101,AY101)-1,0))</f>
        <v/>
      </c>
      <c r="BG101" s="130" t="str">
        <f t="shared" si="33"/>
        <v/>
      </c>
    </row>
    <row r="102" s="98" customFormat="1" ht="27" customHeight="1" spans="1:59">
      <c r="A102" s="47">
        <f>IF(A101=0,0,IF(A101&lt;ENTRY!$D$24,A101+1,0))</f>
        <v>0</v>
      </c>
      <c r="B102" s="47" t="str">
        <f>IF(A102&gt;0,STUDENT!F92,"")</f>
        <v/>
      </c>
      <c r="C102" s="176" t="str">
        <f>IF(A102&gt;0,UPPER(STUDENT!E92),"")</f>
        <v/>
      </c>
      <c r="D102" s="176" t="str">
        <f>IF(A102&gt;0,UPPER(STUDENT!H92),"")</f>
        <v/>
      </c>
      <c r="E102" s="47" t="str">
        <f>IF(A102&gt;0,UPPER(STUDENT!BP92),"")</f>
        <v/>
      </c>
      <c r="F102" s="47" t="str">
        <f>IF(A102&gt;0,UPPER(STUDENT!BO92),"")</f>
        <v/>
      </c>
      <c r="G102" s="47" t="str">
        <f>IF(A102&gt;0,UPPER(STUDENT!Q92),"")</f>
        <v/>
      </c>
      <c r="H102" s="69" t="str">
        <f>IF(A102&gt;0,PASHEET!CI94/PASHEET!CJ94*100,"")</f>
        <v/>
      </c>
      <c r="I102" s="177" t="str">
        <f>IF(A102&gt;0,SUM(PASHEET!AL94,PASHEET!AT94),"")</f>
        <v/>
      </c>
      <c r="J102" s="177" t="str">
        <f>IF(A102&gt;0,SUM(MARKS!F94,MARKS!AL94),"")</f>
        <v/>
      </c>
      <c r="K102" s="177" t="str">
        <f>IF(A102&gt;0,SUM(MARKS!N94,MARKS!AT94),"")</f>
        <v/>
      </c>
      <c r="L102" s="177" t="str">
        <f>IF(A102&gt;0,SUM(MARKS!V94,MARKS!BB94),"")</f>
        <v/>
      </c>
      <c r="M102" s="177" t="str">
        <f>IF(A102&gt;0,SUM(MARKS!AD94,MARKS!BJ94),"")</f>
        <v/>
      </c>
      <c r="N102" s="177" t="str">
        <f t="shared" si="17"/>
        <v/>
      </c>
      <c r="O102" s="177" t="str">
        <f t="shared" si="18"/>
        <v/>
      </c>
      <c r="P102" s="177" t="str">
        <f>IF(A102&gt;0,SUM(PASHEET!AM94,PASHEET!AU94),"")</f>
        <v/>
      </c>
      <c r="Q102" s="177" t="str">
        <f>IF(A102&gt;0,SUM(MARKS!G94,MARKS!AM94),"")</f>
        <v/>
      </c>
      <c r="R102" s="177" t="str">
        <f>IF(A102&gt;0,SUM(MARKS!O94,MARKS!AU94),"")</f>
        <v/>
      </c>
      <c r="S102" s="177" t="str">
        <f>IF(A102&gt;0,SUM(MARKS!W94,MARKS!BC94),"")</f>
        <v/>
      </c>
      <c r="T102" s="177" t="str">
        <f>IF(A102&gt;0,SUM(MARKS!AE94,MARKS!BK94),"")</f>
        <v/>
      </c>
      <c r="U102" s="177" t="str">
        <f t="shared" si="19"/>
        <v/>
      </c>
      <c r="V102" s="177" t="str">
        <f t="shared" si="20"/>
        <v/>
      </c>
      <c r="W102" s="177" t="str">
        <f>IF(A102&gt;0,SUM(PASHEET!AN94,PASHEET!AV94),"")</f>
        <v/>
      </c>
      <c r="X102" s="177" t="str">
        <f>IF(A102&gt;0,SUM(MARKS!H94,MARKS!AN94),"")</f>
        <v/>
      </c>
      <c r="Y102" s="177" t="str">
        <f>IF(A102&gt;0,SUM(MARKS!P94,MARKS!AV94),"")</f>
        <v/>
      </c>
      <c r="Z102" s="177" t="str">
        <f>IF(A102&gt;0,SUM(MARKS!X94,MARKS!BD94),"")</f>
        <v/>
      </c>
      <c r="AA102" s="177" t="str">
        <f>IF(A102&gt;0,SUM(MARKS!AF94,MARKS!BL94),"")</f>
        <v/>
      </c>
      <c r="AB102" s="177" t="str">
        <f t="shared" si="21"/>
        <v/>
      </c>
      <c r="AC102" s="177" t="str">
        <f t="shared" si="22"/>
        <v/>
      </c>
      <c r="AD102" s="177" t="str">
        <f>IF(A102&gt;0,SUM(PASHEET!AO94,PASHEET!AW94),"")</f>
        <v/>
      </c>
      <c r="AE102" s="177" t="str">
        <f>IF(A102&gt;0,SUM(MARKS!I94,MARKS!AO94),"")</f>
        <v/>
      </c>
      <c r="AF102" s="177" t="str">
        <f>IF(A102&gt;0,SUM(MARKS!Q94,MARKS!AW94),"")</f>
        <v/>
      </c>
      <c r="AG102" s="177" t="str">
        <f>IF(A102&gt;0,SUM(MARKS!Y94,MARKS!BE94),"")</f>
        <v/>
      </c>
      <c r="AH102" s="177" t="str">
        <f>IF(A102&gt;0,SUM(MARKS!AG94,MARKS!BM94),"")</f>
        <v/>
      </c>
      <c r="AI102" s="177" t="str">
        <f t="shared" si="23"/>
        <v/>
      </c>
      <c r="AJ102" s="177" t="str">
        <f t="shared" si="24"/>
        <v/>
      </c>
      <c r="AK102" s="177" t="str">
        <f>IF(A102&gt;0,SUM(PASHEET!AP94,PASHEET!AX94),"")</f>
        <v/>
      </c>
      <c r="AL102" s="177" t="str">
        <f>IF(A102&gt;0,SUM(MARKS!J94,MARKS!AP94),"")</f>
        <v/>
      </c>
      <c r="AM102" s="177" t="str">
        <f>IF(A102&gt;0,SUM(MARKS!R94,MARKS!AX94),"")</f>
        <v/>
      </c>
      <c r="AN102" s="177" t="str">
        <f>IF(A102&gt;0,SUM(MARKS!Z94,MARKS!BF94),"")</f>
        <v/>
      </c>
      <c r="AO102" s="177" t="str">
        <f>IF(A102&gt;0,SUM(MARKS!AH94,MARKS!BN94),"")</f>
        <v/>
      </c>
      <c r="AP102" s="177" t="str">
        <f t="shared" si="25"/>
        <v/>
      </c>
      <c r="AQ102" s="177" t="str">
        <f t="shared" si="26"/>
        <v/>
      </c>
      <c r="AR102" s="177" t="str">
        <f>IF(A102&gt;0,SUM(PASHEET!AQ94,PASHEET!AY94),"")</f>
        <v/>
      </c>
      <c r="AS102" s="177" t="str">
        <f>IF(A102&gt;0,SUM(MARKS!K94,MARKS!AQ94),"")</f>
        <v/>
      </c>
      <c r="AT102" s="177" t="str">
        <f>IF(A102&gt;0,SUM(MARKS!S94,MARKS!AY94),"")</f>
        <v/>
      </c>
      <c r="AU102" s="177" t="str">
        <f>IF(A102&gt;0,SUM(MARKS!AA94,MARKS!BG94),"")</f>
        <v/>
      </c>
      <c r="AV102" s="177" t="str">
        <f>IF(A102&gt;0,SUM(MARKS!AI94,MARKS!BO94),"")</f>
        <v/>
      </c>
      <c r="AW102" s="177" t="str">
        <f t="shared" si="27"/>
        <v/>
      </c>
      <c r="AX102" s="177" t="str">
        <f t="shared" si="28"/>
        <v/>
      </c>
      <c r="AY102" s="47" t="str">
        <f t="shared" si="29"/>
        <v/>
      </c>
      <c r="AZ102" s="70" t="str">
        <f t="shared" si="30"/>
        <v/>
      </c>
      <c r="BA102" s="177" t="str">
        <f t="shared" si="31"/>
        <v/>
      </c>
      <c r="BB102" s="47" t="str">
        <f>IF(A102&gt;0,FLN!I94,"")</f>
        <v/>
      </c>
      <c r="BC102" s="47" t="str">
        <f>IF(A102&gt;0,FLN!J94,"")</f>
        <v/>
      </c>
      <c r="BD102" s="47" t="str">
        <f>IF(A102&gt;0,FLN!K94,"")</f>
        <v/>
      </c>
      <c r="BE102" s="47" t="str">
        <f t="shared" si="32"/>
        <v/>
      </c>
      <c r="BF102" s="130" t="str">
        <f>IF(AY102="","",IFERROR(RANK(AY102,$AY$12:$AY$111,0)+COUNTIFS($AY$12:AY102,AY102)-1,0))</f>
        <v/>
      </c>
      <c r="BG102" s="130" t="str">
        <f t="shared" si="33"/>
        <v/>
      </c>
    </row>
    <row r="103" s="98" customFormat="1" ht="27" customHeight="1" spans="1:59">
      <c r="A103" s="47">
        <f>IF(A102=0,0,IF(A102&lt;ENTRY!$D$24,A102+1,0))</f>
        <v>0</v>
      </c>
      <c r="B103" s="47" t="str">
        <f>IF(A103&gt;0,STUDENT!F93,"")</f>
        <v/>
      </c>
      <c r="C103" s="176" t="str">
        <f>IF(A103&gt;0,UPPER(STUDENT!E93),"")</f>
        <v/>
      </c>
      <c r="D103" s="176" t="str">
        <f>IF(A103&gt;0,UPPER(STUDENT!H93),"")</f>
        <v/>
      </c>
      <c r="E103" s="47" t="str">
        <f>IF(A103&gt;0,UPPER(STUDENT!BP93),"")</f>
        <v/>
      </c>
      <c r="F103" s="47" t="str">
        <f>IF(A103&gt;0,UPPER(STUDENT!BO93),"")</f>
        <v/>
      </c>
      <c r="G103" s="47" t="str">
        <f>IF(A103&gt;0,UPPER(STUDENT!Q93),"")</f>
        <v/>
      </c>
      <c r="H103" s="69" t="str">
        <f>IF(A103&gt;0,PASHEET!CI95/PASHEET!CJ95*100,"")</f>
        <v/>
      </c>
      <c r="I103" s="177" t="str">
        <f>IF(A103&gt;0,SUM(PASHEET!AL95,PASHEET!AT95),"")</f>
        <v/>
      </c>
      <c r="J103" s="177" t="str">
        <f>IF(A103&gt;0,SUM(MARKS!F95,MARKS!AL95),"")</f>
        <v/>
      </c>
      <c r="K103" s="177" t="str">
        <f>IF(A103&gt;0,SUM(MARKS!N95,MARKS!AT95),"")</f>
        <v/>
      </c>
      <c r="L103" s="177" t="str">
        <f>IF(A103&gt;0,SUM(MARKS!V95,MARKS!BB95),"")</f>
        <v/>
      </c>
      <c r="M103" s="177" t="str">
        <f>IF(A103&gt;0,SUM(MARKS!AD95,MARKS!BJ95),"")</f>
        <v/>
      </c>
      <c r="N103" s="177" t="str">
        <f t="shared" si="17"/>
        <v/>
      </c>
      <c r="O103" s="177" t="str">
        <f t="shared" si="18"/>
        <v/>
      </c>
      <c r="P103" s="177" t="str">
        <f>IF(A103&gt;0,SUM(PASHEET!AM95,PASHEET!AU95),"")</f>
        <v/>
      </c>
      <c r="Q103" s="177" t="str">
        <f>IF(A103&gt;0,SUM(MARKS!G95,MARKS!AM95),"")</f>
        <v/>
      </c>
      <c r="R103" s="177" t="str">
        <f>IF(A103&gt;0,SUM(MARKS!O95,MARKS!AU95),"")</f>
        <v/>
      </c>
      <c r="S103" s="177" t="str">
        <f>IF(A103&gt;0,SUM(MARKS!W95,MARKS!BC95),"")</f>
        <v/>
      </c>
      <c r="T103" s="177" t="str">
        <f>IF(A103&gt;0,SUM(MARKS!AE95,MARKS!BK95),"")</f>
        <v/>
      </c>
      <c r="U103" s="177" t="str">
        <f t="shared" si="19"/>
        <v/>
      </c>
      <c r="V103" s="177" t="str">
        <f t="shared" si="20"/>
        <v/>
      </c>
      <c r="W103" s="177" t="str">
        <f>IF(A103&gt;0,SUM(PASHEET!AN95,PASHEET!AV95),"")</f>
        <v/>
      </c>
      <c r="X103" s="177" t="str">
        <f>IF(A103&gt;0,SUM(MARKS!H95,MARKS!AN95),"")</f>
        <v/>
      </c>
      <c r="Y103" s="177" t="str">
        <f>IF(A103&gt;0,SUM(MARKS!P95,MARKS!AV95),"")</f>
        <v/>
      </c>
      <c r="Z103" s="177" t="str">
        <f>IF(A103&gt;0,SUM(MARKS!X95,MARKS!BD95),"")</f>
        <v/>
      </c>
      <c r="AA103" s="177" t="str">
        <f>IF(A103&gt;0,SUM(MARKS!AF95,MARKS!BL95),"")</f>
        <v/>
      </c>
      <c r="AB103" s="177" t="str">
        <f t="shared" si="21"/>
        <v/>
      </c>
      <c r="AC103" s="177" t="str">
        <f t="shared" si="22"/>
        <v/>
      </c>
      <c r="AD103" s="177" t="str">
        <f>IF(A103&gt;0,SUM(PASHEET!AO95,PASHEET!AW95),"")</f>
        <v/>
      </c>
      <c r="AE103" s="177" t="str">
        <f>IF(A103&gt;0,SUM(MARKS!I95,MARKS!AO95),"")</f>
        <v/>
      </c>
      <c r="AF103" s="177" t="str">
        <f>IF(A103&gt;0,SUM(MARKS!Q95,MARKS!AW95),"")</f>
        <v/>
      </c>
      <c r="AG103" s="177" t="str">
        <f>IF(A103&gt;0,SUM(MARKS!Y95,MARKS!BE95),"")</f>
        <v/>
      </c>
      <c r="AH103" s="177" t="str">
        <f>IF(A103&gt;0,SUM(MARKS!AG95,MARKS!BM95),"")</f>
        <v/>
      </c>
      <c r="AI103" s="177" t="str">
        <f t="shared" si="23"/>
        <v/>
      </c>
      <c r="AJ103" s="177" t="str">
        <f t="shared" si="24"/>
        <v/>
      </c>
      <c r="AK103" s="177" t="str">
        <f>IF(A103&gt;0,SUM(PASHEET!AP95,PASHEET!AX95),"")</f>
        <v/>
      </c>
      <c r="AL103" s="177" t="str">
        <f>IF(A103&gt;0,SUM(MARKS!J95,MARKS!AP95),"")</f>
        <v/>
      </c>
      <c r="AM103" s="177" t="str">
        <f>IF(A103&gt;0,SUM(MARKS!R95,MARKS!AX95),"")</f>
        <v/>
      </c>
      <c r="AN103" s="177" t="str">
        <f>IF(A103&gt;0,SUM(MARKS!Z95,MARKS!BF95),"")</f>
        <v/>
      </c>
      <c r="AO103" s="177" t="str">
        <f>IF(A103&gt;0,SUM(MARKS!AH95,MARKS!BN95),"")</f>
        <v/>
      </c>
      <c r="AP103" s="177" t="str">
        <f t="shared" si="25"/>
        <v/>
      </c>
      <c r="AQ103" s="177" t="str">
        <f t="shared" si="26"/>
        <v/>
      </c>
      <c r="AR103" s="177" t="str">
        <f>IF(A103&gt;0,SUM(PASHEET!AQ95,PASHEET!AY95),"")</f>
        <v/>
      </c>
      <c r="AS103" s="177" t="str">
        <f>IF(A103&gt;0,SUM(MARKS!K95,MARKS!AQ95),"")</f>
        <v/>
      </c>
      <c r="AT103" s="177" t="str">
        <f>IF(A103&gt;0,SUM(MARKS!S95,MARKS!AY95),"")</f>
        <v/>
      </c>
      <c r="AU103" s="177" t="str">
        <f>IF(A103&gt;0,SUM(MARKS!AA95,MARKS!BG95),"")</f>
        <v/>
      </c>
      <c r="AV103" s="177" t="str">
        <f>IF(A103&gt;0,SUM(MARKS!AI95,MARKS!BO95),"")</f>
        <v/>
      </c>
      <c r="AW103" s="177" t="str">
        <f t="shared" si="27"/>
        <v/>
      </c>
      <c r="AX103" s="177" t="str">
        <f t="shared" si="28"/>
        <v/>
      </c>
      <c r="AY103" s="47" t="str">
        <f t="shared" si="29"/>
        <v/>
      </c>
      <c r="AZ103" s="70" t="str">
        <f t="shared" si="30"/>
        <v/>
      </c>
      <c r="BA103" s="177" t="str">
        <f t="shared" si="31"/>
        <v/>
      </c>
      <c r="BB103" s="47" t="str">
        <f>IF(A103&gt;0,FLN!I95,"")</f>
        <v/>
      </c>
      <c r="BC103" s="47" t="str">
        <f>IF(A103&gt;0,FLN!J95,"")</f>
        <v/>
      </c>
      <c r="BD103" s="47" t="str">
        <f>IF(A103&gt;0,FLN!K95,"")</f>
        <v/>
      </c>
      <c r="BE103" s="47" t="str">
        <f t="shared" si="32"/>
        <v/>
      </c>
      <c r="BF103" s="130" t="str">
        <f>IF(AY103="","",IFERROR(RANK(AY103,$AY$12:$AY$111,0)+COUNTIFS($AY$12:AY103,AY103)-1,0))</f>
        <v/>
      </c>
      <c r="BG103" s="130" t="str">
        <f t="shared" si="33"/>
        <v/>
      </c>
    </row>
    <row r="104" s="98" customFormat="1" ht="27" customHeight="1" spans="1:59">
      <c r="A104" s="47">
        <f>IF(A103=0,0,IF(A103&lt;ENTRY!$D$24,A103+1,0))</f>
        <v>0</v>
      </c>
      <c r="B104" s="47" t="str">
        <f>IF(A104&gt;0,STUDENT!F94,"")</f>
        <v/>
      </c>
      <c r="C104" s="176" t="str">
        <f>IF(A104&gt;0,UPPER(STUDENT!E94),"")</f>
        <v/>
      </c>
      <c r="D104" s="176" t="str">
        <f>IF(A104&gt;0,UPPER(STUDENT!H94),"")</f>
        <v/>
      </c>
      <c r="E104" s="47" t="str">
        <f>IF(A104&gt;0,UPPER(STUDENT!BP94),"")</f>
        <v/>
      </c>
      <c r="F104" s="47" t="str">
        <f>IF(A104&gt;0,UPPER(STUDENT!BO94),"")</f>
        <v/>
      </c>
      <c r="G104" s="47" t="str">
        <f>IF(A104&gt;0,UPPER(STUDENT!Q94),"")</f>
        <v/>
      </c>
      <c r="H104" s="69" t="str">
        <f>IF(A104&gt;0,PASHEET!CI96/PASHEET!CJ96*100,"")</f>
        <v/>
      </c>
      <c r="I104" s="177" t="str">
        <f>IF(A104&gt;0,SUM(PASHEET!AL96,PASHEET!AT96),"")</f>
        <v/>
      </c>
      <c r="J104" s="177" t="str">
        <f>IF(A104&gt;0,SUM(MARKS!F96,MARKS!AL96),"")</f>
        <v/>
      </c>
      <c r="K104" s="177" t="str">
        <f>IF(A104&gt;0,SUM(MARKS!N96,MARKS!AT96),"")</f>
        <v/>
      </c>
      <c r="L104" s="177" t="str">
        <f>IF(A104&gt;0,SUM(MARKS!V96,MARKS!BB96),"")</f>
        <v/>
      </c>
      <c r="M104" s="177" t="str">
        <f>IF(A104&gt;0,SUM(MARKS!AD96,MARKS!BJ96),"")</f>
        <v/>
      </c>
      <c r="N104" s="177" t="str">
        <f t="shared" si="17"/>
        <v/>
      </c>
      <c r="O104" s="177" t="str">
        <f t="shared" si="18"/>
        <v/>
      </c>
      <c r="P104" s="177" t="str">
        <f>IF(A104&gt;0,SUM(PASHEET!AM96,PASHEET!AU96),"")</f>
        <v/>
      </c>
      <c r="Q104" s="177" t="str">
        <f>IF(A104&gt;0,SUM(MARKS!G96,MARKS!AM96),"")</f>
        <v/>
      </c>
      <c r="R104" s="177" t="str">
        <f>IF(A104&gt;0,SUM(MARKS!O96,MARKS!AU96),"")</f>
        <v/>
      </c>
      <c r="S104" s="177" t="str">
        <f>IF(A104&gt;0,SUM(MARKS!W96,MARKS!BC96),"")</f>
        <v/>
      </c>
      <c r="T104" s="177" t="str">
        <f>IF(A104&gt;0,SUM(MARKS!AE96,MARKS!BK96),"")</f>
        <v/>
      </c>
      <c r="U104" s="177" t="str">
        <f t="shared" si="19"/>
        <v/>
      </c>
      <c r="V104" s="177" t="str">
        <f t="shared" si="20"/>
        <v/>
      </c>
      <c r="W104" s="177" t="str">
        <f>IF(A104&gt;0,SUM(PASHEET!AN96,PASHEET!AV96),"")</f>
        <v/>
      </c>
      <c r="X104" s="177" t="str">
        <f>IF(A104&gt;0,SUM(MARKS!H96,MARKS!AN96),"")</f>
        <v/>
      </c>
      <c r="Y104" s="177" t="str">
        <f>IF(A104&gt;0,SUM(MARKS!P96,MARKS!AV96),"")</f>
        <v/>
      </c>
      <c r="Z104" s="177" t="str">
        <f>IF(A104&gt;0,SUM(MARKS!X96,MARKS!BD96),"")</f>
        <v/>
      </c>
      <c r="AA104" s="177" t="str">
        <f>IF(A104&gt;0,SUM(MARKS!AF96,MARKS!BL96),"")</f>
        <v/>
      </c>
      <c r="AB104" s="177" t="str">
        <f t="shared" si="21"/>
        <v/>
      </c>
      <c r="AC104" s="177" t="str">
        <f t="shared" si="22"/>
        <v/>
      </c>
      <c r="AD104" s="177" t="str">
        <f>IF(A104&gt;0,SUM(PASHEET!AO96,PASHEET!AW96),"")</f>
        <v/>
      </c>
      <c r="AE104" s="177" t="str">
        <f>IF(A104&gt;0,SUM(MARKS!I96,MARKS!AO96),"")</f>
        <v/>
      </c>
      <c r="AF104" s="177" t="str">
        <f>IF(A104&gt;0,SUM(MARKS!Q96,MARKS!AW96),"")</f>
        <v/>
      </c>
      <c r="AG104" s="177" t="str">
        <f>IF(A104&gt;0,SUM(MARKS!Y96,MARKS!BE96),"")</f>
        <v/>
      </c>
      <c r="AH104" s="177" t="str">
        <f>IF(A104&gt;0,SUM(MARKS!AG96,MARKS!BM96),"")</f>
        <v/>
      </c>
      <c r="AI104" s="177" t="str">
        <f t="shared" si="23"/>
        <v/>
      </c>
      <c r="AJ104" s="177" t="str">
        <f t="shared" si="24"/>
        <v/>
      </c>
      <c r="AK104" s="177" t="str">
        <f>IF(A104&gt;0,SUM(PASHEET!AP96,PASHEET!AX96),"")</f>
        <v/>
      </c>
      <c r="AL104" s="177" t="str">
        <f>IF(A104&gt;0,SUM(MARKS!J96,MARKS!AP96),"")</f>
        <v/>
      </c>
      <c r="AM104" s="177" t="str">
        <f>IF(A104&gt;0,SUM(MARKS!R96,MARKS!AX96),"")</f>
        <v/>
      </c>
      <c r="AN104" s="177" t="str">
        <f>IF(A104&gt;0,SUM(MARKS!Z96,MARKS!BF96),"")</f>
        <v/>
      </c>
      <c r="AO104" s="177" t="str">
        <f>IF(A104&gt;0,SUM(MARKS!AH96,MARKS!BN96),"")</f>
        <v/>
      </c>
      <c r="AP104" s="177" t="str">
        <f t="shared" si="25"/>
        <v/>
      </c>
      <c r="AQ104" s="177" t="str">
        <f t="shared" si="26"/>
        <v/>
      </c>
      <c r="AR104" s="177" t="str">
        <f>IF(A104&gt;0,SUM(PASHEET!AQ96,PASHEET!AY96),"")</f>
        <v/>
      </c>
      <c r="AS104" s="177" t="str">
        <f>IF(A104&gt;0,SUM(MARKS!K96,MARKS!AQ96),"")</f>
        <v/>
      </c>
      <c r="AT104" s="177" t="str">
        <f>IF(A104&gt;0,SUM(MARKS!S96,MARKS!AY96),"")</f>
        <v/>
      </c>
      <c r="AU104" s="177" t="str">
        <f>IF(A104&gt;0,SUM(MARKS!AA96,MARKS!BG96),"")</f>
        <v/>
      </c>
      <c r="AV104" s="177" t="str">
        <f>IF(A104&gt;0,SUM(MARKS!AI96,MARKS!BO96),"")</f>
        <v/>
      </c>
      <c r="AW104" s="177" t="str">
        <f t="shared" si="27"/>
        <v/>
      </c>
      <c r="AX104" s="177" t="str">
        <f t="shared" si="28"/>
        <v/>
      </c>
      <c r="AY104" s="47" t="str">
        <f t="shared" si="29"/>
        <v/>
      </c>
      <c r="AZ104" s="70" t="str">
        <f t="shared" si="30"/>
        <v/>
      </c>
      <c r="BA104" s="177" t="str">
        <f t="shared" si="31"/>
        <v/>
      </c>
      <c r="BB104" s="47" t="str">
        <f>IF(A104&gt;0,FLN!I96,"")</f>
        <v/>
      </c>
      <c r="BC104" s="47" t="str">
        <f>IF(A104&gt;0,FLN!J96,"")</f>
        <v/>
      </c>
      <c r="BD104" s="47" t="str">
        <f>IF(A104&gt;0,FLN!K96,"")</f>
        <v/>
      </c>
      <c r="BE104" s="47" t="str">
        <f t="shared" si="32"/>
        <v/>
      </c>
      <c r="BF104" s="130" t="str">
        <f>IF(AY104="","",IFERROR(RANK(AY104,$AY$12:$AY$111,0)+COUNTIFS($AY$12:AY104,AY104)-1,0))</f>
        <v/>
      </c>
      <c r="BG104" s="130" t="str">
        <f t="shared" si="33"/>
        <v/>
      </c>
    </row>
    <row r="105" s="98" customFormat="1" ht="27" customHeight="1" spans="1:59">
      <c r="A105" s="47">
        <f>IF(A104=0,0,IF(A104&lt;ENTRY!$D$24,A104+1,0))</f>
        <v>0</v>
      </c>
      <c r="B105" s="47" t="str">
        <f>IF(A105&gt;0,STUDENT!F95,"")</f>
        <v/>
      </c>
      <c r="C105" s="176" t="str">
        <f>IF(A105&gt;0,UPPER(STUDENT!E95),"")</f>
        <v/>
      </c>
      <c r="D105" s="176" t="str">
        <f>IF(A105&gt;0,UPPER(STUDENT!H95),"")</f>
        <v/>
      </c>
      <c r="E105" s="47" t="str">
        <f>IF(A105&gt;0,UPPER(STUDENT!BP95),"")</f>
        <v/>
      </c>
      <c r="F105" s="47" t="str">
        <f>IF(A105&gt;0,UPPER(STUDENT!BO95),"")</f>
        <v/>
      </c>
      <c r="G105" s="47" t="str">
        <f>IF(A105&gt;0,UPPER(STUDENT!Q95),"")</f>
        <v/>
      </c>
      <c r="H105" s="69" t="str">
        <f>IF(A105&gt;0,PASHEET!CI97/PASHEET!CJ97*100,"")</f>
        <v/>
      </c>
      <c r="I105" s="177" t="str">
        <f>IF(A105&gt;0,SUM(PASHEET!AL97,PASHEET!AT97),"")</f>
        <v/>
      </c>
      <c r="J105" s="177" t="str">
        <f>IF(A105&gt;0,SUM(MARKS!F97,MARKS!AL97),"")</f>
        <v/>
      </c>
      <c r="K105" s="177" t="str">
        <f>IF(A105&gt;0,SUM(MARKS!N97,MARKS!AT97),"")</f>
        <v/>
      </c>
      <c r="L105" s="177" t="str">
        <f>IF(A105&gt;0,SUM(MARKS!V97,MARKS!BB97),"")</f>
        <v/>
      </c>
      <c r="M105" s="177" t="str">
        <f>IF(A105&gt;0,SUM(MARKS!AD97,MARKS!BJ97),"")</f>
        <v/>
      </c>
      <c r="N105" s="177" t="str">
        <f t="shared" si="17"/>
        <v/>
      </c>
      <c r="O105" s="177" t="str">
        <f t="shared" si="18"/>
        <v/>
      </c>
      <c r="P105" s="177" t="str">
        <f>IF(A105&gt;0,SUM(PASHEET!AM97,PASHEET!AU97),"")</f>
        <v/>
      </c>
      <c r="Q105" s="177" t="str">
        <f>IF(A105&gt;0,SUM(MARKS!G97,MARKS!AM97),"")</f>
        <v/>
      </c>
      <c r="R105" s="177" t="str">
        <f>IF(A105&gt;0,SUM(MARKS!O97,MARKS!AU97),"")</f>
        <v/>
      </c>
      <c r="S105" s="177" t="str">
        <f>IF(A105&gt;0,SUM(MARKS!W97,MARKS!BC97),"")</f>
        <v/>
      </c>
      <c r="T105" s="177" t="str">
        <f>IF(A105&gt;0,SUM(MARKS!AE97,MARKS!BK97),"")</f>
        <v/>
      </c>
      <c r="U105" s="177" t="str">
        <f t="shared" si="19"/>
        <v/>
      </c>
      <c r="V105" s="177" t="str">
        <f t="shared" si="20"/>
        <v/>
      </c>
      <c r="W105" s="177" t="str">
        <f>IF(A105&gt;0,SUM(PASHEET!AN97,PASHEET!AV97),"")</f>
        <v/>
      </c>
      <c r="X105" s="177" t="str">
        <f>IF(A105&gt;0,SUM(MARKS!H97,MARKS!AN97),"")</f>
        <v/>
      </c>
      <c r="Y105" s="177" t="str">
        <f>IF(A105&gt;0,SUM(MARKS!P97,MARKS!AV97),"")</f>
        <v/>
      </c>
      <c r="Z105" s="177" t="str">
        <f>IF(A105&gt;0,SUM(MARKS!X97,MARKS!BD97),"")</f>
        <v/>
      </c>
      <c r="AA105" s="177" t="str">
        <f>IF(A105&gt;0,SUM(MARKS!AF97,MARKS!BL97),"")</f>
        <v/>
      </c>
      <c r="AB105" s="177" t="str">
        <f t="shared" si="21"/>
        <v/>
      </c>
      <c r="AC105" s="177" t="str">
        <f t="shared" si="22"/>
        <v/>
      </c>
      <c r="AD105" s="177" t="str">
        <f>IF(A105&gt;0,SUM(PASHEET!AO97,PASHEET!AW97),"")</f>
        <v/>
      </c>
      <c r="AE105" s="177" t="str">
        <f>IF(A105&gt;0,SUM(MARKS!I97,MARKS!AO97),"")</f>
        <v/>
      </c>
      <c r="AF105" s="177" t="str">
        <f>IF(A105&gt;0,SUM(MARKS!Q97,MARKS!AW97),"")</f>
        <v/>
      </c>
      <c r="AG105" s="177" t="str">
        <f>IF(A105&gt;0,SUM(MARKS!Y97,MARKS!BE97),"")</f>
        <v/>
      </c>
      <c r="AH105" s="177" t="str">
        <f>IF(A105&gt;0,SUM(MARKS!AG97,MARKS!BM97),"")</f>
        <v/>
      </c>
      <c r="AI105" s="177" t="str">
        <f t="shared" si="23"/>
        <v/>
      </c>
      <c r="AJ105" s="177" t="str">
        <f t="shared" si="24"/>
        <v/>
      </c>
      <c r="AK105" s="177" t="str">
        <f>IF(A105&gt;0,SUM(PASHEET!AP97,PASHEET!AX97),"")</f>
        <v/>
      </c>
      <c r="AL105" s="177" t="str">
        <f>IF(A105&gt;0,SUM(MARKS!J97,MARKS!AP97),"")</f>
        <v/>
      </c>
      <c r="AM105" s="177" t="str">
        <f>IF(A105&gt;0,SUM(MARKS!R97,MARKS!AX97),"")</f>
        <v/>
      </c>
      <c r="AN105" s="177" t="str">
        <f>IF(A105&gt;0,SUM(MARKS!Z97,MARKS!BF97),"")</f>
        <v/>
      </c>
      <c r="AO105" s="177" t="str">
        <f>IF(A105&gt;0,SUM(MARKS!AH97,MARKS!BN97),"")</f>
        <v/>
      </c>
      <c r="AP105" s="177" t="str">
        <f t="shared" si="25"/>
        <v/>
      </c>
      <c r="AQ105" s="177" t="str">
        <f t="shared" si="26"/>
        <v/>
      </c>
      <c r="AR105" s="177" t="str">
        <f>IF(A105&gt;0,SUM(PASHEET!AQ97,PASHEET!AY97),"")</f>
        <v/>
      </c>
      <c r="AS105" s="177" t="str">
        <f>IF(A105&gt;0,SUM(MARKS!K97,MARKS!AQ97),"")</f>
        <v/>
      </c>
      <c r="AT105" s="177" t="str">
        <f>IF(A105&gt;0,SUM(MARKS!S97,MARKS!AY97),"")</f>
        <v/>
      </c>
      <c r="AU105" s="177" t="str">
        <f>IF(A105&gt;0,SUM(MARKS!AA97,MARKS!BG97),"")</f>
        <v/>
      </c>
      <c r="AV105" s="177" t="str">
        <f>IF(A105&gt;0,SUM(MARKS!AI97,MARKS!BO97),"")</f>
        <v/>
      </c>
      <c r="AW105" s="177" t="str">
        <f t="shared" si="27"/>
        <v/>
      </c>
      <c r="AX105" s="177" t="str">
        <f t="shared" si="28"/>
        <v/>
      </c>
      <c r="AY105" s="47" t="str">
        <f t="shared" si="29"/>
        <v/>
      </c>
      <c r="AZ105" s="70" t="str">
        <f t="shared" si="30"/>
        <v/>
      </c>
      <c r="BA105" s="177" t="str">
        <f t="shared" si="31"/>
        <v/>
      </c>
      <c r="BB105" s="47" t="str">
        <f>IF(A105&gt;0,FLN!I97,"")</f>
        <v/>
      </c>
      <c r="BC105" s="47" t="str">
        <f>IF(A105&gt;0,FLN!J97,"")</f>
        <v/>
      </c>
      <c r="BD105" s="47" t="str">
        <f>IF(A105&gt;0,FLN!K97,"")</f>
        <v/>
      </c>
      <c r="BE105" s="47" t="str">
        <f t="shared" si="32"/>
        <v/>
      </c>
      <c r="BF105" s="130" t="str">
        <f>IF(AY105="","",IFERROR(RANK(AY105,$AY$12:$AY$111,0)+COUNTIFS($AY$12:AY105,AY105)-1,0))</f>
        <v/>
      </c>
      <c r="BG105" s="130" t="str">
        <f t="shared" si="33"/>
        <v/>
      </c>
    </row>
    <row r="106" s="98" customFormat="1" ht="27" customHeight="1" spans="1:59">
      <c r="A106" s="47">
        <f>IF(A105=0,0,IF(A105&lt;ENTRY!$D$24,A105+1,0))</f>
        <v>0</v>
      </c>
      <c r="B106" s="47" t="str">
        <f>IF(A106&gt;0,STUDENT!F96,"")</f>
        <v/>
      </c>
      <c r="C106" s="176" t="str">
        <f>IF(A106&gt;0,UPPER(STUDENT!E96),"")</f>
        <v/>
      </c>
      <c r="D106" s="176" t="str">
        <f>IF(A106&gt;0,UPPER(STUDENT!H96),"")</f>
        <v/>
      </c>
      <c r="E106" s="47" t="str">
        <f>IF(A106&gt;0,UPPER(STUDENT!BP96),"")</f>
        <v/>
      </c>
      <c r="F106" s="47" t="str">
        <f>IF(A106&gt;0,UPPER(STUDENT!BO96),"")</f>
        <v/>
      </c>
      <c r="G106" s="47" t="str">
        <f>IF(A106&gt;0,UPPER(STUDENT!Q96),"")</f>
        <v/>
      </c>
      <c r="H106" s="69" t="str">
        <f>IF(A106&gt;0,PASHEET!CI98/PASHEET!CJ98*100,"")</f>
        <v/>
      </c>
      <c r="I106" s="177" t="str">
        <f>IF(A106&gt;0,SUM(PASHEET!AL98,PASHEET!AT98),"")</f>
        <v/>
      </c>
      <c r="J106" s="177" t="str">
        <f>IF(A106&gt;0,SUM(MARKS!F98,MARKS!AL98),"")</f>
        <v/>
      </c>
      <c r="K106" s="177" t="str">
        <f>IF(A106&gt;0,SUM(MARKS!N98,MARKS!AT98),"")</f>
        <v/>
      </c>
      <c r="L106" s="177" t="str">
        <f>IF(A106&gt;0,SUM(MARKS!V98,MARKS!BB98),"")</f>
        <v/>
      </c>
      <c r="M106" s="177" t="str">
        <f>IF(A106&gt;0,SUM(MARKS!AD98,MARKS!BJ98),"")</f>
        <v/>
      </c>
      <c r="N106" s="177" t="str">
        <f t="shared" si="17"/>
        <v/>
      </c>
      <c r="O106" s="177" t="str">
        <f t="shared" si="18"/>
        <v/>
      </c>
      <c r="P106" s="177" t="str">
        <f>IF(A106&gt;0,SUM(PASHEET!AM98,PASHEET!AU98),"")</f>
        <v/>
      </c>
      <c r="Q106" s="177" t="str">
        <f>IF(A106&gt;0,SUM(MARKS!G98,MARKS!AM98),"")</f>
        <v/>
      </c>
      <c r="R106" s="177" t="str">
        <f>IF(A106&gt;0,SUM(MARKS!O98,MARKS!AU98),"")</f>
        <v/>
      </c>
      <c r="S106" s="177" t="str">
        <f>IF(A106&gt;0,SUM(MARKS!W98,MARKS!BC98),"")</f>
        <v/>
      </c>
      <c r="T106" s="177" t="str">
        <f>IF(A106&gt;0,SUM(MARKS!AE98,MARKS!BK98),"")</f>
        <v/>
      </c>
      <c r="U106" s="177" t="str">
        <f t="shared" si="19"/>
        <v/>
      </c>
      <c r="V106" s="177" t="str">
        <f t="shared" si="20"/>
        <v/>
      </c>
      <c r="W106" s="177" t="str">
        <f>IF(A106&gt;0,SUM(PASHEET!AN98,PASHEET!AV98),"")</f>
        <v/>
      </c>
      <c r="X106" s="177" t="str">
        <f>IF(A106&gt;0,SUM(MARKS!H98,MARKS!AN98),"")</f>
        <v/>
      </c>
      <c r="Y106" s="177" t="str">
        <f>IF(A106&gt;0,SUM(MARKS!P98,MARKS!AV98),"")</f>
        <v/>
      </c>
      <c r="Z106" s="177" t="str">
        <f>IF(A106&gt;0,SUM(MARKS!X98,MARKS!BD98),"")</f>
        <v/>
      </c>
      <c r="AA106" s="177" t="str">
        <f>IF(A106&gt;0,SUM(MARKS!AF98,MARKS!BL98),"")</f>
        <v/>
      </c>
      <c r="AB106" s="177" t="str">
        <f t="shared" si="21"/>
        <v/>
      </c>
      <c r="AC106" s="177" t="str">
        <f t="shared" si="22"/>
        <v/>
      </c>
      <c r="AD106" s="177" t="str">
        <f>IF(A106&gt;0,SUM(PASHEET!AO98,PASHEET!AW98),"")</f>
        <v/>
      </c>
      <c r="AE106" s="177" t="str">
        <f>IF(A106&gt;0,SUM(MARKS!I98,MARKS!AO98),"")</f>
        <v/>
      </c>
      <c r="AF106" s="177" t="str">
        <f>IF(A106&gt;0,SUM(MARKS!Q98,MARKS!AW98),"")</f>
        <v/>
      </c>
      <c r="AG106" s="177" t="str">
        <f>IF(A106&gt;0,SUM(MARKS!Y98,MARKS!BE98),"")</f>
        <v/>
      </c>
      <c r="AH106" s="177" t="str">
        <f>IF(A106&gt;0,SUM(MARKS!AG98,MARKS!BM98),"")</f>
        <v/>
      </c>
      <c r="AI106" s="177" t="str">
        <f t="shared" si="23"/>
        <v/>
      </c>
      <c r="AJ106" s="177" t="str">
        <f t="shared" si="24"/>
        <v/>
      </c>
      <c r="AK106" s="177" t="str">
        <f>IF(A106&gt;0,SUM(PASHEET!AP98,PASHEET!AX98),"")</f>
        <v/>
      </c>
      <c r="AL106" s="177" t="str">
        <f>IF(A106&gt;0,SUM(MARKS!J98,MARKS!AP98),"")</f>
        <v/>
      </c>
      <c r="AM106" s="177" t="str">
        <f>IF(A106&gt;0,SUM(MARKS!R98,MARKS!AX98),"")</f>
        <v/>
      </c>
      <c r="AN106" s="177" t="str">
        <f>IF(A106&gt;0,SUM(MARKS!Z98,MARKS!BF98),"")</f>
        <v/>
      </c>
      <c r="AO106" s="177" t="str">
        <f>IF(A106&gt;0,SUM(MARKS!AH98,MARKS!BN98),"")</f>
        <v/>
      </c>
      <c r="AP106" s="177" t="str">
        <f t="shared" si="25"/>
        <v/>
      </c>
      <c r="AQ106" s="177" t="str">
        <f t="shared" si="26"/>
        <v/>
      </c>
      <c r="AR106" s="177" t="str">
        <f>IF(A106&gt;0,SUM(PASHEET!AQ98,PASHEET!AY98),"")</f>
        <v/>
      </c>
      <c r="AS106" s="177" t="str">
        <f>IF(A106&gt;0,SUM(MARKS!K98,MARKS!AQ98),"")</f>
        <v/>
      </c>
      <c r="AT106" s="177" t="str">
        <f>IF(A106&gt;0,SUM(MARKS!S98,MARKS!AY98),"")</f>
        <v/>
      </c>
      <c r="AU106" s="177" t="str">
        <f>IF(A106&gt;0,SUM(MARKS!AA98,MARKS!BG98),"")</f>
        <v/>
      </c>
      <c r="AV106" s="177" t="str">
        <f>IF(A106&gt;0,SUM(MARKS!AI98,MARKS!BO98),"")</f>
        <v/>
      </c>
      <c r="AW106" s="177" t="str">
        <f t="shared" si="27"/>
        <v/>
      </c>
      <c r="AX106" s="177" t="str">
        <f t="shared" si="28"/>
        <v/>
      </c>
      <c r="AY106" s="47" t="str">
        <f t="shared" si="29"/>
        <v/>
      </c>
      <c r="AZ106" s="70" t="str">
        <f t="shared" si="30"/>
        <v/>
      </c>
      <c r="BA106" s="177" t="str">
        <f t="shared" si="31"/>
        <v/>
      </c>
      <c r="BB106" s="47" t="str">
        <f>IF(A106&gt;0,FLN!I98,"")</f>
        <v/>
      </c>
      <c r="BC106" s="47" t="str">
        <f>IF(A106&gt;0,FLN!J98,"")</f>
        <v/>
      </c>
      <c r="BD106" s="47" t="str">
        <f>IF(A106&gt;0,FLN!K98,"")</f>
        <v/>
      </c>
      <c r="BE106" s="47" t="str">
        <f t="shared" si="32"/>
        <v/>
      </c>
      <c r="BF106" s="130" t="str">
        <f>IF(AY106="","",IFERROR(RANK(AY106,$AY$12:$AY$111,0)+COUNTIFS($AY$12:AY106,AY106)-1,0))</f>
        <v/>
      </c>
      <c r="BG106" s="130" t="str">
        <f t="shared" si="33"/>
        <v/>
      </c>
    </row>
    <row r="107" s="98" customFormat="1" ht="27" customHeight="1" spans="1:59">
      <c r="A107" s="47">
        <f>IF(A106=0,0,IF(A106&lt;ENTRY!$D$24,A106+1,0))</f>
        <v>0</v>
      </c>
      <c r="B107" s="47" t="str">
        <f>IF(A107&gt;0,STUDENT!F97,"")</f>
        <v/>
      </c>
      <c r="C107" s="176" t="str">
        <f>IF(A107&gt;0,UPPER(STUDENT!E97),"")</f>
        <v/>
      </c>
      <c r="D107" s="176" t="str">
        <f>IF(A107&gt;0,UPPER(STUDENT!H97),"")</f>
        <v/>
      </c>
      <c r="E107" s="47" t="str">
        <f>IF(A107&gt;0,UPPER(STUDENT!BP97),"")</f>
        <v/>
      </c>
      <c r="F107" s="47" t="str">
        <f>IF(A107&gt;0,UPPER(STUDENT!BO97),"")</f>
        <v/>
      </c>
      <c r="G107" s="47" t="str">
        <f>IF(A107&gt;0,UPPER(STUDENT!Q97),"")</f>
        <v/>
      </c>
      <c r="H107" s="69" t="str">
        <f>IF(A107&gt;0,PASHEET!CI99/PASHEET!CJ99*100,"")</f>
        <v/>
      </c>
      <c r="I107" s="177" t="str">
        <f>IF(A107&gt;0,SUM(PASHEET!AL99,PASHEET!AT99),"")</f>
        <v/>
      </c>
      <c r="J107" s="177" t="str">
        <f>IF(A107&gt;0,SUM(MARKS!F99,MARKS!AL99),"")</f>
        <v/>
      </c>
      <c r="K107" s="177" t="str">
        <f>IF(A107&gt;0,SUM(MARKS!N99,MARKS!AT99),"")</f>
        <v/>
      </c>
      <c r="L107" s="177" t="str">
        <f>IF(A107&gt;0,SUM(MARKS!V99,MARKS!BB99),"")</f>
        <v/>
      </c>
      <c r="M107" s="177" t="str">
        <f>IF(A107&gt;0,SUM(MARKS!AD99,MARKS!BJ99),"")</f>
        <v/>
      </c>
      <c r="N107" s="177" t="str">
        <f t="shared" si="17"/>
        <v/>
      </c>
      <c r="O107" s="177" t="str">
        <f t="shared" si="18"/>
        <v/>
      </c>
      <c r="P107" s="177" t="str">
        <f>IF(A107&gt;0,SUM(PASHEET!AM99,PASHEET!AU99),"")</f>
        <v/>
      </c>
      <c r="Q107" s="177" t="str">
        <f>IF(A107&gt;0,SUM(MARKS!G99,MARKS!AM99),"")</f>
        <v/>
      </c>
      <c r="R107" s="177" t="str">
        <f>IF(A107&gt;0,SUM(MARKS!O99,MARKS!AU99),"")</f>
        <v/>
      </c>
      <c r="S107" s="177" t="str">
        <f>IF(A107&gt;0,SUM(MARKS!W99,MARKS!BC99),"")</f>
        <v/>
      </c>
      <c r="T107" s="177" t="str">
        <f>IF(A107&gt;0,SUM(MARKS!AE99,MARKS!BK99),"")</f>
        <v/>
      </c>
      <c r="U107" s="177" t="str">
        <f t="shared" si="19"/>
        <v/>
      </c>
      <c r="V107" s="177" t="str">
        <f t="shared" si="20"/>
        <v/>
      </c>
      <c r="W107" s="177" t="str">
        <f>IF(A107&gt;0,SUM(PASHEET!AN99,PASHEET!AV99),"")</f>
        <v/>
      </c>
      <c r="X107" s="177" t="str">
        <f>IF(A107&gt;0,SUM(MARKS!H99,MARKS!AN99),"")</f>
        <v/>
      </c>
      <c r="Y107" s="177" t="str">
        <f>IF(A107&gt;0,SUM(MARKS!P99,MARKS!AV99),"")</f>
        <v/>
      </c>
      <c r="Z107" s="177" t="str">
        <f>IF(A107&gt;0,SUM(MARKS!X99,MARKS!BD99),"")</f>
        <v/>
      </c>
      <c r="AA107" s="177" t="str">
        <f>IF(A107&gt;0,SUM(MARKS!AF99,MARKS!BL99),"")</f>
        <v/>
      </c>
      <c r="AB107" s="177" t="str">
        <f t="shared" si="21"/>
        <v/>
      </c>
      <c r="AC107" s="177" t="str">
        <f t="shared" si="22"/>
        <v/>
      </c>
      <c r="AD107" s="177" t="str">
        <f>IF(A107&gt;0,SUM(PASHEET!AO99,PASHEET!AW99),"")</f>
        <v/>
      </c>
      <c r="AE107" s="177" t="str">
        <f>IF(A107&gt;0,SUM(MARKS!I99,MARKS!AO99),"")</f>
        <v/>
      </c>
      <c r="AF107" s="177" t="str">
        <f>IF(A107&gt;0,SUM(MARKS!Q99,MARKS!AW99),"")</f>
        <v/>
      </c>
      <c r="AG107" s="177" t="str">
        <f>IF(A107&gt;0,SUM(MARKS!Y99,MARKS!BE99),"")</f>
        <v/>
      </c>
      <c r="AH107" s="177" t="str">
        <f>IF(A107&gt;0,SUM(MARKS!AG99,MARKS!BM99),"")</f>
        <v/>
      </c>
      <c r="AI107" s="177" t="str">
        <f t="shared" si="23"/>
        <v/>
      </c>
      <c r="AJ107" s="177" t="str">
        <f t="shared" si="24"/>
        <v/>
      </c>
      <c r="AK107" s="177" t="str">
        <f>IF(A107&gt;0,SUM(PASHEET!AP99,PASHEET!AX99),"")</f>
        <v/>
      </c>
      <c r="AL107" s="177" t="str">
        <f>IF(A107&gt;0,SUM(MARKS!J99,MARKS!AP99),"")</f>
        <v/>
      </c>
      <c r="AM107" s="177" t="str">
        <f>IF(A107&gt;0,SUM(MARKS!R99,MARKS!AX99),"")</f>
        <v/>
      </c>
      <c r="AN107" s="177" t="str">
        <f>IF(A107&gt;0,SUM(MARKS!Z99,MARKS!BF99),"")</f>
        <v/>
      </c>
      <c r="AO107" s="177" t="str">
        <f>IF(A107&gt;0,SUM(MARKS!AH99,MARKS!BN99),"")</f>
        <v/>
      </c>
      <c r="AP107" s="177" t="str">
        <f t="shared" si="25"/>
        <v/>
      </c>
      <c r="AQ107" s="177" t="str">
        <f t="shared" si="26"/>
        <v/>
      </c>
      <c r="AR107" s="177" t="str">
        <f>IF(A107&gt;0,SUM(PASHEET!AQ99,PASHEET!AY99),"")</f>
        <v/>
      </c>
      <c r="AS107" s="177" t="str">
        <f>IF(A107&gt;0,SUM(MARKS!K99,MARKS!AQ99),"")</f>
        <v/>
      </c>
      <c r="AT107" s="177" t="str">
        <f>IF(A107&gt;0,SUM(MARKS!S99,MARKS!AY99),"")</f>
        <v/>
      </c>
      <c r="AU107" s="177" t="str">
        <f>IF(A107&gt;0,SUM(MARKS!AA99,MARKS!BG99),"")</f>
        <v/>
      </c>
      <c r="AV107" s="177" t="str">
        <f>IF(A107&gt;0,SUM(MARKS!AI99,MARKS!BO99),"")</f>
        <v/>
      </c>
      <c r="AW107" s="177" t="str">
        <f t="shared" si="27"/>
        <v/>
      </c>
      <c r="AX107" s="177" t="str">
        <f t="shared" si="28"/>
        <v/>
      </c>
      <c r="AY107" s="47" t="str">
        <f t="shared" si="29"/>
        <v/>
      </c>
      <c r="AZ107" s="70" t="str">
        <f t="shared" si="30"/>
        <v/>
      </c>
      <c r="BA107" s="177" t="str">
        <f t="shared" si="31"/>
        <v/>
      </c>
      <c r="BB107" s="47" t="str">
        <f>IF(A107&gt;0,FLN!I99,"")</f>
        <v/>
      </c>
      <c r="BC107" s="47" t="str">
        <f>IF(A107&gt;0,FLN!J99,"")</f>
        <v/>
      </c>
      <c r="BD107" s="47" t="str">
        <f>IF(A107&gt;0,FLN!K99,"")</f>
        <v/>
      </c>
      <c r="BE107" s="47" t="str">
        <f t="shared" si="32"/>
        <v/>
      </c>
      <c r="BF107" s="130" t="str">
        <f>IF(AY107="","",IFERROR(RANK(AY107,$AY$12:$AY$111,0)+COUNTIFS($AY$12:AY107,AY107)-1,0))</f>
        <v/>
      </c>
      <c r="BG107" s="130" t="str">
        <f t="shared" si="33"/>
        <v/>
      </c>
    </row>
    <row r="108" s="98" customFormat="1" ht="27" customHeight="1" spans="1:59">
      <c r="A108" s="47">
        <f>IF(A107=0,0,IF(A107&lt;ENTRY!$D$24,A107+1,0))</f>
        <v>0</v>
      </c>
      <c r="B108" s="47" t="str">
        <f>IF(A108&gt;0,STUDENT!F98,"")</f>
        <v/>
      </c>
      <c r="C108" s="176" t="str">
        <f>IF(A108&gt;0,UPPER(STUDENT!E98),"")</f>
        <v/>
      </c>
      <c r="D108" s="176" t="str">
        <f>IF(A108&gt;0,UPPER(STUDENT!H98),"")</f>
        <v/>
      </c>
      <c r="E108" s="47" t="str">
        <f>IF(A108&gt;0,UPPER(STUDENT!BP98),"")</f>
        <v/>
      </c>
      <c r="F108" s="47" t="str">
        <f>IF(A108&gt;0,UPPER(STUDENT!BO98),"")</f>
        <v/>
      </c>
      <c r="G108" s="47" t="str">
        <f>IF(A108&gt;0,UPPER(STUDENT!Q98),"")</f>
        <v/>
      </c>
      <c r="H108" s="69" t="str">
        <f>IF(A108&gt;0,PASHEET!CI100/PASHEET!CJ100*100,"")</f>
        <v/>
      </c>
      <c r="I108" s="177" t="str">
        <f>IF(A108&gt;0,SUM(PASHEET!AL100,PASHEET!AT100),"")</f>
        <v/>
      </c>
      <c r="J108" s="177" t="str">
        <f>IF(A108&gt;0,SUM(MARKS!F100,MARKS!AL100),"")</f>
        <v/>
      </c>
      <c r="K108" s="177" t="str">
        <f>IF(A108&gt;0,SUM(MARKS!N100,MARKS!AT100),"")</f>
        <v/>
      </c>
      <c r="L108" s="177" t="str">
        <f>IF(A108&gt;0,SUM(MARKS!V100,MARKS!BB100),"")</f>
        <v/>
      </c>
      <c r="M108" s="177" t="str">
        <f>IF(A108&gt;0,SUM(MARKS!AD100,MARKS!BJ100),"")</f>
        <v/>
      </c>
      <c r="N108" s="177" t="str">
        <f t="shared" si="17"/>
        <v/>
      </c>
      <c r="O108" s="177" t="str">
        <f t="shared" si="18"/>
        <v/>
      </c>
      <c r="P108" s="177" t="str">
        <f>IF(A108&gt;0,SUM(PASHEET!AM100,PASHEET!AU100),"")</f>
        <v/>
      </c>
      <c r="Q108" s="177" t="str">
        <f>IF(A108&gt;0,SUM(MARKS!G100,MARKS!AM100),"")</f>
        <v/>
      </c>
      <c r="R108" s="177" t="str">
        <f>IF(A108&gt;0,SUM(MARKS!O100,MARKS!AU100),"")</f>
        <v/>
      </c>
      <c r="S108" s="177" t="str">
        <f>IF(A108&gt;0,SUM(MARKS!W100,MARKS!BC100),"")</f>
        <v/>
      </c>
      <c r="T108" s="177" t="str">
        <f>IF(A108&gt;0,SUM(MARKS!AE100,MARKS!BK100),"")</f>
        <v/>
      </c>
      <c r="U108" s="177" t="str">
        <f t="shared" si="19"/>
        <v/>
      </c>
      <c r="V108" s="177" t="str">
        <f t="shared" si="20"/>
        <v/>
      </c>
      <c r="W108" s="177" t="str">
        <f>IF(A108&gt;0,SUM(PASHEET!AN100,PASHEET!AV100),"")</f>
        <v/>
      </c>
      <c r="X108" s="177" t="str">
        <f>IF(A108&gt;0,SUM(MARKS!H100,MARKS!AN100),"")</f>
        <v/>
      </c>
      <c r="Y108" s="177" t="str">
        <f>IF(A108&gt;0,SUM(MARKS!P100,MARKS!AV100),"")</f>
        <v/>
      </c>
      <c r="Z108" s="177" t="str">
        <f>IF(A108&gt;0,SUM(MARKS!X100,MARKS!BD100),"")</f>
        <v/>
      </c>
      <c r="AA108" s="177" t="str">
        <f>IF(A108&gt;0,SUM(MARKS!AF100,MARKS!BL100),"")</f>
        <v/>
      </c>
      <c r="AB108" s="177" t="str">
        <f t="shared" si="21"/>
        <v/>
      </c>
      <c r="AC108" s="177" t="str">
        <f t="shared" si="22"/>
        <v/>
      </c>
      <c r="AD108" s="177" t="str">
        <f>IF(A108&gt;0,SUM(PASHEET!AO100,PASHEET!AW100),"")</f>
        <v/>
      </c>
      <c r="AE108" s="177" t="str">
        <f>IF(A108&gt;0,SUM(MARKS!I100,MARKS!AO100),"")</f>
        <v/>
      </c>
      <c r="AF108" s="177" t="str">
        <f>IF(A108&gt;0,SUM(MARKS!Q100,MARKS!AW100),"")</f>
        <v/>
      </c>
      <c r="AG108" s="177" t="str">
        <f>IF(A108&gt;0,SUM(MARKS!Y100,MARKS!BE100),"")</f>
        <v/>
      </c>
      <c r="AH108" s="177" t="str">
        <f>IF(A108&gt;0,SUM(MARKS!AG100,MARKS!BM100),"")</f>
        <v/>
      </c>
      <c r="AI108" s="177" t="str">
        <f t="shared" si="23"/>
        <v/>
      </c>
      <c r="AJ108" s="177" t="str">
        <f t="shared" si="24"/>
        <v/>
      </c>
      <c r="AK108" s="177" t="str">
        <f>IF(A108&gt;0,SUM(PASHEET!AP100,PASHEET!AX100),"")</f>
        <v/>
      </c>
      <c r="AL108" s="177" t="str">
        <f>IF(A108&gt;0,SUM(MARKS!J100,MARKS!AP100),"")</f>
        <v/>
      </c>
      <c r="AM108" s="177" t="str">
        <f>IF(A108&gt;0,SUM(MARKS!R100,MARKS!AX100),"")</f>
        <v/>
      </c>
      <c r="AN108" s="177" t="str">
        <f>IF(A108&gt;0,SUM(MARKS!Z100,MARKS!BF100),"")</f>
        <v/>
      </c>
      <c r="AO108" s="177" t="str">
        <f>IF(A108&gt;0,SUM(MARKS!AH100,MARKS!BN100),"")</f>
        <v/>
      </c>
      <c r="AP108" s="177" t="str">
        <f t="shared" si="25"/>
        <v/>
      </c>
      <c r="AQ108" s="177" t="str">
        <f t="shared" si="26"/>
        <v/>
      </c>
      <c r="AR108" s="177" t="str">
        <f>IF(A108&gt;0,SUM(PASHEET!AQ100,PASHEET!AY100),"")</f>
        <v/>
      </c>
      <c r="AS108" s="177" t="str">
        <f>IF(A108&gt;0,SUM(MARKS!K100,MARKS!AQ100),"")</f>
        <v/>
      </c>
      <c r="AT108" s="177" t="str">
        <f>IF(A108&gt;0,SUM(MARKS!S100,MARKS!AY100),"")</f>
        <v/>
      </c>
      <c r="AU108" s="177" t="str">
        <f>IF(A108&gt;0,SUM(MARKS!AA100,MARKS!BG100),"")</f>
        <v/>
      </c>
      <c r="AV108" s="177" t="str">
        <f>IF(A108&gt;0,SUM(MARKS!AI100,MARKS!BO100),"")</f>
        <v/>
      </c>
      <c r="AW108" s="177" t="str">
        <f t="shared" si="27"/>
        <v/>
      </c>
      <c r="AX108" s="177" t="str">
        <f t="shared" si="28"/>
        <v/>
      </c>
      <c r="AY108" s="47" t="str">
        <f t="shared" si="29"/>
        <v/>
      </c>
      <c r="AZ108" s="70" t="str">
        <f t="shared" si="30"/>
        <v/>
      </c>
      <c r="BA108" s="177" t="str">
        <f t="shared" si="31"/>
        <v/>
      </c>
      <c r="BB108" s="47" t="str">
        <f>IF(A108&gt;0,FLN!I100,"")</f>
        <v/>
      </c>
      <c r="BC108" s="47" t="str">
        <f>IF(A108&gt;0,FLN!J100,"")</f>
        <v/>
      </c>
      <c r="BD108" s="47" t="str">
        <f>IF(A108&gt;0,FLN!K100,"")</f>
        <v/>
      </c>
      <c r="BE108" s="47" t="str">
        <f t="shared" si="32"/>
        <v/>
      </c>
      <c r="BF108" s="130" t="str">
        <f>IF(AY108="","",IFERROR(RANK(AY108,$AY$12:$AY$111,0)+COUNTIFS($AY$12:AY108,AY108)-1,0))</f>
        <v/>
      </c>
      <c r="BG108" s="130" t="str">
        <f t="shared" si="33"/>
        <v/>
      </c>
    </row>
    <row r="109" s="98" customFormat="1" ht="27" customHeight="1" spans="1:59">
      <c r="A109" s="47">
        <f>IF(A108=0,0,IF(A108&lt;ENTRY!$D$24,A108+1,0))</f>
        <v>0</v>
      </c>
      <c r="B109" s="47" t="str">
        <f>IF(A109&gt;0,STUDENT!F99,"")</f>
        <v/>
      </c>
      <c r="C109" s="176" t="str">
        <f>IF(A109&gt;0,UPPER(STUDENT!E99),"")</f>
        <v/>
      </c>
      <c r="D109" s="176" t="str">
        <f>IF(A109&gt;0,UPPER(STUDENT!H99),"")</f>
        <v/>
      </c>
      <c r="E109" s="47" t="str">
        <f>IF(A109&gt;0,UPPER(STUDENT!BP99),"")</f>
        <v/>
      </c>
      <c r="F109" s="47" t="str">
        <f>IF(A109&gt;0,UPPER(STUDENT!BO99),"")</f>
        <v/>
      </c>
      <c r="G109" s="47" t="str">
        <f>IF(A109&gt;0,UPPER(STUDENT!Q99),"")</f>
        <v/>
      </c>
      <c r="H109" s="69" t="str">
        <f>IF(A109&gt;0,PASHEET!CI101/PASHEET!CJ101*100,"")</f>
        <v/>
      </c>
      <c r="I109" s="177" t="str">
        <f>IF(A109&gt;0,SUM(PASHEET!AL101,PASHEET!AT101),"")</f>
        <v/>
      </c>
      <c r="J109" s="177" t="str">
        <f>IF(A109&gt;0,SUM(MARKS!F101,MARKS!AL101),"")</f>
        <v/>
      </c>
      <c r="K109" s="177" t="str">
        <f>IF(A109&gt;0,SUM(MARKS!N101,MARKS!AT101),"")</f>
        <v/>
      </c>
      <c r="L109" s="177" t="str">
        <f>IF(A109&gt;0,SUM(MARKS!V101,MARKS!BB101),"")</f>
        <v/>
      </c>
      <c r="M109" s="177" t="str">
        <f>IF(A109&gt;0,SUM(MARKS!AD101,MARKS!BJ101),"")</f>
        <v/>
      </c>
      <c r="N109" s="177" t="str">
        <f t="shared" si="17"/>
        <v/>
      </c>
      <c r="O109" s="177" t="str">
        <f t="shared" si="18"/>
        <v/>
      </c>
      <c r="P109" s="177" t="str">
        <f>IF(A109&gt;0,SUM(PASHEET!AM101,PASHEET!AU101),"")</f>
        <v/>
      </c>
      <c r="Q109" s="177" t="str">
        <f>IF(A109&gt;0,SUM(MARKS!G101,MARKS!AM101),"")</f>
        <v/>
      </c>
      <c r="R109" s="177" t="str">
        <f>IF(A109&gt;0,SUM(MARKS!O101,MARKS!AU101),"")</f>
        <v/>
      </c>
      <c r="S109" s="177" t="str">
        <f>IF(A109&gt;0,SUM(MARKS!W101,MARKS!BC101),"")</f>
        <v/>
      </c>
      <c r="T109" s="177" t="str">
        <f>IF(A109&gt;0,SUM(MARKS!AE101,MARKS!BK101),"")</f>
        <v/>
      </c>
      <c r="U109" s="177" t="str">
        <f t="shared" si="19"/>
        <v/>
      </c>
      <c r="V109" s="177" t="str">
        <f t="shared" si="20"/>
        <v/>
      </c>
      <c r="W109" s="177" t="str">
        <f>IF(A109&gt;0,SUM(PASHEET!AN101,PASHEET!AV101),"")</f>
        <v/>
      </c>
      <c r="X109" s="177" t="str">
        <f>IF(A109&gt;0,SUM(MARKS!H101,MARKS!AN101),"")</f>
        <v/>
      </c>
      <c r="Y109" s="177" t="str">
        <f>IF(A109&gt;0,SUM(MARKS!P101,MARKS!AV101),"")</f>
        <v/>
      </c>
      <c r="Z109" s="177" t="str">
        <f>IF(A109&gt;0,SUM(MARKS!X101,MARKS!BD101),"")</f>
        <v/>
      </c>
      <c r="AA109" s="177" t="str">
        <f>IF(A109&gt;0,SUM(MARKS!AF101,MARKS!BL101),"")</f>
        <v/>
      </c>
      <c r="AB109" s="177" t="str">
        <f t="shared" si="21"/>
        <v/>
      </c>
      <c r="AC109" s="177" t="str">
        <f t="shared" si="22"/>
        <v/>
      </c>
      <c r="AD109" s="177" t="str">
        <f>IF(A109&gt;0,SUM(PASHEET!AO101,PASHEET!AW101),"")</f>
        <v/>
      </c>
      <c r="AE109" s="177" t="str">
        <f>IF(A109&gt;0,SUM(MARKS!I101,MARKS!AO101),"")</f>
        <v/>
      </c>
      <c r="AF109" s="177" t="str">
        <f>IF(A109&gt;0,SUM(MARKS!Q101,MARKS!AW101),"")</f>
        <v/>
      </c>
      <c r="AG109" s="177" t="str">
        <f>IF(A109&gt;0,SUM(MARKS!Y101,MARKS!BE101),"")</f>
        <v/>
      </c>
      <c r="AH109" s="177" t="str">
        <f>IF(A109&gt;0,SUM(MARKS!AG101,MARKS!BM101),"")</f>
        <v/>
      </c>
      <c r="AI109" s="177" t="str">
        <f t="shared" si="23"/>
        <v/>
      </c>
      <c r="AJ109" s="177" t="str">
        <f t="shared" si="24"/>
        <v/>
      </c>
      <c r="AK109" s="177" t="str">
        <f>IF(A109&gt;0,SUM(PASHEET!AP101,PASHEET!AX101),"")</f>
        <v/>
      </c>
      <c r="AL109" s="177" t="str">
        <f>IF(A109&gt;0,SUM(MARKS!J101,MARKS!AP101),"")</f>
        <v/>
      </c>
      <c r="AM109" s="177" t="str">
        <f>IF(A109&gt;0,SUM(MARKS!R101,MARKS!AX101),"")</f>
        <v/>
      </c>
      <c r="AN109" s="177" t="str">
        <f>IF(A109&gt;0,SUM(MARKS!Z101,MARKS!BF101),"")</f>
        <v/>
      </c>
      <c r="AO109" s="177" t="str">
        <f>IF(A109&gt;0,SUM(MARKS!AH101,MARKS!BN101),"")</f>
        <v/>
      </c>
      <c r="AP109" s="177" t="str">
        <f t="shared" si="25"/>
        <v/>
      </c>
      <c r="AQ109" s="177" t="str">
        <f t="shared" si="26"/>
        <v/>
      </c>
      <c r="AR109" s="177" t="str">
        <f>IF(A109&gt;0,SUM(PASHEET!AQ101,PASHEET!AY101),"")</f>
        <v/>
      </c>
      <c r="AS109" s="177" t="str">
        <f>IF(A109&gt;0,SUM(MARKS!K101,MARKS!AQ101),"")</f>
        <v/>
      </c>
      <c r="AT109" s="177" t="str">
        <f>IF(A109&gt;0,SUM(MARKS!S101,MARKS!AY101),"")</f>
        <v/>
      </c>
      <c r="AU109" s="177" t="str">
        <f>IF(A109&gt;0,SUM(MARKS!AA101,MARKS!BG101),"")</f>
        <v/>
      </c>
      <c r="AV109" s="177" t="str">
        <f>IF(A109&gt;0,SUM(MARKS!AI101,MARKS!BO101),"")</f>
        <v/>
      </c>
      <c r="AW109" s="177" t="str">
        <f t="shared" si="27"/>
        <v/>
      </c>
      <c r="AX109" s="177" t="str">
        <f t="shared" si="28"/>
        <v/>
      </c>
      <c r="AY109" s="47" t="str">
        <f t="shared" si="29"/>
        <v/>
      </c>
      <c r="AZ109" s="70" t="str">
        <f t="shared" si="30"/>
        <v/>
      </c>
      <c r="BA109" s="177" t="str">
        <f t="shared" si="31"/>
        <v/>
      </c>
      <c r="BB109" s="47" t="str">
        <f>IF(A109&gt;0,FLN!I101,"")</f>
        <v/>
      </c>
      <c r="BC109" s="47" t="str">
        <f>IF(A109&gt;0,FLN!J101,"")</f>
        <v/>
      </c>
      <c r="BD109" s="47" t="str">
        <f>IF(A109&gt;0,FLN!K101,"")</f>
        <v/>
      </c>
      <c r="BE109" s="47" t="str">
        <f t="shared" si="32"/>
        <v/>
      </c>
      <c r="BF109" s="130" t="str">
        <f>IF(AY109="","",IFERROR(RANK(AY109,$AY$12:$AY$111,0)+COUNTIFS($AY$12:AY109,AY109)-1,0))</f>
        <v/>
      </c>
      <c r="BG109" s="130" t="str">
        <f t="shared" si="33"/>
        <v/>
      </c>
    </row>
    <row r="110" s="98" customFormat="1" ht="27" customHeight="1" spans="1:59">
      <c r="A110" s="47">
        <f>IF(A109=0,0,IF(A109&lt;ENTRY!$D$24,A109+1,0))</f>
        <v>0</v>
      </c>
      <c r="B110" s="47" t="str">
        <f>IF(A110&gt;0,STUDENT!F100,"")</f>
        <v/>
      </c>
      <c r="C110" s="176" t="str">
        <f>IF(A110&gt;0,UPPER(STUDENT!E100),"")</f>
        <v/>
      </c>
      <c r="D110" s="176" t="str">
        <f>IF(A110&gt;0,UPPER(STUDENT!H100),"")</f>
        <v/>
      </c>
      <c r="E110" s="47" t="str">
        <f>IF(A110&gt;0,UPPER(STUDENT!BP100),"")</f>
        <v/>
      </c>
      <c r="F110" s="47" t="str">
        <f>IF(A110&gt;0,UPPER(STUDENT!BO100),"")</f>
        <v/>
      </c>
      <c r="G110" s="47" t="str">
        <f>IF(A110&gt;0,UPPER(STUDENT!Q100),"")</f>
        <v/>
      </c>
      <c r="H110" s="69" t="str">
        <f>IF(A110&gt;0,PASHEET!CI102/PASHEET!CJ102*100,"")</f>
        <v/>
      </c>
      <c r="I110" s="177" t="str">
        <f>IF(A110&gt;0,SUM(PASHEET!AL102,PASHEET!AT102),"")</f>
        <v/>
      </c>
      <c r="J110" s="177" t="str">
        <f>IF(A110&gt;0,SUM(MARKS!F102,MARKS!AL102),"")</f>
        <v/>
      </c>
      <c r="K110" s="177" t="str">
        <f>IF(A110&gt;0,SUM(MARKS!N102,MARKS!AT102),"")</f>
        <v/>
      </c>
      <c r="L110" s="177" t="str">
        <f>IF(A110&gt;0,SUM(MARKS!V102,MARKS!BB102),"")</f>
        <v/>
      </c>
      <c r="M110" s="177" t="str">
        <f>IF(A110&gt;0,SUM(MARKS!AD102,MARKS!BJ102),"")</f>
        <v/>
      </c>
      <c r="N110" s="177" t="str">
        <f t="shared" si="17"/>
        <v/>
      </c>
      <c r="O110" s="177" t="str">
        <f t="shared" si="18"/>
        <v/>
      </c>
      <c r="P110" s="177" t="str">
        <f>IF(A110&gt;0,SUM(PASHEET!AM102,PASHEET!AU102),"")</f>
        <v/>
      </c>
      <c r="Q110" s="177" t="str">
        <f>IF(A110&gt;0,SUM(MARKS!G102,MARKS!AM102),"")</f>
        <v/>
      </c>
      <c r="R110" s="177" t="str">
        <f>IF(A110&gt;0,SUM(MARKS!O102,MARKS!AU102),"")</f>
        <v/>
      </c>
      <c r="S110" s="177" t="str">
        <f>IF(A110&gt;0,SUM(MARKS!W102,MARKS!BC102),"")</f>
        <v/>
      </c>
      <c r="T110" s="177" t="str">
        <f>IF(A110&gt;0,SUM(MARKS!AE102,MARKS!BK102),"")</f>
        <v/>
      </c>
      <c r="U110" s="177" t="str">
        <f t="shared" si="19"/>
        <v/>
      </c>
      <c r="V110" s="177" t="str">
        <f t="shared" si="20"/>
        <v/>
      </c>
      <c r="W110" s="177" t="str">
        <f>IF(A110&gt;0,SUM(PASHEET!AN102,PASHEET!AV102),"")</f>
        <v/>
      </c>
      <c r="X110" s="177" t="str">
        <f>IF(A110&gt;0,SUM(MARKS!H102,MARKS!AN102),"")</f>
        <v/>
      </c>
      <c r="Y110" s="177" t="str">
        <f>IF(A110&gt;0,SUM(MARKS!P102,MARKS!AV102),"")</f>
        <v/>
      </c>
      <c r="Z110" s="177" t="str">
        <f>IF(A110&gt;0,SUM(MARKS!X102,MARKS!BD102),"")</f>
        <v/>
      </c>
      <c r="AA110" s="177" t="str">
        <f>IF(A110&gt;0,SUM(MARKS!AF102,MARKS!BL102),"")</f>
        <v/>
      </c>
      <c r="AB110" s="177" t="str">
        <f t="shared" si="21"/>
        <v/>
      </c>
      <c r="AC110" s="177" t="str">
        <f t="shared" si="22"/>
        <v/>
      </c>
      <c r="AD110" s="177" t="str">
        <f>IF(A110&gt;0,SUM(PASHEET!AO102,PASHEET!AW102),"")</f>
        <v/>
      </c>
      <c r="AE110" s="177" t="str">
        <f>IF(A110&gt;0,SUM(MARKS!I102,MARKS!AO102),"")</f>
        <v/>
      </c>
      <c r="AF110" s="177" t="str">
        <f>IF(A110&gt;0,SUM(MARKS!Q102,MARKS!AW102),"")</f>
        <v/>
      </c>
      <c r="AG110" s="177" t="str">
        <f>IF(A110&gt;0,SUM(MARKS!Y102,MARKS!BE102),"")</f>
        <v/>
      </c>
      <c r="AH110" s="177" t="str">
        <f>IF(A110&gt;0,SUM(MARKS!AG102,MARKS!BM102),"")</f>
        <v/>
      </c>
      <c r="AI110" s="177" t="str">
        <f t="shared" si="23"/>
        <v/>
      </c>
      <c r="AJ110" s="177" t="str">
        <f t="shared" si="24"/>
        <v/>
      </c>
      <c r="AK110" s="177" t="str">
        <f>IF(A110&gt;0,SUM(PASHEET!AP102,PASHEET!AX102),"")</f>
        <v/>
      </c>
      <c r="AL110" s="177" t="str">
        <f>IF(A110&gt;0,SUM(MARKS!J102,MARKS!AP102),"")</f>
        <v/>
      </c>
      <c r="AM110" s="177" t="str">
        <f>IF(A110&gt;0,SUM(MARKS!R102,MARKS!AX102),"")</f>
        <v/>
      </c>
      <c r="AN110" s="177" t="str">
        <f>IF(A110&gt;0,SUM(MARKS!Z102,MARKS!BF102),"")</f>
        <v/>
      </c>
      <c r="AO110" s="177" t="str">
        <f>IF(A110&gt;0,SUM(MARKS!AH102,MARKS!BN102),"")</f>
        <v/>
      </c>
      <c r="AP110" s="177" t="str">
        <f t="shared" si="25"/>
        <v/>
      </c>
      <c r="AQ110" s="177" t="str">
        <f t="shared" si="26"/>
        <v/>
      </c>
      <c r="AR110" s="177" t="str">
        <f>IF(A110&gt;0,SUM(PASHEET!AQ102,PASHEET!AY102),"")</f>
        <v/>
      </c>
      <c r="AS110" s="177" t="str">
        <f>IF(A110&gt;0,SUM(MARKS!K102,MARKS!AQ102),"")</f>
        <v/>
      </c>
      <c r="AT110" s="177" t="str">
        <f>IF(A110&gt;0,SUM(MARKS!S102,MARKS!AY102),"")</f>
        <v/>
      </c>
      <c r="AU110" s="177" t="str">
        <f>IF(A110&gt;0,SUM(MARKS!AA102,MARKS!BG102),"")</f>
        <v/>
      </c>
      <c r="AV110" s="177" t="str">
        <f>IF(A110&gt;0,SUM(MARKS!AI102,MARKS!BO102),"")</f>
        <v/>
      </c>
      <c r="AW110" s="177" t="str">
        <f t="shared" si="27"/>
        <v/>
      </c>
      <c r="AX110" s="177" t="str">
        <f t="shared" si="28"/>
        <v/>
      </c>
      <c r="AY110" s="47" t="str">
        <f t="shared" si="29"/>
        <v/>
      </c>
      <c r="AZ110" s="70" t="str">
        <f t="shared" si="30"/>
        <v/>
      </c>
      <c r="BA110" s="177" t="str">
        <f t="shared" si="31"/>
        <v/>
      </c>
      <c r="BB110" s="47" t="str">
        <f>IF(A110&gt;0,FLN!I102,"")</f>
        <v/>
      </c>
      <c r="BC110" s="47" t="str">
        <f>IF(A110&gt;0,FLN!J102,"")</f>
        <v/>
      </c>
      <c r="BD110" s="47" t="str">
        <f>IF(A110&gt;0,FLN!K102,"")</f>
        <v/>
      </c>
      <c r="BE110" s="47" t="str">
        <f t="shared" si="32"/>
        <v/>
      </c>
      <c r="BF110" s="130" t="str">
        <f>IF(AY110="","",IFERROR(RANK(AY110,$AY$12:$AY$111,0)+COUNTIFS($AY$12:AY110,AY110)-1,0))</f>
        <v/>
      </c>
      <c r="BG110" s="130" t="str">
        <f t="shared" si="33"/>
        <v/>
      </c>
    </row>
    <row r="111" s="98" customFormat="1" ht="27" customHeight="1" spans="1:59">
      <c r="A111" s="47">
        <f>IF(A110=0,0,IF(A110&lt;ENTRY!$D$24,A110+1,0))</f>
        <v>0</v>
      </c>
      <c r="B111" s="47" t="str">
        <f>IF(A111&gt;0,STUDENT!F101,"")</f>
        <v/>
      </c>
      <c r="C111" s="176" t="str">
        <f>IF(A111&gt;0,UPPER(STUDENT!E101),"")</f>
        <v/>
      </c>
      <c r="D111" s="176" t="str">
        <f>IF(A111&gt;0,UPPER(STUDENT!H101),"")</f>
        <v/>
      </c>
      <c r="E111" s="47" t="str">
        <f>IF(A111&gt;0,UPPER(STUDENT!BP101),"")</f>
        <v/>
      </c>
      <c r="F111" s="47" t="str">
        <f>IF(A111&gt;0,UPPER(STUDENT!BO101),"")</f>
        <v/>
      </c>
      <c r="G111" s="47" t="str">
        <f>IF(A111&gt;0,UPPER(STUDENT!Q101),"")</f>
        <v/>
      </c>
      <c r="H111" s="69" t="str">
        <f>IF(A111&gt;0,PASHEET!CI103/PASHEET!CJ103*100,"")</f>
        <v/>
      </c>
      <c r="I111" s="177" t="str">
        <f>IF(A111&gt;0,SUM(PASHEET!AL103,PASHEET!AT103),"")</f>
        <v/>
      </c>
      <c r="J111" s="177" t="str">
        <f>IF(A111&gt;0,SUM(MARKS!F103,MARKS!AL103),"")</f>
        <v/>
      </c>
      <c r="K111" s="177" t="str">
        <f>IF(A111&gt;0,SUM(MARKS!N103,MARKS!AT103),"")</f>
        <v/>
      </c>
      <c r="L111" s="177" t="str">
        <f>IF(A111&gt;0,SUM(MARKS!V103,MARKS!BB103),"")</f>
        <v/>
      </c>
      <c r="M111" s="177" t="str">
        <f>IF(A111&gt;0,SUM(MARKS!AD103,MARKS!BJ103),"")</f>
        <v/>
      </c>
      <c r="N111" s="177" t="str">
        <f t="shared" si="17"/>
        <v/>
      </c>
      <c r="O111" s="177" t="str">
        <f t="shared" si="18"/>
        <v/>
      </c>
      <c r="P111" s="177" t="str">
        <f>IF(A111&gt;0,SUM(PASHEET!AM103,PASHEET!AU103),"")</f>
        <v/>
      </c>
      <c r="Q111" s="177" t="str">
        <f>IF(A111&gt;0,SUM(MARKS!G103,MARKS!AM103),"")</f>
        <v/>
      </c>
      <c r="R111" s="177" t="str">
        <f>IF(A111&gt;0,SUM(MARKS!O103,MARKS!AU103),"")</f>
        <v/>
      </c>
      <c r="S111" s="177" t="str">
        <f>IF(A111&gt;0,SUM(MARKS!W103,MARKS!BC103),"")</f>
        <v/>
      </c>
      <c r="T111" s="177" t="str">
        <f>IF(A111&gt;0,SUM(MARKS!AE103,MARKS!BK103),"")</f>
        <v/>
      </c>
      <c r="U111" s="177" t="str">
        <f t="shared" si="19"/>
        <v/>
      </c>
      <c r="V111" s="177" t="str">
        <f t="shared" si="20"/>
        <v/>
      </c>
      <c r="W111" s="177" t="str">
        <f>IF(A111&gt;0,SUM(PASHEET!AN103,PASHEET!AV103),"")</f>
        <v/>
      </c>
      <c r="X111" s="177" t="str">
        <f>IF(A111&gt;0,SUM(MARKS!H103,MARKS!AN103),"")</f>
        <v/>
      </c>
      <c r="Y111" s="177" t="str">
        <f>IF(A111&gt;0,SUM(MARKS!P103,MARKS!AV103),"")</f>
        <v/>
      </c>
      <c r="Z111" s="177" t="str">
        <f>IF(A111&gt;0,SUM(MARKS!X103,MARKS!BD103),"")</f>
        <v/>
      </c>
      <c r="AA111" s="177" t="str">
        <f>IF(A111&gt;0,SUM(MARKS!AF103,MARKS!BL103),"")</f>
        <v/>
      </c>
      <c r="AB111" s="177" t="str">
        <f t="shared" si="21"/>
        <v/>
      </c>
      <c r="AC111" s="177" t="str">
        <f t="shared" si="22"/>
        <v/>
      </c>
      <c r="AD111" s="177" t="str">
        <f>IF(A111&gt;0,SUM(PASHEET!AO103,PASHEET!AW103),"")</f>
        <v/>
      </c>
      <c r="AE111" s="177" t="str">
        <f>IF(A111&gt;0,SUM(MARKS!I103,MARKS!AO103),"")</f>
        <v/>
      </c>
      <c r="AF111" s="177" t="str">
        <f>IF(A111&gt;0,SUM(MARKS!Q103,MARKS!AW103),"")</f>
        <v/>
      </c>
      <c r="AG111" s="177" t="str">
        <f>IF(A111&gt;0,SUM(MARKS!Y103,MARKS!BE103),"")</f>
        <v/>
      </c>
      <c r="AH111" s="177" t="str">
        <f>IF(A111&gt;0,SUM(MARKS!AG103,MARKS!BM103),"")</f>
        <v/>
      </c>
      <c r="AI111" s="177" t="str">
        <f t="shared" si="23"/>
        <v/>
      </c>
      <c r="AJ111" s="177" t="str">
        <f t="shared" si="24"/>
        <v/>
      </c>
      <c r="AK111" s="177" t="str">
        <f>IF(A111&gt;0,SUM(PASHEET!AP103,PASHEET!AX103),"")</f>
        <v/>
      </c>
      <c r="AL111" s="177" t="str">
        <f>IF(A111&gt;0,SUM(MARKS!J103,MARKS!AP103),"")</f>
        <v/>
      </c>
      <c r="AM111" s="177" t="str">
        <f>IF(A111&gt;0,SUM(MARKS!R103,MARKS!AX103),"")</f>
        <v/>
      </c>
      <c r="AN111" s="177" t="str">
        <f>IF(A111&gt;0,SUM(MARKS!Z103,MARKS!BF103),"")</f>
        <v/>
      </c>
      <c r="AO111" s="177" t="str">
        <f>IF(A111&gt;0,SUM(MARKS!AH103,MARKS!BN103),"")</f>
        <v/>
      </c>
      <c r="AP111" s="177" t="str">
        <f t="shared" si="25"/>
        <v/>
      </c>
      <c r="AQ111" s="177" t="str">
        <f t="shared" si="26"/>
        <v/>
      </c>
      <c r="AR111" s="177" t="str">
        <f>IF(A111&gt;0,SUM(PASHEET!AQ103,PASHEET!AY103),"")</f>
        <v/>
      </c>
      <c r="AS111" s="177" t="str">
        <f>IF(A111&gt;0,SUM(MARKS!K103,MARKS!AQ103),"")</f>
        <v/>
      </c>
      <c r="AT111" s="177" t="str">
        <f>IF(A111&gt;0,SUM(MARKS!S103,MARKS!AY103),"")</f>
        <v/>
      </c>
      <c r="AU111" s="177" t="str">
        <f>IF(A111&gt;0,SUM(MARKS!AA103,MARKS!BG103),"")</f>
        <v/>
      </c>
      <c r="AV111" s="177" t="str">
        <f>IF(A111&gt;0,SUM(MARKS!AI103,MARKS!BO103),"")</f>
        <v/>
      </c>
      <c r="AW111" s="177" t="str">
        <f t="shared" si="27"/>
        <v/>
      </c>
      <c r="AX111" s="177" t="str">
        <f t="shared" si="28"/>
        <v/>
      </c>
      <c r="AY111" s="47" t="str">
        <f t="shared" si="29"/>
        <v/>
      </c>
      <c r="AZ111" s="70" t="str">
        <f t="shared" si="30"/>
        <v/>
      </c>
      <c r="BA111" s="177" t="str">
        <f t="shared" si="31"/>
        <v/>
      </c>
      <c r="BB111" s="47" t="str">
        <f>IF(A111&gt;0,FLN!I103,"")</f>
        <v/>
      </c>
      <c r="BC111" s="47" t="str">
        <f>IF(A111&gt;0,FLN!J103,"")</f>
        <v/>
      </c>
      <c r="BD111" s="47" t="str">
        <f>IF(A111&gt;0,FLN!K103,"")</f>
        <v/>
      </c>
      <c r="BE111" s="47" t="str">
        <f t="shared" si="32"/>
        <v/>
      </c>
      <c r="BF111" s="130" t="str">
        <f>IF(AY111="","",IFERROR(RANK(AY111,$AY$12:$AY$111,0)+COUNTIFS($AY$12:AY111,AY111)-1,0))</f>
        <v/>
      </c>
      <c r="BG111" s="130" t="str">
        <f t="shared" si="33"/>
        <v/>
      </c>
    </row>
    <row r="113" s="98" customFormat="1" spans="3:59">
      <c r="C113" s="96"/>
      <c r="D113" s="179" t="s">
        <v>659</v>
      </c>
      <c r="E113" s="99" t="s">
        <v>660</v>
      </c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BF113" s="130"/>
      <c r="BG113" s="130"/>
    </row>
    <row r="114" spans="3:59">
      <c r="R114" s="180">
        <v>1</v>
      </c>
      <c r="S114" s="180">
        <v>2</v>
      </c>
      <c r="T114" s="180">
        <v>3</v>
      </c>
      <c r="U114" s="180">
        <v>4</v>
      </c>
      <c r="V114" s="180">
        <v>5</v>
      </c>
    </row>
    <row r="115" s="140" customFormat="1" ht="16.8" spans="3:59">
      <c r="I115" s="181" t="s">
        <v>661</v>
      </c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BF115" s="183"/>
      <c r="BG115" s="183"/>
    </row>
    <row r="116" s="96" customFormat="1" ht="18" customHeight="1" spans="3:59">
      <c r="C116" s="98"/>
      <c r="D116" s="98"/>
      <c r="E116" s="47" t="s">
        <v>662</v>
      </c>
      <c r="F116" s="47"/>
      <c r="G116" s="47"/>
      <c r="H116" s="47"/>
      <c r="I116" s="236" t="s">
        <v>663</v>
      </c>
      <c r="J116" s="236"/>
      <c r="K116" s="236"/>
      <c r="L116" s="236"/>
      <c r="M116" s="236"/>
      <c r="N116" s="120" t="s">
        <v>509</v>
      </c>
      <c r="O116" s="47"/>
      <c r="P116" s="120" t="s">
        <v>664</v>
      </c>
      <c r="Q116" s="47"/>
      <c r="R116" s="35" t="s">
        <v>655</v>
      </c>
      <c r="S116" s="24"/>
      <c r="T116" s="24"/>
      <c r="U116" s="24"/>
      <c r="V116" s="36"/>
      <c r="AB116" s="131" t="s">
        <v>665</v>
      </c>
      <c r="AC116" s="131"/>
      <c r="AD116" s="131"/>
      <c r="AE116" s="131"/>
      <c r="AF116" s="131"/>
      <c r="AG116" s="131"/>
      <c r="AH116" s="131"/>
      <c r="AI116" s="47">
        <f>ENTRY!$D$24</f>
        <v>39</v>
      </c>
      <c r="AJ116" s="47"/>
      <c r="AP116" s="99" t="s">
        <v>666</v>
      </c>
      <c r="AQ116" s="99"/>
      <c r="AR116" s="99"/>
      <c r="AS116" s="99"/>
      <c r="AT116" s="99"/>
      <c r="AU116" s="237">
        <f>(AI117+AI118)/AI116*100</f>
        <v>100</v>
      </c>
      <c r="AV116" s="237"/>
      <c r="AW116" s="237"/>
      <c r="BF116" s="194"/>
      <c r="BG116" s="194"/>
    </row>
    <row r="117" s="96" customFormat="1" ht="18" customHeight="1" spans="3:59">
      <c r="C117" s="98"/>
      <c r="D117" s="98"/>
      <c r="E117" s="47"/>
      <c r="F117" s="47"/>
      <c r="G117" s="47"/>
      <c r="H117" s="47"/>
      <c r="I117" s="47" t="s">
        <v>50</v>
      </c>
      <c r="J117" s="47" t="s">
        <v>485</v>
      </c>
      <c r="K117" s="47" t="s">
        <v>486</v>
      </c>
      <c r="L117" s="47" t="s">
        <v>487</v>
      </c>
      <c r="M117" s="47" t="s">
        <v>488</v>
      </c>
      <c r="N117" s="47"/>
      <c r="O117" s="47"/>
      <c r="P117" s="47"/>
      <c r="Q117" s="47"/>
      <c r="R117" s="47" t="s">
        <v>96</v>
      </c>
      <c r="S117" s="47" t="s">
        <v>97</v>
      </c>
      <c r="T117" s="47" t="s">
        <v>98</v>
      </c>
      <c r="U117" s="47" t="s">
        <v>99</v>
      </c>
      <c r="V117" s="47" t="s">
        <v>100</v>
      </c>
      <c r="Z117" s="131" t="s">
        <v>667</v>
      </c>
      <c r="AA117" s="131"/>
      <c r="AB117" s="131"/>
      <c r="AC117" s="131"/>
      <c r="AD117" s="131"/>
      <c r="AE117" s="131"/>
      <c r="AF117" s="131"/>
      <c r="AG117" s="131"/>
      <c r="AH117" s="131"/>
      <c r="AI117" s="47">
        <f>COUNTIFS($BA$12:$BA$111,$M$117)</f>
        <v>38</v>
      </c>
      <c r="AJ117" s="47"/>
      <c r="BF117" s="194"/>
      <c r="BG117" s="194"/>
    </row>
    <row r="118" s="96" customFormat="1" ht="18" customHeight="1" spans="3:59">
      <c r="C118" s="131"/>
      <c r="D118" s="131"/>
      <c r="E118" s="207" t="s">
        <v>668</v>
      </c>
      <c r="F118" s="207"/>
      <c r="G118" s="207"/>
      <c r="H118" s="207"/>
      <c r="I118" s="47">
        <f>'SUM1'!T657</f>
        <v>0</v>
      </c>
      <c r="J118" s="47">
        <f>'SUM1'!T658</f>
        <v>0</v>
      </c>
      <c r="K118" s="47">
        <f>'SUM1'!T659</f>
        <v>15</v>
      </c>
      <c r="L118" s="47">
        <f>'SUM1'!T660</f>
        <v>10</v>
      </c>
      <c r="M118" s="47">
        <f>'SUM1'!T661</f>
        <v>14</v>
      </c>
      <c r="N118" s="47">
        <f>'SUM1'!T662</f>
        <v>0</v>
      </c>
      <c r="O118" s="47"/>
      <c r="P118" s="47">
        <f>SUM(I118,J118,K118,L118,M118,N118)</f>
        <v>39</v>
      </c>
      <c r="Q118" s="47"/>
      <c r="R118" s="47">
        <f>COUNTIFS($BB$12:$BB$111,$R$114)</f>
        <v>0</v>
      </c>
      <c r="S118" s="47">
        <f>COUNTIFS($BB$12:$BB$111,$S$114)</f>
        <v>28</v>
      </c>
      <c r="T118" s="47">
        <f>COUNTIFS($BB$12:$BB$111,$T$114)</f>
        <v>5</v>
      </c>
      <c r="U118" s="47">
        <f>COUNTIFS($BB$12:$BB$111,$U$114)</f>
        <v>3</v>
      </c>
      <c r="V118" s="47">
        <f>COUNTIFS($BB$12:$BB$111,$V$114)</f>
        <v>0</v>
      </c>
      <c r="X118" s="131" t="s">
        <v>669</v>
      </c>
      <c r="Y118" s="131"/>
      <c r="Z118" s="131"/>
      <c r="AA118" s="131"/>
      <c r="AB118" s="131"/>
      <c r="AC118" s="131"/>
      <c r="AD118" s="131"/>
      <c r="AE118" s="131"/>
      <c r="AF118" s="131"/>
      <c r="AG118" s="131"/>
      <c r="AH118" s="131"/>
      <c r="AI118" s="47">
        <f>AI116-AI117</f>
        <v>1</v>
      </c>
      <c r="AJ118" s="47"/>
      <c r="BF118" s="194"/>
      <c r="BG118" s="194"/>
    </row>
    <row r="119" s="96" customFormat="1" ht="18" customHeight="1" spans="3:59">
      <c r="C119" s="131"/>
      <c r="D119" s="131"/>
      <c r="E119" s="207" t="s">
        <v>513</v>
      </c>
      <c r="F119" s="207"/>
      <c r="G119" s="207"/>
      <c r="H119" s="207"/>
      <c r="I119" s="47">
        <f>'SUM1'!T669</f>
        <v>0</v>
      </c>
      <c r="J119" s="47">
        <f>'SUM1'!T670</f>
        <v>0</v>
      </c>
      <c r="K119" s="47">
        <f>'SUM1'!T671</f>
        <v>0</v>
      </c>
      <c r="L119" s="47">
        <f>'SUM1'!T672</f>
        <v>0</v>
      </c>
      <c r="M119" s="47">
        <f>'SUM1'!T673</f>
        <v>39</v>
      </c>
      <c r="N119" s="47">
        <f>'SUM1'!T674</f>
        <v>0</v>
      </c>
      <c r="O119" s="47"/>
      <c r="P119" s="47">
        <f t="shared" ref="P119:P123" si="34">SUM(I119,J119,K119,L119,M119,N119)</f>
        <v>39</v>
      </c>
      <c r="Q119" s="47"/>
      <c r="R119" s="47">
        <f>COUNTIFS($BC$12:$BC$111,$R$114)</f>
        <v>0</v>
      </c>
      <c r="S119" s="47">
        <f>COUNTIFS($BC$12:$BC$111,$S$114)</f>
        <v>31</v>
      </c>
      <c r="T119" s="47">
        <f>COUNTIFS($BC$12:$BC$111,$T$114)</f>
        <v>5</v>
      </c>
      <c r="U119" s="47">
        <f>COUNTIFS($BC$12:$BC$111,$U$114)</f>
        <v>0</v>
      </c>
      <c r="V119" s="47">
        <f>COUNTIFS($BC$12:$BC$111,$V$114)</f>
        <v>0</v>
      </c>
      <c r="BF119" s="194"/>
      <c r="BG119" s="194"/>
    </row>
    <row r="120" s="96" customFormat="1" ht="18" customHeight="1" spans="3:59">
      <c r="C120" s="131"/>
      <c r="D120" s="131"/>
      <c r="E120" s="207" t="s">
        <v>514</v>
      </c>
      <c r="F120" s="207"/>
      <c r="G120" s="207"/>
      <c r="H120" s="207"/>
      <c r="I120" s="47">
        <f>'SUM1'!T681</f>
        <v>0</v>
      </c>
      <c r="J120" s="47">
        <f>'SUM1'!T682</f>
        <v>0</v>
      </c>
      <c r="K120" s="47">
        <f>'SUM1'!T683</f>
        <v>0</v>
      </c>
      <c r="L120" s="47">
        <f>'SUM1'!T684</f>
        <v>0</v>
      </c>
      <c r="M120" s="47">
        <f>'SUM1'!T685</f>
        <v>39</v>
      </c>
      <c r="N120" s="47">
        <f>'SUM1'!T686</f>
        <v>0</v>
      </c>
      <c r="O120" s="47"/>
      <c r="P120" s="47">
        <f t="shared" si="34"/>
        <v>39</v>
      </c>
      <c r="Q120" s="47"/>
      <c r="R120" s="47">
        <f>COUNTIFS($BD$12:$BD$111,$R$114)</f>
        <v>0</v>
      </c>
      <c r="S120" s="47">
        <f>COUNTIFS($BD$12:$BD$111,$S$114)</f>
        <v>0</v>
      </c>
      <c r="T120" s="47">
        <f>COUNTIFS($BD$12:$BD$111,$T$114)</f>
        <v>27</v>
      </c>
      <c r="U120" s="47">
        <f>COUNTIFS($BD$12:$BD$111,$U$114)</f>
        <v>9</v>
      </c>
      <c r="V120" s="47">
        <f>COUNTIFS($BD$12:$BD$111,$V$114)</f>
        <v>0</v>
      </c>
      <c r="BF120" s="194"/>
      <c r="BG120" s="194"/>
    </row>
    <row r="121" s="96" customFormat="1" ht="18" customHeight="1" spans="3:59">
      <c r="C121" s="131"/>
      <c r="D121" s="131"/>
      <c r="E121" s="207" t="s">
        <v>351</v>
      </c>
      <c r="F121" s="207"/>
      <c r="G121" s="207"/>
      <c r="H121" s="207"/>
      <c r="I121" s="47">
        <f>'SUM1'!T694</f>
        <v>0</v>
      </c>
      <c r="J121" s="47">
        <f>'SUM1'!T695</f>
        <v>0</v>
      </c>
      <c r="K121" s="47">
        <f>'SUM1'!T696</f>
        <v>0</v>
      </c>
      <c r="L121" s="47">
        <f>'SUM1'!T697</f>
        <v>0</v>
      </c>
      <c r="M121" s="47">
        <f>'SUM1'!T698</f>
        <v>39</v>
      </c>
      <c r="N121" s="47">
        <f>'SUM1'!T699</f>
        <v>0</v>
      </c>
      <c r="O121" s="47"/>
      <c r="P121" s="47">
        <f t="shared" si="34"/>
        <v>39</v>
      </c>
      <c r="Q121" s="47"/>
      <c r="R121" s="47" t="s">
        <v>670</v>
      </c>
      <c r="S121" s="47" t="s">
        <v>670</v>
      </c>
      <c r="T121" s="47" t="s">
        <v>670</v>
      </c>
      <c r="U121" s="47" t="s">
        <v>670</v>
      </c>
      <c r="V121" s="47" t="s">
        <v>670</v>
      </c>
      <c r="BF121" s="194"/>
      <c r="BG121" s="194"/>
    </row>
    <row r="122" s="96" customFormat="1" ht="18" customHeight="1" spans="3:59">
      <c r="C122" s="131"/>
      <c r="D122" s="131"/>
      <c r="E122" s="207" t="s">
        <v>671</v>
      </c>
      <c r="F122" s="207"/>
      <c r="G122" s="207"/>
      <c r="H122" s="207"/>
      <c r="I122" s="47">
        <f>'SUM1'!T707</f>
        <v>0</v>
      </c>
      <c r="J122" s="47">
        <f>'SUM1'!T708</f>
        <v>0</v>
      </c>
      <c r="K122" s="47">
        <f>'SUM1'!T709</f>
        <v>0</v>
      </c>
      <c r="L122" s="47">
        <f>'SUM1'!T710</f>
        <v>0</v>
      </c>
      <c r="M122" s="47">
        <f>'SUM1'!T711</f>
        <v>39</v>
      </c>
      <c r="N122" s="47">
        <f>'SUM1'!T712</f>
        <v>0</v>
      </c>
      <c r="O122" s="47"/>
      <c r="P122" s="47">
        <f t="shared" si="34"/>
        <v>39</v>
      </c>
      <c r="Q122" s="47"/>
      <c r="R122" s="47" t="s">
        <v>670</v>
      </c>
      <c r="S122" s="47" t="s">
        <v>670</v>
      </c>
      <c r="T122" s="47" t="s">
        <v>670</v>
      </c>
      <c r="U122" s="47" t="s">
        <v>670</v>
      </c>
      <c r="V122" s="47" t="s">
        <v>670</v>
      </c>
      <c r="BF122" s="194"/>
      <c r="BG122" s="194"/>
    </row>
    <row r="123" s="96" customFormat="1" ht="18" customHeight="1" spans="3:59">
      <c r="C123" s="131"/>
      <c r="D123" s="131"/>
      <c r="E123" s="207" t="s">
        <v>672</v>
      </c>
      <c r="F123" s="207"/>
      <c r="G123" s="207"/>
      <c r="H123" s="207"/>
      <c r="I123" s="47">
        <f>'SUM1'!T720</f>
        <v>0</v>
      </c>
      <c r="J123" s="47">
        <f>'SUM1'!T721</f>
        <v>0</v>
      </c>
      <c r="K123" s="47">
        <f>'SUM1'!T722</f>
        <v>0</v>
      </c>
      <c r="L123" s="47">
        <f>'SUM1'!T723</f>
        <v>0</v>
      </c>
      <c r="M123" s="47">
        <f>'SUM1'!T724</f>
        <v>39</v>
      </c>
      <c r="N123" s="47">
        <f>'SUM1'!T725</f>
        <v>0</v>
      </c>
      <c r="O123" s="47"/>
      <c r="P123" s="47">
        <f t="shared" si="34"/>
        <v>39</v>
      </c>
      <c r="Q123" s="47"/>
      <c r="R123" s="47" t="s">
        <v>670</v>
      </c>
      <c r="S123" s="47" t="s">
        <v>670</v>
      </c>
      <c r="T123" s="47" t="s">
        <v>670</v>
      </c>
      <c r="U123" s="47" t="s">
        <v>670</v>
      </c>
      <c r="V123" s="47" t="s">
        <v>670</v>
      </c>
      <c r="AB123" s="99" t="s">
        <v>673</v>
      </c>
      <c r="AC123" s="99"/>
      <c r="AD123" s="99"/>
      <c r="AE123" s="99"/>
      <c r="AF123" s="99"/>
      <c r="AG123" s="99"/>
      <c r="AH123" s="99"/>
      <c r="AP123" s="99" t="s">
        <v>674</v>
      </c>
      <c r="AQ123" s="99"/>
      <c r="AR123" s="99"/>
      <c r="AS123" s="99"/>
      <c r="AT123" s="99"/>
      <c r="AU123" s="99"/>
      <c r="AV123" s="99"/>
      <c r="AZ123" s="99" t="s">
        <v>675</v>
      </c>
      <c r="BA123" s="99"/>
      <c r="BB123" s="99"/>
      <c r="BC123" s="99"/>
      <c r="BD123" s="99"/>
      <c r="BE123" s="99"/>
      <c r="BF123" s="194"/>
      <c r="BG123" s="194"/>
    </row>
  </sheetData>
  <sheetProtection password="BF6F" sheet="1" formatCells="0" formatColumns="0" formatRows="0" sort="0" autoFilter="0" objects="1" scenarios="1"/>
  <autoFilter xmlns:etc="http://www.wps.cn/officeDocument/2017/etCustomData" ref="A9:A111" etc:filterBottomFollowUsedRange="0">
    <extLst/>
  </autoFilter>
  <mergeCells count="73">
    <mergeCell ref="A2:BE2"/>
    <mergeCell ref="A3:BE3"/>
    <mergeCell ref="A4:BE4"/>
    <mergeCell ref="BC5:BE5"/>
    <mergeCell ref="A7:B7"/>
    <mergeCell ref="C7:O7"/>
    <mergeCell ref="Q7:S7"/>
    <mergeCell ref="T7:U7"/>
    <mergeCell ref="W7:Y7"/>
    <mergeCell ref="Z7:AA7"/>
    <mergeCell ref="AD7:AI7"/>
    <mergeCell ref="AJ7:AS7"/>
    <mergeCell ref="AV7:AY7"/>
    <mergeCell ref="AZ7:BA7"/>
    <mergeCell ref="I9:O9"/>
    <mergeCell ref="P9:V9"/>
    <mergeCell ref="W9:AC9"/>
    <mergeCell ref="AD9:AJ9"/>
    <mergeCell ref="AK9:AQ9"/>
    <mergeCell ref="AR9:AX9"/>
    <mergeCell ref="BB9:BD9"/>
    <mergeCell ref="BB10:BD10"/>
    <mergeCell ref="E113:W113"/>
    <mergeCell ref="I115:V115"/>
    <mergeCell ref="I116:M116"/>
    <mergeCell ref="R116:V116"/>
    <mergeCell ref="AB116:AH116"/>
    <mergeCell ref="AI116:AJ116"/>
    <mergeCell ref="AP116:AT116"/>
    <mergeCell ref="AU116:AW116"/>
    <mergeCell ref="Z117:AH117"/>
    <mergeCell ref="AI117:AJ117"/>
    <mergeCell ref="C118:D118"/>
    <mergeCell ref="E118:H118"/>
    <mergeCell ref="N118:O118"/>
    <mergeCell ref="P118:Q118"/>
    <mergeCell ref="X118:AH118"/>
    <mergeCell ref="AI118:AJ118"/>
    <mergeCell ref="C119:D119"/>
    <mergeCell ref="E119:H119"/>
    <mergeCell ref="N119:O119"/>
    <mergeCell ref="P119:Q119"/>
    <mergeCell ref="C120:D120"/>
    <mergeCell ref="E120:H120"/>
    <mergeCell ref="N120:O120"/>
    <mergeCell ref="P120:Q120"/>
    <mergeCell ref="C121:D121"/>
    <mergeCell ref="E121:H121"/>
    <mergeCell ref="N121:O121"/>
    <mergeCell ref="P121:Q121"/>
    <mergeCell ref="C122:D122"/>
    <mergeCell ref="E122:H122"/>
    <mergeCell ref="N122:O122"/>
    <mergeCell ref="P122:Q122"/>
    <mergeCell ref="C123:D123"/>
    <mergeCell ref="E123:H123"/>
    <mergeCell ref="N123:O123"/>
    <mergeCell ref="P123:Q123"/>
    <mergeCell ref="AB123:AH123"/>
    <mergeCell ref="AP123:AV123"/>
    <mergeCell ref="AZ123:BE123"/>
    <mergeCell ref="A9:A11"/>
    <mergeCell ref="B9:B11"/>
    <mergeCell ref="C9:C11"/>
    <mergeCell ref="D9:D11"/>
    <mergeCell ref="E9:E10"/>
    <mergeCell ref="F9:F10"/>
    <mergeCell ref="G9:G10"/>
    <mergeCell ref="H9:H10"/>
    <mergeCell ref="N116:O117"/>
    <mergeCell ref="P116:Q117"/>
    <mergeCell ref="C116:D117"/>
    <mergeCell ref="E116:H117"/>
  </mergeCells>
  <conditionalFormatting sqref="BE12:BE111">
    <cfRule type="containsText" dxfId="4" priority="1" operator="between" text="THIRD">
      <formula>NOT(ISERROR(SEARCH("THIRD",BE12)))</formula>
    </cfRule>
    <cfRule type="containsText" dxfId="5" priority="2" operator="between" text="SECOND">
      <formula>NOT(ISERROR(SEARCH("SECOND",BE12)))</formula>
    </cfRule>
    <cfRule type="containsText" dxfId="6" priority="3" operator="between" text="FIRST">
      <formula>NOT(ISERROR(SEARCH("FIRST",BE12)))</formula>
    </cfRule>
  </conditionalFormatting>
  <pageMargins left="0.27" right="0.27" top="0.41" bottom="0.4" header="0.3" footer="0.3"/>
  <pageSetup paperSize="9" scale="23" orientation="portrait" horizontalDpi="300" verticalDpi="30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9"/>
  <sheetViews>
    <sheetView workbookViewId="0">
      <selection activeCell="Q8" sqref="Q8"/>
    </sheetView>
  </sheetViews>
  <sheetFormatPr defaultColWidth="9.13888888888889" defaultRowHeight="13.8"/>
  <cols>
    <col min="1" max="1" width="33.1388888888889" style="100" customWidth="1"/>
    <col min="2" max="4" width="12.712962962963" style="100" customWidth="1"/>
    <col min="5" max="9" width="7.71296296296296" style="100" customWidth="1"/>
    <col min="10" max="10" width="8.71296296296296" style="100" customWidth="1"/>
    <col min="11" max="15" width="7.71296296296296" style="100" customWidth="1"/>
    <col min="16" max="16" width="8.71296296296296" style="100" customWidth="1"/>
    <col min="17" max="16384" width="9.13888888888889" style="100"/>
  </cols>
  <sheetData>
    <row r="1" ht="22.2" spans="1:16">
      <c r="A1" s="101" t="s">
        <v>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ht="17.4" spans="1:16">
      <c r="A2" s="102" t="str">
        <f>"EDUCATION DEPARTMENT - "&amp;ENTRY!$D$5</f>
        <v>EDUCATION DEPARTMENT - ROHINI ZONE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ht="17.4" spans="1:16">
      <c r="A3" s="102" t="str">
        <f>"Result Summary Sheet -Class Wise - Session : "&amp;ENTRY!$D$11</f>
        <v>Result Summary Sheet -Class Wise - Session : 2026-27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</row>
    <row r="5" s="96" customFormat="1" spans="1:16">
      <c r="A5" s="104" t="s">
        <v>676</v>
      </c>
      <c r="B5" s="18" t="str">
        <f>ENTRY!$D$6</f>
        <v>MCP NITHARI NO 1 BOYS</v>
      </c>
      <c r="C5" s="18"/>
      <c r="D5" s="18"/>
      <c r="E5" s="18"/>
      <c r="F5" s="18"/>
      <c r="G5" s="18"/>
      <c r="H5" s="18"/>
      <c r="I5" s="18"/>
      <c r="J5" s="98"/>
      <c r="K5" s="98"/>
      <c r="L5" s="99" t="s">
        <v>393</v>
      </c>
      <c r="M5" s="99"/>
      <c r="N5" s="21">
        <f>ENTRY!$D$7</f>
        <v>0</v>
      </c>
      <c r="O5" s="21"/>
      <c r="P5" s="98"/>
    </row>
    <row r="6" s="96" customFormat="1" spans="1:16">
      <c r="A6" s="104" t="s">
        <v>677</v>
      </c>
      <c r="B6" s="105" t="str">
        <f>ENTRY!$D$19</f>
        <v>INDRAJEET</v>
      </c>
      <c r="C6" s="105"/>
      <c r="D6" s="105"/>
      <c r="E6" s="105"/>
      <c r="F6" s="105"/>
      <c r="G6" s="105"/>
      <c r="H6" s="105"/>
      <c r="I6" s="105"/>
      <c r="J6" s="98"/>
      <c r="K6" s="98"/>
      <c r="L6" s="99" t="s">
        <v>678</v>
      </c>
      <c r="M6" s="99"/>
      <c r="N6" s="24" t="str">
        <f>ENTRY!$D$20&amp;"-"&amp;ENTRY!$D$21</f>
        <v>III-A</v>
      </c>
      <c r="O6" s="24"/>
      <c r="P6" s="98"/>
    </row>
    <row r="8" s="97" customFormat="1" ht="18" customHeight="1" spans="1:16">
      <c r="A8" s="106" t="s">
        <v>679</v>
      </c>
      <c r="B8" s="106"/>
      <c r="K8" s="107">
        <v>1</v>
      </c>
      <c r="L8" s="107">
        <v>2</v>
      </c>
      <c r="M8" s="107">
        <v>3</v>
      </c>
      <c r="N8" s="107">
        <v>4</v>
      </c>
      <c r="O8" s="107">
        <v>5</v>
      </c>
    </row>
    <row r="9" s="98" customFormat="1" ht="18" customHeight="1" spans="1:16">
      <c r="A9" s="47" t="s">
        <v>662</v>
      </c>
      <c r="B9" s="120" t="s">
        <v>664</v>
      </c>
      <c r="C9" s="120" t="s">
        <v>509</v>
      </c>
      <c r="D9" s="120" t="s">
        <v>680</v>
      </c>
      <c r="E9" s="47" t="s">
        <v>681</v>
      </c>
      <c r="F9" s="47"/>
      <c r="G9" s="47"/>
      <c r="H9" s="47"/>
      <c r="I9" s="47"/>
      <c r="J9" s="109" t="s">
        <v>382</v>
      </c>
      <c r="K9" s="47" t="s">
        <v>682</v>
      </c>
      <c r="L9" s="47"/>
      <c r="M9" s="47"/>
      <c r="N9" s="47"/>
      <c r="O9" s="47"/>
      <c r="P9" s="109" t="s">
        <v>382</v>
      </c>
    </row>
    <row r="10" s="98" customFormat="1" ht="18" customHeight="1" spans="1:16">
      <c r="A10" s="47"/>
      <c r="B10" s="120"/>
      <c r="C10" s="120"/>
      <c r="D10" s="120"/>
      <c r="E10" s="47" t="s">
        <v>50</v>
      </c>
      <c r="F10" s="47" t="s">
        <v>485</v>
      </c>
      <c r="G10" s="47" t="s">
        <v>486</v>
      </c>
      <c r="H10" s="47" t="s">
        <v>487</v>
      </c>
      <c r="I10" s="47" t="s">
        <v>488</v>
      </c>
      <c r="J10" s="235">
        <f>SUM(J11:J16)/6</f>
        <v>39</v>
      </c>
      <c r="K10" s="47" t="s">
        <v>96</v>
      </c>
      <c r="L10" s="47" t="s">
        <v>97</v>
      </c>
      <c r="M10" s="47" t="s">
        <v>98</v>
      </c>
      <c r="N10" s="47" t="s">
        <v>99</v>
      </c>
      <c r="O10" s="47" t="s">
        <v>100</v>
      </c>
      <c r="P10" s="235">
        <f>SUM(P11:P13)/3</f>
        <v>36</v>
      </c>
    </row>
    <row r="11" s="99" customFormat="1" ht="18" customHeight="1" spans="1:16">
      <c r="A11" s="117" t="s">
        <v>668</v>
      </c>
      <c r="B11" s="47">
        <f>'SUM1'!T665</f>
        <v>39</v>
      </c>
      <c r="C11" s="47">
        <f>'SUM1'!T662</f>
        <v>0</v>
      </c>
      <c r="D11" s="47">
        <f>B11-C11</f>
        <v>39</v>
      </c>
      <c r="E11" s="47">
        <f>COUNTIFS('SUM1'!$H$646:$H$745,$E$10)</f>
        <v>0</v>
      </c>
      <c r="F11" s="47">
        <f>COUNTIFS('SUM1'!$H$646:$H$745,$F$10)</f>
        <v>0</v>
      </c>
      <c r="G11" s="47">
        <f>COUNTIFS('SUM1'!$H$646:$H$745,$G$10)</f>
        <v>15</v>
      </c>
      <c r="H11" s="47">
        <f>COUNTIFS('SUM1'!$H$646:$H$745,$H$10)</f>
        <v>10</v>
      </c>
      <c r="I11" s="47">
        <f>COUNTIFS('SUM1'!$H$646:$H$745,$I$10)</f>
        <v>14</v>
      </c>
      <c r="J11" s="47">
        <f>SUM(E11,F11,G11,H11,I11)</f>
        <v>39</v>
      </c>
      <c r="K11" s="47">
        <f>COUNTIFS('1to4-2.1-RR'!$BB$12:$BB$111,$K$8)</f>
        <v>0</v>
      </c>
      <c r="L11" s="47">
        <f>COUNTIFS('1to4-2.1-RR'!$BB$12:$BB$111,$L$8)</f>
        <v>28</v>
      </c>
      <c r="M11" s="47">
        <f>COUNTIFS('1to4-2.1-RR'!$BB$12:$BB$111,$M$8)</f>
        <v>5</v>
      </c>
      <c r="N11" s="47">
        <f>COUNTIFS('1to4-2.1-RR'!$BB$12:$BB$111,$N$8)</f>
        <v>3</v>
      </c>
      <c r="O11" s="47">
        <f>COUNTIFS('1to4-2.1-RR'!$BB$12:$BB$111,$O$8)</f>
        <v>0</v>
      </c>
      <c r="P11" s="47">
        <f>SUM(K11,L11,M11,N11,O11)</f>
        <v>36</v>
      </c>
    </row>
    <row r="12" s="99" customFormat="1" ht="18" customHeight="1" spans="1:16">
      <c r="A12" s="117" t="s">
        <v>513</v>
      </c>
      <c r="B12" s="47">
        <f>'SUM1'!T677</f>
        <v>39</v>
      </c>
      <c r="C12" s="47">
        <f>'SUM1'!T674</f>
        <v>0</v>
      </c>
      <c r="D12" s="47">
        <f t="shared" ref="D12:D16" si="0">B12-C12</f>
        <v>39</v>
      </c>
      <c r="E12" s="47">
        <f>COUNTIFS('SUM1'!$I$646:$I$745,$E$10)</f>
        <v>0</v>
      </c>
      <c r="F12" s="47">
        <f>COUNTIFS('SUM1'!$I$646:$I$745,$F$10)</f>
        <v>0</v>
      </c>
      <c r="G12" s="47">
        <f>COUNTIFS('SUM1'!$I$646:$I$745,$G$10)</f>
        <v>0</v>
      </c>
      <c r="H12" s="47">
        <f>COUNTIFS('SUM1'!$I$646:$I$745,$H$10)</f>
        <v>0</v>
      </c>
      <c r="I12" s="47">
        <f>COUNTIFS('SUM1'!$I$646:$I$745,$I$10)</f>
        <v>39</v>
      </c>
      <c r="J12" s="47">
        <f t="shared" ref="J12:J16" si="1">SUM(E12,F12,G12,H12,I12)</f>
        <v>39</v>
      </c>
      <c r="K12" s="47">
        <f>COUNTIFS('1to4-2.1-RR'!$BC$12:$BC$111,$K$8)</f>
        <v>0</v>
      </c>
      <c r="L12" s="47">
        <f>COUNTIFS('1to4-2.1-RR'!$BC$12:$BC$111,$L$8)</f>
        <v>31</v>
      </c>
      <c r="M12" s="47">
        <f>COUNTIFS('1to4-2.1-RR'!$BC$12:$BC$111,$M$8)</f>
        <v>5</v>
      </c>
      <c r="N12" s="47">
        <f>COUNTIFS('1to4-2.1-RR'!$BC$12:$BC$111,$N$8)</f>
        <v>0</v>
      </c>
      <c r="O12" s="47">
        <f>COUNTIFS('1to4-2.1-RR'!$BC$12:$BC$111,$O$8)</f>
        <v>0</v>
      </c>
      <c r="P12" s="47">
        <f t="shared" ref="P12:P13" si="2">SUM(K12,L12,M12,N12,O12)</f>
        <v>36</v>
      </c>
    </row>
    <row r="13" s="99" customFormat="1" ht="18" customHeight="1" spans="1:16">
      <c r="A13" s="117" t="s">
        <v>514</v>
      </c>
      <c r="B13" s="47">
        <f>'SUM1'!T689</f>
        <v>39</v>
      </c>
      <c r="C13" s="47">
        <f>'SUM1'!T686</f>
        <v>0</v>
      </c>
      <c r="D13" s="47">
        <f t="shared" si="0"/>
        <v>39</v>
      </c>
      <c r="E13" s="47">
        <f>COUNTIFS('SUM1'!$J$646:$J$745,$E$10)</f>
        <v>0</v>
      </c>
      <c r="F13" s="47">
        <f>COUNTIFS('SUM1'!$J$646:$J$745,$F$10)</f>
        <v>0</v>
      </c>
      <c r="G13" s="47">
        <f>COUNTIFS('SUM1'!$J$646:$J$745,$G$10)</f>
        <v>0</v>
      </c>
      <c r="H13" s="47">
        <f>COUNTIFS('SUM1'!$J$646:$J$745,$H$10)</f>
        <v>0</v>
      </c>
      <c r="I13" s="47">
        <f>COUNTIFS('SUM1'!$J$646:$J$745,$I$10)</f>
        <v>39</v>
      </c>
      <c r="J13" s="47">
        <f t="shared" si="1"/>
        <v>39</v>
      </c>
      <c r="K13" s="47">
        <f>COUNTIFS('1to4-2.1-RR'!$BD$12:$BD$111,$K$8)</f>
        <v>0</v>
      </c>
      <c r="L13" s="47">
        <f>COUNTIFS('1to4-2.1-RR'!$BD$12:$BD$111,$L$8)</f>
        <v>0</v>
      </c>
      <c r="M13" s="47">
        <f>COUNTIFS('1to4-2.1-RR'!$BD$12:$BD$111,$M$8)</f>
        <v>27</v>
      </c>
      <c r="N13" s="47">
        <f>COUNTIFS('1to4-2.1-RR'!$BD$12:$BD$111,$N$8)</f>
        <v>9</v>
      </c>
      <c r="O13" s="47">
        <f>COUNTIFS('1to4-2.1-RR'!$BD$12:$BD$111,$O$8)</f>
        <v>0</v>
      </c>
      <c r="P13" s="47">
        <f t="shared" si="2"/>
        <v>36</v>
      </c>
    </row>
    <row r="14" s="99" customFormat="1" ht="18" customHeight="1" spans="1:16">
      <c r="A14" s="117" t="s">
        <v>351</v>
      </c>
      <c r="B14" s="47">
        <f>'SUM1'!T702</f>
        <v>39</v>
      </c>
      <c r="C14" s="47">
        <f>'SUM1'!T699</f>
        <v>0</v>
      </c>
      <c r="D14" s="47">
        <f t="shared" si="0"/>
        <v>39</v>
      </c>
      <c r="E14" s="47">
        <f>COUNTIFS('SUM1'!$K$646:$K$745,$E$10)</f>
        <v>0</v>
      </c>
      <c r="F14" s="47">
        <f>COUNTIFS('SUM1'!$K$646:$K$745,$F$10)</f>
        <v>0</v>
      </c>
      <c r="G14" s="47">
        <f>COUNTIFS('SUM1'!$K$646:$K$745,$G$10)</f>
        <v>0</v>
      </c>
      <c r="H14" s="47">
        <f>COUNTIFS('SUM1'!$K$646:$K$745,$H$10)</f>
        <v>0</v>
      </c>
      <c r="I14" s="47">
        <f>COUNTIFS('SUM1'!$K$646:$K$745,$I$10)</f>
        <v>39</v>
      </c>
      <c r="J14" s="47">
        <f t="shared" si="1"/>
        <v>39</v>
      </c>
      <c r="K14" s="47" t="s">
        <v>670</v>
      </c>
      <c r="L14" s="47" t="s">
        <v>670</v>
      </c>
      <c r="M14" s="47" t="s">
        <v>670</v>
      </c>
      <c r="N14" s="47" t="s">
        <v>670</v>
      </c>
      <c r="O14" s="47" t="s">
        <v>670</v>
      </c>
      <c r="P14" s="47" t="s">
        <v>670</v>
      </c>
    </row>
    <row r="15" s="99" customFormat="1" ht="18" customHeight="1" spans="1:16">
      <c r="A15" s="117" t="s">
        <v>671</v>
      </c>
      <c r="B15" s="47">
        <f>'SUM1'!T715</f>
        <v>39</v>
      </c>
      <c r="C15" s="47">
        <f>'SUM1'!T712</f>
        <v>0</v>
      </c>
      <c r="D15" s="47">
        <f t="shared" si="0"/>
        <v>39</v>
      </c>
      <c r="E15" s="47">
        <f>COUNTIFS('SUM1'!$L$646:$L$745,$E$10)</f>
        <v>0</v>
      </c>
      <c r="F15" s="47">
        <f>COUNTIFS('SUM1'!$L$646:$L$745,$F$10)</f>
        <v>0</v>
      </c>
      <c r="G15" s="47">
        <f>COUNTIFS('SUM1'!$L$646:$L$745,$G$10)</f>
        <v>0</v>
      </c>
      <c r="H15" s="47">
        <f>COUNTIFS('SUM1'!$L$646:$L$745,$H$10)</f>
        <v>0</v>
      </c>
      <c r="I15" s="47">
        <f>COUNTIFS('SUM1'!$L$646:$L$745,$I$10)</f>
        <v>39</v>
      </c>
      <c r="J15" s="47">
        <f t="shared" si="1"/>
        <v>39</v>
      </c>
      <c r="K15" s="47" t="s">
        <v>670</v>
      </c>
      <c r="L15" s="47" t="s">
        <v>670</v>
      </c>
      <c r="M15" s="47" t="s">
        <v>670</v>
      </c>
      <c r="N15" s="47" t="s">
        <v>670</v>
      </c>
      <c r="O15" s="47" t="s">
        <v>670</v>
      </c>
      <c r="P15" s="47" t="s">
        <v>670</v>
      </c>
    </row>
    <row r="16" s="99" customFormat="1" ht="18" customHeight="1" spans="1:16">
      <c r="A16" s="117" t="s">
        <v>672</v>
      </c>
      <c r="B16" s="47">
        <f>'SUM1'!T728</f>
        <v>39</v>
      </c>
      <c r="C16" s="47">
        <f>'SUM1'!T725</f>
        <v>0</v>
      </c>
      <c r="D16" s="47">
        <f t="shared" si="0"/>
        <v>39</v>
      </c>
      <c r="E16" s="47">
        <f>COUNTIFS('SUM1'!$M$646:$M$745,$E$10)</f>
        <v>0</v>
      </c>
      <c r="F16" s="47">
        <f>COUNTIFS('SUM1'!$M$646:$M$745,$F$10)</f>
        <v>0</v>
      </c>
      <c r="G16" s="47">
        <f>COUNTIFS('SUM1'!$M$646:$M$745,$G$10)</f>
        <v>0</v>
      </c>
      <c r="H16" s="47">
        <f>COUNTIFS('SUM1'!$M$646:$M$745,$H$10)</f>
        <v>0</v>
      </c>
      <c r="I16" s="47">
        <f>COUNTIFS('SUM1'!$M$646:$M$745,$I$10)</f>
        <v>39</v>
      </c>
      <c r="J16" s="47">
        <f t="shared" si="1"/>
        <v>39</v>
      </c>
      <c r="K16" s="47" t="s">
        <v>670</v>
      </c>
      <c r="L16" s="47" t="s">
        <v>670</v>
      </c>
      <c r="M16" s="47" t="s">
        <v>670</v>
      </c>
      <c r="N16" s="47" t="s">
        <v>670</v>
      </c>
      <c r="O16" s="47" t="s">
        <v>670</v>
      </c>
      <c r="P16" s="47" t="s">
        <v>670</v>
      </c>
    </row>
    <row r="18" s="97" customFormat="1" ht="18" customHeight="1" spans="1:16">
      <c r="A18" s="106" t="s">
        <v>683</v>
      </c>
      <c r="B18" s="106"/>
      <c r="C18" s="107" t="s">
        <v>492</v>
      </c>
    </row>
    <row r="19" s="98" customFormat="1" ht="18" customHeight="1" spans="1:16">
      <c r="A19" s="47" t="s">
        <v>662</v>
      </c>
      <c r="B19" s="120" t="s">
        <v>664</v>
      </c>
      <c r="C19" s="120" t="s">
        <v>509</v>
      </c>
      <c r="D19" s="120" t="s">
        <v>680</v>
      </c>
      <c r="E19" s="47" t="s">
        <v>681</v>
      </c>
      <c r="F19" s="47"/>
      <c r="G19" s="47"/>
      <c r="H19" s="47"/>
      <c r="I19" s="47"/>
      <c r="J19" s="109" t="s">
        <v>382</v>
      </c>
      <c r="K19" s="47" t="s">
        <v>682</v>
      </c>
      <c r="L19" s="47"/>
      <c r="M19" s="47"/>
      <c r="N19" s="47"/>
      <c r="O19" s="47"/>
      <c r="P19" s="109" t="s">
        <v>382</v>
      </c>
    </row>
    <row r="20" s="98" customFormat="1" ht="18" customHeight="1" spans="1:16">
      <c r="A20" s="47"/>
      <c r="B20" s="120"/>
      <c r="C20" s="120"/>
      <c r="D20" s="120"/>
      <c r="E20" s="47" t="s">
        <v>50</v>
      </c>
      <c r="F20" s="47" t="s">
        <v>485</v>
      </c>
      <c r="G20" s="47" t="s">
        <v>486</v>
      </c>
      <c r="H20" s="47" t="s">
        <v>487</v>
      </c>
      <c r="I20" s="47" t="s">
        <v>488</v>
      </c>
      <c r="J20" s="235">
        <f>SUM(J21:J26)/6</f>
        <v>0</v>
      </c>
      <c r="K20" s="47" t="s">
        <v>96</v>
      </c>
      <c r="L20" s="47" t="s">
        <v>97</v>
      </c>
      <c r="M20" s="47" t="s">
        <v>98</v>
      </c>
      <c r="N20" s="47" t="s">
        <v>99</v>
      </c>
      <c r="O20" s="47" t="s">
        <v>100</v>
      </c>
      <c r="P20" s="235">
        <f>SUM(P21:P23)/3</f>
        <v>0</v>
      </c>
    </row>
    <row r="21" s="99" customFormat="1" ht="18" customHeight="1" spans="1:16">
      <c r="A21" s="117" t="s">
        <v>668</v>
      </c>
      <c r="B21" s="47">
        <f>'SUM1'!$AB$689</f>
        <v>0</v>
      </c>
      <c r="C21" s="47">
        <f>'SUM1'!$AB$686</f>
        <v>0</v>
      </c>
      <c r="D21" s="47">
        <f>B21-C21</f>
        <v>0</v>
      </c>
      <c r="E21" s="47">
        <f>COUNTIFS('SUM1'!$G$646:$G$745,$C$18,'SUM1'!$H$646:$H$745,$E$10)</f>
        <v>0</v>
      </c>
      <c r="F21" s="47">
        <f>COUNTIFS('SUM1'!$G$646:$G$745,$C$18,'SUM1'!$H$646:$H$745,$F$10)</f>
        <v>0</v>
      </c>
      <c r="G21" s="47">
        <f>COUNTIFS('SUM1'!$G$646:$G$745,$C$18,'SUM1'!$H$646:$H$745,$G$10)</f>
        <v>0</v>
      </c>
      <c r="H21" s="47">
        <f>COUNTIFS('SUM1'!$G$646:$G$745,$C$18,'SUM1'!$H$646:$H$745,$H$10)</f>
        <v>0</v>
      </c>
      <c r="I21" s="47">
        <f>COUNTIFS('SUM1'!$G$646:$G$745,$C$18,'SUM1'!$H$646:$H$745,$I$10)</f>
        <v>0</v>
      </c>
      <c r="J21" s="47">
        <f>SUM(E21,F21,G21,H21,I21)</f>
        <v>0</v>
      </c>
      <c r="K21" s="47">
        <f>COUNTIFS('1to4-2.1-RR'!$F$12:$F$111,$C$18,'1to4-2.1-RR'!$BB$12:$BB$111,$K$8)</f>
        <v>0</v>
      </c>
      <c r="L21" s="47">
        <f>COUNTIFS('1to4-2.1-RR'!$F$12:$F$111,$C$18,'1to4-2.1-RR'!$BB$12:$BB$111,$L$8)</f>
        <v>0</v>
      </c>
      <c r="M21" s="47">
        <f>COUNTIFS('1to4-2.1-RR'!$F$12:$F$111,$C$18,'1to4-2.1-RR'!$BB$12:$BB$111,$M$8)</f>
        <v>0</v>
      </c>
      <c r="N21" s="47">
        <f>COUNTIFS('1to4-2.1-RR'!$F$12:$F$111,$C$18,'1to4-2.1-RR'!$BB$12:$BB$111,$N$8)</f>
        <v>0</v>
      </c>
      <c r="O21" s="47">
        <f>COUNTIFS('1to4-2.1-RR'!$F$12:$F$111,$C$18,'1to4-2.1-RR'!$BB$12:$BB$111,$O$8)</f>
        <v>0</v>
      </c>
      <c r="P21" s="47">
        <f>SUM(K21,L21,M21,N21,O21)</f>
        <v>0</v>
      </c>
    </row>
    <row r="22" s="99" customFormat="1" ht="18" customHeight="1" spans="1:16">
      <c r="A22" s="117" t="s">
        <v>513</v>
      </c>
      <c r="B22" s="47">
        <f>'SUM1'!$AB$689</f>
        <v>0</v>
      </c>
      <c r="C22" s="47">
        <f>'SUM1'!$AB$686</f>
        <v>0</v>
      </c>
      <c r="D22" s="47">
        <f t="shared" ref="D22:D26" si="3">B22-C22</f>
        <v>0</v>
      </c>
      <c r="E22" s="47">
        <f>COUNTIFS('SUM1'!$G$646:$G$745,$C$18,'SUM1'!$I$646:$I$745,$E$10)</f>
        <v>0</v>
      </c>
      <c r="F22" s="47">
        <f>COUNTIFS('SUM1'!$G$646:$G$745,$C$18,'SUM1'!$I$646:$I$745,$F$10)</f>
        <v>0</v>
      </c>
      <c r="G22" s="47">
        <f>COUNTIFS('SUM1'!$G$646:$G$745,$C$18,'SUM1'!$I$646:$I$745,$G$10)</f>
        <v>0</v>
      </c>
      <c r="H22" s="47">
        <f>COUNTIFS('SUM1'!$G$646:$G$745,$C$18,'SUM1'!$I$646:$I$745,$H$10)</f>
        <v>0</v>
      </c>
      <c r="I22" s="47">
        <f>COUNTIFS('SUM1'!$G$646:$G$745,$C$18,'SUM1'!$I$646:$I$745,$I$10)</f>
        <v>0</v>
      </c>
      <c r="J22" s="47">
        <f t="shared" ref="J22:J26" si="4">SUM(E22,F22,G22,H22,I22)</f>
        <v>0</v>
      </c>
      <c r="K22" s="47">
        <f>COUNTIFS('1to4-2.1-RR'!$F$12:$F$111,$C$18,'1to4-2.1-RR'!$BC$12:$BC$111,$K$8)</f>
        <v>0</v>
      </c>
      <c r="L22" s="47">
        <f>COUNTIFS('1to4-2.1-RR'!$F$12:$F$111,$C$18,'1to4-2.1-RR'!$BC$12:$BC$111,$L$8)</f>
        <v>0</v>
      </c>
      <c r="M22" s="47">
        <f>COUNTIFS('1to4-2.1-RR'!$F$12:$F$111,$C$18,'1to4-2.1-RR'!$BC$12:$BC$111,$M$8)</f>
        <v>0</v>
      </c>
      <c r="N22" s="47">
        <f>COUNTIFS('1to4-2.1-RR'!$F$12:$F$111,$C$18,'1to4-2.1-RR'!$BC$12:$BC$111,$N$8)</f>
        <v>0</v>
      </c>
      <c r="O22" s="47">
        <f>COUNTIFS('1to4-2.1-RR'!$F$12:$F$111,$C$18,'1to4-2.1-RR'!$BC$12:$BC$111,$O$8)</f>
        <v>0</v>
      </c>
      <c r="P22" s="47">
        <f t="shared" ref="P22:P23" si="5">SUM(K22,L22,M22,N22,O22)</f>
        <v>0</v>
      </c>
    </row>
    <row r="23" s="99" customFormat="1" ht="18" customHeight="1" spans="1:16">
      <c r="A23" s="117" t="s">
        <v>514</v>
      </c>
      <c r="B23" s="47">
        <f>'SUM1'!$AB$689</f>
        <v>0</v>
      </c>
      <c r="C23" s="47">
        <f>'SUM1'!$AB$686</f>
        <v>0</v>
      </c>
      <c r="D23" s="47">
        <f t="shared" si="3"/>
        <v>0</v>
      </c>
      <c r="E23" s="47">
        <f>COUNTIFS('SUM1'!$G$646:$G$745,$C$18,'SUM1'!$J$646:$J$745,$E$10)</f>
        <v>0</v>
      </c>
      <c r="F23" s="47">
        <f>COUNTIFS('SUM1'!$G$646:$G$745,$C$18,'SUM1'!$J$646:$J$745,$F$10)</f>
        <v>0</v>
      </c>
      <c r="G23" s="47">
        <f>COUNTIFS('SUM1'!$G$646:$G$745,$C$18,'SUM1'!$J$646:$J$745,$G$10)</f>
        <v>0</v>
      </c>
      <c r="H23" s="47">
        <f>COUNTIFS('SUM1'!$G$646:$G$745,$C$18,'SUM1'!$J$646:$J$745,$H$10)</f>
        <v>0</v>
      </c>
      <c r="I23" s="47">
        <f>COUNTIFS('SUM1'!$G$646:$G$745,$C$18,'SUM1'!$J$646:$J$745,$I$10)</f>
        <v>0</v>
      </c>
      <c r="J23" s="47">
        <f t="shared" si="4"/>
        <v>0</v>
      </c>
      <c r="K23" s="47">
        <f>COUNTIFS('1to4-2.1-RR'!$F$12:$F$111,$C$18,'1to4-2.1-RR'!$BD$12:$BD$111,$K$8)</f>
        <v>0</v>
      </c>
      <c r="L23" s="47">
        <f>COUNTIFS('1to4-2.1-RR'!$F$12:$F$111,$C$18,'1to4-2.1-RR'!$BD$12:$BD$111,$L$8)</f>
        <v>0</v>
      </c>
      <c r="M23" s="47">
        <f>COUNTIFS('1to4-2.1-RR'!$F$12:$F$111,$C$18,'1to4-2.1-RR'!$BD$12:$BD$111,$M$8)</f>
        <v>0</v>
      </c>
      <c r="N23" s="47">
        <f>COUNTIFS('1to4-2.1-RR'!$F$12:$F$111,$C$18,'1to4-2.1-RR'!$BD$12:$BD$111,$N$8)</f>
        <v>0</v>
      </c>
      <c r="O23" s="47">
        <f>COUNTIFS('1to4-2.1-RR'!$F$12:$F$111,$C$18,'1to4-2.1-RR'!$BD$12:$BD$111,$O$8)</f>
        <v>0</v>
      </c>
      <c r="P23" s="47">
        <f t="shared" si="5"/>
        <v>0</v>
      </c>
    </row>
    <row r="24" s="99" customFormat="1" ht="18" customHeight="1" spans="1:16">
      <c r="A24" s="117" t="s">
        <v>351</v>
      </c>
      <c r="B24" s="47">
        <f>'SUM1'!$AB$689</f>
        <v>0</v>
      </c>
      <c r="C24" s="47">
        <f>'SUM1'!$AB$686</f>
        <v>0</v>
      </c>
      <c r="D24" s="47">
        <f t="shared" si="3"/>
        <v>0</v>
      </c>
      <c r="E24" s="47">
        <f>COUNTIFS('SUM1'!$G$646:$G$745,$C$18,'SUM1'!$K$646:$K$745,$E$10)</f>
        <v>0</v>
      </c>
      <c r="F24" s="47">
        <f>COUNTIFS('SUM1'!$G$646:$G$745,$C$18,'SUM1'!$K$646:$K$745,$F$10)</f>
        <v>0</v>
      </c>
      <c r="G24" s="47">
        <f>COUNTIFS('SUM1'!$G$646:$G$745,$C$18,'SUM1'!$K$646:$K$745,$G$10)</f>
        <v>0</v>
      </c>
      <c r="H24" s="47">
        <f>COUNTIFS('SUM1'!$G$646:$G$745,$C$18,'SUM1'!$K$646:$K$745,$H$10)</f>
        <v>0</v>
      </c>
      <c r="I24" s="47">
        <f>COUNTIFS('SUM1'!$G$646:$G$745,$C$18,'SUM1'!$K$646:$K$745,$I$10)</f>
        <v>0</v>
      </c>
      <c r="J24" s="47">
        <f t="shared" si="4"/>
        <v>0</v>
      </c>
      <c r="K24" s="47" t="s">
        <v>670</v>
      </c>
      <c r="L24" s="47" t="s">
        <v>670</v>
      </c>
      <c r="M24" s="47" t="s">
        <v>670</v>
      </c>
      <c r="N24" s="47" t="s">
        <v>670</v>
      </c>
      <c r="O24" s="47" t="s">
        <v>670</v>
      </c>
      <c r="P24" s="47" t="s">
        <v>670</v>
      </c>
    </row>
    <row r="25" s="99" customFormat="1" ht="18" customHeight="1" spans="1:16">
      <c r="A25" s="117" t="s">
        <v>671</v>
      </c>
      <c r="B25" s="47">
        <f>'SUM1'!$AB$689</f>
        <v>0</v>
      </c>
      <c r="C25" s="47">
        <f>'SUM1'!$AB$686</f>
        <v>0</v>
      </c>
      <c r="D25" s="47">
        <f t="shared" si="3"/>
        <v>0</v>
      </c>
      <c r="E25" s="47">
        <f>COUNTIFS('SUM1'!$G$646:$G$745,$C$18,'SUM1'!$L$646:$L$745,$E$10)</f>
        <v>0</v>
      </c>
      <c r="F25" s="47">
        <f>COUNTIFS('SUM1'!$G$646:$G$745,$C$18,'SUM1'!$L$646:$L$745,$F$10)</f>
        <v>0</v>
      </c>
      <c r="G25" s="47">
        <f>COUNTIFS('SUM1'!$G$646:$G$745,$C$18,'SUM1'!$L$646:$L$745,$G$10)</f>
        <v>0</v>
      </c>
      <c r="H25" s="47">
        <f>COUNTIFS('SUM1'!$G$646:$G$745,$C$18,'SUM1'!$L$646:$L$745,$H$10)</f>
        <v>0</v>
      </c>
      <c r="I25" s="47">
        <f>COUNTIFS('SUM1'!$G$646:$G$745,$C$18,'SUM1'!$L$646:$L$745,$I$10)</f>
        <v>0</v>
      </c>
      <c r="J25" s="47">
        <f t="shared" si="4"/>
        <v>0</v>
      </c>
      <c r="K25" s="47" t="s">
        <v>670</v>
      </c>
      <c r="L25" s="47" t="s">
        <v>670</v>
      </c>
      <c r="M25" s="47" t="s">
        <v>670</v>
      </c>
      <c r="N25" s="47" t="s">
        <v>670</v>
      </c>
      <c r="O25" s="47" t="s">
        <v>670</v>
      </c>
      <c r="P25" s="47" t="s">
        <v>670</v>
      </c>
    </row>
    <row r="26" s="99" customFormat="1" ht="18" customHeight="1" spans="1:16">
      <c r="A26" s="117" t="s">
        <v>672</v>
      </c>
      <c r="B26" s="47">
        <f>'SUM1'!$AB$689</f>
        <v>0</v>
      </c>
      <c r="C26" s="47">
        <f>'SUM1'!$AB$686</f>
        <v>0</v>
      </c>
      <c r="D26" s="47">
        <f t="shared" si="3"/>
        <v>0</v>
      </c>
      <c r="E26" s="47">
        <f>COUNTIFS('SUM1'!$G$646:$G$745,$C$18,'SUM1'!$M$646:$M$745,$E$10)</f>
        <v>0</v>
      </c>
      <c r="F26" s="47">
        <f>COUNTIFS('SUM1'!$G$646:$G$745,$C$18,'SUM1'!$M$646:$M$745,$F$10)</f>
        <v>0</v>
      </c>
      <c r="G26" s="47">
        <f>COUNTIFS('SUM1'!$G$646:$G$745,$C$18,'SUM1'!$M$646:$M$745,$G$10)</f>
        <v>0</v>
      </c>
      <c r="H26" s="47">
        <f>COUNTIFS('SUM1'!$G$646:$G$745,$C$18,'SUM1'!$M$646:$M$745,$H$10)</f>
        <v>0</v>
      </c>
      <c r="I26" s="47">
        <f>COUNTIFS('SUM1'!$G$646:$G$745,$C$18,'SUM1'!$M$646:$M$745,$I$10)</f>
        <v>0</v>
      </c>
      <c r="J26" s="47">
        <f t="shared" si="4"/>
        <v>0</v>
      </c>
      <c r="K26" s="47" t="s">
        <v>670</v>
      </c>
      <c r="L26" s="47" t="s">
        <v>670</v>
      </c>
      <c r="M26" s="47" t="s">
        <v>670</v>
      </c>
      <c r="N26" s="47" t="s">
        <v>670</v>
      </c>
      <c r="O26" s="47" t="s">
        <v>670</v>
      </c>
      <c r="P26" s="47" t="s">
        <v>670</v>
      </c>
    </row>
    <row r="28" s="97" customFormat="1" ht="18" customHeight="1" spans="1:16">
      <c r="A28" s="106" t="s">
        <v>684</v>
      </c>
      <c r="B28" s="106"/>
      <c r="C28" s="107" t="s">
        <v>490</v>
      </c>
    </row>
    <row r="29" s="98" customFormat="1" ht="18" customHeight="1" spans="1:16">
      <c r="A29" s="47" t="s">
        <v>662</v>
      </c>
      <c r="B29" s="120" t="s">
        <v>664</v>
      </c>
      <c r="C29" s="120" t="s">
        <v>509</v>
      </c>
      <c r="D29" s="120" t="s">
        <v>680</v>
      </c>
      <c r="E29" s="47" t="s">
        <v>681</v>
      </c>
      <c r="F29" s="47"/>
      <c r="G29" s="47"/>
      <c r="H29" s="47"/>
      <c r="I29" s="47"/>
      <c r="J29" s="109" t="s">
        <v>382</v>
      </c>
      <c r="K29" s="47" t="s">
        <v>682</v>
      </c>
      <c r="L29" s="47"/>
      <c r="M29" s="47"/>
      <c r="N29" s="47"/>
      <c r="O29" s="47"/>
      <c r="P29" s="109" t="s">
        <v>382</v>
      </c>
    </row>
    <row r="30" s="98" customFormat="1" ht="18" customHeight="1" spans="1:16">
      <c r="A30" s="47"/>
      <c r="B30" s="120"/>
      <c r="C30" s="120"/>
      <c r="D30" s="120"/>
      <c r="E30" s="47" t="s">
        <v>50</v>
      </c>
      <c r="F30" s="47" t="s">
        <v>485</v>
      </c>
      <c r="G30" s="47" t="s">
        <v>486</v>
      </c>
      <c r="H30" s="47" t="s">
        <v>487</v>
      </c>
      <c r="I30" s="47" t="s">
        <v>488</v>
      </c>
      <c r="J30" s="235">
        <f>SUM(J31:J36)/6</f>
        <v>0</v>
      </c>
      <c r="K30" s="47" t="s">
        <v>96</v>
      </c>
      <c r="L30" s="47" t="s">
        <v>97</v>
      </c>
      <c r="M30" s="47" t="s">
        <v>98</v>
      </c>
      <c r="N30" s="47" t="s">
        <v>99</v>
      </c>
      <c r="O30" s="47" t="s">
        <v>100</v>
      </c>
      <c r="P30" s="235">
        <f>SUM(P31:P33)/3</f>
        <v>0</v>
      </c>
    </row>
    <row r="31" s="99" customFormat="1" ht="18" customHeight="1" spans="1:16">
      <c r="A31" s="117" t="s">
        <v>668</v>
      </c>
      <c r="B31" s="47">
        <f>'SUM1'!$AB$665</f>
        <v>0</v>
      </c>
      <c r="C31" s="47">
        <f>'SUM1'!$AB$662</f>
        <v>0</v>
      </c>
      <c r="D31" s="47">
        <f>B31-C31</f>
        <v>0</v>
      </c>
      <c r="E31" s="47">
        <f>COUNTIFS('SUM1'!$G$646:$G$745,$C$28,'SUM1'!$H$646:$H$745,$E$10)</f>
        <v>0</v>
      </c>
      <c r="F31" s="47">
        <f>COUNTIFS('SUM1'!$G$646:$G$745,$C$28,'SUM1'!$H$646:$H$745,$F$10)</f>
        <v>0</v>
      </c>
      <c r="G31" s="47">
        <f>COUNTIFS('SUM1'!$G$646:$G$745,$C$28,'SUM1'!$H$646:$H$745,$G$10)</f>
        <v>0</v>
      </c>
      <c r="H31" s="47">
        <f>COUNTIFS('SUM1'!$G$646:$G$745,$C$28,'SUM1'!$H$646:$H$745,$H$10)</f>
        <v>0</v>
      </c>
      <c r="I31" s="47">
        <f>COUNTIFS('SUM1'!$G$646:$G$745,$C$28,'SUM1'!$H$646:$H$745,$I$10)</f>
        <v>0</v>
      </c>
      <c r="J31" s="47">
        <f>SUM(E31,F31,G31,H31,I31)</f>
        <v>0</v>
      </c>
      <c r="K31" s="47">
        <f>COUNTIFS('1to4-2.1-RR'!$F$12:$F$111,$C$28,'1to4-2.1-RR'!$BB$12:$BB$111,$K$8)</f>
        <v>0</v>
      </c>
      <c r="L31" s="47">
        <f>COUNTIFS('1to4-2.1-RR'!$F$12:$F$111,$C$28,'1to4-2.1-RR'!$BB$12:$BB$111,$L$8)</f>
        <v>0</v>
      </c>
      <c r="M31" s="47">
        <f>COUNTIFS('1to4-2.1-RR'!$F$12:$F$111,$C$28,'1to4-2.1-RR'!$BB$12:$BB$111,$M$8)</f>
        <v>0</v>
      </c>
      <c r="N31" s="47">
        <f>COUNTIFS('1to4-2.1-RR'!$F$12:$F$111,$C$28,'1to4-2.1-RR'!$BB$12:$BB$111,$N$8)</f>
        <v>0</v>
      </c>
      <c r="O31" s="47">
        <f>COUNTIFS('1to4-2.1-RR'!$F$12:$F$111,$C$28,'1to4-2.1-RR'!$BB$12:$BB$111,$O$8)</f>
        <v>0</v>
      </c>
      <c r="P31" s="47">
        <f>SUM(K31,L31,M31,N31,O31)</f>
        <v>0</v>
      </c>
    </row>
    <row r="32" s="99" customFormat="1" ht="18" customHeight="1" spans="1:16">
      <c r="A32" s="117" t="s">
        <v>513</v>
      </c>
      <c r="B32" s="47">
        <f>'SUM1'!$AB$665</f>
        <v>0</v>
      </c>
      <c r="C32" s="47">
        <f>'SUM1'!$AB$662</f>
        <v>0</v>
      </c>
      <c r="D32" s="47">
        <f t="shared" ref="D32:D36" si="6">B32-C32</f>
        <v>0</v>
      </c>
      <c r="E32" s="47">
        <f>COUNTIFS('SUM1'!$G$646:$G$745,$C$28,'SUM1'!$I$646:$I$745,$E$10)</f>
        <v>0</v>
      </c>
      <c r="F32" s="47">
        <f>COUNTIFS('SUM1'!$G$646:$G$745,$C$28,'SUM1'!$I$646:$I$745,$F$10)</f>
        <v>0</v>
      </c>
      <c r="G32" s="47">
        <f>COUNTIFS('SUM1'!$G$646:$G$745,$C$28,'SUM1'!$I$646:$I$745,$G$10)</f>
        <v>0</v>
      </c>
      <c r="H32" s="47">
        <f>COUNTIFS('SUM1'!$G$646:$G$745,$C$28,'SUM1'!$I$646:$I$745,$H$10)</f>
        <v>0</v>
      </c>
      <c r="I32" s="47">
        <f>COUNTIFS('SUM1'!$G$646:$G$745,$C$28,'SUM1'!$I$646:$I$745,$I$10)</f>
        <v>0</v>
      </c>
      <c r="J32" s="47">
        <f t="shared" ref="J32:J36" si="7">SUM(E32,F32,G32,H32,I32)</f>
        <v>0</v>
      </c>
      <c r="K32" s="47">
        <f>COUNTIFS('1to4-2.1-RR'!$F$12:$F$111,$C$28,'1to4-2.1-RR'!$BC$12:$BC$111,$K$8)</f>
        <v>0</v>
      </c>
      <c r="L32" s="47">
        <f>COUNTIFS('1to4-2.1-RR'!$F$12:$F$111,$C$28,'1to4-2.1-RR'!$BC$12:$BC$111,$L$8)</f>
        <v>0</v>
      </c>
      <c r="M32" s="47">
        <f>COUNTIFS('1to4-2.1-RR'!$F$12:$F$111,$C$28,'1to4-2.1-RR'!$BC$12:$BC$111,$M$8)</f>
        <v>0</v>
      </c>
      <c r="N32" s="47">
        <f>COUNTIFS('1to4-2.1-RR'!$F$12:$F$111,$C$28,'1to4-2.1-RR'!$BC$12:$BC$111,$N$8)</f>
        <v>0</v>
      </c>
      <c r="O32" s="47">
        <f>COUNTIFS('1to4-2.1-RR'!$F$12:$F$111,$C$28,'1to4-2.1-RR'!$BC$12:$BC$111,$O$8)</f>
        <v>0</v>
      </c>
      <c r="P32" s="47">
        <f t="shared" ref="P32:P33" si="8">SUM(K32,L32,M32,N32,O32)</f>
        <v>0</v>
      </c>
    </row>
    <row r="33" s="99" customFormat="1" ht="18" customHeight="1" spans="1:16">
      <c r="A33" s="117" t="s">
        <v>514</v>
      </c>
      <c r="B33" s="47">
        <f>'SUM1'!$AB$665</f>
        <v>0</v>
      </c>
      <c r="C33" s="47">
        <f>'SUM1'!$AB$662</f>
        <v>0</v>
      </c>
      <c r="D33" s="47">
        <f t="shared" si="6"/>
        <v>0</v>
      </c>
      <c r="E33" s="47">
        <f>COUNTIFS('SUM1'!$G$646:$G$745,$C$28,'SUM1'!$J$646:$J$745,$E$10)</f>
        <v>0</v>
      </c>
      <c r="F33" s="47">
        <f>COUNTIFS('SUM1'!$G$646:$G$745,$C$28,'SUM1'!$J$646:$J$745,$F$10)</f>
        <v>0</v>
      </c>
      <c r="G33" s="47">
        <f>COUNTIFS('SUM1'!$G$646:$G$745,$C$28,'SUM1'!$J$646:$J$745,$G$10)</f>
        <v>0</v>
      </c>
      <c r="H33" s="47">
        <f>COUNTIFS('SUM1'!$G$646:$G$745,$C$28,'SUM1'!$J$646:$J$745,$H$10)</f>
        <v>0</v>
      </c>
      <c r="I33" s="47">
        <f>COUNTIFS('SUM1'!$G$646:$G$745,$C$28,'SUM1'!$J$646:$J$745,$I$10)</f>
        <v>0</v>
      </c>
      <c r="J33" s="47">
        <f t="shared" si="7"/>
        <v>0</v>
      </c>
      <c r="K33" s="47">
        <f>COUNTIFS('1to4-2.1-RR'!$F$12:$F$111,$C$28,'1to4-2.1-RR'!$BD$12:$BD$111,$K$8)</f>
        <v>0</v>
      </c>
      <c r="L33" s="47">
        <f>COUNTIFS('1to4-2.1-RR'!$F$12:$F$111,$C$28,'1to4-2.1-RR'!$BD$12:$BD$111,$L$8)</f>
        <v>0</v>
      </c>
      <c r="M33" s="47">
        <f>COUNTIFS('1to4-2.1-RR'!$F$12:$F$111,$C$28,'1to4-2.1-RR'!$BD$12:$BD$111,$M$8)</f>
        <v>0</v>
      </c>
      <c r="N33" s="47">
        <f>COUNTIFS('1to4-2.1-RR'!$F$12:$F$111,$C$28,'1to4-2.1-RR'!$BD$12:$BD$111,$N$8)</f>
        <v>0</v>
      </c>
      <c r="O33" s="47">
        <f>COUNTIFS('1to4-2.1-RR'!$F$12:$F$111,$C$28,'1to4-2.1-RR'!$BD$12:$BD$111,$O$8)</f>
        <v>0</v>
      </c>
      <c r="P33" s="47">
        <f t="shared" si="8"/>
        <v>0</v>
      </c>
    </row>
    <row r="34" s="99" customFormat="1" ht="18" customHeight="1" spans="1:16">
      <c r="A34" s="117" t="s">
        <v>351</v>
      </c>
      <c r="B34" s="47">
        <f>'SUM1'!$AB$665</f>
        <v>0</v>
      </c>
      <c r="C34" s="47">
        <f>'SUM1'!$AB$662</f>
        <v>0</v>
      </c>
      <c r="D34" s="47">
        <f t="shared" si="6"/>
        <v>0</v>
      </c>
      <c r="E34" s="47">
        <f>COUNTIFS('SUM1'!$G$646:$G$745,$C$28,'SUM1'!$K$646:$K$745,$E$10)</f>
        <v>0</v>
      </c>
      <c r="F34" s="47">
        <f>COUNTIFS('SUM1'!$G$646:$G$745,$C$28,'SUM1'!$K$646:$K$745,$F$10)</f>
        <v>0</v>
      </c>
      <c r="G34" s="47">
        <f>COUNTIFS('SUM1'!$G$646:$G$745,$C$28,'SUM1'!$K$646:$K$745,$G$10)</f>
        <v>0</v>
      </c>
      <c r="H34" s="47">
        <f>COUNTIFS('SUM1'!$G$646:$G$745,$C$28,'SUM1'!$K$646:$K$745,$H$10)</f>
        <v>0</v>
      </c>
      <c r="I34" s="47">
        <f>COUNTIFS('SUM1'!$G$646:$G$745,$C$28,'SUM1'!$K$646:$K$745,$I$10)</f>
        <v>0</v>
      </c>
      <c r="J34" s="47">
        <f t="shared" si="7"/>
        <v>0</v>
      </c>
      <c r="K34" s="47" t="s">
        <v>670</v>
      </c>
      <c r="L34" s="47" t="s">
        <v>670</v>
      </c>
      <c r="M34" s="47" t="s">
        <v>670</v>
      </c>
      <c r="N34" s="47" t="s">
        <v>670</v>
      </c>
      <c r="O34" s="47" t="s">
        <v>670</v>
      </c>
      <c r="P34" s="47" t="s">
        <v>670</v>
      </c>
    </row>
    <row r="35" s="99" customFormat="1" ht="18" customHeight="1" spans="1:16">
      <c r="A35" s="117" t="s">
        <v>671</v>
      </c>
      <c r="B35" s="47">
        <f>'SUM1'!$AB$665</f>
        <v>0</v>
      </c>
      <c r="C35" s="47">
        <f>'SUM1'!$AB$662</f>
        <v>0</v>
      </c>
      <c r="D35" s="47">
        <f t="shared" si="6"/>
        <v>0</v>
      </c>
      <c r="E35" s="47">
        <f>COUNTIFS('SUM1'!$G$646:$G$745,$C$28,'SUM1'!$L$646:$L$745,$E$10)</f>
        <v>0</v>
      </c>
      <c r="F35" s="47">
        <f>COUNTIFS('SUM1'!$G$646:$G$745,$C$28,'SUM1'!$L$646:$L$745,$F$10)</f>
        <v>0</v>
      </c>
      <c r="G35" s="47">
        <f>COUNTIFS('SUM1'!$G$646:$G$745,$C$28,'SUM1'!$L$646:$L$745,$G$10)</f>
        <v>0</v>
      </c>
      <c r="H35" s="47">
        <f>COUNTIFS('SUM1'!$G$646:$G$745,$C$28,'SUM1'!$L$646:$L$745,$H$10)</f>
        <v>0</v>
      </c>
      <c r="I35" s="47">
        <f>COUNTIFS('SUM1'!$G$646:$G$745,$C$28,'SUM1'!$L$646:$L$745,$I$10)</f>
        <v>0</v>
      </c>
      <c r="J35" s="47">
        <f t="shared" si="7"/>
        <v>0</v>
      </c>
      <c r="K35" s="47" t="s">
        <v>670</v>
      </c>
      <c r="L35" s="47" t="s">
        <v>670</v>
      </c>
      <c r="M35" s="47" t="s">
        <v>670</v>
      </c>
      <c r="N35" s="47" t="s">
        <v>670</v>
      </c>
      <c r="O35" s="47" t="s">
        <v>670</v>
      </c>
      <c r="P35" s="47" t="s">
        <v>670</v>
      </c>
    </row>
    <row r="36" s="99" customFormat="1" ht="18" customHeight="1" spans="1:16">
      <c r="A36" s="117" t="s">
        <v>672</v>
      </c>
      <c r="B36" s="47">
        <f>'SUM1'!$AB$665</f>
        <v>0</v>
      </c>
      <c r="C36" s="47">
        <f>'SUM1'!$AB$662</f>
        <v>0</v>
      </c>
      <c r="D36" s="47">
        <f t="shared" si="6"/>
        <v>0</v>
      </c>
      <c r="E36" s="47">
        <f>COUNTIFS('SUM1'!$G$646:$G$745,$C$28,'SUM1'!$M$646:$M$745,$E$10)</f>
        <v>0</v>
      </c>
      <c r="F36" s="47">
        <f>COUNTIFS('SUM1'!$G$646:$G$745,$C$28,'SUM1'!$M$646:$M$745,$F$10)</f>
        <v>0</v>
      </c>
      <c r="G36" s="47">
        <f>COUNTIFS('SUM1'!$G$646:$G$745,$C$28,'SUM1'!$M$646:$M$745,$G$10)</f>
        <v>0</v>
      </c>
      <c r="H36" s="47">
        <f>COUNTIFS('SUM1'!$G$646:$G$745,$C$28,'SUM1'!$M$646:$M$745,$H$10)</f>
        <v>0</v>
      </c>
      <c r="I36" s="47">
        <f>COUNTIFS('SUM1'!$G$646:$G$745,$C$28,'SUM1'!$M$646:$M$745,$I$10)</f>
        <v>0</v>
      </c>
      <c r="J36" s="47">
        <f t="shared" si="7"/>
        <v>0</v>
      </c>
      <c r="K36" s="47" t="s">
        <v>670</v>
      </c>
      <c r="L36" s="47" t="s">
        <v>670</v>
      </c>
      <c r="M36" s="47" t="s">
        <v>670</v>
      </c>
      <c r="N36" s="47" t="s">
        <v>670</v>
      </c>
      <c r="O36" s="47" t="s">
        <v>670</v>
      </c>
      <c r="P36" s="47" t="s">
        <v>670</v>
      </c>
    </row>
    <row r="38" s="97" customFormat="1" ht="18" customHeight="1" spans="1:16">
      <c r="A38" s="106" t="s">
        <v>685</v>
      </c>
      <c r="B38" s="106"/>
      <c r="C38" s="107" t="s">
        <v>491</v>
      </c>
    </row>
    <row r="39" s="98" customFormat="1" ht="18" customHeight="1" spans="1:16">
      <c r="A39" s="47" t="s">
        <v>662</v>
      </c>
      <c r="B39" s="120" t="s">
        <v>664</v>
      </c>
      <c r="C39" s="120" t="s">
        <v>509</v>
      </c>
      <c r="D39" s="120" t="s">
        <v>680</v>
      </c>
      <c r="E39" s="47" t="s">
        <v>681</v>
      </c>
      <c r="F39" s="47"/>
      <c r="G39" s="47"/>
      <c r="H39" s="47"/>
      <c r="I39" s="47"/>
      <c r="J39" s="109" t="s">
        <v>382</v>
      </c>
      <c r="K39" s="47" t="s">
        <v>682</v>
      </c>
      <c r="L39" s="47"/>
      <c r="M39" s="47"/>
      <c r="N39" s="47"/>
      <c r="O39" s="47"/>
      <c r="P39" s="109" t="s">
        <v>382</v>
      </c>
    </row>
    <row r="40" s="98" customFormat="1" ht="18" customHeight="1" spans="1:16">
      <c r="A40" s="47"/>
      <c r="B40" s="120"/>
      <c r="C40" s="120"/>
      <c r="D40" s="120"/>
      <c r="E40" s="47" t="s">
        <v>50</v>
      </c>
      <c r="F40" s="47" t="s">
        <v>485</v>
      </c>
      <c r="G40" s="47" t="s">
        <v>486</v>
      </c>
      <c r="H40" s="47" t="s">
        <v>487</v>
      </c>
      <c r="I40" s="47" t="s">
        <v>488</v>
      </c>
      <c r="J40" s="235">
        <f>SUM(J41:J46)/6</f>
        <v>0</v>
      </c>
      <c r="K40" s="47" t="s">
        <v>96</v>
      </c>
      <c r="L40" s="47" t="s">
        <v>97</v>
      </c>
      <c r="M40" s="47" t="s">
        <v>98</v>
      </c>
      <c r="N40" s="47" t="s">
        <v>99</v>
      </c>
      <c r="O40" s="47" t="s">
        <v>100</v>
      </c>
      <c r="P40" s="235">
        <f>SUM(P41:P43)/3</f>
        <v>0</v>
      </c>
    </row>
    <row r="41" s="99" customFormat="1" ht="18" customHeight="1" spans="1:16">
      <c r="A41" s="117" t="s">
        <v>668</v>
      </c>
      <c r="B41" s="47">
        <f>'SUM1'!$AB$677</f>
        <v>0</v>
      </c>
      <c r="C41" s="47">
        <f>'SUM1'!$AB$674</f>
        <v>0</v>
      </c>
      <c r="D41" s="47">
        <f>B41-C41</f>
        <v>0</v>
      </c>
      <c r="E41" s="47">
        <f>COUNTIFS('SUM1'!$G$646:$G$745,$C$38,'SUM1'!$H$646:$H$745,$E$10)</f>
        <v>0</v>
      </c>
      <c r="F41" s="47">
        <f>COUNTIFS('SUM1'!$G$646:$G$745,$C$38,'SUM1'!$H$646:$H$745,$F$10)</f>
        <v>0</v>
      </c>
      <c r="G41" s="47">
        <f>COUNTIFS('SUM1'!$G$646:$G$745,$C$38,'SUM1'!$H$646:$H$745,$G$10)</f>
        <v>0</v>
      </c>
      <c r="H41" s="47">
        <f>COUNTIFS('SUM1'!$G$646:$G$745,$C$38,'SUM1'!$H$646:$H$745,$H$10)</f>
        <v>0</v>
      </c>
      <c r="I41" s="47">
        <f>COUNTIFS('SUM1'!$G$646:$G$745,$C$38,'SUM1'!$H$646:$H$745,$I$10)</f>
        <v>0</v>
      </c>
      <c r="J41" s="47">
        <f>SUM(E41,F41,G41,H41,I41)</f>
        <v>0</v>
      </c>
      <c r="K41" s="47">
        <f>COUNTIFS('1to4-2.1-RR'!$F$12:$F$111,$C$38,'1to4-2.1-RR'!$BB$12:$BB$111,$K$8)</f>
        <v>0</v>
      </c>
      <c r="L41" s="47">
        <f>COUNTIFS('1to4-2.1-RR'!$F$12:$F$111,$C$38,'1to4-2.1-RR'!$BB$12:$BB$111,$L$8)</f>
        <v>0</v>
      </c>
      <c r="M41" s="47">
        <f>COUNTIFS('1to4-2.1-RR'!$F$12:$F$111,$C$38,'1to4-2.1-RR'!$BB$12:$BB$111,$M$8)</f>
        <v>0</v>
      </c>
      <c r="N41" s="47">
        <f>COUNTIFS('1to4-2.1-RR'!$F$12:$F$111,$C$38,'1to4-2.1-RR'!$BB$12:$BB$111,$N$8)</f>
        <v>0</v>
      </c>
      <c r="O41" s="47">
        <f>COUNTIFS('1to4-2.1-RR'!$F$12:$F$111,$C$38,'1to4-2.1-RR'!$BB$12:$BB$111,$O$8)</f>
        <v>0</v>
      </c>
      <c r="P41" s="47">
        <f>SUM(K41,L41,M41,N41,O41)</f>
        <v>0</v>
      </c>
    </row>
    <row r="42" s="99" customFormat="1" ht="18" customHeight="1" spans="1:16">
      <c r="A42" s="117" t="s">
        <v>513</v>
      </c>
      <c r="B42" s="47">
        <f>'SUM1'!$AB$677</f>
        <v>0</v>
      </c>
      <c r="C42" s="47">
        <f>'SUM1'!$AB$674</f>
        <v>0</v>
      </c>
      <c r="D42" s="47">
        <f t="shared" ref="D42:D46" si="9">B42-C42</f>
        <v>0</v>
      </c>
      <c r="E42" s="47">
        <f>COUNTIFS('SUM1'!$G$646:$G$745,$C$38,'SUM1'!$I$646:$I$745,$E$10)</f>
        <v>0</v>
      </c>
      <c r="F42" s="47">
        <f>COUNTIFS('SUM1'!$G$646:$G$745,$C$38,'SUM1'!$I$646:$I$745,$F$10)</f>
        <v>0</v>
      </c>
      <c r="G42" s="47">
        <f>COUNTIFS('SUM1'!$G$646:$G$745,$C$38,'SUM1'!$I$646:$I$745,$G$10)</f>
        <v>0</v>
      </c>
      <c r="H42" s="47">
        <f>COUNTIFS('SUM1'!$G$646:$G$745,$C$38,'SUM1'!$I$646:$I$745,$H$10)</f>
        <v>0</v>
      </c>
      <c r="I42" s="47">
        <f>COUNTIFS('SUM1'!$G$646:$G$745,$C$38,'SUM1'!$I$646:$I$745,$I$10)</f>
        <v>0</v>
      </c>
      <c r="J42" s="47">
        <f t="shared" ref="J42:J46" si="10">SUM(E42,F42,G42,H42,I42)</f>
        <v>0</v>
      </c>
      <c r="K42" s="47">
        <f>COUNTIFS('1to4-2.1-RR'!$F$12:$F$111,$C$38,'1to4-2.1-RR'!$BC$12:$BC$111,$K$8)</f>
        <v>0</v>
      </c>
      <c r="L42" s="47">
        <f>COUNTIFS('1to4-2.1-RR'!$F$12:$F$111,$C$38,'1to4-2.1-RR'!$BC$12:$BC$111,$L$8)</f>
        <v>0</v>
      </c>
      <c r="M42" s="47">
        <f>COUNTIFS('1to4-2.1-RR'!$F$12:$F$111,$C$38,'1to4-2.1-RR'!$BC$12:$BC$111,$M$8)</f>
        <v>0</v>
      </c>
      <c r="N42" s="47">
        <f>COUNTIFS('1to4-2.1-RR'!$F$12:$F$111,$C$38,'1to4-2.1-RR'!$BC$12:$BC$111,$N$8)</f>
        <v>0</v>
      </c>
      <c r="O42" s="47">
        <f>COUNTIFS('1to4-2.1-RR'!$F$12:$F$111,$C$38,'1to4-2.1-RR'!$BC$12:$BC$111,$O$8)</f>
        <v>0</v>
      </c>
      <c r="P42" s="47">
        <f t="shared" ref="P42:P43" si="11">SUM(K42,L42,M42,N42,O42)</f>
        <v>0</v>
      </c>
    </row>
    <row r="43" s="99" customFormat="1" ht="18" customHeight="1" spans="1:16">
      <c r="A43" s="117" t="s">
        <v>514</v>
      </c>
      <c r="B43" s="47">
        <f>'SUM1'!$AB$677</f>
        <v>0</v>
      </c>
      <c r="C43" s="47">
        <f>'SUM1'!$AB$674</f>
        <v>0</v>
      </c>
      <c r="D43" s="47">
        <f t="shared" si="9"/>
        <v>0</v>
      </c>
      <c r="E43" s="47">
        <f>COUNTIFS('SUM1'!$G$646:$G$745,$C$38,'SUM1'!$J$646:$J$745,$E$10)</f>
        <v>0</v>
      </c>
      <c r="F43" s="47">
        <f>COUNTIFS('SUM1'!$G$646:$G$745,$C$38,'SUM1'!$J$646:$J$745,$F$10)</f>
        <v>0</v>
      </c>
      <c r="G43" s="47">
        <f>COUNTIFS('SUM1'!$G$646:$G$745,$C$38,'SUM1'!$J$646:$J$745,$G$10)</f>
        <v>0</v>
      </c>
      <c r="H43" s="47">
        <f>COUNTIFS('SUM1'!$G$646:$G$745,$C$38,'SUM1'!$J$646:$J$745,$H$10)</f>
        <v>0</v>
      </c>
      <c r="I43" s="47">
        <f>COUNTIFS('SUM1'!$G$646:$G$745,$C$38,'SUM1'!$J$646:$J$745,$I$10)</f>
        <v>0</v>
      </c>
      <c r="J43" s="47">
        <f t="shared" si="10"/>
        <v>0</v>
      </c>
      <c r="K43" s="47">
        <f>COUNTIFS('1to4-2.1-RR'!$F$12:$F$111,$C$38,'1to4-2.1-RR'!$BD$12:$BD$111,$K$8)</f>
        <v>0</v>
      </c>
      <c r="L43" s="47">
        <f>COUNTIFS('1to4-2.1-RR'!$F$12:$F$111,$C$38,'1to4-2.1-RR'!$BD$12:$BD$111,$L$8)</f>
        <v>0</v>
      </c>
      <c r="M43" s="47">
        <f>COUNTIFS('1to4-2.1-RR'!$F$12:$F$111,$C$38,'1to4-2.1-RR'!$BD$12:$BD$111,$M$8)</f>
        <v>0</v>
      </c>
      <c r="N43" s="47">
        <f>COUNTIFS('1to4-2.1-RR'!$F$12:$F$111,$C$38,'1to4-2.1-RR'!$BD$12:$BD$111,$N$8)</f>
        <v>0</v>
      </c>
      <c r="O43" s="47">
        <f>COUNTIFS('1to4-2.1-RR'!$F$12:$F$111,$C$38,'1to4-2.1-RR'!$BD$12:$BD$111,$O$8)</f>
        <v>0</v>
      </c>
      <c r="P43" s="47">
        <f t="shared" si="11"/>
        <v>0</v>
      </c>
    </row>
    <row r="44" s="99" customFormat="1" ht="18" customHeight="1" spans="1:16">
      <c r="A44" s="117" t="s">
        <v>351</v>
      </c>
      <c r="B44" s="47">
        <f>'SUM1'!$AB$677</f>
        <v>0</v>
      </c>
      <c r="C44" s="47">
        <f>'SUM1'!$AB$674</f>
        <v>0</v>
      </c>
      <c r="D44" s="47">
        <f t="shared" si="9"/>
        <v>0</v>
      </c>
      <c r="E44" s="47">
        <f>COUNTIFS('SUM1'!$G$646:$G$745,$C$38,'SUM1'!$K$646:$K$745,$E$10)</f>
        <v>0</v>
      </c>
      <c r="F44" s="47">
        <f>COUNTIFS('SUM1'!$G$646:$G$745,$C$38,'SUM1'!$K$646:$K$745,$F$10)</f>
        <v>0</v>
      </c>
      <c r="G44" s="47">
        <f>COUNTIFS('SUM1'!$G$646:$G$745,$C$38,'SUM1'!$K$646:$K$745,$G$10)</f>
        <v>0</v>
      </c>
      <c r="H44" s="47">
        <f>COUNTIFS('SUM1'!$G$646:$G$745,$C$38,'SUM1'!$K$646:$K$745,$H$10)</f>
        <v>0</v>
      </c>
      <c r="I44" s="47">
        <f>COUNTIFS('SUM1'!$G$646:$G$745,$C$38,'SUM1'!$K$646:$K$745,$I$10)</f>
        <v>0</v>
      </c>
      <c r="J44" s="47">
        <f t="shared" si="10"/>
        <v>0</v>
      </c>
      <c r="K44" s="47" t="s">
        <v>670</v>
      </c>
      <c r="L44" s="47" t="s">
        <v>670</v>
      </c>
      <c r="M44" s="47" t="s">
        <v>670</v>
      </c>
      <c r="N44" s="47" t="s">
        <v>670</v>
      </c>
      <c r="O44" s="47" t="s">
        <v>670</v>
      </c>
      <c r="P44" s="47" t="s">
        <v>670</v>
      </c>
    </row>
    <row r="45" s="99" customFormat="1" ht="18" customHeight="1" spans="1:16">
      <c r="A45" s="117" t="s">
        <v>671</v>
      </c>
      <c r="B45" s="47">
        <f>'SUM1'!$AB$677</f>
        <v>0</v>
      </c>
      <c r="C45" s="47">
        <f>'SUM1'!$AB$674</f>
        <v>0</v>
      </c>
      <c r="D45" s="47">
        <f t="shared" si="9"/>
        <v>0</v>
      </c>
      <c r="E45" s="47">
        <f>COUNTIFS('SUM1'!$G$646:$G$745,$C$38,'SUM1'!$L$646:$L$745,$E$10)</f>
        <v>0</v>
      </c>
      <c r="F45" s="47">
        <f>COUNTIFS('SUM1'!$G$646:$G$745,$C$38,'SUM1'!$L$646:$L$745,$F$10)</f>
        <v>0</v>
      </c>
      <c r="G45" s="47">
        <f>COUNTIFS('SUM1'!$G$646:$G$745,$C$38,'SUM1'!$L$646:$L$745,$G$10)</f>
        <v>0</v>
      </c>
      <c r="H45" s="47">
        <f>COUNTIFS('SUM1'!$G$646:$G$745,$C$38,'SUM1'!$L$646:$L$745,$H$10)</f>
        <v>0</v>
      </c>
      <c r="I45" s="47">
        <f>COUNTIFS('SUM1'!$G$646:$G$745,$C$38,'SUM1'!$L$646:$L$745,$I$10)</f>
        <v>0</v>
      </c>
      <c r="J45" s="47">
        <f t="shared" si="10"/>
        <v>0</v>
      </c>
      <c r="K45" s="47" t="s">
        <v>670</v>
      </c>
      <c r="L45" s="47" t="s">
        <v>670</v>
      </c>
      <c r="M45" s="47" t="s">
        <v>670</v>
      </c>
      <c r="N45" s="47" t="s">
        <v>670</v>
      </c>
      <c r="O45" s="47" t="s">
        <v>670</v>
      </c>
      <c r="P45" s="47" t="s">
        <v>670</v>
      </c>
    </row>
    <row r="46" s="99" customFormat="1" ht="18" customHeight="1" spans="1:16">
      <c r="A46" s="117" t="s">
        <v>672</v>
      </c>
      <c r="B46" s="47">
        <f>'SUM1'!$AB$677</f>
        <v>0</v>
      </c>
      <c r="C46" s="47">
        <f>'SUM1'!$AB$674</f>
        <v>0</v>
      </c>
      <c r="D46" s="47">
        <f t="shared" si="9"/>
        <v>0</v>
      </c>
      <c r="E46" s="47">
        <f>COUNTIFS('SUM1'!$G$646:$G$745,$C$38,'SUM1'!$M$646:$M$745,$E$10)</f>
        <v>0</v>
      </c>
      <c r="F46" s="47">
        <f>COUNTIFS('SUM1'!$G$646:$G$745,$C$38,'SUM1'!$M$646:$M$745,$F$10)</f>
        <v>0</v>
      </c>
      <c r="G46" s="47">
        <f>COUNTIFS('SUM1'!$G$646:$G$745,$C$38,'SUM1'!$M$646:$M$745,$G$10)</f>
        <v>0</v>
      </c>
      <c r="H46" s="47">
        <f>COUNTIFS('SUM1'!$G$646:$G$745,$C$38,'SUM1'!$M$646:$M$745,$H$10)</f>
        <v>0</v>
      </c>
      <c r="I46" s="47">
        <f>COUNTIFS('SUM1'!$G$646:$G$745,$C$38,'SUM1'!$M$646:$M$745,$I$10)</f>
        <v>0</v>
      </c>
      <c r="J46" s="47">
        <f t="shared" si="10"/>
        <v>0</v>
      </c>
      <c r="K46" s="47" t="s">
        <v>670</v>
      </c>
      <c r="L46" s="47" t="s">
        <v>670</v>
      </c>
      <c r="M46" s="47" t="s">
        <v>670</v>
      </c>
      <c r="N46" s="47" t="s">
        <v>670</v>
      </c>
      <c r="O46" s="47" t="s">
        <v>670</v>
      </c>
      <c r="P46" s="47" t="s">
        <v>670</v>
      </c>
    </row>
    <row r="48" s="97" customFormat="1" ht="18" customHeight="1" spans="1:16">
      <c r="A48" s="106" t="s">
        <v>686</v>
      </c>
      <c r="B48" s="106"/>
      <c r="C48" s="106"/>
      <c r="D48" s="107" t="s">
        <v>484</v>
      </c>
    </row>
    <row r="49" s="98" customFormat="1" ht="18" customHeight="1" spans="1:16">
      <c r="A49" s="47" t="s">
        <v>662</v>
      </c>
      <c r="B49" s="120" t="s">
        <v>664</v>
      </c>
      <c r="C49" s="120" t="s">
        <v>509</v>
      </c>
      <c r="D49" s="120" t="s">
        <v>680</v>
      </c>
      <c r="E49" s="47" t="s">
        <v>681</v>
      </c>
      <c r="F49" s="47"/>
      <c r="G49" s="47"/>
      <c r="H49" s="47"/>
      <c r="I49" s="47"/>
      <c r="J49" s="109" t="s">
        <v>382</v>
      </c>
      <c r="K49" s="47" t="s">
        <v>682</v>
      </c>
      <c r="L49" s="47"/>
      <c r="M49" s="47"/>
      <c r="N49" s="47"/>
      <c r="O49" s="47"/>
      <c r="P49" s="109" t="s">
        <v>382</v>
      </c>
    </row>
    <row r="50" s="98" customFormat="1" ht="18" customHeight="1" spans="1:16">
      <c r="A50" s="47"/>
      <c r="B50" s="120"/>
      <c r="C50" s="120"/>
      <c r="D50" s="120"/>
      <c r="E50" s="47" t="s">
        <v>50</v>
      </c>
      <c r="F50" s="47" t="s">
        <v>485</v>
      </c>
      <c r="G50" s="47" t="s">
        <v>486</v>
      </c>
      <c r="H50" s="47" t="s">
        <v>487</v>
      </c>
      <c r="I50" s="47" t="s">
        <v>488</v>
      </c>
      <c r="J50" s="235">
        <f>SUM(J51:J56)/6</f>
        <v>0</v>
      </c>
      <c r="K50" s="47" t="s">
        <v>96</v>
      </c>
      <c r="L50" s="47" t="s">
        <v>97</v>
      </c>
      <c r="M50" s="47" t="s">
        <v>98</v>
      </c>
      <c r="N50" s="47" t="s">
        <v>99</v>
      </c>
      <c r="O50" s="47" t="s">
        <v>100</v>
      </c>
      <c r="P50" s="235">
        <f>SUM(P51:P53)/3</f>
        <v>0</v>
      </c>
    </row>
    <row r="51" s="99" customFormat="1" ht="18" customHeight="1" spans="1:16">
      <c r="A51" s="117" t="s">
        <v>668</v>
      </c>
      <c r="B51" s="47">
        <f>'SUM1'!$AB$653</f>
        <v>0</v>
      </c>
      <c r="C51" s="47">
        <f>'SUM1'!$AB$650</f>
        <v>0</v>
      </c>
      <c r="D51" s="47">
        <f>B51-C51</f>
        <v>0</v>
      </c>
      <c r="E51" s="47">
        <f>COUNTIFS('SUM1'!$G$646:$G$745,$D$48,'SUM1'!$H$646:$H$745,$E$10)</f>
        <v>0</v>
      </c>
      <c r="F51" s="47">
        <f>COUNTIFS('SUM1'!$G$646:$G$745,$D$48,'SUM1'!$H$646:$H$745,$F$10)</f>
        <v>0</v>
      </c>
      <c r="G51" s="47">
        <f>COUNTIFS('SUM1'!$G$646:$G$745,$D$48,'SUM1'!$H$646:$H$745,$G$10)</f>
        <v>0</v>
      </c>
      <c r="H51" s="47">
        <f>COUNTIFS('SUM1'!$G$646:$G$745,$D$48,'SUM1'!$H$646:$H$745,$H$10)</f>
        <v>0</v>
      </c>
      <c r="I51" s="47">
        <f>COUNTIFS('SUM1'!$G$646:$G$745,$D$48,'SUM1'!$H$646:$H$745,$I$10)</f>
        <v>0</v>
      </c>
      <c r="J51" s="47">
        <f>SUM(E51,F51,G51,H51,I51)</f>
        <v>0</v>
      </c>
      <c r="K51" s="47">
        <f>COUNTIFS('1to4-2.1-RR'!$F$12:$F$111,$D$48,'1to4-2.1-RR'!$BB$12:$BB$111,$K$8)</f>
        <v>0</v>
      </c>
      <c r="L51" s="47">
        <f>COUNTIFS('1to4-2.1-RR'!$F$12:$F$111,$D$48,'1to4-2.1-RR'!$BB$12:$BB$111,$L$8)</f>
        <v>0</v>
      </c>
      <c r="M51" s="47">
        <f>COUNTIFS('1to4-2.1-RR'!$F$12:$F$111,$D$48,'1to4-2.1-RR'!$BB$12:$BB$111,$M$8)</f>
        <v>0</v>
      </c>
      <c r="N51" s="47">
        <f>COUNTIFS('1to4-2.1-RR'!$F$12:$F$111,$D$48,'1to4-2.1-RR'!$BB$12:$BB$111,$N$8)</f>
        <v>0</v>
      </c>
      <c r="O51" s="47">
        <f>COUNTIFS('1to4-2.1-RR'!$F$12:$F$111,$D$48,'1to4-2.1-RR'!$BB$12:$BB$111,$O$8)</f>
        <v>0</v>
      </c>
      <c r="P51" s="47">
        <f>SUM(K51,L51,M51,N51,O51)</f>
        <v>0</v>
      </c>
    </row>
    <row r="52" s="99" customFormat="1" ht="18" customHeight="1" spans="1:16">
      <c r="A52" s="117" t="s">
        <v>513</v>
      </c>
      <c r="B52" s="47">
        <f>'SUM1'!$AB$653</f>
        <v>0</v>
      </c>
      <c r="C52" s="47">
        <f>'SUM1'!$AB$650</f>
        <v>0</v>
      </c>
      <c r="D52" s="47">
        <f t="shared" ref="D52:D56" si="12">B52-C52</f>
        <v>0</v>
      </c>
      <c r="E52" s="47">
        <f>COUNTIFS('SUM1'!$G$646:$G$745,$D$48,'SUM1'!$I$646:$I$745,$E$10)</f>
        <v>0</v>
      </c>
      <c r="F52" s="47">
        <f>COUNTIFS('SUM1'!$G$646:$G$745,$D$48,'SUM1'!$I$646:$I$745,$F$10)</f>
        <v>0</v>
      </c>
      <c r="G52" s="47">
        <f>COUNTIFS('SUM1'!$G$646:$G$745,$D$48,'SUM1'!$I$646:$I$745,$G$10)</f>
        <v>0</v>
      </c>
      <c r="H52" s="47">
        <f>COUNTIFS('SUM1'!$G$646:$G$745,$D$48,'SUM1'!$I$646:$I$745,$H$10)</f>
        <v>0</v>
      </c>
      <c r="I52" s="47">
        <f>COUNTIFS('SUM1'!$G$646:$G$745,$D$48,'SUM1'!$I$646:$I$745,$I$10)</f>
        <v>0</v>
      </c>
      <c r="J52" s="47">
        <f t="shared" ref="J52:J56" si="13">SUM(E52,F52,G52,H52,I52)</f>
        <v>0</v>
      </c>
      <c r="K52" s="47">
        <f>COUNTIFS('1to4-2.1-RR'!$F$12:$F$111,$D$48,'1to4-2.1-RR'!$BC$12:$BC$111,$K$8)</f>
        <v>0</v>
      </c>
      <c r="L52" s="47">
        <f>COUNTIFS('1to4-2.1-RR'!$F$12:$F$111,$D$48,'1to4-2.1-RR'!$BC$12:$BC$111,$L$8)</f>
        <v>0</v>
      </c>
      <c r="M52" s="47">
        <f>COUNTIFS('1to4-2.1-RR'!$F$12:$F$111,$D$48,'1to4-2.1-RR'!$BC$12:$BC$111,$M$8)</f>
        <v>0</v>
      </c>
      <c r="N52" s="47">
        <f>COUNTIFS('1to4-2.1-RR'!$F$12:$F$111,$D$48,'1to4-2.1-RR'!$BC$12:$BC$111,$N$8)</f>
        <v>0</v>
      </c>
      <c r="O52" s="47">
        <f>COUNTIFS('1to4-2.1-RR'!$F$12:$F$111,$D$48,'1to4-2.1-RR'!$BC$12:$BC$111,$O$8)</f>
        <v>0</v>
      </c>
      <c r="P52" s="47">
        <f t="shared" ref="P52:P53" si="14">SUM(K52,L52,M52,N52,O52)</f>
        <v>0</v>
      </c>
    </row>
    <row r="53" s="99" customFormat="1" ht="18" customHeight="1" spans="1:16">
      <c r="A53" s="117" t="s">
        <v>514</v>
      </c>
      <c r="B53" s="47">
        <f>'SUM1'!$AB$653</f>
        <v>0</v>
      </c>
      <c r="C53" s="47">
        <f>'SUM1'!$AB$650</f>
        <v>0</v>
      </c>
      <c r="D53" s="47">
        <f t="shared" si="12"/>
        <v>0</v>
      </c>
      <c r="E53" s="47">
        <f>COUNTIFS('SUM1'!$G$646:$G$745,$D$48,'SUM1'!$J$646:$J$745,$E$10)</f>
        <v>0</v>
      </c>
      <c r="F53" s="47">
        <f>COUNTIFS('SUM1'!$G$646:$G$745,$D$48,'SUM1'!$J$646:$J$745,$F$10)</f>
        <v>0</v>
      </c>
      <c r="G53" s="47">
        <f>COUNTIFS('SUM1'!$G$646:$G$745,$D$48,'SUM1'!$J$646:$J$745,$G$10)</f>
        <v>0</v>
      </c>
      <c r="H53" s="47">
        <f>COUNTIFS('SUM1'!$G$646:$G$745,$D$48,'SUM1'!$J$646:$J$745,$H$10)</f>
        <v>0</v>
      </c>
      <c r="I53" s="47">
        <f>COUNTIFS('SUM1'!$G$646:$G$745,$D$48,'SUM1'!$J$646:$J$745,$I$10)</f>
        <v>0</v>
      </c>
      <c r="J53" s="47">
        <f t="shared" si="13"/>
        <v>0</v>
      </c>
      <c r="K53" s="47">
        <f>COUNTIFS('1to4-2.1-RR'!$F$12:$F$111,$D$48,'1to4-2.1-RR'!$BD$12:$BD$111,$K$8)</f>
        <v>0</v>
      </c>
      <c r="L53" s="47">
        <f>COUNTIFS('1to4-2.1-RR'!$F$12:$F$111,$D$48,'1to4-2.1-RR'!$BD$12:$BD$111,$L$8)</f>
        <v>0</v>
      </c>
      <c r="M53" s="47">
        <f>COUNTIFS('1to4-2.1-RR'!$F$12:$F$111,$D$48,'1to4-2.1-RR'!$BD$12:$BD$111,$M$8)</f>
        <v>0</v>
      </c>
      <c r="N53" s="47">
        <f>COUNTIFS('1to4-2.1-RR'!$F$12:$F$111,$D$48,'1to4-2.1-RR'!$BD$12:$BD$111,$N$8)</f>
        <v>0</v>
      </c>
      <c r="O53" s="47">
        <f>COUNTIFS('1to4-2.1-RR'!$F$12:$F$111,$D$48,'1to4-2.1-RR'!$BD$12:$BD$111,$O$8)</f>
        <v>0</v>
      </c>
      <c r="P53" s="47">
        <f t="shared" si="14"/>
        <v>0</v>
      </c>
    </row>
    <row r="54" s="99" customFormat="1" ht="18" customHeight="1" spans="1:16">
      <c r="A54" s="117" t="s">
        <v>351</v>
      </c>
      <c r="B54" s="47">
        <f>'SUM1'!$AB$653</f>
        <v>0</v>
      </c>
      <c r="C54" s="47">
        <f>'SUM1'!$AB$650</f>
        <v>0</v>
      </c>
      <c r="D54" s="47">
        <f t="shared" si="12"/>
        <v>0</v>
      </c>
      <c r="E54" s="47">
        <f>COUNTIFS('SUM1'!$G$646:$G$745,$D$48,'SUM1'!$K$646:$K$745,$E$10)</f>
        <v>0</v>
      </c>
      <c r="F54" s="47">
        <f>COUNTIFS('SUM1'!$G$646:$G$745,$D$48,'SUM1'!$K$646:$K$745,$F$10)</f>
        <v>0</v>
      </c>
      <c r="G54" s="47">
        <f>COUNTIFS('SUM1'!$G$646:$G$745,$D$48,'SUM1'!$K$646:$K$745,$G$10)</f>
        <v>0</v>
      </c>
      <c r="H54" s="47">
        <f>COUNTIFS('SUM1'!$G$646:$G$745,$D$48,'SUM1'!$K$646:$K$745,$H$10)</f>
        <v>0</v>
      </c>
      <c r="I54" s="47">
        <f>COUNTIFS('SUM1'!$G$646:$G$745,$D$48,'SUM1'!$K$646:$K$745,$I$10)</f>
        <v>0</v>
      </c>
      <c r="J54" s="47">
        <f t="shared" si="13"/>
        <v>0</v>
      </c>
      <c r="K54" s="47" t="s">
        <v>670</v>
      </c>
      <c r="L54" s="47" t="s">
        <v>670</v>
      </c>
      <c r="M54" s="47" t="s">
        <v>670</v>
      </c>
      <c r="N54" s="47" t="s">
        <v>670</v>
      </c>
      <c r="O54" s="47" t="s">
        <v>670</v>
      </c>
      <c r="P54" s="47" t="s">
        <v>670</v>
      </c>
    </row>
    <row r="55" s="99" customFormat="1" ht="18" customHeight="1" spans="1:16">
      <c r="A55" s="117" t="s">
        <v>671</v>
      </c>
      <c r="B55" s="47">
        <f>'SUM1'!$AB$653</f>
        <v>0</v>
      </c>
      <c r="C55" s="47">
        <f>'SUM1'!$AB$650</f>
        <v>0</v>
      </c>
      <c r="D55" s="47">
        <f t="shared" si="12"/>
        <v>0</v>
      </c>
      <c r="E55" s="47">
        <f>COUNTIFS('SUM1'!$G$646:$G$745,$D$48,'SUM1'!$L$646:$L$745,$E$10)</f>
        <v>0</v>
      </c>
      <c r="F55" s="47">
        <f>COUNTIFS('SUM1'!$G$646:$G$745,$D$48,'SUM1'!$L$646:$L$745,$F$10)</f>
        <v>0</v>
      </c>
      <c r="G55" s="47">
        <f>COUNTIFS('SUM1'!$G$646:$G$745,$D$48,'SUM1'!$L$646:$L$745,$G$10)</f>
        <v>0</v>
      </c>
      <c r="H55" s="47">
        <f>COUNTIFS('SUM1'!$G$646:$G$745,$D$48,'SUM1'!$L$646:$L$745,$H$10)</f>
        <v>0</v>
      </c>
      <c r="I55" s="47">
        <f>COUNTIFS('SUM1'!$G$646:$G$745,$D$48,'SUM1'!$L$646:$L$745,$I$10)</f>
        <v>0</v>
      </c>
      <c r="J55" s="47">
        <f t="shared" si="13"/>
        <v>0</v>
      </c>
      <c r="K55" s="47" t="s">
        <v>670</v>
      </c>
      <c r="L55" s="47" t="s">
        <v>670</v>
      </c>
      <c r="M55" s="47" t="s">
        <v>670</v>
      </c>
      <c r="N55" s="47" t="s">
        <v>670</v>
      </c>
      <c r="O55" s="47" t="s">
        <v>670</v>
      </c>
      <c r="P55" s="47" t="s">
        <v>670</v>
      </c>
    </row>
    <row r="56" s="99" customFormat="1" ht="18" customHeight="1" spans="1:16">
      <c r="A56" s="117" t="s">
        <v>672</v>
      </c>
      <c r="B56" s="47">
        <f>'SUM1'!$AB$653</f>
        <v>0</v>
      </c>
      <c r="C56" s="47">
        <f>'SUM1'!$AB$650</f>
        <v>0</v>
      </c>
      <c r="D56" s="47">
        <f t="shared" si="12"/>
        <v>0</v>
      </c>
      <c r="E56" s="47">
        <f>COUNTIFS('SUM1'!$G$646:$G$745,$D$48,'SUM1'!$M$646:$M$745,$E$10)</f>
        <v>0</v>
      </c>
      <c r="F56" s="47">
        <f>COUNTIFS('SUM1'!$G$646:$G$745,$D$48,'SUM1'!$M$646:$M$745,$F$10)</f>
        <v>0</v>
      </c>
      <c r="G56" s="47">
        <f>COUNTIFS('SUM1'!$G$646:$G$745,$D$48,'SUM1'!$M$646:$M$745,$G$10)</f>
        <v>0</v>
      </c>
      <c r="H56" s="47">
        <f>COUNTIFS('SUM1'!$G$646:$G$745,$D$48,'SUM1'!$M$646:$M$745,$H$10)</f>
        <v>0</v>
      </c>
      <c r="I56" s="47">
        <f>COUNTIFS('SUM1'!$G$646:$G$745,$D$48,'SUM1'!$M$646:$M$745,$I$10)</f>
        <v>0</v>
      </c>
      <c r="J56" s="47">
        <f t="shared" si="13"/>
        <v>0</v>
      </c>
      <c r="K56" s="47" t="s">
        <v>670</v>
      </c>
      <c r="L56" s="47" t="s">
        <v>670</v>
      </c>
      <c r="M56" s="47" t="s">
        <v>670</v>
      </c>
      <c r="N56" s="47" t="s">
        <v>670</v>
      </c>
      <c r="O56" s="47" t="s">
        <v>670</v>
      </c>
      <c r="P56" s="47" t="s">
        <v>670</v>
      </c>
    </row>
    <row r="58" s="97" customFormat="1" ht="18" customHeight="1" spans="1:16">
      <c r="A58" s="106" t="s">
        <v>687</v>
      </c>
      <c r="B58" s="106"/>
      <c r="C58" s="106"/>
      <c r="D58" s="107" t="s">
        <v>493</v>
      </c>
    </row>
    <row r="59" s="98" customFormat="1" ht="18" customHeight="1" spans="1:16">
      <c r="A59" s="47" t="s">
        <v>662</v>
      </c>
      <c r="B59" s="120" t="s">
        <v>664</v>
      </c>
      <c r="C59" s="120" t="s">
        <v>509</v>
      </c>
      <c r="D59" s="120" t="s">
        <v>680</v>
      </c>
      <c r="E59" s="47" t="s">
        <v>681</v>
      </c>
      <c r="F59" s="47"/>
      <c r="G59" s="47"/>
      <c r="H59" s="47"/>
      <c r="I59" s="47"/>
      <c r="J59" s="109" t="s">
        <v>382</v>
      </c>
      <c r="K59" s="47" t="s">
        <v>682</v>
      </c>
      <c r="L59" s="47"/>
      <c r="M59" s="47"/>
      <c r="N59" s="47"/>
      <c r="O59" s="47"/>
      <c r="P59" s="109" t="s">
        <v>382</v>
      </c>
    </row>
    <row r="60" s="98" customFormat="1" ht="18" customHeight="1" spans="1:16">
      <c r="A60" s="47"/>
      <c r="B60" s="120"/>
      <c r="C60" s="120"/>
      <c r="D60" s="120"/>
      <c r="E60" s="47" t="s">
        <v>50</v>
      </c>
      <c r="F60" s="47" t="s">
        <v>485</v>
      </c>
      <c r="G60" s="47" t="s">
        <v>486</v>
      </c>
      <c r="H60" s="47" t="s">
        <v>487</v>
      </c>
      <c r="I60" s="47" t="s">
        <v>488</v>
      </c>
      <c r="J60" s="235">
        <f>SUM(J61:J66)/6</f>
        <v>0</v>
      </c>
      <c r="K60" s="47" t="s">
        <v>96</v>
      </c>
      <c r="L60" s="47" t="s">
        <v>97</v>
      </c>
      <c r="M60" s="47" t="s">
        <v>98</v>
      </c>
      <c r="N60" s="47" t="s">
        <v>99</v>
      </c>
      <c r="O60" s="47" t="s">
        <v>100</v>
      </c>
      <c r="P60" s="235">
        <f>SUM(P61:P63)/3</f>
        <v>0</v>
      </c>
    </row>
    <row r="61" s="99" customFormat="1" ht="18" customHeight="1" spans="1:16">
      <c r="A61" s="117" t="s">
        <v>668</v>
      </c>
      <c r="B61" s="47">
        <f>'SUM1'!$AB$702</f>
        <v>0</v>
      </c>
      <c r="C61" s="47">
        <f>'SUM1'!$AB$699</f>
        <v>0</v>
      </c>
      <c r="D61" s="47">
        <f>B61-C61</f>
        <v>0</v>
      </c>
      <c r="E61" s="47">
        <f>COUNTIFS('SUM1'!$G$646:$G$745,$D$58,'SUM1'!$H$646:$H$745,$E$10)</f>
        <v>0</v>
      </c>
      <c r="F61" s="47">
        <f>COUNTIFS('SUM1'!$G$646:$G$745,$D$58,'SUM1'!$H$646:$H$745,$F$10)</f>
        <v>0</v>
      </c>
      <c r="G61" s="47">
        <f>COUNTIFS('SUM1'!$G$646:$G$745,$D$58,'SUM1'!$H$646:$H$745,$G$10)</f>
        <v>0</v>
      </c>
      <c r="H61" s="47">
        <f>COUNTIFS('SUM1'!$G$646:$G$745,$D$58,'SUM1'!$H$646:$H$745,$H$10)</f>
        <v>0</v>
      </c>
      <c r="I61" s="47">
        <f>COUNTIFS('SUM1'!$G$646:$G$745,$D$58,'SUM1'!$H$646:$H$745,$I$10)</f>
        <v>0</v>
      </c>
      <c r="J61" s="47">
        <f>SUM(E61,F61,G61,H61,I61)</f>
        <v>0</v>
      </c>
      <c r="K61" s="47">
        <f>COUNTIFS('1to4-2.1-RR'!$F$12:$F$111,$D$58,'1to4-2.1-RR'!$BB$12:$BB$111,$K$8)</f>
        <v>0</v>
      </c>
      <c r="L61" s="47">
        <f>COUNTIFS('1to4-2.1-RR'!$F$12:$F$111,$D$58,'1to4-2.1-RR'!$BB$12:$BB$111,$L$8)</f>
        <v>0</v>
      </c>
      <c r="M61" s="47">
        <f>COUNTIFS('1to4-2.1-RR'!$F$12:$F$111,$D$58,'1to4-2.1-RR'!$BB$12:$BB$111,$M$8)</f>
        <v>0</v>
      </c>
      <c r="N61" s="47">
        <f>COUNTIFS('1to4-2.1-RR'!$F$12:$F$111,$D$58,'1to4-2.1-RR'!$BB$12:$BB$111,$N$8)</f>
        <v>0</v>
      </c>
      <c r="O61" s="47">
        <f>COUNTIFS('1to4-2.1-RR'!$F$12:$F$111,$D$58,'1to4-2.1-RR'!$BB$12:$BB$111,$O$8)</f>
        <v>0</v>
      </c>
      <c r="P61" s="47">
        <f>SUM(K61,L61,M61,N61,O61)</f>
        <v>0</v>
      </c>
    </row>
    <row r="62" s="99" customFormat="1" ht="18" customHeight="1" spans="1:16">
      <c r="A62" s="117" t="s">
        <v>513</v>
      </c>
      <c r="B62" s="47">
        <f>'SUM1'!$AB$702</f>
        <v>0</v>
      </c>
      <c r="C62" s="47">
        <f>'SUM1'!$AB$699</f>
        <v>0</v>
      </c>
      <c r="D62" s="47">
        <f t="shared" ref="D62:D66" si="15">B62-C62</f>
        <v>0</v>
      </c>
      <c r="E62" s="47">
        <f>COUNTIFS('SUM1'!$G$646:$G$745,$D$58,'SUM1'!$I$646:$I$745,$E$10)</f>
        <v>0</v>
      </c>
      <c r="F62" s="47">
        <f>COUNTIFS('SUM1'!$G$646:$G$745,$D$58,'SUM1'!$I$646:$I$745,$F$10)</f>
        <v>0</v>
      </c>
      <c r="G62" s="47">
        <f>COUNTIFS('SUM1'!$G$646:$G$745,$D$58,'SUM1'!$I$646:$I$745,$G$10)</f>
        <v>0</v>
      </c>
      <c r="H62" s="47">
        <f>COUNTIFS('SUM1'!$G$646:$G$745,$D$58,'SUM1'!$I$646:$I$745,$H$10)</f>
        <v>0</v>
      </c>
      <c r="I62" s="47">
        <f>COUNTIFS('SUM1'!$G$646:$G$745,$D$58,'SUM1'!$I$646:$I$745,$I$10)</f>
        <v>0</v>
      </c>
      <c r="J62" s="47">
        <f t="shared" ref="J62:J66" si="16">SUM(E62,F62,G62,H62,I62)</f>
        <v>0</v>
      </c>
      <c r="K62" s="47">
        <f>COUNTIFS('1to4-2.1-RR'!$F$12:$F$111,$D$58,'1to4-2.1-RR'!$BC$12:$BC$111,$K$8)</f>
        <v>0</v>
      </c>
      <c r="L62" s="47">
        <f>COUNTIFS('1to4-2.1-RR'!$F$12:$F$111,$D$58,'1to4-2.1-RR'!$BC$12:$BC$111,$L$8)</f>
        <v>0</v>
      </c>
      <c r="M62" s="47">
        <f>COUNTIFS('1to4-2.1-RR'!$F$12:$F$111,$D$58,'1to4-2.1-RR'!$BC$12:$BC$111,$M$8)</f>
        <v>0</v>
      </c>
      <c r="N62" s="47">
        <f>COUNTIFS('1to4-2.1-RR'!$F$12:$F$111,$D$58,'1to4-2.1-RR'!$BC$12:$BC$111,$N$8)</f>
        <v>0</v>
      </c>
      <c r="O62" s="47">
        <f>COUNTIFS('1to4-2.1-RR'!$F$12:$F$111,$D$58,'1to4-2.1-RR'!$BC$12:$BC$111,$O$8)</f>
        <v>0</v>
      </c>
      <c r="P62" s="47">
        <f t="shared" ref="P62:P63" si="17">SUM(K62,L62,M62,N62,O62)</f>
        <v>0</v>
      </c>
    </row>
    <row r="63" s="99" customFormat="1" ht="18" customHeight="1" spans="1:16">
      <c r="A63" s="117" t="s">
        <v>514</v>
      </c>
      <c r="B63" s="47">
        <f>'SUM1'!$AB$702</f>
        <v>0</v>
      </c>
      <c r="C63" s="47">
        <f>'SUM1'!$AB$699</f>
        <v>0</v>
      </c>
      <c r="D63" s="47">
        <f t="shared" si="15"/>
        <v>0</v>
      </c>
      <c r="E63" s="47">
        <f>COUNTIFS('SUM1'!$G$646:$G$745,$D$58,'SUM1'!$J$646:$J$745,$E$10)</f>
        <v>0</v>
      </c>
      <c r="F63" s="47">
        <f>COUNTIFS('SUM1'!$G$646:$G$745,$D$58,'SUM1'!$J$646:$J$745,$F$10)</f>
        <v>0</v>
      </c>
      <c r="G63" s="47">
        <f>COUNTIFS('SUM1'!$G$646:$G$745,$D$58,'SUM1'!$J$646:$J$745,$G$10)</f>
        <v>0</v>
      </c>
      <c r="H63" s="47">
        <f>COUNTIFS('SUM1'!$G$646:$G$745,$D$58,'SUM1'!$J$646:$J$745,$H$10)</f>
        <v>0</v>
      </c>
      <c r="I63" s="47">
        <f>COUNTIFS('SUM1'!$G$646:$G$745,$D$58,'SUM1'!$J$646:$J$745,$I$10)</f>
        <v>0</v>
      </c>
      <c r="J63" s="47">
        <f t="shared" si="16"/>
        <v>0</v>
      </c>
      <c r="K63" s="47">
        <f>COUNTIFS('1to4-2.1-RR'!$F$12:$F$111,$D$58,'1to4-2.1-RR'!$BD$12:$BD$111,$K$8)</f>
        <v>0</v>
      </c>
      <c r="L63" s="47">
        <f>COUNTIFS('1to4-2.1-RR'!$F$12:$F$111,$D$58,'1to4-2.1-RR'!$BD$12:$BD$111,$L$8)</f>
        <v>0</v>
      </c>
      <c r="M63" s="47">
        <f>COUNTIFS('1to4-2.1-RR'!$F$12:$F$111,$D$58,'1to4-2.1-RR'!$BD$12:$BD$111,$M$8)</f>
        <v>0</v>
      </c>
      <c r="N63" s="47">
        <f>COUNTIFS('1to4-2.1-RR'!$F$12:$F$111,$D$58,'1to4-2.1-RR'!$BD$12:$BD$111,$N$8)</f>
        <v>0</v>
      </c>
      <c r="O63" s="47">
        <f>COUNTIFS('1to4-2.1-RR'!$F$12:$F$111,$D$58,'1to4-2.1-RR'!$BD$12:$BD$111,$O$8)</f>
        <v>0</v>
      </c>
      <c r="P63" s="47">
        <f t="shared" si="17"/>
        <v>0</v>
      </c>
    </row>
    <row r="64" s="99" customFormat="1" ht="18" customHeight="1" spans="1:16">
      <c r="A64" s="117" t="s">
        <v>351</v>
      </c>
      <c r="B64" s="47">
        <f>'SUM1'!$AB$702</f>
        <v>0</v>
      </c>
      <c r="C64" s="47">
        <f>'SUM1'!$AB$699</f>
        <v>0</v>
      </c>
      <c r="D64" s="47">
        <f t="shared" si="15"/>
        <v>0</v>
      </c>
      <c r="E64" s="47">
        <f>COUNTIFS('SUM1'!$G$646:$G$745,$D$58,'SUM1'!$K$646:$K$745,$E$10)</f>
        <v>0</v>
      </c>
      <c r="F64" s="47">
        <f>COUNTIFS('SUM1'!$G$646:$G$745,$D$58,'SUM1'!$K$646:$K$745,$F$10)</f>
        <v>0</v>
      </c>
      <c r="G64" s="47">
        <f>COUNTIFS('SUM1'!$G$646:$G$745,$D$58,'SUM1'!$K$646:$K$745,$G$10)</f>
        <v>0</v>
      </c>
      <c r="H64" s="47">
        <f>COUNTIFS('SUM1'!$G$646:$G$745,$D$58,'SUM1'!$K$646:$K$745,$H$10)</f>
        <v>0</v>
      </c>
      <c r="I64" s="47">
        <f>COUNTIFS('SUM1'!$G$646:$G$745,$D$58,'SUM1'!$K$646:$K$745,$I$10)</f>
        <v>0</v>
      </c>
      <c r="J64" s="47">
        <f t="shared" si="16"/>
        <v>0</v>
      </c>
      <c r="K64" s="47" t="s">
        <v>670</v>
      </c>
      <c r="L64" s="47" t="s">
        <v>670</v>
      </c>
      <c r="M64" s="47" t="s">
        <v>670</v>
      </c>
      <c r="N64" s="47" t="s">
        <v>670</v>
      </c>
      <c r="O64" s="47" t="s">
        <v>670</v>
      </c>
      <c r="P64" s="47" t="s">
        <v>670</v>
      </c>
    </row>
    <row r="65" s="99" customFormat="1" ht="18" customHeight="1" spans="1:16">
      <c r="A65" s="117" t="s">
        <v>671</v>
      </c>
      <c r="B65" s="47">
        <f>'SUM1'!$AB$702</f>
        <v>0</v>
      </c>
      <c r="C65" s="47">
        <f>'SUM1'!$AB$699</f>
        <v>0</v>
      </c>
      <c r="D65" s="47">
        <f t="shared" si="15"/>
        <v>0</v>
      </c>
      <c r="E65" s="47">
        <f>COUNTIFS('SUM1'!$G$646:$G$745,$D$58,'SUM1'!$L$646:$L$745,$E$10)</f>
        <v>0</v>
      </c>
      <c r="F65" s="47">
        <f>COUNTIFS('SUM1'!$G$646:$G$745,$D$58,'SUM1'!$L$646:$L$745,$F$10)</f>
        <v>0</v>
      </c>
      <c r="G65" s="47">
        <f>COUNTIFS('SUM1'!$G$646:$G$745,$D$58,'SUM1'!$L$646:$L$745,$G$10)</f>
        <v>0</v>
      </c>
      <c r="H65" s="47">
        <f>COUNTIFS('SUM1'!$G$646:$G$745,$D$58,'SUM1'!$L$646:$L$745,$H$10)</f>
        <v>0</v>
      </c>
      <c r="I65" s="47">
        <f>COUNTIFS('SUM1'!$G$646:$G$745,$D$58,'SUM1'!$L$646:$L$745,$I$10)</f>
        <v>0</v>
      </c>
      <c r="J65" s="47">
        <f t="shared" si="16"/>
        <v>0</v>
      </c>
      <c r="K65" s="47" t="s">
        <v>670</v>
      </c>
      <c r="L65" s="47" t="s">
        <v>670</v>
      </c>
      <c r="M65" s="47" t="s">
        <v>670</v>
      </c>
      <c r="N65" s="47" t="s">
        <v>670</v>
      </c>
      <c r="O65" s="47" t="s">
        <v>670</v>
      </c>
      <c r="P65" s="47" t="s">
        <v>670</v>
      </c>
    </row>
    <row r="66" s="99" customFormat="1" ht="18" customHeight="1" spans="1:16">
      <c r="A66" s="117" t="s">
        <v>672</v>
      </c>
      <c r="B66" s="47">
        <f>'SUM1'!$AB$702</f>
        <v>0</v>
      </c>
      <c r="C66" s="47">
        <f>'SUM1'!$AB$699</f>
        <v>0</v>
      </c>
      <c r="D66" s="47">
        <f t="shared" si="15"/>
        <v>0</v>
      </c>
      <c r="E66" s="47">
        <f>COUNTIFS('SUM1'!$G$646:$G$745,$D$58,'SUM1'!$M$646:$M$745,$E$10)</f>
        <v>0</v>
      </c>
      <c r="F66" s="47">
        <f>COUNTIFS('SUM1'!$G$646:$G$745,$D$58,'SUM1'!$M$646:$M$745,$F$10)</f>
        <v>0</v>
      </c>
      <c r="G66" s="47">
        <f>COUNTIFS('SUM1'!$G$646:$G$745,$D$58,'SUM1'!$M$646:$M$745,$G$10)</f>
        <v>0</v>
      </c>
      <c r="H66" s="47">
        <f>COUNTIFS('SUM1'!$G$646:$G$745,$D$58,'SUM1'!$M$646:$M$745,$H$10)</f>
        <v>0</v>
      </c>
      <c r="I66" s="47">
        <f>COUNTIFS('SUM1'!$G$646:$G$745,$D$58,'SUM1'!$M$646:$M$745,$I$10)</f>
        <v>0</v>
      </c>
      <c r="J66" s="47">
        <f t="shared" si="16"/>
        <v>0</v>
      </c>
      <c r="K66" s="47" t="s">
        <v>670</v>
      </c>
      <c r="L66" s="47" t="s">
        <v>670</v>
      </c>
      <c r="M66" s="47" t="s">
        <v>670</v>
      </c>
      <c r="N66" s="47" t="s">
        <v>670</v>
      </c>
      <c r="O66" s="47" t="s">
        <v>670</v>
      </c>
      <c r="P66" s="47" t="s">
        <v>670</v>
      </c>
    </row>
    <row r="68" s="97" customFormat="1" ht="18" customHeight="1" spans="1:16">
      <c r="A68" s="106" t="s">
        <v>688</v>
      </c>
      <c r="B68" s="106"/>
      <c r="C68" s="106"/>
      <c r="D68" s="107" t="s">
        <v>494</v>
      </c>
    </row>
    <row r="69" s="98" customFormat="1" ht="18" customHeight="1" spans="1:16">
      <c r="A69" s="47" t="s">
        <v>662</v>
      </c>
      <c r="B69" s="120" t="s">
        <v>664</v>
      </c>
      <c r="C69" s="120" t="s">
        <v>509</v>
      </c>
      <c r="D69" s="120" t="s">
        <v>680</v>
      </c>
      <c r="E69" s="47" t="s">
        <v>681</v>
      </c>
      <c r="F69" s="47"/>
      <c r="G69" s="47"/>
      <c r="H69" s="47"/>
      <c r="I69" s="47"/>
      <c r="J69" s="109" t="s">
        <v>382</v>
      </c>
      <c r="K69" s="47" t="s">
        <v>682</v>
      </c>
      <c r="L69" s="47"/>
      <c r="M69" s="47"/>
      <c r="N69" s="47"/>
      <c r="O69" s="47"/>
      <c r="P69" s="109" t="s">
        <v>382</v>
      </c>
    </row>
    <row r="70" s="98" customFormat="1" ht="18" customHeight="1" spans="1:16">
      <c r="A70" s="47"/>
      <c r="B70" s="120"/>
      <c r="C70" s="120"/>
      <c r="D70" s="120"/>
      <c r="E70" s="47" t="s">
        <v>50</v>
      </c>
      <c r="F70" s="47" t="s">
        <v>485</v>
      </c>
      <c r="G70" s="47" t="s">
        <v>486</v>
      </c>
      <c r="H70" s="47" t="s">
        <v>487</v>
      </c>
      <c r="I70" s="47" t="s">
        <v>488</v>
      </c>
      <c r="J70" s="235">
        <f>SUM(J71:J76)/6</f>
        <v>0</v>
      </c>
      <c r="K70" s="47" t="s">
        <v>96</v>
      </c>
      <c r="L70" s="47" t="s">
        <v>97</v>
      </c>
      <c r="M70" s="47" t="s">
        <v>98</v>
      </c>
      <c r="N70" s="47" t="s">
        <v>99</v>
      </c>
      <c r="O70" s="47" t="s">
        <v>100</v>
      </c>
      <c r="P70" s="235">
        <f>SUM(P71:P73)/3</f>
        <v>0</v>
      </c>
    </row>
    <row r="71" s="99" customFormat="1" ht="18" customHeight="1" spans="1:16">
      <c r="A71" s="117" t="s">
        <v>668</v>
      </c>
      <c r="B71" s="47">
        <f>'SUM1'!$AB$715+B51</f>
        <v>0</v>
      </c>
      <c r="C71" s="47">
        <f>'SUM1'!$AB$712+C51</f>
        <v>0</v>
      </c>
      <c r="D71" s="47">
        <f>B71-C71</f>
        <v>0</v>
      </c>
      <c r="E71" s="47">
        <f>COUNTIFS('SUM1'!$G$646:$G$745,$D$68,'SUM1'!$H$646:$H$745,$E$10)+E51</f>
        <v>0</v>
      </c>
      <c r="F71" s="47">
        <f>COUNTIFS('SUM1'!$G$646:$G$745,$D$68,'SUM1'!$H$646:$H$745,$F$10)+F51</f>
        <v>0</v>
      </c>
      <c r="G71" s="47">
        <f>COUNTIFS('SUM1'!$G$646:$G$745,$D$68,'SUM1'!$H$646:$H$745,$G$10)+G51</f>
        <v>0</v>
      </c>
      <c r="H71" s="47">
        <f>COUNTIFS('SUM1'!$G$646:$G$745,$D$68,'SUM1'!$H$646:$H$745,$H$10)+H51</f>
        <v>0</v>
      </c>
      <c r="I71" s="47">
        <f>COUNTIFS('SUM1'!$G$646:$G$745,$D$68,'SUM1'!$H$646:$H$745,$I$10)+I51</f>
        <v>0</v>
      </c>
      <c r="J71" s="47">
        <f>SUM(E71,F71,G71,H71,I71)</f>
        <v>0</v>
      </c>
      <c r="K71" s="47">
        <f>COUNTIFS('1to4-2.1-RR'!$F$12:$F$111,$D$68,'1to4-2.1-RR'!$BB$12:$BB$111,$K$8)+K51</f>
        <v>0</v>
      </c>
      <c r="L71" s="47">
        <f>COUNTIFS('1to4-2.1-RR'!$F$12:$F$111,$D$68,'1to4-2.1-RR'!$BB$12:$BB$111,$L$8)+L51</f>
        <v>0</v>
      </c>
      <c r="M71" s="47">
        <f>COUNTIFS('1to4-2.1-RR'!$F$12:$F$111,$D$68,'1to4-2.1-RR'!$BB$12:$BB$111,$M$8)+M51</f>
        <v>0</v>
      </c>
      <c r="N71" s="47">
        <f>COUNTIFS('1to4-2.1-RR'!$F$12:$F$111,$D$68,'1to4-2.1-RR'!$BB$12:$BB$111,$N$8)+N51</f>
        <v>0</v>
      </c>
      <c r="O71" s="47">
        <f>COUNTIFS('1to4-2.1-RR'!$F$12:$F$111,$D$68,'1to4-2.1-RR'!$BB$12:$BB$111,$O$8)+O51</f>
        <v>0</v>
      </c>
      <c r="P71" s="47">
        <f>SUM(K71,L71,M71,N71,O71)</f>
        <v>0</v>
      </c>
    </row>
    <row r="72" s="99" customFormat="1" ht="18" customHeight="1" spans="1:16">
      <c r="A72" s="117" t="s">
        <v>513</v>
      </c>
      <c r="B72" s="47">
        <f>'SUM1'!$AB$715+B52</f>
        <v>0</v>
      </c>
      <c r="C72" s="47">
        <f>'SUM1'!$AB$712+C52</f>
        <v>0</v>
      </c>
      <c r="D72" s="47">
        <f t="shared" ref="D72:D76" si="18">B72-C72</f>
        <v>0</v>
      </c>
      <c r="E72" s="47">
        <f>COUNTIFS('SUM1'!$G$646:$G$745,$D$68,'SUM1'!$I$646:$I$745,$E$10)+E52</f>
        <v>0</v>
      </c>
      <c r="F72" s="47">
        <f>COUNTIFS('SUM1'!$G$646:$G$745,$D$68,'SUM1'!$I$646:$I$745,$F$10)+F52</f>
        <v>0</v>
      </c>
      <c r="G72" s="47">
        <f>COUNTIFS('SUM1'!$G$646:$G$745,$D$68,'SUM1'!$I$646:$I$745,$G$10)+G52</f>
        <v>0</v>
      </c>
      <c r="H72" s="47">
        <f>COUNTIFS('SUM1'!$G$646:$G$745,$D$68,'SUM1'!$I$646:$I$745,$H$10)+H52</f>
        <v>0</v>
      </c>
      <c r="I72" s="47">
        <f>COUNTIFS('SUM1'!$G$646:$G$745,$D$68,'SUM1'!$I$646:$I$745,$I$10)+I52</f>
        <v>0</v>
      </c>
      <c r="J72" s="47">
        <f t="shared" ref="J72:J76" si="19">SUM(E72,F72,G72,H72,I72)</f>
        <v>0</v>
      </c>
      <c r="K72" s="47">
        <f>COUNTIFS('1to4-2.1-RR'!$F$12:$F$111,$D$68,'1to4-2.1-RR'!$BC$12:$BC$111,$K$8)+K52</f>
        <v>0</v>
      </c>
      <c r="L72" s="47">
        <f>COUNTIFS('1to4-2.1-RR'!$F$12:$F$111,$D$68,'1to4-2.1-RR'!$BC$12:$BC$111,$L$8)+L52</f>
        <v>0</v>
      </c>
      <c r="M72" s="47">
        <f>COUNTIFS('1to4-2.1-RR'!$F$12:$F$111,$D$68,'1to4-2.1-RR'!$BC$12:$BC$111,$M$8)+M52</f>
        <v>0</v>
      </c>
      <c r="N72" s="47">
        <f>COUNTIFS('1to4-2.1-RR'!$F$12:$F$111,$D$68,'1to4-2.1-RR'!$BC$12:$BC$111,$N$8)+N52</f>
        <v>0</v>
      </c>
      <c r="O72" s="47">
        <f>COUNTIFS('1to4-2.1-RR'!$F$12:$F$111,$D$68,'1to4-2.1-RR'!$BC$12:$BC$111,$O$8)+O52</f>
        <v>0</v>
      </c>
      <c r="P72" s="47">
        <f t="shared" ref="P72:P73" si="20">SUM(K72,L72,M72,N72,O72)</f>
        <v>0</v>
      </c>
    </row>
    <row r="73" s="99" customFormat="1" ht="18" customHeight="1" spans="1:16">
      <c r="A73" s="117" t="s">
        <v>514</v>
      </c>
      <c r="B73" s="47">
        <f>'SUM1'!$AB$715+B53</f>
        <v>0</v>
      </c>
      <c r="C73" s="47">
        <f>'SUM1'!$AB$712+C53</f>
        <v>0</v>
      </c>
      <c r="D73" s="47">
        <f t="shared" si="18"/>
        <v>0</v>
      </c>
      <c r="E73" s="47">
        <f>COUNTIFS('SUM1'!$G$646:$G$745,$D$68,'SUM1'!$J$646:$J$745,$E$10)+E53</f>
        <v>0</v>
      </c>
      <c r="F73" s="47">
        <f>COUNTIFS('SUM1'!$G$646:$G$745,$D$68,'SUM1'!$J$646:$J$745,$F$10)+F53</f>
        <v>0</v>
      </c>
      <c r="G73" s="47">
        <f>COUNTIFS('SUM1'!$G$646:$G$745,$D$68,'SUM1'!$J$646:$J$745,$G$10)+G53</f>
        <v>0</v>
      </c>
      <c r="H73" s="47">
        <f>COUNTIFS('SUM1'!$G$646:$G$745,$D$68,'SUM1'!$J$646:$J$745,$H$10)+H53</f>
        <v>0</v>
      </c>
      <c r="I73" s="47">
        <f>COUNTIFS('SUM1'!$G$646:$G$745,$D$68,'SUM1'!$J$646:$J$745,$I$10)+I53</f>
        <v>0</v>
      </c>
      <c r="J73" s="47">
        <f t="shared" si="19"/>
        <v>0</v>
      </c>
      <c r="K73" s="47">
        <f>COUNTIFS('1to4-2.1-RR'!$F$12:$F$111,$D$68,'1to4-2.1-RR'!$BD$12:$BD$111,$K$8)+K53</f>
        <v>0</v>
      </c>
      <c r="L73" s="47">
        <f>COUNTIFS('1to4-2.1-RR'!$F$12:$F$111,$D$68,'1to4-2.1-RR'!$BD$12:$BD$111,$L$8)+L53</f>
        <v>0</v>
      </c>
      <c r="M73" s="47">
        <f>COUNTIFS('1to4-2.1-RR'!$F$12:$F$111,$D$68,'1to4-2.1-RR'!$BD$12:$BD$111,$M$8)+M53</f>
        <v>0</v>
      </c>
      <c r="N73" s="47">
        <f>COUNTIFS('1to4-2.1-RR'!$F$12:$F$111,$D$68,'1to4-2.1-RR'!$BD$12:$BD$111,$N$8)+N53</f>
        <v>0</v>
      </c>
      <c r="O73" s="47">
        <f>COUNTIFS('1to4-2.1-RR'!$F$12:$F$111,$D$68,'1to4-2.1-RR'!$BD$12:$BD$111,$O$8)+O53</f>
        <v>0</v>
      </c>
      <c r="P73" s="47">
        <f t="shared" si="20"/>
        <v>0</v>
      </c>
    </row>
    <row r="74" s="99" customFormat="1" ht="18" customHeight="1" spans="1:16">
      <c r="A74" s="117" t="s">
        <v>351</v>
      </c>
      <c r="B74" s="47">
        <f>'SUM1'!$AB$715+B54</f>
        <v>0</v>
      </c>
      <c r="C74" s="47">
        <f>'SUM1'!$AB$712+C54</f>
        <v>0</v>
      </c>
      <c r="D74" s="47">
        <f t="shared" si="18"/>
        <v>0</v>
      </c>
      <c r="E74" s="47">
        <f>COUNTIFS('SUM1'!$G$646:$G$745,$D$68,'SUM1'!$K$646:$K$745,$E$10)+E54</f>
        <v>0</v>
      </c>
      <c r="F74" s="47">
        <f>COUNTIFS('SUM1'!$G$646:$G$745,$D$68,'SUM1'!$K$646:$K$745,$F$10)+F54</f>
        <v>0</v>
      </c>
      <c r="G74" s="47">
        <f>COUNTIFS('SUM1'!$G$646:$G$745,$D$68,'SUM1'!$K$646:$K$745,$G$10)+G54</f>
        <v>0</v>
      </c>
      <c r="H74" s="47">
        <f>COUNTIFS('SUM1'!$G$646:$G$745,$D$68,'SUM1'!$K$646:$K$745,$H$10)+H54</f>
        <v>0</v>
      </c>
      <c r="I74" s="47">
        <f>COUNTIFS('SUM1'!$G$646:$G$745,$D$68,'SUM1'!$K$646:$K$745,$I$10)+I54</f>
        <v>0</v>
      </c>
      <c r="J74" s="47">
        <f t="shared" si="19"/>
        <v>0</v>
      </c>
      <c r="K74" s="47" t="s">
        <v>670</v>
      </c>
      <c r="L74" s="47" t="s">
        <v>670</v>
      </c>
      <c r="M74" s="47" t="s">
        <v>670</v>
      </c>
      <c r="N74" s="47" t="s">
        <v>670</v>
      </c>
      <c r="O74" s="47" t="s">
        <v>670</v>
      </c>
      <c r="P74" s="47" t="s">
        <v>670</v>
      </c>
    </row>
    <row r="75" s="99" customFormat="1" ht="18" customHeight="1" spans="1:16">
      <c r="A75" s="117" t="s">
        <v>671</v>
      </c>
      <c r="B75" s="47">
        <f>'SUM1'!$AB$715+B55</f>
        <v>0</v>
      </c>
      <c r="C75" s="47">
        <f>'SUM1'!$AB$712+C55</f>
        <v>0</v>
      </c>
      <c r="D75" s="47">
        <f t="shared" si="18"/>
        <v>0</v>
      </c>
      <c r="E75" s="47">
        <f>COUNTIFS('SUM1'!$G$646:$G$745,$D$68,'SUM1'!$L$646:$L$745,$E$10)+E55</f>
        <v>0</v>
      </c>
      <c r="F75" s="47">
        <f>COUNTIFS('SUM1'!$G$646:$G$745,$D$68,'SUM1'!$L$646:$L$745,$F$10)+F55</f>
        <v>0</v>
      </c>
      <c r="G75" s="47">
        <f>COUNTIFS('SUM1'!$G$646:$G$745,$D$68,'SUM1'!$L$646:$L$745,$G$10)+G55</f>
        <v>0</v>
      </c>
      <c r="H75" s="47">
        <f>COUNTIFS('SUM1'!$G$646:$G$745,$D$68,'SUM1'!$L$646:$L$745,$H$10)+H55</f>
        <v>0</v>
      </c>
      <c r="I75" s="47">
        <f>COUNTIFS('SUM1'!$G$646:$G$745,$D$68,'SUM1'!$L$646:$L$745,$I$10)+I55</f>
        <v>0</v>
      </c>
      <c r="J75" s="47">
        <f t="shared" si="19"/>
        <v>0</v>
      </c>
      <c r="K75" s="47" t="s">
        <v>670</v>
      </c>
      <c r="L75" s="47" t="s">
        <v>670</v>
      </c>
      <c r="M75" s="47" t="s">
        <v>670</v>
      </c>
      <c r="N75" s="47" t="s">
        <v>670</v>
      </c>
      <c r="O75" s="47" t="s">
        <v>670</v>
      </c>
      <c r="P75" s="47" t="s">
        <v>670</v>
      </c>
    </row>
    <row r="76" s="99" customFormat="1" ht="18" customHeight="1" spans="1:16">
      <c r="A76" s="117" t="s">
        <v>672</v>
      </c>
      <c r="B76" s="47">
        <f>'SUM1'!$AB$715+B56</f>
        <v>0</v>
      </c>
      <c r="C76" s="47">
        <f>'SUM1'!$AB$712+C56</f>
        <v>0</v>
      </c>
      <c r="D76" s="47">
        <f t="shared" si="18"/>
        <v>0</v>
      </c>
      <c r="E76" s="47">
        <f>COUNTIFS('SUM1'!$G$646:$G$745,$D$68,'SUM1'!$M$646:$M$745,$E$10)+E56</f>
        <v>0</v>
      </c>
      <c r="F76" s="47">
        <f>COUNTIFS('SUM1'!$G$646:$G$745,$D$68,'SUM1'!$M$646:$M$745,$F$10)+F56</f>
        <v>0</v>
      </c>
      <c r="G76" s="47">
        <f>COUNTIFS('SUM1'!$G$646:$G$745,$D$68,'SUM1'!$M$646:$M$745,$G$10)+G56</f>
        <v>0</v>
      </c>
      <c r="H76" s="47">
        <f>COUNTIFS('SUM1'!$G$646:$G$745,$D$68,'SUM1'!$M$646:$M$745,$H$10)+H56</f>
        <v>0</v>
      </c>
      <c r="I76" s="47">
        <f>COUNTIFS('SUM1'!$G$646:$G$745,$D$68,'SUM1'!$M$646:$M$745,$I$10)+I56</f>
        <v>0</v>
      </c>
      <c r="J76" s="47">
        <f t="shared" si="19"/>
        <v>0</v>
      </c>
      <c r="K76" s="47" t="s">
        <v>670</v>
      </c>
      <c r="L76" s="47" t="s">
        <v>670</v>
      </c>
      <c r="M76" s="47" t="s">
        <v>670</v>
      </c>
      <c r="N76" s="47" t="s">
        <v>670</v>
      </c>
      <c r="O76" s="47" t="s">
        <v>670</v>
      </c>
      <c r="P76" s="47" t="s">
        <v>670</v>
      </c>
    </row>
    <row r="78" s="97" customFormat="1" ht="18" customHeight="1" spans="1:16">
      <c r="A78" s="119" t="s">
        <v>689</v>
      </c>
      <c r="B78" s="119"/>
      <c r="C78" s="119"/>
    </row>
    <row r="79" s="98" customFormat="1" ht="32.1" customHeight="1" spans="1:16">
      <c r="A79" s="47" t="s">
        <v>690</v>
      </c>
      <c r="B79" s="47" t="s">
        <v>691</v>
      </c>
      <c r="C79" s="47"/>
      <c r="D79" s="47"/>
      <c r="E79" s="120" t="s">
        <v>692</v>
      </c>
      <c r="F79" s="47"/>
      <c r="G79" s="120" t="s">
        <v>693</v>
      </c>
      <c r="H79" s="47"/>
      <c r="I79" s="120" t="s">
        <v>694</v>
      </c>
      <c r="J79" s="47"/>
      <c r="K79" s="47" t="s">
        <v>653</v>
      </c>
      <c r="L79" s="47"/>
      <c r="M79" s="47"/>
    </row>
    <row r="80" s="98" customFormat="1" ht="18" customHeight="1" spans="1:16">
      <c r="A80" s="47" t="s">
        <v>695</v>
      </c>
      <c r="B80" s="52" t="str">
        <f>INDEX('1to4-2.1-RR'!$C$12:$C$111,MATCH(N80,'1to4-2.1-RR'!$BF$12:$BF$111,0))</f>
        <v>HARSHIT</v>
      </c>
      <c r="C80" s="105"/>
      <c r="D80" s="53"/>
      <c r="E80" s="134">
        <f>'1to4-2.1-RR'!$AY$11</f>
        <v>600</v>
      </c>
      <c r="F80" s="135"/>
      <c r="G80" s="47">
        <f ca="1">IFERROR(VLOOKUP(N80,'1to4-2.1-RR'!$BF$12:'1to4-2.1-RR'!$BG$111,2,0),"")</f>
        <v>199</v>
      </c>
      <c r="H80" s="47"/>
      <c r="I80" s="47" t="str">
        <f ca="1">IF(K80="","",IF(K80=0,"Ab",IF(K80&gt;80,"A",IF(K80&gt;60,"B",IF(K80&gt;44,"C",IF(K80&gt;=33,"D",IF(K80&lt;=32,"E","")))))))</f>
        <v>D</v>
      </c>
      <c r="J80" s="47"/>
      <c r="K80" s="70">
        <f ca="1">IFERROR(IF(N80&gt;0,G80/E80*100,""),"")</f>
        <v>33.1666666666667</v>
      </c>
      <c r="L80" s="70"/>
      <c r="M80" s="70"/>
      <c r="N80" s="130">
        <v>1</v>
      </c>
    </row>
    <row r="81" s="98" customFormat="1" spans="1:14">
      <c r="A81" s="47" t="s">
        <v>696</v>
      </c>
      <c r="B81" s="52" t="str">
        <f>INDEX('1to4-2.1-RR'!$C$12:$C$111,MATCH(N81,'1to4-2.1-RR'!$BF$12:$BF$111,0))</f>
        <v>HANAM AYUBI</v>
      </c>
      <c r="C81" s="105"/>
      <c r="D81" s="53"/>
      <c r="E81" s="134">
        <f>'1to4-2.1-RR'!$AY$11</f>
        <v>600</v>
      </c>
      <c r="F81" s="135"/>
      <c r="G81" s="47">
        <f ca="1">IFERROR(VLOOKUP(N81,'1to4-2.1-RR'!$BF$12:'1to4-2.1-RR'!$BG$111,2,0),"")</f>
        <v>184</v>
      </c>
      <c r="H81" s="47"/>
      <c r="I81" s="47" t="str">
        <f ca="1" t="shared" ref="I81:I82" si="21">IF(K81="","",IF(K81=0,"Ab",IF(K81&gt;80,"A",IF(K81&gt;60,"B",IF(K81&gt;44,"C",IF(K81&gt;=33,"D",IF(K81&lt;=32,"E","")))))))</f>
        <v>E</v>
      </c>
      <c r="J81" s="47"/>
      <c r="K81" s="70">
        <f ca="1" t="shared" ref="K81:K82" si="22">IFERROR(IF(N81&gt;0,G81/E81*100,""),"")</f>
        <v>30.6666666666667</v>
      </c>
      <c r="L81" s="70"/>
      <c r="M81" s="70"/>
      <c r="N81" s="130">
        <v>2</v>
      </c>
    </row>
    <row r="82" s="98" customFormat="1" spans="1:14">
      <c r="A82" s="47" t="s">
        <v>556</v>
      </c>
      <c r="B82" s="52" t="str">
        <f>INDEX('1to4-2.1-RR'!$C$12:$C$111,MATCH(N82,'1to4-2.1-RR'!$BF$12:$BF$111,0))</f>
        <v>ANSHU KUMAR PANDIT</v>
      </c>
      <c r="C82" s="105"/>
      <c r="D82" s="53"/>
      <c r="E82" s="134">
        <f>'1to4-2.1-RR'!$AY$11</f>
        <v>600</v>
      </c>
      <c r="F82" s="135"/>
      <c r="G82" s="47">
        <f ca="1">IFERROR(VLOOKUP(N82,'1to4-2.1-RR'!$BF$12:'1to4-2.1-RR'!$BG$111,2,0),"")</f>
        <v>183</v>
      </c>
      <c r="H82" s="47"/>
      <c r="I82" s="47" t="str">
        <f ca="1" t="shared" si="21"/>
        <v>E</v>
      </c>
      <c r="J82" s="47"/>
      <c r="K82" s="70">
        <f ca="1" t="shared" si="22"/>
        <v>30.5</v>
      </c>
      <c r="L82" s="70"/>
      <c r="M82" s="70"/>
      <c r="N82" s="130">
        <v>3</v>
      </c>
    </row>
    <row r="88" s="99" customFormat="1" spans="1:14">
      <c r="A88" s="131" t="s">
        <v>697</v>
      </c>
      <c r="D88" s="98" t="s">
        <v>697</v>
      </c>
      <c r="E88" s="98"/>
      <c r="F88" s="98"/>
      <c r="I88" s="98" t="s">
        <v>698</v>
      </c>
      <c r="J88" s="98"/>
      <c r="K88" s="98"/>
      <c r="L88" s="98"/>
      <c r="M88" s="98"/>
    </row>
    <row r="89" s="99" customFormat="1" spans="1:14">
      <c r="A89" s="98" t="s">
        <v>699</v>
      </c>
      <c r="B89" s="98"/>
      <c r="D89" s="98" t="s">
        <v>700</v>
      </c>
      <c r="E89" s="98"/>
      <c r="F89" s="98"/>
      <c r="I89" s="98" t="s">
        <v>701</v>
      </c>
      <c r="J89" s="98"/>
      <c r="K89" s="98"/>
      <c r="L89" s="98"/>
      <c r="M89" s="98"/>
    </row>
  </sheetData>
  <sheetProtection password="BF6F" sheet="1" formatCells="0" formatColumns="0" formatRows="0" objects="1" scenarios="1"/>
  <mergeCells count="84">
    <mergeCell ref="A1:P1"/>
    <mergeCell ref="A2:P2"/>
    <mergeCell ref="A3:P3"/>
    <mergeCell ref="B5:I5"/>
    <mergeCell ref="L5:M5"/>
    <mergeCell ref="N5:O5"/>
    <mergeCell ref="B6:I6"/>
    <mergeCell ref="L6:M6"/>
    <mergeCell ref="N6:O6"/>
    <mergeCell ref="A8:B8"/>
    <mergeCell ref="E9:I9"/>
    <mergeCell ref="K9:O9"/>
    <mergeCell ref="A18:B18"/>
    <mergeCell ref="E19:I19"/>
    <mergeCell ref="K19:O19"/>
    <mergeCell ref="A28:B28"/>
    <mergeCell ref="E29:I29"/>
    <mergeCell ref="K29:O29"/>
    <mergeCell ref="A38:B38"/>
    <mergeCell ref="E39:I39"/>
    <mergeCell ref="K39:O39"/>
    <mergeCell ref="A48:C48"/>
    <mergeCell ref="E49:I49"/>
    <mergeCell ref="K49:O49"/>
    <mergeCell ref="A58:C58"/>
    <mergeCell ref="E59:I59"/>
    <mergeCell ref="K59:O59"/>
    <mergeCell ref="A68:C68"/>
    <mergeCell ref="E69:I69"/>
    <mergeCell ref="K69:O69"/>
    <mergeCell ref="A78:C78"/>
    <mergeCell ref="B79:D79"/>
    <mergeCell ref="E79:F79"/>
    <mergeCell ref="G79:H79"/>
    <mergeCell ref="I79:J79"/>
    <mergeCell ref="K79:M79"/>
    <mergeCell ref="B80:D80"/>
    <mergeCell ref="E80:F80"/>
    <mergeCell ref="G80:H80"/>
    <mergeCell ref="I80:J80"/>
    <mergeCell ref="K80:M80"/>
    <mergeCell ref="B81:D81"/>
    <mergeCell ref="E81:F81"/>
    <mergeCell ref="G81:H81"/>
    <mergeCell ref="I81:J81"/>
    <mergeCell ref="K81:M81"/>
    <mergeCell ref="B82:D82"/>
    <mergeCell ref="E82:F82"/>
    <mergeCell ref="G82:H82"/>
    <mergeCell ref="I82:J82"/>
    <mergeCell ref="K82:M82"/>
    <mergeCell ref="D88:F88"/>
    <mergeCell ref="I88:M88"/>
    <mergeCell ref="A89:B89"/>
    <mergeCell ref="D89:F89"/>
    <mergeCell ref="I89:M89"/>
    <mergeCell ref="A9:A10"/>
    <mergeCell ref="A19:A20"/>
    <mergeCell ref="A29:A30"/>
    <mergeCell ref="A39:A40"/>
    <mergeCell ref="A49:A50"/>
    <mergeCell ref="A59:A60"/>
    <mergeCell ref="A69:A70"/>
    <mergeCell ref="B9:B10"/>
    <mergeCell ref="B19:B20"/>
    <mergeCell ref="B29:B30"/>
    <mergeCell ref="B39:B40"/>
    <mergeCell ref="B49:B50"/>
    <mergeCell ref="B59:B60"/>
    <mergeCell ref="B69:B70"/>
    <mergeCell ref="C9:C10"/>
    <mergeCell ref="C19:C20"/>
    <mergeCell ref="C29:C30"/>
    <mergeCell ref="C39:C40"/>
    <mergeCell ref="C49:C50"/>
    <mergeCell ref="C59:C60"/>
    <mergeCell ref="C69:C70"/>
    <mergeCell ref="D9:D10"/>
    <mergeCell ref="D19:D20"/>
    <mergeCell ref="D29:D30"/>
    <mergeCell ref="D39:D40"/>
    <mergeCell ref="D49:D50"/>
    <mergeCell ref="D59:D60"/>
    <mergeCell ref="D69:D70"/>
  </mergeCells>
  <pageMargins left="0.39" right="0.31" top="0.4" bottom="0.42" header="0.3" footer="0.3"/>
  <pageSetup paperSize="9" scale="52" orientation="portrait" horizontalDpi="300" verticalDpi="30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89"/>
  <sheetViews>
    <sheetView workbookViewId="0">
      <selection activeCell="G12" sqref="G12"/>
    </sheetView>
  </sheetViews>
  <sheetFormatPr defaultColWidth="9.13888888888889" defaultRowHeight="13.8"/>
  <cols>
    <col min="1" max="1" width="33.1388888888889" style="226" customWidth="1"/>
    <col min="2" max="4" width="12.712962962963" style="226" customWidth="1"/>
    <col min="5" max="9" width="7.71296296296296" style="226" customWidth="1"/>
    <col min="10" max="10" width="8.71296296296296" style="226" customWidth="1"/>
    <col min="11" max="15" width="7.71296296296296" style="226" customWidth="1"/>
    <col min="16" max="16" width="8.71296296296296" style="226" customWidth="1"/>
    <col min="17" max="16384" width="9.13888888888889" style="226"/>
  </cols>
  <sheetData>
    <row r="1" ht="22.2" spans="1:16">
      <c r="A1" s="101" t="s">
        <v>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ht="17.4" spans="1:16">
      <c r="A2" s="102" t="str">
        <f>"EDUCATION DEPARTMENT - "&amp;ENTRY!$D$5</f>
        <v>EDUCATION DEPARTMENT - ROHINI ZONE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</row>
    <row r="3" ht="17.4" spans="1:16">
      <c r="A3" s="102" t="str">
        <f>"School Result Summary Sheet : "&amp;ENTRY!$D$11</f>
        <v>School Result Summary Sheet : 2026-27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</row>
    <row r="4" spans="1:16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</row>
    <row r="5" s="222" customFormat="1" spans="1:16">
      <c r="A5" s="104" t="s">
        <v>676</v>
      </c>
      <c r="B5" s="18" t="str">
        <f>ENTRY!$D$6</f>
        <v>MCP NITHARI NO 1 BOYS</v>
      </c>
      <c r="C5" s="18"/>
      <c r="D5" s="18"/>
      <c r="E5" s="18"/>
      <c r="F5" s="18"/>
      <c r="G5" s="18"/>
      <c r="H5" s="18"/>
      <c r="I5" s="18"/>
      <c r="J5" s="98"/>
      <c r="K5" s="98"/>
      <c r="L5" s="99" t="s">
        <v>702</v>
      </c>
      <c r="M5" s="99"/>
      <c r="N5" s="21">
        <f>ENTRY!$D$10</f>
        <v>40</v>
      </c>
      <c r="O5" s="21"/>
      <c r="P5" s="98"/>
    </row>
    <row r="6" s="222" customFormat="1" spans="1:16">
      <c r="A6" s="104" t="s">
        <v>703</v>
      </c>
      <c r="B6" s="105" t="str">
        <f>ENTRY!$D$5</f>
        <v>ROHINI ZONE</v>
      </c>
      <c r="C6" s="105"/>
      <c r="D6" s="105"/>
      <c r="E6" s="105"/>
      <c r="F6" s="105"/>
      <c r="G6" s="105"/>
      <c r="H6" s="105"/>
      <c r="I6" s="105"/>
      <c r="J6" s="98"/>
      <c r="K6" s="98"/>
      <c r="L6" s="99" t="s">
        <v>393</v>
      </c>
      <c r="M6" s="99"/>
      <c r="N6" s="24">
        <f>ENTRY!$D$7</f>
        <v>0</v>
      </c>
      <c r="O6" s="24"/>
      <c r="P6" s="98"/>
    </row>
    <row r="7" spans="1:16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</row>
    <row r="8" s="223" customFormat="1" ht="18" customHeight="1" spans="1:16">
      <c r="A8" s="227" t="s">
        <v>704</v>
      </c>
      <c r="B8" s="227"/>
      <c r="K8" s="228">
        <v>1</v>
      </c>
      <c r="L8" s="228">
        <v>2</v>
      </c>
      <c r="M8" s="228">
        <v>3</v>
      </c>
      <c r="N8" s="228">
        <v>4</v>
      </c>
      <c r="O8" s="228">
        <v>5</v>
      </c>
    </row>
    <row r="9" s="224" customFormat="1" ht="18" customHeight="1" spans="1:16">
      <c r="A9" s="118" t="s">
        <v>662</v>
      </c>
      <c r="B9" s="156" t="s">
        <v>664</v>
      </c>
      <c r="C9" s="156" t="s">
        <v>509</v>
      </c>
      <c r="D9" s="156" t="s">
        <v>680</v>
      </c>
      <c r="E9" s="118" t="s">
        <v>681</v>
      </c>
      <c r="F9" s="118"/>
      <c r="G9" s="118"/>
      <c r="H9" s="118"/>
      <c r="I9" s="118"/>
      <c r="J9" s="229" t="s">
        <v>382</v>
      </c>
      <c r="K9" s="118" t="s">
        <v>682</v>
      </c>
      <c r="L9" s="118"/>
      <c r="M9" s="118"/>
      <c r="N9" s="118"/>
      <c r="O9" s="118"/>
      <c r="P9" s="229" t="s">
        <v>382</v>
      </c>
    </row>
    <row r="10" s="224" customFormat="1" ht="18" customHeight="1" spans="1:16">
      <c r="A10" s="118"/>
      <c r="B10" s="156"/>
      <c r="C10" s="156"/>
      <c r="D10" s="156"/>
      <c r="E10" s="118" t="s">
        <v>50</v>
      </c>
      <c r="F10" s="118" t="s">
        <v>485</v>
      </c>
      <c r="G10" s="118" t="s">
        <v>486</v>
      </c>
      <c r="H10" s="118" t="s">
        <v>487</v>
      </c>
      <c r="I10" s="118" t="s">
        <v>488</v>
      </c>
      <c r="J10" s="230"/>
      <c r="K10" s="118" t="s">
        <v>96</v>
      </c>
      <c r="L10" s="118" t="s">
        <v>97</v>
      </c>
      <c r="M10" s="118" t="s">
        <v>98</v>
      </c>
      <c r="N10" s="118" t="s">
        <v>99</v>
      </c>
      <c r="O10" s="118" t="s">
        <v>100</v>
      </c>
      <c r="P10" s="230"/>
    </row>
    <row r="11" s="225" customFormat="1" ht="18" customHeight="1" spans="1:16">
      <c r="A11" s="231" t="s">
        <v>668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</row>
    <row r="12" s="225" customFormat="1" ht="18" customHeight="1" spans="1:16">
      <c r="A12" s="231" t="s">
        <v>513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</row>
    <row r="13" s="225" customFormat="1" ht="18" customHeight="1" spans="1:16">
      <c r="A13" s="231" t="s">
        <v>514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</row>
    <row r="14" s="225" customFormat="1" ht="18" customHeight="1" spans="1:16">
      <c r="A14" s="231" t="s">
        <v>351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 t="s">
        <v>670</v>
      </c>
      <c r="L14" s="118" t="s">
        <v>670</v>
      </c>
      <c r="M14" s="118" t="s">
        <v>670</v>
      </c>
      <c r="N14" s="118" t="s">
        <v>670</v>
      </c>
      <c r="O14" s="118" t="s">
        <v>670</v>
      </c>
      <c r="P14" s="118" t="s">
        <v>670</v>
      </c>
    </row>
    <row r="15" s="225" customFormat="1" ht="18" customHeight="1" spans="1:16">
      <c r="A15" s="231" t="s">
        <v>671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 t="s">
        <v>670</v>
      </c>
      <c r="L15" s="118" t="s">
        <v>670</v>
      </c>
      <c r="M15" s="118" t="s">
        <v>670</v>
      </c>
      <c r="N15" s="118" t="s">
        <v>670</v>
      </c>
      <c r="O15" s="118" t="s">
        <v>670</v>
      </c>
      <c r="P15" s="118" t="s">
        <v>670</v>
      </c>
    </row>
    <row r="16" s="225" customFormat="1" ht="18" customHeight="1" spans="1:16">
      <c r="A16" s="231" t="s">
        <v>672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 t="s">
        <v>670</v>
      </c>
      <c r="L16" s="118" t="s">
        <v>670</v>
      </c>
      <c r="M16" s="118" t="s">
        <v>670</v>
      </c>
      <c r="N16" s="118" t="s">
        <v>670</v>
      </c>
      <c r="O16" s="118" t="s">
        <v>670</v>
      </c>
      <c r="P16" s="118" t="s">
        <v>670</v>
      </c>
    </row>
    <row r="18" s="223" customFormat="1" ht="18" customHeight="1" spans="1:16">
      <c r="A18" s="227" t="s">
        <v>683</v>
      </c>
      <c r="B18" s="227"/>
      <c r="C18" s="228" t="s">
        <v>492</v>
      </c>
    </row>
    <row r="19" s="224" customFormat="1" ht="18" customHeight="1" spans="1:16">
      <c r="A19" s="118" t="s">
        <v>662</v>
      </c>
      <c r="B19" s="156" t="s">
        <v>664</v>
      </c>
      <c r="C19" s="156" t="s">
        <v>509</v>
      </c>
      <c r="D19" s="156" t="s">
        <v>680</v>
      </c>
      <c r="E19" s="118" t="s">
        <v>681</v>
      </c>
      <c r="F19" s="118"/>
      <c r="G19" s="118"/>
      <c r="H19" s="118"/>
      <c r="I19" s="118"/>
      <c r="J19" s="229" t="s">
        <v>382</v>
      </c>
      <c r="K19" s="118" t="s">
        <v>682</v>
      </c>
      <c r="L19" s="118"/>
      <c r="M19" s="118"/>
      <c r="N19" s="118"/>
      <c r="O19" s="118"/>
      <c r="P19" s="229" t="s">
        <v>382</v>
      </c>
    </row>
    <row r="20" s="224" customFormat="1" ht="18" customHeight="1" spans="1:16">
      <c r="A20" s="118"/>
      <c r="B20" s="156"/>
      <c r="C20" s="156"/>
      <c r="D20" s="156"/>
      <c r="E20" s="118" t="s">
        <v>50</v>
      </c>
      <c r="F20" s="118" t="s">
        <v>485</v>
      </c>
      <c r="G20" s="118" t="s">
        <v>486</v>
      </c>
      <c r="H20" s="118" t="s">
        <v>487</v>
      </c>
      <c r="I20" s="118" t="s">
        <v>488</v>
      </c>
      <c r="J20" s="230"/>
      <c r="K20" s="118" t="s">
        <v>96</v>
      </c>
      <c r="L20" s="118" t="s">
        <v>97</v>
      </c>
      <c r="M20" s="118" t="s">
        <v>98</v>
      </c>
      <c r="N20" s="118" t="s">
        <v>99</v>
      </c>
      <c r="O20" s="118" t="s">
        <v>100</v>
      </c>
      <c r="P20" s="230"/>
    </row>
    <row r="21" s="225" customFormat="1" ht="18" customHeight="1" spans="1:16">
      <c r="A21" s="231" t="s">
        <v>668</v>
      </c>
      <c r="B21" s="118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</row>
    <row r="22" s="225" customFormat="1" ht="18" customHeight="1" spans="1:16">
      <c r="A22" s="231" t="s">
        <v>513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</row>
    <row r="23" s="225" customFormat="1" ht="18" customHeight="1" spans="1:16">
      <c r="A23" s="231" t="s">
        <v>514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</row>
    <row r="24" s="225" customFormat="1" ht="18" customHeight="1" spans="1:16">
      <c r="A24" s="231" t="s">
        <v>351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 t="s">
        <v>670</v>
      </c>
      <c r="L24" s="118" t="s">
        <v>670</v>
      </c>
      <c r="M24" s="118" t="s">
        <v>670</v>
      </c>
      <c r="N24" s="118" t="s">
        <v>670</v>
      </c>
      <c r="O24" s="118" t="s">
        <v>670</v>
      </c>
      <c r="P24" s="118" t="s">
        <v>670</v>
      </c>
    </row>
    <row r="25" s="225" customFormat="1" ht="18" customHeight="1" spans="1:16">
      <c r="A25" s="231" t="s">
        <v>671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 t="s">
        <v>670</v>
      </c>
      <c r="L25" s="118" t="s">
        <v>670</v>
      </c>
      <c r="M25" s="118" t="s">
        <v>670</v>
      </c>
      <c r="N25" s="118" t="s">
        <v>670</v>
      </c>
      <c r="O25" s="118" t="s">
        <v>670</v>
      </c>
      <c r="P25" s="118" t="s">
        <v>670</v>
      </c>
    </row>
    <row r="26" s="225" customFormat="1" ht="18" customHeight="1" spans="1:16">
      <c r="A26" s="231" t="s">
        <v>672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 t="s">
        <v>670</v>
      </c>
      <c r="L26" s="118" t="s">
        <v>670</v>
      </c>
      <c r="M26" s="118" t="s">
        <v>670</v>
      </c>
      <c r="N26" s="118" t="s">
        <v>670</v>
      </c>
      <c r="O26" s="118" t="s">
        <v>670</v>
      </c>
      <c r="P26" s="118" t="s">
        <v>670</v>
      </c>
    </row>
    <row r="28" s="223" customFormat="1" ht="18" customHeight="1" spans="1:16">
      <c r="A28" s="227" t="s">
        <v>684</v>
      </c>
      <c r="B28" s="227"/>
      <c r="C28" s="228" t="s">
        <v>490</v>
      </c>
    </row>
    <row r="29" s="224" customFormat="1" ht="18" customHeight="1" spans="1:16">
      <c r="A29" s="118" t="s">
        <v>662</v>
      </c>
      <c r="B29" s="156" t="s">
        <v>664</v>
      </c>
      <c r="C29" s="156" t="s">
        <v>509</v>
      </c>
      <c r="D29" s="156" t="s">
        <v>680</v>
      </c>
      <c r="E29" s="118" t="s">
        <v>681</v>
      </c>
      <c r="F29" s="118"/>
      <c r="G29" s="118"/>
      <c r="H29" s="118"/>
      <c r="I29" s="118"/>
      <c r="J29" s="229" t="s">
        <v>382</v>
      </c>
      <c r="K29" s="118" t="s">
        <v>682</v>
      </c>
      <c r="L29" s="118"/>
      <c r="M29" s="118"/>
      <c r="N29" s="118"/>
      <c r="O29" s="118"/>
      <c r="P29" s="229" t="s">
        <v>382</v>
      </c>
    </row>
    <row r="30" s="224" customFormat="1" ht="18" customHeight="1" spans="1:16">
      <c r="A30" s="118"/>
      <c r="B30" s="156"/>
      <c r="C30" s="156"/>
      <c r="D30" s="156"/>
      <c r="E30" s="118" t="s">
        <v>50</v>
      </c>
      <c r="F30" s="118" t="s">
        <v>485</v>
      </c>
      <c r="G30" s="118" t="s">
        <v>486</v>
      </c>
      <c r="H30" s="118" t="s">
        <v>487</v>
      </c>
      <c r="I30" s="118" t="s">
        <v>488</v>
      </c>
      <c r="J30" s="230"/>
      <c r="K30" s="118" t="s">
        <v>96</v>
      </c>
      <c r="L30" s="118" t="s">
        <v>97</v>
      </c>
      <c r="M30" s="118" t="s">
        <v>98</v>
      </c>
      <c r="N30" s="118" t="s">
        <v>99</v>
      </c>
      <c r="O30" s="118" t="s">
        <v>100</v>
      </c>
      <c r="P30" s="230"/>
    </row>
    <row r="31" s="225" customFormat="1" ht="18" customHeight="1" spans="1:16">
      <c r="A31" s="231" t="s">
        <v>668</v>
      </c>
      <c r="B31" s="118"/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</row>
    <row r="32" s="225" customFormat="1" ht="18" customHeight="1" spans="1:16">
      <c r="A32" s="231" t="s">
        <v>513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</row>
    <row r="33" s="225" customFormat="1" ht="18" customHeight="1" spans="1:16">
      <c r="A33" s="231" t="s">
        <v>514</v>
      </c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</row>
    <row r="34" s="225" customFormat="1" ht="18" customHeight="1" spans="1:16">
      <c r="A34" s="231" t="s">
        <v>351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 t="s">
        <v>670</v>
      </c>
      <c r="L34" s="118" t="s">
        <v>670</v>
      </c>
      <c r="M34" s="118" t="s">
        <v>670</v>
      </c>
      <c r="N34" s="118" t="s">
        <v>670</v>
      </c>
      <c r="O34" s="118" t="s">
        <v>670</v>
      </c>
      <c r="P34" s="118" t="s">
        <v>670</v>
      </c>
    </row>
    <row r="35" s="225" customFormat="1" ht="18" customHeight="1" spans="1:16">
      <c r="A35" s="231" t="s">
        <v>671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 t="s">
        <v>670</v>
      </c>
      <c r="L35" s="118" t="s">
        <v>670</v>
      </c>
      <c r="M35" s="118" t="s">
        <v>670</v>
      </c>
      <c r="N35" s="118" t="s">
        <v>670</v>
      </c>
      <c r="O35" s="118" t="s">
        <v>670</v>
      </c>
      <c r="P35" s="118" t="s">
        <v>670</v>
      </c>
    </row>
    <row r="36" s="225" customFormat="1" ht="18" customHeight="1" spans="1:16">
      <c r="A36" s="231" t="s">
        <v>672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 t="s">
        <v>670</v>
      </c>
      <c r="L36" s="118" t="s">
        <v>670</v>
      </c>
      <c r="M36" s="118" t="s">
        <v>670</v>
      </c>
      <c r="N36" s="118" t="s">
        <v>670</v>
      </c>
      <c r="O36" s="118" t="s">
        <v>670</v>
      </c>
      <c r="P36" s="118" t="s">
        <v>670</v>
      </c>
    </row>
    <row r="38" s="223" customFormat="1" ht="18" customHeight="1" spans="1:16">
      <c r="A38" s="227" t="s">
        <v>685</v>
      </c>
      <c r="B38" s="227"/>
      <c r="C38" s="228" t="s">
        <v>491</v>
      </c>
    </row>
    <row r="39" s="224" customFormat="1" ht="18" customHeight="1" spans="1:16">
      <c r="A39" s="118" t="s">
        <v>662</v>
      </c>
      <c r="B39" s="156" t="s">
        <v>664</v>
      </c>
      <c r="C39" s="156" t="s">
        <v>509</v>
      </c>
      <c r="D39" s="156" t="s">
        <v>680</v>
      </c>
      <c r="E39" s="118" t="s">
        <v>681</v>
      </c>
      <c r="F39" s="118"/>
      <c r="G39" s="118"/>
      <c r="H39" s="118"/>
      <c r="I39" s="118"/>
      <c r="J39" s="229" t="s">
        <v>382</v>
      </c>
      <c r="K39" s="118" t="s">
        <v>682</v>
      </c>
      <c r="L39" s="118"/>
      <c r="M39" s="118"/>
      <c r="N39" s="118"/>
      <c r="O39" s="118"/>
      <c r="P39" s="229" t="s">
        <v>382</v>
      </c>
    </row>
    <row r="40" s="224" customFormat="1" ht="18" customHeight="1" spans="1:16">
      <c r="A40" s="118"/>
      <c r="B40" s="156"/>
      <c r="C40" s="156"/>
      <c r="D40" s="156"/>
      <c r="E40" s="118" t="s">
        <v>50</v>
      </c>
      <c r="F40" s="118" t="s">
        <v>485</v>
      </c>
      <c r="G40" s="118" t="s">
        <v>486</v>
      </c>
      <c r="H40" s="118" t="s">
        <v>487</v>
      </c>
      <c r="I40" s="118" t="s">
        <v>488</v>
      </c>
      <c r="J40" s="230"/>
      <c r="K40" s="118" t="s">
        <v>96</v>
      </c>
      <c r="L40" s="118" t="s">
        <v>97</v>
      </c>
      <c r="M40" s="118" t="s">
        <v>98</v>
      </c>
      <c r="N40" s="118" t="s">
        <v>99</v>
      </c>
      <c r="O40" s="118" t="s">
        <v>100</v>
      </c>
      <c r="P40" s="230"/>
    </row>
    <row r="41" s="225" customFormat="1" ht="18" customHeight="1" spans="1:16">
      <c r="A41" s="231" t="s">
        <v>668</v>
      </c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</row>
    <row r="42" s="225" customFormat="1" ht="18" customHeight="1" spans="1:16">
      <c r="A42" s="231" t="s">
        <v>513</v>
      </c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</row>
    <row r="43" s="225" customFormat="1" ht="18" customHeight="1" spans="1:16">
      <c r="A43" s="231" t="s">
        <v>514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</row>
    <row r="44" s="225" customFormat="1" ht="18" customHeight="1" spans="1:16">
      <c r="A44" s="231" t="s">
        <v>351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18" t="s">
        <v>670</v>
      </c>
      <c r="L44" s="118" t="s">
        <v>670</v>
      </c>
      <c r="M44" s="118" t="s">
        <v>670</v>
      </c>
      <c r="N44" s="118" t="s">
        <v>670</v>
      </c>
      <c r="O44" s="118" t="s">
        <v>670</v>
      </c>
      <c r="P44" s="118" t="s">
        <v>670</v>
      </c>
    </row>
    <row r="45" s="225" customFormat="1" ht="18" customHeight="1" spans="1:16">
      <c r="A45" s="231" t="s">
        <v>671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 t="s">
        <v>670</v>
      </c>
      <c r="L45" s="118" t="s">
        <v>670</v>
      </c>
      <c r="M45" s="118" t="s">
        <v>670</v>
      </c>
      <c r="N45" s="118" t="s">
        <v>670</v>
      </c>
      <c r="O45" s="118" t="s">
        <v>670</v>
      </c>
      <c r="P45" s="118" t="s">
        <v>670</v>
      </c>
    </row>
    <row r="46" s="225" customFormat="1" ht="18" customHeight="1" spans="1:16">
      <c r="A46" s="231" t="s">
        <v>672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 t="s">
        <v>670</v>
      </c>
      <c r="L46" s="118" t="s">
        <v>670</v>
      </c>
      <c r="M46" s="118" t="s">
        <v>670</v>
      </c>
      <c r="N46" s="118" t="s">
        <v>670</v>
      </c>
      <c r="O46" s="118" t="s">
        <v>670</v>
      </c>
      <c r="P46" s="118" t="s">
        <v>670</v>
      </c>
    </row>
    <row r="48" s="223" customFormat="1" ht="18" customHeight="1" spans="1:16">
      <c r="A48" s="227" t="s">
        <v>686</v>
      </c>
      <c r="B48" s="227"/>
      <c r="C48" s="227"/>
      <c r="D48" s="228" t="s">
        <v>484</v>
      </c>
    </row>
    <row r="49" s="224" customFormat="1" ht="18" customHeight="1" spans="1:16">
      <c r="A49" s="118" t="s">
        <v>662</v>
      </c>
      <c r="B49" s="156" t="s">
        <v>664</v>
      </c>
      <c r="C49" s="156" t="s">
        <v>509</v>
      </c>
      <c r="D49" s="156" t="s">
        <v>680</v>
      </c>
      <c r="E49" s="118" t="s">
        <v>681</v>
      </c>
      <c r="F49" s="118"/>
      <c r="G49" s="118"/>
      <c r="H49" s="118"/>
      <c r="I49" s="118"/>
      <c r="J49" s="229" t="s">
        <v>382</v>
      </c>
      <c r="K49" s="118" t="s">
        <v>682</v>
      </c>
      <c r="L49" s="118"/>
      <c r="M49" s="118"/>
      <c r="N49" s="118"/>
      <c r="O49" s="118"/>
      <c r="P49" s="229" t="s">
        <v>382</v>
      </c>
    </row>
    <row r="50" s="224" customFormat="1" ht="18" customHeight="1" spans="1:16">
      <c r="A50" s="118"/>
      <c r="B50" s="156"/>
      <c r="C50" s="156"/>
      <c r="D50" s="156"/>
      <c r="E50" s="118" t="s">
        <v>50</v>
      </c>
      <c r="F50" s="118" t="s">
        <v>485</v>
      </c>
      <c r="G50" s="118" t="s">
        <v>486</v>
      </c>
      <c r="H50" s="118" t="s">
        <v>487</v>
      </c>
      <c r="I50" s="118" t="s">
        <v>488</v>
      </c>
      <c r="J50" s="230"/>
      <c r="K50" s="118" t="s">
        <v>96</v>
      </c>
      <c r="L50" s="118" t="s">
        <v>97</v>
      </c>
      <c r="M50" s="118" t="s">
        <v>98</v>
      </c>
      <c r="N50" s="118" t="s">
        <v>99</v>
      </c>
      <c r="O50" s="118" t="s">
        <v>100</v>
      </c>
      <c r="P50" s="230"/>
    </row>
    <row r="51" s="225" customFormat="1" ht="18" customHeight="1" spans="1:16">
      <c r="A51" s="231" t="s">
        <v>668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</row>
    <row r="52" s="225" customFormat="1" ht="18" customHeight="1" spans="1:16">
      <c r="A52" s="231" t="s">
        <v>513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</row>
    <row r="53" s="225" customFormat="1" ht="18" customHeight="1" spans="1:16">
      <c r="A53" s="231" t="s">
        <v>514</v>
      </c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</row>
    <row r="54" s="225" customFormat="1" ht="18" customHeight="1" spans="1:16">
      <c r="A54" s="231" t="s">
        <v>351</v>
      </c>
      <c r="B54" s="118"/>
      <c r="C54" s="118"/>
      <c r="D54" s="118"/>
      <c r="E54" s="118"/>
      <c r="F54" s="118"/>
      <c r="G54" s="118"/>
      <c r="H54" s="118"/>
      <c r="I54" s="118"/>
      <c r="J54" s="118"/>
      <c r="K54" s="118" t="s">
        <v>670</v>
      </c>
      <c r="L54" s="118" t="s">
        <v>670</v>
      </c>
      <c r="M54" s="118" t="s">
        <v>670</v>
      </c>
      <c r="N54" s="118" t="s">
        <v>670</v>
      </c>
      <c r="O54" s="118" t="s">
        <v>670</v>
      </c>
      <c r="P54" s="118" t="s">
        <v>670</v>
      </c>
    </row>
    <row r="55" s="225" customFormat="1" ht="18" customHeight="1" spans="1:16">
      <c r="A55" s="231" t="s">
        <v>671</v>
      </c>
      <c r="B55" s="118"/>
      <c r="C55" s="118"/>
      <c r="D55" s="118"/>
      <c r="E55" s="118"/>
      <c r="F55" s="118"/>
      <c r="G55" s="118"/>
      <c r="H55" s="118"/>
      <c r="I55" s="118"/>
      <c r="J55" s="118"/>
      <c r="K55" s="118" t="s">
        <v>670</v>
      </c>
      <c r="L55" s="118" t="s">
        <v>670</v>
      </c>
      <c r="M55" s="118" t="s">
        <v>670</v>
      </c>
      <c r="N55" s="118" t="s">
        <v>670</v>
      </c>
      <c r="O55" s="118" t="s">
        <v>670</v>
      </c>
      <c r="P55" s="118" t="s">
        <v>670</v>
      </c>
    </row>
    <row r="56" s="225" customFormat="1" ht="18" customHeight="1" spans="1:16">
      <c r="A56" s="231" t="s">
        <v>672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 t="s">
        <v>670</v>
      </c>
      <c r="L56" s="118" t="s">
        <v>670</v>
      </c>
      <c r="M56" s="118" t="s">
        <v>670</v>
      </c>
      <c r="N56" s="118" t="s">
        <v>670</v>
      </c>
      <c r="O56" s="118" t="s">
        <v>670</v>
      </c>
      <c r="P56" s="118" t="s">
        <v>670</v>
      </c>
    </row>
    <row r="58" s="223" customFormat="1" ht="18" customHeight="1" spans="1:16">
      <c r="A58" s="227" t="s">
        <v>687</v>
      </c>
      <c r="B58" s="227"/>
      <c r="C58" s="227"/>
      <c r="D58" s="228" t="s">
        <v>493</v>
      </c>
    </row>
    <row r="59" s="224" customFormat="1" ht="18" customHeight="1" spans="1:16">
      <c r="A59" s="118" t="s">
        <v>662</v>
      </c>
      <c r="B59" s="156" t="s">
        <v>664</v>
      </c>
      <c r="C59" s="156" t="s">
        <v>509</v>
      </c>
      <c r="D59" s="156" t="s">
        <v>680</v>
      </c>
      <c r="E59" s="118" t="s">
        <v>681</v>
      </c>
      <c r="F59" s="118"/>
      <c r="G59" s="118"/>
      <c r="H59" s="118"/>
      <c r="I59" s="118"/>
      <c r="J59" s="229" t="s">
        <v>382</v>
      </c>
      <c r="K59" s="118" t="s">
        <v>682</v>
      </c>
      <c r="L59" s="118"/>
      <c r="M59" s="118"/>
      <c r="N59" s="118"/>
      <c r="O59" s="118"/>
      <c r="P59" s="229" t="s">
        <v>382</v>
      </c>
    </row>
    <row r="60" s="224" customFormat="1" ht="18" customHeight="1" spans="1:16">
      <c r="A60" s="118"/>
      <c r="B60" s="156"/>
      <c r="C60" s="156"/>
      <c r="D60" s="156"/>
      <c r="E60" s="118" t="s">
        <v>50</v>
      </c>
      <c r="F60" s="118" t="s">
        <v>485</v>
      </c>
      <c r="G60" s="118" t="s">
        <v>486</v>
      </c>
      <c r="H60" s="118" t="s">
        <v>487</v>
      </c>
      <c r="I60" s="118" t="s">
        <v>488</v>
      </c>
      <c r="J60" s="230"/>
      <c r="K60" s="118" t="s">
        <v>96</v>
      </c>
      <c r="L60" s="118" t="s">
        <v>97</v>
      </c>
      <c r="M60" s="118" t="s">
        <v>98</v>
      </c>
      <c r="N60" s="118" t="s">
        <v>99</v>
      </c>
      <c r="O60" s="118" t="s">
        <v>100</v>
      </c>
      <c r="P60" s="230"/>
    </row>
    <row r="61" s="225" customFormat="1" ht="18" customHeight="1" spans="1:16">
      <c r="A61" s="231" t="s">
        <v>668</v>
      </c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</row>
    <row r="62" s="225" customFormat="1" ht="18" customHeight="1" spans="1:16">
      <c r="A62" s="231" t="s">
        <v>513</v>
      </c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</row>
    <row r="63" s="225" customFormat="1" ht="18" customHeight="1" spans="1:16">
      <c r="A63" s="231" t="s">
        <v>514</v>
      </c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</row>
    <row r="64" s="225" customFormat="1" ht="18" customHeight="1" spans="1:16">
      <c r="A64" s="231" t="s">
        <v>351</v>
      </c>
      <c r="B64" s="118"/>
      <c r="C64" s="118"/>
      <c r="D64" s="118"/>
      <c r="E64" s="118"/>
      <c r="F64" s="118"/>
      <c r="G64" s="118"/>
      <c r="H64" s="118"/>
      <c r="I64" s="118"/>
      <c r="J64" s="118"/>
      <c r="K64" s="118" t="s">
        <v>670</v>
      </c>
      <c r="L64" s="118" t="s">
        <v>670</v>
      </c>
      <c r="M64" s="118" t="s">
        <v>670</v>
      </c>
      <c r="N64" s="118" t="s">
        <v>670</v>
      </c>
      <c r="O64" s="118" t="s">
        <v>670</v>
      </c>
      <c r="P64" s="118" t="s">
        <v>670</v>
      </c>
    </row>
    <row r="65" s="225" customFormat="1" ht="18" customHeight="1" spans="1:16">
      <c r="A65" s="231" t="s">
        <v>671</v>
      </c>
      <c r="B65" s="118"/>
      <c r="C65" s="118"/>
      <c r="D65" s="118"/>
      <c r="E65" s="118"/>
      <c r="F65" s="118"/>
      <c r="G65" s="118"/>
      <c r="H65" s="118"/>
      <c r="I65" s="118"/>
      <c r="J65" s="118"/>
      <c r="K65" s="118" t="s">
        <v>670</v>
      </c>
      <c r="L65" s="118" t="s">
        <v>670</v>
      </c>
      <c r="M65" s="118" t="s">
        <v>670</v>
      </c>
      <c r="N65" s="118" t="s">
        <v>670</v>
      </c>
      <c r="O65" s="118" t="s">
        <v>670</v>
      </c>
      <c r="P65" s="118" t="s">
        <v>670</v>
      </c>
    </row>
    <row r="66" s="225" customFormat="1" ht="18" customHeight="1" spans="1:16">
      <c r="A66" s="231" t="s">
        <v>672</v>
      </c>
      <c r="B66" s="118"/>
      <c r="C66" s="118"/>
      <c r="D66" s="118"/>
      <c r="E66" s="118"/>
      <c r="F66" s="118"/>
      <c r="G66" s="118"/>
      <c r="H66" s="118"/>
      <c r="I66" s="118"/>
      <c r="J66" s="118"/>
      <c r="K66" s="118" t="s">
        <v>670</v>
      </c>
      <c r="L66" s="118" t="s">
        <v>670</v>
      </c>
      <c r="M66" s="118" t="s">
        <v>670</v>
      </c>
      <c r="N66" s="118" t="s">
        <v>670</v>
      </c>
      <c r="O66" s="118" t="s">
        <v>670</v>
      </c>
      <c r="P66" s="118" t="s">
        <v>670</v>
      </c>
    </row>
    <row r="68" s="223" customFormat="1" ht="18" customHeight="1" spans="1:16">
      <c r="A68" s="227" t="s">
        <v>688</v>
      </c>
      <c r="B68" s="227"/>
      <c r="C68" s="227"/>
      <c r="D68" s="228" t="s">
        <v>494</v>
      </c>
    </row>
    <row r="69" s="224" customFormat="1" ht="18" customHeight="1" spans="1:16">
      <c r="A69" s="118" t="s">
        <v>662</v>
      </c>
      <c r="B69" s="156" t="s">
        <v>664</v>
      </c>
      <c r="C69" s="156" t="s">
        <v>509</v>
      </c>
      <c r="D69" s="156" t="s">
        <v>680</v>
      </c>
      <c r="E69" s="118" t="s">
        <v>681</v>
      </c>
      <c r="F69" s="118"/>
      <c r="G69" s="118"/>
      <c r="H69" s="118"/>
      <c r="I69" s="118"/>
      <c r="J69" s="229" t="s">
        <v>382</v>
      </c>
      <c r="K69" s="118" t="s">
        <v>682</v>
      </c>
      <c r="L69" s="118"/>
      <c r="M69" s="118"/>
      <c r="N69" s="118"/>
      <c r="O69" s="118"/>
      <c r="P69" s="229" t="s">
        <v>382</v>
      </c>
    </row>
    <row r="70" s="224" customFormat="1" ht="18" customHeight="1" spans="1:16">
      <c r="A70" s="118"/>
      <c r="B70" s="156"/>
      <c r="C70" s="156"/>
      <c r="D70" s="156"/>
      <c r="E70" s="118" t="s">
        <v>50</v>
      </c>
      <c r="F70" s="118" t="s">
        <v>485</v>
      </c>
      <c r="G70" s="118" t="s">
        <v>486</v>
      </c>
      <c r="H70" s="118" t="s">
        <v>487</v>
      </c>
      <c r="I70" s="118" t="s">
        <v>488</v>
      </c>
      <c r="J70" s="230"/>
      <c r="K70" s="118" t="s">
        <v>96</v>
      </c>
      <c r="L70" s="118" t="s">
        <v>97</v>
      </c>
      <c r="M70" s="118" t="s">
        <v>98</v>
      </c>
      <c r="N70" s="118" t="s">
        <v>99</v>
      </c>
      <c r="O70" s="118" t="s">
        <v>100</v>
      </c>
      <c r="P70" s="230"/>
    </row>
    <row r="71" s="225" customFormat="1" ht="18" customHeight="1" spans="1:16">
      <c r="A71" s="231" t="s">
        <v>668</v>
      </c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</row>
    <row r="72" s="225" customFormat="1" ht="18" customHeight="1" spans="1:16">
      <c r="A72" s="231" t="s">
        <v>513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</row>
    <row r="73" s="225" customFormat="1" ht="18" customHeight="1" spans="1:16">
      <c r="A73" s="231" t="s">
        <v>514</v>
      </c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</row>
    <row r="74" s="225" customFormat="1" ht="18" customHeight="1" spans="1:16">
      <c r="A74" s="231" t="s">
        <v>351</v>
      </c>
      <c r="B74" s="118"/>
      <c r="C74" s="118"/>
      <c r="D74" s="118"/>
      <c r="E74" s="118"/>
      <c r="F74" s="118"/>
      <c r="G74" s="118"/>
      <c r="H74" s="118"/>
      <c r="I74" s="118"/>
      <c r="J74" s="118"/>
      <c r="K74" s="118" t="s">
        <v>670</v>
      </c>
      <c r="L74" s="118" t="s">
        <v>670</v>
      </c>
      <c r="M74" s="118" t="s">
        <v>670</v>
      </c>
      <c r="N74" s="118" t="s">
        <v>670</v>
      </c>
      <c r="O74" s="118" t="s">
        <v>670</v>
      </c>
      <c r="P74" s="118" t="s">
        <v>670</v>
      </c>
    </row>
    <row r="75" s="225" customFormat="1" ht="18" customHeight="1" spans="1:16">
      <c r="A75" s="231" t="s">
        <v>671</v>
      </c>
      <c r="B75" s="118"/>
      <c r="C75" s="118"/>
      <c r="D75" s="118"/>
      <c r="E75" s="118"/>
      <c r="F75" s="118"/>
      <c r="G75" s="118"/>
      <c r="H75" s="118"/>
      <c r="I75" s="118"/>
      <c r="J75" s="118"/>
      <c r="K75" s="118" t="s">
        <v>670</v>
      </c>
      <c r="L75" s="118" t="s">
        <v>670</v>
      </c>
      <c r="M75" s="118" t="s">
        <v>670</v>
      </c>
      <c r="N75" s="118" t="s">
        <v>670</v>
      </c>
      <c r="O75" s="118" t="s">
        <v>670</v>
      </c>
      <c r="P75" s="118" t="s">
        <v>670</v>
      </c>
    </row>
    <row r="76" s="225" customFormat="1" ht="18" customHeight="1" spans="1:16">
      <c r="A76" s="231" t="s">
        <v>672</v>
      </c>
      <c r="B76" s="118"/>
      <c r="C76" s="118"/>
      <c r="D76" s="118"/>
      <c r="E76" s="118"/>
      <c r="F76" s="118"/>
      <c r="G76" s="118"/>
      <c r="H76" s="118"/>
      <c r="I76" s="118"/>
      <c r="J76" s="118"/>
      <c r="K76" s="118" t="s">
        <v>670</v>
      </c>
      <c r="L76" s="118" t="s">
        <v>670</v>
      </c>
      <c r="M76" s="118" t="s">
        <v>670</v>
      </c>
      <c r="N76" s="118" t="s">
        <v>670</v>
      </c>
      <c r="O76" s="118" t="s">
        <v>670</v>
      </c>
      <c r="P76" s="118" t="s">
        <v>670</v>
      </c>
    </row>
    <row r="78" s="223" customFormat="1" ht="18" customHeight="1" spans="1:16">
      <c r="A78" s="232" t="s">
        <v>705</v>
      </c>
      <c r="B78" s="232"/>
      <c r="C78" s="232"/>
    </row>
    <row r="79" s="224" customFormat="1" ht="32.1" customHeight="1" spans="1:16">
      <c r="A79" s="118" t="s">
        <v>690</v>
      </c>
      <c r="B79" s="118" t="s">
        <v>691</v>
      </c>
      <c r="C79" s="118"/>
      <c r="D79" s="118"/>
      <c r="E79" s="156" t="s">
        <v>692</v>
      </c>
      <c r="F79" s="118"/>
      <c r="G79" s="156" t="s">
        <v>693</v>
      </c>
      <c r="H79" s="118"/>
      <c r="I79" s="156" t="s">
        <v>694</v>
      </c>
      <c r="J79" s="118"/>
      <c r="K79" s="118" t="s">
        <v>653</v>
      </c>
      <c r="L79" s="118"/>
      <c r="M79" s="118"/>
    </row>
    <row r="80" s="224" customFormat="1" ht="18" customHeight="1" spans="1:16">
      <c r="A80" s="118" t="s">
        <v>695</v>
      </c>
      <c r="B80" s="122"/>
      <c r="C80" s="123"/>
      <c r="D80" s="124"/>
      <c r="E80" s="125"/>
      <c r="F80" s="126"/>
      <c r="G80" s="118"/>
      <c r="H80" s="118"/>
      <c r="I80" s="118"/>
      <c r="J80" s="118"/>
      <c r="K80" s="129"/>
      <c r="L80" s="129"/>
      <c r="M80" s="129"/>
      <c r="N80" s="233">
        <v>1</v>
      </c>
    </row>
    <row r="81" s="224" customFormat="1" spans="1:14">
      <c r="A81" s="118" t="s">
        <v>696</v>
      </c>
      <c r="B81" s="122"/>
      <c r="C81" s="123"/>
      <c r="D81" s="124"/>
      <c r="E81" s="125"/>
      <c r="F81" s="126"/>
      <c r="G81" s="118"/>
      <c r="H81" s="118"/>
      <c r="I81" s="118"/>
      <c r="J81" s="118"/>
      <c r="K81" s="129"/>
      <c r="L81" s="129"/>
      <c r="M81" s="129"/>
      <c r="N81" s="233">
        <v>2</v>
      </c>
    </row>
    <row r="82" s="224" customFormat="1" spans="1:14">
      <c r="A82" s="118" t="s">
        <v>556</v>
      </c>
      <c r="B82" s="122"/>
      <c r="C82" s="123"/>
      <c r="D82" s="124"/>
      <c r="E82" s="125"/>
      <c r="F82" s="126"/>
      <c r="G82" s="118"/>
      <c r="H82" s="118"/>
      <c r="I82" s="118"/>
      <c r="J82" s="118"/>
      <c r="K82" s="129"/>
      <c r="L82" s="129"/>
      <c r="M82" s="129"/>
      <c r="N82" s="233">
        <v>3</v>
      </c>
    </row>
    <row r="88" s="225" customFormat="1" spans="1:14">
      <c r="A88" s="234" t="s">
        <v>697</v>
      </c>
      <c r="D88" s="224" t="s">
        <v>697</v>
      </c>
      <c r="E88" s="224"/>
      <c r="F88" s="224"/>
      <c r="I88" s="224" t="s">
        <v>698</v>
      </c>
      <c r="J88" s="224"/>
      <c r="K88" s="224"/>
      <c r="L88" s="224"/>
      <c r="M88" s="224"/>
    </row>
    <row r="89" s="225" customFormat="1" spans="1:14">
      <c r="A89" s="224" t="s">
        <v>699</v>
      </c>
      <c r="B89" s="224"/>
      <c r="D89" s="224" t="s">
        <v>700</v>
      </c>
      <c r="E89" s="224"/>
      <c r="F89" s="224"/>
      <c r="I89" s="224" t="s">
        <v>701</v>
      </c>
      <c r="J89" s="224"/>
      <c r="K89" s="224"/>
      <c r="L89" s="224"/>
      <c r="M89" s="224"/>
    </row>
  </sheetData>
  <sheetProtection password="BF6F" sheet="1" formatCells="0" formatColumns="0" formatRows="0" objects="1" scenarios="1"/>
  <mergeCells count="84">
    <mergeCell ref="A1:P1"/>
    <mergeCell ref="A2:P2"/>
    <mergeCell ref="A3:P3"/>
    <mergeCell ref="B5:I5"/>
    <mergeCell ref="L5:M5"/>
    <mergeCell ref="N5:O5"/>
    <mergeCell ref="B6:I6"/>
    <mergeCell ref="L6:M6"/>
    <mergeCell ref="N6:O6"/>
    <mergeCell ref="A8:B8"/>
    <mergeCell ref="E9:I9"/>
    <mergeCell ref="K9:O9"/>
    <mergeCell ref="A18:B18"/>
    <mergeCell ref="E19:I19"/>
    <mergeCell ref="K19:O19"/>
    <mergeCell ref="A28:B28"/>
    <mergeCell ref="E29:I29"/>
    <mergeCell ref="K29:O29"/>
    <mergeCell ref="A38:B38"/>
    <mergeCell ref="E39:I39"/>
    <mergeCell ref="K39:O39"/>
    <mergeCell ref="A48:C48"/>
    <mergeCell ref="E49:I49"/>
    <mergeCell ref="K49:O49"/>
    <mergeCell ref="A58:C58"/>
    <mergeCell ref="E59:I59"/>
    <mergeCell ref="K59:O59"/>
    <mergeCell ref="A68:C68"/>
    <mergeCell ref="E69:I69"/>
    <mergeCell ref="K69:O69"/>
    <mergeCell ref="A78:C78"/>
    <mergeCell ref="B79:D79"/>
    <mergeCell ref="E79:F79"/>
    <mergeCell ref="G79:H79"/>
    <mergeCell ref="I79:J79"/>
    <mergeCell ref="K79:M79"/>
    <mergeCell ref="B80:D80"/>
    <mergeCell ref="E80:F80"/>
    <mergeCell ref="G80:H80"/>
    <mergeCell ref="I80:J80"/>
    <mergeCell ref="K80:M80"/>
    <mergeCell ref="B81:D81"/>
    <mergeCell ref="E81:F81"/>
    <mergeCell ref="G81:H81"/>
    <mergeCell ref="I81:J81"/>
    <mergeCell ref="K81:M81"/>
    <mergeCell ref="B82:D82"/>
    <mergeCell ref="E82:F82"/>
    <mergeCell ref="G82:H82"/>
    <mergeCell ref="I82:J82"/>
    <mergeCell ref="K82:M82"/>
    <mergeCell ref="D88:F88"/>
    <mergeCell ref="I88:M88"/>
    <mergeCell ref="A89:B89"/>
    <mergeCell ref="D89:F89"/>
    <mergeCell ref="I89:M89"/>
    <mergeCell ref="A9:A10"/>
    <mergeCell ref="A19:A20"/>
    <mergeCell ref="A29:A30"/>
    <mergeCell ref="A39:A40"/>
    <mergeCell ref="A49:A50"/>
    <mergeCell ref="A59:A60"/>
    <mergeCell ref="A69:A70"/>
    <mergeCell ref="B9:B10"/>
    <mergeCell ref="B19:B20"/>
    <mergeCell ref="B29:B30"/>
    <mergeCell ref="B39:B40"/>
    <mergeCell ref="B49:B50"/>
    <mergeCell ref="B59:B60"/>
    <mergeCell ref="B69:B70"/>
    <mergeCell ref="C9:C10"/>
    <mergeCell ref="C19:C20"/>
    <mergeCell ref="C29:C30"/>
    <mergeCell ref="C39:C40"/>
    <mergeCell ref="C49:C50"/>
    <mergeCell ref="C59:C60"/>
    <mergeCell ref="C69:C70"/>
    <mergeCell ref="D9:D10"/>
    <mergeCell ref="D19:D20"/>
    <mergeCell ref="D29:D30"/>
    <mergeCell ref="D39:D40"/>
    <mergeCell ref="D49:D50"/>
    <mergeCell ref="D59:D60"/>
    <mergeCell ref="D69:D70"/>
  </mergeCells>
  <pageMargins left="0.39" right="0.29" top="0.42" bottom="0.4" header="0.3" footer="0.3"/>
  <pageSetup paperSize="9" scale="52" orientation="portrait" horizontalDpi="300" verticalDpi="30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599"/>
  <sheetViews>
    <sheetView workbookViewId="0">
      <selection activeCell="T5" sqref="T5"/>
    </sheetView>
  </sheetViews>
  <sheetFormatPr defaultColWidth="9.13888888888889" defaultRowHeight="14.4"/>
  <cols>
    <col min="1" max="2" width="0.861111111111111" style="3" customWidth="1"/>
    <col min="3" max="3" width="1.71296296296296" style="3" customWidth="1"/>
    <col min="4" max="5" width="12.4259259259259" style="3" customWidth="1"/>
    <col min="6" max="8" width="9.13888888888889" style="3"/>
    <col min="9" max="9" width="11" style="3" customWidth="1"/>
    <col min="10" max="12" width="9.13888888888889" style="3"/>
    <col min="13" max="13" width="13.5740740740741" style="3" customWidth="1"/>
    <col min="14" max="14" width="9.13888888888889" style="3"/>
    <col min="15" max="15" width="9.71296296296296" style="3" customWidth="1"/>
    <col min="16" max="16" width="2.71296296296296" style="3" customWidth="1"/>
    <col min="17" max="18" width="0.861111111111111" style="3" customWidth="1"/>
    <col min="19" max="16384" width="9.13888888888889" style="3"/>
  </cols>
  <sheetData>
    <row r="1" s="1" customFormat="1" ht="5.1" customHeight="1" spans="1:18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="1" customFormat="1" ht="15" customHeight="1" spans="1:18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1"/>
    </row>
    <row r="3" s="1" customFormat="1" ht="21.95" customHeight="1" spans="1:18">
      <c r="A3" s="7"/>
      <c r="B3" s="12"/>
      <c r="C3" s="13" t="s">
        <v>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  <c r="R3" s="11"/>
    </row>
    <row r="4" s="1" customFormat="1" ht="21.95" customHeight="1" spans="1:18">
      <c r="A4" s="7"/>
      <c r="B4" s="1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4"/>
      <c r="R4" s="11"/>
    </row>
    <row r="5" s="1" customFormat="1" ht="21.95" customHeight="1" spans="1:18">
      <c r="A5" s="7"/>
      <c r="B5" s="12"/>
      <c r="C5" s="15" t="str">
        <f>"SESSION-"&amp;ENTRY!$D$11</f>
        <v>SESSION-2026-27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4"/>
      <c r="R5" s="11"/>
    </row>
    <row r="6" s="1" customFormat="1" ht="21.95" customHeight="1" spans="1:18">
      <c r="A6" s="7"/>
      <c r="B6" s="12"/>
      <c r="C6" s="2"/>
      <c r="D6" s="2"/>
      <c r="E6" s="2"/>
      <c r="F6" s="16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14"/>
      <c r="R6" s="11"/>
    </row>
    <row r="7" s="1" customFormat="1" ht="21.95" customHeight="1" spans="1:18">
      <c r="A7" s="7"/>
      <c r="B7" s="12"/>
      <c r="C7" s="17" t="s">
        <v>392</v>
      </c>
      <c r="D7" s="17"/>
      <c r="E7" s="17"/>
      <c r="F7" s="18" t="str">
        <f>IF(F6&gt;0,ENTRY!$D$6,"")</f>
        <v>MCP NITHARI NO 1 BOYS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R7" s="11"/>
    </row>
    <row r="8" s="1" customFormat="1" ht="21.95" customHeight="1" spans="1:18">
      <c r="A8" s="7"/>
      <c r="B8" s="12"/>
      <c r="C8" s="17" t="s">
        <v>393</v>
      </c>
      <c r="D8" s="17"/>
      <c r="E8" s="17"/>
      <c r="F8" s="18">
        <f>IF(F6&gt;0,ENTRY!$D$7,"")</f>
        <v>0</v>
      </c>
      <c r="G8" s="18"/>
      <c r="H8" s="20" t="s">
        <v>702</v>
      </c>
      <c r="I8" s="20"/>
      <c r="J8" s="21">
        <f>IF(F6&gt;0,ENTRY!$D$10,"")</f>
        <v>40</v>
      </c>
      <c r="K8" s="20" t="s">
        <v>703</v>
      </c>
      <c r="L8" s="22" t="str">
        <f>IF(F6&gt;0,ENTRY!$D$5,"")</f>
        <v>ROHINI ZONE</v>
      </c>
      <c r="M8" s="22"/>
      <c r="N8" s="22"/>
      <c r="O8" s="22"/>
      <c r="P8" s="22"/>
      <c r="Q8" s="19"/>
      <c r="R8" s="11"/>
    </row>
    <row r="9" s="1" customFormat="1" ht="21.95" customHeight="1" spans="1:18">
      <c r="A9" s="7"/>
      <c r="B9" s="12"/>
      <c r="C9" s="17" t="s">
        <v>706</v>
      </c>
      <c r="D9" s="17"/>
      <c r="E9" s="17"/>
      <c r="F9" s="208" t="str">
        <f>IFERROR(VLOOKUP(F6,STUDENT!$A$2:$BP$101,5,0),"")</f>
        <v>NAKSH</v>
      </c>
      <c r="G9" s="208"/>
      <c r="H9" s="208"/>
      <c r="I9" s="208"/>
      <c r="J9" s="208"/>
      <c r="K9" s="208"/>
      <c r="L9" s="20" t="s">
        <v>707</v>
      </c>
      <c r="M9" s="20"/>
      <c r="N9" s="24" t="str">
        <f>IF(F6&gt;0,ENTRY!$D$20&amp;"-"&amp;ENTRY!$D$21,"")</f>
        <v>III-A</v>
      </c>
      <c r="O9" s="24"/>
      <c r="P9" s="24"/>
      <c r="Q9" s="19"/>
      <c r="R9" s="11"/>
    </row>
    <row r="10" s="1" customFormat="1" ht="21.95" customHeight="1" spans="1:18">
      <c r="A10" s="7"/>
      <c r="B10" s="12"/>
      <c r="C10" s="17" t="s">
        <v>708</v>
      </c>
      <c r="D10" s="17"/>
      <c r="E10" s="17"/>
      <c r="F10" s="105">
        <f>IFERROR(VLOOKUP(F6,STUDENT!$A$2:$BP$101,6,0),"")</f>
        <v>14779</v>
      </c>
      <c r="G10" s="105"/>
      <c r="H10" s="26" t="s">
        <v>709</v>
      </c>
      <c r="I10" s="27" t="str">
        <f>IFERROR(VLOOKUP(F6,STUDENT!$A$2:$BP$101,59,0),"")</f>
        <v/>
      </c>
      <c r="J10" s="27"/>
      <c r="K10" s="20" t="s">
        <v>710</v>
      </c>
      <c r="L10" s="20"/>
      <c r="M10" s="18">
        <f>IFERROR(VLOOKUP(F6,STUDENT!$A$2:$BP$101,20,0),"")</f>
        <v>8171491639</v>
      </c>
      <c r="N10" s="18"/>
      <c r="O10" s="18"/>
      <c r="P10" s="18"/>
      <c r="Q10" s="19"/>
      <c r="R10" s="11"/>
    </row>
    <row r="11" s="1" customFormat="1" ht="21.95" customHeight="1" spans="1:18">
      <c r="A11" s="7"/>
      <c r="B11" s="12"/>
      <c r="C11" s="17" t="s">
        <v>711</v>
      </c>
      <c r="D11" s="17"/>
      <c r="E11" s="17"/>
      <c r="F11" s="208" t="str">
        <f>IFERROR(VLOOKUP(F6,STUDENT!$A$2:$BP$101,9,0),"")</f>
        <v>SHEETAL</v>
      </c>
      <c r="G11" s="208"/>
      <c r="H11" s="208"/>
      <c r="I11" s="208"/>
      <c r="J11" s="17" t="s">
        <v>620</v>
      </c>
      <c r="K11" s="17"/>
      <c r="L11" s="208" t="str">
        <f>IFERROR(VLOOKUP(F6,STUDENT!$A$2:$BP$101,8,0),"")</f>
        <v>NARESH</v>
      </c>
      <c r="M11" s="208"/>
      <c r="N11" s="208"/>
      <c r="O11" s="208"/>
      <c r="P11" s="208"/>
      <c r="Q11" s="19"/>
      <c r="R11" s="11"/>
    </row>
    <row r="12" s="1" customFormat="1" ht="21.95" customHeight="1" spans="1:18">
      <c r="A12" s="7"/>
      <c r="B12" s="12"/>
      <c r="C12" s="17" t="s">
        <v>712</v>
      </c>
      <c r="D12" s="17"/>
      <c r="E12" s="17"/>
      <c r="F12" s="208" t="str">
        <f>IFERROR(VLOOKUP(F6,STUDENT!$A$2:$BP$101,22,0),"")</f>
        <v>PLOT NO 6 A, KH NO 36/17 INDER ENCALVE II</v>
      </c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19"/>
      <c r="R12" s="11"/>
    </row>
    <row r="13" s="1" customFormat="1" ht="9.95" customHeight="1" spans="1:18">
      <c r="A13" s="7"/>
      <c r="B13" s="12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19"/>
      <c r="R13" s="11"/>
    </row>
    <row r="14" s="1" customFormat="1" ht="9.95" customHeight="1" spans="1:18">
      <c r="A14" s="7"/>
      <c r="B14" s="12"/>
      <c r="C14" s="3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2"/>
      <c r="Q14" s="19"/>
      <c r="R14" s="11"/>
    </row>
    <row r="15" s="1" customFormat="1" ht="21.95" customHeight="1" spans="1:18">
      <c r="A15" s="7"/>
      <c r="B15" s="12"/>
      <c r="C15" s="33"/>
      <c r="D15" s="34" t="s">
        <v>713</v>
      </c>
      <c r="E15" s="20" t="s">
        <v>714</v>
      </c>
      <c r="F15" s="35" t="str">
        <f>"Level - "&amp;IFERROR(VLOOKUP(F6,FLN!$A$4:$K$103,9,0),"")</f>
        <v>Level - 2</v>
      </c>
      <c r="G15" s="36"/>
      <c r="H15" s="37" t="s">
        <v>715</v>
      </c>
      <c r="I15" s="20"/>
      <c r="J15" s="35" t="str">
        <f>"Level - "&amp;IFERROR(VLOOKUP(F6,FLN!$A$4:$K$103,11,0),"")</f>
        <v>Level - 3</v>
      </c>
      <c r="K15" s="36"/>
      <c r="L15" s="37" t="s">
        <v>408</v>
      </c>
      <c r="M15" s="20"/>
      <c r="N15" s="35" t="str">
        <f>"Level - "&amp;IFERROR(VLOOKUP(F6,FLN!$A$4:$K$103,10,0),"")</f>
        <v>Level - 2</v>
      </c>
      <c r="O15" s="36"/>
      <c r="P15" s="19"/>
      <c r="Q15" s="19"/>
      <c r="R15" s="11"/>
    </row>
    <row r="16" s="1" customFormat="1" ht="21.95" customHeight="1" spans="1:18">
      <c r="A16" s="7"/>
      <c r="B16" s="12"/>
      <c r="C16" s="33"/>
      <c r="D16" s="38"/>
      <c r="E16" s="20" t="s">
        <v>716</v>
      </c>
      <c r="F16" s="18" t="str">
        <f>IF(L30&gt;197,"PERFORMED WELL","")</f>
        <v/>
      </c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19"/>
      <c r="R16" s="11"/>
    </row>
    <row r="17" s="1" customFormat="1" ht="9.95" customHeight="1" spans="1:18">
      <c r="A17" s="7"/>
      <c r="B17" s="12"/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19"/>
      <c r="R17" s="11"/>
    </row>
    <row r="18" s="1" customFormat="1" ht="9.95" customHeight="1" spans="1:18">
      <c r="A18" s="7"/>
      <c r="B18" s="12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19"/>
      <c r="R18" s="11"/>
    </row>
    <row r="19" s="1" customFormat="1" ht="9.95" customHeight="1" spans="1:18">
      <c r="A19" s="7"/>
      <c r="B19" s="12"/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2"/>
      <c r="Q19" s="19"/>
      <c r="R19" s="11"/>
    </row>
    <row r="20" s="1" customFormat="1" ht="21.95" customHeight="1" spans="1:18">
      <c r="A20" s="7"/>
      <c r="B20" s="12"/>
      <c r="C20" s="33"/>
      <c r="D20" s="35"/>
      <c r="E20" s="24"/>
      <c r="F20" s="24"/>
      <c r="G20" s="47" t="s">
        <v>717</v>
      </c>
      <c r="H20" s="47"/>
      <c r="I20" s="47"/>
      <c r="J20" s="47"/>
      <c r="K20" s="47"/>
      <c r="L20" s="47"/>
      <c r="M20" s="47"/>
      <c r="N20" s="47"/>
      <c r="O20" s="29"/>
      <c r="P20" s="19"/>
      <c r="Q20" s="19"/>
      <c r="R20" s="11"/>
    </row>
    <row r="21" s="1" customFormat="1" ht="21.95" customHeight="1" spans="1:18">
      <c r="A21" s="7"/>
      <c r="B21" s="12"/>
      <c r="C21" s="33"/>
      <c r="D21" s="47"/>
      <c r="E21" s="47"/>
      <c r="F21" s="47"/>
      <c r="G21" s="47" t="s">
        <v>541</v>
      </c>
      <c r="H21" s="47" t="s">
        <v>542</v>
      </c>
      <c r="I21" s="47" t="s">
        <v>543</v>
      </c>
      <c r="J21" s="47" t="s">
        <v>544</v>
      </c>
      <c r="K21" s="47" t="s">
        <v>561</v>
      </c>
      <c r="L21" s="47" t="s">
        <v>382</v>
      </c>
      <c r="M21" s="49" t="s">
        <v>546</v>
      </c>
      <c r="N21" s="49"/>
      <c r="O21" s="29"/>
      <c r="P21" s="19"/>
      <c r="Q21" s="19"/>
      <c r="R21" s="11"/>
    </row>
    <row r="22" s="1" customFormat="1" ht="21.95" customHeight="1" spans="1:18">
      <c r="A22" s="7"/>
      <c r="B22" s="12"/>
      <c r="C22" s="33"/>
      <c r="D22" s="207" t="s">
        <v>652</v>
      </c>
      <c r="E22" s="207"/>
      <c r="F22" s="207"/>
      <c r="G22" s="50">
        <v>10</v>
      </c>
      <c r="H22" s="50">
        <v>10</v>
      </c>
      <c r="I22" s="50">
        <v>10</v>
      </c>
      <c r="J22" s="50">
        <v>10</v>
      </c>
      <c r="K22" s="50">
        <v>60</v>
      </c>
      <c r="L22" s="50">
        <v>100</v>
      </c>
      <c r="M22" s="49"/>
      <c r="N22" s="49"/>
      <c r="O22" s="29"/>
      <c r="P22" s="19"/>
      <c r="Q22" s="19"/>
      <c r="R22" s="11"/>
    </row>
    <row r="23" s="1" customFormat="1" ht="21.95" customHeight="1" spans="1:18">
      <c r="A23" s="7"/>
      <c r="B23" s="12"/>
      <c r="C23" s="33"/>
      <c r="D23" s="117" t="s">
        <v>668</v>
      </c>
      <c r="E23" s="117"/>
      <c r="F23" s="117"/>
      <c r="G23" s="54">
        <f>IFERROR(VLOOKUP(F6,'1to4-2.1-RR'!$A$12:$BG$111,9,0),"")</f>
        <v>1</v>
      </c>
      <c r="H23" s="54">
        <f>IFERROR(VLOOKUP(F6,'1to4-2.1-RR'!$A$12:$BG$111,10,0),"")</f>
        <v>0</v>
      </c>
      <c r="I23" s="54">
        <f>IFERROR(VLOOKUP(F6,'1to4-2.1-RR'!$A$12:$BG$111,11,0),"")</f>
        <v>0</v>
      </c>
      <c r="J23" s="54">
        <f>IFERROR(VLOOKUP(F6,'1to4-2.1-RR'!$A$12:$BG$111,12,0),"")</f>
        <v>0</v>
      </c>
      <c r="K23" s="54">
        <f>IFERROR(VLOOKUP(F6,'1to4-2.1-RR'!$A$12:$BG$111,13,0),"")</f>
        <v>50</v>
      </c>
      <c r="L23" s="55">
        <f>SUM(G23:K23)</f>
        <v>51</v>
      </c>
      <c r="M23" s="56" t="str">
        <f>IF(F6&gt;ENTRY!$D$24,"",IF(L23=0,"Ab",IF(L23&gt;80,"A",IF(L23&gt;60,"B",IF(L23&gt;44,"C",IF(L23&gt;=33,"D",IF(L23&lt;=32,"E","")))))))</f>
        <v>C</v>
      </c>
      <c r="N23" s="56"/>
      <c r="O23" s="29"/>
      <c r="P23" s="19"/>
      <c r="Q23" s="19"/>
      <c r="R23" s="11"/>
    </row>
    <row r="24" s="1" customFormat="1" ht="21.95" customHeight="1" spans="1:18">
      <c r="A24" s="7"/>
      <c r="B24" s="12"/>
      <c r="C24" s="33"/>
      <c r="D24" s="117" t="s">
        <v>513</v>
      </c>
      <c r="E24" s="117"/>
      <c r="F24" s="117"/>
      <c r="G24" s="54">
        <f>IFERROR(VLOOKUP(F6,'1to4-2.1-RR'!$A$12:$BG$111,16,0),"")</f>
        <v>1</v>
      </c>
      <c r="H24" s="54">
        <f>IFERROR(VLOOKUP(F6,'1to4-2.1-RR'!$A$12:$BG$111,17,0),"")</f>
        <v>0</v>
      </c>
      <c r="I24" s="54">
        <f>IFERROR(VLOOKUP(F6,'1to4-2.1-RR'!$A$12:$BG$111,18,0),"")</f>
        <v>0</v>
      </c>
      <c r="J24" s="54">
        <f>IFERROR(VLOOKUP(F6,'1to4-2.1-RR'!$A$12:$BG$111,19,0),"")</f>
        <v>0</v>
      </c>
      <c r="K24" s="54">
        <f>IFERROR(VLOOKUP(F6,'1to4-2.1-RR'!$A$12:$BG$111,20,0),"")</f>
        <v>19</v>
      </c>
      <c r="L24" s="55">
        <f t="shared" ref="L24:L29" si="0">SUM(G24:K24)</f>
        <v>20</v>
      </c>
      <c r="M24" s="56" t="str">
        <f>IF(F6&gt;ENTRY!$D$24,"",IF(L24=0,"Ab",IF(L24&gt;80,"A",IF(L24&gt;60,"B",IF(L24&gt;44,"C",IF(L24&gt;=33,"D",IF(L24&lt;=32,"E","")))))))</f>
        <v>E</v>
      </c>
      <c r="N24" s="56"/>
      <c r="O24" s="29"/>
      <c r="P24" s="19"/>
      <c r="Q24" s="19"/>
      <c r="R24" s="11"/>
    </row>
    <row r="25" s="1" customFormat="1" ht="21.95" customHeight="1" spans="1:18">
      <c r="A25" s="7"/>
      <c r="B25" s="12"/>
      <c r="C25" s="33"/>
      <c r="D25" s="117" t="s">
        <v>718</v>
      </c>
      <c r="E25" s="117"/>
      <c r="F25" s="117"/>
      <c r="G25" s="54">
        <f>IFERROR(VLOOKUP(F6,'1to4-2.1-RR'!$A$12:$BG$111,23,0),"")</f>
        <v>1</v>
      </c>
      <c r="H25" s="54">
        <f>IFERROR(VLOOKUP(F6,'1to4-2.1-RR'!$A$12:$BG$111,24,0),"")</f>
        <v>0</v>
      </c>
      <c r="I25" s="54">
        <f>IFERROR(VLOOKUP(F6,'1to4-2.1-RR'!$A$12:$BG$111,25,0),"")</f>
        <v>0</v>
      </c>
      <c r="J25" s="54">
        <f>IFERROR(VLOOKUP(F6,'1to4-2.1-RR'!$A$12:$BG$111,26,0),"")</f>
        <v>0</v>
      </c>
      <c r="K25" s="54">
        <f>IFERROR(VLOOKUP(F6,'1to4-2.1-RR'!$A$12:$BG$111,27,0),"")</f>
        <v>21</v>
      </c>
      <c r="L25" s="55">
        <f t="shared" si="0"/>
        <v>22</v>
      </c>
      <c r="M25" s="56" t="str">
        <f>IF(F6&gt;ENTRY!$D$24,"",IF(L25=0,"Ab",IF(L25&gt;80,"A",IF(L25&gt;60,"B",IF(L25&gt;44,"C",IF(L25&gt;=33,"D",IF(L25&lt;=32,"E","")))))))</f>
        <v>E</v>
      </c>
      <c r="N25" s="56"/>
      <c r="O25" s="29"/>
      <c r="P25" s="19"/>
      <c r="Q25" s="19"/>
      <c r="R25" s="11"/>
    </row>
    <row r="26" s="1" customFormat="1" ht="21.95" customHeight="1" spans="1:18">
      <c r="A26" s="7"/>
      <c r="B26" s="12"/>
      <c r="C26" s="33"/>
      <c r="D26" s="117" t="s">
        <v>719</v>
      </c>
      <c r="E26" s="117"/>
      <c r="F26" s="117"/>
      <c r="G26" s="54">
        <f>IFERROR(VLOOKUP(F6,'1to4-2.1-RR'!$A$12:$BG$111,30,0),"")</f>
        <v>2</v>
      </c>
      <c r="H26" s="54">
        <f>IFERROR(VLOOKUP(F6,'1to4-2.1-RR'!$A$12:$BG$111,31,0),"")</f>
        <v>0</v>
      </c>
      <c r="I26" s="54">
        <f>IFERROR(VLOOKUP(F6,'1to4-2.1-RR'!$A$12:$BG$111,32,0),"")</f>
        <v>0</v>
      </c>
      <c r="J26" s="54">
        <f>IFERROR(VLOOKUP(F6,'1to4-2.1-RR'!$A$12:$BG$111,33,0),"")</f>
        <v>0</v>
      </c>
      <c r="K26" s="54">
        <f>IFERROR(VLOOKUP(F6,'1to4-2.1-RR'!$A$12:$BG$111,34,0),"")</f>
        <v>23</v>
      </c>
      <c r="L26" s="55">
        <f t="shared" si="0"/>
        <v>25</v>
      </c>
      <c r="M26" s="56" t="str">
        <f>IF(F6&gt;ENTRY!$D$24,"",IF(L26=0,"Ab",IF(L26&gt;80,"A",IF(L26&gt;60,"B",IF(L26&gt;44,"C",IF(L26&gt;=33,"D",IF(L26&lt;=32,"E","")))))))</f>
        <v>E</v>
      </c>
      <c r="N26" s="56"/>
      <c r="O26" s="29"/>
      <c r="P26" s="19"/>
      <c r="Q26" s="19"/>
      <c r="R26" s="11"/>
    </row>
    <row r="27" s="1" customFormat="1" ht="21.95" customHeight="1" spans="1:18">
      <c r="A27" s="7"/>
      <c r="B27" s="12"/>
      <c r="C27" s="33"/>
      <c r="D27" s="117" t="s">
        <v>548</v>
      </c>
      <c r="E27" s="117"/>
      <c r="F27" s="117"/>
      <c r="G27" s="54">
        <f>IFERROR(VLOOKUP(F6,'1to4-2.1-RR'!$A$12:$BG$111,37,0),"")</f>
        <v>0</v>
      </c>
      <c r="H27" s="54">
        <f>IFERROR(VLOOKUP(F6,'1to4-2.1-RR'!$A$12:$BG$111,38,0),"")</f>
        <v>0</v>
      </c>
      <c r="I27" s="54">
        <f>IFERROR(VLOOKUP(F6,'1to4-2.1-RR'!$A$12:$BG$111,39,0),"")</f>
        <v>0</v>
      </c>
      <c r="J27" s="54">
        <f>IFERROR(VLOOKUP(F6,'1to4-2.1-RR'!$A$12:$BG$111,40,0),"")</f>
        <v>0</v>
      </c>
      <c r="K27" s="54">
        <f>IFERROR(VLOOKUP(F6,'1to4-2.1-RR'!$A$12:$BG$111,41,0),"")</f>
        <v>21</v>
      </c>
      <c r="L27" s="55">
        <f t="shared" si="0"/>
        <v>21</v>
      </c>
      <c r="M27" s="56" t="str">
        <f>IF(F6&gt;ENTRY!$D$24,"",IF(L27=0,"Ab",IF(L27&gt;80,"A",IF(L27&gt;60,"B",IF(L27&gt;44,"C",IF(L27&gt;=33,"D",IF(L27&lt;=32,"E","")))))))</f>
        <v>E</v>
      </c>
      <c r="N27" s="56"/>
      <c r="O27" s="29"/>
      <c r="P27" s="19"/>
      <c r="Q27" s="19"/>
      <c r="R27" s="11"/>
    </row>
    <row r="28" s="1" customFormat="1" ht="21.95" customHeight="1" spans="1:18">
      <c r="A28" s="7"/>
      <c r="B28" s="12"/>
      <c r="C28" s="33"/>
      <c r="D28" s="117" t="s">
        <v>549</v>
      </c>
      <c r="E28" s="117"/>
      <c r="F28" s="117"/>
      <c r="G28" s="54">
        <f>IFERROR(VLOOKUP(F6,'1to4-2.1-RR'!$A$12:$BG$111,44,0),"")</f>
        <v>2</v>
      </c>
      <c r="H28" s="54">
        <f>IFERROR(VLOOKUP(F6,'1to4-2.1-RR'!$A$12:$BG$111,45,0),"")</f>
        <v>0</v>
      </c>
      <c r="I28" s="54">
        <f>IFERROR(VLOOKUP(F6,'1to4-2.1-RR'!$A$12:$BG$111,46,0),"")</f>
        <v>0</v>
      </c>
      <c r="J28" s="54">
        <f>IFERROR(VLOOKUP(F6,'1to4-2.1-RR'!$A$12:$BG$111,47,0),"")</f>
        <v>0</v>
      </c>
      <c r="K28" s="54">
        <f>IFERROR(VLOOKUP(F6,'1to4-2.1-RR'!$A$12:$BG$111,48,0),"")</f>
        <v>27</v>
      </c>
      <c r="L28" s="55">
        <f t="shared" si="0"/>
        <v>29</v>
      </c>
      <c r="M28" s="56" t="str">
        <f>IF(F6&gt;ENTRY!$D$24,"",IF(L28=0,"Ab",IF(L28&gt;80,"A",IF(L28&gt;60,"B",IF(L28&gt;44,"C",IF(L28&gt;=33,"D",IF(L28&lt;=32,"E","")))))))</f>
        <v>E</v>
      </c>
      <c r="N28" s="56"/>
      <c r="O28" s="29"/>
      <c r="P28" s="19"/>
      <c r="Q28" s="19"/>
      <c r="R28" s="11"/>
    </row>
    <row r="29" s="1" customFormat="1" ht="21.95" customHeight="1" spans="1:18">
      <c r="A29" s="7"/>
      <c r="B29" s="12"/>
      <c r="C29" s="33"/>
      <c r="D29" s="117" t="s">
        <v>720</v>
      </c>
      <c r="E29" s="117"/>
      <c r="F29" s="117"/>
      <c r="G29" s="54"/>
      <c r="H29" s="54"/>
      <c r="I29" s="54"/>
      <c r="J29" s="54"/>
      <c r="K29" s="54"/>
      <c r="L29" s="55">
        <f t="shared" si="0"/>
        <v>0</v>
      </c>
      <c r="M29" s="56" t="str">
        <f>IF(F6&gt;ENTRY!$D$24,"",IF(L29=0,"",IF(L29&gt;79,"A",IF(L29&gt;59,"B",IF(L29&gt;44,"C",IF(L29&gt;=33,"D",IF(L29&lt;=32,"E","")))))))</f>
        <v/>
      </c>
      <c r="N29" s="56"/>
      <c r="O29" s="29"/>
      <c r="P29" s="19"/>
      <c r="Q29" s="19"/>
      <c r="R29" s="11"/>
    </row>
    <row r="30" s="1" customFormat="1" ht="21.95" customHeight="1" spans="1:18">
      <c r="A30" s="7"/>
      <c r="B30" s="12"/>
      <c r="C30" s="33"/>
      <c r="D30" s="207" t="s">
        <v>382</v>
      </c>
      <c r="E30" s="207"/>
      <c r="F30" s="207"/>
      <c r="G30" s="54">
        <f t="shared" ref="G30:L30" si="1">IFERROR(SUM(G23:G29),"")</f>
        <v>7</v>
      </c>
      <c r="H30" s="54">
        <f t="shared" si="1"/>
        <v>0</v>
      </c>
      <c r="I30" s="54">
        <f t="shared" si="1"/>
        <v>0</v>
      </c>
      <c r="J30" s="54">
        <f t="shared" si="1"/>
        <v>0</v>
      </c>
      <c r="K30" s="54">
        <f t="shared" si="1"/>
        <v>161</v>
      </c>
      <c r="L30" s="55">
        <f t="shared" si="1"/>
        <v>168</v>
      </c>
      <c r="M30" s="61" t="str">
        <f>IF(F6&gt;ENTRY!$D$24,"",IF(N31="Ab","Ab",IF(N31&gt;79.5,"A",IF(N31&gt;59.5,"B",IF(N31&gt;44.5,"C",IF(N31&gt;=33,"D",IF(N31&lt;33,"E","")))))))</f>
        <v>E</v>
      </c>
      <c r="N30" s="61"/>
      <c r="O30" s="29"/>
      <c r="P30" s="19"/>
      <c r="Q30" s="19"/>
      <c r="R30" s="11"/>
    </row>
    <row r="31" s="1" customFormat="1" ht="21.95" customHeight="1" spans="1:18">
      <c r="A31" s="7"/>
      <c r="B31" s="12"/>
      <c r="C31" s="33"/>
      <c r="D31" s="63" t="s">
        <v>721</v>
      </c>
      <c r="E31" s="63"/>
      <c r="F31" s="63"/>
      <c r="G31" s="63"/>
      <c r="H31" s="63"/>
      <c r="I31" s="63"/>
      <c r="J31" s="63"/>
      <c r="K31" s="63"/>
      <c r="L31" s="63"/>
      <c r="M31" s="209"/>
      <c r="N31" s="64">
        <f>IF(L30="Ab","Ab",L30/6)</f>
        <v>28</v>
      </c>
      <c r="O31" s="65"/>
      <c r="P31" s="19"/>
      <c r="Q31" s="19"/>
      <c r="R31" s="11"/>
    </row>
    <row r="32" s="1" customFormat="1" ht="21.95" customHeight="1" spans="1:18">
      <c r="A32" s="7"/>
      <c r="B32" s="12"/>
      <c r="C32" s="33"/>
      <c r="D32" s="29" t="s">
        <v>716</v>
      </c>
      <c r="E32" s="18" t="str">
        <f>IFERROR(VLOOKUP(F6,'1to4-2.1-RR'!$A$12:$BG$111,57,0),"")</f>
        <v>PROMOTED</v>
      </c>
      <c r="F32" s="18"/>
      <c r="G32" s="18"/>
      <c r="H32" s="18"/>
      <c r="I32" s="18"/>
      <c r="J32" s="18"/>
      <c r="K32" s="18"/>
      <c r="L32" s="18"/>
      <c r="M32" s="18"/>
      <c r="N32" s="29"/>
      <c r="O32" s="29"/>
      <c r="P32" s="19"/>
      <c r="Q32" s="19"/>
      <c r="R32" s="11"/>
    </row>
    <row r="33" s="1" customFormat="1" ht="9.95" customHeight="1" spans="1:19">
      <c r="A33" s="7"/>
      <c r="B33" s="12"/>
      <c r="C33" s="39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1"/>
      <c r="Q33" s="19"/>
      <c r="R33" s="11"/>
    </row>
    <row r="34" s="1" customFormat="1" ht="9.95" customHeight="1" spans="1:19">
      <c r="A34" s="7"/>
      <c r="B34" s="12"/>
      <c r="C34" s="30"/>
      <c r="D34" s="31"/>
      <c r="E34" s="31"/>
      <c r="F34" s="29"/>
      <c r="G34" s="31"/>
      <c r="H34" s="31"/>
      <c r="I34" s="31"/>
      <c r="J34" s="31"/>
      <c r="K34" s="31"/>
      <c r="L34" s="31"/>
      <c r="M34" s="31"/>
      <c r="N34" s="31"/>
      <c r="O34" s="31"/>
      <c r="P34" s="32"/>
      <c r="Q34" s="19"/>
      <c r="R34" s="11"/>
    </row>
    <row r="35" s="1" customFormat="1" ht="9.95" customHeight="1" spans="1:19">
      <c r="A35" s="7"/>
      <c r="B35" s="12"/>
      <c r="C35" s="33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19"/>
      <c r="Q35" s="19"/>
      <c r="R35" s="11"/>
    </row>
    <row r="36" s="1" customFormat="1" ht="9.95" customHeight="1" spans="1:19">
      <c r="A36" s="7"/>
      <c r="B36" s="12"/>
      <c r="C36" s="33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19"/>
      <c r="Q36" s="19"/>
      <c r="R36" s="11"/>
    </row>
    <row r="37" s="1" customFormat="1" ht="21.95" customHeight="1" spans="1:19">
      <c r="A37" s="7"/>
      <c r="B37" s="12"/>
      <c r="C37" s="210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2"/>
      <c r="Q37" s="19"/>
      <c r="R37" s="11"/>
      <c r="S37" s="2"/>
    </row>
    <row r="38" s="1" customFormat="1" ht="21.95" customHeight="1" spans="1:19">
      <c r="A38" s="7"/>
      <c r="B38" s="12"/>
      <c r="C38" s="33"/>
      <c r="D38" s="207" t="s">
        <v>722</v>
      </c>
      <c r="E38" s="207"/>
      <c r="F38" s="207"/>
      <c r="G38" s="207"/>
      <c r="H38" s="54">
        <f>IFERROR(VLOOKUP(F6,PASHEET!$A$4:$CJ$103,88,0),"")</f>
        <v>417</v>
      </c>
      <c r="I38" s="54"/>
      <c r="J38" s="29"/>
      <c r="K38" s="29"/>
      <c r="L38" s="29"/>
      <c r="M38" s="29"/>
      <c r="N38" s="29"/>
      <c r="O38" s="29"/>
      <c r="P38" s="19"/>
      <c r="Q38" s="19"/>
      <c r="R38" s="11"/>
    </row>
    <row r="39" s="1" customFormat="1" ht="21.95" customHeight="1" spans="1:19">
      <c r="A39" s="7"/>
      <c r="B39" s="12"/>
      <c r="C39" s="213"/>
      <c r="D39" s="207" t="s">
        <v>723</v>
      </c>
      <c r="E39" s="207"/>
      <c r="F39" s="207"/>
      <c r="G39" s="207"/>
      <c r="H39" s="54">
        <f>IFERROR(VLOOKUP(F6,PASHEET!$A$4:$CJ$103,87,0),"")</f>
        <v>350</v>
      </c>
      <c r="I39" s="54"/>
      <c r="J39" s="214"/>
      <c r="K39" s="214"/>
      <c r="L39" s="207" t="s">
        <v>724</v>
      </c>
      <c r="M39" s="207"/>
      <c r="N39" s="117" t="str">
        <f>IF(F6&gt;ENTRY!$D$24,"",IF(F6&gt;0,L30&amp;" / "&amp;600,""))</f>
        <v>168 / 600</v>
      </c>
      <c r="O39" s="117"/>
      <c r="P39" s="215"/>
      <c r="Q39" s="19"/>
      <c r="R39" s="11"/>
    </row>
    <row r="40" s="1" customFormat="1" ht="18" customHeight="1" spans="1:19">
      <c r="A40" s="7"/>
      <c r="B40" s="12"/>
      <c r="C40" s="33"/>
      <c r="D40" s="207" t="s">
        <v>725</v>
      </c>
      <c r="E40" s="207"/>
      <c r="F40" s="207"/>
      <c r="G40" s="207"/>
      <c r="H40" s="69">
        <f>IFERROR(IF(F6&gt;0,H39/H38*100),"")</f>
        <v>83.9328537170264</v>
      </c>
      <c r="I40" s="69"/>
      <c r="J40" s="29"/>
      <c r="K40" s="29"/>
      <c r="L40" s="207" t="s">
        <v>726</v>
      </c>
      <c r="M40" s="207"/>
      <c r="N40" s="216">
        <f>IF(F6&gt;ENTRY!$D$24,"",IF(F6&gt;0,L30/600*100,""))</f>
        <v>28</v>
      </c>
      <c r="O40" s="216"/>
      <c r="P40" s="19"/>
      <c r="Q40" s="19"/>
      <c r="R40" s="11"/>
    </row>
    <row r="41" s="1" customFormat="1" ht="21.95" customHeight="1" spans="1:19">
      <c r="A41" s="7"/>
      <c r="B41" s="12"/>
      <c r="C41" s="33"/>
      <c r="D41" s="80"/>
      <c r="E41" s="80"/>
      <c r="F41" s="217"/>
      <c r="G41" s="217"/>
      <c r="H41" s="217"/>
      <c r="I41" s="217"/>
      <c r="J41" s="217"/>
      <c r="K41" s="217"/>
      <c r="L41" s="217"/>
      <c r="M41" s="217"/>
      <c r="N41" s="80"/>
      <c r="O41" s="80"/>
      <c r="P41" s="19"/>
      <c r="Q41" s="19"/>
      <c r="R41" s="11"/>
    </row>
    <row r="42" s="1" customFormat="1" ht="21.95" customHeight="1" spans="1:19">
      <c r="A42" s="7"/>
      <c r="B42" s="12"/>
      <c r="C42" s="33"/>
      <c r="D42" s="80"/>
      <c r="E42" s="218"/>
      <c r="F42" s="218"/>
      <c r="G42" s="218"/>
      <c r="H42" s="80"/>
      <c r="I42" s="218"/>
      <c r="J42" s="218"/>
      <c r="K42" s="218"/>
      <c r="L42" s="218"/>
      <c r="M42" s="80"/>
      <c r="N42" s="219"/>
      <c r="O42" s="219"/>
      <c r="P42" s="19"/>
      <c r="Q42" s="19"/>
      <c r="R42" s="11"/>
    </row>
    <row r="43" s="1" customFormat="1" ht="21.95" customHeight="1" spans="1:19">
      <c r="A43" s="7"/>
      <c r="B43" s="12"/>
      <c r="C43" s="33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19"/>
      <c r="Q43" s="19"/>
      <c r="R43" s="11"/>
    </row>
    <row r="44" s="1" customFormat="1" ht="21.95" customHeight="1" spans="1:19">
      <c r="A44" s="7"/>
      <c r="B44" s="12"/>
      <c r="C44" s="33"/>
      <c r="D44" s="218"/>
      <c r="E44" s="218"/>
      <c r="F44" s="218"/>
      <c r="G44" s="218"/>
      <c r="H44" s="218"/>
      <c r="I44" s="218"/>
      <c r="J44" s="218"/>
      <c r="K44" s="218"/>
      <c r="L44" s="218"/>
      <c r="M44" s="80"/>
      <c r="N44" s="217"/>
      <c r="O44" s="217"/>
      <c r="P44" s="85" t="s">
        <v>727</v>
      </c>
      <c r="Q44" s="19"/>
      <c r="R44" s="11"/>
    </row>
    <row r="45" s="1" customFormat="1" ht="21.95" customHeight="1" spans="1:19">
      <c r="A45" s="7"/>
      <c r="B45" s="12"/>
      <c r="C45" s="33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19"/>
      <c r="Q45" s="19"/>
      <c r="R45" s="11"/>
    </row>
    <row r="46" s="1" customFormat="1" ht="21.95" customHeight="1" spans="1:19">
      <c r="A46" s="7"/>
      <c r="B46" s="12"/>
      <c r="C46" s="33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19"/>
      <c r="Q46" s="19"/>
      <c r="R46" s="11"/>
    </row>
    <row r="47" s="1" customFormat="1" ht="21.95" customHeight="1" spans="1:19">
      <c r="A47" s="7"/>
      <c r="B47" s="12"/>
      <c r="C47" s="33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19"/>
      <c r="Q47" s="19"/>
      <c r="R47" s="11"/>
    </row>
    <row r="48" s="1" customFormat="1" ht="21.95" customHeight="1" spans="1:19">
      <c r="A48" s="7"/>
      <c r="B48" s="12"/>
      <c r="C48" s="33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19"/>
      <c r="Q48" s="19"/>
      <c r="R48" s="11"/>
    </row>
    <row r="49" s="1" customFormat="1" ht="21.95" customHeight="1" spans="1:18">
      <c r="A49" s="7"/>
      <c r="B49" s="12"/>
      <c r="C49" s="33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19"/>
      <c r="Q49" s="19"/>
      <c r="R49" s="11"/>
    </row>
    <row r="50" s="1" customFormat="1" ht="21.95" customHeight="1" spans="1:18">
      <c r="A50" s="7"/>
      <c r="B50" s="12"/>
      <c r="C50" s="33"/>
      <c r="D50" s="80" t="s">
        <v>728</v>
      </c>
      <c r="E50" s="220">
        <f>ENTRY!$D$27</f>
        <v>46102</v>
      </c>
      <c r="F50" s="220"/>
      <c r="G50" s="29"/>
      <c r="H50" s="29"/>
      <c r="I50" s="221" t="s">
        <v>729</v>
      </c>
      <c r="J50" s="153"/>
      <c r="K50" s="29"/>
      <c r="L50" s="29"/>
      <c r="M50" s="87" t="s">
        <v>730</v>
      </c>
      <c r="N50" s="87"/>
      <c r="O50" s="87"/>
      <c r="P50" s="19"/>
      <c r="Q50" s="19"/>
      <c r="R50" s="11"/>
    </row>
    <row r="51" s="1" customFormat="1" ht="21.95" customHeight="1" spans="1:18">
      <c r="A51" s="7"/>
      <c r="B51" s="12"/>
      <c r="C51" s="33"/>
      <c r="D51" s="80" t="s">
        <v>731</v>
      </c>
      <c r="E51" s="88" t="str">
        <f>PROPER(ENTRY!$D$28)</f>
        <v>New Delhi</v>
      </c>
      <c r="F51" s="88"/>
      <c r="G51" s="29"/>
      <c r="H51" s="29"/>
      <c r="I51" s="153"/>
      <c r="J51" s="153"/>
      <c r="K51" s="29"/>
      <c r="L51" s="29"/>
      <c r="M51" s="79" t="s">
        <v>732</v>
      </c>
      <c r="N51" s="79"/>
      <c r="O51" s="79"/>
      <c r="P51" s="19"/>
      <c r="Q51" s="19"/>
      <c r="R51" s="11"/>
    </row>
    <row r="52" s="1" customFormat="1" ht="21.95" customHeight="1" spans="1:18">
      <c r="A52" s="7"/>
      <c r="B52" s="12"/>
      <c r="C52" s="90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2"/>
      <c r="Q52" s="14"/>
      <c r="R52" s="11"/>
    </row>
    <row r="53" s="1" customFormat="1" ht="5.1" customHeight="1" spans="1:18">
      <c r="A53" s="7"/>
      <c r="B53" s="90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2"/>
      <c r="R53" s="11"/>
    </row>
    <row r="54" s="1" customFormat="1" ht="5.1" customHeight="1" spans="1:18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5"/>
    </row>
    <row r="55" s="1" customFormat="1" ht="21.95" customHeight="1"/>
    <row r="56" ht="15.15"/>
    <row r="57" s="1" customFormat="1" ht="5.1" customHeight="1" spans="1:18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6"/>
    </row>
    <row r="58" s="1" customFormat="1" ht="15" customHeight="1" spans="1:18">
      <c r="A58" s="7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  <c r="R58" s="11"/>
    </row>
    <row r="59" s="1" customFormat="1" ht="21.95" customHeight="1" spans="1:18">
      <c r="A59" s="7"/>
      <c r="B59" s="12"/>
      <c r="C59" s="13" t="s">
        <v>7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4"/>
      <c r="R59" s="11"/>
    </row>
    <row r="60" s="1" customFormat="1" ht="21.95" customHeight="1" spans="1:18">
      <c r="A60" s="7"/>
      <c r="B60" s="1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4"/>
      <c r="R60" s="11"/>
    </row>
    <row r="61" s="1" customFormat="1" ht="21.95" customHeight="1" spans="1:18">
      <c r="A61" s="7"/>
      <c r="B61" s="12"/>
      <c r="C61" s="15" t="str">
        <f>"SESSION-"&amp;ENTRY!$D$11</f>
        <v>SESSION-2026-27</v>
      </c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4"/>
      <c r="R61" s="11"/>
    </row>
    <row r="62" s="1" customFormat="1" ht="21.95" customHeight="1" spans="1:18">
      <c r="A62" s="7"/>
      <c r="B62" s="12"/>
      <c r="C62" s="2"/>
      <c r="D62" s="2"/>
      <c r="E62" s="2"/>
      <c r="F62" s="16">
        <f>F6+1</f>
        <v>2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14"/>
      <c r="R62" s="11"/>
    </row>
    <row r="63" s="1" customFormat="1" ht="21.95" customHeight="1" spans="1:18">
      <c r="A63" s="7"/>
      <c r="B63" s="12"/>
      <c r="C63" s="17" t="s">
        <v>392</v>
      </c>
      <c r="D63" s="17"/>
      <c r="E63" s="17"/>
      <c r="F63" s="18" t="str">
        <f>IF(F62&gt;0,ENTRY!$D$6,"")</f>
        <v>MCP NITHARI NO 1 BOYS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4"/>
      <c r="R63" s="11"/>
    </row>
    <row r="64" s="1" customFormat="1" ht="21.95" customHeight="1" spans="1:18">
      <c r="A64" s="7"/>
      <c r="B64" s="12"/>
      <c r="C64" s="17" t="s">
        <v>393</v>
      </c>
      <c r="D64" s="17"/>
      <c r="E64" s="17"/>
      <c r="F64" s="18">
        <f>IF(F62&gt;0,ENTRY!$D$7,"")</f>
        <v>0</v>
      </c>
      <c r="G64" s="18"/>
      <c r="H64" s="20" t="s">
        <v>702</v>
      </c>
      <c r="I64" s="20"/>
      <c r="J64" s="21">
        <f>IF(F62&gt;0,ENTRY!$D$10,"")</f>
        <v>40</v>
      </c>
      <c r="K64" s="20" t="s">
        <v>703</v>
      </c>
      <c r="L64" s="22" t="str">
        <f>IF(F62&gt;0,ENTRY!$D$5,"")</f>
        <v>ROHINI ZONE</v>
      </c>
      <c r="M64" s="22"/>
      <c r="N64" s="22"/>
      <c r="O64" s="22"/>
      <c r="P64" s="22"/>
      <c r="Q64" s="14"/>
      <c r="R64" s="11"/>
    </row>
    <row r="65" s="1" customFormat="1" ht="21.95" customHeight="1" spans="1:18">
      <c r="A65" s="7"/>
      <c r="B65" s="12"/>
      <c r="C65" s="17" t="s">
        <v>706</v>
      </c>
      <c r="D65" s="17"/>
      <c r="E65" s="17"/>
      <c r="F65" s="23" t="str">
        <f>IFERROR(VLOOKUP(F62,STUDENT!$A$2:$BP$101,5,0),"")</f>
        <v>NAVEEN</v>
      </c>
      <c r="G65" s="23"/>
      <c r="H65" s="23"/>
      <c r="I65" s="23"/>
      <c r="J65" s="23"/>
      <c r="K65" s="23"/>
      <c r="L65" s="20" t="s">
        <v>707</v>
      </c>
      <c r="M65" s="20"/>
      <c r="N65" s="24" t="str">
        <f>IF(F62&gt;0,ENTRY!$D$20&amp;"-"&amp;ENTRY!$D$21,"")</f>
        <v>III-A</v>
      </c>
      <c r="O65" s="24"/>
      <c r="P65" s="24"/>
      <c r="Q65" s="14"/>
      <c r="R65" s="11"/>
    </row>
    <row r="66" s="1" customFormat="1" ht="21.95" customHeight="1" spans="1:18">
      <c r="A66" s="7"/>
      <c r="B66" s="12"/>
      <c r="C66" s="17" t="s">
        <v>708</v>
      </c>
      <c r="D66" s="17"/>
      <c r="E66" s="17"/>
      <c r="F66" s="25">
        <f>IFERROR(VLOOKUP(F62,STUDENT!$A$2:$BP$101,6,0),"")</f>
        <v>14733</v>
      </c>
      <c r="G66" s="25"/>
      <c r="H66" s="26" t="s">
        <v>709</v>
      </c>
      <c r="I66" s="27" t="str">
        <f>IFERROR(VLOOKUP(F62,STUDENT!$A$2:$BP$101,59,0),"")</f>
        <v/>
      </c>
      <c r="J66" s="27"/>
      <c r="K66" s="20" t="s">
        <v>710</v>
      </c>
      <c r="L66" s="20"/>
      <c r="M66" s="28">
        <f>IFERROR(VLOOKUP(F62,STUDENT!$A$2:$BP$101,20,0),"")</f>
        <v>9891823845</v>
      </c>
      <c r="N66" s="28"/>
      <c r="O66" s="28"/>
      <c r="P66" s="28"/>
      <c r="Q66" s="14"/>
      <c r="R66" s="11"/>
    </row>
    <row r="67" s="1" customFormat="1" ht="21.95" customHeight="1" spans="1:18">
      <c r="A67" s="7"/>
      <c r="B67" s="12"/>
      <c r="C67" s="17" t="s">
        <v>711</v>
      </c>
      <c r="D67" s="17"/>
      <c r="E67" s="17"/>
      <c r="F67" s="23" t="str">
        <f>IFERROR(VLOOKUP(F62,STUDENT!$A$2:$BP$101,9,0),"")</f>
        <v>KIRAN</v>
      </c>
      <c r="G67" s="23"/>
      <c r="H67" s="23"/>
      <c r="I67" s="23"/>
      <c r="J67" s="17" t="s">
        <v>620</v>
      </c>
      <c r="K67" s="17"/>
      <c r="L67" s="23" t="str">
        <f>IFERROR(VLOOKUP(F62,STUDENT!$A$2:$BP$101,8,0),"")</f>
        <v>SANJAY</v>
      </c>
      <c r="M67" s="23"/>
      <c r="N67" s="23"/>
      <c r="O67" s="23"/>
      <c r="P67" s="23"/>
      <c r="Q67" s="14"/>
      <c r="R67" s="11"/>
    </row>
    <row r="68" s="1" customFormat="1" ht="21.95" customHeight="1" spans="1:18">
      <c r="A68" s="7"/>
      <c r="B68" s="12"/>
      <c r="C68" s="17" t="s">
        <v>712</v>
      </c>
      <c r="D68" s="17"/>
      <c r="E68" s="17"/>
      <c r="F68" s="23" t="str">
        <f>IFERROR(VLOOKUP(F62,STUDENT!$A$2:$BP$101,22,0),"")</f>
        <v>H NO 71 GALI NO 8 PRATAP VIHAR NITHARI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14"/>
      <c r="R68" s="11"/>
    </row>
    <row r="69" s="1" customFormat="1" ht="9.95" customHeight="1" spans="1:18">
      <c r="A69" s="7"/>
      <c r="B69" s="12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14"/>
      <c r="R69" s="11"/>
    </row>
    <row r="70" s="1" customFormat="1" ht="9.95" customHeight="1" spans="1:18">
      <c r="A70" s="7"/>
      <c r="B70" s="12"/>
      <c r="C70" s="30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2"/>
      <c r="Q70" s="14"/>
      <c r="R70" s="11"/>
    </row>
    <row r="71" s="1" customFormat="1" ht="21.95" customHeight="1" spans="1:18">
      <c r="A71" s="7"/>
      <c r="B71" s="12"/>
      <c r="C71" s="33"/>
      <c r="D71" s="34" t="s">
        <v>713</v>
      </c>
      <c r="E71" s="20" t="s">
        <v>714</v>
      </c>
      <c r="F71" s="35" t="str">
        <f>"Level - "&amp;IFERROR(VLOOKUP(F62,FLN!$A$4:$K$103,9,0),"")</f>
        <v>Level - 3</v>
      </c>
      <c r="G71" s="36"/>
      <c r="H71" s="37" t="s">
        <v>715</v>
      </c>
      <c r="I71" s="20"/>
      <c r="J71" s="35" t="str">
        <f>"Level - "&amp;IFERROR(VLOOKUP(F62,FLN!$A$4:$K$103,11,0),"")</f>
        <v>Level - 3</v>
      </c>
      <c r="K71" s="36"/>
      <c r="L71" s="37" t="s">
        <v>408</v>
      </c>
      <c r="M71" s="20"/>
      <c r="N71" s="35" t="str">
        <f>"Level - "&amp;IFERROR(VLOOKUP(F62,FLN!$A$4:$K$103,10,0),"")</f>
        <v>Level - 2</v>
      </c>
      <c r="O71" s="36"/>
      <c r="P71" s="19"/>
      <c r="Q71" s="14"/>
      <c r="R71" s="11"/>
    </row>
    <row r="72" s="1" customFormat="1" ht="21.95" customHeight="1" spans="1:18">
      <c r="A72" s="7"/>
      <c r="B72" s="12"/>
      <c r="C72" s="33"/>
      <c r="D72" s="38"/>
      <c r="E72" s="20" t="s">
        <v>716</v>
      </c>
      <c r="F72" s="18" t="str">
        <f>IF(L86&gt;197,"PERFORMED WELL","")</f>
        <v/>
      </c>
      <c r="G72" s="18"/>
      <c r="H72" s="18"/>
      <c r="I72" s="18"/>
      <c r="J72" s="18"/>
      <c r="K72" s="18"/>
      <c r="L72" s="18"/>
      <c r="M72" s="18"/>
      <c r="N72" s="18"/>
      <c r="O72" s="18"/>
      <c r="P72" s="19"/>
      <c r="Q72" s="14"/>
      <c r="R72" s="11"/>
    </row>
    <row r="73" s="1" customFormat="1" ht="9.95" customHeight="1" spans="1:18">
      <c r="A73" s="7"/>
      <c r="B73" s="12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1"/>
      <c r="Q73" s="14"/>
      <c r="R73" s="11"/>
    </row>
    <row r="74" s="1" customFormat="1" ht="9.95" customHeight="1" spans="1:18">
      <c r="A74" s="7"/>
      <c r="B74" s="12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14"/>
      <c r="R74" s="11"/>
    </row>
    <row r="75" s="1" customFormat="1" ht="9.95" customHeight="1" spans="1:18">
      <c r="A75" s="7"/>
      <c r="B75" s="12"/>
      <c r="C75" s="30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2"/>
      <c r="Q75" s="14"/>
      <c r="R75" s="11"/>
    </row>
    <row r="76" s="1" customFormat="1" ht="21.95" customHeight="1" spans="1:18">
      <c r="A76" s="7"/>
      <c r="B76" s="12"/>
      <c r="C76" s="33"/>
      <c r="D76" s="35"/>
      <c r="E76" s="24"/>
      <c r="F76" s="24"/>
      <c r="G76" s="47" t="s">
        <v>717</v>
      </c>
      <c r="H76" s="47"/>
      <c r="I76" s="47"/>
      <c r="J76" s="47"/>
      <c r="K76" s="47"/>
      <c r="L76" s="47"/>
      <c r="M76" s="47"/>
      <c r="N76" s="47"/>
      <c r="O76" s="29"/>
      <c r="P76" s="19"/>
      <c r="Q76" s="14"/>
      <c r="R76" s="11"/>
    </row>
    <row r="77" s="1" customFormat="1" ht="21.95" customHeight="1" spans="1:18">
      <c r="A77" s="7"/>
      <c r="B77" s="12"/>
      <c r="C77" s="33"/>
      <c r="D77" s="47"/>
      <c r="E77" s="47"/>
      <c r="F77" s="47"/>
      <c r="G77" s="47" t="s">
        <v>541</v>
      </c>
      <c r="H77" s="47" t="s">
        <v>542</v>
      </c>
      <c r="I77" s="47" t="s">
        <v>543</v>
      </c>
      <c r="J77" s="47" t="s">
        <v>544</v>
      </c>
      <c r="K77" s="47" t="s">
        <v>561</v>
      </c>
      <c r="L77" s="47" t="s">
        <v>382</v>
      </c>
      <c r="M77" s="49" t="s">
        <v>546</v>
      </c>
      <c r="N77" s="49"/>
      <c r="O77" s="29"/>
      <c r="P77" s="19"/>
      <c r="Q77" s="14"/>
      <c r="R77" s="11"/>
    </row>
    <row r="78" s="1" customFormat="1" ht="21.95" customHeight="1" spans="1:18">
      <c r="A78" s="7"/>
      <c r="B78" s="12"/>
      <c r="C78" s="33"/>
      <c r="D78" s="207" t="s">
        <v>652</v>
      </c>
      <c r="E78" s="207"/>
      <c r="F78" s="207"/>
      <c r="G78" s="50">
        <v>10</v>
      </c>
      <c r="H78" s="50">
        <v>10</v>
      </c>
      <c r="I78" s="50">
        <v>10</v>
      </c>
      <c r="J78" s="50">
        <v>10</v>
      </c>
      <c r="K78" s="50">
        <v>60</v>
      </c>
      <c r="L78" s="50">
        <v>100</v>
      </c>
      <c r="M78" s="49"/>
      <c r="N78" s="49"/>
      <c r="O78" s="29"/>
      <c r="P78" s="19"/>
      <c r="Q78" s="14"/>
      <c r="R78" s="11"/>
    </row>
    <row r="79" s="1" customFormat="1" ht="21.95" customHeight="1" spans="1:18">
      <c r="A79" s="7"/>
      <c r="B79" s="12"/>
      <c r="C79" s="33"/>
      <c r="D79" s="117" t="s">
        <v>668</v>
      </c>
      <c r="E79" s="117"/>
      <c r="F79" s="117"/>
      <c r="G79" s="54">
        <f>IFERROR(VLOOKUP(F62,'1to4-2.1-RR'!$A$12:$BG$111,9,0),"")</f>
        <v>1</v>
      </c>
      <c r="H79" s="54">
        <f>IFERROR(VLOOKUP(F62,'1to4-2.1-RR'!$A$12:$BG$111,10,0),"")</f>
        <v>0</v>
      </c>
      <c r="I79" s="54">
        <f>IFERROR(VLOOKUP(F62,'1to4-2.1-RR'!$A$12:$BG$111,11,0),"")</f>
        <v>0</v>
      </c>
      <c r="J79" s="54">
        <f>IFERROR(VLOOKUP(F62,'1to4-2.1-RR'!$A$12:$BG$111,12,0),"")</f>
        <v>0</v>
      </c>
      <c r="K79" s="54">
        <f>IFERROR(VLOOKUP(F62,'1to4-2.1-RR'!$A$12:$BG$111,13,0),"")</f>
        <v>27</v>
      </c>
      <c r="L79" s="55">
        <f>SUM(G79:K79)</f>
        <v>28</v>
      </c>
      <c r="M79" s="56" t="str">
        <f>IF(F62&gt;ENTRY!$D$24,"",IF(L79=0,"Ab",IF(L79&gt;80,"A",IF(L79&gt;60,"B",IF(L79&gt;44,"C",IF(L79&gt;=33,"D",IF(L79&lt;=32,"E","")))))))</f>
        <v>E</v>
      </c>
      <c r="N79" s="56"/>
      <c r="O79" s="29"/>
      <c r="P79" s="19"/>
      <c r="Q79" s="14"/>
      <c r="R79" s="11"/>
    </row>
    <row r="80" s="1" customFormat="1" ht="21.95" customHeight="1" spans="1:18">
      <c r="A80" s="7"/>
      <c r="B80" s="12"/>
      <c r="C80" s="33"/>
      <c r="D80" s="117" t="s">
        <v>513</v>
      </c>
      <c r="E80" s="117"/>
      <c r="F80" s="117"/>
      <c r="G80" s="54">
        <f>IFERROR(VLOOKUP(F62,'1to4-2.1-RR'!$A$12:$BG$111,16,0),"")</f>
        <v>1</v>
      </c>
      <c r="H80" s="54">
        <f>IFERROR(VLOOKUP(F62,'1to4-2.1-RR'!$A$12:$BG$111,17,0),"")</f>
        <v>0</v>
      </c>
      <c r="I80" s="54">
        <f>IFERROR(VLOOKUP(F62,'1to4-2.1-RR'!$A$12:$BG$111,18,0),"")</f>
        <v>0</v>
      </c>
      <c r="J80" s="54">
        <f>IFERROR(VLOOKUP(F62,'1to4-2.1-RR'!$A$12:$BG$111,19,0),"")</f>
        <v>0</v>
      </c>
      <c r="K80" s="54">
        <f>IFERROR(VLOOKUP(F62,'1to4-2.1-RR'!$A$12:$BG$111,20,0),"")</f>
        <v>11</v>
      </c>
      <c r="L80" s="55">
        <f t="shared" ref="L80:L85" si="2">SUM(G80:K80)</f>
        <v>12</v>
      </c>
      <c r="M80" s="56" t="str">
        <f>IF(F62&gt;ENTRY!$D$24,"",IF(L80=0,"Ab",IF(L80&gt;80,"A",IF(L80&gt;60,"B",IF(L80&gt;44,"C",IF(L80&gt;=33,"D",IF(L80&lt;=32,"E","")))))))</f>
        <v>E</v>
      </c>
      <c r="N80" s="56"/>
      <c r="O80" s="29"/>
      <c r="P80" s="19"/>
      <c r="Q80" s="14"/>
      <c r="R80" s="11"/>
    </row>
    <row r="81" s="1" customFormat="1" ht="21.95" customHeight="1" spans="1:19">
      <c r="A81" s="7"/>
      <c r="B81" s="12"/>
      <c r="C81" s="33"/>
      <c r="D81" s="117" t="s">
        <v>718</v>
      </c>
      <c r="E81" s="117"/>
      <c r="F81" s="117"/>
      <c r="G81" s="54">
        <f>IFERROR(VLOOKUP(F62,'1to4-2.1-RR'!$A$12:$BG$111,23,0),"")</f>
        <v>1</v>
      </c>
      <c r="H81" s="54">
        <f>IFERROR(VLOOKUP(F62,'1to4-2.1-RR'!$A$12:$BG$111,24,0),"")</f>
        <v>0</v>
      </c>
      <c r="I81" s="54">
        <f>IFERROR(VLOOKUP(F62,'1to4-2.1-RR'!$A$12:$BG$111,25,0),"")</f>
        <v>0</v>
      </c>
      <c r="J81" s="54">
        <f>IFERROR(VLOOKUP(F62,'1to4-2.1-RR'!$A$12:$BG$111,26,0),"")</f>
        <v>0</v>
      </c>
      <c r="K81" s="54">
        <f>IFERROR(VLOOKUP(F62,'1to4-2.1-RR'!$A$12:$BG$111,27,0),"")</f>
        <v>13</v>
      </c>
      <c r="L81" s="55">
        <f t="shared" si="2"/>
        <v>14</v>
      </c>
      <c r="M81" s="56" t="str">
        <f>IF(F62&gt;ENTRY!$D$24,"",IF(L81=0,"Ab",IF(L81&gt;80,"A",IF(L81&gt;60,"B",IF(L81&gt;44,"C",IF(L81&gt;=33,"D",IF(L81&lt;=32,"E","")))))))</f>
        <v>E</v>
      </c>
      <c r="N81" s="56"/>
      <c r="O81" s="29"/>
      <c r="P81" s="19"/>
      <c r="Q81" s="14"/>
      <c r="R81" s="11"/>
    </row>
    <row r="82" s="1" customFormat="1" ht="21.95" customHeight="1" spans="1:19">
      <c r="A82" s="7"/>
      <c r="B82" s="12"/>
      <c r="C82" s="33"/>
      <c r="D82" s="117" t="s">
        <v>719</v>
      </c>
      <c r="E82" s="117"/>
      <c r="F82" s="117"/>
      <c r="G82" s="54">
        <f>IFERROR(VLOOKUP(F62,'1to4-2.1-RR'!$A$12:$BG$111,30,0),"")</f>
        <v>2</v>
      </c>
      <c r="H82" s="54">
        <f>IFERROR(VLOOKUP(F62,'1to4-2.1-RR'!$A$12:$BG$111,31,0),"")</f>
        <v>0</v>
      </c>
      <c r="I82" s="54">
        <f>IFERROR(VLOOKUP(F62,'1to4-2.1-RR'!$A$12:$BG$111,32,0),"")</f>
        <v>0</v>
      </c>
      <c r="J82" s="54">
        <f>IFERROR(VLOOKUP(F62,'1to4-2.1-RR'!$A$12:$BG$111,33,0),"")</f>
        <v>0</v>
      </c>
      <c r="K82" s="54">
        <f>IFERROR(VLOOKUP(F62,'1to4-2.1-RR'!$A$12:$BG$111,34,0),"")</f>
        <v>13</v>
      </c>
      <c r="L82" s="55">
        <f t="shared" si="2"/>
        <v>15</v>
      </c>
      <c r="M82" s="56" t="str">
        <f>IF(F62&gt;ENTRY!$D$24,"",IF(L82=0,"Ab",IF(L82&gt;80,"A",IF(L82&gt;60,"B",IF(L82&gt;44,"C",IF(L82&gt;=33,"D",IF(L82&lt;=32,"E","")))))))</f>
        <v>E</v>
      </c>
      <c r="N82" s="56"/>
      <c r="O82" s="29"/>
      <c r="P82" s="19"/>
      <c r="Q82" s="14"/>
      <c r="R82" s="11"/>
    </row>
    <row r="83" s="1" customFormat="1" ht="21.95" customHeight="1" spans="1:19">
      <c r="A83" s="7"/>
      <c r="B83" s="12"/>
      <c r="C83" s="33"/>
      <c r="D83" s="117" t="s">
        <v>548</v>
      </c>
      <c r="E83" s="117"/>
      <c r="F83" s="117"/>
      <c r="G83" s="54">
        <f>IFERROR(VLOOKUP(F62,'1to4-2.1-RR'!$A$12:$BG$111,37,0),"")</f>
        <v>0</v>
      </c>
      <c r="H83" s="54">
        <f>IFERROR(VLOOKUP(F62,'1to4-2.1-RR'!$A$12:$BG$111,38,0),"")</f>
        <v>0</v>
      </c>
      <c r="I83" s="54">
        <f>IFERROR(VLOOKUP(F62,'1to4-2.1-RR'!$A$12:$BG$111,39,0),"")</f>
        <v>0</v>
      </c>
      <c r="J83" s="54">
        <f>IFERROR(VLOOKUP(F62,'1to4-2.1-RR'!$A$12:$BG$111,40,0),"")</f>
        <v>0</v>
      </c>
      <c r="K83" s="54">
        <f>IFERROR(VLOOKUP(F62,'1to4-2.1-RR'!$A$12:$BG$111,41,0),"")</f>
        <v>15</v>
      </c>
      <c r="L83" s="55">
        <f t="shared" si="2"/>
        <v>15</v>
      </c>
      <c r="M83" s="56" t="str">
        <f>IF(F62&gt;ENTRY!$D$24,"",IF(L83=0,"Ab",IF(L83&gt;80,"A",IF(L83&gt;60,"B",IF(L83&gt;44,"C",IF(L83&gt;=33,"D",IF(L83&lt;=32,"E","")))))))</f>
        <v>E</v>
      </c>
      <c r="N83" s="56"/>
      <c r="O83" s="29"/>
      <c r="P83" s="19"/>
      <c r="Q83" s="14"/>
      <c r="R83" s="11"/>
    </row>
    <row r="84" s="1" customFormat="1" ht="21.95" customHeight="1" spans="1:19">
      <c r="A84" s="7"/>
      <c r="B84" s="12"/>
      <c r="C84" s="33"/>
      <c r="D84" s="117" t="s">
        <v>549</v>
      </c>
      <c r="E84" s="117"/>
      <c r="F84" s="117"/>
      <c r="G84" s="54">
        <f>IFERROR(VLOOKUP(F62,'1to4-2.1-RR'!$A$12:$BG$111,44,0),"")</f>
        <v>2</v>
      </c>
      <c r="H84" s="54">
        <f>IFERROR(VLOOKUP(F62,'1to4-2.1-RR'!$A$12:$BG$111,45,0),"")</f>
        <v>0</v>
      </c>
      <c r="I84" s="54">
        <f>IFERROR(VLOOKUP(F62,'1to4-2.1-RR'!$A$12:$BG$111,46,0),"")</f>
        <v>0</v>
      </c>
      <c r="J84" s="54">
        <f>IFERROR(VLOOKUP(F62,'1to4-2.1-RR'!$A$12:$BG$111,47,0),"")</f>
        <v>0</v>
      </c>
      <c r="K84" s="54">
        <f>IFERROR(VLOOKUP(F62,'1to4-2.1-RR'!$A$12:$BG$111,48,0),"")</f>
        <v>25</v>
      </c>
      <c r="L84" s="55">
        <f t="shared" si="2"/>
        <v>27</v>
      </c>
      <c r="M84" s="56" t="str">
        <f>IF(F62&gt;ENTRY!$D$24,"",IF(L84=0,"Ab",IF(L84&gt;80,"A",IF(L84&gt;60,"B",IF(L84&gt;44,"C",IF(L84&gt;=33,"D",IF(L84&lt;=32,"E","")))))))</f>
        <v>E</v>
      </c>
      <c r="N84" s="56"/>
      <c r="O84" s="29"/>
      <c r="P84" s="19"/>
      <c r="Q84" s="14"/>
      <c r="R84" s="11"/>
    </row>
    <row r="85" s="1" customFormat="1" ht="21.95" customHeight="1" spans="1:19">
      <c r="A85" s="7"/>
      <c r="B85" s="12"/>
      <c r="C85" s="33"/>
      <c r="D85" s="117" t="s">
        <v>720</v>
      </c>
      <c r="E85" s="117"/>
      <c r="F85" s="117"/>
      <c r="G85" s="54"/>
      <c r="H85" s="54"/>
      <c r="I85" s="54"/>
      <c r="J85" s="54"/>
      <c r="K85" s="54"/>
      <c r="L85" s="55">
        <f t="shared" si="2"/>
        <v>0</v>
      </c>
      <c r="M85" s="56" t="str">
        <f>IF(F62&gt;ENTRY!$D$24,"",IF(L85=0,"",IF(L85&gt;79,"A",IF(L85&gt;59,"B",IF(L85&gt;44,"C",IF(L85&gt;=33,"D",IF(L85&lt;=32,"E","")))))))</f>
        <v/>
      </c>
      <c r="N85" s="56"/>
      <c r="O85" s="29"/>
      <c r="P85" s="19"/>
      <c r="Q85" s="14"/>
      <c r="R85" s="11"/>
    </row>
    <row r="86" s="1" customFormat="1" ht="21.95" customHeight="1" spans="1:19">
      <c r="A86" s="7"/>
      <c r="B86" s="12"/>
      <c r="C86" s="33"/>
      <c r="D86" s="207" t="s">
        <v>382</v>
      </c>
      <c r="E86" s="207"/>
      <c r="F86" s="207"/>
      <c r="G86" s="54">
        <f t="shared" ref="G86:L86" si="3">IFERROR(SUM(G79:G85),"")</f>
        <v>7</v>
      </c>
      <c r="H86" s="54">
        <f t="shared" si="3"/>
        <v>0</v>
      </c>
      <c r="I86" s="54">
        <f t="shared" si="3"/>
        <v>0</v>
      </c>
      <c r="J86" s="54">
        <f t="shared" si="3"/>
        <v>0</v>
      </c>
      <c r="K86" s="54">
        <f t="shared" si="3"/>
        <v>104</v>
      </c>
      <c r="L86" s="55">
        <f t="shared" si="3"/>
        <v>111</v>
      </c>
      <c r="M86" s="61" t="str">
        <f>IF(F62&gt;ENTRY!$D$24,"",IF(N87="Ab","Ab",IF(N87&gt;79.5,"A",IF(N87&gt;59.5,"B",IF(N87&gt;44.5,"C",IF(N87&gt;=33,"D",IF(N87&lt;33,"E","")))))))</f>
        <v>E</v>
      </c>
      <c r="N86" s="61"/>
      <c r="O86" s="29"/>
      <c r="P86" s="19"/>
      <c r="Q86" s="14"/>
      <c r="R86" s="11"/>
    </row>
    <row r="87" s="1" customFormat="1" ht="21.95" customHeight="1" spans="1:19">
      <c r="A87" s="7"/>
      <c r="B87" s="12"/>
      <c r="C87" s="33"/>
      <c r="D87" s="63" t="s">
        <v>721</v>
      </c>
      <c r="E87" s="63"/>
      <c r="F87" s="63"/>
      <c r="G87" s="63"/>
      <c r="H87" s="63"/>
      <c r="I87" s="63"/>
      <c r="J87" s="63"/>
      <c r="K87" s="63"/>
      <c r="L87" s="63"/>
      <c r="M87" s="209"/>
      <c r="N87" s="64">
        <f>IF(L86="Ab","Ab",L86/6)</f>
        <v>18.5</v>
      </c>
      <c r="O87" s="65"/>
      <c r="P87" s="19"/>
      <c r="Q87" s="14"/>
      <c r="R87" s="11"/>
    </row>
    <row r="88" s="1" customFormat="1" ht="21.95" customHeight="1" spans="1:19">
      <c r="A88" s="7"/>
      <c r="B88" s="12"/>
      <c r="C88" s="33"/>
      <c r="D88" s="29" t="s">
        <v>716</v>
      </c>
      <c r="E88" s="18" t="str">
        <f>IFERROR(VLOOKUP(F62,'1to4-2.1-RR'!$A$12:$BG$111,57,0),"")</f>
        <v>PROMOTED</v>
      </c>
      <c r="F88" s="18"/>
      <c r="G88" s="18"/>
      <c r="H88" s="18"/>
      <c r="I88" s="18"/>
      <c r="J88" s="18"/>
      <c r="K88" s="18"/>
      <c r="L88" s="18"/>
      <c r="M88" s="18"/>
      <c r="N88" s="29"/>
      <c r="O88" s="29"/>
      <c r="P88" s="19"/>
      <c r="Q88" s="14"/>
      <c r="R88" s="11"/>
    </row>
    <row r="89" s="1" customFormat="1" ht="9.95" customHeight="1" spans="1:19">
      <c r="A89" s="7"/>
      <c r="B89" s="12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1"/>
      <c r="Q89" s="14"/>
      <c r="R89" s="11"/>
    </row>
    <row r="90" s="1" customFormat="1" ht="9.95" customHeight="1" spans="1:19">
      <c r="A90" s="7"/>
      <c r="B90" s="12"/>
      <c r="C90" s="30"/>
      <c r="D90" s="31"/>
      <c r="E90" s="31"/>
      <c r="F90" s="29"/>
      <c r="G90" s="31"/>
      <c r="H90" s="31"/>
      <c r="I90" s="31"/>
      <c r="J90" s="31"/>
      <c r="K90" s="31"/>
      <c r="L90" s="31"/>
      <c r="M90" s="31"/>
      <c r="N90" s="31"/>
      <c r="O90" s="31"/>
      <c r="P90" s="32"/>
      <c r="Q90" s="14"/>
      <c r="R90" s="11"/>
    </row>
    <row r="91" s="1" customFormat="1" ht="9.95" customHeight="1" spans="1:19">
      <c r="A91" s="7"/>
      <c r="B91" s="12"/>
      <c r="C91" s="33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19"/>
      <c r="Q91" s="14"/>
      <c r="R91" s="11"/>
    </row>
    <row r="92" s="1" customFormat="1" ht="9.95" customHeight="1" spans="1:19">
      <c r="A92" s="7"/>
      <c r="B92" s="12"/>
      <c r="C92" s="33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19"/>
      <c r="Q92" s="14"/>
      <c r="R92" s="11"/>
    </row>
    <row r="93" s="1" customFormat="1" ht="21.95" customHeight="1" spans="1:19">
      <c r="A93" s="7"/>
      <c r="B93" s="12"/>
      <c r="C93" s="210"/>
      <c r="D93" s="211"/>
      <c r="E93" s="211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2"/>
      <c r="Q93" s="14"/>
      <c r="R93" s="11"/>
      <c r="S93" s="2"/>
    </row>
    <row r="94" s="1" customFormat="1" ht="21.95" customHeight="1" spans="1:19">
      <c r="A94" s="7"/>
      <c r="B94" s="12"/>
      <c r="C94" s="33"/>
      <c r="D94" s="207" t="s">
        <v>722</v>
      </c>
      <c r="E94" s="207"/>
      <c r="F94" s="207"/>
      <c r="G94" s="207"/>
      <c r="H94" s="54">
        <f>IFERROR(VLOOKUP(F62,PASHEET!$A$4:$CJ$103,88,0),"")</f>
        <v>417</v>
      </c>
      <c r="I94" s="54"/>
      <c r="J94" s="29"/>
      <c r="K94" s="29"/>
      <c r="L94" s="29"/>
      <c r="M94" s="29"/>
      <c r="N94" s="29"/>
      <c r="O94" s="29"/>
      <c r="P94" s="19"/>
      <c r="Q94" s="14"/>
      <c r="R94" s="11"/>
    </row>
    <row r="95" s="1" customFormat="1" ht="21.95" customHeight="1" spans="1:19">
      <c r="A95" s="7"/>
      <c r="B95" s="12"/>
      <c r="C95" s="213"/>
      <c r="D95" s="207" t="s">
        <v>723</v>
      </c>
      <c r="E95" s="207"/>
      <c r="F95" s="207"/>
      <c r="G95" s="207"/>
      <c r="H95" s="54">
        <f>IFERROR(VLOOKUP(F62,PASHEET!$A$4:$CJ$103,87,0),"")</f>
        <v>290</v>
      </c>
      <c r="I95" s="54"/>
      <c r="J95" s="214"/>
      <c r="K95" s="214"/>
      <c r="L95" s="207" t="s">
        <v>724</v>
      </c>
      <c r="M95" s="207"/>
      <c r="N95" s="117" t="str">
        <f>IF(F62&gt;ENTRY!$D$24,"",IF(F62&gt;0,L86&amp;" / "&amp;600,""))</f>
        <v>111 / 600</v>
      </c>
      <c r="O95" s="117"/>
      <c r="P95" s="215"/>
      <c r="Q95" s="14"/>
      <c r="R95" s="11"/>
    </row>
    <row r="96" s="1" customFormat="1" ht="18" customHeight="1" spans="1:19">
      <c r="A96" s="7"/>
      <c r="B96" s="12"/>
      <c r="C96" s="33"/>
      <c r="D96" s="207" t="s">
        <v>725</v>
      </c>
      <c r="E96" s="207"/>
      <c r="F96" s="207"/>
      <c r="G96" s="207"/>
      <c r="H96" s="69">
        <f>IFERROR(IF(F62&gt;0,H95/H94*100),"")</f>
        <v>69.5443645083933</v>
      </c>
      <c r="I96" s="69"/>
      <c r="J96" s="29"/>
      <c r="K96" s="29"/>
      <c r="L96" s="207" t="s">
        <v>726</v>
      </c>
      <c r="M96" s="207"/>
      <c r="N96" s="216">
        <f>IF(F62&gt;ENTRY!$D$24,"",IF(F62&gt;0,L86/600*100,""))</f>
        <v>18.5</v>
      </c>
      <c r="O96" s="216"/>
      <c r="P96" s="19"/>
      <c r="Q96" s="14"/>
      <c r="R96" s="11"/>
    </row>
    <row r="97" s="1" customFormat="1" ht="21.95" customHeight="1" spans="1:18">
      <c r="A97" s="7"/>
      <c r="B97" s="12"/>
      <c r="C97" s="33"/>
      <c r="D97" s="80"/>
      <c r="E97" s="80"/>
      <c r="F97" s="217"/>
      <c r="G97" s="217"/>
      <c r="H97" s="217"/>
      <c r="I97" s="217"/>
      <c r="J97" s="217"/>
      <c r="K97" s="217"/>
      <c r="L97" s="217"/>
      <c r="M97" s="217"/>
      <c r="N97" s="80"/>
      <c r="O97" s="80"/>
      <c r="P97" s="19"/>
      <c r="Q97" s="14"/>
      <c r="R97" s="11"/>
    </row>
    <row r="98" s="1" customFormat="1" ht="21.95" customHeight="1" spans="1:18">
      <c r="A98" s="7"/>
      <c r="B98" s="12"/>
      <c r="C98" s="33"/>
      <c r="D98" s="80"/>
      <c r="E98" s="218"/>
      <c r="F98" s="218"/>
      <c r="G98" s="218"/>
      <c r="H98" s="80"/>
      <c r="I98" s="218"/>
      <c r="J98" s="218"/>
      <c r="K98" s="218"/>
      <c r="L98" s="218"/>
      <c r="M98" s="80"/>
      <c r="N98" s="219"/>
      <c r="O98" s="219"/>
      <c r="P98" s="19"/>
      <c r="Q98" s="14"/>
      <c r="R98" s="11"/>
    </row>
    <row r="99" s="1" customFormat="1" ht="21.95" customHeight="1" spans="1:18">
      <c r="A99" s="7"/>
      <c r="B99" s="12"/>
      <c r="C99" s="33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19"/>
      <c r="Q99" s="14"/>
      <c r="R99" s="11"/>
    </row>
    <row r="100" s="1" customFormat="1" ht="21.95" customHeight="1" spans="1:18">
      <c r="A100" s="7"/>
      <c r="B100" s="12"/>
      <c r="C100" s="33"/>
      <c r="D100" s="218"/>
      <c r="E100" s="218"/>
      <c r="F100" s="218"/>
      <c r="G100" s="218"/>
      <c r="H100" s="218"/>
      <c r="I100" s="218"/>
      <c r="J100" s="218"/>
      <c r="K100" s="218"/>
      <c r="L100" s="218"/>
      <c r="M100" s="80"/>
      <c r="N100" s="217"/>
      <c r="O100" s="217"/>
      <c r="P100" s="85" t="s">
        <v>727</v>
      </c>
      <c r="Q100" s="14"/>
      <c r="R100" s="11"/>
    </row>
    <row r="101" s="1" customFormat="1" ht="21.95" customHeight="1" spans="1:18">
      <c r="A101" s="7"/>
      <c r="B101" s="12"/>
      <c r="C101" s="33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19"/>
      <c r="Q101" s="14"/>
      <c r="R101" s="11"/>
    </row>
    <row r="102" s="1" customFormat="1" ht="21.95" customHeight="1" spans="1:18">
      <c r="A102" s="7"/>
      <c r="B102" s="12"/>
      <c r="C102" s="33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19"/>
      <c r="Q102" s="14"/>
      <c r="R102" s="11"/>
    </row>
    <row r="103" s="1" customFormat="1" ht="21.95" customHeight="1" spans="1:18">
      <c r="A103" s="7"/>
      <c r="B103" s="12"/>
      <c r="C103" s="33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19"/>
      <c r="Q103" s="14"/>
      <c r="R103" s="11"/>
    </row>
    <row r="104" s="1" customFormat="1" ht="21.95" customHeight="1" spans="1:18">
      <c r="A104" s="7"/>
      <c r="B104" s="12"/>
      <c r="C104" s="33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19"/>
      <c r="Q104" s="14"/>
      <c r="R104" s="11"/>
    </row>
    <row r="105" s="1" customFormat="1" ht="21.95" customHeight="1" spans="1:18">
      <c r="A105" s="7"/>
      <c r="B105" s="12"/>
      <c r="C105" s="33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19"/>
      <c r="Q105" s="14"/>
      <c r="R105" s="11"/>
    </row>
    <row r="106" s="1" customFormat="1" ht="21.95" customHeight="1" spans="1:18">
      <c r="A106" s="7"/>
      <c r="B106" s="12"/>
      <c r="C106" s="33"/>
      <c r="D106" s="80" t="s">
        <v>728</v>
      </c>
      <c r="E106" s="220">
        <f>ENTRY!$D$27</f>
        <v>46102</v>
      </c>
      <c r="F106" s="220"/>
      <c r="G106" s="29"/>
      <c r="H106" s="29"/>
      <c r="I106" s="221" t="s">
        <v>729</v>
      </c>
      <c r="J106" s="153"/>
      <c r="K106" s="29"/>
      <c r="L106" s="29"/>
      <c r="M106" s="87" t="s">
        <v>730</v>
      </c>
      <c r="N106" s="87"/>
      <c r="O106" s="87"/>
      <c r="P106" s="19"/>
      <c r="Q106" s="14"/>
      <c r="R106" s="11"/>
    </row>
    <row r="107" s="1" customFormat="1" ht="21.95" customHeight="1" spans="1:18">
      <c r="A107" s="7"/>
      <c r="B107" s="12"/>
      <c r="C107" s="33"/>
      <c r="D107" s="80" t="s">
        <v>731</v>
      </c>
      <c r="E107" s="88" t="str">
        <f>PROPER(ENTRY!$D$28)</f>
        <v>New Delhi</v>
      </c>
      <c r="F107" s="88"/>
      <c r="G107" s="29"/>
      <c r="H107" s="29"/>
      <c r="I107" s="153"/>
      <c r="J107" s="153"/>
      <c r="K107" s="29"/>
      <c r="L107" s="29"/>
      <c r="M107" s="79" t="s">
        <v>732</v>
      </c>
      <c r="N107" s="79"/>
      <c r="O107" s="79"/>
      <c r="P107" s="19"/>
      <c r="Q107" s="14"/>
      <c r="R107" s="11"/>
    </row>
    <row r="108" s="1" customFormat="1" ht="21.95" customHeight="1" spans="1:18">
      <c r="A108" s="7"/>
      <c r="B108" s="12"/>
      <c r="C108" s="90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2"/>
      <c r="Q108" s="14"/>
      <c r="R108" s="11"/>
    </row>
    <row r="109" s="1" customFormat="1" ht="5.1" customHeight="1" spans="1:18">
      <c r="A109" s="7"/>
      <c r="B109" s="90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2"/>
      <c r="R109" s="11"/>
    </row>
    <row r="110" s="1" customFormat="1" ht="5.1" customHeight="1" spans="1:18">
      <c r="A110" s="93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5"/>
    </row>
    <row r="111" s="1" customFormat="1" ht="21.95" customHeight="1"/>
    <row r="112" ht="15.15"/>
    <row r="113" s="1" customFormat="1" ht="5.1" customHeight="1" spans="1:18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6"/>
    </row>
    <row r="114" s="1" customFormat="1" ht="15" customHeight="1" spans="1:18">
      <c r="A114" s="7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0"/>
      <c r="R114" s="11"/>
    </row>
    <row r="115" s="1" customFormat="1" ht="21.95" customHeight="1" spans="1:18">
      <c r="A115" s="7"/>
      <c r="B115" s="12"/>
      <c r="C115" s="13" t="s">
        <v>7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4"/>
      <c r="R115" s="11"/>
    </row>
    <row r="116" s="1" customFormat="1" ht="21.95" customHeight="1" spans="1:18">
      <c r="A116" s="7"/>
      <c r="B116" s="1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14"/>
      <c r="R116" s="11"/>
    </row>
    <row r="117" s="1" customFormat="1" ht="21.95" customHeight="1" spans="1:18">
      <c r="A117" s="7"/>
      <c r="B117" s="12"/>
      <c r="C117" s="15" t="str">
        <f>"SESSION-"&amp;ENTRY!$D$11</f>
        <v>SESSION-2026-27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4"/>
      <c r="R117" s="11"/>
    </row>
    <row r="118" s="1" customFormat="1" ht="21.95" customHeight="1" spans="1:18">
      <c r="A118" s="7"/>
      <c r="B118" s="12"/>
      <c r="C118" s="2"/>
      <c r="D118" s="2"/>
      <c r="E118" s="2"/>
      <c r="F118" s="16">
        <f>F62+1</f>
        <v>3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4"/>
      <c r="R118" s="11"/>
    </row>
    <row r="119" s="1" customFormat="1" ht="21.95" customHeight="1" spans="1:18">
      <c r="A119" s="7"/>
      <c r="B119" s="12"/>
      <c r="C119" s="17" t="s">
        <v>392</v>
      </c>
      <c r="D119" s="17"/>
      <c r="E119" s="17"/>
      <c r="F119" s="18" t="str">
        <f>IF(F118&gt;0,ENTRY!$D$6,"")</f>
        <v>MCP NITHARI NO 1 BOYS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4"/>
      <c r="R119" s="11"/>
    </row>
    <row r="120" s="1" customFormat="1" ht="21.95" customHeight="1" spans="1:18">
      <c r="A120" s="7"/>
      <c r="B120" s="12"/>
      <c r="C120" s="17" t="s">
        <v>393</v>
      </c>
      <c r="D120" s="17"/>
      <c r="E120" s="17"/>
      <c r="F120" s="18">
        <f>IF(F118&gt;0,ENTRY!$D$7,"")</f>
        <v>0</v>
      </c>
      <c r="G120" s="18"/>
      <c r="H120" s="20" t="s">
        <v>702</v>
      </c>
      <c r="I120" s="20"/>
      <c r="J120" s="21">
        <f>IF(F118&gt;0,ENTRY!$D$10,"")</f>
        <v>40</v>
      </c>
      <c r="K120" s="20" t="s">
        <v>703</v>
      </c>
      <c r="L120" s="22" t="str">
        <f>IF(F118&gt;0,ENTRY!$D$5,"")</f>
        <v>ROHINI ZONE</v>
      </c>
      <c r="M120" s="22"/>
      <c r="N120" s="22"/>
      <c r="O120" s="22"/>
      <c r="P120" s="22"/>
      <c r="Q120" s="14"/>
      <c r="R120" s="11"/>
    </row>
    <row r="121" s="1" customFormat="1" ht="21.95" customHeight="1" spans="1:18">
      <c r="A121" s="7"/>
      <c r="B121" s="12"/>
      <c r="C121" s="17" t="s">
        <v>706</v>
      </c>
      <c r="D121" s="17"/>
      <c r="E121" s="17"/>
      <c r="F121" s="23" t="str">
        <f>IFERROR(VLOOKUP(F118,STUDENT!$A$2:$BP$101,5,0),"")</f>
        <v>AADITYA KUMAR</v>
      </c>
      <c r="G121" s="23"/>
      <c r="H121" s="23"/>
      <c r="I121" s="23"/>
      <c r="J121" s="23"/>
      <c r="K121" s="23"/>
      <c r="L121" s="20" t="s">
        <v>707</v>
      </c>
      <c r="M121" s="20"/>
      <c r="N121" s="24" t="str">
        <f>IF(F118&gt;0,ENTRY!$D$20&amp;"-"&amp;ENTRY!$D$21,"")</f>
        <v>III-A</v>
      </c>
      <c r="O121" s="24"/>
      <c r="P121" s="24"/>
      <c r="Q121" s="14"/>
      <c r="R121" s="11"/>
    </row>
    <row r="122" s="1" customFormat="1" ht="21.95" customHeight="1" spans="1:18">
      <c r="A122" s="7"/>
      <c r="B122" s="12"/>
      <c r="C122" s="17" t="s">
        <v>708</v>
      </c>
      <c r="D122" s="17"/>
      <c r="E122" s="17"/>
      <c r="F122" s="25">
        <f>IFERROR(VLOOKUP(F118,STUDENT!$A$2:$BP$101,6,0),"")</f>
        <v>14757</v>
      </c>
      <c r="G122" s="25"/>
      <c r="H122" s="26" t="s">
        <v>709</v>
      </c>
      <c r="I122" s="27" t="str">
        <f>IFERROR(VLOOKUP(F118,STUDENT!$A$2:$BP$101,59,0),"")</f>
        <v/>
      </c>
      <c r="J122" s="27"/>
      <c r="K122" s="20" t="s">
        <v>710</v>
      </c>
      <c r="L122" s="20"/>
      <c r="M122" s="28">
        <f>IFERROR(VLOOKUP(F118,STUDENT!$A$2:$BP$101,20,0),"")</f>
        <v>9650613386</v>
      </c>
      <c r="N122" s="28"/>
      <c r="O122" s="28"/>
      <c r="P122" s="28"/>
      <c r="Q122" s="14"/>
      <c r="R122" s="11"/>
    </row>
    <row r="123" s="1" customFormat="1" ht="21.95" customHeight="1" spans="1:18">
      <c r="A123" s="7"/>
      <c r="B123" s="12"/>
      <c r="C123" s="17" t="s">
        <v>711</v>
      </c>
      <c r="D123" s="17"/>
      <c r="E123" s="17"/>
      <c r="F123" s="23" t="str">
        <f>IFERROR(VLOOKUP(F118,STUDENT!$A$2:$BP$101,9,0),"")</f>
        <v>SUSHILA DEVI</v>
      </c>
      <c r="G123" s="23"/>
      <c r="H123" s="23"/>
      <c r="I123" s="23"/>
      <c r="J123" s="17" t="s">
        <v>620</v>
      </c>
      <c r="K123" s="17"/>
      <c r="L123" s="23" t="str">
        <f>IFERROR(VLOOKUP(F118,STUDENT!$A$2:$BP$101,8,0),"")</f>
        <v>DHARMENDRA KUMAR</v>
      </c>
      <c r="M123" s="23"/>
      <c r="N123" s="23"/>
      <c r="O123" s="23"/>
      <c r="P123" s="23"/>
      <c r="Q123" s="14"/>
      <c r="R123" s="11"/>
    </row>
    <row r="124" s="1" customFormat="1" ht="21.95" customHeight="1" spans="1:18">
      <c r="A124" s="7"/>
      <c r="B124" s="12"/>
      <c r="C124" s="17" t="s">
        <v>712</v>
      </c>
      <c r="D124" s="17"/>
      <c r="E124" s="17"/>
      <c r="F124" s="23" t="str">
        <f>IFERROR(VLOOKUP(F118,STUDENT!$A$2:$BP$101,22,0),"")</f>
        <v>D 5/ 155 PREM NAAGR 3</v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14"/>
      <c r="R124" s="11"/>
    </row>
    <row r="125" s="1" customFormat="1" ht="9.95" customHeight="1" spans="1:18">
      <c r="A125" s="7"/>
      <c r="B125" s="12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14"/>
      <c r="R125" s="11"/>
    </row>
    <row r="126" s="1" customFormat="1" ht="9.95" customHeight="1" spans="1:18">
      <c r="A126" s="7"/>
      <c r="B126" s="12"/>
      <c r="C126" s="30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2"/>
      <c r="Q126" s="14"/>
      <c r="R126" s="11"/>
    </row>
    <row r="127" s="1" customFormat="1" ht="21.95" customHeight="1" spans="1:18">
      <c r="A127" s="7"/>
      <c r="B127" s="12"/>
      <c r="C127" s="33"/>
      <c r="D127" s="34" t="s">
        <v>713</v>
      </c>
      <c r="E127" s="20" t="s">
        <v>714</v>
      </c>
      <c r="F127" s="35" t="str">
        <f>"Level - "&amp;IFERROR(VLOOKUP(F118,FLN!$A$4:$K$103,9,0),"")</f>
        <v>Level - 3</v>
      </c>
      <c r="G127" s="36"/>
      <c r="H127" s="37" t="s">
        <v>715</v>
      </c>
      <c r="I127" s="20"/>
      <c r="J127" s="35" t="str">
        <f>"Level - "&amp;IFERROR(VLOOKUP(F118,FLN!$A$4:$K$103,11,0),"")</f>
        <v>Level - 4</v>
      </c>
      <c r="K127" s="36"/>
      <c r="L127" s="37" t="s">
        <v>408</v>
      </c>
      <c r="M127" s="20"/>
      <c r="N127" s="35" t="str">
        <f>"Level - "&amp;IFERROR(VLOOKUP(F118,FLN!$A$4:$K$103,10,0),"")</f>
        <v>Level - 3</v>
      </c>
      <c r="O127" s="36"/>
      <c r="P127" s="19"/>
      <c r="Q127" s="14"/>
      <c r="R127" s="11"/>
    </row>
    <row r="128" s="1" customFormat="1" ht="21.95" customHeight="1" spans="1:18">
      <c r="A128" s="7"/>
      <c r="B128" s="12"/>
      <c r="C128" s="33"/>
      <c r="D128" s="38"/>
      <c r="E128" s="20" t="s">
        <v>716</v>
      </c>
      <c r="F128" s="18" t="str">
        <f>IF(L142&gt;197,"PERFORMED WELL","")</f>
        <v/>
      </c>
      <c r="G128" s="18"/>
      <c r="H128" s="18"/>
      <c r="I128" s="18"/>
      <c r="J128" s="18"/>
      <c r="K128" s="18"/>
      <c r="L128" s="18"/>
      <c r="M128" s="18"/>
      <c r="N128" s="18"/>
      <c r="O128" s="18"/>
      <c r="P128" s="19"/>
      <c r="Q128" s="14"/>
      <c r="R128" s="11"/>
    </row>
    <row r="129" s="1" customFormat="1" ht="9.95" customHeight="1" spans="1:18">
      <c r="A129" s="7"/>
      <c r="B129" s="12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1"/>
      <c r="Q129" s="14"/>
      <c r="R129" s="11"/>
    </row>
    <row r="130" s="1" customFormat="1" ht="9.95" customHeight="1" spans="1:18">
      <c r="A130" s="7"/>
      <c r="B130" s="12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14"/>
      <c r="R130" s="11"/>
    </row>
    <row r="131" s="1" customFormat="1" ht="9.95" customHeight="1" spans="1:18">
      <c r="A131" s="7"/>
      <c r="B131" s="12"/>
      <c r="C131" s="30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2"/>
      <c r="Q131" s="14"/>
      <c r="R131" s="11"/>
    </row>
    <row r="132" s="1" customFormat="1" ht="21.95" customHeight="1" spans="1:18">
      <c r="A132" s="7"/>
      <c r="B132" s="12"/>
      <c r="C132" s="33"/>
      <c r="D132" s="35"/>
      <c r="E132" s="24"/>
      <c r="F132" s="24"/>
      <c r="G132" s="47" t="s">
        <v>717</v>
      </c>
      <c r="H132" s="47"/>
      <c r="I132" s="47"/>
      <c r="J132" s="47"/>
      <c r="K132" s="47"/>
      <c r="L132" s="47"/>
      <c r="M132" s="47"/>
      <c r="N132" s="47"/>
      <c r="O132" s="29"/>
      <c r="P132" s="19"/>
      <c r="Q132" s="14"/>
      <c r="R132" s="11"/>
    </row>
    <row r="133" s="1" customFormat="1" ht="21.95" customHeight="1" spans="1:18">
      <c r="A133" s="7"/>
      <c r="B133" s="12"/>
      <c r="C133" s="33"/>
      <c r="D133" s="47"/>
      <c r="E133" s="47"/>
      <c r="F133" s="47"/>
      <c r="G133" s="47" t="s">
        <v>541</v>
      </c>
      <c r="H133" s="47" t="s">
        <v>542</v>
      </c>
      <c r="I133" s="47" t="s">
        <v>543</v>
      </c>
      <c r="J133" s="47" t="s">
        <v>544</v>
      </c>
      <c r="K133" s="47" t="s">
        <v>561</v>
      </c>
      <c r="L133" s="47" t="s">
        <v>382</v>
      </c>
      <c r="M133" s="49" t="s">
        <v>546</v>
      </c>
      <c r="N133" s="49"/>
      <c r="O133" s="29"/>
      <c r="P133" s="19"/>
      <c r="Q133" s="14"/>
      <c r="R133" s="11"/>
    </row>
    <row r="134" s="1" customFormat="1" ht="21.95" customHeight="1" spans="1:18">
      <c r="A134" s="7"/>
      <c r="B134" s="12"/>
      <c r="C134" s="33"/>
      <c r="D134" s="207" t="s">
        <v>652</v>
      </c>
      <c r="E134" s="207"/>
      <c r="F134" s="207"/>
      <c r="G134" s="50">
        <v>10</v>
      </c>
      <c r="H134" s="50">
        <v>10</v>
      </c>
      <c r="I134" s="50">
        <v>10</v>
      </c>
      <c r="J134" s="50">
        <v>10</v>
      </c>
      <c r="K134" s="50">
        <v>60</v>
      </c>
      <c r="L134" s="50">
        <v>100</v>
      </c>
      <c r="M134" s="49"/>
      <c r="N134" s="49"/>
      <c r="O134" s="29"/>
      <c r="P134" s="19"/>
      <c r="Q134" s="14"/>
      <c r="R134" s="11"/>
    </row>
    <row r="135" s="1" customFormat="1" ht="21.95" customHeight="1" spans="1:18">
      <c r="A135" s="7"/>
      <c r="B135" s="12"/>
      <c r="C135" s="33"/>
      <c r="D135" s="117" t="s">
        <v>668</v>
      </c>
      <c r="E135" s="117"/>
      <c r="F135" s="117"/>
      <c r="G135" s="54">
        <f>IFERROR(VLOOKUP(F118,'1to4-2.1-RR'!$A$12:$BG$111,9,0),"")</f>
        <v>2</v>
      </c>
      <c r="H135" s="54">
        <f>IFERROR(VLOOKUP(F118,'1to4-2.1-RR'!$A$12:$BG$111,10,0),"")</f>
        <v>0</v>
      </c>
      <c r="I135" s="54">
        <f>IFERROR(VLOOKUP(F118,'1to4-2.1-RR'!$A$12:$BG$111,11,0),"")</f>
        <v>0</v>
      </c>
      <c r="J135" s="54">
        <f>IFERROR(VLOOKUP(F118,'1to4-2.1-RR'!$A$12:$BG$111,12,0),"")</f>
        <v>0</v>
      </c>
      <c r="K135" s="54">
        <f>IFERROR(VLOOKUP(F118,'1to4-2.1-RR'!$A$12:$BG$111,13,0),"")</f>
        <v>46</v>
      </c>
      <c r="L135" s="55">
        <f>SUM(G135:K135)</f>
        <v>48</v>
      </c>
      <c r="M135" s="56" t="str">
        <f>IF(F118&gt;ENTRY!$D$24,"",IF(L135=0,"Ab",IF(L135&gt;80,"A",IF(L135&gt;60,"B",IF(L135&gt;44,"C",IF(L135&gt;=33,"D",IF(L135&lt;=32,"E","")))))))</f>
        <v>C</v>
      </c>
      <c r="N135" s="56"/>
      <c r="O135" s="29"/>
      <c r="P135" s="19"/>
      <c r="Q135" s="14"/>
      <c r="R135" s="11"/>
    </row>
    <row r="136" s="1" customFormat="1" ht="21.95" customHeight="1" spans="1:18">
      <c r="A136" s="7"/>
      <c r="B136" s="12"/>
      <c r="C136" s="33"/>
      <c r="D136" s="117" t="s">
        <v>513</v>
      </c>
      <c r="E136" s="117"/>
      <c r="F136" s="117"/>
      <c r="G136" s="54">
        <f>IFERROR(VLOOKUP(F118,'1to4-2.1-RR'!$A$12:$BG$111,16,0),"")</f>
        <v>1</v>
      </c>
      <c r="H136" s="54">
        <f>IFERROR(VLOOKUP(F118,'1to4-2.1-RR'!$A$12:$BG$111,17,0),"")</f>
        <v>0</v>
      </c>
      <c r="I136" s="54">
        <f>IFERROR(VLOOKUP(F118,'1to4-2.1-RR'!$A$12:$BG$111,18,0),"")</f>
        <v>0</v>
      </c>
      <c r="J136" s="54">
        <f>IFERROR(VLOOKUP(F118,'1to4-2.1-RR'!$A$12:$BG$111,19,0),"")</f>
        <v>0</v>
      </c>
      <c r="K136" s="54">
        <f>IFERROR(VLOOKUP(F118,'1to4-2.1-RR'!$A$12:$BG$111,20,0),"")</f>
        <v>16</v>
      </c>
      <c r="L136" s="55">
        <f t="shared" ref="L136:L141" si="4">SUM(G136:K136)</f>
        <v>17</v>
      </c>
      <c r="M136" s="56" t="str">
        <f>IF(F118&gt;ENTRY!$D$24,"",IF(L136=0,"Ab",IF(L136&gt;80,"A",IF(L136&gt;60,"B",IF(L136&gt;44,"C",IF(L136&gt;=33,"D",IF(L136&lt;=32,"E","")))))))</f>
        <v>E</v>
      </c>
      <c r="N136" s="56"/>
      <c r="O136" s="29"/>
      <c r="P136" s="19"/>
      <c r="Q136" s="14"/>
      <c r="R136" s="11"/>
    </row>
    <row r="137" s="1" customFormat="1" ht="21.95" customHeight="1" spans="1:18">
      <c r="A137" s="7"/>
      <c r="B137" s="12"/>
      <c r="C137" s="33"/>
      <c r="D137" s="117" t="s">
        <v>718</v>
      </c>
      <c r="E137" s="117"/>
      <c r="F137" s="117"/>
      <c r="G137" s="54">
        <f>IFERROR(VLOOKUP(F118,'1to4-2.1-RR'!$A$12:$BG$111,23,0),"")</f>
        <v>2</v>
      </c>
      <c r="H137" s="54">
        <f>IFERROR(VLOOKUP(F118,'1to4-2.1-RR'!$A$12:$BG$111,24,0),"")</f>
        <v>0</v>
      </c>
      <c r="I137" s="54">
        <f>IFERROR(VLOOKUP(F118,'1to4-2.1-RR'!$A$12:$BG$111,25,0),"")</f>
        <v>0</v>
      </c>
      <c r="J137" s="54">
        <f>IFERROR(VLOOKUP(F118,'1to4-2.1-RR'!$A$12:$BG$111,26,0),"")</f>
        <v>0</v>
      </c>
      <c r="K137" s="54">
        <f>IFERROR(VLOOKUP(F118,'1to4-2.1-RR'!$A$12:$BG$111,27,0),"")</f>
        <v>12</v>
      </c>
      <c r="L137" s="55">
        <f t="shared" si="4"/>
        <v>14</v>
      </c>
      <c r="M137" s="56" t="str">
        <f>IF(F118&gt;ENTRY!$D$24,"",IF(L137=0,"Ab",IF(L137&gt;80,"A",IF(L137&gt;60,"B",IF(L137&gt;44,"C",IF(L137&gt;=33,"D",IF(L137&lt;=32,"E","")))))))</f>
        <v>E</v>
      </c>
      <c r="N137" s="56"/>
      <c r="O137" s="29"/>
      <c r="P137" s="19"/>
      <c r="Q137" s="14"/>
      <c r="R137" s="11"/>
    </row>
    <row r="138" s="1" customFormat="1" ht="21.95" customHeight="1" spans="1:18">
      <c r="A138" s="7"/>
      <c r="B138" s="12"/>
      <c r="C138" s="33"/>
      <c r="D138" s="117" t="s">
        <v>719</v>
      </c>
      <c r="E138" s="117"/>
      <c r="F138" s="117"/>
      <c r="G138" s="54">
        <f>IFERROR(VLOOKUP(F118,'1to4-2.1-RR'!$A$12:$BG$111,30,0),"")</f>
        <v>1</v>
      </c>
      <c r="H138" s="54">
        <f>IFERROR(VLOOKUP(F118,'1to4-2.1-RR'!$A$12:$BG$111,31,0),"")</f>
        <v>0</v>
      </c>
      <c r="I138" s="54">
        <f>IFERROR(VLOOKUP(F118,'1to4-2.1-RR'!$A$12:$BG$111,32,0),"")</f>
        <v>0</v>
      </c>
      <c r="J138" s="54">
        <f>IFERROR(VLOOKUP(F118,'1to4-2.1-RR'!$A$12:$BG$111,33,0),"")</f>
        <v>0</v>
      </c>
      <c r="K138" s="54">
        <f>IFERROR(VLOOKUP(F118,'1to4-2.1-RR'!$A$12:$BG$111,34,0),"")</f>
        <v>23</v>
      </c>
      <c r="L138" s="55">
        <f t="shared" si="4"/>
        <v>24</v>
      </c>
      <c r="M138" s="56" t="str">
        <f>IF(F118&gt;ENTRY!$D$24,"",IF(L138=0,"Ab",IF(L138&gt;80,"A",IF(L138&gt;60,"B",IF(L138&gt;44,"C",IF(L138&gt;=33,"D",IF(L138&lt;=32,"E","")))))))</f>
        <v>E</v>
      </c>
      <c r="N138" s="56"/>
      <c r="O138" s="29"/>
      <c r="P138" s="19"/>
      <c r="Q138" s="14"/>
      <c r="R138" s="11"/>
    </row>
    <row r="139" s="1" customFormat="1" ht="21.95" customHeight="1" spans="1:18">
      <c r="A139" s="7"/>
      <c r="B139" s="12"/>
      <c r="C139" s="33"/>
      <c r="D139" s="117" t="s">
        <v>548</v>
      </c>
      <c r="E139" s="117"/>
      <c r="F139" s="117"/>
      <c r="G139" s="54">
        <f>IFERROR(VLOOKUP(F118,'1to4-2.1-RR'!$A$12:$BG$111,37,0),"")</f>
        <v>0</v>
      </c>
      <c r="H139" s="54">
        <f>IFERROR(VLOOKUP(F118,'1to4-2.1-RR'!$A$12:$BG$111,38,0),"")</f>
        <v>0</v>
      </c>
      <c r="I139" s="54">
        <f>IFERROR(VLOOKUP(F118,'1to4-2.1-RR'!$A$12:$BG$111,39,0),"")</f>
        <v>0</v>
      </c>
      <c r="J139" s="54">
        <f>IFERROR(VLOOKUP(F118,'1to4-2.1-RR'!$A$12:$BG$111,40,0),"")</f>
        <v>0</v>
      </c>
      <c r="K139" s="54">
        <f>IFERROR(VLOOKUP(F118,'1to4-2.1-RR'!$A$12:$BG$111,41,0),"")</f>
        <v>20</v>
      </c>
      <c r="L139" s="55">
        <f t="shared" si="4"/>
        <v>20</v>
      </c>
      <c r="M139" s="56" t="str">
        <f>IF(F118&gt;ENTRY!$D$24,"",IF(L139=0,"Ab",IF(L139&gt;80,"A",IF(L139&gt;60,"B",IF(L139&gt;44,"C",IF(L139&gt;=33,"D",IF(L139&lt;=32,"E","")))))))</f>
        <v>E</v>
      </c>
      <c r="N139" s="56"/>
      <c r="O139" s="29"/>
      <c r="P139" s="19"/>
      <c r="Q139" s="14"/>
      <c r="R139" s="11"/>
    </row>
    <row r="140" s="1" customFormat="1" ht="21.95" customHeight="1" spans="1:18">
      <c r="A140" s="7"/>
      <c r="B140" s="12"/>
      <c r="C140" s="33"/>
      <c r="D140" s="117" t="s">
        <v>549</v>
      </c>
      <c r="E140" s="117"/>
      <c r="F140" s="117"/>
      <c r="G140" s="54">
        <f>IFERROR(VLOOKUP(F118,'1to4-2.1-RR'!$A$12:$BG$111,44,0),"")</f>
        <v>2</v>
      </c>
      <c r="H140" s="54">
        <f>IFERROR(VLOOKUP(F118,'1to4-2.1-RR'!$A$12:$BG$111,45,0),"")</f>
        <v>0</v>
      </c>
      <c r="I140" s="54">
        <f>IFERROR(VLOOKUP(F118,'1to4-2.1-RR'!$A$12:$BG$111,46,0),"")</f>
        <v>0</v>
      </c>
      <c r="J140" s="54">
        <f>IFERROR(VLOOKUP(F118,'1to4-2.1-RR'!$A$12:$BG$111,47,0),"")</f>
        <v>0</v>
      </c>
      <c r="K140" s="54">
        <f>IFERROR(VLOOKUP(F118,'1to4-2.1-RR'!$A$12:$BG$111,48,0),"")</f>
        <v>25</v>
      </c>
      <c r="L140" s="55">
        <f t="shared" si="4"/>
        <v>27</v>
      </c>
      <c r="M140" s="56" t="str">
        <f>IF(F118&gt;ENTRY!$D$24,"",IF(L140=0,"Ab",IF(L140&gt;80,"A",IF(L140&gt;60,"B",IF(L140&gt;44,"C",IF(L140&gt;=33,"D",IF(L140&lt;=32,"E","")))))))</f>
        <v>E</v>
      </c>
      <c r="N140" s="56"/>
      <c r="O140" s="29"/>
      <c r="P140" s="19"/>
      <c r="Q140" s="14"/>
      <c r="R140" s="11"/>
    </row>
    <row r="141" s="1" customFormat="1" ht="21.95" customHeight="1" spans="1:18">
      <c r="A141" s="7"/>
      <c r="B141" s="12"/>
      <c r="C141" s="33"/>
      <c r="D141" s="117" t="s">
        <v>720</v>
      </c>
      <c r="E141" s="117"/>
      <c r="F141" s="117"/>
      <c r="G141" s="54"/>
      <c r="H141" s="54"/>
      <c r="I141" s="54"/>
      <c r="J141" s="54"/>
      <c r="K141" s="54"/>
      <c r="L141" s="55">
        <f t="shared" si="4"/>
        <v>0</v>
      </c>
      <c r="M141" s="56" t="str">
        <f>IF(F118&gt;ENTRY!$D$24,"",IF(L141=0,"",IF(L141&gt;79,"A",IF(L141&gt;59,"B",IF(L141&gt;44,"C",IF(L141&gt;=33,"D",IF(L141&lt;=32,"E","")))))))</f>
        <v/>
      </c>
      <c r="N141" s="56"/>
      <c r="O141" s="29"/>
      <c r="P141" s="19"/>
      <c r="Q141" s="14"/>
      <c r="R141" s="11"/>
    </row>
    <row r="142" s="1" customFormat="1" ht="21.95" customHeight="1" spans="1:18">
      <c r="A142" s="7"/>
      <c r="B142" s="12"/>
      <c r="C142" s="33"/>
      <c r="D142" s="207" t="s">
        <v>382</v>
      </c>
      <c r="E142" s="207"/>
      <c r="F142" s="207"/>
      <c r="G142" s="54">
        <f t="shared" ref="G142:L142" si="5">IFERROR(SUM(G135:G141),"")</f>
        <v>8</v>
      </c>
      <c r="H142" s="54">
        <f t="shared" si="5"/>
        <v>0</v>
      </c>
      <c r="I142" s="54">
        <f t="shared" si="5"/>
        <v>0</v>
      </c>
      <c r="J142" s="54">
        <f t="shared" si="5"/>
        <v>0</v>
      </c>
      <c r="K142" s="54">
        <f t="shared" si="5"/>
        <v>142</v>
      </c>
      <c r="L142" s="55">
        <f t="shared" si="5"/>
        <v>150</v>
      </c>
      <c r="M142" s="61" t="str">
        <f>IF(F118&gt;ENTRY!$D$24,"",IF(N143="Ab","Ab",IF(N143&gt;79.5,"A",IF(N143&gt;59.5,"B",IF(N143&gt;44.5,"C",IF(N143&gt;=33,"D",IF(N143&lt;33,"E","")))))))</f>
        <v>E</v>
      </c>
      <c r="N142" s="61"/>
      <c r="O142" s="29"/>
      <c r="P142" s="19"/>
      <c r="Q142" s="14"/>
      <c r="R142" s="11"/>
    </row>
    <row r="143" s="1" customFormat="1" ht="21.95" customHeight="1" spans="1:18">
      <c r="A143" s="7"/>
      <c r="B143" s="12"/>
      <c r="C143" s="33"/>
      <c r="D143" s="63" t="s">
        <v>721</v>
      </c>
      <c r="E143" s="63"/>
      <c r="F143" s="63"/>
      <c r="G143" s="63"/>
      <c r="H143" s="63"/>
      <c r="I143" s="63"/>
      <c r="J143" s="63"/>
      <c r="K143" s="63"/>
      <c r="L143" s="63"/>
      <c r="M143" s="209"/>
      <c r="N143" s="64">
        <f>IF(L142="Ab","Ab",L142/6)</f>
        <v>25</v>
      </c>
      <c r="O143" s="65"/>
      <c r="P143" s="19"/>
      <c r="Q143" s="14"/>
      <c r="R143" s="11"/>
    </row>
    <row r="144" s="1" customFormat="1" ht="21.95" customHeight="1" spans="1:18">
      <c r="A144" s="7"/>
      <c r="B144" s="12"/>
      <c r="C144" s="33"/>
      <c r="D144" s="29" t="s">
        <v>716</v>
      </c>
      <c r="E144" s="18" t="str">
        <f>IFERROR(VLOOKUP(F118,'1to4-2.1-RR'!$A$12:$BG$111,57,0),"")</f>
        <v>PROMOTED</v>
      </c>
      <c r="F144" s="18"/>
      <c r="G144" s="18"/>
      <c r="H144" s="18"/>
      <c r="I144" s="18"/>
      <c r="J144" s="18"/>
      <c r="K144" s="18"/>
      <c r="L144" s="18"/>
      <c r="M144" s="18"/>
      <c r="N144" s="29"/>
      <c r="O144" s="29"/>
      <c r="P144" s="19"/>
      <c r="Q144" s="14"/>
      <c r="R144" s="11"/>
    </row>
    <row r="145" s="1" customFormat="1" ht="9.95" customHeight="1" spans="1:19">
      <c r="A145" s="7"/>
      <c r="B145" s="12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1"/>
      <c r="Q145" s="14"/>
      <c r="R145" s="11"/>
    </row>
    <row r="146" s="1" customFormat="1" ht="9.95" customHeight="1" spans="1:19">
      <c r="A146" s="7"/>
      <c r="B146" s="12"/>
      <c r="C146" s="30"/>
      <c r="D146" s="31"/>
      <c r="E146" s="31"/>
      <c r="F146" s="29"/>
      <c r="G146" s="31"/>
      <c r="H146" s="31"/>
      <c r="I146" s="31"/>
      <c r="J146" s="31"/>
      <c r="K146" s="31"/>
      <c r="L146" s="31"/>
      <c r="M146" s="31"/>
      <c r="N146" s="31"/>
      <c r="O146" s="31"/>
      <c r="P146" s="32"/>
      <c r="Q146" s="14"/>
      <c r="R146" s="11"/>
    </row>
    <row r="147" s="1" customFormat="1" ht="9.95" customHeight="1" spans="1:19">
      <c r="A147" s="7"/>
      <c r="B147" s="12"/>
      <c r="C147" s="33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19"/>
      <c r="Q147" s="14"/>
      <c r="R147" s="11"/>
    </row>
    <row r="148" s="1" customFormat="1" ht="9.95" customHeight="1" spans="1:19">
      <c r="A148" s="7"/>
      <c r="B148" s="12"/>
      <c r="C148" s="33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19"/>
      <c r="Q148" s="14"/>
      <c r="R148" s="11"/>
    </row>
    <row r="149" s="1" customFormat="1" ht="21.95" customHeight="1" spans="1:19">
      <c r="A149" s="7"/>
      <c r="B149" s="12"/>
      <c r="C149" s="210"/>
      <c r="D149" s="211"/>
      <c r="E149" s="211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2"/>
      <c r="Q149" s="14"/>
      <c r="R149" s="11"/>
      <c r="S149" s="2"/>
    </row>
    <row r="150" s="1" customFormat="1" ht="21.95" customHeight="1" spans="1:19">
      <c r="A150" s="7"/>
      <c r="B150" s="12"/>
      <c r="C150" s="33"/>
      <c r="D150" s="207" t="s">
        <v>722</v>
      </c>
      <c r="E150" s="207"/>
      <c r="F150" s="207"/>
      <c r="G150" s="207"/>
      <c r="H150" s="54">
        <f>IFERROR(VLOOKUP(F118,PASHEET!$A$4:$CJ$103,88,0),"")</f>
        <v>417</v>
      </c>
      <c r="I150" s="54"/>
      <c r="J150" s="29"/>
      <c r="K150" s="29"/>
      <c r="L150" s="29"/>
      <c r="M150" s="29"/>
      <c r="N150" s="29"/>
      <c r="O150" s="29"/>
      <c r="P150" s="19"/>
      <c r="Q150" s="14"/>
      <c r="R150" s="11"/>
    </row>
    <row r="151" s="1" customFormat="1" ht="21.95" customHeight="1" spans="1:19">
      <c r="A151" s="7"/>
      <c r="B151" s="12"/>
      <c r="C151" s="213"/>
      <c r="D151" s="207" t="s">
        <v>723</v>
      </c>
      <c r="E151" s="207"/>
      <c r="F151" s="207"/>
      <c r="G151" s="207"/>
      <c r="H151" s="54">
        <f>IFERROR(VLOOKUP(F118,PASHEET!$A$4:$CJ$103,87,0),"")</f>
        <v>180</v>
      </c>
      <c r="I151" s="54"/>
      <c r="J151" s="214"/>
      <c r="K151" s="214"/>
      <c r="L151" s="207" t="s">
        <v>724</v>
      </c>
      <c r="M151" s="207"/>
      <c r="N151" s="117" t="str">
        <f>IF(F118&gt;ENTRY!$D$24,"",IF(F118&gt;0,L142&amp;" / "&amp;600,""))</f>
        <v>150 / 600</v>
      </c>
      <c r="O151" s="117"/>
      <c r="P151" s="215"/>
      <c r="Q151" s="14"/>
      <c r="R151" s="11"/>
    </row>
    <row r="152" s="1" customFormat="1" ht="18" customHeight="1" spans="1:19">
      <c r="A152" s="7"/>
      <c r="B152" s="12"/>
      <c r="C152" s="33"/>
      <c r="D152" s="207" t="s">
        <v>725</v>
      </c>
      <c r="E152" s="207"/>
      <c r="F152" s="207"/>
      <c r="G152" s="207"/>
      <c r="H152" s="69">
        <f>IFERROR(IF(F118&gt;0,H151/H150*100),"")</f>
        <v>43.1654676258993</v>
      </c>
      <c r="I152" s="69"/>
      <c r="J152" s="29"/>
      <c r="K152" s="29"/>
      <c r="L152" s="207" t="s">
        <v>726</v>
      </c>
      <c r="M152" s="207"/>
      <c r="N152" s="216">
        <f>IF(F118&gt;ENTRY!$D$24,"",IF(F118&gt;0,L142/600*100,""))</f>
        <v>25</v>
      </c>
      <c r="O152" s="216"/>
      <c r="P152" s="19"/>
      <c r="Q152" s="14"/>
      <c r="R152" s="11"/>
    </row>
    <row r="153" s="1" customFormat="1" ht="21.95" customHeight="1" spans="1:19">
      <c r="A153" s="7"/>
      <c r="B153" s="12"/>
      <c r="C153" s="33"/>
      <c r="D153" s="80"/>
      <c r="E153" s="80"/>
      <c r="F153" s="217"/>
      <c r="G153" s="217"/>
      <c r="H153" s="217"/>
      <c r="I153" s="217"/>
      <c r="J153" s="217"/>
      <c r="K153" s="217"/>
      <c r="L153" s="217"/>
      <c r="M153" s="217"/>
      <c r="N153" s="80"/>
      <c r="O153" s="80"/>
      <c r="P153" s="19"/>
      <c r="Q153" s="14"/>
      <c r="R153" s="11"/>
    </row>
    <row r="154" s="1" customFormat="1" ht="21.95" customHeight="1" spans="1:19">
      <c r="A154" s="7"/>
      <c r="B154" s="12"/>
      <c r="C154" s="33"/>
      <c r="D154" s="80"/>
      <c r="E154" s="218"/>
      <c r="F154" s="218"/>
      <c r="G154" s="218"/>
      <c r="H154" s="80"/>
      <c r="I154" s="218"/>
      <c r="J154" s="218"/>
      <c r="K154" s="218"/>
      <c r="L154" s="218"/>
      <c r="M154" s="80"/>
      <c r="N154" s="219"/>
      <c r="O154" s="219"/>
      <c r="P154" s="19"/>
      <c r="Q154" s="14"/>
      <c r="R154" s="11"/>
    </row>
    <row r="155" s="1" customFormat="1" ht="21.95" customHeight="1" spans="1:19">
      <c r="A155" s="7"/>
      <c r="B155" s="12"/>
      <c r="C155" s="33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19"/>
      <c r="Q155" s="14"/>
      <c r="R155" s="11"/>
    </row>
    <row r="156" s="1" customFormat="1" ht="21.95" customHeight="1" spans="1:19">
      <c r="A156" s="7"/>
      <c r="B156" s="12"/>
      <c r="C156" s="33"/>
      <c r="D156" s="218"/>
      <c r="E156" s="218"/>
      <c r="F156" s="218"/>
      <c r="G156" s="218"/>
      <c r="H156" s="218"/>
      <c r="I156" s="218"/>
      <c r="J156" s="218"/>
      <c r="K156" s="218"/>
      <c r="L156" s="218"/>
      <c r="M156" s="80"/>
      <c r="N156" s="217"/>
      <c r="O156" s="217"/>
      <c r="P156" s="85" t="s">
        <v>727</v>
      </c>
      <c r="Q156" s="14"/>
      <c r="R156" s="11"/>
    </row>
    <row r="157" s="1" customFormat="1" ht="21.95" customHeight="1" spans="1:19">
      <c r="A157" s="7"/>
      <c r="B157" s="12"/>
      <c r="C157" s="33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19"/>
      <c r="Q157" s="14"/>
      <c r="R157" s="11"/>
    </row>
    <row r="158" s="1" customFormat="1" ht="21.95" customHeight="1" spans="1:19">
      <c r="A158" s="7"/>
      <c r="B158" s="12"/>
      <c r="C158" s="33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19"/>
      <c r="Q158" s="14"/>
      <c r="R158" s="11"/>
    </row>
    <row r="159" s="1" customFormat="1" ht="21.95" customHeight="1" spans="1:19">
      <c r="A159" s="7"/>
      <c r="B159" s="12"/>
      <c r="C159" s="33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19"/>
      <c r="Q159" s="14"/>
      <c r="R159" s="11"/>
    </row>
    <row r="160" s="1" customFormat="1" ht="21.95" customHeight="1" spans="1:19">
      <c r="A160" s="7"/>
      <c r="B160" s="12"/>
      <c r="C160" s="33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19"/>
      <c r="Q160" s="14"/>
      <c r="R160" s="11"/>
    </row>
    <row r="161" s="1" customFormat="1" ht="21.95" customHeight="1" spans="1:18">
      <c r="A161" s="7"/>
      <c r="B161" s="12"/>
      <c r="C161" s="33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19"/>
      <c r="Q161" s="14"/>
      <c r="R161" s="11"/>
    </row>
    <row r="162" s="1" customFormat="1" ht="21.95" customHeight="1" spans="1:18">
      <c r="A162" s="7"/>
      <c r="B162" s="12"/>
      <c r="C162" s="33"/>
      <c r="D162" s="80" t="s">
        <v>728</v>
      </c>
      <c r="E162" s="220">
        <f>ENTRY!$D$27</f>
        <v>46102</v>
      </c>
      <c r="F162" s="220"/>
      <c r="G162" s="29"/>
      <c r="H162" s="29"/>
      <c r="I162" s="221" t="s">
        <v>729</v>
      </c>
      <c r="J162" s="153"/>
      <c r="K162" s="29"/>
      <c r="L162" s="29"/>
      <c r="M162" s="87" t="s">
        <v>730</v>
      </c>
      <c r="N162" s="87"/>
      <c r="O162" s="87"/>
      <c r="P162" s="19"/>
      <c r="Q162" s="14"/>
      <c r="R162" s="11"/>
    </row>
    <row r="163" s="1" customFormat="1" ht="21.95" customHeight="1" spans="1:18">
      <c r="A163" s="7"/>
      <c r="B163" s="12"/>
      <c r="C163" s="33"/>
      <c r="D163" s="80" t="s">
        <v>731</v>
      </c>
      <c r="E163" s="88" t="str">
        <f>PROPER(ENTRY!$D$28)</f>
        <v>New Delhi</v>
      </c>
      <c r="F163" s="88"/>
      <c r="G163" s="29"/>
      <c r="H163" s="29"/>
      <c r="I163" s="153"/>
      <c r="J163" s="153"/>
      <c r="K163" s="29"/>
      <c r="L163" s="29"/>
      <c r="M163" s="79" t="s">
        <v>732</v>
      </c>
      <c r="N163" s="79"/>
      <c r="O163" s="79"/>
      <c r="P163" s="19"/>
      <c r="Q163" s="14"/>
      <c r="R163" s="11"/>
    </row>
    <row r="164" s="1" customFormat="1" ht="21.95" customHeight="1" spans="1:18">
      <c r="A164" s="7"/>
      <c r="B164" s="12"/>
      <c r="C164" s="90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2"/>
      <c r="Q164" s="14"/>
      <c r="R164" s="11"/>
    </row>
    <row r="165" s="1" customFormat="1" ht="5.1" customHeight="1" spans="1:18">
      <c r="A165" s="7"/>
      <c r="B165" s="90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2"/>
      <c r="R165" s="11"/>
    </row>
    <row r="166" s="1" customFormat="1" ht="5.1" customHeight="1" spans="1:18">
      <c r="A166" s="93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5"/>
    </row>
    <row r="167" s="1" customFormat="1" ht="21.95" customHeight="1"/>
    <row r="168" ht="15.15"/>
    <row r="169" s="1" customFormat="1" ht="5.1" customHeight="1" spans="1:18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6"/>
    </row>
    <row r="170" s="1" customFormat="1" ht="15" customHeight="1" spans="1:18">
      <c r="A170" s="7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0"/>
      <c r="R170" s="11"/>
    </row>
    <row r="171" s="1" customFormat="1" ht="21.95" customHeight="1" spans="1:18">
      <c r="A171" s="7"/>
      <c r="B171" s="12"/>
      <c r="C171" s="13" t="s">
        <v>7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4"/>
      <c r="R171" s="11"/>
    </row>
    <row r="172" s="1" customFormat="1" ht="21.95" customHeight="1" spans="1:18">
      <c r="A172" s="7"/>
      <c r="B172" s="1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14"/>
      <c r="R172" s="11"/>
    </row>
    <row r="173" s="1" customFormat="1" ht="21.95" customHeight="1" spans="1:18">
      <c r="A173" s="7"/>
      <c r="B173" s="12"/>
      <c r="C173" s="15" t="str">
        <f>"SESSION-"&amp;ENTRY!$D$11</f>
        <v>SESSION-2026-27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4"/>
      <c r="R173" s="11"/>
    </row>
    <row r="174" s="1" customFormat="1" ht="21.95" customHeight="1" spans="1:18">
      <c r="A174" s="7"/>
      <c r="B174" s="12"/>
      <c r="C174" s="2"/>
      <c r="D174" s="2"/>
      <c r="E174" s="2"/>
      <c r="F174" s="16">
        <f>F118+1</f>
        <v>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14"/>
      <c r="R174" s="11"/>
    </row>
    <row r="175" s="1" customFormat="1" ht="21.95" customHeight="1" spans="1:18">
      <c r="A175" s="7"/>
      <c r="B175" s="12"/>
      <c r="C175" s="17" t="s">
        <v>392</v>
      </c>
      <c r="D175" s="17"/>
      <c r="E175" s="17"/>
      <c r="F175" s="18" t="str">
        <f>IF(F174&gt;0,ENTRY!$D$6,"")</f>
        <v>MCP NITHARI NO 1 BOYS</v>
      </c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4"/>
      <c r="R175" s="11"/>
    </row>
    <row r="176" s="1" customFormat="1" ht="21.95" customHeight="1" spans="1:18">
      <c r="A176" s="7"/>
      <c r="B176" s="12"/>
      <c r="C176" s="17" t="s">
        <v>393</v>
      </c>
      <c r="D176" s="17"/>
      <c r="E176" s="17"/>
      <c r="F176" s="18">
        <f>IF(F174&gt;0,ENTRY!$D$7,"")</f>
        <v>0</v>
      </c>
      <c r="G176" s="18"/>
      <c r="H176" s="20" t="s">
        <v>702</v>
      </c>
      <c r="I176" s="20"/>
      <c r="J176" s="21">
        <f>IF(F174&gt;0,ENTRY!$D$10,"")</f>
        <v>40</v>
      </c>
      <c r="K176" s="20" t="s">
        <v>703</v>
      </c>
      <c r="L176" s="22" t="str">
        <f>IF(F174&gt;0,ENTRY!$D$5,"")</f>
        <v>ROHINI ZONE</v>
      </c>
      <c r="M176" s="22"/>
      <c r="N176" s="22"/>
      <c r="O176" s="22"/>
      <c r="P176" s="22"/>
      <c r="Q176" s="14"/>
      <c r="R176" s="11"/>
    </row>
    <row r="177" s="1" customFormat="1" ht="21.95" customHeight="1" spans="1:18">
      <c r="A177" s="7"/>
      <c r="B177" s="12"/>
      <c r="C177" s="17" t="s">
        <v>706</v>
      </c>
      <c r="D177" s="17"/>
      <c r="E177" s="17"/>
      <c r="F177" s="23" t="str">
        <f>IFERROR(VLOOKUP(F174,STUDENT!$A$2:$BP$101,5,0),"")</f>
        <v>PRINCE KUMAR RAY</v>
      </c>
      <c r="G177" s="23"/>
      <c r="H177" s="23"/>
      <c r="I177" s="23"/>
      <c r="J177" s="23"/>
      <c r="K177" s="23"/>
      <c r="L177" s="20" t="s">
        <v>707</v>
      </c>
      <c r="M177" s="20"/>
      <c r="N177" s="24" t="str">
        <f>IF(F174&gt;0,ENTRY!$D$20&amp;"-"&amp;ENTRY!$D$21,"")</f>
        <v>III-A</v>
      </c>
      <c r="O177" s="24"/>
      <c r="P177" s="24"/>
      <c r="Q177" s="14"/>
      <c r="R177" s="11"/>
    </row>
    <row r="178" s="1" customFormat="1" ht="21.95" customHeight="1" spans="1:18">
      <c r="A178" s="7"/>
      <c r="B178" s="12"/>
      <c r="C178" s="17" t="s">
        <v>708</v>
      </c>
      <c r="D178" s="17"/>
      <c r="E178" s="17"/>
      <c r="F178" s="25">
        <f>IFERROR(VLOOKUP(F174,STUDENT!$A$2:$BP$101,6,0),"")</f>
        <v>14778</v>
      </c>
      <c r="G178" s="25"/>
      <c r="H178" s="26" t="s">
        <v>709</v>
      </c>
      <c r="I178" s="27" t="str">
        <f>IFERROR(VLOOKUP(F174,STUDENT!$A$2:$BP$101,59,0),"")</f>
        <v/>
      </c>
      <c r="J178" s="27"/>
      <c r="K178" s="20" t="s">
        <v>710</v>
      </c>
      <c r="L178" s="20"/>
      <c r="M178" s="28">
        <f>IFERROR(VLOOKUP(F174,STUDENT!$A$2:$BP$101,20,0),"")</f>
        <v>7053065864</v>
      </c>
      <c r="N178" s="28"/>
      <c r="O178" s="28"/>
      <c r="P178" s="28"/>
      <c r="Q178" s="14"/>
      <c r="R178" s="11"/>
    </row>
    <row r="179" s="1" customFormat="1" ht="21.95" customHeight="1" spans="1:18">
      <c r="A179" s="7"/>
      <c r="B179" s="12"/>
      <c r="C179" s="17" t="s">
        <v>711</v>
      </c>
      <c r="D179" s="17"/>
      <c r="E179" s="17"/>
      <c r="F179" s="23" t="str">
        <f>IFERROR(VLOOKUP(F174,STUDENT!$A$2:$BP$101,9,0),"")</f>
        <v>SOBHA DEVI</v>
      </c>
      <c r="G179" s="23"/>
      <c r="H179" s="23"/>
      <c r="I179" s="23"/>
      <c r="J179" s="17" t="s">
        <v>620</v>
      </c>
      <c r="K179" s="17"/>
      <c r="L179" s="23" t="str">
        <f>IFERROR(VLOOKUP(F174,STUDENT!$A$2:$BP$101,8,0),"")</f>
        <v>RAMSHARAN RAY</v>
      </c>
      <c r="M179" s="23"/>
      <c r="N179" s="23"/>
      <c r="O179" s="23"/>
      <c r="P179" s="23"/>
      <c r="Q179" s="14"/>
      <c r="R179" s="11"/>
    </row>
    <row r="180" s="1" customFormat="1" ht="21.95" customHeight="1" spans="1:18">
      <c r="A180" s="7"/>
      <c r="B180" s="12"/>
      <c r="C180" s="17" t="s">
        <v>712</v>
      </c>
      <c r="D180" s="17"/>
      <c r="E180" s="17"/>
      <c r="F180" s="23" t="str">
        <f>IFERROR(VLOOKUP(F174,STUDENT!$A$2:$BP$101,22,0),"")</f>
        <v>B 171, GALI NO 4 INDER ENCLAVE PHASE I</v>
      </c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14"/>
      <c r="R180" s="11"/>
    </row>
    <row r="181" s="1" customFormat="1" ht="9.95" customHeight="1" spans="1:18">
      <c r="A181" s="7"/>
      <c r="B181" s="12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14"/>
      <c r="R181" s="11"/>
    </row>
    <row r="182" s="1" customFormat="1" ht="9.95" customHeight="1" spans="1:18">
      <c r="A182" s="7"/>
      <c r="B182" s="12"/>
      <c r="C182" s="30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2"/>
      <c r="Q182" s="14"/>
      <c r="R182" s="11"/>
    </row>
    <row r="183" s="1" customFormat="1" ht="21.95" customHeight="1" spans="1:18">
      <c r="A183" s="7"/>
      <c r="B183" s="12"/>
      <c r="C183" s="33"/>
      <c r="D183" s="34" t="s">
        <v>713</v>
      </c>
      <c r="E183" s="20" t="s">
        <v>714</v>
      </c>
      <c r="F183" s="35" t="str">
        <f>"Level - "&amp;IFERROR(VLOOKUP(F174,FLN!$A$4:$K$103,9,0),"")</f>
        <v>Level - 3</v>
      </c>
      <c r="G183" s="36"/>
      <c r="H183" s="37" t="s">
        <v>715</v>
      </c>
      <c r="I183" s="20"/>
      <c r="J183" s="35" t="str">
        <f>"Level - "&amp;IFERROR(VLOOKUP(F174,FLN!$A$4:$K$103,11,0),"")</f>
        <v>Level - 3</v>
      </c>
      <c r="K183" s="36"/>
      <c r="L183" s="37" t="s">
        <v>408</v>
      </c>
      <c r="M183" s="20"/>
      <c r="N183" s="35" t="str">
        <f>"Level - "&amp;IFERROR(VLOOKUP(F174,FLN!$A$4:$K$103,10,0),"")</f>
        <v>Level - 2</v>
      </c>
      <c r="O183" s="36"/>
      <c r="P183" s="19"/>
      <c r="Q183" s="14"/>
      <c r="R183" s="11"/>
    </row>
    <row r="184" s="1" customFormat="1" ht="21.95" customHeight="1" spans="1:18">
      <c r="A184" s="7"/>
      <c r="B184" s="12"/>
      <c r="C184" s="33"/>
      <c r="D184" s="38"/>
      <c r="E184" s="20" t="s">
        <v>716</v>
      </c>
      <c r="F184" s="18" t="str">
        <f>IF(L198&gt;197,"PERFORMED WELL","")</f>
        <v/>
      </c>
      <c r="G184" s="18"/>
      <c r="H184" s="18"/>
      <c r="I184" s="18"/>
      <c r="J184" s="18"/>
      <c r="K184" s="18"/>
      <c r="L184" s="18"/>
      <c r="M184" s="18"/>
      <c r="N184" s="18"/>
      <c r="O184" s="18"/>
      <c r="P184" s="19"/>
      <c r="Q184" s="14"/>
      <c r="R184" s="11"/>
    </row>
    <row r="185" s="1" customFormat="1" ht="9.95" customHeight="1" spans="1:18">
      <c r="A185" s="7"/>
      <c r="B185" s="12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1"/>
      <c r="Q185" s="14"/>
      <c r="R185" s="11"/>
    </row>
    <row r="186" s="1" customFormat="1" ht="9.95" customHeight="1" spans="1:18">
      <c r="A186" s="7"/>
      <c r="B186" s="12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14"/>
      <c r="R186" s="11"/>
    </row>
    <row r="187" s="1" customFormat="1" ht="9.95" customHeight="1" spans="1:18">
      <c r="A187" s="7"/>
      <c r="B187" s="12"/>
      <c r="C187" s="30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2"/>
      <c r="Q187" s="14"/>
      <c r="R187" s="11"/>
    </row>
    <row r="188" s="1" customFormat="1" ht="21.95" customHeight="1" spans="1:18">
      <c r="A188" s="7"/>
      <c r="B188" s="12"/>
      <c r="C188" s="33"/>
      <c r="D188" s="35"/>
      <c r="E188" s="24"/>
      <c r="F188" s="24"/>
      <c r="G188" s="47" t="s">
        <v>717</v>
      </c>
      <c r="H188" s="47"/>
      <c r="I188" s="47"/>
      <c r="J188" s="47"/>
      <c r="K188" s="47"/>
      <c r="L188" s="47"/>
      <c r="M188" s="47"/>
      <c r="N188" s="47"/>
      <c r="O188" s="29"/>
      <c r="P188" s="19"/>
      <c r="Q188" s="14"/>
      <c r="R188" s="11"/>
    </row>
    <row r="189" s="1" customFormat="1" ht="21.95" customHeight="1" spans="1:18">
      <c r="A189" s="7"/>
      <c r="B189" s="12"/>
      <c r="C189" s="33"/>
      <c r="D189" s="47"/>
      <c r="E189" s="47"/>
      <c r="F189" s="47"/>
      <c r="G189" s="47" t="s">
        <v>541</v>
      </c>
      <c r="H189" s="47" t="s">
        <v>542</v>
      </c>
      <c r="I189" s="47" t="s">
        <v>543</v>
      </c>
      <c r="J189" s="47" t="s">
        <v>544</v>
      </c>
      <c r="K189" s="47" t="s">
        <v>561</v>
      </c>
      <c r="L189" s="47" t="s">
        <v>382</v>
      </c>
      <c r="M189" s="49" t="s">
        <v>546</v>
      </c>
      <c r="N189" s="49"/>
      <c r="O189" s="29"/>
      <c r="P189" s="19"/>
      <c r="Q189" s="14"/>
      <c r="R189" s="11"/>
    </row>
    <row r="190" s="1" customFormat="1" ht="21.95" customHeight="1" spans="1:18">
      <c r="A190" s="7"/>
      <c r="B190" s="12"/>
      <c r="C190" s="33"/>
      <c r="D190" s="207" t="s">
        <v>652</v>
      </c>
      <c r="E190" s="207"/>
      <c r="F190" s="207"/>
      <c r="G190" s="50">
        <v>10</v>
      </c>
      <c r="H190" s="50">
        <v>10</v>
      </c>
      <c r="I190" s="50">
        <v>10</v>
      </c>
      <c r="J190" s="50">
        <v>10</v>
      </c>
      <c r="K190" s="50">
        <v>60</v>
      </c>
      <c r="L190" s="50">
        <v>100</v>
      </c>
      <c r="M190" s="49"/>
      <c r="N190" s="49"/>
      <c r="O190" s="29"/>
      <c r="P190" s="19"/>
      <c r="Q190" s="14"/>
      <c r="R190" s="11"/>
    </row>
    <row r="191" s="1" customFormat="1" ht="21.95" customHeight="1" spans="1:18">
      <c r="A191" s="7"/>
      <c r="B191" s="12"/>
      <c r="C191" s="33"/>
      <c r="D191" s="117" t="s">
        <v>668</v>
      </c>
      <c r="E191" s="117"/>
      <c r="F191" s="117"/>
      <c r="G191" s="54">
        <f>IFERROR(VLOOKUP(F174,'1to4-2.1-RR'!$A$12:$BG$111,9,0),"")</f>
        <v>2</v>
      </c>
      <c r="H191" s="54">
        <f>IFERROR(VLOOKUP(F174,'1to4-2.1-RR'!$A$12:$BG$111,10,0),"")</f>
        <v>0</v>
      </c>
      <c r="I191" s="54">
        <f>IFERROR(VLOOKUP(F174,'1to4-2.1-RR'!$A$12:$BG$111,11,0),"")</f>
        <v>0</v>
      </c>
      <c r="J191" s="54">
        <f>IFERROR(VLOOKUP(F174,'1to4-2.1-RR'!$A$12:$BG$111,12,0),"")</f>
        <v>0</v>
      </c>
      <c r="K191" s="54">
        <f>IFERROR(VLOOKUP(F174,'1to4-2.1-RR'!$A$12:$BG$111,13,0),"")</f>
        <v>25</v>
      </c>
      <c r="L191" s="55">
        <f>SUM(G191:K191)</f>
        <v>27</v>
      </c>
      <c r="M191" s="56" t="str">
        <f>IF(F174&gt;ENTRY!$D$24,"",IF(L191=0,"Ab",IF(L191&gt;80,"A",IF(L191&gt;60,"B",IF(L191&gt;44,"C",IF(L191&gt;=33,"D",IF(L191&lt;=32,"E","")))))))</f>
        <v>E</v>
      </c>
      <c r="N191" s="56"/>
      <c r="O191" s="29"/>
      <c r="P191" s="19"/>
      <c r="Q191" s="14"/>
      <c r="R191" s="11"/>
    </row>
    <row r="192" s="1" customFormat="1" ht="21.95" customHeight="1" spans="1:18">
      <c r="A192" s="7"/>
      <c r="B192" s="12"/>
      <c r="C192" s="33"/>
      <c r="D192" s="117" t="s">
        <v>513</v>
      </c>
      <c r="E192" s="117"/>
      <c r="F192" s="117"/>
      <c r="G192" s="54">
        <f>IFERROR(VLOOKUP(F174,'1to4-2.1-RR'!$A$12:$BG$111,16,0),"")</f>
        <v>1</v>
      </c>
      <c r="H192" s="54">
        <f>IFERROR(VLOOKUP(F174,'1to4-2.1-RR'!$A$12:$BG$111,17,0),"")</f>
        <v>0</v>
      </c>
      <c r="I192" s="54">
        <f>IFERROR(VLOOKUP(F174,'1to4-2.1-RR'!$A$12:$BG$111,18,0),"")</f>
        <v>0</v>
      </c>
      <c r="J192" s="54">
        <f>IFERROR(VLOOKUP(F174,'1to4-2.1-RR'!$A$12:$BG$111,19,0),"")</f>
        <v>0</v>
      </c>
      <c r="K192" s="54">
        <f>IFERROR(VLOOKUP(F174,'1to4-2.1-RR'!$A$12:$BG$111,20,0),"")</f>
        <v>11</v>
      </c>
      <c r="L192" s="55">
        <f t="shared" ref="L192:L197" si="6">SUM(G192:K192)</f>
        <v>12</v>
      </c>
      <c r="M192" s="56" t="str">
        <f>IF(F174&gt;ENTRY!$D$24,"",IF(L192=0,"Ab",IF(L192&gt;80,"A",IF(L192&gt;60,"B",IF(L192&gt;44,"C",IF(L192&gt;=33,"D",IF(L192&lt;=32,"E","")))))))</f>
        <v>E</v>
      </c>
      <c r="N192" s="56"/>
      <c r="O192" s="29"/>
      <c r="P192" s="19"/>
      <c r="Q192" s="14"/>
      <c r="R192" s="11"/>
    </row>
    <row r="193" s="1" customFormat="1" ht="21.95" customHeight="1" spans="1:19">
      <c r="A193" s="7"/>
      <c r="B193" s="12"/>
      <c r="C193" s="33"/>
      <c r="D193" s="117" t="s">
        <v>718</v>
      </c>
      <c r="E193" s="117"/>
      <c r="F193" s="117"/>
      <c r="G193" s="54">
        <f>IFERROR(VLOOKUP(F174,'1to4-2.1-RR'!$A$12:$BG$111,23,0),"")</f>
        <v>2</v>
      </c>
      <c r="H193" s="54">
        <f>IFERROR(VLOOKUP(F174,'1to4-2.1-RR'!$A$12:$BG$111,24,0),"")</f>
        <v>0</v>
      </c>
      <c r="I193" s="54">
        <f>IFERROR(VLOOKUP(F174,'1to4-2.1-RR'!$A$12:$BG$111,25,0),"")</f>
        <v>0</v>
      </c>
      <c r="J193" s="54">
        <f>IFERROR(VLOOKUP(F174,'1to4-2.1-RR'!$A$12:$BG$111,26,0),"")</f>
        <v>0</v>
      </c>
      <c r="K193" s="54">
        <f>IFERROR(VLOOKUP(F174,'1to4-2.1-RR'!$A$12:$BG$111,27,0),"")</f>
        <v>15</v>
      </c>
      <c r="L193" s="55">
        <f t="shared" si="6"/>
        <v>17</v>
      </c>
      <c r="M193" s="56" t="str">
        <f>IF(F174&gt;ENTRY!$D$24,"",IF(L193=0,"Ab",IF(L193&gt;80,"A",IF(L193&gt;60,"B",IF(L193&gt;44,"C",IF(L193&gt;=33,"D",IF(L193&lt;=32,"E","")))))))</f>
        <v>E</v>
      </c>
      <c r="N193" s="56"/>
      <c r="O193" s="29"/>
      <c r="P193" s="19"/>
      <c r="Q193" s="14"/>
      <c r="R193" s="11"/>
    </row>
    <row r="194" s="1" customFormat="1" ht="21.95" customHeight="1" spans="1:19">
      <c r="A194" s="7"/>
      <c r="B194" s="12"/>
      <c r="C194" s="33"/>
      <c r="D194" s="117" t="s">
        <v>719</v>
      </c>
      <c r="E194" s="117"/>
      <c r="F194" s="117"/>
      <c r="G194" s="54">
        <f>IFERROR(VLOOKUP(F174,'1to4-2.1-RR'!$A$12:$BG$111,30,0),"")</f>
        <v>2</v>
      </c>
      <c r="H194" s="54">
        <f>IFERROR(VLOOKUP(F174,'1to4-2.1-RR'!$A$12:$BG$111,31,0),"")</f>
        <v>0</v>
      </c>
      <c r="I194" s="54">
        <f>IFERROR(VLOOKUP(F174,'1to4-2.1-RR'!$A$12:$BG$111,32,0),"")</f>
        <v>0</v>
      </c>
      <c r="J194" s="54">
        <f>IFERROR(VLOOKUP(F174,'1to4-2.1-RR'!$A$12:$BG$111,33,0),"")</f>
        <v>0</v>
      </c>
      <c r="K194" s="54">
        <f>IFERROR(VLOOKUP(F174,'1to4-2.1-RR'!$A$12:$BG$111,34,0),"")</f>
        <v>15</v>
      </c>
      <c r="L194" s="55">
        <f t="shared" si="6"/>
        <v>17</v>
      </c>
      <c r="M194" s="56" t="str">
        <f>IF(F174&gt;ENTRY!$D$24,"",IF(L194=0,"Ab",IF(L194&gt;80,"A",IF(L194&gt;60,"B",IF(L194&gt;44,"C",IF(L194&gt;=33,"D",IF(L194&lt;=32,"E","")))))))</f>
        <v>E</v>
      </c>
      <c r="N194" s="56"/>
      <c r="O194" s="29"/>
      <c r="P194" s="19"/>
      <c r="Q194" s="14"/>
      <c r="R194" s="11"/>
    </row>
    <row r="195" s="1" customFormat="1" ht="21.95" customHeight="1" spans="1:19">
      <c r="A195" s="7"/>
      <c r="B195" s="12"/>
      <c r="C195" s="33"/>
      <c r="D195" s="117" t="s">
        <v>548</v>
      </c>
      <c r="E195" s="117"/>
      <c r="F195" s="117"/>
      <c r="G195" s="54">
        <f>IFERROR(VLOOKUP(F174,'1to4-2.1-RR'!$A$12:$BG$111,37,0),"")</f>
        <v>0</v>
      </c>
      <c r="H195" s="54">
        <f>IFERROR(VLOOKUP(F174,'1to4-2.1-RR'!$A$12:$BG$111,38,0),"")</f>
        <v>0</v>
      </c>
      <c r="I195" s="54">
        <f>IFERROR(VLOOKUP(F174,'1to4-2.1-RR'!$A$12:$BG$111,39,0),"")</f>
        <v>0</v>
      </c>
      <c r="J195" s="54">
        <f>IFERROR(VLOOKUP(F174,'1to4-2.1-RR'!$A$12:$BG$111,40,0),"")</f>
        <v>0</v>
      </c>
      <c r="K195" s="54">
        <f>IFERROR(VLOOKUP(F174,'1to4-2.1-RR'!$A$12:$BG$111,41,0),"")</f>
        <v>11</v>
      </c>
      <c r="L195" s="55">
        <f t="shared" si="6"/>
        <v>11</v>
      </c>
      <c r="M195" s="56" t="str">
        <f>IF(F174&gt;ENTRY!$D$24,"",IF(L195=0,"Ab",IF(L195&gt;80,"A",IF(L195&gt;60,"B",IF(L195&gt;44,"C",IF(L195&gt;=33,"D",IF(L195&lt;=32,"E","")))))))</f>
        <v>E</v>
      </c>
      <c r="N195" s="56"/>
      <c r="O195" s="29"/>
      <c r="P195" s="19"/>
      <c r="Q195" s="14"/>
      <c r="R195" s="11"/>
    </row>
    <row r="196" s="1" customFormat="1" ht="21.95" customHeight="1" spans="1:19">
      <c r="A196" s="7"/>
      <c r="B196" s="12"/>
      <c r="C196" s="33"/>
      <c r="D196" s="117" t="s">
        <v>549</v>
      </c>
      <c r="E196" s="117"/>
      <c r="F196" s="117"/>
      <c r="G196" s="54">
        <f>IFERROR(VLOOKUP(F174,'1to4-2.1-RR'!$A$12:$BG$111,44,0),"")</f>
        <v>1</v>
      </c>
      <c r="H196" s="54">
        <f>IFERROR(VLOOKUP(F174,'1to4-2.1-RR'!$A$12:$BG$111,45,0),"")</f>
        <v>0</v>
      </c>
      <c r="I196" s="54">
        <f>IFERROR(VLOOKUP(F174,'1to4-2.1-RR'!$A$12:$BG$111,46,0),"")</f>
        <v>0</v>
      </c>
      <c r="J196" s="54">
        <f>IFERROR(VLOOKUP(F174,'1to4-2.1-RR'!$A$12:$BG$111,47,0),"")</f>
        <v>0</v>
      </c>
      <c r="K196" s="54">
        <f>IFERROR(VLOOKUP(F174,'1to4-2.1-RR'!$A$12:$BG$111,48,0),"")</f>
        <v>25</v>
      </c>
      <c r="L196" s="55">
        <f t="shared" si="6"/>
        <v>26</v>
      </c>
      <c r="M196" s="56" t="str">
        <f>IF(F174&gt;ENTRY!$D$24,"",IF(L196=0,"Ab",IF(L196&gt;80,"A",IF(L196&gt;60,"B",IF(L196&gt;44,"C",IF(L196&gt;=33,"D",IF(L196&lt;=32,"E","")))))))</f>
        <v>E</v>
      </c>
      <c r="N196" s="56"/>
      <c r="O196" s="29"/>
      <c r="P196" s="19"/>
      <c r="Q196" s="14"/>
      <c r="R196" s="11"/>
    </row>
    <row r="197" s="1" customFormat="1" ht="21.95" customHeight="1" spans="1:19">
      <c r="A197" s="7"/>
      <c r="B197" s="12"/>
      <c r="C197" s="33"/>
      <c r="D197" s="117" t="s">
        <v>720</v>
      </c>
      <c r="E197" s="117"/>
      <c r="F197" s="117"/>
      <c r="G197" s="54"/>
      <c r="H197" s="54"/>
      <c r="I197" s="54"/>
      <c r="J197" s="54"/>
      <c r="K197" s="54"/>
      <c r="L197" s="55">
        <f t="shared" si="6"/>
        <v>0</v>
      </c>
      <c r="M197" s="56" t="str">
        <f>IF(F174&gt;ENTRY!$D$24,"",IF(L197=0,"",IF(L197&gt;79,"A",IF(L197&gt;59,"B",IF(L197&gt;44,"C",IF(L197&gt;=33,"D",IF(L197&lt;=32,"E","")))))))</f>
        <v/>
      </c>
      <c r="N197" s="56"/>
      <c r="O197" s="29"/>
      <c r="P197" s="19"/>
      <c r="Q197" s="14"/>
      <c r="R197" s="11"/>
    </row>
    <row r="198" s="1" customFormat="1" ht="21.95" customHeight="1" spans="1:19">
      <c r="A198" s="7"/>
      <c r="B198" s="12"/>
      <c r="C198" s="33"/>
      <c r="D198" s="207" t="s">
        <v>382</v>
      </c>
      <c r="E198" s="207"/>
      <c r="F198" s="207"/>
      <c r="G198" s="54">
        <f t="shared" ref="G198:L198" si="7">IFERROR(SUM(G191:G197),"")</f>
        <v>8</v>
      </c>
      <c r="H198" s="54">
        <f t="shared" si="7"/>
        <v>0</v>
      </c>
      <c r="I198" s="54">
        <f t="shared" si="7"/>
        <v>0</v>
      </c>
      <c r="J198" s="54">
        <f t="shared" si="7"/>
        <v>0</v>
      </c>
      <c r="K198" s="54">
        <f t="shared" si="7"/>
        <v>102</v>
      </c>
      <c r="L198" s="55">
        <f t="shared" si="7"/>
        <v>110</v>
      </c>
      <c r="M198" s="61" t="str">
        <f>IF(F174&gt;ENTRY!$D$24,"",IF(N199="Ab","Ab",IF(N199&gt;79.5,"A",IF(N199&gt;59.5,"B",IF(N199&gt;44.5,"C",IF(N199&gt;=33,"D",IF(N199&lt;33,"E","")))))))</f>
        <v>E</v>
      </c>
      <c r="N198" s="61"/>
      <c r="O198" s="29"/>
      <c r="P198" s="19"/>
      <c r="Q198" s="14"/>
      <c r="R198" s="11"/>
    </row>
    <row r="199" s="1" customFormat="1" ht="21.95" customHeight="1" spans="1:19">
      <c r="A199" s="7"/>
      <c r="B199" s="12"/>
      <c r="C199" s="33"/>
      <c r="D199" s="63" t="s">
        <v>721</v>
      </c>
      <c r="E199" s="63"/>
      <c r="F199" s="63"/>
      <c r="G199" s="63"/>
      <c r="H199" s="63"/>
      <c r="I199" s="63"/>
      <c r="J199" s="63"/>
      <c r="K199" s="63"/>
      <c r="L199" s="63"/>
      <c r="M199" s="209"/>
      <c r="N199" s="64">
        <f>IF(L198="Ab","Ab",L198/6)</f>
        <v>18.3333333333333</v>
      </c>
      <c r="O199" s="65"/>
      <c r="P199" s="19"/>
      <c r="Q199" s="14"/>
      <c r="R199" s="11"/>
    </row>
    <row r="200" s="1" customFormat="1" ht="21.95" customHeight="1" spans="1:19">
      <c r="A200" s="7"/>
      <c r="B200" s="12"/>
      <c r="C200" s="33"/>
      <c r="D200" s="29" t="s">
        <v>716</v>
      </c>
      <c r="E200" s="18" t="str">
        <f>IFERROR(VLOOKUP(F174,'1to4-2.1-RR'!$A$12:$BG$111,57,0),"")</f>
        <v>PROMOTED</v>
      </c>
      <c r="F200" s="18"/>
      <c r="G200" s="18"/>
      <c r="H200" s="18"/>
      <c r="I200" s="18"/>
      <c r="J200" s="18"/>
      <c r="K200" s="18"/>
      <c r="L200" s="18"/>
      <c r="M200" s="18"/>
      <c r="N200" s="29"/>
      <c r="O200" s="29"/>
      <c r="P200" s="19"/>
      <c r="Q200" s="14"/>
      <c r="R200" s="11"/>
    </row>
    <row r="201" s="1" customFormat="1" ht="9.95" customHeight="1" spans="1:19">
      <c r="A201" s="7"/>
      <c r="B201" s="12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1"/>
      <c r="Q201" s="14"/>
      <c r="R201" s="11"/>
    </row>
    <row r="202" s="1" customFormat="1" ht="9.95" customHeight="1" spans="1:19">
      <c r="A202" s="7"/>
      <c r="B202" s="12"/>
      <c r="C202" s="30"/>
      <c r="D202" s="31"/>
      <c r="E202" s="31"/>
      <c r="F202" s="29"/>
      <c r="G202" s="31"/>
      <c r="H202" s="31"/>
      <c r="I202" s="31"/>
      <c r="J202" s="31"/>
      <c r="K202" s="31"/>
      <c r="L202" s="31"/>
      <c r="M202" s="31"/>
      <c r="N202" s="31"/>
      <c r="O202" s="31"/>
      <c r="P202" s="32"/>
      <c r="Q202" s="14"/>
      <c r="R202" s="11"/>
    </row>
    <row r="203" s="1" customFormat="1" ht="9.95" customHeight="1" spans="1:19">
      <c r="A203" s="7"/>
      <c r="B203" s="12"/>
      <c r="C203" s="33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19"/>
      <c r="Q203" s="14"/>
      <c r="R203" s="11"/>
    </row>
    <row r="204" s="1" customFormat="1" ht="9.95" customHeight="1" spans="1:19">
      <c r="A204" s="7"/>
      <c r="B204" s="12"/>
      <c r="C204" s="33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19"/>
      <c r="Q204" s="14"/>
      <c r="R204" s="11"/>
    </row>
    <row r="205" s="1" customFormat="1" ht="21.95" customHeight="1" spans="1:19">
      <c r="A205" s="7"/>
      <c r="B205" s="12"/>
      <c r="C205" s="210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2"/>
      <c r="Q205" s="14"/>
      <c r="R205" s="11"/>
      <c r="S205" s="2"/>
    </row>
    <row r="206" s="1" customFormat="1" ht="21.95" customHeight="1" spans="1:19">
      <c r="A206" s="7"/>
      <c r="B206" s="12"/>
      <c r="C206" s="33"/>
      <c r="D206" s="207" t="s">
        <v>722</v>
      </c>
      <c r="E206" s="207"/>
      <c r="F206" s="207"/>
      <c r="G206" s="207"/>
      <c r="H206" s="54">
        <f>IFERROR(VLOOKUP(F174,PASHEET!$A$4:$CJ$103,88,0),"")</f>
        <v>417</v>
      </c>
      <c r="I206" s="54"/>
      <c r="J206" s="29"/>
      <c r="K206" s="29"/>
      <c r="L206" s="29"/>
      <c r="M206" s="29"/>
      <c r="N206" s="29"/>
      <c r="O206" s="29"/>
      <c r="P206" s="19"/>
      <c r="Q206" s="14"/>
      <c r="R206" s="11"/>
    </row>
    <row r="207" s="1" customFormat="1" ht="21.95" customHeight="1" spans="1:19">
      <c r="A207" s="7"/>
      <c r="B207" s="12"/>
      <c r="C207" s="213"/>
      <c r="D207" s="207" t="s">
        <v>723</v>
      </c>
      <c r="E207" s="207"/>
      <c r="F207" s="207"/>
      <c r="G207" s="207"/>
      <c r="H207" s="54">
        <f>IFERROR(VLOOKUP(F174,PASHEET!$A$4:$CJ$103,87,0),"")</f>
        <v>220</v>
      </c>
      <c r="I207" s="54"/>
      <c r="J207" s="214"/>
      <c r="K207" s="214"/>
      <c r="L207" s="207" t="s">
        <v>724</v>
      </c>
      <c r="M207" s="207"/>
      <c r="N207" s="117" t="str">
        <f>IF(F174&gt;ENTRY!$D$24,"",IF(F174&gt;0,L198&amp;" / "&amp;600,""))</f>
        <v>110 / 600</v>
      </c>
      <c r="O207" s="117"/>
      <c r="P207" s="215"/>
      <c r="Q207" s="14"/>
      <c r="R207" s="11"/>
    </row>
    <row r="208" s="1" customFormat="1" ht="18" customHeight="1" spans="1:19">
      <c r="A208" s="7"/>
      <c r="B208" s="12"/>
      <c r="C208" s="33"/>
      <c r="D208" s="207" t="s">
        <v>725</v>
      </c>
      <c r="E208" s="207"/>
      <c r="F208" s="207"/>
      <c r="G208" s="207"/>
      <c r="H208" s="69">
        <f>IFERROR(IF(F174&gt;0,H207/H206*100),"")</f>
        <v>52.757793764988</v>
      </c>
      <c r="I208" s="69"/>
      <c r="J208" s="29"/>
      <c r="K208" s="29"/>
      <c r="L208" s="207" t="s">
        <v>726</v>
      </c>
      <c r="M208" s="207"/>
      <c r="N208" s="216">
        <f>IF(F174&gt;ENTRY!$D$24,"",IF(F174&gt;0,L198/600*100,""))</f>
        <v>18.3333333333333</v>
      </c>
      <c r="O208" s="216"/>
      <c r="P208" s="19"/>
      <c r="Q208" s="14"/>
      <c r="R208" s="11"/>
    </row>
    <row r="209" s="1" customFormat="1" ht="21.95" customHeight="1" spans="1:18">
      <c r="A209" s="7"/>
      <c r="B209" s="12"/>
      <c r="C209" s="33"/>
      <c r="D209" s="80"/>
      <c r="E209" s="80"/>
      <c r="F209" s="217"/>
      <c r="G209" s="217"/>
      <c r="H209" s="217"/>
      <c r="I209" s="217"/>
      <c r="J209" s="217"/>
      <c r="K209" s="217"/>
      <c r="L209" s="217"/>
      <c r="M209" s="217"/>
      <c r="N209" s="80"/>
      <c r="O209" s="80"/>
      <c r="P209" s="19"/>
      <c r="Q209" s="14"/>
      <c r="R209" s="11"/>
    </row>
    <row r="210" s="1" customFormat="1" ht="21.95" customHeight="1" spans="1:18">
      <c r="A210" s="7"/>
      <c r="B210" s="12"/>
      <c r="C210" s="33"/>
      <c r="D210" s="80"/>
      <c r="E210" s="218"/>
      <c r="F210" s="218"/>
      <c r="G210" s="218"/>
      <c r="H210" s="80"/>
      <c r="I210" s="218"/>
      <c r="J210" s="218"/>
      <c r="K210" s="218"/>
      <c r="L210" s="218"/>
      <c r="M210" s="80"/>
      <c r="N210" s="219"/>
      <c r="O210" s="219"/>
      <c r="P210" s="19"/>
      <c r="Q210" s="14"/>
      <c r="R210" s="11"/>
    </row>
    <row r="211" s="1" customFormat="1" ht="21.95" customHeight="1" spans="1:18">
      <c r="A211" s="7"/>
      <c r="B211" s="12"/>
      <c r="C211" s="33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19"/>
      <c r="Q211" s="14"/>
      <c r="R211" s="11"/>
    </row>
    <row r="212" s="1" customFormat="1" ht="21.95" customHeight="1" spans="1:18">
      <c r="A212" s="7"/>
      <c r="B212" s="12"/>
      <c r="C212" s="33"/>
      <c r="D212" s="218"/>
      <c r="E212" s="218"/>
      <c r="F212" s="218"/>
      <c r="G212" s="218"/>
      <c r="H212" s="218"/>
      <c r="I212" s="218"/>
      <c r="J212" s="218"/>
      <c r="K212" s="218"/>
      <c r="L212" s="218"/>
      <c r="M212" s="80"/>
      <c r="N212" s="217"/>
      <c r="O212" s="217"/>
      <c r="P212" s="85" t="s">
        <v>727</v>
      </c>
      <c r="Q212" s="14"/>
      <c r="R212" s="11"/>
    </row>
    <row r="213" s="1" customFormat="1" ht="21.95" customHeight="1" spans="1:18">
      <c r="A213" s="7"/>
      <c r="B213" s="12"/>
      <c r="C213" s="33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19"/>
      <c r="Q213" s="14"/>
      <c r="R213" s="11"/>
    </row>
    <row r="214" s="1" customFormat="1" ht="21.95" customHeight="1" spans="1:18">
      <c r="A214" s="7"/>
      <c r="B214" s="12"/>
      <c r="C214" s="33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19"/>
      <c r="Q214" s="14"/>
      <c r="R214" s="11"/>
    </row>
    <row r="215" s="1" customFormat="1" ht="21.95" customHeight="1" spans="1:18">
      <c r="A215" s="7"/>
      <c r="B215" s="12"/>
      <c r="C215" s="33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19"/>
      <c r="Q215" s="14"/>
      <c r="R215" s="11"/>
    </row>
    <row r="216" s="1" customFormat="1" ht="21.95" customHeight="1" spans="1:18">
      <c r="A216" s="7"/>
      <c r="B216" s="12"/>
      <c r="C216" s="33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19"/>
      <c r="Q216" s="14"/>
      <c r="R216" s="11"/>
    </row>
    <row r="217" s="1" customFormat="1" ht="21.95" customHeight="1" spans="1:18">
      <c r="A217" s="7"/>
      <c r="B217" s="12"/>
      <c r="C217" s="33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19"/>
      <c r="Q217" s="14"/>
      <c r="R217" s="11"/>
    </row>
    <row r="218" s="1" customFormat="1" ht="21.95" customHeight="1" spans="1:18">
      <c r="A218" s="7"/>
      <c r="B218" s="12"/>
      <c r="C218" s="33"/>
      <c r="D218" s="80" t="s">
        <v>728</v>
      </c>
      <c r="E218" s="220">
        <f>ENTRY!$D$27</f>
        <v>46102</v>
      </c>
      <c r="F218" s="220"/>
      <c r="G218" s="29"/>
      <c r="H218" s="29"/>
      <c r="I218" s="221" t="s">
        <v>729</v>
      </c>
      <c r="J218" s="153"/>
      <c r="K218" s="29"/>
      <c r="L218" s="29"/>
      <c r="M218" s="87" t="s">
        <v>730</v>
      </c>
      <c r="N218" s="87"/>
      <c r="O218" s="87"/>
      <c r="P218" s="19"/>
      <c r="Q218" s="14"/>
      <c r="R218" s="11"/>
    </row>
    <row r="219" s="1" customFormat="1" ht="21.95" customHeight="1" spans="1:18">
      <c r="A219" s="7"/>
      <c r="B219" s="12"/>
      <c r="C219" s="33"/>
      <c r="D219" s="80" t="s">
        <v>731</v>
      </c>
      <c r="E219" s="88" t="str">
        <f>PROPER(ENTRY!$D$28)</f>
        <v>New Delhi</v>
      </c>
      <c r="F219" s="88"/>
      <c r="G219" s="29"/>
      <c r="H219" s="29"/>
      <c r="I219" s="153"/>
      <c r="J219" s="153"/>
      <c r="K219" s="29"/>
      <c r="L219" s="29"/>
      <c r="M219" s="79" t="s">
        <v>732</v>
      </c>
      <c r="N219" s="79"/>
      <c r="O219" s="79"/>
      <c r="P219" s="19"/>
      <c r="Q219" s="14"/>
      <c r="R219" s="11"/>
    </row>
    <row r="220" s="1" customFormat="1" ht="21.95" customHeight="1" spans="1:18">
      <c r="A220" s="7"/>
      <c r="B220" s="12"/>
      <c r="C220" s="90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2"/>
      <c r="Q220" s="14"/>
      <c r="R220" s="11"/>
    </row>
    <row r="221" s="1" customFormat="1" ht="5.1" customHeight="1" spans="1:18">
      <c r="A221" s="7"/>
      <c r="B221" s="90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2"/>
      <c r="R221" s="11"/>
    </row>
    <row r="222" s="1" customFormat="1" ht="5.1" customHeight="1" spans="1:18">
      <c r="A222" s="93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5"/>
    </row>
    <row r="223" s="1" customFormat="1" ht="21.95" customHeight="1"/>
    <row r="224" ht="15.15"/>
    <row r="225" s="1" customFormat="1" ht="5.1" customHeight="1" spans="1:18">
      <c r="A225" s="4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6"/>
    </row>
    <row r="226" s="1" customFormat="1" ht="15" customHeight="1" spans="1:18">
      <c r="A226" s="7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0"/>
      <c r="R226" s="11"/>
    </row>
    <row r="227" s="1" customFormat="1" ht="21.95" customHeight="1" spans="1:18">
      <c r="A227" s="7"/>
      <c r="B227" s="12"/>
      <c r="C227" s="13" t="s">
        <v>7</v>
      </c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4"/>
      <c r="R227" s="11"/>
    </row>
    <row r="228" s="1" customFormat="1" ht="21.95" customHeight="1" spans="1:18">
      <c r="A228" s="7"/>
      <c r="B228" s="1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14"/>
      <c r="R228" s="11"/>
    </row>
    <row r="229" s="1" customFormat="1" ht="21.95" customHeight="1" spans="1:18">
      <c r="A229" s="7"/>
      <c r="B229" s="12"/>
      <c r="C229" s="15" t="str">
        <f>"SESSION-"&amp;ENTRY!$D$11</f>
        <v>SESSION-2026-27</v>
      </c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4"/>
      <c r="R229" s="11"/>
    </row>
    <row r="230" s="1" customFormat="1" ht="21.95" customHeight="1" spans="1:18">
      <c r="A230" s="7"/>
      <c r="B230" s="12"/>
      <c r="C230" s="2"/>
      <c r="D230" s="2"/>
      <c r="E230" s="2"/>
      <c r="F230" s="16">
        <f>F174+1</f>
        <v>5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14"/>
      <c r="R230" s="11"/>
    </row>
    <row r="231" s="1" customFormat="1" ht="21.95" customHeight="1" spans="1:18">
      <c r="A231" s="7"/>
      <c r="B231" s="12"/>
      <c r="C231" s="17" t="s">
        <v>392</v>
      </c>
      <c r="D231" s="17"/>
      <c r="E231" s="17"/>
      <c r="F231" s="18" t="str">
        <f>IF(F230&gt;0,ENTRY!$D$6,"")</f>
        <v>MCP NITHARI NO 1 BOYS</v>
      </c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4"/>
      <c r="R231" s="11"/>
    </row>
    <row r="232" s="1" customFormat="1" ht="21.95" customHeight="1" spans="1:18">
      <c r="A232" s="7"/>
      <c r="B232" s="12"/>
      <c r="C232" s="17" t="s">
        <v>393</v>
      </c>
      <c r="D232" s="17"/>
      <c r="E232" s="17"/>
      <c r="F232" s="18">
        <f>IF(F230&gt;0,ENTRY!$D$7,"")</f>
        <v>0</v>
      </c>
      <c r="G232" s="18"/>
      <c r="H232" s="20" t="s">
        <v>702</v>
      </c>
      <c r="I232" s="20"/>
      <c r="J232" s="21">
        <f>IF(F230&gt;0,ENTRY!$D$10,"")</f>
        <v>40</v>
      </c>
      <c r="K232" s="20" t="s">
        <v>703</v>
      </c>
      <c r="L232" s="22" t="str">
        <f>IF(F230&gt;0,ENTRY!$D$5,"")</f>
        <v>ROHINI ZONE</v>
      </c>
      <c r="M232" s="22"/>
      <c r="N232" s="22"/>
      <c r="O232" s="22"/>
      <c r="P232" s="22"/>
      <c r="Q232" s="14"/>
      <c r="R232" s="11"/>
    </row>
    <row r="233" s="1" customFormat="1" ht="21.95" customHeight="1" spans="1:18">
      <c r="A233" s="7"/>
      <c r="B233" s="12"/>
      <c r="C233" s="17" t="s">
        <v>706</v>
      </c>
      <c r="D233" s="17"/>
      <c r="E233" s="17"/>
      <c r="F233" s="23" t="str">
        <f>IFERROR(VLOOKUP(F230,STUDENT!$A$2:$BP$101,5,0),"")</f>
        <v>KIRSHNA</v>
      </c>
      <c r="G233" s="23"/>
      <c r="H233" s="23"/>
      <c r="I233" s="23"/>
      <c r="J233" s="23"/>
      <c r="K233" s="23"/>
      <c r="L233" s="20" t="s">
        <v>707</v>
      </c>
      <c r="M233" s="20"/>
      <c r="N233" s="24" t="str">
        <f>IF(F230&gt;0,ENTRY!$D$20&amp;"-"&amp;ENTRY!$D$21,"")</f>
        <v>III-A</v>
      </c>
      <c r="O233" s="24"/>
      <c r="P233" s="24"/>
      <c r="Q233" s="14"/>
      <c r="R233" s="11"/>
    </row>
    <row r="234" s="1" customFormat="1" ht="21.95" customHeight="1" spans="1:18">
      <c r="A234" s="7"/>
      <c r="B234" s="12"/>
      <c r="C234" s="17" t="s">
        <v>708</v>
      </c>
      <c r="D234" s="17"/>
      <c r="E234" s="17"/>
      <c r="F234" s="25">
        <f>IFERROR(VLOOKUP(F230,STUDENT!$A$2:$BP$101,6,0),"")</f>
        <v>14785</v>
      </c>
      <c r="G234" s="25"/>
      <c r="H234" s="26" t="s">
        <v>709</v>
      </c>
      <c r="I234" s="27" t="str">
        <f>IFERROR(VLOOKUP(F230,STUDENT!$A$2:$BP$101,59,0),"")</f>
        <v/>
      </c>
      <c r="J234" s="27"/>
      <c r="K234" s="20" t="s">
        <v>710</v>
      </c>
      <c r="L234" s="20"/>
      <c r="M234" s="28">
        <f>IFERROR(VLOOKUP(F230,STUDENT!$A$2:$BP$101,20,0),"")</f>
        <v>7065572520</v>
      </c>
      <c r="N234" s="28"/>
      <c r="O234" s="28"/>
      <c r="P234" s="28"/>
      <c r="Q234" s="14"/>
      <c r="R234" s="11"/>
    </row>
    <row r="235" s="1" customFormat="1" ht="21.95" customHeight="1" spans="1:18">
      <c r="A235" s="7"/>
      <c r="B235" s="12"/>
      <c r="C235" s="17" t="s">
        <v>711</v>
      </c>
      <c r="D235" s="17"/>
      <c r="E235" s="17"/>
      <c r="F235" s="23" t="str">
        <f>IFERROR(VLOOKUP(F230,STUDENT!$A$2:$BP$101,9,0),"")</f>
        <v>KHUSHBOO DEVI</v>
      </c>
      <c r="G235" s="23"/>
      <c r="H235" s="23"/>
      <c r="I235" s="23"/>
      <c r="J235" s="17" t="s">
        <v>620</v>
      </c>
      <c r="K235" s="17"/>
      <c r="L235" s="23" t="str">
        <f>IFERROR(VLOOKUP(F230,STUDENT!$A$2:$BP$101,8,0),"")</f>
        <v>VISHNU KASHYAP</v>
      </c>
      <c r="M235" s="23"/>
      <c r="N235" s="23"/>
      <c r="O235" s="23"/>
      <c r="P235" s="23"/>
      <c r="Q235" s="14"/>
      <c r="R235" s="11"/>
    </row>
    <row r="236" s="1" customFormat="1" ht="21.95" customHeight="1" spans="1:18">
      <c r="A236" s="7"/>
      <c r="B236" s="12"/>
      <c r="C236" s="17" t="s">
        <v>712</v>
      </c>
      <c r="D236" s="17"/>
      <c r="E236" s="17"/>
      <c r="F236" s="23" t="str">
        <f>IFERROR(VLOOKUP(F230,STUDENT!$A$2:$BP$101,22,0),"")</f>
        <v>PLOT NO 6, KH NO 36/17 MUBARAKPUR ROAD, A BLOCK , INDER ENCLAVE PHASE-2</v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14"/>
      <c r="R236" s="11"/>
    </row>
    <row r="237" s="1" customFormat="1" ht="9.95" customHeight="1" spans="1:18">
      <c r="A237" s="7"/>
      <c r="B237" s="12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14"/>
      <c r="R237" s="11"/>
    </row>
    <row r="238" s="1" customFormat="1" ht="9.95" customHeight="1" spans="1:18">
      <c r="A238" s="7"/>
      <c r="B238" s="12"/>
      <c r="C238" s="30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2"/>
      <c r="Q238" s="14"/>
      <c r="R238" s="11"/>
    </row>
    <row r="239" s="1" customFormat="1" ht="21.95" customHeight="1" spans="1:18">
      <c r="A239" s="7"/>
      <c r="B239" s="12"/>
      <c r="C239" s="33"/>
      <c r="D239" s="34" t="s">
        <v>713</v>
      </c>
      <c r="E239" s="20" t="s">
        <v>714</v>
      </c>
      <c r="F239" s="35" t="str">
        <f>"Level - "&amp;IFERROR(VLOOKUP(F230,FLN!$A$4:$K$103,9,0),"")</f>
        <v>Level - 2</v>
      </c>
      <c r="G239" s="36"/>
      <c r="H239" s="37" t="s">
        <v>715</v>
      </c>
      <c r="I239" s="20"/>
      <c r="J239" s="35" t="str">
        <f>"Level - "&amp;IFERROR(VLOOKUP(F230,FLN!$A$4:$K$103,11,0),"")</f>
        <v>Level - 3</v>
      </c>
      <c r="K239" s="36"/>
      <c r="L239" s="37" t="s">
        <v>408</v>
      </c>
      <c r="M239" s="20"/>
      <c r="N239" s="35" t="str">
        <f>"Level - "&amp;IFERROR(VLOOKUP(F230,FLN!$A$4:$K$103,10,0),"")</f>
        <v>Level - 2</v>
      </c>
      <c r="O239" s="36"/>
      <c r="P239" s="19"/>
      <c r="Q239" s="14"/>
      <c r="R239" s="11"/>
    </row>
    <row r="240" s="1" customFormat="1" ht="21.95" customHeight="1" spans="1:18">
      <c r="A240" s="7"/>
      <c r="B240" s="12"/>
      <c r="C240" s="33"/>
      <c r="D240" s="38"/>
      <c r="E240" s="20" t="s">
        <v>716</v>
      </c>
      <c r="F240" s="18" t="str">
        <f>IF(L254&gt;197,"PERFORMED WELL","")</f>
        <v/>
      </c>
      <c r="G240" s="18"/>
      <c r="H240" s="18"/>
      <c r="I240" s="18"/>
      <c r="J240" s="18"/>
      <c r="K240" s="18"/>
      <c r="L240" s="18"/>
      <c r="M240" s="18"/>
      <c r="N240" s="18"/>
      <c r="O240" s="18"/>
      <c r="P240" s="19"/>
      <c r="Q240" s="14"/>
      <c r="R240" s="11"/>
    </row>
    <row r="241" s="1" customFormat="1" ht="9.95" customHeight="1" spans="1:18">
      <c r="A241" s="7"/>
      <c r="B241" s="12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1"/>
      <c r="Q241" s="14"/>
      <c r="R241" s="11"/>
    </row>
    <row r="242" s="1" customFormat="1" ht="9.95" customHeight="1" spans="1:18">
      <c r="A242" s="7"/>
      <c r="B242" s="12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14"/>
      <c r="R242" s="11"/>
    </row>
    <row r="243" s="1" customFormat="1" ht="9.95" customHeight="1" spans="1:18">
      <c r="A243" s="7"/>
      <c r="B243" s="12"/>
      <c r="C243" s="30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2"/>
      <c r="Q243" s="14"/>
      <c r="R243" s="11"/>
    </row>
    <row r="244" s="1" customFormat="1" ht="21.95" customHeight="1" spans="1:18">
      <c r="A244" s="7"/>
      <c r="B244" s="12"/>
      <c r="C244" s="33"/>
      <c r="D244" s="35"/>
      <c r="E244" s="24"/>
      <c r="F244" s="24"/>
      <c r="G244" s="47" t="s">
        <v>717</v>
      </c>
      <c r="H244" s="47"/>
      <c r="I244" s="47"/>
      <c r="J244" s="47"/>
      <c r="K244" s="47"/>
      <c r="L244" s="47"/>
      <c r="M244" s="47"/>
      <c r="N244" s="47"/>
      <c r="O244" s="29"/>
      <c r="P244" s="19"/>
      <c r="Q244" s="14"/>
      <c r="R244" s="11"/>
    </row>
    <row r="245" s="1" customFormat="1" ht="21.95" customHeight="1" spans="1:18">
      <c r="A245" s="7"/>
      <c r="B245" s="12"/>
      <c r="C245" s="33"/>
      <c r="D245" s="47"/>
      <c r="E245" s="47"/>
      <c r="F245" s="47"/>
      <c r="G245" s="47" t="s">
        <v>541</v>
      </c>
      <c r="H245" s="47" t="s">
        <v>542</v>
      </c>
      <c r="I245" s="47" t="s">
        <v>543</v>
      </c>
      <c r="J245" s="47" t="s">
        <v>544</v>
      </c>
      <c r="K245" s="47" t="s">
        <v>561</v>
      </c>
      <c r="L245" s="47" t="s">
        <v>382</v>
      </c>
      <c r="M245" s="49" t="s">
        <v>546</v>
      </c>
      <c r="N245" s="49"/>
      <c r="O245" s="29"/>
      <c r="P245" s="19"/>
      <c r="Q245" s="14"/>
      <c r="R245" s="11"/>
    </row>
    <row r="246" s="1" customFormat="1" ht="21.95" customHeight="1" spans="1:18">
      <c r="A246" s="7"/>
      <c r="B246" s="12"/>
      <c r="C246" s="33"/>
      <c r="D246" s="207" t="s">
        <v>652</v>
      </c>
      <c r="E246" s="207"/>
      <c r="F246" s="207"/>
      <c r="G246" s="50">
        <v>10</v>
      </c>
      <c r="H246" s="50">
        <v>10</v>
      </c>
      <c r="I246" s="50">
        <v>10</v>
      </c>
      <c r="J246" s="50">
        <v>10</v>
      </c>
      <c r="K246" s="50">
        <v>60</v>
      </c>
      <c r="L246" s="50">
        <v>100</v>
      </c>
      <c r="M246" s="49"/>
      <c r="N246" s="49"/>
      <c r="O246" s="29"/>
      <c r="P246" s="19"/>
      <c r="Q246" s="14"/>
      <c r="R246" s="11"/>
    </row>
    <row r="247" s="1" customFormat="1" ht="21.95" customHeight="1" spans="1:18">
      <c r="A247" s="7"/>
      <c r="B247" s="12"/>
      <c r="C247" s="33"/>
      <c r="D247" s="117" t="s">
        <v>668</v>
      </c>
      <c r="E247" s="117"/>
      <c r="F247" s="117"/>
      <c r="G247" s="54">
        <f>IFERROR(VLOOKUP(F230,'1to4-2.1-RR'!$A$12:$BG$111,9,0),"")</f>
        <v>2</v>
      </c>
      <c r="H247" s="54">
        <f>IFERROR(VLOOKUP(F230,'1to4-2.1-RR'!$A$12:$BG$111,10,0),"")</f>
        <v>0</v>
      </c>
      <c r="I247" s="54">
        <f>IFERROR(VLOOKUP(F230,'1to4-2.1-RR'!$A$12:$BG$111,11,0),"")</f>
        <v>0</v>
      </c>
      <c r="J247" s="54">
        <f>IFERROR(VLOOKUP(F230,'1to4-2.1-RR'!$A$12:$BG$111,12,0),"")</f>
        <v>0</v>
      </c>
      <c r="K247" s="54">
        <f>IFERROR(VLOOKUP(F230,'1to4-2.1-RR'!$A$12:$BG$111,13,0),"")</f>
        <v>35</v>
      </c>
      <c r="L247" s="55">
        <f>SUM(G247:K247)</f>
        <v>37</v>
      </c>
      <c r="M247" s="56" t="str">
        <f>IF(F230&gt;ENTRY!$D$24,"",IF(L247=0,"Ab",IF(L247&gt;80,"A",IF(L247&gt;60,"B",IF(L247&gt;44,"C",IF(L247&gt;=33,"D",IF(L247&lt;=32,"E","")))))))</f>
        <v>D</v>
      </c>
      <c r="N247" s="56"/>
      <c r="O247" s="29"/>
      <c r="P247" s="19"/>
      <c r="Q247" s="14"/>
      <c r="R247" s="11"/>
    </row>
    <row r="248" s="1" customFormat="1" ht="21.95" customHeight="1" spans="1:18">
      <c r="A248" s="7"/>
      <c r="B248" s="12"/>
      <c r="C248" s="33"/>
      <c r="D248" s="117" t="s">
        <v>513</v>
      </c>
      <c r="E248" s="117"/>
      <c r="F248" s="117"/>
      <c r="G248" s="54">
        <f>IFERROR(VLOOKUP(F230,'1to4-2.1-RR'!$A$12:$BG$111,16,0),"")</f>
        <v>1</v>
      </c>
      <c r="H248" s="54">
        <f>IFERROR(VLOOKUP(F230,'1to4-2.1-RR'!$A$12:$BG$111,17,0),"")</f>
        <v>0</v>
      </c>
      <c r="I248" s="54">
        <f>IFERROR(VLOOKUP(F230,'1to4-2.1-RR'!$A$12:$BG$111,18,0),"")</f>
        <v>0</v>
      </c>
      <c r="J248" s="54">
        <f>IFERROR(VLOOKUP(F230,'1to4-2.1-RR'!$A$12:$BG$111,19,0),"")</f>
        <v>0</v>
      </c>
      <c r="K248" s="54">
        <f>IFERROR(VLOOKUP(F230,'1to4-2.1-RR'!$A$12:$BG$111,20,0),"")</f>
        <v>19</v>
      </c>
      <c r="L248" s="55">
        <f t="shared" ref="L248:L253" si="8">SUM(G248:K248)</f>
        <v>20</v>
      </c>
      <c r="M248" s="56" t="str">
        <f>IF(F230&gt;ENTRY!$D$24,"",IF(L248=0,"Ab",IF(L248&gt;80,"A",IF(L248&gt;60,"B",IF(L248&gt;44,"C",IF(L248&gt;=33,"D",IF(L248&lt;=32,"E","")))))))</f>
        <v>E</v>
      </c>
      <c r="N248" s="56"/>
      <c r="O248" s="29"/>
      <c r="P248" s="19"/>
      <c r="Q248" s="14"/>
      <c r="R248" s="11"/>
    </row>
    <row r="249" s="1" customFormat="1" ht="21.95" customHeight="1" spans="1:18">
      <c r="A249" s="7"/>
      <c r="B249" s="12"/>
      <c r="C249" s="33"/>
      <c r="D249" s="117" t="s">
        <v>718</v>
      </c>
      <c r="E249" s="117"/>
      <c r="F249" s="117"/>
      <c r="G249" s="54">
        <f>IFERROR(VLOOKUP(F230,'1to4-2.1-RR'!$A$12:$BG$111,23,0),"")</f>
        <v>1</v>
      </c>
      <c r="H249" s="54">
        <f>IFERROR(VLOOKUP(F230,'1to4-2.1-RR'!$A$12:$BG$111,24,0),"")</f>
        <v>0</v>
      </c>
      <c r="I249" s="54">
        <f>IFERROR(VLOOKUP(F230,'1to4-2.1-RR'!$A$12:$BG$111,25,0),"")</f>
        <v>0</v>
      </c>
      <c r="J249" s="54">
        <f>IFERROR(VLOOKUP(F230,'1to4-2.1-RR'!$A$12:$BG$111,26,0),"")</f>
        <v>0</v>
      </c>
      <c r="K249" s="54">
        <f>IFERROR(VLOOKUP(F230,'1to4-2.1-RR'!$A$12:$BG$111,27,0),"")</f>
        <v>20</v>
      </c>
      <c r="L249" s="55">
        <f t="shared" si="8"/>
        <v>21</v>
      </c>
      <c r="M249" s="56" t="str">
        <f>IF(F230&gt;ENTRY!$D$24,"",IF(L249=0,"Ab",IF(L249&gt;80,"A",IF(L249&gt;60,"B",IF(L249&gt;44,"C",IF(L249&gt;=33,"D",IF(L249&lt;=32,"E","")))))))</f>
        <v>E</v>
      </c>
      <c r="N249" s="56"/>
      <c r="O249" s="29"/>
      <c r="P249" s="19"/>
      <c r="Q249" s="14"/>
      <c r="R249" s="11"/>
    </row>
    <row r="250" s="1" customFormat="1" ht="21.95" customHeight="1" spans="1:18">
      <c r="A250" s="7"/>
      <c r="B250" s="12"/>
      <c r="C250" s="33"/>
      <c r="D250" s="117" t="s">
        <v>719</v>
      </c>
      <c r="E250" s="117"/>
      <c r="F250" s="117"/>
      <c r="G250" s="54">
        <f>IFERROR(VLOOKUP(F230,'1to4-2.1-RR'!$A$12:$BG$111,30,0),"")</f>
        <v>2</v>
      </c>
      <c r="H250" s="54">
        <f>IFERROR(VLOOKUP(F230,'1to4-2.1-RR'!$A$12:$BG$111,31,0),"")</f>
        <v>0</v>
      </c>
      <c r="I250" s="54">
        <f>IFERROR(VLOOKUP(F230,'1to4-2.1-RR'!$A$12:$BG$111,32,0),"")</f>
        <v>0</v>
      </c>
      <c r="J250" s="54">
        <f>IFERROR(VLOOKUP(F230,'1to4-2.1-RR'!$A$12:$BG$111,33,0),"")</f>
        <v>0</v>
      </c>
      <c r="K250" s="54">
        <f>IFERROR(VLOOKUP(F230,'1to4-2.1-RR'!$A$12:$BG$111,34,0),"")</f>
        <v>15</v>
      </c>
      <c r="L250" s="55">
        <f t="shared" si="8"/>
        <v>17</v>
      </c>
      <c r="M250" s="56" t="str">
        <f>IF(F230&gt;ENTRY!$D$24,"",IF(L250=0,"Ab",IF(L250&gt;80,"A",IF(L250&gt;60,"B",IF(L250&gt;44,"C",IF(L250&gt;=33,"D",IF(L250&lt;=32,"E","")))))))</f>
        <v>E</v>
      </c>
      <c r="N250" s="56"/>
      <c r="O250" s="29"/>
      <c r="P250" s="19"/>
      <c r="Q250" s="14"/>
      <c r="R250" s="11"/>
    </row>
    <row r="251" s="1" customFormat="1" ht="21.95" customHeight="1" spans="1:18">
      <c r="A251" s="7"/>
      <c r="B251" s="12"/>
      <c r="C251" s="33"/>
      <c r="D251" s="117" t="s">
        <v>548</v>
      </c>
      <c r="E251" s="117"/>
      <c r="F251" s="117"/>
      <c r="G251" s="54">
        <f>IFERROR(VLOOKUP(F230,'1to4-2.1-RR'!$A$12:$BG$111,37,0),"")</f>
        <v>0</v>
      </c>
      <c r="H251" s="54">
        <f>IFERROR(VLOOKUP(F230,'1to4-2.1-RR'!$A$12:$BG$111,38,0),"")</f>
        <v>0</v>
      </c>
      <c r="I251" s="54">
        <f>IFERROR(VLOOKUP(F230,'1to4-2.1-RR'!$A$12:$BG$111,39,0),"")</f>
        <v>0</v>
      </c>
      <c r="J251" s="54">
        <f>IFERROR(VLOOKUP(F230,'1to4-2.1-RR'!$A$12:$BG$111,40,0),"")</f>
        <v>0</v>
      </c>
      <c r="K251" s="54">
        <f>IFERROR(VLOOKUP(F230,'1to4-2.1-RR'!$A$12:$BG$111,41,0),"")</f>
        <v>18</v>
      </c>
      <c r="L251" s="55">
        <f t="shared" si="8"/>
        <v>18</v>
      </c>
      <c r="M251" s="56" t="str">
        <f>IF(F230&gt;ENTRY!$D$24,"",IF(L251=0,"Ab",IF(L251&gt;80,"A",IF(L251&gt;60,"B",IF(L251&gt;44,"C",IF(L251&gt;=33,"D",IF(L251&lt;=32,"E","")))))))</f>
        <v>E</v>
      </c>
      <c r="N251" s="56"/>
      <c r="O251" s="29"/>
      <c r="P251" s="19"/>
      <c r="Q251" s="14"/>
      <c r="R251" s="11"/>
    </row>
    <row r="252" s="1" customFormat="1" ht="21.95" customHeight="1" spans="1:18">
      <c r="A252" s="7"/>
      <c r="B252" s="12"/>
      <c r="C252" s="33"/>
      <c r="D252" s="117" t="s">
        <v>549</v>
      </c>
      <c r="E252" s="117"/>
      <c r="F252" s="117"/>
      <c r="G252" s="54">
        <f>IFERROR(VLOOKUP(F230,'1to4-2.1-RR'!$A$12:$BG$111,44,0),"")</f>
        <v>2</v>
      </c>
      <c r="H252" s="54">
        <f>IFERROR(VLOOKUP(F230,'1to4-2.1-RR'!$A$12:$BG$111,45,0),"")</f>
        <v>0</v>
      </c>
      <c r="I252" s="54">
        <f>IFERROR(VLOOKUP(F230,'1to4-2.1-RR'!$A$12:$BG$111,46,0),"")</f>
        <v>0</v>
      </c>
      <c r="J252" s="54">
        <f>IFERROR(VLOOKUP(F230,'1to4-2.1-RR'!$A$12:$BG$111,47,0),"")</f>
        <v>0</v>
      </c>
      <c r="K252" s="54">
        <f>IFERROR(VLOOKUP(F230,'1to4-2.1-RR'!$A$12:$BG$111,48,0),"")</f>
        <v>28</v>
      </c>
      <c r="L252" s="55">
        <f t="shared" si="8"/>
        <v>30</v>
      </c>
      <c r="M252" s="56" t="str">
        <f>IF(F230&gt;ENTRY!$D$24,"",IF(L252=0,"Ab",IF(L252&gt;80,"A",IF(L252&gt;60,"B",IF(L252&gt;44,"C",IF(L252&gt;=33,"D",IF(L252&lt;=32,"E","")))))))</f>
        <v>E</v>
      </c>
      <c r="N252" s="56"/>
      <c r="O252" s="29"/>
      <c r="P252" s="19"/>
      <c r="Q252" s="14"/>
      <c r="R252" s="11"/>
    </row>
    <row r="253" s="1" customFormat="1" ht="21.95" customHeight="1" spans="1:18">
      <c r="A253" s="7"/>
      <c r="B253" s="12"/>
      <c r="C253" s="33"/>
      <c r="D253" s="117" t="s">
        <v>720</v>
      </c>
      <c r="E253" s="117"/>
      <c r="F253" s="117"/>
      <c r="G253" s="54"/>
      <c r="H253" s="54"/>
      <c r="I253" s="54"/>
      <c r="J253" s="54"/>
      <c r="K253" s="54"/>
      <c r="L253" s="55">
        <f t="shared" si="8"/>
        <v>0</v>
      </c>
      <c r="M253" s="56" t="str">
        <f>IF(F230&gt;ENTRY!$D$24,"",IF(L253=0,"",IF(L253&gt;79,"A",IF(L253&gt;59,"B",IF(L253&gt;44,"C",IF(L253&gt;=33,"D",IF(L253&lt;=32,"E","")))))))</f>
        <v/>
      </c>
      <c r="N253" s="56"/>
      <c r="O253" s="29"/>
      <c r="P253" s="19"/>
      <c r="Q253" s="14"/>
      <c r="R253" s="11"/>
    </row>
    <row r="254" s="1" customFormat="1" ht="21.95" customHeight="1" spans="1:18">
      <c r="A254" s="7"/>
      <c r="B254" s="12"/>
      <c r="C254" s="33"/>
      <c r="D254" s="207" t="s">
        <v>382</v>
      </c>
      <c r="E254" s="207"/>
      <c r="F254" s="207"/>
      <c r="G254" s="54">
        <f t="shared" ref="G254:L254" si="9">IFERROR(SUM(G247:G253),"")</f>
        <v>8</v>
      </c>
      <c r="H254" s="54">
        <f t="shared" si="9"/>
        <v>0</v>
      </c>
      <c r="I254" s="54">
        <f t="shared" si="9"/>
        <v>0</v>
      </c>
      <c r="J254" s="54">
        <f t="shared" si="9"/>
        <v>0</v>
      </c>
      <c r="K254" s="54">
        <f t="shared" si="9"/>
        <v>135</v>
      </c>
      <c r="L254" s="55">
        <f t="shared" si="9"/>
        <v>143</v>
      </c>
      <c r="M254" s="61" t="str">
        <f>IF(F230&gt;ENTRY!$D$24,"",IF(N255="Ab","Ab",IF(N255&gt;79.5,"A",IF(N255&gt;59.5,"B",IF(N255&gt;44.5,"C",IF(N255&gt;=33,"D",IF(N255&lt;33,"E","")))))))</f>
        <v>E</v>
      </c>
      <c r="N254" s="61"/>
      <c r="O254" s="29"/>
      <c r="P254" s="19"/>
      <c r="Q254" s="14"/>
      <c r="R254" s="11"/>
    </row>
    <row r="255" s="1" customFormat="1" ht="21.95" customHeight="1" spans="1:18">
      <c r="A255" s="7"/>
      <c r="B255" s="12"/>
      <c r="C255" s="33"/>
      <c r="D255" s="63" t="s">
        <v>721</v>
      </c>
      <c r="E255" s="63"/>
      <c r="F255" s="63"/>
      <c r="G255" s="63"/>
      <c r="H255" s="63"/>
      <c r="I255" s="63"/>
      <c r="J255" s="63"/>
      <c r="K255" s="63"/>
      <c r="L255" s="63"/>
      <c r="M255" s="209"/>
      <c r="N255" s="64">
        <f>IF(L254="Ab","Ab",L254/6)</f>
        <v>23.8333333333333</v>
      </c>
      <c r="O255" s="65"/>
      <c r="P255" s="19"/>
      <c r="Q255" s="14"/>
      <c r="R255" s="11"/>
    </row>
    <row r="256" s="1" customFormat="1" ht="21.95" customHeight="1" spans="1:18">
      <c r="A256" s="7"/>
      <c r="B256" s="12"/>
      <c r="C256" s="33"/>
      <c r="D256" s="29" t="s">
        <v>716</v>
      </c>
      <c r="E256" s="18" t="str">
        <f>IFERROR(VLOOKUP(F230,'1to4-2.1-RR'!$A$12:$BG$111,57,0),"")</f>
        <v>PROMOTED</v>
      </c>
      <c r="F256" s="18"/>
      <c r="G256" s="18"/>
      <c r="H256" s="18"/>
      <c r="I256" s="18"/>
      <c r="J256" s="18"/>
      <c r="K256" s="18"/>
      <c r="L256" s="18"/>
      <c r="M256" s="18"/>
      <c r="N256" s="29"/>
      <c r="O256" s="29"/>
      <c r="P256" s="19"/>
      <c r="Q256" s="14"/>
      <c r="R256" s="11"/>
    </row>
    <row r="257" s="1" customFormat="1" ht="9.95" customHeight="1" spans="1:19">
      <c r="A257" s="7"/>
      <c r="B257" s="12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1"/>
      <c r="Q257" s="14"/>
      <c r="R257" s="11"/>
    </row>
    <row r="258" s="1" customFormat="1" ht="9.95" customHeight="1" spans="1:19">
      <c r="A258" s="7"/>
      <c r="B258" s="12"/>
      <c r="C258" s="30"/>
      <c r="D258" s="31"/>
      <c r="E258" s="31"/>
      <c r="F258" s="29"/>
      <c r="G258" s="31"/>
      <c r="H258" s="31"/>
      <c r="I258" s="31"/>
      <c r="J258" s="31"/>
      <c r="K258" s="31"/>
      <c r="L258" s="31"/>
      <c r="M258" s="31"/>
      <c r="N258" s="31"/>
      <c r="O258" s="31"/>
      <c r="P258" s="32"/>
      <c r="Q258" s="14"/>
      <c r="R258" s="11"/>
    </row>
    <row r="259" s="1" customFormat="1" ht="9.95" customHeight="1" spans="1:19">
      <c r="A259" s="7"/>
      <c r="B259" s="12"/>
      <c r="C259" s="33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19"/>
      <c r="Q259" s="14"/>
      <c r="R259" s="11"/>
    </row>
    <row r="260" s="1" customFormat="1" ht="9.95" customHeight="1" spans="1:19">
      <c r="A260" s="7"/>
      <c r="B260" s="12"/>
      <c r="C260" s="33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19"/>
      <c r="Q260" s="14"/>
      <c r="R260" s="11"/>
    </row>
    <row r="261" s="1" customFormat="1" ht="21.95" customHeight="1" spans="1:19">
      <c r="A261" s="7"/>
      <c r="B261" s="12"/>
      <c r="C261" s="210"/>
      <c r="D261" s="211"/>
      <c r="E261" s="211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2"/>
      <c r="Q261" s="14"/>
      <c r="R261" s="11"/>
      <c r="S261" s="2"/>
    </row>
    <row r="262" s="1" customFormat="1" ht="21.95" customHeight="1" spans="1:19">
      <c r="A262" s="7"/>
      <c r="B262" s="12"/>
      <c r="C262" s="33"/>
      <c r="D262" s="207" t="s">
        <v>722</v>
      </c>
      <c r="E262" s="207"/>
      <c r="F262" s="207"/>
      <c r="G262" s="207"/>
      <c r="H262" s="54">
        <f>IFERROR(VLOOKUP(F230,PASHEET!$A$4:$CJ$103,88,0),"")</f>
        <v>200</v>
      </c>
      <c r="I262" s="54"/>
      <c r="J262" s="29"/>
      <c r="K262" s="29"/>
      <c r="L262" s="29"/>
      <c r="M262" s="29"/>
      <c r="N262" s="29"/>
      <c r="O262" s="29"/>
      <c r="P262" s="19"/>
      <c r="Q262" s="14"/>
      <c r="R262" s="11"/>
    </row>
    <row r="263" s="1" customFormat="1" ht="21.95" customHeight="1" spans="1:19">
      <c r="A263" s="7"/>
      <c r="B263" s="12"/>
      <c r="C263" s="213"/>
      <c r="D263" s="207" t="s">
        <v>723</v>
      </c>
      <c r="E263" s="207"/>
      <c r="F263" s="207"/>
      <c r="G263" s="207"/>
      <c r="H263" s="54">
        <f>IFERROR(VLOOKUP(F230,PASHEET!$A$4:$CJ$103,87,0),"")</f>
        <v>140</v>
      </c>
      <c r="I263" s="54"/>
      <c r="J263" s="214"/>
      <c r="K263" s="214"/>
      <c r="L263" s="207" t="s">
        <v>724</v>
      </c>
      <c r="M263" s="207"/>
      <c r="N263" s="117" t="str">
        <f>IF(F230&gt;ENTRY!$D$24,"",IF(F230&gt;0,L254&amp;" / "&amp;600,""))</f>
        <v>143 / 600</v>
      </c>
      <c r="O263" s="117"/>
      <c r="P263" s="215"/>
      <c r="Q263" s="14"/>
      <c r="R263" s="11"/>
    </row>
    <row r="264" s="1" customFormat="1" ht="18" customHeight="1" spans="1:19">
      <c r="A264" s="7"/>
      <c r="B264" s="12"/>
      <c r="C264" s="33"/>
      <c r="D264" s="207" t="s">
        <v>725</v>
      </c>
      <c r="E264" s="207"/>
      <c r="F264" s="207"/>
      <c r="G264" s="207"/>
      <c r="H264" s="69">
        <f>IFERROR(IF(F230&gt;0,H263/H262*100),"")</f>
        <v>70</v>
      </c>
      <c r="I264" s="69"/>
      <c r="J264" s="29"/>
      <c r="K264" s="29"/>
      <c r="L264" s="207" t="s">
        <v>726</v>
      </c>
      <c r="M264" s="207"/>
      <c r="N264" s="216">
        <f>IF(F230&gt;ENTRY!$D$24,"",IF(F230&gt;0,L254/600*100,""))</f>
        <v>23.8333333333333</v>
      </c>
      <c r="O264" s="216"/>
      <c r="P264" s="19"/>
      <c r="Q264" s="14"/>
      <c r="R264" s="11"/>
    </row>
    <row r="265" s="1" customFormat="1" ht="21.95" customHeight="1" spans="1:19">
      <c r="A265" s="7"/>
      <c r="B265" s="12"/>
      <c r="C265" s="33"/>
      <c r="D265" s="80"/>
      <c r="E265" s="80"/>
      <c r="F265" s="217"/>
      <c r="G265" s="217"/>
      <c r="H265" s="217"/>
      <c r="I265" s="217"/>
      <c r="J265" s="217"/>
      <c r="K265" s="217"/>
      <c r="L265" s="217"/>
      <c r="M265" s="217"/>
      <c r="N265" s="80"/>
      <c r="O265" s="80"/>
      <c r="P265" s="19"/>
      <c r="Q265" s="14"/>
      <c r="R265" s="11"/>
    </row>
    <row r="266" s="1" customFormat="1" ht="21.95" customHeight="1" spans="1:19">
      <c r="A266" s="7"/>
      <c r="B266" s="12"/>
      <c r="C266" s="33"/>
      <c r="D266" s="80"/>
      <c r="E266" s="218"/>
      <c r="F266" s="218"/>
      <c r="G266" s="218"/>
      <c r="H266" s="80"/>
      <c r="I266" s="218"/>
      <c r="J266" s="218"/>
      <c r="K266" s="218"/>
      <c r="L266" s="218"/>
      <c r="M266" s="80"/>
      <c r="N266" s="219"/>
      <c r="O266" s="219"/>
      <c r="P266" s="19"/>
      <c r="Q266" s="14"/>
      <c r="R266" s="11"/>
    </row>
    <row r="267" s="1" customFormat="1" ht="21.95" customHeight="1" spans="1:19">
      <c r="A267" s="7"/>
      <c r="B267" s="12"/>
      <c r="C267" s="33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19"/>
      <c r="Q267" s="14"/>
      <c r="R267" s="11"/>
    </row>
    <row r="268" s="1" customFormat="1" ht="21.95" customHeight="1" spans="1:19">
      <c r="A268" s="7"/>
      <c r="B268" s="12"/>
      <c r="C268" s="33"/>
      <c r="D268" s="218"/>
      <c r="E268" s="218"/>
      <c r="F268" s="218"/>
      <c r="G268" s="218"/>
      <c r="H268" s="218"/>
      <c r="I268" s="218"/>
      <c r="J268" s="218"/>
      <c r="K268" s="218"/>
      <c r="L268" s="218"/>
      <c r="M268" s="80"/>
      <c r="N268" s="217"/>
      <c r="O268" s="217"/>
      <c r="P268" s="85" t="s">
        <v>727</v>
      </c>
      <c r="Q268" s="14"/>
      <c r="R268" s="11"/>
    </row>
    <row r="269" s="1" customFormat="1" ht="21.95" customHeight="1" spans="1:19">
      <c r="A269" s="7"/>
      <c r="B269" s="12"/>
      <c r="C269" s="33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19"/>
      <c r="Q269" s="14"/>
      <c r="R269" s="11"/>
    </row>
    <row r="270" s="1" customFormat="1" ht="21.95" customHeight="1" spans="1:19">
      <c r="A270" s="7"/>
      <c r="B270" s="12"/>
      <c r="C270" s="33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19"/>
      <c r="Q270" s="14"/>
      <c r="R270" s="11"/>
    </row>
    <row r="271" s="1" customFormat="1" ht="21.95" customHeight="1" spans="1:19">
      <c r="A271" s="7"/>
      <c r="B271" s="12"/>
      <c r="C271" s="33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19"/>
      <c r="Q271" s="14"/>
      <c r="R271" s="11"/>
    </row>
    <row r="272" s="1" customFormat="1" ht="21.95" customHeight="1" spans="1:19">
      <c r="A272" s="7"/>
      <c r="B272" s="12"/>
      <c r="C272" s="33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19"/>
      <c r="Q272" s="14"/>
      <c r="R272" s="11"/>
    </row>
    <row r="273" s="1" customFormat="1" ht="21.95" customHeight="1" spans="1:18">
      <c r="A273" s="7"/>
      <c r="B273" s="12"/>
      <c r="C273" s="33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19"/>
      <c r="Q273" s="14"/>
      <c r="R273" s="11"/>
    </row>
    <row r="274" s="1" customFormat="1" ht="21.95" customHeight="1" spans="1:18">
      <c r="A274" s="7"/>
      <c r="B274" s="12"/>
      <c r="C274" s="33"/>
      <c r="D274" s="80" t="s">
        <v>728</v>
      </c>
      <c r="E274" s="220">
        <f>ENTRY!$D$27</f>
        <v>46102</v>
      </c>
      <c r="F274" s="220"/>
      <c r="G274" s="29"/>
      <c r="H274" s="29"/>
      <c r="I274" s="221" t="s">
        <v>729</v>
      </c>
      <c r="J274" s="153"/>
      <c r="K274" s="29"/>
      <c r="L274" s="29"/>
      <c r="M274" s="87" t="s">
        <v>730</v>
      </c>
      <c r="N274" s="87"/>
      <c r="O274" s="87"/>
      <c r="P274" s="19"/>
      <c r="Q274" s="14"/>
      <c r="R274" s="11"/>
    </row>
    <row r="275" s="1" customFormat="1" ht="21.95" customHeight="1" spans="1:18">
      <c r="A275" s="7"/>
      <c r="B275" s="12"/>
      <c r="C275" s="33"/>
      <c r="D275" s="80" t="s">
        <v>731</v>
      </c>
      <c r="E275" s="88" t="str">
        <f>PROPER(ENTRY!$D$28)</f>
        <v>New Delhi</v>
      </c>
      <c r="F275" s="88"/>
      <c r="G275" s="29"/>
      <c r="H275" s="29"/>
      <c r="I275" s="153"/>
      <c r="J275" s="153"/>
      <c r="K275" s="29"/>
      <c r="L275" s="29"/>
      <c r="M275" s="79" t="s">
        <v>732</v>
      </c>
      <c r="N275" s="79"/>
      <c r="O275" s="79"/>
      <c r="P275" s="19"/>
      <c r="Q275" s="14"/>
      <c r="R275" s="11"/>
    </row>
    <row r="276" s="1" customFormat="1" ht="21.95" customHeight="1" spans="1:18">
      <c r="A276" s="7"/>
      <c r="B276" s="12"/>
      <c r="C276" s="90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2"/>
      <c r="Q276" s="14"/>
      <c r="R276" s="11"/>
    </row>
    <row r="277" s="1" customFormat="1" ht="5.1" customHeight="1" spans="1:18">
      <c r="A277" s="7"/>
      <c r="B277" s="90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2"/>
      <c r="R277" s="11"/>
    </row>
    <row r="278" s="1" customFormat="1" ht="5.1" customHeight="1" spans="1:18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5"/>
    </row>
    <row r="279" s="1" customFormat="1" ht="21.95" customHeight="1"/>
    <row r="280" ht="15.15"/>
    <row r="281" s="1" customFormat="1" ht="5.1" customHeight="1" spans="1:18">
      <c r="A281" s="4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6"/>
    </row>
    <row r="282" s="1" customFormat="1" ht="15" customHeight="1" spans="1:18">
      <c r="A282" s="7"/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0"/>
      <c r="R282" s="11"/>
    </row>
    <row r="283" s="1" customFormat="1" ht="21.95" customHeight="1" spans="1:18">
      <c r="A283" s="7"/>
      <c r="B283" s="12"/>
      <c r="C283" s="13" t="s">
        <v>7</v>
      </c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4"/>
      <c r="R283" s="11"/>
    </row>
    <row r="284" s="1" customFormat="1" ht="21.95" customHeight="1" spans="1:18">
      <c r="A284" s="7"/>
      <c r="B284" s="1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14"/>
      <c r="R284" s="11"/>
    </row>
    <row r="285" s="1" customFormat="1" ht="21.95" customHeight="1" spans="1:18">
      <c r="A285" s="7"/>
      <c r="B285" s="12"/>
      <c r="C285" s="15" t="str">
        <f>"SESSION-"&amp;ENTRY!$D$11</f>
        <v>SESSION-2026-27</v>
      </c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4"/>
      <c r="R285" s="11"/>
    </row>
    <row r="286" s="1" customFormat="1" ht="21.95" customHeight="1" spans="1:18">
      <c r="A286" s="7"/>
      <c r="B286" s="12"/>
      <c r="C286" s="2"/>
      <c r="D286" s="2"/>
      <c r="E286" s="2"/>
      <c r="F286" s="16">
        <f>F230+1</f>
        <v>6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14"/>
      <c r="R286" s="11"/>
    </row>
    <row r="287" s="1" customFormat="1" ht="21.95" customHeight="1" spans="1:18">
      <c r="A287" s="7"/>
      <c r="B287" s="12"/>
      <c r="C287" s="17" t="s">
        <v>392</v>
      </c>
      <c r="D287" s="17"/>
      <c r="E287" s="17"/>
      <c r="F287" s="18" t="str">
        <f>IF(F286&gt;0,ENTRY!$D$6,"")</f>
        <v>MCP NITHARI NO 1 BOYS</v>
      </c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4"/>
      <c r="R287" s="11"/>
    </row>
    <row r="288" s="1" customFormat="1" ht="21.95" customHeight="1" spans="1:18">
      <c r="A288" s="7"/>
      <c r="B288" s="12"/>
      <c r="C288" s="17" t="s">
        <v>393</v>
      </c>
      <c r="D288" s="17"/>
      <c r="E288" s="17"/>
      <c r="F288" s="18">
        <f>IF(F286&gt;0,ENTRY!$D$7,"")</f>
        <v>0</v>
      </c>
      <c r="G288" s="18"/>
      <c r="H288" s="20" t="s">
        <v>702</v>
      </c>
      <c r="I288" s="20"/>
      <c r="J288" s="21">
        <f>IF(F286&gt;0,ENTRY!$D$10,"")</f>
        <v>40</v>
      </c>
      <c r="K288" s="20" t="s">
        <v>703</v>
      </c>
      <c r="L288" s="22" t="str">
        <f>IF(F286&gt;0,ENTRY!$D$5,"")</f>
        <v>ROHINI ZONE</v>
      </c>
      <c r="M288" s="22"/>
      <c r="N288" s="22"/>
      <c r="O288" s="22"/>
      <c r="P288" s="22"/>
      <c r="Q288" s="14"/>
      <c r="R288" s="11"/>
    </row>
    <row r="289" s="1" customFormat="1" ht="21.95" customHeight="1" spans="1:18">
      <c r="A289" s="7"/>
      <c r="B289" s="12"/>
      <c r="C289" s="17" t="s">
        <v>706</v>
      </c>
      <c r="D289" s="17"/>
      <c r="E289" s="17"/>
      <c r="F289" s="23" t="str">
        <f>IFERROR(VLOOKUP(F286,STUDENT!$A$2:$BP$101,5,0),"")</f>
        <v>MD SOPHIYAN ALAM</v>
      </c>
      <c r="G289" s="23"/>
      <c r="H289" s="23"/>
      <c r="I289" s="23"/>
      <c r="J289" s="23"/>
      <c r="K289" s="23"/>
      <c r="L289" s="20" t="s">
        <v>707</v>
      </c>
      <c r="M289" s="20"/>
      <c r="N289" s="24" t="str">
        <f>IF(F286&gt;0,ENTRY!$D$20&amp;"-"&amp;ENTRY!$D$21,"")</f>
        <v>III-A</v>
      </c>
      <c r="O289" s="24"/>
      <c r="P289" s="24"/>
      <c r="Q289" s="14"/>
      <c r="R289" s="11"/>
    </row>
    <row r="290" s="1" customFormat="1" ht="21.95" customHeight="1" spans="1:18">
      <c r="A290" s="7"/>
      <c r="B290" s="12"/>
      <c r="C290" s="17" t="s">
        <v>708</v>
      </c>
      <c r="D290" s="17"/>
      <c r="E290" s="17"/>
      <c r="F290" s="25">
        <f>IFERROR(VLOOKUP(F286,STUDENT!$A$2:$BP$101,6,0),"")</f>
        <v>14780</v>
      </c>
      <c r="G290" s="25"/>
      <c r="H290" s="26" t="s">
        <v>709</v>
      </c>
      <c r="I290" s="27" t="str">
        <f>IFERROR(VLOOKUP(F286,STUDENT!$A$2:$BP$101,59,0),"")</f>
        <v/>
      </c>
      <c r="J290" s="27"/>
      <c r="K290" s="20" t="s">
        <v>710</v>
      </c>
      <c r="L290" s="20"/>
      <c r="M290" s="28">
        <f>IFERROR(VLOOKUP(F286,STUDENT!$A$2:$BP$101,20,0),"")</f>
        <v>9934652072</v>
      </c>
      <c r="N290" s="28"/>
      <c r="O290" s="28"/>
      <c r="P290" s="28"/>
      <c r="Q290" s="14"/>
      <c r="R290" s="11"/>
    </row>
    <row r="291" s="1" customFormat="1" ht="21.95" customHeight="1" spans="1:18">
      <c r="A291" s="7"/>
      <c r="B291" s="12"/>
      <c r="C291" s="17" t="s">
        <v>711</v>
      </c>
      <c r="D291" s="17"/>
      <c r="E291" s="17"/>
      <c r="F291" s="23" t="str">
        <f>IFERROR(VLOOKUP(F286,STUDENT!$A$2:$BP$101,9,0),"")</f>
        <v>ISRAT BEGUM</v>
      </c>
      <c r="G291" s="23"/>
      <c r="H291" s="23"/>
      <c r="I291" s="23"/>
      <c r="J291" s="17" t="s">
        <v>620</v>
      </c>
      <c r="K291" s="17"/>
      <c r="L291" s="23" t="str">
        <f>IFERROR(VLOOKUP(F286,STUDENT!$A$2:$BP$101,8,0),"")</f>
        <v>MD TABREJ ALAM</v>
      </c>
      <c r="M291" s="23"/>
      <c r="N291" s="23"/>
      <c r="O291" s="23"/>
      <c r="P291" s="23"/>
      <c r="Q291" s="14"/>
      <c r="R291" s="11"/>
    </row>
    <row r="292" s="1" customFormat="1" ht="21.95" customHeight="1" spans="1:18">
      <c r="A292" s="7"/>
      <c r="B292" s="12"/>
      <c r="C292" s="17" t="s">
        <v>712</v>
      </c>
      <c r="D292" s="17"/>
      <c r="E292" s="17"/>
      <c r="F292" s="23" t="str">
        <f>IFERROR(VLOOKUP(F286,STUDENT!$A$2:$BP$101,22,0),"")</f>
        <v>KH NO 26/6 BLOCK F INDER ENCLAVE II</v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14"/>
      <c r="R292" s="11"/>
    </row>
    <row r="293" s="1" customFormat="1" ht="9.95" customHeight="1" spans="1:18">
      <c r="A293" s="7"/>
      <c r="B293" s="12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14"/>
      <c r="R293" s="11"/>
    </row>
    <row r="294" s="1" customFormat="1" ht="9.95" customHeight="1" spans="1:18">
      <c r="A294" s="7"/>
      <c r="B294" s="12"/>
      <c r="C294" s="30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2"/>
      <c r="Q294" s="14"/>
      <c r="R294" s="11"/>
    </row>
    <row r="295" s="1" customFormat="1" ht="21.95" customHeight="1" spans="1:18">
      <c r="A295" s="7"/>
      <c r="B295" s="12"/>
      <c r="C295" s="33"/>
      <c r="D295" s="34" t="s">
        <v>713</v>
      </c>
      <c r="E295" s="20" t="s">
        <v>714</v>
      </c>
      <c r="F295" s="35" t="str">
        <f>"Level - "&amp;IFERROR(VLOOKUP(F286,FLN!$A$4:$K$103,9,0),"")</f>
        <v>Level - 4</v>
      </c>
      <c r="G295" s="36"/>
      <c r="H295" s="37" t="s">
        <v>715</v>
      </c>
      <c r="I295" s="20"/>
      <c r="J295" s="35" t="str">
        <f>"Level - "&amp;IFERROR(VLOOKUP(F286,FLN!$A$4:$K$103,11,0),"")</f>
        <v>Level - 4</v>
      </c>
      <c r="K295" s="36"/>
      <c r="L295" s="37" t="s">
        <v>408</v>
      </c>
      <c r="M295" s="20"/>
      <c r="N295" s="35" t="str">
        <f>"Level - "&amp;IFERROR(VLOOKUP(F286,FLN!$A$4:$K$103,10,0),"")</f>
        <v>Level - 3</v>
      </c>
      <c r="O295" s="36"/>
      <c r="P295" s="19"/>
      <c r="Q295" s="14"/>
      <c r="R295" s="11"/>
    </row>
    <row r="296" s="1" customFormat="1" ht="21.95" customHeight="1" spans="1:18">
      <c r="A296" s="7"/>
      <c r="B296" s="12"/>
      <c r="C296" s="33"/>
      <c r="D296" s="38"/>
      <c r="E296" s="20" t="s">
        <v>716</v>
      </c>
      <c r="F296" s="18" t="str">
        <f>IF(L310&gt;197,"PERFORMED WELL","")</f>
        <v/>
      </c>
      <c r="G296" s="18"/>
      <c r="H296" s="18"/>
      <c r="I296" s="18"/>
      <c r="J296" s="18"/>
      <c r="K296" s="18"/>
      <c r="L296" s="18"/>
      <c r="M296" s="18"/>
      <c r="N296" s="18"/>
      <c r="O296" s="18"/>
      <c r="P296" s="19"/>
      <c r="Q296" s="14"/>
      <c r="R296" s="11"/>
    </row>
    <row r="297" s="1" customFormat="1" ht="9.95" customHeight="1" spans="1:18">
      <c r="A297" s="7"/>
      <c r="B297" s="12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1"/>
      <c r="Q297" s="14"/>
      <c r="R297" s="11"/>
    </row>
    <row r="298" s="1" customFormat="1" ht="9.95" customHeight="1" spans="1:18">
      <c r="A298" s="7"/>
      <c r="B298" s="1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14"/>
      <c r="R298" s="11"/>
    </row>
    <row r="299" s="1" customFormat="1" ht="9.95" customHeight="1" spans="1:18">
      <c r="A299" s="7"/>
      <c r="B299" s="12"/>
      <c r="C299" s="30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2"/>
      <c r="Q299" s="14"/>
      <c r="R299" s="11"/>
    </row>
    <row r="300" s="1" customFormat="1" ht="21.95" customHeight="1" spans="1:18">
      <c r="A300" s="7"/>
      <c r="B300" s="12"/>
      <c r="C300" s="33"/>
      <c r="D300" s="35"/>
      <c r="E300" s="24"/>
      <c r="F300" s="24"/>
      <c r="G300" s="47" t="s">
        <v>717</v>
      </c>
      <c r="H300" s="47"/>
      <c r="I300" s="47"/>
      <c r="J300" s="47"/>
      <c r="K300" s="47"/>
      <c r="L300" s="47"/>
      <c r="M300" s="47"/>
      <c r="N300" s="47"/>
      <c r="O300" s="29"/>
      <c r="P300" s="19"/>
      <c r="Q300" s="14"/>
      <c r="R300" s="11"/>
    </row>
    <row r="301" s="1" customFormat="1" ht="21.95" customHeight="1" spans="1:18">
      <c r="A301" s="7"/>
      <c r="B301" s="12"/>
      <c r="C301" s="33"/>
      <c r="D301" s="47"/>
      <c r="E301" s="47"/>
      <c r="F301" s="47"/>
      <c r="G301" s="47" t="s">
        <v>541</v>
      </c>
      <c r="H301" s="47" t="s">
        <v>542</v>
      </c>
      <c r="I301" s="47" t="s">
        <v>543</v>
      </c>
      <c r="J301" s="47" t="s">
        <v>544</v>
      </c>
      <c r="K301" s="47" t="s">
        <v>561</v>
      </c>
      <c r="L301" s="47" t="s">
        <v>382</v>
      </c>
      <c r="M301" s="49" t="s">
        <v>546</v>
      </c>
      <c r="N301" s="49"/>
      <c r="O301" s="29"/>
      <c r="P301" s="19"/>
      <c r="Q301" s="14"/>
      <c r="R301" s="11"/>
    </row>
    <row r="302" s="1" customFormat="1" ht="21.95" customHeight="1" spans="1:18">
      <c r="A302" s="7"/>
      <c r="B302" s="12"/>
      <c r="C302" s="33"/>
      <c r="D302" s="207" t="s">
        <v>652</v>
      </c>
      <c r="E302" s="207"/>
      <c r="F302" s="207"/>
      <c r="G302" s="50">
        <v>10</v>
      </c>
      <c r="H302" s="50">
        <v>10</v>
      </c>
      <c r="I302" s="50">
        <v>10</v>
      </c>
      <c r="J302" s="50">
        <v>10</v>
      </c>
      <c r="K302" s="50">
        <v>60</v>
      </c>
      <c r="L302" s="50">
        <v>100</v>
      </c>
      <c r="M302" s="49"/>
      <c r="N302" s="49"/>
      <c r="O302" s="29"/>
      <c r="P302" s="19"/>
      <c r="Q302" s="14"/>
      <c r="R302" s="11"/>
    </row>
    <row r="303" s="1" customFormat="1" ht="21.95" customHeight="1" spans="1:18">
      <c r="A303" s="7"/>
      <c r="B303" s="12"/>
      <c r="C303" s="33"/>
      <c r="D303" s="117" t="s">
        <v>668</v>
      </c>
      <c r="E303" s="117"/>
      <c r="F303" s="117"/>
      <c r="G303" s="54">
        <f>IFERROR(VLOOKUP(F286,'1to4-2.1-RR'!$A$12:$BG$111,9,0),"")</f>
        <v>2</v>
      </c>
      <c r="H303" s="54">
        <f>IFERROR(VLOOKUP(F286,'1to4-2.1-RR'!$A$12:$BG$111,10,0),"")</f>
        <v>0</v>
      </c>
      <c r="I303" s="54">
        <f>IFERROR(VLOOKUP(F286,'1to4-2.1-RR'!$A$12:$BG$111,11,0),"")</f>
        <v>0</v>
      </c>
      <c r="J303" s="54">
        <f>IFERROR(VLOOKUP(F286,'1to4-2.1-RR'!$A$12:$BG$111,12,0),"")</f>
        <v>0</v>
      </c>
      <c r="K303" s="54">
        <f>IFERROR(VLOOKUP(F286,'1to4-2.1-RR'!$A$12:$BG$111,13,0),"")</f>
        <v>30</v>
      </c>
      <c r="L303" s="55">
        <f>SUM(G303:K303)</f>
        <v>32</v>
      </c>
      <c r="M303" s="56" t="str">
        <f>IF(F286&gt;ENTRY!$D$24,"",IF(L303=0,"Ab",IF(L303&gt;80,"A",IF(L303&gt;60,"B",IF(L303&gt;44,"C",IF(L303&gt;=33,"D",IF(L303&lt;=32,"E","")))))))</f>
        <v>E</v>
      </c>
      <c r="N303" s="56"/>
      <c r="O303" s="29"/>
      <c r="P303" s="19"/>
      <c r="Q303" s="14"/>
      <c r="R303" s="11"/>
    </row>
    <row r="304" s="1" customFormat="1" ht="21.95" customHeight="1" spans="1:18">
      <c r="A304" s="7"/>
      <c r="B304" s="12"/>
      <c r="C304" s="33"/>
      <c r="D304" s="117" t="s">
        <v>513</v>
      </c>
      <c r="E304" s="117"/>
      <c r="F304" s="117"/>
      <c r="G304" s="54">
        <f>IFERROR(VLOOKUP(F286,'1to4-2.1-RR'!$A$12:$BG$111,16,0),"")</f>
        <v>2</v>
      </c>
      <c r="H304" s="54">
        <f>IFERROR(VLOOKUP(F286,'1to4-2.1-RR'!$A$12:$BG$111,17,0),"")</f>
        <v>0</v>
      </c>
      <c r="I304" s="54">
        <f>IFERROR(VLOOKUP(F286,'1to4-2.1-RR'!$A$12:$BG$111,18,0),"")</f>
        <v>0</v>
      </c>
      <c r="J304" s="54">
        <f>IFERROR(VLOOKUP(F286,'1to4-2.1-RR'!$A$12:$BG$111,19,0),"")</f>
        <v>0</v>
      </c>
      <c r="K304" s="54">
        <f>IFERROR(VLOOKUP(F286,'1to4-2.1-RR'!$A$12:$BG$111,20,0),"")</f>
        <v>16</v>
      </c>
      <c r="L304" s="55">
        <f t="shared" ref="L304:L309" si="10">SUM(G304:K304)</f>
        <v>18</v>
      </c>
      <c r="M304" s="56" t="str">
        <f>IF(F286&gt;ENTRY!$D$24,"",IF(L304=0,"Ab",IF(L304&gt;80,"A",IF(L304&gt;60,"B",IF(L304&gt;44,"C",IF(L304&gt;=33,"D",IF(L304&lt;=32,"E","")))))))</f>
        <v>E</v>
      </c>
      <c r="N304" s="56"/>
      <c r="O304" s="29"/>
      <c r="P304" s="19"/>
      <c r="Q304" s="14"/>
      <c r="R304" s="11"/>
    </row>
    <row r="305" s="1" customFormat="1" ht="21.95" customHeight="1" spans="1:19">
      <c r="A305" s="7"/>
      <c r="B305" s="12"/>
      <c r="C305" s="33"/>
      <c r="D305" s="117" t="s">
        <v>718</v>
      </c>
      <c r="E305" s="117"/>
      <c r="F305" s="117"/>
      <c r="G305" s="54">
        <f>IFERROR(VLOOKUP(F286,'1to4-2.1-RR'!$A$12:$BG$111,23,0),"")</f>
        <v>2</v>
      </c>
      <c r="H305" s="54">
        <f>IFERROR(VLOOKUP(F286,'1to4-2.1-RR'!$A$12:$BG$111,24,0),"")</f>
        <v>0</v>
      </c>
      <c r="I305" s="54">
        <f>IFERROR(VLOOKUP(F286,'1to4-2.1-RR'!$A$12:$BG$111,25,0),"")</f>
        <v>0</v>
      </c>
      <c r="J305" s="54">
        <f>IFERROR(VLOOKUP(F286,'1to4-2.1-RR'!$A$12:$BG$111,26,0),"")</f>
        <v>0</v>
      </c>
      <c r="K305" s="54">
        <f>IFERROR(VLOOKUP(F286,'1to4-2.1-RR'!$A$12:$BG$111,27,0),"")</f>
        <v>12</v>
      </c>
      <c r="L305" s="55">
        <f t="shared" si="10"/>
        <v>14</v>
      </c>
      <c r="M305" s="56" t="str">
        <f>IF(F286&gt;ENTRY!$D$24,"",IF(L305=0,"Ab",IF(L305&gt;80,"A",IF(L305&gt;60,"B",IF(L305&gt;44,"C",IF(L305&gt;=33,"D",IF(L305&lt;=32,"E","")))))))</f>
        <v>E</v>
      </c>
      <c r="N305" s="56"/>
      <c r="O305" s="29"/>
      <c r="P305" s="19"/>
      <c r="Q305" s="14"/>
      <c r="R305" s="11"/>
    </row>
    <row r="306" s="1" customFormat="1" ht="21.95" customHeight="1" spans="1:19">
      <c r="A306" s="7"/>
      <c r="B306" s="12"/>
      <c r="C306" s="33"/>
      <c r="D306" s="117" t="s">
        <v>719</v>
      </c>
      <c r="E306" s="117"/>
      <c r="F306" s="117"/>
      <c r="G306" s="54">
        <f>IFERROR(VLOOKUP(F286,'1to4-2.1-RR'!$A$12:$BG$111,30,0),"")</f>
        <v>2</v>
      </c>
      <c r="H306" s="54">
        <f>IFERROR(VLOOKUP(F286,'1to4-2.1-RR'!$A$12:$BG$111,31,0),"")</f>
        <v>0</v>
      </c>
      <c r="I306" s="54">
        <f>IFERROR(VLOOKUP(F286,'1to4-2.1-RR'!$A$12:$BG$111,32,0),"")</f>
        <v>0</v>
      </c>
      <c r="J306" s="54">
        <f>IFERROR(VLOOKUP(F286,'1to4-2.1-RR'!$A$12:$BG$111,33,0),"")</f>
        <v>0</v>
      </c>
      <c r="K306" s="54">
        <f>IFERROR(VLOOKUP(F286,'1to4-2.1-RR'!$A$12:$BG$111,34,0),"")</f>
        <v>13</v>
      </c>
      <c r="L306" s="55">
        <f t="shared" si="10"/>
        <v>15</v>
      </c>
      <c r="M306" s="56" t="str">
        <f>IF(F286&gt;ENTRY!$D$24,"",IF(L306=0,"Ab",IF(L306&gt;80,"A",IF(L306&gt;60,"B",IF(L306&gt;44,"C",IF(L306&gt;=33,"D",IF(L306&lt;=32,"E","")))))))</f>
        <v>E</v>
      </c>
      <c r="N306" s="56"/>
      <c r="O306" s="29"/>
      <c r="P306" s="19"/>
      <c r="Q306" s="14"/>
      <c r="R306" s="11"/>
    </row>
    <row r="307" s="1" customFormat="1" ht="21.95" customHeight="1" spans="1:19">
      <c r="A307" s="7"/>
      <c r="B307" s="12"/>
      <c r="C307" s="33"/>
      <c r="D307" s="117" t="s">
        <v>548</v>
      </c>
      <c r="E307" s="117"/>
      <c r="F307" s="117"/>
      <c r="G307" s="54">
        <f>IFERROR(VLOOKUP(F286,'1to4-2.1-RR'!$A$12:$BG$111,37,0),"")</f>
        <v>0</v>
      </c>
      <c r="H307" s="54">
        <f>IFERROR(VLOOKUP(F286,'1to4-2.1-RR'!$A$12:$BG$111,38,0),"")</f>
        <v>0</v>
      </c>
      <c r="I307" s="54">
        <f>IFERROR(VLOOKUP(F286,'1to4-2.1-RR'!$A$12:$BG$111,39,0),"")</f>
        <v>0</v>
      </c>
      <c r="J307" s="54">
        <f>IFERROR(VLOOKUP(F286,'1to4-2.1-RR'!$A$12:$BG$111,40,0),"")</f>
        <v>0</v>
      </c>
      <c r="K307" s="54">
        <f>IFERROR(VLOOKUP(F286,'1to4-2.1-RR'!$A$12:$BG$111,41,0),"")</f>
        <v>15</v>
      </c>
      <c r="L307" s="55">
        <f t="shared" si="10"/>
        <v>15</v>
      </c>
      <c r="M307" s="56" t="str">
        <f>IF(F286&gt;ENTRY!$D$24,"",IF(L307=0,"Ab",IF(L307&gt;80,"A",IF(L307&gt;60,"B",IF(L307&gt;44,"C",IF(L307&gt;=33,"D",IF(L307&lt;=32,"E","")))))))</f>
        <v>E</v>
      </c>
      <c r="N307" s="56"/>
      <c r="O307" s="29"/>
      <c r="P307" s="19"/>
      <c r="Q307" s="14"/>
      <c r="R307" s="11"/>
    </row>
    <row r="308" s="1" customFormat="1" ht="21.95" customHeight="1" spans="1:19">
      <c r="A308" s="7"/>
      <c r="B308" s="12"/>
      <c r="C308" s="33"/>
      <c r="D308" s="117" t="s">
        <v>549</v>
      </c>
      <c r="E308" s="117"/>
      <c r="F308" s="117"/>
      <c r="G308" s="54">
        <f>IFERROR(VLOOKUP(F286,'1to4-2.1-RR'!$A$12:$BG$111,44,0),"")</f>
        <v>2</v>
      </c>
      <c r="H308" s="54">
        <f>IFERROR(VLOOKUP(F286,'1to4-2.1-RR'!$A$12:$BG$111,45,0),"")</f>
        <v>0</v>
      </c>
      <c r="I308" s="54">
        <f>IFERROR(VLOOKUP(F286,'1to4-2.1-RR'!$A$12:$BG$111,46,0),"")</f>
        <v>0</v>
      </c>
      <c r="J308" s="54">
        <f>IFERROR(VLOOKUP(F286,'1to4-2.1-RR'!$A$12:$BG$111,47,0),"")</f>
        <v>0</v>
      </c>
      <c r="K308" s="54">
        <f>IFERROR(VLOOKUP(F286,'1to4-2.1-RR'!$A$12:$BG$111,48,0),"")</f>
        <v>16</v>
      </c>
      <c r="L308" s="55">
        <f t="shared" si="10"/>
        <v>18</v>
      </c>
      <c r="M308" s="56" t="str">
        <f>IF(F286&gt;ENTRY!$D$24,"",IF(L308=0,"Ab",IF(L308&gt;80,"A",IF(L308&gt;60,"B",IF(L308&gt;44,"C",IF(L308&gt;=33,"D",IF(L308&lt;=32,"E","")))))))</f>
        <v>E</v>
      </c>
      <c r="N308" s="56"/>
      <c r="O308" s="29"/>
      <c r="P308" s="19"/>
      <c r="Q308" s="14"/>
      <c r="R308" s="11"/>
    </row>
    <row r="309" s="1" customFormat="1" ht="21.95" customHeight="1" spans="1:19">
      <c r="A309" s="7"/>
      <c r="B309" s="12"/>
      <c r="C309" s="33"/>
      <c r="D309" s="117" t="s">
        <v>720</v>
      </c>
      <c r="E309" s="117"/>
      <c r="F309" s="117"/>
      <c r="G309" s="54"/>
      <c r="H309" s="54"/>
      <c r="I309" s="54"/>
      <c r="J309" s="54"/>
      <c r="K309" s="54"/>
      <c r="L309" s="55">
        <f t="shared" si="10"/>
        <v>0</v>
      </c>
      <c r="M309" s="56" t="str">
        <f>IF(F286&gt;ENTRY!$D$24,"",IF(L309=0,"",IF(L309&gt;79,"A",IF(L309&gt;59,"B",IF(L309&gt;44,"C",IF(L309&gt;=33,"D",IF(L309&lt;=32,"E","")))))))</f>
        <v/>
      </c>
      <c r="N309" s="56"/>
      <c r="O309" s="29"/>
      <c r="P309" s="19"/>
      <c r="Q309" s="14"/>
      <c r="R309" s="11"/>
    </row>
    <row r="310" s="1" customFormat="1" ht="21.95" customHeight="1" spans="1:19">
      <c r="A310" s="7"/>
      <c r="B310" s="12"/>
      <c r="C310" s="33"/>
      <c r="D310" s="207" t="s">
        <v>382</v>
      </c>
      <c r="E310" s="207"/>
      <c r="F310" s="207"/>
      <c r="G310" s="54">
        <f t="shared" ref="G310:L310" si="11">IFERROR(SUM(G303:G309),"")</f>
        <v>10</v>
      </c>
      <c r="H310" s="54">
        <f t="shared" si="11"/>
        <v>0</v>
      </c>
      <c r="I310" s="54">
        <f t="shared" si="11"/>
        <v>0</v>
      </c>
      <c r="J310" s="54">
        <f t="shared" si="11"/>
        <v>0</v>
      </c>
      <c r="K310" s="54">
        <f t="shared" si="11"/>
        <v>102</v>
      </c>
      <c r="L310" s="55">
        <f t="shared" si="11"/>
        <v>112</v>
      </c>
      <c r="M310" s="61" t="str">
        <f>IF(F286&gt;ENTRY!$D$24,"",IF(N311="Ab","Ab",IF(N311&gt;79.5,"A",IF(N311&gt;59.5,"B",IF(N311&gt;44.5,"C",IF(N311&gt;=33,"D",IF(N311&lt;33,"E","")))))))</f>
        <v>E</v>
      </c>
      <c r="N310" s="61"/>
      <c r="O310" s="29"/>
      <c r="P310" s="19"/>
      <c r="Q310" s="14"/>
      <c r="R310" s="11"/>
    </row>
    <row r="311" s="1" customFormat="1" ht="21.95" customHeight="1" spans="1:19">
      <c r="A311" s="7"/>
      <c r="B311" s="12"/>
      <c r="C311" s="33"/>
      <c r="D311" s="63" t="s">
        <v>721</v>
      </c>
      <c r="E311" s="63"/>
      <c r="F311" s="63"/>
      <c r="G311" s="63"/>
      <c r="H311" s="63"/>
      <c r="I311" s="63"/>
      <c r="J311" s="63"/>
      <c r="K311" s="63"/>
      <c r="L311" s="63"/>
      <c r="M311" s="209"/>
      <c r="N311" s="64">
        <f>IF(L310="Ab","Ab",L310/6)</f>
        <v>18.6666666666667</v>
      </c>
      <c r="O311" s="65"/>
      <c r="P311" s="19"/>
      <c r="Q311" s="14"/>
      <c r="R311" s="11"/>
    </row>
    <row r="312" s="1" customFormat="1" ht="21.95" customHeight="1" spans="1:19">
      <c r="A312" s="7"/>
      <c r="B312" s="12"/>
      <c r="C312" s="33"/>
      <c r="D312" s="29" t="s">
        <v>716</v>
      </c>
      <c r="E312" s="18" t="str">
        <f>IFERROR(VLOOKUP(F286,'1to4-2.1-RR'!$A$12:$BG$111,57,0),"")</f>
        <v>PROMOTED</v>
      </c>
      <c r="F312" s="18"/>
      <c r="G312" s="18"/>
      <c r="H312" s="18"/>
      <c r="I312" s="18"/>
      <c r="J312" s="18"/>
      <c r="K312" s="18"/>
      <c r="L312" s="18"/>
      <c r="M312" s="18"/>
      <c r="N312" s="29"/>
      <c r="O312" s="29"/>
      <c r="P312" s="19"/>
      <c r="Q312" s="14"/>
      <c r="R312" s="11"/>
    </row>
    <row r="313" s="1" customFormat="1" ht="9.95" customHeight="1" spans="1:19">
      <c r="A313" s="7"/>
      <c r="B313" s="12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1"/>
      <c r="Q313" s="14"/>
      <c r="R313" s="11"/>
    </row>
    <row r="314" s="1" customFormat="1" ht="9.95" customHeight="1" spans="1:19">
      <c r="A314" s="7"/>
      <c r="B314" s="12"/>
      <c r="C314" s="30"/>
      <c r="D314" s="31"/>
      <c r="E314" s="31"/>
      <c r="F314" s="29"/>
      <c r="G314" s="31"/>
      <c r="H314" s="31"/>
      <c r="I314" s="31"/>
      <c r="J314" s="31"/>
      <c r="K314" s="31"/>
      <c r="L314" s="31"/>
      <c r="M314" s="31"/>
      <c r="N314" s="31"/>
      <c r="O314" s="31"/>
      <c r="P314" s="32"/>
      <c r="Q314" s="14"/>
      <c r="R314" s="11"/>
    </row>
    <row r="315" s="1" customFormat="1" ht="9.95" customHeight="1" spans="1:19">
      <c r="A315" s="7"/>
      <c r="B315" s="12"/>
      <c r="C315" s="33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19"/>
      <c r="Q315" s="14"/>
      <c r="R315" s="11"/>
    </row>
    <row r="316" s="1" customFormat="1" ht="9.95" customHeight="1" spans="1:19">
      <c r="A316" s="7"/>
      <c r="B316" s="12"/>
      <c r="C316" s="33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19"/>
      <c r="Q316" s="14"/>
      <c r="R316" s="11"/>
    </row>
    <row r="317" s="1" customFormat="1" ht="21.95" customHeight="1" spans="1:19">
      <c r="A317" s="7"/>
      <c r="B317" s="12"/>
      <c r="C317" s="210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2"/>
      <c r="Q317" s="14"/>
      <c r="R317" s="11"/>
      <c r="S317" s="2"/>
    </row>
    <row r="318" s="1" customFormat="1" ht="21.95" customHeight="1" spans="1:19">
      <c r="A318" s="7"/>
      <c r="B318" s="12"/>
      <c r="C318" s="33"/>
      <c r="D318" s="207" t="s">
        <v>722</v>
      </c>
      <c r="E318" s="207"/>
      <c r="F318" s="207"/>
      <c r="G318" s="207"/>
      <c r="H318" s="54">
        <f>IFERROR(VLOOKUP(F286,PASHEET!$A$4:$CJ$103,88,0),"")</f>
        <v>190</v>
      </c>
      <c r="I318" s="54"/>
      <c r="J318" s="29"/>
      <c r="K318" s="29"/>
      <c r="L318" s="29"/>
      <c r="M318" s="29"/>
      <c r="N318" s="29"/>
      <c r="O318" s="29"/>
      <c r="P318" s="19"/>
      <c r="Q318" s="14"/>
      <c r="R318" s="11"/>
    </row>
    <row r="319" s="1" customFormat="1" ht="21.95" customHeight="1" spans="1:19">
      <c r="A319" s="7"/>
      <c r="B319" s="12"/>
      <c r="C319" s="213"/>
      <c r="D319" s="207" t="s">
        <v>723</v>
      </c>
      <c r="E319" s="207"/>
      <c r="F319" s="207"/>
      <c r="G319" s="207"/>
      <c r="H319" s="54">
        <f>IFERROR(VLOOKUP(F286,PASHEET!$A$4:$CJ$103,87,0),"")</f>
        <v>170</v>
      </c>
      <c r="I319" s="54"/>
      <c r="J319" s="214"/>
      <c r="K319" s="214"/>
      <c r="L319" s="207" t="s">
        <v>724</v>
      </c>
      <c r="M319" s="207"/>
      <c r="N319" s="117" t="str">
        <f>IF(F286&gt;ENTRY!$D$24,"",IF(F286&gt;0,L310&amp;" / "&amp;600,""))</f>
        <v>112 / 600</v>
      </c>
      <c r="O319" s="117"/>
      <c r="P319" s="215"/>
      <c r="Q319" s="14"/>
      <c r="R319" s="11"/>
    </row>
    <row r="320" s="1" customFormat="1" ht="18" customHeight="1" spans="1:19">
      <c r="A320" s="7"/>
      <c r="B320" s="12"/>
      <c r="C320" s="33"/>
      <c r="D320" s="207" t="s">
        <v>725</v>
      </c>
      <c r="E320" s="207"/>
      <c r="F320" s="207"/>
      <c r="G320" s="207"/>
      <c r="H320" s="69">
        <f>IFERROR(IF(F286&gt;0,H319/H318*100),"")</f>
        <v>89.4736842105263</v>
      </c>
      <c r="I320" s="69"/>
      <c r="J320" s="29"/>
      <c r="K320" s="29"/>
      <c r="L320" s="207" t="s">
        <v>726</v>
      </c>
      <c r="M320" s="207"/>
      <c r="N320" s="216">
        <f>IF(F286&gt;ENTRY!$D$24,"",IF(F286&gt;0,L310/600*100,""))</f>
        <v>18.6666666666667</v>
      </c>
      <c r="O320" s="216"/>
      <c r="P320" s="19"/>
      <c r="Q320" s="14"/>
      <c r="R320" s="11"/>
    </row>
    <row r="321" s="1" customFormat="1" ht="21.95" customHeight="1" spans="1:18">
      <c r="A321" s="7"/>
      <c r="B321" s="12"/>
      <c r="C321" s="33"/>
      <c r="D321" s="80"/>
      <c r="E321" s="80"/>
      <c r="F321" s="217"/>
      <c r="G321" s="217"/>
      <c r="H321" s="217"/>
      <c r="I321" s="217"/>
      <c r="J321" s="217"/>
      <c r="K321" s="217"/>
      <c r="L321" s="217"/>
      <c r="M321" s="217"/>
      <c r="N321" s="80"/>
      <c r="O321" s="80"/>
      <c r="P321" s="19"/>
      <c r="Q321" s="14"/>
      <c r="R321" s="11"/>
    </row>
    <row r="322" s="1" customFormat="1" ht="21.95" customHeight="1" spans="1:18">
      <c r="A322" s="7"/>
      <c r="B322" s="12"/>
      <c r="C322" s="33"/>
      <c r="D322" s="80"/>
      <c r="E322" s="218"/>
      <c r="F322" s="218"/>
      <c r="G322" s="218"/>
      <c r="H322" s="80"/>
      <c r="I322" s="218"/>
      <c r="J322" s="218"/>
      <c r="K322" s="218"/>
      <c r="L322" s="218"/>
      <c r="M322" s="80"/>
      <c r="N322" s="219"/>
      <c r="O322" s="219"/>
      <c r="P322" s="19"/>
      <c r="Q322" s="14"/>
      <c r="R322" s="11"/>
    </row>
    <row r="323" s="1" customFormat="1" ht="21.95" customHeight="1" spans="1:18">
      <c r="A323" s="7"/>
      <c r="B323" s="12"/>
      <c r="C323" s="33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19"/>
      <c r="Q323" s="14"/>
      <c r="R323" s="11"/>
    </row>
    <row r="324" s="1" customFormat="1" ht="21.95" customHeight="1" spans="1:18">
      <c r="A324" s="7"/>
      <c r="B324" s="12"/>
      <c r="C324" s="33"/>
      <c r="D324" s="218"/>
      <c r="E324" s="218"/>
      <c r="F324" s="218"/>
      <c r="G324" s="218"/>
      <c r="H324" s="218"/>
      <c r="I324" s="218"/>
      <c r="J324" s="218"/>
      <c r="K324" s="218"/>
      <c r="L324" s="218"/>
      <c r="M324" s="80"/>
      <c r="N324" s="217"/>
      <c r="O324" s="217"/>
      <c r="P324" s="85" t="s">
        <v>727</v>
      </c>
      <c r="Q324" s="14"/>
      <c r="R324" s="11"/>
    </row>
    <row r="325" s="1" customFormat="1" ht="21.95" customHeight="1" spans="1:18">
      <c r="A325" s="7"/>
      <c r="B325" s="12"/>
      <c r="C325" s="33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19"/>
      <c r="Q325" s="14"/>
      <c r="R325" s="11"/>
    </row>
    <row r="326" s="1" customFormat="1" ht="21.95" customHeight="1" spans="1:18">
      <c r="A326" s="7"/>
      <c r="B326" s="12"/>
      <c r="C326" s="33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19"/>
      <c r="Q326" s="14"/>
      <c r="R326" s="11"/>
    </row>
    <row r="327" s="1" customFormat="1" ht="21.95" customHeight="1" spans="1:18">
      <c r="A327" s="7"/>
      <c r="B327" s="12"/>
      <c r="C327" s="33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19"/>
      <c r="Q327" s="14"/>
      <c r="R327" s="11"/>
    </row>
    <row r="328" s="1" customFormat="1" ht="21.95" customHeight="1" spans="1:18">
      <c r="A328" s="7"/>
      <c r="B328" s="12"/>
      <c r="C328" s="33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19"/>
      <c r="Q328" s="14"/>
      <c r="R328" s="11"/>
    </row>
    <row r="329" s="1" customFormat="1" ht="21.95" customHeight="1" spans="1:18">
      <c r="A329" s="7"/>
      <c r="B329" s="12"/>
      <c r="C329" s="33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19"/>
      <c r="Q329" s="14"/>
      <c r="R329" s="11"/>
    </row>
    <row r="330" s="1" customFormat="1" ht="21.95" customHeight="1" spans="1:18">
      <c r="A330" s="7"/>
      <c r="B330" s="12"/>
      <c r="C330" s="33"/>
      <c r="D330" s="80" t="s">
        <v>728</v>
      </c>
      <c r="E330" s="220">
        <f>ENTRY!$D$27</f>
        <v>46102</v>
      </c>
      <c r="F330" s="220"/>
      <c r="G330" s="29"/>
      <c r="H330" s="29"/>
      <c r="I330" s="221" t="s">
        <v>729</v>
      </c>
      <c r="J330" s="153"/>
      <c r="K330" s="29"/>
      <c r="L330" s="29"/>
      <c r="M330" s="87" t="s">
        <v>730</v>
      </c>
      <c r="N330" s="87"/>
      <c r="O330" s="87"/>
      <c r="P330" s="19"/>
      <c r="Q330" s="14"/>
      <c r="R330" s="11"/>
    </row>
    <row r="331" s="1" customFormat="1" ht="21.95" customHeight="1" spans="1:18">
      <c r="A331" s="7"/>
      <c r="B331" s="12"/>
      <c r="C331" s="33"/>
      <c r="D331" s="80" t="s">
        <v>731</v>
      </c>
      <c r="E331" s="88" t="str">
        <f>PROPER(ENTRY!$D$28)</f>
        <v>New Delhi</v>
      </c>
      <c r="F331" s="88"/>
      <c r="G331" s="29"/>
      <c r="H331" s="29"/>
      <c r="I331" s="153"/>
      <c r="J331" s="153"/>
      <c r="K331" s="29"/>
      <c r="L331" s="29"/>
      <c r="M331" s="79" t="s">
        <v>732</v>
      </c>
      <c r="N331" s="79"/>
      <c r="O331" s="79"/>
      <c r="P331" s="19"/>
      <c r="Q331" s="14"/>
      <c r="R331" s="11"/>
    </row>
    <row r="332" s="1" customFormat="1" ht="21.95" customHeight="1" spans="1:18">
      <c r="A332" s="7"/>
      <c r="B332" s="12"/>
      <c r="C332" s="90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2"/>
      <c r="Q332" s="14"/>
      <c r="R332" s="11"/>
    </row>
    <row r="333" s="1" customFormat="1" ht="5.1" customHeight="1" spans="1:18">
      <c r="A333" s="7"/>
      <c r="B333" s="90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2"/>
      <c r="R333" s="11"/>
    </row>
    <row r="334" s="1" customFormat="1" ht="5.1" customHeight="1" spans="1:18">
      <c r="A334" s="93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5"/>
    </row>
    <row r="335" s="1" customFormat="1" ht="21.95" customHeight="1"/>
    <row r="336" ht="15.15"/>
    <row r="337" s="1" customFormat="1" ht="5.1" customHeight="1" spans="1:18">
      <c r="A337" s="4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6"/>
    </row>
    <row r="338" s="1" customFormat="1" ht="15" customHeight="1" spans="1:18">
      <c r="A338" s="7"/>
      <c r="B338" s="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0"/>
      <c r="R338" s="11"/>
    </row>
    <row r="339" s="1" customFormat="1" ht="21.95" customHeight="1" spans="1:18">
      <c r="A339" s="7"/>
      <c r="B339" s="12"/>
      <c r="C339" s="13" t="s">
        <v>7</v>
      </c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4"/>
      <c r="R339" s="11"/>
    </row>
    <row r="340" s="1" customFormat="1" ht="21.95" customHeight="1" spans="1:18">
      <c r="A340" s="7"/>
      <c r="B340" s="1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14"/>
      <c r="R340" s="11"/>
    </row>
    <row r="341" s="1" customFormat="1" ht="21.95" customHeight="1" spans="1:18">
      <c r="A341" s="7"/>
      <c r="B341" s="12"/>
      <c r="C341" s="15" t="str">
        <f>"SESSION-"&amp;ENTRY!$D$11</f>
        <v>SESSION-2026-27</v>
      </c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4"/>
      <c r="R341" s="11"/>
    </row>
    <row r="342" s="1" customFormat="1" ht="21.95" customHeight="1" spans="1:18">
      <c r="A342" s="7"/>
      <c r="B342" s="12"/>
      <c r="C342" s="2"/>
      <c r="D342" s="2"/>
      <c r="E342" s="2"/>
      <c r="F342" s="16">
        <f>F286+1</f>
        <v>7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14"/>
      <c r="R342" s="11"/>
    </row>
    <row r="343" s="1" customFormat="1" ht="21.95" customHeight="1" spans="1:18">
      <c r="A343" s="7"/>
      <c r="B343" s="12"/>
      <c r="C343" s="17" t="s">
        <v>392</v>
      </c>
      <c r="D343" s="17"/>
      <c r="E343" s="17"/>
      <c r="F343" s="18" t="str">
        <f>IF(F342&gt;0,ENTRY!$D$6,"")</f>
        <v>MCP NITHARI NO 1 BOYS</v>
      </c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4"/>
      <c r="R343" s="11"/>
    </row>
    <row r="344" s="1" customFormat="1" ht="21.95" customHeight="1" spans="1:18">
      <c r="A344" s="7"/>
      <c r="B344" s="12"/>
      <c r="C344" s="17" t="s">
        <v>393</v>
      </c>
      <c r="D344" s="17"/>
      <c r="E344" s="17"/>
      <c r="F344" s="18">
        <f>IF(F342&gt;0,ENTRY!$D$7,"")</f>
        <v>0</v>
      </c>
      <c r="G344" s="18"/>
      <c r="H344" s="20" t="s">
        <v>702</v>
      </c>
      <c r="I344" s="20"/>
      <c r="J344" s="21">
        <f>IF(F342&gt;0,ENTRY!$D$10,"")</f>
        <v>40</v>
      </c>
      <c r="K344" s="20" t="s">
        <v>703</v>
      </c>
      <c r="L344" s="22" t="str">
        <f>IF(F342&gt;0,ENTRY!$D$5,"")</f>
        <v>ROHINI ZONE</v>
      </c>
      <c r="M344" s="22"/>
      <c r="N344" s="22"/>
      <c r="O344" s="22"/>
      <c r="P344" s="22"/>
      <c r="Q344" s="14"/>
      <c r="R344" s="11"/>
    </row>
    <row r="345" s="1" customFormat="1" ht="21.95" customHeight="1" spans="1:18">
      <c r="A345" s="7"/>
      <c r="B345" s="12"/>
      <c r="C345" s="17" t="s">
        <v>706</v>
      </c>
      <c r="D345" s="17"/>
      <c r="E345" s="17"/>
      <c r="F345" s="23" t="str">
        <f>IFERROR(VLOOKUP(F342,STUDENT!$A$2:$BP$101,5,0),"")</f>
        <v>MD SAUBAN</v>
      </c>
      <c r="G345" s="23"/>
      <c r="H345" s="23"/>
      <c r="I345" s="23"/>
      <c r="J345" s="23"/>
      <c r="K345" s="23"/>
      <c r="L345" s="20" t="s">
        <v>707</v>
      </c>
      <c r="M345" s="20"/>
      <c r="N345" s="24" t="str">
        <f>IF(F342&gt;0,ENTRY!$D$20&amp;"-"&amp;ENTRY!$D$21,"")</f>
        <v>III-A</v>
      </c>
      <c r="O345" s="24"/>
      <c r="P345" s="24"/>
      <c r="Q345" s="14"/>
      <c r="R345" s="11"/>
    </row>
    <row r="346" s="1" customFormat="1" ht="21.95" customHeight="1" spans="1:18">
      <c r="A346" s="7"/>
      <c r="B346" s="12"/>
      <c r="C346" s="17" t="s">
        <v>708</v>
      </c>
      <c r="D346" s="17"/>
      <c r="E346" s="17"/>
      <c r="F346" s="25">
        <f>IFERROR(VLOOKUP(F342,STUDENT!$A$2:$BP$101,6,0),"")</f>
        <v>14773</v>
      </c>
      <c r="G346" s="25"/>
      <c r="H346" s="26" t="s">
        <v>709</v>
      </c>
      <c r="I346" s="27" t="str">
        <f>IFERROR(VLOOKUP(F342,STUDENT!$A$2:$BP$101,59,0),"")</f>
        <v/>
      </c>
      <c r="J346" s="27"/>
      <c r="K346" s="20" t="s">
        <v>710</v>
      </c>
      <c r="L346" s="20"/>
      <c r="M346" s="28">
        <f>IFERROR(VLOOKUP(F342,STUDENT!$A$2:$BP$101,20,0),"")</f>
        <v>8285037309</v>
      </c>
      <c r="N346" s="28"/>
      <c r="O346" s="28"/>
      <c r="P346" s="28"/>
      <c r="Q346" s="14"/>
      <c r="R346" s="11"/>
    </row>
    <row r="347" s="1" customFormat="1" ht="21.95" customHeight="1" spans="1:18">
      <c r="A347" s="7"/>
      <c r="B347" s="12"/>
      <c r="C347" s="17" t="s">
        <v>711</v>
      </c>
      <c r="D347" s="17"/>
      <c r="E347" s="17"/>
      <c r="F347" s="23" t="str">
        <f>IFERROR(VLOOKUP(F342,STUDENT!$A$2:$BP$101,9,0),"")</f>
        <v>MUSRAT PARVEEN</v>
      </c>
      <c r="G347" s="23"/>
      <c r="H347" s="23"/>
      <c r="I347" s="23"/>
      <c r="J347" s="17" t="s">
        <v>620</v>
      </c>
      <c r="K347" s="17"/>
      <c r="L347" s="23" t="str">
        <f>IFERROR(VLOOKUP(F342,STUDENT!$A$2:$BP$101,8,0),"")</f>
        <v>MD IRSHAD</v>
      </c>
      <c r="M347" s="23"/>
      <c r="N347" s="23"/>
      <c r="O347" s="23"/>
      <c r="P347" s="23"/>
      <c r="Q347" s="14"/>
      <c r="R347" s="11"/>
    </row>
    <row r="348" s="1" customFormat="1" ht="21.95" customHeight="1" spans="1:18">
      <c r="A348" s="7"/>
      <c r="B348" s="12"/>
      <c r="C348" s="17" t="s">
        <v>712</v>
      </c>
      <c r="D348" s="17"/>
      <c r="E348" s="17"/>
      <c r="F348" s="23" t="str">
        <f>IFERROR(VLOOKUP(F342,STUDENT!$A$2:$BP$101,22,0),"")</f>
        <v>E49 A INDER ENCLAVE 2</v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14"/>
      <c r="R348" s="11"/>
    </row>
    <row r="349" s="1" customFormat="1" ht="9.95" customHeight="1" spans="1:18">
      <c r="A349" s="7"/>
      <c r="B349" s="12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14"/>
      <c r="R349" s="11"/>
    </row>
    <row r="350" s="1" customFormat="1" ht="9.95" customHeight="1" spans="1:18">
      <c r="A350" s="7"/>
      <c r="B350" s="12"/>
      <c r="C350" s="30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2"/>
      <c r="Q350" s="14"/>
      <c r="R350" s="11"/>
    </row>
    <row r="351" s="1" customFormat="1" ht="21.95" customHeight="1" spans="1:18">
      <c r="A351" s="7"/>
      <c r="B351" s="12"/>
      <c r="C351" s="33"/>
      <c r="D351" s="34" t="s">
        <v>713</v>
      </c>
      <c r="E351" s="20" t="s">
        <v>714</v>
      </c>
      <c r="F351" s="35" t="str">
        <f>"Level - "&amp;IFERROR(VLOOKUP(F342,FLN!$A$4:$K$103,9,0),"")</f>
        <v>Level - 4</v>
      </c>
      <c r="G351" s="36"/>
      <c r="H351" s="37" t="s">
        <v>715</v>
      </c>
      <c r="I351" s="20"/>
      <c r="J351" s="35" t="str">
        <f>"Level - "&amp;IFERROR(VLOOKUP(F342,FLN!$A$4:$K$103,11,0),"")</f>
        <v>Level - 4</v>
      </c>
      <c r="K351" s="36"/>
      <c r="L351" s="37" t="s">
        <v>408</v>
      </c>
      <c r="M351" s="20"/>
      <c r="N351" s="35" t="str">
        <f>"Level - "&amp;IFERROR(VLOOKUP(F342,FLN!$A$4:$K$103,10,0),"")</f>
        <v>Level - 3</v>
      </c>
      <c r="O351" s="36"/>
      <c r="P351" s="19"/>
      <c r="Q351" s="14"/>
      <c r="R351" s="11"/>
    </row>
    <row r="352" s="1" customFormat="1" ht="21.95" customHeight="1" spans="1:18">
      <c r="A352" s="7"/>
      <c r="B352" s="12"/>
      <c r="C352" s="33"/>
      <c r="D352" s="38"/>
      <c r="E352" s="20" t="s">
        <v>716</v>
      </c>
      <c r="F352" s="18" t="str">
        <f>IF(L366&gt;197,"PERFORMED WELL","")</f>
        <v/>
      </c>
      <c r="G352" s="18"/>
      <c r="H352" s="18"/>
      <c r="I352" s="18"/>
      <c r="J352" s="18"/>
      <c r="K352" s="18"/>
      <c r="L352" s="18"/>
      <c r="M352" s="18"/>
      <c r="N352" s="18"/>
      <c r="O352" s="18"/>
      <c r="P352" s="19"/>
      <c r="Q352" s="14"/>
      <c r="R352" s="11"/>
    </row>
    <row r="353" s="1" customFormat="1" ht="9.95" customHeight="1" spans="1:18">
      <c r="A353" s="7"/>
      <c r="B353" s="12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1"/>
      <c r="Q353" s="14"/>
      <c r="R353" s="11"/>
    </row>
    <row r="354" s="1" customFormat="1" ht="9.95" customHeight="1" spans="1:18">
      <c r="A354" s="7"/>
      <c r="B354" s="12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14"/>
      <c r="R354" s="11"/>
    </row>
    <row r="355" s="1" customFormat="1" ht="9.95" customHeight="1" spans="1:18">
      <c r="A355" s="7"/>
      <c r="B355" s="12"/>
      <c r="C355" s="30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2"/>
      <c r="Q355" s="14"/>
      <c r="R355" s="11"/>
    </row>
    <row r="356" s="1" customFormat="1" ht="21.95" customHeight="1" spans="1:18">
      <c r="A356" s="7"/>
      <c r="B356" s="12"/>
      <c r="C356" s="33"/>
      <c r="D356" s="35"/>
      <c r="E356" s="24"/>
      <c r="F356" s="24"/>
      <c r="G356" s="47" t="s">
        <v>717</v>
      </c>
      <c r="H356" s="47"/>
      <c r="I356" s="47"/>
      <c r="J356" s="47"/>
      <c r="K356" s="47"/>
      <c r="L356" s="47"/>
      <c r="M356" s="47"/>
      <c r="N356" s="47"/>
      <c r="O356" s="29"/>
      <c r="P356" s="19"/>
      <c r="Q356" s="14"/>
      <c r="R356" s="11"/>
    </row>
    <row r="357" s="1" customFormat="1" ht="21.95" customHeight="1" spans="1:18">
      <c r="A357" s="7"/>
      <c r="B357" s="12"/>
      <c r="C357" s="33"/>
      <c r="D357" s="47"/>
      <c r="E357" s="47"/>
      <c r="F357" s="47"/>
      <c r="G357" s="47" t="s">
        <v>541</v>
      </c>
      <c r="H357" s="47" t="s">
        <v>542</v>
      </c>
      <c r="I357" s="47" t="s">
        <v>543</v>
      </c>
      <c r="J357" s="47" t="s">
        <v>544</v>
      </c>
      <c r="K357" s="47" t="s">
        <v>561</v>
      </c>
      <c r="L357" s="47" t="s">
        <v>382</v>
      </c>
      <c r="M357" s="49" t="s">
        <v>546</v>
      </c>
      <c r="N357" s="49"/>
      <c r="O357" s="29"/>
      <c r="P357" s="19"/>
      <c r="Q357" s="14"/>
      <c r="R357" s="11"/>
    </row>
    <row r="358" s="1" customFormat="1" ht="21.95" customHeight="1" spans="1:18">
      <c r="A358" s="7"/>
      <c r="B358" s="12"/>
      <c r="C358" s="33"/>
      <c r="D358" s="207" t="s">
        <v>652</v>
      </c>
      <c r="E358" s="207"/>
      <c r="F358" s="207"/>
      <c r="G358" s="50">
        <v>10</v>
      </c>
      <c r="H358" s="50">
        <v>10</v>
      </c>
      <c r="I358" s="50">
        <v>10</v>
      </c>
      <c r="J358" s="50">
        <v>10</v>
      </c>
      <c r="K358" s="50">
        <v>60</v>
      </c>
      <c r="L358" s="50">
        <v>100</v>
      </c>
      <c r="M358" s="49"/>
      <c r="N358" s="49"/>
      <c r="O358" s="29"/>
      <c r="P358" s="19"/>
      <c r="Q358" s="14"/>
      <c r="R358" s="11"/>
    </row>
    <row r="359" s="1" customFormat="1" ht="21.95" customHeight="1" spans="1:18">
      <c r="A359" s="7"/>
      <c r="B359" s="12"/>
      <c r="C359" s="33"/>
      <c r="D359" s="117" t="s">
        <v>668</v>
      </c>
      <c r="E359" s="117"/>
      <c r="F359" s="117"/>
      <c r="G359" s="54">
        <f>IFERROR(VLOOKUP(F342,'1to4-2.1-RR'!$A$12:$BG$111,9,0),"")</f>
        <v>2</v>
      </c>
      <c r="H359" s="54">
        <f>IFERROR(VLOOKUP(F342,'1to4-2.1-RR'!$A$12:$BG$111,10,0),"")</f>
        <v>0</v>
      </c>
      <c r="I359" s="54">
        <f>IFERROR(VLOOKUP(F342,'1to4-2.1-RR'!$A$12:$BG$111,11,0),"")</f>
        <v>0</v>
      </c>
      <c r="J359" s="54">
        <f>IFERROR(VLOOKUP(F342,'1to4-2.1-RR'!$A$12:$BG$111,12,0),"")</f>
        <v>0</v>
      </c>
      <c r="K359" s="54">
        <f>IFERROR(VLOOKUP(F342,'1to4-2.1-RR'!$A$12:$BG$111,13,0),"")</f>
        <v>25</v>
      </c>
      <c r="L359" s="55">
        <f>SUM(G359:K359)</f>
        <v>27</v>
      </c>
      <c r="M359" s="56" t="str">
        <f>IF(F342&gt;ENTRY!$D$24,"",IF(L359=0,"Ab",IF(L359&gt;80,"A",IF(L359&gt;60,"B",IF(L359&gt;44,"C",IF(L359&gt;=33,"D",IF(L359&lt;=32,"E","")))))))</f>
        <v>E</v>
      </c>
      <c r="N359" s="56"/>
      <c r="O359" s="29"/>
      <c r="P359" s="19"/>
      <c r="Q359" s="14"/>
      <c r="R359" s="11"/>
    </row>
    <row r="360" s="1" customFormat="1" ht="21.95" customHeight="1" spans="1:18">
      <c r="A360" s="7"/>
      <c r="B360" s="12"/>
      <c r="C360" s="33"/>
      <c r="D360" s="117" t="s">
        <v>513</v>
      </c>
      <c r="E360" s="117"/>
      <c r="F360" s="117"/>
      <c r="G360" s="54">
        <f>IFERROR(VLOOKUP(F342,'1to4-2.1-RR'!$A$12:$BG$111,16,0),"")</f>
        <v>1</v>
      </c>
      <c r="H360" s="54">
        <f>IFERROR(VLOOKUP(F342,'1to4-2.1-RR'!$A$12:$BG$111,17,0),"")</f>
        <v>0</v>
      </c>
      <c r="I360" s="54">
        <f>IFERROR(VLOOKUP(F342,'1to4-2.1-RR'!$A$12:$BG$111,18,0),"")</f>
        <v>0</v>
      </c>
      <c r="J360" s="54">
        <f>IFERROR(VLOOKUP(F342,'1to4-2.1-RR'!$A$12:$BG$111,19,0),"")</f>
        <v>0</v>
      </c>
      <c r="K360" s="54">
        <f>IFERROR(VLOOKUP(F342,'1to4-2.1-RR'!$A$12:$BG$111,20,0),"")</f>
        <v>11</v>
      </c>
      <c r="L360" s="55">
        <f t="shared" ref="L360:L365" si="12">SUM(G360:K360)</f>
        <v>12</v>
      </c>
      <c r="M360" s="56" t="str">
        <f>IF(F342&gt;ENTRY!$D$24,"",IF(L360=0,"Ab",IF(L360&gt;80,"A",IF(L360&gt;60,"B",IF(L360&gt;44,"C",IF(L360&gt;=33,"D",IF(L360&lt;=32,"E","")))))))</f>
        <v>E</v>
      </c>
      <c r="N360" s="56"/>
      <c r="O360" s="29"/>
      <c r="P360" s="19"/>
      <c r="Q360" s="14"/>
      <c r="R360" s="11"/>
    </row>
    <row r="361" s="1" customFormat="1" ht="21.95" customHeight="1" spans="1:18">
      <c r="A361" s="7"/>
      <c r="B361" s="12"/>
      <c r="C361" s="33"/>
      <c r="D361" s="117" t="s">
        <v>718</v>
      </c>
      <c r="E361" s="117"/>
      <c r="F361" s="117"/>
      <c r="G361" s="54">
        <f>IFERROR(VLOOKUP(F342,'1to4-2.1-RR'!$A$12:$BG$111,23,0),"")</f>
        <v>2</v>
      </c>
      <c r="H361" s="54">
        <f>IFERROR(VLOOKUP(F342,'1to4-2.1-RR'!$A$12:$BG$111,24,0),"")</f>
        <v>0</v>
      </c>
      <c r="I361" s="54">
        <f>IFERROR(VLOOKUP(F342,'1to4-2.1-RR'!$A$12:$BG$111,25,0),"")</f>
        <v>0</v>
      </c>
      <c r="J361" s="54">
        <f>IFERROR(VLOOKUP(F342,'1to4-2.1-RR'!$A$12:$BG$111,26,0),"")</f>
        <v>0</v>
      </c>
      <c r="K361" s="54">
        <f>IFERROR(VLOOKUP(F342,'1to4-2.1-RR'!$A$12:$BG$111,27,0),"")</f>
        <v>11</v>
      </c>
      <c r="L361" s="55">
        <f t="shared" si="12"/>
        <v>13</v>
      </c>
      <c r="M361" s="56" t="str">
        <f>IF(F342&gt;ENTRY!$D$24,"",IF(L361=0,"Ab",IF(L361&gt;80,"A",IF(L361&gt;60,"B",IF(L361&gt;44,"C",IF(L361&gt;=33,"D",IF(L361&lt;=32,"E","")))))))</f>
        <v>E</v>
      </c>
      <c r="N361" s="56"/>
      <c r="O361" s="29"/>
      <c r="P361" s="19"/>
      <c r="Q361" s="14"/>
      <c r="R361" s="11"/>
    </row>
    <row r="362" s="1" customFormat="1" ht="21.95" customHeight="1" spans="1:18">
      <c r="A362" s="7"/>
      <c r="B362" s="12"/>
      <c r="C362" s="33"/>
      <c r="D362" s="117" t="s">
        <v>719</v>
      </c>
      <c r="E362" s="117"/>
      <c r="F362" s="117"/>
      <c r="G362" s="54">
        <f>IFERROR(VLOOKUP(F342,'1to4-2.1-RR'!$A$12:$BG$111,30,0),"")</f>
        <v>2</v>
      </c>
      <c r="H362" s="54">
        <f>IFERROR(VLOOKUP(F342,'1to4-2.1-RR'!$A$12:$BG$111,31,0),"")</f>
        <v>0</v>
      </c>
      <c r="I362" s="54">
        <f>IFERROR(VLOOKUP(F342,'1to4-2.1-RR'!$A$12:$BG$111,32,0),"")</f>
        <v>0</v>
      </c>
      <c r="J362" s="54">
        <f>IFERROR(VLOOKUP(F342,'1to4-2.1-RR'!$A$12:$BG$111,33,0),"")</f>
        <v>0</v>
      </c>
      <c r="K362" s="54">
        <f>IFERROR(VLOOKUP(F342,'1to4-2.1-RR'!$A$12:$BG$111,34,0),"")</f>
        <v>13</v>
      </c>
      <c r="L362" s="55">
        <f t="shared" si="12"/>
        <v>15</v>
      </c>
      <c r="M362" s="56" t="str">
        <f>IF(F342&gt;ENTRY!$D$24,"",IF(L362=0,"Ab",IF(L362&gt;80,"A",IF(L362&gt;60,"B",IF(L362&gt;44,"C",IF(L362&gt;=33,"D",IF(L362&lt;=32,"E","")))))))</f>
        <v>E</v>
      </c>
      <c r="N362" s="56"/>
      <c r="O362" s="29"/>
      <c r="P362" s="19"/>
      <c r="Q362" s="14"/>
      <c r="R362" s="11"/>
    </row>
    <row r="363" s="1" customFormat="1" ht="21.95" customHeight="1" spans="1:18">
      <c r="A363" s="7"/>
      <c r="B363" s="12"/>
      <c r="C363" s="33"/>
      <c r="D363" s="117" t="s">
        <v>548</v>
      </c>
      <c r="E363" s="117"/>
      <c r="F363" s="117"/>
      <c r="G363" s="54">
        <f>IFERROR(VLOOKUP(F342,'1to4-2.1-RR'!$A$12:$BG$111,37,0),"")</f>
        <v>0</v>
      </c>
      <c r="H363" s="54">
        <f>IFERROR(VLOOKUP(F342,'1to4-2.1-RR'!$A$12:$BG$111,38,0),"")</f>
        <v>0</v>
      </c>
      <c r="I363" s="54">
        <f>IFERROR(VLOOKUP(F342,'1to4-2.1-RR'!$A$12:$BG$111,39,0),"")</f>
        <v>0</v>
      </c>
      <c r="J363" s="54">
        <f>IFERROR(VLOOKUP(F342,'1to4-2.1-RR'!$A$12:$BG$111,40,0),"")</f>
        <v>0</v>
      </c>
      <c r="K363" s="54">
        <f>IFERROR(VLOOKUP(F342,'1to4-2.1-RR'!$A$12:$BG$111,41,0),"")</f>
        <v>15</v>
      </c>
      <c r="L363" s="55">
        <f t="shared" si="12"/>
        <v>15</v>
      </c>
      <c r="M363" s="56" t="str">
        <f>IF(F342&gt;ENTRY!$D$24,"",IF(L363=0,"Ab",IF(L363&gt;80,"A",IF(L363&gt;60,"B",IF(L363&gt;44,"C",IF(L363&gt;=33,"D",IF(L363&lt;=32,"E","")))))))</f>
        <v>E</v>
      </c>
      <c r="N363" s="56"/>
      <c r="O363" s="29"/>
      <c r="P363" s="19"/>
      <c r="Q363" s="14"/>
      <c r="R363" s="11"/>
    </row>
    <row r="364" s="1" customFormat="1" ht="21.95" customHeight="1" spans="1:18">
      <c r="A364" s="7"/>
      <c r="B364" s="12"/>
      <c r="C364" s="33"/>
      <c r="D364" s="117" t="s">
        <v>549</v>
      </c>
      <c r="E364" s="117"/>
      <c r="F364" s="117"/>
      <c r="G364" s="54">
        <f>IFERROR(VLOOKUP(F342,'1to4-2.1-RR'!$A$12:$BG$111,44,0),"")</f>
        <v>2</v>
      </c>
      <c r="H364" s="54">
        <f>IFERROR(VLOOKUP(F342,'1to4-2.1-RR'!$A$12:$BG$111,45,0),"")</f>
        <v>0</v>
      </c>
      <c r="I364" s="54">
        <f>IFERROR(VLOOKUP(F342,'1to4-2.1-RR'!$A$12:$BG$111,46,0),"")</f>
        <v>0</v>
      </c>
      <c r="J364" s="54">
        <f>IFERROR(VLOOKUP(F342,'1to4-2.1-RR'!$A$12:$BG$111,47,0),"")</f>
        <v>0</v>
      </c>
      <c r="K364" s="54">
        <f>IFERROR(VLOOKUP(F342,'1to4-2.1-RR'!$A$12:$BG$111,48,0),"")</f>
        <v>20</v>
      </c>
      <c r="L364" s="55">
        <f t="shared" si="12"/>
        <v>22</v>
      </c>
      <c r="M364" s="56" t="str">
        <f>IF(F342&gt;ENTRY!$D$24,"",IF(L364=0,"Ab",IF(L364&gt;80,"A",IF(L364&gt;60,"B",IF(L364&gt;44,"C",IF(L364&gt;=33,"D",IF(L364&lt;=32,"E","")))))))</f>
        <v>E</v>
      </c>
      <c r="N364" s="56"/>
      <c r="O364" s="29"/>
      <c r="P364" s="19"/>
      <c r="Q364" s="14"/>
      <c r="R364" s="11"/>
    </row>
    <row r="365" s="1" customFormat="1" ht="21.95" customHeight="1" spans="1:18">
      <c r="A365" s="7"/>
      <c r="B365" s="12"/>
      <c r="C365" s="33"/>
      <c r="D365" s="117" t="s">
        <v>720</v>
      </c>
      <c r="E365" s="117"/>
      <c r="F365" s="117"/>
      <c r="G365" s="54"/>
      <c r="H365" s="54"/>
      <c r="I365" s="54"/>
      <c r="J365" s="54"/>
      <c r="K365" s="54"/>
      <c r="L365" s="55">
        <f t="shared" si="12"/>
        <v>0</v>
      </c>
      <c r="M365" s="56" t="str">
        <f>IF(F342&gt;ENTRY!$D$24,"",IF(L365=0,"",IF(L365&gt;79,"A",IF(L365&gt;59,"B",IF(L365&gt;44,"C",IF(L365&gt;=33,"D",IF(L365&lt;=32,"E","")))))))</f>
        <v/>
      </c>
      <c r="N365" s="56"/>
      <c r="O365" s="29"/>
      <c r="P365" s="19"/>
      <c r="Q365" s="14"/>
      <c r="R365" s="11"/>
    </row>
    <row r="366" s="1" customFormat="1" ht="21.95" customHeight="1" spans="1:18">
      <c r="A366" s="7"/>
      <c r="B366" s="12"/>
      <c r="C366" s="33"/>
      <c r="D366" s="207" t="s">
        <v>382</v>
      </c>
      <c r="E366" s="207"/>
      <c r="F366" s="207"/>
      <c r="G366" s="54">
        <f t="shared" ref="G366:L366" si="13">IFERROR(SUM(G359:G365),"")</f>
        <v>9</v>
      </c>
      <c r="H366" s="54">
        <f t="shared" si="13"/>
        <v>0</v>
      </c>
      <c r="I366" s="54">
        <f t="shared" si="13"/>
        <v>0</v>
      </c>
      <c r="J366" s="54">
        <f t="shared" si="13"/>
        <v>0</v>
      </c>
      <c r="K366" s="54">
        <f t="shared" si="13"/>
        <v>95</v>
      </c>
      <c r="L366" s="55">
        <f t="shared" si="13"/>
        <v>104</v>
      </c>
      <c r="M366" s="61" t="str">
        <f>IF(F342&gt;ENTRY!$D$24,"",IF(N367="Ab","Ab",IF(N367&gt;79.5,"A",IF(N367&gt;59.5,"B",IF(N367&gt;44.5,"C",IF(N367&gt;=33,"D",IF(N367&lt;33,"E","")))))))</f>
        <v>E</v>
      </c>
      <c r="N366" s="61"/>
      <c r="O366" s="29"/>
      <c r="P366" s="19"/>
      <c r="Q366" s="14"/>
      <c r="R366" s="11"/>
    </row>
    <row r="367" s="1" customFormat="1" ht="21.95" customHeight="1" spans="1:18">
      <c r="A367" s="7"/>
      <c r="B367" s="12"/>
      <c r="C367" s="33"/>
      <c r="D367" s="63" t="s">
        <v>721</v>
      </c>
      <c r="E367" s="63"/>
      <c r="F367" s="63"/>
      <c r="G367" s="63"/>
      <c r="H367" s="63"/>
      <c r="I367" s="63"/>
      <c r="J367" s="63"/>
      <c r="K367" s="63"/>
      <c r="L367" s="63"/>
      <c r="M367" s="209"/>
      <c r="N367" s="64">
        <f>IF(L366="Ab","Ab",L366/6)</f>
        <v>17.3333333333333</v>
      </c>
      <c r="O367" s="65"/>
      <c r="P367" s="19"/>
      <c r="Q367" s="14"/>
      <c r="R367" s="11"/>
    </row>
    <row r="368" s="1" customFormat="1" ht="21.95" customHeight="1" spans="1:18">
      <c r="A368" s="7"/>
      <c r="B368" s="12"/>
      <c r="C368" s="33"/>
      <c r="D368" s="29" t="s">
        <v>716</v>
      </c>
      <c r="E368" s="18" t="str">
        <f>IFERROR(VLOOKUP(F342,'1to4-2.1-RR'!$A$12:$BG$111,57,0),"")</f>
        <v>PROMOTED</v>
      </c>
      <c r="F368" s="18"/>
      <c r="G368" s="18"/>
      <c r="H368" s="18"/>
      <c r="I368" s="18"/>
      <c r="J368" s="18"/>
      <c r="K368" s="18"/>
      <c r="L368" s="18"/>
      <c r="M368" s="18"/>
      <c r="N368" s="29"/>
      <c r="O368" s="29"/>
      <c r="P368" s="19"/>
      <c r="Q368" s="14"/>
      <c r="R368" s="11"/>
    </row>
    <row r="369" s="1" customFormat="1" ht="9.95" customHeight="1" spans="1:19">
      <c r="A369" s="7"/>
      <c r="B369" s="12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1"/>
      <c r="Q369" s="14"/>
      <c r="R369" s="11"/>
    </row>
    <row r="370" s="1" customFormat="1" ht="9.95" customHeight="1" spans="1:19">
      <c r="A370" s="7"/>
      <c r="B370" s="12"/>
      <c r="C370" s="30"/>
      <c r="D370" s="31"/>
      <c r="E370" s="31"/>
      <c r="F370" s="29"/>
      <c r="G370" s="31"/>
      <c r="H370" s="31"/>
      <c r="I370" s="31"/>
      <c r="J370" s="31"/>
      <c r="K370" s="31"/>
      <c r="L370" s="31"/>
      <c r="M370" s="31"/>
      <c r="N370" s="31"/>
      <c r="O370" s="31"/>
      <c r="P370" s="32"/>
      <c r="Q370" s="14"/>
      <c r="R370" s="11"/>
    </row>
    <row r="371" s="1" customFormat="1" ht="9.95" customHeight="1" spans="1:19">
      <c r="A371" s="7"/>
      <c r="B371" s="12"/>
      <c r="C371" s="33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19"/>
      <c r="Q371" s="14"/>
      <c r="R371" s="11"/>
    </row>
    <row r="372" s="1" customFormat="1" ht="9.95" customHeight="1" spans="1:19">
      <c r="A372" s="7"/>
      <c r="B372" s="12"/>
      <c r="C372" s="33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19"/>
      <c r="Q372" s="14"/>
      <c r="R372" s="11"/>
    </row>
    <row r="373" s="1" customFormat="1" ht="21.95" customHeight="1" spans="1:19">
      <c r="A373" s="7"/>
      <c r="B373" s="12"/>
      <c r="C373" s="210"/>
      <c r="D373" s="211"/>
      <c r="E373" s="211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2"/>
      <c r="Q373" s="14"/>
      <c r="R373" s="11"/>
      <c r="S373" s="2"/>
    </row>
    <row r="374" s="1" customFormat="1" ht="21.95" customHeight="1" spans="1:19">
      <c r="A374" s="7"/>
      <c r="B374" s="12"/>
      <c r="C374" s="33"/>
      <c r="D374" s="207" t="s">
        <v>722</v>
      </c>
      <c r="E374" s="207"/>
      <c r="F374" s="207"/>
      <c r="G374" s="207"/>
      <c r="H374" s="54">
        <f>IFERROR(VLOOKUP(F342,PASHEET!$A$4:$CJ$103,88,0),"")</f>
        <v>0</v>
      </c>
      <c r="I374" s="54"/>
      <c r="J374" s="29"/>
      <c r="K374" s="29"/>
      <c r="L374" s="29"/>
      <c r="M374" s="29"/>
      <c r="N374" s="29"/>
      <c r="O374" s="29"/>
      <c r="P374" s="19"/>
      <c r="Q374" s="14"/>
      <c r="R374" s="11"/>
    </row>
    <row r="375" s="1" customFormat="1" ht="21.95" customHeight="1" spans="1:19">
      <c r="A375" s="7"/>
      <c r="B375" s="12"/>
      <c r="C375" s="213"/>
      <c r="D375" s="207" t="s">
        <v>723</v>
      </c>
      <c r="E375" s="207"/>
      <c r="F375" s="207"/>
      <c r="G375" s="207"/>
      <c r="H375" s="54">
        <f>IFERROR(VLOOKUP(F342,PASHEET!$A$4:$CJ$103,87,0),"")</f>
        <v>0</v>
      </c>
      <c r="I375" s="54"/>
      <c r="J375" s="214"/>
      <c r="K375" s="214"/>
      <c r="L375" s="207" t="s">
        <v>724</v>
      </c>
      <c r="M375" s="207"/>
      <c r="N375" s="117" t="str">
        <f>IF(F342&gt;ENTRY!$D$24,"",IF(F342&gt;0,L366&amp;" / "&amp;600,""))</f>
        <v>104 / 600</v>
      </c>
      <c r="O375" s="117"/>
      <c r="P375" s="215"/>
      <c r="Q375" s="14"/>
      <c r="R375" s="11"/>
    </row>
    <row r="376" s="1" customFormat="1" ht="18" customHeight="1" spans="1:19">
      <c r="A376" s="7"/>
      <c r="B376" s="12"/>
      <c r="C376" s="33"/>
      <c r="D376" s="207" t="s">
        <v>725</v>
      </c>
      <c r="E376" s="207"/>
      <c r="F376" s="207"/>
      <c r="G376" s="207"/>
      <c r="H376" s="69" t="str">
        <f>IFERROR(IF(F342&gt;0,H375/H374*100),"")</f>
        <v/>
      </c>
      <c r="I376" s="69"/>
      <c r="J376" s="29"/>
      <c r="K376" s="29"/>
      <c r="L376" s="207" t="s">
        <v>726</v>
      </c>
      <c r="M376" s="207"/>
      <c r="N376" s="216">
        <f>IF(F342&gt;ENTRY!$D$24,"",IF(F342&gt;0,L366/600*100,""))</f>
        <v>17.3333333333333</v>
      </c>
      <c r="O376" s="216"/>
      <c r="P376" s="19"/>
      <c r="Q376" s="14"/>
      <c r="R376" s="11"/>
    </row>
    <row r="377" s="1" customFormat="1" ht="21.95" customHeight="1" spans="1:19">
      <c r="A377" s="7"/>
      <c r="B377" s="12"/>
      <c r="C377" s="33"/>
      <c r="D377" s="80"/>
      <c r="E377" s="80"/>
      <c r="F377" s="217"/>
      <c r="G377" s="217"/>
      <c r="H377" s="217"/>
      <c r="I377" s="217"/>
      <c r="J377" s="217"/>
      <c r="K377" s="217"/>
      <c r="L377" s="217"/>
      <c r="M377" s="217"/>
      <c r="N377" s="80"/>
      <c r="O377" s="80"/>
      <c r="P377" s="19"/>
      <c r="Q377" s="14"/>
      <c r="R377" s="11"/>
    </row>
    <row r="378" s="1" customFormat="1" ht="21.95" customHeight="1" spans="1:19">
      <c r="A378" s="7"/>
      <c r="B378" s="12"/>
      <c r="C378" s="33"/>
      <c r="D378" s="80"/>
      <c r="E378" s="218"/>
      <c r="F378" s="218"/>
      <c r="G378" s="218"/>
      <c r="H378" s="80"/>
      <c r="I378" s="218"/>
      <c r="J378" s="218"/>
      <c r="K378" s="218"/>
      <c r="L378" s="218"/>
      <c r="M378" s="80"/>
      <c r="N378" s="219"/>
      <c r="O378" s="219"/>
      <c r="P378" s="19"/>
      <c r="Q378" s="14"/>
      <c r="R378" s="11"/>
    </row>
    <row r="379" s="1" customFormat="1" ht="21.95" customHeight="1" spans="1:19">
      <c r="A379" s="7"/>
      <c r="B379" s="12"/>
      <c r="C379" s="33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19"/>
      <c r="Q379" s="14"/>
      <c r="R379" s="11"/>
    </row>
    <row r="380" s="1" customFormat="1" ht="21.95" customHeight="1" spans="1:19">
      <c r="A380" s="7"/>
      <c r="B380" s="12"/>
      <c r="C380" s="33"/>
      <c r="D380" s="218"/>
      <c r="E380" s="218"/>
      <c r="F380" s="218"/>
      <c r="G380" s="218"/>
      <c r="H380" s="218"/>
      <c r="I380" s="218"/>
      <c r="J380" s="218"/>
      <c r="K380" s="218"/>
      <c r="L380" s="218"/>
      <c r="M380" s="80"/>
      <c r="N380" s="217"/>
      <c r="O380" s="217"/>
      <c r="P380" s="85" t="s">
        <v>727</v>
      </c>
      <c r="Q380" s="14"/>
      <c r="R380" s="11"/>
    </row>
    <row r="381" s="1" customFormat="1" ht="21.95" customHeight="1" spans="1:19">
      <c r="A381" s="7"/>
      <c r="B381" s="12"/>
      <c r="C381" s="33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19"/>
      <c r="Q381" s="14"/>
      <c r="R381" s="11"/>
    </row>
    <row r="382" s="1" customFormat="1" ht="21.95" customHeight="1" spans="1:19">
      <c r="A382" s="7"/>
      <c r="B382" s="12"/>
      <c r="C382" s="33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19"/>
      <c r="Q382" s="14"/>
      <c r="R382" s="11"/>
    </row>
    <row r="383" s="1" customFormat="1" ht="21.95" customHeight="1" spans="1:19">
      <c r="A383" s="7"/>
      <c r="B383" s="12"/>
      <c r="C383" s="33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19"/>
      <c r="Q383" s="14"/>
      <c r="R383" s="11"/>
    </row>
    <row r="384" s="1" customFormat="1" ht="21.95" customHeight="1" spans="1:19">
      <c r="A384" s="7"/>
      <c r="B384" s="12"/>
      <c r="C384" s="33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19"/>
      <c r="Q384" s="14"/>
      <c r="R384" s="11"/>
    </row>
    <row r="385" s="1" customFormat="1" ht="21.95" customHeight="1" spans="1:18">
      <c r="A385" s="7"/>
      <c r="B385" s="12"/>
      <c r="C385" s="33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19"/>
      <c r="Q385" s="14"/>
      <c r="R385" s="11"/>
    </row>
    <row r="386" s="1" customFormat="1" ht="21.95" customHeight="1" spans="1:18">
      <c r="A386" s="7"/>
      <c r="B386" s="12"/>
      <c r="C386" s="33"/>
      <c r="D386" s="80" t="s">
        <v>728</v>
      </c>
      <c r="E386" s="220">
        <f>ENTRY!$D$27</f>
        <v>46102</v>
      </c>
      <c r="F386" s="220"/>
      <c r="G386" s="29"/>
      <c r="H386" s="29"/>
      <c r="I386" s="221" t="s">
        <v>729</v>
      </c>
      <c r="J386" s="153"/>
      <c r="K386" s="29"/>
      <c r="L386" s="29"/>
      <c r="M386" s="87" t="s">
        <v>730</v>
      </c>
      <c r="N386" s="87"/>
      <c r="O386" s="87"/>
      <c r="P386" s="19"/>
      <c r="Q386" s="14"/>
      <c r="R386" s="11"/>
    </row>
    <row r="387" s="1" customFormat="1" ht="21.95" customHeight="1" spans="1:18">
      <c r="A387" s="7"/>
      <c r="B387" s="12"/>
      <c r="C387" s="33"/>
      <c r="D387" s="80" t="s">
        <v>731</v>
      </c>
      <c r="E387" s="88" t="str">
        <f>PROPER(ENTRY!$D$28)</f>
        <v>New Delhi</v>
      </c>
      <c r="F387" s="88"/>
      <c r="G387" s="29"/>
      <c r="H387" s="29"/>
      <c r="I387" s="153"/>
      <c r="J387" s="153"/>
      <c r="K387" s="29"/>
      <c r="L387" s="29"/>
      <c r="M387" s="79" t="s">
        <v>732</v>
      </c>
      <c r="N387" s="79"/>
      <c r="O387" s="79"/>
      <c r="P387" s="19"/>
      <c r="Q387" s="14"/>
      <c r="R387" s="11"/>
    </row>
    <row r="388" s="1" customFormat="1" ht="21.95" customHeight="1" spans="1:18">
      <c r="A388" s="7"/>
      <c r="B388" s="12"/>
      <c r="C388" s="90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2"/>
      <c r="Q388" s="14"/>
      <c r="R388" s="11"/>
    </row>
    <row r="389" s="1" customFormat="1" ht="5.1" customHeight="1" spans="1:18">
      <c r="A389" s="7"/>
      <c r="B389" s="90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2"/>
      <c r="R389" s="11"/>
    </row>
    <row r="390" s="1" customFormat="1" ht="5.1" customHeight="1" spans="1:18">
      <c r="A390" s="93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5"/>
    </row>
    <row r="391" s="1" customFormat="1" ht="21.95" customHeight="1"/>
    <row r="392" ht="15.15"/>
    <row r="393" s="1" customFormat="1" ht="5.1" customHeight="1" spans="1:18">
      <c r="A393" s="4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6"/>
    </row>
    <row r="394" s="1" customFormat="1" ht="15" customHeight="1" spans="1:18">
      <c r="A394" s="7"/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0"/>
      <c r="R394" s="11"/>
    </row>
    <row r="395" s="1" customFormat="1" ht="21.95" customHeight="1" spans="1:18">
      <c r="A395" s="7"/>
      <c r="B395" s="12"/>
      <c r="C395" s="13" t="s">
        <v>7</v>
      </c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4"/>
      <c r="R395" s="11"/>
    </row>
    <row r="396" s="1" customFormat="1" ht="21.95" customHeight="1" spans="1:18">
      <c r="A396" s="7"/>
      <c r="B396" s="1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14"/>
      <c r="R396" s="11"/>
    </row>
    <row r="397" s="1" customFormat="1" ht="21.95" customHeight="1" spans="1:18">
      <c r="A397" s="7"/>
      <c r="B397" s="12"/>
      <c r="C397" s="15" t="str">
        <f>"SESSION-"&amp;ENTRY!$D$11</f>
        <v>SESSION-2026-27</v>
      </c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4"/>
      <c r="R397" s="11"/>
    </row>
    <row r="398" s="1" customFormat="1" ht="21.95" customHeight="1" spans="1:18">
      <c r="A398" s="7"/>
      <c r="B398" s="12"/>
      <c r="C398" s="2"/>
      <c r="D398" s="2"/>
      <c r="E398" s="2"/>
      <c r="F398" s="16">
        <f>F342+1</f>
        <v>8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14"/>
      <c r="R398" s="11"/>
    </row>
    <row r="399" s="1" customFormat="1" ht="21.95" customHeight="1" spans="1:18">
      <c r="A399" s="7"/>
      <c r="B399" s="12"/>
      <c r="C399" s="17" t="s">
        <v>392</v>
      </c>
      <c r="D399" s="17"/>
      <c r="E399" s="17"/>
      <c r="F399" s="18" t="str">
        <f>IF(F398&gt;0,ENTRY!$D$6,"")</f>
        <v>MCP NITHARI NO 1 BOYS</v>
      </c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4"/>
      <c r="R399" s="11"/>
    </row>
    <row r="400" s="1" customFormat="1" ht="21.95" customHeight="1" spans="1:18">
      <c r="A400" s="7"/>
      <c r="B400" s="12"/>
      <c r="C400" s="17" t="s">
        <v>393</v>
      </c>
      <c r="D400" s="17"/>
      <c r="E400" s="17"/>
      <c r="F400" s="18">
        <f>IF(F398&gt;0,ENTRY!$D$7,"")</f>
        <v>0</v>
      </c>
      <c r="G400" s="18"/>
      <c r="H400" s="20" t="s">
        <v>702</v>
      </c>
      <c r="I400" s="20"/>
      <c r="J400" s="21">
        <f>IF(F398&gt;0,ENTRY!$D$10,"")</f>
        <v>40</v>
      </c>
      <c r="K400" s="20" t="s">
        <v>703</v>
      </c>
      <c r="L400" s="22" t="str">
        <f>IF(F398&gt;0,ENTRY!$D$5,"")</f>
        <v>ROHINI ZONE</v>
      </c>
      <c r="M400" s="22"/>
      <c r="N400" s="22"/>
      <c r="O400" s="22"/>
      <c r="P400" s="22"/>
      <c r="Q400" s="14"/>
      <c r="R400" s="11"/>
    </row>
    <row r="401" s="1" customFormat="1" ht="21.95" customHeight="1" spans="1:18">
      <c r="A401" s="7"/>
      <c r="B401" s="12"/>
      <c r="C401" s="17" t="s">
        <v>706</v>
      </c>
      <c r="D401" s="17"/>
      <c r="E401" s="17"/>
      <c r="F401" s="23" t="str">
        <f>IFERROR(VLOOKUP(F398,STUDENT!$A$2:$BP$101,5,0),"")</f>
        <v>DEEPANSHU</v>
      </c>
      <c r="G401" s="23"/>
      <c r="H401" s="23"/>
      <c r="I401" s="23"/>
      <c r="J401" s="23"/>
      <c r="K401" s="23"/>
      <c r="L401" s="20" t="s">
        <v>707</v>
      </c>
      <c r="M401" s="20"/>
      <c r="N401" s="24" t="str">
        <f>IF(F398&gt;0,ENTRY!$D$20&amp;"-"&amp;ENTRY!$D$21,"")</f>
        <v>III-A</v>
      </c>
      <c r="O401" s="24"/>
      <c r="P401" s="24"/>
      <c r="Q401" s="14"/>
      <c r="R401" s="11"/>
    </row>
    <row r="402" s="1" customFormat="1" ht="21.95" customHeight="1" spans="1:18">
      <c r="A402" s="7"/>
      <c r="B402" s="12"/>
      <c r="C402" s="17" t="s">
        <v>708</v>
      </c>
      <c r="D402" s="17"/>
      <c r="E402" s="17"/>
      <c r="F402" s="25">
        <f>IFERROR(VLOOKUP(F398,STUDENT!$A$2:$BP$101,6,0),"")</f>
        <v>14769</v>
      </c>
      <c r="G402" s="25"/>
      <c r="H402" s="26" t="s">
        <v>709</v>
      </c>
      <c r="I402" s="27" t="str">
        <f>IFERROR(VLOOKUP(F398,STUDENT!$A$2:$BP$101,59,0),"")</f>
        <v/>
      </c>
      <c r="J402" s="27"/>
      <c r="K402" s="20" t="s">
        <v>710</v>
      </c>
      <c r="L402" s="20"/>
      <c r="M402" s="28">
        <f>IFERROR(VLOOKUP(F398,STUDENT!$A$2:$BP$101,20,0),"")</f>
        <v>8743977680</v>
      </c>
      <c r="N402" s="28"/>
      <c r="O402" s="28"/>
      <c r="P402" s="28"/>
      <c r="Q402" s="14"/>
      <c r="R402" s="11"/>
    </row>
    <row r="403" s="1" customFormat="1" ht="21.95" customHeight="1" spans="1:18">
      <c r="A403" s="7"/>
      <c r="B403" s="12"/>
      <c r="C403" s="17" t="s">
        <v>711</v>
      </c>
      <c r="D403" s="17"/>
      <c r="E403" s="17"/>
      <c r="F403" s="23" t="str">
        <f>IFERROR(VLOOKUP(F398,STUDENT!$A$2:$BP$101,9,0),"")</f>
        <v>GUDIYA DEVI</v>
      </c>
      <c r="G403" s="23"/>
      <c r="H403" s="23"/>
      <c r="I403" s="23"/>
      <c r="J403" s="17" t="s">
        <v>620</v>
      </c>
      <c r="K403" s="17"/>
      <c r="L403" s="23" t="str">
        <f>IFERROR(VLOOKUP(F398,STUDENT!$A$2:$BP$101,8,0),"")</f>
        <v>AKHILESH KUMAR</v>
      </c>
      <c r="M403" s="23"/>
      <c r="N403" s="23"/>
      <c r="O403" s="23"/>
      <c r="P403" s="23"/>
      <c r="Q403" s="14"/>
      <c r="R403" s="11"/>
    </row>
    <row r="404" s="1" customFormat="1" ht="21.95" customHeight="1" spans="1:18">
      <c r="A404" s="7"/>
      <c r="B404" s="12"/>
      <c r="C404" s="17" t="s">
        <v>712</v>
      </c>
      <c r="D404" s="17"/>
      <c r="E404" s="17"/>
      <c r="F404" s="23" t="str">
        <f>IFERROR(VLOOKUP(F398,STUDENT!$A$2:$BP$101,22,0),"")</f>
        <v>G 225/8 JANTA ENCLAVE PREM NAGAR</v>
      </c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14"/>
      <c r="R404" s="11"/>
    </row>
    <row r="405" s="1" customFormat="1" ht="9.95" customHeight="1" spans="1:18">
      <c r="A405" s="7"/>
      <c r="B405" s="12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14"/>
      <c r="R405" s="11"/>
    </row>
    <row r="406" s="1" customFormat="1" ht="9.95" customHeight="1" spans="1:18">
      <c r="A406" s="7"/>
      <c r="B406" s="12"/>
      <c r="C406" s="30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2"/>
      <c r="Q406" s="14"/>
      <c r="R406" s="11"/>
    </row>
    <row r="407" s="1" customFormat="1" ht="21.95" customHeight="1" spans="1:18">
      <c r="A407" s="7"/>
      <c r="B407" s="12"/>
      <c r="C407" s="33"/>
      <c r="D407" s="34" t="s">
        <v>713</v>
      </c>
      <c r="E407" s="20" t="s">
        <v>714</v>
      </c>
      <c r="F407" s="35" t="str">
        <f>"Level - "&amp;IFERROR(VLOOKUP(F398,FLN!$A$4:$K$103,9,0),"")</f>
        <v>Level - 2</v>
      </c>
      <c r="G407" s="36"/>
      <c r="H407" s="37" t="s">
        <v>715</v>
      </c>
      <c r="I407" s="20"/>
      <c r="J407" s="35" t="str">
        <f>"Level - "&amp;IFERROR(VLOOKUP(F398,FLN!$A$4:$K$103,11,0),"")</f>
        <v>Level - 3</v>
      </c>
      <c r="K407" s="36"/>
      <c r="L407" s="37" t="s">
        <v>408</v>
      </c>
      <c r="M407" s="20"/>
      <c r="N407" s="35" t="str">
        <f>"Level - "&amp;IFERROR(VLOOKUP(F398,FLN!$A$4:$K$103,10,0),"")</f>
        <v>Level - 2</v>
      </c>
      <c r="O407" s="36"/>
      <c r="P407" s="19"/>
      <c r="Q407" s="14"/>
      <c r="R407" s="11"/>
    </row>
    <row r="408" s="1" customFormat="1" ht="21.95" customHeight="1" spans="1:18">
      <c r="A408" s="7"/>
      <c r="B408" s="12"/>
      <c r="C408" s="33"/>
      <c r="D408" s="38"/>
      <c r="E408" s="20" t="s">
        <v>716</v>
      </c>
      <c r="F408" s="18" t="str">
        <f>IF(L422&gt;197,"PERFORMED WELL","")</f>
        <v/>
      </c>
      <c r="G408" s="18"/>
      <c r="H408" s="18"/>
      <c r="I408" s="18"/>
      <c r="J408" s="18"/>
      <c r="K408" s="18"/>
      <c r="L408" s="18"/>
      <c r="M408" s="18"/>
      <c r="N408" s="18"/>
      <c r="O408" s="18"/>
      <c r="P408" s="19"/>
      <c r="Q408" s="14"/>
      <c r="R408" s="11"/>
    </row>
    <row r="409" s="1" customFormat="1" ht="9.95" customHeight="1" spans="1:18">
      <c r="A409" s="7"/>
      <c r="B409" s="12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1"/>
      <c r="Q409" s="14"/>
      <c r="R409" s="11"/>
    </row>
    <row r="410" s="1" customFormat="1" ht="9.95" customHeight="1" spans="1:18">
      <c r="A410" s="7"/>
      <c r="B410" s="12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14"/>
      <c r="R410" s="11"/>
    </row>
    <row r="411" s="1" customFormat="1" ht="9.95" customHeight="1" spans="1:18">
      <c r="A411" s="7"/>
      <c r="B411" s="12"/>
      <c r="C411" s="30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2"/>
      <c r="Q411" s="14"/>
      <c r="R411" s="11"/>
    </row>
    <row r="412" s="1" customFormat="1" ht="21.95" customHeight="1" spans="1:18">
      <c r="A412" s="7"/>
      <c r="B412" s="12"/>
      <c r="C412" s="33"/>
      <c r="D412" s="35"/>
      <c r="E412" s="24"/>
      <c r="F412" s="24"/>
      <c r="G412" s="47" t="s">
        <v>717</v>
      </c>
      <c r="H412" s="47"/>
      <c r="I412" s="47"/>
      <c r="J412" s="47"/>
      <c r="K412" s="47"/>
      <c r="L412" s="47"/>
      <c r="M412" s="47"/>
      <c r="N412" s="47"/>
      <c r="O412" s="29"/>
      <c r="P412" s="19"/>
      <c r="Q412" s="14"/>
      <c r="R412" s="11"/>
    </row>
    <row r="413" s="1" customFormat="1" ht="21.95" customHeight="1" spans="1:18">
      <c r="A413" s="7"/>
      <c r="B413" s="12"/>
      <c r="C413" s="33"/>
      <c r="D413" s="47"/>
      <c r="E413" s="47"/>
      <c r="F413" s="47"/>
      <c r="G413" s="47" t="s">
        <v>541</v>
      </c>
      <c r="H413" s="47" t="s">
        <v>542</v>
      </c>
      <c r="I413" s="47" t="s">
        <v>543</v>
      </c>
      <c r="J413" s="47" t="s">
        <v>544</v>
      </c>
      <c r="K413" s="47" t="s">
        <v>561</v>
      </c>
      <c r="L413" s="47" t="s">
        <v>382</v>
      </c>
      <c r="M413" s="49" t="s">
        <v>546</v>
      </c>
      <c r="N413" s="49"/>
      <c r="O413" s="29"/>
      <c r="P413" s="19"/>
      <c r="Q413" s="14"/>
      <c r="R413" s="11"/>
    </row>
    <row r="414" s="1" customFormat="1" ht="21.95" customHeight="1" spans="1:18">
      <c r="A414" s="7"/>
      <c r="B414" s="12"/>
      <c r="C414" s="33"/>
      <c r="D414" s="207" t="s">
        <v>652</v>
      </c>
      <c r="E414" s="207"/>
      <c r="F414" s="207"/>
      <c r="G414" s="50">
        <v>10</v>
      </c>
      <c r="H414" s="50">
        <v>10</v>
      </c>
      <c r="I414" s="50">
        <v>10</v>
      </c>
      <c r="J414" s="50">
        <v>10</v>
      </c>
      <c r="K414" s="50">
        <v>60</v>
      </c>
      <c r="L414" s="50">
        <v>100</v>
      </c>
      <c r="M414" s="49"/>
      <c r="N414" s="49"/>
      <c r="O414" s="29"/>
      <c r="P414" s="19"/>
      <c r="Q414" s="14"/>
      <c r="R414" s="11"/>
    </row>
    <row r="415" s="1" customFormat="1" ht="21.95" customHeight="1" spans="1:18">
      <c r="A415" s="7"/>
      <c r="B415" s="12"/>
      <c r="C415" s="33"/>
      <c r="D415" s="117" t="s">
        <v>668</v>
      </c>
      <c r="E415" s="117"/>
      <c r="F415" s="117"/>
      <c r="G415" s="54">
        <f>IFERROR(VLOOKUP(F398,'1to4-2.1-RR'!$A$12:$BG$111,9,0),"")</f>
        <v>2</v>
      </c>
      <c r="H415" s="54">
        <f>IFERROR(VLOOKUP(F398,'1to4-2.1-RR'!$A$12:$BG$111,10,0),"")</f>
        <v>0</v>
      </c>
      <c r="I415" s="54">
        <f>IFERROR(VLOOKUP(F398,'1to4-2.1-RR'!$A$12:$BG$111,11,0),"")</f>
        <v>0</v>
      </c>
      <c r="J415" s="54">
        <f>IFERROR(VLOOKUP(F398,'1to4-2.1-RR'!$A$12:$BG$111,12,0),"")</f>
        <v>0</v>
      </c>
      <c r="K415" s="54">
        <f>IFERROR(VLOOKUP(F398,'1to4-2.1-RR'!$A$12:$BG$111,13,0),"")</f>
        <v>45</v>
      </c>
      <c r="L415" s="55">
        <f>SUM(G415:K415)</f>
        <v>47</v>
      </c>
      <c r="M415" s="56" t="str">
        <f>IF(F398&gt;ENTRY!$D$24,"",IF(L415=0,"Ab",IF(L415&gt;80,"A",IF(L415&gt;60,"B",IF(L415&gt;44,"C",IF(L415&gt;=33,"D",IF(L415&lt;=32,"E","")))))))</f>
        <v>C</v>
      </c>
      <c r="N415" s="56"/>
      <c r="O415" s="29"/>
      <c r="P415" s="19"/>
      <c r="Q415" s="14"/>
      <c r="R415" s="11"/>
    </row>
    <row r="416" s="1" customFormat="1" ht="21.95" customHeight="1" spans="1:18">
      <c r="A416" s="7"/>
      <c r="B416" s="12"/>
      <c r="C416" s="33"/>
      <c r="D416" s="117" t="s">
        <v>513</v>
      </c>
      <c r="E416" s="117"/>
      <c r="F416" s="117"/>
      <c r="G416" s="54">
        <f>IFERROR(VLOOKUP(F398,'1to4-2.1-RR'!$A$12:$BG$111,16,0),"")</f>
        <v>1</v>
      </c>
      <c r="H416" s="54">
        <f>IFERROR(VLOOKUP(F398,'1to4-2.1-RR'!$A$12:$BG$111,17,0),"")</f>
        <v>0</v>
      </c>
      <c r="I416" s="54">
        <f>IFERROR(VLOOKUP(F398,'1to4-2.1-RR'!$A$12:$BG$111,18,0),"")</f>
        <v>0</v>
      </c>
      <c r="J416" s="54">
        <f>IFERROR(VLOOKUP(F398,'1to4-2.1-RR'!$A$12:$BG$111,19,0),"")</f>
        <v>0</v>
      </c>
      <c r="K416" s="54">
        <f>IFERROR(VLOOKUP(F398,'1to4-2.1-RR'!$A$12:$BG$111,20,0),"")</f>
        <v>17</v>
      </c>
      <c r="L416" s="55">
        <f t="shared" ref="L416:L421" si="14">SUM(G416:K416)</f>
        <v>18</v>
      </c>
      <c r="M416" s="56" t="str">
        <f>IF(F398&gt;ENTRY!$D$24,"",IF(L416=0,"Ab",IF(L416&gt;80,"A",IF(L416&gt;60,"B",IF(L416&gt;44,"C",IF(L416&gt;=33,"D",IF(L416&lt;=32,"E","")))))))</f>
        <v>E</v>
      </c>
      <c r="N416" s="56"/>
      <c r="O416" s="29"/>
      <c r="P416" s="19"/>
      <c r="Q416" s="14"/>
      <c r="R416" s="11"/>
    </row>
    <row r="417" s="1" customFormat="1" ht="21.95" customHeight="1" spans="1:19">
      <c r="A417" s="7"/>
      <c r="B417" s="12"/>
      <c r="C417" s="33"/>
      <c r="D417" s="117" t="s">
        <v>718</v>
      </c>
      <c r="E417" s="117"/>
      <c r="F417" s="117"/>
      <c r="G417" s="54">
        <f>IFERROR(VLOOKUP(F398,'1to4-2.1-RR'!$A$12:$BG$111,23,0),"")</f>
        <v>2</v>
      </c>
      <c r="H417" s="54">
        <f>IFERROR(VLOOKUP(F398,'1to4-2.1-RR'!$A$12:$BG$111,24,0),"")</f>
        <v>0</v>
      </c>
      <c r="I417" s="54">
        <f>IFERROR(VLOOKUP(F398,'1to4-2.1-RR'!$A$12:$BG$111,25,0),"")</f>
        <v>0</v>
      </c>
      <c r="J417" s="54">
        <f>IFERROR(VLOOKUP(F398,'1to4-2.1-RR'!$A$12:$BG$111,26,0),"")</f>
        <v>0</v>
      </c>
      <c r="K417" s="54">
        <f>IFERROR(VLOOKUP(F398,'1to4-2.1-RR'!$A$12:$BG$111,27,0),"")</f>
        <v>21</v>
      </c>
      <c r="L417" s="55">
        <f t="shared" si="14"/>
        <v>23</v>
      </c>
      <c r="M417" s="56" t="str">
        <f>IF(F398&gt;ENTRY!$D$24,"",IF(L417=0,"Ab",IF(L417&gt;80,"A",IF(L417&gt;60,"B",IF(L417&gt;44,"C",IF(L417&gt;=33,"D",IF(L417&lt;=32,"E","")))))))</f>
        <v>E</v>
      </c>
      <c r="N417" s="56"/>
      <c r="O417" s="29"/>
      <c r="P417" s="19"/>
      <c r="Q417" s="14"/>
      <c r="R417" s="11"/>
    </row>
    <row r="418" s="1" customFormat="1" ht="21.95" customHeight="1" spans="1:19">
      <c r="A418" s="7"/>
      <c r="B418" s="12"/>
      <c r="C418" s="33"/>
      <c r="D418" s="117" t="s">
        <v>719</v>
      </c>
      <c r="E418" s="117"/>
      <c r="F418" s="117"/>
      <c r="G418" s="54">
        <f>IFERROR(VLOOKUP(F398,'1to4-2.1-RR'!$A$12:$BG$111,30,0),"")</f>
        <v>2</v>
      </c>
      <c r="H418" s="54">
        <f>IFERROR(VLOOKUP(F398,'1to4-2.1-RR'!$A$12:$BG$111,31,0),"")</f>
        <v>0</v>
      </c>
      <c r="I418" s="54">
        <f>IFERROR(VLOOKUP(F398,'1to4-2.1-RR'!$A$12:$BG$111,32,0),"")</f>
        <v>0</v>
      </c>
      <c r="J418" s="54">
        <f>IFERROR(VLOOKUP(F398,'1to4-2.1-RR'!$A$12:$BG$111,33,0),"")</f>
        <v>0</v>
      </c>
      <c r="K418" s="54">
        <f>IFERROR(VLOOKUP(F398,'1to4-2.1-RR'!$A$12:$BG$111,34,0),"")</f>
        <v>21</v>
      </c>
      <c r="L418" s="55">
        <f t="shared" si="14"/>
        <v>23</v>
      </c>
      <c r="M418" s="56" t="str">
        <f>IF(F398&gt;ENTRY!$D$24,"",IF(L418=0,"Ab",IF(L418&gt;80,"A",IF(L418&gt;60,"B",IF(L418&gt;44,"C",IF(L418&gt;=33,"D",IF(L418&lt;=32,"E","")))))))</f>
        <v>E</v>
      </c>
      <c r="N418" s="56"/>
      <c r="O418" s="29"/>
      <c r="P418" s="19"/>
      <c r="Q418" s="14"/>
      <c r="R418" s="11"/>
    </row>
    <row r="419" s="1" customFormat="1" ht="21.95" customHeight="1" spans="1:19">
      <c r="A419" s="7"/>
      <c r="B419" s="12"/>
      <c r="C419" s="33"/>
      <c r="D419" s="117" t="s">
        <v>548</v>
      </c>
      <c r="E419" s="117"/>
      <c r="F419" s="117"/>
      <c r="G419" s="54">
        <f>IFERROR(VLOOKUP(F398,'1to4-2.1-RR'!$A$12:$BG$111,37,0),"")</f>
        <v>0</v>
      </c>
      <c r="H419" s="54">
        <f>IFERROR(VLOOKUP(F398,'1to4-2.1-RR'!$A$12:$BG$111,38,0),"")</f>
        <v>0</v>
      </c>
      <c r="I419" s="54">
        <f>IFERROR(VLOOKUP(F398,'1to4-2.1-RR'!$A$12:$BG$111,39,0),"")</f>
        <v>0</v>
      </c>
      <c r="J419" s="54">
        <f>IFERROR(VLOOKUP(F398,'1to4-2.1-RR'!$A$12:$BG$111,40,0),"")</f>
        <v>0</v>
      </c>
      <c r="K419" s="54">
        <f>IFERROR(VLOOKUP(F398,'1to4-2.1-RR'!$A$12:$BG$111,41,0),"")</f>
        <v>22</v>
      </c>
      <c r="L419" s="55">
        <f t="shared" si="14"/>
        <v>22</v>
      </c>
      <c r="M419" s="56" t="str">
        <f>IF(F398&gt;ENTRY!$D$24,"",IF(L419=0,"Ab",IF(L419&gt;80,"A",IF(L419&gt;60,"B",IF(L419&gt;44,"C",IF(L419&gt;=33,"D",IF(L419&lt;=32,"E","")))))))</f>
        <v>E</v>
      </c>
      <c r="N419" s="56"/>
      <c r="O419" s="29"/>
      <c r="P419" s="19"/>
      <c r="Q419" s="14"/>
      <c r="R419" s="11"/>
    </row>
    <row r="420" s="1" customFormat="1" ht="21.95" customHeight="1" spans="1:19">
      <c r="A420" s="7"/>
      <c r="B420" s="12"/>
      <c r="C420" s="33"/>
      <c r="D420" s="117" t="s">
        <v>549</v>
      </c>
      <c r="E420" s="117"/>
      <c r="F420" s="117"/>
      <c r="G420" s="54">
        <f>IFERROR(VLOOKUP(F398,'1to4-2.1-RR'!$A$12:$BG$111,44,0),"")</f>
        <v>2</v>
      </c>
      <c r="H420" s="54">
        <f>IFERROR(VLOOKUP(F398,'1to4-2.1-RR'!$A$12:$BG$111,45,0),"")</f>
        <v>0</v>
      </c>
      <c r="I420" s="54">
        <f>IFERROR(VLOOKUP(F398,'1to4-2.1-RR'!$A$12:$BG$111,46,0),"")</f>
        <v>0</v>
      </c>
      <c r="J420" s="54">
        <f>IFERROR(VLOOKUP(F398,'1to4-2.1-RR'!$A$12:$BG$111,47,0),"")</f>
        <v>0</v>
      </c>
      <c r="K420" s="54">
        <f>IFERROR(VLOOKUP(F398,'1to4-2.1-RR'!$A$12:$BG$111,48,0),"")</f>
        <v>28</v>
      </c>
      <c r="L420" s="55">
        <f t="shared" si="14"/>
        <v>30</v>
      </c>
      <c r="M420" s="56" t="str">
        <f>IF(F398&gt;ENTRY!$D$24,"",IF(L420=0,"Ab",IF(L420&gt;80,"A",IF(L420&gt;60,"B",IF(L420&gt;44,"C",IF(L420&gt;=33,"D",IF(L420&lt;=32,"E","")))))))</f>
        <v>E</v>
      </c>
      <c r="N420" s="56"/>
      <c r="O420" s="29"/>
      <c r="P420" s="19"/>
      <c r="Q420" s="14"/>
      <c r="R420" s="11"/>
    </row>
    <row r="421" s="1" customFormat="1" ht="21.95" customHeight="1" spans="1:19">
      <c r="A421" s="7"/>
      <c r="B421" s="12"/>
      <c r="C421" s="33"/>
      <c r="D421" s="117" t="s">
        <v>720</v>
      </c>
      <c r="E421" s="117"/>
      <c r="F421" s="117"/>
      <c r="G421" s="54"/>
      <c r="H421" s="54"/>
      <c r="I421" s="54"/>
      <c r="J421" s="54"/>
      <c r="K421" s="54"/>
      <c r="L421" s="55">
        <f t="shared" si="14"/>
        <v>0</v>
      </c>
      <c r="M421" s="56" t="str">
        <f>IF(F398&gt;ENTRY!$D$24,"",IF(L421=0,"",IF(L421&gt;79,"A",IF(L421&gt;59,"B",IF(L421&gt;44,"C",IF(L421&gt;=33,"D",IF(L421&lt;=32,"E","")))))))</f>
        <v/>
      </c>
      <c r="N421" s="56"/>
      <c r="O421" s="29"/>
      <c r="P421" s="19"/>
      <c r="Q421" s="14"/>
      <c r="R421" s="11"/>
    </row>
    <row r="422" s="1" customFormat="1" ht="21.95" customHeight="1" spans="1:19">
      <c r="A422" s="7"/>
      <c r="B422" s="12"/>
      <c r="C422" s="33"/>
      <c r="D422" s="207" t="s">
        <v>382</v>
      </c>
      <c r="E422" s="207"/>
      <c r="F422" s="207"/>
      <c r="G422" s="54">
        <f t="shared" ref="G422:L422" si="15">IFERROR(SUM(G415:G421),"")</f>
        <v>9</v>
      </c>
      <c r="H422" s="54">
        <f t="shared" si="15"/>
        <v>0</v>
      </c>
      <c r="I422" s="54">
        <f t="shared" si="15"/>
        <v>0</v>
      </c>
      <c r="J422" s="54">
        <f t="shared" si="15"/>
        <v>0</v>
      </c>
      <c r="K422" s="54">
        <f t="shared" si="15"/>
        <v>154</v>
      </c>
      <c r="L422" s="55">
        <f t="shared" si="15"/>
        <v>163</v>
      </c>
      <c r="M422" s="61" t="str">
        <f>IF(F398&gt;ENTRY!$D$24,"",IF(N423="Ab","Ab",IF(N423&gt;79.5,"A",IF(N423&gt;59.5,"B",IF(N423&gt;44.5,"C",IF(N423&gt;=33,"D",IF(N423&lt;33,"E","")))))))</f>
        <v>E</v>
      </c>
      <c r="N422" s="61"/>
      <c r="O422" s="29"/>
      <c r="P422" s="19"/>
      <c r="Q422" s="14"/>
      <c r="R422" s="11"/>
    </row>
    <row r="423" s="1" customFormat="1" ht="21.95" customHeight="1" spans="1:19">
      <c r="A423" s="7"/>
      <c r="B423" s="12"/>
      <c r="C423" s="33"/>
      <c r="D423" s="63" t="s">
        <v>721</v>
      </c>
      <c r="E423" s="63"/>
      <c r="F423" s="63"/>
      <c r="G423" s="63"/>
      <c r="H423" s="63"/>
      <c r="I423" s="63"/>
      <c r="J423" s="63"/>
      <c r="K423" s="63"/>
      <c r="L423" s="63"/>
      <c r="M423" s="209"/>
      <c r="N423" s="64">
        <f>IF(L422="Ab","Ab",L422/6)</f>
        <v>27.1666666666667</v>
      </c>
      <c r="O423" s="65"/>
      <c r="P423" s="19"/>
      <c r="Q423" s="14"/>
      <c r="R423" s="11"/>
    </row>
    <row r="424" s="1" customFormat="1" ht="21.95" customHeight="1" spans="1:19">
      <c r="A424" s="7"/>
      <c r="B424" s="12"/>
      <c r="C424" s="33"/>
      <c r="D424" s="29" t="s">
        <v>716</v>
      </c>
      <c r="E424" s="18" t="str">
        <f>IFERROR(VLOOKUP(F398,'1to4-2.1-RR'!$A$12:$BG$111,57,0),"")</f>
        <v>PROMOTED</v>
      </c>
      <c r="F424" s="18"/>
      <c r="G424" s="18"/>
      <c r="H424" s="18"/>
      <c r="I424" s="18"/>
      <c r="J424" s="18"/>
      <c r="K424" s="18"/>
      <c r="L424" s="18"/>
      <c r="M424" s="18"/>
      <c r="N424" s="29"/>
      <c r="O424" s="29"/>
      <c r="P424" s="19"/>
      <c r="Q424" s="14"/>
      <c r="R424" s="11"/>
    </row>
    <row r="425" s="1" customFormat="1" ht="9.95" customHeight="1" spans="1:19">
      <c r="A425" s="7"/>
      <c r="B425" s="12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1"/>
      <c r="Q425" s="14"/>
      <c r="R425" s="11"/>
    </row>
    <row r="426" s="1" customFormat="1" ht="9.95" customHeight="1" spans="1:19">
      <c r="A426" s="7"/>
      <c r="B426" s="12"/>
      <c r="C426" s="30"/>
      <c r="D426" s="31"/>
      <c r="E426" s="31"/>
      <c r="F426" s="29"/>
      <c r="G426" s="31"/>
      <c r="H426" s="31"/>
      <c r="I426" s="31"/>
      <c r="J426" s="31"/>
      <c r="K426" s="31"/>
      <c r="L426" s="31"/>
      <c r="M426" s="31"/>
      <c r="N426" s="31"/>
      <c r="O426" s="31"/>
      <c r="P426" s="32"/>
      <c r="Q426" s="14"/>
      <c r="R426" s="11"/>
    </row>
    <row r="427" s="1" customFormat="1" ht="9.95" customHeight="1" spans="1:19">
      <c r="A427" s="7"/>
      <c r="B427" s="12"/>
      <c r="C427" s="33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19"/>
      <c r="Q427" s="14"/>
      <c r="R427" s="11"/>
    </row>
    <row r="428" s="1" customFormat="1" ht="9.95" customHeight="1" spans="1:19">
      <c r="A428" s="7"/>
      <c r="B428" s="12"/>
      <c r="C428" s="33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19"/>
      <c r="Q428" s="14"/>
      <c r="R428" s="11"/>
    </row>
    <row r="429" s="1" customFormat="1" ht="21.95" customHeight="1" spans="1:19">
      <c r="A429" s="7"/>
      <c r="B429" s="12"/>
      <c r="C429" s="210"/>
      <c r="D429" s="211"/>
      <c r="E429" s="211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2"/>
      <c r="Q429" s="14"/>
      <c r="R429" s="11"/>
      <c r="S429" s="2"/>
    </row>
    <row r="430" s="1" customFormat="1" ht="21.95" customHeight="1" spans="1:19">
      <c r="A430" s="7"/>
      <c r="B430" s="12"/>
      <c r="C430" s="33"/>
      <c r="D430" s="207" t="s">
        <v>722</v>
      </c>
      <c r="E430" s="207"/>
      <c r="F430" s="207"/>
      <c r="G430" s="207"/>
      <c r="H430" s="54">
        <f>IFERROR(VLOOKUP(F398,PASHEET!$A$4:$CJ$103,88,0),"")</f>
        <v>0</v>
      </c>
      <c r="I430" s="54"/>
      <c r="J430" s="29"/>
      <c r="K430" s="29"/>
      <c r="L430" s="29"/>
      <c r="M430" s="29"/>
      <c r="N430" s="29"/>
      <c r="O430" s="29"/>
      <c r="P430" s="19"/>
      <c r="Q430" s="14"/>
      <c r="R430" s="11"/>
    </row>
    <row r="431" s="1" customFormat="1" ht="21.95" customHeight="1" spans="1:19">
      <c r="A431" s="7"/>
      <c r="B431" s="12"/>
      <c r="C431" s="213"/>
      <c r="D431" s="207" t="s">
        <v>723</v>
      </c>
      <c r="E431" s="207"/>
      <c r="F431" s="207"/>
      <c r="G431" s="207"/>
      <c r="H431" s="54">
        <f>IFERROR(VLOOKUP(F398,PASHEET!$A$4:$CJ$103,87,0),"")</f>
        <v>0</v>
      </c>
      <c r="I431" s="54"/>
      <c r="J431" s="214"/>
      <c r="K431" s="214"/>
      <c r="L431" s="207" t="s">
        <v>724</v>
      </c>
      <c r="M431" s="207"/>
      <c r="N431" s="117" t="str">
        <f>IF(F398&gt;ENTRY!$D$24,"",IF(F398&gt;0,L422&amp;" / "&amp;600,""))</f>
        <v>163 / 600</v>
      </c>
      <c r="O431" s="117"/>
      <c r="P431" s="215"/>
      <c r="Q431" s="14"/>
      <c r="R431" s="11"/>
    </row>
    <row r="432" s="1" customFormat="1" ht="18" customHeight="1" spans="1:19">
      <c r="A432" s="7"/>
      <c r="B432" s="12"/>
      <c r="C432" s="33"/>
      <c r="D432" s="207" t="s">
        <v>725</v>
      </c>
      <c r="E432" s="207"/>
      <c r="F432" s="207"/>
      <c r="G432" s="207"/>
      <c r="H432" s="69" t="str">
        <f>IFERROR(IF(F398&gt;0,H431/H430*100),"")</f>
        <v/>
      </c>
      <c r="I432" s="69"/>
      <c r="J432" s="29"/>
      <c r="K432" s="29"/>
      <c r="L432" s="207" t="s">
        <v>726</v>
      </c>
      <c r="M432" s="207"/>
      <c r="N432" s="216">
        <f>IF(F398&gt;ENTRY!$D$24,"",IF(F398&gt;0,L422/600*100,""))</f>
        <v>27.1666666666667</v>
      </c>
      <c r="O432" s="216"/>
      <c r="P432" s="19"/>
      <c r="Q432" s="14"/>
      <c r="R432" s="11"/>
    </row>
    <row r="433" s="1" customFormat="1" ht="21.95" customHeight="1" spans="1:18">
      <c r="A433" s="7"/>
      <c r="B433" s="12"/>
      <c r="C433" s="33"/>
      <c r="D433" s="80"/>
      <c r="E433" s="80"/>
      <c r="F433" s="217"/>
      <c r="G433" s="217"/>
      <c r="H433" s="217"/>
      <c r="I433" s="217"/>
      <c r="J433" s="217"/>
      <c r="K433" s="217"/>
      <c r="L433" s="217"/>
      <c r="M433" s="217"/>
      <c r="N433" s="80"/>
      <c r="O433" s="80"/>
      <c r="P433" s="19"/>
      <c r="Q433" s="14"/>
      <c r="R433" s="11"/>
    </row>
    <row r="434" s="1" customFormat="1" ht="21.95" customHeight="1" spans="1:18">
      <c r="A434" s="7"/>
      <c r="B434" s="12"/>
      <c r="C434" s="33"/>
      <c r="D434" s="80"/>
      <c r="E434" s="218"/>
      <c r="F434" s="218"/>
      <c r="G434" s="218"/>
      <c r="H434" s="80"/>
      <c r="I434" s="218"/>
      <c r="J434" s="218"/>
      <c r="K434" s="218"/>
      <c r="L434" s="218"/>
      <c r="M434" s="80"/>
      <c r="N434" s="219"/>
      <c r="O434" s="219"/>
      <c r="P434" s="19"/>
      <c r="Q434" s="14"/>
      <c r="R434" s="11"/>
    </row>
    <row r="435" s="1" customFormat="1" ht="21.95" customHeight="1" spans="1:18">
      <c r="A435" s="7"/>
      <c r="B435" s="12"/>
      <c r="C435" s="33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19"/>
      <c r="Q435" s="14"/>
      <c r="R435" s="11"/>
    </row>
    <row r="436" s="1" customFormat="1" ht="21.95" customHeight="1" spans="1:18">
      <c r="A436" s="7"/>
      <c r="B436" s="12"/>
      <c r="C436" s="33"/>
      <c r="D436" s="218"/>
      <c r="E436" s="218"/>
      <c r="F436" s="218"/>
      <c r="G436" s="218"/>
      <c r="H436" s="218"/>
      <c r="I436" s="218"/>
      <c r="J436" s="218"/>
      <c r="K436" s="218"/>
      <c r="L436" s="218"/>
      <c r="M436" s="80"/>
      <c r="N436" s="217"/>
      <c r="O436" s="217"/>
      <c r="P436" s="85" t="s">
        <v>727</v>
      </c>
      <c r="Q436" s="14"/>
      <c r="R436" s="11"/>
    </row>
    <row r="437" s="1" customFormat="1" ht="21.95" customHeight="1" spans="1:18">
      <c r="A437" s="7"/>
      <c r="B437" s="12"/>
      <c r="C437" s="33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19"/>
      <c r="Q437" s="14"/>
      <c r="R437" s="11"/>
    </row>
    <row r="438" s="1" customFormat="1" ht="21.95" customHeight="1" spans="1:18">
      <c r="A438" s="7"/>
      <c r="B438" s="12"/>
      <c r="C438" s="33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19"/>
      <c r="Q438" s="14"/>
      <c r="R438" s="11"/>
    </row>
    <row r="439" s="1" customFormat="1" ht="21.95" customHeight="1" spans="1:18">
      <c r="A439" s="7"/>
      <c r="B439" s="12"/>
      <c r="C439" s="33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19"/>
      <c r="Q439" s="14"/>
      <c r="R439" s="11"/>
    </row>
    <row r="440" s="1" customFormat="1" ht="21.95" customHeight="1" spans="1:18">
      <c r="A440" s="7"/>
      <c r="B440" s="12"/>
      <c r="C440" s="33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19"/>
      <c r="Q440" s="14"/>
      <c r="R440" s="11"/>
    </row>
    <row r="441" s="1" customFormat="1" ht="21.95" customHeight="1" spans="1:18">
      <c r="A441" s="7"/>
      <c r="B441" s="12"/>
      <c r="C441" s="33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19"/>
      <c r="Q441" s="14"/>
      <c r="R441" s="11"/>
    </row>
    <row r="442" s="1" customFormat="1" ht="21.95" customHeight="1" spans="1:18">
      <c r="A442" s="7"/>
      <c r="B442" s="12"/>
      <c r="C442" s="33"/>
      <c r="D442" s="80" t="s">
        <v>728</v>
      </c>
      <c r="E442" s="220">
        <f>ENTRY!$D$27</f>
        <v>46102</v>
      </c>
      <c r="F442" s="220"/>
      <c r="G442" s="29"/>
      <c r="H442" s="29"/>
      <c r="I442" s="221" t="s">
        <v>729</v>
      </c>
      <c r="J442" s="153"/>
      <c r="K442" s="29"/>
      <c r="L442" s="29"/>
      <c r="M442" s="87" t="s">
        <v>730</v>
      </c>
      <c r="N442" s="87"/>
      <c r="O442" s="87"/>
      <c r="P442" s="19"/>
      <c r="Q442" s="14"/>
      <c r="R442" s="11"/>
    </row>
    <row r="443" s="1" customFormat="1" ht="21.95" customHeight="1" spans="1:18">
      <c r="A443" s="7"/>
      <c r="B443" s="12"/>
      <c r="C443" s="33"/>
      <c r="D443" s="80" t="s">
        <v>731</v>
      </c>
      <c r="E443" s="88" t="str">
        <f>PROPER(ENTRY!$D$28)</f>
        <v>New Delhi</v>
      </c>
      <c r="F443" s="88"/>
      <c r="G443" s="29"/>
      <c r="H443" s="29"/>
      <c r="I443" s="153"/>
      <c r="J443" s="153"/>
      <c r="K443" s="29"/>
      <c r="L443" s="29"/>
      <c r="M443" s="79" t="s">
        <v>732</v>
      </c>
      <c r="N443" s="79"/>
      <c r="O443" s="79"/>
      <c r="P443" s="19"/>
      <c r="Q443" s="14"/>
      <c r="R443" s="11"/>
    </row>
    <row r="444" s="1" customFormat="1" ht="21.95" customHeight="1" spans="1:18">
      <c r="A444" s="7"/>
      <c r="B444" s="12"/>
      <c r="C444" s="90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2"/>
      <c r="Q444" s="14"/>
      <c r="R444" s="11"/>
    </row>
    <row r="445" s="1" customFormat="1" ht="5.1" customHeight="1" spans="1:18">
      <c r="A445" s="7"/>
      <c r="B445" s="90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2"/>
      <c r="R445" s="11"/>
    </row>
    <row r="446" s="1" customFormat="1" ht="5.1" customHeight="1" spans="1:18">
      <c r="A446" s="93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5"/>
    </row>
    <row r="447" s="1" customFormat="1" ht="21.95" customHeight="1"/>
    <row r="448" ht="15.15"/>
    <row r="449" s="1" customFormat="1" ht="5.1" customHeight="1" spans="1:18">
      <c r="A449" s="4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6"/>
    </row>
    <row r="450" s="1" customFormat="1" ht="15" customHeight="1" spans="1:18">
      <c r="A450" s="7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0"/>
      <c r="R450" s="11"/>
    </row>
    <row r="451" s="1" customFormat="1" ht="21.95" customHeight="1" spans="1:18">
      <c r="A451" s="7"/>
      <c r="B451" s="12"/>
      <c r="C451" s="13" t="s">
        <v>7</v>
      </c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4"/>
      <c r="R451" s="11"/>
    </row>
    <row r="452" s="1" customFormat="1" ht="21.95" customHeight="1" spans="1:18">
      <c r="A452" s="7"/>
      <c r="B452" s="1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14"/>
      <c r="R452" s="11"/>
    </row>
    <row r="453" s="1" customFormat="1" ht="21.95" customHeight="1" spans="1:18">
      <c r="A453" s="7"/>
      <c r="B453" s="12"/>
      <c r="C453" s="15" t="str">
        <f>"SESSION-"&amp;ENTRY!$D$11</f>
        <v>SESSION-2026-27</v>
      </c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4"/>
      <c r="R453" s="11"/>
    </row>
    <row r="454" s="1" customFormat="1" ht="21.95" customHeight="1" spans="1:18">
      <c r="A454" s="7"/>
      <c r="B454" s="12"/>
      <c r="C454" s="2"/>
      <c r="D454" s="2"/>
      <c r="E454" s="2"/>
      <c r="F454" s="16">
        <f>F398+1</f>
        <v>9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14"/>
      <c r="R454" s="11"/>
    </row>
    <row r="455" s="1" customFormat="1" ht="21.95" customHeight="1" spans="1:18">
      <c r="A455" s="7"/>
      <c r="B455" s="12"/>
      <c r="C455" s="17" t="s">
        <v>392</v>
      </c>
      <c r="D455" s="17"/>
      <c r="E455" s="17"/>
      <c r="F455" s="18" t="str">
        <f>IF(F454&gt;0,ENTRY!$D$6,"")</f>
        <v>MCP NITHARI NO 1 BOYS</v>
      </c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4"/>
      <c r="R455" s="11"/>
    </row>
    <row r="456" s="1" customFormat="1" ht="21.95" customHeight="1" spans="1:18">
      <c r="A456" s="7"/>
      <c r="B456" s="12"/>
      <c r="C456" s="17" t="s">
        <v>393</v>
      </c>
      <c r="D456" s="17"/>
      <c r="E456" s="17"/>
      <c r="F456" s="18">
        <f>IF(F454&gt;0,ENTRY!$D$7,"")</f>
        <v>0</v>
      </c>
      <c r="G456" s="18"/>
      <c r="H456" s="20" t="s">
        <v>702</v>
      </c>
      <c r="I456" s="20"/>
      <c r="J456" s="21">
        <f>IF(F454&gt;0,ENTRY!$D$10,"")</f>
        <v>40</v>
      </c>
      <c r="K456" s="20" t="s">
        <v>703</v>
      </c>
      <c r="L456" s="22" t="str">
        <f>IF(F454&gt;0,ENTRY!$D$5,"")</f>
        <v>ROHINI ZONE</v>
      </c>
      <c r="M456" s="22"/>
      <c r="N456" s="22"/>
      <c r="O456" s="22"/>
      <c r="P456" s="22"/>
      <c r="Q456" s="14"/>
      <c r="R456" s="11"/>
    </row>
    <row r="457" s="1" customFormat="1" ht="21.95" customHeight="1" spans="1:18">
      <c r="A457" s="7"/>
      <c r="B457" s="12"/>
      <c r="C457" s="17" t="s">
        <v>706</v>
      </c>
      <c r="D457" s="17"/>
      <c r="E457" s="17"/>
      <c r="F457" s="23" t="str">
        <f>IFERROR(VLOOKUP(F454,STUDENT!$A$2:$BP$101,5,0),"")</f>
        <v>ANUJ</v>
      </c>
      <c r="G457" s="23"/>
      <c r="H457" s="23"/>
      <c r="I457" s="23"/>
      <c r="J457" s="23"/>
      <c r="K457" s="23"/>
      <c r="L457" s="20" t="s">
        <v>707</v>
      </c>
      <c r="M457" s="20"/>
      <c r="N457" s="24" t="str">
        <f>IF(F454&gt;0,ENTRY!$D$20&amp;"-"&amp;ENTRY!$D$21,"")</f>
        <v>III-A</v>
      </c>
      <c r="O457" s="24"/>
      <c r="P457" s="24"/>
      <c r="Q457" s="14"/>
      <c r="R457" s="11"/>
    </row>
    <row r="458" s="1" customFormat="1" ht="21.95" customHeight="1" spans="1:18">
      <c r="A458" s="7"/>
      <c r="B458" s="12"/>
      <c r="C458" s="17" t="s">
        <v>708</v>
      </c>
      <c r="D458" s="17"/>
      <c r="E458" s="17"/>
      <c r="F458" s="25">
        <f>IFERROR(VLOOKUP(F454,STUDENT!$A$2:$BP$101,6,0),"")</f>
        <v>14754</v>
      </c>
      <c r="G458" s="25"/>
      <c r="H458" s="26" t="s">
        <v>709</v>
      </c>
      <c r="I458" s="27" t="str">
        <f>IFERROR(VLOOKUP(F454,STUDENT!$A$2:$BP$101,59,0),"")</f>
        <v/>
      </c>
      <c r="J458" s="27"/>
      <c r="K458" s="20" t="s">
        <v>710</v>
      </c>
      <c r="L458" s="20"/>
      <c r="M458" s="28">
        <f>IFERROR(VLOOKUP(F454,STUDENT!$A$2:$BP$101,20,0),"")</f>
        <v>9667639564</v>
      </c>
      <c r="N458" s="28"/>
      <c r="O458" s="28"/>
      <c r="P458" s="28"/>
      <c r="Q458" s="14"/>
      <c r="R458" s="11"/>
    </row>
    <row r="459" s="1" customFormat="1" ht="21.95" customHeight="1" spans="1:18">
      <c r="A459" s="7"/>
      <c r="B459" s="12"/>
      <c r="C459" s="17" t="s">
        <v>711</v>
      </c>
      <c r="D459" s="17"/>
      <c r="E459" s="17"/>
      <c r="F459" s="23" t="str">
        <f>IFERROR(VLOOKUP(F454,STUDENT!$A$2:$BP$101,9,0),"")</f>
        <v>LALITA DEVI</v>
      </c>
      <c r="G459" s="23"/>
      <c r="H459" s="23"/>
      <c r="I459" s="23"/>
      <c r="J459" s="17" t="s">
        <v>620</v>
      </c>
      <c r="K459" s="17"/>
      <c r="L459" s="23" t="str">
        <f>IFERROR(VLOOKUP(F454,STUDENT!$A$2:$BP$101,8,0),"")</f>
        <v>RANJEET DAS</v>
      </c>
      <c r="M459" s="23"/>
      <c r="N459" s="23"/>
      <c r="O459" s="23"/>
      <c r="P459" s="23"/>
      <c r="Q459" s="14"/>
      <c r="R459" s="11"/>
    </row>
    <row r="460" s="1" customFormat="1" ht="21.95" customHeight="1" spans="1:18">
      <c r="A460" s="7"/>
      <c r="B460" s="12"/>
      <c r="C460" s="17" t="s">
        <v>712</v>
      </c>
      <c r="D460" s="17"/>
      <c r="E460" s="17"/>
      <c r="F460" s="23" t="str">
        <f>IFERROR(VLOOKUP(F454,STUDENT!$A$2:$BP$101,22,0),"")</f>
        <v>C 441/442 D BLOCK AGAR NAGAR PREM NAGAR 3</v>
      </c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14"/>
      <c r="R460" s="11"/>
    </row>
    <row r="461" s="1" customFormat="1" ht="9.95" customHeight="1" spans="1:18">
      <c r="A461" s="7"/>
      <c r="B461" s="12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14"/>
      <c r="R461" s="11"/>
    </row>
    <row r="462" s="1" customFormat="1" ht="9.95" customHeight="1" spans="1:18">
      <c r="A462" s="7"/>
      <c r="B462" s="12"/>
      <c r="C462" s="30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2"/>
      <c r="Q462" s="14"/>
      <c r="R462" s="11"/>
    </row>
    <row r="463" s="1" customFormat="1" ht="21.95" customHeight="1" spans="1:18">
      <c r="A463" s="7"/>
      <c r="B463" s="12"/>
      <c r="C463" s="33"/>
      <c r="D463" s="34" t="s">
        <v>713</v>
      </c>
      <c r="E463" s="20" t="s">
        <v>714</v>
      </c>
      <c r="F463" s="35" t="str">
        <f>"Level - "&amp;IFERROR(VLOOKUP(F454,FLN!$A$4:$K$103,9,0),"")</f>
        <v>Level - 2</v>
      </c>
      <c r="G463" s="36"/>
      <c r="H463" s="37" t="s">
        <v>715</v>
      </c>
      <c r="I463" s="20"/>
      <c r="J463" s="35" t="str">
        <f>"Level - "&amp;IFERROR(VLOOKUP(F454,FLN!$A$4:$K$103,11,0),"")</f>
        <v>Level - 3</v>
      </c>
      <c r="K463" s="36"/>
      <c r="L463" s="37" t="s">
        <v>408</v>
      </c>
      <c r="M463" s="20"/>
      <c r="N463" s="35" t="str">
        <f>"Level - "&amp;IFERROR(VLOOKUP(F454,FLN!$A$4:$K$103,10,0),"")</f>
        <v>Level - 2</v>
      </c>
      <c r="O463" s="36"/>
      <c r="P463" s="19"/>
      <c r="Q463" s="14"/>
      <c r="R463" s="11"/>
    </row>
    <row r="464" s="1" customFormat="1" ht="21.95" customHeight="1" spans="1:18">
      <c r="A464" s="7"/>
      <c r="B464" s="12"/>
      <c r="C464" s="33"/>
      <c r="D464" s="38"/>
      <c r="E464" s="20" t="s">
        <v>716</v>
      </c>
      <c r="F464" s="18" t="str">
        <f>IF(L478&gt;197,"PERFORMED WELL","")</f>
        <v/>
      </c>
      <c r="G464" s="18"/>
      <c r="H464" s="18"/>
      <c r="I464" s="18"/>
      <c r="J464" s="18"/>
      <c r="K464" s="18"/>
      <c r="L464" s="18"/>
      <c r="M464" s="18"/>
      <c r="N464" s="18"/>
      <c r="O464" s="18"/>
      <c r="P464" s="19"/>
      <c r="Q464" s="14"/>
      <c r="R464" s="11"/>
    </row>
    <row r="465" s="1" customFormat="1" ht="9.95" customHeight="1" spans="1:18">
      <c r="A465" s="7"/>
      <c r="B465" s="12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1"/>
      <c r="Q465" s="14"/>
      <c r="R465" s="11"/>
    </row>
    <row r="466" s="1" customFormat="1" ht="9.95" customHeight="1" spans="1:18">
      <c r="A466" s="7"/>
      <c r="B466" s="12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14"/>
      <c r="R466" s="11"/>
    </row>
    <row r="467" s="1" customFormat="1" ht="9.95" customHeight="1" spans="1:18">
      <c r="A467" s="7"/>
      <c r="B467" s="12"/>
      <c r="C467" s="30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2"/>
      <c r="Q467" s="14"/>
      <c r="R467" s="11"/>
    </row>
    <row r="468" s="1" customFormat="1" ht="21.95" customHeight="1" spans="1:18">
      <c r="A468" s="7"/>
      <c r="B468" s="12"/>
      <c r="C468" s="33"/>
      <c r="D468" s="35"/>
      <c r="E468" s="24"/>
      <c r="F468" s="24"/>
      <c r="G468" s="47" t="s">
        <v>717</v>
      </c>
      <c r="H468" s="47"/>
      <c r="I468" s="47"/>
      <c r="J468" s="47"/>
      <c r="K468" s="47"/>
      <c r="L468" s="47"/>
      <c r="M468" s="47"/>
      <c r="N468" s="47"/>
      <c r="O468" s="29"/>
      <c r="P468" s="19"/>
      <c r="Q468" s="14"/>
      <c r="R468" s="11"/>
    </row>
    <row r="469" s="1" customFormat="1" ht="21.95" customHeight="1" spans="1:18">
      <c r="A469" s="7"/>
      <c r="B469" s="12"/>
      <c r="C469" s="33"/>
      <c r="D469" s="47"/>
      <c r="E469" s="47"/>
      <c r="F469" s="47"/>
      <c r="G469" s="47" t="s">
        <v>541</v>
      </c>
      <c r="H469" s="47" t="s">
        <v>542</v>
      </c>
      <c r="I469" s="47" t="s">
        <v>543</v>
      </c>
      <c r="J469" s="47" t="s">
        <v>544</v>
      </c>
      <c r="K469" s="47" t="s">
        <v>561</v>
      </c>
      <c r="L469" s="47" t="s">
        <v>382</v>
      </c>
      <c r="M469" s="49" t="s">
        <v>546</v>
      </c>
      <c r="N469" s="49"/>
      <c r="O469" s="29"/>
      <c r="P469" s="19"/>
      <c r="Q469" s="14"/>
      <c r="R469" s="11"/>
    </row>
    <row r="470" s="1" customFormat="1" ht="21.95" customHeight="1" spans="1:18">
      <c r="A470" s="7"/>
      <c r="B470" s="12"/>
      <c r="C470" s="33"/>
      <c r="D470" s="207" t="s">
        <v>652</v>
      </c>
      <c r="E470" s="207"/>
      <c r="F470" s="207"/>
      <c r="G470" s="50">
        <v>10</v>
      </c>
      <c r="H470" s="50">
        <v>10</v>
      </c>
      <c r="I470" s="50">
        <v>10</v>
      </c>
      <c r="J470" s="50">
        <v>10</v>
      </c>
      <c r="K470" s="50">
        <v>60</v>
      </c>
      <c r="L470" s="50">
        <v>100</v>
      </c>
      <c r="M470" s="49"/>
      <c r="N470" s="49"/>
      <c r="O470" s="29"/>
      <c r="P470" s="19"/>
      <c r="Q470" s="14"/>
      <c r="R470" s="11"/>
    </row>
    <row r="471" s="1" customFormat="1" ht="21.95" customHeight="1" spans="1:18">
      <c r="A471" s="7"/>
      <c r="B471" s="12"/>
      <c r="C471" s="33"/>
      <c r="D471" s="117" t="s">
        <v>668</v>
      </c>
      <c r="E471" s="117"/>
      <c r="F471" s="117"/>
      <c r="G471" s="54">
        <f>IFERROR(VLOOKUP(F454,'1to4-2.1-RR'!$A$12:$BG$111,9,0),"")</f>
        <v>2</v>
      </c>
      <c r="H471" s="54">
        <f>IFERROR(VLOOKUP(F454,'1to4-2.1-RR'!$A$12:$BG$111,10,0),"")</f>
        <v>0</v>
      </c>
      <c r="I471" s="54">
        <f>IFERROR(VLOOKUP(F454,'1to4-2.1-RR'!$A$12:$BG$111,11,0),"")</f>
        <v>0</v>
      </c>
      <c r="J471" s="54">
        <f>IFERROR(VLOOKUP(F454,'1to4-2.1-RR'!$A$12:$BG$111,12,0),"")</f>
        <v>0</v>
      </c>
      <c r="K471" s="54">
        <f>IFERROR(VLOOKUP(F454,'1to4-2.1-RR'!$A$12:$BG$111,13,0),"")</f>
        <v>44</v>
      </c>
      <c r="L471" s="55">
        <f>SUM(G471:K471)</f>
        <v>46</v>
      </c>
      <c r="M471" s="56" t="str">
        <f>IF(F454&gt;ENTRY!$D$24,"",IF(L471=0,"Ab",IF(L471&gt;80,"A",IF(L471&gt;60,"B",IF(L471&gt;44,"C",IF(L471&gt;=33,"D",IF(L471&lt;=32,"E","")))))))</f>
        <v>C</v>
      </c>
      <c r="N471" s="56"/>
      <c r="O471" s="29"/>
      <c r="P471" s="19"/>
      <c r="Q471" s="14"/>
      <c r="R471" s="11"/>
    </row>
    <row r="472" s="1" customFormat="1" ht="21.95" customHeight="1" spans="1:18">
      <c r="A472" s="7"/>
      <c r="B472" s="12"/>
      <c r="C472" s="33"/>
      <c r="D472" s="117" t="s">
        <v>513</v>
      </c>
      <c r="E472" s="117"/>
      <c r="F472" s="117"/>
      <c r="G472" s="54">
        <f>IFERROR(VLOOKUP(F454,'1to4-2.1-RR'!$A$12:$BG$111,16,0),"")</f>
        <v>2</v>
      </c>
      <c r="H472" s="54">
        <f>IFERROR(VLOOKUP(F454,'1to4-2.1-RR'!$A$12:$BG$111,17,0),"")</f>
        <v>0</v>
      </c>
      <c r="I472" s="54">
        <f>IFERROR(VLOOKUP(F454,'1to4-2.1-RR'!$A$12:$BG$111,18,0),"")</f>
        <v>0</v>
      </c>
      <c r="J472" s="54">
        <f>IFERROR(VLOOKUP(F454,'1to4-2.1-RR'!$A$12:$BG$111,19,0),"")</f>
        <v>0</v>
      </c>
      <c r="K472" s="54">
        <f>IFERROR(VLOOKUP(F454,'1to4-2.1-RR'!$A$12:$BG$111,20,0),"")</f>
        <v>21</v>
      </c>
      <c r="L472" s="55">
        <f t="shared" ref="L472:L477" si="16">SUM(G472:K472)</f>
        <v>23</v>
      </c>
      <c r="M472" s="56" t="str">
        <f>IF(F454&gt;ENTRY!$D$24,"",IF(L472=0,"Ab",IF(L472&gt;80,"A",IF(L472&gt;60,"B",IF(L472&gt;44,"C",IF(L472&gt;=33,"D",IF(L472&lt;=32,"E","")))))))</f>
        <v>E</v>
      </c>
      <c r="N472" s="56"/>
      <c r="O472" s="29"/>
      <c r="P472" s="19"/>
      <c r="Q472" s="14"/>
      <c r="R472" s="11"/>
    </row>
    <row r="473" s="1" customFormat="1" ht="21.95" customHeight="1" spans="1:18">
      <c r="A473" s="7"/>
      <c r="B473" s="12"/>
      <c r="C473" s="33"/>
      <c r="D473" s="117" t="s">
        <v>718</v>
      </c>
      <c r="E473" s="117"/>
      <c r="F473" s="117"/>
      <c r="G473" s="54">
        <f>IFERROR(VLOOKUP(F454,'1to4-2.1-RR'!$A$12:$BG$111,23,0),"")</f>
        <v>1</v>
      </c>
      <c r="H473" s="54">
        <f>IFERROR(VLOOKUP(F454,'1to4-2.1-RR'!$A$12:$BG$111,24,0),"")</f>
        <v>0</v>
      </c>
      <c r="I473" s="54">
        <f>IFERROR(VLOOKUP(F454,'1to4-2.1-RR'!$A$12:$BG$111,25,0),"")</f>
        <v>0</v>
      </c>
      <c r="J473" s="54">
        <f>IFERROR(VLOOKUP(F454,'1to4-2.1-RR'!$A$12:$BG$111,26,0),"")</f>
        <v>0</v>
      </c>
      <c r="K473" s="54">
        <f>IFERROR(VLOOKUP(F454,'1to4-2.1-RR'!$A$12:$BG$111,27,0),"")</f>
        <v>22</v>
      </c>
      <c r="L473" s="55">
        <f t="shared" si="16"/>
        <v>23</v>
      </c>
      <c r="M473" s="56" t="str">
        <f>IF(F454&gt;ENTRY!$D$24,"",IF(L473=0,"Ab",IF(L473&gt;80,"A",IF(L473&gt;60,"B",IF(L473&gt;44,"C",IF(L473&gt;=33,"D",IF(L473&lt;=32,"E","")))))))</f>
        <v>E</v>
      </c>
      <c r="N473" s="56"/>
      <c r="O473" s="29"/>
      <c r="P473" s="19"/>
      <c r="Q473" s="14"/>
      <c r="R473" s="11"/>
    </row>
    <row r="474" s="1" customFormat="1" ht="21.95" customHeight="1" spans="1:18">
      <c r="A474" s="7"/>
      <c r="B474" s="12"/>
      <c r="C474" s="33"/>
      <c r="D474" s="117" t="s">
        <v>719</v>
      </c>
      <c r="E474" s="117"/>
      <c r="F474" s="117"/>
      <c r="G474" s="54">
        <f>IFERROR(VLOOKUP(F454,'1to4-2.1-RR'!$A$12:$BG$111,30,0),"")</f>
        <v>1</v>
      </c>
      <c r="H474" s="54">
        <f>IFERROR(VLOOKUP(F454,'1to4-2.1-RR'!$A$12:$BG$111,31,0),"")</f>
        <v>0</v>
      </c>
      <c r="I474" s="54">
        <f>IFERROR(VLOOKUP(F454,'1to4-2.1-RR'!$A$12:$BG$111,32,0),"")</f>
        <v>0</v>
      </c>
      <c r="J474" s="54">
        <f>IFERROR(VLOOKUP(F454,'1to4-2.1-RR'!$A$12:$BG$111,33,0),"")</f>
        <v>0</v>
      </c>
      <c r="K474" s="54">
        <f>IFERROR(VLOOKUP(F454,'1to4-2.1-RR'!$A$12:$BG$111,34,0),"")</f>
        <v>23</v>
      </c>
      <c r="L474" s="55">
        <f t="shared" si="16"/>
        <v>24</v>
      </c>
      <c r="M474" s="56" t="str">
        <f>IF(F454&gt;ENTRY!$D$24,"",IF(L474=0,"Ab",IF(L474&gt;80,"A",IF(L474&gt;60,"B",IF(L474&gt;44,"C",IF(L474&gt;=33,"D",IF(L474&lt;=32,"E","")))))))</f>
        <v>E</v>
      </c>
      <c r="N474" s="56"/>
      <c r="O474" s="29"/>
      <c r="P474" s="19"/>
      <c r="Q474" s="14"/>
      <c r="R474" s="11"/>
    </row>
    <row r="475" s="1" customFormat="1" ht="21.95" customHeight="1" spans="1:18">
      <c r="A475" s="7"/>
      <c r="B475" s="12"/>
      <c r="C475" s="33"/>
      <c r="D475" s="117" t="s">
        <v>548</v>
      </c>
      <c r="E475" s="117"/>
      <c r="F475" s="117"/>
      <c r="G475" s="54">
        <f>IFERROR(VLOOKUP(F454,'1to4-2.1-RR'!$A$12:$BG$111,37,0),"")</f>
        <v>0</v>
      </c>
      <c r="H475" s="54">
        <f>IFERROR(VLOOKUP(F454,'1to4-2.1-RR'!$A$12:$BG$111,38,0),"")</f>
        <v>0</v>
      </c>
      <c r="I475" s="54">
        <f>IFERROR(VLOOKUP(F454,'1to4-2.1-RR'!$A$12:$BG$111,39,0),"")</f>
        <v>0</v>
      </c>
      <c r="J475" s="54">
        <f>IFERROR(VLOOKUP(F454,'1to4-2.1-RR'!$A$12:$BG$111,40,0),"")</f>
        <v>0</v>
      </c>
      <c r="K475" s="54">
        <f>IFERROR(VLOOKUP(F454,'1to4-2.1-RR'!$A$12:$BG$111,41,0),"")</f>
        <v>23</v>
      </c>
      <c r="L475" s="55">
        <f t="shared" si="16"/>
        <v>23</v>
      </c>
      <c r="M475" s="56" t="str">
        <f>IF(F454&gt;ENTRY!$D$24,"",IF(L475=0,"Ab",IF(L475&gt;80,"A",IF(L475&gt;60,"B",IF(L475&gt;44,"C",IF(L475&gt;=33,"D",IF(L475&lt;=32,"E","")))))))</f>
        <v>E</v>
      </c>
      <c r="N475" s="56"/>
      <c r="O475" s="29"/>
      <c r="P475" s="19"/>
      <c r="Q475" s="14"/>
      <c r="R475" s="11"/>
    </row>
    <row r="476" s="1" customFormat="1" ht="21.95" customHeight="1" spans="1:18">
      <c r="A476" s="7"/>
      <c r="B476" s="12"/>
      <c r="C476" s="33"/>
      <c r="D476" s="117" t="s">
        <v>549</v>
      </c>
      <c r="E476" s="117"/>
      <c r="F476" s="117"/>
      <c r="G476" s="54">
        <f>IFERROR(VLOOKUP(F454,'1to4-2.1-RR'!$A$12:$BG$111,44,0),"")</f>
        <v>2</v>
      </c>
      <c r="H476" s="54">
        <f>IFERROR(VLOOKUP(F454,'1to4-2.1-RR'!$A$12:$BG$111,45,0),"")</f>
        <v>0</v>
      </c>
      <c r="I476" s="54">
        <f>IFERROR(VLOOKUP(F454,'1to4-2.1-RR'!$A$12:$BG$111,46,0),"")</f>
        <v>0</v>
      </c>
      <c r="J476" s="54">
        <f>IFERROR(VLOOKUP(F454,'1to4-2.1-RR'!$A$12:$BG$111,47,0),"")</f>
        <v>0</v>
      </c>
      <c r="K476" s="54">
        <f>IFERROR(VLOOKUP(F454,'1to4-2.1-RR'!$A$12:$BG$111,48,0),"")</f>
        <v>18</v>
      </c>
      <c r="L476" s="55">
        <f t="shared" si="16"/>
        <v>20</v>
      </c>
      <c r="M476" s="56" t="str">
        <f>IF(F454&gt;ENTRY!$D$24,"",IF(L476=0,"Ab",IF(L476&gt;80,"A",IF(L476&gt;60,"B",IF(L476&gt;44,"C",IF(L476&gt;=33,"D",IF(L476&lt;=32,"E","")))))))</f>
        <v>E</v>
      </c>
      <c r="N476" s="56"/>
      <c r="O476" s="29"/>
      <c r="P476" s="19"/>
      <c r="Q476" s="14"/>
      <c r="R476" s="11"/>
    </row>
    <row r="477" s="1" customFormat="1" ht="21.95" customHeight="1" spans="1:18">
      <c r="A477" s="7"/>
      <c r="B477" s="12"/>
      <c r="C477" s="33"/>
      <c r="D477" s="117" t="s">
        <v>720</v>
      </c>
      <c r="E477" s="117"/>
      <c r="F477" s="117"/>
      <c r="G477" s="54"/>
      <c r="H477" s="54"/>
      <c r="I477" s="54"/>
      <c r="J477" s="54"/>
      <c r="K477" s="54"/>
      <c r="L477" s="55">
        <f t="shared" si="16"/>
        <v>0</v>
      </c>
      <c r="M477" s="56" t="str">
        <f>IF(F454&gt;ENTRY!$D$24,"",IF(L477=0,"",IF(L477&gt;79,"A",IF(L477&gt;59,"B",IF(L477&gt;44,"C",IF(L477&gt;=33,"D",IF(L477&lt;=32,"E","")))))))</f>
        <v/>
      </c>
      <c r="N477" s="56"/>
      <c r="O477" s="29"/>
      <c r="P477" s="19"/>
      <c r="Q477" s="14"/>
      <c r="R477" s="11"/>
    </row>
    <row r="478" s="1" customFormat="1" ht="21.95" customHeight="1" spans="1:18">
      <c r="A478" s="7"/>
      <c r="B478" s="12"/>
      <c r="C478" s="33"/>
      <c r="D478" s="207" t="s">
        <v>382</v>
      </c>
      <c r="E478" s="207"/>
      <c r="F478" s="207"/>
      <c r="G478" s="54">
        <f t="shared" ref="G478:L478" si="17">IFERROR(SUM(G471:G477),"")</f>
        <v>8</v>
      </c>
      <c r="H478" s="54">
        <f t="shared" si="17"/>
        <v>0</v>
      </c>
      <c r="I478" s="54">
        <f t="shared" si="17"/>
        <v>0</v>
      </c>
      <c r="J478" s="54">
        <f t="shared" si="17"/>
        <v>0</v>
      </c>
      <c r="K478" s="54">
        <f t="shared" si="17"/>
        <v>151</v>
      </c>
      <c r="L478" s="55">
        <f t="shared" si="17"/>
        <v>159</v>
      </c>
      <c r="M478" s="61" t="str">
        <f>IF(F454&gt;ENTRY!$D$24,"",IF(N479="Ab","Ab",IF(N479&gt;79.5,"A",IF(N479&gt;59.5,"B",IF(N479&gt;44.5,"C",IF(N479&gt;=33,"D",IF(N479&lt;33,"E","")))))))</f>
        <v>E</v>
      </c>
      <c r="N478" s="61"/>
      <c r="O478" s="29"/>
      <c r="P478" s="19"/>
      <c r="Q478" s="14"/>
      <c r="R478" s="11"/>
    </row>
    <row r="479" s="1" customFormat="1" ht="21.95" customHeight="1" spans="1:18">
      <c r="A479" s="7"/>
      <c r="B479" s="12"/>
      <c r="C479" s="33"/>
      <c r="D479" s="63" t="s">
        <v>721</v>
      </c>
      <c r="E479" s="63"/>
      <c r="F479" s="63"/>
      <c r="G479" s="63"/>
      <c r="H479" s="63"/>
      <c r="I479" s="63"/>
      <c r="J479" s="63"/>
      <c r="K479" s="63"/>
      <c r="L479" s="63"/>
      <c r="M479" s="209"/>
      <c r="N479" s="64">
        <f>IF(L478="Ab","Ab",L478/6)</f>
        <v>26.5</v>
      </c>
      <c r="O479" s="65"/>
      <c r="P479" s="19"/>
      <c r="Q479" s="14"/>
      <c r="R479" s="11"/>
    </row>
    <row r="480" s="1" customFormat="1" ht="21.95" customHeight="1" spans="1:18">
      <c r="A480" s="7"/>
      <c r="B480" s="12"/>
      <c r="C480" s="33"/>
      <c r="D480" s="29" t="s">
        <v>716</v>
      </c>
      <c r="E480" s="18" t="str">
        <f>IFERROR(VLOOKUP(F454,'1to4-2.1-RR'!$A$12:$BG$111,57,0),"")</f>
        <v>PROMOTED</v>
      </c>
      <c r="F480" s="18"/>
      <c r="G480" s="18"/>
      <c r="H480" s="18"/>
      <c r="I480" s="18"/>
      <c r="J480" s="18"/>
      <c r="K480" s="18"/>
      <c r="L480" s="18"/>
      <c r="M480" s="18"/>
      <c r="N480" s="29"/>
      <c r="O480" s="29"/>
      <c r="P480" s="19"/>
      <c r="Q480" s="14"/>
      <c r="R480" s="11"/>
    </row>
    <row r="481" s="1" customFormat="1" ht="9.95" customHeight="1" spans="1:19">
      <c r="A481" s="7"/>
      <c r="B481" s="12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1"/>
      <c r="Q481" s="14"/>
      <c r="R481" s="11"/>
    </row>
    <row r="482" s="1" customFormat="1" ht="9.95" customHeight="1" spans="1:19">
      <c r="A482" s="7"/>
      <c r="B482" s="12"/>
      <c r="C482" s="30"/>
      <c r="D482" s="31"/>
      <c r="E482" s="31"/>
      <c r="F482" s="29"/>
      <c r="G482" s="31"/>
      <c r="H482" s="31"/>
      <c r="I482" s="31"/>
      <c r="J482" s="31"/>
      <c r="K482" s="31"/>
      <c r="L482" s="31"/>
      <c r="M482" s="31"/>
      <c r="N482" s="31"/>
      <c r="O482" s="31"/>
      <c r="P482" s="32"/>
      <c r="Q482" s="14"/>
      <c r="R482" s="11"/>
    </row>
    <row r="483" s="1" customFormat="1" ht="9.95" customHeight="1" spans="1:19">
      <c r="A483" s="7"/>
      <c r="B483" s="12"/>
      <c r="C483" s="33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19"/>
      <c r="Q483" s="14"/>
      <c r="R483" s="11"/>
    </row>
    <row r="484" s="1" customFormat="1" ht="9.95" customHeight="1" spans="1:19">
      <c r="A484" s="7"/>
      <c r="B484" s="12"/>
      <c r="C484" s="33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19"/>
      <c r="Q484" s="14"/>
      <c r="R484" s="11"/>
    </row>
    <row r="485" s="1" customFormat="1" ht="21.95" customHeight="1" spans="1:19">
      <c r="A485" s="7"/>
      <c r="B485" s="12"/>
      <c r="C485" s="210"/>
      <c r="D485" s="211"/>
      <c r="E485" s="211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2"/>
      <c r="Q485" s="14"/>
      <c r="R485" s="11"/>
      <c r="S485" s="2"/>
    </row>
    <row r="486" s="1" customFormat="1" ht="21.95" customHeight="1" spans="1:19">
      <c r="A486" s="7"/>
      <c r="B486" s="12"/>
      <c r="C486" s="33"/>
      <c r="D486" s="207" t="s">
        <v>722</v>
      </c>
      <c r="E486" s="207"/>
      <c r="F486" s="207"/>
      <c r="G486" s="207"/>
      <c r="H486" s="54">
        <f>IFERROR(VLOOKUP(F454,PASHEET!$A$4:$CJ$103,88,0),"")</f>
        <v>0</v>
      </c>
      <c r="I486" s="54"/>
      <c r="J486" s="29"/>
      <c r="K486" s="29"/>
      <c r="L486" s="29"/>
      <c r="M486" s="29"/>
      <c r="N486" s="29"/>
      <c r="O486" s="29"/>
      <c r="P486" s="19"/>
      <c r="Q486" s="14"/>
      <c r="R486" s="11"/>
    </row>
    <row r="487" s="1" customFormat="1" ht="21.95" customHeight="1" spans="1:19">
      <c r="A487" s="7"/>
      <c r="B487" s="12"/>
      <c r="C487" s="213"/>
      <c r="D487" s="207" t="s">
        <v>723</v>
      </c>
      <c r="E487" s="207"/>
      <c r="F487" s="207"/>
      <c r="G487" s="207"/>
      <c r="H487" s="54">
        <f>IFERROR(VLOOKUP(F454,PASHEET!$A$4:$CJ$103,87,0),"")</f>
        <v>0</v>
      </c>
      <c r="I487" s="54"/>
      <c r="J487" s="214"/>
      <c r="K487" s="214"/>
      <c r="L487" s="207" t="s">
        <v>724</v>
      </c>
      <c r="M487" s="207"/>
      <c r="N487" s="117" t="str">
        <f>IF(F454&gt;ENTRY!$D$24,"",IF(F454&gt;0,L478&amp;" / "&amp;600,""))</f>
        <v>159 / 600</v>
      </c>
      <c r="O487" s="117"/>
      <c r="P487" s="215"/>
      <c r="Q487" s="14"/>
      <c r="R487" s="11"/>
    </row>
    <row r="488" s="1" customFormat="1" ht="18" customHeight="1" spans="1:19">
      <c r="A488" s="7"/>
      <c r="B488" s="12"/>
      <c r="C488" s="33"/>
      <c r="D488" s="207" t="s">
        <v>725</v>
      </c>
      <c r="E488" s="207"/>
      <c r="F488" s="207"/>
      <c r="G488" s="207"/>
      <c r="H488" s="69" t="str">
        <f>IFERROR(IF(F454&gt;0,H487/H486*100),"")</f>
        <v/>
      </c>
      <c r="I488" s="69"/>
      <c r="J488" s="29"/>
      <c r="K488" s="29"/>
      <c r="L488" s="207" t="s">
        <v>726</v>
      </c>
      <c r="M488" s="207"/>
      <c r="N488" s="216">
        <f>IF(F454&gt;ENTRY!$D$24,"",IF(F454&gt;0,L478/600*100,""))</f>
        <v>26.5</v>
      </c>
      <c r="O488" s="216"/>
      <c r="P488" s="19"/>
      <c r="Q488" s="14"/>
      <c r="R488" s="11"/>
    </row>
    <row r="489" s="1" customFormat="1" ht="21.95" customHeight="1" spans="1:19">
      <c r="A489" s="7"/>
      <c r="B489" s="12"/>
      <c r="C489" s="33"/>
      <c r="D489" s="80"/>
      <c r="E489" s="80"/>
      <c r="F489" s="217"/>
      <c r="G489" s="217"/>
      <c r="H489" s="217"/>
      <c r="I489" s="217"/>
      <c r="J489" s="217"/>
      <c r="K489" s="217"/>
      <c r="L489" s="217"/>
      <c r="M489" s="217"/>
      <c r="N489" s="80"/>
      <c r="O489" s="80"/>
      <c r="P489" s="19"/>
      <c r="Q489" s="14"/>
      <c r="R489" s="11"/>
    </row>
    <row r="490" s="1" customFormat="1" ht="21.95" customHeight="1" spans="1:19">
      <c r="A490" s="7"/>
      <c r="B490" s="12"/>
      <c r="C490" s="33"/>
      <c r="D490" s="80"/>
      <c r="E490" s="218"/>
      <c r="F490" s="218"/>
      <c r="G490" s="218"/>
      <c r="H490" s="80"/>
      <c r="I490" s="218"/>
      <c r="J490" s="218"/>
      <c r="K490" s="218"/>
      <c r="L490" s="218"/>
      <c r="M490" s="80"/>
      <c r="N490" s="219"/>
      <c r="O490" s="219"/>
      <c r="P490" s="19"/>
      <c r="Q490" s="14"/>
      <c r="R490" s="11"/>
    </row>
    <row r="491" s="1" customFormat="1" ht="21.95" customHeight="1" spans="1:19">
      <c r="A491" s="7"/>
      <c r="B491" s="12"/>
      <c r="C491" s="33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19"/>
      <c r="Q491" s="14"/>
      <c r="R491" s="11"/>
    </row>
    <row r="492" s="1" customFormat="1" ht="21.95" customHeight="1" spans="1:19">
      <c r="A492" s="7"/>
      <c r="B492" s="12"/>
      <c r="C492" s="33"/>
      <c r="D492" s="218"/>
      <c r="E492" s="218"/>
      <c r="F492" s="218"/>
      <c r="G492" s="218"/>
      <c r="H492" s="218"/>
      <c r="I492" s="218"/>
      <c r="J492" s="218"/>
      <c r="K492" s="218"/>
      <c r="L492" s="218"/>
      <c r="M492" s="80"/>
      <c r="N492" s="217"/>
      <c r="O492" s="217"/>
      <c r="P492" s="85" t="s">
        <v>727</v>
      </c>
      <c r="Q492" s="14"/>
      <c r="R492" s="11"/>
    </row>
    <row r="493" s="1" customFormat="1" ht="21.95" customHeight="1" spans="1:19">
      <c r="A493" s="7"/>
      <c r="B493" s="12"/>
      <c r="C493" s="33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19"/>
      <c r="Q493" s="14"/>
      <c r="R493" s="11"/>
    </row>
    <row r="494" s="1" customFormat="1" ht="21.95" customHeight="1" spans="1:19">
      <c r="A494" s="7"/>
      <c r="B494" s="12"/>
      <c r="C494" s="33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19"/>
      <c r="Q494" s="14"/>
      <c r="R494" s="11"/>
    </row>
    <row r="495" s="1" customFormat="1" ht="21.95" customHeight="1" spans="1:19">
      <c r="A495" s="7"/>
      <c r="B495" s="12"/>
      <c r="C495" s="33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19"/>
      <c r="Q495" s="14"/>
      <c r="R495" s="11"/>
    </row>
    <row r="496" s="1" customFormat="1" ht="21.95" customHeight="1" spans="1:19">
      <c r="A496" s="7"/>
      <c r="B496" s="12"/>
      <c r="C496" s="33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19"/>
      <c r="Q496" s="14"/>
      <c r="R496" s="11"/>
    </row>
    <row r="497" s="1" customFormat="1" ht="21.95" customHeight="1" spans="1:18">
      <c r="A497" s="7"/>
      <c r="B497" s="12"/>
      <c r="C497" s="33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19"/>
      <c r="Q497" s="14"/>
      <c r="R497" s="11"/>
    </row>
    <row r="498" s="1" customFormat="1" ht="21.95" customHeight="1" spans="1:18">
      <c r="A498" s="7"/>
      <c r="B498" s="12"/>
      <c r="C498" s="33"/>
      <c r="D498" s="80" t="s">
        <v>728</v>
      </c>
      <c r="E498" s="220">
        <f>ENTRY!$D$27</f>
        <v>46102</v>
      </c>
      <c r="F498" s="220"/>
      <c r="G498" s="29"/>
      <c r="H498" s="29"/>
      <c r="I498" s="221" t="s">
        <v>729</v>
      </c>
      <c r="J498" s="153"/>
      <c r="K498" s="29"/>
      <c r="L498" s="29"/>
      <c r="M498" s="87" t="s">
        <v>730</v>
      </c>
      <c r="N498" s="87"/>
      <c r="O498" s="87"/>
      <c r="P498" s="19"/>
      <c r="Q498" s="14"/>
      <c r="R498" s="11"/>
    </row>
    <row r="499" s="1" customFormat="1" ht="21.95" customHeight="1" spans="1:18">
      <c r="A499" s="7"/>
      <c r="B499" s="12"/>
      <c r="C499" s="33"/>
      <c r="D499" s="80" t="s">
        <v>731</v>
      </c>
      <c r="E499" s="88" t="str">
        <f>PROPER(ENTRY!$D$28)</f>
        <v>New Delhi</v>
      </c>
      <c r="F499" s="88"/>
      <c r="G499" s="29"/>
      <c r="H499" s="29"/>
      <c r="I499" s="153"/>
      <c r="J499" s="153"/>
      <c r="K499" s="29"/>
      <c r="L499" s="29"/>
      <c r="M499" s="79" t="s">
        <v>732</v>
      </c>
      <c r="N499" s="79"/>
      <c r="O499" s="79"/>
      <c r="P499" s="19"/>
      <c r="Q499" s="14"/>
      <c r="R499" s="11"/>
    </row>
    <row r="500" s="1" customFormat="1" ht="21.95" customHeight="1" spans="1:18">
      <c r="A500" s="7"/>
      <c r="B500" s="12"/>
      <c r="C500" s="90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2"/>
      <c r="Q500" s="14"/>
      <c r="R500" s="11"/>
    </row>
    <row r="501" s="1" customFormat="1" ht="5.1" customHeight="1" spans="1:18">
      <c r="A501" s="7"/>
      <c r="B501" s="90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2"/>
      <c r="R501" s="11"/>
    </row>
    <row r="502" s="1" customFormat="1" ht="5.1" customHeight="1" spans="1:18">
      <c r="A502" s="93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5"/>
    </row>
    <row r="503" s="1" customFormat="1" ht="21.95" customHeight="1"/>
    <row r="504" ht="15.15"/>
    <row r="505" s="1" customFormat="1" ht="5.1" customHeight="1" spans="1:18">
      <c r="A505" s="4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6"/>
    </row>
    <row r="506" s="1" customFormat="1" ht="15" customHeight="1" spans="1:18">
      <c r="A506" s="7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0"/>
      <c r="R506" s="11"/>
    </row>
    <row r="507" s="1" customFormat="1" ht="21.95" customHeight="1" spans="1:18">
      <c r="A507" s="7"/>
      <c r="B507" s="12"/>
      <c r="C507" s="13" t="s">
        <v>7</v>
      </c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4"/>
      <c r="R507" s="11"/>
    </row>
    <row r="508" s="1" customFormat="1" ht="21.95" customHeight="1" spans="1:18">
      <c r="A508" s="7"/>
      <c r="B508" s="1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14"/>
      <c r="R508" s="11"/>
    </row>
    <row r="509" s="1" customFormat="1" ht="21.95" customHeight="1" spans="1:18">
      <c r="A509" s="7"/>
      <c r="B509" s="12"/>
      <c r="C509" s="15" t="str">
        <f>"SESSION-"&amp;ENTRY!$D$11</f>
        <v>SESSION-2026-27</v>
      </c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4"/>
      <c r="R509" s="11"/>
    </row>
    <row r="510" s="1" customFormat="1" ht="21.95" customHeight="1" spans="1:18">
      <c r="A510" s="7"/>
      <c r="B510" s="12"/>
      <c r="C510" s="2"/>
      <c r="D510" s="2"/>
      <c r="E510" s="2"/>
      <c r="F510" s="16">
        <f>F454+1</f>
        <v>10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14"/>
      <c r="R510" s="11"/>
    </row>
    <row r="511" s="1" customFormat="1" ht="21.95" customHeight="1" spans="1:18">
      <c r="A511" s="7"/>
      <c r="B511" s="12"/>
      <c r="C511" s="17" t="s">
        <v>392</v>
      </c>
      <c r="D511" s="17"/>
      <c r="E511" s="17"/>
      <c r="F511" s="18" t="str">
        <f>IF(F510&gt;0,ENTRY!$D$6,"")</f>
        <v>MCP NITHARI NO 1 BOYS</v>
      </c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4"/>
      <c r="R511" s="11"/>
    </row>
    <row r="512" s="1" customFormat="1" ht="21.95" customHeight="1" spans="1:18">
      <c r="A512" s="7"/>
      <c r="B512" s="12"/>
      <c r="C512" s="17" t="s">
        <v>393</v>
      </c>
      <c r="D512" s="17"/>
      <c r="E512" s="17"/>
      <c r="F512" s="18">
        <f>IF(F510&gt;0,ENTRY!$D$7,"")</f>
        <v>0</v>
      </c>
      <c r="G512" s="18"/>
      <c r="H512" s="20" t="s">
        <v>702</v>
      </c>
      <c r="I512" s="20"/>
      <c r="J512" s="21">
        <f>IF(F510&gt;0,ENTRY!$D$10,"")</f>
        <v>40</v>
      </c>
      <c r="K512" s="20" t="s">
        <v>703</v>
      </c>
      <c r="L512" s="22" t="str">
        <f>IF(F510&gt;0,ENTRY!$D$5,"")</f>
        <v>ROHINI ZONE</v>
      </c>
      <c r="M512" s="22"/>
      <c r="N512" s="22"/>
      <c r="O512" s="22"/>
      <c r="P512" s="22"/>
      <c r="Q512" s="14"/>
      <c r="R512" s="11"/>
    </row>
    <row r="513" s="1" customFormat="1" ht="21.95" customHeight="1" spans="1:18">
      <c r="A513" s="7"/>
      <c r="B513" s="12"/>
      <c r="C513" s="17" t="s">
        <v>706</v>
      </c>
      <c r="D513" s="17"/>
      <c r="E513" s="17"/>
      <c r="F513" s="23" t="str">
        <f>IFERROR(VLOOKUP(F510,STUDENT!$A$2:$BP$101,5,0),"")</f>
        <v>PIYUSH KUMAR</v>
      </c>
      <c r="G513" s="23"/>
      <c r="H513" s="23"/>
      <c r="I513" s="23"/>
      <c r="J513" s="23"/>
      <c r="K513" s="23"/>
      <c r="L513" s="20" t="s">
        <v>707</v>
      </c>
      <c r="M513" s="20"/>
      <c r="N513" s="24" t="str">
        <f>IF(F510&gt;0,ENTRY!$D$20&amp;"-"&amp;ENTRY!$D$21,"")</f>
        <v>III-A</v>
      </c>
      <c r="O513" s="24"/>
      <c r="P513" s="24"/>
      <c r="Q513" s="14"/>
      <c r="R513" s="11"/>
    </row>
    <row r="514" s="1" customFormat="1" ht="21.95" customHeight="1" spans="1:18">
      <c r="A514" s="7"/>
      <c r="B514" s="12"/>
      <c r="C514" s="17" t="s">
        <v>708</v>
      </c>
      <c r="D514" s="17"/>
      <c r="E514" s="17"/>
      <c r="F514" s="25">
        <f>IFERROR(VLOOKUP(F510,STUDENT!$A$2:$BP$101,6,0),"")</f>
        <v>14774</v>
      </c>
      <c r="G514" s="25"/>
      <c r="H514" s="26" t="s">
        <v>709</v>
      </c>
      <c r="I514" s="27" t="str">
        <f>IFERROR(VLOOKUP(F510,STUDENT!$A$2:$BP$101,59,0),"")</f>
        <v/>
      </c>
      <c r="J514" s="27"/>
      <c r="K514" s="20" t="s">
        <v>710</v>
      </c>
      <c r="L514" s="20"/>
      <c r="M514" s="28">
        <f>IFERROR(VLOOKUP(F510,STUDENT!$A$2:$BP$101,20,0),"")</f>
        <v>8979884019</v>
      </c>
      <c r="N514" s="28"/>
      <c r="O514" s="28"/>
      <c r="P514" s="28"/>
      <c r="Q514" s="14"/>
      <c r="R514" s="11"/>
    </row>
    <row r="515" s="1" customFormat="1" ht="21.95" customHeight="1" spans="1:18">
      <c r="A515" s="7"/>
      <c r="B515" s="12"/>
      <c r="C515" s="17" t="s">
        <v>711</v>
      </c>
      <c r="D515" s="17"/>
      <c r="E515" s="17"/>
      <c r="F515" s="23" t="str">
        <f>IFERROR(VLOOKUP(F510,STUDENT!$A$2:$BP$101,9,0),"")</f>
        <v>USHA PRAJAPATI</v>
      </c>
      <c r="G515" s="23"/>
      <c r="H515" s="23"/>
      <c r="I515" s="23"/>
      <c r="J515" s="17" t="s">
        <v>620</v>
      </c>
      <c r="K515" s="17"/>
      <c r="L515" s="23" t="str">
        <f>IFERROR(VLOOKUP(F510,STUDENT!$A$2:$BP$101,8,0),"")</f>
        <v>MUNNA LAL</v>
      </c>
      <c r="M515" s="23"/>
      <c r="N515" s="23"/>
      <c r="O515" s="23"/>
      <c r="P515" s="23"/>
      <c r="Q515" s="14"/>
      <c r="R515" s="11"/>
    </row>
    <row r="516" s="1" customFormat="1" ht="21.95" customHeight="1" spans="1:18">
      <c r="A516" s="7"/>
      <c r="B516" s="12"/>
      <c r="C516" s="17" t="s">
        <v>712</v>
      </c>
      <c r="D516" s="17"/>
      <c r="E516" s="17"/>
      <c r="F516" s="23" t="str">
        <f>IFERROR(VLOOKUP(F510,STUDENT!$A$2:$BP$101,22,0),"")</f>
        <v>A 198/11 GALI NO 1 GAURAV NAGAR PREM NAGAR 2</v>
      </c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14"/>
      <c r="R516" s="11"/>
    </row>
    <row r="517" s="1" customFormat="1" ht="9.95" customHeight="1" spans="1:18">
      <c r="A517" s="7"/>
      <c r="B517" s="12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14"/>
      <c r="R517" s="11"/>
    </row>
    <row r="518" s="1" customFormat="1" ht="9.95" customHeight="1" spans="1:18">
      <c r="A518" s="7"/>
      <c r="B518" s="12"/>
      <c r="C518" s="30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2"/>
      <c r="Q518" s="14"/>
      <c r="R518" s="11"/>
    </row>
    <row r="519" s="1" customFormat="1" ht="21.95" customHeight="1" spans="1:18">
      <c r="A519" s="7"/>
      <c r="B519" s="12"/>
      <c r="C519" s="33"/>
      <c r="D519" s="34" t="s">
        <v>713</v>
      </c>
      <c r="E519" s="20" t="s">
        <v>714</v>
      </c>
      <c r="F519" s="35" t="str">
        <f>"Level - "&amp;IFERROR(VLOOKUP(F510,FLN!$A$4:$K$103,9,0),"")</f>
        <v>Level - 2</v>
      </c>
      <c r="G519" s="36"/>
      <c r="H519" s="37" t="s">
        <v>715</v>
      </c>
      <c r="I519" s="20"/>
      <c r="J519" s="35" t="str">
        <f>"Level - "&amp;IFERROR(VLOOKUP(F510,FLN!$A$4:$K$103,11,0),"")</f>
        <v>Level - 3</v>
      </c>
      <c r="K519" s="36"/>
      <c r="L519" s="37" t="s">
        <v>408</v>
      </c>
      <c r="M519" s="20"/>
      <c r="N519" s="35" t="str">
        <f>"Level - "&amp;IFERROR(VLOOKUP(F510,FLN!$A$4:$K$103,10,0),"")</f>
        <v>Level - 2</v>
      </c>
      <c r="O519" s="36"/>
      <c r="P519" s="19"/>
      <c r="Q519" s="14"/>
      <c r="R519" s="11"/>
    </row>
    <row r="520" s="1" customFormat="1" ht="21.95" customHeight="1" spans="1:18">
      <c r="A520" s="7"/>
      <c r="B520" s="12"/>
      <c r="C520" s="33"/>
      <c r="D520" s="38"/>
      <c r="E520" s="20" t="s">
        <v>716</v>
      </c>
      <c r="F520" s="18" t="str">
        <f>IF(L534&gt;197,"PERFORMED WELL","")</f>
        <v/>
      </c>
      <c r="G520" s="18"/>
      <c r="H520" s="18"/>
      <c r="I520" s="18"/>
      <c r="J520" s="18"/>
      <c r="K520" s="18"/>
      <c r="L520" s="18"/>
      <c r="M520" s="18"/>
      <c r="N520" s="18"/>
      <c r="O520" s="18"/>
      <c r="P520" s="19"/>
      <c r="Q520" s="14"/>
      <c r="R520" s="11"/>
    </row>
    <row r="521" s="1" customFormat="1" ht="9.95" customHeight="1" spans="1:18">
      <c r="A521" s="7"/>
      <c r="B521" s="12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1"/>
      <c r="Q521" s="14"/>
      <c r="R521" s="11"/>
    </row>
    <row r="522" s="1" customFormat="1" ht="9.95" customHeight="1" spans="1:18">
      <c r="A522" s="7"/>
      <c r="B522" s="12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14"/>
      <c r="R522" s="11"/>
    </row>
    <row r="523" s="1" customFormat="1" ht="9.95" customHeight="1" spans="1:18">
      <c r="A523" s="7"/>
      <c r="B523" s="12"/>
      <c r="C523" s="30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2"/>
      <c r="Q523" s="14"/>
      <c r="R523" s="11"/>
    </row>
    <row r="524" s="1" customFormat="1" ht="21.95" customHeight="1" spans="1:18">
      <c r="A524" s="7"/>
      <c r="B524" s="12"/>
      <c r="C524" s="33"/>
      <c r="D524" s="35"/>
      <c r="E524" s="24"/>
      <c r="F524" s="24"/>
      <c r="G524" s="47" t="s">
        <v>717</v>
      </c>
      <c r="H524" s="47"/>
      <c r="I524" s="47"/>
      <c r="J524" s="47"/>
      <c r="K524" s="47"/>
      <c r="L524" s="47"/>
      <c r="M524" s="47"/>
      <c r="N524" s="47"/>
      <c r="O524" s="29"/>
      <c r="P524" s="19"/>
      <c r="Q524" s="14"/>
      <c r="R524" s="11"/>
    </row>
    <row r="525" s="1" customFormat="1" ht="21.95" customHeight="1" spans="1:18">
      <c r="A525" s="7"/>
      <c r="B525" s="12"/>
      <c r="C525" s="33"/>
      <c r="D525" s="47"/>
      <c r="E525" s="47"/>
      <c r="F525" s="47"/>
      <c r="G525" s="47" t="s">
        <v>541</v>
      </c>
      <c r="H525" s="47" t="s">
        <v>542</v>
      </c>
      <c r="I525" s="47" t="s">
        <v>543</v>
      </c>
      <c r="J525" s="47" t="s">
        <v>544</v>
      </c>
      <c r="K525" s="47" t="s">
        <v>561</v>
      </c>
      <c r="L525" s="47" t="s">
        <v>382</v>
      </c>
      <c r="M525" s="49" t="s">
        <v>546</v>
      </c>
      <c r="N525" s="49"/>
      <c r="O525" s="29"/>
      <c r="P525" s="19"/>
      <c r="Q525" s="14"/>
      <c r="R525" s="11"/>
    </row>
    <row r="526" s="1" customFormat="1" ht="21.95" customHeight="1" spans="1:18">
      <c r="A526" s="7"/>
      <c r="B526" s="12"/>
      <c r="C526" s="33"/>
      <c r="D526" s="207" t="s">
        <v>652</v>
      </c>
      <c r="E526" s="207"/>
      <c r="F526" s="207"/>
      <c r="G526" s="50">
        <v>10</v>
      </c>
      <c r="H526" s="50">
        <v>10</v>
      </c>
      <c r="I526" s="50">
        <v>10</v>
      </c>
      <c r="J526" s="50">
        <v>10</v>
      </c>
      <c r="K526" s="50">
        <v>60</v>
      </c>
      <c r="L526" s="50">
        <v>100</v>
      </c>
      <c r="M526" s="49"/>
      <c r="N526" s="49"/>
      <c r="O526" s="29"/>
      <c r="P526" s="19"/>
      <c r="Q526" s="14"/>
      <c r="R526" s="11"/>
    </row>
    <row r="527" s="1" customFormat="1" ht="21.95" customHeight="1" spans="1:18">
      <c r="A527" s="7"/>
      <c r="B527" s="12"/>
      <c r="C527" s="33"/>
      <c r="D527" s="117" t="s">
        <v>668</v>
      </c>
      <c r="E527" s="117"/>
      <c r="F527" s="117"/>
      <c r="G527" s="54">
        <f>IFERROR(VLOOKUP(F510,'1to4-2.1-RR'!$A$12:$BG$111,9,0),"")</f>
        <v>2</v>
      </c>
      <c r="H527" s="54">
        <f>IFERROR(VLOOKUP(F510,'1to4-2.1-RR'!$A$12:$BG$111,10,0),"")</f>
        <v>0</v>
      </c>
      <c r="I527" s="54">
        <f>IFERROR(VLOOKUP(F510,'1to4-2.1-RR'!$A$12:$BG$111,11,0),"")</f>
        <v>0</v>
      </c>
      <c r="J527" s="54">
        <f>IFERROR(VLOOKUP(F510,'1to4-2.1-RR'!$A$12:$BG$111,12,0),"")</f>
        <v>0</v>
      </c>
      <c r="K527" s="54">
        <f>IFERROR(VLOOKUP(F510,'1to4-2.1-RR'!$A$12:$BG$111,13,0),"")</f>
        <v>44</v>
      </c>
      <c r="L527" s="55">
        <f>SUM(G527:K527)</f>
        <v>46</v>
      </c>
      <c r="M527" s="56" t="str">
        <f>IF(F510&gt;ENTRY!$D$24,"",IF(L527=0,"Ab",IF(L527&gt;80,"A",IF(L527&gt;60,"B",IF(L527&gt;44,"C",IF(L527&gt;=33,"D",IF(L527&lt;=32,"E","")))))))</f>
        <v>C</v>
      </c>
      <c r="N527" s="56"/>
      <c r="O527" s="29"/>
      <c r="P527" s="19"/>
      <c r="Q527" s="14"/>
      <c r="R527" s="11"/>
    </row>
    <row r="528" s="1" customFormat="1" ht="21.95" customHeight="1" spans="1:18">
      <c r="A528" s="7"/>
      <c r="B528" s="12"/>
      <c r="C528" s="33"/>
      <c r="D528" s="117" t="s">
        <v>513</v>
      </c>
      <c r="E528" s="117"/>
      <c r="F528" s="117"/>
      <c r="G528" s="54">
        <f>IFERROR(VLOOKUP(F510,'1to4-2.1-RR'!$A$12:$BG$111,16,0),"")</f>
        <v>1</v>
      </c>
      <c r="H528" s="54">
        <f>IFERROR(VLOOKUP(F510,'1to4-2.1-RR'!$A$12:$BG$111,17,0),"")</f>
        <v>0</v>
      </c>
      <c r="I528" s="54">
        <f>IFERROR(VLOOKUP(F510,'1to4-2.1-RR'!$A$12:$BG$111,18,0),"")</f>
        <v>0</v>
      </c>
      <c r="J528" s="54">
        <f>IFERROR(VLOOKUP(F510,'1to4-2.1-RR'!$A$12:$BG$111,19,0),"")</f>
        <v>0</v>
      </c>
      <c r="K528" s="54">
        <f>IFERROR(VLOOKUP(F510,'1to4-2.1-RR'!$A$12:$BG$111,20,0),"")</f>
        <v>22</v>
      </c>
      <c r="L528" s="55">
        <f t="shared" ref="L528:L533" si="18">SUM(G528:K528)</f>
        <v>23</v>
      </c>
      <c r="M528" s="56" t="str">
        <f>IF(F510&gt;ENTRY!$D$24,"",IF(L528=0,"Ab",IF(L528&gt;80,"A",IF(L528&gt;60,"B",IF(L528&gt;44,"C",IF(L528&gt;=33,"D",IF(L528&lt;=32,"E","")))))))</f>
        <v>E</v>
      </c>
      <c r="N528" s="56"/>
      <c r="O528" s="29"/>
      <c r="P528" s="19"/>
      <c r="Q528" s="14"/>
      <c r="R528" s="11"/>
    </row>
    <row r="529" s="1" customFormat="1" ht="21.95" customHeight="1" spans="1:19">
      <c r="A529" s="7"/>
      <c r="B529" s="12"/>
      <c r="C529" s="33"/>
      <c r="D529" s="117" t="s">
        <v>718</v>
      </c>
      <c r="E529" s="117"/>
      <c r="F529" s="117"/>
      <c r="G529" s="54">
        <f>IFERROR(VLOOKUP(F510,'1to4-2.1-RR'!$A$12:$BG$111,23,0),"")</f>
        <v>2</v>
      </c>
      <c r="H529" s="54">
        <f>IFERROR(VLOOKUP(F510,'1to4-2.1-RR'!$A$12:$BG$111,24,0),"")</f>
        <v>0</v>
      </c>
      <c r="I529" s="54">
        <f>IFERROR(VLOOKUP(F510,'1to4-2.1-RR'!$A$12:$BG$111,25,0),"")</f>
        <v>0</v>
      </c>
      <c r="J529" s="54">
        <f>IFERROR(VLOOKUP(F510,'1to4-2.1-RR'!$A$12:$BG$111,26,0),"")</f>
        <v>0</v>
      </c>
      <c r="K529" s="54">
        <f>IFERROR(VLOOKUP(F510,'1to4-2.1-RR'!$A$12:$BG$111,27,0),"")</f>
        <v>22</v>
      </c>
      <c r="L529" s="55">
        <f t="shared" si="18"/>
        <v>24</v>
      </c>
      <c r="M529" s="56" t="str">
        <f>IF(F510&gt;ENTRY!$D$24,"",IF(L529=0,"Ab",IF(L529&gt;80,"A",IF(L529&gt;60,"B",IF(L529&gt;44,"C",IF(L529&gt;=33,"D",IF(L529&lt;=32,"E","")))))))</f>
        <v>E</v>
      </c>
      <c r="N529" s="56"/>
      <c r="O529" s="29"/>
      <c r="P529" s="19"/>
      <c r="Q529" s="14"/>
      <c r="R529" s="11"/>
    </row>
    <row r="530" s="1" customFormat="1" ht="21.95" customHeight="1" spans="1:19">
      <c r="A530" s="7"/>
      <c r="B530" s="12"/>
      <c r="C530" s="33"/>
      <c r="D530" s="117" t="s">
        <v>719</v>
      </c>
      <c r="E530" s="117"/>
      <c r="F530" s="117"/>
      <c r="G530" s="54">
        <f>IFERROR(VLOOKUP(F510,'1to4-2.1-RR'!$A$12:$BG$111,30,0),"")</f>
        <v>2</v>
      </c>
      <c r="H530" s="54">
        <f>IFERROR(VLOOKUP(F510,'1to4-2.1-RR'!$A$12:$BG$111,31,0),"")</f>
        <v>0</v>
      </c>
      <c r="I530" s="54">
        <f>IFERROR(VLOOKUP(F510,'1to4-2.1-RR'!$A$12:$BG$111,32,0),"")</f>
        <v>0</v>
      </c>
      <c r="J530" s="54">
        <f>IFERROR(VLOOKUP(F510,'1to4-2.1-RR'!$A$12:$BG$111,33,0),"")</f>
        <v>0</v>
      </c>
      <c r="K530" s="54">
        <f>IFERROR(VLOOKUP(F510,'1to4-2.1-RR'!$A$12:$BG$111,34,0),"")</f>
        <v>21</v>
      </c>
      <c r="L530" s="55">
        <f t="shared" si="18"/>
        <v>23</v>
      </c>
      <c r="M530" s="56" t="str">
        <f>IF(F510&gt;ENTRY!$D$24,"",IF(L530=0,"Ab",IF(L530&gt;80,"A",IF(L530&gt;60,"B",IF(L530&gt;44,"C",IF(L530&gt;=33,"D",IF(L530&lt;=32,"E","")))))))</f>
        <v>E</v>
      </c>
      <c r="N530" s="56"/>
      <c r="O530" s="29"/>
      <c r="P530" s="19"/>
      <c r="Q530" s="14"/>
      <c r="R530" s="11"/>
    </row>
    <row r="531" s="1" customFormat="1" ht="21.95" customHeight="1" spans="1:19">
      <c r="A531" s="7"/>
      <c r="B531" s="12"/>
      <c r="C531" s="33"/>
      <c r="D531" s="117" t="s">
        <v>548</v>
      </c>
      <c r="E531" s="117"/>
      <c r="F531" s="117"/>
      <c r="G531" s="54">
        <f>IFERROR(VLOOKUP(F510,'1to4-2.1-RR'!$A$12:$BG$111,37,0),"")</f>
        <v>0</v>
      </c>
      <c r="H531" s="54">
        <f>IFERROR(VLOOKUP(F510,'1to4-2.1-RR'!$A$12:$BG$111,38,0),"")</f>
        <v>0</v>
      </c>
      <c r="I531" s="54">
        <f>IFERROR(VLOOKUP(F510,'1to4-2.1-RR'!$A$12:$BG$111,39,0),"")</f>
        <v>0</v>
      </c>
      <c r="J531" s="54">
        <f>IFERROR(VLOOKUP(F510,'1to4-2.1-RR'!$A$12:$BG$111,40,0),"")</f>
        <v>0</v>
      </c>
      <c r="K531" s="54">
        <f>IFERROR(VLOOKUP(F510,'1to4-2.1-RR'!$A$12:$BG$111,41,0),"")</f>
        <v>21</v>
      </c>
      <c r="L531" s="55">
        <f t="shared" si="18"/>
        <v>21</v>
      </c>
      <c r="M531" s="56" t="str">
        <f>IF(F510&gt;ENTRY!$D$24,"",IF(L531=0,"Ab",IF(L531&gt;80,"A",IF(L531&gt;60,"B",IF(L531&gt;44,"C",IF(L531&gt;=33,"D",IF(L531&lt;=32,"E","")))))))</f>
        <v>E</v>
      </c>
      <c r="N531" s="56"/>
      <c r="O531" s="29"/>
      <c r="P531" s="19"/>
      <c r="Q531" s="14"/>
      <c r="R531" s="11"/>
    </row>
    <row r="532" s="1" customFormat="1" ht="21.95" customHeight="1" spans="1:19">
      <c r="A532" s="7"/>
      <c r="B532" s="12"/>
      <c r="C532" s="33"/>
      <c r="D532" s="117" t="s">
        <v>549</v>
      </c>
      <c r="E532" s="117"/>
      <c r="F532" s="117"/>
      <c r="G532" s="54">
        <f>IFERROR(VLOOKUP(F510,'1to4-2.1-RR'!$A$12:$BG$111,44,0),"")</f>
        <v>2</v>
      </c>
      <c r="H532" s="54">
        <f>IFERROR(VLOOKUP(F510,'1to4-2.1-RR'!$A$12:$BG$111,45,0),"")</f>
        <v>0</v>
      </c>
      <c r="I532" s="54">
        <f>IFERROR(VLOOKUP(F510,'1to4-2.1-RR'!$A$12:$BG$111,46,0),"")</f>
        <v>0</v>
      </c>
      <c r="J532" s="54">
        <f>IFERROR(VLOOKUP(F510,'1to4-2.1-RR'!$A$12:$BG$111,47,0),"")</f>
        <v>0</v>
      </c>
      <c r="K532" s="54">
        <f>IFERROR(VLOOKUP(F510,'1to4-2.1-RR'!$A$12:$BG$111,48,0),"")</f>
        <v>20</v>
      </c>
      <c r="L532" s="55">
        <f t="shared" si="18"/>
        <v>22</v>
      </c>
      <c r="M532" s="56" t="str">
        <f>IF(F510&gt;ENTRY!$D$24,"",IF(L532=0,"Ab",IF(L532&gt;80,"A",IF(L532&gt;60,"B",IF(L532&gt;44,"C",IF(L532&gt;=33,"D",IF(L532&lt;=32,"E","")))))))</f>
        <v>E</v>
      </c>
      <c r="N532" s="56"/>
      <c r="O532" s="29"/>
      <c r="P532" s="19"/>
      <c r="Q532" s="14"/>
      <c r="R532" s="11"/>
    </row>
    <row r="533" s="1" customFormat="1" ht="21.95" customHeight="1" spans="1:19">
      <c r="A533" s="7"/>
      <c r="B533" s="12"/>
      <c r="C533" s="33"/>
      <c r="D533" s="117" t="s">
        <v>720</v>
      </c>
      <c r="E533" s="117"/>
      <c r="F533" s="117"/>
      <c r="G533" s="54"/>
      <c r="H533" s="54"/>
      <c r="I533" s="54"/>
      <c r="J533" s="54"/>
      <c r="K533" s="54"/>
      <c r="L533" s="55">
        <f t="shared" si="18"/>
        <v>0</v>
      </c>
      <c r="M533" s="56" t="str">
        <f>IF(F510&gt;ENTRY!$D$24,"",IF(L533=0,"",IF(L533&gt;79,"A",IF(L533&gt;59,"B",IF(L533&gt;44,"C",IF(L533&gt;=33,"D",IF(L533&lt;=32,"E","")))))))</f>
        <v/>
      </c>
      <c r="N533" s="56"/>
      <c r="O533" s="29"/>
      <c r="P533" s="19"/>
      <c r="Q533" s="14"/>
      <c r="R533" s="11"/>
    </row>
    <row r="534" s="1" customFormat="1" ht="21.95" customHeight="1" spans="1:19">
      <c r="A534" s="7"/>
      <c r="B534" s="12"/>
      <c r="C534" s="33"/>
      <c r="D534" s="207" t="s">
        <v>382</v>
      </c>
      <c r="E534" s="207"/>
      <c r="F534" s="207"/>
      <c r="G534" s="54">
        <f t="shared" ref="G534:L534" si="19">IFERROR(SUM(G527:G533),"")</f>
        <v>9</v>
      </c>
      <c r="H534" s="54">
        <f t="shared" si="19"/>
        <v>0</v>
      </c>
      <c r="I534" s="54">
        <f t="shared" si="19"/>
        <v>0</v>
      </c>
      <c r="J534" s="54">
        <f t="shared" si="19"/>
        <v>0</v>
      </c>
      <c r="K534" s="54">
        <f t="shared" si="19"/>
        <v>150</v>
      </c>
      <c r="L534" s="55">
        <f t="shared" si="19"/>
        <v>159</v>
      </c>
      <c r="M534" s="61" t="str">
        <f>IF(F510&gt;ENTRY!$D$24,"",IF(N535="Ab","Ab",IF(N535&gt;79.5,"A",IF(N535&gt;59.5,"B",IF(N535&gt;44.5,"C",IF(N535&gt;=33,"D",IF(N535&lt;33,"E","")))))))</f>
        <v>E</v>
      </c>
      <c r="N534" s="61"/>
      <c r="O534" s="29"/>
      <c r="P534" s="19"/>
      <c r="Q534" s="14"/>
      <c r="R534" s="11"/>
    </row>
    <row r="535" s="1" customFormat="1" ht="21.95" customHeight="1" spans="1:19">
      <c r="A535" s="7"/>
      <c r="B535" s="12"/>
      <c r="C535" s="33"/>
      <c r="D535" s="63" t="s">
        <v>721</v>
      </c>
      <c r="E535" s="63"/>
      <c r="F535" s="63"/>
      <c r="G535" s="63"/>
      <c r="H535" s="63"/>
      <c r="I535" s="63"/>
      <c r="J535" s="63"/>
      <c r="K535" s="63"/>
      <c r="L535" s="63"/>
      <c r="M535" s="209"/>
      <c r="N535" s="64">
        <f>IF(L534="Ab","Ab",L534/6)</f>
        <v>26.5</v>
      </c>
      <c r="O535" s="65"/>
      <c r="P535" s="19"/>
      <c r="Q535" s="14"/>
      <c r="R535" s="11"/>
    </row>
    <row r="536" s="1" customFormat="1" ht="21.95" customHeight="1" spans="1:19">
      <c r="A536" s="7"/>
      <c r="B536" s="12"/>
      <c r="C536" s="33"/>
      <c r="D536" s="29" t="s">
        <v>716</v>
      </c>
      <c r="E536" s="18" t="str">
        <f>IFERROR(VLOOKUP(F510,'1to4-2.1-RR'!$A$12:$BG$111,57,0),"")</f>
        <v>PROMOTED</v>
      </c>
      <c r="F536" s="18"/>
      <c r="G536" s="18"/>
      <c r="H536" s="18"/>
      <c r="I536" s="18"/>
      <c r="J536" s="18"/>
      <c r="K536" s="18"/>
      <c r="L536" s="18"/>
      <c r="M536" s="18"/>
      <c r="N536" s="29"/>
      <c r="O536" s="29"/>
      <c r="P536" s="19"/>
      <c r="Q536" s="14"/>
      <c r="R536" s="11"/>
    </row>
    <row r="537" s="1" customFormat="1" ht="9.95" customHeight="1" spans="1:19">
      <c r="A537" s="7"/>
      <c r="B537" s="12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1"/>
      <c r="Q537" s="14"/>
      <c r="R537" s="11"/>
    </row>
    <row r="538" s="1" customFormat="1" ht="9.95" customHeight="1" spans="1:19">
      <c r="A538" s="7"/>
      <c r="B538" s="12"/>
      <c r="C538" s="30"/>
      <c r="D538" s="31"/>
      <c r="E538" s="31"/>
      <c r="F538" s="29"/>
      <c r="G538" s="31"/>
      <c r="H538" s="31"/>
      <c r="I538" s="31"/>
      <c r="J538" s="31"/>
      <c r="K538" s="31"/>
      <c r="L538" s="31"/>
      <c r="M538" s="31"/>
      <c r="N538" s="31"/>
      <c r="O538" s="31"/>
      <c r="P538" s="32"/>
      <c r="Q538" s="14"/>
      <c r="R538" s="11"/>
    </row>
    <row r="539" s="1" customFormat="1" ht="9.95" customHeight="1" spans="1:19">
      <c r="A539" s="7"/>
      <c r="B539" s="12"/>
      <c r="C539" s="33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19"/>
      <c r="Q539" s="14"/>
      <c r="R539" s="11"/>
    </row>
    <row r="540" s="1" customFormat="1" ht="9.95" customHeight="1" spans="1:19">
      <c r="A540" s="7"/>
      <c r="B540" s="12"/>
      <c r="C540" s="33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19"/>
      <c r="Q540" s="14"/>
      <c r="R540" s="11"/>
    </row>
    <row r="541" s="1" customFormat="1" ht="21.95" customHeight="1" spans="1:19">
      <c r="A541" s="7"/>
      <c r="B541" s="12"/>
      <c r="C541" s="210"/>
      <c r="D541" s="211"/>
      <c r="E541" s="211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2"/>
      <c r="Q541" s="14"/>
      <c r="R541" s="11"/>
      <c r="S541" s="2"/>
    </row>
    <row r="542" s="1" customFormat="1" ht="21.95" customHeight="1" spans="1:19">
      <c r="A542" s="7"/>
      <c r="B542" s="12"/>
      <c r="C542" s="33"/>
      <c r="D542" s="207" t="s">
        <v>722</v>
      </c>
      <c r="E542" s="207"/>
      <c r="F542" s="207"/>
      <c r="G542" s="207"/>
      <c r="H542" s="54">
        <f>IFERROR(VLOOKUP(F510,PASHEET!$A$4:$CJ$103,88,0),"")</f>
        <v>0</v>
      </c>
      <c r="I542" s="54"/>
      <c r="J542" s="29"/>
      <c r="K542" s="29"/>
      <c r="L542" s="29"/>
      <c r="M542" s="29"/>
      <c r="N542" s="29"/>
      <c r="O542" s="29"/>
      <c r="P542" s="19"/>
      <c r="Q542" s="14"/>
      <c r="R542" s="11"/>
    </row>
    <row r="543" s="1" customFormat="1" ht="21.95" customHeight="1" spans="1:19">
      <c r="A543" s="7"/>
      <c r="B543" s="12"/>
      <c r="C543" s="213"/>
      <c r="D543" s="207" t="s">
        <v>723</v>
      </c>
      <c r="E543" s="207"/>
      <c r="F543" s="207"/>
      <c r="G543" s="207"/>
      <c r="H543" s="54">
        <f>IFERROR(VLOOKUP(F510,PASHEET!$A$4:$CJ$103,87,0),"")</f>
        <v>0</v>
      </c>
      <c r="I543" s="54"/>
      <c r="J543" s="214"/>
      <c r="K543" s="214"/>
      <c r="L543" s="207" t="s">
        <v>724</v>
      </c>
      <c r="M543" s="207"/>
      <c r="N543" s="117" t="str">
        <f>IF(F510&gt;ENTRY!$D$24,"",IF(F510&gt;0,L534&amp;" / "&amp;600,""))</f>
        <v>159 / 600</v>
      </c>
      <c r="O543" s="117"/>
      <c r="P543" s="215"/>
      <c r="Q543" s="14"/>
      <c r="R543" s="11"/>
    </row>
    <row r="544" s="1" customFormat="1" ht="18" customHeight="1" spans="1:19">
      <c r="A544" s="7"/>
      <c r="B544" s="12"/>
      <c r="C544" s="33"/>
      <c r="D544" s="207" t="s">
        <v>725</v>
      </c>
      <c r="E544" s="207"/>
      <c r="F544" s="207"/>
      <c r="G544" s="207"/>
      <c r="H544" s="69" t="str">
        <f>IFERROR(IF(F510&gt;0,H543/H542*100),"")</f>
        <v/>
      </c>
      <c r="I544" s="69"/>
      <c r="J544" s="29"/>
      <c r="K544" s="29"/>
      <c r="L544" s="207" t="s">
        <v>726</v>
      </c>
      <c r="M544" s="207"/>
      <c r="N544" s="216">
        <f>IF(F510&gt;ENTRY!$D$24,"",IF(F510&gt;0,L534/600*100,""))</f>
        <v>26.5</v>
      </c>
      <c r="O544" s="216"/>
      <c r="P544" s="19"/>
      <c r="Q544" s="14"/>
      <c r="R544" s="11"/>
    </row>
    <row r="545" s="1" customFormat="1" ht="21.95" customHeight="1" spans="1:18">
      <c r="A545" s="7"/>
      <c r="B545" s="12"/>
      <c r="C545" s="33"/>
      <c r="D545" s="80"/>
      <c r="E545" s="80"/>
      <c r="F545" s="217"/>
      <c r="G545" s="217"/>
      <c r="H545" s="217"/>
      <c r="I545" s="217"/>
      <c r="J545" s="217"/>
      <c r="K545" s="217"/>
      <c r="L545" s="217"/>
      <c r="M545" s="217"/>
      <c r="N545" s="80"/>
      <c r="O545" s="80"/>
      <c r="P545" s="19"/>
      <c r="Q545" s="14"/>
      <c r="R545" s="11"/>
    </row>
    <row r="546" s="1" customFormat="1" ht="21.95" customHeight="1" spans="1:18">
      <c r="A546" s="7"/>
      <c r="B546" s="12"/>
      <c r="C546" s="33"/>
      <c r="D546" s="80"/>
      <c r="E546" s="218"/>
      <c r="F546" s="218"/>
      <c r="G546" s="218"/>
      <c r="H546" s="80"/>
      <c r="I546" s="218"/>
      <c r="J546" s="218"/>
      <c r="K546" s="218"/>
      <c r="L546" s="218"/>
      <c r="M546" s="80"/>
      <c r="N546" s="219"/>
      <c r="O546" s="219"/>
      <c r="P546" s="19"/>
      <c r="Q546" s="14"/>
      <c r="R546" s="11"/>
    </row>
    <row r="547" s="1" customFormat="1" ht="21.95" customHeight="1" spans="1:18">
      <c r="A547" s="7"/>
      <c r="B547" s="12"/>
      <c r="C547" s="33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19"/>
      <c r="Q547" s="14"/>
      <c r="R547" s="11"/>
    </row>
    <row r="548" s="1" customFormat="1" ht="21.95" customHeight="1" spans="1:18">
      <c r="A548" s="7"/>
      <c r="B548" s="12"/>
      <c r="C548" s="33"/>
      <c r="D548" s="218"/>
      <c r="E548" s="218"/>
      <c r="F548" s="218"/>
      <c r="G548" s="218"/>
      <c r="H548" s="218"/>
      <c r="I548" s="218"/>
      <c r="J548" s="218"/>
      <c r="K548" s="218"/>
      <c r="L548" s="218"/>
      <c r="M548" s="80"/>
      <c r="N548" s="217"/>
      <c r="O548" s="217"/>
      <c r="P548" s="85" t="s">
        <v>727</v>
      </c>
      <c r="Q548" s="14"/>
      <c r="R548" s="11"/>
    </row>
    <row r="549" s="1" customFormat="1" ht="21.95" customHeight="1" spans="1:18">
      <c r="A549" s="7"/>
      <c r="B549" s="12"/>
      <c r="C549" s="33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19"/>
      <c r="Q549" s="14"/>
      <c r="R549" s="11"/>
    </row>
    <row r="550" s="1" customFormat="1" ht="21.95" customHeight="1" spans="1:18">
      <c r="A550" s="7"/>
      <c r="B550" s="12"/>
      <c r="C550" s="33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19"/>
      <c r="Q550" s="14"/>
      <c r="R550" s="11"/>
    </row>
    <row r="551" s="1" customFormat="1" ht="21.95" customHeight="1" spans="1:18">
      <c r="A551" s="7"/>
      <c r="B551" s="12"/>
      <c r="C551" s="33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19"/>
      <c r="Q551" s="14"/>
      <c r="R551" s="11"/>
    </row>
    <row r="552" s="1" customFormat="1" ht="21.95" customHeight="1" spans="1:18">
      <c r="A552" s="7"/>
      <c r="B552" s="12"/>
      <c r="C552" s="33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19"/>
      <c r="Q552" s="14"/>
      <c r="R552" s="11"/>
    </row>
    <row r="553" s="1" customFormat="1" ht="21.95" customHeight="1" spans="1:18">
      <c r="A553" s="7"/>
      <c r="B553" s="12"/>
      <c r="C553" s="33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19"/>
      <c r="Q553" s="14"/>
      <c r="R553" s="11"/>
    </row>
    <row r="554" s="1" customFormat="1" ht="21.95" customHeight="1" spans="1:18">
      <c r="A554" s="7"/>
      <c r="B554" s="12"/>
      <c r="C554" s="33"/>
      <c r="D554" s="80" t="s">
        <v>728</v>
      </c>
      <c r="E554" s="220">
        <f>ENTRY!$D$27</f>
        <v>46102</v>
      </c>
      <c r="F554" s="220"/>
      <c r="G554" s="29"/>
      <c r="H554" s="29"/>
      <c r="I554" s="221" t="s">
        <v>729</v>
      </c>
      <c r="J554" s="153"/>
      <c r="K554" s="29"/>
      <c r="L554" s="29"/>
      <c r="M554" s="87" t="s">
        <v>730</v>
      </c>
      <c r="N554" s="87"/>
      <c r="O554" s="87"/>
      <c r="P554" s="19"/>
      <c r="Q554" s="14"/>
      <c r="R554" s="11"/>
    </row>
    <row r="555" s="1" customFormat="1" ht="21.95" customHeight="1" spans="1:18">
      <c r="A555" s="7"/>
      <c r="B555" s="12"/>
      <c r="C555" s="33"/>
      <c r="D555" s="80" t="s">
        <v>731</v>
      </c>
      <c r="E555" s="88" t="str">
        <f>PROPER(ENTRY!$D$28)</f>
        <v>New Delhi</v>
      </c>
      <c r="F555" s="88"/>
      <c r="G555" s="29"/>
      <c r="H555" s="29"/>
      <c r="I555" s="153"/>
      <c r="J555" s="153"/>
      <c r="K555" s="29"/>
      <c r="L555" s="29"/>
      <c r="M555" s="79" t="s">
        <v>732</v>
      </c>
      <c r="N555" s="79"/>
      <c r="O555" s="79"/>
      <c r="P555" s="19"/>
      <c r="Q555" s="14"/>
      <c r="R555" s="11"/>
    </row>
    <row r="556" s="1" customFormat="1" ht="21.95" customHeight="1" spans="1:18">
      <c r="A556" s="7"/>
      <c r="B556" s="12"/>
      <c r="C556" s="90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2"/>
      <c r="Q556" s="14"/>
      <c r="R556" s="11"/>
    </row>
    <row r="557" s="1" customFormat="1" ht="5.1" customHeight="1" spans="1:18">
      <c r="A557" s="7"/>
      <c r="B557" s="90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2"/>
      <c r="R557" s="11"/>
    </row>
    <row r="558" s="1" customFormat="1" ht="5.1" customHeight="1" spans="1:18">
      <c r="A558" s="93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5"/>
    </row>
    <row r="559" s="1" customFormat="1" ht="21.95" customHeight="1"/>
    <row r="560" ht="15.15"/>
    <row r="561" s="1" customFormat="1" ht="5.1" customHeight="1" spans="1:18">
      <c r="A561" s="4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6"/>
    </row>
    <row r="562" s="1" customFormat="1" ht="15" customHeight="1" spans="1:18">
      <c r="A562" s="7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0"/>
      <c r="R562" s="11"/>
    </row>
    <row r="563" s="1" customFormat="1" ht="21.95" customHeight="1" spans="1:18">
      <c r="A563" s="7"/>
      <c r="B563" s="12"/>
      <c r="C563" s="13" t="s">
        <v>7</v>
      </c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4"/>
      <c r="R563" s="11"/>
    </row>
    <row r="564" s="1" customFormat="1" ht="21.95" customHeight="1" spans="1:18">
      <c r="A564" s="7"/>
      <c r="B564" s="1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14"/>
      <c r="R564" s="11"/>
    </row>
    <row r="565" s="1" customFormat="1" ht="21.95" customHeight="1" spans="1:18">
      <c r="A565" s="7"/>
      <c r="B565" s="12"/>
      <c r="C565" s="15" t="str">
        <f>"SESSION-"&amp;ENTRY!$D$11</f>
        <v>SESSION-2026-27</v>
      </c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4"/>
      <c r="R565" s="11"/>
    </row>
    <row r="566" s="1" customFormat="1" ht="21.95" customHeight="1" spans="1:18">
      <c r="A566" s="7"/>
      <c r="B566" s="12"/>
      <c r="C566" s="2"/>
      <c r="D566" s="2"/>
      <c r="E566" s="2"/>
      <c r="F566" s="16">
        <f>F510+1</f>
        <v>11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14"/>
      <c r="R566" s="11"/>
    </row>
    <row r="567" s="1" customFormat="1" ht="21.95" customHeight="1" spans="1:18">
      <c r="A567" s="7"/>
      <c r="B567" s="12"/>
      <c r="C567" s="17" t="s">
        <v>392</v>
      </c>
      <c r="D567" s="17"/>
      <c r="E567" s="17"/>
      <c r="F567" s="18" t="str">
        <f>IF(F566&gt;0,ENTRY!$D$6,"")</f>
        <v>MCP NITHARI NO 1 BOYS</v>
      </c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4"/>
      <c r="R567" s="11"/>
    </row>
    <row r="568" s="1" customFormat="1" ht="21.95" customHeight="1" spans="1:18">
      <c r="A568" s="7"/>
      <c r="B568" s="12"/>
      <c r="C568" s="17" t="s">
        <v>393</v>
      </c>
      <c r="D568" s="17"/>
      <c r="E568" s="17"/>
      <c r="F568" s="18">
        <f>IF(F566&gt;0,ENTRY!$D$7,"")</f>
        <v>0</v>
      </c>
      <c r="G568" s="18"/>
      <c r="H568" s="20" t="s">
        <v>702</v>
      </c>
      <c r="I568" s="20"/>
      <c r="J568" s="21">
        <f>IF(F566&gt;0,ENTRY!$D$10,"")</f>
        <v>40</v>
      </c>
      <c r="K568" s="20" t="s">
        <v>703</v>
      </c>
      <c r="L568" s="22" t="str">
        <f>IF(F566&gt;0,ENTRY!$D$5,"")</f>
        <v>ROHINI ZONE</v>
      </c>
      <c r="M568" s="22"/>
      <c r="N568" s="22"/>
      <c r="O568" s="22"/>
      <c r="P568" s="22"/>
      <c r="Q568" s="14"/>
      <c r="R568" s="11"/>
    </row>
    <row r="569" s="1" customFormat="1" ht="21.95" customHeight="1" spans="1:18">
      <c r="A569" s="7"/>
      <c r="B569" s="12"/>
      <c r="C569" s="17" t="s">
        <v>706</v>
      </c>
      <c r="D569" s="17"/>
      <c r="E569" s="17"/>
      <c r="F569" s="23" t="str">
        <f>IFERROR(VLOOKUP(F566,STUDENT!$A$2:$BP$101,5,0),"")</f>
        <v>MD MAHTAB</v>
      </c>
      <c r="G569" s="23"/>
      <c r="H569" s="23"/>
      <c r="I569" s="23"/>
      <c r="J569" s="23"/>
      <c r="K569" s="23"/>
      <c r="L569" s="20" t="s">
        <v>707</v>
      </c>
      <c r="M569" s="20"/>
      <c r="N569" s="24" t="str">
        <f>IF(F566&gt;0,ENTRY!$D$20&amp;"-"&amp;ENTRY!$D$21,"")</f>
        <v>III-A</v>
      </c>
      <c r="O569" s="24"/>
      <c r="P569" s="24"/>
      <c r="Q569" s="14"/>
      <c r="R569" s="11"/>
    </row>
    <row r="570" s="1" customFormat="1" ht="21.95" customHeight="1" spans="1:18">
      <c r="A570" s="7"/>
      <c r="B570" s="12"/>
      <c r="C570" s="17" t="s">
        <v>708</v>
      </c>
      <c r="D570" s="17"/>
      <c r="E570" s="17"/>
      <c r="F570" s="25">
        <f>IFERROR(VLOOKUP(F566,STUDENT!$A$2:$BP$101,6,0),"")</f>
        <v>14775</v>
      </c>
      <c r="G570" s="25"/>
      <c r="H570" s="26" t="s">
        <v>709</v>
      </c>
      <c r="I570" s="27" t="str">
        <f>IFERROR(VLOOKUP(F566,STUDENT!$A$2:$BP$101,59,0),"")</f>
        <v/>
      </c>
      <c r="J570" s="27"/>
      <c r="K570" s="20" t="s">
        <v>710</v>
      </c>
      <c r="L570" s="20"/>
      <c r="M570" s="28">
        <f>IFERROR(VLOOKUP(F566,STUDENT!$A$2:$BP$101,20,0),"")</f>
        <v>9667817945</v>
      </c>
      <c r="N570" s="28"/>
      <c r="O570" s="28"/>
      <c r="P570" s="28"/>
      <c r="Q570" s="14"/>
      <c r="R570" s="11"/>
    </row>
    <row r="571" s="1" customFormat="1" ht="21.95" customHeight="1" spans="1:18">
      <c r="A571" s="7"/>
      <c r="B571" s="12"/>
      <c r="C571" s="17" t="s">
        <v>711</v>
      </c>
      <c r="D571" s="17"/>
      <c r="E571" s="17"/>
      <c r="F571" s="23" t="str">
        <f>IFERROR(VLOOKUP(F566,STUDENT!$A$2:$BP$101,9,0),"")</f>
        <v>MOVINA PRAVEEN</v>
      </c>
      <c r="G571" s="23"/>
      <c r="H571" s="23"/>
      <c r="I571" s="23"/>
      <c r="J571" s="17" t="s">
        <v>620</v>
      </c>
      <c r="K571" s="17"/>
      <c r="L571" s="23" t="str">
        <f>IFERROR(VLOOKUP(F566,STUDENT!$A$2:$BP$101,8,0),"")</f>
        <v>MD ASRAF</v>
      </c>
      <c r="M571" s="23"/>
      <c r="N571" s="23"/>
      <c r="O571" s="23"/>
      <c r="P571" s="23"/>
      <c r="Q571" s="14"/>
      <c r="R571" s="11"/>
    </row>
    <row r="572" s="1" customFormat="1" ht="21.95" customHeight="1" spans="1:18">
      <c r="A572" s="7"/>
      <c r="B572" s="12"/>
      <c r="C572" s="17" t="s">
        <v>712</v>
      </c>
      <c r="D572" s="17"/>
      <c r="E572" s="17"/>
      <c r="F572" s="23" t="str">
        <f>IFERROR(VLOOKUP(F566,STUDENT!$A$2:$BP$101,22,0),"")</f>
        <v>F 172 INDER INCLAVE 2</v>
      </c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14"/>
      <c r="R572" s="11"/>
    </row>
    <row r="573" s="1" customFormat="1" ht="9.95" customHeight="1" spans="1:18">
      <c r="A573" s="7"/>
      <c r="B573" s="12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14"/>
      <c r="R573" s="11"/>
    </row>
    <row r="574" s="1" customFormat="1" ht="9.95" customHeight="1" spans="1:18">
      <c r="A574" s="7"/>
      <c r="B574" s="12"/>
      <c r="C574" s="30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2"/>
      <c r="Q574" s="14"/>
      <c r="R574" s="11"/>
    </row>
    <row r="575" s="1" customFormat="1" ht="21.95" customHeight="1" spans="1:18">
      <c r="A575" s="7"/>
      <c r="B575" s="12"/>
      <c r="C575" s="33"/>
      <c r="D575" s="34" t="s">
        <v>713</v>
      </c>
      <c r="E575" s="20" t="s">
        <v>714</v>
      </c>
      <c r="F575" s="35" t="str">
        <f>"Level - "&amp;IFERROR(VLOOKUP(F566,FLN!$A$4:$K$103,9,0),"")</f>
        <v>Level - </v>
      </c>
      <c r="G575" s="36"/>
      <c r="H575" s="37" t="s">
        <v>715</v>
      </c>
      <c r="I575" s="20"/>
      <c r="J575" s="35" t="str">
        <f>"Level - "&amp;IFERROR(VLOOKUP(F566,FLN!$A$4:$K$103,11,0),"")</f>
        <v>Level - </v>
      </c>
      <c r="K575" s="36"/>
      <c r="L575" s="37" t="s">
        <v>408</v>
      </c>
      <c r="M575" s="20"/>
      <c r="N575" s="35" t="str">
        <f>"Level - "&amp;IFERROR(VLOOKUP(F566,FLN!$A$4:$K$103,10,0),"")</f>
        <v>Level - </v>
      </c>
      <c r="O575" s="36"/>
      <c r="P575" s="19"/>
      <c r="Q575" s="14"/>
      <c r="R575" s="11"/>
    </row>
    <row r="576" s="1" customFormat="1" ht="21.95" customHeight="1" spans="1:18">
      <c r="A576" s="7"/>
      <c r="B576" s="12"/>
      <c r="C576" s="33"/>
      <c r="D576" s="38"/>
      <c r="E576" s="20" t="s">
        <v>716</v>
      </c>
      <c r="F576" s="18" t="str">
        <f>IF(L590&gt;197,"PERFORMED WELL","")</f>
        <v/>
      </c>
      <c r="G576" s="18"/>
      <c r="H576" s="18"/>
      <c r="I576" s="18"/>
      <c r="J576" s="18"/>
      <c r="K576" s="18"/>
      <c r="L576" s="18"/>
      <c r="M576" s="18"/>
      <c r="N576" s="18"/>
      <c r="O576" s="18"/>
      <c r="P576" s="19"/>
      <c r="Q576" s="14"/>
      <c r="R576" s="11"/>
    </row>
    <row r="577" s="1" customFormat="1" ht="9.95" customHeight="1" spans="1:18">
      <c r="A577" s="7"/>
      <c r="B577" s="12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1"/>
      <c r="Q577" s="14"/>
      <c r="R577" s="11"/>
    </row>
    <row r="578" s="1" customFormat="1" ht="9.95" customHeight="1" spans="1:18">
      <c r="A578" s="7"/>
      <c r="B578" s="12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14"/>
      <c r="R578" s="11"/>
    </row>
    <row r="579" s="1" customFormat="1" ht="9.95" customHeight="1" spans="1:18">
      <c r="A579" s="7"/>
      <c r="B579" s="12"/>
      <c r="C579" s="30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2"/>
      <c r="Q579" s="14"/>
      <c r="R579" s="11"/>
    </row>
    <row r="580" s="1" customFormat="1" ht="21.95" customHeight="1" spans="1:18">
      <c r="A580" s="7"/>
      <c r="B580" s="12"/>
      <c r="C580" s="33"/>
      <c r="D580" s="35"/>
      <c r="E580" s="24"/>
      <c r="F580" s="24"/>
      <c r="G580" s="47" t="s">
        <v>717</v>
      </c>
      <c r="H580" s="47"/>
      <c r="I580" s="47"/>
      <c r="J580" s="47"/>
      <c r="K580" s="47"/>
      <c r="L580" s="47"/>
      <c r="M580" s="47"/>
      <c r="N580" s="47"/>
      <c r="O580" s="29"/>
      <c r="P580" s="19"/>
      <c r="Q580" s="14"/>
      <c r="R580" s="11"/>
    </row>
    <row r="581" s="1" customFormat="1" ht="21.95" customHeight="1" spans="1:18">
      <c r="A581" s="7"/>
      <c r="B581" s="12"/>
      <c r="C581" s="33"/>
      <c r="D581" s="47"/>
      <c r="E581" s="47"/>
      <c r="F581" s="47"/>
      <c r="G581" s="47" t="s">
        <v>541</v>
      </c>
      <c r="H581" s="47" t="s">
        <v>542</v>
      </c>
      <c r="I581" s="47" t="s">
        <v>543</v>
      </c>
      <c r="J581" s="47" t="s">
        <v>544</v>
      </c>
      <c r="K581" s="47" t="s">
        <v>561</v>
      </c>
      <c r="L581" s="47" t="s">
        <v>382</v>
      </c>
      <c r="M581" s="49" t="s">
        <v>546</v>
      </c>
      <c r="N581" s="49"/>
      <c r="O581" s="29"/>
      <c r="P581" s="19"/>
      <c r="Q581" s="14"/>
      <c r="R581" s="11"/>
    </row>
    <row r="582" s="1" customFormat="1" ht="21.95" customHeight="1" spans="1:18">
      <c r="A582" s="7"/>
      <c r="B582" s="12"/>
      <c r="C582" s="33"/>
      <c r="D582" s="207" t="s">
        <v>652</v>
      </c>
      <c r="E582" s="207"/>
      <c r="F582" s="207"/>
      <c r="G582" s="50">
        <v>10</v>
      </c>
      <c r="H582" s="50">
        <v>10</v>
      </c>
      <c r="I582" s="50">
        <v>10</v>
      </c>
      <c r="J582" s="50">
        <v>10</v>
      </c>
      <c r="K582" s="50">
        <v>60</v>
      </c>
      <c r="L582" s="50">
        <v>100</v>
      </c>
      <c r="M582" s="49"/>
      <c r="N582" s="49"/>
      <c r="O582" s="29"/>
      <c r="P582" s="19"/>
      <c r="Q582" s="14"/>
      <c r="R582" s="11"/>
    </row>
    <row r="583" s="1" customFormat="1" ht="21.95" customHeight="1" spans="1:18">
      <c r="A583" s="7"/>
      <c r="B583" s="12"/>
      <c r="C583" s="33"/>
      <c r="D583" s="117" t="s">
        <v>668</v>
      </c>
      <c r="E583" s="117"/>
      <c r="F583" s="117"/>
      <c r="G583" s="54">
        <f>IFERROR(VLOOKUP(F566,'1to4-2.1-RR'!$A$12:$BG$111,9,0),"")</f>
        <v>0</v>
      </c>
      <c r="H583" s="54">
        <f>IFERROR(VLOOKUP(F566,'1to4-2.1-RR'!$A$12:$BG$111,10,0),"")</f>
        <v>0</v>
      </c>
      <c r="I583" s="54">
        <f>IFERROR(VLOOKUP(F566,'1to4-2.1-RR'!$A$12:$BG$111,11,0),"")</f>
        <v>0</v>
      </c>
      <c r="J583" s="54">
        <f>IFERROR(VLOOKUP(F566,'1to4-2.1-RR'!$A$12:$BG$111,12,0),"")</f>
        <v>0</v>
      </c>
      <c r="K583" s="54">
        <f>IFERROR(VLOOKUP(F566,'1to4-2.1-RR'!$A$12:$BG$111,13,0),"")</f>
        <v>35</v>
      </c>
      <c r="L583" s="55">
        <f>SUM(G583:K583)</f>
        <v>35</v>
      </c>
      <c r="M583" s="56" t="str">
        <f>IF(F566&gt;ENTRY!$D$24,"",IF(L583=0,"Ab",IF(L583&gt;80,"A",IF(L583&gt;60,"B",IF(L583&gt;44,"C",IF(L583&gt;=33,"D",IF(L583&lt;=32,"E","")))))))</f>
        <v>D</v>
      </c>
      <c r="N583" s="56"/>
      <c r="O583" s="29"/>
      <c r="P583" s="19"/>
      <c r="Q583" s="14"/>
      <c r="R583" s="11"/>
    </row>
    <row r="584" s="1" customFormat="1" ht="21.95" customHeight="1" spans="1:18">
      <c r="A584" s="7"/>
      <c r="B584" s="12"/>
      <c r="C584" s="33"/>
      <c r="D584" s="117" t="s">
        <v>513</v>
      </c>
      <c r="E584" s="117"/>
      <c r="F584" s="117"/>
      <c r="G584" s="54">
        <f>IFERROR(VLOOKUP(F566,'1to4-2.1-RR'!$A$12:$BG$111,16,0),"")</f>
        <v>0</v>
      </c>
      <c r="H584" s="54">
        <f>IFERROR(VLOOKUP(F566,'1to4-2.1-RR'!$A$12:$BG$111,17,0),"")</f>
        <v>0</v>
      </c>
      <c r="I584" s="54">
        <f>IFERROR(VLOOKUP(F566,'1to4-2.1-RR'!$A$12:$BG$111,18,0),"")</f>
        <v>0</v>
      </c>
      <c r="J584" s="54">
        <f>IFERROR(VLOOKUP(F566,'1to4-2.1-RR'!$A$12:$BG$111,19,0),"")</f>
        <v>0</v>
      </c>
      <c r="K584" s="54">
        <f>IFERROR(VLOOKUP(F566,'1to4-2.1-RR'!$A$12:$BG$111,20,0),"")</f>
        <v>12</v>
      </c>
      <c r="L584" s="55">
        <f t="shared" ref="L584:L589" si="20">SUM(G584:K584)</f>
        <v>12</v>
      </c>
      <c r="M584" s="56" t="str">
        <f>IF(F566&gt;ENTRY!$D$24,"",IF(L584=0,"Ab",IF(L584&gt;80,"A",IF(L584&gt;60,"B",IF(L584&gt;44,"C",IF(L584&gt;=33,"D",IF(L584&lt;=32,"E","")))))))</f>
        <v>E</v>
      </c>
      <c r="N584" s="56"/>
      <c r="O584" s="29"/>
      <c r="P584" s="19"/>
      <c r="Q584" s="14"/>
      <c r="R584" s="11"/>
    </row>
    <row r="585" s="1" customFormat="1" ht="21.95" customHeight="1" spans="1:18">
      <c r="A585" s="7"/>
      <c r="B585" s="12"/>
      <c r="C585" s="33"/>
      <c r="D585" s="117" t="s">
        <v>718</v>
      </c>
      <c r="E585" s="117"/>
      <c r="F585" s="117"/>
      <c r="G585" s="54">
        <f>IFERROR(VLOOKUP(F566,'1to4-2.1-RR'!$A$12:$BG$111,23,0),"")</f>
        <v>0</v>
      </c>
      <c r="H585" s="54">
        <f>IFERROR(VLOOKUP(F566,'1to4-2.1-RR'!$A$12:$BG$111,24,0),"")</f>
        <v>0</v>
      </c>
      <c r="I585" s="54">
        <f>IFERROR(VLOOKUP(F566,'1to4-2.1-RR'!$A$12:$BG$111,25,0),"")</f>
        <v>0</v>
      </c>
      <c r="J585" s="54">
        <f>IFERROR(VLOOKUP(F566,'1to4-2.1-RR'!$A$12:$BG$111,26,0),"")</f>
        <v>0</v>
      </c>
      <c r="K585" s="54">
        <f>IFERROR(VLOOKUP(F566,'1to4-2.1-RR'!$A$12:$BG$111,27,0),"")</f>
        <v>17</v>
      </c>
      <c r="L585" s="55">
        <f t="shared" si="20"/>
        <v>17</v>
      </c>
      <c r="M585" s="56" t="str">
        <f>IF(F566&gt;ENTRY!$D$24,"",IF(L585=0,"Ab",IF(L585&gt;80,"A",IF(L585&gt;60,"B",IF(L585&gt;44,"C",IF(L585&gt;=33,"D",IF(L585&lt;=32,"E","")))))))</f>
        <v>E</v>
      </c>
      <c r="N585" s="56"/>
      <c r="O585" s="29"/>
      <c r="P585" s="19"/>
      <c r="Q585" s="14"/>
      <c r="R585" s="11"/>
    </row>
    <row r="586" s="1" customFormat="1" ht="21.95" customHeight="1" spans="1:18">
      <c r="A586" s="7"/>
      <c r="B586" s="12"/>
      <c r="C586" s="33"/>
      <c r="D586" s="117" t="s">
        <v>719</v>
      </c>
      <c r="E586" s="117"/>
      <c r="F586" s="117"/>
      <c r="G586" s="54">
        <f>IFERROR(VLOOKUP(F566,'1to4-2.1-RR'!$A$12:$BG$111,30,0),"")</f>
        <v>0</v>
      </c>
      <c r="H586" s="54">
        <f>IFERROR(VLOOKUP(F566,'1to4-2.1-RR'!$A$12:$BG$111,31,0),"")</f>
        <v>0</v>
      </c>
      <c r="I586" s="54">
        <f>IFERROR(VLOOKUP(F566,'1to4-2.1-RR'!$A$12:$BG$111,32,0),"")</f>
        <v>0</v>
      </c>
      <c r="J586" s="54">
        <f>IFERROR(VLOOKUP(F566,'1to4-2.1-RR'!$A$12:$BG$111,33,0),"")</f>
        <v>0</v>
      </c>
      <c r="K586" s="54">
        <f>IFERROR(VLOOKUP(F566,'1to4-2.1-RR'!$A$12:$BG$111,34,0),"")</f>
        <v>18</v>
      </c>
      <c r="L586" s="55">
        <f t="shared" si="20"/>
        <v>18</v>
      </c>
      <c r="M586" s="56" t="str">
        <f>IF(F566&gt;ENTRY!$D$24,"",IF(L586=0,"Ab",IF(L586&gt;80,"A",IF(L586&gt;60,"B",IF(L586&gt;44,"C",IF(L586&gt;=33,"D",IF(L586&lt;=32,"E","")))))))</f>
        <v>E</v>
      </c>
      <c r="N586" s="56"/>
      <c r="O586" s="29"/>
      <c r="P586" s="19"/>
      <c r="Q586" s="14"/>
      <c r="R586" s="11"/>
    </row>
    <row r="587" s="1" customFormat="1" ht="21.95" customHeight="1" spans="1:18">
      <c r="A587" s="7"/>
      <c r="B587" s="12"/>
      <c r="C587" s="33"/>
      <c r="D587" s="117" t="s">
        <v>548</v>
      </c>
      <c r="E587" s="117"/>
      <c r="F587" s="117"/>
      <c r="G587" s="54">
        <f>IFERROR(VLOOKUP(F566,'1to4-2.1-RR'!$A$12:$BG$111,37,0),"")</f>
        <v>0</v>
      </c>
      <c r="H587" s="54">
        <f>IFERROR(VLOOKUP(F566,'1to4-2.1-RR'!$A$12:$BG$111,38,0),"")</f>
        <v>0</v>
      </c>
      <c r="I587" s="54">
        <f>IFERROR(VLOOKUP(F566,'1to4-2.1-RR'!$A$12:$BG$111,39,0),"")</f>
        <v>0</v>
      </c>
      <c r="J587" s="54">
        <f>IFERROR(VLOOKUP(F566,'1to4-2.1-RR'!$A$12:$BG$111,40,0),"")</f>
        <v>0</v>
      </c>
      <c r="K587" s="54">
        <f>IFERROR(VLOOKUP(F566,'1to4-2.1-RR'!$A$12:$BG$111,41,0),"")</f>
        <v>18</v>
      </c>
      <c r="L587" s="55">
        <f t="shared" si="20"/>
        <v>18</v>
      </c>
      <c r="M587" s="56" t="str">
        <f>IF(F566&gt;ENTRY!$D$24,"",IF(L587=0,"Ab",IF(L587&gt;80,"A",IF(L587&gt;60,"B",IF(L587&gt;44,"C",IF(L587&gt;=33,"D",IF(L587&lt;=32,"E","")))))))</f>
        <v>E</v>
      </c>
      <c r="N587" s="56"/>
      <c r="O587" s="29"/>
      <c r="P587" s="19"/>
      <c r="Q587" s="14"/>
      <c r="R587" s="11"/>
    </row>
    <row r="588" s="1" customFormat="1" ht="21.95" customHeight="1" spans="1:18">
      <c r="A588" s="7"/>
      <c r="B588" s="12"/>
      <c r="C588" s="33"/>
      <c r="D588" s="117" t="s">
        <v>549</v>
      </c>
      <c r="E588" s="117"/>
      <c r="F588" s="117"/>
      <c r="G588" s="54">
        <f>IFERROR(VLOOKUP(F566,'1to4-2.1-RR'!$A$12:$BG$111,44,0),"")</f>
        <v>0</v>
      </c>
      <c r="H588" s="54">
        <f>IFERROR(VLOOKUP(F566,'1to4-2.1-RR'!$A$12:$BG$111,45,0),"")</f>
        <v>0</v>
      </c>
      <c r="I588" s="54">
        <f>IFERROR(VLOOKUP(F566,'1to4-2.1-RR'!$A$12:$BG$111,46,0),"")</f>
        <v>0</v>
      </c>
      <c r="J588" s="54">
        <f>IFERROR(VLOOKUP(F566,'1to4-2.1-RR'!$A$12:$BG$111,47,0),"")</f>
        <v>0</v>
      </c>
      <c r="K588" s="54">
        <f>IFERROR(VLOOKUP(F566,'1to4-2.1-RR'!$A$12:$BG$111,48,0),"")</f>
        <v>20</v>
      </c>
      <c r="L588" s="55">
        <f t="shared" si="20"/>
        <v>20</v>
      </c>
      <c r="M588" s="56" t="str">
        <f>IF(F566&gt;ENTRY!$D$24,"",IF(L588=0,"Ab",IF(L588&gt;80,"A",IF(L588&gt;60,"B",IF(L588&gt;44,"C",IF(L588&gt;=33,"D",IF(L588&lt;=32,"E","")))))))</f>
        <v>E</v>
      </c>
      <c r="N588" s="56"/>
      <c r="O588" s="29"/>
      <c r="P588" s="19"/>
      <c r="Q588" s="14"/>
      <c r="R588" s="11"/>
    </row>
    <row r="589" s="1" customFormat="1" ht="21.95" customHeight="1" spans="1:18">
      <c r="A589" s="7"/>
      <c r="B589" s="12"/>
      <c r="C589" s="33"/>
      <c r="D589" s="117" t="s">
        <v>720</v>
      </c>
      <c r="E589" s="117"/>
      <c r="F589" s="117"/>
      <c r="G589" s="54"/>
      <c r="H589" s="54"/>
      <c r="I589" s="54"/>
      <c r="J589" s="54"/>
      <c r="K589" s="54"/>
      <c r="L589" s="55">
        <f t="shared" si="20"/>
        <v>0</v>
      </c>
      <c r="M589" s="56" t="str">
        <f>IF(F566&gt;ENTRY!$D$24,"",IF(L589=0,"",IF(L589&gt;79,"A",IF(L589&gt;59,"B",IF(L589&gt;44,"C",IF(L589&gt;=33,"D",IF(L589&lt;=32,"E","")))))))</f>
        <v/>
      </c>
      <c r="N589" s="56"/>
      <c r="O589" s="29"/>
      <c r="P589" s="19"/>
      <c r="Q589" s="14"/>
      <c r="R589" s="11"/>
    </row>
    <row r="590" s="1" customFormat="1" ht="21.95" customHeight="1" spans="1:18">
      <c r="A590" s="7"/>
      <c r="B590" s="12"/>
      <c r="C590" s="33"/>
      <c r="D590" s="207" t="s">
        <v>382</v>
      </c>
      <c r="E590" s="207"/>
      <c r="F590" s="207"/>
      <c r="G590" s="54">
        <f t="shared" ref="G590:L590" si="21">IFERROR(SUM(G583:G589),"")</f>
        <v>0</v>
      </c>
      <c r="H590" s="54">
        <f t="shared" si="21"/>
        <v>0</v>
      </c>
      <c r="I590" s="54">
        <f t="shared" si="21"/>
        <v>0</v>
      </c>
      <c r="J590" s="54">
        <f t="shared" si="21"/>
        <v>0</v>
      </c>
      <c r="K590" s="54">
        <f t="shared" si="21"/>
        <v>120</v>
      </c>
      <c r="L590" s="55">
        <f t="shared" si="21"/>
        <v>120</v>
      </c>
      <c r="M590" s="61" t="str">
        <f>IF(F566&gt;ENTRY!$D$24,"",IF(N591="Ab","Ab",IF(N591&gt;79.5,"A",IF(N591&gt;59.5,"B",IF(N591&gt;44.5,"C",IF(N591&gt;=33,"D",IF(N591&lt;33,"E","")))))))</f>
        <v>E</v>
      </c>
      <c r="N590" s="61"/>
      <c r="O590" s="29"/>
      <c r="P590" s="19"/>
      <c r="Q590" s="14"/>
      <c r="R590" s="11"/>
    </row>
    <row r="591" s="1" customFormat="1" ht="21.95" customHeight="1" spans="1:18">
      <c r="A591" s="7"/>
      <c r="B591" s="12"/>
      <c r="C591" s="33"/>
      <c r="D591" s="63" t="s">
        <v>721</v>
      </c>
      <c r="E591" s="63"/>
      <c r="F591" s="63"/>
      <c r="G591" s="63"/>
      <c r="H591" s="63"/>
      <c r="I591" s="63"/>
      <c r="J591" s="63"/>
      <c r="K591" s="63"/>
      <c r="L591" s="63"/>
      <c r="M591" s="209"/>
      <c r="N591" s="64">
        <f>IF(L590="Ab","Ab",L590/6)</f>
        <v>20</v>
      </c>
      <c r="O591" s="65"/>
      <c r="P591" s="19"/>
      <c r="Q591" s="14"/>
      <c r="R591" s="11"/>
    </row>
    <row r="592" s="1" customFormat="1" ht="21.95" customHeight="1" spans="1:18">
      <c r="A592" s="7"/>
      <c r="B592" s="12"/>
      <c r="C592" s="33"/>
      <c r="D592" s="29" t="s">
        <v>716</v>
      </c>
      <c r="E592" s="18" t="str">
        <f>IFERROR(VLOOKUP(F566,'1to4-2.1-RR'!$A$12:$BG$111,57,0),"")</f>
        <v>PROMOTED</v>
      </c>
      <c r="F592" s="18"/>
      <c r="G592" s="18"/>
      <c r="H592" s="18"/>
      <c r="I592" s="18"/>
      <c r="J592" s="18"/>
      <c r="K592" s="18"/>
      <c r="L592" s="18"/>
      <c r="M592" s="18"/>
      <c r="N592" s="29"/>
      <c r="O592" s="29"/>
      <c r="P592" s="19"/>
      <c r="Q592" s="14"/>
      <c r="R592" s="11"/>
    </row>
    <row r="593" s="1" customFormat="1" ht="9.95" customHeight="1" spans="1:19">
      <c r="A593" s="7"/>
      <c r="B593" s="12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1"/>
      <c r="Q593" s="14"/>
      <c r="R593" s="11"/>
    </row>
    <row r="594" s="1" customFormat="1" ht="9.95" customHeight="1" spans="1:19">
      <c r="A594" s="7"/>
      <c r="B594" s="12"/>
      <c r="C594" s="30"/>
      <c r="D594" s="31"/>
      <c r="E594" s="31"/>
      <c r="F594" s="29"/>
      <c r="G594" s="31"/>
      <c r="H594" s="31"/>
      <c r="I594" s="31"/>
      <c r="J594" s="31"/>
      <c r="K594" s="31"/>
      <c r="L594" s="31"/>
      <c r="M594" s="31"/>
      <c r="N594" s="31"/>
      <c r="O594" s="31"/>
      <c r="P594" s="32"/>
      <c r="Q594" s="14"/>
      <c r="R594" s="11"/>
    </row>
    <row r="595" s="1" customFormat="1" ht="9.95" customHeight="1" spans="1:19">
      <c r="A595" s="7"/>
      <c r="B595" s="12"/>
      <c r="C595" s="33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19"/>
      <c r="Q595" s="14"/>
      <c r="R595" s="11"/>
    </row>
    <row r="596" s="1" customFormat="1" ht="9.95" customHeight="1" spans="1:19">
      <c r="A596" s="7"/>
      <c r="B596" s="12"/>
      <c r="C596" s="33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19"/>
      <c r="Q596" s="14"/>
      <c r="R596" s="11"/>
    </row>
    <row r="597" s="1" customFormat="1" ht="21.95" customHeight="1" spans="1:19">
      <c r="A597" s="7"/>
      <c r="B597" s="12"/>
      <c r="C597" s="210"/>
      <c r="D597" s="211"/>
      <c r="E597" s="211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2"/>
      <c r="Q597" s="14"/>
      <c r="R597" s="11"/>
      <c r="S597" s="2"/>
    </row>
    <row r="598" s="1" customFormat="1" ht="21.95" customHeight="1" spans="1:19">
      <c r="A598" s="7"/>
      <c r="B598" s="12"/>
      <c r="C598" s="33"/>
      <c r="D598" s="207" t="s">
        <v>722</v>
      </c>
      <c r="E598" s="207"/>
      <c r="F598" s="207"/>
      <c r="G598" s="207"/>
      <c r="H598" s="54">
        <f>IFERROR(VLOOKUP(F566,PASHEET!$A$4:$CJ$103,88,0),"")</f>
        <v>0</v>
      </c>
      <c r="I598" s="54"/>
      <c r="J598" s="29"/>
      <c r="K598" s="29"/>
      <c r="L598" s="29"/>
      <c r="M598" s="29"/>
      <c r="N598" s="29"/>
      <c r="O598" s="29"/>
      <c r="P598" s="19"/>
      <c r="Q598" s="14"/>
      <c r="R598" s="11"/>
    </row>
    <row r="599" s="1" customFormat="1" ht="21.95" customHeight="1" spans="1:19">
      <c r="A599" s="7"/>
      <c r="B599" s="12"/>
      <c r="C599" s="213"/>
      <c r="D599" s="207" t="s">
        <v>723</v>
      </c>
      <c r="E599" s="207"/>
      <c r="F599" s="207"/>
      <c r="G599" s="207"/>
      <c r="H599" s="54">
        <f>IFERROR(VLOOKUP(F566,PASHEET!$A$4:$CJ$103,87,0),"")</f>
        <v>0</v>
      </c>
      <c r="I599" s="54"/>
      <c r="J599" s="214"/>
      <c r="K599" s="214"/>
      <c r="L599" s="207" t="s">
        <v>724</v>
      </c>
      <c r="M599" s="207"/>
      <c r="N599" s="117" t="str">
        <f>IF(F566&gt;ENTRY!$D$24,"",IF(F566&gt;0,L590&amp;" / "&amp;600,""))</f>
        <v>120 / 600</v>
      </c>
      <c r="O599" s="117"/>
      <c r="P599" s="215"/>
      <c r="Q599" s="14"/>
      <c r="R599" s="11"/>
    </row>
    <row r="600" s="1" customFormat="1" ht="18" customHeight="1" spans="1:19">
      <c r="A600" s="7"/>
      <c r="B600" s="12"/>
      <c r="C600" s="33"/>
      <c r="D600" s="207" t="s">
        <v>725</v>
      </c>
      <c r="E600" s="207"/>
      <c r="F600" s="207"/>
      <c r="G600" s="207"/>
      <c r="H600" s="69" t="str">
        <f>IFERROR(IF(F566&gt;0,H599/H598*100),"")</f>
        <v/>
      </c>
      <c r="I600" s="69"/>
      <c r="J600" s="29"/>
      <c r="K600" s="29"/>
      <c r="L600" s="207" t="s">
        <v>726</v>
      </c>
      <c r="M600" s="207"/>
      <c r="N600" s="216">
        <f>IF(F566&gt;ENTRY!$D$24,"",IF(F566&gt;0,L590/600*100,""))</f>
        <v>20</v>
      </c>
      <c r="O600" s="216"/>
      <c r="P600" s="19"/>
      <c r="Q600" s="14"/>
      <c r="R600" s="11"/>
    </row>
    <row r="601" s="1" customFormat="1" ht="21.95" customHeight="1" spans="1:19">
      <c r="A601" s="7"/>
      <c r="B601" s="12"/>
      <c r="C601" s="33"/>
      <c r="D601" s="80"/>
      <c r="E601" s="80"/>
      <c r="F601" s="217"/>
      <c r="G601" s="217"/>
      <c r="H601" s="217"/>
      <c r="I601" s="217"/>
      <c r="J601" s="217"/>
      <c r="K601" s="217"/>
      <c r="L601" s="217"/>
      <c r="M601" s="217"/>
      <c r="N601" s="80"/>
      <c r="O601" s="80"/>
      <c r="P601" s="19"/>
      <c r="Q601" s="14"/>
      <c r="R601" s="11"/>
    </row>
    <row r="602" s="1" customFormat="1" ht="21.95" customHeight="1" spans="1:19">
      <c r="A602" s="7"/>
      <c r="B602" s="12"/>
      <c r="C602" s="33"/>
      <c r="D602" s="80"/>
      <c r="E602" s="218"/>
      <c r="F602" s="218"/>
      <c r="G602" s="218"/>
      <c r="H602" s="80"/>
      <c r="I602" s="218"/>
      <c r="J602" s="218"/>
      <c r="K602" s="218"/>
      <c r="L602" s="218"/>
      <c r="M602" s="80"/>
      <c r="N602" s="219"/>
      <c r="O602" s="219"/>
      <c r="P602" s="19"/>
      <c r="Q602" s="14"/>
      <c r="R602" s="11"/>
    </row>
    <row r="603" s="1" customFormat="1" ht="21.95" customHeight="1" spans="1:19">
      <c r="A603" s="7"/>
      <c r="B603" s="12"/>
      <c r="C603" s="33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19"/>
      <c r="Q603" s="14"/>
      <c r="R603" s="11"/>
    </row>
    <row r="604" s="1" customFormat="1" ht="21.95" customHeight="1" spans="1:19">
      <c r="A604" s="7"/>
      <c r="B604" s="12"/>
      <c r="C604" s="33"/>
      <c r="D604" s="218"/>
      <c r="E604" s="218"/>
      <c r="F604" s="218"/>
      <c r="G604" s="218"/>
      <c r="H604" s="218"/>
      <c r="I604" s="218"/>
      <c r="J604" s="218"/>
      <c r="K604" s="218"/>
      <c r="L604" s="218"/>
      <c r="M604" s="80"/>
      <c r="N604" s="217"/>
      <c r="O604" s="217"/>
      <c r="P604" s="85" t="s">
        <v>727</v>
      </c>
      <c r="Q604" s="14"/>
      <c r="R604" s="11"/>
    </row>
    <row r="605" s="1" customFormat="1" ht="21.95" customHeight="1" spans="1:19">
      <c r="A605" s="7"/>
      <c r="B605" s="12"/>
      <c r="C605" s="33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19"/>
      <c r="Q605" s="14"/>
      <c r="R605" s="11"/>
    </row>
    <row r="606" s="1" customFormat="1" ht="21.95" customHeight="1" spans="1:19">
      <c r="A606" s="7"/>
      <c r="B606" s="12"/>
      <c r="C606" s="33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19"/>
      <c r="Q606" s="14"/>
      <c r="R606" s="11"/>
    </row>
    <row r="607" s="1" customFormat="1" ht="21.95" customHeight="1" spans="1:19">
      <c r="A607" s="7"/>
      <c r="B607" s="12"/>
      <c r="C607" s="33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19"/>
      <c r="Q607" s="14"/>
      <c r="R607" s="11"/>
    </row>
    <row r="608" s="1" customFormat="1" ht="21.95" customHeight="1" spans="1:19">
      <c r="A608" s="7"/>
      <c r="B608" s="12"/>
      <c r="C608" s="33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19"/>
      <c r="Q608" s="14"/>
      <c r="R608" s="11"/>
    </row>
    <row r="609" s="1" customFormat="1" ht="21.95" customHeight="1" spans="1:18">
      <c r="A609" s="7"/>
      <c r="B609" s="12"/>
      <c r="C609" s="33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19"/>
      <c r="Q609" s="14"/>
      <c r="R609" s="11"/>
    </row>
    <row r="610" s="1" customFormat="1" ht="21.95" customHeight="1" spans="1:18">
      <c r="A610" s="7"/>
      <c r="B610" s="12"/>
      <c r="C610" s="33"/>
      <c r="D610" s="80" t="s">
        <v>728</v>
      </c>
      <c r="E610" s="220">
        <f>ENTRY!$D$27</f>
        <v>46102</v>
      </c>
      <c r="F610" s="220"/>
      <c r="G610" s="29"/>
      <c r="H610" s="29"/>
      <c r="I610" s="221" t="s">
        <v>729</v>
      </c>
      <c r="J610" s="153"/>
      <c r="K610" s="29"/>
      <c r="L610" s="29"/>
      <c r="M610" s="87" t="s">
        <v>730</v>
      </c>
      <c r="N610" s="87"/>
      <c r="O610" s="87"/>
      <c r="P610" s="19"/>
      <c r="Q610" s="14"/>
      <c r="R610" s="11"/>
    </row>
    <row r="611" s="1" customFormat="1" ht="21.95" customHeight="1" spans="1:18">
      <c r="A611" s="7"/>
      <c r="B611" s="12"/>
      <c r="C611" s="33"/>
      <c r="D611" s="80" t="s">
        <v>731</v>
      </c>
      <c r="E611" s="88" t="str">
        <f>PROPER(ENTRY!$D$28)</f>
        <v>New Delhi</v>
      </c>
      <c r="F611" s="88"/>
      <c r="G611" s="29"/>
      <c r="H611" s="29"/>
      <c r="I611" s="153"/>
      <c r="J611" s="153"/>
      <c r="K611" s="29"/>
      <c r="L611" s="29"/>
      <c r="M611" s="79" t="s">
        <v>732</v>
      </c>
      <c r="N611" s="79"/>
      <c r="O611" s="79"/>
      <c r="P611" s="19"/>
      <c r="Q611" s="14"/>
      <c r="R611" s="11"/>
    </row>
    <row r="612" s="1" customFormat="1" ht="21.95" customHeight="1" spans="1:18">
      <c r="A612" s="7"/>
      <c r="B612" s="12"/>
      <c r="C612" s="90"/>
      <c r="D612" s="91"/>
      <c r="E612" s="91"/>
      <c r="F612" s="91"/>
      <c r="G612" s="91"/>
      <c r="H612" s="91"/>
      <c r="I612" s="91"/>
      <c r="J612" s="91"/>
      <c r="K612" s="91"/>
      <c r="L612" s="91"/>
      <c r="M612" s="91"/>
      <c r="N612" s="91"/>
      <c r="O612" s="91"/>
      <c r="P612" s="92"/>
      <c r="Q612" s="14"/>
      <c r="R612" s="11"/>
    </row>
    <row r="613" s="1" customFormat="1" ht="5.1" customHeight="1" spans="1:18">
      <c r="A613" s="7"/>
      <c r="B613" s="90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2"/>
      <c r="R613" s="11"/>
    </row>
    <row r="614" s="1" customFormat="1" ht="5.1" customHeight="1" spans="1:18">
      <c r="A614" s="93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5"/>
    </row>
    <row r="615" s="1" customFormat="1" ht="21.95" customHeight="1"/>
    <row r="616" ht="15.15"/>
    <row r="617" s="1" customFormat="1" ht="5.1" customHeight="1" spans="1:18">
      <c r="A617" s="4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6"/>
    </row>
    <row r="618" s="1" customFormat="1" ht="15" customHeight="1" spans="1:18">
      <c r="A618" s="7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0"/>
      <c r="R618" s="11"/>
    </row>
    <row r="619" s="1" customFormat="1" ht="21.95" customHeight="1" spans="1:18">
      <c r="A619" s="7"/>
      <c r="B619" s="12"/>
      <c r="C619" s="13" t="s">
        <v>7</v>
      </c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4"/>
      <c r="R619" s="11"/>
    </row>
    <row r="620" s="1" customFormat="1" ht="21.95" customHeight="1" spans="1:18">
      <c r="A620" s="7"/>
      <c r="B620" s="1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14"/>
      <c r="R620" s="11"/>
    </row>
    <row r="621" s="1" customFormat="1" ht="21.95" customHeight="1" spans="1:18">
      <c r="A621" s="7"/>
      <c r="B621" s="12"/>
      <c r="C621" s="15" t="str">
        <f>"SESSION-"&amp;ENTRY!$D$11</f>
        <v>SESSION-2026-27</v>
      </c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4"/>
      <c r="R621" s="11"/>
    </row>
    <row r="622" s="1" customFormat="1" ht="21.95" customHeight="1" spans="1:18">
      <c r="A622" s="7"/>
      <c r="B622" s="12"/>
      <c r="C622" s="2"/>
      <c r="D622" s="2"/>
      <c r="E622" s="2"/>
      <c r="F622" s="16">
        <f>F566+1</f>
        <v>12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14"/>
      <c r="R622" s="11"/>
    </row>
    <row r="623" s="1" customFormat="1" ht="21.95" customHeight="1" spans="1:18">
      <c r="A623" s="7"/>
      <c r="B623" s="12"/>
      <c r="C623" s="17" t="s">
        <v>392</v>
      </c>
      <c r="D623" s="17"/>
      <c r="E623" s="17"/>
      <c r="F623" s="18" t="str">
        <f>IF(F622&gt;0,ENTRY!$D$6,"")</f>
        <v>MCP NITHARI NO 1 BOYS</v>
      </c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4"/>
      <c r="R623" s="11"/>
    </row>
    <row r="624" s="1" customFormat="1" ht="21.95" customHeight="1" spans="1:18">
      <c r="A624" s="7"/>
      <c r="B624" s="12"/>
      <c r="C624" s="17" t="s">
        <v>393</v>
      </c>
      <c r="D624" s="17"/>
      <c r="E624" s="17"/>
      <c r="F624" s="18">
        <f>IF(F622&gt;0,ENTRY!$D$7,"")</f>
        <v>0</v>
      </c>
      <c r="G624" s="18"/>
      <c r="H624" s="20" t="s">
        <v>702</v>
      </c>
      <c r="I624" s="20"/>
      <c r="J624" s="21">
        <f>IF(F622&gt;0,ENTRY!$D$10,"")</f>
        <v>40</v>
      </c>
      <c r="K624" s="20" t="s">
        <v>703</v>
      </c>
      <c r="L624" s="22" t="str">
        <f>IF(F622&gt;0,ENTRY!$D$5,"")</f>
        <v>ROHINI ZONE</v>
      </c>
      <c r="M624" s="22"/>
      <c r="N624" s="22"/>
      <c r="O624" s="22"/>
      <c r="P624" s="22"/>
      <c r="Q624" s="14"/>
      <c r="R624" s="11"/>
    </row>
    <row r="625" s="1" customFormat="1" ht="21.95" customHeight="1" spans="1:18">
      <c r="A625" s="7"/>
      <c r="B625" s="12"/>
      <c r="C625" s="17" t="s">
        <v>706</v>
      </c>
      <c r="D625" s="17"/>
      <c r="E625" s="17"/>
      <c r="F625" s="23" t="str">
        <f>IFERROR(VLOOKUP(F622,STUDENT!$A$2:$BP$101,5,0),"")</f>
        <v>PRADEEP</v>
      </c>
      <c r="G625" s="23"/>
      <c r="H625" s="23"/>
      <c r="I625" s="23"/>
      <c r="J625" s="23"/>
      <c r="K625" s="23"/>
      <c r="L625" s="20" t="s">
        <v>707</v>
      </c>
      <c r="M625" s="20"/>
      <c r="N625" s="24" t="str">
        <f>IF(F622&gt;0,ENTRY!$D$20&amp;"-"&amp;ENTRY!$D$21,"")</f>
        <v>III-A</v>
      </c>
      <c r="O625" s="24"/>
      <c r="P625" s="24"/>
      <c r="Q625" s="14"/>
      <c r="R625" s="11"/>
    </row>
    <row r="626" s="1" customFormat="1" ht="21.95" customHeight="1" spans="1:18">
      <c r="A626" s="7"/>
      <c r="B626" s="12"/>
      <c r="C626" s="17" t="s">
        <v>708</v>
      </c>
      <c r="D626" s="17"/>
      <c r="E626" s="17"/>
      <c r="F626" s="25">
        <f>IFERROR(VLOOKUP(F622,STUDENT!$A$2:$BP$101,6,0),"")</f>
        <v>14734</v>
      </c>
      <c r="G626" s="25"/>
      <c r="H626" s="26" t="s">
        <v>709</v>
      </c>
      <c r="I626" s="27" t="str">
        <f>IFERROR(VLOOKUP(F622,STUDENT!$A$2:$BP$101,59,0),"")</f>
        <v/>
      </c>
      <c r="J626" s="27"/>
      <c r="K626" s="20" t="s">
        <v>710</v>
      </c>
      <c r="L626" s="20"/>
      <c r="M626" s="28">
        <f>IFERROR(VLOOKUP(F622,STUDENT!$A$2:$BP$101,20,0),"")</f>
        <v>7503764765</v>
      </c>
      <c r="N626" s="28"/>
      <c r="O626" s="28"/>
      <c r="P626" s="28"/>
      <c r="Q626" s="14"/>
      <c r="R626" s="11"/>
    </row>
    <row r="627" s="1" customFormat="1" ht="21.95" customHeight="1" spans="1:18">
      <c r="A627" s="7"/>
      <c r="B627" s="12"/>
      <c r="C627" s="17" t="s">
        <v>711</v>
      </c>
      <c r="D627" s="17"/>
      <c r="E627" s="17"/>
      <c r="F627" s="23" t="str">
        <f>IFERROR(VLOOKUP(F622,STUDENT!$A$2:$BP$101,9,0),"")</f>
        <v>REKHA</v>
      </c>
      <c r="G627" s="23"/>
      <c r="H627" s="23"/>
      <c r="I627" s="23"/>
      <c r="J627" s="17" t="s">
        <v>620</v>
      </c>
      <c r="K627" s="17"/>
      <c r="L627" s="23" t="str">
        <f>IFERROR(VLOOKUP(F622,STUDENT!$A$2:$BP$101,8,0),"")</f>
        <v>RAM BHAWAN</v>
      </c>
      <c r="M627" s="23"/>
      <c r="N627" s="23"/>
      <c r="O627" s="23"/>
      <c r="P627" s="23"/>
      <c r="Q627" s="14"/>
      <c r="R627" s="11"/>
    </row>
    <row r="628" s="1" customFormat="1" ht="21.95" customHeight="1" spans="1:18">
      <c r="A628" s="7"/>
      <c r="B628" s="12"/>
      <c r="C628" s="17" t="s">
        <v>712</v>
      </c>
      <c r="D628" s="17"/>
      <c r="E628" s="17"/>
      <c r="F628" s="23" t="str">
        <f>IFERROR(VLOOKUP(F622,STUDENT!$A$2:$BP$101,22,0),"")</f>
        <v>C-2 41-242, BLOCK -D GALI NO 5 AGAR NAGAR PREM NAGAR III</v>
      </c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14"/>
      <c r="R628" s="11"/>
    </row>
    <row r="629" s="1" customFormat="1" ht="9.95" customHeight="1" spans="1:18">
      <c r="A629" s="7"/>
      <c r="B629" s="12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14"/>
      <c r="R629" s="11"/>
    </row>
    <row r="630" s="1" customFormat="1" ht="9.95" customHeight="1" spans="1:18">
      <c r="A630" s="7"/>
      <c r="B630" s="12"/>
      <c r="C630" s="30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2"/>
      <c r="Q630" s="14"/>
      <c r="R630" s="11"/>
    </row>
    <row r="631" s="1" customFormat="1" ht="21.95" customHeight="1" spans="1:18">
      <c r="A631" s="7"/>
      <c r="B631" s="12"/>
      <c r="C631" s="33"/>
      <c r="D631" s="34" t="s">
        <v>713</v>
      </c>
      <c r="E631" s="20" t="s">
        <v>714</v>
      </c>
      <c r="F631" s="35" t="str">
        <f>"Level - "&amp;IFERROR(VLOOKUP(F622,FLN!$A$4:$K$103,9,0),"")</f>
        <v>Level - 2</v>
      </c>
      <c r="G631" s="36"/>
      <c r="H631" s="37" t="s">
        <v>715</v>
      </c>
      <c r="I631" s="20"/>
      <c r="J631" s="35" t="str">
        <f>"Level - "&amp;IFERROR(VLOOKUP(F622,FLN!$A$4:$K$103,11,0),"")</f>
        <v>Level - 4</v>
      </c>
      <c r="K631" s="36"/>
      <c r="L631" s="37" t="s">
        <v>408</v>
      </c>
      <c r="M631" s="20"/>
      <c r="N631" s="35" t="str">
        <f>"Level - "&amp;IFERROR(VLOOKUP(F622,FLN!$A$4:$K$103,10,0),"")</f>
        <v>Level - 2</v>
      </c>
      <c r="O631" s="36"/>
      <c r="P631" s="19"/>
      <c r="Q631" s="14"/>
      <c r="R631" s="11"/>
    </row>
    <row r="632" s="1" customFormat="1" ht="21.95" customHeight="1" spans="1:18">
      <c r="A632" s="7"/>
      <c r="B632" s="12"/>
      <c r="C632" s="33"/>
      <c r="D632" s="38"/>
      <c r="E632" s="20" t="s">
        <v>716</v>
      </c>
      <c r="F632" s="18" t="str">
        <f>IF(L646&gt;197,"PERFORMED WELL","")</f>
        <v/>
      </c>
      <c r="G632" s="18"/>
      <c r="H632" s="18"/>
      <c r="I632" s="18"/>
      <c r="J632" s="18"/>
      <c r="K632" s="18"/>
      <c r="L632" s="18"/>
      <c r="M632" s="18"/>
      <c r="N632" s="18"/>
      <c r="O632" s="18"/>
      <c r="P632" s="19"/>
      <c r="Q632" s="14"/>
      <c r="R632" s="11"/>
    </row>
    <row r="633" s="1" customFormat="1" ht="9.95" customHeight="1" spans="1:18">
      <c r="A633" s="7"/>
      <c r="B633" s="12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1"/>
      <c r="Q633" s="14"/>
      <c r="R633" s="11"/>
    </row>
    <row r="634" s="1" customFormat="1" ht="9.95" customHeight="1" spans="1:18">
      <c r="A634" s="7"/>
      <c r="B634" s="12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14"/>
      <c r="R634" s="11"/>
    </row>
    <row r="635" s="1" customFormat="1" ht="9.95" customHeight="1" spans="1:18">
      <c r="A635" s="7"/>
      <c r="B635" s="12"/>
      <c r="C635" s="30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2"/>
      <c r="Q635" s="14"/>
      <c r="R635" s="11"/>
    </row>
    <row r="636" s="1" customFormat="1" ht="21.95" customHeight="1" spans="1:18">
      <c r="A636" s="7"/>
      <c r="B636" s="12"/>
      <c r="C636" s="33"/>
      <c r="D636" s="35"/>
      <c r="E636" s="24"/>
      <c r="F636" s="24"/>
      <c r="G636" s="47" t="s">
        <v>717</v>
      </c>
      <c r="H636" s="47"/>
      <c r="I636" s="47"/>
      <c r="J636" s="47"/>
      <c r="K636" s="47"/>
      <c r="L636" s="47"/>
      <c r="M636" s="47"/>
      <c r="N636" s="47"/>
      <c r="O636" s="29"/>
      <c r="P636" s="19"/>
      <c r="Q636" s="14"/>
      <c r="R636" s="11"/>
    </row>
    <row r="637" s="1" customFormat="1" ht="21.95" customHeight="1" spans="1:18">
      <c r="A637" s="7"/>
      <c r="B637" s="12"/>
      <c r="C637" s="33"/>
      <c r="D637" s="47"/>
      <c r="E637" s="47"/>
      <c r="F637" s="47"/>
      <c r="G637" s="47" t="s">
        <v>541</v>
      </c>
      <c r="H637" s="47" t="s">
        <v>542</v>
      </c>
      <c r="I637" s="47" t="s">
        <v>543</v>
      </c>
      <c r="J637" s="47" t="s">
        <v>544</v>
      </c>
      <c r="K637" s="47" t="s">
        <v>561</v>
      </c>
      <c r="L637" s="47" t="s">
        <v>382</v>
      </c>
      <c r="M637" s="49" t="s">
        <v>546</v>
      </c>
      <c r="N637" s="49"/>
      <c r="O637" s="29"/>
      <c r="P637" s="19"/>
      <c r="Q637" s="14"/>
      <c r="R637" s="11"/>
    </row>
    <row r="638" s="1" customFormat="1" ht="21.95" customHeight="1" spans="1:18">
      <c r="A638" s="7"/>
      <c r="B638" s="12"/>
      <c r="C638" s="33"/>
      <c r="D638" s="207" t="s">
        <v>652</v>
      </c>
      <c r="E638" s="207"/>
      <c r="F638" s="207"/>
      <c r="G638" s="50">
        <v>10</v>
      </c>
      <c r="H638" s="50">
        <v>10</v>
      </c>
      <c r="I638" s="50">
        <v>10</v>
      </c>
      <c r="J638" s="50">
        <v>10</v>
      </c>
      <c r="K638" s="50">
        <v>60</v>
      </c>
      <c r="L638" s="50">
        <v>100</v>
      </c>
      <c r="M638" s="49"/>
      <c r="N638" s="49"/>
      <c r="O638" s="29"/>
      <c r="P638" s="19"/>
      <c r="Q638" s="14"/>
      <c r="R638" s="11"/>
    </row>
    <row r="639" s="1" customFormat="1" ht="21.95" customHeight="1" spans="1:18">
      <c r="A639" s="7"/>
      <c r="B639" s="12"/>
      <c r="C639" s="33"/>
      <c r="D639" s="117" t="s">
        <v>668</v>
      </c>
      <c r="E639" s="117"/>
      <c r="F639" s="117"/>
      <c r="G639" s="54">
        <f>IFERROR(VLOOKUP(F622,'1to4-2.1-RR'!$A$12:$BG$111,9,0),"")</f>
        <v>1</v>
      </c>
      <c r="H639" s="54">
        <f>IFERROR(VLOOKUP(F622,'1to4-2.1-RR'!$A$12:$BG$111,10,0),"")</f>
        <v>0</v>
      </c>
      <c r="I639" s="54">
        <f>IFERROR(VLOOKUP(F622,'1to4-2.1-RR'!$A$12:$BG$111,11,0),"")</f>
        <v>0</v>
      </c>
      <c r="J639" s="54">
        <f>IFERROR(VLOOKUP(F622,'1to4-2.1-RR'!$A$12:$BG$111,12,0),"")</f>
        <v>0</v>
      </c>
      <c r="K639" s="54">
        <f>IFERROR(VLOOKUP(F622,'1to4-2.1-RR'!$A$12:$BG$111,13,0),"")</f>
        <v>34</v>
      </c>
      <c r="L639" s="55">
        <f>SUM(G639:K639)</f>
        <v>35</v>
      </c>
      <c r="M639" s="56" t="str">
        <f>IF(F622&gt;ENTRY!$D$24,"",IF(L639=0,"Ab",IF(L639&gt;80,"A",IF(L639&gt;60,"B",IF(L639&gt;44,"C",IF(L639&gt;=33,"D",IF(L639&lt;=32,"E","")))))))</f>
        <v>D</v>
      </c>
      <c r="N639" s="56"/>
      <c r="O639" s="29"/>
      <c r="P639" s="19"/>
      <c r="Q639" s="14"/>
      <c r="R639" s="11"/>
    </row>
    <row r="640" s="1" customFormat="1" ht="21.95" customHeight="1" spans="1:18">
      <c r="A640" s="7"/>
      <c r="B640" s="12"/>
      <c r="C640" s="33"/>
      <c r="D640" s="117" t="s">
        <v>513</v>
      </c>
      <c r="E640" s="117"/>
      <c r="F640" s="117"/>
      <c r="G640" s="54">
        <f>IFERROR(VLOOKUP(F622,'1to4-2.1-RR'!$A$12:$BG$111,16,0),"")</f>
        <v>1</v>
      </c>
      <c r="H640" s="54">
        <f>IFERROR(VLOOKUP(F622,'1to4-2.1-RR'!$A$12:$BG$111,17,0),"")</f>
        <v>0</v>
      </c>
      <c r="I640" s="54">
        <f>IFERROR(VLOOKUP(F622,'1to4-2.1-RR'!$A$12:$BG$111,18,0),"")</f>
        <v>0</v>
      </c>
      <c r="J640" s="54">
        <f>IFERROR(VLOOKUP(F622,'1to4-2.1-RR'!$A$12:$BG$111,19,0),"")</f>
        <v>0</v>
      </c>
      <c r="K640" s="54">
        <f>IFERROR(VLOOKUP(F622,'1to4-2.1-RR'!$A$12:$BG$111,20,0),"")</f>
        <v>11</v>
      </c>
      <c r="L640" s="55">
        <f t="shared" ref="L640:L645" si="22">SUM(G640:K640)</f>
        <v>12</v>
      </c>
      <c r="M640" s="56" t="str">
        <f>IF(F622&gt;ENTRY!$D$24,"",IF(L640=0,"Ab",IF(L640&gt;80,"A",IF(L640&gt;60,"B",IF(L640&gt;44,"C",IF(L640&gt;=33,"D",IF(L640&lt;=32,"E","")))))))</f>
        <v>E</v>
      </c>
      <c r="N640" s="56"/>
      <c r="O640" s="29"/>
      <c r="P640" s="19"/>
      <c r="Q640" s="14"/>
      <c r="R640" s="11"/>
    </row>
    <row r="641" s="1" customFormat="1" ht="21.95" customHeight="1" spans="1:19">
      <c r="A641" s="7"/>
      <c r="B641" s="12"/>
      <c r="C641" s="33"/>
      <c r="D641" s="117" t="s">
        <v>718</v>
      </c>
      <c r="E641" s="117"/>
      <c r="F641" s="117"/>
      <c r="G641" s="54">
        <f>IFERROR(VLOOKUP(F622,'1to4-2.1-RR'!$A$12:$BG$111,23,0),"")</f>
        <v>1</v>
      </c>
      <c r="H641" s="54">
        <f>IFERROR(VLOOKUP(F622,'1to4-2.1-RR'!$A$12:$BG$111,24,0),"")</f>
        <v>0</v>
      </c>
      <c r="I641" s="54">
        <f>IFERROR(VLOOKUP(F622,'1to4-2.1-RR'!$A$12:$BG$111,25,0),"")</f>
        <v>0</v>
      </c>
      <c r="J641" s="54">
        <f>IFERROR(VLOOKUP(F622,'1to4-2.1-RR'!$A$12:$BG$111,26,0),"")</f>
        <v>0</v>
      </c>
      <c r="K641" s="54">
        <f>IFERROR(VLOOKUP(F622,'1to4-2.1-RR'!$A$12:$BG$111,27,0),"")</f>
        <v>23</v>
      </c>
      <c r="L641" s="55">
        <f t="shared" si="22"/>
        <v>24</v>
      </c>
      <c r="M641" s="56" t="str">
        <f>IF(F622&gt;ENTRY!$D$24,"",IF(L641=0,"Ab",IF(L641&gt;80,"A",IF(L641&gt;60,"B",IF(L641&gt;44,"C",IF(L641&gt;=33,"D",IF(L641&lt;=32,"E","")))))))</f>
        <v>E</v>
      </c>
      <c r="N641" s="56"/>
      <c r="O641" s="29"/>
      <c r="P641" s="19"/>
      <c r="Q641" s="14"/>
      <c r="R641" s="11"/>
    </row>
    <row r="642" s="1" customFormat="1" ht="21.95" customHeight="1" spans="1:19">
      <c r="A642" s="7"/>
      <c r="B642" s="12"/>
      <c r="C642" s="33"/>
      <c r="D642" s="117" t="s">
        <v>719</v>
      </c>
      <c r="E642" s="117"/>
      <c r="F642" s="117"/>
      <c r="G642" s="54">
        <f>IFERROR(VLOOKUP(F622,'1to4-2.1-RR'!$A$12:$BG$111,30,0),"")</f>
        <v>1</v>
      </c>
      <c r="H642" s="54">
        <f>IFERROR(VLOOKUP(F622,'1to4-2.1-RR'!$A$12:$BG$111,31,0),"")</f>
        <v>0</v>
      </c>
      <c r="I642" s="54">
        <f>IFERROR(VLOOKUP(F622,'1to4-2.1-RR'!$A$12:$BG$111,32,0),"")</f>
        <v>0</v>
      </c>
      <c r="J642" s="54">
        <f>IFERROR(VLOOKUP(F622,'1to4-2.1-RR'!$A$12:$BG$111,33,0),"")</f>
        <v>0</v>
      </c>
      <c r="K642" s="54">
        <f>IFERROR(VLOOKUP(F622,'1to4-2.1-RR'!$A$12:$BG$111,34,0),"")</f>
        <v>24</v>
      </c>
      <c r="L642" s="55">
        <f t="shared" si="22"/>
        <v>25</v>
      </c>
      <c r="M642" s="56" t="str">
        <f>IF(F622&gt;ENTRY!$D$24,"",IF(L642=0,"Ab",IF(L642&gt;80,"A",IF(L642&gt;60,"B",IF(L642&gt;44,"C",IF(L642&gt;=33,"D",IF(L642&lt;=32,"E","")))))))</f>
        <v>E</v>
      </c>
      <c r="N642" s="56"/>
      <c r="O642" s="29"/>
      <c r="P642" s="19"/>
      <c r="Q642" s="14"/>
      <c r="R642" s="11"/>
    </row>
    <row r="643" s="1" customFormat="1" ht="21.95" customHeight="1" spans="1:19">
      <c r="A643" s="7"/>
      <c r="B643" s="12"/>
      <c r="C643" s="33"/>
      <c r="D643" s="117" t="s">
        <v>548</v>
      </c>
      <c r="E643" s="117"/>
      <c r="F643" s="117"/>
      <c r="G643" s="54">
        <f>IFERROR(VLOOKUP(F622,'1to4-2.1-RR'!$A$12:$BG$111,37,0),"")</f>
        <v>0</v>
      </c>
      <c r="H643" s="54">
        <f>IFERROR(VLOOKUP(F622,'1to4-2.1-RR'!$A$12:$BG$111,38,0),"")</f>
        <v>0</v>
      </c>
      <c r="I643" s="54">
        <f>IFERROR(VLOOKUP(F622,'1to4-2.1-RR'!$A$12:$BG$111,39,0),"")</f>
        <v>0</v>
      </c>
      <c r="J643" s="54">
        <f>IFERROR(VLOOKUP(F622,'1to4-2.1-RR'!$A$12:$BG$111,40,0),"")</f>
        <v>0</v>
      </c>
      <c r="K643" s="54">
        <f>IFERROR(VLOOKUP(F622,'1to4-2.1-RR'!$A$12:$BG$111,41,0),"")</f>
        <v>23</v>
      </c>
      <c r="L643" s="55">
        <f t="shared" si="22"/>
        <v>23</v>
      </c>
      <c r="M643" s="56" t="str">
        <f>IF(F622&gt;ENTRY!$D$24,"",IF(L643=0,"Ab",IF(L643&gt;80,"A",IF(L643&gt;60,"B",IF(L643&gt;44,"C",IF(L643&gt;=33,"D",IF(L643&lt;=32,"E","")))))))</f>
        <v>E</v>
      </c>
      <c r="N643" s="56"/>
      <c r="O643" s="29"/>
      <c r="P643" s="19"/>
      <c r="Q643" s="14"/>
      <c r="R643" s="11"/>
    </row>
    <row r="644" s="1" customFormat="1" ht="21.95" customHeight="1" spans="1:19">
      <c r="A644" s="7"/>
      <c r="B644" s="12"/>
      <c r="C644" s="33"/>
      <c r="D644" s="117" t="s">
        <v>549</v>
      </c>
      <c r="E644" s="117"/>
      <c r="F644" s="117"/>
      <c r="G644" s="54">
        <f>IFERROR(VLOOKUP(F622,'1to4-2.1-RR'!$A$12:$BG$111,44,0),"")</f>
        <v>2</v>
      </c>
      <c r="H644" s="54">
        <f>IFERROR(VLOOKUP(F622,'1to4-2.1-RR'!$A$12:$BG$111,45,0),"")</f>
        <v>0</v>
      </c>
      <c r="I644" s="54">
        <f>IFERROR(VLOOKUP(F622,'1to4-2.1-RR'!$A$12:$BG$111,46,0),"")</f>
        <v>0</v>
      </c>
      <c r="J644" s="54">
        <f>IFERROR(VLOOKUP(F622,'1to4-2.1-RR'!$A$12:$BG$111,47,0),"")</f>
        <v>0</v>
      </c>
      <c r="K644" s="54">
        <f>IFERROR(VLOOKUP(F622,'1to4-2.1-RR'!$A$12:$BG$111,48,0),"")</f>
        <v>18</v>
      </c>
      <c r="L644" s="55">
        <f t="shared" si="22"/>
        <v>20</v>
      </c>
      <c r="M644" s="56" t="str">
        <f>IF(F622&gt;ENTRY!$D$24,"",IF(L644=0,"Ab",IF(L644&gt;80,"A",IF(L644&gt;60,"B",IF(L644&gt;44,"C",IF(L644&gt;=33,"D",IF(L644&lt;=32,"E","")))))))</f>
        <v>E</v>
      </c>
      <c r="N644" s="56"/>
      <c r="O644" s="29"/>
      <c r="P644" s="19"/>
      <c r="Q644" s="14"/>
      <c r="R644" s="11"/>
    </row>
    <row r="645" s="1" customFormat="1" ht="21.95" customHeight="1" spans="1:19">
      <c r="A645" s="7"/>
      <c r="B645" s="12"/>
      <c r="C645" s="33"/>
      <c r="D645" s="117" t="s">
        <v>720</v>
      </c>
      <c r="E645" s="117"/>
      <c r="F645" s="117"/>
      <c r="G645" s="54"/>
      <c r="H645" s="54"/>
      <c r="I645" s="54"/>
      <c r="J645" s="54"/>
      <c r="K645" s="54"/>
      <c r="L645" s="55">
        <f t="shared" si="22"/>
        <v>0</v>
      </c>
      <c r="M645" s="56" t="str">
        <f>IF(F622&gt;ENTRY!$D$24,"",IF(L645=0,"",IF(L645&gt;79,"A",IF(L645&gt;59,"B",IF(L645&gt;44,"C",IF(L645&gt;=33,"D",IF(L645&lt;=32,"E","")))))))</f>
        <v/>
      </c>
      <c r="N645" s="56"/>
      <c r="O645" s="29"/>
      <c r="P645" s="19"/>
      <c r="Q645" s="14"/>
      <c r="R645" s="11"/>
    </row>
    <row r="646" s="1" customFormat="1" ht="21.95" customHeight="1" spans="1:19">
      <c r="A646" s="7"/>
      <c r="B646" s="12"/>
      <c r="C646" s="33"/>
      <c r="D646" s="207" t="s">
        <v>382</v>
      </c>
      <c r="E646" s="207"/>
      <c r="F646" s="207"/>
      <c r="G646" s="54">
        <f t="shared" ref="G646:L646" si="23">IFERROR(SUM(G639:G645),"")</f>
        <v>6</v>
      </c>
      <c r="H646" s="54">
        <f t="shared" si="23"/>
        <v>0</v>
      </c>
      <c r="I646" s="54">
        <f t="shared" si="23"/>
        <v>0</v>
      </c>
      <c r="J646" s="54">
        <f t="shared" si="23"/>
        <v>0</v>
      </c>
      <c r="K646" s="54">
        <f t="shared" si="23"/>
        <v>133</v>
      </c>
      <c r="L646" s="55">
        <f t="shared" si="23"/>
        <v>139</v>
      </c>
      <c r="M646" s="61" t="str">
        <f>IF(F622&gt;ENTRY!$D$24,"",IF(N647="Ab","Ab",IF(N647&gt;79.5,"A",IF(N647&gt;59.5,"B",IF(N647&gt;44.5,"C",IF(N647&gt;=33,"D",IF(N647&lt;33,"E","")))))))</f>
        <v>E</v>
      </c>
      <c r="N646" s="61"/>
      <c r="O646" s="29"/>
      <c r="P646" s="19"/>
      <c r="Q646" s="14"/>
      <c r="R646" s="11"/>
    </row>
    <row r="647" s="1" customFormat="1" ht="21.95" customHeight="1" spans="1:19">
      <c r="A647" s="7"/>
      <c r="B647" s="12"/>
      <c r="C647" s="33"/>
      <c r="D647" s="63" t="s">
        <v>721</v>
      </c>
      <c r="E647" s="63"/>
      <c r="F647" s="63"/>
      <c r="G647" s="63"/>
      <c r="H647" s="63"/>
      <c r="I647" s="63"/>
      <c r="J647" s="63"/>
      <c r="K647" s="63"/>
      <c r="L647" s="63"/>
      <c r="M647" s="209"/>
      <c r="N647" s="64">
        <f>IF(L646="Ab","Ab",L646/6)</f>
        <v>23.1666666666667</v>
      </c>
      <c r="O647" s="65"/>
      <c r="P647" s="19"/>
      <c r="Q647" s="14"/>
      <c r="R647" s="11"/>
    </row>
    <row r="648" s="1" customFormat="1" ht="21.95" customHeight="1" spans="1:19">
      <c r="A648" s="7"/>
      <c r="B648" s="12"/>
      <c r="C648" s="33"/>
      <c r="D648" s="29" t="s">
        <v>716</v>
      </c>
      <c r="E648" s="18" t="str">
        <f>IFERROR(VLOOKUP(F622,'1to4-2.1-RR'!$A$12:$BG$111,57,0),"")</f>
        <v>PROMOTED</v>
      </c>
      <c r="F648" s="18"/>
      <c r="G648" s="18"/>
      <c r="H648" s="18"/>
      <c r="I648" s="18"/>
      <c r="J648" s="18"/>
      <c r="K648" s="18"/>
      <c r="L648" s="18"/>
      <c r="M648" s="18"/>
      <c r="N648" s="29"/>
      <c r="O648" s="29"/>
      <c r="P648" s="19"/>
      <c r="Q648" s="14"/>
      <c r="R648" s="11"/>
    </row>
    <row r="649" s="1" customFormat="1" ht="9.95" customHeight="1" spans="1:19">
      <c r="A649" s="7"/>
      <c r="B649" s="12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1"/>
      <c r="Q649" s="14"/>
      <c r="R649" s="11"/>
    </row>
    <row r="650" s="1" customFormat="1" ht="9.95" customHeight="1" spans="1:19">
      <c r="A650" s="7"/>
      <c r="B650" s="12"/>
      <c r="C650" s="30"/>
      <c r="D650" s="31"/>
      <c r="E650" s="31"/>
      <c r="F650" s="29"/>
      <c r="G650" s="31"/>
      <c r="H650" s="31"/>
      <c r="I650" s="31"/>
      <c r="J650" s="31"/>
      <c r="K650" s="31"/>
      <c r="L650" s="31"/>
      <c r="M650" s="31"/>
      <c r="N650" s="31"/>
      <c r="O650" s="31"/>
      <c r="P650" s="32"/>
      <c r="Q650" s="14"/>
      <c r="R650" s="11"/>
    </row>
    <row r="651" s="1" customFormat="1" ht="9.95" customHeight="1" spans="1:19">
      <c r="A651" s="7"/>
      <c r="B651" s="12"/>
      <c r="C651" s="33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19"/>
      <c r="Q651" s="14"/>
      <c r="R651" s="11"/>
    </row>
    <row r="652" s="1" customFormat="1" ht="9.95" customHeight="1" spans="1:19">
      <c r="A652" s="7"/>
      <c r="B652" s="12"/>
      <c r="C652" s="33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19"/>
      <c r="Q652" s="14"/>
      <c r="R652" s="11"/>
    </row>
    <row r="653" s="1" customFormat="1" ht="21.95" customHeight="1" spans="1:19">
      <c r="A653" s="7"/>
      <c r="B653" s="12"/>
      <c r="C653" s="210"/>
      <c r="D653" s="211"/>
      <c r="E653" s="211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2"/>
      <c r="Q653" s="14"/>
      <c r="R653" s="11"/>
      <c r="S653" s="2"/>
    </row>
    <row r="654" s="1" customFormat="1" ht="21.95" customHeight="1" spans="1:19">
      <c r="A654" s="7"/>
      <c r="B654" s="12"/>
      <c r="C654" s="33"/>
      <c r="D654" s="207" t="s">
        <v>722</v>
      </c>
      <c r="E654" s="207"/>
      <c r="F654" s="207"/>
      <c r="G654" s="207"/>
      <c r="H654" s="54">
        <f>IFERROR(VLOOKUP(F622,PASHEET!$A$4:$CJ$103,88,0),"")</f>
        <v>0</v>
      </c>
      <c r="I654" s="54"/>
      <c r="J654" s="29"/>
      <c r="K654" s="29"/>
      <c r="L654" s="29"/>
      <c r="M654" s="29"/>
      <c r="N654" s="29"/>
      <c r="O654" s="29"/>
      <c r="P654" s="19"/>
      <c r="Q654" s="14"/>
      <c r="R654" s="11"/>
    </row>
    <row r="655" s="1" customFormat="1" ht="21.95" customHeight="1" spans="1:19">
      <c r="A655" s="7"/>
      <c r="B655" s="12"/>
      <c r="C655" s="213"/>
      <c r="D655" s="207" t="s">
        <v>723</v>
      </c>
      <c r="E655" s="207"/>
      <c r="F655" s="207"/>
      <c r="G655" s="207"/>
      <c r="H655" s="54">
        <f>IFERROR(VLOOKUP(F622,PASHEET!$A$4:$CJ$103,87,0),"")</f>
        <v>0</v>
      </c>
      <c r="I655" s="54"/>
      <c r="J655" s="214"/>
      <c r="K655" s="214"/>
      <c r="L655" s="207" t="s">
        <v>724</v>
      </c>
      <c r="M655" s="207"/>
      <c r="N655" s="117" t="str">
        <f>IF(F622&gt;ENTRY!$D$24,"",IF(F622&gt;0,L646&amp;" / "&amp;600,""))</f>
        <v>139 / 600</v>
      </c>
      <c r="O655" s="117"/>
      <c r="P655" s="215"/>
      <c r="Q655" s="14"/>
      <c r="R655" s="11"/>
    </row>
    <row r="656" s="1" customFormat="1" ht="18" customHeight="1" spans="1:19">
      <c r="A656" s="7"/>
      <c r="B656" s="12"/>
      <c r="C656" s="33"/>
      <c r="D656" s="207" t="s">
        <v>725</v>
      </c>
      <c r="E656" s="207"/>
      <c r="F656" s="207"/>
      <c r="G656" s="207"/>
      <c r="H656" s="69" t="str">
        <f>IFERROR(IF(F622&gt;0,H655/H654*100),"")</f>
        <v/>
      </c>
      <c r="I656" s="69"/>
      <c r="J656" s="29"/>
      <c r="K656" s="29"/>
      <c r="L656" s="207" t="s">
        <v>726</v>
      </c>
      <c r="M656" s="207"/>
      <c r="N656" s="216">
        <f>IF(F622&gt;ENTRY!$D$24,"",IF(F622&gt;0,L646/600*100,""))</f>
        <v>23.1666666666667</v>
      </c>
      <c r="O656" s="216"/>
      <c r="P656" s="19"/>
      <c r="Q656" s="14"/>
      <c r="R656" s="11"/>
    </row>
    <row r="657" s="1" customFormat="1" ht="21.95" customHeight="1" spans="1:18">
      <c r="A657" s="7"/>
      <c r="B657" s="12"/>
      <c r="C657" s="33"/>
      <c r="D657" s="80"/>
      <c r="E657" s="80"/>
      <c r="F657" s="217"/>
      <c r="G657" s="217"/>
      <c r="H657" s="217"/>
      <c r="I657" s="217"/>
      <c r="J657" s="217"/>
      <c r="K657" s="217"/>
      <c r="L657" s="217"/>
      <c r="M657" s="217"/>
      <c r="N657" s="80"/>
      <c r="O657" s="80"/>
      <c r="P657" s="19"/>
      <c r="Q657" s="14"/>
      <c r="R657" s="11"/>
    </row>
    <row r="658" s="1" customFormat="1" ht="21.95" customHeight="1" spans="1:18">
      <c r="A658" s="7"/>
      <c r="B658" s="12"/>
      <c r="C658" s="33"/>
      <c r="D658" s="80"/>
      <c r="E658" s="218"/>
      <c r="F658" s="218"/>
      <c r="G658" s="218"/>
      <c r="H658" s="80"/>
      <c r="I658" s="218"/>
      <c r="J658" s="218"/>
      <c r="K658" s="218"/>
      <c r="L658" s="218"/>
      <c r="M658" s="80"/>
      <c r="N658" s="219"/>
      <c r="O658" s="219"/>
      <c r="P658" s="19"/>
      <c r="Q658" s="14"/>
      <c r="R658" s="11"/>
    </row>
    <row r="659" s="1" customFormat="1" ht="21.95" customHeight="1" spans="1:18">
      <c r="A659" s="7"/>
      <c r="B659" s="12"/>
      <c r="C659" s="33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19"/>
      <c r="Q659" s="14"/>
      <c r="R659" s="11"/>
    </row>
    <row r="660" s="1" customFormat="1" ht="21.95" customHeight="1" spans="1:18">
      <c r="A660" s="7"/>
      <c r="B660" s="12"/>
      <c r="C660" s="33"/>
      <c r="D660" s="218"/>
      <c r="E660" s="218"/>
      <c r="F660" s="218"/>
      <c r="G660" s="218"/>
      <c r="H660" s="218"/>
      <c r="I660" s="218"/>
      <c r="J660" s="218"/>
      <c r="K660" s="218"/>
      <c r="L660" s="218"/>
      <c r="M660" s="80"/>
      <c r="N660" s="217"/>
      <c r="O660" s="217"/>
      <c r="P660" s="85" t="s">
        <v>727</v>
      </c>
      <c r="Q660" s="14"/>
      <c r="R660" s="11"/>
    </row>
    <row r="661" s="1" customFormat="1" ht="21.95" customHeight="1" spans="1:18">
      <c r="A661" s="7"/>
      <c r="B661" s="12"/>
      <c r="C661" s="33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19"/>
      <c r="Q661" s="14"/>
      <c r="R661" s="11"/>
    </row>
    <row r="662" s="1" customFormat="1" ht="21.95" customHeight="1" spans="1:18">
      <c r="A662" s="7"/>
      <c r="B662" s="12"/>
      <c r="C662" s="33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19"/>
      <c r="Q662" s="14"/>
      <c r="R662" s="11"/>
    </row>
    <row r="663" s="1" customFormat="1" ht="21.95" customHeight="1" spans="1:18">
      <c r="A663" s="7"/>
      <c r="B663" s="12"/>
      <c r="C663" s="33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19"/>
      <c r="Q663" s="14"/>
      <c r="R663" s="11"/>
    </row>
    <row r="664" s="1" customFormat="1" ht="21.95" customHeight="1" spans="1:18">
      <c r="A664" s="7"/>
      <c r="B664" s="12"/>
      <c r="C664" s="33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19"/>
      <c r="Q664" s="14"/>
      <c r="R664" s="11"/>
    </row>
    <row r="665" s="1" customFormat="1" ht="21.95" customHeight="1" spans="1:18">
      <c r="A665" s="7"/>
      <c r="B665" s="12"/>
      <c r="C665" s="33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19"/>
      <c r="Q665" s="14"/>
      <c r="R665" s="11"/>
    </row>
    <row r="666" s="1" customFormat="1" ht="21.95" customHeight="1" spans="1:18">
      <c r="A666" s="7"/>
      <c r="B666" s="12"/>
      <c r="C666" s="33"/>
      <c r="D666" s="80" t="s">
        <v>728</v>
      </c>
      <c r="E666" s="220">
        <f>ENTRY!$D$27</f>
        <v>46102</v>
      </c>
      <c r="F666" s="220"/>
      <c r="G666" s="29"/>
      <c r="H666" s="29"/>
      <c r="I666" s="221" t="s">
        <v>729</v>
      </c>
      <c r="J666" s="153"/>
      <c r="K666" s="29"/>
      <c r="L666" s="29"/>
      <c r="M666" s="87" t="s">
        <v>730</v>
      </c>
      <c r="N666" s="87"/>
      <c r="O666" s="87"/>
      <c r="P666" s="19"/>
      <c r="Q666" s="14"/>
      <c r="R666" s="11"/>
    </row>
    <row r="667" s="1" customFormat="1" ht="21.95" customHeight="1" spans="1:18">
      <c r="A667" s="7"/>
      <c r="B667" s="12"/>
      <c r="C667" s="33"/>
      <c r="D667" s="80" t="s">
        <v>731</v>
      </c>
      <c r="E667" s="88" t="str">
        <f>PROPER(ENTRY!$D$28)</f>
        <v>New Delhi</v>
      </c>
      <c r="F667" s="88"/>
      <c r="G667" s="29"/>
      <c r="H667" s="29"/>
      <c r="I667" s="153"/>
      <c r="J667" s="153"/>
      <c r="K667" s="29"/>
      <c r="L667" s="29"/>
      <c r="M667" s="79" t="s">
        <v>732</v>
      </c>
      <c r="N667" s="79"/>
      <c r="O667" s="79"/>
      <c r="P667" s="19"/>
      <c r="Q667" s="14"/>
      <c r="R667" s="11"/>
    </row>
    <row r="668" s="1" customFormat="1" ht="21.95" customHeight="1" spans="1:18">
      <c r="A668" s="7"/>
      <c r="B668" s="12"/>
      <c r="C668" s="90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2"/>
      <c r="Q668" s="14"/>
      <c r="R668" s="11"/>
    </row>
    <row r="669" s="1" customFormat="1" ht="5.1" customHeight="1" spans="1:18">
      <c r="A669" s="7"/>
      <c r="B669" s="90"/>
      <c r="C669" s="91"/>
      <c r="D669" s="91"/>
      <c r="E669" s="91"/>
      <c r="F669" s="91"/>
      <c r="G669" s="91"/>
      <c r="H669" s="91"/>
      <c r="I669" s="91"/>
      <c r="J669" s="91"/>
      <c r="K669" s="91"/>
      <c r="L669" s="91"/>
      <c r="M669" s="91"/>
      <c r="N669" s="91"/>
      <c r="O669" s="91"/>
      <c r="P669" s="91"/>
      <c r="Q669" s="92"/>
      <c r="R669" s="11"/>
    </row>
    <row r="670" s="1" customFormat="1" ht="5.1" customHeight="1" spans="1:18">
      <c r="A670" s="93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5"/>
    </row>
    <row r="671" s="1" customFormat="1" ht="21.95" customHeight="1"/>
    <row r="672" ht="15.15"/>
    <row r="673" s="1" customFormat="1" ht="5.1" customHeight="1" spans="1:18">
      <c r="A673" s="4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6"/>
    </row>
    <row r="674" s="1" customFormat="1" ht="15" customHeight="1" spans="1:18">
      <c r="A674" s="7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0"/>
      <c r="R674" s="11"/>
    </row>
    <row r="675" s="1" customFormat="1" ht="21.95" customHeight="1" spans="1:18">
      <c r="A675" s="7"/>
      <c r="B675" s="12"/>
      <c r="C675" s="13" t="s">
        <v>7</v>
      </c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4"/>
      <c r="R675" s="11"/>
    </row>
    <row r="676" s="1" customFormat="1" ht="21.95" customHeight="1" spans="1:18">
      <c r="A676" s="7"/>
      <c r="B676" s="1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14"/>
      <c r="R676" s="11"/>
    </row>
    <row r="677" s="1" customFormat="1" ht="21.95" customHeight="1" spans="1:18">
      <c r="A677" s="7"/>
      <c r="B677" s="12"/>
      <c r="C677" s="15" t="str">
        <f>"SESSION-"&amp;ENTRY!$D$11</f>
        <v>SESSION-2026-27</v>
      </c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4"/>
      <c r="R677" s="11"/>
    </row>
    <row r="678" s="1" customFormat="1" ht="21.95" customHeight="1" spans="1:18">
      <c r="A678" s="7"/>
      <c r="B678" s="12"/>
      <c r="C678" s="2"/>
      <c r="D678" s="2"/>
      <c r="E678" s="2"/>
      <c r="F678" s="16">
        <f>F622+1</f>
        <v>13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14"/>
      <c r="R678" s="11"/>
    </row>
    <row r="679" s="1" customFormat="1" ht="21.95" customHeight="1" spans="1:18">
      <c r="A679" s="7"/>
      <c r="B679" s="12"/>
      <c r="C679" s="17" t="s">
        <v>392</v>
      </c>
      <c r="D679" s="17"/>
      <c r="E679" s="17"/>
      <c r="F679" s="18" t="str">
        <f>IF(F678&gt;0,ENTRY!$D$6,"")</f>
        <v>MCP NITHARI NO 1 BOYS</v>
      </c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4"/>
      <c r="R679" s="11"/>
    </row>
    <row r="680" s="1" customFormat="1" ht="21.95" customHeight="1" spans="1:18">
      <c r="A680" s="7"/>
      <c r="B680" s="12"/>
      <c r="C680" s="17" t="s">
        <v>393</v>
      </c>
      <c r="D680" s="17"/>
      <c r="E680" s="17"/>
      <c r="F680" s="18">
        <f>IF(F678&gt;0,ENTRY!$D$7,"")</f>
        <v>0</v>
      </c>
      <c r="G680" s="18"/>
      <c r="H680" s="20" t="s">
        <v>702</v>
      </c>
      <c r="I680" s="20"/>
      <c r="J680" s="21">
        <f>IF(F678&gt;0,ENTRY!$D$10,"")</f>
        <v>40</v>
      </c>
      <c r="K680" s="20" t="s">
        <v>703</v>
      </c>
      <c r="L680" s="22" t="str">
        <f>IF(F678&gt;0,ENTRY!$D$5,"")</f>
        <v>ROHINI ZONE</v>
      </c>
      <c r="M680" s="22"/>
      <c r="N680" s="22"/>
      <c r="O680" s="22"/>
      <c r="P680" s="22"/>
      <c r="Q680" s="14"/>
      <c r="R680" s="11"/>
    </row>
    <row r="681" s="1" customFormat="1" ht="21.95" customHeight="1" spans="1:18">
      <c r="A681" s="7"/>
      <c r="B681" s="12"/>
      <c r="C681" s="17" t="s">
        <v>706</v>
      </c>
      <c r="D681" s="17"/>
      <c r="E681" s="17"/>
      <c r="F681" s="23" t="str">
        <f>IFERROR(VLOOKUP(F678,STUDENT!$A$2:$BP$101,5,0),"")</f>
        <v>MOHD JISAN</v>
      </c>
      <c r="G681" s="23"/>
      <c r="H681" s="23"/>
      <c r="I681" s="23"/>
      <c r="J681" s="23"/>
      <c r="K681" s="23"/>
      <c r="L681" s="20" t="s">
        <v>707</v>
      </c>
      <c r="M681" s="20"/>
      <c r="N681" s="24" t="str">
        <f>IF(F678&gt;0,ENTRY!$D$20&amp;"-"&amp;ENTRY!$D$21,"")</f>
        <v>III-A</v>
      </c>
      <c r="O681" s="24"/>
      <c r="P681" s="24"/>
      <c r="Q681" s="14"/>
      <c r="R681" s="11"/>
    </row>
    <row r="682" s="1" customFormat="1" ht="21.95" customHeight="1" spans="1:18">
      <c r="A682" s="7"/>
      <c r="B682" s="12"/>
      <c r="C682" s="17" t="s">
        <v>708</v>
      </c>
      <c r="D682" s="17"/>
      <c r="E682" s="17"/>
      <c r="F682" s="25">
        <f>IFERROR(VLOOKUP(F678,STUDENT!$A$2:$BP$101,6,0),"")</f>
        <v>14735</v>
      </c>
      <c r="G682" s="25"/>
      <c r="H682" s="26" t="s">
        <v>709</v>
      </c>
      <c r="I682" s="27" t="str">
        <f>IFERROR(VLOOKUP(F678,STUDENT!$A$2:$BP$101,59,0),"")</f>
        <v/>
      </c>
      <c r="J682" s="27"/>
      <c r="K682" s="20" t="s">
        <v>710</v>
      </c>
      <c r="L682" s="20"/>
      <c r="M682" s="28">
        <f>IFERROR(VLOOKUP(F678,STUDENT!$A$2:$BP$101,20,0),"")</f>
        <v>7836913487</v>
      </c>
      <c r="N682" s="28"/>
      <c r="O682" s="28"/>
      <c r="P682" s="28"/>
      <c r="Q682" s="14"/>
      <c r="R682" s="11"/>
    </row>
    <row r="683" s="1" customFormat="1" ht="21.95" customHeight="1" spans="1:18">
      <c r="A683" s="7"/>
      <c r="B683" s="12"/>
      <c r="C683" s="17" t="s">
        <v>711</v>
      </c>
      <c r="D683" s="17"/>
      <c r="E683" s="17"/>
      <c r="F683" s="23" t="str">
        <f>IFERROR(VLOOKUP(F678,STUDENT!$A$2:$BP$101,9,0),"")</f>
        <v>IRFANA KHATUN</v>
      </c>
      <c r="G683" s="23"/>
      <c r="H683" s="23"/>
      <c r="I683" s="23"/>
      <c r="J683" s="17" t="s">
        <v>620</v>
      </c>
      <c r="K683" s="17"/>
      <c r="L683" s="23" t="str">
        <f>IFERROR(VLOOKUP(F678,STUDENT!$A$2:$BP$101,8,0),"")</f>
        <v>MD ZAMEEL</v>
      </c>
      <c r="M683" s="23"/>
      <c r="N683" s="23"/>
      <c r="O683" s="23"/>
      <c r="P683" s="23"/>
      <c r="Q683" s="14"/>
      <c r="R683" s="11"/>
    </row>
    <row r="684" s="1" customFormat="1" ht="21.95" customHeight="1" spans="1:18">
      <c r="A684" s="7"/>
      <c r="B684" s="12"/>
      <c r="C684" s="17" t="s">
        <v>712</v>
      </c>
      <c r="D684" s="17"/>
      <c r="E684" s="17"/>
      <c r="F684" s="23" t="str">
        <f>IFERROR(VLOOKUP(F678,STUDENT!$A$2:$BP$101,22,0),"")</f>
        <v>B-227, PREM NAGAR-III,DELHI</v>
      </c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14"/>
      <c r="R684" s="11"/>
    </row>
    <row r="685" s="1" customFormat="1" ht="9.95" customHeight="1" spans="1:18">
      <c r="A685" s="7"/>
      <c r="B685" s="12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14"/>
      <c r="R685" s="11"/>
    </row>
    <row r="686" s="1" customFormat="1" ht="9.95" customHeight="1" spans="1:18">
      <c r="A686" s="7"/>
      <c r="B686" s="12"/>
      <c r="C686" s="30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2"/>
      <c r="Q686" s="14"/>
      <c r="R686" s="11"/>
    </row>
    <row r="687" s="1" customFormat="1" ht="21.95" customHeight="1" spans="1:18">
      <c r="A687" s="7"/>
      <c r="B687" s="12"/>
      <c r="C687" s="33"/>
      <c r="D687" s="34" t="s">
        <v>713</v>
      </c>
      <c r="E687" s="20" t="s">
        <v>714</v>
      </c>
      <c r="F687" s="35" t="str">
        <f>"Level - "&amp;IFERROR(VLOOKUP(F678,FLN!$A$4:$K$103,9,0),"")</f>
        <v>Level - 2</v>
      </c>
      <c r="G687" s="36"/>
      <c r="H687" s="37" t="s">
        <v>715</v>
      </c>
      <c r="I687" s="20"/>
      <c r="J687" s="35" t="str">
        <f>"Level - "&amp;IFERROR(VLOOKUP(F678,FLN!$A$4:$K$103,11,0),"")</f>
        <v>Level - 3</v>
      </c>
      <c r="K687" s="36"/>
      <c r="L687" s="37" t="s">
        <v>408</v>
      </c>
      <c r="M687" s="20"/>
      <c r="N687" s="35" t="str">
        <f>"Level - "&amp;IFERROR(VLOOKUP(F678,FLN!$A$4:$K$103,10,0),"")</f>
        <v>Level - 2</v>
      </c>
      <c r="O687" s="36"/>
      <c r="P687" s="19"/>
      <c r="Q687" s="14"/>
      <c r="R687" s="11"/>
    </row>
    <row r="688" s="1" customFormat="1" ht="21.95" customHeight="1" spans="1:18">
      <c r="A688" s="7"/>
      <c r="B688" s="12"/>
      <c r="C688" s="33"/>
      <c r="D688" s="38"/>
      <c r="E688" s="20" t="s">
        <v>716</v>
      </c>
      <c r="F688" s="18" t="str">
        <f>IF(L702&gt;197,"PERFORMED WELL","")</f>
        <v/>
      </c>
      <c r="G688" s="18"/>
      <c r="H688" s="18"/>
      <c r="I688" s="18"/>
      <c r="J688" s="18"/>
      <c r="K688" s="18"/>
      <c r="L688" s="18"/>
      <c r="M688" s="18"/>
      <c r="N688" s="18"/>
      <c r="O688" s="18"/>
      <c r="P688" s="19"/>
      <c r="Q688" s="14"/>
      <c r="R688" s="11"/>
    </row>
    <row r="689" s="1" customFormat="1" ht="9.95" customHeight="1" spans="1:18">
      <c r="A689" s="7"/>
      <c r="B689" s="12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1"/>
      <c r="Q689" s="14"/>
      <c r="R689" s="11"/>
    </row>
    <row r="690" s="1" customFormat="1" ht="9.95" customHeight="1" spans="1:18">
      <c r="A690" s="7"/>
      <c r="B690" s="12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14"/>
      <c r="R690" s="11"/>
    </row>
    <row r="691" s="1" customFormat="1" ht="9.95" customHeight="1" spans="1:18">
      <c r="A691" s="7"/>
      <c r="B691" s="12"/>
      <c r="C691" s="30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2"/>
      <c r="Q691" s="14"/>
      <c r="R691" s="11"/>
    </row>
    <row r="692" s="1" customFormat="1" ht="21.95" customHeight="1" spans="1:18">
      <c r="A692" s="7"/>
      <c r="B692" s="12"/>
      <c r="C692" s="33"/>
      <c r="D692" s="35"/>
      <c r="E692" s="24"/>
      <c r="F692" s="24"/>
      <c r="G692" s="47" t="s">
        <v>717</v>
      </c>
      <c r="H692" s="47"/>
      <c r="I692" s="47"/>
      <c r="J692" s="47"/>
      <c r="K692" s="47"/>
      <c r="L692" s="47"/>
      <c r="M692" s="47"/>
      <c r="N692" s="47"/>
      <c r="O692" s="29"/>
      <c r="P692" s="19"/>
      <c r="Q692" s="14"/>
      <c r="R692" s="11"/>
    </row>
    <row r="693" s="1" customFormat="1" ht="21.95" customHeight="1" spans="1:18">
      <c r="A693" s="7"/>
      <c r="B693" s="12"/>
      <c r="C693" s="33"/>
      <c r="D693" s="47"/>
      <c r="E693" s="47"/>
      <c r="F693" s="47"/>
      <c r="G693" s="47" t="s">
        <v>541</v>
      </c>
      <c r="H693" s="47" t="s">
        <v>542</v>
      </c>
      <c r="I693" s="47" t="s">
        <v>543</v>
      </c>
      <c r="J693" s="47" t="s">
        <v>544</v>
      </c>
      <c r="K693" s="47" t="s">
        <v>561</v>
      </c>
      <c r="L693" s="47" t="s">
        <v>382</v>
      </c>
      <c r="M693" s="49" t="s">
        <v>546</v>
      </c>
      <c r="N693" s="49"/>
      <c r="O693" s="29"/>
      <c r="P693" s="19"/>
      <c r="Q693" s="14"/>
      <c r="R693" s="11"/>
    </row>
    <row r="694" s="1" customFormat="1" ht="21.95" customHeight="1" spans="1:18">
      <c r="A694" s="7"/>
      <c r="B694" s="12"/>
      <c r="C694" s="33"/>
      <c r="D694" s="207" t="s">
        <v>652</v>
      </c>
      <c r="E694" s="207"/>
      <c r="F694" s="207"/>
      <c r="G694" s="50">
        <v>10</v>
      </c>
      <c r="H694" s="50">
        <v>10</v>
      </c>
      <c r="I694" s="50">
        <v>10</v>
      </c>
      <c r="J694" s="50">
        <v>10</v>
      </c>
      <c r="K694" s="50">
        <v>60</v>
      </c>
      <c r="L694" s="50">
        <v>100</v>
      </c>
      <c r="M694" s="49"/>
      <c r="N694" s="49"/>
      <c r="O694" s="29"/>
      <c r="P694" s="19"/>
      <c r="Q694" s="14"/>
      <c r="R694" s="11"/>
    </row>
    <row r="695" s="1" customFormat="1" ht="21.95" customHeight="1" spans="1:18">
      <c r="A695" s="7"/>
      <c r="B695" s="12"/>
      <c r="C695" s="33"/>
      <c r="D695" s="117" t="s">
        <v>668</v>
      </c>
      <c r="E695" s="117"/>
      <c r="F695" s="117"/>
      <c r="G695" s="54">
        <f>IFERROR(VLOOKUP(F678,'1to4-2.1-RR'!$A$12:$BG$111,9,0),"")</f>
        <v>1</v>
      </c>
      <c r="H695" s="54">
        <f>IFERROR(VLOOKUP(F678,'1to4-2.1-RR'!$A$12:$BG$111,10,0),"")</f>
        <v>0</v>
      </c>
      <c r="I695" s="54">
        <f>IFERROR(VLOOKUP(F678,'1to4-2.1-RR'!$A$12:$BG$111,11,0),"")</f>
        <v>0</v>
      </c>
      <c r="J695" s="54">
        <f>IFERROR(VLOOKUP(F678,'1to4-2.1-RR'!$A$12:$BG$111,12,0),"")</f>
        <v>0</v>
      </c>
      <c r="K695" s="54">
        <f>IFERROR(VLOOKUP(F678,'1to4-2.1-RR'!$A$12:$BG$111,13,0),"")</f>
        <v>48</v>
      </c>
      <c r="L695" s="55">
        <f>SUM(G695:K695)</f>
        <v>49</v>
      </c>
      <c r="M695" s="56" t="str">
        <f>IF(F678&gt;ENTRY!$D$24,"",IF(L695=0,"Ab",IF(L695&gt;80,"A",IF(L695&gt;60,"B",IF(L695&gt;44,"C",IF(L695&gt;=33,"D",IF(L695&lt;=32,"E","")))))))</f>
        <v>C</v>
      </c>
      <c r="N695" s="56"/>
      <c r="O695" s="29"/>
      <c r="P695" s="19"/>
      <c r="Q695" s="14"/>
      <c r="R695" s="11"/>
    </row>
    <row r="696" s="1" customFormat="1" ht="21.95" customHeight="1" spans="1:18">
      <c r="A696" s="7"/>
      <c r="B696" s="12"/>
      <c r="C696" s="33"/>
      <c r="D696" s="117" t="s">
        <v>513</v>
      </c>
      <c r="E696" s="117"/>
      <c r="F696" s="117"/>
      <c r="G696" s="54">
        <f>IFERROR(VLOOKUP(F678,'1to4-2.1-RR'!$A$12:$BG$111,16,0),"")</f>
        <v>1</v>
      </c>
      <c r="H696" s="54">
        <f>IFERROR(VLOOKUP(F678,'1to4-2.1-RR'!$A$12:$BG$111,17,0),"")</f>
        <v>0</v>
      </c>
      <c r="I696" s="54">
        <f>IFERROR(VLOOKUP(F678,'1to4-2.1-RR'!$A$12:$BG$111,18,0),"")</f>
        <v>0</v>
      </c>
      <c r="J696" s="54">
        <f>IFERROR(VLOOKUP(F678,'1to4-2.1-RR'!$A$12:$BG$111,19,0),"")</f>
        <v>0</v>
      </c>
      <c r="K696" s="54">
        <f>IFERROR(VLOOKUP(F678,'1to4-2.1-RR'!$A$12:$BG$111,20,0),"")</f>
        <v>17</v>
      </c>
      <c r="L696" s="55">
        <f t="shared" ref="L696:L701" si="24">SUM(G696:K696)</f>
        <v>18</v>
      </c>
      <c r="M696" s="56" t="str">
        <f>IF(F678&gt;ENTRY!$D$24,"",IF(L696=0,"Ab",IF(L696&gt;80,"A",IF(L696&gt;60,"B",IF(L696&gt;44,"C",IF(L696&gt;=33,"D",IF(L696&lt;=32,"E","")))))))</f>
        <v>E</v>
      </c>
      <c r="N696" s="56"/>
      <c r="O696" s="29"/>
      <c r="P696" s="19"/>
      <c r="Q696" s="14"/>
      <c r="R696" s="11"/>
    </row>
    <row r="697" s="1" customFormat="1" ht="21.95" customHeight="1" spans="1:18">
      <c r="A697" s="7"/>
      <c r="B697" s="12"/>
      <c r="C697" s="33"/>
      <c r="D697" s="117" t="s">
        <v>718</v>
      </c>
      <c r="E697" s="117"/>
      <c r="F697" s="117"/>
      <c r="G697" s="54">
        <f>IFERROR(VLOOKUP(F678,'1to4-2.1-RR'!$A$12:$BG$111,23,0),"")</f>
        <v>1</v>
      </c>
      <c r="H697" s="54">
        <f>IFERROR(VLOOKUP(F678,'1to4-2.1-RR'!$A$12:$BG$111,24,0),"")</f>
        <v>0</v>
      </c>
      <c r="I697" s="54">
        <f>IFERROR(VLOOKUP(F678,'1to4-2.1-RR'!$A$12:$BG$111,25,0),"")</f>
        <v>0</v>
      </c>
      <c r="J697" s="54">
        <f>IFERROR(VLOOKUP(F678,'1to4-2.1-RR'!$A$12:$BG$111,26,0),"")</f>
        <v>0</v>
      </c>
      <c r="K697" s="54">
        <f>IFERROR(VLOOKUP(F678,'1to4-2.1-RR'!$A$12:$BG$111,27,0),"")</f>
        <v>15</v>
      </c>
      <c r="L697" s="55">
        <f t="shared" si="24"/>
        <v>16</v>
      </c>
      <c r="M697" s="56" t="str">
        <f>IF(F678&gt;ENTRY!$D$24,"",IF(L697=0,"Ab",IF(L697&gt;80,"A",IF(L697&gt;60,"B",IF(L697&gt;44,"C",IF(L697&gt;=33,"D",IF(L697&lt;=32,"E","")))))))</f>
        <v>E</v>
      </c>
      <c r="N697" s="56"/>
      <c r="O697" s="29"/>
      <c r="P697" s="19"/>
      <c r="Q697" s="14"/>
      <c r="R697" s="11"/>
    </row>
    <row r="698" s="1" customFormat="1" ht="21.95" customHeight="1" spans="1:18">
      <c r="A698" s="7"/>
      <c r="B698" s="12"/>
      <c r="C698" s="33"/>
      <c r="D698" s="117" t="s">
        <v>719</v>
      </c>
      <c r="E698" s="117"/>
      <c r="F698" s="117"/>
      <c r="G698" s="54">
        <f>IFERROR(VLOOKUP(F678,'1to4-2.1-RR'!$A$12:$BG$111,30,0),"")</f>
        <v>2</v>
      </c>
      <c r="H698" s="54">
        <f>IFERROR(VLOOKUP(F678,'1to4-2.1-RR'!$A$12:$BG$111,31,0),"")</f>
        <v>0</v>
      </c>
      <c r="I698" s="54">
        <f>IFERROR(VLOOKUP(F678,'1to4-2.1-RR'!$A$12:$BG$111,32,0),"")</f>
        <v>0</v>
      </c>
      <c r="J698" s="54">
        <f>IFERROR(VLOOKUP(F678,'1to4-2.1-RR'!$A$12:$BG$111,33,0),"")</f>
        <v>0</v>
      </c>
      <c r="K698" s="54">
        <f>IFERROR(VLOOKUP(F678,'1to4-2.1-RR'!$A$12:$BG$111,34,0),"")</f>
        <v>15</v>
      </c>
      <c r="L698" s="55">
        <f t="shared" si="24"/>
        <v>17</v>
      </c>
      <c r="M698" s="56" t="str">
        <f>IF(F678&gt;ENTRY!$D$24,"",IF(L698=0,"Ab",IF(L698&gt;80,"A",IF(L698&gt;60,"B",IF(L698&gt;44,"C",IF(L698&gt;=33,"D",IF(L698&lt;=32,"E","")))))))</f>
        <v>E</v>
      </c>
      <c r="N698" s="56"/>
      <c r="O698" s="29"/>
      <c r="P698" s="19"/>
      <c r="Q698" s="14"/>
      <c r="R698" s="11"/>
    </row>
    <row r="699" s="1" customFormat="1" ht="21.95" customHeight="1" spans="1:18">
      <c r="A699" s="7"/>
      <c r="B699" s="12"/>
      <c r="C699" s="33"/>
      <c r="D699" s="117" t="s">
        <v>548</v>
      </c>
      <c r="E699" s="117"/>
      <c r="F699" s="117"/>
      <c r="G699" s="54">
        <f>IFERROR(VLOOKUP(F678,'1to4-2.1-RR'!$A$12:$BG$111,37,0),"")</f>
        <v>0</v>
      </c>
      <c r="H699" s="54">
        <f>IFERROR(VLOOKUP(F678,'1to4-2.1-RR'!$A$12:$BG$111,38,0),"")</f>
        <v>0</v>
      </c>
      <c r="I699" s="54">
        <f>IFERROR(VLOOKUP(F678,'1to4-2.1-RR'!$A$12:$BG$111,39,0),"")</f>
        <v>0</v>
      </c>
      <c r="J699" s="54">
        <f>IFERROR(VLOOKUP(F678,'1to4-2.1-RR'!$A$12:$BG$111,40,0),"")</f>
        <v>0</v>
      </c>
      <c r="K699" s="54">
        <f>IFERROR(VLOOKUP(F678,'1to4-2.1-RR'!$A$12:$BG$111,41,0),"")</f>
        <v>15</v>
      </c>
      <c r="L699" s="55">
        <f t="shared" si="24"/>
        <v>15</v>
      </c>
      <c r="M699" s="56" t="str">
        <f>IF(F678&gt;ENTRY!$D$24,"",IF(L699=0,"Ab",IF(L699&gt;80,"A",IF(L699&gt;60,"B",IF(L699&gt;44,"C",IF(L699&gt;=33,"D",IF(L699&lt;=32,"E","")))))))</f>
        <v>E</v>
      </c>
      <c r="N699" s="56"/>
      <c r="O699" s="29"/>
      <c r="P699" s="19"/>
      <c r="Q699" s="14"/>
      <c r="R699" s="11"/>
    </row>
    <row r="700" s="1" customFormat="1" ht="21.95" customHeight="1" spans="1:18">
      <c r="A700" s="7"/>
      <c r="B700" s="12"/>
      <c r="C700" s="33"/>
      <c r="D700" s="117" t="s">
        <v>549</v>
      </c>
      <c r="E700" s="117"/>
      <c r="F700" s="117"/>
      <c r="G700" s="54">
        <f>IFERROR(VLOOKUP(F678,'1to4-2.1-RR'!$A$12:$BG$111,44,0),"")</f>
        <v>1</v>
      </c>
      <c r="H700" s="54">
        <f>IFERROR(VLOOKUP(F678,'1to4-2.1-RR'!$A$12:$BG$111,45,0),"")</f>
        <v>0</v>
      </c>
      <c r="I700" s="54">
        <f>IFERROR(VLOOKUP(F678,'1to4-2.1-RR'!$A$12:$BG$111,46,0),"")</f>
        <v>0</v>
      </c>
      <c r="J700" s="54">
        <f>IFERROR(VLOOKUP(F678,'1to4-2.1-RR'!$A$12:$BG$111,47,0),"")</f>
        <v>0</v>
      </c>
      <c r="K700" s="54">
        <f>IFERROR(VLOOKUP(F678,'1to4-2.1-RR'!$A$12:$BG$111,48,0),"")</f>
        <v>28</v>
      </c>
      <c r="L700" s="55">
        <f t="shared" si="24"/>
        <v>29</v>
      </c>
      <c r="M700" s="56" t="str">
        <f>IF(F678&gt;ENTRY!$D$24,"",IF(L700=0,"Ab",IF(L700&gt;80,"A",IF(L700&gt;60,"B",IF(L700&gt;44,"C",IF(L700&gt;=33,"D",IF(L700&lt;=32,"E","")))))))</f>
        <v>E</v>
      </c>
      <c r="N700" s="56"/>
      <c r="O700" s="29"/>
      <c r="P700" s="19"/>
      <c r="Q700" s="14"/>
      <c r="R700" s="11"/>
    </row>
    <row r="701" s="1" customFormat="1" ht="21.95" customHeight="1" spans="1:18">
      <c r="A701" s="7"/>
      <c r="B701" s="12"/>
      <c r="C701" s="33"/>
      <c r="D701" s="117" t="s">
        <v>720</v>
      </c>
      <c r="E701" s="117"/>
      <c r="F701" s="117"/>
      <c r="G701" s="54"/>
      <c r="H701" s="54"/>
      <c r="I701" s="54"/>
      <c r="J701" s="54"/>
      <c r="K701" s="54"/>
      <c r="L701" s="55">
        <f t="shared" si="24"/>
        <v>0</v>
      </c>
      <c r="M701" s="56" t="str">
        <f>IF(F678&gt;ENTRY!$D$24,"",IF(L701=0,"",IF(L701&gt;79,"A",IF(L701&gt;59,"B",IF(L701&gt;44,"C",IF(L701&gt;=33,"D",IF(L701&lt;=32,"E","")))))))</f>
        <v/>
      </c>
      <c r="N701" s="56"/>
      <c r="O701" s="29"/>
      <c r="P701" s="19"/>
      <c r="Q701" s="14"/>
      <c r="R701" s="11"/>
    </row>
    <row r="702" s="1" customFormat="1" ht="21.95" customHeight="1" spans="1:18">
      <c r="A702" s="7"/>
      <c r="B702" s="12"/>
      <c r="C702" s="33"/>
      <c r="D702" s="207" t="s">
        <v>382</v>
      </c>
      <c r="E702" s="207"/>
      <c r="F702" s="207"/>
      <c r="G702" s="54">
        <f t="shared" ref="G702:L702" si="25">IFERROR(SUM(G695:G701),"")</f>
        <v>6</v>
      </c>
      <c r="H702" s="54">
        <f t="shared" si="25"/>
        <v>0</v>
      </c>
      <c r="I702" s="54">
        <f t="shared" si="25"/>
        <v>0</v>
      </c>
      <c r="J702" s="54">
        <f t="shared" si="25"/>
        <v>0</v>
      </c>
      <c r="K702" s="54">
        <f t="shared" si="25"/>
        <v>138</v>
      </c>
      <c r="L702" s="55">
        <f t="shared" si="25"/>
        <v>144</v>
      </c>
      <c r="M702" s="61" t="str">
        <f>IF(F678&gt;ENTRY!$D$24,"",IF(N703="Ab","Ab",IF(N703&gt;79.5,"A",IF(N703&gt;59.5,"B",IF(N703&gt;44.5,"C",IF(N703&gt;=33,"D",IF(N703&lt;33,"E","")))))))</f>
        <v>E</v>
      </c>
      <c r="N702" s="61"/>
      <c r="O702" s="29"/>
      <c r="P702" s="19"/>
      <c r="Q702" s="14"/>
      <c r="R702" s="11"/>
    </row>
    <row r="703" s="1" customFormat="1" ht="21.95" customHeight="1" spans="1:18">
      <c r="A703" s="7"/>
      <c r="B703" s="12"/>
      <c r="C703" s="33"/>
      <c r="D703" s="63" t="s">
        <v>721</v>
      </c>
      <c r="E703" s="63"/>
      <c r="F703" s="63"/>
      <c r="G703" s="63"/>
      <c r="H703" s="63"/>
      <c r="I703" s="63"/>
      <c r="J703" s="63"/>
      <c r="K703" s="63"/>
      <c r="L703" s="63"/>
      <c r="M703" s="209"/>
      <c r="N703" s="64">
        <f>IF(L702="Ab","Ab",L702/6)</f>
        <v>24</v>
      </c>
      <c r="O703" s="65"/>
      <c r="P703" s="19"/>
      <c r="Q703" s="14"/>
      <c r="R703" s="11"/>
    </row>
    <row r="704" s="1" customFormat="1" ht="21.95" customHeight="1" spans="1:18">
      <c r="A704" s="7"/>
      <c r="B704" s="12"/>
      <c r="C704" s="33"/>
      <c r="D704" s="29" t="s">
        <v>716</v>
      </c>
      <c r="E704" s="18" t="str">
        <f>IFERROR(VLOOKUP(F678,'1to4-2.1-RR'!$A$12:$BG$111,57,0),"")</f>
        <v>PROMOTED</v>
      </c>
      <c r="F704" s="18"/>
      <c r="G704" s="18"/>
      <c r="H704" s="18"/>
      <c r="I704" s="18"/>
      <c r="J704" s="18"/>
      <c r="K704" s="18"/>
      <c r="L704" s="18"/>
      <c r="M704" s="18"/>
      <c r="N704" s="29"/>
      <c r="O704" s="29"/>
      <c r="P704" s="19"/>
      <c r="Q704" s="14"/>
      <c r="R704" s="11"/>
    </row>
    <row r="705" s="1" customFormat="1" ht="9.95" customHeight="1" spans="1:19">
      <c r="A705" s="7"/>
      <c r="B705" s="12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1"/>
      <c r="Q705" s="14"/>
      <c r="R705" s="11"/>
    </row>
    <row r="706" s="1" customFormat="1" ht="9.95" customHeight="1" spans="1:19">
      <c r="A706" s="7"/>
      <c r="B706" s="12"/>
      <c r="C706" s="30"/>
      <c r="D706" s="31"/>
      <c r="E706" s="31"/>
      <c r="F706" s="29"/>
      <c r="G706" s="31"/>
      <c r="H706" s="31"/>
      <c r="I706" s="31"/>
      <c r="J706" s="31"/>
      <c r="K706" s="31"/>
      <c r="L706" s="31"/>
      <c r="M706" s="31"/>
      <c r="N706" s="31"/>
      <c r="O706" s="31"/>
      <c r="P706" s="32"/>
      <c r="Q706" s="14"/>
      <c r="R706" s="11"/>
    </row>
    <row r="707" s="1" customFormat="1" ht="9.95" customHeight="1" spans="1:19">
      <c r="A707" s="7"/>
      <c r="B707" s="12"/>
      <c r="C707" s="33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19"/>
      <c r="Q707" s="14"/>
      <c r="R707" s="11"/>
    </row>
    <row r="708" s="1" customFormat="1" ht="9.95" customHeight="1" spans="1:19">
      <c r="A708" s="7"/>
      <c r="B708" s="12"/>
      <c r="C708" s="33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19"/>
      <c r="Q708" s="14"/>
      <c r="R708" s="11"/>
    </row>
    <row r="709" s="1" customFormat="1" ht="21.95" customHeight="1" spans="1:19">
      <c r="A709" s="7"/>
      <c r="B709" s="12"/>
      <c r="C709" s="210"/>
      <c r="D709" s="211"/>
      <c r="E709" s="211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2"/>
      <c r="Q709" s="14"/>
      <c r="R709" s="11"/>
      <c r="S709" s="2"/>
    </row>
    <row r="710" s="1" customFormat="1" ht="21.95" customHeight="1" spans="1:19">
      <c r="A710" s="7"/>
      <c r="B710" s="12"/>
      <c r="C710" s="33"/>
      <c r="D710" s="207" t="s">
        <v>722</v>
      </c>
      <c r="E710" s="207"/>
      <c r="F710" s="207"/>
      <c r="G710" s="207"/>
      <c r="H710" s="54">
        <f>IFERROR(VLOOKUP(F678,PASHEET!$A$4:$CJ$103,88,0),"")</f>
        <v>0</v>
      </c>
      <c r="I710" s="54"/>
      <c r="J710" s="29"/>
      <c r="K710" s="29"/>
      <c r="L710" s="29"/>
      <c r="M710" s="29"/>
      <c r="N710" s="29"/>
      <c r="O710" s="29"/>
      <c r="P710" s="19"/>
      <c r="Q710" s="14"/>
      <c r="R710" s="11"/>
    </row>
    <row r="711" s="1" customFormat="1" ht="21.95" customHeight="1" spans="1:19">
      <c r="A711" s="7"/>
      <c r="B711" s="12"/>
      <c r="C711" s="213"/>
      <c r="D711" s="207" t="s">
        <v>723</v>
      </c>
      <c r="E711" s="207"/>
      <c r="F711" s="207"/>
      <c r="G711" s="207"/>
      <c r="H711" s="54">
        <f>IFERROR(VLOOKUP(F678,PASHEET!$A$4:$CJ$103,87,0),"")</f>
        <v>0</v>
      </c>
      <c r="I711" s="54"/>
      <c r="J711" s="214"/>
      <c r="K711" s="214"/>
      <c r="L711" s="207" t="s">
        <v>724</v>
      </c>
      <c r="M711" s="207"/>
      <c r="N711" s="117" t="str">
        <f>IF(F678&gt;ENTRY!$D$24,"",IF(F678&gt;0,L702&amp;" / "&amp;600,""))</f>
        <v>144 / 600</v>
      </c>
      <c r="O711" s="117"/>
      <c r="P711" s="215"/>
      <c r="Q711" s="14"/>
      <c r="R711" s="11"/>
    </row>
    <row r="712" s="1" customFormat="1" ht="18" customHeight="1" spans="1:19">
      <c r="A712" s="7"/>
      <c r="B712" s="12"/>
      <c r="C712" s="33"/>
      <c r="D712" s="207" t="s">
        <v>725</v>
      </c>
      <c r="E712" s="207"/>
      <c r="F712" s="207"/>
      <c r="G712" s="207"/>
      <c r="H712" s="69" t="str">
        <f>IFERROR(IF(F678&gt;0,H711/H710*100),"")</f>
        <v/>
      </c>
      <c r="I712" s="69"/>
      <c r="J712" s="29"/>
      <c r="K712" s="29"/>
      <c r="L712" s="207" t="s">
        <v>726</v>
      </c>
      <c r="M712" s="207"/>
      <c r="N712" s="216">
        <f>IF(F678&gt;ENTRY!$D$24,"",IF(F678&gt;0,L702/600*100,""))</f>
        <v>24</v>
      </c>
      <c r="O712" s="216"/>
      <c r="P712" s="19"/>
      <c r="Q712" s="14"/>
      <c r="R712" s="11"/>
    </row>
    <row r="713" s="1" customFormat="1" ht="21.95" customHeight="1" spans="1:19">
      <c r="A713" s="7"/>
      <c r="B713" s="12"/>
      <c r="C713" s="33"/>
      <c r="D713" s="80"/>
      <c r="E713" s="80"/>
      <c r="F713" s="217"/>
      <c r="G713" s="217"/>
      <c r="H713" s="217"/>
      <c r="I713" s="217"/>
      <c r="J713" s="217"/>
      <c r="K713" s="217"/>
      <c r="L713" s="217"/>
      <c r="M713" s="217"/>
      <c r="N713" s="80"/>
      <c r="O713" s="80"/>
      <c r="P713" s="19"/>
      <c r="Q713" s="14"/>
      <c r="R713" s="11"/>
    </row>
    <row r="714" s="1" customFormat="1" ht="21.95" customHeight="1" spans="1:19">
      <c r="A714" s="7"/>
      <c r="B714" s="12"/>
      <c r="C714" s="33"/>
      <c r="D714" s="80"/>
      <c r="E714" s="218"/>
      <c r="F714" s="218"/>
      <c r="G714" s="218"/>
      <c r="H714" s="80"/>
      <c r="I714" s="218"/>
      <c r="J714" s="218"/>
      <c r="K714" s="218"/>
      <c r="L714" s="218"/>
      <c r="M714" s="80"/>
      <c r="N714" s="219"/>
      <c r="O714" s="219"/>
      <c r="P714" s="19"/>
      <c r="Q714" s="14"/>
      <c r="R714" s="11"/>
    </row>
    <row r="715" s="1" customFormat="1" ht="21.95" customHeight="1" spans="1:19">
      <c r="A715" s="7"/>
      <c r="B715" s="12"/>
      <c r="C715" s="33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19"/>
      <c r="Q715" s="14"/>
      <c r="R715" s="11"/>
    </row>
    <row r="716" s="1" customFormat="1" ht="21.95" customHeight="1" spans="1:19">
      <c r="A716" s="7"/>
      <c r="B716" s="12"/>
      <c r="C716" s="33"/>
      <c r="D716" s="218"/>
      <c r="E716" s="218"/>
      <c r="F716" s="218"/>
      <c r="G716" s="218"/>
      <c r="H716" s="218"/>
      <c r="I716" s="218"/>
      <c r="J716" s="218"/>
      <c r="K716" s="218"/>
      <c r="L716" s="218"/>
      <c r="M716" s="80"/>
      <c r="N716" s="217"/>
      <c r="O716" s="217"/>
      <c r="P716" s="85" t="s">
        <v>727</v>
      </c>
      <c r="Q716" s="14"/>
      <c r="R716" s="11"/>
    </row>
    <row r="717" s="1" customFormat="1" ht="21.95" customHeight="1" spans="1:19">
      <c r="A717" s="7"/>
      <c r="B717" s="12"/>
      <c r="C717" s="33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19"/>
      <c r="Q717" s="14"/>
      <c r="R717" s="11"/>
    </row>
    <row r="718" s="1" customFormat="1" ht="21.95" customHeight="1" spans="1:19">
      <c r="A718" s="7"/>
      <c r="B718" s="12"/>
      <c r="C718" s="33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19"/>
      <c r="Q718" s="14"/>
      <c r="R718" s="11"/>
    </row>
    <row r="719" s="1" customFormat="1" ht="21.95" customHeight="1" spans="1:19">
      <c r="A719" s="7"/>
      <c r="B719" s="12"/>
      <c r="C719" s="33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19"/>
      <c r="Q719" s="14"/>
      <c r="R719" s="11"/>
    </row>
    <row r="720" s="1" customFormat="1" ht="21.95" customHeight="1" spans="1:19">
      <c r="A720" s="7"/>
      <c r="B720" s="12"/>
      <c r="C720" s="33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19"/>
      <c r="Q720" s="14"/>
      <c r="R720" s="11"/>
    </row>
    <row r="721" s="1" customFormat="1" ht="21.95" customHeight="1" spans="1:18">
      <c r="A721" s="7"/>
      <c r="B721" s="12"/>
      <c r="C721" s="33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19"/>
      <c r="Q721" s="14"/>
      <c r="R721" s="11"/>
    </row>
    <row r="722" s="1" customFormat="1" ht="21.95" customHeight="1" spans="1:18">
      <c r="A722" s="7"/>
      <c r="B722" s="12"/>
      <c r="C722" s="33"/>
      <c r="D722" s="80" t="s">
        <v>728</v>
      </c>
      <c r="E722" s="220">
        <f>ENTRY!$D$27</f>
        <v>46102</v>
      </c>
      <c r="F722" s="220"/>
      <c r="G722" s="29"/>
      <c r="H722" s="29"/>
      <c r="I722" s="221" t="s">
        <v>729</v>
      </c>
      <c r="J722" s="153"/>
      <c r="K722" s="29"/>
      <c r="L722" s="29"/>
      <c r="M722" s="87" t="s">
        <v>730</v>
      </c>
      <c r="N722" s="87"/>
      <c r="O722" s="87"/>
      <c r="P722" s="19"/>
      <c r="Q722" s="14"/>
      <c r="R722" s="11"/>
    </row>
    <row r="723" s="1" customFormat="1" ht="21.95" customHeight="1" spans="1:18">
      <c r="A723" s="7"/>
      <c r="B723" s="12"/>
      <c r="C723" s="33"/>
      <c r="D723" s="80" t="s">
        <v>731</v>
      </c>
      <c r="E723" s="88" t="str">
        <f>PROPER(ENTRY!$D$28)</f>
        <v>New Delhi</v>
      </c>
      <c r="F723" s="88"/>
      <c r="G723" s="29"/>
      <c r="H723" s="29"/>
      <c r="I723" s="153"/>
      <c r="J723" s="153"/>
      <c r="K723" s="29"/>
      <c r="L723" s="29"/>
      <c r="M723" s="79" t="s">
        <v>732</v>
      </c>
      <c r="N723" s="79"/>
      <c r="O723" s="79"/>
      <c r="P723" s="19"/>
      <c r="Q723" s="14"/>
      <c r="R723" s="11"/>
    </row>
    <row r="724" s="1" customFormat="1" ht="21.95" customHeight="1" spans="1:18">
      <c r="A724" s="7"/>
      <c r="B724" s="12"/>
      <c r="C724" s="90"/>
      <c r="D724" s="91"/>
      <c r="E724" s="91"/>
      <c r="F724" s="91"/>
      <c r="G724" s="91"/>
      <c r="H724" s="91"/>
      <c r="I724" s="91"/>
      <c r="J724" s="91"/>
      <c r="K724" s="91"/>
      <c r="L724" s="91"/>
      <c r="M724" s="91"/>
      <c r="N724" s="91"/>
      <c r="O724" s="91"/>
      <c r="P724" s="92"/>
      <c r="Q724" s="14"/>
      <c r="R724" s="11"/>
    </row>
    <row r="725" s="1" customFormat="1" ht="5.1" customHeight="1" spans="1:18">
      <c r="A725" s="7"/>
      <c r="B725" s="90"/>
      <c r="C725" s="91"/>
      <c r="D725" s="91"/>
      <c r="E725" s="91"/>
      <c r="F725" s="91"/>
      <c r="G725" s="91"/>
      <c r="H725" s="91"/>
      <c r="I725" s="91"/>
      <c r="J725" s="91"/>
      <c r="K725" s="91"/>
      <c r="L725" s="91"/>
      <c r="M725" s="91"/>
      <c r="N725" s="91"/>
      <c r="O725" s="91"/>
      <c r="P725" s="91"/>
      <c r="Q725" s="92"/>
      <c r="R725" s="11"/>
    </row>
    <row r="726" s="1" customFormat="1" ht="5.1" customHeight="1" spans="1:18">
      <c r="A726" s="93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5"/>
    </row>
    <row r="727" s="1" customFormat="1" ht="21.95" customHeight="1"/>
    <row r="728" ht="15.15"/>
    <row r="729" s="1" customFormat="1" ht="5.1" customHeight="1" spans="1:18">
      <c r="A729" s="4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6"/>
    </row>
    <row r="730" s="1" customFormat="1" ht="15" customHeight="1" spans="1:18">
      <c r="A730" s="7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0"/>
      <c r="R730" s="11"/>
    </row>
    <row r="731" s="1" customFormat="1" ht="21.95" customHeight="1" spans="1:18">
      <c r="A731" s="7"/>
      <c r="B731" s="12"/>
      <c r="C731" s="13" t="s">
        <v>7</v>
      </c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4"/>
      <c r="R731" s="11"/>
    </row>
    <row r="732" s="1" customFormat="1" ht="21.95" customHeight="1" spans="1:18">
      <c r="A732" s="7"/>
      <c r="B732" s="1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14"/>
      <c r="R732" s="11"/>
    </row>
    <row r="733" s="1" customFormat="1" ht="21.95" customHeight="1" spans="1:18">
      <c r="A733" s="7"/>
      <c r="B733" s="12"/>
      <c r="C733" s="15" t="str">
        <f>"SESSION-"&amp;ENTRY!$D$11</f>
        <v>SESSION-2026-27</v>
      </c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4"/>
      <c r="R733" s="11"/>
    </row>
    <row r="734" s="1" customFormat="1" ht="21.95" customHeight="1" spans="1:18">
      <c r="A734" s="7"/>
      <c r="B734" s="12"/>
      <c r="C734" s="2"/>
      <c r="D734" s="2"/>
      <c r="E734" s="2"/>
      <c r="F734" s="16">
        <f>F678+1</f>
        <v>14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14"/>
      <c r="R734" s="11"/>
    </row>
    <row r="735" s="1" customFormat="1" ht="21.95" customHeight="1" spans="1:18">
      <c r="A735" s="7"/>
      <c r="B735" s="12"/>
      <c r="C735" s="17" t="s">
        <v>392</v>
      </c>
      <c r="D735" s="17"/>
      <c r="E735" s="17"/>
      <c r="F735" s="18" t="str">
        <f>IF(F734&gt;0,ENTRY!$D$6,"")</f>
        <v>MCP NITHARI NO 1 BOYS</v>
      </c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4"/>
      <c r="R735" s="11"/>
    </row>
    <row r="736" s="1" customFormat="1" ht="21.95" customHeight="1" spans="1:18">
      <c r="A736" s="7"/>
      <c r="B736" s="12"/>
      <c r="C736" s="17" t="s">
        <v>393</v>
      </c>
      <c r="D736" s="17"/>
      <c r="E736" s="17"/>
      <c r="F736" s="18">
        <f>IF(F734&gt;0,ENTRY!$D$7,"")</f>
        <v>0</v>
      </c>
      <c r="G736" s="18"/>
      <c r="H736" s="20" t="s">
        <v>702</v>
      </c>
      <c r="I736" s="20"/>
      <c r="J736" s="21">
        <f>IF(F734&gt;0,ENTRY!$D$10,"")</f>
        <v>40</v>
      </c>
      <c r="K736" s="20" t="s">
        <v>703</v>
      </c>
      <c r="L736" s="22" t="str">
        <f>IF(F734&gt;0,ENTRY!$D$5,"")</f>
        <v>ROHINI ZONE</v>
      </c>
      <c r="M736" s="22"/>
      <c r="N736" s="22"/>
      <c r="O736" s="22"/>
      <c r="P736" s="22"/>
      <c r="Q736" s="14"/>
      <c r="R736" s="11"/>
    </row>
    <row r="737" s="1" customFormat="1" ht="21.95" customHeight="1" spans="1:18">
      <c r="A737" s="7"/>
      <c r="B737" s="12"/>
      <c r="C737" s="17" t="s">
        <v>706</v>
      </c>
      <c r="D737" s="17"/>
      <c r="E737" s="17"/>
      <c r="F737" s="23" t="str">
        <f>IFERROR(VLOOKUP(F734,STUDENT!$A$2:$BP$101,5,0),"")</f>
        <v>KARN KUMAR</v>
      </c>
      <c r="G737" s="23"/>
      <c r="H737" s="23"/>
      <c r="I737" s="23"/>
      <c r="J737" s="23"/>
      <c r="K737" s="23"/>
      <c r="L737" s="20" t="s">
        <v>707</v>
      </c>
      <c r="M737" s="20"/>
      <c r="N737" s="24" t="str">
        <f>IF(F734&gt;0,ENTRY!$D$20&amp;"-"&amp;ENTRY!$D$21,"")</f>
        <v>III-A</v>
      </c>
      <c r="O737" s="24"/>
      <c r="P737" s="24"/>
      <c r="Q737" s="14"/>
      <c r="R737" s="11"/>
    </row>
    <row r="738" s="1" customFormat="1" ht="21.95" customHeight="1" spans="1:18">
      <c r="A738" s="7"/>
      <c r="B738" s="12"/>
      <c r="C738" s="17" t="s">
        <v>708</v>
      </c>
      <c r="D738" s="17"/>
      <c r="E738" s="17"/>
      <c r="F738" s="25">
        <f>IFERROR(VLOOKUP(F734,STUDENT!$A$2:$BP$101,6,0),"")</f>
        <v>14745</v>
      </c>
      <c r="G738" s="25"/>
      <c r="H738" s="26" t="s">
        <v>709</v>
      </c>
      <c r="I738" s="27" t="str">
        <f>IFERROR(VLOOKUP(F734,STUDENT!$A$2:$BP$101,59,0),"")</f>
        <v/>
      </c>
      <c r="J738" s="27"/>
      <c r="K738" s="20" t="s">
        <v>710</v>
      </c>
      <c r="L738" s="20"/>
      <c r="M738" s="28">
        <f>IFERROR(VLOOKUP(F734,STUDENT!$A$2:$BP$101,20,0),"")</f>
        <v>8595365124</v>
      </c>
      <c r="N738" s="28"/>
      <c r="O738" s="28"/>
      <c r="P738" s="28"/>
      <c r="Q738" s="14"/>
      <c r="R738" s="11"/>
    </row>
    <row r="739" s="1" customFormat="1" ht="21.95" customHeight="1" spans="1:18">
      <c r="A739" s="7"/>
      <c r="B739" s="12"/>
      <c r="C739" s="17" t="s">
        <v>711</v>
      </c>
      <c r="D739" s="17"/>
      <c r="E739" s="17"/>
      <c r="F739" s="23" t="str">
        <f>IFERROR(VLOOKUP(F734,STUDENT!$A$2:$BP$101,9,0),"")</f>
        <v>RAGINI DEVI</v>
      </c>
      <c r="G739" s="23"/>
      <c r="H739" s="23"/>
      <c r="I739" s="23"/>
      <c r="J739" s="17" t="s">
        <v>620</v>
      </c>
      <c r="K739" s="17"/>
      <c r="L739" s="23" t="str">
        <f>IFERROR(VLOOKUP(F734,STUDENT!$A$2:$BP$101,8,0),"")</f>
        <v>MUKESH RAY</v>
      </c>
      <c r="M739" s="23"/>
      <c r="N739" s="23"/>
      <c r="O739" s="23"/>
      <c r="P739" s="23"/>
      <c r="Q739" s="14"/>
      <c r="R739" s="11"/>
    </row>
    <row r="740" s="1" customFormat="1" ht="21.95" customHeight="1" spans="1:18">
      <c r="A740" s="7"/>
      <c r="B740" s="12"/>
      <c r="C740" s="17" t="s">
        <v>712</v>
      </c>
      <c r="D740" s="17"/>
      <c r="E740" s="17"/>
      <c r="F740" s="23" t="str">
        <f>IFERROR(VLOOKUP(F734,STUDENT!$A$2:$BP$101,22,0),"")</f>
        <v>B-309,BALJEET VIHAR,KIRARI,DELHI</v>
      </c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14"/>
      <c r="R740" s="11"/>
    </row>
    <row r="741" s="1" customFormat="1" ht="9.95" customHeight="1" spans="1:18">
      <c r="A741" s="7"/>
      <c r="B741" s="12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14"/>
      <c r="R741" s="11"/>
    </row>
    <row r="742" s="1" customFormat="1" ht="9.95" customHeight="1" spans="1:18">
      <c r="A742" s="7"/>
      <c r="B742" s="12"/>
      <c r="C742" s="30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2"/>
      <c r="Q742" s="14"/>
      <c r="R742" s="11"/>
    </row>
    <row r="743" s="1" customFormat="1" ht="21.95" customHeight="1" spans="1:18">
      <c r="A743" s="7"/>
      <c r="B743" s="12"/>
      <c r="C743" s="33"/>
      <c r="D743" s="34" t="s">
        <v>713</v>
      </c>
      <c r="E743" s="20" t="s">
        <v>714</v>
      </c>
      <c r="F743" s="35" t="str">
        <f>"Level - "&amp;IFERROR(VLOOKUP(F734,FLN!$A$4:$K$103,9,0),"")</f>
        <v>Level - 2</v>
      </c>
      <c r="G743" s="36"/>
      <c r="H743" s="37" t="s">
        <v>715</v>
      </c>
      <c r="I743" s="20"/>
      <c r="J743" s="35" t="str">
        <f>"Level - "&amp;IFERROR(VLOOKUP(F734,FLN!$A$4:$K$103,11,0),"")</f>
        <v>Level - 3</v>
      </c>
      <c r="K743" s="36"/>
      <c r="L743" s="37" t="s">
        <v>408</v>
      </c>
      <c r="M743" s="20"/>
      <c r="N743" s="35" t="str">
        <f>"Level - "&amp;IFERROR(VLOOKUP(F734,FLN!$A$4:$K$103,10,0),"")</f>
        <v>Level - 2</v>
      </c>
      <c r="O743" s="36"/>
      <c r="P743" s="19"/>
      <c r="Q743" s="14"/>
      <c r="R743" s="11"/>
    </row>
    <row r="744" s="1" customFormat="1" ht="21.95" customHeight="1" spans="1:18">
      <c r="A744" s="7"/>
      <c r="B744" s="12"/>
      <c r="C744" s="33"/>
      <c r="D744" s="38"/>
      <c r="E744" s="20" t="s">
        <v>716</v>
      </c>
      <c r="F744" s="18" t="str">
        <f>IF(L758&gt;197,"PERFORMED WELL","")</f>
        <v/>
      </c>
      <c r="G744" s="18"/>
      <c r="H744" s="18"/>
      <c r="I744" s="18"/>
      <c r="J744" s="18"/>
      <c r="K744" s="18"/>
      <c r="L744" s="18"/>
      <c r="M744" s="18"/>
      <c r="N744" s="18"/>
      <c r="O744" s="18"/>
      <c r="P744" s="19"/>
      <c r="Q744" s="14"/>
      <c r="R744" s="11"/>
    </row>
    <row r="745" s="1" customFormat="1" ht="9.95" customHeight="1" spans="1:18">
      <c r="A745" s="7"/>
      <c r="B745" s="12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1"/>
      <c r="Q745" s="14"/>
      <c r="R745" s="11"/>
    </row>
    <row r="746" s="1" customFormat="1" ht="9.95" customHeight="1" spans="1:18">
      <c r="A746" s="7"/>
      <c r="B746" s="12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14"/>
      <c r="R746" s="11"/>
    </row>
    <row r="747" s="1" customFormat="1" ht="9.95" customHeight="1" spans="1:18">
      <c r="A747" s="7"/>
      <c r="B747" s="12"/>
      <c r="C747" s="30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2"/>
      <c r="Q747" s="14"/>
      <c r="R747" s="11"/>
    </row>
    <row r="748" s="1" customFormat="1" ht="21.95" customHeight="1" spans="1:18">
      <c r="A748" s="7"/>
      <c r="B748" s="12"/>
      <c r="C748" s="33"/>
      <c r="D748" s="35"/>
      <c r="E748" s="24"/>
      <c r="F748" s="24"/>
      <c r="G748" s="47" t="s">
        <v>717</v>
      </c>
      <c r="H748" s="47"/>
      <c r="I748" s="47"/>
      <c r="J748" s="47"/>
      <c r="K748" s="47"/>
      <c r="L748" s="47"/>
      <c r="M748" s="47"/>
      <c r="N748" s="47"/>
      <c r="O748" s="29"/>
      <c r="P748" s="19"/>
      <c r="Q748" s="14"/>
      <c r="R748" s="11"/>
    </row>
    <row r="749" s="1" customFormat="1" ht="21.95" customHeight="1" spans="1:18">
      <c r="A749" s="7"/>
      <c r="B749" s="12"/>
      <c r="C749" s="33"/>
      <c r="D749" s="47"/>
      <c r="E749" s="47"/>
      <c r="F749" s="47"/>
      <c r="G749" s="47" t="s">
        <v>541</v>
      </c>
      <c r="H749" s="47" t="s">
        <v>542</v>
      </c>
      <c r="I749" s="47" t="s">
        <v>543</v>
      </c>
      <c r="J749" s="47" t="s">
        <v>544</v>
      </c>
      <c r="K749" s="47" t="s">
        <v>561</v>
      </c>
      <c r="L749" s="47" t="s">
        <v>382</v>
      </c>
      <c r="M749" s="49" t="s">
        <v>546</v>
      </c>
      <c r="N749" s="49"/>
      <c r="O749" s="29"/>
      <c r="P749" s="19"/>
      <c r="Q749" s="14"/>
      <c r="R749" s="11"/>
    </row>
    <row r="750" s="1" customFormat="1" ht="21.95" customHeight="1" spans="1:18">
      <c r="A750" s="7"/>
      <c r="B750" s="12"/>
      <c r="C750" s="33"/>
      <c r="D750" s="207" t="s">
        <v>652</v>
      </c>
      <c r="E750" s="207"/>
      <c r="F750" s="207"/>
      <c r="G750" s="50">
        <v>10</v>
      </c>
      <c r="H750" s="50">
        <v>10</v>
      </c>
      <c r="I750" s="50">
        <v>10</v>
      </c>
      <c r="J750" s="50">
        <v>10</v>
      </c>
      <c r="K750" s="50">
        <v>60</v>
      </c>
      <c r="L750" s="50">
        <v>100</v>
      </c>
      <c r="M750" s="49"/>
      <c r="N750" s="49"/>
      <c r="O750" s="29"/>
      <c r="P750" s="19"/>
      <c r="Q750" s="14"/>
      <c r="R750" s="11"/>
    </row>
    <row r="751" s="1" customFormat="1" ht="21.95" customHeight="1" spans="1:18">
      <c r="A751" s="7"/>
      <c r="B751" s="12"/>
      <c r="C751" s="33"/>
      <c r="D751" s="117" t="s">
        <v>668</v>
      </c>
      <c r="E751" s="117"/>
      <c r="F751" s="117"/>
      <c r="G751" s="54">
        <f>IFERROR(VLOOKUP(F734,'1to4-2.1-RR'!$A$12:$BG$111,9,0),"")</f>
        <v>1</v>
      </c>
      <c r="H751" s="54">
        <f>IFERROR(VLOOKUP(F734,'1to4-2.1-RR'!$A$12:$BG$111,10,0),"")</f>
        <v>0</v>
      </c>
      <c r="I751" s="54">
        <f>IFERROR(VLOOKUP(F734,'1to4-2.1-RR'!$A$12:$BG$111,11,0),"")</f>
        <v>0</v>
      </c>
      <c r="J751" s="54">
        <f>IFERROR(VLOOKUP(F734,'1to4-2.1-RR'!$A$12:$BG$111,12,0),"")</f>
        <v>0</v>
      </c>
      <c r="K751" s="54">
        <f>IFERROR(VLOOKUP(F734,'1to4-2.1-RR'!$A$12:$BG$111,13,0),"")</f>
        <v>31</v>
      </c>
      <c r="L751" s="55">
        <f>SUM(G751:K751)</f>
        <v>32</v>
      </c>
      <c r="M751" s="56" t="str">
        <f>IF(F734&gt;ENTRY!$D$24,"",IF(L751=0,"Ab",IF(L751&gt;80,"A",IF(L751&gt;60,"B",IF(L751&gt;44,"C",IF(L751&gt;=33,"D",IF(L751&lt;=32,"E","")))))))</f>
        <v>E</v>
      </c>
      <c r="N751" s="56"/>
      <c r="O751" s="29"/>
      <c r="P751" s="19"/>
      <c r="Q751" s="14"/>
      <c r="R751" s="11"/>
    </row>
    <row r="752" s="1" customFormat="1" ht="21.95" customHeight="1" spans="1:18">
      <c r="A752" s="7"/>
      <c r="B752" s="12"/>
      <c r="C752" s="33"/>
      <c r="D752" s="117" t="s">
        <v>513</v>
      </c>
      <c r="E752" s="117"/>
      <c r="F752" s="117"/>
      <c r="G752" s="54">
        <f>IFERROR(VLOOKUP(F734,'1to4-2.1-RR'!$A$12:$BG$111,16,0),"")</f>
        <v>1</v>
      </c>
      <c r="H752" s="54">
        <f>IFERROR(VLOOKUP(F734,'1to4-2.1-RR'!$A$12:$BG$111,17,0),"")</f>
        <v>0</v>
      </c>
      <c r="I752" s="54">
        <f>IFERROR(VLOOKUP(F734,'1to4-2.1-RR'!$A$12:$BG$111,18,0),"")</f>
        <v>0</v>
      </c>
      <c r="J752" s="54">
        <f>IFERROR(VLOOKUP(F734,'1to4-2.1-RR'!$A$12:$BG$111,19,0),"")</f>
        <v>0</v>
      </c>
      <c r="K752" s="54">
        <f>IFERROR(VLOOKUP(F734,'1to4-2.1-RR'!$A$12:$BG$111,20,0),"")</f>
        <v>15</v>
      </c>
      <c r="L752" s="55">
        <f t="shared" ref="L752:L757" si="26">SUM(G752:K752)</f>
        <v>16</v>
      </c>
      <c r="M752" s="56" t="str">
        <f>IF(F734&gt;ENTRY!$D$24,"",IF(L752=0,"Ab",IF(L752&gt;80,"A",IF(L752&gt;60,"B",IF(L752&gt;44,"C",IF(L752&gt;=33,"D",IF(L752&lt;=32,"E","")))))))</f>
        <v>E</v>
      </c>
      <c r="N752" s="56"/>
      <c r="O752" s="29"/>
      <c r="P752" s="19"/>
      <c r="Q752" s="14"/>
      <c r="R752" s="11"/>
    </row>
    <row r="753" s="1" customFormat="1" ht="21.95" customHeight="1" spans="1:19">
      <c r="A753" s="7"/>
      <c r="B753" s="12"/>
      <c r="C753" s="33"/>
      <c r="D753" s="117" t="s">
        <v>718</v>
      </c>
      <c r="E753" s="117"/>
      <c r="F753" s="117"/>
      <c r="G753" s="54">
        <f>IFERROR(VLOOKUP(F734,'1to4-2.1-RR'!$A$12:$BG$111,23,0),"")</f>
        <v>1</v>
      </c>
      <c r="H753" s="54">
        <f>IFERROR(VLOOKUP(F734,'1to4-2.1-RR'!$A$12:$BG$111,24,0),"")</f>
        <v>0</v>
      </c>
      <c r="I753" s="54">
        <f>IFERROR(VLOOKUP(F734,'1to4-2.1-RR'!$A$12:$BG$111,25,0),"")</f>
        <v>0</v>
      </c>
      <c r="J753" s="54">
        <f>IFERROR(VLOOKUP(F734,'1to4-2.1-RR'!$A$12:$BG$111,26,0),"")</f>
        <v>0</v>
      </c>
      <c r="K753" s="54">
        <f>IFERROR(VLOOKUP(F734,'1to4-2.1-RR'!$A$12:$BG$111,27,0),"")</f>
        <v>15</v>
      </c>
      <c r="L753" s="55">
        <f t="shared" si="26"/>
        <v>16</v>
      </c>
      <c r="M753" s="56" t="str">
        <f>IF(F734&gt;ENTRY!$D$24,"",IF(L753=0,"Ab",IF(L753&gt;80,"A",IF(L753&gt;60,"B",IF(L753&gt;44,"C",IF(L753&gt;=33,"D",IF(L753&lt;=32,"E","")))))))</f>
        <v>E</v>
      </c>
      <c r="N753" s="56"/>
      <c r="O753" s="29"/>
      <c r="P753" s="19"/>
      <c r="Q753" s="14"/>
      <c r="R753" s="11"/>
    </row>
    <row r="754" s="1" customFormat="1" ht="21.95" customHeight="1" spans="1:19">
      <c r="A754" s="7"/>
      <c r="B754" s="12"/>
      <c r="C754" s="33"/>
      <c r="D754" s="117" t="s">
        <v>719</v>
      </c>
      <c r="E754" s="117"/>
      <c r="F754" s="117"/>
      <c r="G754" s="54">
        <f>IFERROR(VLOOKUP(F734,'1to4-2.1-RR'!$A$12:$BG$111,30,0),"")</f>
        <v>1</v>
      </c>
      <c r="H754" s="54">
        <f>IFERROR(VLOOKUP(F734,'1to4-2.1-RR'!$A$12:$BG$111,31,0),"")</f>
        <v>0</v>
      </c>
      <c r="I754" s="54">
        <f>IFERROR(VLOOKUP(F734,'1to4-2.1-RR'!$A$12:$BG$111,32,0),"")</f>
        <v>0</v>
      </c>
      <c r="J754" s="54">
        <f>IFERROR(VLOOKUP(F734,'1to4-2.1-RR'!$A$12:$BG$111,33,0),"")</f>
        <v>0</v>
      </c>
      <c r="K754" s="54">
        <f>IFERROR(VLOOKUP(F734,'1to4-2.1-RR'!$A$12:$BG$111,34,0),"")</f>
        <v>20</v>
      </c>
      <c r="L754" s="55">
        <f t="shared" si="26"/>
        <v>21</v>
      </c>
      <c r="M754" s="56" t="str">
        <f>IF(F734&gt;ENTRY!$D$24,"",IF(L754=0,"Ab",IF(L754&gt;80,"A",IF(L754&gt;60,"B",IF(L754&gt;44,"C",IF(L754&gt;=33,"D",IF(L754&lt;=32,"E","")))))))</f>
        <v>E</v>
      </c>
      <c r="N754" s="56"/>
      <c r="O754" s="29"/>
      <c r="P754" s="19"/>
      <c r="Q754" s="14"/>
      <c r="R754" s="11"/>
    </row>
    <row r="755" s="1" customFormat="1" ht="21.95" customHeight="1" spans="1:19">
      <c r="A755" s="7"/>
      <c r="B755" s="12"/>
      <c r="C755" s="33"/>
      <c r="D755" s="117" t="s">
        <v>548</v>
      </c>
      <c r="E755" s="117"/>
      <c r="F755" s="117"/>
      <c r="G755" s="54">
        <f>IFERROR(VLOOKUP(F734,'1to4-2.1-RR'!$A$12:$BG$111,37,0),"")</f>
        <v>0</v>
      </c>
      <c r="H755" s="54">
        <f>IFERROR(VLOOKUP(F734,'1to4-2.1-RR'!$A$12:$BG$111,38,0),"")</f>
        <v>0</v>
      </c>
      <c r="I755" s="54">
        <f>IFERROR(VLOOKUP(F734,'1to4-2.1-RR'!$A$12:$BG$111,39,0),"")</f>
        <v>0</v>
      </c>
      <c r="J755" s="54">
        <f>IFERROR(VLOOKUP(F734,'1to4-2.1-RR'!$A$12:$BG$111,40,0),"")</f>
        <v>0</v>
      </c>
      <c r="K755" s="54">
        <f>IFERROR(VLOOKUP(F734,'1to4-2.1-RR'!$A$12:$BG$111,41,0),"")</f>
        <v>21</v>
      </c>
      <c r="L755" s="55">
        <f t="shared" si="26"/>
        <v>21</v>
      </c>
      <c r="M755" s="56" t="str">
        <f>IF(F734&gt;ENTRY!$D$24,"",IF(L755=0,"Ab",IF(L755&gt;80,"A",IF(L755&gt;60,"B",IF(L755&gt;44,"C",IF(L755&gt;=33,"D",IF(L755&lt;=32,"E","")))))))</f>
        <v>E</v>
      </c>
      <c r="N755" s="56"/>
      <c r="O755" s="29"/>
      <c r="P755" s="19"/>
      <c r="Q755" s="14"/>
      <c r="R755" s="11"/>
    </row>
    <row r="756" s="1" customFormat="1" ht="21.95" customHeight="1" spans="1:19">
      <c r="A756" s="7"/>
      <c r="B756" s="12"/>
      <c r="C756" s="33"/>
      <c r="D756" s="117" t="s">
        <v>549</v>
      </c>
      <c r="E756" s="117"/>
      <c r="F756" s="117"/>
      <c r="G756" s="54">
        <f>IFERROR(VLOOKUP(F734,'1to4-2.1-RR'!$A$12:$BG$111,44,0),"")</f>
        <v>2</v>
      </c>
      <c r="H756" s="54">
        <f>IFERROR(VLOOKUP(F734,'1to4-2.1-RR'!$A$12:$BG$111,45,0),"")</f>
        <v>0</v>
      </c>
      <c r="I756" s="54">
        <f>IFERROR(VLOOKUP(F734,'1to4-2.1-RR'!$A$12:$BG$111,46,0),"")</f>
        <v>0</v>
      </c>
      <c r="J756" s="54">
        <f>IFERROR(VLOOKUP(F734,'1to4-2.1-RR'!$A$12:$BG$111,47,0),"")</f>
        <v>0</v>
      </c>
      <c r="K756" s="54">
        <f>IFERROR(VLOOKUP(F734,'1to4-2.1-RR'!$A$12:$BG$111,48,0),"")</f>
        <v>25</v>
      </c>
      <c r="L756" s="55">
        <f t="shared" si="26"/>
        <v>27</v>
      </c>
      <c r="M756" s="56" t="str">
        <f>IF(F734&gt;ENTRY!$D$24,"",IF(L756=0,"Ab",IF(L756&gt;80,"A",IF(L756&gt;60,"B",IF(L756&gt;44,"C",IF(L756&gt;=33,"D",IF(L756&lt;=32,"E","")))))))</f>
        <v>E</v>
      </c>
      <c r="N756" s="56"/>
      <c r="O756" s="29"/>
      <c r="P756" s="19"/>
      <c r="Q756" s="14"/>
      <c r="R756" s="11"/>
    </row>
    <row r="757" s="1" customFormat="1" ht="21.95" customHeight="1" spans="1:19">
      <c r="A757" s="7"/>
      <c r="B757" s="12"/>
      <c r="C757" s="33"/>
      <c r="D757" s="117" t="s">
        <v>720</v>
      </c>
      <c r="E757" s="117"/>
      <c r="F757" s="117"/>
      <c r="G757" s="54"/>
      <c r="H757" s="54"/>
      <c r="I757" s="54"/>
      <c r="J757" s="54"/>
      <c r="K757" s="54"/>
      <c r="L757" s="55">
        <f t="shared" si="26"/>
        <v>0</v>
      </c>
      <c r="M757" s="56" t="str">
        <f>IF(F734&gt;ENTRY!$D$24,"",IF(L757=0,"",IF(L757&gt;79,"A",IF(L757&gt;59,"B",IF(L757&gt;44,"C",IF(L757&gt;=33,"D",IF(L757&lt;=32,"E","")))))))</f>
        <v/>
      </c>
      <c r="N757" s="56"/>
      <c r="O757" s="29"/>
      <c r="P757" s="19"/>
      <c r="Q757" s="14"/>
      <c r="R757" s="11"/>
    </row>
    <row r="758" s="1" customFormat="1" ht="21.95" customHeight="1" spans="1:19">
      <c r="A758" s="7"/>
      <c r="B758" s="12"/>
      <c r="C758" s="33"/>
      <c r="D758" s="207" t="s">
        <v>382</v>
      </c>
      <c r="E758" s="207"/>
      <c r="F758" s="207"/>
      <c r="G758" s="54">
        <f t="shared" ref="G758:L758" si="27">IFERROR(SUM(G751:G757),"")</f>
        <v>6</v>
      </c>
      <c r="H758" s="54">
        <f t="shared" si="27"/>
        <v>0</v>
      </c>
      <c r="I758" s="54">
        <f t="shared" si="27"/>
        <v>0</v>
      </c>
      <c r="J758" s="54">
        <f t="shared" si="27"/>
        <v>0</v>
      </c>
      <c r="K758" s="54">
        <f t="shared" si="27"/>
        <v>127</v>
      </c>
      <c r="L758" s="55">
        <f t="shared" si="27"/>
        <v>133</v>
      </c>
      <c r="M758" s="61" t="str">
        <f>IF(F734&gt;ENTRY!$D$24,"",IF(N759="Ab","Ab",IF(N759&gt;79.5,"A",IF(N759&gt;59.5,"B",IF(N759&gt;44.5,"C",IF(N759&gt;=33,"D",IF(N759&lt;33,"E","")))))))</f>
        <v>E</v>
      </c>
      <c r="N758" s="61"/>
      <c r="O758" s="29"/>
      <c r="P758" s="19"/>
      <c r="Q758" s="14"/>
      <c r="R758" s="11"/>
    </row>
    <row r="759" s="1" customFormat="1" ht="21.95" customHeight="1" spans="1:19">
      <c r="A759" s="7"/>
      <c r="B759" s="12"/>
      <c r="C759" s="33"/>
      <c r="D759" s="63" t="s">
        <v>721</v>
      </c>
      <c r="E759" s="63"/>
      <c r="F759" s="63"/>
      <c r="G759" s="63"/>
      <c r="H759" s="63"/>
      <c r="I759" s="63"/>
      <c r="J759" s="63"/>
      <c r="K759" s="63"/>
      <c r="L759" s="63"/>
      <c r="M759" s="209"/>
      <c r="N759" s="64">
        <f>IF(L758="Ab","Ab",L758/6)</f>
        <v>22.1666666666667</v>
      </c>
      <c r="O759" s="65"/>
      <c r="P759" s="19"/>
      <c r="Q759" s="14"/>
      <c r="R759" s="11"/>
    </row>
    <row r="760" s="1" customFormat="1" ht="21.95" customHeight="1" spans="1:19">
      <c r="A760" s="7"/>
      <c r="B760" s="12"/>
      <c r="C760" s="33"/>
      <c r="D760" s="29" t="s">
        <v>716</v>
      </c>
      <c r="E760" s="18" t="str">
        <f>IFERROR(VLOOKUP(F734,'1to4-2.1-RR'!$A$12:$BG$111,57,0),"")</f>
        <v>PROMOTED</v>
      </c>
      <c r="F760" s="18"/>
      <c r="G760" s="18"/>
      <c r="H760" s="18"/>
      <c r="I760" s="18"/>
      <c r="J760" s="18"/>
      <c r="K760" s="18"/>
      <c r="L760" s="18"/>
      <c r="M760" s="18"/>
      <c r="N760" s="29"/>
      <c r="O760" s="29"/>
      <c r="P760" s="19"/>
      <c r="Q760" s="14"/>
      <c r="R760" s="11"/>
    </row>
    <row r="761" s="1" customFormat="1" ht="9.95" customHeight="1" spans="1:19">
      <c r="A761" s="7"/>
      <c r="B761" s="12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1"/>
      <c r="Q761" s="14"/>
      <c r="R761" s="11"/>
    </row>
    <row r="762" s="1" customFormat="1" ht="9.95" customHeight="1" spans="1:19">
      <c r="A762" s="7"/>
      <c r="B762" s="12"/>
      <c r="C762" s="30"/>
      <c r="D762" s="31"/>
      <c r="E762" s="31"/>
      <c r="F762" s="29"/>
      <c r="G762" s="31"/>
      <c r="H762" s="31"/>
      <c r="I762" s="31"/>
      <c r="J762" s="31"/>
      <c r="K762" s="31"/>
      <c r="L762" s="31"/>
      <c r="M762" s="31"/>
      <c r="N762" s="31"/>
      <c r="O762" s="31"/>
      <c r="P762" s="32"/>
      <c r="Q762" s="14"/>
      <c r="R762" s="11"/>
    </row>
    <row r="763" s="1" customFormat="1" ht="9.95" customHeight="1" spans="1:19">
      <c r="A763" s="7"/>
      <c r="B763" s="12"/>
      <c r="C763" s="33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19"/>
      <c r="Q763" s="14"/>
      <c r="R763" s="11"/>
    </row>
    <row r="764" s="1" customFormat="1" ht="9.95" customHeight="1" spans="1:19">
      <c r="A764" s="7"/>
      <c r="B764" s="12"/>
      <c r="C764" s="33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19"/>
      <c r="Q764" s="14"/>
      <c r="R764" s="11"/>
    </row>
    <row r="765" s="1" customFormat="1" ht="21.95" customHeight="1" spans="1:19">
      <c r="A765" s="7"/>
      <c r="B765" s="12"/>
      <c r="C765" s="210"/>
      <c r="D765" s="211"/>
      <c r="E765" s="211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2"/>
      <c r="Q765" s="14"/>
      <c r="R765" s="11"/>
      <c r="S765" s="2"/>
    </row>
    <row r="766" s="1" customFormat="1" ht="21.95" customHeight="1" spans="1:19">
      <c r="A766" s="7"/>
      <c r="B766" s="12"/>
      <c r="C766" s="33"/>
      <c r="D766" s="207" t="s">
        <v>722</v>
      </c>
      <c r="E766" s="207"/>
      <c r="F766" s="207"/>
      <c r="G766" s="207"/>
      <c r="H766" s="54">
        <f>IFERROR(VLOOKUP(F734,PASHEET!$A$4:$CJ$103,88,0),"")</f>
        <v>0</v>
      </c>
      <c r="I766" s="54"/>
      <c r="J766" s="29"/>
      <c r="K766" s="29"/>
      <c r="L766" s="29"/>
      <c r="M766" s="29"/>
      <c r="N766" s="29"/>
      <c r="O766" s="29"/>
      <c r="P766" s="19"/>
      <c r="Q766" s="14"/>
      <c r="R766" s="11"/>
    </row>
    <row r="767" s="1" customFormat="1" ht="21.95" customHeight="1" spans="1:19">
      <c r="A767" s="7"/>
      <c r="B767" s="12"/>
      <c r="C767" s="213"/>
      <c r="D767" s="207" t="s">
        <v>723</v>
      </c>
      <c r="E767" s="207"/>
      <c r="F767" s="207"/>
      <c r="G767" s="207"/>
      <c r="H767" s="54">
        <f>IFERROR(VLOOKUP(F734,PASHEET!$A$4:$CJ$103,87,0),"")</f>
        <v>0</v>
      </c>
      <c r="I767" s="54"/>
      <c r="J767" s="214"/>
      <c r="K767" s="214"/>
      <c r="L767" s="207" t="s">
        <v>724</v>
      </c>
      <c r="M767" s="207"/>
      <c r="N767" s="117" t="str">
        <f>IF(F734&gt;ENTRY!$D$24,"",IF(F734&gt;0,L758&amp;" / "&amp;600,""))</f>
        <v>133 / 600</v>
      </c>
      <c r="O767" s="117"/>
      <c r="P767" s="215"/>
      <c r="Q767" s="14"/>
      <c r="R767" s="11"/>
    </row>
    <row r="768" s="1" customFormat="1" ht="18" customHeight="1" spans="1:19">
      <c r="A768" s="7"/>
      <c r="B768" s="12"/>
      <c r="C768" s="33"/>
      <c r="D768" s="207" t="s">
        <v>725</v>
      </c>
      <c r="E768" s="207"/>
      <c r="F768" s="207"/>
      <c r="G768" s="207"/>
      <c r="H768" s="69" t="str">
        <f>IFERROR(IF(F734&gt;0,H767/H766*100),"")</f>
        <v/>
      </c>
      <c r="I768" s="69"/>
      <c r="J768" s="29"/>
      <c r="K768" s="29"/>
      <c r="L768" s="207" t="s">
        <v>726</v>
      </c>
      <c r="M768" s="207"/>
      <c r="N768" s="216">
        <f>IF(F734&gt;ENTRY!$D$24,"",IF(F734&gt;0,L758/600*100,""))</f>
        <v>22.1666666666667</v>
      </c>
      <c r="O768" s="216"/>
      <c r="P768" s="19"/>
      <c r="Q768" s="14"/>
      <c r="R768" s="11"/>
    </row>
    <row r="769" s="1" customFormat="1" ht="21.95" customHeight="1" spans="1:18">
      <c r="A769" s="7"/>
      <c r="B769" s="12"/>
      <c r="C769" s="33"/>
      <c r="D769" s="80"/>
      <c r="E769" s="80"/>
      <c r="F769" s="217"/>
      <c r="G769" s="217"/>
      <c r="H769" s="217"/>
      <c r="I769" s="217"/>
      <c r="J769" s="217"/>
      <c r="K769" s="217"/>
      <c r="L769" s="217"/>
      <c r="M769" s="217"/>
      <c r="N769" s="80"/>
      <c r="O769" s="80"/>
      <c r="P769" s="19"/>
      <c r="Q769" s="14"/>
      <c r="R769" s="11"/>
    </row>
    <row r="770" s="1" customFormat="1" ht="21.95" customHeight="1" spans="1:18">
      <c r="A770" s="7"/>
      <c r="B770" s="12"/>
      <c r="C770" s="33"/>
      <c r="D770" s="80"/>
      <c r="E770" s="218"/>
      <c r="F770" s="218"/>
      <c r="G770" s="218"/>
      <c r="H770" s="80"/>
      <c r="I770" s="218"/>
      <c r="J770" s="218"/>
      <c r="K770" s="218"/>
      <c r="L770" s="218"/>
      <c r="M770" s="80"/>
      <c r="N770" s="219"/>
      <c r="O770" s="219"/>
      <c r="P770" s="19"/>
      <c r="Q770" s="14"/>
      <c r="R770" s="11"/>
    </row>
    <row r="771" s="1" customFormat="1" ht="21.95" customHeight="1" spans="1:18">
      <c r="A771" s="7"/>
      <c r="B771" s="12"/>
      <c r="C771" s="33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19"/>
      <c r="Q771" s="14"/>
      <c r="R771" s="11"/>
    </row>
    <row r="772" s="1" customFormat="1" ht="21.95" customHeight="1" spans="1:18">
      <c r="A772" s="7"/>
      <c r="B772" s="12"/>
      <c r="C772" s="33"/>
      <c r="D772" s="218"/>
      <c r="E772" s="218"/>
      <c r="F772" s="218"/>
      <c r="G772" s="218"/>
      <c r="H772" s="218"/>
      <c r="I772" s="218"/>
      <c r="J772" s="218"/>
      <c r="K772" s="218"/>
      <c r="L772" s="218"/>
      <c r="M772" s="80"/>
      <c r="N772" s="217"/>
      <c r="O772" s="217"/>
      <c r="P772" s="85" t="s">
        <v>727</v>
      </c>
      <c r="Q772" s="14"/>
      <c r="R772" s="11"/>
    </row>
    <row r="773" s="1" customFormat="1" ht="21.95" customHeight="1" spans="1:18">
      <c r="A773" s="7"/>
      <c r="B773" s="12"/>
      <c r="C773" s="33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19"/>
      <c r="Q773" s="14"/>
      <c r="R773" s="11"/>
    </row>
    <row r="774" s="1" customFormat="1" ht="21.95" customHeight="1" spans="1:18">
      <c r="A774" s="7"/>
      <c r="B774" s="12"/>
      <c r="C774" s="33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19"/>
      <c r="Q774" s="14"/>
      <c r="R774" s="11"/>
    </row>
    <row r="775" s="1" customFormat="1" ht="21.95" customHeight="1" spans="1:18">
      <c r="A775" s="7"/>
      <c r="B775" s="12"/>
      <c r="C775" s="33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19"/>
      <c r="Q775" s="14"/>
      <c r="R775" s="11"/>
    </row>
    <row r="776" s="1" customFormat="1" ht="21.95" customHeight="1" spans="1:18">
      <c r="A776" s="7"/>
      <c r="B776" s="12"/>
      <c r="C776" s="33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19"/>
      <c r="Q776" s="14"/>
      <c r="R776" s="11"/>
    </row>
    <row r="777" s="1" customFormat="1" ht="21.95" customHeight="1" spans="1:18">
      <c r="A777" s="7"/>
      <c r="B777" s="12"/>
      <c r="C777" s="33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19"/>
      <c r="Q777" s="14"/>
      <c r="R777" s="11"/>
    </row>
    <row r="778" s="1" customFormat="1" ht="21.95" customHeight="1" spans="1:18">
      <c r="A778" s="7"/>
      <c r="B778" s="12"/>
      <c r="C778" s="33"/>
      <c r="D778" s="80" t="s">
        <v>728</v>
      </c>
      <c r="E778" s="220">
        <f>ENTRY!$D$27</f>
        <v>46102</v>
      </c>
      <c r="F778" s="220"/>
      <c r="G778" s="29"/>
      <c r="H778" s="29"/>
      <c r="I778" s="221" t="s">
        <v>729</v>
      </c>
      <c r="J778" s="153"/>
      <c r="K778" s="29"/>
      <c r="L778" s="29"/>
      <c r="M778" s="87" t="s">
        <v>730</v>
      </c>
      <c r="N778" s="87"/>
      <c r="O778" s="87"/>
      <c r="P778" s="19"/>
      <c r="Q778" s="14"/>
      <c r="R778" s="11"/>
    </row>
    <row r="779" s="1" customFormat="1" ht="21.95" customHeight="1" spans="1:18">
      <c r="A779" s="7"/>
      <c r="B779" s="12"/>
      <c r="C779" s="33"/>
      <c r="D779" s="80" t="s">
        <v>731</v>
      </c>
      <c r="E779" s="88" t="str">
        <f>PROPER(ENTRY!$D$28)</f>
        <v>New Delhi</v>
      </c>
      <c r="F779" s="88"/>
      <c r="G779" s="29"/>
      <c r="H779" s="29"/>
      <c r="I779" s="153"/>
      <c r="J779" s="153"/>
      <c r="K779" s="29"/>
      <c r="L779" s="29"/>
      <c r="M779" s="79" t="s">
        <v>732</v>
      </c>
      <c r="N779" s="79"/>
      <c r="O779" s="79"/>
      <c r="P779" s="19"/>
      <c r="Q779" s="14"/>
      <c r="R779" s="11"/>
    </row>
    <row r="780" s="1" customFormat="1" ht="21.95" customHeight="1" spans="1:18">
      <c r="A780" s="7"/>
      <c r="B780" s="12"/>
      <c r="C780" s="90"/>
      <c r="D780" s="91"/>
      <c r="E780" s="91"/>
      <c r="F780" s="91"/>
      <c r="G780" s="91"/>
      <c r="H780" s="91"/>
      <c r="I780" s="91"/>
      <c r="J780" s="91"/>
      <c r="K780" s="91"/>
      <c r="L780" s="91"/>
      <c r="M780" s="91"/>
      <c r="N780" s="91"/>
      <c r="O780" s="91"/>
      <c r="P780" s="92"/>
      <c r="Q780" s="14"/>
      <c r="R780" s="11"/>
    </row>
    <row r="781" s="1" customFormat="1" ht="5.1" customHeight="1" spans="1:18">
      <c r="A781" s="7"/>
      <c r="B781" s="90"/>
      <c r="C781" s="91"/>
      <c r="D781" s="91"/>
      <c r="E781" s="91"/>
      <c r="F781" s="91"/>
      <c r="G781" s="91"/>
      <c r="H781" s="91"/>
      <c r="I781" s="91"/>
      <c r="J781" s="91"/>
      <c r="K781" s="91"/>
      <c r="L781" s="91"/>
      <c r="M781" s="91"/>
      <c r="N781" s="91"/>
      <c r="O781" s="91"/>
      <c r="P781" s="91"/>
      <c r="Q781" s="92"/>
      <c r="R781" s="11"/>
    </row>
    <row r="782" s="1" customFormat="1" ht="5.1" customHeight="1" spans="1:18">
      <c r="A782" s="93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5"/>
    </row>
    <row r="783" s="1" customFormat="1" ht="21.95" customHeight="1"/>
    <row r="784" ht="15.15"/>
    <row r="785" s="1" customFormat="1" ht="5.1" customHeight="1" spans="1:18">
      <c r="A785" s="4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6"/>
    </row>
    <row r="786" s="1" customFormat="1" ht="15" customHeight="1" spans="1:18">
      <c r="A786" s="7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0"/>
      <c r="R786" s="11"/>
    </row>
    <row r="787" s="1" customFormat="1" ht="21.95" customHeight="1" spans="1:18">
      <c r="A787" s="7"/>
      <c r="B787" s="12"/>
      <c r="C787" s="13" t="s">
        <v>7</v>
      </c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4"/>
      <c r="R787" s="11"/>
    </row>
    <row r="788" s="1" customFormat="1" ht="21.95" customHeight="1" spans="1:18">
      <c r="A788" s="7"/>
      <c r="B788" s="1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14"/>
      <c r="R788" s="11"/>
    </row>
    <row r="789" s="1" customFormat="1" ht="21.95" customHeight="1" spans="1:18">
      <c r="A789" s="7"/>
      <c r="B789" s="12"/>
      <c r="C789" s="15" t="str">
        <f>"SESSION-"&amp;ENTRY!$D$11</f>
        <v>SESSION-2026-27</v>
      </c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4"/>
      <c r="R789" s="11"/>
    </row>
    <row r="790" s="1" customFormat="1" ht="21.95" customHeight="1" spans="1:18">
      <c r="A790" s="7"/>
      <c r="B790" s="12"/>
      <c r="C790" s="2"/>
      <c r="D790" s="2"/>
      <c r="E790" s="2"/>
      <c r="F790" s="16">
        <f>F734+1</f>
        <v>15</v>
      </c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14"/>
      <c r="R790" s="11"/>
    </row>
    <row r="791" s="1" customFormat="1" ht="21.95" customHeight="1" spans="1:18">
      <c r="A791" s="7"/>
      <c r="B791" s="12"/>
      <c r="C791" s="17" t="s">
        <v>392</v>
      </c>
      <c r="D791" s="17"/>
      <c r="E791" s="17"/>
      <c r="F791" s="18" t="str">
        <f>IF(F790&gt;0,ENTRY!$D$6,"")</f>
        <v>MCP NITHARI NO 1 BOYS</v>
      </c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4"/>
      <c r="R791" s="11"/>
    </row>
    <row r="792" s="1" customFormat="1" ht="21.95" customHeight="1" spans="1:18">
      <c r="A792" s="7"/>
      <c r="B792" s="12"/>
      <c r="C792" s="17" t="s">
        <v>393</v>
      </c>
      <c r="D792" s="17"/>
      <c r="E792" s="17"/>
      <c r="F792" s="18">
        <f>IF(F790&gt;0,ENTRY!$D$7,"")</f>
        <v>0</v>
      </c>
      <c r="G792" s="18"/>
      <c r="H792" s="20" t="s">
        <v>702</v>
      </c>
      <c r="I792" s="20"/>
      <c r="J792" s="21">
        <f>IF(F790&gt;0,ENTRY!$D$10,"")</f>
        <v>40</v>
      </c>
      <c r="K792" s="20" t="s">
        <v>703</v>
      </c>
      <c r="L792" s="22" t="str">
        <f>IF(F790&gt;0,ENTRY!$D$5,"")</f>
        <v>ROHINI ZONE</v>
      </c>
      <c r="M792" s="22"/>
      <c r="N792" s="22"/>
      <c r="O792" s="22"/>
      <c r="P792" s="22"/>
      <c r="Q792" s="14"/>
      <c r="R792" s="11"/>
    </row>
    <row r="793" s="1" customFormat="1" ht="21.95" customHeight="1" spans="1:18">
      <c r="A793" s="7"/>
      <c r="B793" s="12"/>
      <c r="C793" s="17" t="s">
        <v>706</v>
      </c>
      <c r="D793" s="17"/>
      <c r="E793" s="17"/>
      <c r="F793" s="23" t="str">
        <f>IFERROR(VLOOKUP(F790,STUDENT!$A$2:$BP$101,5,0),"")</f>
        <v>ROKI</v>
      </c>
      <c r="G793" s="23"/>
      <c r="H793" s="23"/>
      <c r="I793" s="23"/>
      <c r="J793" s="23"/>
      <c r="K793" s="23"/>
      <c r="L793" s="20" t="s">
        <v>707</v>
      </c>
      <c r="M793" s="20"/>
      <c r="N793" s="24" t="str">
        <f>IF(F790&gt;0,ENTRY!$D$20&amp;"-"&amp;ENTRY!$D$21,"")</f>
        <v>III-A</v>
      </c>
      <c r="O793" s="24"/>
      <c r="P793" s="24"/>
      <c r="Q793" s="14"/>
      <c r="R793" s="11"/>
    </row>
    <row r="794" s="1" customFormat="1" ht="21.95" customHeight="1" spans="1:18">
      <c r="A794" s="7"/>
      <c r="B794" s="12"/>
      <c r="C794" s="17" t="s">
        <v>708</v>
      </c>
      <c r="D794" s="17"/>
      <c r="E794" s="17"/>
      <c r="F794" s="25">
        <f>IFERROR(VLOOKUP(F790,STUDENT!$A$2:$BP$101,6,0),"")</f>
        <v>14746</v>
      </c>
      <c r="G794" s="25"/>
      <c r="H794" s="26" t="s">
        <v>709</v>
      </c>
      <c r="I794" s="27" t="str">
        <f>IFERROR(VLOOKUP(F790,STUDENT!$A$2:$BP$101,59,0),"")</f>
        <v/>
      </c>
      <c r="J794" s="27"/>
      <c r="K794" s="20" t="s">
        <v>710</v>
      </c>
      <c r="L794" s="20"/>
      <c r="M794" s="28">
        <f>IFERROR(VLOOKUP(F790,STUDENT!$A$2:$BP$101,20,0),"")</f>
        <v>9109325188</v>
      </c>
      <c r="N794" s="28"/>
      <c r="O794" s="28"/>
      <c r="P794" s="28"/>
      <c r="Q794" s="14"/>
      <c r="R794" s="11"/>
    </row>
    <row r="795" s="1" customFormat="1" ht="21.95" customHeight="1" spans="1:18">
      <c r="A795" s="7"/>
      <c r="B795" s="12"/>
      <c r="C795" s="17" t="s">
        <v>711</v>
      </c>
      <c r="D795" s="17"/>
      <c r="E795" s="17"/>
      <c r="F795" s="23" t="str">
        <f>IFERROR(VLOOKUP(F790,STUDENT!$A$2:$BP$101,9,0),"")</f>
        <v>PREETI</v>
      </c>
      <c r="G795" s="23"/>
      <c r="H795" s="23"/>
      <c r="I795" s="23"/>
      <c r="J795" s="17" t="s">
        <v>620</v>
      </c>
      <c r="K795" s="17"/>
      <c r="L795" s="23" t="str">
        <f>IFERROR(VLOOKUP(F790,STUDENT!$A$2:$BP$101,8,0),"")</f>
        <v>KUAR SINGH</v>
      </c>
      <c r="M795" s="23"/>
      <c r="N795" s="23"/>
      <c r="O795" s="23"/>
      <c r="P795" s="23"/>
      <c r="Q795" s="14"/>
      <c r="R795" s="11"/>
    </row>
    <row r="796" s="1" customFormat="1" ht="21.95" customHeight="1" spans="1:18">
      <c r="A796" s="7"/>
      <c r="B796" s="12"/>
      <c r="C796" s="17" t="s">
        <v>712</v>
      </c>
      <c r="D796" s="17"/>
      <c r="E796" s="17"/>
      <c r="F796" s="23" t="str">
        <f>IFERROR(VLOOKUP(F790,STUDENT!$A$2:$BP$101,22,0),"")</f>
        <v>A-1/24,GAURAV NAGAR-II, PREM NAGAR-III</v>
      </c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14"/>
      <c r="R796" s="11"/>
    </row>
    <row r="797" s="1" customFormat="1" ht="9.95" customHeight="1" spans="1:18">
      <c r="A797" s="7"/>
      <c r="B797" s="12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14"/>
      <c r="R797" s="11"/>
    </row>
    <row r="798" s="1" customFormat="1" ht="9.95" customHeight="1" spans="1:18">
      <c r="A798" s="7"/>
      <c r="B798" s="12"/>
      <c r="C798" s="30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2"/>
      <c r="Q798" s="14"/>
      <c r="R798" s="11"/>
    </row>
    <row r="799" s="1" customFormat="1" ht="21.95" customHeight="1" spans="1:18">
      <c r="A799" s="7"/>
      <c r="B799" s="12"/>
      <c r="C799" s="33"/>
      <c r="D799" s="34" t="s">
        <v>713</v>
      </c>
      <c r="E799" s="20" t="s">
        <v>714</v>
      </c>
      <c r="F799" s="35" t="str">
        <f>"Level - "&amp;IFERROR(VLOOKUP(F790,FLN!$A$4:$K$103,9,0),"")</f>
        <v>Level - 3</v>
      </c>
      <c r="G799" s="36"/>
      <c r="H799" s="37" t="s">
        <v>715</v>
      </c>
      <c r="I799" s="20"/>
      <c r="J799" s="35" t="str">
        <f>"Level - "&amp;IFERROR(VLOOKUP(F790,FLN!$A$4:$K$103,11,0),"")</f>
        <v>Level - 4</v>
      </c>
      <c r="K799" s="36"/>
      <c r="L799" s="37" t="s">
        <v>408</v>
      </c>
      <c r="M799" s="20"/>
      <c r="N799" s="35" t="str">
        <f>"Level - "&amp;IFERROR(VLOOKUP(F790,FLN!$A$4:$K$103,10,0),"")</f>
        <v>Level - 3</v>
      </c>
      <c r="O799" s="36"/>
      <c r="P799" s="19"/>
      <c r="Q799" s="14"/>
      <c r="R799" s="11"/>
    </row>
    <row r="800" s="1" customFormat="1" ht="21.95" customHeight="1" spans="1:18">
      <c r="A800" s="7"/>
      <c r="B800" s="12"/>
      <c r="C800" s="33"/>
      <c r="D800" s="38"/>
      <c r="E800" s="20" t="s">
        <v>716</v>
      </c>
      <c r="F800" s="18" t="str">
        <f>IF(L814&gt;197,"PERFORMED WELL","")</f>
        <v/>
      </c>
      <c r="G800" s="18"/>
      <c r="H800" s="18"/>
      <c r="I800" s="18"/>
      <c r="J800" s="18"/>
      <c r="K800" s="18"/>
      <c r="L800" s="18"/>
      <c r="M800" s="18"/>
      <c r="N800" s="18"/>
      <c r="O800" s="18"/>
      <c r="P800" s="19"/>
      <c r="Q800" s="14"/>
      <c r="R800" s="11"/>
    </row>
    <row r="801" s="1" customFormat="1" ht="9.95" customHeight="1" spans="1:18">
      <c r="A801" s="7"/>
      <c r="B801" s="12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1"/>
      <c r="Q801" s="14"/>
      <c r="R801" s="11"/>
    </row>
    <row r="802" s="1" customFormat="1" ht="9.95" customHeight="1" spans="1:18">
      <c r="A802" s="7"/>
      <c r="B802" s="12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14"/>
      <c r="R802" s="11"/>
    </row>
    <row r="803" s="1" customFormat="1" ht="9.95" customHeight="1" spans="1:18">
      <c r="A803" s="7"/>
      <c r="B803" s="12"/>
      <c r="C803" s="30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2"/>
      <c r="Q803" s="14"/>
      <c r="R803" s="11"/>
    </row>
    <row r="804" s="1" customFormat="1" ht="21.95" customHeight="1" spans="1:18">
      <c r="A804" s="7"/>
      <c r="B804" s="12"/>
      <c r="C804" s="33"/>
      <c r="D804" s="35"/>
      <c r="E804" s="24"/>
      <c r="F804" s="24"/>
      <c r="G804" s="47" t="s">
        <v>717</v>
      </c>
      <c r="H804" s="47"/>
      <c r="I804" s="47"/>
      <c r="J804" s="47"/>
      <c r="K804" s="47"/>
      <c r="L804" s="47"/>
      <c r="M804" s="47"/>
      <c r="N804" s="47"/>
      <c r="O804" s="29"/>
      <c r="P804" s="19"/>
      <c r="Q804" s="14"/>
      <c r="R804" s="11"/>
    </row>
    <row r="805" s="1" customFormat="1" ht="21.95" customHeight="1" spans="1:18">
      <c r="A805" s="7"/>
      <c r="B805" s="12"/>
      <c r="C805" s="33"/>
      <c r="D805" s="47"/>
      <c r="E805" s="47"/>
      <c r="F805" s="47"/>
      <c r="G805" s="47" t="s">
        <v>541</v>
      </c>
      <c r="H805" s="47" t="s">
        <v>542</v>
      </c>
      <c r="I805" s="47" t="s">
        <v>543</v>
      </c>
      <c r="J805" s="47" t="s">
        <v>544</v>
      </c>
      <c r="K805" s="47" t="s">
        <v>561</v>
      </c>
      <c r="L805" s="47" t="s">
        <v>382</v>
      </c>
      <c r="M805" s="49" t="s">
        <v>546</v>
      </c>
      <c r="N805" s="49"/>
      <c r="O805" s="29"/>
      <c r="P805" s="19"/>
      <c r="Q805" s="14"/>
      <c r="R805" s="11"/>
    </row>
    <row r="806" s="1" customFormat="1" ht="21.95" customHeight="1" spans="1:18">
      <c r="A806" s="7"/>
      <c r="B806" s="12"/>
      <c r="C806" s="33"/>
      <c r="D806" s="207" t="s">
        <v>652</v>
      </c>
      <c r="E806" s="207"/>
      <c r="F806" s="207"/>
      <c r="G806" s="50">
        <v>10</v>
      </c>
      <c r="H806" s="50">
        <v>10</v>
      </c>
      <c r="I806" s="50">
        <v>10</v>
      </c>
      <c r="J806" s="50">
        <v>10</v>
      </c>
      <c r="K806" s="50">
        <v>60</v>
      </c>
      <c r="L806" s="50">
        <v>100</v>
      </c>
      <c r="M806" s="49"/>
      <c r="N806" s="49"/>
      <c r="O806" s="29"/>
      <c r="P806" s="19"/>
      <c r="Q806" s="14"/>
      <c r="R806" s="11"/>
    </row>
    <row r="807" s="1" customFormat="1" ht="21.95" customHeight="1" spans="1:18">
      <c r="A807" s="7"/>
      <c r="B807" s="12"/>
      <c r="C807" s="33"/>
      <c r="D807" s="117" t="s">
        <v>668</v>
      </c>
      <c r="E807" s="117"/>
      <c r="F807" s="117"/>
      <c r="G807" s="54">
        <f>IFERROR(VLOOKUP(F790,'1to4-2.1-RR'!$A$12:$BG$111,9,0),"")</f>
        <v>2</v>
      </c>
      <c r="H807" s="54">
        <f>IFERROR(VLOOKUP(F790,'1to4-2.1-RR'!$A$12:$BG$111,10,0),"")</f>
        <v>0</v>
      </c>
      <c r="I807" s="54">
        <f>IFERROR(VLOOKUP(F790,'1to4-2.1-RR'!$A$12:$BG$111,11,0),"")</f>
        <v>0</v>
      </c>
      <c r="J807" s="54">
        <f>IFERROR(VLOOKUP(F790,'1to4-2.1-RR'!$A$12:$BG$111,12,0),"")</f>
        <v>0</v>
      </c>
      <c r="K807" s="54">
        <f>IFERROR(VLOOKUP(F790,'1to4-2.1-RR'!$A$12:$BG$111,13,0),"")</f>
        <v>32</v>
      </c>
      <c r="L807" s="55">
        <f>SUM(G807:K807)</f>
        <v>34</v>
      </c>
      <c r="M807" s="56" t="str">
        <f>IF(F790&gt;ENTRY!$D$24,"",IF(L807=0,"Ab",IF(L807&gt;80,"A",IF(L807&gt;60,"B",IF(L807&gt;44,"C",IF(L807&gt;=33,"D",IF(L807&lt;=32,"E","")))))))</f>
        <v>D</v>
      </c>
      <c r="N807" s="56"/>
      <c r="O807" s="29"/>
      <c r="P807" s="19"/>
      <c r="Q807" s="14"/>
      <c r="R807" s="11"/>
    </row>
    <row r="808" s="1" customFormat="1" ht="21.95" customHeight="1" spans="1:18">
      <c r="A808" s="7"/>
      <c r="B808" s="12"/>
      <c r="C808" s="33"/>
      <c r="D808" s="117" t="s">
        <v>513</v>
      </c>
      <c r="E808" s="117"/>
      <c r="F808" s="117"/>
      <c r="G808" s="54">
        <f>IFERROR(VLOOKUP(F790,'1to4-2.1-RR'!$A$12:$BG$111,16,0),"")</f>
        <v>1</v>
      </c>
      <c r="H808" s="54">
        <f>IFERROR(VLOOKUP(F790,'1to4-2.1-RR'!$A$12:$BG$111,17,0),"")</f>
        <v>0</v>
      </c>
      <c r="I808" s="54">
        <f>IFERROR(VLOOKUP(F790,'1to4-2.1-RR'!$A$12:$BG$111,18,0),"")</f>
        <v>0</v>
      </c>
      <c r="J808" s="54">
        <f>IFERROR(VLOOKUP(F790,'1to4-2.1-RR'!$A$12:$BG$111,19,0),"")</f>
        <v>0</v>
      </c>
      <c r="K808" s="54">
        <f>IFERROR(VLOOKUP(F790,'1to4-2.1-RR'!$A$12:$BG$111,20,0),"")</f>
        <v>16</v>
      </c>
      <c r="L808" s="55">
        <f t="shared" ref="L808:L813" si="28">SUM(G808:K808)</f>
        <v>17</v>
      </c>
      <c r="M808" s="56" t="str">
        <f>IF(F790&gt;ENTRY!$D$24,"",IF(L808=0,"Ab",IF(L808&gt;80,"A",IF(L808&gt;60,"B",IF(L808&gt;44,"C",IF(L808&gt;=33,"D",IF(L808&lt;=32,"E","")))))))</f>
        <v>E</v>
      </c>
      <c r="N808" s="56"/>
      <c r="O808" s="29"/>
      <c r="P808" s="19"/>
      <c r="Q808" s="14"/>
      <c r="R808" s="11"/>
    </row>
    <row r="809" s="1" customFormat="1" ht="21.95" customHeight="1" spans="1:18">
      <c r="A809" s="7"/>
      <c r="B809" s="12"/>
      <c r="C809" s="33"/>
      <c r="D809" s="117" t="s">
        <v>718</v>
      </c>
      <c r="E809" s="117"/>
      <c r="F809" s="117"/>
      <c r="G809" s="54">
        <f>IFERROR(VLOOKUP(F790,'1to4-2.1-RR'!$A$12:$BG$111,23,0),"")</f>
        <v>2</v>
      </c>
      <c r="H809" s="54">
        <f>IFERROR(VLOOKUP(F790,'1to4-2.1-RR'!$A$12:$BG$111,24,0),"")</f>
        <v>0</v>
      </c>
      <c r="I809" s="54">
        <f>IFERROR(VLOOKUP(F790,'1to4-2.1-RR'!$A$12:$BG$111,25,0),"")</f>
        <v>0</v>
      </c>
      <c r="J809" s="54">
        <f>IFERROR(VLOOKUP(F790,'1to4-2.1-RR'!$A$12:$BG$111,26,0),"")</f>
        <v>0</v>
      </c>
      <c r="K809" s="54">
        <f>IFERROR(VLOOKUP(F790,'1to4-2.1-RR'!$A$12:$BG$111,27,0),"")</f>
        <v>11</v>
      </c>
      <c r="L809" s="55">
        <f t="shared" si="28"/>
        <v>13</v>
      </c>
      <c r="M809" s="56" t="str">
        <f>IF(F790&gt;ENTRY!$D$24,"",IF(L809=0,"Ab",IF(L809&gt;80,"A",IF(L809&gt;60,"B",IF(L809&gt;44,"C",IF(L809&gt;=33,"D",IF(L809&lt;=32,"E","")))))))</f>
        <v>E</v>
      </c>
      <c r="N809" s="56"/>
      <c r="O809" s="29"/>
      <c r="P809" s="19"/>
      <c r="Q809" s="14"/>
      <c r="R809" s="11"/>
    </row>
    <row r="810" s="1" customFormat="1" ht="21.95" customHeight="1" spans="1:18">
      <c r="A810" s="7"/>
      <c r="B810" s="12"/>
      <c r="C810" s="33"/>
      <c r="D810" s="117" t="s">
        <v>719</v>
      </c>
      <c r="E810" s="117"/>
      <c r="F810" s="117"/>
      <c r="G810" s="54">
        <f>IFERROR(VLOOKUP(F790,'1to4-2.1-RR'!$A$12:$BG$111,30,0),"")</f>
        <v>1</v>
      </c>
      <c r="H810" s="54">
        <f>IFERROR(VLOOKUP(F790,'1to4-2.1-RR'!$A$12:$BG$111,31,0),"")</f>
        <v>0</v>
      </c>
      <c r="I810" s="54">
        <f>IFERROR(VLOOKUP(F790,'1to4-2.1-RR'!$A$12:$BG$111,32,0),"")</f>
        <v>0</v>
      </c>
      <c r="J810" s="54">
        <f>IFERROR(VLOOKUP(F790,'1to4-2.1-RR'!$A$12:$BG$111,33,0),"")</f>
        <v>0</v>
      </c>
      <c r="K810" s="54">
        <f>IFERROR(VLOOKUP(F790,'1to4-2.1-RR'!$A$12:$BG$111,34,0),"")</f>
        <v>13</v>
      </c>
      <c r="L810" s="55">
        <f t="shared" si="28"/>
        <v>14</v>
      </c>
      <c r="M810" s="56" t="str">
        <f>IF(F790&gt;ENTRY!$D$24,"",IF(L810=0,"Ab",IF(L810&gt;80,"A",IF(L810&gt;60,"B",IF(L810&gt;44,"C",IF(L810&gt;=33,"D",IF(L810&lt;=32,"E","")))))))</f>
        <v>E</v>
      </c>
      <c r="N810" s="56"/>
      <c r="O810" s="29"/>
      <c r="P810" s="19"/>
      <c r="Q810" s="14"/>
      <c r="R810" s="11"/>
    </row>
    <row r="811" s="1" customFormat="1" ht="21.95" customHeight="1" spans="1:18">
      <c r="A811" s="7"/>
      <c r="B811" s="12"/>
      <c r="C811" s="33"/>
      <c r="D811" s="117" t="s">
        <v>548</v>
      </c>
      <c r="E811" s="117"/>
      <c r="F811" s="117"/>
      <c r="G811" s="54">
        <f>IFERROR(VLOOKUP(F790,'1to4-2.1-RR'!$A$12:$BG$111,37,0),"")</f>
        <v>0</v>
      </c>
      <c r="H811" s="54">
        <f>IFERROR(VLOOKUP(F790,'1to4-2.1-RR'!$A$12:$BG$111,38,0),"")</f>
        <v>0</v>
      </c>
      <c r="I811" s="54">
        <f>IFERROR(VLOOKUP(F790,'1to4-2.1-RR'!$A$12:$BG$111,39,0),"")</f>
        <v>0</v>
      </c>
      <c r="J811" s="54">
        <f>IFERROR(VLOOKUP(F790,'1to4-2.1-RR'!$A$12:$BG$111,40,0),"")</f>
        <v>0</v>
      </c>
      <c r="K811" s="54">
        <f>IFERROR(VLOOKUP(F790,'1to4-2.1-RR'!$A$12:$BG$111,41,0),"")</f>
        <v>13</v>
      </c>
      <c r="L811" s="55">
        <f t="shared" si="28"/>
        <v>13</v>
      </c>
      <c r="M811" s="56" t="str">
        <f>IF(F790&gt;ENTRY!$D$24,"",IF(L811=0,"Ab",IF(L811&gt;80,"A",IF(L811&gt;60,"B",IF(L811&gt;44,"C",IF(L811&gt;=33,"D",IF(L811&lt;=32,"E","")))))))</f>
        <v>E</v>
      </c>
      <c r="N811" s="56"/>
      <c r="O811" s="29"/>
      <c r="P811" s="19"/>
      <c r="Q811" s="14"/>
      <c r="R811" s="11"/>
    </row>
    <row r="812" s="1" customFormat="1" ht="21.95" customHeight="1" spans="1:18">
      <c r="A812" s="7"/>
      <c r="B812" s="12"/>
      <c r="C812" s="33"/>
      <c r="D812" s="117" t="s">
        <v>549</v>
      </c>
      <c r="E812" s="117"/>
      <c r="F812" s="117"/>
      <c r="G812" s="54">
        <f>IFERROR(VLOOKUP(F790,'1to4-2.1-RR'!$A$12:$BG$111,44,0),"")</f>
        <v>2</v>
      </c>
      <c r="H812" s="54">
        <f>IFERROR(VLOOKUP(F790,'1to4-2.1-RR'!$A$12:$BG$111,45,0),"")</f>
        <v>0</v>
      </c>
      <c r="I812" s="54">
        <f>IFERROR(VLOOKUP(F790,'1to4-2.1-RR'!$A$12:$BG$111,46,0),"")</f>
        <v>0</v>
      </c>
      <c r="J812" s="54">
        <f>IFERROR(VLOOKUP(F790,'1to4-2.1-RR'!$A$12:$BG$111,47,0),"")</f>
        <v>0</v>
      </c>
      <c r="K812" s="54">
        <f>IFERROR(VLOOKUP(F790,'1to4-2.1-RR'!$A$12:$BG$111,48,0),"")</f>
        <v>19</v>
      </c>
      <c r="L812" s="55">
        <f t="shared" si="28"/>
        <v>21</v>
      </c>
      <c r="M812" s="56" t="str">
        <f>IF(F790&gt;ENTRY!$D$24,"",IF(L812=0,"Ab",IF(L812&gt;80,"A",IF(L812&gt;60,"B",IF(L812&gt;44,"C",IF(L812&gt;=33,"D",IF(L812&lt;=32,"E","")))))))</f>
        <v>E</v>
      </c>
      <c r="N812" s="56"/>
      <c r="O812" s="29"/>
      <c r="P812" s="19"/>
      <c r="Q812" s="14"/>
      <c r="R812" s="11"/>
    </row>
    <row r="813" s="1" customFormat="1" ht="21.95" customHeight="1" spans="1:18">
      <c r="A813" s="7"/>
      <c r="B813" s="12"/>
      <c r="C813" s="33"/>
      <c r="D813" s="117" t="s">
        <v>720</v>
      </c>
      <c r="E813" s="117"/>
      <c r="F813" s="117"/>
      <c r="G813" s="54"/>
      <c r="H813" s="54"/>
      <c r="I813" s="54"/>
      <c r="J813" s="54"/>
      <c r="K813" s="54"/>
      <c r="L813" s="55">
        <f t="shared" si="28"/>
        <v>0</v>
      </c>
      <c r="M813" s="56" t="str">
        <f>IF(F790&gt;ENTRY!$D$24,"",IF(L813=0,"",IF(L813&gt;79,"A",IF(L813&gt;59,"B",IF(L813&gt;44,"C",IF(L813&gt;=33,"D",IF(L813&lt;=32,"E","")))))))</f>
        <v/>
      </c>
      <c r="N813" s="56"/>
      <c r="O813" s="29"/>
      <c r="P813" s="19"/>
      <c r="Q813" s="14"/>
      <c r="R813" s="11"/>
    </row>
    <row r="814" s="1" customFormat="1" ht="21.95" customHeight="1" spans="1:18">
      <c r="A814" s="7"/>
      <c r="B814" s="12"/>
      <c r="C814" s="33"/>
      <c r="D814" s="207" t="s">
        <v>382</v>
      </c>
      <c r="E814" s="207"/>
      <c r="F814" s="207"/>
      <c r="G814" s="54">
        <f t="shared" ref="G814:L814" si="29">IFERROR(SUM(G807:G813),"")</f>
        <v>8</v>
      </c>
      <c r="H814" s="54">
        <f t="shared" si="29"/>
        <v>0</v>
      </c>
      <c r="I814" s="54">
        <f t="shared" si="29"/>
        <v>0</v>
      </c>
      <c r="J814" s="54">
        <f t="shared" si="29"/>
        <v>0</v>
      </c>
      <c r="K814" s="54">
        <f t="shared" si="29"/>
        <v>104</v>
      </c>
      <c r="L814" s="55">
        <f t="shared" si="29"/>
        <v>112</v>
      </c>
      <c r="M814" s="61" t="str">
        <f>IF(F790&gt;ENTRY!$D$24,"",IF(N815="Ab","Ab",IF(N815&gt;79.5,"A",IF(N815&gt;59.5,"B",IF(N815&gt;44.5,"C",IF(N815&gt;=33,"D",IF(N815&lt;33,"E","")))))))</f>
        <v>E</v>
      </c>
      <c r="N814" s="61"/>
      <c r="O814" s="29"/>
      <c r="P814" s="19"/>
      <c r="Q814" s="14"/>
      <c r="R814" s="11"/>
    </row>
    <row r="815" s="1" customFormat="1" ht="21.95" customHeight="1" spans="1:18">
      <c r="A815" s="7"/>
      <c r="B815" s="12"/>
      <c r="C815" s="33"/>
      <c r="D815" s="63" t="s">
        <v>721</v>
      </c>
      <c r="E815" s="63"/>
      <c r="F815" s="63"/>
      <c r="G815" s="63"/>
      <c r="H815" s="63"/>
      <c r="I815" s="63"/>
      <c r="J815" s="63"/>
      <c r="K815" s="63"/>
      <c r="L815" s="63"/>
      <c r="M815" s="209"/>
      <c r="N815" s="64">
        <f>IF(L814="Ab","Ab",L814/6)</f>
        <v>18.6666666666667</v>
      </c>
      <c r="O815" s="65"/>
      <c r="P815" s="19"/>
      <c r="Q815" s="14"/>
      <c r="R815" s="11"/>
    </row>
    <row r="816" s="1" customFormat="1" ht="21.95" customHeight="1" spans="1:18">
      <c r="A816" s="7"/>
      <c r="B816" s="12"/>
      <c r="C816" s="33"/>
      <c r="D816" s="29" t="s">
        <v>716</v>
      </c>
      <c r="E816" s="18" t="str">
        <f>IFERROR(VLOOKUP(F790,'1to4-2.1-RR'!$A$12:$BG$111,57,0),"")</f>
        <v>PROMOTED</v>
      </c>
      <c r="F816" s="18"/>
      <c r="G816" s="18"/>
      <c r="H816" s="18"/>
      <c r="I816" s="18"/>
      <c r="J816" s="18"/>
      <c r="K816" s="18"/>
      <c r="L816" s="18"/>
      <c r="M816" s="18"/>
      <c r="N816" s="29"/>
      <c r="O816" s="29"/>
      <c r="P816" s="19"/>
      <c r="Q816" s="14"/>
      <c r="R816" s="11"/>
    </row>
    <row r="817" s="1" customFormat="1" ht="9.95" customHeight="1" spans="1:19">
      <c r="A817" s="7"/>
      <c r="B817" s="12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1"/>
      <c r="Q817" s="14"/>
      <c r="R817" s="11"/>
    </row>
    <row r="818" s="1" customFormat="1" ht="9.95" customHeight="1" spans="1:19">
      <c r="A818" s="7"/>
      <c r="B818" s="12"/>
      <c r="C818" s="30"/>
      <c r="D818" s="31"/>
      <c r="E818" s="31"/>
      <c r="F818" s="29"/>
      <c r="G818" s="31"/>
      <c r="H818" s="31"/>
      <c r="I818" s="31"/>
      <c r="J818" s="31"/>
      <c r="K818" s="31"/>
      <c r="L818" s="31"/>
      <c r="M818" s="31"/>
      <c r="N818" s="31"/>
      <c r="O818" s="31"/>
      <c r="P818" s="32"/>
      <c r="Q818" s="14"/>
      <c r="R818" s="11"/>
    </row>
    <row r="819" s="1" customFormat="1" ht="9.95" customHeight="1" spans="1:19">
      <c r="A819" s="7"/>
      <c r="B819" s="12"/>
      <c r="C819" s="33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19"/>
      <c r="Q819" s="14"/>
      <c r="R819" s="11"/>
    </row>
    <row r="820" s="1" customFormat="1" ht="9.95" customHeight="1" spans="1:19">
      <c r="A820" s="7"/>
      <c r="B820" s="12"/>
      <c r="C820" s="33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19"/>
      <c r="Q820" s="14"/>
      <c r="R820" s="11"/>
    </row>
    <row r="821" s="1" customFormat="1" ht="21.95" customHeight="1" spans="1:19">
      <c r="A821" s="7"/>
      <c r="B821" s="12"/>
      <c r="C821" s="210"/>
      <c r="D821" s="211"/>
      <c r="E821" s="211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2"/>
      <c r="Q821" s="14"/>
      <c r="R821" s="11"/>
      <c r="S821" s="2"/>
    </row>
    <row r="822" s="1" customFormat="1" ht="21.95" customHeight="1" spans="1:19">
      <c r="A822" s="7"/>
      <c r="B822" s="12"/>
      <c r="C822" s="33"/>
      <c r="D822" s="207" t="s">
        <v>722</v>
      </c>
      <c r="E822" s="207"/>
      <c r="F822" s="207"/>
      <c r="G822" s="207"/>
      <c r="H822" s="54">
        <f>IFERROR(VLOOKUP(F790,PASHEET!$A$4:$CJ$103,88,0),"")</f>
        <v>0</v>
      </c>
      <c r="I822" s="54"/>
      <c r="J822" s="29"/>
      <c r="K822" s="29"/>
      <c r="L822" s="29"/>
      <c r="M822" s="29"/>
      <c r="N822" s="29"/>
      <c r="O822" s="29"/>
      <c r="P822" s="19"/>
      <c r="Q822" s="14"/>
      <c r="R822" s="11"/>
    </row>
    <row r="823" s="1" customFormat="1" ht="21.95" customHeight="1" spans="1:19">
      <c r="A823" s="7"/>
      <c r="B823" s="12"/>
      <c r="C823" s="213"/>
      <c r="D823" s="207" t="s">
        <v>723</v>
      </c>
      <c r="E823" s="207"/>
      <c r="F823" s="207"/>
      <c r="G823" s="207"/>
      <c r="H823" s="54">
        <f>IFERROR(VLOOKUP(F790,PASHEET!$A$4:$CJ$103,87,0),"")</f>
        <v>0</v>
      </c>
      <c r="I823" s="54"/>
      <c r="J823" s="214"/>
      <c r="K823" s="214"/>
      <c r="L823" s="207" t="s">
        <v>724</v>
      </c>
      <c r="M823" s="207"/>
      <c r="N823" s="117" t="str">
        <f>IF(F790&gt;ENTRY!$D$24,"",IF(F790&gt;0,L814&amp;" / "&amp;600,""))</f>
        <v>112 / 600</v>
      </c>
      <c r="O823" s="117"/>
      <c r="P823" s="215"/>
      <c r="Q823" s="14"/>
      <c r="R823" s="11"/>
    </row>
    <row r="824" s="1" customFormat="1" ht="18" customHeight="1" spans="1:19">
      <c r="A824" s="7"/>
      <c r="B824" s="12"/>
      <c r="C824" s="33"/>
      <c r="D824" s="207" t="s">
        <v>725</v>
      </c>
      <c r="E824" s="207"/>
      <c r="F824" s="207"/>
      <c r="G824" s="207"/>
      <c r="H824" s="69" t="str">
        <f>IFERROR(IF(F790&gt;0,H823/H822*100),"")</f>
        <v/>
      </c>
      <c r="I824" s="69"/>
      <c r="J824" s="29"/>
      <c r="K824" s="29"/>
      <c r="L824" s="207" t="s">
        <v>726</v>
      </c>
      <c r="M824" s="207"/>
      <c r="N824" s="216">
        <f>IF(F790&gt;ENTRY!$D$24,"",IF(F790&gt;0,L814/600*100,""))</f>
        <v>18.6666666666667</v>
      </c>
      <c r="O824" s="216"/>
      <c r="P824" s="19"/>
      <c r="Q824" s="14"/>
      <c r="R824" s="11"/>
    </row>
    <row r="825" s="1" customFormat="1" ht="21.95" customHeight="1" spans="1:19">
      <c r="A825" s="7"/>
      <c r="B825" s="12"/>
      <c r="C825" s="33"/>
      <c r="D825" s="80"/>
      <c r="E825" s="80"/>
      <c r="F825" s="217"/>
      <c r="G825" s="217"/>
      <c r="H825" s="217"/>
      <c r="I825" s="217"/>
      <c r="J825" s="217"/>
      <c r="K825" s="217"/>
      <c r="L825" s="217"/>
      <c r="M825" s="217"/>
      <c r="N825" s="80"/>
      <c r="O825" s="80"/>
      <c r="P825" s="19"/>
      <c r="Q825" s="14"/>
      <c r="R825" s="11"/>
    </row>
    <row r="826" s="1" customFormat="1" ht="21.95" customHeight="1" spans="1:19">
      <c r="A826" s="7"/>
      <c r="B826" s="12"/>
      <c r="C826" s="33"/>
      <c r="D826" s="80"/>
      <c r="E826" s="218"/>
      <c r="F826" s="218"/>
      <c r="G826" s="218"/>
      <c r="H826" s="80"/>
      <c r="I826" s="218"/>
      <c r="J826" s="218"/>
      <c r="K826" s="218"/>
      <c r="L826" s="218"/>
      <c r="M826" s="80"/>
      <c r="N826" s="219"/>
      <c r="O826" s="219"/>
      <c r="P826" s="19"/>
      <c r="Q826" s="14"/>
      <c r="R826" s="11"/>
    </row>
    <row r="827" s="1" customFormat="1" ht="21.95" customHeight="1" spans="1:19">
      <c r="A827" s="7"/>
      <c r="B827" s="12"/>
      <c r="C827" s="33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19"/>
      <c r="Q827" s="14"/>
      <c r="R827" s="11"/>
    </row>
    <row r="828" s="1" customFormat="1" ht="21.95" customHeight="1" spans="1:19">
      <c r="A828" s="7"/>
      <c r="B828" s="12"/>
      <c r="C828" s="33"/>
      <c r="D828" s="218"/>
      <c r="E828" s="218"/>
      <c r="F828" s="218"/>
      <c r="G828" s="218"/>
      <c r="H828" s="218"/>
      <c r="I828" s="218"/>
      <c r="J828" s="218"/>
      <c r="K828" s="218"/>
      <c r="L828" s="218"/>
      <c r="M828" s="80"/>
      <c r="N828" s="217"/>
      <c r="O828" s="217"/>
      <c r="P828" s="85" t="s">
        <v>727</v>
      </c>
      <c r="Q828" s="14"/>
      <c r="R828" s="11"/>
    </row>
    <row r="829" s="1" customFormat="1" ht="21.95" customHeight="1" spans="1:19">
      <c r="A829" s="7"/>
      <c r="B829" s="12"/>
      <c r="C829" s="33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19"/>
      <c r="Q829" s="14"/>
      <c r="R829" s="11"/>
    </row>
    <row r="830" s="1" customFormat="1" ht="21.95" customHeight="1" spans="1:19">
      <c r="A830" s="7"/>
      <c r="B830" s="12"/>
      <c r="C830" s="33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19"/>
      <c r="Q830" s="14"/>
      <c r="R830" s="11"/>
    </row>
    <row r="831" s="1" customFormat="1" ht="21.95" customHeight="1" spans="1:19">
      <c r="A831" s="7"/>
      <c r="B831" s="12"/>
      <c r="C831" s="33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19"/>
      <c r="Q831" s="14"/>
      <c r="R831" s="11"/>
    </row>
    <row r="832" s="1" customFormat="1" ht="21.95" customHeight="1" spans="1:19">
      <c r="A832" s="7"/>
      <c r="B832" s="12"/>
      <c r="C832" s="33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19"/>
      <c r="Q832" s="14"/>
      <c r="R832" s="11"/>
    </row>
    <row r="833" s="1" customFormat="1" ht="21.95" customHeight="1" spans="1:18">
      <c r="A833" s="7"/>
      <c r="B833" s="12"/>
      <c r="C833" s="33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19"/>
      <c r="Q833" s="14"/>
      <c r="R833" s="11"/>
    </row>
    <row r="834" s="1" customFormat="1" ht="21.95" customHeight="1" spans="1:18">
      <c r="A834" s="7"/>
      <c r="B834" s="12"/>
      <c r="C834" s="33"/>
      <c r="D834" s="80" t="s">
        <v>728</v>
      </c>
      <c r="E834" s="220">
        <f>ENTRY!$D$27</f>
        <v>46102</v>
      </c>
      <c r="F834" s="220"/>
      <c r="G834" s="29"/>
      <c r="H834" s="29"/>
      <c r="I834" s="221" t="s">
        <v>729</v>
      </c>
      <c r="J834" s="153"/>
      <c r="K834" s="29"/>
      <c r="L834" s="29"/>
      <c r="M834" s="87" t="s">
        <v>730</v>
      </c>
      <c r="N834" s="87"/>
      <c r="O834" s="87"/>
      <c r="P834" s="19"/>
      <c r="Q834" s="14"/>
      <c r="R834" s="11"/>
    </row>
    <row r="835" s="1" customFormat="1" ht="21.95" customHeight="1" spans="1:18">
      <c r="A835" s="7"/>
      <c r="B835" s="12"/>
      <c r="C835" s="33"/>
      <c r="D835" s="80" t="s">
        <v>731</v>
      </c>
      <c r="E835" s="88" t="str">
        <f>PROPER(ENTRY!$D$28)</f>
        <v>New Delhi</v>
      </c>
      <c r="F835" s="88"/>
      <c r="G835" s="29"/>
      <c r="H835" s="29"/>
      <c r="I835" s="153"/>
      <c r="J835" s="153"/>
      <c r="K835" s="29"/>
      <c r="L835" s="29"/>
      <c r="M835" s="79" t="s">
        <v>732</v>
      </c>
      <c r="N835" s="79"/>
      <c r="O835" s="79"/>
      <c r="P835" s="19"/>
      <c r="Q835" s="14"/>
      <c r="R835" s="11"/>
    </row>
    <row r="836" s="1" customFormat="1" ht="21.95" customHeight="1" spans="1:18">
      <c r="A836" s="7"/>
      <c r="B836" s="12"/>
      <c r="C836" s="90"/>
      <c r="D836" s="91"/>
      <c r="E836" s="91"/>
      <c r="F836" s="91"/>
      <c r="G836" s="91"/>
      <c r="H836" s="91"/>
      <c r="I836" s="91"/>
      <c r="J836" s="91"/>
      <c r="K836" s="91"/>
      <c r="L836" s="91"/>
      <c r="M836" s="91"/>
      <c r="N836" s="91"/>
      <c r="O836" s="91"/>
      <c r="P836" s="92"/>
      <c r="Q836" s="14"/>
      <c r="R836" s="11"/>
    </row>
    <row r="837" s="1" customFormat="1" ht="5.1" customHeight="1" spans="1:18">
      <c r="A837" s="7"/>
      <c r="B837" s="90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2"/>
      <c r="R837" s="11"/>
    </row>
    <row r="838" s="1" customFormat="1" ht="5.1" customHeight="1" spans="1:18">
      <c r="A838" s="93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5"/>
    </row>
    <row r="839" s="1" customFormat="1" ht="21.95" customHeight="1"/>
    <row r="840" ht="15.15"/>
    <row r="841" s="1" customFormat="1" ht="5.1" customHeight="1" spans="1:18">
      <c r="A841" s="4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6"/>
    </row>
    <row r="842" s="1" customFormat="1" ht="15" customHeight="1" spans="1:18">
      <c r="A842" s="7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0"/>
      <c r="R842" s="11"/>
    </row>
    <row r="843" s="1" customFormat="1" ht="21.95" customHeight="1" spans="1:18">
      <c r="A843" s="7"/>
      <c r="B843" s="12"/>
      <c r="C843" s="13" t="s">
        <v>7</v>
      </c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4"/>
      <c r="R843" s="11"/>
    </row>
    <row r="844" s="1" customFormat="1" ht="21.95" customHeight="1" spans="1:18">
      <c r="A844" s="7"/>
      <c r="B844" s="1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14"/>
      <c r="R844" s="11"/>
    </row>
    <row r="845" s="1" customFormat="1" ht="21.95" customHeight="1" spans="1:18">
      <c r="A845" s="7"/>
      <c r="B845" s="12"/>
      <c r="C845" s="15" t="str">
        <f>"SESSION-"&amp;ENTRY!$D$11</f>
        <v>SESSION-2026-27</v>
      </c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4"/>
      <c r="R845" s="11"/>
    </row>
    <row r="846" s="1" customFormat="1" ht="21.95" customHeight="1" spans="1:18">
      <c r="A846" s="7"/>
      <c r="B846" s="12"/>
      <c r="C846" s="2"/>
      <c r="D846" s="2"/>
      <c r="E846" s="2"/>
      <c r="F846" s="16">
        <f>F790+1</f>
        <v>16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14"/>
      <c r="R846" s="11"/>
    </row>
    <row r="847" s="1" customFormat="1" ht="21.95" customHeight="1" spans="1:18">
      <c r="A847" s="7"/>
      <c r="B847" s="12"/>
      <c r="C847" s="17" t="s">
        <v>392</v>
      </c>
      <c r="D847" s="17"/>
      <c r="E847" s="17"/>
      <c r="F847" s="18" t="str">
        <f>IF(F846&gt;0,ENTRY!$D$6,"")</f>
        <v>MCP NITHARI NO 1 BOYS</v>
      </c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4"/>
      <c r="R847" s="11"/>
    </row>
    <row r="848" s="1" customFormat="1" ht="21.95" customHeight="1" spans="1:18">
      <c r="A848" s="7"/>
      <c r="B848" s="12"/>
      <c r="C848" s="17" t="s">
        <v>393</v>
      </c>
      <c r="D848" s="17"/>
      <c r="E848" s="17"/>
      <c r="F848" s="18">
        <f>IF(F846&gt;0,ENTRY!$D$7,"")</f>
        <v>0</v>
      </c>
      <c r="G848" s="18"/>
      <c r="H848" s="20" t="s">
        <v>702</v>
      </c>
      <c r="I848" s="20"/>
      <c r="J848" s="21">
        <f>IF(F846&gt;0,ENTRY!$D$10,"")</f>
        <v>40</v>
      </c>
      <c r="K848" s="20" t="s">
        <v>703</v>
      </c>
      <c r="L848" s="22" t="str">
        <f>IF(F846&gt;0,ENTRY!$D$5,"")</f>
        <v>ROHINI ZONE</v>
      </c>
      <c r="M848" s="22"/>
      <c r="N848" s="22"/>
      <c r="O848" s="22"/>
      <c r="P848" s="22"/>
      <c r="Q848" s="14"/>
      <c r="R848" s="11"/>
    </row>
    <row r="849" s="1" customFormat="1" ht="21.95" customHeight="1" spans="1:18">
      <c r="A849" s="7"/>
      <c r="B849" s="12"/>
      <c r="C849" s="17" t="s">
        <v>706</v>
      </c>
      <c r="D849" s="17"/>
      <c r="E849" s="17"/>
      <c r="F849" s="23" t="str">
        <f>IFERROR(VLOOKUP(F846,STUDENT!$A$2:$BP$101,5,0),"")</f>
        <v>MD BILAL</v>
      </c>
      <c r="G849" s="23"/>
      <c r="H849" s="23"/>
      <c r="I849" s="23"/>
      <c r="J849" s="23"/>
      <c r="K849" s="23"/>
      <c r="L849" s="20" t="s">
        <v>707</v>
      </c>
      <c r="M849" s="20"/>
      <c r="N849" s="24" t="str">
        <f>IF(F846&gt;0,ENTRY!$D$20&amp;"-"&amp;ENTRY!$D$21,"")</f>
        <v>III-A</v>
      </c>
      <c r="O849" s="24"/>
      <c r="P849" s="24"/>
      <c r="Q849" s="14"/>
      <c r="R849" s="11"/>
    </row>
    <row r="850" s="1" customFormat="1" ht="21.95" customHeight="1" spans="1:18">
      <c r="A850" s="7"/>
      <c r="B850" s="12"/>
      <c r="C850" s="17" t="s">
        <v>708</v>
      </c>
      <c r="D850" s="17"/>
      <c r="E850" s="17"/>
      <c r="F850" s="25">
        <f>IFERROR(VLOOKUP(F846,STUDENT!$A$2:$BP$101,6,0),"")</f>
        <v>14748</v>
      </c>
      <c r="G850" s="25"/>
      <c r="H850" s="26" t="s">
        <v>709</v>
      </c>
      <c r="I850" s="27" t="str">
        <f>IFERROR(VLOOKUP(F846,STUDENT!$A$2:$BP$101,59,0),"")</f>
        <v/>
      </c>
      <c r="J850" s="27"/>
      <c r="K850" s="20" t="s">
        <v>710</v>
      </c>
      <c r="L850" s="20"/>
      <c r="M850" s="28">
        <f>IFERROR(VLOOKUP(F846,STUDENT!$A$2:$BP$101,20,0),"")</f>
        <v>9654947222</v>
      </c>
      <c r="N850" s="28"/>
      <c r="O850" s="28"/>
      <c r="P850" s="28"/>
      <c r="Q850" s="14"/>
      <c r="R850" s="11"/>
    </row>
    <row r="851" s="1" customFormat="1" ht="21.95" customHeight="1" spans="1:18">
      <c r="A851" s="7"/>
      <c r="B851" s="12"/>
      <c r="C851" s="17" t="s">
        <v>711</v>
      </c>
      <c r="D851" s="17"/>
      <c r="E851" s="17"/>
      <c r="F851" s="23" t="str">
        <f>IFERROR(VLOOKUP(F846,STUDENT!$A$2:$BP$101,9,0),"")</f>
        <v>SABA PARWEEN</v>
      </c>
      <c r="G851" s="23"/>
      <c r="H851" s="23"/>
      <c r="I851" s="23"/>
      <c r="J851" s="17" t="s">
        <v>620</v>
      </c>
      <c r="K851" s="17"/>
      <c r="L851" s="23" t="str">
        <f>IFERROR(VLOOKUP(F846,STUDENT!$A$2:$BP$101,8,0),"")</f>
        <v>MD AFROJ</v>
      </c>
      <c r="M851" s="23"/>
      <c r="N851" s="23"/>
      <c r="O851" s="23"/>
      <c r="P851" s="23"/>
      <c r="Q851" s="14"/>
      <c r="R851" s="11"/>
    </row>
    <row r="852" s="1" customFormat="1" ht="21.95" customHeight="1" spans="1:18">
      <c r="A852" s="7"/>
      <c r="B852" s="12"/>
      <c r="C852" s="17" t="s">
        <v>712</v>
      </c>
      <c r="D852" s="17"/>
      <c r="E852" s="17"/>
      <c r="F852" s="23" t="str">
        <f>IFERROR(VLOOKUP(F846,STUDENT!$A$2:$BP$101,22,0),"")</f>
        <v>H NO-46, INDER ENCLAVE -II, KIRARI</v>
      </c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14"/>
      <c r="R852" s="11"/>
    </row>
    <row r="853" s="1" customFormat="1" ht="9.95" customHeight="1" spans="1:18">
      <c r="A853" s="7"/>
      <c r="B853" s="12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14"/>
      <c r="R853" s="11"/>
    </row>
    <row r="854" s="1" customFormat="1" ht="9.95" customHeight="1" spans="1:18">
      <c r="A854" s="7"/>
      <c r="B854" s="12"/>
      <c r="C854" s="30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2"/>
      <c r="Q854" s="14"/>
      <c r="R854" s="11"/>
    </row>
    <row r="855" s="1" customFormat="1" ht="21.95" customHeight="1" spans="1:18">
      <c r="A855" s="7"/>
      <c r="B855" s="12"/>
      <c r="C855" s="33"/>
      <c r="D855" s="34" t="s">
        <v>713</v>
      </c>
      <c r="E855" s="20" t="s">
        <v>714</v>
      </c>
      <c r="F855" s="35" t="str">
        <f>"Level - "&amp;IFERROR(VLOOKUP(F846,FLN!$A$4:$K$103,9,0),"")</f>
        <v>Level - 2</v>
      </c>
      <c r="G855" s="36"/>
      <c r="H855" s="37" t="s">
        <v>715</v>
      </c>
      <c r="I855" s="20"/>
      <c r="J855" s="35" t="str">
        <f>"Level - "&amp;IFERROR(VLOOKUP(F846,FLN!$A$4:$K$103,11,0),"")</f>
        <v>Level - 3</v>
      </c>
      <c r="K855" s="36"/>
      <c r="L855" s="37" t="s">
        <v>408</v>
      </c>
      <c r="M855" s="20"/>
      <c r="N855" s="35" t="str">
        <f>"Level - "&amp;IFERROR(VLOOKUP(F846,FLN!$A$4:$K$103,10,0),"")</f>
        <v>Level - 2</v>
      </c>
      <c r="O855" s="36"/>
      <c r="P855" s="19"/>
      <c r="Q855" s="14"/>
      <c r="R855" s="11"/>
    </row>
    <row r="856" s="1" customFormat="1" ht="21.95" customHeight="1" spans="1:18">
      <c r="A856" s="7"/>
      <c r="B856" s="12"/>
      <c r="C856" s="33"/>
      <c r="D856" s="38"/>
      <c r="E856" s="20" t="s">
        <v>716</v>
      </c>
      <c r="F856" s="18" t="str">
        <f>IF(L870&gt;197,"PERFORMED WELL","")</f>
        <v/>
      </c>
      <c r="G856" s="18"/>
      <c r="H856" s="18"/>
      <c r="I856" s="18"/>
      <c r="J856" s="18"/>
      <c r="K856" s="18"/>
      <c r="L856" s="18"/>
      <c r="M856" s="18"/>
      <c r="N856" s="18"/>
      <c r="O856" s="18"/>
      <c r="P856" s="19"/>
      <c r="Q856" s="14"/>
      <c r="R856" s="11"/>
    </row>
    <row r="857" s="1" customFormat="1" ht="9.95" customHeight="1" spans="1:18">
      <c r="A857" s="7"/>
      <c r="B857" s="12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1"/>
      <c r="Q857" s="14"/>
      <c r="R857" s="11"/>
    </row>
    <row r="858" s="1" customFormat="1" ht="9.95" customHeight="1" spans="1:18">
      <c r="A858" s="7"/>
      <c r="B858" s="12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14"/>
      <c r="R858" s="11"/>
    </row>
    <row r="859" s="1" customFormat="1" ht="9.95" customHeight="1" spans="1:18">
      <c r="A859" s="7"/>
      <c r="B859" s="12"/>
      <c r="C859" s="30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2"/>
      <c r="Q859" s="14"/>
      <c r="R859" s="11"/>
    </row>
    <row r="860" s="1" customFormat="1" ht="21.95" customHeight="1" spans="1:18">
      <c r="A860" s="7"/>
      <c r="B860" s="12"/>
      <c r="C860" s="33"/>
      <c r="D860" s="35"/>
      <c r="E860" s="24"/>
      <c r="F860" s="24"/>
      <c r="G860" s="47" t="s">
        <v>717</v>
      </c>
      <c r="H860" s="47"/>
      <c r="I860" s="47"/>
      <c r="J860" s="47"/>
      <c r="K860" s="47"/>
      <c r="L860" s="47"/>
      <c r="M860" s="47"/>
      <c r="N860" s="47"/>
      <c r="O860" s="29"/>
      <c r="P860" s="19"/>
      <c r="Q860" s="14"/>
      <c r="R860" s="11"/>
    </row>
    <row r="861" s="1" customFormat="1" ht="21.95" customHeight="1" spans="1:18">
      <c r="A861" s="7"/>
      <c r="B861" s="12"/>
      <c r="C861" s="33"/>
      <c r="D861" s="47"/>
      <c r="E861" s="47"/>
      <c r="F861" s="47"/>
      <c r="G861" s="47" t="s">
        <v>541</v>
      </c>
      <c r="H861" s="47" t="s">
        <v>542</v>
      </c>
      <c r="I861" s="47" t="s">
        <v>543</v>
      </c>
      <c r="J861" s="47" t="s">
        <v>544</v>
      </c>
      <c r="K861" s="47" t="s">
        <v>561</v>
      </c>
      <c r="L861" s="47" t="s">
        <v>382</v>
      </c>
      <c r="M861" s="49" t="s">
        <v>546</v>
      </c>
      <c r="N861" s="49"/>
      <c r="O861" s="29"/>
      <c r="P861" s="19"/>
      <c r="Q861" s="14"/>
      <c r="R861" s="11"/>
    </row>
    <row r="862" s="1" customFormat="1" ht="21.95" customHeight="1" spans="1:18">
      <c r="A862" s="7"/>
      <c r="B862" s="12"/>
      <c r="C862" s="33"/>
      <c r="D862" s="207" t="s">
        <v>652</v>
      </c>
      <c r="E862" s="207"/>
      <c r="F862" s="207"/>
      <c r="G862" s="50">
        <v>10</v>
      </c>
      <c r="H862" s="50">
        <v>10</v>
      </c>
      <c r="I862" s="50">
        <v>10</v>
      </c>
      <c r="J862" s="50">
        <v>10</v>
      </c>
      <c r="K862" s="50">
        <v>60</v>
      </c>
      <c r="L862" s="50">
        <v>100</v>
      </c>
      <c r="M862" s="49"/>
      <c r="N862" s="49"/>
      <c r="O862" s="29"/>
      <c r="P862" s="19"/>
      <c r="Q862" s="14"/>
      <c r="R862" s="11"/>
    </row>
    <row r="863" s="1" customFormat="1" ht="21.95" customHeight="1" spans="1:18">
      <c r="A863" s="7"/>
      <c r="B863" s="12"/>
      <c r="C863" s="33"/>
      <c r="D863" s="117" t="s">
        <v>668</v>
      </c>
      <c r="E863" s="117"/>
      <c r="F863" s="117"/>
      <c r="G863" s="54">
        <f>IFERROR(VLOOKUP(F846,'1to4-2.1-RR'!$A$12:$BG$111,9,0),"")</f>
        <v>2</v>
      </c>
      <c r="H863" s="54">
        <f>IFERROR(VLOOKUP(F846,'1to4-2.1-RR'!$A$12:$BG$111,10,0),"")</f>
        <v>0</v>
      </c>
      <c r="I863" s="54">
        <f>IFERROR(VLOOKUP(F846,'1to4-2.1-RR'!$A$12:$BG$111,11,0),"")</f>
        <v>0</v>
      </c>
      <c r="J863" s="54">
        <f>IFERROR(VLOOKUP(F846,'1to4-2.1-RR'!$A$12:$BG$111,12,0),"")</f>
        <v>0</v>
      </c>
      <c r="K863" s="54">
        <f>IFERROR(VLOOKUP(F846,'1to4-2.1-RR'!$A$12:$BG$111,13,0),"")</f>
        <v>51</v>
      </c>
      <c r="L863" s="55">
        <f>SUM(G863:K863)</f>
        <v>53</v>
      </c>
      <c r="M863" s="56" t="str">
        <f>IF(F846&gt;ENTRY!$D$24,"",IF(L863=0,"Ab",IF(L863&gt;80,"A",IF(L863&gt;60,"B",IF(L863&gt;44,"C",IF(L863&gt;=33,"D",IF(L863&lt;=32,"E","")))))))</f>
        <v>C</v>
      </c>
      <c r="N863" s="56"/>
      <c r="O863" s="29"/>
      <c r="P863" s="19"/>
      <c r="Q863" s="14"/>
      <c r="R863" s="11"/>
    </row>
    <row r="864" s="1" customFormat="1" ht="21.95" customHeight="1" spans="1:18">
      <c r="A864" s="7"/>
      <c r="B864" s="12"/>
      <c r="C864" s="33"/>
      <c r="D864" s="117" t="s">
        <v>513</v>
      </c>
      <c r="E864" s="117"/>
      <c r="F864" s="117"/>
      <c r="G864" s="54">
        <f>IFERROR(VLOOKUP(F846,'1to4-2.1-RR'!$A$12:$BG$111,16,0),"")</f>
        <v>1</v>
      </c>
      <c r="H864" s="54">
        <f>IFERROR(VLOOKUP(F846,'1to4-2.1-RR'!$A$12:$BG$111,17,0),"")</f>
        <v>0</v>
      </c>
      <c r="I864" s="54">
        <f>IFERROR(VLOOKUP(F846,'1to4-2.1-RR'!$A$12:$BG$111,18,0),"")</f>
        <v>0</v>
      </c>
      <c r="J864" s="54">
        <f>IFERROR(VLOOKUP(F846,'1to4-2.1-RR'!$A$12:$BG$111,19,0),"")</f>
        <v>0</v>
      </c>
      <c r="K864" s="54">
        <f>IFERROR(VLOOKUP(F846,'1to4-2.1-RR'!$A$12:$BG$111,20,0),"")</f>
        <v>15</v>
      </c>
      <c r="L864" s="55">
        <f t="shared" ref="L864:L869" si="30">SUM(G864:K864)</f>
        <v>16</v>
      </c>
      <c r="M864" s="56" t="str">
        <f>IF(F846&gt;ENTRY!$D$24,"",IF(L864=0,"Ab",IF(L864&gt;80,"A",IF(L864&gt;60,"B",IF(L864&gt;44,"C",IF(L864&gt;=33,"D",IF(L864&lt;=32,"E","")))))))</f>
        <v>E</v>
      </c>
      <c r="N864" s="56"/>
      <c r="O864" s="29"/>
      <c r="P864" s="19"/>
      <c r="Q864" s="14"/>
      <c r="R864" s="11"/>
    </row>
    <row r="865" s="1" customFormat="1" ht="21.95" customHeight="1" spans="1:19">
      <c r="A865" s="7"/>
      <c r="B865" s="12"/>
      <c r="C865" s="33"/>
      <c r="D865" s="117" t="s">
        <v>718</v>
      </c>
      <c r="E865" s="117"/>
      <c r="F865" s="117"/>
      <c r="G865" s="54">
        <f>IFERROR(VLOOKUP(F846,'1to4-2.1-RR'!$A$12:$BG$111,23,0),"")</f>
        <v>2</v>
      </c>
      <c r="H865" s="54">
        <f>IFERROR(VLOOKUP(F846,'1to4-2.1-RR'!$A$12:$BG$111,24,0),"")</f>
        <v>0</v>
      </c>
      <c r="I865" s="54">
        <f>IFERROR(VLOOKUP(F846,'1to4-2.1-RR'!$A$12:$BG$111,25,0),"")</f>
        <v>0</v>
      </c>
      <c r="J865" s="54">
        <f>IFERROR(VLOOKUP(F846,'1to4-2.1-RR'!$A$12:$BG$111,26,0),"")</f>
        <v>0</v>
      </c>
      <c r="K865" s="54">
        <f>IFERROR(VLOOKUP(F846,'1to4-2.1-RR'!$A$12:$BG$111,27,0),"")</f>
        <v>22</v>
      </c>
      <c r="L865" s="55">
        <f t="shared" si="30"/>
        <v>24</v>
      </c>
      <c r="M865" s="56" t="str">
        <f>IF(F846&gt;ENTRY!$D$24,"",IF(L865=0,"Ab",IF(L865&gt;80,"A",IF(L865&gt;60,"B",IF(L865&gt;44,"C",IF(L865&gt;=33,"D",IF(L865&lt;=32,"E","")))))))</f>
        <v>E</v>
      </c>
      <c r="N865" s="56"/>
      <c r="O865" s="29"/>
      <c r="P865" s="19"/>
      <c r="Q865" s="14"/>
      <c r="R865" s="11"/>
    </row>
    <row r="866" s="1" customFormat="1" ht="21.95" customHeight="1" spans="1:19">
      <c r="A866" s="7"/>
      <c r="B866" s="12"/>
      <c r="C866" s="33"/>
      <c r="D866" s="117" t="s">
        <v>719</v>
      </c>
      <c r="E866" s="117"/>
      <c r="F866" s="117"/>
      <c r="G866" s="54">
        <f>IFERROR(VLOOKUP(F846,'1to4-2.1-RR'!$A$12:$BG$111,30,0),"")</f>
        <v>1</v>
      </c>
      <c r="H866" s="54">
        <f>IFERROR(VLOOKUP(F846,'1to4-2.1-RR'!$A$12:$BG$111,31,0),"")</f>
        <v>0</v>
      </c>
      <c r="I866" s="54">
        <f>IFERROR(VLOOKUP(F846,'1to4-2.1-RR'!$A$12:$BG$111,32,0),"")</f>
        <v>0</v>
      </c>
      <c r="J866" s="54">
        <f>IFERROR(VLOOKUP(F846,'1to4-2.1-RR'!$A$12:$BG$111,33,0),"")</f>
        <v>0</v>
      </c>
      <c r="K866" s="54">
        <f>IFERROR(VLOOKUP(F846,'1to4-2.1-RR'!$A$12:$BG$111,34,0),"")</f>
        <v>23</v>
      </c>
      <c r="L866" s="55">
        <f t="shared" si="30"/>
        <v>24</v>
      </c>
      <c r="M866" s="56" t="str">
        <f>IF(F846&gt;ENTRY!$D$24,"",IF(L866=0,"Ab",IF(L866&gt;80,"A",IF(L866&gt;60,"B",IF(L866&gt;44,"C",IF(L866&gt;=33,"D",IF(L866&lt;=32,"E","")))))))</f>
        <v>E</v>
      </c>
      <c r="N866" s="56"/>
      <c r="O866" s="29"/>
      <c r="P866" s="19"/>
      <c r="Q866" s="14"/>
      <c r="R866" s="11"/>
    </row>
    <row r="867" s="1" customFormat="1" ht="21.95" customHeight="1" spans="1:19">
      <c r="A867" s="7"/>
      <c r="B867" s="12"/>
      <c r="C867" s="33"/>
      <c r="D867" s="117" t="s">
        <v>548</v>
      </c>
      <c r="E867" s="117"/>
      <c r="F867" s="117"/>
      <c r="G867" s="54">
        <f>IFERROR(VLOOKUP(F846,'1to4-2.1-RR'!$A$12:$BG$111,37,0),"")</f>
        <v>0</v>
      </c>
      <c r="H867" s="54">
        <f>IFERROR(VLOOKUP(F846,'1to4-2.1-RR'!$A$12:$BG$111,38,0),"")</f>
        <v>0</v>
      </c>
      <c r="I867" s="54">
        <f>IFERROR(VLOOKUP(F846,'1to4-2.1-RR'!$A$12:$BG$111,39,0),"")</f>
        <v>0</v>
      </c>
      <c r="J867" s="54">
        <f>IFERROR(VLOOKUP(F846,'1to4-2.1-RR'!$A$12:$BG$111,40,0),"")</f>
        <v>0</v>
      </c>
      <c r="K867" s="54">
        <f>IFERROR(VLOOKUP(F846,'1to4-2.1-RR'!$A$12:$BG$111,41,0),"")</f>
        <v>25</v>
      </c>
      <c r="L867" s="55">
        <f t="shared" si="30"/>
        <v>25</v>
      </c>
      <c r="M867" s="56" t="str">
        <f>IF(F846&gt;ENTRY!$D$24,"",IF(L867=0,"Ab",IF(L867&gt;80,"A",IF(L867&gt;60,"B",IF(L867&gt;44,"C",IF(L867&gt;=33,"D",IF(L867&lt;=32,"E","")))))))</f>
        <v>E</v>
      </c>
      <c r="N867" s="56"/>
      <c r="O867" s="29"/>
      <c r="P867" s="19"/>
      <c r="Q867" s="14"/>
      <c r="R867" s="11"/>
    </row>
    <row r="868" s="1" customFormat="1" ht="21.95" customHeight="1" spans="1:19">
      <c r="A868" s="7"/>
      <c r="B868" s="12"/>
      <c r="C868" s="33"/>
      <c r="D868" s="117" t="s">
        <v>549</v>
      </c>
      <c r="E868" s="117"/>
      <c r="F868" s="117"/>
      <c r="G868" s="54">
        <f>IFERROR(VLOOKUP(F846,'1to4-2.1-RR'!$A$12:$BG$111,44,0),"")</f>
        <v>2</v>
      </c>
      <c r="H868" s="54">
        <f>IFERROR(VLOOKUP(F846,'1to4-2.1-RR'!$A$12:$BG$111,45,0),"")</f>
        <v>0</v>
      </c>
      <c r="I868" s="54">
        <f>IFERROR(VLOOKUP(F846,'1to4-2.1-RR'!$A$12:$BG$111,46,0),"")</f>
        <v>0</v>
      </c>
      <c r="J868" s="54">
        <f>IFERROR(VLOOKUP(F846,'1to4-2.1-RR'!$A$12:$BG$111,47,0),"")</f>
        <v>0</v>
      </c>
      <c r="K868" s="54">
        <f>IFERROR(VLOOKUP(F846,'1to4-2.1-RR'!$A$12:$BG$111,48,0),"")</f>
        <v>25</v>
      </c>
      <c r="L868" s="55">
        <f t="shared" si="30"/>
        <v>27</v>
      </c>
      <c r="M868" s="56" t="str">
        <f>IF(F846&gt;ENTRY!$D$24,"",IF(L868=0,"Ab",IF(L868&gt;80,"A",IF(L868&gt;60,"B",IF(L868&gt;44,"C",IF(L868&gt;=33,"D",IF(L868&lt;=32,"E","")))))))</f>
        <v>E</v>
      </c>
      <c r="N868" s="56"/>
      <c r="O868" s="29"/>
      <c r="P868" s="19"/>
      <c r="Q868" s="14"/>
      <c r="R868" s="11"/>
    </row>
    <row r="869" s="1" customFormat="1" ht="21.95" customHeight="1" spans="1:19">
      <c r="A869" s="7"/>
      <c r="B869" s="12"/>
      <c r="C869" s="33"/>
      <c r="D869" s="117" t="s">
        <v>720</v>
      </c>
      <c r="E869" s="117"/>
      <c r="F869" s="117"/>
      <c r="G869" s="54"/>
      <c r="H869" s="54"/>
      <c r="I869" s="54"/>
      <c r="J869" s="54"/>
      <c r="K869" s="54"/>
      <c r="L869" s="55">
        <f t="shared" si="30"/>
        <v>0</v>
      </c>
      <c r="M869" s="56" t="str">
        <f>IF(F846&gt;ENTRY!$D$24,"",IF(L869=0,"",IF(L869&gt;79,"A",IF(L869&gt;59,"B",IF(L869&gt;44,"C",IF(L869&gt;=33,"D",IF(L869&lt;=32,"E","")))))))</f>
        <v/>
      </c>
      <c r="N869" s="56"/>
      <c r="O869" s="29"/>
      <c r="P869" s="19"/>
      <c r="Q869" s="14"/>
      <c r="R869" s="11"/>
    </row>
    <row r="870" s="1" customFormat="1" ht="21.95" customHeight="1" spans="1:19">
      <c r="A870" s="7"/>
      <c r="B870" s="12"/>
      <c r="C870" s="33"/>
      <c r="D870" s="207" t="s">
        <v>382</v>
      </c>
      <c r="E870" s="207"/>
      <c r="F870" s="207"/>
      <c r="G870" s="54">
        <f t="shared" ref="G870:L870" si="31">IFERROR(SUM(G863:G869),"")</f>
        <v>8</v>
      </c>
      <c r="H870" s="54">
        <f t="shared" si="31"/>
        <v>0</v>
      </c>
      <c r="I870" s="54">
        <f t="shared" si="31"/>
        <v>0</v>
      </c>
      <c r="J870" s="54">
        <f t="shared" si="31"/>
        <v>0</v>
      </c>
      <c r="K870" s="54">
        <f t="shared" si="31"/>
        <v>161</v>
      </c>
      <c r="L870" s="55">
        <f t="shared" si="31"/>
        <v>169</v>
      </c>
      <c r="M870" s="61" t="str">
        <f>IF(F846&gt;ENTRY!$D$24,"",IF(N871="Ab","Ab",IF(N871&gt;79.5,"A",IF(N871&gt;59.5,"B",IF(N871&gt;44.5,"C",IF(N871&gt;=33,"D",IF(N871&lt;33,"E","")))))))</f>
        <v>E</v>
      </c>
      <c r="N870" s="61"/>
      <c r="O870" s="29"/>
      <c r="P870" s="19"/>
      <c r="Q870" s="14"/>
      <c r="R870" s="11"/>
    </row>
    <row r="871" s="1" customFormat="1" ht="21.95" customHeight="1" spans="1:19">
      <c r="A871" s="7"/>
      <c r="B871" s="12"/>
      <c r="C871" s="33"/>
      <c r="D871" s="63" t="s">
        <v>721</v>
      </c>
      <c r="E871" s="63"/>
      <c r="F871" s="63"/>
      <c r="G871" s="63"/>
      <c r="H871" s="63"/>
      <c r="I871" s="63"/>
      <c r="J871" s="63"/>
      <c r="K871" s="63"/>
      <c r="L871" s="63"/>
      <c r="M871" s="209"/>
      <c r="N871" s="64">
        <f>IF(L870="Ab","Ab",L870/6)</f>
        <v>28.1666666666667</v>
      </c>
      <c r="O871" s="65"/>
      <c r="P871" s="19"/>
      <c r="Q871" s="14"/>
      <c r="R871" s="11"/>
    </row>
    <row r="872" s="1" customFormat="1" ht="21.95" customHeight="1" spans="1:19">
      <c r="A872" s="7"/>
      <c r="B872" s="12"/>
      <c r="C872" s="33"/>
      <c r="D872" s="29" t="s">
        <v>716</v>
      </c>
      <c r="E872" s="18" t="str">
        <f>IFERROR(VLOOKUP(F846,'1to4-2.1-RR'!$A$12:$BG$111,57,0),"")</f>
        <v>PROMOTED</v>
      </c>
      <c r="F872" s="18"/>
      <c r="G872" s="18"/>
      <c r="H872" s="18"/>
      <c r="I872" s="18"/>
      <c r="J872" s="18"/>
      <c r="K872" s="18"/>
      <c r="L872" s="18"/>
      <c r="M872" s="18"/>
      <c r="N872" s="29"/>
      <c r="O872" s="29"/>
      <c r="P872" s="19"/>
      <c r="Q872" s="14"/>
      <c r="R872" s="11"/>
    </row>
    <row r="873" s="1" customFormat="1" ht="9.95" customHeight="1" spans="1:19">
      <c r="A873" s="7"/>
      <c r="B873" s="12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1"/>
      <c r="Q873" s="14"/>
      <c r="R873" s="11"/>
    </row>
    <row r="874" s="1" customFormat="1" ht="9.95" customHeight="1" spans="1:19">
      <c r="A874" s="7"/>
      <c r="B874" s="12"/>
      <c r="C874" s="30"/>
      <c r="D874" s="31"/>
      <c r="E874" s="31"/>
      <c r="F874" s="29"/>
      <c r="G874" s="31"/>
      <c r="H874" s="31"/>
      <c r="I874" s="31"/>
      <c r="J874" s="31"/>
      <c r="K874" s="31"/>
      <c r="L874" s="31"/>
      <c r="M874" s="31"/>
      <c r="N874" s="31"/>
      <c r="O874" s="31"/>
      <c r="P874" s="32"/>
      <c r="Q874" s="14"/>
      <c r="R874" s="11"/>
    </row>
    <row r="875" s="1" customFormat="1" ht="9.95" customHeight="1" spans="1:19">
      <c r="A875" s="7"/>
      <c r="B875" s="12"/>
      <c r="C875" s="33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19"/>
      <c r="Q875" s="14"/>
      <c r="R875" s="11"/>
    </row>
    <row r="876" s="1" customFormat="1" ht="9.95" customHeight="1" spans="1:19">
      <c r="A876" s="7"/>
      <c r="B876" s="12"/>
      <c r="C876" s="33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19"/>
      <c r="Q876" s="14"/>
      <c r="R876" s="11"/>
    </row>
    <row r="877" s="1" customFormat="1" ht="21.95" customHeight="1" spans="1:19">
      <c r="A877" s="7"/>
      <c r="B877" s="12"/>
      <c r="C877" s="210"/>
      <c r="D877" s="211"/>
      <c r="E877" s="211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2"/>
      <c r="Q877" s="14"/>
      <c r="R877" s="11"/>
      <c r="S877" s="2"/>
    </row>
    <row r="878" s="1" customFormat="1" ht="21.95" customHeight="1" spans="1:19">
      <c r="A878" s="7"/>
      <c r="B878" s="12"/>
      <c r="C878" s="33"/>
      <c r="D878" s="207" t="s">
        <v>722</v>
      </c>
      <c r="E878" s="207"/>
      <c r="F878" s="207"/>
      <c r="G878" s="207"/>
      <c r="H878" s="54">
        <f>IFERROR(VLOOKUP(F846,PASHEET!$A$4:$CJ$103,88,0),"")</f>
        <v>0</v>
      </c>
      <c r="I878" s="54"/>
      <c r="J878" s="29"/>
      <c r="K878" s="29"/>
      <c r="L878" s="29"/>
      <c r="M878" s="29"/>
      <c r="N878" s="29"/>
      <c r="O878" s="29"/>
      <c r="P878" s="19"/>
      <c r="Q878" s="14"/>
      <c r="R878" s="11"/>
    </row>
    <row r="879" s="1" customFormat="1" ht="21.95" customHeight="1" spans="1:19">
      <c r="A879" s="7"/>
      <c r="B879" s="12"/>
      <c r="C879" s="213"/>
      <c r="D879" s="207" t="s">
        <v>723</v>
      </c>
      <c r="E879" s="207"/>
      <c r="F879" s="207"/>
      <c r="G879" s="207"/>
      <c r="H879" s="54">
        <f>IFERROR(VLOOKUP(F846,PASHEET!$A$4:$CJ$103,87,0),"")</f>
        <v>0</v>
      </c>
      <c r="I879" s="54"/>
      <c r="J879" s="214"/>
      <c r="K879" s="214"/>
      <c r="L879" s="207" t="s">
        <v>724</v>
      </c>
      <c r="M879" s="207"/>
      <c r="N879" s="117" t="str">
        <f>IF(F846&gt;ENTRY!$D$24,"",IF(F846&gt;0,L870&amp;" / "&amp;600,""))</f>
        <v>169 / 600</v>
      </c>
      <c r="O879" s="117"/>
      <c r="P879" s="215"/>
      <c r="Q879" s="14"/>
      <c r="R879" s="11"/>
    </row>
    <row r="880" s="1" customFormat="1" ht="18" customHeight="1" spans="1:19">
      <c r="A880" s="7"/>
      <c r="B880" s="12"/>
      <c r="C880" s="33"/>
      <c r="D880" s="207" t="s">
        <v>725</v>
      </c>
      <c r="E880" s="207"/>
      <c r="F880" s="207"/>
      <c r="G880" s="207"/>
      <c r="H880" s="69" t="str">
        <f>IFERROR(IF(F846&gt;0,H879/H878*100),"")</f>
        <v/>
      </c>
      <c r="I880" s="69"/>
      <c r="J880" s="29"/>
      <c r="K880" s="29"/>
      <c r="L880" s="207" t="s">
        <v>726</v>
      </c>
      <c r="M880" s="207"/>
      <c r="N880" s="216">
        <f>IF(F846&gt;ENTRY!$D$24,"",IF(F846&gt;0,L870/600*100,""))</f>
        <v>28.1666666666667</v>
      </c>
      <c r="O880" s="216"/>
      <c r="P880" s="19"/>
      <c r="Q880" s="14"/>
      <c r="R880" s="11"/>
    </row>
    <row r="881" s="1" customFormat="1" ht="21.95" customHeight="1" spans="1:18">
      <c r="A881" s="7"/>
      <c r="B881" s="12"/>
      <c r="C881" s="33"/>
      <c r="D881" s="80"/>
      <c r="E881" s="80"/>
      <c r="F881" s="217"/>
      <c r="G881" s="217"/>
      <c r="H881" s="217"/>
      <c r="I881" s="217"/>
      <c r="J881" s="217"/>
      <c r="K881" s="217"/>
      <c r="L881" s="217"/>
      <c r="M881" s="217"/>
      <c r="N881" s="80"/>
      <c r="O881" s="80"/>
      <c r="P881" s="19"/>
      <c r="Q881" s="14"/>
      <c r="R881" s="11"/>
    </row>
    <row r="882" s="1" customFormat="1" ht="21.95" customHeight="1" spans="1:18">
      <c r="A882" s="7"/>
      <c r="B882" s="12"/>
      <c r="C882" s="33"/>
      <c r="D882" s="80"/>
      <c r="E882" s="218"/>
      <c r="F882" s="218"/>
      <c r="G882" s="218"/>
      <c r="H882" s="80"/>
      <c r="I882" s="218"/>
      <c r="J882" s="218"/>
      <c r="K882" s="218"/>
      <c r="L882" s="218"/>
      <c r="M882" s="80"/>
      <c r="N882" s="219"/>
      <c r="O882" s="219"/>
      <c r="P882" s="19"/>
      <c r="Q882" s="14"/>
      <c r="R882" s="11"/>
    </row>
    <row r="883" s="1" customFormat="1" ht="21.95" customHeight="1" spans="1:18">
      <c r="A883" s="7"/>
      <c r="B883" s="12"/>
      <c r="C883" s="33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19"/>
      <c r="Q883" s="14"/>
      <c r="R883" s="11"/>
    </row>
    <row r="884" s="1" customFormat="1" ht="21.95" customHeight="1" spans="1:18">
      <c r="A884" s="7"/>
      <c r="B884" s="12"/>
      <c r="C884" s="33"/>
      <c r="D884" s="218"/>
      <c r="E884" s="218"/>
      <c r="F884" s="218"/>
      <c r="G884" s="218"/>
      <c r="H884" s="218"/>
      <c r="I884" s="218"/>
      <c r="J884" s="218"/>
      <c r="K884" s="218"/>
      <c r="L884" s="218"/>
      <c r="M884" s="80"/>
      <c r="N884" s="217"/>
      <c r="O884" s="217"/>
      <c r="P884" s="85" t="s">
        <v>727</v>
      </c>
      <c r="Q884" s="14"/>
      <c r="R884" s="11"/>
    </row>
    <row r="885" s="1" customFormat="1" ht="21.95" customHeight="1" spans="1:18">
      <c r="A885" s="7"/>
      <c r="B885" s="12"/>
      <c r="C885" s="33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19"/>
      <c r="Q885" s="14"/>
      <c r="R885" s="11"/>
    </row>
    <row r="886" s="1" customFormat="1" ht="21.95" customHeight="1" spans="1:18">
      <c r="A886" s="7"/>
      <c r="B886" s="12"/>
      <c r="C886" s="33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19"/>
      <c r="Q886" s="14"/>
      <c r="R886" s="11"/>
    </row>
    <row r="887" s="1" customFormat="1" ht="21.95" customHeight="1" spans="1:18">
      <c r="A887" s="7"/>
      <c r="B887" s="12"/>
      <c r="C887" s="33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19"/>
      <c r="Q887" s="14"/>
      <c r="R887" s="11"/>
    </row>
    <row r="888" s="1" customFormat="1" ht="21.95" customHeight="1" spans="1:18">
      <c r="A888" s="7"/>
      <c r="B888" s="12"/>
      <c r="C888" s="33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19"/>
      <c r="Q888" s="14"/>
      <c r="R888" s="11"/>
    </row>
    <row r="889" s="1" customFormat="1" ht="21.95" customHeight="1" spans="1:18">
      <c r="A889" s="7"/>
      <c r="B889" s="12"/>
      <c r="C889" s="33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19"/>
      <c r="Q889" s="14"/>
      <c r="R889" s="11"/>
    </row>
    <row r="890" s="1" customFormat="1" ht="21.95" customHeight="1" spans="1:18">
      <c r="A890" s="7"/>
      <c r="B890" s="12"/>
      <c r="C890" s="33"/>
      <c r="D890" s="80" t="s">
        <v>728</v>
      </c>
      <c r="E890" s="220">
        <f>ENTRY!$D$27</f>
        <v>46102</v>
      </c>
      <c r="F890" s="220"/>
      <c r="G890" s="29"/>
      <c r="H890" s="29"/>
      <c r="I890" s="221" t="s">
        <v>729</v>
      </c>
      <c r="J890" s="153"/>
      <c r="K890" s="29"/>
      <c r="L890" s="29"/>
      <c r="M890" s="87" t="s">
        <v>730</v>
      </c>
      <c r="N890" s="87"/>
      <c r="O890" s="87"/>
      <c r="P890" s="19"/>
      <c r="Q890" s="14"/>
      <c r="R890" s="11"/>
    </row>
    <row r="891" s="1" customFormat="1" ht="21.95" customHeight="1" spans="1:18">
      <c r="A891" s="7"/>
      <c r="B891" s="12"/>
      <c r="C891" s="33"/>
      <c r="D891" s="80" t="s">
        <v>731</v>
      </c>
      <c r="E891" s="88" t="str">
        <f>PROPER(ENTRY!$D$28)</f>
        <v>New Delhi</v>
      </c>
      <c r="F891" s="88"/>
      <c r="G891" s="29"/>
      <c r="H891" s="29"/>
      <c r="I891" s="153"/>
      <c r="J891" s="153"/>
      <c r="K891" s="29"/>
      <c r="L891" s="29"/>
      <c r="M891" s="79" t="s">
        <v>732</v>
      </c>
      <c r="N891" s="79"/>
      <c r="O891" s="79"/>
      <c r="P891" s="19"/>
      <c r="Q891" s="14"/>
      <c r="R891" s="11"/>
    </row>
    <row r="892" s="1" customFormat="1" ht="21.95" customHeight="1" spans="1:18">
      <c r="A892" s="7"/>
      <c r="B892" s="12"/>
      <c r="C892" s="90"/>
      <c r="D892" s="91"/>
      <c r="E892" s="91"/>
      <c r="F892" s="91"/>
      <c r="G892" s="91"/>
      <c r="H892" s="91"/>
      <c r="I892" s="91"/>
      <c r="J892" s="91"/>
      <c r="K892" s="91"/>
      <c r="L892" s="91"/>
      <c r="M892" s="91"/>
      <c r="N892" s="91"/>
      <c r="O892" s="91"/>
      <c r="P892" s="92"/>
      <c r="Q892" s="14"/>
      <c r="R892" s="11"/>
    </row>
    <row r="893" s="1" customFormat="1" ht="5.1" customHeight="1" spans="1:18">
      <c r="A893" s="7"/>
      <c r="B893" s="90"/>
      <c r="C893" s="91"/>
      <c r="D893" s="91"/>
      <c r="E893" s="91"/>
      <c r="F893" s="91"/>
      <c r="G893" s="91"/>
      <c r="H893" s="91"/>
      <c r="I893" s="91"/>
      <c r="J893" s="91"/>
      <c r="K893" s="91"/>
      <c r="L893" s="91"/>
      <c r="M893" s="91"/>
      <c r="N893" s="91"/>
      <c r="O893" s="91"/>
      <c r="P893" s="91"/>
      <c r="Q893" s="92"/>
      <c r="R893" s="11"/>
    </row>
    <row r="894" s="1" customFormat="1" ht="5.1" customHeight="1" spans="1:18">
      <c r="A894" s="93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5"/>
    </row>
    <row r="895" s="1" customFormat="1" ht="21.95" customHeight="1"/>
    <row r="896" ht="15.15"/>
    <row r="897" s="1" customFormat="1" ht="5.1" customHeight="1" spans="1:18">
      <c r="A897" s="4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6"/>
    </row>
    <row r="898" s="1" customFormat="1" ht="15" customHeight="1" spans="1:18">
      <c r="A898" s="7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0"/>
      <c r="R898" s="11"/>
    </row>
    <row r="899" s="1" customFormat="1" ht="21.95" customHeight="1" spans="1:18">
      <c r="A899" s="7"/>
      <c r="B899" s="12"/>
      <c r="C899" s="13" t="s">
        <v>7</v>
      </c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4"/>
      <c r="R899" s="11"/>
    </row>
    <row r="900" s="1" customFormat="1" ht="21.95" customHeight="1" spans="1:18">
      <c r="A900" s="7"/>
      <c r="B900" s="1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14"/>
      <c r="R900" s="11"/>
    </row>
    <row r="901" s="1" customFormat="1" ht="21.95" customHeight="1" spans="1:18">
      <c r="A901" s="7"/>
      <c r="B901" s="12"/>
      <c r="C901" s="15" t="str">
        <f>"SESSION-"&amp;ENTRY!$D$11</f>
        <v>SESSION-2026-27</v>
      </c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4"/>
      <c r="R901" s="11"/>
    </row>
    <row r="902" s="1" customFormat="1" ht="21.95" customHeight="1" spans="1:18">
      <c r="A902" s="7"/>
      <c r="B902" s="12"/>
      <c r="C902" s="2"/>
      <c r="D902" s="2"/>
      <c r="E902" s="2"/>
      <c r="F902" s="16">
        <f>F846+1</f>
        <v>17</v>
      </c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14"/>
      <c r="R902" s="11"/>
    </row>
    <row r="903" s="1" customFormat="1" ht="21.95" customHeight="1" spans="1:18">
      <c r="A903" s="7"/>
      <c r="B903" s="12"/>
      <c r="C903" s="17" t="s">
        <v>392</v>
      </c>
      <c r="D903" s="17"/>
      <c r="E903" s="17"/>
      <c r="F903" s="18" t="str">
        <f>IF(F902&gt;0,ENTRY!$D$6,"")</f>
        <v>MCP NITHARI NO 1 BOYS</v>
      </c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4"/>
      <c r="R903" s="11"/>
    </row>
    <row r="904" s="1" customFormat="1" ht="21.95" customHeight="1" spans="1:18">
      <c r="A904" s="7"/>
      <c r="B904" s="12"/>
      <c r="C904" s="17" t="s">
        <v>393</v>
      </c>
      <c r="D904" s="17"/>
      <c r="E904" s="17"/>
      <c r="F904" s="18">
        <f>IF(F902&gt;0,ENTRY!$D$7,"")</f>
        <v>0</v>
      </c>
      <c r="G904" s="18"/>
      <c r="H904" s="20" t="s">
        <v>702</v>
      </c>
      <c r="I904" s="20"/>
      <c r="J904" s="21">
        <f>IF(F902&gt;0,ENTRY!$D$10,"")</f>
        <v>40</v>
      </c>
      <c r="K904" s="20" t="s">
        <v>703</v>
      </c>
      <c r="L904" s="22" t="str">
        <f>IF(F902&gt;0,ENTRY!$D$5,"")</f>
        <v>ROHINI ZONE</v>
      </c>
      <c r="M904" s="22"/>
      <c r="N904" s="22"/>
      <c r="O904" s="22"/>
      <c r="P904" s="22"/>
      <c r="Q904" s="14"/>
      <c r="R904" s="11"/>
    </row>
    <row r="905" s="1" customFormat="1" ht="21.95" customHeight="1" spans="1:18">
      <c r="A905" s="7"/>
      <c r="B905" s="12"/>
      <c r="C905" s="17" t="s">
        <v>706</v>
      </c>
      <c r="D905" s="17"/>
      <c r="E905" s="17"/>
      <c r="F905" s="23" t="str">
        <f>IFERROR(VLOOKUP(F902,STUDENT!$A$2:$BP$101,5,0),"")</f>
        <v>GAURAV KUMAR</v>
      </c>
      <c r="G905" s="23"/>
      <c r="H905" s="23"/>
      <c r="I905" s="23"/>
      <c r="J905" s="23"/>
      <c r="K905" s="23"/>
      <c r="L905" s="20" t="s">
        <v>707</v>
      </c>
      <c r="M905" s="20"/>
      <c r="N905" s="24" t="str">
        <f>IF(F902&gt;0,ENTRY!$D$20&amp;"-"&amp;ENTRY!$D$21,"")</f>
        <v>III-A</v>
      </c>
      <c r="O905" s="24"/>
      <c r="P905" s="24"/>
      <c r="Q905" s="14"/>
      <c r="R905" s="11"/>
    </row>
    <row r="906" s="1" customFormat="1" ht="21.95" customHeight="1" spans="1:18">
      <c r="A906" s="7"/>
      <c r="B906" s="12"/>
      <c r="C906" s="17" t="s">
        <v>708</v>
      </c>
      <c r="D906" s="17"/>
      <c r="E906" s="17"/>
      <c r="F906" s="25">
        <f>IFERROR(VLOOKUP(F902,STUDENT!$A$2:$BP$101,6,0),"")</f>
        <v>14755</v>
      </c>
      <c r="G906" s="25"/>
      <c r="H906" s="26" t="s">
        <v>709</v>
      </c>
      <c r="I906" s="27" t="str">
        <f>IFERROR(VLOOKUP(F902,STUDENT!$A$2:$BP$101,59,0),"")</f>
        <v/>
      </c>
      <c r="J906" s="27"/>
      <c r="K906" s="20" t="s">
        <v>710</v>
      </c>
      <c r="L906" s="20"/>
      <c r="M906" s="28">
        <f>IFERROR(VLOOKUP(F902,STUDENT!$A$2:$BP$101,20,0),"")</f>
        <v>9560140255</v>
      </c>
      <c r="N906" s="28"/>
      <c r="O906" s="28"/>
      <c r="P906" s="28"/>
      <c r="Q906" s="14"/>
      <c r="R906" s="11"/>
    </row>
    <row r="907" s="1" customFormat="1" ht="21.95" customHeight="1" spans="1:18">
      <c r="A907" s="7"/>
      <c r="B907" s="12"/>
      <c r="C907" s="17" t="s">
        <v>711</v>
      </c>
      <c r="D907" s="17"/>
      <c r="E907" s="17"/>
      <c r="F907" s="23" t="str">
        <f>IFERROR(VLOOKUP(F902,STUDENT!$A$2:$BP$101,9,0),"")</f>
        <v>KANCHAN YADAV</v>
      </c>
      <c r="G907" s="23"/>
      <c r="H907" s="23"/>
      <c r="I907" s="23"/>
      <c r="J907" s="17" t="s">
        <v>620</v>
      </c>
      <c r="K907" s="17"/>
      <c r="L907" s="23" t="str">
        <f>IFERROR(VLOOKUP(F902,STUDENT!$A$2:$BP$101,8,0),"")</f>
        <v>HARINDER YADAV</v>
      </c>
      <c r="M907" s="23"/>
      <c r="N907" s="23"/>
      <c r="O907" s="23"/>
      <c r="P907" s="23"/>
      <c r="Q907" s="14"/>
      <c r="R907" s="11"/>
    </row>
    <row r="908" s="1" customFormat="1" ht="21.95" customHeight="1" spans="1:18">
      <c r="A908" s="7"/>
      <c r="B908" s="12"/>
      <c r="C908" s="17" t="s">
        <v>712</v>
      </c>
      <c r="D908" s="17"/>
      <c r="E908" s="17"/>
      <c r="F908" s="23" t="str">
        <f>IFERROR(VLOOKUP(F902,STUDENT!$A$2:$BP$101,22,0),"")</f>
        <v>B-504/2 INDER ENCLAVE II KIRARI</v>
      </c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14"/>
      <c r="R908" s="11"/>
    </row>
    <row r="909" s="1" customFormat="1" ht="9.95" customHeight="1" spans="1:18">
      <c r="A909" s="7"/>
      <c r="B909" s="12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14"/>
      <c r="R909" s="11"/>
    </row>
    <row r="910" s="1" customFormat="1" ht="9.95" customHeight="1" spans="1:18">
      <c r="A910" s="7"/>
      <c r="B910" s="12"/>
      <c r="C910" s="30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2"/>
      <c r="Q910" s="14"/>
      <c r="R910" s="11"/>
    </row>
    <row r="911" s="1" customFormat="1" ht="21.95" customHeight="1" spans="1:18">
      <c r="A911" s="7"/>
      <c r="B911" s="12"/>
      <c r="C911" s="33"/>
      <c r="D911" s="34" t="s">
        <v>713</v>
      </c>
      <c r="E911" s="20" t="s">
        <v>714</v>
      </c>
      <c r="F911" s="35" t="str">
        <f>"Level - "&amp;IFERROR(VLOOKUP(F902,FLN!$A$4:$K$103,9,0),"")</f>
        <v>Level - 2</v>
      </c>
      <c r="G911" s="36"/>
      <c r="H911" s="37" t="s">
        <v>715</v>
      </c>
      <c r="I911" s="20"/>
      <c r="J911" s="35" t="str">
        <f>"Level - "&amp;IFERROR(VLOOKUP(F902,FLN!$A$4:$K$103,11,0),"")</f>
        <v>Level - 4</v>
      </c>
      <c r="K911" s="36"/>
      <c r="L911" s="37" t="s">
        <v>408</v>
      </c>
      <c r="M911" s="20"/>
      <c r="N911" s="35" t="str">
        <f>"Level - "&amp;IFERROR(VLOOKUP(F902,FLN!$A$4:$K$103,10,0),"")</f>
        <v>Level - 2</v>
      </c>
      <c r="O911" s="36"/>
      <c r="P911" s="19"/>
      <c r="Q911" s="14"/>
      <c r="R911" s="11"/>
    </row>
    <row r="912" s="1" customFormat="1" ht="21.95" customHeight="1" spans="1:18">
      <c r="A912" s="7"/>
      <c r="B912" s="12"/>
      <c r="C912" s="33"/>
      <c r="D912" s="38"/>
      <c r="E912" s="20" t="s">
        <v>716</v>
      </c>
      <c r="F912" s="18" t="str">
        <f>IF(L926&gt;197,"PERFORMED WELL","")</f>
        <v/>
      </c>
      <c r="G912" s="18"/>
      <c r="H912" s="18"/>
      <c r="I912" s="18"/>
      <c r="J912" s="18"/>
      <c r="K912" s="18"/>
      <c r="L912" s="18"/>
      <c r="M912" s="18"/>
      <c r="N912" s="18"/>
      <c r="O912" s="18"/>
      <c r="P912" s="19"/>
      <c r="Q912" s="14"/>
      <c r="R912" s="11"/>
    </row>
    <row r="913" s="1" customFormat="1" ht="9.95" customHeight="1" spans="1:18">
      <c r="A913" s="7"/>
      <c r="B913" s="12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1"/>
      <c r="Q913" s="14"/>
      <c r="R913" s="11"/>
    </row>
    <row r="914" s="1" customFormat="1" ht="9.95" customHeight="1" spans="1:18">
      <c r="A914" s="7"/>
      <c r="B914" s="12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14"/>
      <c r="R914" s="11"/>
    </row>
    <row r="915" s="1" customFormat="1" ht="9.95" customHeight="1" spans="1:18">
      <c r="A915" s="7"/>
      <c r="B915" s="12"/>
      <c r="C915" s="30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2"/>
      <c r="Q915" s="14"/>
      <c r="R915" s="11"/>
    </row>
    <row r="916" s="1" customFormat="1" ht="21.95" customHeight="1" spans="1:18">
      <c r="A916" s="7"/>
      <c r="B916" s="12"/>
      <c r="C916" s="33"/>
      <c r="D916" s="35"/>
      <c r="E916" s="24"/>
      <c r="F916" s="24"/>
      <c r="G916" s="47" t="s">
        <v>717</v>
      </c>
      <c r="H916" s="47"/>
      <c r="I916" s="47"/>
      <c r="J916" s="47"/>
      <c r="K916" s="47"/>
      <c r="L916" s="47"/>
      <c r="M916" s="47"/>
      <c r="N916" s="47"/>
      <c r="O916" s="29"/>
      <c r="P916" s="19"/>
      <c r="Q916" s="14"/>
      <c r="R916" s="11"/>
    </row>
    <row r="917" s="1" customFormat="1" ht="21.95" customHeight="1" spans="1:18">
      <c r="A917" s="7"/>
      <c r="B917" s="12"/>
      <c r="C917" s="33"/>
      <c r="D917" s="47"/>
      <c r="E917" s="47"/>
      <c r="F917" s="47"/>
      <c r="G917" s="47" t="s">
        <v>541</v>
      </c>
      <c r="H917" s="47" t="s">
        <v>542</v>
      </c>
      <c r="I917" s="47" t="s">
        <v>543</v>
      </c>
      <c r="J917" s="47" t="s">
        <v>544</v>
      </c>
      <c r="K917" s="47" t="s">
        <v>561</v>
      </c>
      <c r="L917" s="47" t="s">
        <v>382</v>
      </c>
      <c r="M917" s="49" t="s">
        <v>546</v>
      </c>
      <c r="N917" s="49"/>
      <c r="O917" s="29"/>
      <c r="P917" s="19"/>
      <c r="Q917" s="14"/>
      <c r="R917" s="11"/>
    </row>
    <row r="918" s="1" customFormat="1" ht="21.95" customHeight="1" spans="1:18">
      <c r="A918" s="7"/>
      <c r="B918" s="12"/>
      <c r="C918" s="33"/>
      <c r="D918" s="207" t="s">
        <v>652</v>
      </c>
      <c r="E918" s="207"/>
      <c r="F918" s="207"/>
      <c r="G918" s="50">
        <v>10</v>
      </c>
      <c r="H918" s="50">
        <v>10</v>
      </c>
      <c r="I918" s="50">
        <v>10</v>
      </c>
      <c r="J918" s="50">
        <v>10</v>
      </c>
      <c r="K918" s="50">
        <v>60</v>
      </c>
      <c r="L918" s="50">
        <v>100</v>
      </c>
      <c r="M918" s="49"/>
      <c r="N918" s="49"/>
      <c r="O918" s="29"/>
      <c r="P918" s="19"/>
      <c r="Q918" s="14"/>
      <c r="R918" s="11"/>
    </row>
    <row r="919" s="1" customFormat="1" ht="21.95" customHeight="1" spans="1:18">
      <c r="A919" s="7"/>
      <c r="B919" s="12"/>
      <c r="C919" s="33"/>
      <c r="D919" s="117" t="s">
        <v>668</v>
      </c>
      <c r="E919" s="117"/>
      <c r="F919" s="117"/>
      <c r="G919" s="54">
        <f>IFERROR(VLOOKUP(F902,'1to4-2.1-RR'!$A$12:$BG$111,9,0),"")</f>
        <v>2</v>
      </c>
      <c r="H919" s="54">
        <f>IFERROR(VLOOKUP(F902,'1to4-2.1-RR'!$A$12:$BG$111,10,0),"")</f>
        <v>0</v>
      </c>
      <c r="I919" s="54">
        <f>IFERROR(VLOOKUP(F902,'1to4-2.1-RR'!$A$12:$BG$111,11,0),"")</f>
        <v>0</v>
      </c>
      <c r="J919" s="54">
        <f>IFERROR(VLOOKUP(F902,'1to4-2.1-RR'!$A$12:$BG$111,12,0),"")</f>
        <v>0</v>
      </c>
      <c r="K919" s="54">
        <f>IFERROR(VLOOKUP(F902,'1to4-2.1-RR'!$A$12:$BG$111,13,0),"")</f>
        <v>26</v>
      </c>
      <c r="L919" s="55">
        <f>SUM(G919:K919)</f>
        <v>28</v>
      </c>
      <c r="M919" s="56" t="str">
        <f>IF(F902&gt;ENTRY!$D$24,"",IF(L919=0,"Ab",IF(L919&gt;80,"A",IF(L919&gt;60,"B",IF(L919&gt;44,"C",IF(L919&gt;=33,"D",IF(L919&lt;=32,"E","")))))))</f>
        <v>E</v>
      </c>
      <c r="N919" s="56"/>
      <c r="O919" s="29"/>
      <c r="P919" s="19"/>
      <c r="Q919" s="14"/>
      <c r="R919" s="11"/>
    </row>
    <row r="920" s="1" customFormat="1" ht="21.95" customHeight="1" spans="1:18">
      <c r="A920" s="7"/>
      <c r="B920" s="12"/>
      <c r="C920" s="33"/>
      <c r="D920" s="117" t="s">
        <v>513</v>
      </c>
      <c r="E920" s="117"/>
      <c r="F920" s="117"/>
      <c r="G920" s="54">
        <f>IFERROR(VLOOKUP(F902,'1to4-2.1-RR'!$A$12:$BG$111,16,0),"")</f>
        <v>1</v>
      </c>
      <c r="H920" s="54">
        <f>IFERROR(VLOOKUP(F902,'1to4-2.1-RR'!$A$12:$BG$111,17,0),"")</f>
        <v>0</v>
      </c>
      <c r="I920" s="54">
        <f>IFERROR(VLOOKUP(F902,'1to4-2.1-RR'!$A$12:$BG$111,18,0),"")</f>
        <v>0</v>
      </c>
      <c r="J920" s="54">
        <f>IFERROR(VLOOKUP(F902,'1to4-2.1-RR'!$A$12:$BG$111,19,0),"")</f>
        <v>0</v>
      </c>
      <c r="K920" s="54">
        <f>IFERROR(VLOOKUP(F902,'1to4-2.1-RR'!$A$12:$BG$111,20,0),"")</f>
        <v>16</v>
      </c>
      <c r="L920" s="55">
        <f t="shared" ref="L920:L925" si="32">SUM(G920:K920)</f>
        <v>17</v>
      </c>
      <c r="M920" s="56" t="str">
        <f>IF(F902&gt;ENTRY!$D$24,"",IF(L920=0,"Ab",IF(L920&gt;80,"A",IF(L920&gt;60,"B",IF(L920&gt;44,"C",IF(L920&gt;=33,"D",IF(L920&lt;=32,"E","")))))))</f>
        <v>E</v>
      </c>
      <c r="N920" s="56"/>
      <c r="O920" s="29"/>
      <c r="P920" s="19"/>
      <c r="Q920" s="14"/>
      <c r="R920" s="11"/>
    </row>
    <row r="921" s="1" customFormat="1" ht="21.95" customHeight="1" spans="1:18">
      <c r="A921" s="7"/>
      <c r="B921" s="12"/>
      <c r="C921" s="33"/>
      <c r="D921" s="117" t="s">
        <v>718</v>
      </c>
      <c r="E921" s="117"/>
      <c r="F921" s="117"/>
      <c r="G921" s="54">
        <f>IFERROR(VLOOKUP(F902,'1to4-2.1-RR'!$A$12:$BG$111,23,0),"")</f>
        <v>1</v>
      </c>
      <c r="H921" s="54">
        <f>IFERROR(VLOOKUP(F902,'1to4-2.1-RR'!$A$12:$BG$111,24,0),"")</f>
        <v>0</v>
      </c>
      <c r="I921" s="54">
        <f>IFERROR(VLOOKUP(F902,'1to4-2.1-RR'!$A$12:$BG$111,25,0),"")</f>
        <v>0</v>
      </c>
      <c r="J921" s="54">
        <f>IFERROR(VLOOKUP(F902,'1to4-2.1-RR'!$A$12:$BG$111,26,0),"")</f>
        <v>0</v>
      </c>
      <c r="K921" s="54">
        <f>IFERROR(VLOOKUP(F902,'1to4-2.1-RR'!$A$12:$BG$111,27,0),"")</f>
        <v>11</v>
      </c>
      <c r="L921" s="55">
        <f t="shared" si="32"/>
        <v>12</v>
      </c>
      <c r="M921" s="56" t="str">
        <f>IF(F902&gt;ENTRY!$D$24,"",IF(L921=0,"Ab",IF(L921&gt;80,"A",IF(L921&gt;60,"B",IF(L921&gt;44,"C",IF(L921&gt;=33,"D",IF(L921&lt;=32,"E","")))))))</f>
        <v>E</v>
      </c>
      <c r="N921" s="56"/>
      <c r="O921" s="29"/>
      <c r="P921" s="19"/>
      <c r="Q921" s="14"/>
      <c r="R921" s="11"/>
    </row>
    <row r="922" s="1" customFormat="1" ht="21.95" customHeight="1" spans="1:18">
      <c r="A922" s="7"/>
      <c r="B922" s="12"/>
      <c r="C922" s="33"/>
      <c r="D922" s="117" t="s">
        <v>719</v>
      </c>
      <c r="E922" s="117"/>
      <c r="F922" s="117"/>
      <c r="G922" s="54">
        <f>IFERROR(VLOOKUP(F902,'1to4-2.1-RR'!$A$12:$BG$111,30,0),"")</f>
        <v>1</v>
      </c>
      <c r="H922" s="54">
        <f>IFERROR(VLOOKUP(F902,'1to4-2.1-RR'!$A$12:$BG$111,31,0),"")</f>
        <v>0</v>
      </c>
      <c r="I922" s="54">
        <f>IFERROR(VLOOKUP(F902,'1to4-2.1-RR'!$A$12:$BG$111,32,0),"")</f>
        <v>0</v>
      </c>
      <c r="J922" s="54">
        <f>IFERROR(VLOOKUP(F902,'1to4-2.1-RR'!$A$12:$BG$111,33,0),"")</f>
        <v>0</v>
      </c>
      <c r="K922" s="54">
        <f>IFERROR(VLOOKUP(F902,'1to4-2.1-RR'!$A$12:$BG$111,34,0),"")</f>
        <v>13</v>
      </c>
      <c r="L922" s="55">
        <f t="shared" si="32"/>
        <v>14</v>
      </c>
      <c r="M922" s="56" t="str">
        <f>IF(F902&gt;ENTRY!$D$24,"",IF(L922=0,"Ab",IF(L922&gt;80,"A",IF(L922&gt;60,"B",IF(L922&gt;44,"C",IF(L922&gt;=33,"D",IF(L922&lt;=32,"E","")))))))</f>
        <v>E</v>
      </c>
      <c r="N922" s="56"/>
      <c r="O922" s="29"/>
      <c r="P922" s="19"/>
      <c r="Q922" s="14"/>
      <c r="R922" s="11"/>
    </row>
    <row r="923" s="1" customFormat="1" ht="21.95" customHeight="1" spans="1:18">
      <c r="A923" s="7"/>
      <c r="B923" s="12"/>
      <c r="C923" s="33"/>
      <c r="D923" s="117" t="s">
        <v>548</v>
      </c>
      <c r="E923" s="117"/>
      <c r="F923" s="117"/>
      <c r="G923" s="54">
        <f>IFERROR(VLOOKUP(F902,'1to4-2.1-RR'!$A$12:$BG$111,37,0),"")</f>
        <v>0</v>
      </c>
      <c r="H923" s="54">
        <f>IFERROR(VLOOKUP(F902,'1to4-2.1-RR'!$A$12:$BG$111,38,0),"")</f>
        <v>0</v>
      </c>
      <c r="I923" s="54">
        <f>IFERROR(VLOOKUP(F902,'1to4-2.1-RR'!$A$12:$BG$111,39,0),"")</f>
        <v>0</v>
      </c>
      <c r="J923" s="54">
        <f>IFERROR(VLOOKUP(F902,'1to4-2.1-RR'!$A$12:$BG$111,40,0),"")</f>
        <v>0</v>
      </c>
      <c r="K923" s="54">
        <f>IFERROR(VLOOKUP(F902,'1to4-2.1-RR'!$A$12:$BG$111,41,0),"")</f>
        <v>12</v>
      </c>
      <c r="L923" s="55">
        <f t="shared" si="32"/>
        <v>12</v>
      </c>
      <c r="M923" s="56" t="str">
        <f>IF(F902&gt;ENTRY!$D$24,"",IF(L923=0,"Ab",IF(L923&gt;80,"A",IF(L923&gt;60,"B",IF(L923&gt;44,"C",IF(L923&gt;=33,"D",IF(L923&lt;=32,"E","")))))))</f>
        <v>E</v>
      </c>
      <c r="N923" s="56"/>
      <c r="O923" s="29"/>
      <c r="P923" s="19"/>
      <c r="Q923" s="14"/>
      <c r="R923" s="11"/>
    </row>
    <row r="924" s="1" customFormat="1" ht="21.95" customHeight="1" spans="1:18">
      <c r="A924" s="7"/>
      <c r="B924" s="12"/>
      <c r="C924" s="33"/>
      <c r="D924" s="117" t="s">
        <v>549</v>
      </c>
      <c r="E924" s="117"/>
      <c r="F924" s="117"/>
      <c r="G924" s="54">
        <f>IFERROR(VLOOKUP(F902,'1to4-2.1-RR'!$A$12:$BG$111,44,0),"")</f>
        <v>2</v>
      </c>
      <c r="H924" s="54">
        <f>IFERROR(VLOOKUP(F902,'1to4-2.1-RR'!$A$12:$BG$111,45,0),"")</f>
        <v>0</v>
      </c>
      <c r="I924" s="54">
        <f>IFERROR(VLOOKUP(F902,'1to4-2.1-RR'!$A$12:$BG$111,46,0),"")</f>
        <v>0</v>
      </c>
      <c r="J924" s="54">
        <f>IFERROR(VLOOKUP(F902,'1to4-2.1-RR'!$A$12:$BG$111,47,0),"")</f>
        <v>0</v>
      </c>
      <c r="K924" s="54">
        <f>IFERROR(VLOOKUP(F902,'1to4-2.1-RR'!$A$12:$BG$111,48,0),"")</f>
        <v>22</v>
      </c>
      <c r="L924" s="55">
        <f t="shared" si="32"/>
        <v>24</v>
      </c>
      <c r="M924" s="56" t="str">
        <f>IF(F902&gt;ENTRY!$D$24,"",IF(L924=0,"Ab",IF(L924&gt;80,"A",IF(L924&gt;60,"B",IF(L924&gt;44,"C",IF(L924&gt;=33,"D",IF(L924&lt;=32,"E","")))))))</f>
        <v>E</v>
      </c>
      <c r="N924" s="56"/>
      <c r="O924" s="29"/>
      <c r="P924" s="19"/>
      <c r="Q924" s="14"/>
      <c r="R924" s="11"/>
    </row>
    <row r="925" s="1" customFormat="1" ht="21.95" customHeight="1" spans="1:18">
      <c r="A925" s="7"/>
      <c r="B925" s="12"/>
      <c r="C925" s="33"/>
      <c r="D925" s="117" t="s">
        <v>720</v>
      </c>
      <c r="E925" s="117"/>
      <c r="F925" s="117"/>
      <c r="G925" s="54"/>
      <c r="H925" s="54"/>
      <c r="I925" s="54"/>
      <c r="J925" s="54"/>
      <c r="K925" s="54"/>
      <c r="L925" s="55">
        <f t="shared" si="32"/>
        <v>0</v>
      </c>
      <c r="M925" s="56" t="str">
        <f>IF(F902&gt;ENTRY!$D$24,"",IF(L925=0,"",IF(L925&gt;79,"A",IF(L925&gt;59,"B",IF(L925&gt;44,"C",IF(L925&gt;=33,"D",IF(L925&lt;=32,"E","")))))))</f>
        <v/>
      </c>
      <c r="N925" s="56"/>
      <c r="O925" s="29"/>
      <c r="P925" s="19"/>
      <c r="Q925" s="14"/>
      <c r="R925" s="11"/>
    </row>
    <row r="926" s="1" customFormat="1" ht="21.95" customHeight="1" spans="1:18">
      <c r="A926" s="7"/>
      <c r="B926" s="12"/>
      <c r="C926" s="33"/>
      <c r="D926" s="207" t="s">
        <v>382</v>
      </c>
      <c r="E926" s="207"/>
      <c r="F926" s="207"/>
      <c r="G926" s="54">
        <f t="shared" ref="G926:L926" si="33">IFERROR(SUM(G919:G925),"")</f>
        <v>7</v>
      </c>
      <c r="H926" s="54">
        <f t="shared" si="33"/>
        <v>0</v>
      </c>
      <c r="I926" s="54">
        <f t="shared" si="33"/>
        <v>0</v>
      </c>
      <c r="J926" s="54">
        <f t="shared" si="33"/>
        <v>0</v>
      </c>
      <c r="K926" s="54">
        <f t="shared" si="33"/>
        <v>100</v>
      </c>
      <c r="L926" s="55">
        <f t="shared" si="33"/>
        <v>107</v>
      </c>
      <c r="M926" s="61" t="str">
        <f>IF(F902&gt;ENTRY!$D$24,"",IF(N927="Ab","Ab",IF(N927&gt;79.5,"A",IF(N927&gt;59.5,"B",IF(N927&gt;44.5,"C",IF(N927&gt;=33,"D",IF(N927&lt;33,"E","")))))))</f>
        <v>E</v>
      </c>
      <c r="N926" s="61"/>
      <c r="O926" s="29"/>
      <c r="P926" s="19"/>
      <c r="Q926" s="14"/>
      <c r="R926" s="11"/>
    </row>
    <row r="927" s="1" customFormat="1" ht="21.95" customHeight="1" spans="1:18">
      <c r="A927" s="7"/>
      <c r="B927" s="12"/>
      <c r="C927" s="33"/>
      <c r="D927" s="63" t="s">
        <v>721</v>
      </c>
      <c r="E927" s="63"/>
      <c r="F927" s="63"/>
      <c r="G927" s="63"/>
      <c r="H927" s="63"/>
      <c r="I927" s="63"/>
      <c r="J927" s="63"/>
      <c r="K927" s="63"/>
      <c r="L927" s="63"/>
      <c r="M927" s="209"/>
      <c r="N927" s="64">
        <f>IF(L926="Ab","Ab",L926/6)</f>
        <v>17.8333333333333</v>
      </c>
      <c r="O927" s="65"/>
      <c r="P927" s="19"/>
      <c r="Q927" s="14"/>
      <c r="R927" s="11"/>
    </row>
    <row r="928" s="1" customFormat="1" ht="21.95" customHeight="1" spans="1:18">
      <c r="A928" s="7"/>
      <c r="B928" s="12"/>
      <c r="C928" s="33"/>
      <c r="D928" s="29" t="s">
        <v>716</v>
      </c>
      <c r="E928" s="18" t="str">
        <f>IFERROR(VLOOKUP(F902,'1to4-2.1-RR'!$A$12:$BG$111,57,0),"")</f>
        <v>PROMOTED</v>
      </c>
      <c r="F928" s="18"/>
      <c r="G928" s="18"/>
      <c r="H928" s="18"/>
      <c r="I928" s="18"/>
      <c r="J928" s="18"/>
      <c r="K928" s="18"/>
      <c r="L928" s="18"/>
      <c r="M928" s="18"/>
      <c r="N928" s="29"/>
      <c r="O928" s="29"/>
      <c r="P928" s="19"/>
      <c r="Q928" s="14"/>
      <c r="R928" s="11"/>
    </row>
    <row r="929" s="1" customFormat="1" ht="9.95" customHeight="1" spans="1:19">
      <c r="A929" s="7"/>
      <c r="B929" s="12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1"/>
      <c r="Q929" s="14"/>
      <c r="R929" s="11"/>
    </row>
    <row r="930" s="1" customFormat="1" ht="9.95" customHeight="1" spans="1:19">
      <c r="A930" s="7"/>
      <c r="B930" s="12"/>
      <c r="C930" s="30"/>
      <c r="D930" s="31"/>
      <c r="E930" s="31"/>
      <c r="F930" s="29"/>
      <c r="G930" s="31"/>
      <c r="H930" s="31"/>
      <c r="I930" s="31"/>
      <c r="J930" s="31"/>
      <c r="K930" s="31"/>
      <c r="L930" s="31"/>
      <c r="M930" s="31"/>
      <c r="N930" s="31"/>
      <c r="O930" s="31"/>
      <c r="P930" s="32"/>
      <c r="Q930" s="14"/>
      <c r="R930" s="11"/>
    </row>
    <row r="931" s="1" customFormat="1" ht="9.95" customHeight="1" spans="1:19">
      <c r="A931" s="7"/>
      <c r="B931" s="12"/>
      <c r="C931" s="33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19"/>
      <c r="Q931" s="14"/>
      <c r="R931" s="11"/>
    </row>
    <row r="932" s="1" customFormat="1" ht="9.95" customHeight="1" spans="1:19">
      <c r="A932" s="7"/>
      <c r="B932" s="12"/>
      <c r="C932" s="33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19"/>
      <c r="Q932" s="14"/>
      <c r="R932" s="11"/>
    </row>
    <row r="933" s="1" customFormat="1" ht="21.95" customHeight="1" spans="1:19">
      <c r="A933" s="7"/>
      <c r="B933" s="12"/>
      <c r="C933" s="210"/>
      <c r="D933" s="211"/>
      <c r="E933" s="211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2"/>
      <c r="Q933" s="14"/>
      <c r="R933" s="11"/>
      <c r="S933" s="2"/>
    </row>
    <row r="934" s="1" customFormat="1" ht="21.95" customHeight="1" spans="1:19">
      <c r="A934" s="7"/>
      <c r="B934" s="12"/>
      <c r="C934" s="33"/>
      <c r="D934" s="207" t="s">
        <v>722</v>
      </c>
      <c r="E934" s="207"/>
      <c r="F934" s="207"/>
      <c r="G934" s="207"/>
      <c r="H934" s="54">
        <f>IFERROR(VLOOKUP(F902,PASHEET!$A$4:$CJ$103,88,0),"")</f>
        <v>0</v>
      </c>
      <c r="I934" s="54"/>
      <c r="J934" s="29"/>
      <c r="K934" s="29"/>
      <c r="L934" s="29"/>
      <c r="M934" s="29"/>
      <c r="N934" s="29"/>
      <c r="O934" s="29"/>
      <c r="P934" s="19"/>
      <c r="Q934" s="14"/>
      <c r="R934" s="11"/>
    </row>
    <row r="935" s="1" customFormat="1" ht="21.95" customHeight="1" spans="1:19">
      <c r="A935" s="7"/>
      <c r="B935" s="12"/>
      <c r="C935" s="213"/>
      <c r="D935" s="207" t="s">
        <v>723</v>
      </c>
      <c r="E935" s="207"/>
      <c r="F935" s="207"/>
      <c r="G935" s="207"/>
      <c r="H935" s="54">
        <f>IFERROR(VLOOKUP(F902,PASHEET!$A$4:$CJ$103,87,0),"")</f>
        <v>0</v>
      </c>
      <c r="I935" s="54"/>
      <c r="J935" s="214"/>
      <c r="K935" s="214"/>
      <c r="L935" s="207" t="s">
        <v>724</v>
      </c>
      <c r="M935" s="207"/>
      <c r="N935" s="117" t="str">
        <f>IF(F902&gt;ENTRY!$D$24,"",IF(F902&gt;0,L926&amp;" / "&amp;600,""))</f>
        <v>107 / 600</v>
      </c>
      <c r="O935" s="117"/>
      <c r="P935" s="215"/>
      <c r="Q935" s="14"/>
      <c r="R935" s="11"/>
    </row>
    <row r="936" s="1" customFormat="1" ht="18" customHeight="1" spans="1:19">
      <c r="A936" s="7"/>
      <c r="B936" s="12"/>
      <c r="C936" s="33"/>
      <c r="D936" s="207" t="s">
        <v>725</v>
      </c>
      <c r="E936" s="207"/>
      <c r="F936" s="207"/>
      <c r="G936" s="207"/>
      <c r="H936" s="69" t="str">
        <f>IFERROR(IF(F902&gt;0,H935/H934*100),"")</f>
        <v/>
      </c>
      <c r="I936" s="69"/>
      <c r="J936" s="29"/>
      <c r="K936" s="29"/>
      <c r="L936" s="207" t="s">
        <v>726</v>
      </c>
      <c r="M936" s="207"/>
      <c r="N936" s="216">
        <f>IF(F902&gt;ENTRY!$D$24,"",IF(F902&gt;0,L926/600*100,""))</f>
        <v>17.8333333333333</v>
      </c>
      <c r="O936" s="216"/>
      <c r="P936" s="19"/>
      <c r="Q936" s="14"/>
      <c r="R936" s="11"/>
    </row>
    <row r="937" s="1" customFormat="1" ht="21.95" customHeight="1" spans="1:19">
      <c r="A937" s="7"/>
      <c r="B937" s="12"/>
      <c r="C937" s="33"/>
      <c r="D937" s="80"/>
      <c r="E937" s="80"/>
      <c r="F937" s="217"/>
      <c r="G937" s="217"/>
      <c r="H937" s="217"/>
      <c r="I937" s="217"/>
      <c r="J937" s="217"/>
      <c r="K937" s="217"/>
      <c r="L937" s="217"/>
      <c r="M937" s="217"/>
      <c r="N937" s="80"/>
      <c r="O937" s="80"/>
      <c r="P937" s="19"/>
      <c r="Q937" s="14"/>
      <c r="R937" s="11"/>
    </row>
    <row r="938" s="1" customFormat="1" ht="21.95" customHeight="1" spans="1:19">
      <c r="A938" s="7"/>
      <c r="B938" s="12"/>
      <c r="C938" s="33"/>
      <c r="D938" s="80"/>
      <c r="E938" s="218"/>
      <c r="F938" s="218"/>
      <c r="G938" s="218"/>
      <c r="H938" s="80"/>
      <c r="I938" s="218"/>
      <c r="J938" s="218"/>
      <c r="K938" s="218"/>
      <c r="L938" s="218"/>
      <c r="M938" s="80"/>
      <c r="N938" s="219"/>
      <c r="O938" s="219"/>
      <c r="P938" s="19"/>
      <c r="Q938" s="14"/>
      <c r="R938" s="11"/>
    </row>
    <row r="939" s="1" customFormat="1" ht="21.95" customHeight="1" spans="1:19">
      <c r="A939" s="7"/>
      <c r="B939" s="12"/>
      <c r="C939" s="33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19"/>
      <c r="Q939" s="14"/>
      <c r="R939" s="11"/>
    </row>
    <row r="940" s="1" customFormat="1" ht="21.95" customHeight="1" spans="1:19">
      <c r="A940" s="7"/>
      <c r="B940" s="12"/>
      <c r="C940" s="33"/>
      <c r="D940" s="218"/>
      <c r="E940" s="218"/>
      <c r="F940" s="218"/>
      <c r="G940" s="218"/>
      <c r="H940" s="218"/>
      <c r="I940" s="218"/>
      <c r="J940" s="218"/>
      <c r="K940" s="218"/>
      <c r="L940" s="218"/>
      <c r="M940" s="80"/>
      <c r="N940" s="217"/>
      <c r="O940" s="217"/>
      <c r="P940" s="85" t="s">
        <v>727</v>
      </c>
      <c r="Q940" s="14"/>
      <c r="R940" s="11"/>
    </row>
    <row r="941" s="1" customFormat="1" ht="21.95" customHeight="1" spans="1:19">
      <c r="A941" s="7"/>
      <c r="B941" s="12"/>
      <c r="C941" s="33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19"/>
      <c r="Q941" s="14"/>
      <c r="R941" s="11"/>
    </row>
    <row r="942" s="1" customFormat="1" ht="21.95" customHeight="1" spans="1:19">
      <c r="A942" s="7"/>
      <c r="B942" s="12"/>
      <c r="C942" s="33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19"/>
      <c r="Q942" s="14"/>
      <c r="R942" s="11"/>
    </row>
    <row r="943" s="1" customFormat="1" ht="21.95" customHeight="1" spans="1:19">
      <c r="A943" s="7"/>
      <c r="B943" s="12"/>
      <c r="C943" s="33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19"/>
      <c r="Q943" s="14"/>
      <c r="R943" s="11"/>
    </row>
    <row r="944" s="1" customFormat="1" ht="21.95" customHeight="1" spans="1:19">
      <c r="A944" s="7"/>
      <c r="B944" s="12"/>
      <c r="C944" s="33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19"/>
      <c r="Q944" s="14"/>
      <c r="R944" s="11"/>
    </row>
    <row r="945" s="1" customFormat="1" ht="21.95" customHeight="1" spans="1:18">
      <c r="A945" s="7"/>
      <c r="B945" s="12"/>
      <c r="C945" s="33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19"/>
      <c r="Q945" s="14"/>
      <c r="R945" s="11"/>
    </row>
    <row r="946" s="1" customFormat="1" ht="21.95" customHeight="1" spans="1:18">
      <c r="A946" s="7"/>
      <c r="B946" s="12"/>
      <c r="C946" s="33"/>
      <c r="D946" s="80" t="s">
        <v>728</v>
      </c>
      <c r="E946" s="220">
        <f>ENTRY!$D$27</f>
        <v>46102</v>
      </c>
      <c r="F946" s="220"/>
      <c r="G946" s="29"/>
      <c r="H946" s="29"/>
      <c r="I946" s="221" t="s">
        <v>729</v>
      </c>
      <c r="J946" s="153"/>
      <c r="K946" s="29"/>
      <c r="L946" s="29"/>
      <c r="M946" s="87" t="s">
        <v>730</v>
      </c>
      <c r="N946" s="87"/>
      <c r="O946" s="87"/>
      <c r="P946" s="19"/>
      <c r="Q946" s="14"/>
      <c r="R946" s="11"/>
    </row>
    <row r="947" s="1" customFormat="1" ht="21.95" customHeight="1" spans="1:18">
      <c r="A947" s="7"/>
      <c r="B947" s="12"/>
      <c r="C947" s="33"/>
      <c r="D947" s="80" t="s">
        <v>731</v>
      </c>
      <c r="E947" s="88" t="str">
        <f>PROPER(ENTRY!$D$28)</f>
        <v>New Delhi</v>
      </c>
      <c r="F947" s="88"/>
      <c r="G947" s="29"/>
      <c r="H947" s="29"/>
      <c r="I947" s="153"/>
      <c r="J947" s="153"/>
      <c r="K947" s="29"/>
      <c r="L947" s="29"/>
      <c r="M947" s="79" t="s">
        <v>732</v>
      </c>
      <c r="N947" s="79"/>
      <c r="O947" s="79"/>
      <c r="P947" s="19"/>
      <c r="Q947" s="14"/>
      <c r="R947" s="11"/>
    </row>
    <row r="948" s="1" customFormat="1" ht="21.95" customHeight="1" spans="1:18">
      <c r="A948" s="7"/>
      <c r="B948" s="12"/>
      <c r="C948" s="90"/>
      <c r="D948" s="91"/>
      <c r="E948" s="91"/>
      <c r="F948" s="91"/>
      <c r="G948" s="91"/>
      <c r="H948" s="91"/>
      <c r="I948" s="91"/>
      <c r="J948" s="91"/>
      <c r="K948" s="91"/>
      <c r="L948" s="91"/>
      <c r="M948" s="91"/>
      <c r="N948" s="91"/>
      <c r="O948" s="91"/>
      <c r="P948" s="92"/>
      <c r="Q948" s="14"/>
      <c r="R948" s="11"/>
    </row>
    <row r="949" s="1" customFormat="1" ht="5.1" customHeight="1" spans="1:18">
      <c r="A949" s="7"/>
      <c r="B949" s="90"/>
      <c r="C949" s="91"/>
      <c r="D949" s="91"/>
      <c r="E949" s="91"/>
      <c r="F949" s="91"/>
      <c r="G949" s="91"/>
      <c r="H949" s="91"/>
      <c r="I949" s="91"/>
      <c r="J949" s="91"/>
      <c r="K949" s="91"/>
      <c r="L949" s="91"/>
      <c r="M949" s="91"/>
      <c r="N949" s="91"/>
      <c r="O949" s="91"/>
      <c r="P949" s="91"/>
      <c r="Q949" s="92"/>
      <c r="R949" s="11"/>
    </row>
    <row r="950" s="1" customFormat="1" ht="5.1" customHeight="1" spans="1:18">
      <c r="A950" s="93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5"/>
    </row>
    <row r="951" s="1" customFormat="1" ht="21.95" customHeight="1"/>
    <row r="952" ht="15.15"/>
    <row r="953" s="1" customFormat="1" ht="5.1" customHeight="1" spans="1:18">
      <c r="A953" s="4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6"/>
    </row>
    <row r="954" s="1" customFormat="1" ht="15" customHeight="1" spans="1:18">
      <c r="A954" s="7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10"/>
      <c r="R954" s="11"/>
    </row>
    <row r="955" s="1" customFormat="1" ht="21.95" customHeight="1" spans="1:18">
      <c r="A955" s="7"/>
      <c r="B955" s="12"/>
      <c r="C955" s="13" t="s">
        <v>7</v>
      </c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4"/>
      <c r="R955" s="11"/>
    </row>
    <row r="956" s="1" customFormat="1" ht="21.95" customHeight="1" spans="1:18">
      <c r="A956" s="7"/>
      <c r="B956" s="1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14"/>
      <c r="R956" s="11"/>
    </row>
    <row r="957" s="1" customFormat="1" ht="21.95" customHeight="1" spans="1:18">
      <c r="A957" s="7"/>
      <c r="B957" s="12"/>
      <c r="C957" s="15" t="str">
        <f>"SESSION-"&amp;ENTRY!$D$11</f>
        <v>SESSION-2026-27</v>
      </c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4"/>
      <c r="R957" s="11"/>
    </row>
    <row r="958" s="1" customFormat="1" ht="21.95" customHeight="1" spans="1:18">
      <c r="A958" s="7"/>
      <c r="B958" s="12"/>
      <c r="C958" s="2"/>
      <c r="D958" s="2"/>
      <c r="E958" s="2"/>
      <c r="F958" s="16">
        <f>F902+1</f>
        <v>18</v>
      </c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14"/>
      <c r="R958" s="11"/>
    </row>
    <row r="959" s="1" customFormat="1" ht="21.95" customHeight="1" spans="1:18">
      <c r="A959" s="7"/>
      <c r="B959" s="12"/>
      <c r="C959" s="17" t="s">
        <v>392</v>
      </c>
      <c r="D959" s="17"/>
      <c r="E959" s="17"/>
      <c r="F959" s="18" t="str">
        <f>IF(F958&gt;0,ENTRY!$D$6,"")</f>
        <v>MCP NITHARI NO 1 BOYS</v>
      </c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4"/>
      <c r="R959" s="11"/>
    </row>
    <row r="960" s="1" customFormat="1" ht="21.95" customHeight="1" spans="1:18">
      <c r="A960" s="7"/>
      <c r="B960" s="12"/>
      <c r="C960" s="17" t="s">
        <v>393</v>
      </c>
      <c r="D960" s="17"/>
      <c r="E960" s="17"/>
      <c r="F960" s="18">
        <f>IF(F958&gt;0,ENTRY!$D$7,"")</f>
        <v>0</v>
      </c>
      <c r="G960" s="18"/>
      <c r="H960" s="20" t="s">
        <v>702</v>
      </c>
      <c r="I960" s="20"/>
      <c r="J960" s="21">
        <f>IF(F958&gt;0,ENTRY!$D$10,"")</f>
        <v>40</v>
      </c>
      <c r="K960" s="20" t="s">
        <v>703</v>
      </c>
      <c r="L960" s="22" t="str">
        <f>IF(F958&gt;0,ENTRY!$D$5,"")</f>
        <v>ROHINI ZONE</v>
      </c>
      <c r="M960" s="22"/>
      <c r="N960" s="22"/>
      <c r="O960" s="22"/>
      <c r="P960" s="22"/>
      <c r="Q960" s="14"/>
      <c r="R960" s="11"/>
    </row>
    <row r="961" s="1" customFormat="1" ht="21.95" customHeight="1" spans="1:18">
      <c r="A961" s="7"/>
      <c r="B961" s="12"/>
      <c r="C961" s="17" t="s">
        <v>706</v>
      </c>
      <c r="D961" s="17"/>
      <c r="E961" s="17"/>
      <c r="F961" s="23" t="str">
        <f>IFERROR(VLOOKUP(F958,STUDENT!$A$2:$BP$101,5,0),"")</f>
        <v>SAURAV KUMAR</v>
      </c>
      <c r="G961" s="23"/>
      <c r="H961" s="23"/>
      <c r="I961" s="23"/>
      <c r="J961" s="23"/>
      <c r="K961" s="23"/>
      <c r="L961" s="20" t="s">
        <v>707</v>
      </c>
      <c r="M961" s="20"/>
      <c r="N961" s="24" t="str">
        <f>IF(F958&gt;0,ENTRY!$D$20&amp;"-"&amp;ENTRY!$D$21,"")</f>
        <v>III-A</v>
      </c>
      <c r="O961" s="24"/>
      <c r="P961" s="24"/>
      <c r="Q961" s="14"/>
      <c r="R961" s="11"/>
    </row>
    <row r="962" s="1" customFormat="1" ht="21.95" customHeight="1" spans="1:18">
      <c r="A962" s="7"/>
      <c r="B962" s="12"/>
      <c r="C962" s="17" t="s">
        <v>708</v>
      </c>
      <c r="D962" s="17"/>
      <c r="E962" s="17"/>
      <c r="F962" s="25">
        <f>IFERROR(VLOOKUP(F958,STUDENT!$A$2:$BP$101,6,0),"")</f>
        <v>14756</v>
      </c>
      <c r="G962" s="25"/>
      <c r="H962" s="26" t="s">
        <v>709</v>
      </c>
      <c r="I962" s="27" t="str">
        <f>IFERROR(VLOOKUP(F958,STUDENT!$A$2:$BP$101,59,0),"")</f>
        <v/>
      </c>
      <c r="J962" s="27"/>
      <c r="K962" s="20" t="s">
        <v>710</v>
      </c>
      <c r="L962" s="20"/>
      <c r="M962" s="28">
        <f>IFERROR(VLOOKUP(F958,STUDENT!$A$2:$BP$101,20,0),"")</f>
        <v>9560140255</v>
      </c>
      <c r="N962" s="28"/>
      <c r="O962" s="28"/>
      <c r="P962" s="28"/>
      <c r="Q962" s="14"/>
      <c r="R962" s="11"/>
    </row>
    <row r="963" s="1" customFormat="1" ht="21.95" customHeight="1" spans="1:18">
      <c r="A963" s="7"/>
      <c r="B963" s="12"/>
      <c r="C963" s="17" t="s">
        <v>711</v>
      </c>
      <c r="D963" s="17"/>
      <c r="E963" s="17"/>
      <c r="F963" s="23" t="str">
        <f>IFERROR(VLOOKUP(F958,STUDENT!$A$2:$BP$101,9,0),"")</f>
        <v>KANCHAN YADAV</v>
      </c>
      <c r="G963" s="23"/>
      <c r="H963" s="23"/>
      <c r="I963" s="23"/>
      <c r="J963" s="17" t="s">
        <v>620</v>
      </c>
      <c r="K963" s="17"/>
      <c r="L963" s="23" t="str">
        <f>IFERROR(VLOOKUP(F958,STUDENT!$A$2:$BP$101,8,0),"")</f>
        <v>HARINDER YADAV</v>
      </c>
      <c r="M963" s="23"/>
      <c r="N963" s="23"/>
      <c r="O963" s="23"/>
      <c r="P963" s="23"/>
      <c r="Q963" s="14"/>
      <c r="R963" s="11"/>
    </row>
    <row r="964" s="1" customFormat="1" ht="21.95" customHeight="1" spans="1:18">
      <c r="A964" s="7"/>
      <c r="B964" s="12"/>
      <c r="C964" s="17" t="s">
        <v>712</v>
      </c>
      <c r="D964" s="17"/>
      <c r="E964" s="17"/>
      <c r="F964" s="23" t="str">
        <f>IFERROR(VLOOKUP(F958,STUDENT!$A$2:$BP$101,22,0),"")</f>
        <v>B-504/2 INDER ENCLAVE II KIRARI</v>
      </c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14"/>
      <c r="R964" s="11"/>
    </row>
    <row r="965" s="1" customFormat="1" ht="9.95" customHeight="1" spans="1:18">
      <c r="A965" s="7"/>
      <c r="B965" s="12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14"/>
      <c r="R965" s="11"/>
    </row>
    <row r="966" s="1" customFormat="1" ht="9.95" customHeight="1" spans="1:18">
      <c r="A966" s="7"/>
      <c r="B966" s="12"/>
      <c r="C966" s="30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2"/>
      <c r="Q966" s="14"/>
      <c r="R966" s="11"/>
    </row>
    <row r="967" s="1" customFormat="1" ht="21.95" customHeight="1" spans="1:18">
      <c r="A967" s="7"/>
      <c r="B967" s="12"/>
      <c r="C967" s="33"/>
      <c r="D967" s="34" t="s">
        <v>713</v>
      </c>
      <c r="E967" s="20" t="s">
        <v>714</v>
      </c>
      <c r="F967" s="35" t="str">
        <f>"Level - "&amp;IFERROR(VLOOKUP(F958,FLN!$A$4:$K$103,9,0),"")</f>
        <v>Level - 2</v>
      </c>
      <c r="G967" s="36"/>
      <c r="H967" s="37" t="s">
        <v>715</v>
      </c>
      <c r="I967" s="20"/>
      <c r="J967" s="35" t="str">
        <f>"Level - "&amp;IFERROR(VLOOKUP(F958,FLN!$A$4:$K$103,11,0),"")</f>
        <v>Level - 4</v>
      </c>
      <c r="K967" s="36"/>
      <c r="L967" s="37" t="s">
        <v>408</v>
      </c>
      <c r="M967" s="20"/>
      <c r="N967" s="35" t="str">
        <f>"Level - "&amp;IFERROR(VLOOKUP(F958,FLN!$A$4:$K$103,10,0),"")</f>
        <v>Level - 2</v>
      </c>
      <c r="O967" s="36"/>
      <c r="P967" s="19"/>
      <c r="Q967" s="14"/>
      <c r="R967" s="11"/>
    </row>
    <row r="968" s="1" customFormat="1" ht="21.95" customHeight="1" spans="1:18">
      <c r="A968" s="7"/>
      <c r="B968" s="12"/>
      <c r="C968" s="33"/>
      <c r="D968" s="38"/>
      <c r="E968" s="20" t="s">
        <v>716</v>
      </c>
      <c r="F968" s="18" t="str">
        <f>IF(L982&gt;197,"PERFORMED WELL","")</f>
        <v/>
      </c>
      <c r="G968" s="18"/>
      <c r="H968" s="18"/>
      <c r="I968" s="18"/>
      <c r="J968" s="18"/>
      <c r="K968" s="18"/>
      <c r="L968" s="18"/>
      <c r="M968" s="18"/>
      <c r="N968" s="18"/>
      <c r="O968" s="18"/>
      <c r="P968" s="19"/>
      <c r="Q968" s="14"/>
      <c r="R968" s="11"/>
    </row>
    <row r="969" s="1" customFormat="1" ht="9.95" customHeight="1" spans="1:18">
      <c r="A969" s="7"/>
      <c r="B969" s="12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1"/>
      <c r="Q969" s="14"/>
      <c r="R969" s="11"/>
    </row>
    <row r="970" s="1" customFormat="1" ht="9.95" customHeight="1" spans="1:18">
      <c r="A970" s="7"/>
      <c r="B970" s="12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14"/>
      <c r="R970" s="11"/>
    </row>
    <row r="971" s="1" customFormat="1" ht="9.95" customHeight="1" spans="1:18">
      <c r="A971" s="7"/>
      <c r="B971" s="12"/>
      <c r="C971" s="30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2"/>
      <c r="Q971" s="14"/>
      <c r="R971" s="11"/>
    </row>
    <row r="972" s="1" customFormat="1" ht="21.95" customHeight="1" spans="1:18">
      <c r="A972" s="7"/>
      <c r="B972" s="12"/>
      <c r="C972" s="33"/>
      <c r="D972" s="35"/>
      <c r="E972" s="24"/>
      <c r="F972" s="24"/>
      <c r="G972" s="47" t="s">
        <v>717</v>
      </c>
      <c r="H972" s="47"/>
      <c r="I972" s="47"/>
      <c r="J972" s="47"/>
      <c r="K972" s="47"/>
      <c r="L972" s="47"/>
      <c r="M972" s="47"/>
      <c r="N972" s="47"/>
      <c r="O972" s="29"/>
      <c r="P972" s="19"/>
      <c r="Q972" s="14"/>
      <c r="R972" s="11"/>
    </row>
    <row r="973" s="1" customFormat="1" ht="21.95" customHeight="1" spans="1:18">
      <c r="A973" s="7"/>
      <c r="B973" s="12"/>
      <c r="C973" s="33"/>
      <c r="D973" s="47"/>
      <c r="E973" s="47"/>
      <c r="F973" s="47"/>
      <c r="G973" s="47" t="s">
        <v>541</v>
      </c>
      <c r="H973" s="47" t="s">
        <v>542</v>
      </c>
      <c r="I973" s="47" t="s">
        <v>543</v>
      </c>
      <c r="J973" s="47" t="s">
        <v>544</v>
      </c>
      <c r="K973" s="47" t="s">
        <v>561</v>
      </c>
      <c r="L973" s="47" t="s">
        <v>382</v>
      </c>
      <c r="M973" s="49" t="s">
        <v>546</v>
      </c>
      <c r="N973" s="49"/>
      <c r="O973" s="29"/>
      <c r="P973" s="19"/>
      <c r="Q973" s="14"/>
      <c r="R973" s="11"/>
    </row>
    <row r="974" s="1" customFormat="1" ht="21.95" customHeight="1" spans="1:18">
      <c r="A974" s="7"/>
      <c r="B974" s="12"/>
      <c r="C974" s="33"/>
      <c r="D974" s="207" t="s">
        <v>652</v>
      </c>
      <c r="E974" s="207"/>
      <c r="F974" s="207"/>
      <c r="G974" s="50">
        <v>10</v>
      </c>
      <c r="H974" s="50">
        <v>10</v>
      </c>
      <c r="I974" s="50">
        <v>10</v>
      </c>
      <c r="J974" s="50">
        <v>10</v>
      </c>
      <c r="K974" s="50">
        <v>60</v>
      </c>
      <c r="L974" s="50">
        <v>100</v>
      </c>
      <c r="M974" s="49"/>
      <c r="N974" s="49"/>
      <c r="O974" s="29"/>
      <c r="P974" s="19"/>
      <c r="Q974" s="14"/>
      <c r="R974" s="11"/>
    </row>
    <row r="975" s="1" customFormat="1" ht="21.95" customHeight="1" spans="1:18">
      <c r="A975" s="7"/>
      <c r="B975" s="12"/>
      <c r="C975" s="33"/>
      <c r="D975" s="117" t="s">
        <v>668</v>
      </c>
      <c r="E975" s="117"/>
      <c r="F975" s="117"/>
      <c r="G975" s="54">
        <f>IFERROR(VLOOKUP(F958,'1to4-2.1-RR'!$A$12:$BG$111,9,0),"")</f>
        <v>1</v>
      </c>
      <c r="H975" s="54">
        <f>IFERROR(VLOOKUP(F958,'1to4-2.1-RR'!$A$12:$BG$111,10,0),"")</f>
        <v>0</v>
      </c>
      <c r="I975" s="54">
        <f>IFERROR(VLOOKUP(F958,'1to4-2.1-RR'!$A$12:$BG$111,11,0),"")</f>
        <v>0</v>
      </c>
      <c r="J975" s="54">
        <f>IFERROR(VLOOKUP(F958,'1to4-2.1-RR'!$A$12:$BG$111,12,0),"")</f>
        <v>0</v>
      </c>
      <c r="K975" s="54">
        <f>IFERROR(VLOOKUP(F958,'1to4-2.1-RR'!$A$12:$BG$111,13,0),"")</f>
        <v>25</v>
      </c>
      <c r="L975" s="55">
        <f>SUM(G975:K975)</f>
        <v>26</v>
      </c>
      <c r="M975" s="56" t="str">
        <f>IF(F958&gt;ENTRY!$D$24,"",IF(L975=0,"Ab",IF(L975&gt;80,"A",IF(L975&gt;60,"B",IF(L975&gt;44,"C",IF(L975&gt;=33,"D",IF(L975&lt;=32,"E","")))))))</f>
        <v>E</v>
      </c>
      <c r="N975" s="56"/>
      <c r="O975" s="29"/>
      <c r="P975" s="19"/>
      <c r="Q975" s="14"/>
      <c r="R975" s="11"/>
    </row>
    <row r="976" s="1" customFormat="1" ht="21.95" customHeight="1" spans="1:18">
      <c r="A976" s="7"/>
      <c r="B976" s="12"/>
      <c r="C976" s="33"/>
      <c r="D976" s="117" t="s">
        <v>513</v>
      </c>
      <c r="E976" s="117"/>
      <c r="F976" s="117"/>
      <c r="G976" s="54">
        <f>IFERROR(VLOOKUP(F958,'1to4-2.1-RR'!$A$12:$BG$111,16,0),"")</f>
        <v>1</v>
      </c>
      <c r="H976" s="54">
        <f>IFERROR(VLOOKUP(F958,'1to4-2.1-RR'!$A$12:$BG$111,17,0),"")</f>
        <v>0</v>
      </c>
      <c r="I976" s="54">
        <f>IFERROR(VLOOKUP(F958,'1to4-2.1-RR'!$A$12:$BG$111,18,0),"")</f>
        <v>0</v>
      </c>
      <c r="J976" s="54">
        <f>IFERROR(VLOOKUP(F958,'1to4-2.1-RR'!$A$12:$BG$111,19,0),"")</f>
        <v>0</v>
      </c>
      <c r="K976" s="54">
        <f>IFERROR(VLOOKUP(F958,'1to4-2.1-RR'!$A$12:$BG$111,20,0),"")</f>
        <v>13</v>
      </c>
      <c r="L976" s="55">
        <f t="shared" ref="L976:L981" si="34">SUM(G976:K976)</f>
        <v>14</v>
      </c>
      <c r="M976" s="56" t="str">
        <f>IF(F958&gt;ENTRY!$D$24,"",IF(L976=0,"Ab",IF(L976&gt;80,"A",IF(L976&gt;60,"B",IF(L976&gt;44,"C",IF(L976&gt;=33,"D",IF(L976&lt;=32,"E","")))))))</f>
        <v>E</v>
      </c>
      <c r="N976" s="56"/>
      <c r="O976" s="29"/>
      <c r="P976" s="19"/>
      <c r="Q976" s="14"/>
      <c r="R976" s="11"/>
    </row>
    <row r="977" s="1" customFormat="1" ht="21.95" customHeight="1" spans="1:19">
      <c r="A977" s="7"/>
      <c r="B977" s="12"/>
      <c r="C977" s="33"/>
      <c r="D977" s="117" t="s">
        <v>718</v>
      </c>
      <c r="E977" s="117"/>
      <c r="F977" s="117"/>
      <c r="G977" s="54">
        <f>IFERROR(VLOOKUP(F958,'1to4-2.1-RR'!$A$12:$BG$111,23,0),"")</f>
        <v>1</v>
      </c>
      <c r="H977" s="54">
        <f>IFERROR(VLOOKUP(F958,'1to4-2.1-RR'!$A$12:$BG$111,24,0),"")</f>
        <v>0</v>
      </c>
      <c r="I977" s="54">
        <f>IFERROR(VLOOKUP(F958,'1to4-2.1-RR'!$A$12:$BG$111,25,0),"")</f>
        <v>0</v>
      </c>
      <c r="J977" s="54">
        <f>IFERROR(VLOOKUP(F958,'1to4-2.1-RR'!$A$12:$BG$111,26,0),"")</f>
        <v>0</v>
      </c>
      <c r="K977" s="54">
        <f>IFERROR(VLOOKUP(F958,'1to4-2.1-RR'!$A$12:$BG$111,27,0),"")</f>
        <v>17</v>
      </c>
      <c r="L977" s="55">
        <f t="shared" si="34"/>
        <v>18</v>
      </c>
      <c r="M977" s="56" t="str">
        <f>IF(F958&gt;ENTRY!$D$24,"",IF(L977=0,"Ab",IF(L977&gt;80,"A",IF(L977&gt;60,"B",IF(L977&gt;44,"C",IF(L977&gt;=33,"D",IF(L977&lt;=32,"E","")))))))</f>
        <v>E</v>
      </c>
      <c r="N977" s="56"/>
      <c r="O977" s="29"/>
      <c r="P977" s="19"/>
      <c r="Q977" s="14"/>
      <c r="R977" s="11"/>
    </row>
    <row r="978" s="1" customFormat="1" ht="21.95" customHeight="1" spans="1:19">
      <c r="A978" s="7"/>
      <c r="B978" s="12"/>
      <c r="C978" s="33"/>
      <c r="D978" s="117" t="s">
        <v>719</v>
      </c>
      <c r="E978" s="117"/>
      <c r="F978" s="117"/>
      <c r="G978" s="54">
        <f>IFERROR(VLOOKUP(F958,'1to4-2.1-RR'!$A$12:$BG$111,30,0),"")</f>
        <v>1</v>
      </c>
      <c r="H978" s="54">
        <f>IFERROR(VLOOKUP(F958,'1to4-2.1-RR'!$A$12:$BG$111,31,0),"")</f>
        <v>0</v>
      </c>
      <c r="I978" s="54">
        <f>IFERROR(VLOOKUP(F958,'1to4-2.1-RR'!$A$12:$BG$111,32,0),"")</f>
        <v>0</v>
      </c>
      <c r="J978" s="54">
        <f>IFERROR(VLOOKUP(F958,'1to4-2.1-RR'!$A$12:$BG$111,33,0),"")</f>
        <v>0</v>
      </c>
      <c r="K978" s="54">
        <f>IFERROR(VLOOKUP(F958,'1to4-2.1-RR'!$A$12:$BG$111,34,0),"")</f>
        <v>13</v>
      </c>
      <c r="L978" s="55">
        <f t="shared" si="34"/>
        <v>14</v>
      </c>
      <c r="M978" s="56" t="str">
        <f>IF(F958&gt;ENTRY!$D$24,"",IF(L978=0,"Ab",IF(L978&gt;80,"A",IF(L978&gt;60,"B",IF(L978&gt;44,"C",IF(L978&gt;=33,"D",IF(L978&lt;=32,"E","")))))))</f>
        <v>E</v>
      </c>
      <c r="N978" s="56"/>
      <c r="O978" s="29"/>
      <c r="P978" s="19"/>
      <c r="Q978" s="14"/>
      <c r="R978" s="11"/>
    </row>
    <row r="979" s="1" customFormat="1" ht="21.95" customHeight="1" spans="1:19">
      <c r="A979" s="7"/>
      <c r="B979" s="12"/>
      <c r="C979" s="33"/>
      <c r="D979" s="117" t="s">
        <v>548</v>
      </c>
      <c r="E979" s="117"/>
      <c r="F979" s="117"/>
      <c r="G979" s="54">
        <f>IFERROR(VLOOKUP(F958,'1to4-2.1-RR'!$A$12:$BG$111,37,0),"")</f>
        <v>0</v>
      </c>
      <c r="H979" s="54">
        <f>IFERROR(VLOOKUP(F958,'1to4-2.1-RR'!$A$12:$BG$111,38,0),"")</f>
        <v>0</v>
      </c>
      <c r="I979" s="54">
        <f>IFERROR(VLOOKUP(F958,'1to4-2.1-RR'!$A$12:$BG$111,39,0),"")</f>
        <v>0</v>
      </c>
      <c r="J979" s="54">
        <f>IFERROR(VLOOKUP(F958,'1to4-2.1-RR'!$A$12:$BG$111,40,0),"")</f>
        <v>0</v>
      </c>
      <c r="K979" s="54">
        <f>IFERROR(VLOOKUP(F958,'1to4-2.1-RR'!$A$12:$BG$111,41,0),"")</f>
        <v>13</v>
      </c>
      <c r="L979" s="55">
        <f t="shared" si="34"/>
        <v>13</v>
      </c>
      <c r="M979" s="56" t="str">
        <f>IF(F958&gt;ENTRY!$D$24,"",IF(L979=0,"Ab",IF(L979&gt;80,"A",IF(L979&gt;60,"B",IF(L979&gt;44,"C",IF(L979&gt;=33,"D",IF(L979&lt;=32,"E","")))))))</f>
        <v>E</v>
      </c>
      <c r="N979" s="56"/>
      <c r="O979" s="29"/>
      <c r="P979" s="19"/>
      <c r="Q979" s="14"/>
      <c r="R979" s="11"/>
    </row>
    <row r="980" s="1" customFormat="1" ht="21.95" customHeight="1" spans="1:19">
      <c r="A980" s="7"/>
      <c r="B980" s="12"/>
      <c r="C980" s="33"/>
      <c r="D980" s="117" t="s">
        <v>549</v>
      </c>
      <c r="E980" s="117"/>
      <c r="F980" s="117"/>
      <c r="G980" s="54">
        <f>IFERROR(VLOOKUP(F958,'1to4-2.1-RR'!$A$12:$BG$111,44,0),"")</f>
        <v>1</v>
      </c>
      <c r="H980" s="54">
        <f>IFERROR(VLOOKUP(F958,'1to4-2.1-RR'!$A$12:$BG$111,45,0),"")</f>
        <v>0</v>
      </c>
      <c r="I980" s="54">
        <f>IFERROR(VLOOKUP(F958,'1to4-2.1-RR'!$A$12:$BG$111,46,0),"")</f>
        <v>0</v>
      </c>
      <c r="J980" s="54">
        <f>IFERROR(VLOOKUP(F958,'1to4-2.1-RR'!$A$12:$BG$111,47,0),"")</f>
        <v>0</v>
      </c>
      <c r="K980" s="54">
        <f>IFERROR(VLOOKUP(F958,'1to4-2.1-RR'!$A$12:$BG$111,48,0),"")</f>
        <v>23</v>
      </c>
      <c r="L980" s="55">
        <f t="shared" si="34"/>
        <v>24</v>
      </c>
      <c r="M980" s="56" t="str">
        <f>IF(F958&gt;ENTRY!$D$24,"",IF(L980=0,"Ab",IF(L980&gt;80,"A",IF(L980&gt;60,"B",IF(L980&gt;44,"C",IF(L980&gt;=33,"D",IF(L980&lt;=32,"E","")))))))</f>
        <v>E</v>
      </c>
      <c r="N980" s="56"/>
      <c r="O980" s="29"/>
      <c r="P980" s="19"/>
      <c r="Q980" s="14"/>
      <c r="R980" s="11"/>
    </row>
    <row r="981" s="1" customFormat="1" ht="21.95" customHeight="1" spans="1:19">
      <c r="A981" s="7"/>
      <c r="B981" s="12"/>
      <c r="C981" s="33"/>
      <c r="D981" s="117" t="s">
        <v>720</v>
      </c>
      <c r="E981" s="117"/>
      <c r="F981" s="117"/>
      <c r="G981" s="54"/>
      <c r="H981" s="54"/>
      <c r="I981" s="54"/>
      <c r="J981" s="54"/>
      <c r="K981" s="54"/>
      <c r="L981" s="55">
        <f t="shared" si="34"/>
        <v>0</v>
      </c>
      <c r="M981" s="56" t="str">
        <f>IF(F958&gt;ENTRY!$D$24,"",IF(L981=0,"",IF(L981&gt;79,"A",IF(L981&gt;59,"B",IF(L981&gt;44,"C",IF(L981&gt;=33,"D",IF(L981&lt;=32,"E","")))))))</f>
        <v/>
      </c>
      <c r="N981" s="56"/>
      <c r="O981" s="29"/>
      <c r="P981" s="19"/>
      <c r="Q981" s="14"/>
      <c r="R981" s="11"/>
    </row>
    <row r="982" s="1" customFormat="1" ht="21.95" customHeight="1" spans="1:19">
      <c r="A982" s="7"/>
      <c r="B982" s="12"/>
      <c r="C982" s="33"/>
      <c r="D982" s="207" t="s">
        <v>382</v>
      </c>
      <c r="E982" s="207"/>
      <c r="F982" s="207"/>
      <c r="G982" s="54">
        <f t="shared" ref="G982:L982" si="35">IFERROR(SUM(G975:G981),"")</f>
        <v>5</v>
      </c>
      <c r="H982" s="54">
        <f t="shared" si="35"/>
        <v>0</v>
      </c>
      <c r="I982" s="54">
        <f t="shared" si="35"/>
        <v>0</v>
      </c>
      <c r="J982" s="54">
        <f t="shared" si="35"/>
        <v>0</v>
      </c>
      <c r="K982" s="54">
        <f t="shared" si="35"/>
        <v>104</v>
      </c>
      <c r="L982" s="55">
        <f t="shared" si="35"/>
        <v>109</v>
      </c>
      <c r="M982" s="61" t="str">
        <f>IF(F958&gt;ENTRY!$D$24,"",IF(N983="Ab","Ab",IF(N983&gt;79.5,"A",IF(N983&gt;59.5,"B",IF(N983&gt;44.5,"C",IF(N983&gt;=33,"D",IF(N983&lt;33,"E","")))))))</f>
        <v>E</v>
      </c>
      <c r="N982" s="61"/>
      <c r="O982" s="29"/>
      <c r="P982" s="19"/>
      <c r="Q982" s="14"/>
      <c r="R982" s="11"/>
    </row>
    <row r="983" s="1" customFormat="1" ht="21.95" customHeight="1" spans="1:19">
      <c r="A983" s="7"/>
      <c r="B983" s="12"/>
      <c r="C983" s="33"/>
      <c r="D983" s="63" t="s">
        <v>721</v>
      </c>
      <c r="E983" s="63"/>
      <c r="F983" s="63"/>
      <c r="G983" s="63"/>
      <c r="H983" s="63"/>
      <c r="I983" s="63"/>
      <c r="J983" s="63"/>
      <c r="K983" s="63"/>
      <c r="L983" s="63"/>
      <c r="M983" s="209"/>
      <c r="N983" s="64">
        <f>IF(L982="Ab","Ab",L982/6)</f>
        <v>18.1666666666667</v>
      </c>
      <c r="O983" s="65"/>
      <c r="P983" s="19"/>
      <c r="Q983" s="14"/>
      <c r="R983" s="11"/>
    </row>
    <row r="984" s="1" customFormat="1" ht="21.95" customHeight="1" spans="1:19">
      <c r="A984" s="7"/>
      <c r="B984" s="12"/>
      <c r="C984" s="33"/>
      <c r="D984" s="29" t="s">
        <v>716</v>
      </c>
      <c r="E984" s="18" t="str">
        <f>IFERROR(VLOOKUP(F958,'1to4-2.1-RR'!$A$12:$BG$111,57,0),"")</f>
        <v>PROMOTED</v>
      </c>
      <c r="F984" s="18"/>
      <c r="G984" s="18"/>
      <c r="H984" s="18"/>
      <c r="I984" s="18"/>
      <c r="J984" s="18"/>
      <c r="K984" s="18"/>
      <c r="L984" s="18"/>
      <c r="M984" s="18"/>
      <c r="N984" s="29"/>
      <c r="O984" s="29"/>
      <c r="P984" s="19"/>
      <c r="Q984" s="14"/>
      <c r="R984" s="11"/>
    </row>
    <row r="985" s="1" customFormat="1" ht="9.95" customHeight="1" spans="1:19">
      <c r="A985" s="7"/>
      <c r="B985" s="12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1"/>
      <c r="Q985" s="14"/>
      <c r="R985" s="11"/>
    </row>
    <row r="986" s="1" customFormat="1" ht="9.95" customHeight="1" spans="1:19">
      <c r="A986" s="7"/>
      <c r="B986" s="12"/>
      <c r="C986" s="30"/>
      <c r="D986" s="31"/>
      <c r="E986" s="31"/>
      <c r="F986" s="29"/>
      <c r="G986" s="31"/>
      <c r="H986" s="31"/>
      <c r="I986" s="31"/>
      <c r="J986" s="31"/>
      <c r="K986" s="31"/>
      <c r="L986" s="31"/>
      <c r="M986" s="31"/>
      <c r="N986" s="31"/>
      <c r="O986" s="31"/>
      <c r="P986" s="32"/>
      <c r="Q986" s="14"/>
      <c r="R986" s="11"/>
    </row>
    <row r="987" s="1" customFormat="1" ht="9.95" customHeight="1" spans="1:19">
      <c r="A987" s="7"/>
      <c r="B987" s="12"/>
      <c r="C987" s="33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19"/>
      <c r="Q987" s="14"/>
      <c r="R987" s="11"/>
    </row>
    <row r="988" s="1" customFormat="1" ht="9.95" customHeight="1" spans="1:19">
      <c r="A988" s="7"/>
      <c r="B988" s="12"/>
      <c r="C988" s="33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19"/>
      <c r="Q988" s="14"/>
      <c r="R988" s="11"/>
    </row>
    <row r="989" s="1" customFormat="1" ht="21.95" customHeight="1" spans="1:19">
      <c r="A989" s="7"/>
      <c r="B989" s="12"/>
      <c r="C989" s="210"/>
      <c r="D989" s="211"/>
      <c r="E989" s="211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2"/>
      <c r="Q989" s="14"/>
      <c r="R989" s="11"/>
      <c r="S989" s="2"/>
    </row>
    <row r="990" s="1" customFormat="1" ht="21.95" customHeight="1" spans="1:19">
      <c r="A990" s="7"/>
      <c r="B990" s="12"/>
      <c r="C990" s="33"/>
      <c r="D990" s="207" t="s">
        <v>722</v>
      </c>
      <c r="E990" s="207"/>
      <c r="F990" s="207"/>
      <c r="G990" s="207"/>
      <c r="H990" s="54">
        <f>IFERROR(VLOOKUP(F958,PASHEET!$A$4:$CJ$103,88,0),"")</f>
        <v>0</v>
      </c>
      <c r="I990" s="54"/>
      <c r="J990" s="29"/>
      <c r="K990" s="29"/>
      <c r="L990" s="29"/>
      <c r="M990" s="29"/>
      <c r="N990" s="29"/>
      <c r="O990" s="29"/>
      <c r="P990" s="19"/>
      <c r="Q990" s="14"/>
      <c r="R990" s="11"/>
    </row>
    <row r="991" s="1" customFormat="1" ht="21.95" customHeight="1" spans="1:19">
      <c r="A991" s="7"/>
      <c r="B991" s="12"/>
      <c r="C991" s="213"/>
      <c r="D991" s="207" t="s">
        <v>723</v>
      </c>
      <c r="E991" s="207"/>
      <c r="F991" s="207"/>
      <c r="G991" s="207"/>
      <c r="H991" s="54">
        <f>IFERROR(VLOOKUP(F958,PASHEET!$A$4:$CJ$103,87,0),"")</f>
        <v>0</v>
      </c>
      <c r="I991" s="54"/>
      <c r="J991" s="214"/>
      <c r="K991" s="214"/>
      <c r="L991" s="207" t="s">
        <v>724</v>
      </c>
      <c r="M991" s="207"/>
      <c r="N991" s="117" t="str">
        <f>IF(F958&gt;ENTRY!$D$24,"",IF(F958&gt;0,L982&amp;" / "&amp;600,""))</f>
        <v>109 / 600</v>
      </c>
      <c r="O991" s="117"/>
      <c r="P991" s="215"/>
      <c r="Q991" s="14"/>
      <c r="R991" s="11"/>
    </row>
    <row r="992" s="1" customFormat="1" ht="18" customHeight="1" spans="1:19">
      <c r="A992" s="7"/>
      <c r="B992" s="12"/>
      <c r="C992" s="33"/>
      <c r="D992" s="207" t="s">
        <v>725</v>
      </c>
      <c r="E992" s="207"/>
      <c r="F992" s="207"/>
      <c r="G992" s="207"/>
      <c r="H992" s="69" t="str">
        <f>IFERROR(IF(F958&gt;0,H991/H990*100),"")</f>
        <v/>
      </c>
      <c r="I992" s="69"/>
      <c r="J992" s="29"/>
      <c r="K992" s="29"/>
      <c r="L992" s="207" t="s">
        <v>726</v>
      </c>
      <c r="M992" s="207"/>
      <c r="N992" s="216">
        <f>IF(F958&gt;ENTRY!$D$24,"",IF(F958&gt;0,L982/600*100,""))</f>
        <v>18.1666666666667</v>
      </c>
      <c r="O992" s="216"/>
      <c r="P992" s="19"/>
      <c r="Q992" s="14"/>
      <c r="R992" s="11"/>
    </row>
    <row r="993" s="1" customFormat="1" ht="21.95" customHeight="1" spans="1:18">
      <c r="A993" s="7"/>
      <c r="B993" s="12"/>
      <c r="C993" s="33"/>
      <c r="D993" s="80"/>
      <c r="E993" s="80"/>
      <c r="F993" s="217"/>
      <c r="G993" s="217"/>
      <c r="H993" s="217"/>
      <c r="I993" s="217"/>
      <c r="J993" s="217"/>
      <c r="K993" s="217"/>
      <c r="L993" s="217"/>
      <c r="M993" s="217"/>
      <c r="N993" s="80"/>
      <c r="O993" s="80"/>
      <c r="P993" s="19"/>
      <c r="Q993" s="14"/>
      <c r="R993" s="11"/>
    </row>
    <row r="994" s="1" customFormat="1" ht="21.95" customHeight="1" spans="1:18">
      <c r="A994" s="7"/>
      <c r="B994" s="12"/>
      <c r="C994" s="33"/>
      <c r="D994" s="80"/>
      <c r="E994" s="218"/>
      <c r="F994" s="218"/>
      <c r="G994" s="218"/>
      <c r="H994" s="80"/>
      <c r="I994" s="218"/>
      <c r="J994" s="218"/>
      <c r="K994" s="218"/>
      <c r="L994" s="218"/>
      <c r="M994" s="80"/>
      <c r="N994" s="219"/>
      <c r="O994" s="219"/>
      <c r="P994" s="19"/>
      <c r="Q994" s="14"/>
      <c r="R994" s="11"/>
    </row>
    <row r="995" s="1" customFormat="1" ht="21.95" customHeight="1" spans="1:18">
      <c r="A995" s="7"/>
      <c r="B995" s="12"/>
      <c r="C995" s="33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19"/>
      <c r="Q995" s="14"/>
      <c r="R995" s="11"/>
    </row>
    <row r="996" s="1" customFormat="1" ht="21.95" customHeight="1" spans="1:18">
      <c r="A996" s="7"/>
      <c r="B996" s="12"/>
      <c r="C996" s="33"/>
      <c r="D996" s="218"/>
      <c r="E996" s="218"/>
      <c r="F996" s="218"/>
      <c r="G996" s="218"/>
      <c r="H996" s="218"/>
      <c r="I996" s="218"/>
      <c r="J996" s="218"/>
      <c r="K996" s="218"/>
      <c r="L996" s="218"/>
      <c r="M996" s="80"/>
      <c r="N996" s="217"/>
      <c r="O996" s="217"/>
      <c r="P996" s="85" t="s">
        <v>727</v>
      </c>
      <c r="Q996" s="14"/>
      <c r="R996" s="11"/>
    </row>
    <row r="997" s="1" customFormat="1" ht="21.95" customHeight="1" spans="1:18">
      <c r="A997" s="7"/>
      <c r="B997" s="12"/>
      <c r="C997" s="33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19"/>
      <c r="Q997" s="14"/>
      <c r="R997" s="11"/>
    </row>
    <row r="998" s="1" customFormat="1" ht="21.95" customHeight="1" spans="1:18">
      <c r="A998" s="7"/>
      <c r="B998" s="12"/>
      <c r="C998" s="33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19"/>
      <c r="Q998" s="14"/>
      <c r="R998" s="11"/>
    </row>
    <row r="999" s="1" customFormat="1" ht="21.95" customHeight="1" spans="1:18">
      <c r="A999" s="7"/>
      <c r="B999" s="12"/>
      <c r="C999" s="33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19"/>
      <c r="Q999" s="14"/>
      <c r="R999" s="11"/>
    </row>
    <row r="1000" s="1" customFormat="1" ht="21.95" customHeight="1" spans="1:18">
      <c r="A1000" s="7"/>
      <c r="B1000" s="12"/>
      <c r="C1000" s="33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19"/>
      <c r="Q1000" s="14"/>
      <c r="R1000" s="11"/>
    </row>
    <row r="1001" s="1" customFormat="1" ht="21.95" customHeight="1" spans="1:18">
      <c r="A1001" s="7"/>
      <c r="B1001" s="12"/>
      <c r="C1001" s="33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19"/>
      <c r="Q1001" s="14"/>
      <c r="R1001" s="11"/>
    </row>
    <row r="1002" s="1" customFormat="1" ht="21.95" customHeight="1" spans="1:18">
      <c r="A1002" s="7"/>
      <c r="B1002" s="12"/>
      <c r="C1002" s="33"/>
      <c r="D1002" s="80" t="s">
        <v>728</v>
      </c>
      <c r="E1002" s="220">
        <f>ENTRY!$D$27</f>
        <v>46102</v>
      </c>
      <c r="F1002" s="220"/>
      <c r="G1002" s="29"/>
      <c r="H1002" s="29"/>
      <c r="I1002" s="221" t="s">
        <v>729</v>
      </c>
      <c r="J1002" s="153"/>
      <c r="K1002" s="29"/>
      <c r="L1002" s="29"/>
      <c r="M1002" s="87" t="s">
        <v>730</v>
      </c>
      <c r="N1002" s="87"/>
      <c r="O1002" s="87"/>
      <c r="P1002" s="19"/>
      <c r="Q1002" s="14"/>
      <c r="R1002" s="11"/>
    </row>
    <row r="1003" s="1" customFormat="1" ht="21.95" customHeight="1" spans="1:18">
      <c r="A1003" s="7"/>
      <c r="B1003" s="12"/>
      <c r="C1003" s="33"/>
      <c r="D1003" s="80" t="s">
        <v>731</v>
      </c>
      <c r="E1003" s="88" t="str">
        <f>PROPER(ENTRY!$D$28)</f>
        <v>New Delhi</v>
      </c>
      <c r="F1003" s="88"/>
      <c r="G1003" s="29"/>
      <c r="H1003" s="29"/>
      <c r="I1003" s="153"/>
      <c r="J1003" s="153"/>
      <c r="K1003" s="29"/>
      <c r="L1003" s="29"/>
      <c r="M1003" s="79" t="s">
        <v>732</v>
      </c>
      <c r="N1003" s="79"/>
      <c r="O1003" s="79"/>
      <c r="P1003" s="19"/>
      <c r="Q1003" s="14"/>
      <c r="R1003" s="11"/>
    </row>
    <row r="1004" s="1" customFormat="1" ht="21.95" customHeight="1" spans="1:18">
      <c r="A1004" s="7"/>
      <c r="B1004" s="12"/>
      <c r="C1004" s="90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2"/>
      <c r="Q1004" s="14"/>
      <c r="R1004" s="11"/>
    </row>
    <row r="1005" s="1" customFormat="1" ht="5.1" customHeight="1" spans="1:18">
      <c r="A1005" s="7"/>
      <c r="B1005" s="90"/>
      <c r="C1005" s="91"/>
      <c r="D1005" s="91"/>
      <c r="E1005" s="91"/>
      <c r="F1005" s="91"/>
      <c r="G1005" s="91"/>
      <c r="H1005" s="91"/>
      <c r="I1005" s="91"/>
      <c r="J1005" s="91"/>
      <c r="K1005" s="91"/>
      <c r="L1005" s="91"/>
      <c r="M1005" s="91"/>
      <c r="N1005" s="91"/>
      <c r="O1005" s="91"/>
      <c r="P1005" s="91"/>
      <c r="Q1005" s="92"/>
      <c r="R1005" s="11"/>
    </row>
    <row r="1006" s="1" customFormat="1" ht="5.1" customHeight="1" spans="1:18">
      <c r="A1006" s="93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5"/>
    </row>
    <row r="1007" s="1" customFormat="1" ht="21.95" customHeight="1"/>
    <row r="1008" ht="15.15"/>
    <row r="1009" s="1" customFormat="1" ht="5.1" customHeight="1" spans="1:18">
      <c r="A1009" s="4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6"/>
    </row>
    <row r="1010" s="1" customFormat="1" ht="15" customHeight="1" spans="1:18">
      <c r="A1010" s="7"/>
      <c r="B1010" s="8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10"/>
      <c r="R1010" s="11"/>
    </row>
    <row r="1011" s="1" customFormat="1" ht="21.95" customHeight="1" spans="1:18">
      <c r="A1011" s="7"/>
      <c r="B1011" s="12"/>
      <c r="C1011" s="13" t="s">
        <v>7</v>
      </c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4"/>
      <c r="R1011" s="11"/>
    </row>
    <row r="1012" s="1" customFormat="1" ht="21.95" customHeight="1" spans="1:18">
      <c r="A1012" s="7"/>
      <c r="B1012" s="1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14"/>
      <c r="R1012" s="11"/>
    </row>
    <row r="1013" s="1" customFormat="1" ht="21.95" customHeight="1" spans="1:18">
      <c r="A1013" s="7"/>
      <c r="B1013" s="12"/>
      <c r="C1013" s="15" t="str">
        <f>"SESSION-"&amp;ENTRY!$D$11</f>
        <v>SESSION-2026-27</v>
      </c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4"/>
      <c r="R1013" s="11"/>
    </row>
    <row r="1014" s="1" customFormat="1" ht="21.95" customHeight="1" spans="1:18">
      <c r="A1014" s="7"/>
      <c r="B1014" s="12"/>
      <c r="C1014" s="2"/>
      <c r="D1014" s="2"/>
      <c r="E1014" s="2"/>
      <c r="F1014" s="16">
        <f>F958+1</f>
        <v>19</v>
      </c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14"/>
      <c r="R1014" s="11"/>
    </row>
    <row r="1015" s="1" customFormat="1" ht="21.95" customHeight="1" spans="1:18">
      <c r="A1015" s="7"/>
      <c r="B1015" s="12"/>
      <c r="C1015" s="17" t="s">
        <v>392</v>
      </c>
      <c r="D1015" s="17"/>
      <c r="E1015" s="17"/>
      <c r="F1015" s="18" t="str">
        <f>IF(F1014&gt;0,ENTRY!$D$6,"")</f>
        <v>MCP NITHARI NO 1 BOYS</v>
      </c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4"/>
      <c r="R1015" s="11"/>
    </row>
    <row r="1016" s="1" customFormat="1" ht="21.95" customHeight="1" spans="1:18">
      <c r="A1016" s="7"/>
      <c r="B1016" s="12"/>
      <c r="C1016" s="17" t="s">
        <v>393</v>
      </c>
      <c r="D1016" s="17"/>
      <c r="E1016" s="17"/>
      <c r="F1016" s="18">
        <f>IF(F1014&gt;0,ENTRY!$D$7,"")</f>
        <v>0</v>
      </c>
      <c r="G1016" s="18"/>
      <c r="H1016" s="20" t="s">
        <v>702</v>
      </c>
      <c r="I1016" s="20"/>
      <c r="J1016" s="21">
        <f>IF(F1014&gt;0,ENTRY!$D$10,"")</f>
        <v>40</v>
      </c>
      <c r="K1016" s="20" t="s">
        <v>703</v>
      </c>
      <c r="L1016" s="22" t="str">
        <f>IF(F1014&gt;0,ENTRY!$D$5,"")</f>
        <v>ROHINI ZONE</v>
      </c>
      <c r="M1016" s="22"/>
      <c r="N1016" s="22"/>
      <c r="O1016" s="22"/>
      <c r="P1016" s="22"/>
      <c r="Q1016" s="14"/>
      <c r="R1016" s="11"/>
    </row>
    <row r="1017" s="1" customFormat="1" ht="21.95" customHeight="1" spans="1:18">
      <c r="A1017" s="7"/>
      <c r="B1017" s="12"/>
      <c r="C1017" s="17" t="s">
        <v>706</v>
      </c>
      <c r="D1017" s="17"/>
      <c r="E1017" s="17"/>
      <c r="F1017" s="23" t="str">
        <f>IFERROR(VLOOKUP(F1014,STUDENT!$A$2:$BP$101,5,0),"")</f>
        <v>HANAM AYUBI</v>
      </c>
      <c r="G1017" s="23"/>
      <c r="H1017" s="23"/>
      <c r="I1017" s="23"/>
      <c r="J1017" s="23"/>
      <c r="K1017" s="23"/>
      <c r="L1017" s="20" t="s">
        <v>707</v>
      </c>
      <c r="M1017" s="20"/>
      <c r="N1017" s="24" t="str">
        <f>IF(F1014&gt;0,ENTRY!$D$20&amp;"-"&amp;ENTRY!$D$21,"")</f>
        <v>III-A</v>
      </c>
      <c r="O1017" s="24"/>
      <c r="P1017" s="24"/>
      <c r="Q1017" s="14"/>
      <c r="R1017" s="11"/>
    </row>
    <row r="1018" s="1" customFormat="1" ht="21.95" customHeight="1" spans="1:18">
      <c r="A1018" s="7"/>
      <c r="B1018" s="12"/>
      <c r="C1018" s="17" t="s">
        <v>708</v>
      </c>
      <c r="D1018" s="17"/>
      <c r="E1018" s="17"/>
      <c r="F1018" s="25">
        <f>IFERROR(VLOOKUP(F1014,STUDENT!$A$2:$BP$101,6,0),"")</f>
        <v>14758</v>
      </c>
      <c r="G1018" s="25"/>
      <c r="H1018" s="26" t="s">
        <v>709</v>
      </c>
      <c r="I1018" s="27" t="str">
        <f>IFERROR(VLOOKUP(F1014,STUDENT!$A$2:$BP$101,59,0),"")</f>
        <v/>
      </c>
      <c r="J1018" s="27"/>
      <c r="K1018" s="20" t="s">
        <v>710</v>
      </c>
      <c r="L1018" s="20"/>
      <c r="M1018" s="28">
        <f>IFERROR(VLOOKUP(F1014,STUDENT!$A$2:$BP$101,20,0),"")</f>
        <v>9560807229</v>
      </c>
      <c r="N1018" s="28"/>
      <c r="O1018" s="28"/>
      <c r="P1018" s="28"/>
      <c r="Q1018" s="14"/>
      <c r="R1018" s="11"/>
    </row>
    <row r="1019" s="1" customFormat="1" ht="21.95" customHeight="1" spans="1:18">
      <c r="A1019" s="7"/>
      <c r="B1019" s="12"/>
      <c r="C1019" s="17" t="s">
        <v>711</v>
      </c>
      <c r="D1019" s="17"/>
      <c r="E1019" s="17"/>
      <c r="F1019" s="23" t="str">
        <f>IFERROR(VLOOKUP(F1014,STUDENT!$A$2:$BP$101,9,0),"")</f>
        <v>SONI PARWEEN</v>
      </c>
      <c r="G1019" s="23"/>
      <c r="H1019" s="23"/>
      <c r="I1019" s="23"/>
      <c r="J1019" s="17" t="s">
        <v>620</v>
      </c>
      <c r="K1019" s="17"/>
      <c r="L1019" s="23" t="str">
        <f>IFERROR(VLOOKUP(F1014,STUDENT!$A$2:$BP$101,8,0),"")</f>
        <v>MD PARWEZ</v>
      </c>
      <c r="M1019" s="23"/>
      <c r="N1019" s="23"/>
      <c r="O1019" s="23"/>
      <c r="P1019" s="23"/>
      <c r="Q1019" s="14"/>
      <c r="R1019" s="11"/>
    </row>
    <row r="1020" s="1" customFormat="1" ht="21.95" customHeight="1" spans="1:18">
      <c r="A1020" s="7"/>
      <c r="B1020" s="12"/>
      <c r="C1020" s="17" t="s">
        <v>712</v>
      </c>
      <c r="D1020" s="17"/>
      <c r="E1020" s="17"/>
      <c r="F1020" s="23" t="str">
        <f>IFERROR(VLOOKUP(F1014,STUDENT!$A$2:$BP$101,22,0),"")</f>
        <v>A-53 LAXMI VIHAR PREM NAGAR-3</v>
      </c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14"/>
      <c r="R1020" s="11"/>
    </row>
    <row r="1021" s="1" customFormat="1" ht="9.95" customHeight="1" spans="1:18">
      <c r="A1021" s="7"/>
      <c r="B1021" s="12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14"/>
      <c r="R1021" s="11"/>
    </row>
    <row r="1022" s="1" customFormat="1" ht="9.95" customHeight="1" spans="1:18">
      <c r="A1022" s="7"/>
      <c r="B1022" s="12"/>
      <c r="C1022" s="30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2"/>
      <c r="Q1022" s="14"/>
      <c r="R1022" s="11"/>
    </row>
    <row r="1023" s="1" customFormat="1" ht="21.95" customHeight="1" spans="1:18">
      <c r="A1023" s="7"/>
      <c r="B1023" s="12"/>
      <c r="C1023" s="33"/>
      <c r="D1023" s="34" t="s">
        <v>713</v>
      </c>
      <c r="E1023" s="20" t="s">
        <v>714</v>
      </c>
      <c r="F1023" s="35" t="str">
        <f>"Level - "&amp;IFERROR(VLOOKUP(F1014,FLN!$A$4:$K$103,9,0),"")</f>
        <v>Level - 2</v>
      </c>
      <c r="G1023" s="36"/>
      <c r="H1023" s="37" t="s">
        <v>715</v>
      </c>
      <c r="I1023" s="20"/>
      <c r="J1023" s="35" t="str">
        <f>"Level - "&amp;IFERROR(VLOOKUP(F1014,FLN!$A$4:$K$103,11,0),"")</f>
        <v>Level - 3</v>
      </c>
      <c r="K1023" s="36"/>
      <c r="L1023" s="37" t="s">
        <v>408</v>
      </c>
      <c r="M1023" s="20"/>
      <c r="N1023" s="35" t="str">
        <f>"Level - "&amp;IFERROR(VLOOKUP(F1014,FLN!$A$4:$K$103,10,0),"")</f>
        <v>Level - 2</v>
      </c>
      <c r="O1023" s="36"/>
      <c r="P1023" s="19"/>
      <c r="Q1023" s="14"/>
      <c r="R1023" s="11"/>
    </row>
    <row r="1024" s="1" customFormat="1" ht="21.95" customHeight="1" spans="1:18">
      <c r="A1024" s="7"/>
      <c r="B1024" s="12"/>
      <c r="C1024" s="33"/>
      <c r="D1024" s="38"/>
      <c r="E1024" s="20" t="s">
        <v>716</v>
      </c>
      <c r="F1024" s="18" t="str">
        <f>IF(L1038&gt;197,"PERFORMED WELL","")</f>
        <v/>
      </c>
      <c r="G1024" s="18"/>
      <c r="H1024" s="18"/>
      <c r="I1024" s="18"/>
      <c r="J1024" s="18"/>
      <c r="K1024" s="18"/>
      <c r="L1024" s="18"/>
      <c r="M1024" s="18"/>
      <c r="N1024" s="18"/>
      <c r="O1024" s="18"/>
      <c r="P1024" s="19"/>
      <c r="Q1024" s="14"/>
      <c r="R1024" s="11"/>
    </row>
    <row r="1025" s="1" customFormat="1" ht="9.95" customHeight="1" spans="1:18">
      <c r="A1025" s="7"/>
      <c r="B1025" s="12"/>
      <c r="C1025" s="39"/>
      <c r="D1025" s="40"/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1"/>
      <c r="Q1025" s="14"/>
      <c r="R1025" s="11"/>
    </row>
    <row r="1026" s="1" customFormat="1" ht="9.95" customHeight="1" spans="1:18">
      <c r="A1026" s="7"/>
      <c r="B1026" s="12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14"/>
      <c r="R1026" s="11"/>
    </row>
    <row r="1027" s="1" customFormat="1" ht="9.95" customHeight="1" spans="1:18">
      <c r="A1027" s="7"/>
      <c r="B1027" s="12"/>
      <c r="C1027" s="30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2"/>
      <c r="Q1027" s="14"/>
      <c r="R1027" s="11"/>
    </row>
    <row r="1028" s="1" customFormat="1" ht="21.95" customHeight="1" spans="1:18">
      <c r="A1028" s="7"/>
      <c r="B1028" s="12"/>
      <c r="C1028" s="33"/>
      <c r="D1028" s="35"/>
      <c r="E1028" s="24"/>
      <c r="F1028" s="24"/>
      <c r="G1028" s="47" t="s">
        <v>717</v>
      </c>
      <c r="H1028" s="47"/>
      <c r="I1028" s="47"/>
      <c r="J1028" s="47"/>
      <c r="K1028" s="47"/>
      <c r="L1028" s="47"/>
      <c r="M1028" s="47"/>
      <c r="N1028" s="47"/>
      <c r="O1028" s="29"/>
      <c r="P1028" s="19"/>
      <c r="Q1028" s="14"/>
      <c r="R1028" s="11"/>
    </row>
    <row r="1029" s="1" customFormat="1" ht="21.95" customHeight="1" spans="1:18">
      <c r="A1029" s="7"/>
      <c r="B1029" s="12"/>
      <c r="C1029" s="33"/>
      <c r="D1029" s="47"/>
      <c r="E1029" s="47"/>
      <c r="F1029" s="47"/>
      <c r="G1029" s="47" t="s">
        <v>541</v>
      </c>
      <c r="H1029" s="47" t="s">
        <v>542</v>
      </c>
      <c r="I1029" s="47" t="s">
        <v>543</v>
      </c>
      <c r="J1029" s="47" t="s">
        <v>544</v>
      </c>
      <c r="K1029" s="47" t="s">
        <v>561</v>
      </c>
      <c r="L1029" s="47" t="s">
        <v>382</v>
      </c>
      <c r="M1029" s="49" t="s">
        <v>546</v>
      </c>
      <c r="N1029" s="49"/>
      <c r="O1029" s="29"/>
      <c r="P1029" s="19"/>
      <c r="Q1029" s="14"/>
      <c r="R1029" s="11"/>
    </row>
    <row r="1030" s="1" customFormat="1" ht="21.95" customHeight="1" spans="1:18">
      <c r="A1030" s="7"/>
      <c r="B1030" s="12"/>
      <c r="C1030" s="33"/>
      <c r="D1030" s="207" t="s">
        <v>652</v>
      </c>
      <c r="E1030" s="207"/>
      <c r="F1030" s="207"/>
      <c r="G1030" s="50">
        <v>10</v>
      </c>
      <c r="H1030" s="50">
        <v>10</v>
      </c>
      <c r="I1030" s="50">
        <v>10</v>
      </c>
      <c r="J1030" s="50">
        <v>10</v>
      </c>
      <c r="K1030" s="50">
        <v>60</v>
      </c>
      <c r="L1030" s="50">
        <v>100</v>
      </c>
      <c r="M1030" s="49"/>
      <c r="N1030" s="49"/>
      <c r="O1030" s="29"/>
      <c r="P1030" s="19"/>
      <c r="Q1030" s="14"/>
      <c r="R1030" s="11"/>
    </row>
    <row r="1031" s="1" customFormat="1" ht="21.95" customHeight="1" spans="1:18">
      <c r="A1031" s="7"/>
      <c r="B1031" s="12"/>
      <c r="C1031" s="33"/>
      <c r="D1031" s="117" t="s">
        <v>668</v>
      </c>
      <c r="E1031" s="117"/>
      <c r="F1031" s="117"/>
      <c r="G1031" s="54">
        <f>IFERROR(VLOOKUP(F1014,'1to4-2.1-RR'!$A$12:$BG$111,9,0),"")</f>
        <v>1</v>
      </c>
      <c r="H1031" s="54">
        <f>IFERROR(VLOOKUP(F1014,'1to4-2.1-RR'!$A$12:$BG$111,10,0),"")</f>
        <v>0</v>
      </c>
      <c r="I1031" s="54">
        <f>IFERROR(VLOOKUP(F1014,'1to4-2.1-RR'!$A$12:$BG$111,11,0),"")</f>
        <v>0</v>
      </c>
      <c r="J1031" s="54">
        <f>IFERROR(VLOOKUP(F1014,'1to4-2.1-RR'!$A$12:$BG$111,12,0),"")</f>
        <v>0</v>
      </c>
      <c r="K1031" s="54">
        <f>IFERROR(VLOOKUP(F1014,'1to4-2.1-RR'!$A$12:$BG$111,13,0),"")</f>
        <v>51</v>
      </c>
      <c r="L1031" s="55">
        <f>SUM(G1031:K1031)</f>
        <v>52</v>
      </c>
      <c r="M1031" s="56" t="str">
        <f>IF(F1014&gt;ENTRY!$D$24,"",IF(L1031=0,"Ab",IF(L1031&gt;80,"A",IF(L1031&gt;60,"B",IF(L1031&gt;44,"C",IF(L1031&gt;=33,"D",IF(L1031&lt;=32,"E","")))))))</f>
        <v>C</v>
      </c>
      <c r="N1031" s="56"/>
      <c r="O1031" s="29"/>
      <c r="P1031" s="19"/>
      <c r="Q1031" s="14"/>
      <c r="R1031" s="11"/>
    </row>
    <row r="1032" s="1" customFormat="1" ht="21.95" customHeight="1" spans="1:18">
      <c r="A1032" s="7"/>
      <c r="B1032" s="12"/>
      <c r="C1032" s="33"/>
      <c r="D1032" s="117" t="s">
        <v>513</v>
      </c>
      <c r="E1032" s="117"/>
      <c r="F1032" s="117"/>
      <c r="G1032" s="54">
        <f>IFERROR(VLOOKUP(F1014,'1to4-2.1-RR'!$A$12:$BG$111,16,0),"")</f>
        <v>1</v>
      </c>
      <c r="H1032" s="54">
        <f>IFERROR(VLOOKUP(F1014,'1to4-2.1-RR'!$A$12:$BG$111,17,0),"")</f>
        <v>0</v>
      </c>
      <c r="I1032" s="54">
        <f>IFERROR(VLOOKUP(F1014,'1to4-2.1-RR'!$A$12:$BG$111,18,0),"")</f>
        <v>0</v>
      </c>
      <c r="J1032" s="54">
        <f>IFERROR(VLOOKUP(F1014,'1to4-2.1-RR'!$A$12:$BG$111,19,0),"")</f>
        <v>0</v>
      </c>
      <c r="K1032" s="54">
        <f>IFERROR(VLOOKUP(F1014,'1to4-2.1-RR'!$A$12:$BG$111,20,0),"")</f>
        <v>27</v>
      </c>
      <c r="L1032" s="55">
        <f t="shared" ref="L1032:L1037" si="36">SUM(G1032:K1032)</f>
        <v>28</v>
      </c>
      <c r="M1032" s="56" t="str">
        <f>IF(F1014&gt;ENTRY!$D$24,"",IF(L1032=0,"Ab",IF(L1032&gt;80,"A",IF(L1032&gt;60,"B",IF(L1032&gt;44,"C",IF(L1032&gt;=33,"D",IF(L1032&lt;=32,"E","")))))))</f>
        <v>E</v>
      </c>
      <c r="N1032" s="56"/>
      <c r="O1032" s="29"/>
      <c r="P1032" s="19"/>
      <c r="Q1032" s="14"/>
      <c r="R1032" s="11"/>
    </row>
    <row r="1033" s="1" customFormat="1" ht="21.95" customHeight="1" spans="1:18">
      <c r="A1033" s="7"/>
      <c r="B1033" s="12"/>
      <c r="C1033" s="33"/>
      <c r="D1033" s="117" t="s">
        <v>718</v>
      </c>
      <c r="E1033" s="117"/>
      <c r="F1033" s="117"/>
      <c r="G1033" s="54">
        <f>IFERROR(VLOOKUP(F1014,'1to4-2.1-RR'!$A$12:$BG$111,23,0),"")</f>
        <v>1</v>
      </c>
      <c r="H1033" s="54">
        <f>IFERROR(VLOOKUP(F1014,'1to4-2.1-RR'!$A$12:$BG$111,24,0),"")</f>
        <v>0</v>
      </c>
      <c r="I1033" s="54">
        <f>IFERROR(VLOOKUP(F1014,'1to4-2.1-RR'!$A$12:$BG$111,25,0),"")</f>
        <v>0</v>
      </c>
      <c r="J1033" s="54">
        <f>IFERROR(VLOOKUP(F1014,'1to4-2.1-RR'!$A$12:$BG$111,26,0),"")</f>
        <v>0</v>
      </c>
      <c r="K1033" s="54">
        <f>IFERROR(VLOOKUP(F1014,'1to4-2.1-RR'!$A$12:$BG$111,27,0),"")</f>
        <v>22</v>
      </c>
      <c r="L1033" s="55">
        <f t="shared" si="36"/>
        <v>23</v>
      </c>
      <c r="M1033" s="56" t="str">
        <f>IF(F1014&gt;ENTRY!$D$24,"",IF(L1033=0,"Ab",IF(L1033&gt;80,"A",IF(L1033&gt;60,"B",IF(L1033&gt;44,"C",IF(L1033&gt;=33,"D",IF(L1033&lt;=32,"E","")))))))</f>
        <v>E</v>
      </c>
      <c r="N1033" s="56"/>
      <c r="O1033" s="29"/>
      <c r="P1033" s="19"/>
      <c r="Q1033" s="14"/>
      <c r="R1033" s="11"/>
    </row>
    <row r="1034" s="1" customFormat="1" ht="21.95" customHeight="1" spans="1:18">
      <c r="A1034" s="7"/>
      <c r="B1034" s="12"/>
      <c r="C1034" s="33"/>
      <c r="D1034" s="117" t="s">
        <v>719</v>
      </c>
      <c r="E1034" s="117"/>
      <c r="F1034" s="117"/>
      <c r="G1034" s="54">
        <f>IFERROR(VLOOKUP(F1014,'1to4-2.1-RR'!$A$12:$BG$111,30,0),"")</f>
        <v>1</v>
      </c>
      <c r="H1034" s="54">
        <f>IFERROR(VLOOKUP(F1014,'1to4-2.1-RR'!$A$12:$BG$111,31,0),"")</f>
        <v>0</v>
      </c>
      <c r="I1034" s="54">
        <f>IFERROR(VLOOKUP(F1014,'1to4-2.1-RR'!$A$12:$BG$111,32,0),"")</f>
        <v>0</v>
      </c>
      <c r="J1034" s="54">
        <f>IFERROR(VLOOKUP(F1014,'1to4-2.1-RR'!$A$12:$BG$111,33,0),"")</f>
        <v>0</v>
      </c>
      <c r="K1034" s="54">
        <f>IFERROR(VLOOKUP(F1014,'1to4-2.1-RR'!$A$12:$BG$111,34,0),"")</f>
        <v>26</v>
      </c>
      <c r="L1034" s="55">
        <f t="shared" si="36"/>
        <v>27</v>
      </c>
      <c r="M1034" s="56" t="str">
        <f>IF(F1014&gt;ENTRY!$D$24,"",IF(L1034=0,"Ab",IF(L1034&gt;80,"A",IF(L1034&gt;60,"B",IF(L1034&gt;44,"C",IF(L1034&gt;=33,"D",IF(L1034&lt;=32,"E","")))))))</f>
        <v>E</v>
      </c>
      <c r="N1034" s="56"/>
      <c r="O1034" s="29"/>
      <c r="P1034" s="19"/>
      <c r="Q1034" s="14"/>
      <c r="R1034" s="11"/>
    </row>
    <row r="1035" s="1" customFormat="1" ht="21.95" customHeight="1" spans="1:18">
      <c r="A1035" s="7"/>
      <c r="B1035" s="12"/>
      <c r="C1035" s="33"/>
      <c r="D1035" s="117" t="s">
        <v>548</v>
      </c>
      <c r="E1035" s="117"/>
      <c r="F1035" s="117"/>
      <c r="G1035" s="54">
        <f>IFERROR(VLOOKUP(F1014,'1to4-2.1-RR'!$A$12:$BG$111,37,0),"")</f>
        <v>0</v>
      </c>
      <c r="H1035" s="54">
        <f>IFERROR(VLOOKUP(F1014,'1to4-2.1-RR'!$A$12:$BG$111,38,0),"")</f>
        <v>0</v>
      </c>
      <c r="I1035" s="54">
        <f>IFERROR(VLOOKUP(F1014,'1to4-2.1-RR'!$A$12:$BG$111,39,0),"")</f>
        <v>0</v>
      </c>
      <c r="J1035" s="54">
        <f>IFERROR(VLOOKUP(F1014,'1to4-2.1-RR'!$A$12:$BG$111,40,0),"")</f>
        <v>0</v>
      </c>
      <c r="K1035" s="54">
        <f>IFERROR(VLOOKUP(F1014,'1to4-2.1-RR'!$A$12:$BG$111,41,0),"")</f>
        <v>25</v>
      </c>
      <c r="L1035" s="55">
        <f t="shared" si="36"/>
        <v>25</v>
      </c>
      <c r="M1035" s="56" t="str">
        <f>IF(F1014&gt;ENTRY!$D$24,"",IF(L1035=0,"Ab",IF(L1035&gt;80,"A",IF(L1035&gt;60,"B",IF(L1035&gt;44,"C",IF(L1035&gt;=33,"D",IF(L1035&lt;=32,"E","")))))))</f>
        <v>E</v>
      </c>
      <c r="N1035" s="56"/>
      <c r="O1035" s="29"/>
      <c r="P1035" s="19"/>
      <c r="Q1035" s="14"/>
      <c r="R1035" s="11"/>
    </row>
    <row r="1036" s="1" customFormat="1" ht="21.95" customHeight="1" spans="1:18">
      <c r="A1036" s="7"/>
      <c r="B1036" s="12"/>
      <c r="C1036" s="33"/>
      <c r="D1036" s="117" t="s">
        <v>549</v>
      </c>
      <c r="E1036" s="117"/>
      <c r="F1036" s="117"/>
      <c r="G1036" s="54">
        <f>IFERROR(VLOOKUP(F1014,'1to4-2.1-RR'!$A$12:$BG$111,44,0),"")</f>
        <v>1</v>
      </c>
      <c r="H1036" s="54">
        <f>IFERROR(VLOOKUP(F1014,'1to4-2.1-RR'!$A$12:$BG$111,45,0),"")</f>
        <v>0</v>
      </c>
      <c r="I1036" s="54">
        <f>IFERROR(VLOOKUP(F1014,'1to4-2.1-RR'!$A$12:$BG$111,46,0),"")</f>
        <v>0</v>
      </c>
      <c r="J1036" s="54">
        <f>IFERROR(VLOOKUP(F1014,'1to4-2.1-RR'!$A$12:$BG$111,47,0),"")</f>
        <v>0</v>
      </c>
      <c r="K1036" s="54">
        <f>IFERROR(VLOOKUP(F1014,'1to4-2.1-RR'!$A$12:$BG$111,48,0),"")</f>
        <v>28</v>
      </c>
      <c r="L1036" s="55">
        <f t="shared" si="36"/>
        <v>29</v>
      </c>
      <c r="M1036" s="56" t="str">
        <f>IF(F1014&gt;ENTRY!$D$24,"",IF(L1036=0,"Ab",IF(L1036&gt;80,"A",IF(L1036&gt;60,"B",IF(L1036&gt;44,"C",IF(L1036&gt;=33,"D",IF(L1036&lt;=32,"E","")))))))</f>
        <v>E</v>
      </c>
      <c r="N1036" s="56"/>
      <c r="O1036" s="29"/>
      <c r="P1036" s="19"/>
      <c r="Q1036" s="14"/>
      <c r="R1036" s="11"/>
    </row>
    <row r="1037" s="1" customFormat="1" ht="21.95" customHeight="1" spans="1:18">
      <c r="A1037" s="7"/>
      <c r="B1037" s="12"/>
      <c r="C1037" s="33"/>
      <c r="D1037" s="117" t="s">
        <v>720</v>
      </c>
      <c r="E1037" s="117"/>
      <c r="F1037" s="117"/>
      <c r="G1037" s="54"/>
      <c r="H1037" s="54"/>
      <c r="I1037" s="54"/>
      <c r="J1037" s="54"/>
      <c r="K1037" s="54"/>
      <c r="L1037" s="55">
        <f t="shared" si="36"/>
        <v>0</v>
      </c>
      <c r="M1037" s="56" t="str">
        <f>IF(F1014&gt;ENTRY!$D$24,"",IF(L1037=0,"",IF(L1037&gt;79,"A",IF(L1037&gt;59,"B",IF(L1037&gt;44,"C",IF(L1037&gt;=33,"D",IF(L1037&lt;=32,"E","")))))))</f>
        <v/>
      </c>
      <c r="N1037" s="56"/>
      <c r="O1037" s="29"/>
      <c r="P1037" s="19"/>
      <c r="Q1037" s="14"/>
      <c r="R1037" s="11"/>
    </row>
    <row r="1038" s="1" customFormat="1" ht="21.95" customHeight="1" spans="1:18">
      <c r="A1038" s="7"/>
      <c r="B1038" s="12"/>
      <c r="C1038" s="33"/>
      <c r="D1038" s="207" t="s">
        <v>382</v>
      </c>
      <c r="E1038" s="207"/>
      <c r="F1038" s="207"/>
      <c r="G1038" s="54">
        <f t="shared" ref="G1038:L1038" si="37">IFERROR(SUM(G1031:G1037),"")</f>
        <v>5</v>
      </c>
      <c r="H1038" s="54">
        <f t="shared" si="37"/>
        <v>0</v>
      </c>
      <c r="I1038" s="54">
        <f t="shared" si="37"/>
        <v>0</v>
      </c>
      <c r="J1038" s="54">
        <f t="shared" si="37"/>
        <v>0</v>
      </c>
      <c r="K1038" s="54">
        <f t="shared" si="37"/>
        <v>179</v>
      </c>
      <c r="L1038" s="55">
        <f t="shared" si="37"/>
        <v>184</v>
      </c>
      <c r="M1038" s="61" t="str">
        <f>IF(F1014&gt;ENTRY!$D$24,"",IF(N1039="Ab","Ab",IF(N1039&gt;79.5,"A",IF(N1039&gt;59.5,"B",IF(N1039&gt;44.5,"C",IF(N1039&gt;=33,"D",IF(N1039&lt;33,"E","")))))))</f>
        <v>E</v>
      </c>
      <c r="N1038" s="61"/>
      <c r="O1038" s="29"/>
      <c r="P1038" s="19"/>
      <c r="Q1038" s="14"/>
      <c r="R1038" s="11"/>
    </row>
    <row r="1039" s="1" customFormat="1" ht="21.95" customHeight="1" spans="1:18">
      <c r="A1039" s="7"/>
      <c r="B1039" s="12"/>
      <c r="C1039" s="33"/>
      <c r="D1039" s="63" t="s">
        <v>721</v>
      </c>
      <c r="E1039" s="63"/>
      <c r="F1039" s="63"/>
      <c r="G1039" s="63"/>
      <c r="H1039" s="63"/>
      <c r="I1039" s="63"/>
      <c r="J1039" s="63"/>
      <c r="K1039" s="63"/>
      <c r="L1039" s="63"/>
      <c r="M1039" s="209"/>
      <c r="N1039" s="64">
        <f>IF(L1038="Ab","Ab",L1038/6)</f>
        <v>30.6666666666667</v>
      </c>
      <c r="O1039" s="65"/>
      <c r="P1039" s="19"/>
      <c r="Q1039" s="14"/>
      <c r="R1039" s="11"/>
    </row>
    <row r="1040" s="1" customFormat="1" ht="21.95" customHeight="1" spans="1:18">
      <c r="A1040" s="7"/>
      <c r="B1040" s="12"/>
      <c r="C1040" s="33"/>
      <c r="D1040" s="29" t="s">
        <v>716</v>
      </c>
      <c r="E1040" s="18" t="str">
        <f>IFERROR(VLOOKUP(F1014,'1to4-2.1-RR'!$A$12:$BG$111,57,0),"")</f>
        <v>SECOND</v>
      </c>
      <c r="F1040" s="18"/>
      <c r="G1040" s="18"/>
      <c r="H1040" s="18"/>
      <c r="I1040" s="18"/>
      <c r="J1040" s="18"/>
      <c r="K1040" s="18"/>
      <c r="L1040" s="18"/>
      <c r="M1040" s="18"/>
      <c r="N1040" s="29"/>
      <c r="O1040" s="29"/>
      <c r="P1040" s="19"/>
      <c r="Q1040" s="14"/>
      <c r="R1040" s="11"/>
    </row>
    <row r="1041" s="1" customFormat="1" ht="9.95" customHeight="1" spans="1:19">
      <c r="A1041" s="7"/>
      <c r="B1041" s="12"/>
      <c r="C1041" s="39"/>
      <c r="D1041" s="40"/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1"/>
      <c r="Q1041" s="14"/>
      <c r="R1041" s="11"/>
    </row>
    <row r="1042" s="1" customFormat="1" ht="9.95" customHeight="1" spans="1:19">
      <c r="A1042" s="7"/>
      <c r="B1042" s="12"/>
      <c r="C1042" s="30"/>
      <c r="D1042" s="31"/>
      <c r="E1042" s="31"/>
      <c r="F1042" s="29"/>
      <c r="G1042" s="31"/>
      <c r="H1042" s="31"/>
      <c r="I1042" s="31"/>
      <c r="J1042" s="31"/>
      <c r="K1042" s="31"/>
      <c r="L1042" s="31"/>
      <c r="M1042" s="31"/>
      <c r="N1042" s="31"/>
      <c r="O1042" s="31"/>
      <c r="P1042" s="32"/>
      <c r="Q1042" s="14"/>
      <c r="R1042" s="11"/>
    </row>
    <row r="1043" s="1" customFormat="1" ht="9.95" customHeight="1" spans="1:19">
      <c r="A1043" s="7"/>
      <c r="B1043" s="12"/>
      <c r="C1043" s="33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19"/>
      <c r="Q1043" s="14"/>
      <c r="R1043" s="11"/>
    </row>
    <row r="1044" s="1" customFormat="1" ht="9.95" customHeight="1" spans="1:19">
      <c r="A1044" s="7"/>
      <c r="B1044" s="12"/>
      <c r="C1044" s="33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19"/>
      <c r="Q1044" s="14"/>
      <c r="R1044" s="11"/>
    </row>
    <row r="1045" s="1" customFormat="1" ht="21.95" customHeight="1" spans="1:19">
      <c r="A1045" s="7"/>
      <c r="B1045" s="12"/>
      <c r="C1045" s="210"/>
      <c r="D1045" s="211"/>
      <c r="E1045" s="211"/>
      <c r="F1045" s="211"/>
      <c r="G1045" s="211"/>
      <c r="H1045" s="211"/>
      <c r="I1045" s="211"/>
      <c r="J1045" s="211"/>
      <c r="K1045" s="211"/>
      <c r="L1045" s="211"/>
      <c r="M1045" s="211"/>
      <c r="N1045" s="211"/>
      <c r="O1045" s="211"/>
      <c r="P1045" s="212"/>
      <c r="Q1045" s="14"/>
      <c r="R1045" s="11"/>
      <c r="S1045" s="2"/>
    </row>
    <row r="1046" s="1" customFormat="1" ht="21.95" customHeight="1" spans="1:19">
      <c r="A1046" s="7"/>
      <c r="B1046" s="12"/>
      <c r="C1046" s="33"/>
      <c r="D1046" s="207" t="s">
        <v>722</v>
      </c>
      <c r="E1046" s="207"/>
      <c r="F1046" s="207"/>
      <c r="G1046" s="207"/>
      <c r="H1046" s="54">
        <f>IFERROR(VLOOKUP(F1014,PASHEET!$A$4:$CJ$103,88,0),"")</f>
        <v>0</v>
      </c>
      <c r="I1046" s="54"/>
      <c r="J1046" s="29"/>
      <c r="K1046" s="29"/>
      <c r="L1046" s="29"/>
      <c r="M1046" s="29"/>
      <c r="N1046" s="29"/>
      <c r="O1046" s="29"/>
      <c r="P1046" s="19"/>
      <c r="Q1046" s="14"/>
      <c r="R1046" s="11"/>
    </row>
    <row r="1047" s="1" customFormat="1" ht="21.95" customHeight="1" spans="1:19">
      <c r="A1047" s="7"/>
      <c r="B1047" s="12"/>
      <c r="C1047" s="213"/>
      <c r="D1047" s="207" t="s">
        <v>723</v>
      </c>
      <c r="E1047" s="207"/>
      <c r="F1047" s="207"/>
      <c r="G1047" s="207"/>
      <c r="H1047" s="54">
        <f>IFERROR(VLOOKUP(F1014,PASHEET!$A$4:$CJ$103,87,0),"")</f>
        <v>0</v>
      </c>
      <c r="I1047" s="54"/>
      <c r="J1047" s="214"/>
      <c r="K1047" s="214"/>
      <c r="L1047" s="207" t="s">
        <v>724</v>
      </c>
      <c r="M1047" s="207"/>
      <c r="N1047" s="117" t="str">
        <f>IF(F1014&gt;ENTRY!$D$24,"",IF(F1014&gt;0,L1038&amp;" / "&amp;600,""))</f>
        <v>184 / 600</v>
      </c>
      <c r="O1047" s="117"/>
      <c r="P1047" s="215"/>
      <c r="Q1047" s="14"/>
      <c r="R1047" s="11"/>
    </row>
    <row r="1048" s="1" customFormat="1" ht="18" customHeight="1" spans="1:19">
      <c r="A1048" s="7"/>
      <c r="B1048" s="12"/>
      <c r="C1048" s="33"/>
      <c r="D1048" s="207" t="s">
        <v>725</v>
      </c>
      <c r="E1048" s="207"/>
      <c r="F1048" s="207"/>
      <c r="G1048" s="207"/>
      <c r="H1048" s="69" t="str">
        <f>IFERROR(IF(F1014&gt;0,H1047/H1046*100),"")</f>
        <v/>
      </c>
      <c r="I1048" s="69"/>
      <c r="J1048" s="29"/>
      <c r="K1048" s="29"/>
      <c r="L1048" s="207" t="s">
        <v>726</v>
      </c>
      <c r="M1048" s="207"/>
      <c r="N1048" s="216">
        <f>IF(F1014&gt;ENTRY!$D$24,"",IF(F1014&gt;0,L1038/600*100,""))</f>
        <v>30.6666666666667</v>
      </c>
      <c r="O1048" s="216"/>
      <c r="P1048" s="19"/>
      <c r="Q1048" s="14"/>
      <c r="R1048" s="11"/>
    </row>
    <row r="1049" s="1" customFormat="1" ht="21.95" customHeight="1" spans="1:19">
      <c r="A1049" s="7"/>
      <c r="B1049" s="12"/>
      <c r="C1049" s="33"/>
      <c r="D1049" s="80"/>
      <c r="E1049" s="80"/>
      <c r="F1049" s="217"/>
      <c r="G1049" s="217"/>
      <c r="H1049" s="217"/>
      <c r="I1049" s="217"/>
      <c r="J1049" s="217"/>
      <c r="K1049" s="217"/>
      <c r="L1049" s="217"/>
      <c r="M1049" s="217"/>
      <c r="N1049" s="80"/>
      <c r="O1049" s="80"/>
      <c r="P1049" s="19"/>
      <c r="Q1049" s="14"/>
      <c r="R1049" s="11"/>
    </row>
    <row r="1050" s="1" customFormat="1" ht="21.95" customHeight="1" spans="1:19">
      <c r="A1050" s="7"/>
      <c r="B1050" s="12"/>
      <c r="C1050" s="33"/>
      <c r="D1050" s="80"/>
      <c r="E1050" s="218"/>
      <c r="F1050" s="218"/>
      <c r="G1050" s="218"/>
      <c r="H1050" s="80"/>
      <c r="I1050" s="218"/>
      <c r="J1050" s="218"/>
      <c r="K1050" s="218"/>
      <c r="L1050" s="218"/>
      <c r="M1050" s="80"/>
      <c r="N1050" s="219"/>
      <c r="O1050" s="219"/>
      <c r="P1050" s="19"/>
      <c r="Q1050" s="14"/>
      <c r="R1050" s="11"/>
    </row>
    <row r="1051" s="1" customFormat="1" ht="21.95" customHeight="1" spans="1:19">
      <c r="A1051" s="7"/>
      <c r="B1051" s="12"/>
      <c r="C1051" s="33"/>
      <c r="D1051" s="80"/>
      <c r="E1051" s="80"/>
      <c r="F1051" s="80"/>
      <c r="G1051" s="80"/>
      <c r="H1051" s="80"/>
      <c r="I1051" s="80"/>
      <c r="J1051" s="80"/>
      <c r="K1051" s="80"/>
      <c r="L1051" s="80"/>
      <c r="M1051" s="80"/>
      <c r="N1051" s="80"/>
      <c r="O1051" s="80"/>
      <c r="P1051" s="19"/>
      <c r="Q1051" s="14"/>
      <c r="R1051" s="11"/>
    </row>
    <row r="1052" s="1" customFormat="1" ht="21.95" customHeight="1" spans="1:19">
      <c r="A1052" s="7"/>
      <c r="B1052" s="12"/>
      <c r="C1052" s="33"/>
      <c r="D1052" s="218"/>
      <c r="E1052" s="218"/>
      <c r="F1052" s="218"/>
      <c r="G1052" s="218"/>
      <c r="H1052" s="218"/>
      <c r="I1052" s="218"/>
      <c r="J1052" s="218"/>
      <c r="K1052" s="218"/>
      <c r="L1052" s="218"/>
      <c r="M1052" s="80"/>
      <c r="N1052" s="217"/>
      <c r="O1052" s="217"/>
      <c r="P1052" s="85" t="s">
        <v>727</v>
      </c>
      <c r="Q1052" s="14"/>
      <c r="R1052" s="11"/>
    </row>
    <row r="1053" s="1" customFormat="1" ht="21.95" customHeight="1" spans="1:19">
      <c r="A1053" s="7"/>
      <c r="B1053" s="12"/>
      <c r="C1053" s="33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19"/>
      <c r="Q1053" s="14"/>
      <c r="R1053" s="11"/>
    </row>
    <row r="1054" s="1" customFormat="1" ht="21.95" customHeight="1" spans="1:19">
      <c r="A1054" s="7"/>
      <c r="B1054" s="12"/>
      <c r="C1054" s="33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19"/>
      <c r="Q1054" s="14"/>
      <c r="R1054" s="11"/>
    </row>
    <row r="1055" s="1" customFormat="1" ht="21.95" customHeight="1" spans="1:19">
      <c r="A1055" s="7"/>
      <c r="B1055" s="12"/>
      <c r="C1055" s="33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19"/>
      <c r="Q1055" s="14"/>
      <c r="R1055" s="11"/>
    </row>
    <row r="1056" s="1" customFormat="1" ht="21.95" customHeight="1" spans="1:19">
      <c r="A1056" s="7"/>
      <c r="B1056" s="12"/>
      <c r="C1056" s="33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19"/>
      <c r="Q1056" s="14"/>
      <c r="R1056" s="11"/>
    </row>
    <row r="1057" s="1" customFormat="1" ht="21.95" customHeight="1" spans="1:18">
      <c r="A1057" s="7"/>
      <c r="B1057" s="12"/>
      <c r="C1057" s="33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19"/>
      <c r="Q1057" s="14"/>
      <c r="R1057" s="11"/>
    </row>
    <row r="1058" s="1" customFormat="1" ht="21.95" customHeight="1" spans="1:18">
      <c r="A1058" s="7"/>
      <c r="B1058" s="12"/>
      <c r="C1058" s="33"/>
      <c r="D1058" s="80" t="s">
        <v>728</v>
      </c>
      <c r="E1058" s="220">
        <f>ENTRY!$D$27</f>
        <v>46102</v>
      </c>
      <c r="F1058" s="220"/>
      <c r="G1058" s="29"/>
      <c r="H1058" s="29"/>
      <c r="I1058" s="221" t="s">
        <v>729</v>
      </c>
      <c r="J1058" s="153"/>
      <c r="K1058" s="29"/>
      <c r="L1058" s="29"/>
      <c r="M1058" s="87" t="s">
        <v>730</v>
      </c>
      <c r="N1058" s="87"/>
      <c r="O1058" s="87"/>
      <c r="P1058" s="19"/>
      <c r="Q1058" s="14"/>
      <c r="R1058" s="11"/>
    </row>
    <row r="1059" s="1" customFormat="1" ht="21.95" customHeight="1" spans="1:18">
      <c r="A1059" s="7"/>
      <c r="B1059" s="12"/>
      <c r="C1059" s="33"/>
      <c r="D1059" s="80" t="s">
        <v>731</v>
      </c>
      <c r="E1059" s="88" t="str">
        <f>PROPER(ENTRY!$D$28)</f>
        <v>New Delhi</v>
      </c>
      <c r="F1059" s="88"/>
      <c r="G1059" s="29"/>
      <c r="H1059" s="29"/>
      <c r="I1059" s="153"/>
      <c r="J1059" s="153"/>
      <c r="K1059" s="29"/>
      <c r="L1059" s="29"/>
      <c r="M1059" s="79" t="s">
        <v>732</v>
      </c>
      <c r="N1059" s="79"/>
      <c r="O1059" s="79"/>
      <c r="P1059" s="19"/>
      <c r="Q1059" s="14"/>
      <c r="R1059" s="11"/>
    </row>
    <row r="1060" s="1" customFormat="1" ht="21.95" customHeight="1" spans="1:18">
      <c r="A1060" s="7"/>
      <c r="B1060" s="12"/>
      <c r="C1060" s="90"/>
      <c r="D1060" s="91"/>
      <c r="E1060" s="91"/>
      <c r="F1060" s="91"/>
      <c r="G1060" s="91"/>
      <c r="H1060" s="91"/>
      <c r="I1060" s="91"/>
      <c r="J1060" s="91"/>
      <c r="K1060" s="91"/>
      <c r="L1060" s="91"/>
      <c r="M1060" s="91"/>
      <c r="N1060" s="91"/>
      <c r="O1060" s="91"/>
      <c r="P1060" s="92"/>
      <c r="Q1060" s="14"/>
      <c r="R1060" s="11"/>
    </row>
    <row r="1061" s="1" customFormat="1" ht="5.1" customHeight="1" spans="1:18">
      <c r="A1061" s="7"/>
      <c r="B1061" s="90"/>
      <c r="C1061" s="91"/>
      <c r="D1061" s="91"/>
      <c r="E1061" s="91"/>
      <c r="F1061" s="91"/>
      <c r="G1061" s="91"/>
      <c r="H1061" s="91"/>
      <c r="I1061" s="91"/>
      <c r="J1061" s="91"/>
      <c r="K1061" s="91"/>
      <c r="L1061" s="91"/>
      <c r="M1061" s="91"/>
      <c r="N1061" s="91"/>
      <c r="O1061" s="91"/>
      <c r="P1061" s="91"/>
      <c r="Q1061" s="92"/>
      <c r="R1061" s="11"/>
    </row>
    <row r="1062" s="1" customFormat="1" ht="5.1" customHeight="1" spans="1:18">
      <c r="A1062" s="93"/>
      <c r="B1062" s="94"/>
      <c r="C1062" s="94"/>
      <c r="D1062" s="94"/>
      <c r="E1062" s="94"/>
      <c r="F1062" s="94"/>
      <c r="G1062" s="94"/>
      <c r="H1062" s="94"/>
      <c r="I1062" s="94"/>
      <c r="J1062" s="94"/>
      <c r="K1062" s="94"/>
      <c r="L1062" s="94"/>
      <c r="M1062" s="94"/>
      <c r="N1062" s="94"/>
      <c r="O1062" s="94"/>
      <c r="P1062" s="94"/>
      <c r="Q1062" s="94"/>
      <c r="R1062" s="95"/>
    </row>
    <row r="1063" s="1" customFormat="1" ht="21.95" customHeight="1"/>
    <row r="1064" ht="15.15"/>
    <row r="1065" s="1" customFormat="1" ht="5.1" customHeight="1" spans="1:18">
      <c r="A1065" s="4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6"/>
    </row>
    <row r="1066" s="1" customFormat="1" ht="15" customHeight="1" spans="1:18">
      <c r="A1066" s="7"/>
      <c r="B1066" s="8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9"/>
      <c r="O1066" s="9"/>
      <c r="P1066" s="9"/>
      <c r="Q1066" s="10"/>
      <c r="R1066" s="11"/>
    </row>
    <row r="1067" s="1" customFormat="1" ht="21.95" customHeight="1" spans="1:18">
      <c r="A1067" s="7"/>
      <c r="B1067" s="12"/>
      <c r="C1067" s="13" t="s">
        <v>7</v>
      </c>
      <c r="D1067" s="13"/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/>
      <c r="Q1067" s="14"/>
      <c r="R1067" s="11"/>
    </row>
    <row r="1068" s="1" customFormat="1" ht="21.95" customHeight="1" spans="1:18">
      <c r="A1068" s="7"/>
      <c r="B1068" s="1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14"/>
      <c r="R1068" s="11"/>
    </row>
    <row r="1069" s="1" customFormat="1" ht="21.95" customHeight="1" spans="1:18">
      <c r="A1069" s="7"/>
      <c r="B1069" s="12"/>
      <c r="C1069" s="15" t="str">
        <f>"SESSION-"&amp;ENTRY!$D$11</f>
        <v>SESSION-2026-27</v>
      </c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4"/>
      <c r="R1069" s="11"/>
    </row>
    <row r="1070" s="1" customFormat="1" ht="21.95" customHeight="1" spans="1:18">
      <c r="A1070" s="7"/>
      <c r="B1070" s="12"/>
      <c r="C1070" s="2"/>
      <c r="D1070" s="2"/>
      <c r="E1070" s="2"/>
      <c r="F1070" s="16">
        <f>F1014+1</f>
        <v>20</v>
      </c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14"/>
      <c r="R1070" s="11"/>
    </row>
    <row r="1071" s="1" customFormat="1" ht="21.95" customHeight="1" spans="1:18">
      <c r="A1071" s="7"/>
      <c r="B1071" s="12"/>
      <c r="C1071" s="17" t="s">
        <v>392</v>
      </c>
      <c r="D1071" s="17"/>
      <c r="E1071" s="17"/>
      <c r="F1071" s="18" t="str">
        <f>IF(F1070&gt;0,ENTRY!$D$6,"")</f>
        <v>MCP NITHARI NO 1 BOYS</v>
      </c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4"/>
      <c r="R1071" s="11"/>
    </row>
    <row r="1072" s="1" customFormat="1" ht="21.95" customHeight="1" spans="1:18">
      <c r="A1072" s="7"/>
      <c r="B1072" s="12"/>
      <c r="C1072" s="17" t="s">
        <v>393</v>
      </c>
      <c r="D1072" s="17"/>
      <c r="E1072" s="17"/>
      <c r="F1072" s="18">
        <f>IF(F1070&gt;0,ENTRY!$D$7,"")</f>
        <v>0</v>
      </c>
      <c r="G1072" s="18"/>
      <c r="H1072" s="20" t="s">
        <v>702</v>
      </c>
      <c r="I1072" s="20"/>
      <c r="J1072" s="21">
        <f>IF(F1070&gt;0,ENTRY!$D$10,"")</f>
        <v>40</v>
      </c>
      <c r="K1072" s="20" t="s">
        <v>703</v>
      </c>
      <c r="L1072" s="22" t="str">
        <f>IF(F1070&gt;0,ENTRY!$D$5,"")</f>
        <v>ROHINI ZONE</v>
      </c>
      <c r="M1072" s="22"/>
      <c r="N1072" s="22"/>
      <c r="O1072" s="22"/>
      <c r="P1072" s="22"/>
      <c r="Q1072" s="14"/>
      <c r="R1072" s="11"/>
    </row>
    <row r="1073" s="1" customFormat="1" ht="21.95" customHeight="1" spans="1:18">
      <c r="A1073" s="7"/>
      <c r="B1073" s="12"/>
      <c r="C1073" s="17" t="s">
        <v>706</v>
      </c>
      <c r="D1073" s="17"/>
      <c r="E1073" s="17"/>
      <c r="F1073" s="23" t="str">
        <f>IFERROR(VLOOKUP(F1070,STUDENT!$A$2:$BP$101,5,0),"")</f>
        <v>ANKUR</v>
      </c>
      <c r="G1073" s="23"/>
      <c r="H1073" s="23"/>
      <c r="I1073" s="23"/>
      <c r="J1073" s="23"/>
      <c r="K1073" s="23"/>
      <c r="L1073" s="20" t="s">
        <v>707</v>
      </c>
      <c r="M1073" s="20"/>
      <c r="N1073" s="24" t="str">
        <f>IF(F1070&gt;0,ENTRY!$D$20&amp;"-"&amp;ENTRY!$D$21,"")</f>
        <v>III-A</v>
      </c>
      <c r="O1073" s="24"/>
      <c r="P1073" s="24"/>
      <c r="Q1073" s="14"/>
      <c r="R1073" s="11"/>
    </row>
    <row r="1074" s="1" customFormat="1" ht="21.95" customHeight="1" spans="1:18">
      <c r="A1074" s="7"/>
      <c r="B1074" s="12"/>
      <c r="C1074" s="17" t="s">
        <v>708</v>
      </c>
      <c r="D1074" s="17"/>
      <c r="E1074" s="17"/>
      <c r="F1074" s="25">
        <f>IFERROR(VLOOKUP(F1070,STUDENT!$A$2:$BP$101,6,0),"")</f>
        <v>14768</v>
      </c>
      <c r="G1074" s="25"/>
      <c r="H1074" s="26" t="s">
        <v>709</v>
      </c>
      <c r="I1074" s="27" t="str">
        <f>IFERROR(VLOOKUP(F1070,STUDENT!$A$2:$BP$101,59,0),"")</f>
        <v/>
      </c>
      <c r="J1074" s="27"/>
      <c r="K1074" s="20" t="s">
        <v>710</v>
      </c>
      <c r="L1074" s="20"/>
      <c r="M1074" s="28">
        <f>IFERROR(VLOOKUP(F1070,STUDENT!$A$2:$BP$101,20,0),"")</f>
        <v>9582382944</v>
      </c>
      <c r="N1074" s="28"/>
      <c r="O1074" s="28"/>
      <c r="P1074" s="28"/>
      <c r="Q1074" s="14"/>
      <c r="R1074" s="11"/>
    </row>
    <row r="1075" s="1" customFormat="1" ht="21.95" customHeight="1" spans="1:18">
      <c r="A1075" s="7"/>
      <c r="B1075" s="12"/>
      <c r="C1075" s="17" t="s">
        <v>711</v>
      </c>
      <c r="D1075" s="17"/>
      <c r="E1075" s="17"/>
      <c r="F1075" s="23" t="str">
        <f>IFERROR(VLOOKUP(F1070,STUDENT!$A$2:$BP$101,9,0),"")</f>
        <v>ANITA DEVI</v>
      </c>
      <c r="G1075" s="23"/>
      <c r="H1075" s="23"/>
      <c r="I1075" s="23"/>
      <c r="J1075" s="17" t="s">
        <v>620</v>
      </c>
      <c r="K1075" s="17"/>
      <c r="L1075" s="23" t="str">
        <f>IFERROR(VLOOKUP(F1070,STUDENT!$A$2:$BP$101,8,0),"")</f>
        <v>ASHOK KUMAR GUPTA</v>
      </c>
      <c r="M1075" s="23"/>
      <c r="N1075" s="23"/>
      <c r="O1075" s="23"/>
      <c r="P1075" s="23"/>
      <c r="Q1075" s="14"/>
      <c r="R1075" s="11"/>
    </row>
    <row r="1076" s="1" customFormat="1" ht="21.95" customHeight="1" spans="1:18">
      <c r="A1076" s="7"/>
      <c r="B1076" s="12"/>
      <c r="C1076" s="17" t="s">
        <v>712</v>
      </c>
      <c r="D1076" s="17"/>
      <c r="E1076" s="17"/>
      <c r="F1076" s="23" t="str">
        <f>IFERROR(VLOOKUP(F1070,STUDENT!$A$2:$BP$101,22,0),"")</f>
        <v>209, GALI NO-7 BLOCK D-1 LAXMI NAGAR PREM NAGAR -3 KIRARI</v>
      </c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14"/>
      <c r="R1076" s="11"/>
    </row>
    <row r="1077" s="1" customFormat="1" ht="9.95" customHeight="1" spans="1:18">
      <c r="A1077" s="7"/>
      <c r="B1077" s="12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14"/>
      <c r="R1077" s="11"/>
    </row>
    <row r="1078" s="1" customFormat="1" ht="9.95" customHeight="1" spans="1:18">
      <c r="A1078" s="7"/>
      <c r="B1078" s="12"/>
      <c r="C1078" s="30"/>
      <c r="D1078" s="31"/>
      <c r="E1078" s="31"/>
      <c r="F1078" s="31"/>
      <c r="G1078" s="31"/>
      <c r="H1078" s="31"/>
      <c r="I1078" s="31"/>
      <c r="J1078" s="31"/>
      <c r="K1078" s="31"/>
      <c r="L1078" s="31"/>
      <c r="M1078" s="31"/>
      <c r="N1078" s="31"/>
      <c r="O1078" s="31"/>
      <c r="P1078" s="32"/>
      <c r="Q1078" s="14"/>
      <c r="R1078" s="11"/>
    </row>
    <row r="1079" s="1" customFormat="1" ht="21.95" customHeight="1" spans="1:18">
      <c r="A1079" s="7"/>
      <c r="B1079" s="12"/>
      <c r="C1079" s="33"/>
      <c r="D1079" s="34" t="s">
        <v>713</v>
      </c>
      <c r="E1079" s="20" t="s">
        <v>714</v>
      </c>
      <c r="F1079" s="35" t="str">
        <f>"Level - "&amp;IFERROR(VLOOKUP(F1070,FLN!$A$4:$K$103,9,0),"")</f>
        <v>Level - 2</v>
      </c>
      <c r="G1079" s="36"/>
      <c r="H1079" s="37" t="s">
        <v>715</v>
      </c>
      <c r="I1079" s="20"/>
      <c r="J1079" s="35" t="str">
        <f>"Level - "&amp;IFERROR(VLOOKUP(F1070,FLN!$A$4:$K$103,11,0),"")</f>
        <v>Level - 3</v>
      </c>
      <c r="K1079" s="36"/>
      <c r="L1079" s="37" t="s">
        <v>408</v>
      </c>
      <c r="M1079" s="20"/>
      <c r="N1079" s="35" t="str">
        <f>"Level - "&amp;IFERROR(VLOOKUP(F1070,FLN!$A$4:$K$103,10,0),"")</f>
        <v>Level - 2</v>
      </c>
      <c r="O1079" s="36"/>
      <c r="P1079" s="19"/>
      <c r="Q1079" s="14"/>
      <c r="R1079" s="11"/>
    </row>
    <row r="1080" s="1" customFormat="1" ht="21.95" customHeight="1" spans="1:18">
      <c r="A1080" s="7"/>
      <c r="B1080" s="12"/>
      <c r="C1080" s="33"/>
      <c r="D1080" s="38"/>
      <c r="E1080" s="20" t="s">
        <v>716</v>
      </c>
      <c r="F1080" s="18" t="str">
        <f>IF(L1094&gt;197,"PERFORMED WELL","")</f>
        <v/>
      </c>
      <c r="G1080" s="18"/>
      <c r="H1080" s="18"/>
      <c r="I1080" s="18"/>
      <c r="J1080" s="18"/>
      <c r="K1080" s="18"/>
      <c r="L1080" s="18"/>
      <c r="M1080" s="18"/>
      <c r="N1080" s="18"/>
      <c r="O1080" s="18"/>
      <c r="P1080" s="19"/>
      <c r="Q1080" s="14"/>
      <c r="R1080" s="11"/>
    </row>
    <row r="1081" s="1" customFormat="1" ht="9.95" customHeight="1" spans="1:18">
      <c r="A1081" s="7"/>
      <c r="B1081" s="12"/>
      <c r="C1081" s="39"/>
      <c r="D1081" s="40"/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  <c r="O1081" s="40"/>
      <c r="P1081" s="41"/>
      <c r="Q1081" s="14"/>
      <c r="R1081" s="11"/>
    </row>
    <row r="1082" s="1" customFormat="1" ht="9.95" customHeight="1" spans="1:18">
      <c r="A1082" s="7"/>
      <c r="B1082" s="12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14"/>
      <c r="R1082" s="11"/>
    </row>
    <row r="1083" s="1" customFormat="1" ht="9.95" customHeight="1" spans="1:18">
      <c r="A1083" s="7"/>
      <c r="B1083" s="12"/>
      <c r="C1083" s="30"/>
      <c r="D1083" s="31"/>
      <c r="E1083" s="31"/>
      <c r="F1083" s="31"/>
      <c r="G1083" s="31"/>
      <c r="H1083" s="31"/>
      <c r="I1083" s="31"/>
      <c r="J1083" s="31"/>
      <c r="K1083" s="31"/>
      <c r="L1083" s="31"/>
      <c r="M1083" s="31"/>
      <c r="N1083" s="31"/>
      <c r="O1083" s="31"/>
      <c r="P1083" s="32"/>
      <c r="Q1083" s="14"/>
      <c r="R1083" s="11"/>
    </row>
    <row r="1084" s="1" customFormat="1" ht="21.95" customHeight="1" spans="1:18">
      <c r="A1084" s="7"/>
      <c r="B1084" s="12"/>
      <c r="C1084" s="33"/>
      <c r="D1084" s="35"/>
      <c r="E1084" s="24"/>
      <c r="F1084" s="24"/>
      <c r="G1084" s="47" t="s">
        <v>717</v>
      </c>
      <c r="H1084" s="47"/>
      <c r="I1084" s="47"/>
      <c r="J1084" s="47"/>
      <c r="K1084" s="47"/>
      <c r="L1084" s="47"/>
      <c r="M1084" s="47"/>
      <c r="N1084" s="47"/>
      <c r="O1084" s="29"/>
      <c r="P1084" s="19"/>
      <c r="Q1084" s="14"/>
      <c r="R1084" s="11"/>
    </row>
    <row r="1085" s="1" customFormat="1" ht="21.95" customHeight="1" spans="1:18">
      <c r="A1085" s="7"/>
      <c r="B1085" s="12"/>
      <c r="C1085" s="33"/>
      <c r="D1085" s="47"/>
      <c r="E1085" s="47"/>
      <c r="F1085" s="47"/>
      <c r="G1085" s="47" t="s">
        <v>541</v>
      </c>
      <c r="H1085" s="47" t="s">
        <v>542</v>
      </c>
      <c r="I1085" s="47" t="s">
        <v>543</v>
      </c>
      <c r="J1085" s="47" t="s">
        <v>544</v>
      </c>
      <c r="K1085" s="47" t="s">
        <v>561</v>
      </c>
      <c r="L1085" s="47" t="s">
        <v>382</v>
      </c>
      <c r="M1085" s="49" t="s">
        <v>546</v>
      </c>
      <c r="N1085" s="49"/>
      <c r="O1085" s="29"/>
      <c r="P1085" s="19"/>
      <c r="Q1085" s="14"/>
      <c r="R1085" s="11"/>
    </row>
    <row r="1086" s="1" customFormat="1" ht="21.95" customHeight="1" spans="1:18">
      <c r="A1086" s="7"/>
      <c r="B1086" s="12"/>
      <c r="C1086" s="33"/>
      <c r="D1086" s="207" t="s">
        <v>652</v>
      </c>
      <c r="E1086" s="207"/>
      <c r="F1086" s="207"/>
      <c r="G1086" s="50">
        <v>10</v>
      </c>
      <c r="H1086" s="50">
        <v>10</v>
      </c>
      <c r="I1086" s="50">
        <v>10</v>
      </c>
      <c r="J1086" s="50">
        <v>10</v>
      </c>
      <c r="K1086" s="50">
        <v>60</v>
      </c>
      <c r="L1086" s="50">
        <v>100</v>
      </c>
      <c r="M1086" s="49"/>
      <c r="N1086" s="49"/>
      <c r="O1086" s="29"/>
      <c r="P1086" s="19"/>
      <c r="Q1086" s="14"/>
      <c r="R1086" s="11"/>
    </row>
    <row r="1087" s="1" customFormat="1" ht="21.95" customHeight="1" spans="1:18">
      <c r="A1087" s="7"/>
      <c r="B1087" s="12"/>
      <c r="C1087" s="33"/>
      <c r="D1087" s="117" t="s">
        <v>668</v>
      </c>
      <c r="E1087" s="117"/>
      <c r="F1087" s="117"/>
      <c r="G1087" s="54">
        <f>IFERROR(VLOOKUP(F1070,'1to4-2.1-RR'!$A$12:$BG$111,9,0),"")</f>
        <v>1</v>
      </c>
      <c r="H1087" s="54">
        <f>IFERROR(VLOOKUP(F1070,'1to4-2.1-RR'!$A$12:$BG$111,10,0),"")</f>
        <v>0</v>
      </c>
      <c r="I1087" s="54">
        <f>IFERROR(VLOOKUP(F1070,'1to4-2.1-RR'!$A$12:$BG$111,11,0),"")</f>
        <v>0</v>
      </c>
      <c r="J1087" s="54">
        <f>IFERROR(VLOOKUP(F1070,'1to4-2.1-RR'!$A$12:$BG$111,12,0),"")</f>
        <v>0</v>
      </c>
      <c r="K1087" s="54">
        <f>IFERROR(VLOOKUP(F1070,'1to4-2.1-RR'!$A$12:$BG$111,13,0),"")</f>
        <v>30</v>
      </c>
      <c r="L1087" s="55">
        <f>SUM(G1087:K1087)</f>
        <v>31</v>
      </c>
      <c r="M1087" s="56" t="str">
        <f>IF(F1070&gt;ENTRY!$D$24,"",IF(L1087=0,"Ab",IF(L1087&gt;80,"A",IF(L1087&gt;60,"B",IF(L1087&gt;44,"C",IF(L1087&gt;=33,"D",IF(L1087&lt;=32,"E","")))))))</f>
        <v>E</v>
      </c>
      <c r="N1087" s="56"/>
      <c r="O1087" s="29"/>
      <c r="P1087" s="19"/>
      <c r="Q1087" s="14"/>
      <c r="R1087" s="11"/>
    </row>
    <row r="1088" s="1" customFormat="1" ht="21.95" customHeight="1" spans="1:18">
      <c r="A1088" s="7"/>
      <c r="B1088" s="12"/>
      <c r="C1088" s="33"/>
      <c r="D1088" s="117" t="s">
        <v>513</v>
      </c>
      <c r="E1088" s="117"/>
      <c r="F1088" s="117"/>
      <c r="G1088" s="54">
        <f>IFERROR(VLOOKUP(F1070,'1to4-2.1-RR'!$A$12:$BG$111,16,0),"")</f>
        <v>1</v>
      </c>
      <c r="H1088" s="54">
        <f>IFERROR(VLOOKUP(F1070,'1to4-2.1-RR'!$A$12:$BG$111,17,0),"")</f>
        <v>0</v>
      </c>
      <c r="I1088" s="54">
        <f>IFERROR(VLOOKUP(F1070,'1to4-2.1-RR'!$A$12:$BG$111,18,0),"")</f>
        <v>0</v>
      </c>
      <c r="J1088" s="54">
        <f>IFERROR(VLOOKUP(F1070,'1to4-2.1-RR'!$A$12:$BG$111,19,0),"")</f>
        <v>0</v>
      </c>
      <c r="K1088" s="54">
        <f>IFERROR(VLOOKUP(F1070,'1to4-2.1-RR'!$A$12:$BG$111,20,0),"")</f>
        <v>13</v>
      </c>
      <c r="L1088" s="55">
        <f t="shared" ref="L1088:L1093" si="38">SUM(G1088:K1088)</f>
        <v>14</v>
      </c>
      <c r="M1088" s="56" t="str">
        <f>IF(F1070&gt;ENTRY!$D$24,"",IF(L1088=0,"Ab",IF(L1088&gt;80,"A",IF(L1088&gt;60,"B",IF(L1088&gt;44,"C",IF(L1088&gt;=33,"D",IF(L1088&lt;=32,"E","")))))))</f>
        <v>E</v>
      </c>
      <c r="N1088" s="56"/>
      <c r="O1088" s="29"/>
      <c r="P1088" s="19"/>
      <c r="Q1088" s="14"/>
      <c r="R1088" s="11"/>
    </row>
    <row r="1089" s="1" customFormat="1" ht="21.95" customHeight="1" spans="1:19">
      <c r="A1089" s="7"/>
      <c r="B1089" s="12"/>
      <c r="C1089" s="33"/>
      <c r="D1089" s="117" t="s">
        <v>718</v>
      </c>
      <c r="E1089" s="117"/>
      <c r="F1089" s="117"/>
      <c r="G1089" s="54">
        <f>IFERROR(VLOOKUP(F1070,'1to4-2.1-RR'!$A$12:$BG$111,23,0),"")</f>
        <v>1</v>
      </c>
      <c r="H1089" s="54">
        <f>IFERROR(VLOOKUP(F1070,'1to4-2.1-RR'!$A$12:$BG$111,24,0),"")</f>
        <v>0</v>
      </c>
      <c r="I1089" s="54">
        <f>IFERROR(VLOOKUP(F1070,'1to4-2.1-RR'!$A$12:$BG$111,25,0),"")</f>
        <v>0</v>
      </c>
      <c r="J1089" s="54">
        <f>IFERROR(VLOOKUP(F1070,'1to4-2.1-RR'!$A$12:$BG$111,26,0),"")</f>
        <v>0</v>
      </c>
      <c r="K1089" s="54">
        <f>IFERROR(VLOOKUP(F1070,'1to4-2.1-RR'!$A$12:$BG$111,27,0),"")</f>
        <v>18</v>
      </c>
      <c r="L1089" s="55">
        <f t="shared" si="38"/>
        <v>19</v>
      </c>
      <c r="M1089" s="56" t="str">
        <f>IF(F1070&gt;ENTRY!$D$24,"",IF(L1089=0,"Ab",IF(L1089&gt;80,"A",IF(L1089&gt;60,"B",IF(L1089&gt;44,"C",IF(L1089&gt;=33,"D",IF(L1089&lt;=32,"E","")))))))</f>
        <v>E</v>
      </c>
      <c r="N1089" s="56"/>
      <c r="O1089" s="29"/>
      <c r="P1089" s="19"/>
      <c r="Q1089" s="14"/>
      <c r="R1089" s="11"/>
    </row>
    <row r="1090" s="1" customFormat="1" ht="21.95" customHeight="1" spans="1:19">
      <c r="A1090" s="7"/>
      <c r="B1090" s="12"/>
      <c r="C1090" s="33"/>
      <c r="D1090" s="117" t="s">
        <v>719</v>
      </c>
      <c r="E1090" s="117"/>
      <c r="F1090" s="117"/>
      <c r="G1090" s="54">
        <f>IFERROR(VLOOKUP(F1070,'1to4-2.1-RR'!$A$12:$BG$111,30,0),"")</f>
        <v>1</v>
      </c>
      <c r="H1090" s="54">
        <f>IFERROR(VLOOKUP(F1070,'1to4-2.1-RR'!$A$12:$BG$111,31,0),"")</f>
        <v>0</v>
      </c>
      <c r="I1090" s="54">
        <f>IFERROR(VLOOKUP(F1070,'1to4-2.1-RR'!$A$12:$BG$111,32,0),"")</f>
        <v>0</v>
      </c>
      <c r="J1090" s="54">
        <f>IFERROR(VLOOKUP(F1070,'1to4-2.1-RR'!$A$12:$BG$111,33,0),"")</f>
        <v>0</v>
      </c>
      <c r="K1090" s="54">
        <f>IFERROR(VLOOKUP(F1070,'1to4-2.1-RR'!$A$12:$BG$111,34,0),"")</f>
        <v>18</v>
      </c>
      <c r="L1090" s="55">
        <f t="shared" si="38"/>
        <v>19</v>
      </c>
      <c r="M1090" s="56" t="str">
        <f>IF(F1070&gt;ENTRY!$D$24,"",IF(L1090=0,"Ab",IF(L1090&gt;80,"A",IF(L1090&gt;60,"B",IF(L1090&gt;44,"C",IF(L1090&gt;=33,"D",IF(L1090&lt;=32,"E","")))))))</f>
        <v>E</v>
      </c>
      <c r="N1090" s="56"/>
      <c r="O1090" s="29"/>
      <c r="P1090" s="19"/>
      <c r="Q1090" s="14"/>
      <c r="R1090" s="11"/>
    </row>
    <row r="1091" s="1" customFormat="1" ht="21.95" customHeight="1" spans="1:19">
      <c r="A1091" s="7"/>
      <c r="B1091" s="12"/>
      <c r="C1091" s="33"/>
      <c r="D1091" s="117" t="s">
        <v>548</v>
      </c>
      <c r="E1091" s="117"/>
      <c r="F1091" s="117"/>
      <c r="G1091" s="54">
        <f>IFERROR(VLOOKUP(F1070,'1to4-2.1-RR'!$A$12:$BG$111,37,0),"")</f>
        <v>0</v>
      </c>
      <c r="H1091" s="54">
        <f>IFERROR(VLOOKUP(F1070,'1to4-2.1-RR'!$A$12:$BG$111,38,0),"")</f>
        <v>0</v>
      </c>
      <c r="I1091" s="54">
        <f>IFERROR(VLOOKUP(F1070,'1to4-2.1-RR'!$A$12:$BG$111,39,0),"")</f>
        <v>0</v>
      </c>
      <c r="J1091" s="54">
        <f>IFERROR(VLOOKUP(F1070,'1to4-2.1-RR'!$A$12:$BG$111,40,0),"")</f>
        <v>0</v>
      </c>
      <c r="K1091" s="54">
        <f>IFERROR(VLOOKUP(F1070,'1to4-2.1-RR'!$A$12:$BG$111,41,0),"")</f>
        <v>22</v>
      </c>
      <c r="L1091" s="55">
        <f t="shared" si="38"/>
        <v>22</v>
      </c>
      <c r="M1091" s="56" t="str">
        <f>IF(F1070&gt;ENTRY!$D$24,"",IF(L1091=0,"Ab",IF(L1091&gt;80,"A",IF(L1091&gt;60,"B",IF(L1091&gt;44,"C",IF(L1091&gt;=33,"D",IF(L1091&lt;=32,"E","")))))))</f>
        <v>E</v>
      </c>
      <c r="N1091" s="56"/>
      <c r="O1091" s="29"/>
      <c r="P1091" s="19"/>
      <c r="Q1091" s="14"/>
      <c r="R1091" s="11"/>
    </row>
    <row r="1092" s="1" customFormat="1" ht="21.95" customHeight="1" spans="1:19">
      <c r="A1092" s="7"/>
      <c r="B1092" s="12"/>
      <c r="C1092" s="33"/>
      <c r="D1092" s="117" t="s">
        <v>549</v>
      </c>
      <c r="E1092" s="117"/>
      <c r="F1092" s="117"/>
      <c r="G1092" s="54">
        <f>IFERROR(VLOOKUP(F1070,'1to4-2.1-RR'!$A$12:$BG$111,44,0),"")</f>
        <v>2</v>
      </c>
      <c r="H1092" s="54">
        <f>IFERROR(VLOOKUP(F1070,'1to4-2.1-RR'!$A$12:$BG$111,45,0),"")</f>
        <v>0</v>
      </c>
      <c r="I1092" s="54">
        <f>IFERROR(VLOOKUP(F1070,'1to4-2.1-RR'!$A$12:$BG$111,46,0),"")</f>
        <v>0</v>
      </c>
      <c r="J1092" s="54">
        <f>IFERROR(VLOOKUP(F1070,'1to4-2.1-RR'!$A$12:$BG$111,47,0),"")</f>
        <v>0</v>
      </c>
      <c r="K1092" s="54">
        <f>IFERROR(VLOOKUP(F1070,'1to4-2.1-RR'!$A$12:$BG$111,48,0),"")</f>
        <v>20</v>
      </c>
      <c r="L1092" s="55">
        <f t="shared" si="38"/>
        <v>22</v>
      </c>
      <c r="M1092" s="56" t="str">
        <f>IF(F1070&gt;ENTRY!$D$24,"",IF(L1092=0,"Ab",IF(L1092&gt;80,"A",IF(L1092&gt;60,"B",IF(L1092&gt;44,"C",IF(L1092&gt;=33,"D",IF(L1092&lt;=32,"E","")))))))</f>
        <v>E</v>
      </c>
      <c r="N1092" s="56"/>
      <c r="O1092" s="29"/>
      <c r="P1092" s="19"/>
      <c r="Q1092" s="14"/>
      <c r="R1092" s="11"/>
    </row>
    <row r="1093" s="1" customFormat="1" ht="21.95" customHeight="1" spans="1:19">
      <c r="A1093" s="7"/>
      <c r="B1093" s="12"/>
      <c r="C1093" s="33"/>
      <c r="D1093" s="117" t="s">
        <v>720</v>
      </c>
      <c r="E1093" s="117"/>
      <c r="F1093" s="117"/>
      <c r="G1093" s="54"/>
      <c r="H1093" s="54"/>
      <c r="I1093" s="54"/>
      <c r="J1093" s="54"/>
      <c r="K1093" s="54"/>
      <c r="L1093" s="55">
        <f t="shared" si="38"/>
        <v>0</v>
      </c>
      <c r="M1093" s="56" t="str">
        <f>IF(F1070&gt;ENTRY!$D$24,"",IF(L1093=0,"",IF(L1093&gt;79,"A",IF(L1093&gt;59,"B",IF(L1093&gt;44,"C",IF(L1093&gt;=33,"D",IF(L1093&lt;=32,"E","")))))))</f>
        <v/>
      </c>
      <c r="N1093" s="56"/>
      <c r="O1093" s="29"/>
      <c r="P1093" s="19"/>
      <c r="Q1093" s="14"/>
      <c r="R1093" s="11"/>
    </row>
    <row r="1094" s="1" customFormat="1" ht="21.95" customHeight="1" spans="1:19">
      <c r="A1094" s="7"/>
      <c r="B1094" s="12"/>
      <c r="C1094" s="33"/>
      <c r="D1094" s="207" t="s">
        <v>382</v>
      </c>
      <c r="E1094" s="207"/>
      <c r="F1094" s="207"/>
      <c r="G1094" s="54">
        <f t="shared" ref="G1094:L1094" si="39">IFERROR(SUM(G1087:G1093),"")</f>
        <v>6</v>
      </c>
      <c r="H1094" s="54">
        <f t="shared" si="39"/>
        <v>0</v>
      </c>
      <c r="I1094" s="54">
        <f t="shared" si="39"/>
        <v>0</v>
      </c>
      <c r="J1094" s="54">
        <f t="shared" si="39"/>
        <v>0</v>
      </c>
      <c r="K1094" s="54">
        <f t="shared" si="39"/>
        <v>121</v>
      </c>
      <c r="L1094" s="55">
        <f t="shared" si="39"/>
        <v>127</v>
      </c>
      <c r="M1094" s="61" t="str">
        <f>IF(F1070&gt;ENTRY!$D$24,"",IF(N1095="Ab","Ab",IF(N1095&gt;79.5,"A",IF(N1095&gt;59.5,"B",IF(N1095&gt;44.5,"C",IF(N1095&gt;=33,"D",IF(N1095&lt;33,"E","")))))))</f>
        <v>E</v>
      </c>
      <c r="N1094" s="61"/>
      <c r="O1094" s="29"/>
      <c r="P1094" s="19"/>
      <c r="Q1094" s="14"/>
      <c r="R1094" s="11"/>
    </row>
    <row r="1095" s="1" customFormat="1" ht="21.95" customHeight="1" spans="1:19">
      <c r="A1095" s="7"/>
      <c r="B1095" s="12"/>
      <c r="C1095" s="33"/>
      <c r="D1095" s="63" t="s">
        <v>721</v>
      </c>
      <c r="E1095" s="63"/>
      <c r="F1095" s="63"/>
      <c r="G1095" s="63"/>
      <c r="H1095" s="63"/>
      <c r="I1095" s="63"/>
      <c r="J1095" s="63"/>
      <c r="K1095" s="63"/>
      <c r="L1095" s="63"/>
      <c r="M1095" s="209"/>
      <c r="N1095" s="64">
        <f>IF(L1094="Ab","Ab",L1094/6)</f>
        <v>21.1666666666667</v>
      </c>
      <c r="O1095" s="65"/>
      <c r="P1095" s="19"/>
      <c r="Q1095" s="14"/>
      <c r="R1095" s="11"/>
    </row>
    <row r="1096" s="1" customFormat="1" ht="21.95" customHeight="1" spans="1:19">
      <c r="A1096" s="7"/>
      <c r="B1096" s="12"/>
      <c r="C1096" s="33"/>
      <c r="D1096" s="29" t="s">
        <v>716</v>
      </c>
      <c r="E1096" s="18" t="str">
        <f>IFERROR(VLOOKUP(F1070,'1to4-2.1-RR'!$A$12:$BG$111,57,0),"")</f>
        <v>PROMOTED</v>
      </c>
      <c r="F1096" s="18"/>
      <c r="G1096" s="18"/>
      <c r="H1096" s="18"/>
      <c r="I1096" s="18"/>
      <c r="J1096" s="18"/>
      <c r="K1096" s="18"/>
      <c r="L1096" s="18"/>
      <c r="M1096" s="18"/>
      <c r="N1096" s="29"/>
      <c r="O1096" s="29"/>
      <c r="P1096" s="19"/>
      <c r="Q1096" s="14"/>
      <c r="R1096" s="11"/>
    </row>
    <row r="1097" s="1" customFormat="1" ht="9.95" customHeight="1" spans="1:19">
      <c r="A1097" s="7"/>
      <c r="B1097" s="12"/>
      <c r="C1097" s="39"/>
      <c r="D1097" s="40"/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  <c r="O1097" s="40"/>
      <c r="P1097" s="41"/>
      <c r="Q1097" s="14"/>
      <c r="R1097" s="11"/>
    </row>
    <row r="1098" s="1" customFormat="1" ht="9.95" customHeight="1" spans="1:19">
      <c r="A1098" s="7"/>
      <c r="B1098" s="12"/>
      <c r="C1098" s="30"/>
      <c r="D1098" s="31"/>
      <c r="E1098" s="31"/>
      <c r="F1098" s="29"/>
      <c r="G1098" s="31"/>
      <c r="H1098" s="31"/>
      <c r="I1098" s="31"/>
      <c r="J1098" s="31"/>
      <c r="K1098" s="31"/>
      <c r="L1098" s="31"/>
      <c r="M1098" s="31"/>
      <c r="N1098" s="31"/>
      <c r="O1098" s="31"/>
      <c r="P1098" s="32"/>
      <c r="Q1098" s="14"/>
      <c r="R1098" s="11"/>
    </row>
    <row r="1099" s="1" customFormat="1" ht="9.95" customHeight="1" spans="1:19">
      <c r="A1099" s="7"/>
      <c r="B1099" s="12"/>
      <c r="C1099" s="33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19"/>
      <c r="Q1099" s="14"/>
      <c r="R1099" s="11"/>
    </row>
    <row r="1100" s="1" customFormat="1" ht="9.95" customHeight="1" spans="1:19">
      <c r="A1100" s="7"/>
      <c r="B1100" s="12"/>
      <c r="C1100" s="33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19"/>
      <c r="Q1100" s="14"/>
      <c r="R1100" s="11"/>
    </row>
    <row r="1101" s="1" customFormat="1" ht="21.95" customHeight="1" spans="1:19">
      <c r="A1101" s="7"/>
      <c r="B1101" s="12"/>
      <c r="C1101" s="210"/>
      <c r="D1101" s="211"/>
      <c r="E1101" s="211"/>
      <c r="F1101" s="211"/>
      <c r="G1101" s="211"/>
      <c r="H1101" s="211"/>
      <c r="I1101" s="211"/>
      <c r="J1101" s="211"/>
      <c r="K1101" s="211"/>
      <c r="L1101" s="211"/>
      <c r="M1101" s="211"/>
      <c r="N1101" s="211"/>
      <c r="O1101" s="211"/>
      <c r="P1101" s="212"/>
      <c r="Q1101" s="14"/>
      <c r="R1101" s="11"/>
      <c r="S1101" s="2"/>
    </row>
    <row r="1102" s="1" customFormat="1" ht="21.95" customHeight="1" spans="1:19">
      <c r="A1102" s="7"/>
      <c r="B1102" s="12"/>
      <c r="C1102" s="33"/>
      <c r="D1102" s="207" t="s">
        <v>722</v>
      </c>
      <c r="E1102" s="207"/>
      <c r="F1102" s="207"/>
      <c r="G1102" s="207"/>
      <c r="H1102" s="54">
        <f>IFERROR(VLOOKUP(F1070,PASHEET!$A$4:$CJ$103,88,0),"")</f>
        <v>0</v>
      </c>
      <c r="I1102" s="54"/>
      <c r="J1102" s="29"/>
      <c r="K1102" s="29"/>
      <c r="L1102" s="29"/>
      <c r="M1102" s="29"/>
      <c r="N1102" s="29"/>
      <c r="O1102" s="29"/>
      <c r="P1102" s="19"/>
      <c r="Q1102" s="14"/>
      <c r="R1102" s="11"/>
    </row>
    <row r="1103" s="1" customFormat="1" ht="21.95" customHeight="1" spans="1:19">
      <c r="A1103" s="7"/>
      <c r="B1103" s="12"/>
      <c r="C1103" s="213"/>
      <c r="D1103" s="207" t="s">
        <v>723</v>
      </c>
      <c r="E1103" s="207"/>
      <c r="F1103" s="207"/>
      <c r="G1103" s="207"/>
      <c r="H1103" s="54">
        <f>IFERROR(VLOOKUP(F1070,PASHEET!$A$4:$CJ$103,87,0),"")</f>
        <v>0</v>
      </c>
      <c r="I1103" s="54"/>
      <c r="J1103" s="214"/>
      <c r="K1103" s="214"/>
      <c r="L1103" s="207" t="s">
        <v>724</v>
      </c>
      <c r="M1103" s="207"/>
      <c r="N1103" s="117" t="str">
        <f>IF(F1070&gt;ENTRY!$D$24,"",IF(F1070&gt;0,L1094&amp;" / "&amp;600,""))</f>
        <v>127 / 600</v>
      </c>
      <c r="O1103" s="117"/>
      <c r="P1103" s="215"/>
      <c r="Q1103" s="14"/>
      <c r="R1103" s="11"/>
    </row>
    <row r="1104" s="1" customFormat="1" ht="18" customHeight="1" spans="1:19">
      <c r="A1104" s="7"/>
      <c r="B1104" s="12"/>
      <c r="C1104" s="33"/>
      <c r="D1104" s="207" t="s">
        <v>725</v>
      </c>
      <c r="E1104" s="207"/>
      <c r="F1104" s="207"/>
      <c r="G1104" s="207"/>
      <c r="H1104" s="69" t="str">
        <f>IFERROR(IF(F1070&gt;0,H1103/H1102*100),"")</f>
        <v/>
      </c>
      <c r="I1104" s="69"/>
      <c r="J1104" s="29"/>
      <c r="K1104" s="29"/>
      <c r="L1104" s="207" t="s">
        <v>726</v>
      </c>
      <c r="M1104" s="207"/>
      <c r="N1104" s="216">
        <f>IF(F1070&gt;ENTRY!$D$24,"",IF(F1070&gt;0,L1094/600*100,""))</f>
        <v>21.1666666666667</v>
      </c>
      <c r="O1104" s="216"/>
      <c r="P1104" s="19"/>
      <c r="Q1104" s="14"/>
      <c r="R1104" s="11"/>
    </row>
    <row r="1105" s="1" customFormat="1" ht="21.95" customHeight="1" spans="1:18">
      <c r="A1105" s="7"/>
      <c r="B1105" s="12"/>
      <c r="C1105" s="33"/>
      <c r="D1105" s="80"/>
      <c r="E1105" s="80"/>
      <c r="F1105" s="217"/>
      <c r="G1105" s="217"/>
      <c r="H1105" s="217"/>
      <c r="I1105" s="217"/>
      <c r="J1105" s="217"/>
      <c r="K1105" s="217"/>
      <c r="L1105" s="217"/>
      <c r="M1105" s="217"/>
      <c r="N1105" s="80"/>
      <c r="O1105" s="80"/>
      <c r="P1105" s="19"/>
      <c r="Q1105" s="14"/>
      <c r="R1105" s="11"/>
    </row>
    <row r="1106" s="1" customFormat="1" ht="21.95" customHeight="1" spans="1:18">
      <c r="A1106" s="7"/>
      <c r="B1106" s="12"/>
      <c r="C1106" s="33"/>
      <c r="D1106" s="80"/>
      <c r="E1106" s="218"/>
      <c r="F1106" s="218"/>
      <c r="G1106" s="218"/>
      <c r="H1106" s="80"/>
      <c r="I1106" s="218"/>
      <c r="J1106" s="218"/>
      <c r="K1106" s="218"/>
      <c r="L1106" s="218"/>
      <c r="M1106" s="80"/>
      <c r="N1106" s="219"/>
      <c r="O1106" s="219"/>
      <c r="P1106" s="19"/>
      <c r="Q1106" s="14"/>
      <c r="R1106" s="11"/>
    </row>
    <row r="1107" s="1" customFormat="1" ht="21.95" customHeight="1" spans="1:18">
      <c r="A1107" s="7"/>
      <c r="B1107" s="12"/>
      <c r="C1107" s="33"/>
      <c r="D1107" s="80"/>
      <c r="E1107" s="80"/>
      <c r="F1107" s="80"/>
      <c r="G1107" s="80"/>
      <c r="H1107" s="80"/>
      <c r="I1107" s="80"/>
      <c r="J1107" s="80"/>
      <c r="K1107" s="80"/>
      <c r="L1107" s="80"/>
      <c r="M1107" s="80"/>
      <c r="N1107" s="80"/>
      <c r="O1107" s="80"/>
      <c r="P1107" s="19"/>
      <c r="Q1107" s="14"/>
      <c r="R1107" s="11"/>
    </row>
    <row r="1108" s="1" customFormat="1" ht="21.95" customHeight="1" spans="1:18">
      <c r="A1108" s="7"/>
      <c r="B1108" s="12"/>
      <c r="C1108" s="33"/>
      <c r="D1108" s="218"/>
      <c r="E1108" s="218"/>
      <c r="F1108" s="218"/>
      <c r="G1108" s="218"/>
      <c r="H1108" s="218"/>
      <c r="I1108" s="218"/>
      <c r="J1108" s="218"/>
      <c r="K1108" s="218"/>
      <c r="L1108" s="218"/>
      <c r="M1108" s="80"/>
      <c r="N1108" s="217"/>
      <c r="O1108" s="217"/>
      <c r="P1108" s="85" t="s">
        <v>727</v>
      </c>
      <c r="Q1108" s="14"/>
      <c r="R1108" s="11"/>
    </row>
    <row r="1109" s="1" customFormat="1" ht="21.95" customHeight="1" spans="1:18">
      <c r="A1109" s="7"/>
      <c r="B1109" s="12"/>
      <c r="C1109" s="33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19"/>
      <c r="Q1109" s="14"/>
      <c r="R1109" s="11"/>
    </row>
    <row r="1110" s="1" customFormat="1" ht="21.95" customHeight="1" spans="1:18">
      <c r="A1110" s="7"/>
      <c r="B1110" s="12"/>
      <c r="C1110" s="33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19"/>
      <c r="Q1110" s="14"/>
      <c r="R1110" s="11"/>
    </row>
    <row r="1111" s="1" customFormat="1" ht="21.95" customHeight="1" spans="1:18">
      <c r="A1111" s="7"/>
      <c r="B1111" s="12"/>
      <c r="C1111" s="33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19"/>
      <c r="Q1111" s="14"/>
      <c r="R1111" s="11"/>
    </row>
    <row r="1112" s="1" customFormat="1" ht="21.95" customHeight="1" spans="1:18">
      <c r="A1112" s="7"/>
      <c r="B1112" s="12"/>
      <c r="C1112" s="33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19"/>
      <c r="Q1112" s="14"/>
      <c r="R1112" s="11"/>
    </row>
    <row r="1113" s="1" customFormat="1" ht="21.95" customHeight="1" spans="1:18">
      <c r="A1113" s="7"/>
      <c r="B1113" s="12"/>
      <c r="C1113" s="33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19"/>
      <c r="Q1113" s="14"/>
      <c r="R1113" s="11"/>
    </row>
    <row r="1114" s="1" customFormat="1" ht="21.95" customHeight="1" spans="1:18">
      <c r="A1114" s="7"/>
      <c r="B1114" s="12"/>
      <c r="C1114" s="33"/>
      <c r="D1114" s="80" t="s">
        <v>728</v>
      </c>
      <c r="E1114" s="220">
        <f>ENTRY!$D$27</f>
        <v>46102</v>
      </c>
      <c r="F1114" s="220"/>
      <c r="G1114" s="29"/>
      <c r="H1114" s="29"/>
      <c r="I1114" s="221" t="s">
        <v>729</v>
      </c>
      <c r="J1114" s="153"/>
      <c r="K1114" s="29"/>
      <c r="L1114" s="29"/>
      <c r="M1114" s="87" t="s">
        <v>730</v>
      </c>
      <c r="N1114" s="87"/>
      <c r="O1114" s="87"/>
      <c r="P1114" s="19"/>
      <c r="Q1114" s="14"/>
      <c r="R1114" s="11"/>
    </row>
    <row r="1115" s="1" customFormat="1" ht="21.95" customHeight="1" spans="1:18">
      <c r="A1115" s="7"/>
      <c r="B1115" s="12"/>
      <c r="C1115" s="33"/>
      <c r="D1115" s="80" t="s">
        <v>731</v>
      </c>
      <c r="E1115" s="88" t="str">
        <f>PROPER(ENTRY!$D$28)</f>
        <v>New Delhi</v>
      </c>
      <c r="F1115" s="88"/>
      <c r="G1115" s="29"/>
      <c r="H1115" s="29"/>
      <c r="I1115" s="153"/>
      <c r="J1115" s="153"/>
      <c r="K1115" s="29"/>
      <c r="L1115" s="29"/>
      <c r="M1115" s="79" t="s">
        <v>732</v>
      </c>
      <c r="N1115" s="79"/>
      <c r="O1115" s="79"/>
      <c r="P1115" s="19"/>
      <c r="Q1115" s="14"/>
      <c r="R1115" s="11"/>
    </row>
    <row r="1116" s="1" customFormat="1" ht="21.95" customHeight="1" spans="1:18">
      <c r="A1116" s="7"/>
      <c r="B1116" s="12"/>
      <c r="C1116" s="90"/>
      <c r="D1116" s="91"/>
      <c r="E1116" s="91"/>
      <c r="F1116" s="91"/>
      <c r="G1116" s="91"/>
      <c r="H1116" s="91"/>
      <c r="I1116" s="91"/>
      <c r="J1116" s="91"/>
      <c r="K1116" s="91"/>
      <c r="L1116" s="91"/>
      <c r="M1116" s="91"/>
      <c r="N1116" s="91"/>
      <c r="O1116" s="91"/>
      <c r="P1116" s="92"/>
      <c r="Q1116" s="14"/>
      <c r="R1116" s="11"/>
    </row>
    <row r="1117" s="1" customFormat="1" ht="5.1" customHeight="1" spans="1:18">
      <c r="A1117" s="7"/>
      <c r="B1117" s="90"/>
      <c r="C1117" s="91"/>
      <c r="D1117" s="91"/>
      <c r="E1117" s="91"/>
      <c r="F1117" s="91"/>
      <c r="G1117" s="91"/>
      <c r="H1117" s="91"/>
      <c r="I1117" s="91"/>
      <c r="J1117" s="91"/>
      <c r="K1117" s="91"/>
      <c r="L1117" s="91"/>
      <c r="M1117" s="91"/>
      <c r="N1117" s="91"/>
      <c r="O1117" s="91"/>
      <c r="P1117" s="91"/>
      <c r="Q1117" s="92"/>
      <c r="R1117" s="11"/>
    </row>
    <row r="1118" s="1" customFormat="1" ht="5.1" customHeight="1" spans="1:18">
      <c r="A1118" s="93"/>
      <c r="B1118" s="94"/>
      <c r="C1118" s="94"/>
      <c r="D1118" s="94"/>
      <c r="E1118" s="94"/>
      <c r="F1118" s="94"/>
      <c r="G1118" s="94"/>
      <c r="H1118" s="94"/>
      <c r="I1118" s="94"/>
      <c r="J1118" s="94"/>
      <c r="K1118" s="94"/>
      <c r="L1118" s="94"/>
      <c r="M1118" s="94"/>
      <c r="N1118" s="94"/>
      <c r="O1118" s="94"/>
      <c r="P1118" s="94"/>
      <c r="Q1118" s="94"/>
      <c r="R1118" s="95"/>
    </row>
    <row r="1119" s="1" customFormat="1" ht="21.95" customHeight="1"/>
    <row r="1120" ht="15.15"/>
    <row r="1121" s="1" customFormat="1" ht="5.1" customHeight="1" spans="1:18">
      <c r="A1121" s="4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6"/>
    </row>
    <row r="1122" s="1" customFormat="1" ht="15" customHeight="1" spans="1:18">
      <c r="A1122" s="7"/>
      <c r="B1122" s="8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9"/>
      <c r="O1122" s="9"/>
      <c r="P1122" s="9"/>
      <c r="Q1122" s="10"/>
      <c r="R1122" s="11"/>
    </row>
    <row r="1123" s="1" customFormat="1" ht="21.95" customHeight="1" spans="1:18">
      <c r="A1123" s="7"/>
      <c r="B1123" s="12"/>
      <c r="C1123" s="13" t="s">
        <v>7</v>
      </c>
      <c r="D1123" s="13"/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4"/>
      <c r="R1123" s="11"/>
    </row>
    <row r="1124" s="1" customFormat="1" ht="21.95" customHeight="1" spans="1:18">
      <c r="A1124" s="7"/>
      <c r="B1124" s="1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14"/>
      <c r="R1124" s="11"/>
    </row>
    <row r="1125" s="1" customFormat="1" ht="21.95" customHeight="1" spans="1:18">
      <c r="A1125" s="7"/>
      <c r="B1125" s="12"/>
      <c r="C1125" s="15" t="str">
        <f>"SESSION-"&amp;ENTRY!$D$11</f>
        <v>SESSION-2026-27</v>
      </c>
      <c r="D1125" s="15"/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4"/>
      <c r="R1125" s="11"/>
    </row>
    <row r="1126" s="1" customFormat="1" ht="21.95" customHeight="1" spans="1:18">
      <c r="A1126" s="7"/>
      <c r="B1126" s="12"/>
      <c r="C1126" s="2"/>
      <c r="D1126" s="2"/>
      <c r="E1126" s="2"/>
      <c r="F1126" s="16">
        <f>F1070+1</f>
        <v>21</v>
      </c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14"/>
      <c r="R1126" s="11"/>
    </row>
    <row r="1127" s="1" customFormat="1" ht="21.95" customHeight="1" spans="1:18">
      <c r="A1127" s="7"/>
      <c r="B1127" s="12"/>
      <c r="C1127" s="17" t="s">
        <v>392</v>
      </c>
      <c r="D1127" s="17"/>
      <c r="E1127" s="17"/>
      <c r="F1127" s="18" t="str">
        <f>IF(F1126&gt;0,ENTRY!$D$6,"")</f>
        <v>MCP NITHARI NO 1 BOYS</v>
      </c>
      <c r="G1127" s="18"/>
      <c r="H1127" s="18"/>
      <c r="I1127" s="18"/>
      <c r="J1127" s="18"/>
      <c r="K1127" s="18"/>
      <c r="L1127" s="18"/>
      <c r="M1127" s="18"/>
      <c r="N1127" s="18"/>
      <c r="O1127" s="18"/>
      <c r="P1127" s="18"/>
      <c r="Q1127" s="14"/>
      <c r="R1127" s="11"/>
    </row>
    <row r="1128" s="1" customFormat="1" ht="21.95" customHeight="1" spans="1:18">
      <c r="A1128" s="7"/>
      <c r="B1128" s="12"/>
      <c r="C1128" s="17" t="s">
        <v>393</v>
      </c>
      <c r="D1128" s="17"/>
      <c r="E1128" s="17"/>
      <c r="F1128" s="18">
        <f>IF(F1126&gt;0,ENTRY!$D$7,"")</f>
        <v>0</v>
      </c>
      <c r="G1128" s="18"/>
      <c r="H1128" s="20" t="s">
        <v>702</v>
      </c>
      <c r="I1128" s="20"/>
      <c r="J1128" s="21">
        <f>IF(F1126&gt;0,ENTRY!$D$10,"")</f>
        <v>40</v>
      </c>
      <c r="K1128" s="20" t="s">
        <v>703</v>
      </c>
      <c r="L1128" s="22" t="str">
        <f>IF(F1126&gt;0,ENTRY!$D$5,"")</f>
        <v>ROHINI ZONE</v>
      </c>
      <c r="M1128" s="22"/>
      <c r="N1128" s="22"/>
      <c r="O1128" s="22"/>
      <c r="P1128" s="22"/>
      <c r="Q1128" s="14"/>
      <c r="R1128" s="11"/>
    </row>
    <row r="1129" s="1" customFormat="1" ht="21.95" customHeight="1" spans="1:18">
      <c r="A1129" s="7"/>
      <c r="B1129" s="12"/>
      <c r="C1129" s="17" t="s">
        <v>706</v>
      </c>
      <c r="D1129" s="17"/>
      <c r="E1129" s="17"/>
      <c r="F1129" s="23" t="str">
        <f>IFERROR(VLOOKUP(F1126,STUDENT!$A$2:$BP$101,5,0),"")</f>
        <v>SOBHIT PASWAN</v>
      </c>
      <c r="G1129" s="23"/>
      <c r="H1129" s="23"/>
      <c r="I1129" s="23"/>
      <c r="J1129" s="23"/>
      <c r="K1129" s="23"/>
      <c r="L1129" s="20" t="s">
        <v>707</v>
      </c>
      <c r="M1129" s="20"/>
      <c r="N1129" s="24" t="str">
        <f>IF(F1126&gt;0,ENTRY!$D$20&amp;"-"&amp;ENTRY!$D$21,"")</f>
        <v>III-A</v>
      </c>
      <c r="O1129" s="24"/>
      <c r="P1129" s="24"/>
      <c r="Q1129" s="14"/>
      <c r="R1129" s="11"/>
    </row>
    <row r="1130" s="1" customFormat="1" ht="21.95" customHeight="1" spans="1:18">
      <c r="A1130" s="7"/>
      <c r="B1130" s="12"/>
      <c r="C1130" s="17" t="s">
        <v>708</v>
      </c>
      <c r="D1130" s="17"/>
      <c r="E1130" s="17"/>
      <c r="F1130" s="25">
        <f>IFERROR(VLOOKUP(F1126,STUDENT!$A$2:$BP$101,6,0),"")</f>
        <v>14792</v>
      </c>
      <c r="G1130" s="25"/>
      <c r="H1130" s="26" t="s">
        <v>709</v>
      </c>
      <c r="I1130" s="27" t="str">
        <f>IFERROR(VLOOKUP(F1126,STUDENT!$A$2:$BP$101,59,0),"")</f>
        <v/>
      </c>
      <c r="J1130" s="27"/>
      <c r="K1130" s="20" t="s">
        <v>710</v>
      </c>
      <c r="L1130" s="20"/>
      <c r="M1130" s="28">
        <f>IFERROR(VLOOKUP(F1126,STUDENT!$A$2:$BP$101,20,0),"")</f>
        <v>7703873768</v>
      </c>
      <c r="N1130" s="28"/>
      <c r="O1130" s="28"/>
      <c r="P1130" s="28"/>
      <c r="Q1130" s="14"/>
      <c r="R1130" s="11"/>
    </row>
    <row r="1131" s="1" customFormat="1" ht="21.95" customHeight="1" spans="1:18">
      <c r="A1131" s="7"/>
      <c r="B1131" s="12"/>
      <c r="C1131" s="17" t="s">
        <v>711</v>
      </c>
      <c r="D1131" s="17"/>
      <c r="E1131" s="17"/>
      <c r="F1131" s="23" t="str">
        <f>IFERROR(VLOOKUP(F1126,STUDENT!$A$2:$BP$101,9,0),"")</f>
        <v>SONI DEVI</v>
      </c>
      <c r="G1131" s="23"/>
      <c r="H1131" s="23"/>
      <c r="I1131" s="23"/>
      <c r="J1131" s="17" t="s">
        <v>620</v>
      </c>
      <c r="K1131" s="17"/>
      <c r="L1131" s="23" t="str">
        <f>IFERROR(VLOOKUP(F1126,STUDENT!$A$2:$BP$101,8,0),"")</f>
        <v>SHANKAR PASWAN</v>
      </c>
      <c r="M1131" s="23"/>
      <c r="N1131" s="23"/>
      <c r="O1131" s="23"/>
      <c r="P1131" s="23"/>
      <c r="Q1131" s="14"/>
      <c r="R1131" s="11"/>
    </row>
    <row r="1132" s="1" customFormat="1" ht="21.95" customHeight="1" spans="1:18">
      <c r="A1132" s="7"/>
      <c r="B1132" s="12"/>
      <c r="C1132" s="17" t="s">
        <v>712</v>
      </c>
      <c r="D1132" s="17"/>
      <c r="E1132" s="17"/>
      <c r="F1132" s="23" t="str">
        <f>IFERROR(VLOOKUP(F1126,STUDENT!$A$2:$BP$101,22,0),"")</f>
        <v>H NO-151/1, INDER ENCLAVE PH-1, KIRARI</v>
      </c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14"/>
      <c r="R1132" s="11"/>
    </row>
    <row r="1133" s="1" customFormat="1" ht="9.95" customHeight="1" spans="1:18">
      <c r="A1133" s="7"/>
      <c r="B1133" s="12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14"/>
      <c r="R1133" s="11"/>
    </row>
    <row r="1134" s="1" customFormat="1" ht="9.95" customHeight="1" spans="1:18">
      <c r="A1134" s="7"/>
      <c r="B1134" s="12"/>
      <c r="C1134" s="30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  <c r="O1134" s="31"/>
      <c r="P1134" s="32"/>
      <c r="Q1134" s="14"/>
      <c r="R1134" s="11"/>
    </row>
    <row r="1135" s="1" customFormat="1" ht="21.95" customHeight="1" spans="1:18">
      <c r="A1135" s="7"/>
      <c r="B1135" s="12"/>
      <c r="C1135" s="33"/>
      <c r="D1135" s="34" t="s">
        <v>713</v>
      </c>
      <c r="E1135" s="20" t="s">
        <v>714</v>
      </c>
      <c r="F1135" s="35" t="str">
        <f>"Level - "&amp;IFERROR(VLOOKUP(F1126,FLN!$A$4:$K$103,9,0),"")</f>
        <v>Level - 2</v>
      </c>
      <c r="G1135" s="36"/>
      <c r="H1135" s="37" t="s">
        <v>715</v>
      </c>
      <c r="I1135" s="20"/>
      <c r="J1135" s="35" t="str">
        <f>"Level - "&amp;IFERROR(VLOOKUP(F1126,FLN!$A$4:$K$103,11,0),"")</f>
        <v>Level - 3</v>
      </c>
      <c r="K1135" s="36"/>
      <c r="L1135" s="37" t="s">
        <v>408</v>
      </c>
      <c r="M1135" s="20"/>
      <c r="N1135" s="35" t="str">
        <f>"Level - "&amp;IFERROR(VLOOKUP(F1126,FLN!$A$4:$K$103,10,0),"")</f>
        <v>Level - 2</v>
      </c>
      <c r="O1135" s="36"/>
      <c r="P1135" s="19"/>
      <c r="Q1135" s="14"/>
      <c r="R1135" s="11"/>
    </row>
    <row r="1136" s="1" customFormat="1" ht="21.95" customHeight="1" spans="1:18">
      <c r="A1136" s="7"/>
      <c r="B1136" s="12"/>
      <c r="C1136" s="33"/>
      <c r="D1136" s="38"/>
      <c r="E1136" s="20" t="s">
        <v>716</v>
      </c>
      <c r="F1136" s="18" t="str">
        <f>IF(L1150&gt;197,"PERFORMED WELL","")</f>
        <v/>
      </c>
      <c r="G1136" s="18"/>
      <c r="H1136" s="18"/>
      <c r="I1136" s="18"/>
      <c r="J1136" s="18"/>
      <c r="K1136" s="18"/>
      <c r="L1136" s="18"/>
      <c r="M1136" s="18"/>
      <c r="N1136" s="18"/>
      <c r="O1136" s="18"/>
      <c r="P1136" s="19"/>
      <c r="Q1136" s="14"/>
      <c r="R1136" s="11"/>
    </row>
    <row r="1137" s="1" customFormat="1" ht="9.95" customHeight="1" spans="1:18">
      <c r="A1137" s="7"/>
      <c r="B1137" s="12"/>
      <c r="C1137" s="39"/>
      <c r="D1137" s="40"/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  <c r="O1137" s="40"/>
      <c r="P1137" s="41"/>
      <c r="Q1137" s="14"/>
      <c r="R1137" s="11"/>
    </row>
    <row r="1138" s="1" customFormat="1" ht="9.95" customHeight="1" spans="1:18">
      <c r="A1138" s="7"/>
      <c r="B1138" s="12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14"/>
      <c r="R1138" s="11"/>
    </row>
    <row r="1139" s="1" customFormat="1" ht="9.95" customHeight="1" spans="1:18">
      <c r="A1139" s="7"/>
      <c r="B1139" s="12"/>
      <c r="C1139" s="30"/>
      <c r="D1139" s="31"/>
      <c r="E1139" s="31"/>
      <c r="F1139" s="31"/>
      <c r="G1139" s="31"/>
      <c r="H1139" s="31"/>
      <c r="I1139" s="31"/>
      <c r="J1139" s="31"/>
      <c r="K1139" s="31"/>
      <c r="L1139" s="31"/>
      <c r="M1139" s="31"/>
      <c r="N1139" s="31"/>
      <c r="O1139" s="31"/>
      <c r="P1139" s="32"/>
      <c r="Q1139" s="14"/>
      <c r="R1139" s="11"/>
    </row>
    <row r="1140" s="1" customFormat="1" ht="21.95" customHeight="1" spans="1:18">
      <c r="A1140" s="7"/>
      <c r="B1140" s="12"/>
      <c r="C1140" s="33"/>
      <c r="D1140" s="35"/>
      <c r="E1140" s="24"/>
      <c r="F1140" s="24"/>
      <c r="G1140" s="47" t="s">
        <v>717</v>
      </c>
      <c r="H1140" s="47"/>
      <c r="I1140" s="47"/>
      <c r="J1140" s="47"/>
      <c r="K1140" s="47"/>
      <c r="L1140" s="47"/>
      <c r="M1140" s="47"/>
      <c r="N1140" s="47"/>
      <c r="O1140" s="29"/>
      <c r="P1140" s="19"/>
      <c r="Q1140" s="14"/>
      <c r="R1140" s="11"/>
    </row>
    <row r="1141" s="1" customFormat="1" ht="21.95" customHeight="1" spans="1:18">
      <c r="A1141" s="7"/>
      <c r="B1141" s="12"/>
      <c r="C1141" s="33"/>
      <c r="D1141" s="47"/>
      <c r="E1141" s="47"/>
      <c r="F1141" s="47"/>
      <c r="G1141" s="47" t="s">
        <v>541</v>
      </c>
      <c r="H1141" s="47" t="s">
        <v>542</v>
      </c>
      <c r="I1141" s="47" t="s">
        <v>543</v>
      </c>
      <c r="J1141" s="47" t="s">
        <v>544</v>
      </c>
      <c r="K1141" s="47" t="s">
        <v>561</v>
      </c>
      <c r="L1141" s="47" t="s">
        <v>382</v>
      </c>
      <c r="M1141" s="49" t="s">
        <v>546</v>
      </c>
      <c r="N1141" s="49"/>
      <c r="O1141" s="29"/>
      <c r="P1141" s="19"/>
      <c r="Q1141" s="14"/>
      <c r="R1141" s="11"/>
    </row>
    <row r="1142" s="1" customFormat="1" ht="21.95" customHeight="1" spans="1:18">
      <c r="A1142" s="7"/>
      <c r="B1142" s="12"/>
      <c r="C1142" s="33"/>
      <c r="D1142" s="207" t="s">
        <v>652</v>
      </c>
      <c r="E1142" s="207"/>
      <c r="F1142" s="207"/>
      <c r="G1142" s="50">
        <v>10</v>
      </c>
      <c r="H1142" s="50">
        <v>10</v>
      </c>
      <c r="I1142" s="50">
        <v>10</v>
      </c>
      <c r="J1142" s="50">
        <v>10</v>
      </c>
      <c r="K1142" s="50">
        <v>60</v>
      </c>
      <c r="L1142" s="50">
        <v>100</v>
      </c>
      <c r="M1142" s="49"/>
      <c r="N1142" s="49"/>
      <c r="O1142" s="29"/>
      <c r="P1142" s="19"/>
      <c r="Q1142" s="14"/>
      <c r="R1142" s="11"/>
    </row>
    <row r="1143" s="1" customFormat="1" ht="21.95" customHeight="1" spans="1:18">
      <c r="A1143" s="7"/>
      <c r="B1143" s="12"/>
      <c r="C1143" s="33"/>
      <c r="D1143" s="117" t="s">
        <v>668</v>
      </c>
      <c r="E1143" s="117"/>
      <c r="F1143" s="117"/>
      <c r="G1143" s="54">
        <f>IFERROR(VLOOKUP(F1126,'1to4-2.1-RR'!$A$12:$BG$111,9,0),"")</f>
        <v>1</v>
      </c>
      <c r="H1143" s="54">
        <f>IFERROR(VLOOKUP(F1126,'1to4-2.1-RR'!$A$12:$BG$111,10,0),"")</f>
        <v>0</v>
      </c>
      <c r="I1143" s="54">
        <f>IFERROR(VLOOKUP(F1126,'1to4-2.1-RR'!$A$12:$BG$111,11,0),"")</f>
        <v>0</v>
      </c>
      <c r="J1143" s="54">
        <f>IFERROR(VLOOKUP(F1126,'1to4-2.1-RR'!$A$12:$BG$111,12,0),"")</f>
        <v>0</v>
      </c>
      <c r="K1143" s="54">
        <f>IFERROR(VLOOKUP(F1126,'1to4-2.1-RR'!$A$12:$BG$111,13,0),"")</f>
        <v>30</v>
      </c>
      <c r="L1143" s="55">
        <f>SUM(G1143:K1143)</f>
        <v>31</v>
      </c>
      <c r="M1143" s="56" t="str">
        <f>IF(F1126&gt;ENTRY!$D$24,"",IF(L1143=0,"Ab",IF(L1143&gt;80,"A",IF(L1143&gt;60,"B",IF(L1143&gt;44,"C",IF(L1143&gt;=33,"D",IF(L1143&lt;=32,"E","")))))))</f>
        <v>E</v>
      </c>
      <c r="N1143" s="56"/>
      <c r="O1143" s="29"/>
      <c r="P1143" s="19"/>
      <c r="Q1143" s="14"/>
      <c r="R1143" s="11"/>
    </row>
    <row r="1144" s="1" customFormat="1" ht="21.95" customHeight="1" spans="1:18">
      <c r="A1144" s="7"/>
      <c r="B1144" s="12"/>
      <c r="C1144" s="33"/>
      <c r="D1144" s="117" t="s">
        <v>513</v>
      </c>
      <c r="E1144" s="117"/>
      <c r="F1144" s="117"/>
      <c r="G1144" s="54">
        <f>IFERROR(VLOOKUP(F1126,'1to4-2.1-RR'!$A$12:$BG$111,16,0),"")</f>
        <v>1</v>
      </c>
      <c r="H1144" s="54">
        <f>IFERROR(VLOOKUP(F1126,'1to4-2.1-RR'!$A$12:$BG$111,17,0),"")</f>
        <v>0</v>
      </c>
      <c r="I1144" s="54">
        <f>IFERROR(VLOOKUP(F1126,'1to4-2.1-RR'!$A$12:$BG$111,18,0),"")</f>
        <v>0</v>
      </c>
      <c r="J1144" s="54">
        <f>IFERROR(VLOOKUP(F1126,'1to4-2.1-RR'!$A$12:$BG$111,19,0),"")</f>
        <v>0</v>
      </c>
      <c r="K1144" s="54">
        <f>IFERROR(VLOOKUP(F1126,'1to4-2.1-RR'!$A$12:$BG$111,20,0),"")</f>
        <v>13</v>
      </c>
      <c r="L1144" s="55">
        <f t="shared" ref="L1144:L1149" si="40">SUM(G1144:K1144)</f>
        <v>14</v>
      </c>
      <c r="M1144" s="56" t="str">
        <f>IF(F1126&gt;ENTRY!$D$24,"",IF(L1144=0,"Ab",IF(L1144&gt;80,"A",IF(L1144&gt;60,"B",IF(L1144&gt;44,"C",IF(L1144&gt;=33,"D",IF(L1144&lt;=32,"E","")))))))</f>
        <v>E</v>
      </c>
      <c r="N1144" s="56"/>
      <c r="O1144" s="29"/>
      <c r="P1144" s="19"/>
      <c r="Q1144" s="14"/>
      <c r="R1144" s="11"/>
    </row>
    <row r="1145" s="1" customFormat="1" ht="21.95" customHeight="1" spans="1:18">
      <c r="A1145" s="7"/>
      <c r="B1145" s="12"/>
      <c r="C1145" s="33"/>
      <c r="D1145" s="117" t="s">
        <v>718</v>
      </c>
      <c r="E1145" s="117"/>
      <c r="F1145" s="117"/>
      <c r="G1145" s="54">
        <f>IFERROR(VLOOKUP(F1126,'1to4-2.1-RR'!$A$12:$BG$111,23,0),"")</f>
        <v>1</v>
      </c>
      <c r="H1145" s="54">
        <f>IFERROR(VLOOKUP(F1126,'1to4-2.1-RR'!$A$12:$BG$111,24,0),"")</f>
        <v>0</v>
      </c>
      <c r="I1145" s="54">
        <f>IFERROR(VLOOKUP(F1126,'1to4-2.1-RR'!$A$12:$BG$111,25,0),"")</f>
        <v>0</v>
      </c>
      <c r="J1145" s="54">
        <f>IFERROR(VLOOKUP(F1126,'1to4-2.1-RR'!$A$12:$BG$111,26,0),"")</f>
        <v>0</v>
      </c>
      <c r="K1145" s="54">
        <f>IFERROR(VLOOKUP(F1126,'1to4-2.1-RR'!$A$12:$BG$111,27,0),"")</f>
        <v>13</v>
      </c>
      <c r="L1145" s="55">
        <f t="shared" si="40"/>
        <v>14</v>
      </c>
      <c r="M1145" s="56" t="str">
        <f>IF(F1126&gt;ENTRY!$D$24,"",IF(L1145=0,"Ab",IF(L1145&gt;80,"A",IF(L1145&gt;60,"B",IF(L1145&gt;44,"C",IF(L1145&gt;=33,"D",IF(L1145&lt;=32,"E","")))))))</f>
        <v>E</v>
      </c>
      <c r="N1145" s="56"/>
      <c r="O1145" s="29"/>
      <c r="P1145" s="19"/>
      <c r="Q1145" s="14"/>
      <c r="R1145" s="11"/>
    </row>
    <row r="1146" s="1" customFormat="1" ht="21.95" customHeight="1" spans="1:18">
      <c r="A1146" s="7"/>
      <c r="B1146" s="12"/>
      <c r="C1146" s="33"/>
      <c r="D1146" s="117" t="s">
        <v>719</v>
      </c>
      <c r="E1146" s="117"/>
      <c r="F1146" s="117"/>
      <c r="G1146" s="54">
        <f>IFERROR(VLOOKUP(F1126,'1to4-2.1-RR'!$A$12:$BG$111,30,0),"")</f>
        <v>1</v>
      </c>
      <c r="H1146" s="54">
        <f>IFERROR(VLOOKUP(F1126,'1to4-2.1-RR'!$A$12:$BG$111,31,0),"")</f>
        <v>0</v>
      </c>
      <c r="I1146" s="54">
        <f>IFERROR(VLOOKUP(F1126,'1to4-2.1-RR'!$A$12:$BG$111,32,0),"")</f>
        <v>0</v>
      </c>
      <c r="J1146" s="54">
        <f>IFERROR(VLOOKUP(F1126,'1to4-2.1-RR'!$A$12:$BG$111,33,0),"")</f>
        <v>0</v>
      </c>
      <c r="K1146" s="54">
        <f>IFERROR(VLOOKUP(F1126,'1to4-2.1-RR'!$A$12:$BG$111,34,0),"")</f>
        <v>13</v>
      </c>
      <c r="L1146" s="55">
        <f t="shared" si="40"/>
        <v>14</v>
      </c>
      <c r="M1146" s="56" t="str">
        <f>IF(F1126&gt;ENTRY!$D$24,"",IF(L1146=0,"Ab",IF(L1146&gt;80,"A",IF(L1146&gt;60,"B",IF(L1146&gt;44,"C",IF(L1146&gt;=33,"D",IF(L1146&lt;=32,"E","")))))))</f>
        <v>E</v>
      </c>
      <c r="N1146" s="56"/>
      <c r="O1146" s="29"/>
      <c r="P1146" s="19"/>
      <c r="Q1146" s="14"/>
      <c r="R1146" s="11"/>
    </row>
    <row r="1147" s="1" customFormat="1" ht="21.95" customHeight="1" spans="1:18">
      <c r="A1147" s="7"/>
      <c r="B1147" s="12"/>
      <c r="C1147" s="33"/>
      <c r="D1147" s="117" t="s">
        <v>548</v>
      </c>
      <c r="E1147" s="117"/>
      <c r="F1147" s="117"/>
      <c r="G1147" s="54">
        <f>IFERROR(VLOOKUP(F1126,'1to4-2.1-RR'!$A$12:$BG$111,37,0),"")</f>
        <v>0</v>
      </c>
      <c r="H1147" s="54">
        <f>IFERROR(VLOOKUP(F1126,'1to4-2.1-RR'!$A$12:$BG$111,38,0),"")</f>
        <v>0</v>
      </c>
      <c r="I1147" s="54">
        <f>IFERROR(VLOOKUP(F1126,'1to4-2.1-RR'!$A$12:$BG$111,39,0),"")</f>
        <v>0</v>
      </c>
      <c r="J1147" s="54">
        <f>IFERROR(VLOOKUP(F1126,'1to4-2.1-RR'!$A$12:$BG$111,40,0),"")</f>
        <v>0</v>
      </c>
      <c r="K1147" s="54">
        <f>IFERROR(VLOOKUP(F1126,'1to4-2.1-RR'!$A$12:$BG$111,41,0),"")</f>
        <v>13</v>
      </c>
      <c r="L1147" s="55">
        <f t="shared" si="40"/>
        <v>13</v>
      </c>
      <c r="M1147" s="56" t="str">
        <f>IF(F1126&gt;ENTRY!$D$24,"",IF(L1147=0,"Ab",IF(L1147&gt;80,"A",IF(L1147&gt;60,"B",IF(L1147&gt;44,"C",IF(L1147&gt;=33,"D",IF(L1147&lt;=32,"E","")))))))</f>
        <v>E</v>
      </c>
      <c r="N1147" s="56"/>
      <c r="O1147" s="29"/>
      <c r="P1147" s="19"/>
      <c r="Q1147" s="14"/>
      <c r="R1147" s="11"/>
    </row>
    <row r="1148" s="1" customFormat="1" ht="21.95" customHeight="1" spans="1:18">
      <c r="A1148" s="7"/>
      <c r="B1148" s="12"/>
      <c r="C1148" s="33"/>
      <c r="D1148" s="117" t="s">
        <v>549</v>
      </c>
      <c r="E1148" s="117"/>
      <c r="F1148" s="117"/>
      <c r="G1148" s="54">
        <f>IFERROR(VLOOKUP(F1126,'1to4-2.1-RR'!$A$12:$BG$111,44,0),"")</f>
        <v>2</v>
      </c>
      <c r="H1148" s="54">
        <f>IFERROR(VLOOKUP(F1126,'1to4-2.1-RR'!$A$12:$BG$111,45,0),"")</f>
        <v>0</v>
      </c>
      <c r="I1148" s="54">
        <f>IFERROR(VLOOKUP(F1126,'1to4-2.1-RR'!$A$12:$BG$111,46,0),"")</f>
        <v>0</v>
      </c>
      <c r="J1148" s="54">
        <f>IFERROR(VLOOKUP(F1126,'1to4-2.1-RR'!$A$12:$BG$111,47,0),"")</f>
        <v>0</v>
      </c>
      <c r="K1148" s="54">
        <f>IFERROR(VLOOKUP(F1126,'1to4-2.1-RR'!$A$12:$BG$111,48,0),"")</f>
        <v>18</v>
      </c>
      <c r="L1148" s="55">
        <f t="shared" si="40"/>
        <v>20</v>
      </c>
      <c r="M1148" s="56" t="str">
        <f>IF(F1126&gt;ENTRY!$D$24,"",IF(L1148=0,"Ab",IF(L1148&gt;80,"A",IF(L1148&gt;60,"B",IF(L1148&gt;44,"C",IF(L1148&gt;=33,"D",IF(L1148&lt;=32,"E","")))))))</f>
        <v>E</v>
      </c>
      <c r="N1148" s="56"/>
      <c r="O1148" s="29"/>
      <c r="P1148" s="19"/>
      <c r="Q1148" s="14"/>
      <c r="R1148" s="11"/>
    </row>
    <row r="1149" s="1" customFormat="1" ht="21.95" customHeight="1" spans="1:18">
      <c r="A1149" s="7"/>
      <c r="B1149" s="12"/>
      <c r="C1149" s="33"/>
      <c r="D1149" s="117" t="s">
        <v>720</v>
      </c>
      <c r="E1149" s="117"/>
      <c r="F1149" s="117"/>
      <c r="G1149" s="54"/>
      <c r="H1149" s="54"/>
      <c r="I1149" s="54"/>
      <c r="J1149" s="54"/>
      <c r="K1149" s="54"/>
      <c r="L1149" s="55">
        <f t="shared" si="40"/>
        <v>0</v>
      </c>
      <c r="M1149" s="56" t="str">
        <f>IF(F1126&gt;ENTRY!$D$24,"",IF(L1149=0,"",IF(L1149&gt;79,"A",IF(L1149&gt;59,"B",IF(L1149&gt;44,"C",IF(L1149&gt;=33,"D",IF(L1149&lt;=32,"E","")))))))</f>
        <v/>
      </c>
      <c r="N1149" s="56"/>
      <c r="O1149" s="29"/>
      <c r="P1149" s="19"/>
      <c r="Q1149" s="14"/>
      <c r="R1149" s="11"/>
    </row>
    <row r="1150" s="1" customFormat="1" ht="21.95" customHeight="1" spans="1:18">
      <c r="A1150" s="7"/>
      <c r="B1150" s="12"/>
      <c r="C1150" s="33"/>
      <c r="D1150" s="207" t="s">
        <v>382</v>
      </c>
      <c r="E1150" s="207"/>
      <c r="F1150" s="207"/>
      <c r="G1150" s="54">
        <f t="shared" ref="G1150:L1150" si="41">IFERROR(SUM(G1143:G1149),"")</f>
        <v>6</v>
      </c>
      <c r="H1150" s="54">
        <f t="shared" si="41"/>
        <v>0</v>
      </c>
      <c r="I1150" s="54">
        <f t="shared" si="41"/>
        <v>0</v>
      </c>
      <c r="J1150" s="54">
        <f t="shared" si="41"/>
        <v>0</v>
      </c>
      <c r="K1150" s="54">
        <f t="shared" si="41"/>
        <v>100</v>
      </c>
      <c r="L1150" s="55">
        <f t="shared" si="41"/>
        <v>106</v>
      </c>
      <c r="M1150" s="61" t="str">
        <f>IF(F1126&gt;ENTRY!$D$24,"",IF(N1151="Ab","Ab",IF(N1151&gt;79.5,"A",IF(N1151&gt;59.5,"B",IF(N1151&gt;44.5,"C",IF(N1151&gt;=33,"D",IF(N1151&lt;33,"E","")))))))</f>
        <v>E</v>
      </c>
      <c r="N1150" s="61"/>
      <c r="O1150" s="29"/>
      <c r="P1150" s="19"/>
      <c r="Q1150" s="14"/>
      <c r="R1150" s="11"/>
    </row>
    <row r="1151" s="1" customFormat="1" ht="21.95" customHeight="1" spans="1:18">
      <c r="A1151" s="7"/>
      <c r="B1151" s="12"/>
      <c r="C1151" s="33"/>
      <c r="D1151" s="63" t="s">
        <v>721</v>
      </c>
      <c r="E1151" s="63"/>
      <c r="F1151" s="63"/>
      <c r="G1151" s="63"/>
      <c r="H1151" s="63"/>
      <c r="I1151" s="63"/>
      <c r="J1151" s="63"/>
      <c r="K1151" s="63"/>
      <c r="L1151" s="63"/>
      <c r="M1151" s="209"/>
      <c r="N1151" s="64">
        <f>IF(L1150="Ab","Ab",L1150/6)</f>
        <v>17.6666666666667</v>
      </c>
      <c r="O1151" s="65"/>
      <c r="P1151" s="19"/>
      <c r="Q1151" s="14"/>
      <c r="R1151" s="11"/>
    </row>
    <row r="1152" s="1" customFormat="1" ht="21.95" customHeight="1" spans="1:18">
      <c r="A1152" s="7"/>
      <c r="B1152" s="12"/>
      <c r="C1152" s="33"/>
      <c r="D1152" s="29" t="s">
        <v>716</v>
      </c>
      <c r="E1152" s="18" t="str">
        <f>IFERROR(VLOOKUP(F1126,'1to4-2.1-RR'!$A$12:$BG$111,57,0),"")</f>
        <v>PROMOTED</v>
      </c>
      <c r="F1152" s="18"/>
      <c r="G1152" s="18"/>
      <c r="H1152" s="18"/>
      <c r="I1152" s="18"/>
      <c r="J1152" s="18"/>
      <c r="K1152" s="18"/>
      <c r="L1152" s="18"/>
      <c r="M1152" s="18"/>
      <c r="N1152" s="29"/>
      <c r="O1152" s="29"/>
      <c r="P1152" s="19"/>
      <c r="Q1152" s="14"/>
      <c r="R1152" s="11"/>
    </row>
    <row r="1153" s="1" customFormat="1" ht="9.95" customHeight="1" spans="1:19">
      <c r="A1153" s="7"/>
      <c r="B1153" s="12"/>
      <c r="C1153" s="39"/>
      <c r="D1153" s="40"/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  <c r="O1153" s="40"/>
      <c r="P1153" s="41"/>
      <c r="Q1153" s="14"/>
      <c r="R1153" s="11"/>
    </row>
    <row r="1154" s="1" customFormat="1" ht="9.95" customHeight="1" spans="1:19">
      <c r="A1154" s="7"/>
      <c r="B1154" s="12"/>
      <c r="C1154" s="30"/>
      <c r="D1154" s="31"/>
      <c r="E1154" s="31"/>
      <c r="F1154" s="29"/>
      <c r="G1154" s="31"/>
      <c r="H1154" s="31"/>
      <c r="I1154" s="31"/>
      <c r="J1154" s="31"/>
      <c r="K1154" s="31"/>
      <c r="L1154" s="31"/>
      <c r="M1154" s="31"/>
      <c r="N1154" s="31"/>
      <c r="O1154" s="31"/>
      <c r="P1154" s="32"/>
      <c r="Q1154" s="14"/>
      <c r="R1154" s="11"/>
    </row>
    <row r="1155" s="1" customFormat="1" ht="9.95" customHeight="1" spans="1:19">
      <c r="A1155" s="7"/>
      <c r="B1155" s="12"/>
      <c r="C1155" s="33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19"/>
      <c r="Q1155" s="14"/>
      <c r="R1155" s="11"/>
    </row>
    <row r="1156" s="1" customFormat="1" ht="9.95" customHeight="1" spans="1:19">
      <c r="A1156" s="7"/>
      <c r="B1156" s="12"/>
      <c r="C1156" s="33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19"/>
      <c r="Q1156" s="14"/>
      <c r="R1156" s="11"/>
    </row>
    <row r="1157" s="1" customFormat="1" ht="21.95" customHeight="1" spans="1:19">
      <c r="A1157" s="7"/>
      <c r="B1157" s="12"/>
      <c r="C1157" s="210"/>
      <c r="D1157" s="211"/>
      <c r="E1157" s="211"/>
      <c r="F1157" s="211"/>
      <c r="G1157" s="211"/>
      <c r="H1157" s="211"/>
      <c r="I1157" s="211"/>
      <c r="J1157" s="211"/>
      <c r="K1157" s="211"/>
      <c r="L1157" s="211"/>
      <c r="M1157" s="211"/>
      <c r="N1157" s="211"/>
      <c r="O1157" s="211"/>
      <c r="P1157" s="212"/>
      <c r="Q1157" s="14"/>
      <c r="R1157" s="11"/>
      <c r="S1157" s="2"/>
    </row>
    <row r="1158" s="1" customFormat="1" ht="21.95" customHeight="1" spans="1:19">
      <c r="A1158" s="7"/>
      <c r="B1158" s="12"/>
      <c r="C1158" s="33"/>
      <c r="D1158" s="207" t="s">
        <v>722</v>
      </c>
      <c r="E1158" s="207"/>
      <c r="F1158" s="207"/>
      <c r="G1158" s="207"/>
      <c r="H1158" s="54">
        <f>IFERROR(VLOOKUP(F1126,PASHEET!$A$4:$CJ$103,88,0),"")</f>
        <v>0</v>
      </c>
      <c r="I1158" s="54"/>
      <c r="J1158" s="29"/>
      <c r="K1158" s="29"/>
      <c r="L1158" s="29"/>
      <c r="M1158" s="29"/>
      <c r="N1158" s="29"/>
      <c r="O1158" s="29"/>
      <c r="P1158" s="19"/>
      <c r="Q1158" s="14"/>
      <c r="R1158" s="11"/>
    </row>
    <row r="1159" s="1" customFormat="1" ht="21.95" customHeight="1" spans="1:19">
      <c r="A1159" s="7"/>
      <c r="B1159" s="12"/>
      <c r="C1159" s="213"/>
      <c r="D1159" s="207" t="s">
        <v>723</v>
      </c>
      <c r="E1159" s="207"/>
      <c r="F1159" s="207"/>
      <c r="G1159" s="207"/>
      <c r="H1159" s="54">
        <f>IFERROR(VLOOKUP(F1126,PASHEET!$A$4:$CJ$103,87,0),"")</f>
        <v>0</v>
      </c>
      <c r="I1159" s="54"/>
      <c r="J1159" s="214"/>
      <c r="K1159" s="214"/>
      <c r="L1159" s="207" t="s">
        <v>724</v>
      </c>
      <c r="M1159" s="207"/>
      <c r="N1159" s="117" t="str">
        <f>IF(F1126&gt;ENTRY!$D$24,"",IF(F1126&gt;0,L1150&amp;" / "&amp;600,""))</f>
        <v>106 / 600</v>
      </c>
      <c r="O1159" s="117"/>
      <c r="P1159" s="215"/>
      <c r="Q1159" s="14"/>
      <c r="R1159" s="11"/>
    </row>
    <row r="1160" s="1" customFormat="1" ht="18" customHeight="1" spans="1:19">
      <c r="A1160" s="7"/>
      <c r="B1160" s="12"/>
      <c r="C1160" s="33"/>
      <c r="D1160" s="207" t="s">
        <v>725</v>
      </c>
      <c r="E1160" s="207"/>
      <c r="F1160" s="207"/>
      <c r="G1160" s="207"/>
      <c r="H1160" s="69" t="str">
        <f>IFERROR(IF(F1126&gt;0,H1159/H1158*100),"")</f>
        <v/>
      </c>
      <c r="I1160" s="69"/>
      <c r="J1160" s="29"/>
      <c r="K1160" s="29"/>
      <c r="L1160" s="207" t="s">
        <v>726</v>
      </c>
      <c r="M1160" s="207"/>
      <c r="N1160" s="216">
        <f>IF(F1126&gt;ENTRY!$D$24,"",IF(F1126&gt;0,L1150/600*100,""))</f>
        <v>17.6666666666667</v>
      </c>
      <c r="O1160" s="216"/>
      <c r="P1160" s="19"/>
      <c r="Q1160" s="14"/>
      <c r="R1160" s="11"/>
    </row>
    <row r="1161" s="1" customFormat="1" ht="21.95" customHeight="1" spans="1:19">
      <c r="A1161" s="7"/>
      <c r="B1161" s="12"/>
      <c r="C1161" s="33"/>
      <c r="D1161" s="80"/>
      <c r="E1161" s="80"/>
      <c r="F1161" s="217"/>
      <c r="G1161" s="217"/>
      <c r="H1161" s="217"/>
      <c r="I1161" s="217"/>
      <c r="J1161" s="217"/>
      <c r="K1161" s="217"/>
      <c r="L1161" s="217"/>
      <c r="M1161" s="217"/>
      <c r="N1161" s="80"/>
      <c r="O1161" s="80"/>
      <c r="P1161" s="19"/>
      <c r="Q1161" s="14"/>
      <c r="R1161" s="11"/>
    </row>
    <row r="1162" s="1" customFormat="1" ht="21.95" customHeight="1" spans="1:19">
      <c r="A1162" s="7"/>
      <c r="B1162" s="12"/>
      <c r="C1162" s="33"/>
      <c r="D1162" s="80"/>
      <c r="E1162" s="218"/>
      <c r="F1162" s="218"/>
      <c r="G1162" s="218"/>
      <c r="H1162" s="80"/>
      <c r="I1162" s="218"/>
      <c r="J1162" s="218"/>
      <c r="K1162" s="218"/>
      <c r="L1162" s="218"/>
      <c r="M1162" s="80"/>
      <c r="N1162" s="219"/>
      <c r="O1162" s="219"/>
      <c r="P1162" s="19"/>
      <c r="Q1162" s="14"/>
      <c r="R1162" s="11"/>
    </row>
    <row r="1163" s="1" customFormat="1" ht="21.95" customHeight="1" spans="1:19">
      <c r="A1163" s="7"/>
      <c r="B1163" s="12"/>
      <c r="C1163" s="33"/>
      <c r="D1163" s="80"/>
      <c r="E1163" s="80"/>
      <c r="F1163" s="80"/>
      <c r="G1163" s="80"/>
      <c r="H1163" s="80"/>
      <c r="I1163" s="80"/>
      <c r="J1163" s="80"/>
      <c r="K1163" s="80"/>
      <c r="L1163" s="80"/>
      <c r="M1163" s="80"/>
      <c r="N1163" s="80"/>
      <c r="O1163" s="80"/>
      <c r="P1163" s="19"/>
      <c r="Q1163" s="14"/>
      <c r="R1163" s="11"/>
    </row>
    <row r="1164" s="1" customFormat="1" ht="21.95" customHeight="1" spans="1:19">
      <c r="A1164" s="7"/>
      <c r="B1164" s="12"/>
      <c r="C1164" s="33"/>
      <c r="D1164" s="218"/>
      <c r="E1164" s="218"/>
      <c r="F1164" s="218"/>
      <c r="G1164" s="218"/>
      <c r="H1164" s="218"/>
      <c r="I1164" s="218"/>
      <c r="J1164" s="218"/>
      <c r="K1164" s="218"/>
      <c r="L1164" s="218"/>
      <c r="M1164" s="80"/>
      <c r="N1164" s="217"/>
      <c r="O1164" s="217"/>
      <c r="P1164" s="85" t="s">
        <v>727</v>
      </c>
      <c r="Q1164" s="14"/>
      <c r="R1164" s="11"/>
    </row>
    <row r="1165" s="1" customFormat="1" ht="21.95" customHeight="1" spans="1:19">
      <c r="A1165" s="7"/>
      <c r="B1165" s="12"/>
      <c r="C1165" s="33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19"/>
      <c r="Q1165" s="14"/>
      <c r="R1165" s="11"/>
    </row>
    <row r="1166" s="1" customFormat="1" ht="21.95" customHeight="1" spans="1:19">
      <c r="A1166" s="7"/>
      <c r="B1166" s="12"/>
      <c r="C1166" s="33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19"/>
      <c r="Q1166" s="14"/>
      <c r="R1166" s="11"/>
    </row>
    <row r="1167" s="1" customFormat="1" ht="21.95" customHeight="1" spans="1:19">
      <c r="A1167" s="7"/>
      <c r="B1167" s="12"/>
      <c r="C1167" s="33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19"/>
      <c r="Q1167" s="14"/>
      <c r="R1167" s="11"/>
    </row>
    <row r="1168" s="1" customFormat="1" ht="21.95" customHeight="1" spans="1:19">
      <c r="A1168" s="7"/>
      <c r="B1168" s="12"/>
      <c r="C1168" s="33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19"/>
      <c r="Q1168" s="14"/>
      <c r="R1168" s="11"/>
    </row>
    <row r="1169" s="1" customFormat="1" ht="21.95" customHeight="1" spans="1:18">
      <c r="A1169" s="7"/>
      <c r="B1169" s="12"/>
      <c r="C1169" s="33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19"/>
      <c r="Q1169" s="14"/>
      <c r="R1169" s="11"/>
    </row>
    <row r="1170" s="1" customFormat="1" ht="21.95" customHeight="1" spans="1:18">
      <c r="A1170" s="7"/>
      <c r="B1170" s="12"/>
      <c r="C1170" s="33"/>
      <c r="D1170" s="80" t="s">
        <v>728</v>
      </c>
      <c r="E1170" s="220">
        <f>ENTRY!$D$27</f>
        <v>46102</v>
      </c>
      <c r="F1170" s="220"/>
      <c r="G1170" s="29"/>
      <c r="H1170" s="29"/>
      <c r="I1170" s="221" t="s">
        <v>729</v>
      </c>
      <c r="J1170" s="153"/>
      <c r="K1170" s="29"/>
      <c r="L1170" s="29"/>
      <c r="M1170" s="87" t="s">
        <v>730</v>
      </c>
      <c r="N1170" s="87"/>
      <c r="O1170" s="87"/>
      <c r="P1170" s="19"/>
      <c r="Q1170" s="14"/>
      <c r="R1170" s="11"/>
    </row>
    <row r="1171" s="1" customFormat="1" ht="21.95" customHeight="1" spans="1:18">
      <c r="A1171" s="7"/>
      <c r="B1171" s="12"/>
      <c r="C1171" s="33"/>
      <c r="D1171" s="80" t="s">
        <v>731</v>
      </c>
      <c r="E1171" s="88" t="str">
        <f>PROPER(ENTRY!$D$28)</f>
        <v>New Delhi</v>
      </c>
      <c r="F1171" s="88"/>
      <c r="G1171" s="29"/>
      <c r="H1171" s="29"/>
      <c r="I1171" s="153"/>
      <c r="J1171" s="153"/>
      <c r="K1171" s="29"/>
      <c r="L1171" s="29"/>
      <c r="M1171" s="79" t="s">
        <v>732</v>
      </c>
      <c r="N1171" s="79"/>
      <c r="O1171" s="79"/>
      <c r="P1171" s="19"/>
      <c r="Q1171" s="14"/>
      <c r="R1171" s="11"/>
    </row>
    <row r="1172" s="1" customFormat="1" ht="21.95" customHeight="1" spans="1:18">
      <c r="A1172" s="7"/>
      <c r="B1172" s="12"/>
      <c r="C1172" s="90"/>
      <c r="D1172" s="91"/>
      <c r="E1172" s="91"/>
      <c r="F1172" s="91"/>
      <c r="G1172" s="91"/>
      <c r="H1172" s="91"/>
      <c r="I1172" s="91"/>
      <c r="J1172" s="91"/>
      <c r="K1172" s="91"/>
      <c r="L1172" s="91"/>
      <c r="M1172" s="91"/>
      <c r="N1172" s="91"/>
      <c r="O1172" s="91"/>
      <c r="P1172" s="92"/>
      <c r="Q1172" s="14"/>
      <c r="R1172" s="11"/>
    </row>
    <row r="1173" s="1" customFormat="1" ht="5.1" customHeight="1" spans="1:18">
      <c r="A1173" s="7"/>
      <c r="B1173" s="90"/>
      <c r="C1173" s="91"/>
      <c r="D1173" s="91"/>
      <c r="E1173" s="91"/>
      <c r="F1173" s="91"/>
      <c r="G1173" s="91"/>
      <c r="H1173" s="91"/>
      <c r="I1173" s="91"/>
      <c r="J1173" s="91"/>
      <c r="K1173" s="91"/>
      <c r="L1173" s="91"/>
      <c r="M1173" s="91"/>
      <c r="N1173" s="91"/>
      <c r="O1173" s="91"/>
      <c r="P1173" s="91"/>
      <c r="Q1173" s="92"/>
      <c r="R1173" s="11"/>
    </row>
    <row r="1174" s="1" customFormat="1" ht="5.1" customHeight="1" spans="1:18">
      <c r="A1174" s="93"/>
      <c r="B1174" s="94"/>
      <c r="C1174" s="94"/>
      <c r="D1174" s="94"/>
      <c r="E1174" s="94"/>
      <c r="F1174" s="94"/>
      <c r="G1174" s="94"/>
      <c r="H1174" s="94"/>
      <c r="I1174" s="94"/>
      <c r="J1174" s="94"/>
      <c r="K1174" s="94"/>
      <c r="L1174" s="94"/>
      <c r="M1174" s="94"/>
      <c r="N1174" s="94"/>
      <c r="O1174" s="94"/>
      <c r="P1174" s="94"/>
      <c r="Q1174" s="94"/>
      <c r="R1174" s="95"/>
    </row>
    <row r="1175" s="1" customFormat="1" ht="21.95" customHeight="1"/>
    <row r="1176" ht="15.15"/>
    <row r="1177" s="1" customFormat="1" ht="5.1" customHeight="1" spans="1:18">
      <c r="A1177" s="4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6"/>
    </row>
    <row r="1178" s="1" customFormat="1" ht="15" customHeight="1" spans="1:18">
      <c r="A1178" s="7"/>
      <c r="B1178" s="8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9"/>
      <c r="O1178" s="9"/>
      <c r="P1178" s="9"/>
      <c r="Q1178" s="10"/>
      <c r="R1178" s="11"/>
    </row>
    <row r="1179" s="1" customFormat="1" ht="21.95" customHeight="1" spans="1:18">
      <c r="A1179" s="7"/>
      <c r="B1179" s="12"/>
      <c r="C1179" s="13" t="s">
        <v>7</v>
      </c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/>
      <c r="Q1179" s="14"/>
      <c r="R1179" s="11"/>
    </row>
    <row r="1180" s="1" customFormat="1" ht="21.95" customHeight="1" spans="1:18">
      <c r="A1180" s="7"/>
      <c r="B1180" s="1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14"/>
      <c r="R1180" s="11"/>
    </row>
    <row r="1181" s="1" customFormat="1" ht="21.95" customHeight="1" spans="1:18">
      <c r="A1181" s="7"/>
      <c r="B1181" s="12"/>
      <c r="C1181" s="15" t="str">
        <f>"SESSION-"&amp;ENTRY!$D$11</f>
        <v>SESSION-2026-27</v>
      </c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4"/>
      <c r="R1181" s="11"/>
    </row>
    <row r="1182" s="1" customFormat="1" ht="21.95" customHeight="1" spans="1:18">
      <c r="A1182" s="7"/>
      <c r="B1182" s="12"/>
      <c r="C1182" s="2"/>
      <c r="D1182" s="2"/>
      <c r="E1182" s="2"/>
      <c r="F1182" s="16">
        <f>F1126+1</f>
        <v>22</v>
      </c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14"/>
      <c r="R1182" s="11"/>
    </row>
    <row r="1183" s="1" customFormat="1" ht="21.95" customHeight="1" spans="1:18">
      <c r="A1183" s="7"/>
      <c r="B1183" s="12"/>
      <c r="C1183" s="17" t="s">
        <v>392</v>
      </c>
      <c r="D1183" s="17"/>
      <c r="E1183" s="17"/>
      <c r="F1183" s="18" t="str">
        <f>IF(F1182&gt;0,ENTRY!$D$6,"")</f>
        <v>MCP NITHARI NO 1 BOYS</v>
      </c>
      <c r="G1183" s="18"/>
      <c r="H1183" s="18"/>
      <c r="I1183" s="18"/>
      <c r="J1183" s="18"/>
      <c r="K1183" s="18"/>
      <c r="L1183" s="18"/>
      <c r="M1183" s="18"/>
      <c r="N1183" s="18"/>
      <c r="O1183" s="18"/>
      <c r="P1183" s="18"/>
      <c r="Q1183" s="14"/>
      <c r="R1183" s="11"/>
    </row>
    <row r="1184" s="1" customFormat="1" ht="21.95" customHeight="1" spans="1:18">
      <c r="A1184" s="7"/>
      <c r="B1184" s="12"/>
      <c r="C1184" s="17" t="s">
        <v>393</v>
      </c>
      <c r="D1184" s="17"/>
      <c r="E1184" s="17"/>
      <c r="F1184" s="18">
        <f>IF(F1182&gt;0,ENTRY!$D$7,"")</f>
        <v>0</v>
      </c>
      <c r="G1184" s="18"/>
      <c r="H1184" s="20" t="s">
        <v>702</v>
      </c>
      <c r="I1184" s="20"/>
      <c r="J1184" s="21">
        <f>IF(F1182&gt;0,ENTRY!$D$10,"")</f>
        <v>40</v>
      </c>
      <c r="K1184" s="20" t="s">
        <v>703</v>
      </c>
      <c r="L1184" s="22" t="str">
        <f>IF(F1182&gt;0,ENTRY!$D$5,"")</f>
        <v>ROHINI ZONE</v>
      </c>
      <c r="M1184" s="22"/>
      <c r="N1184" s="22"/>
      <c r="O1184" s="22"/>
      <c r="P1184" s="22"/>
      <c r="Q1184" s="14"/>
      <c r="R1184" s="11"/>
    </row>
    <row r="1185" s="1" customFormat="1" ht="21.95" customHeight="1" spans="1:18">
      <c r="A1185" s="7"/>
      <c r="B1185" s="12"/>
      <c r="C1185" s="17" t="s">
        <v>706</v>
      </c>
      <c r="D1185" s="17"/>
      <c r="E1185" s="17"/>
      <c r="F1185" s="23" t="str">
        <f>IFERROR(VLOOKUP(F1182,STUDENT!$A$2:$BP$101,5,0),"")</f>
        <v>ABHISHEK MUKHIYA</v>
      </c>
      <c r="G1185" s="23"/>
      <c r="H1185" s="23"/>
      <c r="I1185" s="23"/>
      <c r="J1185" s="23"/>
      <c r="K1185" s="23"/>
      <c r="L1185" s="20" t="s">
        <v>707</v>
      </c>
      <c r="M1185" s="20"/>
      <c r="N1185" s="24" t="str">
        <f>IF(F1182&gt;0,ENTRY!$D$20&amp;"-"&amp;ENTRY!$D$21,"")</f>
        <v>III-A</v>
      </c>
      <c r="O1185" s="24"/>
      <c r="P1185" s="24"/>
      <c r="Q1185" s="14"/>
      <c r="R1185" s="11"/>
    </row>
    <row r="1186" s="1" customFormat="1" ht="21.95" customHeight="1" spans="1:18">
      <c r="A1186" s="7"/>
      <c r="B1186" s="12"/>
      <c r="C1186" s="17" t="s">
        <v>708</v>
      </c>
      <c r="D1186" s="17"/>
      <c r="E1186" s="17"/>
      <c r="F1186" s="25">
        <f>IFERROR(VLOOKUP(F1182,STUDENT!$A$2:$BP$101,6,0),"")</f>
        <v>14804</v>
      </c>
      <c r="G1186" s="25"/>
      <c r="H1186" s="26" t="s">
        <v>709</v>
      </c>
      <c r="I1186" s="27" t="str">
        <f>IFERROR(VLOOKUP(F1182,STUDENT!$A$2:$BP$101,59,0),"")</f>
        <v/>
      </c>
      <c r="J1186" s="27"/>
      <c r="K1186" s="20" t="s">
        <v>710</v>
      </c>
      <c r="L1186" s="20"/>
      <c r="M1186" s="28">
        <f>IFERROR(VLOOKUP(F1182,STUDENT!$A$2:$BP$101,20,0),"")</f>
        <v>9311687350</v>
      </c>
      <c r="N1186" s="28"/>
      <c r="O1186" s="28"/>
      <c r="P1186" s="28"/>
      <c r="Q1186" s="14"/>
      <c r="R1186" s="11"/>
    </row>
    <row r="1187" s="1" customFormat="1" ht="21.95" customHeight="1" spans="1:18">
      <c r="A1187" s="7"/>
      <c r="B1187" s="12"/>
      <c r="C1187" s="17" t="s">
        <v>711</v>
      </c>
      <c r="D1187" s="17"/>
      <c r="E1187" s="17"/>
      <c r="F1187" s="23" t="str">
        <f>IFERROR(VLOOKUP(F1182,STUDENT!$A$2:$BP$101,9,0),"")</f>
        <v>SUNITA DEVI</v>
      </c>
      <c r="G1187" s="23"/>
      <c r="H1187" s="23"/>
      <c r="I1187" s="23"/>
      <c r="J1187" s="17" t="s">
        <v>620</v>
      </c>
      <c r="K1187" s="17"/>
      <c r="L1187" s="23" t="str">
        <f>IFERROR(VLOOKUP(F1182,STUDENT!$A$2:$BP$101,8,0),"")</f>
        <v>ARJUN MUKHIYA</v>
      </c>
      <c r="M1187" s="23"/>
      <c r="N1187" s="23"/>
      <c r="O1187" s="23"/>
      <c r="P1187" s="23"/>
      <c r="Q1187" s="14"/>
      <c r="R1187" s="11"/>
    </row>
    <row r="1188" s="1" customFormat="1" ht="21.95" customHeight="1" spans="1:18">
      <c r="A1188" s="7"/>
      <c r="B1188" s="12"/>
      <c r="C1188" s="17" t="s">
        <v>712</v>
      </c>
      <c r="D1188" s="17"/>
      <c r="E1188" s="17"/>
      <c r="F1188" s="23" t="str">
        <f>IFERROR(VLOOKUP(F1182,STUDENT!$A$2:$BP$101,22,0),"")</f>
        <v>D-577 INDER ENCLAVE KIRARI SULEMAN NAGAR</v>
      </c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14"/>
      <c r="R1188" s="11"/>
    </row>
    <row r="1189" s="1" customFormat="1" ht="9.95" customHeight="1" spans="1:18">
      <c r="A1189" s="7"/>
      <c r="B1189" s="12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14"/>
      <c r="R1189" s="11"/>
    </row>
    <row r="1190" s="1" customFormat="1" ht="9.95" customHeight="1" spans="1:18">
      <c r="A1190" s="7"/>
      <c r="B1190" s="12"/>
      <c r="C1190" s="30"/>
      <c r="D1190" s="31"/>
      <c r="E1190" s="31"/>
      <c r="F1190" s="31"/>
      <c r="G1190" s="31"/>
      <c r="H1190" s="31"/>
      <c r="I1190" s="31"/>
      <c r="J1190" s="31"/>
      <c r="K1190" s="31"/>
      <c r="L1190" s="31"/>
      <c r="M1190" s="31"/>
      <c r="N1190" s="31"/>
      <c r="O1190" s="31"/>
      <c r="P1190" s="32"/>
      <c r="Q1190" s="14"/>
      <c r="R1190" s="11"/>
    </row>
    <row r="1191" s="1" customFormat="1" ht="21.95" customHeight="1" spans="1:18">
      <c r="A1191" s="7"/>
      <c r="B1191" s="12"/>
      <c r="C1191" s="33"/>
      <c r="D1191" s="34" t="s">
        <v>713</v>
      </c>
      <c r="E1191" s="20" t="s">
        <v>714</v>
      </c>
      <c r="F1191" s="35" t="str">
        <f>"Level - "&amp;IFERROR(VLOOKUP(F1182,FLN!$A$4:$K$103,9,0),"")</f>
        <v>Level - 2</v>
      </c>
      <c r="G1191" s="36"/>
      <c r="H1191" s="37" t="s">
        <v>715</v>
      </c>
      <c r="I1191" s="20"/>
      <c r="J1191" s="35" t="str">
        <f>"Level - "&amp;IFERROR(VLOOKUP(F1182,FLN!$A$4:$K$103,11,0),"")</f>
        <v>Level - 3</v>
      </c>
      <c r="K1191" s="36"/>
      <c r="L1191" s="37" t="s">
        <v>408</v>
      </c>
      <c r="M1191" s="20"/>
      <c r="N1191" s="35" t="str">
        <f>"Level - "&amp;IFERROR(VLOOKUP(F1182,FLN!$A$4:$K$103,10,0),"")</f>
        <v>Level - 2</v>
      </c>
      <c r="O1191" s="36"/>
      <c r="P1191" s="19"/>
      <c r="Q1191" s="14"/>
      <c r="R1191" s="11"/>
    </row>
    <row r="1192" s="1" customFormat="1" ht="21.95" customHeight="1" spans="1:18">
      <c r="A1192" s="7"/>
      <c r="B1192" s="12"/>
      <c r="C1192" s="33"/>
      <c r="D1192" s="38"/>
      <c r="E1192" s="20" t="s">
        <v>716</v>
      </c>
      <c r="F1192" s="18" t="str">
        <f>IF(L1206&gt;197,"PERFORMED WELL","")</f>
        <v/>
      </c>
      <c r="G1192" s="18"/>
      <c r="H1192" s="18"/>
      <c r="I1192" s="18"/>
      <c r="J1192" s="18"/>
      <c r="K1192" s="18"/>
      <c r="L1192" s="18"/>
      <c r="M1192" s="18"/>
      <c r="N1192" s="18"/>
      <c r="O1192" s="18"/>
      <c r="P1192" s="19"/>
      <c r="Q1192" s="14"/>
      <c r="R1192" s="11"/>
    </row>
    <row r="1193" s="1" customFormat="1" ht="9.95" customHeight="1" spans="1:18">
      <c r="A1193" s="7"/>
      <c r="B1193" s="12"/>
      <c r="C1193" s="39"/>
      <c r="D1193" s="40"/>
      <c r="E1193" s="40"/>
      <c r="F1193" s="40"/>
      <c r="G1193" s="40"/>
      <c r="H1193" s="40"/>
      <c r="I1193" s="40"/>
      <c r="J1193" s="40"/>
      <c r="K1193" s="40"/>
      <c r="L1193" s="40"/>
      <c r="M1193" s="40"/>
      <c r="N1193" s="40"/>
      <c r="O1193" s="40"/>
      <c r="P1193" s="41"/>
      <c r="Q1193" s="14"/>
      <c r="R1193" s="11"/>
    </row>
    <row r="1194" s="1" customFormat="1" ht="9.95" customHeight="1" spans="1:18">
      <c r="A1194" s="7"/>
      <c r="B1194" s="12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14"/>
      <c r="R1194" s="11"/>
    </row>
    <row r="1195" s="1" customFormat="1" ht="9.95" customHeight="1" spans="1:18">
      <c r="A1195" s="7"/>
      <c r="B1195" s="12"/>
      <c r="C1195" s="30"/>
      <c r="D1195" s="31"/>
      <c r="E1195" s="31"/>
      <c r="F1195" s="31"/>
      <c r="G1195" s="31"/>
      <c r="H1195" s="31"/>
      <c r="I1195" s="31"/>
      <c r="J1195" s="31"/>
      <c r="K1195" s="31"/>
      <c r="L1195" s="31"/>
      <c r="M1195" s="31"/>
      <c r="N1195" s="31"/>
      <c r="O1195" s="31"/>
      <c r="P1195" s="32"/>
      <c r="Q1195" s="14"/>
      <c r="R1195" s="11"/>
    </row>
    <row r="1196" s="1" customFormat="1" ht="21.95" customHeight="1" spans="1:18">
      <c r="A1196" s="7"/>
      <c r="B1196" s="12"/>
      <c r="C1196" s="33"/>
      <c r="D1196" s="35"/>
      <c r="E1196" s="24"/>
      <c r="F1196" s="24"/>
      <c r="G1196" s="47" t="s">
        <v>717</v>
      </c>
      <c r="H1196" s="47"/>
      <c r="I1196" s="47"/>
      <c r="J1196" s="47"/>
      <c r="K1196" s="47"/>
      <c r="L1196" s="47"/>
      <c r="M1196" s="47"/>
      <c r="N1196" s="47"/>
      <c r="O1196" s="29"/>
      <c r="P1196" s="19"/>
      <c r="Q1196" s="14"/>
      <c r="R1196" s="11"/>
    </row>
    <row r="1197" s="1" customFormat="1" ht="21.95" customHeight="1" spans="1:18">
      <c r="A1197" s="7"/>
      <c r="B1197" s="12"/>
      <c r="C1197" s="33"/>
      <c r="D1197" s="47"/>
      <c r="E1197" s="47"/>
      <c r="F1197" s="47"/>
      <c r="G1197" s="47" t="s">
        <v>541</v>
      </c>
      <c r="H1197" s="47" t="s">
        <v>542</v>
      </c>
      <c r="I1197" s="47" t="s">
        <v>543</v>
      </c>
      <c r="J1197" s="47" t="s">
        <v>544</v>
      </c>
      <c r="K1197" s="47" t="s">
        <v>561</v>
      </c>
      <c r="L1197" s="47" t="s">
        <v>382</v>
      </c>
      <c r="M1197" s="49" t="s">
        <v>546</v>
      </c>
      <c r="N1197" s="49"/>
      <c r="O1197" s="29"/>
      <c r="P1197" s="19"/>
      <c r="Q1197" s="14"/>
      <c r="R1197" s="11"/>
    </row>
    <row r="1198" s="1" customFormat="1" ht="21.95" customHeight="1" spans="1:18">
      <c r="A1198" s="7"/>
      <c r="B1198" s="12"/>
      <c r="C1198" s="33"/>
      <c r="D1198" s="207" t="s">
        <v>652</v>
      </c>
      <c r="E1198" s="207"/>
      <c r="F1198" s="207"/>
      <c r="G1198" s="50">
        <v>10</v>
      </c>
      <c r="H1198" s="50">
        <v>10</v>
      </c>
      <c r="I1198" s="50">
        <v>10</v>
      </c>
      <c r="J1198" s="50">
        <v>10</v>
      </c>
      <c r="K1198" s="50">
        <v>60</v>
      </c>
      <c r="L1198" s="50">
        <v>100</v>
      </c>
      <c r="M1198" s="49"/>
      <c r="N1198" s="49"/>
      <c r="O1198" s="29"/>
      <c r="P1198" s="19"/>
      <c r="Q1198" s="14"/>
      <c r="R1198" s="11"/>
    </row>
    <row r="1199" s="1" customFormat="1" ht="21.95" customHeight="1" spans="1:18">
      <c r="A1199" s="7"/>
      <c r="B1199" s="12"/>
      <c r="C1199" s="33"/>
      <c r="D1199" s="117" t="s">
        <v>668</v>
      </c>
      <c r="E1199" s="117"/>
      <c r="F1199" s="117"/>
      <c r="G1199" s="54">
        <f>IFERROR(VLOOKUP(F1182,'1to4-2.1-RR'!$A$12:$BG$111,9,0),"")</f>
        <v>2</v>
      </c>
      <c r="H1199" s="54">
        <f>IFERROR(VLOOKUP(F1182,'1to4-2.1-RR'!$A$12:$BG$111,10,0),"")</f>
        <v>0</v>
      </c>
      <c r="I1199" s="54">
        <f>IFERROR(VLOOKUP(F1182,'1to4-2.1-RR'!$A$12:$BG$111,11,0),"")</f>
        <v>0</v>
      </c>
      <c r="J1199" s="54">
        <f>IFERROR(VLOOKUP(F1182,'1to4-2.1-RR'!$A$12:$BG$111,12,0),"")</f>
        <v>0</v>
      </c>
      <c r="K1199" s="54">
        <f>IFERROR(VLOOKUP(F1182,'1to4-2.1-RR'!$A$12:$BG$111,13,0),"")</f>
        <v>45</v>
      </c>
      <c r="L1199" s="55">
        <f>SUM(G1199:K1199)</f>
        <v>47</v>
      </c>
      <c r="M1199" s="56" t="str">
        <f>IF(F1182&gt;ENTRY!$D$24,"",IF(L1199=0,"Ab",IF(L1199&gt;80,"A",IF(L1199&gt;60,"B",IF(L1199&gt;44,"C",IF(L1199&gt;=33,"D",IF(L1199&lt;=32,"E","")))))))</f>
        <v>C</v>
      </c>
      <c r="N1199" s="56"/>
      <c r="O1199" s="29"/>
      <c r="P1199" s="19"/>
      <c r="Q1199" s="14"/>
      <c r="R1199" s="11"/>
    </row>
    <row r="1200" s="1" customFormat="1" ht="21.95" customHeight="1" spans="1:18">
      <c r="A1200" s="7"/>
      <c r="B1200" s="12"/>
      <c r="C1200" s="33"/>
      <c r="D1200" s="117" t="s">
        <v>513</v>
      </c>
      <c r="E1200" s="117"/>
      <c r="F1200" s="117"/>
      <c r="G1200" s="54">
        <f>IFERROR(VLOOKUP(F1182,'1to4-2.1-RR'!$A$12:$BG$111,16,0),"")</f>
        <v>2</v>
      </c>
      <c r="H1200" s="54">
        <f>IFERROR(VLOOKUP(F1182,'1to4-2.1-RR'!$A$12:$BG$111,17,0),"")</f>
        <v>0</v>
      </c>
      <c r="I1200" s="54">
        <f>IFERROR(VLOOKUP(F1182,'1to4-2.1-RR'!$A$12:$BG$111,18,0),"")</f>
        <v>0</v>
      </c>
      <c r="J1200" s="54">
        <f>IFERROR(VLOOKUP(F1182,'1to4-2.1-RR'!$A$12:$BG$111,19,0),"")</f>
        <v>0</v>
      </c>
      <c r="K1200" s="54">
        <f>IFERROR(VLOOKUP(F1182,'1to4-2.1-RR'!$A$12:$BG$111,20,0),"")</f>
        <v>26</v>
      </c>
      <c r="L1200" s="55">
        <f t="shared" ref="L1200:L1205" si="42">SUM(G1200:K1200)</f>
        <v>28</v>
      </c>
      <c r="M1200" s="56" t="str">
        <f>IF(F1182&gt;ENTRY!$D$24,"",IF(L1200=0,"Ab",IF(L1200&gt;80,"A",IF(L1200&gt;60,"B",IF(L1200&gt;44,"C",IF(L1200&gt;=33,"D",IF(L1200&lt;=32,"E","")))))))</f>
        <v>E</v>
      </c>
      <c r="N1200" s="56"/>
      <c r="O1200" s="29"/>
      <c r="P1200" s="19"/>
      <c r="Q1200" s="14"/>
      <c r="R1200" s="11"/>
    </row>
    <row r="1201" s="1" customFormat="1" ht="21.95" customHeight="1" spans="1:19">
      <c r="A1201" s="7"/>
      <c r="B1201" s="12"/>
      <c r="C1201" s="33"/>
      <c r="D1201" s="117" t="s">
        <v>718</v>
      </c>
      <c r="E1201" s="117"/>
      <c r="F1201" s="117"/>
      <c r="G1201" s="54">
        <f>IFERROR(VLOOKUP(F1182,'1to4-2.1-RR'!$A$12:$BG$111,23,0),"")</f>
        <v>2</v>
      </c>
      <c r="H1201" s="54">
        <f>IFERROR(VLOOKUP(F1182,'1to4-2.1-RR'!$A$12:$BG$111,24,0),"")</f>
        <v>0</v>
      </c>
      <c r="I1201" s="54">
        <f>IFERROR(VLOOKUP(F1182,'1to4-2.1-RR'!$A$12:$BG$111,25,0),"")</f>
        <v>0</v>
      </c>
      <c r="J1201" s="54">
        <f>IFERROR(VLOOKUP(F1182,'1to4-2.1-RR'!$A$12:$BG$111,26,0),"")</f>
        <v>0</v>
      </c>
      <c r="K1201" s="54">
        <f>IFERROR(VLOOKUP(F1182,'1to4-2.1-RR'!$A$12:$BG$111,27,0),"")</f>
        <v>22</v>
      </c>
      <c r="L1201" s="55">
        <f t="shared" si="42"/>
        <v>24</v>
      </c>
      <c r="M1201" s="56" t="str">
        <f>IF(F1182&gt;ENTRY!$D$24,"",IF(L1201=0,"Ab",IF(L1201&gt;80,"A",IF(L1201&gt;60,"B",IF(L1201&gt;44,"C",IF(L1201&gt;=33,"D",IF(L1201&lt;=32,"E","")))))))</f>
        <v>E</v>
      </c>
      <c r="N1201" s="56"/>
      <c r="O1201" s="29"/>
      <c r="P1201" s="19"/>
      <c r="Q1201" s="14"/>
      <c r="R1201" s="11"/>
    </row>
    <row r="1202" s="1" customFormat="1" ht="21.95" customHeight="1" spans="1:19">
      <c r="A1202" s="7"/>
      <c r="B1202" s="12"/>
      <c r="C1202" s="33"/>
      <c r="D1202" s="117" t="s">
        <v>719</v>
      </c>
      <c r="E1202" s="117"/>
      <c r="F1202" s="117"/>
      <c r="G1202" s="54">
        <f>IFERROR(VLOOKUP(F1182,'1to4-2.1-RR'!$A$12:$BG$111,30,0),"")</f>
        <v>2</v>
      </c>
      <c r="H1202" s="54">
        <f>IFERROR(VLOOKUP(F1182,'1to4-2.1-RR'!$A$12:$BG$111,31,0),"")</f>
        <v>0</v>
      </c>
      <c r="I1202" s="54">
        <f>IFERROR(VLOOKUP(F1182,'1to4-2.1-RR'!$A$12:$BG$111,32,0),"")</f>
        <v>0</v>
      </c>
      <c r="J1202" s="54">
        <f>IFERROR(VLOOKUP(F1182,'1to4-2.1-RR'!$A$12:$BG$111,33,0),"")</f>
        <v>0</v>
      </c>
      <c r="K1202" s="54">
        <f>IFERROR(VLOOKUP(F1182,'1to4-2.1-RR'!$A$12:$BG$111,34,0),"")</f>
        <v>23</v>
      </c>
      <c r="L1202" s="55">
        <f t="shared" si="42"/>
        <v>25</v>
      </c>
      <c r="M1202" s="56" t="str">
        <f>IF(F1182&gt;ENTRY!$D$24,"",IF(L1202=0,"Ab",IF(L1202&gt;80,"A",IF(L1202&gt;60,"B",IF(L1202&gt;44,"C",IF(L1202&gt;=33,"D",IF(L1202&lt;=32,"E","")))))))</f>
        <v>E</v>
      </c>
      <c r="N1202" s="56"/>
      <c r="O1202" s="29"/>
      <c r="P1202" s="19"/>
      <c r="Q1202" s="14"/>
      <c r="R1202" s="11"/>
    </row>
    <row r="1203" s="1" customFormat="1" ht="21.95" customHeight="1" spans="1:19">
      <c r="A1203" s="7"/>
      <c r="B1203" s="12"/>
      <c r="C1203" s="33"/>
      <c r="D1203" s="117" t="s">
        <v>548</v>
      </c>
      <c r="E1203" s="117"/>
      <c r="F1203" s="117"/>
      <c r="G1203" s="54">
        <f>IFERROR(VLOOKUP(F1182,'1to4-2.1-RR'!$A$12:$BG$111,37,0),"")</f>
        <v>0</v>
      </c>
      <c r="H1203" s="54">
        <f>IFERROR(VLOOKUP(F1182,'1to4-2.1-RR'!$A$12:$BG$111,38,0),"")</f>
        <v>0</v>
      </c>
      <c r="I1203" s="54">
        <f>IFERROR(VLOOKUP(F1182,'1to4-2.1-RR'!$A$12:$BG$111,39,0),"")</f>
        <v>0</v>
      </c>
      <c r="J1203" s="54">
        <f>IFERROR(VLOOKUP(F1182,'1to4-2.1-RR'!$A$12:$BG$111,40,0),"")</f>
        <v>0</v>
      </c>
      <c r="K1203" s="54">
        <f>IFERROR(VLOOKUP(F1182,'1to4-2.1-RR'!$A$12:$BG$111,41,0),"")</f>
        <v>25</v>
      </c>
      <c r="L1203" s="55">
        <f t="shared" si="42"/>
        <v>25</v>
      </c>
      <c r="M1203" s="56" t="str">
        <f>IF(F1182&gt;ENTRY!$D$24,"",IF(L1203=0,"Ab",IF(L1203&gt;80,"A",IF(L1203&gt;60,"B",IF(L1203&gt;44,"C",IF(L1203&gt;=33,"D",IF(L1203&lt;=32,"E","")))))))</f>
        <v>E</v>
      </c>
      <c r="N1203" s="56"/>
      <c r="O1203" s="29"/>
      <c r="P1203" s="19"/>
      <c r="Q1203" s="14"/>
      <c r="R1203" s="11"/>
    </row>
    <row r="1204" s="1" customFormat="1" ht="21.95" customHeight="1" spans="1:19">
      <c r="A1204" s="7"/>
      <c r="B1204" s="12"/>
      <c r="C1204" s="33"/>
      <c r="D1204" s="117" t="s">
        <v>549</v>
      </c>
      <c r="E1204" s="117"/>
      <c r="F1204" s="117"/>
      <c r="G1204" s="54">
        <f>IFERROR(VLOOKUP(F1182,'1to4-2.1-RR'!$A$12:$BG$111,44,0),"")</f>
        <v>2</v>
      </c>
      <c r="H1204" s="54">
        <f>IFERROR(VLOOKUP(F1182,'1to4-2.1-RR'!$A$12:$BG$111,45,0),"")</f>
        <v>0</v>
      </c>
      <c r="I1204" s="54">
        <f>IFERROR(VLOOKUP(F1182,'1to4-2.1-RR'!$A$12:$BG$111,46,0),"")</f>
        <v>0</v>
      </c>
      <c r="J1204" s="54">
        <f>IFERROR(VLOOKUP(F1182,'1to4-2.1-RR'!$A$12:$BG$111,47,0),"")</f>
        <v>0</v>
      </c>
      <c r="K1204" s="54">
        <f>IFERROR(VLOOKUP(F1182,'1to4-2.1-RR'!$A$12:$BG$111,48,0),"")</f>
        <v>25</v>
      </c>
      <c r="L1204" s="55">
        <f t="shared" si="42"/>
        <v>27</v>
      </c>
      <c r="M1204" s="56" t="str">
        <f>IF(F1182&gt;ENTRY!$D$24,"",IF(L1204=0,"Ab",IF(L1204&gt;80,"A",IF(L1204&gt;60,"B",IF(L1204&gt;44,"C",IF(L1204&gt;=33,"D",IF(L1204&lt;=32,"E","")))))))</f>
        <v>E</v>
      </c>
      <c r="N1204" s="56"/>
      <c r="O1204" s="29"/>
      <c r="P1204" s="19"/>
      <c r="Q1204" s="14"/>
      <c r="R1204" s="11"/>
    </row>
    <row r="1205" s="1" customFormat="1" ht="21.95" customHeight="1" spans="1:19">
      <c r="A1205" s="7"/>
      <c r="B1205" s="12"/>
      <c r="C1205" s="33"/>
      <c r="D1205" s="117" t="s">
        <v>720</v>
      </c>
      <c r="E1205" s="117"/>
      <c r="F1205" s="117"/>
      <c r="G1205" s="54"/>
      <c r="H1205" s="54"/>
      <c r="I1205" s="54"/>
      <c r="J1205" s="54"/>
      <c r="K1205" s="54"/>
      <c r="L1205" s="55">
        <f t="shared" si="42"/>
        <v>0</v>
      </c>
      <c r="M1205" s="56" t="str">
        <f>IF(F1182&gt;ENTRY!$D$24,"",IF(L1205=0,"",IF(L1205&gt;79,"A",IF(L1205&gt;59,"B",IF(L1205&gt;44,"C",IF(L1205&gt;=33,"D",IF(L1205&lt;=32,"E","")))))))</f>
        <v/>
      </c>
      <c r="N1205" s="56"/>
      <c r="O1205" s="29"/>
      <c r="P1205" s="19"/>
      <c r="Q1205" s="14"/>
      <c r="R1205" s="11"/>
    </row>
    <row r="1206" s="1" customFormat="1" ht="21.95" customHeight="1" spans="1:19">
      <c r="A1206" s="7"/>
      <c r="B1206" s="12"/>
      <c r="C1206" s="33"/>
      <c r="D1206" s="207" t="s">
        <v>382</v>
      </c>
      <c r="E1206" s="207"/>
      <c r="F1206" s="207"/>
      <c r="G1206" s="54">
        <f t="shared" ref="G1206:L1206" si="43">IFERROR(SUM(G1199:G1205),"")</f>
        <v>10</v>
      </c>
      <c r="H1206" s="54">
        <f t="shared" si="43"/>
        <v>0</v>
      </c>
      <c r="I1206" s="54">
        <f t="shared" si="43"/>
        <v>0</v>
      </c>
      <c r="J1206" s="54">
        <f t="shared" si="43"/>
        <v>0</v>
      </c>
      <c r="K1206" s="54">
        <f t="shared" si="43"/>
        <v>166</v>
      </c>
      <c r="L1206" s="55">
        <f t="shared" si="43"/>
        <v>176</v>
      </c>
      <c r="M1206" s="61" t="str">
        <f>IF(F1182&gt;ENTRY!$D$24,"",IF(N1207="Ab","Ab",IF(N1207&gt;79.5,"A",IF(N1207&gt;59.5,"B",IF(N1207&gt;44.5,"C",IF(N1207&gt;=33,"D",IF(N1207&lt;33,"E","")))))))</f>
        <v>E</v>
      </c>
      <c r="N1206" s="61"/>
      <c r="O1206" s="29"/>
      <c r="P1206" s="19"/>
      <c r="Q1206" s="14"/>
      <c r="R1206" s="11"/>
    </row>
    <row r="1207" s="1" customFormat="1" ht="21.95" customHeight="1" spans="1:19">
      <c r="A1207" s="7"/>
      <c r="B1207" s="12"/>
      <c r="C1207" s="33"/>
      <c r="D1207" s="63" t="s">
        <v>721</v>
      </c>
      <c r="E1207" s="63"/>
      <c r="F1207" s="63"/>
      <c r="G1207" s="63"/>
      <c r="H1207" s="63"/>
      <c r="I1207" s="63"/>
      <c r="J1207" s="63"/>
      <c r="K1207" s="63"/>
      <c r="L1207" s="63"/>
      <c r="M1207" s="209"/>
      <c r="N1207" s="64">
        <f>IF(L1206="Ab","Ab",L1206/6)</f>
        <v>29.3333333333333</v>
      </c>
      <c r="O1207" s="65"/>
      <c r="P1207" s="19"/>
      <c r="Q1207" s="14"/>
      <c r="R1207" s="11"/>
    </row>
    <row r="1208" s="1" customFormat="1" ht="21.95" customHeight="1" spans="1:19">
      <c r="A1208" s="7"/>
      <c r="B1208" s="12"/>
      <c r="C1208" s="33"/>
      <c r="D1208" s="29" t="s">
        <v>716</v>
      </c>
      <c r="E1208" s="18" t="str">
        <f>IFERROR(VLOOKUP(F1182,'1to4-2.1-RR'!$A$12:$BG$111,57,0),"")</f>
        <v>PROMOTED</v>
      </c>
      <c r="F1208" s="18"/>
      <c r="G1208" s="18"/>
      <c r="H1208" s="18"/>
      <c r="I1208" s="18"/>
      <c r="J1208" s="18"/>
      <c r="K1208" s="18"/>
      <c r="L1208" s="18"/>
      <c r="M1208" s="18"/>
      <c r="N1208" s="29"/>
      <c r="O1208" s="29"/>
      <c r="P1208" s="19"/>
      <c r="Q1208" s="14"/>
      <c r="R1208" s="11"/>
    </row>
    <row r="1209" s="1" customFormat="1" ht="9.95" customHeight="1" spans="1:19">
      <c r="A1209" s="7"/>
      <c r="B1209" s="12"/>
      <c r="C1209" s="39"/>
      <c r="D1209" s="40"/>
      <c r="E1209" s="40"/>
      <c r="F1209" s="40"/>
      <c r="G1209" s="40"/>
      <c r="H1209" s="40"/>
      <c r="I1209" s="40"/>
      <c r="J1209" s="40"/>
      <c r="K1209" s="40"/>
      <c r="L1209" s="40"/>
      <c r="M1209" s="40"/>
      <c r="N1209" s="40"/>
      <c r="O1209" s="40"/>
      <c r="P1209" s="41"/>
      <c r="Q1209" s="14"/>
      <c r="R1209" s="11"/>
    </row>
    <row r="1210" s="1" customFormat="1" ht="9.95" customHeight="1" spans="1:19">
      <c r="A1210" s="7"/>
      <c r="B1210" s="12"/>
      <c r="C1210" s="30"/>
      <c r="D1210" s="31"/>
      <c r="E1210" s="31"/>
      <c r="F1210" s="29"/>
      <c r="G1210" s="31"/>
      <c r="H1210" s="31"/>
      <c r="I1210" s="31"/>
      <c r="J1210" s="31"/>
      <c r="K1210" s="31"/>
      <c r="L1210" s="31"/>
      <c r="M1210" s="31"/>
      <c r="N1210" s="31"/>
      <c r="O1210" s="31"/>
      <c r="P1210" s="32"/>
      <c r="Q1210" s="14"/>
      <c r="R1210" s="11"/>
    </row>
    <row r="1211" s="1" customFormat="1" ht="9.95" customHeight="1" spans="1:19">
      <c r="A1211" s="7"/>
      <c r="B1211" s="12"/>
      <c r="C1211" s="33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19"/>
      <c r="Q1211" s="14"/>
      <c r="R1211" s="11"/>
    </row>
    <row r="1212" s="1" customFormat="1" ht="9.95" customHeight="1" spans="1:19">
      <c r="A1212" s="7"/>
      <c r="B1212" s="12"/>
      <c r="C1212" s="33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19"/>
      <c r="Q1212" s="14"/>
      <c r="R1212" s="11"/>
    </row>
    <row r="1213" s="1" customFormat="1" ht="21.95" customHeight="1" spans="1:19">
      <c r="A1213" s="7"/>
      <c r="B1213" s="12"/>
      <c r="C1213" s="210"/>
      <c r="D1213" s="211"/>
      <c r="E1213" s="211"/>
      <c r="F1213" s="211"/>
      <c r="G1213" s="211"/>
      <c r="H1213" s="211"/>
      <c r="I1213" s="211"/>
      <c r="J1213" s="211"/>
      <c r="K1213" s="211"/>
      <c r="L1213" s="211"/>
      <c r="M1213" s="211"/>
      <c r="N1213" s="211"/>
      <c r="O1213" s="211"/>
      <c r="P1213" s="212"/>
      <c r="Q1213" s="14"/>
      <c r="R1213" s="11"/>
      <c r="S1213" s="2"/>
    </row>
    <row r="1214" s="1" customFormat="1" ht="21.95" customHeight="1" spans="1:19">
      <c r="A1214" s="7"/>
      <c r="B1214" s="12"/>
      <c r="C1214" s="33"/>
      <c r="D1214" s="207" t="s">
        <v>722</v>
      </c>
      <c r="E1214" s="207"/>
      <c r="F1214" s="207"/>
      <c r="G1214" s="207"/>
      <c r="H1214" s="54">
        <f>IFERROR(VLOOKUP(F1182,PASHEET!$A$4:$CJ$103,88,0),"")</f>
        <v>0</v>
      </c>
      <c r="I1214" s="54"/>
      <c r="J1214" s="29"/>
      <c r="K1214" s="29"/>
      <c r="L1214" s="29"/>
      <c r="M1214" s="29"/>
      <c r="N1214" s="29"/>
      <c r="O1214" s="29"/>
      <c r="P1214" s="19"/>
      <c r="Q1214" s="14"/>
      <c r="R1214" s="11"/>
    </row>
    <row r="1215" s="1" customFormat="1" ht="21.95" customHeight="1" spans="1:19">
      <c r="A1215" s="7"/>
      <c r="B1215" s="12"/>
      <c r="C1215" s="213"/>
      <c r="D1215" s="207" t="s">
        <v>723</v>
      </c>
      <c r="E1215" s="207"/>
      <c r="F1215" s="207"/>
      <c r="G1215" s="207"/>
      <c r="H1215" s="54">
        <f>IFERROR(VLOOKUP(F1182,PASHEET!$A$4:$CJ$103,87,0),"")</f>
        <v>0</v>
      </c>
      <c r="I1215" s="54"/>
      <c r="J1215" s="214"/>
      <c r="K1215" s="214"/>
      <c r="L1215" s="207" t="s">
        <v>724</v>
      </c>
      <c r="M1215" s="207"/>
      <c r="N1215" s="117" t="str">
        <f>IF(F1182&gt;ENTRY!$D$24,"",IF(F1182&gt;0,L1206&amp;" / "&amp;600,""))</f>
        <v>176 / 600</v>
      </c>
      <c r="O1215" s="117"/>
      <c r="P1215" s="215"/>
      <c r="Q1215" s="14"/>
      <c r="R1215" s="11"/>
    </row>
    <row r="1216" s="1" customFormat="1" ht="18" customHeight="1" spans="1:19">
      <c r="A1216" s="7"/>
      <c r="B1216" s="12"/>
      <c r="C1216" s="33"/>
      <c r="D1216" s="207" t="s">
        <v>725</v>
      </c>
      <c r="E1216" s="207"/>
      <c r="F1216" s="207"/>
      <c r="G1216" s="207"/>
      <c r="H1216" s="69" t="str">
        <f>IFERROR(IF(F1182&gt;0,H1215/H1214*100),"")</f>
        <v/>
      </c>
      <c r="I1216" s="69"/>
      <c r="J1216" s="29"/>
      <c r="K1216" s="29"/>
      <c r="L1216" s="207" t="s">
        <v>726</v>
      </c>
      <c r="M1216" s="207"/>
      <c r="N1216" s="216">
        <f>IF(F1182&gt;ENTRY!$D$24,"",IF(F1182&gt;0,L1206/600*100,""))</f>
        <v>29.3333333333333</v>
      </c>
      <c r="O1216" s="216"/>
      <c r="P1216" s="19"/>
      <c r="Q1216" s="14"/>
      <c r="R1216" s="11"/>
    </row>
    <row r="1217" s="1" customFormat="1" ht="21.95" customHeight="1" spans="1:18">
      <c r="A1217" s="7"/>
      <c r="B1217" s="12"/>
      <c r="C1217" s="33"/>
      <c r="D1217" s="80"/>
      <c r="E1217" s="80"/>
      <c r="F1217" s="217"/>
      <c r="G1217" s="217"/>
      <c r="H1217" s="217"/>
      <c r="I1217" s="217"/>
      <c r="J1217" s="217"/>
      <c r="K1217" s="217"/>
      <c r="L1217" s="217"/>
      <c r="M1217" s="217"/>
      <c r="N1217" s="80"/>
      <c r="O1217" s="80"/>
      <c r="P1217" s="19"/>
      <c r="Q1217" s="14"/>
      <c r="R1217" s="11"/>
    </row>
    <row r="1218" s="1" customFormat="1" ht="21.95" customHeight="1" spans="1:18">
      <c r="A1218" s="7"/>
      <c r="B1218" s="12"/>
      <c r="C1218" s="33"/>
      <c r="D1218" s="80"/>
      <c r="E1218" s="218"/>
      <c r="F1218" s="218"/>
      <c r="G1218" s="218"/>
      <c r="H1218" s="80"/>
      <c r="I1218" s="218"/>
      <c r="J1218" s="218"/>
      <c r="K1218" s="218"/>
      <c r="L1218" s="218"/>
      <c r="M1218" s="80"/>
      <c r="N1218" s="219"/>
      <c r="O1218" s="219"/>
      <c r="P1218" s="19"/>
      <c r="Q1218" s="14"/>
      <c r="R1218" s="11"/>
    </row>
    <row r="1219" s="1" customFormat="1" ht="21.95" customHeight="1" spans="1:18">
      <c r="A1219" s="7"/>
      <c r="B1219" s="12"/>
      <c r="C1219" s="33"/>
      <c r="D1219" s="80"/>
      <c r="E1219" s="80"/>
      <c r="F1219" s="80"/>
      <c r="G1219" s="80"/>
      <c r="H1219" s="80"/>
      <c r="I1219" s="80"/>
      <c r="J1219" s="80"/>
      <c r="K1219" s="80"/>
      <c r="L1219" s="80"/>
      <c r="M1219" s="80"/>
      <c r="N1219" s="80"/>
      <c r="O1219" s="80"/>
      <c r="P1219" s="19"/>
      <c r="Q1219" s="14"/>
      <c r="R1219" s="11"/>
    </row>
    <row r="1220" s="1" customFormat="1" ht="21.95" customHeight="1" spans="1:18">
      <c r="A1220" s="7"/>
      <c r="B1220" s="12"/>
      <c r="C1220" s="33"/>
      <c r="D1220" s="218"/>
      <c r="E1220" s="218"/>
      <c r="F1220" s="218"/>
      <c r="G1220" s="218"/>
      <c r="H1220" s="218"/>
      <c r="I1220" s="218"/>
      <c r="J1220" s="218"/>
      <c r="K1220" s="218"/>
      <c r="L1220" s="218"/>
      <c r="M1220" s="80"/>
      <c r="N1220" s="217"/>
      <c r="O1220" s="217"/>
      <c r="P1220" s="85" t="s">
        <v>727</v>
      </c>
      <c r="Q1220" s="14"/>
      <c r="R1220" s="11"/>
    </row>
    <row r="1221" s="1" customFormat="1" ht="21.95" customHeight="1" spans="1:18">
      <c r="A1221" s="7"/>
      <c r="B1221" s="12"/>
      <c r="C1221" s="33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19"/>
      <c r="Q1221" s="14"/>
      <c r="R1221" s="11"/>
    </row>
    <row r="1222" s="1" customFormat="1" ht="21.95" customHeight="1" spans="1:18">
      <c r="A1222" s="7"/>
      <c r="B1222" s="12"/>
      <c r="C1222" s="33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19"/>
      <c r="Q1222" s="14"/>
      <c r="R1222" s="11"/>
    </row>
    <row r="1223" s="1" customFormat="1" ht="21.95" customHeight="1" spans="1:18">
      <c r="A1223" s="7"/>
      <c r="B1223" s="12"/>
      <c r="C1223" s="33"/>
      <c r="D1223" s="29"/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19"/>
      <c r="Q1223" s="14"/>
      <c r="R1223" s="11"/>
    </row>
    <row r="1224" s="1" customFormat="1" ht="21.95" customHeight="1" spans="1:18">
      <c r="A1224" s="7"/>
      <c r="B1224" s="12"/>
      <c r="C1224" s="33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19"/>
      <c r="Q1224" s="14"/>
      <c r="R1224" s="11"/>
    </row>
    <row r="1225" s="1" customFormat="1" ht="21.95" customHeight="1" spans="1:18">
      <c r="A1225" s="7"/>
      <c r="B1225" s="12"/>
      <c r="C1225" s="33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19"/>
      <c r="Q1225" s="14"/>
      <c r="R1225" s="11"/>
    </row>
    <row r="1226" s="1" customFormat="1" ht="21.95" customHeight="1" spans="1:18">
      <c r="A1226" s="7"/>
      <c r="B1226" s="12"/>
      <c r="C1226" s="33"/>
      <c r="D1226" s="80" t="s">
        <v>728</v>
      </c>
      <c r="E1226" s="220">
        <f>ENTRY!$D$27</f>
        <v>46102</v>
      </c>
      <c r="F1226" s="220"/>
      <c r="G1226" s="29"/>
      <c r="H1226" s="29"/>
      <c r="I1226" s="221" t="s">
        <v>729</v>
      </c>
      <c r="J1226" s="153"/>
      <c r="K1226" s="29"/>
      <c r="L1226" s="29"/>
      <c r="M1226" s="87" t="s">
        <v>730</v>
      </c>
      <c r="N1226" s="87"/>
      <c r="O1226" s="87"/>
      <c r="P1226" s="19"/>
      <c r="Q1226" s="14"/>
      <c r="R1226" s="11"/>
    </row>
    <row r="1227" s="1" customFormat="1" ht="21.95" customHeight="1" spans="1:18">
      <c r="A1227" s="7"/>
      <c r="B1227" s="12"/>
      <c r="C1227" s="33"/>
      <c r="D1227" s="80" t="s">
        <v>731</v>
      </c>
      <c r="E1227" s="88" t="str">
        <f>PROPER(ENTRY!$D$28)</f>
        <v>New Delhi</v>
      </c>
      <c r="F1227" s="88"/>
      <c r="G1227" s="29"/>
      <c r="H1227" s="29"/>
      <c r="I1227" s="153"/>
      <c r="J1227" s="153"/>
      <c r="K1227" s="29"/>
      <c r="L1227" s="29"/>
      <c r="M1227" s="79" t="s">
        <v>732</v>
      </c>
      <c r="N1227" s="79"/>
      <c r="O1227" s="79"/>
      <c r="P1227" s="19"/>
      <c r="Q1227" s="14"/>
      <c r="R1227" s="11"/>
    </row>
    <row r="1228" s="1" customFormat="1" ht="21.95" customHeight="1" spans="1:18">
      <c r="A1228" s="7"/>
      <c r="B1228" s="12"/>
      <c r="C1228" s="90"/>
      <c r="D1228" s="91"/>
      <c r="E1228" s="91"/>
      <c r="F1228" s="91"/>
      <c r="G1228" s="91"/>
      <c r="H1228" s="91"/>
      <c r="I1228" s="91"/>
      <c r="J1228" s="91"/>
      <c r="K1228" s="91"/>
      <c r="L1228" s="91"/>
      <c r="M1228" s="91"/>
      <c r="N1228" s="91"/>
      <c r="O1228" s="91"/>
      <c r="P1228" s="92"/>
      <c r="Q1228" s="14"/>
      <c r="R1228" s="11"/>
    </row>
    <row r="1229" s="1" customFormat="1" ht="5.1" customHeight="1" spans="1:18">
      <c r="A1229" s="7"/>
      <c r="B1229" s="90"/>
      <c r="C1229" s="91"/>
      <c r="D1229" s="91"/>
      <c r="E1229" s="91"/>
      <c r="F1229" s="91"/>
      <c r="G1229" s="91"/>
      <c r="H1229" s="91"/>
      <c r="I1229" s="91"/>
      <c r="J1229" s="91"/>
      <c r="K1229" s="91"/>
      <c r="L1229" s="91"/>
      <c r="M1229" s="91"/>
      <c r="N1229" s="91"/>
      <c r="O1229" s="91"/>
      <c r="P1229" s="91"/>
      <c r="Q1229" s="92"/>
      <c r="R1229" s="11"/>
    </row>
    <row r="1230" s="1" customFormat="1" ht="5.1" customHeight="1" spans="1:18">
      <c r="A1230" s="93"/>
      <c r="B1230" s="94"/>
      <c r="C1230" s="94"/>
      <c r="D1230" s="94"/>
      <c r="E1230" s="94"/>
      <c r="F1230" s="94"/>
      <c r="G1230" s="94"/>
      <c r="H1230" s="94"/>
      <c r="I1230" s="94"/>
      <c r="J1230" s="94"/>
      <c r="K1230" s="94"/>
      <c r="L1230" s="94"/>
      <c r="M1230" s="94"/>
      <c r="N1230" s="94"/>
      <c r="O1230" s="94"/>
      <c r="P1230" s="94"/>
      <c r="Q1230" s="94"/>
      <c r="R1230" s="95"/>
    </row>
    <row r="1231" s="1" customFormat="1" ht="21.95" customHeight="1"/>
    <row r="1232" ht="15.15"/>
    <row r="1233" s="1" customFormat="1" ht="5.1" customHeight="1" spans="1:18">
      <c r="A1233" s="4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6"/>
    </row>
    <row r="1234" s="1" customFormat="1" ht="15" customHeight="1" spans="1:18">
      <c r="A1234" s="7"/>
      <c r="B1234" s="8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9"/>
      <c r="O1234" s="9"/>
      <c r="P1234" s="9"/>
      <c r="Q1234" s="10"/>
      <c r="R1234" s="11"/>
    </row>
    <row r="1235" s="1" customFormat="1" ht="21.95" customHeight="1" spans="1:18">
      <c r="A1235" s="7"/>
      <c r="B1235" s="12"/>
      <c r="C1235" s="13" t="s">
        <v>7</v>
      </c>
      <c r="D1235" s="13"/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/>
      <c r="Q1235" s="14"/>
      <c r="R1235" s="11"/>
    </row>
    <row r="1236" s="1" customFormat="1" ht="21.95" customHeight="1" spans="1:18">
      <c r="A1236" s="7"/>
      <c r="B1236" s="1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14"/>
      <c r="R1236" s="11"/>
    </row>
    <row r="1237" s="1" customFormat="1" ht="21.95" customHeight="1" spans="1:18">
      <c r="A1237" s="7"/>
      <c r="B1237" s="12"/>
      <c r="C1237" s="15" t="str">
        <f>"SESSION-"&amp;ENTRY!$D$11</f>
        <v>SESSION-2026-27</v>
      </c>
      <c r="D1237" s="15"/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4"/>
      <c r="R1237" s="11"/>
    </row>
    <row r="1238" s="1" customFormat="1" ht="21.95" customHeight="1" spans="1:18">
      <c r="A1238" s="7"/>
      <c r="B1238" s="12"/>
      <c r="C1238" s="2"/>
      <c r="D1238" s="2"/>
      <c r="E1238" s="2"/>
      <c r="F1238" s="16">
        <f>F1182+1</f>
        <v>23</v>
      </c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14"/>
      <c r="R1238" s="11"/>
    </row>
    <row r="1239" s="1" customFormat="1" ht="21.95" customHeight="1" spans="1:18">
      <c r="A1239" s="7"/>
      <c r="B1239" s="12"/>
      <c r="C1239" s="17" t="s">
        <v>392</v>
      </c>
      <c r="D1239" s="17"/>
      <c r="E1239" s="17"/>
      <c r="F1239" s="18" t="str">
        <f>IF(F1238&gt;0,ENTRY!$D$6,"")</f>
        <v>MCP NITHARI NO 1 BOYS</v>
      </c>
      <c r="G1239" s="18"/>
      <c r="H1239" s="18"/>
      <c r="I1239" s="18"/>
      <c r="J1239" s="18"/>
      <c r="K1239" s="18"/>
      <c r="L1239" s="18"/>
      <c r="M1239" s="18"/>
      <c r="N1239" s="18"/>
      <c r="O1239" s="18"/>
      <c r="P1239" s="18"/>
      <c r="Q1239" s="14"/>
      <c r="R1239" s="11"/>
    </row>
    <row r="1240" s="1" customFormat="1" ht="21.95" customHeight="1" spans="1:18">
      <c r="A1240" s="7"/>
      <c r="B1240" s="12"/>
      <c r="C1240" s="17" t="s">
        <v>393</v>
      </c>
      <c r="D1240" s="17"/>
      <c r="E1240" s="17"/>
      <c r="F1240" s="18">
        <f>IF(F1238&gt;0,ENTRY!$D$7,"")</f>
        <v>0</v>
      </c>
      <c r="G1240" s="18"/>
      <c r="H1240" s="20" t="s">
        <v>702</v>
      </c>
      <c r="I1240" s="20"/>
      <c r="J1240" s="21">
        <f>IF(F1238&gt;0,ENTRY!$D$10,"")</f>
        <v>40</v>
      </c>
      <c r="K1240" s="20" t="s">
        <v>703</v>
      </c>
      <c r="L1240" s="22" t="str">
        <f>IF(F1238&gt;0,ENTRY!$D$5,"")</f>
        <v>ROHINI ZONE</v>
      </c>
      <c r="M1240" s="22"/>
      <c r="N1240" s="22"/>
      <c r="O1240" s="22"/>
      <c r="P1240" s="22"/>
      <c r="Q1240" s="14"/>
      <c r="R1240" s="11"/>
    </row>
    <row r="1241" s="1" customFormat="1" ht="21.95" customHeight="1" spans="1:18">
      <c r="A1241" s="7"/>
      <c r="B1241" s="12"/>
      <c r="C1241" s="17" t="s">
        <v>706</v>
      </c>
      <c r="D1241" s="17"/>
      <c r="E1241" s="17"/>
      <c r="F1241" s="23" t="str">
        <f>IFERROR(VLOOKUP(F1238,STUDENT!$A$2:$BP$101,5,0),"")</f>
        <v>NITIN</v>
      </c>
      <c r="G1241" s="23"/>
      <c r="H1241" s="23"/>
      <c r="I1241" s="23"/>
      <c r="J1241" s="23"/>
      <c r="K1241" s="23"/>
      <c r="L1241" s="20" t="s">
        <v>707</v>
      </c>
      <c r="M1241" s="20"/>
      <c r="N1241" s="24" t="str">
        <f>IF(F1238&gt;0,ENTRY!$D$20&amp;"-"&amp;ENTRY!$D$21,"")</f>
        <v>III-A</v>
      </c>
      <c r="O1241" s="24"/>
      <c r="P1241" s="24"/>
      <c r="Q1241" s="14"/>
      <c r="R1241" s="11"/>
    </row>
    <row r="1242" s="1" customFormat="1" ht="21.95" customHeight="1" spans="1:18">
      <c r="A1242" s="7"/>
      <c r="B1242" s="12"/>
      <c r="C1242" s="17" t="s">
        <v>708</v>
      </c>
      <c r="D1242" s="17"/>
      <c r="E1242" s="17"/>
      <c r="F1242" s="25">
        <f>IFERROR(VLOOKUP(F1238,STUDENT!$A$2:$BP$101,6,0),"")</f>
        <v>14805</v>
      </c>
      <c r="G1242" s="25"/>
      <c r="H1242" s="26" t="s">
        <v>709</v>
      </c>
      <c r="I1242" s="27" t="str">
        <f>IFERROR(VLOOKUP(F1238,STUDENT!$A$2:$BP$101,59,0),"")</f>
        <v/>
      </c>
      <c r="J1242" s="27"/>
      <c r="K1242" s="20" t="s">
        <v>710</v>
      </c>
      <c r="L1242" s="20"/>
      <c r="M1242" s="28">
        <f>IFERROR(VLOOKUP(F1238,STUDENT!$A$2:$BP$101,20,0),"")</f>
        <v>9971046177</v>
      </c>
      <c r="N1242" s="28"/>
      <c r="O1242" s="28"/>
      <c r="P1242" s="28"/>
      <c r="Q1242" s="14"/>
      <c r="R1242" s="11"/>
    </row>
    <row r="1243" s="1" customFormat="1" ht="21.95" customHeight="1" spans="1:18">
      <c r="A1243" s="7"/>
      <c r="B1243" s="12"/>
      <c r="C1243" s="17" t="s">
        <v>711</v>
      </c>
      <c r="D1243" s="17"/>
      <c r="E1243" s="17"/>
      <c r="F1243" s="23" t="str">
        <f>IFERROR(VLOOKUP(F1238,STUDENT!$A$2:$BP$101,9,0),"")</f>
        <v>RADHA</v>
      </c>
      <c r="G1243" s="23"/>
      <c r="H1243" s="23"/>
      <c r="I1243" s="23"/>
      <c r="J1243" s="17" t="s">
        <v>620</v>
      </c>
      <c r="K1243" s="17"/>
      <c r="L1243" s="23" t="str">
        <f>IFERROR(VLOOKUP(F1238,STUDENT!$A$2:$BP$101,8,0),"")</f>
        <v>AJAY</v>
      </c>
      <c r="M1243" s="23"/>
      <c r="N1243" s="23"/>
      <c r="O1243" s="23"/>
      <c r="P1243" s="23"/>
      <c r="Q1243" s="14"/>
      <c r="R1243" s="11"/>
    </row>
    <row r="1244" s="1" customFormat="1" ht="21.95" customHeight="1" spans="1:18">
      <c r="A1244" s="7"/>
      <c r="B1244" s="12"/>
      <c r="C1244" s="17" t="s">
        <v>712</v>
      </c>
      <c r="D1244" s="17"/>
      <c r="E1244" s="17"/>
      <c r="F1244" s="23" t="str">
        <f>IFERROR(VLOOKUP(F1238,STUDENT!$A$2:$BP$101,22,0),"")</f>
        <v>H.NO-422 JANTA ENCLAVE GALI NO-11 PREM NAGAR -3 KIRARI SULEMAN NAGAR</v>
      </c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14"/>
      <c r="R1244" s="11"/>
    </row>
    <row r="1245" s="1" customFormat="1" ht="9.95" customHeight="1" spans="1:18">
      <c r="A1245" s="7"/>
      <c r="B1245" s="12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14"/>
      <c r="R1245" s="11"/>
    </row>
    <row r="1246" s="1" customFormat="1" ht="9.95" customHeight="1" spans="1:18">
      <c r="A1246" s="7"/>
      <c r="B1246" s="12"/>
      <c r="C1246" s="30"/>
      <c r="D1246" s="31"/>
      <c r="E1246" s="31"/>
      <c r="F1246" s="31"/>
      <c r="G1246" s="31"/>
      <c r="H1246" s="31"/>
      <c r="I1246" s="31"/>
      <c r="J1246" s="31"/>
      <c r="K1246" s="31"/>
      <c r="L1246" s="31"/>
      <c r="M1246" s="31"/>
      <c r="N1246" s="31"/>
      <c r="O1246" s="31"/>
      <c r="P1246" s="32"/>
      <c r="Q1246" s="14"/>
      <c r="R1246" s="11"/>
    </row>
    <row r="1247" s="1" customFormat="1" ht="21.95" customHeight="1" spans="1:18">
      <c r="A1247" s="7"/>
      <c r="B1247" s="12"/>
      <c r="C1247" s="33"/>
      <c r="D1247" s="34" t="s">
        <v>713</v>
      </c>
      <c r="E1247" s="20" t="s">
        <v>714</v>
      </c>
      <c r="F1247" s="35" t="str">
        <f>"Level - "&amp;IFERROR(VLOOKUP(F1238,FLN!$A$4:$K$103,9,0),"")</f>
        <v>Level - 4</v>
      </c>
      <c r="G1247" s="36"/>
      <c r="H1247" s="37" t="s">
        <v>715</v>
      </c>
      <c r="I1247" s="20"/>
      <c r="J1247" s="35" t="str">
        <f>"Level - "&amp;IFERROR(VLOOKUP(F1238,FLN!$A$4:$K$103,11,0),"")</f>
        <v>Level - 4</v>
      </c>
      <c r="K1247" s="36"/>
      <c r="L1247" s="37" t="s">
        <v>408</v>
      </c>
      <c r="M1247" s="20"/>
      <c r="N1247" s="35" t="str">
        <f>"Level - "&amp;IFERROR(VLOOKUP(F1238,FLN!$A$4:$K$103,10,0),"")</f>
        <v>Level - 3</v>
      </c>
      <c r="O1247" s="36"/>
      <c r="P1247" s="19"/>
      <c r="Q1247" s="14"/>
      <c r="R1247" s="11"/>
    </row>
    <row r="1248" s="1" customFormat="1" ht="21.95" customHeight="1" spans="1:18">
      <c r="A1248" s="7"/>
      <c r="B1248" s="12"/>
      <c r="C1248" s="33"/>
      <c r="D1248" s="38"/>
      <c r="E1248" s="20" t="s">
        <v>716</v>
      </c>
      <c r="F1248" s="18" t="str">
        <f>IF(L1262&gt;197,"PERFORMED WELL","")</f>
        <v/>
      </c>
      <c r="G1248" s="18"/>
      <c r="H1248" s="18"/>
      <c r="I1248" s="18"/>
      <c r="J1248" s="18"/>
      <c r="K1248" s="18"/>
      <c r="L1248" s="18"/>
      <c r="M1248" s="18"/>
      <c r="N1248" s="18"/>
      <c r="O1248" s="18"/>
      <c r="P1248" s="19"/>
      <c r="Q1248" s="14"/>
      <c r="R1248" s="11"/>
    </row>
    <row r="1249" s="1" customFormat="1" ht="9.95" customHeight="1" spans="1:18">
      <c r="A1249" s="7"/>
      <c r="B1249" s="12"/>
      <c r="C1249" s="39"/>
      <c r="D1249" s="40"/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  <c r="O1249" s="40"/>
      <c r="P1249" s="41"/>
      <c r="Q1249" s="14"/>
      <c r="R1249" s="11"/>
    </row>
    <row r="1250" s="1" customFormat="1" ht="9.95" customHeight="1" spans="1:18">
      <c r="A1250" s="7"/>
      <c r="B1250" s="12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14"/>
      <c r="R1250" s="11"/>
    </row>
    <row r="1251" s="1" customFormat="1" ht="9.95" customHeight="1" spans="1:18">
      <c r="A1251" s="7"/>
      <c r="B1251" s="12"/>
      <c r="C1251" s="30"/>
      <c r="D1251" s="31"/>
      <c r="E1251" s="31"/>
      <c r="F1251" s="31"/>
      <c r="G1251" s="31"/>
      <c r="H1251" s="31"/>
      <c r="I1251" s="31"/>
      <c r="J1251" s="31"/>
      <c r="K1251" s="31"/>
      <c r="L1251" s="31"/>
      <c r="M1251" s="31"/>
      <c r="N1251" s="31"/>
      <c r="O1251" s="31"/>
      <c r="P1251" s="32"/>
      <c r="Q1251" s="14"/>
      <c r="R1251" s="11"/>
    </row>
    <row r="1252" s="1" customFormat="1" ht="21.95" customHeight="1" spans="1:18">
      <c r="A1252" s="7"/>
      <c r="B1252" s="12"/>
      <c r="C1252" s="33"/>
      <c r="D1252" s="35"/>
      <c r="E1252" s="24"/>
      <c r="F1252" s="24"/>
      <c r="G1252" s="47" t="s">
        <v>717</v>
      </c>
      <c r="H1252" s="47"/>
      <c r="I1252" s="47"/>
      <c r="J1252" s="47"/>
      <c r="K1252" s="47"/>
      <c r="L1252" s="47"/>
      <c r="M1252" s="47"/>
      <c r="N1252" s="47"/>
      <c r="O1252" s="29"/>
      <c r="P1252" s="19"/>
      <c r="Q1252" s="14"/>
      <c r="R1252" s="11"/>
    </row>
    <row r="1253" s="1" customFormat="1" ht="21.95" customHeight="1" spans="1:18">
      <c r="A1253" s="7"/>
      <c r="B1253" s="12"/>
      <c r="C1253" s="33"/>
      <c r="D1253" s="47"/>
      <c r="E1253" s="47"/>
      <c r="F1253" s="47"/>
      <c r="G1253" s="47" t="s">
        <v>541</v>
      </c>
      <c r="H1253" s="47" t="s">
        <v>542</v>
      </c>
      <c r="I1253" s="47" t="s">
        <v>543</v>
      </c>
      <c r="J1253" s="47" t="s">
        <v>544</v>
      </c>
      <c r="K1253" s="47" t="s">
        <v>561</v>
      </c>
      <c r="L1253" s="47" t="s">
        <v>382</v>
      </c>
      <c r="M1253" s="49" t="s">
        <v>546</v>
      </c>
      <c r="N1253" s="49"/>
      <c r="O1253" s="29"/>
      <c r="P1253" s="19"/>
      <c r="Q1253" s="14"/>
      <c r="R1253" s="11"/>
    </row>
    <row r="1254" s="1" customFormat="1" ht="21.95" customHeight="1" spans="1:18">
      <c r="A1254" s="7"/>
      <c r="B1254" s="12"/>
      <c r="C1254" s="33"/>
      <c r="D1254" s="207" t="s">
        <v>652</v>
      </c>
      <c r="E1254" s="207"/>
      <c r="F1254" s="207"/>
      <c r="G1254" s="50">
        <v>10</v>
      </c>
      <c r="H1254" s="50">
        <v>10</v>
      </c>
      <c r="I1254" s="50">
        <v>10</v>
      </c>
      <c r="J1254" s="50">
        <v>10</v>
      </c>
      <c r="K1254" s="50">
        <v>60</v>
      </c>
      <c r="L1254" s="50">
        <v>100</v>
      </c>
      <c r="M1254" s="49"/>
      <c r="N1254" s="49"/>
      <c r="O1254" s="29"/>
      <c r="P1254" s="19"/>
      <c r="Q1254" s="14"/>
      <c r="R1254" s="11"/>
    </row>
    <row r="1255" s="1" customFormat="1" ht="21.95" customHeight="1" spans="1:18">
      <c r="A1255" s="7"/>
      <c r="B1255" s="12"/>
      <c r="C1255" s="33"/>
      <c r="D1255" s="117" t="s">
        <v>668</v>
      </c>
      <c r="E1255" s="117"/>
      <c r="F1255" s="117"/>
      <c r="G1255" s="54">
        <f>IFERROR(VLOOKUP(F1238,'1to4-2.1-RR'!$A$12:$BG$111,9,0),"")</f>
        <v>2</v>
      </c>
      <c r="H1255" s="54">
        <f>IFERROR(VLOOKUP(F1238,'1to4-2.1-RR'!$A$12:$BG$111,10,0),"")</f>
        <v>0</v>
      </c>
      <c r="I1255" s="54">
        <f>IFERROR(VLOOKUP(F1238,'1to4-2.1-RR'!$A$12:$BG$111,11,0),"")</f>
        <v>0</v>
      </c>
      <c r="J1255" s="54">
        <f>IFERROR(VLOOKUP(F1238,'1to4-2.1-RR'!$A$12:$BG$111,12,0),"")</f>
        <v>0</v>
      </c>
      <c r="K1255" s="54">
        <f>IFERROR(VLOOKUP(F1238,'1to4-2.1-RR'!$A$12:$BG$111,13,0),"")</f>
        <v>45</v>
      </c>
      <c r="L1255" s="55">
        <f>SUM(G1255:K1255)</f>
        <v>47</v>
      </c>
      <c r="M1255" s="56" t="str">
        <f>IF(F1238&gt;ENTRY!$D$24,"",IF(L1255=0,"Ab",IF(L1255&gt;80,"A",IF(L1255&gt;60,"B",IF(L1255&gt;44,"C",IF(L1255&gt;=33,"D",IF(L1255&lt;=32,"E","")))))))</f>
        <v>C</v>
      </c>
      <c r="N1255" s="56"/>
      <c r="O1255" s="29"/>
      <c r="P1255" s="19"/>
      <c r="Q1255" s="14"/>
      <c r="R1255" s="11"/>
    </row>
    <row r="1256" s="1" customFormat="1" ht="21.95" customHeight="1" spans="1:18">
      <c r="A1256" s="7"/>
      <c r="B1256" s="12"/>
      <c r="C1256" s="33"/>
      <c r="D1256" s="117" t="s">
        <v>513</v>
      </c>
      <c r="E1256" s="117"/>
      <c r="F1256" s="117"/>
      <c r="G1256" s="54">
        <f>IFERROR(VLOOKUP(F1238,'1to4-2.1-RR'!$A$12:$BG$111,16,0),"")</f>
        <v>2</v>
      </c>
      <c r="H1256" s="54">
        <f>IFERROR(VLOOKUP(F1238,'1to4-2.1-RR'!$A$12:$BG$111,17,0),"")</f>
        <v>0</v>
      </c>
      <c r="I1256" s="54">
        <f>IFERROR(VLOOKUP(F1238,'1to4-2.1-RR'!$A$12:$BG$111,18,0),"")</f>
        <v>0</v>
      </c>
      <c r="J1256" s="54">
        <f>IFERROR(VLOOKUP(F1238,'1to4-2.1-RR'!$A$12:$BG$111,19,0),"")</f>
        <v>0</v>
      </c>
      <c r="K1256" s="54">
        <f>IFERROR(VLOOKUP(F1238,'1to4-2.1-RR'!$A$12:$BG$111,20,0),"")</f>
        <v>23</v>
      </c>
      <c r="L1256" s="55">
        <f t="shared" ref="L1256:L1261" si="44">SUM(G1256:K1256)</f>
        <v>25</v>
      </c>
      <c r="M1256" s="56" t="str">
        <f>IF(F1238&gt;ENTRY!$D$24,"",IF(L1256=0,"Ab",IF(L1256&gt;80,"A",IF(L1256&gt;60,"B",IF(L1256&gt;44,"C",IF(L1256&gt;=33,"D",IF(L1256&lt;=32,"E","")))))))</f>
        <v>E</v>
      </c>
      <c r="N1256" s="56"/>
      <c r="O1256" s="29"/>
      <c r="P1256" s="19"/>
      <c r="Q1256" s="14"/>
      <c r="R1256" s="11"/>
    </row>
    <row r="1257" s="1" customFormat="1" ht="21.95" customHeight="1" spans="1:18">
      <c r="A1257" s="7"/>
      <c r="B1257" s="12"/>
      <c r="C1257" s="33"/>
      <c r="D1257" s="117" t="s">
        <v>718</v>
      </c>
      <c r="E1257" s="117"/>
      <c r="F1257" s="117"/>
      <c r="G1257" s="54">
        <f>IFERROR(VLOOKUP(F1238,'1to4-2.1-RR'!$A$12:$BG$111,23,0),"")</f>
        <v>1</v>
      </c>
      <c r="H1257" s="54">
        <f>IFERROR(VLOOKUP(F1238,'1to4-2.1-RR'!$A$12:$BG$111,24,0),"")</f>
        <v>0</v>
      </c>
      <c r="I1257" s="54">
        <f>IFERROR(VLOOKUP(F1238,'1to4-2.1-RR'!$A$12:$BG$111,25,0),"")</f>
        <v>0</v>
      </c>
      <c r="J1257" s="54">
        <f>IFERROR(VLOOKUP(F1238,'1to4-2.1-RR'!$A$12:$BG$111,26,0),"")</f>
        <v>0</v>
      </c>
      <c r="K1257" s="54">
        <f>IFERROR(VLOOKUP(F1238,'1to4-2.1-RR'!$A$12:$BG$111,27,0),"")</f>
        <v>22</v>
      </c>
      <c r="L1257" s="55">
        <f t="shared" si="44"/>
        <v>23</v>
      </c>
      <c r="M1257" s="56" t="str">
        <f>IF(F1238&gt;ENTRY!$D$24,"",IF(L1257=0,"Ab",IF(L1257&gt;80,"A",IF(L1257&gt;60,"B",IF(L1257&gt;44,"C",IF(L1257&gt;=33,"D",IF(L1257&lt;=32,"E","")))))))</f>
        <v>E</v>
      </c>
      <c r="N1257" s="56"/>
      <c r="O1257" s="29"/>
      <c r="P1257" s="19"/>
      <c r="Q1257" s="14"/>
      <c r="R1257" s="11"/>
    </row>
    <row r="1258" s="1" customFormat="1" ht="21.95" customHeight="1" spans="1:18">
      <c r="A1258" s="7"/>
      <c r="B1258" s="12"/>
      <c r="C1258" s="33"/>
      <c r="D1258" s="117" t="s">
        <v>719</v>
      </c>
      <c r="E1258" s="117"/>
      <c r="F1258" s="117"/>
      <c r="G1258" s="54">
        <f>IFERROR(VLOOKUP(F1238,'1to4-2.1-RR'!$A$12:$BG$111,30,0),"")</f>
        <v>1</v>
      </c>
      <c r="H1258" s="54">
        <f>IFERROR(VLOOKUP(F1238,'1to4-2.1-RR'!$A$12:$BG$111,31,0),"")</f>
        <v>0</v>
      </c>
      <c r="I1258" s="54">
        <f>IFERROR(VLOOKUP(F1238,'1to4-2.1-RR'!$A$12:$BG$111,32,0),"")</f>
        <v>0</v>
      </c>
      <c r="J1258" s="54">
        <f>IFERROR(VLOOKUP(F1238,'1to4-2.1-RR'!$A$12:$BG$111,33,0),"")</f>
        <v>0</v>
      </c>
      <c r="K1258" s="54">
        <f>IFERROR(VLOOKUP(F1238,'1to4-2.1-RR'!$A$12:$BG$111,34,0),"")</f>
        <v>23</v>
      </c>
      <c r="L1258" s="55">
        <f t="shared" si="44"/>
        <v>24</v>
      </c>
      <c r="M1258" s="56" t="str">
        <f>IF(F1238&gt;ENTRY!$D$24,"",IF(L1258=0,"Ab",IF(L1258&gt;80,"A",IF(L1258&gt;60,"B",IF(L1258&gt;44,"C",IF(L1258&gt;=33,"D",IF(L1258&lt;=32,"E","")))))))</f>
        <v>E</v>
      </c>
      <c r="N1258" s="56"/>
      <c r="O1258" s="29"/>
      <c r="P1258" s="19"/>
      <c r="Q1258" s="14"/>
      <c r="R1258" s="11"/>
    </row>
    <row r="1259" s="1" customFormat="1" ht="21.95" customHeight="1" spans="1:18">
      <c r="A1259" s="7"/>
      <c r="B1259" s="12"/>
      <c r="C1259" s="33"/>
      <c r="D1259" s="117" t="s">
        <v>548</v>
      </c>
      <c r="E1259" s="117"/>
      <c r="F1259" s="117"/>
      <c r="G1259" s="54">
        <f>IFERROR(VLOOKUP(F1238,'1to4-2.1-RR'!$A$12:$BG$111,37,0),"")</f>
        <v>0</v>
      </c>
      <c r="H1259" s="54">
        <f>IFERROR(VLOOKUP(F1238,'1to4-2.1-RR'!$A$12:$BG$111,38,0),"")</f>
        <v>0</v>
      </c>
      <c r="I1259" s="54">
        <f>IFERROR(VLOOKUP(F1238,'1to4-2.1-RR'!$A$12:$BG$111,39,0),"")</f>
        <v>0</v>
      </c>
      <c r="J1259" s="54">
        <f>IFERROR(VLOOKUP(F1238,'1to4-2.1-RR'!$A$12:$BG$111,40,0),"")</f>
        <v>0</v>
      </c>
      <c r="K1259" s="54">
        <f>IFERROR(VLOOKUP(F1238,'1to4-2.1-RR'!$A$12:$BG$111,41,0),"")</f>
        <v>21</v>
      </c>
      <c r="L1259" s="55">
        <f t="shared" si="44"/>
        <v>21</v>
      </c>
      <c r="M1259" s="56" t="str">
        <f>IF(F1238&gt;ENTRY!$D$24,"",IF(L1259=0,"Ab",IF(L1259&gt;80,"A",IF(L1259&gt;60,"B",IF(L1259&gt;44,"C",IF(L1259&gt;=33,"D",IF(L1259&lt;=32,"E","")))))))</f>
        <v>E</v>
      </c>
      <c r="N1259" s="56"/>
      <c r="O1259" s="29"/>
      <c r="P1259" s="19"/>
      <c r="Q1259" s="14"/>
      <c r="R1259" s="11"/>
    </row>
    <row r="1260" s="1" customFormat="1" ht="21.95" customHeight="1" spans="1:18">
      <c r="A1260" s="7"/>
      <c r="B1260" s="12"/>
      <c r="C1260" s="33"/>
      <c r="D1260" s="117" t="s">
        <v>549</v>
      </c>
      <c r="E1260" s="117"/>
      <c r="F1260" s="117"/>
      <c r="G1260" s="54">
        <f>IFERROR(VLOOKUP(F1238,'1to4-2.1-RR'!$A$12:$BG$111,44,0),"")</f>
        <v>2</v>
      </c>
      <c r="H1260" s="54">
        <f>IFERROR(VLOOKUP(F1238,'1to4-2.1-RR'!$A$12:$BG$111,45,0),"")</f>
        <v>0</v>
      </c>
      <c r="I1260" s="54">
        <f>IFERROR(VLOOKUP(F1238,'1to4-2.1-RR'!$A$12:$BG$111,46,0),"")</f>
        <v>0</v>
      </c>
      <c r="J1260" s="54">
        <f>IFERROR(VLOOKUP(F1238,'1to4-2.1-RR'!$A$12:$BG$111,47,0),"")</f>
        <v>0</v>
      </c>
      <c r="K1260" s="54">
        <f>IFERROR(VLOOKUP(F1238,'1to4-2.1-RR'!$A$12:$BG$111,48,0),"")</f>
        <v>27</v>
      </c>
      <c r="L1260" s="55">
        <f t="shared" si="44"/>
        <v>29</v>
      </c>
      <c r="M1260" s="56" t="str">
        <f>IF(F1238&gt;ENTRY!$D$24,"",IF(L1260=0,"Ab",IF(L1260&gt;80,"A",IF(L1260&gt;60,"B",IF(L1260&gt;44,"C",IF(L1260&gt;=33,"D",IF(L1260&lt;=32,"E","")))))))</f>
        <v>E</v>
      </c>
      <c r="N1260" s="56"/>
      <c r="O1260" s="29"/>
      <c r="P1260" s="19"/>
      <c r="Q1260" s="14"/>
      <c r="R1260" s="11"/>
    </row>
    <row r="1261" s="1" customFormat="1" ht="21.95" customHeight="1" spans="1:18">
      <c r="A1261" s="7"/>
      <c r="B1261" s="12"/>
      <c r="C1261" s="33"/>
      <c r="D1261" s="117" t="s">
        <v>720</v>
      </c>
      <c r="E1261" s="117"/>
      <c r="F1261" s="117"/>
      <c r="G1261" s="54"/>
      <c r="H1261" s="54"/>
      <c r="I1261" s="54"/>
      <c r="J1261" s="54"/>
      <c r="K1261" s="54"/>
      <c r="L1261" s="55">
        <f t="shared" si="44"/>
        <v>0</v>
      </c>
      <c r="M1261" s="56" t="str">
        <f>IF(F1238&gt;ENTRY!$D$24,"",IF(L1261=0,"",IF(L1261&gt;79,"A",IF(L1261&gt;59,"B",IF(L1261&gt;44,"C",IF(L1261&gt;=33,"D",IF(L1261&lt;=32,"E","")))))))</f>
        <v/>
      </c>
      <c r="N1261" s="56"/>
      <c r="O1261" s="29"/>
      <c r="P1261" s="19"/>
      <c r="Q1261" s="14"/>
      <c r="R1261" s="11"/>
    </row>
    <row r="1262" s="1" customFormat="1" ht="21.95" customHeight="1" spans="1:18">
      <c r="A1262" s="7"/>
      <c r="B1262" s="12"/>
      <c r="C1262" s="33"/>
      <c r="D1262" s="207" t="s">
        <v>382</v>
      </c>
      <c r="E1262" s="207"/>
      <c r="F1262" s="207"/>
      <c r="G1262" s="54">
        <f t="shared" ref="G1262:L1262" si="45">IFERROR(SUM(G1255:G1261),"")</f>
        <v>8</v>
      </c>
      <c r="H1262" s="54">
        <f t="shared" si="45"/>
        <v>0</v>
      </c>
      <c r="I1262" s="54">
        <f t="shared" si="45"/>
        <v>0</v>
      </c>
      <c r="J1262" s="54">
        <f t="shared" si="45"/>
        <v>0</v>
      </c>
      <c r="K1262" s="54">
        <f t="shared" si="45"/>
        <v>161</v>
      </c>
      <c r="L1262" s="55">
        <f t="shared" si="45"/>
        <v>169</v>
      </c>
      <c r="M1262" s="61" t="str">
        <f>IF(F1238&gt;ENTRY!$D$24,"",IF(N1263="Ab","Ab",IF(N1263&gt;79.5,"A",IF(N1263&gt;59.5,"B",IF(N1263&gt;44.5,"C",IF(N1263&gt;=33,"D",IF(N1263&lt;33,"E","")))))))</f>
        <v>E</v>
      </c>
      <c r="N1262" s="61"/>
      <c r="O1262" s="29"/>
      <c r="P1262" s="19"/>
      <c r="Q1262" s="14"/>
      <c r="R1262" s="11"/>
    </row>
    <row r="1263" s="1" customFormat="1" ht="21.95" customHeight="1" spans="1:18">
      <c r="A1263" s="7"/>
      <c r="B1263" s="12"/>
      <c r="C1263" s="33"/>
      <c r="D1263" s="63" t="s">
        <v>721</v>
      </c>
      <c r="E1263" s="63"/>
      <c r="F1263" s="63"/>
      <c r="G1263" s="63"/>
      <c r="H1263" s="63"/>
      <c r="I1263" s="63"/>
      <c r="J1263" s="63"/>
      <c r="K1263" s="63"/>
      <c r="L1263" s="63"/>
      <c r="M1263" s="209"/>
      <c r="N1263" s="64">
        <f>IF(L1262="Ab","Ab",L1262/6)</f>
        <v>28.1666666666667</v>
      </c>
      <c r="O1263" s="65"/>
      <c r="P1263" s="19"/>
      <c r="Q1263" s="14"/>
      <c r="R1263" s="11"/>
    </row>
    <row r="1264" s="1" customFormat="1" ht="21.95" customHeight="1" spans="1:18">
      <c r="A1264" s="7"/>
      <c r="B1264" s="12"/>
      <c r="C1264" s="33"/>
      <c r="D1264" s="29" t="s">
        <v>716</v>
      </c>
      <c r="E1264" s="18" t="str">
        <f>IFERROR(VLOOKUP(F1238,'1to4-2.1-RR'!$A$12:$BG$111,57,0),"")</f>
        <v>PROMOTED</v>
      </c>
      <c r="F1264" s="18"/>
      <c r="G1264" s="18"/>
      <c r="H1264" s="18"/>
      <c r="I1264" s="18"/>
      <c r="J1264" s="18"/>
      <c r="K1264" s="18"/>
      <c r="L1264" s="18"/>
      <c r="M1264" s="18"/>
      <c r="N1264" s="29"/>
      <c r="O1264" s="29"/>
      <c r="P1264" s="19"/>
      <c r="Q1264" s="14"/>
      <c r="R1264" s="11"/>
    </row>
    <row r="1265" s="1" customFormat="1" ht="9.95" customHeight="1" spans="1:19">
      <c r="A1265" s="7"/>
      <c r="B1265" s="12"/>
      <c r="C1265" s="39"/>
      <c r="D1265" s="40"/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  <c r="O1265" s="40"/>
      <c r="P1265" s="41"/>
      <c r="Q1265" s="14"/>
      <c r="R1265" s="11"/>
    </row>
    <row r="1266" s="1" customFormat="1" ht="9.95" customHeight="1" spans="1:19">
      <c r="A1266" s="7"/>
      <c r="B1266" s="12"/>
      <c r="C1266" s="30"/>
      <c r="D1266" s="31"/>
      <c r="E1266" s="31"/>
      <c r="F1266" s="29"/>
      <c r="G1266" s="31"/>
      <c r="H1266" s="31"/>
      <c r="I1266" s="31"/>
      <c r="J1266" s="31"/>
      <c r="K1266" s="31"/>
      <c r="L1266" s="31"/>
      <c r="M1266" s="31"/>
      <c r="N1266" s="31"/>
      <c r="O1266" s="31"/>
      <c r="P1266" s="32"/>
      <c r="Q1266" s="14"/>
      <c r="R1266" s="11"/>
    </row>
    <row r="1267" s="1" customFormat="1" ht="9.95" customHeight="1" spans="1:19">
      <c r="A1267" s="7"/>
      <c r="B1267" s="12"/>
      <c r="C1267" s="33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19"/>
      <c r="Q1267" s="14"/>
      <c r="R1267" s="11"/>
    </row>
    <row r="1268" s="1" customFormat="1" ht="9.95" customHeight="1" spans="1:19">
      <c r="A1268" s="7"/>
      <c r="B1268" s="12"/>
      <c r="C1268" s="33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19"/>
      <c r="Q1268" s="14"/>
      <c r="R1268" s="11"/>
    </row>
    <row r="1269" s="1" customFormat="1" ht="21.95" customHeight="1" spans="1:19">
      <c r="A1269" s="7"/>
      <c r="B1269" s="12"/>
      <c r="C1269" s="210"/>
      <c r="D1269" s="211"/>
      <c r="E1269" s="211"/>
      <c r="F1269" s="211"/>
      <c r="G1269" s="211"/>
      <c r="H1269" s="211"/>
      <c r="I1269" s="211"/>
      <c r="J1269" s="211"/>
      <c r="K1269" s="211"/>
      <c r="L1269" s="211"/>
      <c r="M1269" s="211"/>
      <c r="N1269" s="211"/>
      <c r="O1269" s="211"/>
      <c r="P1269" s="212"/>
      <c r="Q1269" s="14"/>
      <c r="R1269" s="11"/>
      <c r="S1269" s="2"/>
    </row>
    <row r="1270" s="1" customFormat="1" ht="21.95" customHeight="1" spans="1:19">
      <c r="A1270" s="7"/>
      <c r="B1270" s="12"/>
      <c r="C1270" s="33"/>
      <c r="D1270" s="207" t="s">
        <v>722</v>
      </c>
      <c r="E1270" s="207"/>
      <c r="F1270" s="207"/>
      <c r="G1270" s="207"/>
      <c r="H1270" s="54">
        <f>IFERROR(VLOOKUP(F1238,PASHEET!$A$4:$CJ$103,88,0),"")</f>
        <v>0</v>
      </c>
      <c r="I1270" s="54"/>
      <c r="J1270" s="29"/>
      <c r="K1270" s="29"/>
      <c r="L1270" s="29"/>
      <c r="M1270" s="29"/>
      <c r="N1270" s="29"/>
      <c r="O1270" s="29"/>
      <c r="P1270" s="19"/>
      <c r="Q1270" s="14"/>
      <c r="R1270" s="11"/>
    </row>
    <row r="1271" s="1" customFormat="1" ht="21.95" customHeight="1" spans="1:19">
      <c r="A1271" s="7"/>
      <c r="B1271" s="12"/>
      <c r="C1271" s="213"/>
      <c r="D1271" s="207" t="s">
        <v>723</v>
      </c>
      <c r="E1271" s="207"/>
      <c r="F1271" s="207"/>
      <c r="G1271" s="207"/>
      <c r="H1271" s="54">
        <f>IFERROR(VLOOKUP(F1238,PASHEET!$A$4:$CJ$103,87,0),"")</f>
        <v>0</v>
      </c>
      <c r="I1271" s="54"/>
      <c r="J1271" s="214"/>
      <c r="K1271" s="214"/>
      <c r="L1271" s="207" t="s">
        <v>724</v>
      </c>
      <c r="M1271" s="207"/>
      <c r="N1271" s="117" t="str">
        <f>IF(F1238&gt;ENTRY!$D$24,"",IF(F1238&gt;0,L1262&amp;" / "&amp;600,""))</f>
        <v>169 / 600</v>
      </c>
      <c r="O1271" s="117"/>
      <c r="P1271" s="215"/>
      <c r="Q1271" s="14"/>
      <c r="R1271" s="11"/>
    </row>
    <row r="1272" s="1" customFormat="1" ht="18" customHeight="1" spans="1:19">
      <c r="A1272" s="7"/>
      <c r="B1272" s="12"/>
      <c r="C1272" s="33"/>
      <c r="D1272" s="207" t="s">
        <v>725</v>
      </c>
      <c r="E1272" s="207"/>
      <c r="F1272" s="207"/>
      <c r="G1272" s="207"/>
      <c r="H1272" s="69" t="str">
        <f>IFERROR(IF(F1238&gt;0,H1271/H1270*100),"")</f>
        <v/>
      </c>
      <c r="I1272" s="69"/>
      <c r="J1272" s="29"/>
      <c r="K1272" s="29"/>
      <c r="L1272" s="207" t="s">
        <v>726</v>
      </c>
      <c r="M1272" s="207"/>
      <c r="N1272" s="216">
        <f>IF(F1238&gt;ENTRY!$D$24,"",IF(F1238&gt;0,L1262/600*100,""))</f>
        <v>28.1666666666667</v>
      </c>
      <c r="O1272" s="216"/>
      <c r="P1272" s="19"/>
      <c r="Q1272" s="14"/>
      <c r="R1272" s="11"/>
    </row>
    <row r="1273" s="1" customFormat="1" ht="21.95" customHeight="1" spans="1:19">
      <c r="A1273" s="7"/>
      <c r="B1273" s="12"/>
      <c r="C1273" s="33"/>
      <c r="D1273" s="80"/>
      <c r="E1273" s="80"/>
      <c r="F1273" s="217"/>
      <c r="G1273" s="217"/>
      <c r="H1273" s="217"/>
      <c r="I1273" s="217"/>
      <c r="J1273" s="217"/>
      <c r="K1273" s="217"/>
      <c r="L1273" s="217"/>
      <c r="M1273" s="217"/>
      <c r="N1273" s="80"/>
      <c r="O1273" s="80"/>
      <c r="P1273" s="19"/>
      <c r="Q1273" s="14"/>
      <c r="R1273" s="11"/>
    </row>
    <row r="1274" s="1" customFormat="1" ht="21.95" customHeight="1" spans="1:19">
      <c r="A1274" s="7"/>
      <c r="B1274" s="12"/>
      <c r="C1274" s="33"/>
      <c r="D1274" s="80"/>
      <c r="E1274" s="218"/>
      <c r="F1274" s="218"/>
      <c r="G1274" s="218"/>
      <c r="H1274" s="80"/>
      <c r="I1274" s="218"/>
      <c r="J1274" s="218"/>
      <c r="K1274" s="218"/>
      <c r="L1274" s="218"/>
      <c r="M1274" s="80"/>
      <c r="N1274" s="219"/>
      <c r="O1274" s="219"/>
      <c r="P1274" s="19"/>
      <c r="Q1274" s="14"/>
      <c r="R1274" s="11"/>
    </row>
    <row r="1275" s="1" customFormat="1" ht="21.95" customHeight="1" spans="1:19">
      <c r="A1275" s="7"/>
      <c r="B1275" s="12"/>
      <c r="C1275" s="33"/>
      <c r="D1275" s="80"/>
      <c r="E1275" s="80"/>
      <c r="F1275" s="80"/>
      <c r="G1275" s="80"/>
      <c r="H1275" s="80"/>
      <c r="I1275" s="80"/>
      <c r="J1275" s="80"/>
      <c r="K1275" s="80"/>
      <c r="L1275" s="80"/>
      <c r="M1275" s="80"/>
      <c r="N1275" s="80"/>
      <c r="O1275" s="80"/>
      <c r="P1275" s="19"/>
      <c r="Q1275" s="14"/>
      <c r="R1275" s="11"/>
    </row>
    <row r="1276" s="1" customFormat="1" ht="21.95" customHeight="1" spans="1:19">
      <c r="A1276" s="7"/>
      <c r="B1276" s="12"/>
      <c r="C1276" s="33"/>
      <c r="D1276" s="218"/>
      <c r="E1276" s="218"/>
      <c r="F1276" s="218"/>
      <c r="G1276" s="218"/>
      <c r="H1276" s="218"/>
      <c r="I1276" s="218"/>
      <c r="J1276" s="218"/>
      <c r="K1276" s="218"/>
      <c r="L1276" s="218"/>
      <c r="M1276" s="80"/>
      <c r="N1276" s="217"/>
      <c r="O1276" s="217"/>
      <c r="P1276" s="85" t="s">
        <v>727</v>
      </c>
      <c r="Q1276" s="14"/>
      <c r="R1276" s="11"/>
    </row>
    <row r="1277" s="1" customFormat="1" ht="21.95" customHeight="1" spans="1:19">
      <c r="A1277" s="7"/>
      <c r="B1277" s="12"/>
      <c r="C1277" s="33"/>
      <c r="D1277" s="29"/>
      <c r="E1277" s="29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19"/>
      <c r="Q1277" s="14"/>
      <c r="R1277" s="11"/>
    </row>
    <row r="1278" s="1" customFormat="1" ht="21.95" customHeight="1" spans="1:19">
      <c r="A1278" s="7"/>
      <c r="B1278" s="12"/>
      <c r="C1278" s="33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19"/>
      <c r="Q1278" s="14"/>
      <c r="R1278" s="11"/>
    </row>
    <row r="1279" s="1" customFormat="1" ht="21.95" customHeight="1" spans="1:19">
      <c r="A1279" s="7"/>
      <c r="B1279" s="12"/>
      <c r="C1279" s="33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19"/>
      <c r="Q1279" s="14"/>
      <c r="R1279" s="11"/>
    </row>
    <row r="1280" s="1" customFormat="1" ht="21.95" customHeight="1" spans="1:19">
      <c r="A1280" s="7"/>
      <c r="B1280" s="12"/>
      <c r="C1280" s="33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19"/>
      <c r="Q1280" s="14"/>
      <c r="R1280" s="11"/>
    </row>
    <row r="1281" s="1" customFormat="1" ht="21.95" customHeight="1" spans="1:18">
      <c r="A1281" s="7"/>
      <c r="B1281" s="12"/>
      <c r="C1281" s="33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  <c r="O1281" s="29"/>
      <c r="P1281" s="19"/>
      <c r="Q1281" s="14"/>
      <c r="R1281" s="11"/>
    </row>
    <row r="1282" s="1" customFormat="1" ht="21.95" customHeight="1" spans="1:18">
      <c r="A1282" s="7"/>
      <c r="B1282" s="12"/>
      <c r="C1282" s="33"/>
      <c r="D1282" s="80" t="s">
        <v>728</v>
      </c>
      <c r="E1282" s="220">
        <f>ENTRY!$D$27</f>
        <v>46102</v>
      </c>
      <c r="F1282" s="220"/>
      <c r="G1282" s="29"/>
      <c r="H1282" s="29"/>
      <c r="I1282" s="221" t="s">
        <v>729</v>
      </c>
      <c r="J1282" s="153"/>
      <c r="K1282" s="29"/>
      <c r="L1282" s="29"/>
      <c r="M1282" s="87" t="s">
        <v>730</v>
      </c>
      <c r="N1282" s="87"/>
      <c r="O1282" s="87"/>
      <c r="P1282" s="19"/>
      <c r="Q1282" s="14"/>
      <c r="R1282" s="11"/>
    </row>
    <row r="1283" s="1" customFormat="1" ht="21.95" customHeight="1" spans="1:18">
      <c r="A1283" s="7"/>
      <c r="B1283" s="12"/>
      <c r="C1283" s="33"/>
      <c r="D1283" s="80" t="s">
        <v>731</v>
      </c>
      <c r="E1283" s="88" t="str">
        <f>PROPER(ENTRY!$D$28)</f>
        <v>New Delhi</v>
      </c>
      <c r="F1283" s="88"/>
      <c r="G1283" s="29"/>
      <c r="H1283" s="29"/>
      <c r="I1283" s="153"/>
      <c r="J1283" s="153"/>
      <c r="K1283" s="29"/>
      <c r="L1283" s="29"/>
      <c r="M1283" s="79" t="s">
        <v>732</v>
      </c>
      <c r="N1283" s="79"/>
      <c r="O1283" s="79"/>
      <c r="P1283" s="19"/>
      <c r="Q1283" s="14"/>
      <c r="R1283" s="11"/>
    </row>
    <row r="1284" s="1" customFormat="1" ht="21.95" customHeight="1" spans="1:18">
      <c r="A1284" s="7"/>
      <c r="B1284" s="12"/>
      <c r="C1284" s="90"/>
      <c r="D1284" s="91"/>
      <c r="E1284" s="91"/>
      <c r="F1284" s="91"/>
      <c r="G1284" s="91"/>
      <c r="H1284" s="91"/>
      <c r="I1284" s="91"/>
      <c r="J1284" s="91"/>
      <c r="K1284" s="91"/>
      <c r="L1284" s="91"/>
      <c r="M1284" s="91"/>
      <c r="N1284" s="91"/>
      <c r="O1284" s="91"/>
      <c r="P1284" s="92"/>
      <c r="Q1284" s="14"/>
      <c r="R1284" s="11"/>
    </row>
    <row r="1285" s="1" customFormat="1" ht="5.1" customHeight="1" spans="1:18">
      <c r="A1285" s="7"/>
      <c r="B1285" s="90"/>
      <c r="C1285" s="91"/>
      <c r="D1285" s="91"/>
      <c r="E1285" s="91"/>
      <c r="F1285" s="91"/>
      <c r="G1285" s="91"/>
      <c r="H1285" s="91"/>
      <c r="I1285" s="91"/>
      <c r="J1285" s="91"/>
      <c r="K1285" s="91"/>
      <c r="L1285" s="91"/>
      <c r="M1285" s="91"/>
      <c r="N1285" s="91"/>
      <c r="O1285" s="91"/>
      <c r="P1285" s="91"/>
      <c r="Q1285" s="92"/>
      <c r="R1285" s="11"/>
    </row>
    <row r="1286" s="1" customFormat="1" ht="5.1" customHeight="1" spans="1:18">
      <c r="A1286" s="93"/>
      <c r="B1286" s="94"/>
      <c r="C1286" s="94"/>
      <c r="D1286" s="94"/>
      <c r="E1286" s="94"/>
      <c r="F1286" s="94"/>
      <c r="G1286" s="94"/>
      <c r="H1286" s="94"/>
      <c r="I1286" s="94"/>
      <c r="J1286" s="94"/>
      <c r="K1286" s="94"/>
      <c r="L1286" s="94"/>
      <c r="M1286" s="94"/>
      <c r="N1286" s="94"/>
      <c r="O1286" s="94"/>
      <c r="P1286" s="94"/>
      <c r="Q1286" s="94"/>
      <c r="R1286" s="95"/>
    </row>
    <row r="1287" s="1" customFormat="1" ht="21.95" customHeight="1"/>
    <row r="1288" ht="15.15"/>
    <row r="1289" s="1" customFormat="1" ht="5.1" customHeight="1" spans="1:18">
      <c r="A1289" s="4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6"/>
    </row>
    <row r="1290" s="1" customFormat="1" ht="15" customHeight="1" spans="1:18">
      <c r="A1290" s="7"/>
      <c r="B1290" s="8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9"/>
      <c r="O1290" s="9"/>
      <c r="P1290" s="9"/>
      <c r="Q1290" s="10"/>
      <c r="R1290" s="11"/>
    </row>
    <row r="1291" s="1" customFormat="1" ht="21.95" customHeight="1" spans="1:18">
      <c r="A1291" s="7"/>
      <c r="B1291" s="12"/>
      <c r="C1291" s="13" t="s">
        <v>7</v>
      </c>
      <c r="D1291" s="13"/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/>
      <c r="Q1291" s="14"/>
      <c r="R1291" s="11"/>
    </row>
    <row r="1292" s="1" customFormat="1" ht="21.95" customHeight="1" spans="1:18">
      <c r="A1292" s="7"/>
      <c r="B1292" s="1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14"/>
      <c r="R1292" s="11"/>
    </row>
    <row r="1293" s="1" customFormat="1" ht="21.95" customHeight="1" spans="1:18">
      <c r="A1293" s="7"/>
      <c r="B1293" s="12"/>
      <c r="C1293" s="15" t="str">
        <f>"SESSION-"&amp;ENTRY!$D$11</f>
        <v>SESSION-2026-27</v>
      </c>
      <c r="D1293" s="15"/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4"/>
      <c r="R1293" s="11"/>
    </row>
    <row r="1294" s="1" customFormat="1" ht="21.95" customHeight="1" spans="1:18">
      <c r="A1294" s="7"/>
      <c r="B1294" s="12"/>
      <c r="C1294" s="2"/>
      <c r="D1294" s="2"/>
      <c r="E1294" s="2"/>
      <c r="F1294" s="16">
        <f>F1238+1</f>
        <v>24</v>
      </c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14"/>
      <c r="R1294" s="11"/>
    </row>
    <row r="1295" s="1" customFormat="1" ht="21.95" customHeight="1" spans="1:18">
      <c r="A1295" s="7"/>
      <c r="B1295" s="12"/>
      <c r="C1295" s="17" t="s">
        <v>392</v>
      </c>
      <c r="D1295" s="17"/>
      <c r="E1295" s="17"/>
      <c r="F1295" s="18" t="str">
        <f>IF(F1294&gt;0,ENTRY!$D$6,"")</f>
        <v>MCP NITHARI NO 1 BOYS</v>
      </c>
      <c r="G1295" s="18"/>
      <c r="H1295" s="18"/>
      <c r="I1295" s="18"/>
      <c r="J1295" s="18"/>
      <c r="K1295" s="18"/>
      <c r="L1295" s="18"/>
      <c r="M1295" s="18"/>
      <c r="N1295" s="18"/>
      <c r="O1295" s="18"/>
      <c r="P1295" s="18"/>
      <c r="Q1295" s="14"/>
      <c r="R1295" s="11"/>
    </row>
    <row r="1296" s="1" customFormat="1" ht="21.95" customHeight="1" spans="1:18">
      <c r="A1296" s="7"/>
      <c r="B1296" s="12"/>
      <c r="C1296" s="17" t="s">
        <v>393</v>
      </c>
      <c r="D1296" s="17"/>
      <c r="E1296" s="17"/>
      <c r="F1296" s="18">
        <f>IF(F1294&gt;0,ENTRY!$D$7,"")</f>
        <v>0</v>
      </c>
      <c r="G1296" s="18"/>
      <c r="H1296" s="20" t="s">
        <v>702</v>
      </c>
      <c r="I1296" s="20"/>
      <c r="J1296" s="21">
        <f>IF(F1294&gt;0,ENTRY!$D$10,"")</f>
        <v>40</v>
      </c>
      <c r="K1296" s="20" t="s">
        <v>703</v>
      </c>
      <c r="L1296" s="22" t="str">
        <f>IF(F1294&gt;0,ENTRY!$D$5,"")</f>
        <v>ROHINI ZONE</v>
      </c>
      <c r="M1296" s="22"/>
      <c r="N1296" s="22"/>
      <c r="O1296" s="22"/>
      <c r="P1296" s="22"/>
      <c r="Q1296" s="14"/>
      <c r="R1296" s="11"/>
    </row>
    <row r="1297" s="1" customFormat="1" ht="21.95" customHeight="1" spans="1:18">
      <c r="A1297" s="7"/>
      <c r="B1297" s="12"/>
      <c r="C1297" s="17" t="s">
        <v>706</v>
      </c>
      <c r="D1297" s="17"/>
      <c r="E1297" s="17"/>
      <c r="F1297" s="23" t="str">
        <f>IFERROR(VLOOKUP(F1294,STUDENT!$A$2:$BP$101,5,0),"")</f>
        <v>SOORYA VANSHAL</v>
      </c>
      <c r="G1297" s="23"/>
      <c r="H1297" s="23"/>
      <c r="I1297" s="23"/>
      <c r="J1297" s="23"/>
      <c r="K1297" s="23"/>
      <c r="L1297" s="20" t="s">
        <v>707</v>
      </c>
      <c r="M1297" s="20"/>
      <c r="N1297" s="24" t="str">
        <f>IF(F1294&gt;0,ENTRY!$D$20&amp;"-"&amp;ENTRY!$D$21,"")</f>
        <v>III-A</v>
      </c>
      <c r="O1297" s="24"/>
      <c r="P1297" s="24"/>
      <c r="Q1297" s="14"/>
      <c r="R1297" s="11"/>
    </row>
    <row r="1298" s="1" customFormat="1" ht="21.95" customHeight="1" spans="1:18">
      <c r="A1298" s="7"/>
      <c r="B1298" s="12"/>
      <c r="C1298" s="17" t="s">
        <v>708</v>
      </c>
      <c r="D1298" s="17"/>
      <c r="E1298" s="17"/>
      <c r="F1298" s="25">
        <f>IFERROR(VLOOKUP(F1294,STUDENT!$A$2:$BP$101,6,0),"")</f>
        <v>14806</v>
      </c>
      <c r="G1298" s="25"/>
      <c r="H1298" s="26" t="s">
        <v>709</v>
      </c>
      <c r="I1298" s="27" t="str">
        <f>IFERROR(VLOOKUP(F1294,STUDENT!$A$2:$BP$101,59,0),"")</f>
        <v/>
      </c>
      <c r="J1298" s="27"/>
      <c r="K1298" s="20" t="s">
        <v>710</v>
      </c>
      <c r="L1298" s="20"/>
      <c r="M1298" s="28">
        <f>IFERROR(VLOOKUP(F1294,STUDENT!$A$2:$BP$101,20,0),"")</f>
        <v>9654517254</v>
      </c>
      <c r="N1298" s="28"/>
      <c r="O1298" s="28"/>
      <c r="P1298" s="28"/>
      <c r="Q1298" s="14"/>
      <c r="R1298" s="11"/>
    </row>
    <row r="1299" s="1" customFormat="1" ht="21.95" customHeight="1" spans="1:18">
      <c r="A1299" s="7"/>
      <c r="B1299" s="12"/>
      <c r="C1299" s="17" t="s">
        <v>711</v>
      </c>
      <c r="D1299" s="17"/>
      <c r="E1299" s="17"/>
      <c r="F1299" s="23" t="str">
        <f>IFERROR(VLOOKUP(F1294,STUDENT!$A$2:$BP$101,9,0),"")</f>
        <v>SARITA</v>
      </c>
      <c r="G1299" s="23"/>
      <c r="H1299" s="23"/>
      <c r="I1299" s="23"/>
      <c r="J1299" s="17" t="s">
        <v>620</v>
      </c>
      <c r="K1299" s="17"/>
      <c r="L1299" s="23" t="str">
        <f>IFERROR(VLOOKUP(F1294,STUDENT!$A$2:$BP$101,8,0),"")</f>
        <v>KAMLESH KUMAR</v>
      </c>
      <c r="M1299" s="23"/>
      <c r="N1299" s="23"/>
      <c r="O1299" s="23"/>
      <c r="P1299" s="23"/>
      <c r="Q1299" s="14"/>
      <c r="R1299" s="11"/>
    </row>
    <row r="1300" s="1" customFormat="1" ht="21.95" customHeight="1" spans="1:18">
      <c r="A1300" s="7"/>
      <c r="B1300" s="12"/>
      <c r="C1300" s="17" t="s">
        <v>712</v>
      </c>
      <c r="D1300" s="17"/>
      <c r="E1300" s="17"/>
      <c r="F1300" s="23" t="str">
        <f>IFERROR(VLOOKUP(F1294,STUDENT!$A$2:$BP$101,22,0),"")</f>
        <v>PLOT -546 KH NO .-33/13/1 BLOCK -E AGAR NAGAR PREM NAGAR -3 KIRARI SULEMAN NAGAR</v>
      </c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14"/>
      <c r="R1300" s="11"/>
    </row>
    <row r="1301" s="1" customFormat="1" ht="9.95" customHeight="1" spans="1:18">
      <c r="A1301" s="7"/>
      <c r="B1301" s="12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14"/>
      <c r="R1301" s="11"/>
    </row>
    <row r="1302" s="1" customFormat="1" ht="9.95" customHeight="1" spans="1:18">
      <c r="A1302" s="7"/>
      <c r="B1302" s="12"/>
      <c r="C1302" s="30"/>
      <c r="D1302" s="31"/>
      <c r="E1302" s="31"/>
      <c r="F1302" s="31"/>
      <c r="G1302" s="31"/>
      <c r="H1302" s="31"/>
      <c r="I1302" s="31"/>
      <c r="J1302" s="31"/>
      <c r="K1302" s="31"/>
      <c r="L1302" s="31"/>
      <c r="M1302" s="31"/>
      <c r="N1302" s="31"/>
      <c r="O1302" s="31"/>
      <c r="P1302" s="32"/>
      <c r="Q1302" s="14"/>
      <c r="R1302" s="11"/>
    </row>
    <row r="1303" s="1" customFormat="1" ht="21.95" customHeight="1" spans="1:18">
      <c r="A1303" s="7"/>
      <c r="B1303" s="12"/>
      <c r="C1303" s="33"/>
      <c r="D1303" s="34" t="s">
        <v>713</v>
      </c>
      <c r="E1303" s="20" t="s">
        <v>714</v>
      </c>
      <c r="F1303" s="35" t="str">
        <f>"Level - "&amp;IFERROR(VLOOKUP(F1294,FLN!$A$4:$K$103,9,0),"")</f>
        <v>Level - 2</v>
      </c>
      <c r="G1303" s="36"/>
      <c r="H1303" s="37" t="s">
        <v>715</v>
      </c>
      <c r="I1303" s="20"/>
      <c r="J1303" s="35" t="str">
        <f>"Level - "&amp;IFERROR(VLOOKUP(F1294,FLN!$A$4:$K$103,11,0),"")</f>
        <v>Level - 3</v>
      </c>
      <c r="K1303" s="36"/>
      <c r="L1303" s="37" t="s">
        <v>408</v>
      </c>
      <c r="M1303" s="20"/>
      <c r="N1303" s="35" t="str">
        <f>"Level - "&amp;IFERROR(VLOOKUP(F1294,FLN!$A$4:$K$103,10,0),"")</f>
        <v>Level - 2</v>
      </c>
      <c r="O1303" s="36"/>
      <c r="P1303" s="19"/>
      <c r="Q1303" s="14"/>
      <c r="R1303" s="11"/>
    </row>
    <row r="1304" s="1" customFormat="1" ht="21.95" customHeight="1" spans="1:18">
      <c r="A1304" s="7"/>
      <c r="B1304" s="12"/>
      <c r="C1304" s="33"/>
      <c r="D1304" s="38"/>
      <c r="E1304" s="20" t="s">
        <v>716</v>
      </c>
      <c r="F1304" s="18" t="str">
        <f>IF(L1318&gt;197,"PERFORMED WELL","")</f>
        <v/>
      </c>
      <c r="G1304" s="18"/>
      <c r="H1304" s="18"/>
      <c r="I1304" s="18"/>
      <c r="J1304" s="18"/>
      <c r="K1304" s="18"/>
      <c r="L1304" s="18"/>
      <c r="M1304" s="18"/>
      <c r="N1304" s="18"/>
      <c r="O1304" s="18"/>
      <c r="P1304" s="19"/>
      <c r="Q1304" s="14"/>
      <c r="R1304" s="11"/>
    </row>
    <row r="1305" s="1" customFormat="1" ht="9.95" customHeight="1" spans="1:18">
      <c r="A1305" s="7"/>
      <c r="B1305" s="12"/>
      <c r="C1305" s="39"/>
      <c r="D1305" s="40"/>
      <c r="E1305" s="40"/>
      <c r="F1305" s="40"/>
      <c r="G1305" s="40"/>
      <c r="H1305" s="40"/>
      <c r="I1305" s="40"/>
      <c r="J1305" s="40"/>
      <c r="K1305" s="40"/>
      <c r="L1305" s="40"/>
      <c r="M1305" s="40"/>
      <c r="N1305" s="40"/>
      <c r="O1305" s="40"/>
      <c r="P1305" s="41"/>
      <c r="Q1305" s="14"/>
      <c r="R1305" s="11"/>
    </row>
    <row r="1306" s="1" customFormat="1" ht="9.95" customHeight="1" spans="1:18">
      <c r="A1306" s="7"/>
      <c r="B1306" s="12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14"/>
      <c r="R1306" s="11"/>
    </row>
    <row r="1307" s="1" customFormat="1" ht="9.95" customHeight="1" spans="1:18">
      <c r="A1307" s="7"/>
      <c r="B1307" s="12"/>
      <c r="C1307" s="30"/>
      <c r="D1307" s="31"/>
      <c r="E1307" s="31"/>
      <c r="F1307" s="31"/>
      <c r="G1307" s="31"/>
      <c r="H1307" s="31"/>
      <c r="I1307" s="31"/>
      <c r="J1307" s="31"/>
      <c r="K1307" s="31"/>
      <c r="L1307" s="31"/>
      <c r="M1307" s="31"/>
      <c r="N1307" s="31"/>
      <c r="O1307" s="31"/>
      <c r="P1307" s="32"/>
      <c r="Q1307" s="14"/>
      <c r="R1307" s="11"/>
    </row>
    <row r="1308" s="1" customFormat="1" ht="21.95" customHeight="1" spans="1:18">
      <c r="A1308" s="7"/>
      <c r="B1308" s="12"/>
      <c r="C1308" s="33"/>
      <c r="D1308" s="35"/>
      <c r="E1308" s="24"/>
      <c r="F1308" s="24"/>
      <c r="G1308" s="47" t="s">
        <v>717</v>
      </c>
      <c r="H1308" s="47"/>
      <c r="I1308" s="47"/>
      <c r="J1308" s="47"/>
      <c r="K1308" s="47"/>
      <c r="L1308" s="47"/>
      <c r="M1308" s="47"/>
      <c r="N1308" s="47"/>
      <c r="O1308" s="29"/>
      <c r="P1308" s="19"/>
      <c r="Q1308" s="14"/>
      <c r="R1308" s="11"/>
    </row>
    <row r="1309" s="1" customFormat="1" ht="21.95" customHeight="1" spans="1:18">
      <c r="A1309" s="7"/>
      <c r="B1309" s="12"/>
      <c r="C1309" s="33"/>
      <c r="D1309" s="47"/>
      <c r="E1309" s="47"/>
      <c r="F1309" s="47"/>
      <c r="G1309" s="47" t="s">
        <v>541</v>
      </c>
      <c r="H1309" s="47" t="s">
        <v>542</v>
      </c>
      <c r="I1309" s="47" t="s">
        <v>543</v>
      </c>
      <c r="J1309" s="47" t="s">
        <v>544</v>
      </c>
      <c r="K1309" s="47" t="s">
        <v>561</v>
      </c>
      <c r="L1309" s="47" t="s">
        <v>382</v>
      </c>
      <c r="M1309" s="49" t="s">
        <v>546</v>
      </c>
      <c r="N1309" s="49"/>
      <c r="O1309" s="29"/>
      <c r="P1309" s="19"/>
      <c r="Q1309" s="14"/>
      <c r="R1309" s="11"/>
    </row>
    <row r="1310" s="1" customFormat="1" ht="21.95" customHeight="1" spans="1:18">
      <c r="A1310" s="7"/>
      <c r="B1310" s="12"/>
      <c r="C1310" s="33"/>
      <c r="D1310" s="207" t="s">
        <v>652</v>
      </c>
      <c r="E1310" s="207"/>
      <c r="F1310" s="207"/>
      <c r="G1310" s="50">
        <v>10</v>
      </c>
      <c r="H1310" s="50">
        <v>10</v>
      </c>
      <c r="I1310" s="50">
        <v>10</v>
      </c>
      <c r="J1310" s="50">
        <v>10</v>
      </c>
      <c r="K1310" s="50">
        <v>60</v>
      </c>
      <c r="L1310" s="50">
        <v>100</v>
      </c>
      <c r="M1310" s="49"/>
      <c r="N1310" s="49"/>
      <c r="O1310" s="29"/>
      <c r="P1310" s="19"/>
      <c r="Q1310" s="14"/>
      <c r="R1310" s="11"/>
    </row>
    <row r="1311" s="1" customFormat="1" ht="21.95" customHeight="1" spans="1:18">
      <c r="A1311" s="7"/>
      <c r="B1311" s="12"/>
      <c r="C1311" s="33"/>
      <c r="D1311" s="117" t="s">
        <v>668</v>
      </c>
      <c r="E1311" s="117"/>
      <c r="F1311" s="117"/>
      <c r="G1311" s="54">
        <f>IFERROR(VLOOKUP(F1294,'1to4-2.1-RR'!$A$12:$BG$111,9,0),"")</f>
        <v>1</v>
      </c>
      <c r="H1311" s="54">
        <f>IFERROR(VLOOKUP(F1294,'1to4-2.1-RR'!$A$12:$BG$111,10,0),"")</f>
        <v>0</v>
      </c>
      <c r="I1311" s="54">
        <f>IFERROR(VLOOKUP(F1294,'1to4-2.1-RR'!$A$12:$BG$111,11,0),"")</f>
        <v>0</v>
      </c>
      <c r="J1311" s="54">
        <f>IFERROR(VLOOKUP(F1294,'1to4-2.1-RR'!$A$12:$BG$111,12,0),"")</f>
        <v>0</v>
      </c>
      <c r="K1311" s="54">
        <f>IFERROR(VLOOKUP(F1294,'1to4-2.1-RR'!$A$12:$BG$111,13,0),"")</f>
        <v>47</v>
      </c>
      <c r="L1311" s="55">
        <f>SUM(G1311:K1311)</f>
        <v>48</v>
      </c>
      <c r="M1311" s="56" t="str">
        <f>IF(F1294&gt;ENTRY!$D$24,"",IF(L1311=0,"Ab",IF(L1311&gt;80,"A",IF(L1311&gt;60,"B",IF(L1311&gt;44,"C",IF(L1311&gt;=33,"D",IF(L1311&lt;=32,"E","")))))))</f>
        <v>C</v>
      </c>
      <c r="N1311" s="56"/>
      <c r="O1311" s="29"/>
      <c r="P1311" s="19"/>
      <c r="Q1311" s="14"/>
      <c r="R1311" s="11"/>
    </row>
    <row r="1312" s="1" customFormat="1" ht="21.95" customHeight="1" spans="1:18">
      <c r="A1312" s="7"/>
      <c r="B1312" s="12"/>
      <c r="C1312" s="33"/>
      <c r="D1312" s="117" t="s">
        <v>513</v>
      </c>
      <c r="E1312" s="117"/>
      <c r="F1312" s="117"/>
      <c r="G1312" s="54">
        <f>IFERROR(VLOOKUP(F1294,'1to4-2.1-RR'!$A$12:$BG$111,16,0),"")</f>
        <v>1</v>
      </c>
      <c r="H1312" s="54">
        <f>IFERROR(VLOOKUP(F1294,'1to4-2.1-RR'!$A$12:$BG$111,17,0),"")</f>
        <v>0</v>
      </c>
      <c r="I1312" s="54">
        <f>IFERROR(VLOOKUP(F1294,'1to4-2.1-RR'!$A$12:$BG$111,18,0),"")</f>
        <v>0</v>
      </c>
      <c r="J1312" s="54">
        <f>IFERROR(VLOOKUP(F1294,'1to4-2.1-RR'!$A$12:$BG$111,19,0),"")</f>
        <v>0</v>
      </c>
      <c r="K1312" s="54">
        <f>IFERROR(VLOOKUP(F1294,'1to4-2.1-RR'!$A$12:$BG$111,20,0),"")</f>
        <v>22</v>
      </c>
      <c r="L1312" s="55">
        <f t="shared" ref="L1312:L1317" si="46">SUM(G1312:K1312)</f>
        <v>23</v>
      </c>
      <c r="M1312" s="56" t="str">
        <f>IF(F1294&gt;ENTRY!$D$24,"",IF(L1312=0,"Ab",IF(L1312&gt;80,"A",IF(L1312&gt;60,"B",IF(L1312&gt;44,"C",IF(L1312&gt;=33,"D",IF(L1312&lt;=32,"E","")))))))</f>
        <v>E</v>
      </c>
      <c r="N1312" s="56"/>
      <c r="O1312" s="29"/>
      <c r="P1312" s="19"/>
      <c r="Q1312" s="14"/>
      <c r="R1312" s="11"/>
    </row>
    <row r="1313" s="1" customFormat="1" ht="21.95" customHeight="1" spans="1:19">
      <c r="A1313" s="7"/>
      <c r="B1313" s="12"/>
      <c r="C1313" s="33"/>
      <c r="D1313" s="117" t="s">
        <v>718</v>
      </c>
      <c r="E1313" s="117"/>
      <c r="F1313" s="117"/>
      <c r="G1313" s="54">
        <f>IFERROR(VLOOKUP(F1294,'1to4-2.1-RR'!$A$12:$BG$111,23,0),"")</f>
        <v>1</v>
      </c>
      <c r="H1313" s="54">
        <f>IFERROR(VLOOKUP(F1294,'1to4-2.1-RR'!$A$12:$BG$111,24,0),"")</f>
        <v>0</v>
      </c>
      <c r="I1313" s="54">
        <f>IFERROR(VLOOKUP(F1294,'1to4-2.1-RR'!$A$12:$BG$111,25,0),"")</f>
        <v>0</v>
      </c>
      <c r="J1313" s="54">
        <f>IFERROR(VLOOKUP(F1294,'1to4-2.1-RR'!$A$12:$BG$111,26,0),"")</f>
        <v>0</v>
      </c>
      <c r="K1313" s="54">
        <f>IFERROR(VLOOKUP(F1294,'1to4-2.1-RR'!$A$12:$BG$111,27,0),"")</f>
        <v>20</v>
      </c>
      <c r="L1313" s="55">
        <f t="shared" si="46"/>
        <v>21</v>
      </c>
      <c r="M1313" s="56" t="str">
        <f>IF(F1294&gt;ENTRY!$D$24,"",IF(L1313=0,"Ab",IF(L1313&gt;80,"A",IF(L1313&gt;60,"B",IF(L1313&gt;44,"C",IF(L1313&gt;=33,"D",IF(L1313&lt;=32,"E","")))))))</f>
        <v>E</v>
      </c>
      <c r="N1313" s="56"/>
      <c r="O1313" s="29"/>
      <c r="P1313" s="19"/>
      <c r="Q1313" s="14"/>
      <c r="R1313" s="11"/>
    </row>
    <row r="1314" s="1" customFormat="1" ht="21.95" customHeight="1" spans="1:19">
      <c r="A1314" s="7"/>
      <c r="B1314" s="12"/>
      <c r="C1314" s="33"/>
      <c r="D1314" s="117" t="s">
        <v>719</v>
      </c>
      <c r="E1314" s="117"/>
      <c r="F1314" s="117"/>
      <c r="G1314" s="54">
        <f>IFERROR(VLOOKUP(F1294,'1to4-2.1-RR'!$A$12:$BG$111,30,0),"")</f>
        <v>1</v>
      </c>
      <c r="H1314" s="54">
        <f>IFERROR(VLOOKUP(F1294,'1to4-2.1-RR'!$A$12:$BG$111,31,0),"")</f>
        <v>0</v>
      </c>
      <c r="I1314" s="54">
        <f>IFERROR(VLOOKUP(F1294,'1to4-2.1-RR'!$A$12:$BG$111,32,0),"")</f>
        <v>0</v>
      </c>
      <c r="J1314" s="54">
        <f>IFERROR(VLOOKUP(F1294,'1to4-2.1-RR'!$A$12:$BG$111,33,0),"")</f>
        <v>0</v>
      </c>
      <c r="K1314" s="54">
        <f>IFERROR(VLOOKUP(F1294,'1to4-2.1-RR'!$A$12:$BG$111,34,0),"")</f>
        <v>21</v>
      </c>
      <c r="L1314" s="55">
        <f t="shared" si="46"/>
        <v>22</v>
      </c>
      <c r="M1314" s="56" t="str">
        <f>IF(F1294&gt;ENTRY!$D$24,"",IF(L1314=0,"Ab",IF(L1314&gt;80,"A",IF(L1314&gt;60,"B",IF(L1314&gt;44,"C",IF(L1314&gt;=33,"D",IF(L1314&lt;=32,"E","")))))))</f>
        <v>E</v>
      </c>
      <c r="N1314" s="56"/>
      <c r="O1314" s="29"/>
      <c r="P1314" s="19"/>
      <c r="Q1314" s="14"/>
      <c r="R1314" s="11"/>
    </row>
    <row r="1315" s="1" customFormat="1" ht="21.95" customHeight="1" spans="1:19">
      <c r="A1315" s="7"/>
      <c r="B1315" s="12"/>
      <c r="C1315" s="33"/>
      <c r="D1315" s="117" t="s">
        <v>548</v>
      </c>
      <c r="E1315" s="117"/>
      <c r="F1315" s="117"/>
      <c r="G1315" s="54">
        <f>IFERROR(VLOOKUP(F1294,'1to4-2.1-RR'!$A$12:$BG$111,37,0),"")</f>
        <v>0</v>
      </c>
      <c r="H1315" s="54">
        <f>IFERROR(VLOOKUP(F1294,'1to4-2.1-RR'!$A$12:$BG$111,38,0),"")</f>
        <v>0</v>
      </c>
      <c r="I1315" s="54">
        <f>IFERROR(VLOOKUP(F1294,'1to4-2.1-RR'!$A$12:$BG$111,39,0),"")</f>
        <v>0</v>
      </c>
      <c r="J1315" s="54">
        <f>IFERROR(VLOOKUP(F1294,'1to4-2.1-RR'!$A$12:$BG$111,40,0),"")</f>
        <v>0</v>
      </c>
      <c r="K1315" s="54">
        <f>IFERROR(VLOOKUP(F1294,'1to4-2.1-RR'!$A$12:$BG$111,41,0),"")</f>
        <v>21</v>
      </c>
      <c r="L1315" s="55">
        <f t="shared" si="46"/>
        <v>21</v>
      </c>
      <c r="M1315" s="56" t="str">
        <f>IF(F1294&gt;ENTRY!$D$24,"",IF(L1315=0,"Ab",IF(L1315&gt;80,"A",IF(L1315&gt;60,"B",IF(L1315&gt;44,"C",IF(L1315&gt;=33,"D",IF(L1315&lt;=32,"E","")))))))</f>
        <v>E</v>
      </c>
      <c r="N1315" s="56"/>
      <c r="O1315" s="29"/>
      <c r="P1315" s="19"/>
      <c r="Q1315" s="14"/>
      <c r="R1315" s="11"/>
    </row>
    <row r="1316" s="1" customFormat="1" ht="21.95" customHeight="1" spans="1:19">
      <c r="A1316" s="7"/>
      <c r="B1316" s="12"/>
      <c r="C1316" s="33"/>
      <c r="D1316" s="117" t="s">
        <v>549</v>
      </c>
      <c r="E1316" s="117"/>
      <c r="F1316" s="117"/>
      <c r="G1316" s="54">
        <f>IFERROR(VLOOKUP(F1294,'1to4-2.1-RR'!$A$12:$BG$111,44,0),"")</f>
        <v>2</v>
      </c>
      <c r="H1316" s="54">
        <f>IFERROR(VLOOKUP(F1294,'1to4-2.1-RR'!$A$12:$BG$111,45,0),"")</f>
        <v>0</v>
      </c>
      <c r="I1316" s="54">
        <f>IFERROR(VLOOKUP(F1294,'1to4-2.1-RR'!$A$12:$BG$111,46,0),"")</f>
        <v>0</v>
      </c>
      <c r="J1316" s="54">
        <f>IFERROR(VLOOKUP(F1294,'1to4-2.1-RR'!$A$12:$BG$111,47,0),"")</f>
        <v>0</v>
      </c>
      <c r="K1316" s="54">
        <f>IFERROR(VLOOKUP(F1294,'1to4-2.1-RR'!$A$12:$BG$111,48,0),"")</f>
        <v>26</v>
      </c>
      <c r="L1316" s="55">
        <f t="shared" si="46"/>
        <v>28</v>
      </c>
      <c r="M1316" s="56" t="str">
        <f>IF(F1294&gt;ENTRY!$D$24,"",IF(L1316=0,"Ab",IF(L1316&gt;80,"A",IF(L1316&gt;60,"B",IF(L1316&gt;44,"C",IF(L1316&gt;=33,"D",IF(L1316&lt;=32,"E","")))))))</f>
        <v>E</v>
      </c>
      <c r="N1316" s="56"/>
      <c r="O1316" s="29"/>
      <c r="P1316" s="19"/>
      <c r="Q1316" s="14"/>
      <c r="R1316" s="11"/>
    </row>
    <row r="1317" s="1" customFormat="1" ht="21.95" customHeight="1" spans="1:19">
      <c r="A1317" s="7"/>
      <c r="B1317" s="12"/>
      <c r="C1317" s="33"/>
      <c r="D1317" s="117" t="s">
        <v>720</v>
      </c>
      <c r="E1317" s="117"/>
      <c r="F1317" s="117"/>
      <c r="G1317" s="54"/>
      <c r="H1317" s="54"/>
      <c r="I1317" s="54"/>
      <c r="J1317" s="54"/>
      <c r="K1317" s="54"/>
      <c r="L1317" s="55">
        <f t="shared" si="46"/>
        <v>0</v>
      </c>
      <c r="M1317" s="56" t="str">
        <f>IF(F1294&gt;ENTRY!$D$24,"",IF(L1317=0,"",IF(L1317&gt;79,"A",IF(L1317&gt;59,"B",IF(L1317&gt;44,"C",IF(L1317&gt;=33,"D",IF(L1317&lt;=32,"E","")))))))</f>
        <v/>
      </c>
      <c r="N1317" s="56"/>
      <c r="O1317" s="29"/>
      <c r="P1317" s="19"/>
      <c r="Q1317" s="14"/>
      <c r="R1317" s="11"/>
    </row>
    <row r="1318" s="1" customFormat="1" ht="21.95" customHeight="1" spans="1:19">
      <c r="A1318" s="7"/>
      <c r="B1318" s="12"/>
      <c r="C1318" s="33"/>
      <c r="D1318" s="207" t="s">
        <v>382</v>
      </c>
      <c r="E1318" s="207"/>
      <c r="F1318" s="207"/>
      <c r="G1318" s="54">
        <f t="shared" ref="G1318:L1318" si="47">IFERROR(SUM(G1311:G1317),"")</f>
        <v>6</v>
      </c>
      <c r="H1318" s="54">
        <f t="shared" si="47"/>
        <v>0</v>
      </c>
      <c r="I1318" s="54">
        <f t="shared" si="47"/>
        <v>0</v>
      </c>
      <c r="J1318" s="54">
        <f t="shared" si="47"/>
        <v>0</v>
      </c>
      <c r="K1318" s="54">
        <f t="shared" si="47"/>
        <v>157</v>
      </c>
      <c r="L1318" s="55">
        <f t="shared" si="47"/>
        <v>163</v>
      </c>
      <c r="M1318" s="61" t="str">
        <f>IF(F1294&gt;ENTRY!$D$24,"",IF(N1319="Ab","Ab",IF(N1319&gt;79.5,"A",IF(N1319&gt;59.5,"B",IF(N1319&gt;44.5,"C",IF(N1319&gt;=33,"D",IF(N1319&lt;33,"E","")))))))</f>
        <v>E</v>
      </c>
      <c r="N1318" s="61"/>
      <c r="O1318" s="29"/>
      <c r="P1318" s="19"/>
      <c r="Q1318" s="14"/>
      <c r="R1318" s="11"/>
    </row>
    <row r="1319" s="1" customFormat="1" ht="21.95" customHeight="1" spans="1:19">
      <c r="A1319" s="7"/>
      <c r="B1319" s="12"/>
      <c r="C1319" s="33"/>
      <c r="D1319" s="63" t="s">
        <v>721</v>
      </c>
      <c r="E1319" s="63"/>
      <c r="F1319" s="63"/>
      <c r="G1319" s="63"/>
      <c r="H1319" s="63"/>
      <c r="I1319" s="63"/>
      <c r="J1319" s="63"/>
      <c r="K1319" s="63"/>
      <c r="L1319" s="63"/>
      <c r="M1319" s="209"/>
      <c r="N1319" s="64">
        <f>IF(L1318="Ab","Ab",L1318/6)</f>
        <v>27.1666666666667</v>
      </c>
      <c r="O1319" s="65"/>
      <c r="P1319" s="19"/>
      <c r="Q1319" s="14"/>
      <c r="R1319" s="11"/>
    </row>
    <row r="1320" s="1" customFormat="1" ht="21.95" customHeight="1" spans="1:19">
      <c r="A1320" s="7"/>
      <c r="B1320" s="12"/>
      <c r="C1320" s="33"/>
      <c r="D1320" s="29" t="s">
        <v>716</v>
      </c>
      <c r="E1320" s="18" t="str">
        <f>IFERROR(VLOOKUP(F1294,'1to4-2.1-RR'!$A$12:$BG$111,57,0),"")</f>
        <v>PROMOTED</v>
      </c>
      <c r="F1320" s="18"/>
      <c r="G1320" s="18"/>
      <c r="H1320" s="18"/>
      <c r="I1320" s="18"/>
      <c r="J1320" s="18"/>
      <c r="K1320" s="18"/>
      <c r="L1320" s="18"/>
      <c r="M1320" s="18"/>
      <c r="N1320" s="29"/>
      <c r="O1320" s="29"/>
      <c r="P1320" s="19"/>
      <c r="Q1320" s="14"/>
      <c r="R1320" s="11"/>
    </row>
    <row r="1321" s="1" customFormat="1" ht="9.95" customHeight="1" spans="1:19">
      <c r="A1321" s="7"/>
      <c r="B1321" s="12"/>
      <c r="C1321" s="39"/>
      <c r="D1321" s="40"/>
      <c r="E1321" s="40"/>
      <c r="F1321" s="40"/>
      <c r="G1321" s="40"/>
      <c r="H1321" s="40"/>
      <c r="I1321" s="40"/>
      <c r="J1321" s="40"/>
      <c r="K1321" s="40"/>
      <c r="L1321" s="40"/>
      <c r="M1321" s="40"/>
      <c r="N1321" s="40"/>
      <c r="O1321" s="40"/>
      <c r="P1321" s="41"/>
      <c r="Q1321" s="14"/>
      <c r="R1321" s="11"/>
    </row>
    <row r="1322" s="1" customFormat="1" ht="9.95" customHeight="1" spans="1:19">
      <c r="A1322" s="7"/>
      <c r="B1322" s="12"/>
      <c r="C1322" s="30"/>
      <c r="D1322" s="31"/>
      <c r="E1322" s="31"/>
      <c r="F1322" s="29"/>
      <c r="G1322" s="31"/>
      <c r="H1322" s="31"/>
      <c r="I1322" s="31"/>
      <c r="J1322" s="31"/>
      <c r="K1322" s="31"/>
      <c r="L1322" s="31"/>
      <c r="M1322" s="31"/>
      <c r="N1322" s="31"/>
      <c r="O1322" s="31"/>
      <c r="P1322" s="32"/>
      <c r="Q1322" s="14"/>
      <c r="R1322" s="11"/>
    </row>
    <row r="1323" s="1" customFormat="1" ht="9.95" customHeight="1" spans="1:19">
      <c r="A1323" s="7"/>
      <c r="B1323" s="12"/>
      <c r="C1323" s="33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19"/>
      <c r="Q1323" s="14"/>
      <c r="R1323" s="11"/>
    </row>
    <row r="1324" s="1" customFormat="1" ht="9.95" customHeight="1" spans="1:19">
      <c r="A1324" s="7"/>
      <c r="B1324" s="12"/>
      <c r="C1324" s="33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19"/>
      <c r="Q1324" s="14"/>
      <c r="R1324" s="11"/>
    </row>
    <row r="1325" s="1" customFormat="1" ht="21.95" customHeight="1" spans="1:19">
      <c r="A1325" s="7"/>
      <c r="B1325" s="12"/>
      <c r="C1325" s="210"/>
      <c r="D1325" s="211"/>
      <c r="E1325" s="211"/>
      <c r="F1325" s="211"/>
      <c r="G1325" s="211"/>
      <c r="H1325" s="211"/>
      <c r="I1325" s="211"/>
      <c r="J1325" s="211"/>
      <c r="K1325" s="211"/>
      <c r="L1325" s="211"/>
      <c r="M1325" s="211"/>
      <c r="N1325" s="211"/>
      <c r="O1325" s="211"/>
      <c r="P1325" s="212"/>
      <c r="Q1325" s="14"/>
      <c r="R1325" s="11"/>
      <c r="S1325" s="2"/>
    </row>
    <row r="1326" s="1" customFormat="1" ht="21.95" customHeight="1" spans="1:19">
      <c r="A1326" s="7"/>
      <c r="B1326" s="12"/>
      <c r="C1326" s="33"/>
      <c r="D1326" s="207" t="s">
        <v>722</v>
      </c>
      <c r="E1326" s="207"/>
      <c r="F1326" s="207"/>
      <c r="G1326" s="207"/>
      <c r="H1326" s="54">
        <f>IFERROR(VLOOKUP(F1294,PASHEET!$A$4:$CJ$103,88,0),"")</f>
        <v>0</v>
      </c>
      <c r="I1326" s="54"/>
      <c r="J1326" s="29"/>
      <c r="K1326" s="29"/>
      <c r="L1326" s="29"/>
      <c r="M1326" s="29"/>
      <c r="N1326" s="29"/>
      <c r="O1326" s="29"/>
      <c r="P1326" s="19"/>
      <c r="Q1326" s="14"/>
      <c r="R1326" s="11"/>
    </row>
    <row r="1327" s="1" customFormat="1" ht="21.95" customHeight="1" spans="1:19">
      <c r="A1327" s="7"/>
      <c r="B1327" s="12"/>
      <c r="C1327" s="213"/>
      <c r="D1327" s="207" t="s">
        <v>723</v>
      </c>
      <c r="E1327" s="207"/>
      <c r="F1327" s="207"/>
      <c r="G1327" s="207"/>
      <c r="H1327" s="54">
        <f>IFERROR(VLOOKUP(F1294,PASHEET!$A$4:$CJ$103,87,0),"")</f>
        <v>0</v>
      </c>
      <c r="I1327" s="54"/>
      <c r="J1327" s="214"/>
      <c r="K1327" s="214"/>
      <c r="L1327" s="207" t="s">
        <v>724</v>
      </c>
      <c r="M1327" s="207"/>
      <c r="N1327" s="117" t="str">
        <f>IF(F1294&gt;ENTRY!$D$24,"",IF(F1294&gt;0,L1318&amp;" / "&amp;600,""))</f>
        <v>163 / 600</v>
      </c>
      <c r="O1327" s="117"/>
      <c r="P1327" s="215"/>
      <c r="Q1327" s="14"/>
      <c r="R1327" s="11"/>
    </row>
    <row r="1328" s="1" customFormat="1" ht="18" customHeight="1" spans="1:19">
      <c r="A1328" s="7"/>
      <c r="B1328" s="12"/>
      <c r="C1328" s="33"/>
      <c r="D1328" s="207" t="s">
        <v>725</v>
      </c>
      <c r="E1328" s="207"/>
      <c r="F1328" s="207"/>
      <c r="G1328" s="207"/>
      <c r="H1328" s="69" t="str">
        <f>IFERROR(IF(F1294&gt;0,H1327/H1326*100),"")</f>
        <v/>
      </c>
      <c r="I1328" s="69"/>
      <c r="J1328" s="29"/>
      <c r="K1328" s="29"/>
      <c r="L1328" s="207" t="s">
        <v>726</v>
      </c>
      <c r="M1328" s="207"/>
      <c r="N1328" s="216">
        <f>IF(F1294&gt;ENTRY!$D$24,"",IF(F1294&gt;0,L1318/600*100,""))</f>
        <v>27.1666666666667</v>
      </c>
      <c r="O1328" s="216"/>
      <c r="P1328" s="19"/>
      <c r="Q1328" s="14"/>
      <c r="R1328" s="11"/>
    </row>
    <row r="1329" s="1" customFormat="1" ht="21.95" customHeight="1" spans="1:18">
      <c r="A1329" s="7"/>
      <c r="B1329" s="12"/>
      <c r="C1329" s="33"/>
      <c r="D1329" s="80"/>
      <c r="E1329" s="80"/>
      <c r="F1329" s="217"/>
      <c r="G1329" s="217"/>
      <c r="H1329" s="217"/>
      <c r="I1329" s="217"/>
      <c r="J1329" s="217"/>
      <c r="K1329" s="217"/>
      <c r="L1329" s="217"/>
      <c r="M1329" s="217"/>
      <c r="N1329" s="80"/>
      <c r="O1329" s="80"/>
      <c r="P1329" s="19"/>
      <c r="Q1329" s="14"/>
      <c r="R1329" s="11"/>
    </row>
    <row r="1330" s="1" customFormat="1" ht="21.95" customHeight="1" spans="1:18">
      <c r="A1330" s="7"/>
      <c r="B1330" s="12"/>
      <c r="C1330" s="33"/>
      <c r="D1330" s="80"/>
      <c r="E1330" s="218"/>
      <c r="F1330" s="218"/>
      <c r="G1330" s="218"/>
      <c r="H1330" s="80"/>
      <c r="I1330" s="218"/>
      <c r="J1330" s="218"/>
      <c r="K1330" s="218"/>
      <c r="L1330" s="218"/>
      <c r="M1330" s="80"/>
      <c r="N1330" s="219"/>
      <c r="O1330" s="219"/>
      <c r="P1330" s="19"/>
      <c r="Q1330" s="14"/>
      <c r="R1330" s="11"/>
    </row>
    <row r="1331" s="1" customFormat="1" ht="21.95" customHeight="1" spans="1:18">
      <c r="A1331" s="7"/>
      <c r="B1331" s="12"/>
      <c r="C1331" s="33"/>
      <c r="D1331" s="80"/>
      <c r="E1331" s="80"/>
      <c r="F1331" s="80"/>
      <c r="G1331" s="80"/>
      <c r="H1331" s="80"/>
      <c r="I1331" s="80"/>
      <c r="J1331" s="80"/>
      <c r="K1331" s="80"/>
      <c r="L1331" s="80"/>
      <c r="M1331" s="80"/>
      <c r="N1331" s="80"/>
      <c r="O1331" s="80"/>
      <c r="P1331" s="19"/>
      <c r="Q1331" s="14"/>
      <c r="R1331" s="11"/>
    </row>
    <row r="1332" s="1" customFormat="1" ht="21.95" customHeight="1" spans="1:18">
      <c r="A1332" s="7"/>
      <c r="B1332" s="12"/>
      <c r="C1332" s="33"/>
      <c r="D1332" s="218"/>
      <c r="E1332" s="218"/>
      <c r="F1332" s="218"/>
      <c r="G1332" s="218"/>
      <c r="H1332" s="218"/>
      <c r="I1332" s="218"/>
      <c r="J1332" s="218"/>
      <c r="K1332" s="218"/>
      <c r="L1332" s="218"/>
      <c r="M1332" s="80"/>
      <c r="N1332" s="217"/>
      <c r="O1332" s="217"/>
      <c r="P1332" s="85" t="s">
        <v>727</v>
      </c>
      <c r="Q1332" s="14"/>
      <c r="R1332" s="11"/>
    </row>
    <row r="1333" s="1" customFormat="1" ht="21.95" customHeight="1" spans="1:18">
      <c r="A1333" s="7"/>
      <c r="B1333" s="12"/>
      <c r="C1333" s="33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19"/>
      <c r="Q1333" s="14"/>
      <c r="R1333" s="11"/>
    </row>
    <row r="1334" s="1" customFormat="1" ht="21.95" customHeight="1" spans="1:18">
      <c r="A1334" s="7"/>
      <c r="B1334" s="12"/>
      <c r="C1334" s="33"/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19"/>
      <c r="Q1334" s="14"/>
      <c r="R1334" s="11"/>
    </row>
    <row r="1335" s="1" customFormat="1" ht="21.95" customHeight="1" spans="1:18">
      <c r="A1335" s="7"/>
      <c r="B1335" s="12"/>
      <c r="C1335" s="33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19"/>
      <c r="Q1335" s="14"/>
      <c r="R1335" s="11"/>
    </row>
    <row r="1336" s="1" customFormat="1" ht="21.95" customHeight="1" spans="1:18">
      <c r="A1336" s="7"/>
      <c r="B1336" s="12"/>
      <c r="C1336" s="33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19"/>
      <c r="Q1336" s="14"/>
      <c r="R1336" s="11"/>
    </row>
    <row r="1337" s="1" customFormat="1" ht="21.95" customHeight="1" spans="1:18">
      <c r="A1337" s="7"/>
      <c r="B1337" s="12"/>
      <c r="C1337" s="33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19"/>
      <c r="Q1337" s="14"/>
      <c r="R1337" s="11"/>
    </row>
    <row r="1338" s="1" customFormat="1" ht="21.95" customHeight="1" spans="1:18">
      <c r="A1338" s="7"/>
      <c r="B1338" s="12"/>
      <c r="C1338" s="33"/>
      <c r="D1338" s="80" t="s">
        <v>728</v>
      </c>
      <c r="E1338" s="220">
        <f>ENTRY!$D$27</f>
        <v>46102</v>
      </c>
      <c r="F1338" s="220"/>
      <c r="G1338" s="29"/>
      <c r="H1338" s="29"/>
      <c r="I1338" s="221" t="s">
        <v>729</v>
      </c>
      <c r="J1338" s="153"/>
      <c r="K1338" s="29"/>
      <c r="L1338" s="29"/>
      <c r="M1338" s="87" t="s">
        <v>730</v>
      </c>
      <c r="N1338" s="87"/>
      <c r="O1338" s="87"/>
      <c r="P1338" s="19"/>
      <c r="Q1338" s="14"/>
      <c r="R1338" s="11"/>
    </row>
    <row r="1339" s="1" customFormat="1" ht="21.95" customHeight="1" spans="1:18">
      <c r="A1339" s="7"/>
      <c r="B1339" s="12"/>
      <c r="C1339" s="33"/>
      <c r="D1339" s="80" t="s">
        <v>731</v>
      </c>
      <c r="E1339" s="88" t="str">
        <f>PROPER(ENTRY!$D$28)</f>
        <v>New Delhi</v>
      </c>
      <c r="F1339" s="88"/>
      <c r="G1339" s="29"/>
      <c r="H1339" s="29"/>
      <c r="I1339" s="153"/>
      <c r="J1339" s="153"/>
      <c r="K1339" s="29"/>
      <c r="L1339" s="29"/>
      <c r="M1339" s="79" t="s">
        <v>732</v>
      </c>
      <c r="N1339" s="79"/>
      <c r="O1339" s="79"/>
      <c r="P1339" s="19"/>
      <c r="Q1339" s="14"/>
      <c r="R1339" s="11"/>
    </row>
    <row r="1340" s="1" customFormat="1" ht="21.95" customHeight="1" spans="1:18">
      <c r="A1340" s="7"/>
      <c r="B1340" s="12"/>
      <c r="C1340" s="90"/>
      <c r="D1340" s="91"/>
      <c r="E1340" s="91"/>
      <c r="F1340" s="91"/>
      <c r="G1340" s="91"/>
      <c r="H1340" s="91"/>
      <c r="I1340" s="91"/>
      <c r="J1340" s="91"/>
      <c r="K1340" s="91"/>
      <c r="L1340" s="91"/>
      <c r="M1340" s="91"/>
      <c r="N1340" s="91"/>
      <c r="O1340" s="91"/>
      <c r="P1340" s="92"/>
      <c r="Q1340" s="14"/>
      <c r="R1340" s="11"/>
    </row>
    <row r="1341" s="1" customFormat="1" ht="5.1" customHeight="1" spans="1:18">
      <c r="A1341" s="7"/>
      <c r="B1341" s="90"/>
      <c r="C1341" s="91"/>
      <c r="D1341" s="91"/>
      <c r="E1341" s="91"/>
      <c r="F1341" s="91"/>
      <c r="G1341" s="91"/>
      <c r="H1341" s="91"/>
      <c r="I1341" s="91"/>
      <c r="J1341" s="91"/>
      <c r="K1341" s="91"/>
      <c r="L1341" s="91"/>
      <c r="M1341" s="91"/>
      <c r="N1341" s="91"/>
      <c r="O1341" s="91"/>
      <c r="P1341" s="91"/>
      <c r="Q1341" s="92"/>
      <c r="R1341" s="11"/>
    </row>
    <row r="1342" s="1" customFormat="1" ht="5.1" customHeight="1" spans="1:18">
      <c r="A1342" s="93"/>
      <c r="B1342" s="94"/>
      <c r="C1342" s="94"/>
      <c r="D1342" s="94"/>
      <c r="E1342" s="94"/>
      <c r="F1342" s="94"/>
      <c r="G1342" s="94"/>
      <c r="H1342" s="94"/>
      <c r="I1342" s="94"/>
      <c r="J1342" s="94"/>
      <c r="K1342" s="94"/>
      <c r="L1342" s="94"/>
      <c r="M1342" s="94"/>
      <c r="N1342" s="94"/>
      <c r="O1342" s="94"/>
      <c r="P1342" s="94"/>
      <c r="Q1342" s="94"/>
      <c r="R1342" s="95"/>
    </row>
    <row r="1343" s="1" customFormat="1" ht="21.95" customHeight="1"/>
    <row r="1344" ht="15.15"/>
    <row r="1345" s="1" customFormat="1" ht="5.1" customHeight="1" spans="1:18">
      <c r="A1345" s="4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6"/>
    </row>
    <row r="1346" s="1" customFormat="1" ht="15" customHeight="1" spans="1:18">
      <c r="A1346" s="7"/>
      <c r="B1346" s="8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9"/>
      <c r="O1346" s="9"/>
      <c r="P1346" s="9"/>
      <c r="Q1346" s="10"/>
      <c r="R1346" s="11"/>
    </row>
    <row r="1347" s="1" customFormat="1" ht="21.95" customHeight="1" spans="1:18">
      <c r="A1347" s="7"/>
      <c r="B1347" s="12"/>
      <c r="C1347" s="13" t="s">
        <v>7</v>
      </c>
      <c r="D1347" s="13"/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/>
      <c r="Q1347" s="14"/>
      <c r="R1347" s="11"/>
    </row>
    <row r="1348" s="1" customFormat="1" ht="21.95" customHeight="1" spans="1:18">
      <c r="A1348" s="7"/>
      <c r="B1348" s="1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14"/>
      <c r="R1348" s="11"/>
    </row>
    <row r="1349" s="1" customFormat="1" ht="21.95" customHeight="1" spans="1:18">
      <c r="A1349" s="7"/>
      <c r="B1349" s="12"/>
      <c r="C1349" s="15" t="str">
        <f>"SESSION-"&amp;ENTRY!$D$11</f>
        <v>SESSION-2026-27</v>
      </c>
      <c r="D1349" s="15"/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4"/>
      <c r="R1349" s="11"/>
    </row>
    <row r="1350" s="1" customFormat="1" ht="21.95" customHeight="1" spans="1:18">
      <c r="A1350" s="7"/>
      <c r="B1350" s="12"/>
      <c r="C1350" s="2"/>
      <c r="D1350" s="2"/>
      <c r="E1350" s="2"/>
      <c r="F1350" s="16">
        <f>F1294+1</f>
        <v>25</v>
      </c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14"/>
      <c r="R1350" s="11"/>
    </row>
    <row r="1351" s="1" customFormat="1" ht="21.95" customHeight="1" spans="1:18">
      <c r="A1351" s="7"/>
      <c r="B1351" s="12"/>
      <c r="C1351" s="17" t="s">
        <v>392</v>
      </c>
      <c r="D1351" s="17"/>
      <c r="E1351" s="17"/>
      <c r="F1351" s="18" t="str">
        <f>IF(F1350&gt;0,ENTRY!$D$6,"")</f>
        <v>MCP NITHARI NO 1 BOYS</v>
      </c>
      <c r="G1351" s="18"/>
      <c r="H1351" s="18"/>
      <c r="I1351" s="18"/>
      <c r="J1351" s="18"/>
      <c r="K1351" s="18"/>
      <c r="L1351" s="18"/>
      <c r="M1351" s="18"/>
      <c r="N1351" s="18"/>
      <c r="O1351" s="18"/>
      <c r="P1351" s="18"/>
      <c r="Q1351" s="14"/>
      <c r="R1351" s="11"/>
    </row>
    <row r="1352" s="1" customFormat="1" ht="21.95" customHeight="1" spans="1:18">
      <c r="A1352" s="7"/>
      <c r="B1352" s="12"/>
      <c r="C1352" s="17" t="s">
        <v>393</v>
      </c>
      <c r="D1352" s="17"/>
      <c r="E1352" s="17"/>
      <c r="F1352" s="18">
        <f>IF(F1350&gt;0,ENTRY!$D$7,"")</f>
        <v>0</v>
      </c>
      <c r="G1352" s="18"/>
      <c r="H1352" s="20" t="s">
        <v>702</v>
      </c>
      <c r="I1352" s="20"/>
      <c r="J1352" s="21">
        <f>IF(F1350&gt;0,ENTRY!$D$10,"")</f>
        <v>40</v>
      </c>
      <c r="K1352" s="20" t="s">
        <v>703</v>
      </c>
      <c r="L1352" s="22" t="str">
        <f>IF(F1350&gt;0,ENTRY!$D$5,"")</f>
        <v>ROHINI ZONE</v>
      </c>
      <c r="M1352" s="22"/>
      <c r="N1352" s="22"/>
      <c r="O1352" s="22"/>
      <c r="P1352" s="22"/>
      <c r="Q1352" s="14"/>
      <c r="R1352" s="11"/>
    </row>
    <row r="1353" s="1" customFormat="1" ht="21.95" customHeight="1" spans="1:18">
      <c r="A1353" s="7"/>
      <c r="B1353" s="12"/>
      <c r="C1353" s="17" t="s">
        <v>706</v>
      </c>
      <c r="D1353" s="17"/>
      <c r="E1353" s="17"/>
      <c r="F1353" s="23" t="str">
        <f>IFERROR(VLOOKUP(F1350,STUDENT!$A$2:$BP$101,5,0),"")</f>
        <v>ANSHU KUMAR PANDIT</v>
      </c>
      <c r="G1353" s="23"/>
      <c r="H1353" s="23"/>
      <c r="I1353" s="23"/>
      <c r="J1353" s="23"/>
      <c r="K1353" s="23"/>
      <c r="L1353" s="20" t="s">
        <v>707</v>
      </c>
      <c r="M1353" s="20"/>
      <c r="N1353" s="24" t="str">
        <f>IF(F1350&gt;0,ENTRY!$D$20&amp;"-"&amp;ENTRY!$D$21,"")</f>
        <v>III-A</v>
      </c>
      <c r="O1353" s="24"/>
      <c r="P1353" s="24"/>
      <c r="Q1353" s="14"/>
      <c r="R1353" s="11"/>
    </row>
    <row r="1354" s="1" customFormat="1" ht="21.95" customHeight="1" spans="1:18">
      <c r="A1354" s="7"/>
      <c r="B1354" s="12"/>
      <c r="C1354" s="17" t="s">
        <v>708</v>
      </c>
      <c r="D1354" s="17"/>
      <c r="E1354" s="17"/>
      <c r="F1354" s="25">
        <f>IFERROR(VLOOKUP(F1350,STUDENT!$A$2:$BP$101,6,0),"")</f>
        <v>14943</v>
      </c>
      <c r="G1354" s="25"/>
      <c r="H1354" s="26" t="s">
        <v>709</v>
      </c>
      <c r="I1354" s="27" t="str">
        <f>IFERROR(VLOOKUP(F1350,STUDENT!$A$2:$BP$101,59,0),"")</f>
        <v/>
      </c>
      <c r="J1354" s="27"/>
      <c r="K1354" s="20" t="s">
        <v>710</v>
      </c>
      <c r="L1354" s="20"/>
      <c r="M1354" s="28">
        <f>IFERROR(VLOOKUP(F1350,STUDENT!$A$2:$BP$101,20,0),"")</f>
        <v>8800332010</v>
      </c>
      <c r="N1354" s="28"/>
      <c r="O1354" s="28"/>
      <c r="P1354" s="28"/>
      <c r="Q1354" s="14"/>
      <c r="R1354" s="11"/>
    </row>
    <row r="1355" s="1" customFormat="1" ht="21.95" customHeight="1" spans="1:18">
      <c r="A1355" s="7"/>
      <c r="B1355" s="12"/>
      <c r="C1355" s="17" t="s">
        <v>711</v>
      </c>
      <c r="D1355" s="17"/>
      <c r="E1355" s="17"/>
      <c r="F1355" s="23" t="str">
        <f>IFERROR(VLOOKUP(F1350,STUDENT!$A$2:$BP$101,9,0),"")</f>
        <v>PRATIBHA KUMARI</v>
      </c>
      <c r="G1355" s="23"/>
      <c r="H1355" s="23"/>
      <c r="I1355" s="23"/>
      <c r="J1355" s="17" t="s">
        <v>620</v>
      </c>
      <c r="K1355" s="17"/>
      <c r="L1355" s="23" t="str">
        <f>IFERROR(VLOOKUP(F1350,STUDENT!$A$2:$BP$101,8,0),"")</f>
        <v>RAMESH KUMAR PANDIT</v>
      </c>
      <c r="M1355" s="23"/>
      <c r="N1355" s="23"/>
      <c r="O1355" s="23"/>
      <c r="P1355" s="23"/>
      <c r="Q1355" s="14"/>
      <c r="R1355" s="11"/>
    </row>
    <row r="1356" s="1" customFormat="1" ht="21.95" customHeight="1" spans="1:18">
      <c r="A1356" s="7"/>
      <c r="B1356" s="12"/>
      <c r="C1356" s="17" t="s">
        <v>712</v>
      </c>
      <c r="D1356" s="17"/>
      <c r="E1356" s="17"/>
      <c r="F1356" s="23" t="str">
        <f>IFERROR(VLOOKUP(F1350,STUDENT!$A$2:$BP$101,22,0),"")</f>
        <v>D-32 INDER ENCLAVE PH-2 KIRARI</v>
      </c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14"/>
      <c r="R1356" s="11"/>
    </row>
    <row r="1357" s="1" customFormat="1" ht="9.95" customHeight="1" spans="1:18">
      <c r="A1357" s="7"/>
      <c r="B1357" s="12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14"/>
      <c r="R1357" s="11"/>
    </row>
    <row r="1358" s="1" customFormat="1" ht="9.95" customHeight="1" spans="1:18">
      <c r="A1358" s="7"/>
      <c r="B1358" s="12"/>
      <c r="C1358" s="30"/>
      <c r="D1358" s="31"/>
      <c r="E1358" s="31"/>
      <c r="F1358" s="31"/>
      <c r="G1358" s="31"/>
      <c r="H1358" s="31"/>
      <c r="I1358" s="31"/>
      <c r="J1358" s="31"/>
      <c r="K1358" s="31"/>
      <c r="L1358" s="31"/>
      <c r="M1358" s="31"/>
      <c r="N1358" s="31"/>
      <c r="O1358" s="31"/>
      <c r="P1358" s="32"/>
      <c r="Q1358" s="14"/>
      <c r="R1358" s="11"/>
    </row>
    <row r="1359" s="1" customFormat="1" ht="21.95" customHeight="1" spans="1:18">
      <c r="A1359" s="7"/>
      <c r="B1359" s="12"/>
      <c r="C1359" s="33"/>
      <c r="D1359" s="34" t="s">
        <v>713</v>
      </c>
      <c r="E1359" s="20" t="s">
        <v>714</v>
      </c>
      <c r="F1359" s="35" t="str">
        <f>"Level - "&amp;IFERROR(VLOOKUP(F1350,FLN!$A$4:$K$103,9,0),"")</f>
        <v>Level - 3</v>
      </c>
      <c r="G1359" s="36"/>
      <c r="H1359" s="37" t="s">
        <v>715</v>
      </c>
      <c r="I1359" s="20"/>
      <c r="J1359" s="35" t="str">
        <f>"Level - "&amp;IFERROR(VLOOKUP(F1350,FLN!$A$4:$K$103,11,0),"")</f>
        <v>Level - 4</v>
      </c>
      <c r="K1359" s="36"/>
      <c r="L1359" s="37" t="s">
        <v>408</v>
      </c>
      <c r="M1359" s="20"/>
      <c r="N1359" s="35" t="str">
        <f>"Level - "&amp;IFERROR(VLOOKUP(F1350,FLN!$A$4:$K$103,10,0),"")</f>
        <v>Level - 2</v>
      </c>
      <c r="O1359" s="36"/>
      <c r="P1359" s="19"/>
      <c r="Q1359" s="14"/>
      <c r="R1359" s="11"/>
    </row>
    <row r="1360" s="1" customFormat="1" ht="21.95" customHeight="1" spans="1:18">
      <c r="A1360" s="7"/>
      <c r="B1360" s="12"/>
      <c r="C1360" s="33"/>
      <c r="D1360" s="38"/>
      <c r="E1360" s="20" t="s">
        <v>716</v>
      </c>
      <c r="F1360" s="18" t="str">
        <f>IF(L1374&gt;197,"PERFORMED WELL","")</f>
        <v/>
      </c>
      <c r="G1360" s="18"/>
      <c r="H1360" s="18"/>
      <c r="I1360" s="18"/>
      <c r="J1360" s="18"/>
      <c r="K1360" s="18"/>
      <c r="L1360" s="18"/>
      <c r="M1360" s="18"/>
      <c r="N1360" s="18"/>
      <c r="O1360" s="18"/>
      <c r="P1360" s="19"/>
      <c r="Q1360" s="14"/>
      <c r="R1360" s="11"/>
    </row>
    <row r="1361" s="1" customFormat="1" ht="9.95" customHeight="1" spans="1:18">
      <c r="A1361" s="7"/>
      <c r="B1361" s="12"/>
      <c r="C1361" s="39"/>
      <c r="D1361" s="40"/>
      <c r="E1361" s="40"/>
      <c r="F1361" s="40"/>
      <c r="G1361" s="40"/>
      <c r="H1361" s="40"/>
      <c r="I1361" s="40"/>
      <c r="J1361" s="40"/>
      <c r="K1361" s="40"/>
      <c r="L1361" s="40"/>
      <c r="M1361" s="40"/>
      <c r="N1361" s="40"/>
      <c r="O1361" s="40"/>
      <c r="P1361" s="41"/>
      <c r="Q1361" s="14"/>
      <c r="R1361" s="11"/>
    </row>
    <row r="1362" s="1" customFormat="1" ht="9.95" customHeight="1" spans="1:18">
      <c r="A1362" s="7"/>
      <c r="B1362" s="12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14"/>
      <c r="R1362" s="11"/>
    </row>
    <row r="1363" s="1" customFormat="1" ht="9.95" customHeight="1" spans="1:18">
      <c r="A1363" s="7"/>
      <c r="B1363" s="12"/>
      <c r="C1363" s="30"/>
      <c r="D1363" s="31"/>
      <c r="E1363" s="31"/>
      <c r="F1363" s="31"/>
      <c r="G1363" s="31"/>
      <c r="H1363" s="31"/>
      <c r="I1363" s="31"/>
      <c r="J1363" s="31"/>
      <c r="K1363" s="31"/>
      <c r="L1363" s="31"/>
      <c r="M1363" s="31"/>
      <c r="N1363" s="31"/>
      <c r="O1363" s="31"/>
      <c r="P1363" s="32"/>
      <c r="Q1363" s="14"/>
      <c r="R1363" s="11"/>
    </row>
    <row r="1364" s="1" customFormat="1" ht="21.95" customHeight="1" spans="1:18">
      <c r="A1364" s="7"/>
      <c r="B1364" s="12"/>
      <c r="C1364" s="33"/>
      <c r="D1364" s="35"/>
      <c r="E1364" s="24"/>
      <c r="F1364" s="24"/>
      <c r="G1364" s="47" t="s">
        <v>717</v>
      </c>
      <c r="H1364" s="47"/>
      <c r="I1364" s="47"/>
      <c r="J1364" s="47"/>
      <c r="K1364" s="47"/>
      <c r="L1364" s="47"/>
      <c r="M1364" s="47"/>
      <c r="N1364" s="47"/>
      <c r="O1364" s="29"/>
      <c r="P1364" s="19"/>
      <c r="Q1364" s="14"/>
      <c r="R1364" s="11"/>
    </row>
    <row r="1365" s="1" customFormat="1" ht="21.95" customHeight="1" spans="1:18">
      <c r="A1365" s="7"/>
      <c r="B1365" s="12"/>
      <c r="C1365" s="33"/>
      <c r="D1365" s="47"/>
      <c r="E1365" s="47"/>
      <c r="F1365" s="47"/>
      <c r="G1365" s="47" t="s">
        <v>541</v>
      </c>
      <c r="H1365" s="47" t="s">
        <v>542</v>
      </c>
      <c r="I1365" s="47" t="s">
        <v>543</v>
      </c>
      <c r="J1365" s="47" t="s">
        <v>544</v>
      </c>
      <c r="K1365" s="47" t="s">
        <v>561</v>
      </c>
      <c r="L1365" s="47" t="s">
        <v>382</v>
      </c>
      <c r="M1365" s="49" t="s">
        <v>546</v>
      </c>
      <c r="N1365" s="49"/>
      <c r="O1365" s="29"/>
      <c r="P1365" s="19"/>
      <c r="Q1365" s="14"/>
      <c r="R1365" s="11"/>
    </row>
    <row r="1366" s="1" customFormat="1" ht="21.95" customHeight="1" spans="1:18">
      <c r="A1366" s="7"/>
      <c r="B1366" s="12"/>
      <c r="C1366" s="33"/>
      <c r="D1366" s="207" t="s">
        <v>652</v>
      </c>
      <c r="E1366" s="207"/>
      <c r="F1366" s="207"/>
      <c r="G1366" s="50">
        <v>10</v>
      </c>
      <c r="H1366" s="50">
        <v>10</v>
      </c>
      <c r="I1366" s="50">
        <v>10</v>
      </c>
      <c r="J1366" s="50">
        <v>10</v>
      </c>
      <c r="K1366" s="50">
        <v>60</v>
      </c>
      <c r="L1366" s="50">
        <v>100</v>
      </c>
      <c r="M1366" s="49"/>
      <c r="N1366" s="49"/>
      <c r="O1366" s="29"/>
      <c r="P1366" s="19"/>
      <c r="Q1366" s="14"/>
      <c r="R1366" s="11"/>
    </row>
    <row r="1367" s="1" customFormat="1" ht="21.95" customHeight="1" spans="1:18">
      <c r="A1367" s="7"/>
      <c r="B1367" s="12"/>
      <c r="C1367" s="33"/>
      <c r="D1367" s="117" t="s">
        <v>668</v>
      </c>
      <c r="E1367" s="117"/>
      <c r="F1367" s="117"/>
      <c r="G1367" s="54">
        <f>IFERROR(VLOOKUP(F1350,'1to4-2.1-RR'!$A$12:$BG$111,9,0),"")</f>
        <v>2</v>
      </c>
      <c r="H1367" s="54">
        <f>IFERROR(VLOOKUP(F1350,'1to4-2.1-RR'!$A$12:$BG$111,10,0),"")</f>
        <v>0</v>
      </c>
      <c r="I1367" s="54">
        <f>IFERROR(VLOOKUP(F1350,'1to4-2.1-RR'!$A$12:$BG$111,11,0),"")</f>
        <v>0</v>
      </c>
      <c r="J1367" s="54">
        <f>IFERROR(VLOOKUP(F1350,'1to4-2.1-RR'!$A$12:$BG$111,12,0),"")</f>
        <v>0</v>
      </c>
      <c r="K1367" s="54">
        <f>IFERROR(VLOOKUP(F1350,'1to4-2.1-RR'!$A$12:$BG$111,13,0),"")</f>
        <v>48</v>
      </c>
      <c r="L1367" s="55">
        <f>SUM(G1367:K1367)</f>
        <v>50</v>
      </c>
      <c r="M1367" s="56" t="str">
        <f>IF(F1350&gt;ENTRY!$D$24,"",IF(L1367=0,"Ab",IF(L1367&gt;80,"A",IF(L1367&gt;60,"B",IF(L1367&gt;44,"C",IF(L1367&gt;=33,"D",IF(L1367&lt;=32,"E","")))))))</f>
        <v>C</v>
      </c>
      <c r="N1367" s="56"/>
      <c r="O1367" s="29"/>
      <c r="P1367" s="19"/>
      <c r="Q1367" s="14"/>
      <c r="R1367" s="11"/>
    </row>
    <row r="1368" s="1" customFormat="1" ht="21.95" customHeight="1" spans="1:18">
      <c r="A1368" s="7"/>
      <c r="B1368" s="12"/>
      <c r="C1368" s="33"/>
      <c r="D1368" s="117" t="s">
        <v>513</v>
      </c>
      <c r="E1368" s="117"/>
      <c r="F1368" s="117"/>
      <c r="G1368" s="54">
        <f>IFERROR(VLOOKUP(F1350,'1to4-2.1-RR'!$A$12:$BG$111,16,0),"")</f>
        <v>2</v>
      </c>
      <c r="H1368" s="54">
        <f>IFERROR(VLOOKUP(F1350,'1to4-2.1-RR'!$A$12:$BG$111,17,0),"")</f>
        <v>0</v>
      </c>
      <c r="I1368" s="54">
        <f>IFERROR(VLOOKUP(F1350,'1to4-2.1-RR'!$A$12:$BG$111,18,0),"")</f>
        <v>0</v>
      </c>
      <c r="J1368" s="54">
        <f>IFERROR(VLOOKUP(F1350,'1to4-2.1-RR'!$A$12:$BG$111,19,0),"")</f>
        <v>0</v>
      </c>
      <c r="K1368" s="54">
        <f>IFERROR(VLOOKUP(F1350,'1to4-2.1-RR'!$A$12:$BG$111,20,0),"")</f>
        <v>21</v>
      </c>
      <c r="L1368" s="55">
        <f t="shared" ref="L1368:L1373" si="48">SUM(G1368:K1368)</f>
        <v>23</v>
      </c>
      <c r="M1368" s="56" t="str">
        <f>IF(F1350&gt;ENTRY!$D$24,"",IF(L1368=0,"Ab",IF(L1368&gt;80,"A",IF(L1368&gt;60,"B",IF(L1368&gt;44,"C",IF(L1368&gt;=33,"D",IF(L1368&lt;=32,"E","")))))))</f>
        <v>E</v>
      </c>
      <c r="N1368" s="56"/>
      <c r="O1368" s="29"/>
      <c r="P1368" s="19"/>
      <c r="Q1368" s="14"/>
      <c r="R1368" s="11"/>
    </row>
    <row r="1369" s="1" customFormat="1" ht="21.95" customHeight="1" spans="1:18">
      <c r="A1369" s="7"/>
      <c r="B1369" s="12"/>
      <c r="C1369" s="33"/>
      <c r="D1369" s="117" t="s">
        <v>718</v>
      </c>
      <c r="E1369" s="117"/>
      <c r="F1369" s="117"/>
      <c r="G1369" s="54">
        <f>IFERROR(VLOOKUP(F1350,'1to4-2.1-RR'!$A$12:$BG$111,23,0),"")</f>
        <v>2</v>
      </c>
      <c r="H1369" s="54">
        <f>IFERROR(VLOOKUP(F1350,'1to4-2.1-RR'!$A$12:$BG$111,24,0),"")</f>
        <v>0</v>
      </c>
      <c r="I1369" s="54">
        <f>IFERROR(VLOOKUP(F1350,'1to4-2.1-RR'!$A$12:$BG$111,25,0),"")</f>
        <v>0</v>
      </c>
      <c r="J1369" s="54">
        <f>IFERROR(VLOOKUP(F1350,'1to4-2.1-RR'!$A$12:$BG$111,26,0),"")</f>
        <v>0</v>
      </c>
      <c r="K1369" s="54">
        <f>IFERROR(VLOOKUP(F1350,'1to4-2.1-RR'!$A$12:$BG$111,27,0),"")</f>
        <v>25</v>
      </c>
      <c r="L1369" s="55">
        <f t="shared" si="48"/>
        <v>27</v>
      </c>
      <c r="M1369" s="56" t="str">
        <f>IF(F1350&gt;ENTRY!$D$24,"",IF(L1369=0,"Ab",IF(L1369&gt;80,"A",IF(L1369&gt;60,"B",IF(L1369&gt;44,"C",IF(L1369&gt;=33,"D",IF(L1369&lt;=32,"E","")))))))</f>
        <v>E</v>
      </c>
      <c r="N1369" s="56"/>
      <c r="O1369" s="29"/>
      <c r="P1369" s="19"/>
      <c r="Q1369" s="14"/>
      <c r="R1369" s="11"/>
    </row>
    <row r="1370" s="1" customFormat="1" ht="21.95" customHeight="1" spans="1:18">
      <c r="A1370" s="7"/>
      <c r="B1370" s="12"/>
      <c r="C1370" s="33"/>
      <c r="D1370" s="117" t="s">
        <v>719</v>
      </c>
      <c r="E1370" s="117"/>
      <c r="F1370" s="117"/>
      <c r="G1370" s="54">
        <f>IFERROR(VLOOKUP(F1350,'1to4-2.1-RR'!$A$12:$BG$111,30,0),"")</f>
        <v>2</v>
      </c>
      <c r="H1370" s="54">
        <f>IFERROR(VLOOKUP(F1350,'1to4-2.1-RR'!$A$12:$BG$111,31,0),"")</f>
        <v>0</v>
      </c>
      <c r="I1370" s="54">
        <f>IFERROR(VLOOKUP(F1350,'1to4-2.1-RR'!$A$12:$BG$111,32,0),"")</f>
        <v>0</v>
      </c>
      <c r="J1370" s="54">
        <f>IFERROR(VLOOKUP(F1350,'1to4-2.1-RR'!$A$12:$BG$111,33,0),"")</f>
        <v>0</v>
      </c>
      <c r="K1370" s="54">
        <f>IFERROR(VLOOKUP(F1350,'1to4-2.1-RR'!$A$12:$BG$111,34,0),"")</f>
        <v>26</v>
      </c>
      <c r="L1370" s="55">
        <f t="shared" si="48"/>
        <v>28</v>
      </c>
      <c r="M1370" s="56" t="str">
        <f>IF(F1350&gt;ENTRY!$D$24,"",IF(L1370=0,"Ab",IF(L1370&gt;80,"A",IF(L1370&gt;60,"B",IF(L1370&gt;44,"C",IF(L1370&gt;=33,"D",IF(L1370&lt;=32,"E","")))))))</f>
        <v>E</v>
      </c>
      <c r="N1370" s="56"/>
      <c r="O1370" s="29"/>
      <c r="P1370" s="19"/>
      <c r="Q1370" s="14"/>
      <c r="R1370" s="11"/>
    </row>
    <row r="1371" s="1" customFormat="1" ht="21.95" customHeight="1" spans="1:18">
      <c r="A1371" s="7"/>
      <c r="B1371" s="12"/>
      <c r="C1371" s="33"/>
      <c r="D1371" s="117" t="s">
        <v>548</v>
      </c>
      <c r="E1371" s="117"/>
      <c r="F1371" s="117"/>
      <c r="G1371" s="54">
        <f>IFERROR(VLOOKUP(F1350,'1to4-2.1-RR'!$A$12:$BG$111,37,0),"")</f>
        <v>0</v>
      </c>
      <c r="H1371" s="54">
        <f>IFERROR(VLOOKUP(F1350,'1to4-2.1-RR'!$A$12:$BG$111,38,0),"")</f>
        <v>0</v>
      </c>
      <c r="I1371" s="54">
        <f>IFERROR(VLOOKUP(F1350,'1to4-2.1-RR'!$A$12:$BG$111,39,0),"")</f>
        <v>0</v>
      </c>
      <c r="J1371" s="54">
        <f>IFERROR(VLOOKUP(F1350,'1to4-2.1-RR'!$A$12:$BG$111,40,0),"")</f>
        <v>0</v>
      </c>
      <c r="K1371" s="54">
        <f>IFERROR(VLOOKUP(F1350,'1to4-2.1-RR'!$A$12:$BG$111,41,0),"")</f>
        <v>25</v>
      </c>
      <c r="L1371" s="55">
        <f t="shared" si="48"/>
        <v>25</v>
      </c>
      <c r="M1371" s="56" t="str">
        <f>IF(F1350&gt;ENTRY!$D$24,"",IF(L1371=0,"Ab",IF(L1371&gt;80,"A",IF(L1371&gt;60,"B",IF(L1371&gt;44,"C",IF(L1371&gt;=33,"D",IF(L1371&lt;=32,"E","")))))))</f>
        <v>E</v>
      </c>
      <c r="N1371" s="56"/>
      <c r="O1371" s="29"/>
      <c r="P1371" s="19"/>
      <c r="Q1371" s="14"/>
      <c r="R1371" s="11"/>
    </row>
    <row r="1372" s="1" customFormat="1" ht="21.95" customHeight="1" spans="1:18">
      <c r="A1372" s="7"/>
      <c r="B1372" s="12"/>
      <c r="C1372" s="33"/>
      <c r="D1372" s="117" t="s">
        <v>549</v>
      </c>
      <c r="E1372" s="117"/>
      <c r="F1372" s="117"/>
      <c r="G1372" s="54">
        <f>IFERROR(VLOOKUP(F1350,'1to4-2.1-RR'!$A$12:$BG$111,44,0),"")</f>
        <v>2</v>
      </c>
      <c r="H1372" s="54">
        <f>IFERROR(VLOOKUP(F1350,'1to4-2.1-RR'!$A$12:$BG$111,45,0),"")</f>
        <v>0</v>
      </c>
      <c r="I1372" s="54">
        <f>IFERROR(VLOOKUP(F1350,'1to4-2.1-RR'!$A$12:$BG$111,46,0),"")</f>
        <v>0</v>
      </c>
      <c r="J1372" s="54">
        <f>IFERROR(VLOOKUP(F1350,'1to4-2.1-RR'!$A$12:$BG$111,47,0),"")</f>
        <v>0</v>
      </c>
      <c r="K1372" s="54">
        <f>IFERROR(VLOOKUP(F1350,'1to4-2.1-RR'!$A$12:$BG$111,48,0),"")</f>
        <v>28</v>
      </c>
      <c r="L1372" s="55">
        <f t="shared" si="48"/>
        <v>30</v>
      </c>
      <c r="M1372" s="56" t="str">
        <f>IF(F1350&gt;ENTRY!$D$24,"",IF(L1372=0,"Ab",IF(L1372&gt;80,"A",IF(L1372&gt;60,"B",IF(L1372&gt;44,"C",IF(L1372&gt;=33,"D",IF(L1372&lt;=32,"E","")))))))</f>
        <v>E</v>
      </c>
      <c r="N1372" s="56"/>
      <c r="O1372" s="29"/>
      <c r="P1372" s="19"/>
      <c r="Q1372" s="14"/>
      <c r="R1372" s="11"/>
    </row>
    <row r="1373" s="1" customFormat="1" ht="21.95" customHeight="1" spans="1:18">
      <c r="A1373" s="7"/>
      <c r="B1373" s="12"/>
      <c r="C1373" s="33"/>
      <c r="D1373" s="117" t="s">
        <v>720</v>
      </c>
      <c r="E1373" s="117"/>
      <c r="F1373" s="117"/>
      <c r="G1373" s="54"/>
      <c r="H1373" s="54"/>
      <c r="I1373" s="54"/>
      <c r="J1373" s="54"/>
      <c r="K1373" s="54"/>
      <c r="L1373" s="55">
        <f t="shared" si="48"/>
        <v>0</v>
      </c>
      <c r="M1373" s="56" t="str">
        <f>IF(F1350&gt;ENTRY!$D$24,"",IF(L1373=0,"",IF(L1373&gt;79,"A",IF(L1373&gt;59,"B",IF(L1373&gt;44,"C",IF(L1373&gt;=33,"D",IF(L1373&lt;=32,"E","")))))))</f>
        <v/>
      </c>
      <c r="N1373" s="56"/>
      <c r="O1373" s="29"/>
      <c r="P1373" s="19"/>
      <c r="Q1373" s="14"/>
      <c r="R1373" s="11"/>
    </row>
    <row r="1374" s="1" customFormat="1" ht="21.95" customHeight="1" spans="1:18">
      <c r="A1374" s="7"/>
      <c r="B1374" s="12"/>
      <c r="C1374" s="33"/>
      <c r="D1374" s="207" t="s">
        <v>382</v>
      </c>
      <c r="E1374" s="207"/>
      <c r="F1374" s="207"/>
      <c r="G1374" s="54">
        <f t="shared" ref="G1374:L1374" si="49">IFERROR(SUM(G1367:G1373),"")</f>
        <v>10</v>
      </c>
      <c r="H1374" s="54">
        <f t="shared" si="49"/>
        <v>0</v>
      </c>
      <c r="I1374" s="54">
        <f t="shared" si="49"/>
        <v>0</v>
      </c>
      <c r="J1374" s="54">
        <f t="shared" si="49"/>
        <v>0</v>
      </c>
      <c r="K1374" s="54">
        <f t="shared" si="49"/>
        <v>173</v>
      </c>
      <c r="L1374" s="55">
        <f t="shared" si="49"/>
        <v>183</v>
      </c>
      <c r="M1374" s="61" t="str">
        <f>IF(F1350&gt;ENTRY!$D$24,"",IF(N1375="Ab","Ab",IF(N1375&gt;79.5,"A",IF(N1375&gt;59.5,"B",IF(N1375&gt;44.5,"C",IF(N1375&gt;=33,"D",IF(N1375&lt;33,"E","")))))))</f>
        <v>E</v>
      </c>
      <c r="N1374" s="61"/>
      <c r="O1374" s="29"/>
      <c r="P1374" s="19"/>
      <c r="Q1374" s="14"/>
      <c r="R1374" s="11"/>
    </row>
    <row r="1375" s="1" customFormat="1" ht="21.95" customHeight="1" spans="1:18">
      <c r="A1375" s="7"/>
      <c r="B1375" s="12"/>
      <c r="C1375" s="33"/>
      <c r="D1375" s="63" t="s">
        <v>721</v>
      </c>
      <c r="E1375" s="63"/>
      <c r="F1375" s="63"/>
      <c r="G1375" s="63"/>
      <c r="H1375" s="63"/>
      <c r="I1375" s="63"/>
      <c r="J1375" s="63"/>
      <c r="K1375" s="63"/>
      <c r="L1375" s="63"/>
      <c r="M1375" s="209"/>
      <c r="N1375" s="64">
        <f>IF(L1374="Ab","Ab",L1374/6)</f>
        <v>30.5</v>
      </c>
      <c r="O1375" s="65"/>
      <c r="P1375" s="19"/>
      <c r="Q1375" s="14"/>
      <c r="R1375" s="11"/>
    </row>
    <row r="1376" s="1" customFormat="1" ht="21.95" customHeight="1" spans="1:18">
      <c r="A1376" s="7"/>
      <c r="B1376" s="12"/>
      <c r="C1376" s="33"/>
      <c r="D1376" s="29" t="s">
        <v>716</v>
      </c>
      <c r="E1376" s="18" t="str">
        <f>IFERROR(VLOOKUP(F1350,'1to4-2.1-RR'!$A$12:$BG$111,57,0),"")</f>
        <v>THIRD</v>
      </c>
      <c r="F1376" s="18"/>
      <c r="G1376" s="18"/>
      <c r="H1376" s="18"/>
      <c r="I1376" s="18"/>
      <c r="J1376" s="18"/>
      <c r="K1376" s="18"/>
      <c r="L1376" s="18"/>
      <c r="M1376" s="18"/>
      <c r="N1376" s="29"/>
      <c r="O1376" s="29"/>
      <c r="P1376" s="19"/>
      <c r="Q1376" s="14"/>
      <c r="R1376" s="11"/>
    </row>
    <row r="1377" s="1" customFormat="1" ht="9.95" customHeight="1" spans="1:19">
      <c r="A1377" s="7"/>
      <c r="B1377" s="12"/>
      <c r="C1377" s="39"/>
      <c r="D1377" s="40"/>
      <c r="E1377" s="40"/>
      <c r="F1377" s="40"/>
      <c r="G1377" s="40"/>
      <c r="H1377" s="40"/>
      <c r="I1377" s="40"/>
      <c r="J1377" s="40"/>
      <c r="K1377" s="40"/>
      <c r="L1377" s="40"/>
      <c r="M1377" s="40"/>
      <c r="N1377" s="40"/>
      <c r="O1377" s="40"/>
      <c r="P1377" s="41"/>
      <c r="Q1377" s="14"/>
      <c r="R1377" s="11"/>
    </row>
    <row r="1378" s="1" customFormat="1" ht="9.95" customHeight="1" spans="1:19">
      <c r="A1378" s="7"/>
      <c r="B1378" s="12"/>
      <c r="C1378" s="30"/>
      <c r="D1378" s="31"/>
      <c r="E1378" s="31"/>
      <c r="F1378" s="29"/>
      <c r="G1378" s="31"/>
      <c r="H1378" s="31"/>
      <c r="I1378" s="31"/>
      <c r="J1378" s="31"/>
      <c r="K1378" s="31"/>
      <c r="L1378" s="31"/>
      <c r="M1378" s="31"/>
      <c r="N1378" s="31"/>
      <c r="O1378" s="31"/>
      <c r="P1378" s="32"/>
      <c r="Q1378" s="14"/>
      <c r="R1378" s="11"/>
    </row>
    <row r="1379" s="1" customFormat="1" ht="9.95" customHeight="1" spans="1:19">
      <c r="A1379" s="7"/>
      <c r="B1379" s="12"/>
      <c r="C1379" s="33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19"/>
      <c r="Q1379" s="14"/>
      <c r="R1379" s="11"/>
    </row>
    <row r="1380" s="1" customFormat="1" ht="9.95" customHeight="1" spans="1:19">
      <c r="A1380" s="7"/>
      <c r="B1380" s="12"/>
      <c r="C1380" s="33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19"/>
      <c r="Q1380" s="14"/>
      <c r="R1380" s="11"/>
    </row>
    <row r="1381" s="1" customFormat="1" ht="21.95" customHeight="1" spans="1:19">
      <c r="A1381" s="7"/>
      <c r="B1381" s="12"/>
      <c r="C1381" s="210"/>
      <c r="D1381" s="211"/>
      <c r="E1381" s="211"/>
      <c r="F1381" s="211"/>
      <c r="G1381" s="211"/>
      <c r="H1381" s="211"/>
      <c r="I1381" s="211"/>
      <c r="J1381" s="211"/>
      <c r="K1381" s="211"/>
      <c r="L1381" s="211"/>
      <c r="M1381" s="211"/>
      <c r="N1381" s="211"/>
      <c r="O1381" s="211"/>
      <c r="P1381" s="212"/>
      <c r="Q1381" s="14"/>
      <c r="R1381" s="11"/>
      <c r="S1381" s="2"/>
    </row>
    <row r="1382" s="1" customFormat="1" ht="21.95" customHeight="1" spans="1:19">
      <c r="A1382" s="7"/>
      <c r="B1382" s="12"/>
      <c r="C1382" s="33"/>
      <c r="D1382" s="207" t="s">
        <v>722</v>
      </c>
      <c r="E1382" s="207"/>
      <c r="F1382" s="207"/>
      <c r="G1382" s="207"/>
      <c r="H1382" s="54">
        <f>IFERROR(VLOOKUP(F1350,PASHEET!$A$4:$CJ$103,88,0),"")</f>
        <v>0</v>
      </c>
      <c r="I1382" s="54"/>
      <c r="J1382" s="29"/>
      <c r="K1382" s="29"/>
      <c r="L1382" s="29"/>
      <c r="M1382" s="29"/>
      <c r="N1382" s="29"/>
      <c r="O1382" s="29"/>
      <c r="P1382" s="19"/>
      <c r="Q1382" s="14"/>
      <c r="R1382" s="11"/>
    </row>
    <row r="1383" s="1" customFormat="1" ht="21.95" customHeight="1" spans="1:19">
      <c r="A1383" s="7"/>
      <c r="B1383" s="12"/>
      <c r="C1383" s="213"/>
      <c r="D1383" s="207" t="s">
        <v>723</v>
      </c>
      <c r="E1383" s="207"/>
      <c r="F1383" s="207"/>
      <c r="G1383" s="207"/>
      <c r="H1383" s="54">
        <f>IFERROR(VLOOKUP(F1350,PASHEET!$A$4:$CJ$103,87,0),"")</f>
        <v>0</v>
      </c>
      <c r="I1383" s="54"/>
      <c r="J1383" s="214"/>
      <c r="K1383" s="214"/>
      <c r="L1383" s="207" t="s">
        <v>724</v>
      </c>
      <c r="M1383" s="207"/>
      <c r="N1383" s="117" t="str">
        <f>IF(F1350&gt;ENTRY!$D$24,"",IF(F1350&gt;0,L1374&amp;" / "&amp;600,""))</f>
        <v>183 / 600</v>
      </c>
      <c r="O1383" s="117"/>
      <c r="P1383" s="215"/>
      <c r="Q1383" s="14"/>
      <c r="R1383" s="11"/>
    </row>
    <row r="1384" s="1" customFormat="1" ht="18" customHeight="1" spans="1:19">
      <c r="A1384" s="7"/>
      <c r="B1384" s="12"/>
      <c r="C1384" s="33"/>
      <c r="D1384" s="207" t="s">
        <v>725</v>
      </c>
      <c r="E1384" s="207"/>
      <c r="F1384" s="207"/>
      <c r="G1384" s="207"/>
      <c r="H1384" s="69" t="str">
        <f>IFERROR(IF(F1350&gt;0,H1383/H1382*100),"")</f>
        <v/>
      </c>
      <c r="I1384" s="69"/>
      <c r="J1384" s="29"/>
      <c r="K1384" s="29"/>
      <c r="L1384" s="207" t="s">
        <v>726</v>
      </c>
      <c r="M1384" s="207"/>
      <c r="N1384" s="216">
        <f>IF(F1350&gt;ENTRY!$D$24,"",IF(F1350&gt;0,L1374/600*100,""))</f>
        <v>30.5</v>
      </c>
      <c r="O1384" s="216"/>
      <c r="P1384" s="19"/>
      <c r="Q1384" s="14"/>
      <c r="R1384" s="11"/>
    </row>
    <row r="1385" s="1" customFormat="1" ht="21.95" customHeight="1" spans="1:19">
      <c r="A1385" s="7"/>
      <c r="B1385" s="12"/>
      <c r="C1385" s="33"/>
      <c r="D1385" s="80"/>
      <c r="E1385" s="80"/>
      <c r="F1385" s="217"/>
      <c r="G1385" s="217"/>
      <c r="H1385" s="217"/>
      <c r="I1385" s="217"/>
      <c r="J1385" s="217"/>
      <c r="K1385" s="217"/>
      <c r="L1385" s="217"/>
      <c r="M1385" s="217"/>
      <c r="N1385" s="80"/>
      <c r="O1385" s="80"/>
      <c r="P1385" s="19"/>
      <c r="Q1385" s="14"/>
      <c r="R1385" s="11"/>
    </row>
    <row r="1386" s="1" customFormat="1" ht="21.95" customHeight="1" spans="1:19">
      <c r="A1386" s="7"/>
      <c r="B1386" s="12"/>
      <c r="C1386" s="33"/>
      <c r="D1386" s="80"/>
      <c r="E1386" s="218"/>
      <c r="F1386" s="218"/>
      <c r="G1386" s="218"/>
      <c r="H1386" s="80"/>
      <c r="I1386" s="218"/>
      <c r="J1386" s="218"/>
      <c r="K1386" s="218"/>
      <c r="L1386" s="218"/>
      <c r="M1386" s="80"/>
      <c r="N1386" s="219"/>
      <c r="O1386" s="219"/>
      <c r="P1386" s="19"/>
      <c r="Q1386" s="14"/>
      <c r="R1386" s="11"/>
    </row>
    <row r="1387" s="1" customFormat="1" ht="21.95" customHeight="1" spans="1:19">
      <c r="A1387" s="7"/>
      <c r="B1387" s="12"/>
      <c r="C1387" s="33"/>
      <c r="D1387" s="80"/>
      <c r="E1387" s="80"/>
      <c r="F1387" s="80"/>
      <c r="G1387" s="80"/>
      <c r="H1387" s="80"/>
      <c r="I1387" s="80"/>
      <c r="J1387" s="80"/>
      <c r="K1387" s="80"/>
      <c r="L1387" s="80"/>
      <c r="M1387" s="80"/>
      <c r="N1387" s="80"/>
      <c r="O1387" s="80"/>
      <c r="P1387" s="19"/>
      <c r="Q1387" s="14"/>
      <c r="R1387" s="11"/>
    </row>
    <row r="1388" s="1" customFormat="1" ht="21.95" customHeight="1" spans="1:19">
      <c r="A1388" s="7"/>
      <c r="B1388" s="12"/>
      <c r="C1388" s="33"/>
      <c r="D1388" s="218"/>
      <c r="E1388" s="218"/>
      <c r="F1388" s="218"/>
      <c r="G1388" s="218"/>
      <c r="H1388" s="218"/>
      <c r="I1388" s="218"/>
      <c r="J1388" s="218"/>
      <c r="K1388" s="218"/>
      <c r="L1388" s="218"/>
      <c r="M1388" s="80"/>
      <c r="N1388" s="217"/>
      <c r="O1388" s="217"/>
      <c r="P1388" s="85" t="s">
        <v>727</v>
      </c>
      <c r="Q1388" s="14"/>
      <c r="R1388" s="11"/>
    </row>
    <row r="1389" s="1" customFormat="1" ht="21.95" customHeight="1" spans="1:19">
      <c r="A1389" s="7"/>
      <c r="B1389" s="12"/>
      <c r="C1389" s="33"/>
      <c r="D1389" s="29"/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19"/>
      <c r="Q1389" s="14"/>
      <c r="R1389" s="11"/>
    </row>
    <row r="1390" s="1" customFormat="1" ht="21.95" customHeight="1" spans="1:19">
      <c r="A1390" s="7"/>
      <c r="B1390" s="12"/>
      <c r="C1390" s="33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19"/>
      <c r="Q1390" s="14"/>
      <c r="R1390" s="11"/>
    </row>
    <row r="1391" s="1" customFormat="1" ht="21.95" customHeight="1" spans="1:19">
      <c r="A1391" s="7"/>
      <c r="B1391" s="12"/>
      <c r="C1391" s="33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19"/>
      <c r="Q1391" s="14"/>
      <c r="R1391" s="11"/>
    </row>
    <row r="1392" s="1" customFormat="1" ht="21.95" customHeight="1" spans="1:19">
      <c r="A1392" s="7"/>
      <c r="B1392" s="12"/>
      <c r="C1392" s="33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19"/>
      <c r="Q1392" s="14"/>
      <c r="R1392" s="11"/>
    </row>
    <row r="1393" s="1" customFormat="1" ht="21.95" customHeight="1" spans="1:18">
      <c r="A1393" s="7"/>
      <c r="B1393" s="12"/>
      <c r="C1393" s="33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19"/>
      <c r="Q1393" s="14"/>
      <c r="R1393" s="11"/>
    </row>
    <row r="1394" s="1" customFormat="1" ht="21.95" customHeight="1" spans="1:18">
      <c r="A1394" s="7"/>
      <c r="B1394" s="12"/>
      <c r="C1394" s="33"/>
      <c r="D1394" s="80" t="s">
        <v>728</v>
      </c>
      <c r="E1394" s="220">
        <f>ENTRY!$D$27</f>
        <v>46102</v>
      </c>
      <c r="F1394" s="220"/>
      <c r="G1394" s="29"/>
      <c r="H1394" s="29"/>
      <c r="I1394" s="221" t="s">
        <v>729</v>
      </c>
      <c r="J1394" s="153"/>
      <c r="K1394" s="29"/>
      <c r="L1394" s="29"/>
      <c r="M1394" s="87" t="s">
        <v>730</v>
      </c>
      <c r="N1394" s="87"/>
      <c r="O1394" s="87"/>
      <c r="P1394" s="19"/>
      <c r="Q1394" s="14"/>
      <c r="R1394" s="11"/>
    </row>
    <row r="1395" s="1" customFormat="1" ht="21.95" customHeight="1" spans="1:18">
      <c r="A1395" s="7"/>
      <c r="B1395" s="12"/>
      <c r="C1395" s="33"/>
      <c r="D1395" s="80" t="s">
        <v>731</v>
      </c>
      <c r="E1395" s="88" t="str">
        <f>PROPER(ENTRY!$D$28)</f>
        <v>New Delhi</v>
      </c>
      <c r="F1395" s="88"/>
      <c r="G1395" s="29"/>
      <c r="H1395" s="29"/>
      <c r="I1395" s="153"/>
      <c r="J1395" s="153"/>
      <c r="K1395" s="29"/>
      <c r="L1395" s="29"/>
      <c r="M1395" s="79" t="s">
        <v>732</v>
      </c>
      <c r="N1395" s="79"/>
      <c r="O1395" s="79"/>
      <c r="P1395" s="19"/>
      <c r="Q1395" s="14"/>
      <c r="R1395" s="11"/>
    </row>
    <row r="1396" s="1" customFormat="1" ht="21.95" customHeight="1" spans="1:18">
      <c r="A1396" s="7"/>
      <c r="B1396" s="12"/>
      <c r="C1396" s="90"/>
      <c r="D1396" s="91"/>
      <c r="E1396" s="91"/>
      <c r="F1396" s="91"/>
      <c r="G1396" s="91"/>
      <c r="H1396" s="91"/>
      <c r="I1396" s="91"/>
      <c r="J1396" s="91"/>
      <c r="K1396" s="91"/>
      <c r="L1396" s="91"/>
      <c r="M1396" s="91"/>
      <c r="N1396" s="91"/>
      <c r="O1396" s="91"/>
      <c r="P1396" s="92"/>
      <c r="Q1396" s="14"/>
      <c r="R1396" s="11"/>
    </row>
    <row r="1397" s="1" customFormat="1" ht="5.1" customHeight="1" spans="1:18">
      <c r="A1397" s="7"/>
      <c r="B1397" s="90"/>
      <c r="C1397" s="91"/>
      <c r="D1397" s="91"/>
      <c r="E1397" s="91"/>
      <c r="F1397" s="91"/>
      <c r="G1397" s="91"/>
      <c r="H1397" s="91"/>
      <c r="I1397" s="91"/>
      <c r="J1397" s="91"/>
      <c r="K1397" s="91"/>
      <c r="L1397" s="91"/>
      <c r="M1397" s="91"/>
      <c r="N1397" s="91"/>
      <c r="O1397" s="91"/>
      <c r="P1397" s="91"/>
      <c r="Q1397" s="92"/>
      <c r="R1397" s="11"/>
    </row>
    <row r="1398" s="1" customFormat="1" ht="5.1" customHeight="1" spans="1:18">
      <c r="A1398" s="93"/>
      <c r="B1398" s="94"/>
      <c r="C1398" s="94"/>
      <c r="D1398" s="94"/>
      <c r="E1398" s="94"/>
      <c r="F1398" s="94"/>
      <c r="G1398" s="94"/>
      <c r="H1398" s="94"/>
      <c r="I1398" s="94"/>
      <c r="J1398" s="94"/>
      <c r="K1398" s="94"/>
      <c r="L1398" s="94"/>
      <c r="M1398" s="94"/>
      <c r="N1398" s="94"/>
      <c r="O1398" s="94"/>
      <c r="P1398" s="94"/>
      <c r="Q1398" s="94"/>
      <c r="R1398" s="95"/>
    </row>
    <row r="1399" s="1" customFormat="1" ht="21.95" customHeight="1"/>
    <row r="1400" ht="15.15"/>
    <row r="1401" s="1" customFormat="1" ht="5.1" customHeight="1" spans="1:18">
      <c r="A1401" s="4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6"/>
    </row>
    <row r="1402" s="1" customFormat="1" ht="15" customHeight="1" spans="1:18">
      <c r="A1402" s="7"/>
      <c r="B1402" s="8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9"/>
      <c r="O1402" s="9"/>
      <c r="P1402" s="9"/>
      <c r="Q1402" s="10"/>
      <c r="R1402" s="11"/>
    </row>
    <row r="1403" s="1" customFormat="1" ht="21.95" customHeight="1" spans="1:18">
      <c r="A1403" s="7"/>
      <c r="B1403" s="12"/>
      <c r="C1403" s="13" t="s">
        <v>7</v>
      </c>
      <c r="D1403" s="13"/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/>
      <c r="Q1403" s="14"/>
      <c r="R1403" s="11"/>
    </row>
    <row r="1404" s="1" customFormat="1" ht="21.95" customHeight="1" spans="1:18">
      <c r="A1404" s="7"/>
      <c r="B1404" s="1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14"/>
      <c r="R1404" s="11"/>
    </row>
    <row r="1405" s="1" customFormat="1" ht="21.95" customHeight="1" spans="1:18">
      <c r="A1405" s="7"/>
      <c r="B1405" s="12"/>
      <c r="C1405" s="15" t="str">
        <f>"SESSION-"&amp;ENTRY!$D$11</f>
        <v>SESSION-2026-27</v>
      </c>
      <c r="D1405" s="15"/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4"/>
      <c r="R1405" s="11"/>
    </row>
    <row r="1406" s="1" customFormat="1" ht="21.95" customHeight="1" spans="1:18">
      <c r="A1406" s="7"/>
      <c r="B1406" s="12"/>
      <c r="C1406" s="2"/>
      <c r="D1406" s="2"/>
      <c r="E1406" s="2"/>
      <c r="F1406" s="16">
        <f>F1350+1</f>
        <v>26</v>
      </c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14"/>
      <c r="R1406" s="11"/>
    </row>
    <row r="1407" s="1" customFormat="1" ht="21.95" customHeight="1" spans="1:18">
      <c r="A1407" s="7"/>
      <c r="B1407" s="12"/>
      <c r="C1407" s="17" t="s">
        <v>392</v>
      </c>
      <c r="D1407" s="17"/>
      <c r="E1407" s="17"/>
      <c r="F1407" s="18" t="str">
        <f>IF(F1406&gt;0,ENTRY!$D$6,"")</f>
        <v>MCP NITHARI NO 1 BOYS</v>
      </c>
      <c r="G1407" s="18"/>
      <c r="H1407" s="18"/>
      <c r="I1407" s="18"/>
      <c r="J1407" s="18"/>
      <c r="K1407" s="18"/>
      <c r="L1407" s="18"/>
      <c r="M1407" s="18"/>
      <c r="N1407" s="18"/>
      <c r="O1407" s="18"/>
      <c r="P1407" s="18"/>
      <c r="Q1407" s="14"/>
      <c r="R1407" s="11"/>
    </row>
    <row r="1408" s="1" customFormat="1" ht="21.95" customHeight="1" spans="1:18">
      <c r="A1408" s="7"/>
      <c r="B1408" s="12"/>
      <c r="C1408" s="17" t="s">
        <v>393</v>
      </c>
      <c r="D1408" s="17"/>
      <c r="E1408" s="17"/>
      <c r="F1408" s="18">
        <f>IF(F1406&gt;0,ENTRY!$D$7,"")</f>
        <v>0</v>
      </c>
      <c r="G1408" s="18"/>
      <c r="H1408" s="20" t="s">
        <v>702</v>
      </c>
      <c r="I1408" s="20"/>
      <c r="J1408" s="21">
        <f>IF(F1406&gt;0,ENTRY!$D$10,"")</f>
        <v>40</v>
      </c>
      <c r="K1408" s="20" t="s">
        <v>703</v>
      </c>
      <c r="L1408" s="22" t="str">
        <f>IF(F1406&gt;0,ENTRY!$D$5,"")</f>
        <v>ROHINI ZONE</v>
      </c>
      <c r="M1408" s="22"/>
      <c r="N1408" s="22"/>
      <c r="O1408" s="22"/>
      <c r="P1408" s="22"/>
      <c r="Q1408" s="14"/>
      <c r="R1408" s="11"/>
    </row>
    <row r="1409" s="1" customFormat="1" ht="21.95" customHeight="1" spans="1:18">
      <c r="A1409" s="7"/>
      <c r="B1409" s="12"/>
      <c r="C1409" s="17" t="s">
        <v>706</v>
      </c>
      <c r="D1409" s="17"/>
      <c r="E1409" s="17"/>
      <c r="F1409" s="23" t="str">
        <f>IFERROR(VLOOKUP(F1406,STUDENT!$A$2:$BP$101,5,0),"")</f>
        <v>MD ADAN SHEKH</v>
      </c>
      <c r="G1409" s="23"/>
      <c r="H1409" s="23"/>
      <c r="I1409" s="23"/>
      <c r="J1409" s="23"/>
      <c r="K1409" s="23"/>
      <c r="L1409" s="20" t="s">
        <v>707</v>
      </c>
      <c r="M1409" s="20"/>
      <c r="N1409" s="24" t="str">
        <f>IF(F1406&gt;0,ENTRY!$D$20&amp;"-"&amp;ENTRY!$D$21,"")</f>
        <v>III-A</v>
      </c>
      <c r="O1409" s="24"/>
      <c r="P1409" s="24"/>
      <c r="Q1409" s="14"/>
      <c r="R1409" s="11"/>
    </row>
    <row r="1410" s="1" customFormat="1" ht="21.95" customHeight="1" spans="1:18">
      <c r="A1410" s="7"/>
      <c r="B1410" s="12"/>
      <c r="C1410" s="17" t="s">
        <v>708</v>
      </c>
      <c r="D1410" s="17"/>
      <c r="E1410" s="17"/>
      <c r="F1410" s="25">
        <f>IFERROR(VLOOKUP(F1406,STUDENT!$A$2:$BP$101,6,0),"")</f>
        <v>14960</v>
      </c>
      <c r="G1410" s="25"/>
      <c r="H1410" s="26" t="s">
        <v>709</v>
      </c>
      <c r="I1410" s="27" t="str">
        <f>IFERROR(VLOOKUP(F1406,STUDENT!$A$2:$BP$101,59,0),"")</f>
        <v/>
      </c>
      <c r="J1410" s="27"/>
      <c r="K1410" s="20" t="s">
        <v>710</v>
      </c>
      <c r="L1410" s="20"/>
      <c r="M1410" s="28">
        <f>IFERROR(VLOOKUP(F1406,STUDENT!$A$2:$BP$101,20,0),"")</f>
        <v>8285323941</v>
      </c>
      <c r="N1410" s="28"/>
      <c r="O1410" s="28"/>
      <c r="P1410" s="28"/>
      <c r="Q1410" s="14"/>
      <c r="R1410" s="11"/>
    </row>
    <row r="1411" s="1" customFormat="1" ht="21.95" customHeight="1" spans="1:18">
      <c r="A1411" s="7"/>
      <c r="B1411" s="12"/>
      <c r="C1411" s="17" t="s">
        <v>711</v>
      </c>
      <c r="D1411" s="17"/>
      <c r="E1411" s="17"/>
      <c r="F1411" s="23" t="str">
        <f>IFERROR(VLOOKUP(F1406,STUDENT!$A$2:$BP$101,9,0),"")</f>
        <v>SAHJAHAN KHATOON</v>
      </c>
      <c r="G1411" s="23"/>
      <c r="H1411" s="23"/>
      <c r="I1411" s="23"/>
      <c r="J1411" s="17" t="s">
        <v>620</v>
      </c>
      <c r="K1411" s="17"/>
      <c r="L1411" s="23" t="str">
        <f>IFERROR(VLOOKUP(F1406,STUDENT!$A$2:$BP$101,8,0),"")</f>
        <v>MD ISHTIKHAR</v>
      </c>
      <c r="M1411" s="23"/>
      <c r="N1411" s="23"/>
      <c r="O1411" s="23"/>
      <c r="P1411" s="23"/>
      <c r="Q1411" s="14"/>
      <c r="R1411" s="11"/>
    </row>
    <row r="1412" s="1" customFormat="1" ht="21.95" customHeight="1" spans="1:18">
      <c r="A1412" s="7"/>
      <c r="B1412" s="12"/>
      <c r="C1412" s="17" t="s">
        <v>712</v>
      </c>
      <c r="D1412" s="17"/>
      <c r="E1412" s="17"/>
      <c r="F1412" s="23" t="str">
        <f>IFERROR(VLOOKUP(F1406,STUDENT!$A$2:$BP$101,22,0),"")</f>
        <v>PLOT NO-43 KHASRA NO -139 148 GALI NO -20 BLOCK - B PREM NAGAR</v>
      </c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14"/>
      <c r="R1412" s="11"/>
    </row>
    <row r="1413" s="1" customFormat="1" ht="9.95" customHeight="1" spans="1:18">
      <c r="A1413" s="7"/>
      <c r="B1413" s="12"/>
      <c r="C1413" s="29"/>
      <c r="D1413" s="29"/>
      <c r="E1413" s="29"/>
      <c r="F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14"/>
      <c r="R1413" s="11"/>
    </row>
    <row r="1414" s="1" customFormat="1" ht="9.95" customHeight="1" spans="1:18">
      <c r="A1414" s="7"/>
      <c r="B1414" s="12"/>
      <c r="C1414" s="30"/>
      <c r="D1414" s="31"/>
      <c r="E1414" s="31"/>
      <c r="F1414" s="31"/>
      <c r="G1414" s="31"/>
      <c r="H1414" s="31"/>
      <c r="I1414" s="31"/>
      <c r="J1414" s="31"/>
      <c r="K1414" s="31"/>
      <c r="L1414" s="31"/>
      <c r="M1414" s="31"/>
      <c r="N1414" s="31"/>
      <c r="O1414" s="31"/>
      <c r="P1414" s="32"/>
      <c r="Q1414" s="14"/>
      <c r="R1414" s="11"/>
    </row>
    <row r="1415" s="1" customFormat="1" ht="21.95" customHeight="1" spans="1:18">
      <c r="A1415" s="7"/>
      <c r="B1415" s="12"/>
      <c r="C1415" s="33"/>
      <c r="D1415" s="34" t="s">
        <v>713</v>
      </c>
      <c r="E1415" s="20" t="s">
        <v>714</v>
      </c>
      <c r="F1415" s="35" t="str">
        <f>"Level - "&amp;IFERROR(VLOOKUP(F1406,FLN!$A$4:$K$103,9,0),"")</f>
        <v>Level - 2</v>
      </c>
      <c r="G1415" s="36"/>
      <c r="H1415" s="37" t="s">
        <v>715</v>
      </c>
      <c r="I1415" s="20"/>
      <c r="J1415" s="35" t="str">
        <f>"Level - "&amp;IFERROR(VLOOKUP(F1406,FLN!$A$4:$K$103,11,0),"")</f>
        <v>Level - 3</v>
      </c>
      <c r="K1415" s="36"/>
      <c r="L1415" s="37" t="s">
        <v>408</v>
      </c>
      <c r="M1415" s="20"/>
      <c r="N1415" s="35" t="str">
        <f>"Level - "&amp;IFERROR(VLOOKUP(F1406,FLN!$A$4:$K$103,10,0),"")</f>
        <v>Level - 2</v>
      </c>
      <c r="O1415" s="36"/>
      <c r="P1415" s="19"/>
      <c r="Q1415" s="14"/>
      <c r="R1415" s="11"/>
    </row>
    <row r="1416" s="1" customFormat="1" ht="21.95" customHeight="1" spans="1:18">
      <c r="A1416" s="7"/>
      <c r="B1416" s="12"/>
      <c r="C1416" s="33"/>
      <c r="D1416" s="38"/>
      <c r="E1416" s="20" t="s">
        <v>716</v>
      </c>
      <c r="F1416" s="18" t="str">
        <f>IF(L1430&gt;197,"PERFORMED WELL","")</f>
        <v/>
      </c>
      <c r="G1416" s="18"/>
      <c r="H1416" s="18"/>
      <c r="I1416" s="18"/>
      <c r="J1416" s="18"/>
      <c r="K1416" s="18"/>
      <c r="L1416" s="18"/>
      <c r="M1416" s="18"/>
      <c r="N1416" s="18"/>
      <c r="O1416" s="18"/>
      <c r="P1416" s="19"/>
      <c r="Q1416" s="14"/>
      <c r="R1416" s="11"/>
    </row>
    <row r="1417" s="1" customFormat="1" ht="9.95" customHeight="1" spans="1:18">
      <c r="A1417" s="7"/>
      <c r="B1417" s="12"/>
      <c r="C1417" s="39"/>
      <c r="D1417" s="40"/>
      <c r="E1417" s="40"/>
      <c r="F1417" s="40"/>
      <c r="G1417" s="40"/>
      <c r="H1417" s="40"/>
      <c r="I1417" s="40"/>
      <c r="J1417" s="40"/>
      <c r="K1417" s="40"/>
      <c r="L1417" s="40"/>
      <c r="M1417" s="40"/>
      <c r="N1417" s="40"/>
      <c r="O1417" s="40"/>
      <c r="P1417" s="41"/>
      <c r="Q1417" s="14"/>
      <c r="R1417" s="11"/>
    </row>
    <row r="1418" s="1" customFormat="1" ht="9.95" customHeight="1" spans="1:18">
      <c r="A1418" s="7"/>
      <c r="B1418" s="12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14"/>
      <c r="R1418" s="11"/>
    </row>
    <row r="1419" s="1" customFormat="1" ht="9.95" customHeight="1" spans="1:18">
      <c r="A1419" s="7"/>
      <c r="B1419" s="12"/>
      <c r="C1419" s="30"/>
      <c r="D1419" s="31"/>
      <c r="E1419" s="31"/>
      <c r="F1419" s="31"/>
      <c r="G1419" s="31"/>
      <c r="H1419" s="31"/>
      <c r="I1419" s="31"/>
      <c r="J1419" s="31"/>
      <c r="K1419" s="31"/>
      <c r="L1419" s="31"/>
      <c r="M1419" s="31"/>
      <c r="N1419" s="31"/>
      <c r="O1419" s="31"/>
      <c r="P1419" s="32"/>
      <c r="Q1419" s="14"/>
      <c r="R1419" s="11"/>
    </row>
    <row r="1420" s="1" customFormat="1" ht="21.95" customHeight="1" spans="1:18">
      <c r="A1420" s="7"/>
      <c r="B1420" s="12"/>
      <c r="C1420" s="33"/>
      <c r="D1420" s="35"/>
      <c r="E1420" s="24"/>
      <c r="F1420" s="24"/>
      <c r="G1420" s="47" t="s">
        <v>717</v>
      </c>
      <c r="H1420" s="47"/>
      <c r="I1420" s="47"/>
      <c r="J1420" s="47"/>
      <c r="K1420" s="47"/>
      <c r="L1420" s="47"/>
      <c r="M1420" s="47"/>
      <c r="N1420" s="47"/>
      <c r="O1420" s="29"/>
      <c r="P1420" s="19"/>
      <c r="Q1420" s="14"/>
      <c r="R1420" s="11"/>
    </row>
    <row r="1421" s="1" customFormat="1" ht="21.95" customHeight="1" spans="1:18">
      <c r="A1421" s="7"/>
      <c r="B1421" s="12"/>
      <c r="C1421" s="33"/>
      <c r="D1421" s="47"/>
      <c r="E1421" s="47"/>
      <c r="F1421" s="47"/>
      <c r="G1421" s="47" t="s">
        <v>541</v>
      </c>
      <c r="H1421" s="47" t="s">
        <v>542</v>
      </c>
      <c r="I1421" s="47" t="s">
        <v>543</v>
      </c>
      <c r="J1421" s="47" t="s">
        <v>544</v>
      </c>
      <c r="K1421" s="47" t="s">
        <v>561</v>
      </c>
      <c r="L1421" s="47" t="s">
        <v>382</v>
      </c>
      <c r="M1421" s="49" t="s">
        <v>546</v>
      </c>
      <c r="N1421" s="49"/>
      <c r="O1421" s="29"/>
      <c r="P1421" s="19"/>
      <c r="Q1421" s="14"/>
      <c r="R1421" s="11"/>
    </row>
    <row r="1422" s="1" customFormat="1" ht="21.95" customHeight="1" spans="1:18">
      <c r="A1422" s="7"/>
      <c r="B1422" s="12"/>
      <c r="C1422" s="33"/>
      <c r="D1422" s="207" t="s">
        <v>652</v>
      </c>
      <c r="E1422" s="207"/>
      <c r="F1422" s="207"/>
      <c r="G1422" s="50">
        <v>10</v>
      </c>
      <c r="H1422" s="50">
        <v>10</v>
      </c>
      <c r="I1422" s="50">
        <v>10</v>
      </c>
      <c r="J1422" s="50">
        <v>10</v>
      </c>
      <c r="K1422" s="50">
        <v>60</v>
      </c>
      <c r="L1422" s="50">
        <v>100</v>
      </c>
      <c r="M1422" s="49"/>
      <c r="N1422" s="49"/>
      <c r="O1422" s="29"/>
      <c r="P1422" s="19"/>
      <c r="Q1422" s="14"/>
      <c r="R1422" s="11"/>
    </row>
    <row r="1423" s="1" customFormat="1" ht="21.95" customHeight="1" spans="1:18">
      <c r="A1423" s="7"/>
      <c r="B1423" s="12"/>
      <c r="C1423" s="33"/>
      <c r="D1423" s="117" t="s">
        <v>668</v>
      </c>
      <c r="E1423" s="117"/>
      <c r="F1423" s="117"/>
      <c r="G1423" s="54">
        <f>IFERROR(VLOOKUP(F1406,'1to4-2.1-RR'!$A$12:$BG$111,9,0),"")</f>
        <v>1</v>
      </c>
      <c r="H1423" s="54">
        <f>IFERROR(VLOOKUP(F1406,'1to4-2.1-RR'!$A$12:$BG$111,10,0),"")</f>
        <v>0</v>
      </c>
      <c r="I1423" s="54">
        <f>IFERROR(VLOOKUP(F1406,'1to4-2.1-RR'!$A$12:$BG$111,11,0),"")</f>
        <v>0</v>
      </c>
      <c r="J1423" s="54">
        <f>IFERROR(VLOOKUP(F1406,'1to4-2.1-RR'!$A$12:$BG$111,12,0),"")</f>
        <v>0</v>
      </c>
      <c r="K1423" s="54">
        <f>IFERROR(VLOOKUP(F1406,'1to4-2.1-RR'!$A$12:$BG$111,13,0),"")</f>
        <v>39</v>
      </c>
      <c r="L1423" s="55">
        <f>SUM(G1423:K1423)</f>
        <v>40</v>
      </c>
      <c r="M1423" s="56" t="str">
        <f>IF(F1406&gt;ENTRY!$D$24,"",IF(L1423=0,"Ab",IF(L1423&gt;80,"A",IF(L1423&gt;60,"B",IF(L1423&gt;44,"C",IF(L1423&gt;=33,"D",IF(L1423&lt;=32,"E","")))))))</f>
        <v>D</v>
      </c>
      <c r="N1423" s="56"/>
      <c r="O1423" s="29"/>
      <c r="P1423" s="19"/>
      <c r="Q1423" s="14"/>
      <c r="R1423" s="11"/>
    </row>
    <row r="1424" s="1" customFormat="1" ht="21.95" customHeight="1" spans="1:18">
      <c r="A1424" s="7"/>
      <c r="B1424" s="12"/>
      <c r="C1424" s="33"/>
      <c r="D1424" s="117" t="s">
        <v>513</v>
      </c>
      <c r="E1424" s="117"/>
      <c r="F1424" s="117"/>
      <c r="G1424" s="54">
        <f>IFERROR(VLOOKUP(F1406,'1to4-2.1-RR'!$A$12:$BG$111,16,0),"")</f>
        <v>1</v>
      </c>
      <c r="H1424" s="54">
        <f>IFERROR(VLOOKUP(F1406,'1to4-2.1-RR'!$A$12:$BG$111,17,0),"")</f>
        <v>0</v>
      </c>
      <c r="I1424" s="54">
        <f>IFERROR(VLOOKUP(F1406,'1to4-2.1-RR'!$A$12:$BG$111,18,0),"")</f>
        <v>0</v>
      </c>
      <c r="J1424" s="54">
        <f>IFERROR(VLOOKUP(F1406,'1to4-2.1-RR'!$A$12:$BG$111,19,0),"")</f>
        <v>0</v>
      </c>
      <c r="K1424" s="54">
        <f>IFERROR(VLOOKUP(F1406,'1to4-2.1-RR'!$A$12:$BG$111,20,0),"")</f>
        <v>21</v>
      </c>
      <c r="L1424" s="55">
        <f t="shared" ref="L1424:L1429" si="50">SUM(G1424:K1424)</f>
        <v>22</v>
      </c>
      <c r="M1424" s="56" t="str">
        <f>IF(F1406&gt;ENTRY!$D$24,"",IF(L1424=0,"Ab",IF(L1424&gt;80,"A",IF(L1424&gt;60,"B",IF(L1424&gt;44,"C",IF(L1424&gt;=33,"D",IF(L1424&lt;=32,"E","")))))))</f>
        <v>E</v>
      </c>
      <c r="N1424" s="56"/>
      <c r="O1424" s="29"/>
      <c r="P1424" s="19"/>
      <c r="Q1424" s="14"/>
      <c r="R1424" s="11"/>
    </row>
    <row r="1425" s="1" customFormat="1" ht="21.95" customHeight="1" spans="1:19">
      <c r="A1425" s="7"/>
      <c r="B1425" s="12"/>
      <c r="C1425" s="33"/>
      <c r="D1425" s="117" t="s">
        <v>718</v>
      </c>
      <c r="E1425" s="117"/>
      <c r="F1425" s="117"/>
      <c r="G1425" s="54">
        <f>IFERROR(VLOOKUP(F1406,'1to4-2.1-RR'!$A$12:$BG$111,23,0),"")</f>
        <v>1</v>
      </c>
      <c r="H1425" s="54">
        <f>IFERROR(VLOOKUP(F1406,'1to4-2.1-RR'!$A$12:$BG$111,24,0),"")</f>
        <v>0</v>
      </c>
      <c r="I1425" s="54">
        <f>IFERROR(VLOOKUP(F1406,'1to4-2.1-RR'!$A$12:$BG$111,25,0),"")</f>
        <v>0</v>
      </c>
      <c r="J1425" s="54">
        <f>IFERROR(VLOOKUP(F1406,'1to4-2.1-RR'!$A$12:$BG$111,26,0),"")</f>
        <v>0</v>
      </c>
      <c r="K1425" s="54">
        <f>IFERROR(VLOOKUP(F1406,'1to4-2.1-RR'!$A$12:$BG$111,27,0),"")</f>
        <v>23</v>
      </c>
      <c r="L1425" s="55">
        <f t="shared" si="50"/>
        <v>24</v>
      </c>
      <c r="M1425" s="56" t="str">
        <f>IF(F1406&gt;ENTRY!$D$24,"",IF(L1425=0,"Ab",IF(L1425&gt;80,"A",IF(L1425&gt;60,"B",IF(L1425&gt;44,"C",IF(L1425&gt;=33,"D",IF(L1425&lt;=32,"E","")))))))</f>
        <v>E</v>
      </c>
      <c r="N1425" s="56"/>
      <c r="O1425" s="29"/>
      <c r="P1425" s="19"/>
      <c r="Q1425" s="14"/>
      <c r="R1425" s="11"/>
    </row>
    <row r="1426" s="1" customFormat="1" ht="21.95" customHeight="1" spans="1:19">
      <c r="A1426" s="7"/>
      <c r="B1426" s="12"/>
      <c r="C1426" s="33"/>
      <c r="D1426" s="117" t="s">
        <v>719</v>
      </c>
      <c r="E1426" s="117"/>
      <c r="F1426" s="117"/>
      <c r="G1426" s="54">
        <f>IFERROR(VLOOKUP(F1406,'1to4-2.1-RR'!$A$12:$BG$111,30,0),"")</f>
        <v>1</v>
      </c>
      <c r="H1426" s="54">
        <f>IFERROR(VLOOKUP(F1406,'1to4-2.1-RR'!$A$12:$BG$111,31,0),"")</f>
        <v>0</v>
      </c>
      <c r="I1426" s="54">
        <f>IFERROR(VLOOKUP(F1406,'1to4-2.1-RR'!$A$12:$BG$111,32,0),"")</f>
        <v>0</v>
      </c>
      <c r="J1426" s="54">
        <f>IFERROR(VLOOKUP(F1406,'1to4-2.1-RR'!$A$12:$BG$111,33,0),"")</f>
        <v>0</v>
      </c>
      <c r="K1426" s="54">
        <f>IFERROR(VLOOKUP(F1406,'1to4-2.1-RR'!$A$12:$BG$111,34,0),"")</f>
        <v>25</v>
      </c>
      <c r="L1426" s="55">
        <f t="shared" si="50"/>
        <v>26</v>
      </c>
      <c r="M1426" s="56" t="str">
        <f>IF(F1406&gt;ENTRY!$D$24,"",IF(L1426=0,"Ab",IF(L1426&gt;80,"A",IF(L1426&gt;60,"B",IF(L1426&gt;44,"C",IF(L1426&gt;=33,"D",IF(L1426&lt;=32,"E","")))))))</f>
        <v>E</v>
      </c>
      <c r="N1426" s="56"/>
      <c r="O1426" s="29"/>
      <c r="P1426" s="19"/>
      <c r="Q1426" s="14"/>
      <c r="R1426" s="11"/>
    </row>
    <row r="1427" s="1" customFormat="1" ht="21.95" customHeight="1" spans="1:19">
      <c r="A1427" s="7"/>
      <c r="B1427" s="12"/>
      <c r="C1427" s="33"/>
      <c r="D1427" s="117" t="s">
        <v>548</v>
      </c>
      <c r="E1427" s="117"/>
      <c r="F1427" s="117"/>
      <c r="G1427" s="54">
        <f>IFERROR(VLOOKUP(F1406,'1to4-2.1-RR'!$A$12:$BG$111,37,0),"")</f>
        <v>0</v>
      </c>
      <c r="H1427" s="54">
        <f>IFERROR(VLOOKUP(F1406,'1to4-2.1-RR'!$A$12:$BG$111,38,0),"")</f>
        <v>0</v>
      </c>
      <c r="I1427" s="54">
        <f>IFERROR(VLOOKUP(F1406,'1to4-2.1-RR'!$A$12:$BG$111,39,0),"")</f>
        <v>0</v>
      </c>
      <c r="J1427" s="54">
        <f>IFERROR(VLOOKUP(F1406,'1to4-2.1-RR'!$A$12:$BG$111,40,0),"")</f>
        <v>0</v>
      </c>
      <c r="K1427" s="54">
        <f>IFERROR(VLOOKUP(F1406,'1to4-2.1-RR'!$A$12:$BG$111,41,0),"")</f>
        <v>23</v>
      </c>
      <c r="L1427" s="55">
        <f t="shared" si="50"/>
        <v>23</v>
      </c>
      <c r="M1427" s="56" t="str">
        <f>IF(F1406&gt;ENTRY!$D$24,"",IF(L1427=0,"Ab",IF(L1427&gt;80,"A",IF(L1427&gt;60,"B",IF(L1427&gt;44,"C",IF(L1427&gt;=33,"D",IF(L1427&lt;=32,"E","")))))))</f>
        <v>E</v>
      </c>
      <c r="N1427" s="56"/>
      <c r="O1427" s="29"/>
      <c r="P1427" s="19"/>
      <c r="Q1427" s="14"/>
      <c r="R1427" s="11"/>
    </row>
    <row r="1428" s="1" customFormat="1" ht="21.95" customHeight="1" spans="1:19">
      <c r="A1428" s="7"/>
      <c r="B1428" s="12"/>
      <c r="C1428" s="33"/>
      <c r="D1428" s="117" t="s">
        <v>549</v>
      </c>
      <c r="E1428" s="117"/>
      <c r="F1428" s="117"/>
      <c r="G1428" s="54">
        <f>IFERROR(VLOOKUP(F1406,'1to4-2.1-RR'!$A$12:$BG$111,44,0),"")</f>
        <v>1</v>
      </c>
      <c r="H1428" s="54">
        <f>IFERROR(VLOOKUP(F1406,'1to4-2.1-RR'!$A$12:$BG$111,45,0),"")</f>
        <v>0</v>
      </c>
      <c r="I1428" s="54">
        <f>IFERROR(VLOOKUP(F1406,'1to4-2.1-RR'!$A$12:$BG$111,46,0),"")</f>
        <v>0</v>
      </c>
      <c r="J1428" s="54">
        <f>IFERROR(VLOOKUP(F1406,'1to4-2.1-RR'!$A$12:$BG$111,47,0),"")</f>
        <v>0</v>
      </c>
      <c r="K1428" s="54">
        <f>IFERROR(VLOOKUP(F1406,'1to4-2.1-RR'!$A$12:$BG$111,48,0),"")</f>
        <v>27</v>
      </c>
      <c r="L1428" s="55">
        <f t="shared" si="50"/>
        <v>28</v>
      </c>
      <c r="M1428" s="56" t="str">
        <f>IF(F1406&gt;ENTRY!$D$24,"",IF(L1428=0,"Ab",IF(L1428&gt;80,"A",IF(L1428&gt;60,"B",IF(L1428&gt;44,"C",IF(L1428&gt;=33,"D",IF(L1428&lt;=32,"E","")))))))</f>
        <v>E</v>
      </c>
      <c r="N1428" s="56"/>
      <c r="O1428" s="29"/>
      <c r="P1428" s="19"/>
      <c r="Q1428" s="14"/>
      <c r="R1428" s="11"/>
    </row>
    <row r="1429" s="1" customFormat="1" ht="21.95" customHeight="1" spans="1:19">
      <c r="A1429" s="7"/>
      <c r="B1429" s="12"/>
      <c r="C1429" s="33"/>
      <c r="D1429" s="117" t="s">
        <v>720</v>
      </c>
      <c r="E1429" s="117"/>
      <c r="F1429" s="117"/>
      <c r="G1429" s="54"/>
      <c r="H1429" s="54"/>
      <c r="I1429" s="54"/>
      <c r="J1429" s="54"/>
      <c r="K1429" s="54"/>
      <c r="L1429" s="55">
        <f t="shared" si="50"/>
        <v>0</v>
      </c>
      <c r="M1429" s="56" t="str">
        <f>IF(F1406&gt;ENTRY!$D$24,"",IF(L1429=0,"",IF(L1429&gt;79,"A",IF(L1429&gt;59,"B",IF(L1429&gt;44,"C",IF(L1429&gt;=33,"D",IF(L1429&lt;=32,"E","")))))))</f>
        <v/>
      </c>
      <c r="N1429" s="56"/>
      <c r="O1429" s="29"/>
      <c r="P1429" s="19"/>
      <c r="Q1429" s="14"/>
      <c r="R1429" s="11"/>
    </row>
    <row r="1430" s="1" customFormat="1" ht="21.95" customHeight="1" spans="1:19">
      <c r="A1430" s="7"/>
      <c r="B1430" s="12"/>
      <c r="C1430" s="33"/>
      <c r="D1430" s="207" t="s">
        <v>382</v>
      </c>
      <c r="E1430" s="207"/>
      <c r="F1430" s="207"/>
      <c r="G1430" s="54">
        <f t="shared" ref="G1430:L1430" si="51">IFERROR(SUM(G1423:G1429),"")</f>
        <v>5</v>
      </c>
      <c r="H1430" s="54">
        <f t="shared" si="51"/>
        <v>0</v>
      </c>
      <c r="I1430" s="54">
        <f t="shared" si="51"/>
        <v>0</v>
      </c>
      <c r="J1430" s="54">
        <f t="shared" si="51"/>
        <v>0</v>
      </c>
      <c r="K1430" s="54">
        <f t="shared" si="51"/>
        <v>158</v>
      </c>
      <c r="L1430" s="55">
        <f t="shared" si="51"/>
        <v>163</v>
      </c>
      <c r="M1430" s="61" t="str">
        <f>IF(F1406&gt;ENTRY!$D$24,"",IF(N1431="Ab","Ab",IF(N1431&gt;79.5,"A",IF(N1431&gt;59.5,"B",IF(N1431&gt;44.5,"C",IF(N1431&gt;=33,"D",IF(N1431&lt;33,"E","")))))))</f>
        <v>E</v>
      </c>
      <c r="N1430" s="61"/>
      <c r="O1430" s="29"/>
      <c r="P1430" s="19"/>
      <c r="Q1430" s="14"/>
      <c r="R1430" s="11"/>
    </row>
    <row r="1431" s="1" customFormat="1" ht="21.95" customHeight="1" spans="1:19">
      <c r="A1431" s="7"/>
      <c r="B1431" s="12"/>
      <c r="C1431" s="33"/>
      <c r="D1431" s="63" t="s">
        <v>721</v>
      </c>
      <c r="E1431" s="63"/>
      <c r="F1431" s="63"/>
      <c r="G1431" s="63"/>
      <c r="H1431" s="63"/>
      <c r="I1431" s="63"/>
      <c r="J1431" s="63"/>
      <c r="K1431" s="63"/>
      <c r="L1431" s="63"/>
      <c r="M1431" s="209"/>
      <c r="N1431" s="64">
        <f>IF(L1430="Ab","Ab",L1430/6)</f>
        <v>27.1666666666667</v>
      </c>
      <c r="O1431" s="65"/>
      <c r="P1431" s="19"/>
      <c r="Q1431" s="14"/>
      <c r="R1431" s="11"/>
    </row>
    <row r="1432" s="1" customFormat="1" ht="21.95" customHeight="1" spans="1:19">
      <c r="A1432" s="7"/>
      <c r="B1432" s="12"/>
      <c r="C1432" s="33"/>
      <c r="D1432" s="29" t="s">
        <v>716</v>
      </c>
      <c r="E1432" s="18" t="str">
        <f>IFERROR(VLOOKUP(F1406,'1to4-2.1-RR'!$A$12:$BG$111,57,0),"")</f>
        <v>PROMOTED</v>
      </c>
      <c r="F1432" s="18"/>
      <c r="G1432" s="18"/>
      <c r="H1432" s="18"/>
      <c r="I1432" s="18"/>
      <c r="J1432" s="18"/>
      <c r="K1432" s="18"/>
      <c r="L1432" s="18"/>
      <c r="M1432" s="18"/>
      <c r="N1432" s="29"/>
      <c r="O1432" s="29"/>
      <c r="P1432" s="19"/>
      <c r="Q1432" s="14"/>
      <c r="R1432" s="11"/>
    </row>
    <row r="1433" s="1" customFormat="1" ht="9.95" customHeight="1" spans="1:19">
      <c r="A1433" s="7"/>
      <c r="B1433" s="12"/>
      <c r="C1433" s="39"/>
      <c r="D1433" s="40"/>
      <c r="E1433" s="40"/>
      <c r="F1433" s="40"/>
      <c r="G1433" s="40"/>
      <c r="H1433" s="40"/>
      <c r="I1433" s="40"/>
      <c r="J1433" s="40"/>
      <c r="K1433" s="40"/>
      <c r="L1433" s="40"/>
      <c r="M1433" s="40"/>
      <c r="N1433" s="40"/>
      <c r="O1433" s="40"/>
      <c r="P1433" s="41"/>
      <c r="Q1433" s="14"/>
      <c r="R1433" s="11"/>
    </row>
    <row r="1434" s="1" customFormat="1" ht="9.95" customHeight="1" spans="1:19">
      <c r="A1434" s="7"/>
      <c r="B1434" s="12"/>
      <c r="C1434" s="30"/>
      <c r="D1434" s="31"/>
      <c r="E1434" s="31"/>
      <c r="F1434" s="29"/>
      <c r="G1434" s="31"/>
      <c r="H1434" s="31"/>
      <c r="I1434" s="31"/>
      <c r="J1434" s="31"/>
      <c r="K1434" s="31"/>
      <c r="L1434" s="31"/>
      <c r="M1434" s="31"/>
      <c r="N1434" s="31"/>
      <c r="O1434" s="31"/>
      <c r="P1434" s="32"/>
      <c r="Q1434" s="14"/>
      <c r="R1434" s="11"/>
    </row>
    <row r="1435" s="1" customFormat="1" ht="9.95" customHeight="1" spans="1:19">
      <c r="A1435" s="7"/>
      <c r="B1435" s="12"/>
      <c r="C1435" s="33"/>
      <c r="D1435" s="29"/>
      <c r="E1435" s="29"/>
      <c r="F1435" s="29"/>
      <c r="G1435" s="29"/>
      <c r="H1435" s="29"/>
      <c r="I1435" s="29"/>
      <c r="J1435" s="29"/>
      <c r="K1435" s="29"/>
      <c r="L1435" s="29"/>
      <c r="M1435" s="29"/>
      <c r="N1435" s="29"/>
      <c r="O1435" s="29"/>
      <c r="P1435" s="19"/>
      <c r="Q1435" s="14"/>
      <c r="R1435" s="11"/>
    </row>
    <row r="1436" s="1" customFormat="1" ht="9.95" customHeight="1" spans="1:19">
      <c r="A1436" s="7"/>
      <c r="B1436" s="12"/>
      <c r="C1436" s="33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19"/>
      <c r="Q1436" s="14"/>
      <c r="R1436" s="11"/>
    </row>
    <row r="1437" s="1" customFormat="1" ht="21.95" customHeight="1" spans="1:19">
      <c r="A1437" s="7"/>
      <c r="B1437" s="12"/>
      <c r="C1437" s="210"/>
      <c r="D1437" s="211"/>
      <c r="E1437" s="211"/>
      <c r="F1437" s="211"/>
      <c r="G1437" s="211"/>
      <c r="H1437" s="211"/>
      <c r="I1437" s="211"/>
      <c r="J1437" s="211"/>
      <c r="K1437" s="211"/>
      <c r="L1437" s="211"/>
      <c r="M1437" s="211"/>
      <c r="N1437" s="211"/>
      <c r="O1437" s="211"/>
      <c r="P1437" s="212"/>
      <c r="Q1437" s="14"/>
      <c r="R1437" s="11"/>
      <c r="S1437" s="2"/>
    </row>
    <row r="1438" s="1" customFormat="1" ht="21.95" customHeight="1" spans="1:19">
      <c r="A1438" s="7"/>
      <c r="B1438" s="12"/>
      <c r="C1438" s="33"/>
      <c r="D1438" s="207" t="s">
        <v>722</v>
      </c>
      <c r="E1438" s="207"/>
      <c r="F1438" s="207"/>
      <c r="G1438" s="207"/>
      <c r="H1438" s="54">
        <f>IFERROR(VLOOKUP(F1406,PASHEET!$A$4:$CJ$103,88,0),"")</f>
        <v>0</v>
      </c>
      <c r="I1438" s="54"/>
      <c r="J1438" s="29"/>
      <c r="K1438" s="29"/>
      <c r="L1438" s="29"/>
      <c r="M1438" s="29"/>
      <c r="N1438" s="29"/>
      <c r="O1438" s="29"/>
      <c r="P1438" s="19"/>
      <c r="Q1438" s="14"/>
      <c r="R1438" s="11"/>
    </row>
    <row r="1439" s="1" customFormat="1" ht="21.95" customHeight="1" spans="1:19">
      <c r="A1439" s="7"/>
      <c r="B1439" s="12"/>
      <c r="C1439" s="213"/>
      <c r="D1439" s="207" t="s">
        <v>723</v>
      </c>
      <c r="E1439" s="207"/>
      <c r="F1439" s="207"/>
      <c r="G1439" s="207"/>
      <c r="H1439" s="54">
        <f>IFERROR(VLOOKUP(F1406,PASHEET!$A$4:$CJ$103,87,0),"")</f>
        <v>0</v>
      </c>
      <c r="I1439" s="54"/>
      <c r="J1439" s="214"/>
      <c r="K1439" s="214"/>
      <c r="L1439" s="207" t="s">
        <v>724</v>
      </c>
      <c r="M1439" s="207"/>
      <c r="N1439" s="117" t="str">
        <f>IF(F1406&gt;ENTRY!$D$24,"",IF(F1406&gt;0,L1430&amp;" / "&amp;600,""))</f>
        <v>163 / 600</v>
      </c>
      <c r="O1439" s="117"/>
      <c r="P1439" s="215"/>
      <c r="Q1439" s="14"/>
      <c r="R1439" s="11"/>
    </row>
    <row r="1440" s="1" customFormat="1" ht="18" customHeight="1" spans="1:19">
      <c r="A1440" s="7"/>
      <c r="B1440" s="12"/>
      <c r="C1440" s="33"/>
      <c r="D1440" s="207" t="s">
        <v>725</v>
      </c>
      <c r="E1440" s="207"/>
      <c r="F1440" s="207"/>
      <c r="G1440" s="207"/>
      <c r="H1440" s="69" t="str">
        <f>IFERROR(IF(F1406&gt;0,H1439/H1438*100),"")</f>
        <v/>
      </c>
      <c r="I1440" s="69"/>
      <c r="J1440" s="29"/>
      <c r="K1440" s="29"/>
      <c r="L1440" s="207" t="s">
        <v>726</v>
      </c>
      <c r="M1440" s="207"/>
      <c r="N1440" s="216">
        <f>IF(F1406&gt;ENTRY!$D$24,"",IF(F1406&gt;0,L1430/600*100,""))</f>
        <v>27.1666666666667</v>
      </c>
      <c r="O1440" s="216"/>
      <c r="P1440" s="19"/>
      <c r="Q1440" s="14"/>
      <c r="R1440" s="11"/>
    </row>
    <row r="1441" s="1" customFormat="1" ht="21.95" customHeight="1" spans="1:18">
      <c r="A1441" s="7"/>
      <c r="B1441" s="12"/>
      <c r="C1441" s="33"/>
      <c r="D1441" s="80"/>
      <c r="E1441" s="80"/>
      <c r="F1441" s="217"/>
      <c r="G1441" s="217"/>
      <c r="H1441" s="217"/>
      <c r="I1441" s="217"/>
      <c r="J1441" s="217"/>
      <c r="K1441" s="217"/>
      <c r="L1441" s="217"/>
      <c r="M1441" s="217"/>
      <c r="N1441" s="80"/>
      <c r="O1441" s="80"/>
      <c r="P1441" s="19"/>
      <c r="Q1441" s="14"/>
      <c r="R1441" s="11"/>
    </row>
    <row r="1442" s="1" customFormat="1" ht="21.95" customHeight="1" spans="1:18">
      <c r="A1442" s="7"/>
      <c r="B1442" s="12"/>
      <c r="C1442" s="33"/>
      <c r="D1442" s="80"/>
      <c r="E1442" s="218"/>
      <c r="F1442" s="218"/>
      <c r="G1442" s="218"/>
      <c r="H1442" s="80"/>
      <c r="I1442" s="218"/>
      <c r="J1442" s="218"/>
      <c r="K1442" s="218"/>
      <c r="L1442" s="218"/>
      <c r="M1442" s="80"/>
      <c r="N1442" s="219"/>
      <c r="O1442" s="219"/>
      <c r="P1442" s="19"/>
      <c r="Q1442" s="14"/>
      <c r="R1442" s="11"/>
    </row>
    <row r="1443" s="1" customFormat="1" ht="21.95" customHeight="1" spans="1:18">
      <c r="A1443" s="7"/>
      <c r="B1443" s="12"/>
      <c r="C1443" s="33"/>
      <c r="D1443" s="80"/>
      <c r="E1443" s="80"/>
      <c r="F1443" s="80"/>
      <c r="G1443" s="80"/>
      <c r="H1443" s="80"/>
      <c r="I1443" s="80"/>
      <c r="J1443" s="80"/>
      <c r="K1443" s="80"/>
      <c r="L1443" s="80"/>
      <c r="M1443" s="80"/>
      <c r="N1443" s="80"/>
      <c r="O1443" s="80"/>
      <c r="P1443" s="19"/>
      <c r="Q1443" s="14"/>
      <c r="R1443" s="11"/>
    </row>
    <row r="1444" s="1" customFormat="1" ht="21.95" customHeight="1" spans="1:18">
      <c r="A1444" s="7"/>
      <c r="B1444" s="12"/>
      <c r="C1444" s="33"/>
      <c r="D1444" s="218"/>
      <c r="E1444" s="218"/>
      <c r="F1444" s="218"/>
      <c r="G1444" s="218"/>
      <c r="H1444" s="218"/>
      <c r="I1444" s="218"/>
      <c r="J1444" s="218"/>
      <c r="K1444" s="218"/>
      <c r="L1444" s="218"/>
      <c r="M1444" s="80"/>
      <c r="N1444" s="217"/>
      <c r="O1444" s="217"/>
      <c r="P1444" s="85" t="s">
        <v>727</v>
      </c>
      <c r="Q1444" s="14"/>
      <c r="R1444" s="11"/>
    </row>
    <row r="1445" s="1" customFormat="1" ht="21.95" customHeight="1" spans="1:18">
      <c r="A1445" s="7"/>
      <c r="B1445" s="12"/>
      <c r="C1445" s="33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19"/>
      <c r="Q1445" s="14"/>
      <c r="R1445" s="11"/>
    </row>
    <row r="1446" s="1" customFormat="1" ht="21.95" customHeight="1" spans="1:18">
      <c r="A1446" s="7"/>
      <c r="B1446" s="12"/>
      <c r="C1446" s="33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19"/>
      <c r="Q1446" s="14"/>
      <c r="R1446" s="11"/>
    </row>
    <row r="1447" s="1" customFormat="1" ht="21.95" customHeight="1" spans="1:18">
      <c r="A1447" s="7"/>
      <c r="B1447" s="12"/>
      <c r="C1447" s="33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19"/>
      <c r="Q1447" s="14"/>
      <c r="R1447" s="11"/>
    </row>
    <row r="1448" s="1" customFormat="1" ht="21.95" customHeight="1" spans="1:18">
      <c r="A1448" s="7"/>
      <c r="B1448" s="12"/>
      <c r="C1448" s="33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19"/>
      <c r="Q1448" s="14"/>
      <c r="R1448" s="11"/>
    </row>
    <row r="1449" s="1" customFormat="1" ht="21.95" customHeight="1" spans="1:18">
      <c r="A1449" s="7"/>
      <c r="B1449" s="12"/>
      <c r="C1449" s="33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19"/>
      <c r="Q1449" s="14"/>
      <c r="R1449" s="11"/>
    </row>
    <row r="1450" s="1" customFormat="1" ht="21.95" customHeight="1" spans="1:18">
      <c r="A1450" s="7"/>
      <c r="B1450" s="12"/>
      <c r="C1450" s="33"/>
      <c r="D1450" s="80" t="s">
        <v>728</v>
      </c>
      <c r="E1450" s="220">
        <f>ENTRY!$D$27</f>
        <v>46102</v>
      </c>
      <c r="F1450" s="220"/>
      <c r="G1450" s="29"/>
      <c r="H1450" s="29"/>
      <c r="I1450" s="221" t="s">
        <v>729</v>
      </c>
      <c r="J1450" s="153"/>
      <c r="K1450" s="29"/>
      <c r="L1450" s="29"/>
      <c r="M1450" s="87" t="s">
        <v>730</v>
      </c>
      <c r="N1450" s="87"/>
      <c r="O1450" s="87"/>
      <c r="P1450" s="19"/>
      <c r="Q1450" s="14"/>
      <c r="R1450" s="11"/>
    </row>
    <row r="1451" s="1" customFormat="1" ht="21.95" customHeight="1" spans="1:18">
      <c r="A1451" s="7"/>
      <c r="B1451" s="12"/>
      <c r="C1451" s="33"/>
      <c r="D1451" s="80" t="s">
        <v>731</v>
      </c>
      <c r="E1451" s="88" t="str">
        <f>PROPER(ENTRY!$D$28)</f>
        <v>New Delhi</v>
      </c>
      <c r="F1451" s="88"/>
      <c r="G1451" s="29"/>
      <c r="H1451" s="29"/>
      <c r="I1451" s="153"/>
      <c r="J1451" s="153"/>
      <c r="K1451" s="29"/>
      <c r="L1451" s="29"/>
      <c r="M1451" s="79" t="s">
        <v>732</v>
      </c>
      <c r="N1451" s="79"/>
      <c r="O1451" s="79"/>
      <c r="P1451" s="19"/>
      <c r="Q1451" s="14"/>
      <c r="R1451" s="11"/>
    </row>
    <row r="1452" s="1" customFormat="1" ht="21.95" customHeight="1" spans="1:18">
      <c r="A1452" s="7"/>
      <c r="B1452" s="12"/>
      <c r="C1452" s="90"/>
      <c r="D1452" s="91"/>
      <c r="E1452" s="91"/>
      <c r="F1452" s="91"/>
      <c r="G1452" s="91"/>
      <c r="H1452" s="91"/>
      <c r="I1452" s="91"/>
      <c r="J1452" s="91"/>
      <c r="K1452" s="91"/>
      <c r="L1452" s="91"/>
      <c r="M1452" s="91"/>
      <c r="N1452" s="91"/>
      <c r="O1452" s="91"/>
      <c r="P1452" s="92"/>
      <c r="Q1452" s="14"/>
      <c r="R1452" s="11"/>
    </row>
    <row r="1453" s="1" customFormat="1" ht="5.1" customHeight="1" spans="1:18">
      <c r="A1453" s="7"/>
      <c r="B1453" s="90"/>
      <c r="C1453" s="91"/>
      <c r="D1453" s="91"/>
      <c r="E1453" s="91"/>
      <c r="F1453" s="91"/>
      <c r="G1453" s="91"/>
      <c r="H1453" s="91"/>
      <c r="I1453" s="91"/>
      <c r="J1453" s="91"/>
      <c r="K1453" s="91"/>
      <c r="L1453" s="91"/>
      <c r="M1453" s="91"/>
      <c r="N1453" s="91"/>
      <c r="O1453" s="91"/>
      <c r="P1453" s="91"/>
      <c r="Q1453" s="92"/>
      <c r="R1453" s="11"/>
    </row>
    <row r="1454" s="1" customFormat="1" ht="5.1" customHeight="1" spans="1:18">
      <c r="A1454" s="93"/>
      <c r="B1454" s="94"/>
      <c r="C1454" s="94"/>
      <c r="D1454" s="94"/>
      <c r="E1454" s="94"/>
      <c r="F1454" s="94"/>
      <c r="G1454" s="94"/>
      <c r="H1454" s="94"/>
      <c r="I1454" s="94"/>
      <c r="J1454" s="94"/>
      <c r="K1454" s="94"/>
      <c r="L1454" s="94"/>
      <c r="M1454" s="94"/>
      <c r="N1454" s="94"/>
      <c r="O1454" s="94"/>
      <c r="P1454" s="94"/>
      <c r="Q1454" s="94"/>
      <c r="R1454" s="95"/>
    </row>
    <row r="1455" s="1" customFormat="1" ht="21.95" customHeight="1"/>
    <row r="1456" ht="15.15"/>
    <row r="1457" s="1" customFormat="1" ht="5.1" customHeight="1" spans="1:18">
      <c r="A1457" s="4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6"/>
    </row>
    <row r="1458" s="1" customFormat="1" ht="15" customHeight="1" spans="1:18">
      <c r="A1458" s="7"/>
      <c r="B1458" s="8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9"/>
      <c r="O1458" s="9"/>
      <c r="P1458" s="9"/>
      <c r="Q1458" s="10"/>
      <c r="R1458" s="11"/>
    </row>
    <row r="1459" s="1" customFormat="1" ht="21.95" customHeight="1" spans="1:18">
      <c r="A1459" s="7"/>
      <c r="B1459" s="12"/>
      <c r="C1459" s="13" t="s">
        <v>7</v>
      </c>
      <c r="D1459" s="13"/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/>
      <c r="Q1459" s="14"/>
      <c r="R1459" s="11"/>
    </row>
    <row r="1460" s="1" customFormat="1" ht="21.95" customHeight="1" spans="1:18">
      <c r="A1460" s="7"/>
      <c r="B1460" s="1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14"/>
      <c r="R1460" s="11"/>
    </row>
    <row r="1461" s="1" customFormat="1" ht="21.95" customHeight="1" spans="1:18">
      <c r="A1461" s="7"/>
      <c r="B1461" s="12"/>
      <c r="C1461" s="15" t="str">
        <f>"SESSION-"&amp;ENTRY!$D$11</f>
        <v>SESSION-2026-27</v>
      </c>
      <c r="D1461" s="15"/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4"/>
      <c r="R1461" s="11"/>
    </row>
    <row r="1462" s="1" customFormat="1" ht="21.95" customHeight="1" spans="1:18">
      <c r="A1462" s="7"/>
      <c r="B1462" s="12"/>
      <c r="C1462" s="2"/>
      <c r="D1462" s="2"/>
      <c r="E1462" s="2"/>
      <c r="F1462" s="16">
        <f>F1406+1</f>
        <v>27</v>
      </c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14"/>
      <c r="R1462" s="11"/>
    </row>
    <row r="1463" s="1" customFormat="1" ht="21.95" customHeight="1" spans="1:18">
      <c r="A1463" s="7"/>
      <c r="B1463" s="12"/>
      <c r="C1463" s="17" t="s">
        <v>392</v>
      </c>
      <c r="D1463" s="17"/>
      <c r="E1463" s="17"/>
      <c r="F1463" s="18" t="str">
        <f>IF(F1462&gt;0,ENTRY!$D$6,"")</f>
        <v>MCP NITHARI NO 1 BOYS</v>
      </c>
      <c r="G1463" s="18"/>
      <c r="H1463" s="18"/>
      <c r="I1463" s="18"/>
      <c r="J1463" s="18"/>
      <c r="K1463" s="18"/>
      <c r="L1463" s="18"/>
      <c r="M1463" s="18"/>
      <c r="N1463" s="18"/>
      <c r="O1463" s="18"/>
      <c r="P1463" s="18"/>
      <c r="Q1463" s="14"/>
      <c r="R1463" s="11"/>
    </row>
    <row r="1464" s="1" customFormat="1" ht="21.95" customHeight="1" spans="1:18">
      <c r="A1464" s="7"/>
      <c r="B1464" s="12"/>
      <c r="C1464" s="17" t="s">
        <v>393</v>
      </c>
      <c r="D1464" s="17"/>
      <c r="E1464" s="17"/>
      <c r="F1464" s="18">
        <f>IF(F1462&gt;0,ENTRY!$D$7,"")</f>
        <v>0</v>
      </c>
      <c r="G1464" s="18"/>
      <c r="H1464" s="20" t="s">
        <v>702</v>
      </c>
      <c r="I1464" s="20"/>
      <c r="J1464" s="21">
        <f>IF(F1462&gt;0,ENTRY!$D$10,"")</f>
        <v>40</v>
      </c>
      <c r="K1464" s="20" t="s">
        <v>703</v>
      </c>
      <c r="L1464" s="22" t="str">
        <f>IF(F1462&gt;0,ENTRY!$D$5,"")</f>
        <v>ROHINI ZONE</v>
      </c>
      <c r="M1464" s="22"/>
      <c r="N1464" s="22"/>
      <c r="O1464" s="22"/>
      <c r="P1464" s="22"/>
      <c r="Q1464" s="14"/>
      <c r="R1464" s="11"/>
    </row>
    <row r="1465" s="1" customFormat="1" ht="21.95" customHeight="1" spans="1:18">
      <c r="A1465" s="7"/>
      <c r="B1465" s="12"/>
      <c r="C1465" s="17" t="s">
        <v>706</v>
      </c>
      <c r="D1465" s="17"/>
      <c r="E1465" s="17"/>
      <c r="F1465" s="23" t="str">
        <f>IFERROR(VLOOKUP(F1462,STUDENT!$A$2:$BP$101,5,0),"")</f>
        <v>KARTIK</v>
      </c>
      <c r="G1465" s="23"/>
      <c r="H1465" s="23"/>
      <c r="I1465" s="23"/>
      <c r="J1465" s="23"/>
      <c r="K1465" s="23"/>
      <c r="L1465" s="20" t="s">
        <v>707</v>
      </c>
      <c r="M1465" s="20"/>
      <c r="N1465" s="24" t="str">
        <f>IF(F1462&gt;0,ENTRY!$D$20&amp;"-"&amp;ENTRY!$D$21,"")</f>
        <v>III-A</v>
      </c>
      <c r="O1465" s="24"/>
      <c r="P1465" s="24"/>
      <c r="Q1465" s="14"/>
      <c r="R1465" s="11"/>
    </row>
    <row r="1466" s="1" customFormat="1" ht="21.95" customHeight="1" spans="1:18">
      <c r="A1466" s="7"/>
      <c r="B1466" s="12"/>
      <c r="C1466" s="17" t="s">
        <v>708</v>
      </c>
      <c r="D1466" s="17"/>
      <c r="E1466" s="17"/>
      <c r="F1466" s="25">
        <f>IFERROR(VLOOKUP(F1462,STUDENT!$A$2:$BP$101,6,0),"")</f>
        <v>14976</v>
      </c>
      <c r="G1466" s="25"/>
      <c r="H1466" s="26" t="s">
        <v>709</v>
      </c>
      <c r="I1466" s="27" t="str">
        <f>IFERROR(VLOOKUP(F1462,STUDENT!$A$2:$BP$101,59,0),"")</f>
        <v/>
      </c>
      <c r="J1466" s="27"/>
      <c r="K1466" s="20" t="s">
        <v>710</v>
      </c>
      <c r="L1466" s="20"/>
      <c r="M1466" s="28">
        <f>IFERROR(VLOOKUP(F1462,STUDENT!$A$2:$BP$101,20,0),"")</f>
        <v>9718355129</v>
      </c>
      <c r="N1466" s="28"/>
      <c r="O1466" s="28"/>
      <c r="P1466" s="28"/>
      <c r="Q1466" s="14"/>
      <c r="R1466" s="11"/>
    </row>
    <row r="1467" s="1" customFormat="1" ht="21.95" customHeight="1" spans="1:18">
      <c r="A1467" s="7"/>
      <c r="B1467" s="12"/>
      <c r="C1467" s="17" t="s">
        <v>711</v>
      </c>
      <c r="D1467" s="17"/>
      <c r="E1467" s="17"/>
      <c r="F1467" s="23" t="str">
        <f>IFERROR(VLOOKUP(F1462,STUDENT!$A$2:$BP$101,9,0),"")</f>
        <v>MEENA</v>
      </c>
      <c r="G1467" s="23"/>
      <c r="H1467" s="23"/>
      <c r="I1467" s="23"/>
      <c r="J1467" s="17" t="s">
        <v>620</v>
      </c>
      <c r="K1467" s="17"/>
      <c r="L1467" s="23" t="str">
        <f>IFERROR(VLOOKUP(F1462,STUDENT!$A$2:$BP$101,8,0),"")</f>
        <v>SUNIL</v>
      </c>
      <c r="M1467" s="23"/>
      <c r="N1467" s="23"/>
      <c r="O1467" s="23"/>
      <c r="P1467" s="23"/>
      <c r="Q1467" s="14"/>
      <c r="R1467" s="11"/>
    </row>
    <row r="1468" s="1" customFormat="1" ht="21.95" customHeight="1" spans="1:18">
      <c r="A1468" s="7"/>
      <c r="B1468" s="12"/>
      <c r="C1468" s="17" t="s">
        <v>712</v>
      </c>
      <c r="D1468" s="17"/>
      <c r="E1468" s="17"/>
      <c r="F1468" s="23" t="str">
        <f>IFERROR(VLOOKUP(F1462,STUDENT!$A$2:$BP$101,22,0),"")</f>
        <v>H.NO -560 INDER ENCLAVE</v>
      </c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14"/>
      <c r="R1468" s="11"/>
    </row>
    <row r="1469" s="1" customFormat="1" ht="9.95" customHeight="1" spans="1:18">
      <c r="A1469" s="7"/>
      <c r="B1469" s="12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14"/>
      <c r="R1469" s="11"/>
    </row>
    <row r="1470" s="1" customFormat="1" ht="9.95" customHeight="1" spans="1:18">
      <c r="A1470" s="7"/>
      <c r="B1470" s="12"/>
      <c r="C1470" s="30"/>
      <c r="D1470" s="31"/>
      <c r="E1470" s="31"/>
      <c r="F1470" s="31"/>
      <c r="G1470" s="31"/>
      <c r="H1470" s="31"/>
      <c r="I1470" s="31"/>
      <c r="J1470" s="31"/>
      <c r="K1470" s="31"/>
      <c r="L1470" s="31"/>
      <c r="M1470" s="31"/>
      <c r="N1470" s="31"/>
      <c r="O1470" s="31"/>
      <c r="P1470" s="32"/>
      <c r="Q1470" s="14"/>
      <c r="R1470" s="11"/>
    </row>
    <row r="1471" s="1" customFormat="1" ht="21.95" customHeight="1" spans="1:18">
      <c r="A1471" s="7"/>
      <c r="B1471" s="12"/>
      <c r="C1471" s="33"/>
      <c r="D1471" s="34" t="s">
        <v>713</v>
      </c>
      <c r="E1471" s="20" t="s">
        <v>714</v>
      </c>
      <c r="F1471" s="35" t="str">
        <f>"Level - "&amp;IFERROR(VLOOKUP(F1462,FLN!$A$4:$K$103,9,0),"")</f>
        <v>Level - 2</v>
      </c>
      <c r="G1471" s="36"/>
      <c r="H1471" s="37" t="s">
        <v>715</v>
      </c>
      <c r="I1471" s="20"/>
      <c r="J1471" s="35" t="str">
        <f>"Level - "&amp;IFERROR(VLOOKUP(F1462,FLN!$A$4:$K$103,11,0),"")</f>
        <v>Level - 3</v>
      </c>
      <c r="K1471" s="36"/>
      <c r="L1471" s="37" t="s">
        <v>408</v>
      </c>
      <c r="M1471" s="20"/>
      <c r="N1471" s="35" t="str">
        <f>"Level - "&amp;IFERROR(VLOOKUP(F1462,FLN!$A$4:$K$103,10,0),"")</f>
        <v>Level - 2</v>
      </c>
      <c r="O1471" s="36"/>
      <c r="P1471" s="19"/>
      <c r="Q1471" s="14"/>
      <c r="R1471" s="11"/>
    </row>
    <row r="1472" s="1" customFormat="1" ht="21.95" customHeight="1" spans="1:18">
      <c r="A1472" s="7"/>
      <c r="B1472" s="12"/>
      <c r="C1472" s="33"/>
      <c r="D1472" s="38"/>
      <c r="E1472" s="20" t="s">
        <v>716</v>
      </c>
      <c r="F1472" s="18" t="str">
        <f>IF(L1486&gt;197,"PERFORMED WELL","")</f>
        <v/>
      </c>
      <c r="G1472" s="18"/>
      <c r="H1472" s="18"/>
      <c r="I1472" s="18"/>
      <c r="J1472" s="18"/>
      <c r="K1472" s="18"/>
      <c r="L1472" s="18"/>
      <c r="M1472" s="18"/>
      <c r="N1472" s="18"/>
      <c r="O1472" s="18"/>
      <c r="P1472" s="19"/>
      <c r="Q1472" s="14"/>
      <c r="R1472" s="11"/>
    </row>
    <row r="1473" s="1" customFormat="1" ht="9.95" customHeight="1" spans="1:18">
      <c r="A1473" s="7"/>
      <c r="B1473" s="12"/>
      <c r="C1473" s="39"/>
      <c r="D1473" s="40"/>
      <c r="E1473" s="40"/>
      <c r="F1473" s="40"/>
      <c r="G1473" s="40"/>
      <c r="H1473" s="40"/>
      <c r="I1473" s="40"/>
      <c r="J1473" s="40"/>
      <c r="K1473" s="40"/>
      <c r="L1473" s="40"/>
      <c r="M1473" s="40"/>
      <c r="N1473" s="40"/>
      <c r="O1473" s="40"/>
      <c r="P1473" s="41"/>
      <c r="Q1473" s="14"/>
      <c r="R1473" s="11"/>
    </row>
    <row r="1474" s="1" customFormat="1" ht="9.95" customHeight="1" spans="1:18">
      <c r="A1474" s="7"/>
      <c r="B1474" s="12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14"/>
      <c r="R1474" s="11"/>
    </row>
    <row r="1475" s="1" customFormat="1" ht="9.95" customHeight="1" spans="1:18">
      <c r="A1475" s="7"/>
      <c r="B1475" s="12"/>
      <c r="C1475" s="30"/>
      <c r="D1475" s="31"/>
      <c r="E1475" s="31"/>
      <c r="F1475" s="31"/>
      <c r="G1475" s="31"/>
      <c r="H1475" s="31"/>
      <c r="I1475" s="31"/>
      <c r="J1475" s="31"/>
      <c r="K1475" s="31"/>
      <c r="L1475" s="31"/>
      <c r="M1475" s="31"/>
      <c r="N1475" s="31"/>
      <c r="O1475" s="31"/>
      <c r="P1475" s="32"/>
      <c r="Q1475" s="14"/>
      <c r="R1475" s="11"/>
    </row>
    <row r="1476" s="1" customFormat="1" ht="21.95" customHeight="1" spans="1:18">
      <c r="A1476" s="7"/>
      <c r="B1476" s="12"/>
      <c r="C1476" s="33"/>
      <c r="D1476" s="35"/>
      <c r="E1476" s="24"/>
      <c r="F1476" s="24"/>
      <c r="G1476" s="47" t="s">
        <v>717</v>
      </c>
      <c r="H1476" s="47"/>
      <c r="I1476" s="47"/>
      <c r="J1476" s="47"/>
      <c r="K1476" s="47"/>
      <c r="L1476" s="47"/>
      <c r="M1476" s="47"/>
      <c r="N1476" s="47"/>
      <c r="O1476" s="29"/>
      <c r="P1476" s="19"/>
      <c r="Q1476" s="14"/>
      <c r="R1476" s="11"/>
    </row>
    <row r="1477" s="1" customFormat="1" ht="21.95" customHeight="1" spans="1:18">
      <c r="A1477" s="7"/>
      <c r="B1477" s="12"/>
      <c r="C1477" s="33"/>
      <c r="D1477" s="47"/>
      <c r="E1477" s="47"/>
      <c r="F1477" s="47"/>
      <c r="G1477" s="47" t="s">
        <v>541</v>
      </c>
      <c r="H1477" s="47" t="s">
        <v>542</v>
      </c>
      <c r="I1477" s="47" t="s">
        <v>543</v>
      </c>
      <c r="J1477" s="47" t="s">
        <v>544</v>
      </c>
      <c r="K1477" s="47" t="s">
        <v>561</v>
      </c>
      <c r="L1477" s="47" t="s">
        <v>382</v>
      </c>
      <c r="M1477" s="49" t="s">
        <v>546</v>
      </c>
      <c r="N1477" s="49"/>
      <c r="O1477" s="29"/>
      <c r="P1477" s="19"/>
      <c r="Q1477" s="14"/>
      <c r="R1477" s="11"/>
    </row>
    <row r="1478" s="1" customFormat="1" ht="21.95" customHeight="1" spans="1:18">
      <c r="A1478" s="7"/>
      <c r="B1478" s="12"/>
      <c r="C1478" s="33"/>
      <c r="D1478" s="207" t="s">
        <v>652</v>
      </c>
      <c r="E1478" s="207"/>
      <c r="F1478" s="207"/>
      <c r="G1478" s="50">
        <v>10</v>
      </c>
      <c r="H1478" s="50">
        <v>10</v>
      </c>
      <c r="I1478" s="50">
        <v>10</v>
      </c>
      <c r="J1478" s="50">
        <v>10</v>
      </c>
      <c r="K1478" s="50">
        <v>60</v>
      </c>
      <c r="L1478" s="50">
        <v>100</v>
      </c>
      <c r="M1478" s="49"/>
      <c r="N1478" s="49"/>
      <c r="O1478" s="29"/>
      <c r="P1478" s="19"/>
      <c r="Q1478" s="14"/>
      <c r="R1478" s="11"/>
    </row>
    <row r="1479" s="1" customFormat="1" ht="21.95" customHeight="1" spans="1:18">
      <c r="A1479" s="7"/>
      <c r="B1479" s="12"/>
      <c r="C1479" s="33"/>
      <c r="D1479" s="117" t="s">
        <v>668</v>
      </c>
      <c r="E1479" s="117"/>
      <c r="F1479" s="117"/>
      <c r="G1479" s="54">
        <f>IFERROR(VLOOKUP(F1462,'1to4-2.1-RR'!$A$12:$BG$111,9,0),"")</f>
        <v>1</v>
      </c>
      <c r="H1479" s="54">
        <f>IFERROR(VLOOKUP(F1462,'1to4-2.1-RR'!$A$12:$BG$111,10,0),"")</f>
        <v>0</v>
      </c>
      <c r="I1479" s="54">
        <f>IFERROR(VLOOKUP(F1462,'1to4-2.1-RR'!$A$12:$BG$111,11,0),"")</f>
        <v>0</v>
      </c>
      <c r="J1479" s="54">
        <f>IFERROR(VLOOKUP(F1462,'1to4-2.1-RR'!$A$12:$BG$111,12,0),"")</f>
        <v>0</v>
      </c>
      <c r="K1479" s="54">
        <f>IFERROR(VLOOKUP(F1462,'1to4-2.1-RR'!$A$12:$BG$111,13,0),"")</f>
        <v>29</v>
      </c>
      <c r="L1479" s="55">
        <f>SUM(G1479:K1479)</f>
        <v>30</v>
      </c>
      <c r="M1479" s="56" t="str">
        <f>IF(F1462&gt;ENTRY!$D$24,"",IF(L1479=0,"Ab",IF(L1479&gt;80,"A",IF(L1479&gt;60,"B",IF(L1479&gt;44,"C",IF(L1479&gt;=33,"D",IF(L1479&lt;=32,"E","")))))))</f>
        <v>E</v>
      </c>
      <c r="N1479" s="56"/>
      <c r="O1479" s="29"/>
      <c r="P1479" s="19"/>
      <c r="Q1479" s="14"/>
      <c r="R1479" s="11"/>
    </row>
    <row r="1480" s="1" customFormat="1" ht="21.95" customHeight="1" spans="1:18">
      <c r="A1480" s="7"/>
      <c r="B1480" s="12"/>
      <c r="C1480" s="33"/>
      <c r="D1480" s="117" t="s">
        <v>513</v>
      </c>
      <c r="E1480" s="117"/>
      <c r="F1480" s="117"/>
      <c r="G1480" s="54">
        <f>IFERROR(VLOOKUP(F1462,'1to4-2.1-RR'!$A$12:$BG$111,16,0),"")</f>
        <v>1</v>
      </c>
      <c r="H1480" s="54">
        <f>IFERROR(VLOOKUP(F1462,'1to4-2.1-RR'!$A$12:$BG$111,17,0),"")</f>
        <v>0</v>
      </c>
      <c r="I1480" s="54">
        <f>IFERROR(VLOOKUP(F1462,'1to4-2.1-RR'!$A$12:$BG$111,18,0),"")</f>
        <v>0</v>
      </c>
      <c r="J1480" s="54">
        <f>IFERROR(VLOOKUP(F1462,'1to4-2.1-RR'!$A$12:$BG$111,19,0),"")</f>
        <v>0</v>
      </c>
      <c r="K1480" s="54">
        <f>IFERROR(VLOOKUP(F1462,'1to4-2.1-RR'!$A$12:$BG$111,20,0),"")</f>
        <v>11</v>
      </c>
      <c r="L1480" s="55">
        <f t="shared" ref="L1480:L1485" si="52">SUM(G1480:K1480)</f>
        <v>12</v>
      </c>
      <c r="M1480" s="56" t="str">
        <f>IF(F1462&gt;ENTRY!$D$24,"",IF(L1480=0,"Ab",IF(L1480&gt;80,"A",IF(L1480&gt;60,"B",IF(L1480&gt;44,"C",IF(L1480&gt;=33,"D",IF(L1480&lt;=32,"E","")))))))</f>
        <v>E</v>
      </c>
      <c r="N1480" s="56"/>
      <c r="O1480" s="29"/>
      <c r="P1480" s="19"/>
      <c r="Q1480" s="14"/>
      <c r="R1480" s="11"/>
    </row>
    <row r="1481" s="1" customFormat="1" ht="21.95" customHeight="1" spans="1:18">
      <c r="A1481" s="7"/>
      <c r="B1481" s="12"/>
      <c r="C1481" s="33"/>
      <c r="D1481" s="117" t="s">
        <v>718</v>
      </c>
      <c r="E1481" s="117"/>
      <c r="F1481" s="117"/>
      <c r="G1481" s="54">
        <f>IFERROR(VLOOKUP(F1462,'1to4-2.1-RR'!$A$12:$BG$111,23,0),"")</f>
        <v>2</v>
      </c>
      <c r="H1481" s="54">
        <f>IFERROR(VLOOKUP(F1462,'1to4-2.1-RR'!$A$12:$BG$111,24,0),"")</f>
        <v>0</v>
      </c>
      <c r="I1481" s="54">
        <f>IFERROR(VLOOKUP(F1462,'1to4-2.1-RR'!$A$12:$BG$111,25,0),"")</f>
        <v>0</v>
      </c>
      <c r="J1481" s="54">
        <f>IFERROR(VLOOKUP(F1462,'1to4-2.1-RR'!$A$12:$BG$111,26,0),"")</f>
        <v>0</v>
      </c>
      <c r="K1481" s="54">
        <f>IFERROR(VLOOKUP(F1462,'1to4-2.1-RR'!$A$12:$BG$111,27,0),"")</f>
        <v>15</v>
      </c>
      <c r="L1481" s="55">
        <f t="shared" si="52"/>
        <v>17</v>
      </c>
      <c r="M1481" s="56" t="str">
        <f>IF(F1462&gt;ENTRY!$D$24,"",IF(L1481=0,"Ab",IF(L1481&gt;80,"A",IF(L1481&gt;60,"B",IF(L1481&gt;44,"C",IF(L1481&gt;=33,"D",IF(L1481&lt;=32,"E","")))))))</f>
        <v>E</v>
      </c>
      <c r="N1481" s="56"/>
      <c r="O1481" s="29"/>
      <c r="P1481" s="19"/>
      <c r="Q1481" s="14"/>
      <c r="R1481" s="11"/>
    </row>
    <row r="1482" s="1" customFormat="1" ht="21.95" customHeight="1" spans="1:18">
      <c r="A1482" s="7"/>
      <c r="B1482" s="12"/>
      <c r="C1482" s="33"/>
      <c r="D1482" s="117" t="s">
        <v>719</v>
      </c>
      <c r="E1482" s="117"/>
      <c r="F1482" s="117"/>
      <c r="G1482" s="54">
        <f>IFERROR(VLOOKUP(F1462,'1to4-2.1-RR'!$A$12:$BG$111,30,0),"")</f>
        <v>2</v>
      </c>
      <c r="H1482" s="54">
        <f>IFERROR(VLOOKUP(F1462,'1to4-2.1-RR'!$A$12:$BG$111,31,0),"")</f>
        <v>0</v>
      </c>
      <c r="I1482" s="54">
        <f>IFERROR(VLOOKUP(F1462,'1to4-2.1-RR'!$A$12:$BG$111,32,0),"")</f>
        <v>0</v>
      </c>
      <c r="J1482" s="54">
        <f>IFERROR(VLOOKUP(F1462,'1to4-2.1-RR'!$A$12:$BG$111,33,0),"")</f>
        <v>0</v>
      </c>
      <c r="K1482" s="54">
        <f>IFERROR(VLOOKUP(F1462,'1to4-2.1-RR'!$A$12:$BG$111,34,0),"")</f>
        <v>11</v>
      </c>
      <c r="L1482" s="55">
        <f t="shared" si="52"/>
        <v>13</v>
      </c>
      <c r="M1482" s="56" t="str">
        <f>IF(F1462&gt;ENTRY!$D$24,"",IF(L1482=0,"Ab",IF(L1482&gt;80,"A",IF(L1482&gt;60,"B",IF(L1482&gt;44,"C",IF(L1482&gt;=33,"D",IF(L1482&lt;=32,"E","")))))))</f>
        <v>E</v>
      </c>
      <c r="N1482" s="56"/>
      <c r="O1482" s="29"/>
      <c r="P1482" s="19"/>
      <c r="Q1482" s="14"/>
      <c r="R1482" s="11"/>
    </row>
    <row r="1483" s="1" customFormat="1" ht="21.95" customHeight="1" spans="1:18">
      <c r="A1483" s="7"/>
      <c r="B1483" s="12"/>
      <c r="C1483" s="33"/>
      <c r="D1483" s="117" t="s">
        <v>548</v>
      </c>
      <c r="E1483" s="117"/>
      <c r="F1483" s="117"/>
      <c r="G1483" s="54">
        <f>IFERROR(VLOOKUP(F1462,'1to4-2.1-RR'!$A$12:$BG$111,37,0),"")</f>
        <v>0</v>
      </c>
      <c r="H1483" s="54">
        <f>IFERROR(VLOOKUP(F1462,'1to4-2.1-RR'!$A$12:$BG$111,38,0),"")</f>
        <v>0</v>
      </c>
      <c r="I1483" s="54">
        <f>IFERROR(VLOOKUP(F1462,'1to4-2.1-RR'!$A$12:$BG$111,39,0),"")</f>
        <v>0</v>
      </c>
      <c r="J1483" s="54">
        <f>IFERROR(VLOOKUP(F1462,'1to4-2.1-RR'!$A$12:$BG$111,40,0),"")</f>
        <v>0</v>
      </c>
      <c r="K1483" s="54">
        <f>IFERROR(VLOOKUP(F1462,'1to4-2.1-RR'!$A$12:$BG$111,41,0),"")</f>
        <v>16</v>
      </c>
      <c r="L1483" s="55">
        <f t="shared" si="52"/>
        <v>16</v>
      </c>
      <c r="M1483" s="56" t="str">
        <f>IF(F1462&gt;ENTRY!$D$24,"",IF(L1483=0,"Ab",IF(L1483&gt;80,"A",IF(L1483&gt;60,"B",IF(L1483&gt;44,"C",IF(L1483&gt;=33,"D",IF(L1483&lt;=32,"E","")))))))</f>
        <v>E</v>
      </c>
      <c r="N1483" s="56"/>
      <c r="O1483" s="29"/>
      <c r="P1483" s="19"/>
      <c r="Q1483" s="14"/>
      <c r="R1483" s="11"/>
    </row>
    <row r="1484" s="1" customFormat="1" ht="21.95" customHeight="1" spans="1:18">
      <c r="A1484" s="7"/>
      <c r="B1484" s="12"/>
      <c r="C1484" s="33"/>
      <c r="D1484" s="117" t="s">
        <v>549</v>
      </c>
      <c r="E1484" s="117"/>
      <c r="F1484" s="117"/>
      <c r="G1484" s="54">
        <f>IFERROR(VLOOKUP(F1462,'1to4-2.1-RR'!$A$12:$BG$111,44,0),"")</f>
        <v>2</v>
      </c>
      <c r="H1484" s="54">
        <f>IFERROR(VLOOKUP(F1462,'1to4-2.1-RR'!$A$12:$BG$111,45,0),"")</f>
        <v>0</v>
      </c>
      <c r="I1484" s="54">
        <f>IFERROR(VLOOKUP(F1462,'1to4-2.1-RR'!$A$12:$BG$111,46,0),"")</f>
        <v>0</v>
      </c>
      <c r="J1484" s="54">
        <f>IFERROR(VLOOKUP(F1462,'1to4-2.1-RR'!$A$12:$BG$111,47,0),"")</f>
        <v>0</v>
      </c>
      <c r="K1484" s="54">
        <f>IFERROR(VLOOKUP(F1462,'1to4-2.1-RR'!$A$12:$BG$111,48,0),"")</f>
        <v>13</v>
      </c>
      <c r="L1484" s="55">
        <f t="shared" si="52"/>
        <v>15</v>
      </c>
      <c r="M1484" s="56" t="str">
        <f>IF(F1462&gt;ENTRY!$D$24,"",IF(L1484=0,"Ab",IF(L1484&gt;80,"A",IF(L1484&gt;60,"B",IF(L1484&gt;44,"C",IF(L1484&gt;=33,"D",IF(L1484&lt;=32,"E","")))))))</f>
        <v>E</v>
      </c>
      <c r="N1484" s="56"/>
      <c r="O1484" s="29"/>
      <c r="P1484" s="19"/>
      <c r="Q1484" s="14"/>
      <c r="R1484" s="11"/>
    </row>
    <row r="1485" s="1" customFormat="1" ht="21.95" customHeight="1" spans="1:18">
      <c r="A1485" s="7"/>
      <c r="B1485" s="12"/>
      <c r="C1485" s="33"/>
      <c r="D1485" s="117" t="s">
        <v>720</v>
      </c>
      <c r="E1485" s="117"/>
      <c r="F1485" s="117"/>
      <c r="G1485" s="54"/>
      <c r="H1485" s="54"/>
      <c r="I1485" s="54"/>
      <c r="J1485" s="54"/>
      <c r="K1485" s="54"/>
      <c r="L1485" s="55">
        <f t="shared" si="52"/>
        <v>0</v>
      </c>
      <c r="M1485" s="56" t="str">
        <f>IF(F1462&gt;ENTRY!$D$24,"",IF(L1485=0,"",IF(L1485&gt;79,"A",IF(L1485&gt;59,"B",IF(L1485&gt;44,"C",IF(L1485&gt;=33,"D",IF(L1485&lt;=32,"E","")))))))</f>
        <v/>
      </c>
      <c r="N1485" s="56"/>
      <c r="O1485" s="29"/>
      <c r="P1485" s="19"/>
      <c r="Q1485" s="14"/>
      <c r="R1485" s="11"/>
    </row>
    <row r="1486" s="1" customFormat="1" ht="21.95" customHeight="1" spans="1:18">
      <c r="A1486" s="7"/>
      <c r="B1486" s="12"/>
      <c r="C1486" s="33"/>
      <c r="D1486" s="207" t="s">
        <v>382</v>
      </c>
      <c r="E1486" s="207"/>
      <c r="F1486" s="207"/>
      <c r="G1486" s="54">
        <f t="shared" ref="G1486:L1486" si="53">IFERROR(SUM(G1479:G1485),"")</f>
        <v>8</v>
      </c>
      <c r="H1486" s="54">
        <f t="shared" si="53"/>
        <v>0</v>
      </c>
      <c r="I1486" s="54">
        <f t="shared" si="53"/>
        <v>0</v>
      </c>
      <c r="J1486" s="54">
        <f t="shared" si="53"/>
        <v>0</v>
      </c>
      <c r="K1486" s="54">
        <f t="shared" si="53"/>
        <v>95</v>
      </c>
      <c r="L1486" s="55">
        <f t="shared" si="53"/>
        <v>103</v>
      </c>
      <c r="M1486" s="61" t="str">
        <f>IF(F1462&gt;ENTRY!$D$24,"",IF(N1487="Ab","Ab",IF(N1487&gt;79.5,"A",IF(N1487&gt;59.5,"B",IF(N1487&gt;44.5,"C",IF(N1487&gt;=33,"D",IF(N1487&lt;33,"E","")))))))</f>
        <v>E</v>
      </c>
      <c r="N1486" s="61"/>
      <c r="O1486" s="29"/>
      <c r="P1486" s="19"/>
      <c r="Q1486" s="14"/>
      <c r="R1486" s="11"/>
    </row>
    <row r="1487" s="1" customFormat="1" ht="21.95" customHeight="1" spans="1:18">
      <c r="A1487" s="7"/>
      <c r="B1487" s="12"/>
      <c r="C1487" s="33"/>
      <c r="D1487" s="63" t="s">
        <v>721</v>
      </c>
      <c r="E1487" s="63"/>
      <c r="F1487" s="63"/>
      <c r="G1487" s="63"/>
      <c r="H1487" s="63"/>
      <c r="I1487" s="63"/>
      <c r="J1487" s="63"/>
      <c r="K1487" s="63"/>
      <c r="L1487" s="63"/>
      <c r="M1487" s="209"/>
      <c r="N1487" s="64">
        <f>IF(L1486="Ab","Ab",L1486/6)</f>
        <v>17.1666666666667</v>
      </c>
      <c r="O1487" s="65"/>
      <c r="P1487" s="19"/>
      <c r="Q1487" s="14"/>
      <c r="R1487" s="11"/>
    </row>
    <row r="1488" s="1" customFormat="1" ht="21.95" customHeight="1" spans="1:18">
      <c r="A1488" s="7"/>
      <c r="B1488" s="12"/>
      <c r="C1488" s="33"/>
      <c r="D1488" s="29" t="s">
        <v>716</v>
      </c>
      <c r="E1488" s="18" t="str">
        <f>IFERROR(VLOOKUP(F1462,'1to4-2.1-RR'!$A$12:$BG$111,57,0),"")</f>
        <v>PROMOTED</v>
      </c>
      <c r="F1488" s="18"/>
      <c r="G1488" s="18"/>
      <c r="H1488" s="18"/>
      <c r="I1488" s="18"/>
      <c r="J1488" s="18"/>
      <c r="K1488" s="18"/>
      <c r="L1488" s="18"/>
      <c r="M1488" s="18"/>
      <c r="N1488" s="29"/>
      <c r="O1488" s="29"/>
      <c r="P1488" s="19"/>
      <c r="Q1488" s="14"/>
      <c r="R1488" s="11"/>
    </row>
    <row r="1489" s="1" customFormat="1" ht="9.95" customHeight="1" spans="1:19">
      <c r="A1489" s="7"/>
      <c r="B1489" s="12"/>
      <c r="C1489" s="39"/>
      <c r="D1489" s="40"/>
      <c r="E1489" s="40"/>
      <c r="F1489" s="40"/>
      <c r="G1489" s="40"/>
      <c r="H1489" s="40"/>
      <c r="I1489" s="40"/>
      <c r="J1489" s="40"/>
      <c r="K1489" s="40"/>
      <c r="L1489" s="40"/>
      <c r="M1489" s="40"/>
      <c r="N1489" s="40"/>
      <c r="O1489" s="40"/>
      <c r="P1489" s="41"/>
      <c r="Q1489" s="14"/>
      <c r="R1489" s="11"/>
    </row>
    <row r="1490" s="1" customFormat="1" ht="9.95" customHeight="1" spans="1:19">
      <c r="A1490" s="7"/>
      <c r="B1490" s="12"/>
      <c r="C1490" s="30"/>
      <c r="D1490" s="31"/>
      <c r="E1490" s="31"/>
      <c r="F1490" s="29"/>
      <c r="G1490" s="31"/>
      <c r="H1490" s="31"/>
      <c r="I1490" s="31"/>
      <c r="J1490" s="31"/>
      <c r="K1490" s="31"/>
      <c r="L1490" s="31"/>
      <c r="M1490" s="31"/>
      <c r="N1490" s="31"/>
      <c r="O1490" s="31"/>
      <c r="P1490" s="32"/>
      <c r="Q1490" s="14"/>
      <c r="R1490" s="11"/>
    </row>
    <row r="1491" s="1" customFormat="1" ht="9.95" customHeight="1" spans="1:19">
      <c r="A1491" s="7"/>
      <c r="B1491" s="12"/>
      <c r="C1491" s="33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19"/>
      <c r="Q1491" s="14"/>
      <c r="R1491" s="11"/>
    </row>
    <row r="1492" s="1" customFormat="1" ht="9.95" customHeight="1" spans="1:19">
      <c r="A1492" s="7"/>
      <c r="B1492" s="12"/>
      <c r="C1492" s="33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19"/>
      <c r="Q1492" s="14"/>
      <c r="R1492" s="11"/>
    </row>
    <row r="1493" s="1" customFormat="1" ht="21.95" customHeight="1" spans="1:19">
      <c r="A1493" s="7"/>
      <c r="B1493" s="12"/>
      <c r="C1493" s="210"/>
      <c r="D1493" s="211"/>
      <c r="E1493" s="211"/>
      <c r="F1493" s="211"/>
      <c r="G1493" s="211"/>
      <c r="H1493" s="211"/>
      <c r="I1493" s="211"/>
      <c r="J1493" s="211"/>
      <c r="K1493" s="211"/>
      <c r="L1493" s="211"/>
      <c r="M1493" s="211"/>
      <c r="N1493" s="211"/>
      <c r="O1493" s="211"/>
      <c r="P1493" s="212"/>
      <c r="Q1493" s="14"/>
      <c r="R1493" s="11"/>
      <c r="S1493" s="2"/>
    </row>
    <row r="1494" s="1" customFormat="1" ht="21.95" customHeight="1" spans="1:19">
      <c r="A1494" s="7"/>
      <c r="B1494" s="12"/>
      <c r="C1494" s="33"/>
      <c r="D1494" s="207" t="s">
        <v>722</v>
      </c>
      <c r="E1494" s="207"/>
      <c r="F1494" s="207"/>
      <c r="G1494" s="207"/>
      <c r="H1494" s="54">
        <f>IFERROR(VLOOKUP(F1462,PASHEET!$A$4:$CJ$103,88,0),"")</f>
        <v>0</v>
      </c>
      <c r="I1494" s="54"/>
      <c r="J1494" s="29"/>
      <c r="K1494" s="29"/>
      <c r="L1494" s="29"/>
      <c r="M1494" s="29"/>
      <c r="N1494" s="29"/>
      <c r="O1494" s="29"/>
      <c r="P1494" s="19"/>
      <c r="Q1494" s="14"/>
      <c r="R1494" s="11"/>
    </row>
    <row r="1495" s="1" customFormat="1" ht="21.95" customHeight="1" spans="1:19">
      <c r="A1495" s="7"/>
      <c r="B1495" s="12"/>
      <c r="C1495" s="213"/>
      <c r="D1495" s="207" t="s">
        <v>723</v>
      </c>
      <c r="E1495" s="207"/>
      <c r="F1495" s="207"/>
      <c r="G1495" s="207"/>
      <c r="H1495" s="54">
        <f>IFERROR(VLOOKUP(F1462,PASHEET!$A$4:$CJ$103,87,0),"")</f>
        <v>0</v>
      </c>
      <c r="I1495" s="54"/>
      <c r="J1495" s="214"/>
      <c r="K1495" s="214"/>
      <c r="L1495" s="207" t="s">
        <v>724</v>
      </c>
      <c r="M1495" s="207"/>
      <c r="N1495" s="117" t="str">
        <f>IF(F1462&gt;ENTRY!$D$24,"",IF(F1462&gt;0,L1486&amp;" / "&amp;600,""))</f>
        <v>103 / 600</v>
      </c>
      <c r="O1495" s="117"/>
      <c r="P1495" s="215"/>
      <c r="Q1495" s="14"/>
      <c r="R1495" s="11"/>
    </row>
    <row r="1496" s="1" customFormat="1" ht="18" customHeight="1" spans="1:19">
      <c r="A1496" s="7"/>
      <c r="B1496" s="12"/>
      <c r="C1496" s="33"/>
      <c r="D1496" s="207" t="s">
        <v>725</v>
      </c>
      <c r="E1496" s="207"/>
      <c r="F1496" s="207"/>
      <c r="G1496" s="207"/>
      <c r="H1496" s="69" t="str">
        <f>IFERROR(IF(F1462&gt;0,H1495/H1494*100),"")</f>
        <v/>
      </c>
      <c r="I1496" s="69"/>
      <c r="J1496" s="29"/>
      <c r="K1496" s="29"/>
      <c r="L1496" s="207" t="s">
        <v>726</v>
      </c>
      <c r="M1496" s="207"/>
      <c r="N1496" s="216">
        <f>IF(F1462&gt;ENTRY!$D$24,"",IF(F1462&gt;0,L1486/600*100,""))</f>
        <v>17.1666666666667</v>
      </c>
      <c r="O1496" s="216"/>
      <c r="P1496" s="19"/>
      <c r="Q1496" s="14"/>
      <c r="R1496" s="11"/>
    </row>
    <row r="1497" s="1" customFormat="1" ht="21.95" customHeight="1" spans="1:19">
      <c r="A1497" s="7"/>
      <c r="B1497" s="12"/>
      <c r="C1497" s="33"/>
      <c r="D1497" s="80"/>
      <c r="E1497" s="80"/>
      <c r="F1497" s="217"/>
      <c r="G1497" s="217"/>
      <c r="H1497" s="217"/>
      <c r="I1497" s="217"/>
      <c r="J1497" s="217"/>
      <c r="K1497" s="217"/>
      <c r="L1497" s="217"/>
      <c r="M1497" s="217"/>
      <c r="N1497" s="80"/>
      <c r="O1497" s="80"/>
      <c r="P1497" s="19"/>
      <c r="Q1497" s="14"/>
      <c r="R1497" s="11"/>
    </row>
    <row r="1498" s="1" customFormat="1" ht="21.95" customHeight="1" spans="1:19">
      <c r="A1498" s="7"/>
      <c r="B1498" s="12"/>
      <c r="C1498" s="33"/>
      <c r="D1498" s="80"/>
      <c r="E1498" s="218"/>
      <c r="F1498" s="218"/>
      <c r="G1498" s="218"/>
      <c r="H1498" s="80"/>
      <c r="I1498" s="218"/>
      <c r="J1498" s="218"/>
      <c r="K1498" s="218"/>
      <c r="L1498" s="218"/>
      <c r="M1498" s="80"/>
      <c r="N1498" s="219"/>
      <c r="O1498" s="219"/>
      <c r="P1498" s="19"/>
      <c r="Q1498" s="14"/>
      <c r="R1498" s="11"/>
    </row>
    <row r="1499" s="1" customFormat="1" ht="21.95" customHeight="1" spans="1:19">
      <c r="A1499" s="7"/>
      <c r="B1499" s="12"/>
      <c r="C1499" s="33"/>
      <c r="D1499" s="80"/>
      <c r="E1499" s="80"/>
      <c r="F1499" s="80"/>
      <c r="G1499" s="80"/>
      <c r="H1499" s="80"/>
      <c r="I1499" s="80"/>
      <c r="J1499" s="80"/>
      <c r="K1499" s="80"/>
      <c r="L1499" s="80"/>
      <c r="M1499" s="80"/>
      <c r="N1499" s="80"/>
      <c r="O1499" s="80"/>
      <c r="P1499" s="19"/>
      <c r="Q1499" s="14"/>
      <c r="R1499" s="11"/>
    </row>
    <row r="1500" s="1" customFormat="1" ht="21.95" customHeight="1" spans="1:19">
      <c r="A1500" s="7"/>
      <c r="B1500" s="12"/>
      <c r="C1500" s="33"/>
      <c r="D1500" s="218"/>
      <c r="E1500" s="218"/>
      <c r="F1500" s="218"/>
      <c r="G1500" s="218"/>
      <c r="H1500" s="218"/>
      <c r="I1500" s="218"/>
      <c r="J1500" s="218"/>
      <c r="K1500" s="218"/>
      <c r="L1500" s="218"/>
      <c r="M1500" s="80"/>
      <c r="N1500" s="217"/>
      <c r="O1500" s="217"/>
      <c r="P1500" s="85" t="s">
        <v>727</v>
      </c>
      <c r="Q1500" s="14"/>
      <c r="R1500" s="11"/>
    </row>
    <row r="1501" s="1" customFormat="1" ht="21.95" customHeight="1" spans="1:19">
      <c r="A1501" s="7"/>
      <c r="B1501" s="12"/>
      <c r="C1501" s="33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19"/>
      <c r="Q1501" s="14"/>
      <c r="R1501" s="11"/>
    </row>
    <row r="1502" s="1" customFormat="1" ht="21.95" customHeight="1" spans="1:19">
      <c r="A1502" s="7"/>
      <c r="B1502" s="12"/>
      <c r="C1502" s="33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19"/>
      <c r="Q1502" s="14"/>
      <c r="R1502" s="11"/>
    </row>
    <row r="1503" s="1" customFormat="1" ht="21.95" customHeight="1" spans="1:19">
      <c r="A1503" s="7"/>
      <c r="B1503" s="12"/>
      <c r="C1503" s="33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19"/>
      <c r="Q1503" s="14"/>
      <c r="R1503" s="11"/>
    </row>
    <row r="1504" s="1" customFormat="1" ht="21.95" customHeight="1" spans="1:19">
      <c r="A1504" s="7"/>
      <c r="B1504" s="12"/>
      <c r="C1504" s="33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19"/>
      <c r="Q1504" s="14"/>
      <c r="R1504" s="11"/>
    </row>
    <row r="1505" s="1" customFormat="1" ht="21.95" customHeight="1" spans="1:18">
      <c r="A1505" s="7"/>
      <c r="B1505" s="12"/>
      <c r="C1505" s="33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19"/>
      <c r="Q1505" s="14"/>
      <c r="R1505" s="11"/>
    </row>
    <row r="1506" s="1" customFormat="1" ht="21.95" customHeight="1" spans="1:18">
      <c r="A1506" s="7"/>
      <c r="B1506" s="12"/>
      <c r="C1506" s="33"/>
      <c r="D1506" s="80" t="s">
        <v>728</v>
      </c>
      <c r="E1506" s="220">
        <f>ENTRY!$D$27</f>
        <v>46102</v>
      </c>
      <c r="F1506" s="220"/>
      <c r="G1506" s="29"/>
      <c r="H1506" s="29"/>
      <c r="I1506" s="221" t="s">
        <v>729</v>
      </c>
      <c r="J1506" s="153"/>
      <c r="K1506" s="29"/>
      <c r="L1506" s="29"/>
      <c r="M1506" s="87" t="s">
        <v>730</v>
      </c>
      <c r="N1506" s="87"/>
      <c r="O1506" s="87"/>
      <c r="P1506" s="19"/>
      <c r="Q1506" s="14"/>
      <c r="R1506" s="11"/>
    </row>
    <row r="1507" s="1" customFormat="1" ht="21.95" customHeight="1" spans="1:18">
      <c r="A1507" s="7"/>
      <c r="B1507" s="12"/>
      <c r="C1507" s="33"/>
      <c r="D1507" s="80" t="s">
        <v>731</v>
      </c>
      <c r="E1507" s="88" t="str">
        <f>PROPER(ENTRY!$D$28)</f>
        <v>New Delhi</v>
      </c>
      <c r="F1507" s="88"/>
      <c r="G1507" s="29"/>
      <c r="H1507" s="29"/>
      <c r="I1507" s="153"/>
      <c r="J1507" s="153"/>
      <c r="K1507" s="29"/>
      <c r="L1507" s="29"/>
      <c r="M1507" s="79" t="s">
        <v>732</v>
      </c>
      <c r="N1507" s="79"/>
      <c r="O1507" s="79"/>
      <c r="P1507" s="19"/>
      <c r="Q1507" s="14"/>
      <c r="R1507" s="11"/>
    </row>
    <row r="1508" s="1" customFormat="1" ht="21.95" customHeight="1" spans="1:18">
      <c r="A1508" s="7"/>
      <c r="B1508" s="12"/>
      <c r="C1508" s="90"/>
      <c r="D1508" s="91"/>
      <c r="E1508" s="91"/>
      <c r="F1508" s="91"/>
      <c r="G1508" s="91"/>
      <c r="H1508" s="91"/>
      <c r="I1508" s="91"/>
      <c r="J1508" s="91"/>
      <c r="K1508" s="91"/>
      <c r="L1508" s="91"/>
      <c r="M1508" s="91"/>
      <c r="N1508" s="91"/>
      <c r="O1508" s="91"/>
      <c r="P1508" s="92"/>
      <c r="Q1508" s="14"/>
      <c r="R1508" s="11"/>
    </row>
    <row r="1509" s="1" customFormat="1" ht="5.1" customHeight="1" spans="1:18">
      <c r="A1509" s="7"/>
      <c r="B1509" s="90"/>
      <c r="C1509" s="91"/>
      <c r="D1509" s="91"/>
      <c r="E1509" s="91"/>
      <c r="F1509" s="91"/>
      <c r="G1509" s="91"/>
      <c r="H1509" s="91"/>
      <c r="I1509" s="91"/>
      <c r="J1509" s="91"/>
      <c r="K1509" s="91"/>
      <c r="L1509" s="91"/>
      <c r="M1509" s="91"/>
      <c r="N1509" s="91"/>
      <c r="O1509" s="91"/>
      <c r="P1509" s="91"/>
      <c r="Q1509" s="92"/>
      <c r="R1509" s="11"/>
    </row>
    <row r="1510" s="1" customFormat="1" ht="5.1" customHeight="1" spans="1:18">
      <c r="A1510" s="93"/>
      <c r="B1510" s="94"/>
      <c r="C1510" s="94"/>
      <c r="D1510" s="94"/>
      <c r="E1510" s="94"/>
      <c r="F1510" s="94"/>
      <c r="G1510" s="94"/>
      <c r="H1510" s="94"/>
      <c r="I1510" s="94"/>
      <c r="J1510" s="94"/>
      <c r="K1510" s="94"/>
      <c r="L1510" s="94"/>
      <c r="M1510" s="94"/>
      <c r="N1510" s="94"/>
      <c r="O1510" s="94"/>
      <c r="P1510" s="94"/>
      <c r="Q1510" s="94"/>
      <c r="R1510" s="95"/>
    </row>
    <row r="1511" s="1" customFormat="1" ht="21.95" customHeight="1"/>
    <row r="1512" ht="15.15"/>
    <row r="1513" s="1" customFormat="1" ht="5.1" customHeight="1" spans="1:18">
      <c r="A1513" s="4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6"/>
    </row>
    <row r="1514" s="1" customFormat="1" ht="15" customHeight="1" spans="1:18">
      <c r="A1514" s="7"/>
      <c r="B1514" s="8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9"/>
      <c r="O1514" s="9"/>
      <c r="P1514" s="9"/>
      <c r="Q1514" s="10"/>
      <c r="R1514" s="11"/>
    </row>
    <row r="1515" s="1" customFormat="1" ht="21.95" customHeight="1" spans="1:18">
      <c r="A1515" s="7"/>
      <c r="B1515" s="12"/>
      <c r="C1515" s="13" t="s">
        <v>7</v>
      </c>
      <c r="D1515" s="13"/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/>
      <c r="Q1515" s="14"/>
      <c r="R1515" s="11"/>
    </row>
    <row r="1516" s="1" customFormat="1" ht="21.95" customHeight="1" spans="1:18">
      <c r="A1516" s="7"/>
      <c r="B1516" s="1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14"/>
      <c r="R1516" s="11"/>
    </row>
    <row r="1517" s="1" customFormat="1" ht="21.95" customHeight="1" spans="1:18">
      <c r="A1517" s="7"/>
      <c r="B1517" s="12"/>
      <c r="C1517" s="15" t="str">
        <f>"SESSION-"&amp;ENTRY!$D$11</f>
        <v>SESSION-2026-27</v>
      </c>
      <c r="D1517" s="15"/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4"/>
      <c r="R1517" s="11"/>
    </row>
    <row r="1518" s="1" customFormat="1" ht="21.95" customHeight="1" spans="1:18">
      <c r="A1518" s="7"/>
      <c r="B1518" s="12"/>
      <c r="C1518" s="2"/>
      <c r="D1518" s="2"/>
      <c r="E1518" s="2"/>
      <c r="F1518" s="16">
        <f>F1462+1</f>
        <v>28</v>
      </c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14"/>
      <c r="R1518" s="11"/>
    </row>
    <row r="1519" s="1" customFormat="1" ht="21.95" customHeight="1" spans="1:18">
      <c r="A1519" s="7"/>
      <c r="B1519" s="12"/>
      <c r="C1519" s="17" t="s">
        <v>392</v>
      </c>
      <c r="D1519" s="17"/>
      <c r="E1519" s="17"/>
      <c r="F1519" s="18" t="str">
        <f>IF(F1518&gt;0,ENTRY!$D$6,"")</f>
        <v>MCP NITHARI NO 1 BOYS</v>
      </c>
      <c r="G1519" s="18"/>
      <c r="H1519" s="18"/>
      <c r="I1519" s="18"/>
      <c r="J1519" s="18"/>
      <c r="K1519" s="18"/>
      <c r="L1519" s="18"/>
      <c r="M1519" s="18"/>
      <c r="N1519" s="18"/>
      <c r="O1519" s="18"/>
      <c r="P1519" s="18"/>
      <c r="Q1519" s="14"/>
      <c r="R1519" s="11"/>
    </row>
    <row r="1520" s="1" customFormat="1" ht="21.95" customHeight="1" spans="1:18">
      <c r="A1520" s="7"/>
      <c r="B1520" s="12"/>
      <c r="C1520" s="17" t="s">
        <v>393</v>
      </c>
      <c r="D1520" s="17"/>
      <c r="E1520" s="17"/>
      <c r="F1520" s="18">
        <f>IF(F1518&gt;0,ENTRY!$D$7,"")</f>
        <v>0</v>
      </c>
      <c r="G1520" s="18"/>
      <c r="H1520" s="20" t="s">
        <v>702</v>
      </c>
      <c r="I1520" s="20"/>
      <c r="J1520" s="21">
        <f>IF(F1518&gt;0,ENTRY!$D$10,"")</f>
        <v>40</v>
      </c>
      <c r="K1520" s="20" t="s">
        <v>703</v>
      </c>
      <c r="L1520" s="22" t="str">
        <f>IF(F1518&gt;0,ENTRY!$D$5,"")</f>
        <v>ROHINI ZONE</v>
      </c>
      <c r="M1520" s="22"/>
      <c r="N1520" s="22"/>
      <c r="O1520" s="22"/>
      <c r="P1520" s="22"/>
      <c r="Q1520" s="14"/>
      <c r="R1520" s="11"/>
    </row>
    <row r="1521" s="1" customFormat="1" ht="21.95" customHeight="1" spans="1:18">
      <c r="A1521" s="7"/>
      <c r="B1521" s="12"/>
      <c r="C1521" s="17" t="s">
        <v>706</v>
      </c>
      <c r="D1521" s="17"/>
      <c r="E1521" s="17"/>
      <c r="F1521" s="23" t="str">
        <f>IFERROR(VLOOKUP(F1518,STUDENT!$A$2:$BP$101,5,0),"")</f>
        <v>ABDUL REHMAN</v>
      </c>
      <c r="G1521" s="23"/>
      <c r="H1521" s="23"/>
      <c r="I1521" s="23"/>
      <c r="J1521" s="23"/>
      <c r="K1521" s="23"/>
      <c r="L1521" s="20" t="s">
        <v>707</v>
      </c>
      <c r="M1521" s="20"/>
      <c r="N1521" s="24" t="str">
        <f>IF(F1518&gt;0,ENTRY!$D$20&amp;"-"&amp;ENTRY!$D$21,"")</f>
        <v>III-A</v>
      </c>
      <c r="O1521" s="24"/>
      <c r="P1521" s="24"/>
      <c r="Q1521" s="14"/>
      <c r="R1521" s="11"/>
    </row>
    <row r="1522" s="1" customFormat="1" ht="21.95" customHeight="1" spans="1:18">
      <c r="A1522" s="7"/>
      <c r="B1522" s="12"/>
      <c r="C1522" s="17" t="s">
        <v>708</v>
      </c>
      <c r="D1522" s="17"/>
      <c r="E1522" s="17"/>
      <c r="F1522" s="25">
        <f>IFERROR(VLOOKUP(F1518,STUDENT!$A$2:$BP$101,6,0),"")</f>
        <v>14999</v>
      </c>
      <c r="G1522" s="25"/>
      <c r="H1522" s="26" t="s">
        <v>709</v>
      </c>
      <c r="I1522" s="27" t="str">
        <f>IFERROR(VLOOKUP(F1518,STUDENT!$A$2:$BP$101,59,0),"")</f>
        <v/>
      </c>
      <c r="J1522" s="27"/>
      <c r="K1522" s="20" t="s">
        <v>710</v>
      </c>
      <c r="L1522" s="20"/>
      <c r="M1522" s="28">
        <f>IFERROR(VLOOKUP(F1518,STUDENT!$A$2:$BP$101,20,0),"")</f>
        <v>8527438978</v>
      </c>
      <c r="N1522" s="28"/>
      <c r="O1522" s="28"/>
      <c r="P1522" s="28"/>
      <c r="Q1522" s="14"/>
      <c r="R1522" s="11"/>
    </row>
    <row r="1523" s="1" customFormat="1" ht="21.95" customHeight="1" spans="1:18">
      <c r="A1523" s="7"/>
      <c r="B1523" s="12"/>
      <c r="C1523" s="17" t="s">
        <v>711</v>
      </c>
      <c r="D1523" s="17"/>
      <c r="E1523" s="17"/>
      <c r="F1523" s="23" t="str">
        <f>IFERROR(VLOOKUP(F1518,STUDENT!$A$2:$BP$101,9,0),"")</f>
        <v>SHAIN PRVEEN</v>
      </c>
      <c r="G1523" s="23"/>
      <c r="H1523" s="23"/>
      <c r="I1523" s="23"/>
      <c r="J1523" s="17" t="s">
        <v>620</v>
      </c>
      <c r="K1523" s="17"/>
      <c r="L1523" s="23" t="str">
        <f>IFERROR(VLOOKUP(F1518,STUDENT!$A$2:$BP$101,8,0),"")</f>
        <v>MD LAL BABU</v>
      </c>
      <c r="M1523" s="23"/>
      <c r="N1523" s="23"/>
      <c r="O1523" s="23"/>
      <c r="P1523" s="23"/>
      <c r="Q1523" s="14"/>
      <c r="R1523" s="11"/>
    </row>
    <row r="1524" s="1" customFormat="1" ht="21.95" customHeight="1" spans="1:18">
      <c r="A1524" s="7"/>
      <c r="B1524" s="12"/>
      <c r="C1524" s="17" t="s">
        <v>712</v>
      </c>
      <c r="D1524" s="17"/>
      <c r="E1524" s="17"/>
      <c r="F1524" s="23" t="str">
        <f>IFERROR(VLOOKUP(F1518,STUDENT!$A$2:$BP$101,22,0),"")</f>
        <v>PLOT NO. 248-A KH.NO 861 BLOCK -A HARI ENCLAVE PHASE -1 KIRARI</v>
      </c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14"/>
      <c r="R1524" s="11"/>
    </row>
    <row r="1525" s="1" customFormat="1" ht="9.95" customHeight="1" spans="1:18">
      <c r="A1525" s="7"/>
      <c r="B1525" s="12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14"/>
      <c r="R1525" s="11"/>
    </row>
    <row r="1526" s="1" customFormat="1" ht="9.95" customHeight="1" spans="1:18">
      <c r="A1526" s="7"/>
      <c r="B1526" s="12"/>
      <c r="C1526" s="30"/>
      <c r="D1526" s="31"/>
      <c r="E1526" s="31"/>
      <c r="F1526" s="31"/>
      <c r="G1526" s="31"/>
      <c r="H1526" s="31"/>
      <c r="I1526" s="31"/>
      <c r="J1526" s="31"/>
      <c r="K1526" s="31"/>
      <c r="L1526" s="31"/>
      <c r="M1526" s="31"/>
      <c r="N1526" s="31"/>
      <c r="O1526" s="31"/>
      <c r="P1526" s="32"/>
      <c r="Q1526" s="14"/>
      <c r="R1526" s="11"/>
    </row>
    <row r="1527" s="1" customFormat="1" ht="21.95" customHeight="1" spans="1:18">
      <c r="A1527" s="7"/>
      <c r="B1527" s="12"/>
      <c r="C1527" s="33"/>
      <c r="D1527" s="34" t="s">
        <v>713</v>
      </c>
      <c r="E1527" s="20" t="s">
        <v>714</v>
      </c>
      <c r="F1527" s="35" t="str">
        <f>"Level - "&amp;IFERROR(VLOOKUP(F1518,FLN!$A$4:$K$103,9,0),"")</f>
        <v>Level - 2</v>
      </c>
      <c r="G1527" s="36"/>
      <c r="H1527" s="37" t="s">
        <v>715</v>
      </c>
      <c r="I1527" s="20"/>
      <c r="J1527" s="35" t="str">
        <f>"Level - "&amp;IFERROR(VLOOKUP(F1518,FLN!$A$4:$K$103,11,0),"")</f>
        <v>Level - 3</v>
      </c>
      <c r="K1527" s="36"/>
      <c r="L1527" s="37" t="s">
        <v>408</v>
      </c>
      <c r="M1527" s="20"/>
      <c r="N1527" s="35" t="str">
        <f>"Level - "&amp;IFERROR(VLOOKUP(F1518,FLN!$A$4:$K$103,10,0),"")</f>
        <v>Level - 2</v>
      </c>
      <c r="O1527" s="36"/>
      <c r="P1527" s="19"/>
      <c r="Q1527" s="14"/>
      <c r="R1527" s="11"/>
    </row>
    <row r="1528" s="1" customFormat="1" ht="21.95" customHeight="1" spans="1:18">
      <c r="A1528" s="7"/>
      <c r="B1528" s="12"/>
      <c r="C1528" s="33"/>
      <c r="D1528" s="38"/>
      <c r="E1528" s="20" t="s">
        <v>716</v>
      </c>
      <c r="F1528" s="18" t="str">
        <f>IF(L1542&gt;197,"PERFORMED WELL","")</f>
        <v/>
      </c>
      <c r="G1528" s="18"/>
      <c r="H1528" s="18"/>
      <c r="I1528" s="18"/>
      <c r="J1528" s="18"/>
      <c r="K1528" s="18"/>
      <c r="L1528" s="18"/>
      <c r="M1528" s="18"/>
      <c r="N1528" s="18"/>
      <c r="O1528" s="18"/>
      <c r="P1528" s="19"/>
      <c r="Q1528" s="14"/>
      <c r="R1528" s="11"/>
    </row>
    <row r="1529" s="1" customFormat="1" ht="9.95" customHeight="1" spans="1:18">
      <c r="A1529" s="7"/>
      <c r="B1529" s="12"/>
      <c r="C1529" s="39"/>
      <c r="D1529" s="40"/>
      <c r="E1529" s="40"/>
      <c r="F1529" s="40"/>
      <c r="G1529" s="40"/>
      <c r="H1529" s="40"/>
      <c r="I1529" s="40"/>
      <c r="J1529" s="40"/>
      <c r="K1529" s="40"/>
      <c r="L1529" s="40"/>
      <c r="M1529" s="40"/>
      <c r="N1529" s="40"/>
      <c r="O1529" s="40"/>
      <c r="P1529" s="41"/>
      <c r="Q1529" s="14"/>
      <c r="R1529" s="11"/>
    </row>
    <row r="1530" s="1" customFormat="1" ht="9.95" customHeight="1" spans="1:18">
      <c r="A1530" s="7"/>
      <c r="B1530" s="12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14"/>
      <c r="R1530" s="11"/>
    </row>
    <row r="1531" s="1" customFormat="1" ht="9.95" customHeight="1" spans="1:18">
      <c r="A1531" s="7"/>
      <c r="B1531" s="12"/>
      <c r="C1531" s="30"/>
      <c r="D1531" s="31"/>
      <c r="E1531" s="31"/>
      <c r="F1531" s="31"/>
      <c r="G1531" s="31"/>
      <c r="H1531" s="31"/>
      <c r="I1531" s="31"/>
      <c r="J1531" s="31"/>
      <c r="K1531" s="31"/>
      <c r="L1531" s="31"/>
      <c r="M1531" s="31"/>
      <c r="N1531" s="31"/>
      <c r="O1531" s="31"/>
      <c r="P1531" s="32"/>
      <c r="Q1531" s="14"/>
      <c r="R1531" s="11"/>
    </row>
    <row r="1532" s="1" customFormat="1" ht="21.95" customHeight="1" spans="1:18">
      <c r="A1532" s="7"/>
      <c r="B1532" s="12"/>
      <c r="C1532" s="33"/>
      <c r="D1532" s="35"/>
      <c r="E1532" s="24"/>
      <c r="F1532" s="24"/>
      <c r="G1532" s="47" t="s">
        <v>717</v>
      </c>
      <c r="H1532" s="47"/>
      <c r="I1532" s="47"/>
      <c r="J1532" s="47"/>
      <c r="K1532" s="47"/>
      <c r="L1532" s="47"/>
      <c r="M1532" s="47"/>
      <c r="N1532" s="47"/>
      <c r="O1532" s="29"/>
      <c r="P1532" s="19"/>
      <c r="Q1532" s="14"/>
      <c r="R1532" s="11"/>
    </row>
    <row r="1533" s="1" customFormat="1" ht="21.95" customHeight="1" spans="1:18">
      <c r="A1533" s="7"/>
      <c r="B1533" s="12"/>
      <c r="C1533" s="33"/>
      <c r="D1533" s="47"/>
      <c r="E1533" s="47"/>
      <c r="F1533" s="47"/>
      <c r="G1533" s="47" t="s">
        <v>541</v>
      </c>
      <c r="H1533" s="47" t="s">
        <v>542</v>
      </c>
      <c r="I1533" s="47" t="s">
        <v>543</v>
      </c>
      <c r="J1533" s="47" t="s">
        <v>544</v>
      </c>
      <c r="K1533" s="47" t="s">
        <v>561</v>
      </c>
      <c r="L1533" s="47" t="s">
        <v>382</v>
      </c>
      <c r="M1533" s="49" t="s">
        <v>546</v>
      </c>
      <c r="N1533" s="49"/>
      <c r="O1533" s="29"/>
      <c r="P1533" s="19"/>
      <c r="Q1533" s="14"/>
      <c r="R1533" s="11"/>
    </row>
    <row r="1534" s="1" customFormat="1" ht="21.95" customHeight="1" spans="1:18">
      <c r="A1534" s="7"/>
      <c r="B1534" s="12"/>
      <c r="C1534" s="33"/>
      <c r="D1534" s="207" t="s">
        <v>652</v>
      </c>
      <c r="E1534" s="207"/>
      <c r="F1534" s="207"/>
      <c r="G1534" s="50">
        <v>10</v>
      </c>
      <c r="H1534" s="50">
        <v>10</v>
      </c>
      <c r="I1534" s="50">
        <v>10</v>
      </c>
      <c r="J1534" s="50">
        <v>10</v>
      </c>
      <c r="K1534" s="50">
        <v>60</v>
      </c>
      <c r="L1534" s="50">
        <v>100</v>
      </c>
      <c r="M1534" s="49"/>
      <c r="N1534" s="49"/>
      <c r="O1534" s="29"/>
      <c r="P1534" s="19"/>
      <c r="Q1534" s="14"/>
      <c r="R1534" s="11"/>
    </row>
    <row r="1535" s="1" customFormat="1" ht="21.95" customHeight="1" spans="1:18">
      <c r="A1535" s="7"/>
      <c r="B1535" s="12"/>
      <c r="C1535" s="33"/>
      <c r="D1535" s="117" t="s">
        <v>668</v>
      </c>
      <c r="E1535" s="117"/>
      <c r="F1535" s="117"/>
      <c r="G1535" s="54">
        <f>IFERROR(VLOOKUP(F1518,'1to4-2.1-RR'!$A$12:$BG$111,9,0),"")</f>
        <v>1</v>
      </c>
      <c r="H1535" s="54">
        <f>IFERROR(VLOOKUP(F1518,'1to4-2.1-RR'!$A$12:$BG$111,10,0),"")</f>
        <v>0</v>
      </c>
      <c r="I1535" s="54">
        <f>IFERROR(VLOOKUP(F1518,'1to4-2.1-RR'!$A$12:$BG$111,11,0),"")</f>
        <v>0</v>
      </c>
      <c r="J1535" s="54">
        <f>IFERROR(VLOOKUP(F1518,'1to4-2.1-RR'!$A$12:$BG$111,12,0),"")</f>
        <v>0</v>
      </c>
      <c r="K1535" s="54">
        <f>IFERROR(VLOOKUP(F1518,'1to4-2.1-RR'!$A$12:$BG$111,13,0),"")</f>
        <v>31</v>
      </c>
      <c r="L1535" s="55">
        <f>SUM(G1535:K1535)</f>
        <v>32</v>
      </c>
      <c r="M1535" s="56" t="str">
        <f>IF(F1518&gt;ENTRY!$D$24,"",IF(L1535=0,"Ab",IF(L1535&gt;80,"A",IF(L1535&gt;60,"B",IF(L1535&gt;44,"C",IF(L1535&gt;=33,"D",IF(L1535&lt;=32,"E","")))))))</f>
        <v>E</v>
      </c>
      <c r="N1535" s="56"/>
      <c r="O1535" s="29"/>
      <c r="P1535" s="19"/>
      <c r="Q1535" s="14"/>
      <c r="R1535" s="11"/>
    </row>
    <row r="1536" s="1" customFormat="1" ht="21.95" customHeight="1" spans="1:18">
      <c r="A1536" s="7"/>
      <c r="B1536" s="12"/>
      <c r="C1536" s="33"/>
      <c r="D1536" s="117" t="s">
        <v>513</v>
      </c>
      <c r="E1536" s="117"/>
      <c r="F1536" s="117"/>
      <c r="G1536" s="54">
        <f>IFERROR(VLOOKUP(F1518,'1to4-2.1-RR'!$A$12:$BG$111,16,0),"")</f>
        <v>2</v>
      </c>
      <c r="H1536" s="54">
        <f>IFERROR(VLOOKUP(F1518,'1to4-2.1-RR'!$A$12:$BG$111,17,0),"")</f>
        <v>0</v>
      </c>
      <c r="I1536" s="54">
        <f>IFERROR(VLOOKUP(F1518,'1to4-2.1-RR'!$A$12:$BG$111,18,0),"")</f>
        <v>0</v>
      </c>
      <c r="J1536" s="54">
        <f>IFERROR(VLOOKUP(F1518,'1to4-2.1-RR'!$A$12:$BG$111,19,0),"")</f>
        <v>0</v>
      </c>
      <c r="K1536" s="54">
        <f>IFERROR(VLOOKUP(F1518,'1to4-2.1-RR'!$A$12:$BG$111,20,0),"")</f>
        <v>11</v>
      </c>
      <c r="L1536" s="55">
        <f t="shared" ref="L1536:L1541" si="54">SUM(G1536:K1536)</f>
        <v>13</v>
      </c>
      <c r="M1536" s="56" t="str">
        <f>IF(F1518&gt;ENTRY!$D$24,"",IF(L1536=0,"Ab",IF(L1536&gt;80,"A",IF(L1536&gt;60,"B",IF(L1536&gt;44,"C",IF(L1536&gt;=33,"D",IF(L1536&lt;=32,"E","")))))))</f>
        <v>E</v>
      </c>
      <c r="N1536" s="56"/>
      <c r="O1536" s="29"/>
      <c r="P1536" s="19"/>
      <c r="Q1536" s="14"/>
      <c r="R1536" s="11"/>
    </row>
    <row r="1537" s="1" customFormat="1" ht="21.95" customHeight="1" spans="1:19">
      <c r="A1537" s="7"/>
      <c r="B1537" s="12"/>
      <c r="C1537" s="33"/>
      <c r="D1537" s="117" t="s">
        <v>718</v>
      </c>
      <c r="E1537" s="117"/>
      <c r="F1537" s="117"/>
      <c r="G1537" s="54">
        <f>IFERROR(VLOOKUP(F1518,'1to4-2.1-RR'!$A$12:$BG$111,23,0),"")</f>
        <v>1</v>
      </c>
      <c r="H1537" s="54">
        <f>IFERROR(VLOOKUP(F1518,'1to4-2.1-RR'!$A$12:$BG$111,24,0),"")</f>
        <v>0</v>
      </c>
      <c r="I1537" s="54">
        <f>IFERROR(VLOOKUP(F1518,'1to4-2.1-RR'!$A$12:$BG$111,25,0),"")</f>
        <v>0</v>
      </c>
      <c r="J1537" s="54">
        <f>IFERROR(VLOOKUP(F1518,'1to4-2.1-RR'!$A$12:$BG$111,26,0),"")</f>
        <v>0</v>
      </c>
      <c r="K1537" s="54">
        <f>IFERROR(VLOOKUP(F1518,'1to4-2.1-RR'!$A$12:$BG$111,27,0),"")</f>
        <v>11</v>
      </c>
      <c r="L1537" s="55">
        <f t="shared" si="54"/>
        <v>12</v>
      </c>
      <c r="M1537" s="56" t="str">
        <f>IF(F1518&gt;ENTRY!$D$24,"",IF(L1537=0,"Ab",IF(L1537&gt;80,"A",IF(L1537&gt;60,"B",IF(L1537&gt;44,"C",IF(L1537&gt;=33,"D",IF(L1537&lt;=32,"E","")))))))</f>
        <v>E</v>
      </c>
      <c r="N1537" s="56"/>
      <c r="O1537" s="29"/>
      <c r="P1537" s="19"/>
      <c r="Q1537" s="14"/>
      <c r="R1537" s="11"/>
    </row>
    <row r="1538" s="1" customFormat="1" ht="21.95" customHeight="1" spans="1:19">
      <c r="A1538" s="7"/>
      <c r="B1538" s="12"/>
      <c r="C1538" s="33"/>
      <c r="D1538" s="117" t="s">
        <v>719</v>
      </c>
      <c r="E1538" s="117"/>
      <c r="F1538" s="117"/>
      <c r="G1538" s="54">
        <f>IFERROR(VLOOKUP(F1518,'1to4-2.1-RR'!$A$12:$BG$111,30,0),"")</f>
        <v>1</v>
      </c>
      <c r="H1538" s="54">
        <f>IFERROR(VLOOKUP(F1518,'1to4-2.1-RR'!$A$12:$BG$111,31,0),"")</f>
        <v>0</v>
      </c>
      <c r="I1538" s="54">
        <f>IFERROR(VLOOKUP(F1518,'1to4-2.1-RR'!$A$12:$BG$111,32,0),"")</f>
        <v>0</v>
      </c>
      <c r="J1538" s="54">
        <f>IFERROR(VLOOKUP(F1518,'1to4-2.1-RR'!$A$12:$BG$111,33,0),"")</f>
        <v>0</v>
      </c>
      <c r="K1538" s="54">
        <f>IFERROR(VLOOKUP(F1518,'1to4-2.1-RR'!$A$12:$BG$111,34,0),"")</f>
        <v>13</v>
      </c>
      <c r="L1538" s="55">
        <f t="shared" si="54"/>
        <v>14</v>
      </c>
      <c r="M1538" s="56" t="str">
        <f>IF(F1518&gt;ENTRY!$D$24,"",IF(L1538=0,"Ab",IF(L1538&gt;80,"A",IF(L1538&gt;60,"B",IF(L1538&gt;44,"C",IF(L1538&gt;=33,"D",IF(L1538&lt;=32,"E","")))))))</f>
        <v>E</v>
      </c>
      <c r="N1538" s="56"/>
      <c r="O1538" s="29"/>
      <c r="P1538" s="19"/>
      <c r="Q1538" s="14"/>
      <c r="R1538" s="11"/>
    </row>
    <row r="1539" s="1" customFormat="1" ht="21.95" customHeight="1" spans="1:19">
      <c r="A1539" s="7"/>
      <c r="B1539" s="12"/>
      <c r="C1539" s="33"/>
      <c r="D1539" s="117" t="s">
        <v>548</v>
      </c>
      <c r="E1539" s="117"/>
      <c r="F1539" s="117"/>
      <c r="G1539" s="54">
        <f>IFERROR(VLOOKUP(F1518,'1to4-2.1-RR'!$A$12:$BG$111,37,0),"")</f>
        <v>0</v>
      </c>
      <c r="H1539" s="54">
        <f>IFERROR(VLOOKUP(F1518,'1to4-2.1-RR'!$A$12:$BG$111,38,0),"")</f>
        <v>0</v>
      </c>
      <c r="I1539" s="54">
        <f>IFERROR(VLOOKUP(F1518,'1to4-2.1-RR'!$A$12:$BG$111,39,0),"")</f>
        <v>0</v>
      </c>
      <c r="J1539" s="54">
        <f>IFERROR(VLOOKUP(F1518,'1to4-2.1-RR'!$A$12:$BG$111,40,0),"")</f>
        <v>0</v>
      </c>
      <c r="K1539" s="54">
        <f>IFERROR(VLOOKUP(F1518,'1to4-2.1-RR'!$A$12:$BG$111,41,0),"")</f>
        <v>16</v>
      </c>
      <c r="L1539" s="55">
        <f t="shared" si="54"/>
        <v>16</v>
      </c>
      <c r="M1539" s="56" t="str">
        <f>IF(F1518&gt;ENTRY!$D$24,"",IF(L1539=0,"Ab",IF(L1539&gt;80,"A",IF(L1539&gt;60,"B",IF(L1539&gt;44,"C",IF(L1539&gt;=33,"D",IF(L1539&lt;=32,"E","")))))))</f>
        <v>E</v>
      </c>
      <c r="N1539" s="56"/>
      <c r="O1539" s="29"/>
      <c r="P1539" s="19"/>
      <c r="Q1539" s="14"/>
      <c r="R1539" s="11"/>
    </row>
    <row r="1540" s="1" customFormat="1" ht="21.95" customHeight="1" spans="1:19">
      <c r="A1540" s="7"/>
      <c r="B1540" s="12"/>
      <c r="C1540" s="33"/>
      <c r="D1540" s="117" t="s">
        <v>549</v>
      </c>
      <c r="E1540" s="117"/>
      <c r="F1540" s="117"/>
      <c r="G1540" s="54">
        <f>IFERROR(VLOOKUP(F1518,'1to4-2.1-RR'!$A$12:$BG$111,44,0),"")</f>
        <v>2</v>
      </c>
      <c r="H1540" s="54">
        <f>IFERROR(VLOOKUP(F1518,'1to4-2.1-RR'!$A$12:$BG$111,45,0),"")</f>
        <v>0</v>
      </c>
      <c r="I1540" s="54">
        <f>IFERROR(VLOOKUP(F1518,'1to4-2.1-RR'!$A$12:$BG$111,46,0),"")</f>
        <v>0</v>
      </c>
      <c r="J1540" s="54">
        <f>IFERROR(VLOOKUP(F1518,'1to4-2.1-RR'!$A$12:$BG$111,47,0),"")</f>
        <v>0</v>
      </c>
      <c r="K1540" s="54">
        <f>IFERROR(VLOOKUP(F1518,'1to4-2.1-RR'!$A$12:$BG$111,48,0),"")</f>
        <v>13</v>
      </c>
      <c r="L1540" s="55">
        <f t="shared" si="54"/>
        <v>15</v>
      </c>
      <c r="M1540" s="56" t="str">
        <f>IF(F1518&gt;ENTRY!$D$24,"",IF(L1540=0,"Ab",IF(L1540&gt;80,"A",IF(L1540&gt;60,"B",IF(L1540&gt;44,"C",IF(L1540&gt;=33,"D",IF(L1540&lt;=32,"E","")))))))</f>
        <v>E</v>
      </c>
      <c r="N1540" s="56"/>
      <c r="O1540" s="29"/>
      <c r="P1540" s="19"/>
      <c r="Q1540" s="14"/>
      <c r="R1540" s="11"/>
    </row>
    <row r="1541" s="1" customFormat="1" ht="21.95" customHeight="1" spans="1:19">
      <c r="A1541" s="7"/>
      <c r="B1541" s="12"/>
      <c r="C1541" s="33"/>
      <c r="D1541" s="117" t="s">
        <v>720</v>
      </c>
      <c r="E1541" s="117"/>
      <c r="F1541" s="117"/>
      <c r="G1541" s="54"/>
      <c r="H1541" s="54"/>
      <c r="I1541" s="54"/>
      <c r="J1541" s="54"/>
      <c r="K1541" s="54"/>
      <c r="L1541" s="55">
        <f t="shared" si="54"/>
        <v>0</v>
      </c>
      <c r="M1541" s="56" t="str">
        <f>IF(F1518&gt;ENTRY!$D$24,"",IF(L1541=0,"",IF(L1541&gt;79,"A",IF(L1541&gt;59,"B",IF(L1541&gt;44,"C",IF(L1541&gt;=33,"D",IF(L1541&lt;=32,"E","")))))))</f>
        <v/>
      </c>
      <c r="N1541" s="56"/>
      <c r="O1541" s="29"/>
      <c r="P1541" s="19"/>
      <c r="Q1541" s="14"/>
      <c r="R1541" s="11"/>
    </row>
    <row r="1542" s="1" customFormat="1" ht="21.95" customHeight="1" spans="1:19">
      <c r="A1542" s="7"/>
      <c r="B1542" s="12"/>
      <c r="C1542" s="33"/>
      <c r="D1542" s="207" t="s">
        <v>382</v>
      </c>
      <c r="E1542" s="207"/>
      <c r="F1542" s="207"/>
      <c r="G1542" s="54">
        <f t="shared" ref="G1542:L1542" si="55">IFERROR(SUM(G1535:G1541),"")</f>
        <v>7</v>
      </c>
      <c r="H1542" s="54">
        <f t="shared" si="55"/>
        <v>0</v>
      </c>
      <c r="I1542" s="54">
        <f t="shared" si="55"/>
        <v>0</v>
      </c>
      <c r="J1542" s="54">
        <f t="shared" si="55"/>
        <v>0</v>
      </c>
      <c r="K1542" s="54">
        <f t="shared" si="55"/>
        <v>95</v>
      </c>
      <c r="L1542" s="55">
        <f t="shared" si="55"/>
        <v>102</v>
      </c>
      <c r="M1542" s="61" t="str">
        <f>IF(F1518&gt;ENTRY!$D$24,"",IF(N1543="Ab","Ab",IF(N1543&gt;79.5,"A",IF(N1543&gt;59.5,"B",IF(N1543&gt;44.5,"C",IF(N1543&gt;=33,"D",IF(N1543&lt;33,"E","")))))))</f>
        <v>E</v>
      </c>
      <c r="N1542" s="61"/>
      <c r="O1542" s="29"/>
      <c r="P1542" s="19"/>
      <c r="Q1542" s="14"/>
      <c r="R1542" s="11"/>
    </row>
    <row r="1543" s="1" customFormat="1" ht="21.95" customHeight="1" spans="1:19">
      <c r="A1543" s="7"/>
      <c r="B1543" s="12"/>
      <c r="C1543" s="33"/>
      <c r="D1543" s="63" t="s">
        <v>721</v>
      </c>
      <c r="E1543" s="63"/>
      <c r="F1543" s="63"/>
      <c r="G1543" s="63"/>
      <c r="H1543" s="63"/>
      <c r="I1543" s="63"/>
      <c r="J1543" s="63"/>
      <c r="K1543" s="63"/>
      <c r="L1543" s="63"/>
      <c r="M1543" s="209"/>
      <c r="N1543" s="64">
        <f>IF(L1542="Ab","Ab",L1542/6)</f>
        <v>17</v>
      </c>
      <c r="O1543" s="65"/>
      <c r="P1543" s="19"/>
      <c r="Q1543" s="14"/>
      <c r="R1543" s="11"/>
    </row>
    <row r="1544" s="1" customFormat="1" ht="21.95" customHeight="1" spans="1:19">
      <c r="A1544" s="7"/>
      <c r="B1544" s="12"/>
      <c r="C1544" s="33"/>
      <c r="D1544" s="29" t="s">
        <v>716</v>
      </c>
      <c r="E1544" s="18" t="str">
        <f>IFERROR(VLOOKUP(F1518,'1to4-2.1-RR'!$A$12:$BG$111,57,0),"")</f>
        <v>PROMOTED</v>
      </c>
      <c r="F1544" s="18"/>
      <c r="G1544" s="18"/>
      <c r="H1544" s="18"/>
      <c r="I1544" s="18"/>
      <c r="J1544" s="18"/>
      <c r="K1544" s="18"/>
      <c r="L1544" s="18"/>
      <c r="M1544" s="18"/>
      <c r="N1544" s="29"/>
      <c r="O1544" s="29"/>
      <c r="P1544" s="19"/>
      <c r="Q1544" s="14"/>
      <c r="R1544" s="11"/>
    </row>
    <row r="1545" s="1" customFormat="1" ht="9.95" customHeight="1" spans="1:19">
      <c r="A1545" s="7"/>
      <c r="B1545" s="12"/>
      <c r="C1545" s="39"/>
      <c r="D1545" s="40"/>
      <c r="E1545" s="40"/>
      <c r="F1545" s="40"/>
      <c r="G1545" s="40"/>
      <c r="H1545" s="40"/>
      <c r="I1545" s="40"/>
      <c r="J1545" s="40"/>
      <c r="K1545" s="40"/>
      <c r="L1545" s="40"/>
      <c r="M1545" s="40"/>
      <c r="N1545" s="40"/>
      <c r="O1545" s="40"/>
      <c r="P1545" s="41"/>
      <c r="Q1545" s="14"/>
      <c r="R1545" s="11"/>
    </row>
    <row r="1546" s="1" customFormat="1" ht="9.95" customHeight="1" spans="1:19">
      <c r="A1546" s="7"/>
      <c r="B1546" s="12"/>
      <c r="C1546" s="30"/>
      <c r="D1546" s="31"/>
      <c r="E1546" s="31"/>
      <c r="F1546" s="29"/>
      <c r="G1546" s="31"/>
      <c r="H1546" s="31"/>
      <c r="I1546" s="31"/>
      <c r="J1546" s="31"/>
      <c r="K1546" s="31"/>
      <c r="L1546" s="31"/>
      <c r="M1546" s="31"/>
      <c r="N1546" s="31"/>
      <c r="O1546" s="31"/>
      <c r="P1546" s="32"/>
      <c r="Q1546" s="14"/>
      <c r="R1546" s="11"/>
    </row>
    <row r="1547" s="1" customFormat="1" ht="9.95" customHeight="1" spans="1:19">
      <c r="A1547" s="7"/>
      <c r="B1547" s="12"/>
      <c r="C1547" s="33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19"/>
      <c r="Q1547" s="14"/>
      <c r="R1547" s="11"/>
    </row>
    <row r="1548" s="1" customFormat="1" ht="9.95" customHeight="1" spans="1:19">
      <c r="A1548" s="7"/>
      <c r="B1548" s="12"/>
      <c r="C1548" s="33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19"/>
      <c r="Q1548" s="14"/>
      <c r="R1548" s="11"/>
    </row>
    <row r="1549" s="1" customFormat="1" ht="21.95" customHeight="1" spans="1:19">
      <c r="A1549" s="7"/>
      <c r="B1549" s="12"/>
      <c r="C1549" s="210"/>
      <c r="D1549" s="211"/>
      <c r="E1549" s="211"/>
      <c r="F1549" s="211"/>
      <c r="G1549" s="211"/>
      <c r="H1549" s="211"/>
      <c r="I1549" s="211"/>
      <c r="J1549" s="211"/>
      <c r="K1549" s="211"/>
      <c r="L1549" s="211"/>
      <c r="M1549" s="211"/>
      <c r="N1549" s="211"/>
      <c r="O1549" s="211"/>
      <c r="P1549" s="212"/>
      <c r="Q1549" s="14"/>
      <c r="R1549" s="11"/>
      <c r="S1549" s="2"/>
    </row>
    <row r="1550" s="1" customFormat="1" ht="21.95" customHeight="1" spans="1:19">
      <c r="A1550" s="7"/>
      <c r="B1550" s="12"/>
      <c r="C1550" s="33"/>
      <c r="D1550" s="207" t="s">
        <v>722</v>
      </c>
      <c r="E1550" s="207"/>
      <c r="F1550" s="207"/>
      <c r="G1550" s="207"/>
      <c r="H1550" s="54">
        <f>IFERROR(VLOOKUP(F1518,PASHEET!$A$4:$CJ$103,88,0),"")</f>
        <v>0</v>
      </c>
      <c r="I1550" s="54"/>
      <c r="J1550" s="29"/>
      <c r="K1550" s="29"/>
      <c r="L1550" s="29"/>
      <c r="M1550" s="29"/>
      <c r="N1550" s="29"/>
      <c r="O1550" s="29"/>
      <c r="P1550" s="19"/>
      <c r="Q1550" s="14"/>
      <c r="R1550" s="11"/>
    </row>
    <row r="1551" s="1" customFormat="1" ht="21.95" customHeight="1" spans="1:19">
      <c r="A1551" s="7"/>
      <c r="B1551" s="12"/>
      <c r="C1551" s="213"/>
      <c r="D1551" s="207" t="s">
        <v>723</v>
      </c>
      <c r="E1551" s="207"/>
      <c r="F1551" s="207"/>
      <c r="G1551" s="207"/>
      <c r="H1551" s="54">
        <f>IFERROR(VLOOKUP(F1518,PASHEET!$A$4:$CJ$103,87,0),"")</f>
        <v>0</v>
      </c>
      <c r="I1551" s="54"/>
      <c r="J1551" s="214"/>
      <c r="K1551" s="214"/>
      <c r="L1551" s="207" t="s">
        <v>724</v>
      </c>
      <c r="M1551" s="207"/>
      <c r="N1551" s="117" t="str">
        <f>IF(F1518&gt;ENTRY!$D$24,"",IF(F1518&gt;0,L1542&amp;" / "&amp;600,""))</f>
        <v>102 / 600</v>
      </c>
      <c r="O1551" s="117"/>
      <c r="P1551" s="215"/>
      <c r="Q1551" s="14"/>
      <c r="R1551" s="11"/>
    </row>
    <row r="1552" s="1" customFormat="1" ht="18" customHeight="1" spans="1:19">
      <c r="A1552" s="7"/>
      <c r="B1552" s="12"/>
      <c r="C1552" s="33"/>
      <c r="D1552" s="207" t="s">
        <v>725</v>
      </c>
      <c r="E1552" s="207"/>
      <c r="F1552" s="207"/>
      <c r="G1552" s="207"/>
      <c r="H1552" s="69" t="str">
        <f>IFERROR(IF(F1518&gt;0,H1551/H1550*100),"")</f>
        <v/>
      </c>
      <c r="I1552" s="69"/>
      <c r="J1552" s="29"/>
      <c r="K1552" s="29"/>
      <c r="L1552" s="207" t="s">
        <v>726</v>
      </c>
      <c r="M1552" s="207"/>
      <c r="N1552" s="216">
        <f>IF(F1518&gt;ENTRY!$D$24,"",IF(F1518&gt;0,L1542/600*100,""))</f>
        <v>17</v>
      </c>
      <c r="O1552" s="216"/>
      <c r="P1552" s="19"/>
      <c r="Q1552" s="14"/>
      <c r="R1552" s="11"/>
    </row>
    <row r="1553" s="1" customFormat="1" ht="21.95" customHeight="1" spans="1:18">
      <c r="A1553" s="7"/>
      <c r="B1553" s="12"/>
      <c r="C1553" s="33"/>
      <c r="D1553" s="80"/>
      <c r="E1553" s="80"/>
      <c r="F1553" s="217"/>
      <c r="G1553" s="217"/>
      <c r="H1553" s="217"/>
      <c r="I1553" s="217"/>
      <c r="J1553" s="217"/>
      <c r="K1553" s="217"/>
      <c r="L1553" s="217"/>
      <c r="M1553" s="217"/>
      <c r="N1553" s="80"/>
      <c r="O1553" s="80"/>
      <c r="P1553" s="19"/>
      <c r="Q1553" s="14"/>
      <c r="R1553" s="11"/>
    </row>
    <row r="1554" s="1" customFormat="1" ht="21.95" customHeight="1" spans="1:18">
      <c r="A1554" s="7"/>
      <c r="B1554" s="12"/>
      <c r="C1554" s="33"/>
      <c r="D1554" s="80"/>
      <c r="E1554" s="218"/>
      <c r="F1554" s="218"/>
      <c r="G1554" s="218"/>
      <c r="H1554" s="80"/>
      <c r="I1554" s="218"/>
      <c r="J1554" s="218"/>
      <c r="K1554" s="218"/>
      <c r="L1554" s="218"/>
      <c r="M1554" s="80"/>
      <c r="N1554" s="219"/>
      <c r="O1554" s="219"/>
      <c r="P1554" s="19"/>
      <c r="Q1554" s="14"/>
      <c r="R1554" s="11"/>
    </row>
    <row r="1555" s="1" customFormat="1" ht="21.95" customHeight="1" spans="1:18">
      <c r="A1555" s="7"/>
      <c r="B1555" s="12"/>
      <c r="C1555" s="33"/>
      <c r="D1555" s="80"/>
      <c r="E1555" s="80"/>
      <c r="F1555" s="80"/>
      <c r="G1555" s="80"/>
      <c r="H1555" s="80"/>
      <c r="I1555" s="80"/>
      <c r="J1555" s="80"/>
      <c r="K1555" s="80"/>
      <c r="L1555" s="80"/>
      <c r="M1555" s="80"/>
      <c r="N1555" s="80"/>
      <c r="O1555" s="80"/>
      <c r="P1555" s="19"/>
      <c r="Q1555" s="14"/>
      <c r="R1555" s="11"/>
    </row>
    <row r="1556" s="1" customFormat="1" ht="21.95" customHeight="1" spans="1:18">
      <c r="A1556" s="7"/>
      <c r="B1556" s="12"/>
      <c r="C1556" s="33"/>
      <c r="D1556" s="218"/>
      <c r="E1556" s="218"/>
      <c r="F1556" s="218"/>
      <c r="G1556" s="218"/>
      <c r="H1556" s="218"/>
      <c r="I1556" s="218"/>
      <c r="J1556" s="218"/>
      <c r="K1556" s="218"/>
      <c r="L1556" s="218"/>
      <c r="M1556" s="80"/>
      <c r="N1556" s="217"/>
      <c r="O1556" s="217"/>
      <c r="P1556" s="85" t="s">
        <v>727</v>
      </c>
      <c r="Q1556" s="14"/>
      <c r="R1556" s="11"/>
    </row>
    <row r="1557" s="1" customFormat="1" ht="21.95" customHeight="1" spans="1:18">
      <c r="A1557" s="7"/>
      <c r="B1557" s="12"/>
      <c r="C1557" s="33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19"/>
      <c r="Q1557" s="14"/>
      <c r="R1557" s="11"/>
    </row>
    <row r="1558" s="1" customFormat="1" ht="21.95" customHeight="1" spans="1:18">
      <c r="A1558" s="7"/>
      <c r="B1558" s="12"/>
      <c r="C1558" s="33"/>
      <c r="D1558" s="29"/>
      <c r="E1558" s="29"/>
      <c r="F1558" s="29"/>
      <c r="G1558" s="29"/>
      <c r="H1558" s="29"/>
      <c r="I1558" s="29"/>
      <c r="J1558" s="29"/>
      <c r="K1558" s="29"/>
      <c r="L1558" s="29"/>
      <c r="M1558" s="29"/>
      <c r="N1558" s="29"/>
      <c r="O1558" s="29"/>
      <c r="P1558" s="19"/>
      <c r="Q1558" s="14"/>
      <c r="R1558" s="11"/>
    </row>
    <row r="1559" s="1" customFormat="1" ht="21.95" customHeight="1" spans="1:18">
      <c r="A1559" s="7"/>
      <c r="B1559" s="12"/>
      <c r="C1559" s="33"/>
      <c r="D1559" s="29"/>
      <c r="E1559" s="29"/>
      <c r="F1559" s="29"/>
      <c r="G1559" s="29"/>
      <c r="H1559" s="29"/>
      <c r="I1559" s="29"/>
      <c r="J1559" s="29"/>
      <c r="K1559" s="29"/>
      <c r="L1559" s="29"/>
      <c r="M1559" s="29"/>
      <c r="N1559" s="29"/>
      <c r="O1559" s="29"/>
      <c r="P1559" s="19"/>
      <c r="Q1559" s="14"/>
      <c r="R1559" s="11"/>
    </row>
    <row r="1560" s="1" customFormat="1" ht="21.95" customHeight="1" spans="1:18">
      <c r="A1560" s="7"/>
      <c r="B1560" s="12"/>
      <c r="C1560" s="33"/>
      <c r="D1560" s="29"/>
      <c r="E1560" s="29"/>
      <c r="F1560" s="29"/>
      <c r="G1560" s="29"/>
      <c r="H1560" s="29"/>
      <c r="I1560" s="29"/>
      <c r="J1560" s="29"/>
      <c r="K1560" s="29"/>
      <c r="L1560" s="29"/>
      <c r="M1560" s="29"/>
      <c r="N1560" s="29"/>
      <c r="O1560" s="29"/>
      <c r="P1560" s="19"/>
      <c r="Q1560" s="14"/>
      <c r="R1560" s="11"/>
    </row>
    <row r="1561" s="1" customFormat="1" ht="21.95" customHeight="1" spans="1:18">
      <c r="A1561" s="7"/>
      <c r="B1561" s="12"/>
      <c r="C1561" s="33"/>
      <c r="D1561" s="29"/>
      <c r="E1561" s="29"/>
      <c r="F1561" s="29"/>
      <c r="G1561" s="29"/>
      <c r="H1561" s="29"/>
      <c r="I1561" s="29"/>
      <c r="J1561" s="29"/>
      <c r="K1561" s="29"/>
      <c r="L1561" s="29"/>
      <c r="M1561" s="29"/>
      <c r="N1561" s="29"/>
      <c r="O1561" s="29"/>
      <c r="P1561" s="19"/>
      <c r="Q1561" s="14"/>
      <c r="R1561" s="11"/>
    </row>
    <row r="1562" s="1" customFormat="1" ht="21.95" customHeight="1" spans="1:18">
      <c r="A1562" s="7"/>
      <c r="B1562" s="12"/>
      <c r="C1562" s="33"/>
      <c r="D1562" s="80" t="s">
        <v>728</v>
      </c>
      <c r="E1562" s="220">
        <f>ENTRY!$D$27</f>
        <v>46102</v>
      </c>
      <c r="F1562" s="220"/>
      <c r="G1562" s="29"/>
      <c r="H1562" s="29"/>
      <c r="I1562" s="221" t="s">
        <v>729</v>
      </c>
      <c r="J1562" s="153"/>
      <c r="K1562" s="29"/>
      <c r="L1562" s="29"/>
      <c r="M1562" s="87" t="s">
        <v>730</v>
      </c>
      <c r="N1562" s="87"/>
      <c r="O1562" s="87"/>
      <c r="P1562" s="19"/>
      <c r="Q1562" s="14"/>
      <c r="R1562" s="11"/>
    </row>
    <row r="1563" s="1" customFormat="1" ht="21.95" customHeight="1" spans="1:18">
      <c r="A1563" s="7"/>
      <c r="B1563" s="12"/>
      <c r="C1563" s="33"/>
      <c r="D1563" s="80" t="s">
        <v>731</v>
      </c>
      <c r="E1563" s="88" t="str">
        <f>PROPER(ENTRY!$D$28)</f>
        <v>New Delhi</v>
      </c>
      <c r="F1563" s="88"/>
      <c r="G1563" s="29"/>
      <c r="H1563" s="29"/>
      <c r="I1563" s="153"/>
      <c r="J1563" s="153"/>
      <c r="K1563" s="29"/>
      <c r="L1563" s="29"/>
      <c r="M1563" s="79" t="s">
        <v>732</v>
      </c>
      <c r="N1563" s="79"/>
      <c r="O1563" s="79"/>
      <c r="P1563" s="19"/>
      <c r="Q1563" s="14"/>
      <c r="R1563" s="11"/>
    </row>
    <row r="1564" s="1" customFormat="1" ht="21.95" customHeight="1" spans="1:18">
      <c r="A1564" s="7"/>
      <c r="B1564" s="12"/>
      <c r="C1564" s="90"/>
      <c r="D1564" s="91"/>
      <c r="E1564" s="91"/>
      <c r="F1564" s="91"/>
      <c r="G1564" s="91"/>
      <c r="H1564" s="91"/>
      <c r="I1564" s="91"/>
      <c r="J1564" s="91"/>
      <c r="K1564" s="91"/>
      <c r="L1564" s="91"/>
      <c r="M1564" s="91"/>
      <c r="N1564" s="91"/>
      <c r="O1564" s="91"/>
      <c r="P1564" s="92"/>
      <c r="Q1564" s="14"/>
      <c r="R1564" s="11"/>
    </row>
    <row r="1565" s="1" customFormat="1" ht="5.1" customHeight="1" spans="1:18">
      <c r="A1565" s="7"/>
      <c r="B1565" s="90"/>
      <c r="C1565" s="91"/>
      <c r="D1565" s="91"/>
      <c r="E1565" s="91"/>
      <c r="F1565" s="91"/>
      <c r="G1565" s="91"/>
      <c r="H1565" s="91"/>
      <c r="I1565" s="91"/>
      <c r="J1565" s="91"/>
      <c r="K1565" s="91"/>
      <c r="L1565" s="91"/>
      <c r="M1565" s="91"/>
      <c r="N1565" s="91"/>
      <c r="O1565" s="91"/>
      <c r="P1565" s="91"/>
      <c r="Q1565" s="92"/>
      <c r="R1565" s="11"/>
    </row>
    <row r="1566" s="1" customFormat="1" ht="5.1" customHeight="1" spans="1:18">
      <c r="A1566" s="93"/>
      <c r="B1566" s="94"/>
      <c r="C1566" s="94"/>
      <c r="D1566" s="94"/>
      <c r="E1566" s="94"/>
      <c r="F1566" s="94"/>
      <c r="G1566" s="94"/>
      <c r="H1566" s="94"/>
      <c r="I1566" s="94"/>
      <c r="J1566" s="94"/>
      <c r="K1566" s="94"/>
      <c r="L1566" s="94"/>
      <c r="M1566" s="94"/>
      <c r="N1566" s="94"/>
      <c r="O1566" s="94"/>
      <c r="P1566" s="94"/>
      <c r="Q1566" s="94"/>
      <c r="R1566" s="95"/>
    </row>
    <row r="1567" s="1" customFormat="1" ht="21.95" customHeight="1"/>
    <row r="1568" ht="15.15"/>
    <row r="1569" s="1" customFormat="1" ht="5.1" customHeight="1" spans="1:18">
      <c r="A1569" s="4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6"/>
    </row>
    <row r="1570" s="1" customFormat="1" ht="15" customHeight="1" spans="1:18">
      <c r="A1570" s="7"/>
      <c r="B1570" s="8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9"/>
      <c r="O1570" s="9"/>
      <c r="P1570" s="9"/>
      <c r="Q1570" s="10"/>
      <c r="R1570" s="11"/>
    </row>
    <row r="1571" s="1" customFormat="1" ht="21.95" customHeight="1" spans="1:18">
      <c r="A1571" s="7"/>
      <c r="B1571" s="12"/>
      <c r="C1571" s="13" t="s">
        <v>7</v>
      </c>
      <c r="D1571" s="13"/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/>
      <c r="Q1571" s="14"/>
      <c r="R1571" s="11"/>
    </row>
    <row r="1572" s="1" customFormat="1" ht="21.95" customHeight="1" spans="1:18">
      <c r="A1572" s="7"/>
      <c r="B1572" s="1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14"/>
      <c r="R1572" s="11"/>
    </row>
    <row r="1573" s="1" customFormat="1" ht="21.95" customHeight="1" spans="1:18">
      <c r="A1573" s="7"/>
      <c r="B1573" s="12"/>
      <c r="C1573" s="15" t="str">
        <f>"SESSION-"&amp;ENTRY!$D$11</f>
        <v>SESSION-2026-27</v>
      </c>
      <c r="D1573" s="15"/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4"/>
      <c r="R1573" s="11"/>
    </row>
    <row r="1574" s="1" customFormat="1" ht="21.95" customHeight="1" spans="1:18">
      <c r="A1574" s="7"/>
      <c r="B1574" s="12"/>
      <c r="C1574" s="2"/>
      <c r="D1574" s="2"/>
      <c r="E1574" s="2"/>
      <c r="F1574" s="16">
        <f>F1518+1</f>
        <v>29</v>
      </c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14"/>
      <c r="R1574" s="11"/>
    </row>
    <row r="1575" s="1" customFormat="1" ht="21.95" customHeight="1" spans="1:18">
      <c r="A1575" s="7"/>
      <c r="B1575" s="12"/>
      <c r="C1575" s="17" t="s">
        <v>392</v>
      </c>
      <c r="D1575" s="17"/>
      <c r="E1575" s="17"/>
      <c r="F1575" s="18" t="str">
        <f>IF(F1574&gt;0,ENTRY!$D$6,"")</f>
        <v>MCP NITHARI NO 1 BOYS</v>
      </c>
      <c r="G1575" s="18"/>
      <c r="H1575" s="18"/>
      <c r="I1575" s="18"/>
      <c r="J1575" s="18"/>
      <c r="K1575" s="18"/>
      <c r="L1575" s="18"/>
      <c r="M1575" s="18"/>
      <c r="N1575" s="18"/>
      <c r="O1575" s="18"/>
      <c r="P1575" s="18"/>
      <c r="Q1575" s="14"/>
      <c r="R1575" s="11"/>
    </row>
    <row r="1576" s="1" customFormat="1" ht="21.95" customHeight="1" spans="1:18">
      <c r="A1576" s="7"/>
      <c r="B1576" s="12"/>
      <c r="C1576" s="17" t="s">
        <v>393</v>
      </c>
      <c r="D1576" s="17"/>
      <c r="E1576" s="17"/>
      <c r="F1576" s="18">
        <f>IF(F1574&gt;0,ENTRY!$D$7,"")</f>
        <v>0</v>
      </c>
      <c r="G1576" s="18"/>
      <c r="H1576" s="20" t="s">
        <v>702</v>
      </c>
      <c r="I1576" s="20"/>
      <c r="J1576" s="21">
        <f>IF(F1574&gt;0,ENTRY!$D$10,"")</f>
        <v>40</v>
      </c>
      <c r="K1576" s="20" t="s">
        <v>703</v>
      </c>
      <c r="L1576" s="22" t="str">
        <f>IF(F1574&gt;0,ENTRY!$D$5,"")</f>
        <v>ROHINI ZONE</v>
      </c>
      <c r="M1576" s="22"/>
      <c r="N1576" s="22"/>
      <c r="O1576" s="22"/>
      <c r="P1576" s="22"/>
      <c r="Q1576" s="14"/>
      <c r="R1576" s="11"/>
    </row>
    <row r="1577" s="1" customFormat="1" ht="21.95" customHeight="1" spans="1:18">
      <c r="A1577" s="7"/>
      <c r="B1577" s="12"/>
      <c r="C1577" s="17" t="s">
        <v>706</v>
      </c>
      <c r="D1577" s="17"/>
      <c r="E1577" s="17"/>
      <c r="F1577" s="23" t="str">
        <f>IFERROR(VLOOKUP(F1574,STUDENT!$A$2:$BP$101,5,0),"")</f>
        <v>KARTIK</v>
      </c>
      <c r="G1577" s="23"/>
      <c r="H1577" s="23"/>
      <c r="I1577" s="23"/>
      <c r="J1577" s="23"/>
      <c r="K1577" s="23"/>
      <c r="L1577" s="20" t="s">
        <v>707</v>
      </c>
      <c r="M1577" s="20"/>
      <c r="N1577" s="24" t="str">
        <f>IF(F1574&gt;0,ENTRY!$D$20&amp;"-"&amp;ENTRY!$D$21,"")</f>
        <v>III-A</v>
      </c>
      <c r="O1577" s="24"/>
      <c r="P1577" s="24"/>
      <c r="Q1577" s="14"/>
      <c r="R1577" s="11"/>
    </row>
    <row r="1578" s="1" customFormat="1" ht="21.95" customHeight="1" spans="1:18">
      <c r="A1578" s="7"/>
      <c r="B1578" s="12"/>
      <c r="C1578" s="17" t="s">
        <v>708</v>
      </c>
      <c r="D1578" s="17"/>
      <c r="E1578" s="17"/>
      <c r="F1578" s="25">
        <f>IFERROR(VLOOKUP(F1574,STUDENT!$A$2:$BP$101,6,0),"")</f>
        <v>15000</v>
      </c>
      <c r="G1578" s="25"/>
      <c r="H1578" s="26" t="s">
        <v>709</v>
      </c>
      <c r="I1578" s="27" t="str">
        <f>IFERROR(VLOOKUP(F1574,STUDENT!$A$2:$BP$101,59,0),"")</f>
        <v/>
      </c>
      <c r="J1578" s="27"/>
      <c r="K1578" s="20" t="s">
        <v>710</v>
      </c>
      <c r="L1578" s="20"/>
      <c r="M1578" s="28">
        <f>IFERROR(VLOOKUP(F1574,STUDENT!$A$2:$BP$101,20,0),"")</f>
        <v>8860231535</v>
      </c>
      <c r="N1578" s="28"/>
      <c r="O1578" s="28"/>
      <c r="P1578" s="28"/>
      <c r="Q1578" s="14"/>
      <c r="R1578" s="11"/>
    </row>
    <row r="1579" s="1" customFormat="1" ht="21.95" customHeight="1" spans="1:18">
      <c r="A1579" s="7"/>
      <c r="B1579" s="12"/>
      <c r="C1579" s="17" t="s">
        <v>711</v>
      </c>
      <c r="D1579" s="17"/>
      <c r="E1579" s="17"/>
      <c r="F1579" s="23" t="str">
        <f>IFERROR(VLOOKUP(F1574,STUDENT!$A$2:$BP$101,9,0),"")</f>
        <v>KAJAL</v>
      </c>
      <c r="G1579" s="23"/>
      <c r="H1579" s="23"/>
      <c r="I1579" s="23"/>
      <c r="J1579" s="17" t="s">
        <v>620</v>
      </c>
      <c r="K1579" s="17"/>
      <c r="L1579" s="23" t="str">
        <f>IFERROR(VLOOKUP(F1574,STUDENT!$A$2:$BP$101,8,0),"")</f>
        <v>AMAN YADAV</v>
      </c>
      <c r="M1579" s="23"/>
      <c r="N1579" s="23"/>
      <c r="O1579" s="23"/>
      <c r="P1579" s="23"/>
      <c r="Q1579" s="14"/>
      <c r="R1579" s="11"/>
    </row>
    <row r="1580" s="1" customFormat="1" ht="21.95" customHeight="1" spans="1:18">
      <c r="A1580" s="7"/>
      <c r="B1580" s="12"/>
      <c r="C1580" s="17" t="s">
        <v>712</v>
      </c>
      <c r="D1580" s="17"/>
      <c r="E1580" s="17"/>
      <c r="F1580" s="23" t="str">
        <f>IFERROR(VLOOKUP(F1574,STUDENT!$A$2:$BP$101,22,0),"")</f>
        <v>PLOT NO-1/6 KH.NO-62-66 BRIJ VIHAR PREM NAGAR -3</v>
      </c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14"/>
      <c r="R1580" s="11"/>
    </row>
    <row r="1581" s="1" customFormat="1" ht="9.95" customHeight="1" spans="1:18">
      <c r="A1581" s="7"/>
      <c r="B1581" s="12"/>
      <c r="C1581" s="29"/>
      <c r="D1581" s="29"/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14"/>
      <c r="R1581" s="11"/>
    </row>
    <row r="1582" s="1" customFormat="1" ht="9.95" customHeight="1" spans="1:18">
      <c r="A1582" s="7"/>
      <c r="B1582" s="12"/>
      <c r="C1582" s="30"/>
      <c r="D1582" s="31"/>
      <c r="E1582" s="31"/>
      <c r="F1582" s="31"/>
      <c r="G1582" s="31"/>
      <c r="H1582" s="31"/>
      <c r="I1582" s="31"/>
      <c r="J1582" s="31"/>
      <c r="K1582" s="31"/>
      <c r="L1582" s="31"/>
      <c r="M1582" s="31"/>
      <c r="N1582" s="31"/>
      <c r="O1582" s="31"/>
      <c r="P1582" s="32"/>
      <c r="Q1582" s="14"/>
      <c r="R1582" s="11"/>
    </row>
    <row r="1583" s="1" customFormat="1" ht="21.95" customHeight="1" spans="1:18">
      <c r="A1583" s="7"/>
      <c r="B1583" s="12"/>
      <c r="C1583" s="33"/>
      <c r="D1583" s="34" t="s">
        <v>713</v>
      </c>
      <c r="E1583" s="20" t="s">
        <v>714</v>
      </c>
      <c r="F1583" s="35" t="str">
        <f>"Level - "&amp;IFERROR(VLOOKUP(F1574,FLN!$A$4:$K$103,9,0),"")</f>
        <v>Level - 2</v>
      </c>
      <c r="G1583" s="36"/>
      <c r="H1583" s="37" t="s">
        <v>715</v>
      </c>
      <c r="I1583" s="20"/>
      <c r="J1583" s="35" t="str">
        <f>"Level - "&amp;IFERROR(VLOOKUP(F1574,FLN!$A$4:$K$103,11,0),"")</f>
        <v>Level - 3</v>
      </c>
      <c r="K1583" s="36"/>
      <c r="L1583" s="37" t="s">
        <v>408</v>
      </c>
      <c r="M1583" s="20"/>
      <c r="N1583" s="35" t="str">
        <f>"Level - "&amp;IFERROR(VLOOKUP(F1574,FLN!$A$4:$K$103,10,0),"")</f>
        <v>Level - 2</v>
      </c>
      <c r="O1583" s="36"/>
      <c r="P1583" s="19"/>
      <c r="Q1583" s="14"/>
      <c r="R1583" s="11"/>
    </row>
    <row r="1584" s="1" customFormat="1" ht="21.95" customHeight="1" spans="1:18">
      <c r="A1584" s="7"/>
      <c r="B1584" s="12"/>
      <c r="C1584" s="33"/>
      <c r="D1584" s="38"/>
      <c r="E1584" s="20" t="s">
        <v>716</v>
      </c>
      <c r="F1584" s="18" t="str">
        <f>IF(L1598&gt;197,"PERFORMED WELL","")</f>
        <v/>
      </c>
      <c r="G1584" s="18"/>
      <c r="H1584" s="18"/>
      <c r="I1584" s="18"/>
      <c r="J1584" s="18"/>
      <c r="K1584" s="18"/>
      <c r="L1584" s="18"/>
      <c r="M1584" s="18"/>
      <c r="N1584" s="18"/>
      <c r="O1584" s="18"/>
      <c r="P1584" s="19"/>
      <c r="Q1584" s="14"/>
      <c r="R1584" s="11"/>
    </row>
    <row r="1585" s="1" customFormat="1" ht="9.95" customHeight="1" spans="1:18">
      <c r="A1585" s="7"/>
      <c r="B1585" s="12"/>
      <c r="C1585" s="39"/>
      <c r="D1585" s="40"/>
      <c r="E1585" s="40"/>
      <c r="F1585" s="40"/>
      <c r="G1585" s="40"/>
      <c r="H1585" s="40"/>
      <c r="I1585" s="40"/>
      <c r="J1585" s="40"/>
      <c r="K1585" s="40"/>
      <c r="L1585" s="40"/>
      <c r="M1585" s="40"/>
      <c r="N1585" s="40"/>
      <c r="O1585" s="40"/>
      <c r="P1585" s="41"/>
      <c r="Q1585" s="14"/>
      <c r="R1585" s="11"/>
    </row>
    <row r="1586" s="1" customFormat="1" ht="9.95" customHeight="1" spans="1:18">
      <c r="A1586" s="7"/>
      <c r="B1586" s="12"/>
      <c r="C1586" s="29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14"/>
      <c r="R1586" s="11"/>
    </row>
    <row r="1587" s="1" customFormat="1" ht="9.95" customHeight="1" spans="1:18">
      <c r="A1587" s="7"/>
      <c r="B1587" s="12"/>
      <c r="C1587" s="30"/>
      <c r="D1587" s="31"/>
      <c r="E1587" s="31"/>
      <c r="F1587" s="31"/>
      <c r="G1587" s="31"/>
      <c r="H1587" s="31"/>
      <c r="I1587" s="31"/>
      <c r="J1587" s="31"/>
      <c r="K1587" s="31"/>
      <c r="L1587" s="31"/>
      <c r="M1587" s="31"/>
      <c r="N1587" s="31"/>
      <c r="O1587" s="31"/>
      <c r="P1587" s="32"/>
      <c r="Q1587" s="14"/>
      <c r="R1587" s="11"/>
    </row>
    <row r="1588" s="1" customFormat="1" ht="21.95" customHeight="1" spans="1:18">
      <c r="A1588" s="7"/>
      <c r="B1588" s="12"/>
      <c r="C1588" s="33"/>
      <c r="D1588" s="35"/>
      <c r="E1588" s="24"/>
      <c r="F1588" s="24"/>
      <c r="G1588" s="47" t="s">
        <v>717</v>
      </c>
      <c r="H1588" s="47"/>
      <c r="I1588" s="47"/>
      <c r="J1588" s="47"/>
      <c r="K1588" s="47"/>
      <c r="L1588" s="47"/>
      <c r="M1588" s="47"/>
      <c r="N1588" s="47"/>
      <c r="O1588" s="29"/>
      <c r="P1588" s="19"/>
      <c r="Q1588" s="14"/>
      <c r="R1588" s="11"/>
    </row>
    <row r="1589" s="1" customFormat="1" ht="21.95" customHeight="1" spans="1:18">
      <c r="A1589" s="7"/>
      <c r="B1589" s="12"/>
      <c r="C1589" s="33"/>
      <c r="D1589" s="47"/>
      <c r="E1589" s="47"/>
      <c r="F1589" s="47"/>
      <c r="G1589" s="47" t="s">
        <v>541</v>
      </c>
      <c r="H1589" s="47" t="s">
        <v>542</v>
      </c>
      <c r="I1589" s="47" t="s">
        <v>543</v>
      </c>
      <c r="J1589" s="47" t="s">
        <v>544</v>
      </c>
      <c r="K1589" s="47" t="s">
        <v>561</v>
      </c>
      <c r="L1589" s="47" t="s">
        <v>382</v>
      </c>
      <c r="M1589" s="49" t="s">
        <v>546</v>
      </c>
      <c r="N1589" s="49"/>
      <c r="O1589" s="29"/>
      <c r="P1589" s="19"/>
      <c r="Q1589" s="14"/>
      <c r="R1589" s="11"/>
    </row>
    <row r="1590" s="1" customFormat="1" ht="21.95" customHeight="1" spans="1:18">
      <c r="A1590" s="7"/>
      <c r="B1590" s="12"/>
      <c r="C1590" s="33"/>
      <c r="D1590" s="207" t="s">
        <v>652</v>
      </c>
      <c r="E1590" s="207"/>
      <c r="F1590" s="207"/>
      <c r="G1590" s="50">
        <v>10</v>
      </c>
      <c r="H1590" s="50">
        <v>10</v>
      </c>
      <c r="I1590" s="50">
        <v>10</v>
      </c>
      <c r="J1590" s="50">
        <v>10</v>
      </c>
      <c r="K1590" s="50">
        <v>60</v>
      </c>
      <c r="L1590" s="50">
        <v>100</v>
      </c>
      <c r="M1590" s="49"/>
      <c r="N1590" s="49"/>
      <c r="O1590" s="29"/>
      <c r="P1590" s="19"/>
      <c r="Q1590" s="14"/>
      <c r="R1590" s="11"/>
    </row>
    <row r="1591" s="1" customFormat="1" ht="21.95" customHeight="1" spans="1:18">
      <c r="A1591" s="7"/>
      <c r="B1591" s="12"/>
      <c r="C1591" s="33"/>
      <c r="D1591" s="117" t="s">
        <v>668</v>
      </c>
      <c r="E1591" s="117"/>
      <c r="F1591" s="117"/>
      <c r="G1591" s="54">
        <f>IFERROR(VLOOKUP(F1574,'1to4-2.1-RR'!$A$12:$BG$111,9,0),"")</f>
        <v>1</v>
      </c>
      <c r="H1591" s="54">
        <f>IFERROR(VLOOKUP(F1574,'1to4-2.1-RR'!$A$12:$BG$111,10,0),"")</f>
        <v>0</v>
      </c>
      <c r="I1591" s="54">
        <f>IFERROR(VLOOKUP(F1574,'1to4-2.1-RR'!$A$12:$BG$111,11,0),"")</f>
        <v>0</v>
      </c>
      <c r="J1591" s="54">
        <f>IFERROR(VLOOKUP(F1574,'1to4-2.1-RR'!$A$12:$BG$111,12,0),"")</f>
        <v>0</v>
      </c>
      <c r="K1591" s="54">
        <f>IFERROR(VLOOKUP(F1574,'1to4-2.1-RR'!$A$12:$BG$111,13,0),"")</f>
        <v>37</v>
      </c>
      <c r="L1591" s="55">
        <f>SUM(G1591:K1591)</f>
        <v>38</v>
      </c>
      <c r="M1591" s="56" t="str">
        <f>IF(F1574&gt;ENTRY!$D$24,"",IF(L1591=0,"Ab",IF(L1591&gt;80,"A",IF(L1591&gt;60,"B",IF(L1591&gt;44,"C",IF(L1591&gt;=33,"D",IF(L1591&lt;=32,"E","")))))))</f>
        <v>D</v>
      </c>
      <c r="N1591" s="56"/>
      <c r="O1591" s="29"/>
      <c r="P1591" s="19"/>
      <c r="Q1591" s="14"/>
      <c r="R1591" s="11"/>
    </row>
    <row r="1592" s="1" customFormat="1" ht="21.95" customHeight="1" spans="1:18">
      <c r="A1592" s="7"/>
      <c r="B1592" s="12"/>
      <c r="C1592" s="33"/>
      <c r="D1592" s="117" t="s">
        <v>513</v>
      </c>
      <c r="E1592" s="117"/>
      <c r="F1592" s="117"/>
      <c r="G1592" s="54">
        <f>IFERROR(VLOOKUP(F1574,'1to4-2.1-RR'!$A$12:$BG$111,16,0),"")</f>
        <v>1</v>
      </c>
      <c r="H1592" s="54">
        <f>IFERROR(VLOOKUP(F1574,'1to4-2.1-RR'!$A$12:$BG$111,17,0),"")</f>
        <v>0</v>
      </c>
      <c r="I1592" s="54">
        <f>IFERROR(VLOOKUP(F1574,'1to4-2.1-RR'!$A$12:$BG$111,18,0),"")</f>
        <v>0</v>
      </c>
      <c r="J1592" s="54">
        <f>IFERROR(VLOOKUP(F1574,'1to4-2.1-RR'!$A$12:$BG$111,19,0),"")</f>
        <v>0</v>
      </c>
      <c r="K1592" s="54">
        <f>IFERROR(VLOOKUP(F1574,'1to4-2.1-RR'!$A$12:$BG$111,20,0),"")</f>
        <v>13</v>
      </c>
      <c r="L1592" s="55">
        <f t="shared" ref="L1592:L1597" si="56">SUM(G1592:K1592)</f>
        <v>14</v>
      </c>
      <c r="M1592" s="56" t="str">
        <f>IF(F1574&gt;ENTRY!$D$24,"",IF(L1592=0,"Ab",IF(L1592&gt;80,"A",IF(L1592&gt;60,"B",IF(L1592&gt;44,"C",IF(L1592&gt;=33,"D",IF(L1592&lt;=32,"E","")))))))</f>
        <v>E</v>
      </c>
      <c r="N1592" s="56"/>
      <c r="O1592" s="29"/>
      <c r="P1592" s="19"/>
      <c r="Q1592" s="14"/>
      <c r="R1592" s="11"/>
    </row>
    <row r="1593" s="1" customFormat="1" ht="21.95" customHeight="1" spans="1:18">
      <c r="A1593" s="7"/>
      <c r="B1593" s="12"/>
      <c r="C1593" s="33"/>
      <c r="D1593" s="117" t="s">
        <v>718</v>
      </c>
      <c r="E1593" s="117"/>
      <c r="F1593" s="117"/>
      <c r="G1593" s="54">
        <f>IFERROR(VLOOKUP(F1574,'1to4-2.1-RR'!$A$12:$BG$111,23,0),"")</f>
        <v>1</v>
      </c>
      <c r="H1593" s="54">
        <f>IFERROR(VLOOKUP(F1574,'1to4-2.1-RR'!$A$12:$BG$111,24,0),"")</f>
        <v>0</v>
      </c>
      <c r="I1593" s="54">
        <f>IFERROR(VLOOKUP(F1574,'1to4-2.1-RR'!$A$12:$BG$111,25,0),"")</f>
        <v>0</v>
      </c>
      <c r="J1593" s="54">
        <f>IFERROR(VLOOKUP(F1574,'1to4-2.1-RR'!$A$12:$BG$111,26,0),"")</f>
        <v>0</v>
      </c>
      <c r="K1593" s="54">
        <f>IFERROR(VLOOKUP(F1574,'1to4-2.1-RR'!$A$12:$BG$111,27,0),"")</f>
        <v>12</v>
      </c>
      <c r="L1593" s="55">
        <f t="shared" si="56"/>
        <v>13</v>
      </c>
      <c r="M1593" s="56" t="str">
        <f>IF(F1574&gt;ENTRY!$D$24,"",IF(L1593=0,"Ab",IF(L1593&gt;80,"A",IF(L1593&gt;60,"B",IF(L1593&gt;44,"C",IF(L1593&gt;=33,"D",IF(L1593&lt;=32,"E","")))))))</f>
        <v>E</v>
      </c>
      <c r="N1593" s="56"/>
      <c r="O1593" s="29"/>
      <c r="P1593" s="19"/>
      <c r="Q1593" s="14"/>
      <c r="R1593" s="11"/>
    </row>
    <row r="1594" s="1" customFormat="1" ht="21.95" customHeight="1" spans="1:18">
      <c r="A1594" s="7"/>
      <c r="B1594" s="12"/>
      <c r="C1594" s="33"/>
      <c r="D1594" s="117" t="s">
        <v>719</v>
      </c>
      <c r="E1594" s="117"/>
      <c r="F1594" s="117"/>
      <c r="G1594" s="54">
        <f>IFERROR(VLOOKUP(F1574,'1to4-2.1-RR'!$A$12:$BG$111,30,0),"")</f>
        <v>1</v>
      </c>
      <c r="H1594" s="54">
        <f>IFERROR(VLOOKUP(F1574,'1to4-2.1-RR'!$A$12:$BG$111,31,0),"")</f>
        <v>0</v>
      </c>
      <c r="I1594" s="54">
        <f>IFERROR(VLOOKUP(F1574,'1to4-2.1-RR'!$A$12:$BG$111,32,0),"")</f>
        <v>0</v>
      </c>
      <c r="J1594" s="54">
        <f>IFERROR(VLOOKUP(F1574,'1to4-2.1-RR'!$A$12:$BG$111,33,0),"")</f>
        <v>0</v>
      </c>
      <c r="K1594" s="54">
        <f>IFERROR(VLOOKUP(F1574,'1to4-2.1-RR'!$A$12:$BG$111,34,0),"")</f>
        <v>13</v>
      </c>
      <c r="L1594" s="55">
        <f t="shared" si="56"/>
        <v>14</v>
      </c>
      <c r="M1594" s="56" t="str">
        <f>IF(F1574&gt;ENTRY!$D$24,"",IF(L1594=0,"Ab",IF(L1594&gt;80,"A",IF(L1594&gt;60,"B",IF(L1594&gt;44,"C",IF(L1594&gt;=33,"D",IF(L1594&lt;=32,"E","")))))))</f>
        <v>E</v>
      </c>
      <c r="N1594" s="56"/>
      <c r="O1594" s="29"/>
      <c r="P1594" s="19"/>
      <c r="Q1594" s="14"/>
      <c r="R1594" s="11"/>
    </row>
    <row r="1595" s="1" customFormat="1" ht="21.95" customHeight="1" spans="1:18">
      <c r="A1595" s="7"/>
      <c r="B1595" s="12"/>
      <c r="C1595" s="33"/>
      <c r="D1595" s="117" t="s">
        <v>548</v>
      </c>
      <c r="E1595" s="117"/>
      <c r="F1595" s="117"/>
      <c r="G1595" s="54">
        <f>IFERROR(VLOOKUP(F1574,'1to4-2.1-RR'!$A$12:$BG$111,37,0),"")</f>
        <v>0</v>
      </c>
      <c r="H1595" s="54">
        <f>IFERROR(VLOOKUP(F1574,'1to4-2.1-RR'!$A$12:$BG$111,38,0),"")</f>
        <v>0</v>
      </c>
      <c r="I1595" s="54">
        <f>IFERROR(VLOOKUP(F1574,'1to4-2.1-RR'!$A$12:$BG$111,39,0),"")</f>
        <v>0</v>
      </c>
      <c r="J1595" s="54">
        <f>IFERROR(VLOOKUP(F1574,'1to4-2.1-RR'!$A$12:$BG$111,40,0),"")</f>
        <v>0</v>
      </c>
      <c r="K1595" s="54">
        <f>IFERROR(VLOOKUP(F1574,'1to4-2.1-RR'!$A$12:$BG$111,41,0),"")</f>
        <v>13</v>
      </c>
      <c r="L1595" s="55">
        <f t="shared" si="56"/>
        <v>13</v>
      </c>
      <c r="M1595" s="56" t="str">
        <f>IF(F1574&gt;ENTRY!$D$24,"",IF(L1595=0,"Ab",IF(L1595&gt;80,"A",IF(L1595&gt;60,"B",IF(L1595&gt;44,"C",IF(L1595&gt;=33,"D",IF(L1595&lt;=32,"E","")))))))</f>
        <v>E</v>
      </c>
      <c r="N1595" s="56"/>
      <c r="O1595" s="29"/>
      <c r="P1595" s="19"/>
      <c r="Q1595" s="14"/>
      <c r="R1595" s="11"/>
    </row>
    <row r="1596" s="1" customFormat="1" ht="21.95" customHeight="1" spans="1:18">
      <c r="A1596" s="7"/>
      <c r="B1596" s="12"/>
      <c r="C1596" s="33"/>
      <c r="D1596" s="117" t="s">
        <v>549</v>
      </c>
      <c r="E1596" s="117"/>
      <c r="F1596" s="117"/>
      <c r="G1596" s="54">
        <f>IFERROR(VLOOKUP(F1574,'1to4-2.1-RR'!$A$12:$BG$111,44,0),"")</f>
        <v>1</v>
      </c>
      <c r="H1596" s="54">
        <f>IFERROR(VLOOKUP(F1574,'1to4-2.1-RR'!$A$12:$BG$111,45,0),"")</f>
        <v>0</v>
      </c>
      <c r="I1596" s="54">
        <f>IFERROR(VLOOKUP(F1574,'1to4-2.1-RR'!$A$12:$BG$111,46,0),"")</f>
        <v>0</v>
      </c>
      <c r="J1596" s="54">
        <f>IFERROR(VLOOKUP(F1574,'1to4-2.1-RR'!$A$12:$BG$111,47,0),"")</f>
        <v>0</v>
      </c>
      <c r="K1596" s="54">
        <f>IFERROR(VLOOKUP(F1574,'1to4-2.1-RR'!$A$12:$BG$111,48,0),"")</f>
        <v>27</v>
      </c>
      <c r="L1596" s="55">
        <f t="shared" si="56"/>
        <v>28</v>
      </c>
      <c r="M1596" s="56" t="str">
        <f>IF(F1574&gt;ENTRY!$D$24,"",IF(L1596=0,"Ab",IF(L1596&gt;80,"A",IF(L1596&gt;60,"B",IF(L1596&gt;44,"C",IF(L1596&gt;=33,"D",IF(L1596&lt;=32,"E","")))))))</f>
        <v>E</v>
      </c>
      <c r="N1596" s="56"/>
      <c r="O1596" s="29"/>
      <c r="P1596" s="19"/>
      <c r="Q1596" s="14"/>
      <c r="R1596" s="11"/>
    </row>
    <row r="1597" s="1" customFormat="1" ht="21.95" customHeight="1" spans="1:18">
      <c r="A1597" s="7"/>
      <c r="B1597" s="12"/>
      <c r="C1597" s="33"/>
      <c r="D1597" s="117" t="s">
        <v>720</v>
      </c>
      <c r="E1597" s="117"/>
      <c r="F1597" s="117"/>
      <c r="G1597" s="54"/>
      <c r="H1597" s="54"/>
      <c r="I1597" s="54"/>
      <c r="J1597" s="54"/>
      <c r="K1597" s="54"/>
      <c r="L1597" s="55">
        <f t="shared" si="56"/>
        <v>0</v>
      </c>
      <c r="M1597" s="56" t="str">
        <f>IF(F1574&gt;ENTRY!$D$24,"",IF(L1597=0,"",IF(L1597&gt;79,"A",IF(L1597&gt;59,"B",IF(L1597&gt;44,"C",IF(L1597&gt;=33,"D",IF(L1597&lt;=32,"E","")))))))</f>
        <v/>
      </c>
      <c r="N1597" s="56"/>
      <c r="O1597" s="29"/>
      <c r="P1597" s="19"/>
      <c r="Q1597" s="14"/>
      <c r="R1597" s="11"/>
    </row>
    <row r="1598" s="1" customFormat="1" ht="21.95" customHeight="1" spans="1:18">
      <c r="A1598" s="7"/>
      <c r="B1598" s="12"/>
      <c r="C1598" s="33"/>
      <c r="D1598" s="207" t="s">
        <v>382</v>
      </c>
      <c r="E1598" s="207"/>
      <c r="F1598" s="207"/>
      <c r="G1598" s="54">
        <f t="shared" ref="G1598:L1598" si="57">IFERROR(SUM(G1591:G1597),"")</f>
        <v>5</v>
      </c>
      <c r="H1598" s="54">
        <f t="shared" si="57"/>
        <v>0</v>
      </c>
      <c r="I1598" s="54">
        <f t="shared" si="57"/>
        <v>0</v>
      </c>
      <c r="J1598" s="54">
        <f t="shared" si="57"/>
        <v>0</v>
      </c>
      <c r="K1598" s="54">
        <f t="shared" si="57"/>
        <v>115</v>
      </c>
      <c r="L1598" s="55">
        <f t="shared" si="57"/>
        <v>120</v>
      </c>
      <c r="M1598" s="61" t="str">
        <f>IF(F1574&gt;ENTRY!$D$24,"",IF(N1599="Ab","Ab",IF(N1599&gt;79.5,"A",IF(N1599&gt;59.5,"B",IF(N1599&gt;44.5,"C",IF(N1599&gt;=33,"D",IF(N1599&lt;33,"E","")))))))</f>
        <v>E</v>
      </c>
      <c r="N1598" s="61"/>
      <c r="O1598" s="29"/>
      <c r="P1598" s="19"/>
      <c r="Q1598" s="14"/>
      <c r="R1598" s="11"/>
    </row>
    <row r="1599" s="1" customFormat="1" ht="21.95" customHeight="1" spans="1:18">
      <c r="A1599" s="7"/>
      <c r="B1599" s="12"/>
      <c r="C1599" s="33"/>
      <c r="D1599" s="63" t="s">
        <v>721</v>
      </c>
      <c r="E1599" s="63"/>
      <c r="F1599" s="63"/>
      <c r="G1599" s="63"/>
      <c r="H1599" s="63"/>
      <c r="I1599" s="63"/>
      <c r="J1599" s="63"/>
      <c r="K1599" s="63"/>
      <c r="L1599" s="63"/>
      <c r="M1599" s="209"/>
      <c r="N1599" s="64">
        <f>IF(L1598="Ab","Ab",L1598/6)</f>
        <v>20</v>
      </c>
      <c r="O1599" s="65"/>
      <c r="P1599" s="19"/>
      <c r="Q1599" s="14"/>
      <c r="R1599" s="11"/>
    </row>
    <row r="1600" s="1" customFormat="1" ht="21.95" customHeight="1" spans="1:18">
      <c r="A1600" s="7"/>
      <c r="B1600" s="12"/>
      <c r="C1600" s="33"/>
      <c r="D1600" s="29" t="s">
        <v>716</v>
      </c>
      <c r="E1600" s="18" t="str">
        <f>IFERROR(VLOOKUP(F1574,'1to4-2.1-RR'!$A$12:$BG$111,57,0),"")</f>
        <v>PROMOTED</v>
      </c>
      <c r="F1600" s="18"/>
      <c r="G1600" s="18"/>
      <c r="H1600" s="18"/>
      <c r="I1600" s="18"/>
      <c r="J1600" s="18"/>
      <c r="K1600" s="18"/>
      <c r="L1600" s="18"/>
      <c r="M1600" s="18"/>
      <c r="N1600" s="29"/>
      <c r="O1600" s="29"/>
      <c r="P1600" s="19"/>
      <c r="Q1600" s="14"/>
      <c r="R1600" s="11"/>
    </row>
    <row r="1601" s="1" customFormat="1" ht="9.95" customHeight="1" spans="1:19">
      <c r="A1601" s="7"/>
      <c r="B1601" s="12"/>
      <c r="C1601" s="39"/>
      <c r="D1601" s="40"/>
      <c r="E1601" s="40"/>
      <c r="F1601" s="40"/>
      <c r="G1601" s="40"/>
      <c r="H1601" s="40"/>
      <c r="I1601" s="40"/>
      <c r="J1601" s="40"/>
      <c r="K1601" s="40"/>
      <c r="L1601" s="40"/>
      <c r="M1601" s="40"/>
      <c r="N1601" s="40"/>
      <c r="O1601" s="40"/>
      <c r="P1601" s="41"/>
      <c r="Q1601" s="14"/>
      <c r="R1601" s="11"/>
    </row>
    <row r="1602" s="1" customFormat="1" ht="9.95" customHeight="1" spans="1:19">
      <c r="A1602" s="7"/>
      <c r="B1602" s="12"/>
      <c r="C1602" s="30"/>
      <c r="D1602" s="31"/>
      <c r="E1602" s="31"/>
      <c r="F1602" s="29"/>
      <c r="G1602" s="31"/>
      <c r="H1602" s="31"/>
      <c r="I1602" s="31"/>
      <c r="J1602" s="31"/>
      <c r="K1602" s="31"/>
      <c r="L1602" s="31"/>
      <c r="M1602" s="31"/>
      <c r="N1602" s="31"/>
      <c r="O1602" s="31"/>
      <c r="P1602" s="32"/>
      <c r="Q1602" s="14"/>
      <c r="R1602" s="11"/>
    </row>
    <row r="1603" s="1" customFormat="1" ht="9.95" customHeight="1" spans="1:19">
      <c r="A1603" s="7"/>
      <c r="B1603" s="12"/>
      <c r="C1603" s="33"/>
      <c r="D1603" s="29"/>
      <c r="E1603" s="29"/>
      <c r="F1603" s="29"/>
      <c r="G1603" s="29"/>
      <c r="H1603" s="29"/>
      <c r="I1603" s="29"/>
      <c r="J1603" s="29"/>
      <c r="K1603" s="29"/>
      <c r="L1603" s="29"/>
      <c r="M1603" s="29"/>
      <c r="N1603" s="29"/>
      <c r="O1603" s="29"/>
      <c r="P1603" s="19"/>
      <c r="Q1603" s="14"/>
      <c r="R1603" s="11"/>
    </row>
    <row r="1604" s="1" customFormat="1" ht="9.95" customHeight="1" spans="1:19">
      <c r="A1604" s="7"/>
      <c r="B1604" s="12"/>
      <c r="C1604" s="33"/>
      <c r="D1604" s="29"/>
      <c r="E1604" s="29"/>
      <c r="F1604" s="29"/>
      <c r="G1604" s="29"/>
      <c r="H1604" s="29"/>
      <c r="I1604" s="29"/>
      <c r="J1604" s="29"/>
      <c r="K1604" s="29"/>
      <c r="L1604" s="29"/>
      <c r="M1604" s="29"/>
      <c r="N1604" s="29"/>
      <c r="O1604" s="29"/>
      <c r="P1604" s="19"/>
      <c r="Q1604" s="14"/>
      <c r="R1604" s="11"/>
    </row>
    <row r="1605" s="1" customFormat="1" ht="21.95" customHeight="1" spans="1:19">
      <c r="A1605" s="7"/>
      <c r="B1605" s="12"/>
      <c r="C1605" s="210"/>
      <c r="D1605" s="211"/>
      <c r="E1605" s="211"/>
      <c r="F1605" s="211"/>
      <c r="G1605" s="211"/>
      <c r="H1605" s="211"/>
      <c r="I1605" s="211"/>
      <c r="J1605" s="211"/>
      <c r="K1605" s="211"/>
      <c r="L1605" s="211"/>
      <c r="M1605" s="211"/>
      <c r="N1605" s="211"/>
      <c r="O1605" s="211"/>
      <c r="P1605" s="212"/>
      <c r="Q1605" s="14"/>
      <c r="R1605" s="11"/>
      <c r="S1605" s="2"/>
    </row>
    <row r="1606" s="1" customFormat="1" ht="21.95" customHeight="1" spans="1:19">
      <c r="A1606" s="7"/>
      <c r="B1606" s="12"/>
      <c r="C1606" s="33"/>
      <c r="D1606" s="207" t="s">
        <v>722</v>
      </c>
      <c r="E1606" s="207"/>
      <c r="F1606" s="207"/>
      <c r="G1606" s="207"/>
      <c r="H1606" s="54">
        <f>IFERROR(VLOOKUP(F1574,PASHEET!$A$4:$CJ$103,88,0),"")</f>
        <v>0</v>
      </c>
      <c r="I1606" s="54"/>
      <c r="J1606" s="29"/>
      <c r="K1606" s="29"/>
      <c r="L1606" s="29"/>
      <c r="M1606" s="29"/>
      <c r="N1606" s="29"/>
      <c r="O1606" s="29"/>
      <c r="P1606" s="19"/>
      <c r="Q1606" s="14"/>
      <c r="R1606" s="11"/>
    </row>
    <row r="1607" s="1" customFormat="1" ht="21.95" customHeight="1" spans="1:19">
      <c r="A1607" s="7"/>
      <c r="B1607" s="12"/>
      <c r="C1607" s="213"/>
      <c r="D1607" s="207" t="s">
        <v>723</v>
      </c>
      <c r="E1607" s="207"/>
      <c r="F1607" s="207"/>
      <c r="G1607" s="207"/>
      <c r="H1607" s="54">
        <f>IFERROR(VLOOKUP(F1574,PASHEET!$A$4:$CJ$103,87,0),"")</f>
        <v>0</v>
      </c>
      <c r="I1607" s="54"/>
      <c r="J1607" s="214"/>
      <c r="K1607" s="214"/>
      <c r="L1607" s="207" t="s">
        <v>724</v>
      </c>
      <c r="M1607" s="207"/>
      <c r="N1607" s="117" t="str">
        <f>IF(F1574&gt;ENTRY!$D$24,"",IF(F1574&gt;0,L1598&amp;" / "&amp;600,""))</f>
        <v>120 / 600</v>
      </c>
      <c r="O1607" s="117"/>
      <c r="P1607" s="215"/>
      <c r="Q1607" s="14"/>
      <c r="R1607" s="11"/>
    </row>
    <row r="1608" s="1" customFormat="1" ht="18" customHeight="1" spans="1:19">
      <c r="A1608" s="7"/>
      <c r="B1608" s="12"/>
      <c r="C1608" s="33"/>
      <c r="D1608" s="207" t="s">
        <v>725</v>
      </c>
      <c r="E1608" s="207"/>
      <c r="F1608" s="207"/>
      <c r="G1608" s="207"/>
      <c r="H1608" s="69" t="str">
        <f>IFERROR(IF(F1574&gt;0,H1607/H1606*100),"")</f>
        <v/>
      </c>
      <c r="I1608" s="69"/>
      <c r="J1608" s="29"/>
      <c r="K1608" s="29"/>
      <c r="L1608" s="207" t="s">
        <v>726</v>
      </c>
      <c r="M1608" s="207"/>
      <c r="N1608" s="216">
        <f>IF(F1574&gt;ENTRY!$D$24,"",IF(F1574&gt;0,L1598/600*100,""))</f>
        <v>20</v>
      </c>
      <c r="O1608" s="216"/>
      <c r="P1608" s="19"/>
      <c r="Q1608" s="14"/>
      <c r="R1608" s="11"/>
    </row>
    <row r="1609" s="1" customFormat="1" ht="21.95" customHeight="1" spans="1:19">
      <c r="A1609" s="7"/>
      <c r="B1609" s="12"/>
      <c r="C1609" s="33"/>
      <c r="D1609" s="80"/>
      <c r="E1609" s="80"/>
      <c r="F1609" s="217"/>
      <c r="G1609" s="217"/>
      <c r="H1609" s="217"/>
      <c r="I1609" s="217"/>
      <c r="J1609" s="217"/>
      <c r="K1609" s="217"/>
      <c r="L1609" s="217"/>
      <c r="M1609" s="217"/>
      <c r="N1609" s="80"/>
      <c r="O1609" s="80"/>
      <c r="P1609" s="19"/>
      <c r="Q1609" s="14"/>
      <c r="R1609" s="11"/>
    </row>
    <row r="1610" s="1" customFormat="1" ht="21.95" customHeight="1" spans="1:19">
      <c r="A1610" s="7"/>
      <c r="B1610" s="12"/>
      <c r="C1610" s="33"/>
      <c r="D1610" s="80"/>
      <c r="E1610" s="218"/>
      <c r="F1610" s="218"/>
      <c r="G1610" s="218"/>
      <c r="H1610" s="80"/>
      <c r="I1610" s="218"/>
      <c r="J1610" s="218"/>
      <c r="K1610" s="218"/>
      <c r="L1610" s="218"/>
      <c r="M1610" s="80"/>
      <c r="N1610" s="219"/>
      <c r="O1610" s="219"/>
      <c r="P1610" s="19"/>
      <c r="Q1610" s="14"/>
      <c r="R1610" s="11"/>
    </row>
    <row r="1611" s="1" customFormat="1" ht="21.95" customHeight="1" spans="1:19">
      <c r="A1611" s="7"/>
      <c r="B1611" s="12"/>
      <c r="C1611" s="33"/>
      <c r="D1611" s="80"/>
      <c r="E1611" s="80"/>
      <c r="F1611" s="80"/>
      <c r="G1611" s="80"/>
      <c r="H1611" s="80"/>
      <c r="I1611" s="80"/>
      <c r="J1611" s="80"/>
      <c r="K1611" s="80"/>
      <c r="L1611" s="80"/>
      <c r="M1611" s="80"/>
      <c r="N1611" s="80"/>
      <c r="O1611" s="80"/>
      <c r="P1611" s="19"/>
      <c r="Q1611" s="14"/>
      <c r="R1611" s="11"/>
    </row>
    <row r="1612" s="1" customFormat="1" ht="21.95" customHeight="1" spans="1:19">
      <c r="A1612" s="7"/>
      <c r="B1612" s="12"/>
      <c r="C1612" s="33"/>
      <c r="D1612" s="218"/>
      <c r="E1612" s="218"/>
      <c r="F1612" s="218"/>
      <c r="G1612" s="218"/>
      <c r="H1612" s="218"/>
      <c r="I1612" s="218"/>
      <c r="J1612" s="218"/>
      <c r="K1612" s="218"/>
      <c r="L1612" s="218"/>
      <c r="M1612" s="80"/>
      <c r="N1612" s="217"/>
      <c r="O1612" s="217"/>
      <c r="P1612" s="85" t="s">
        <v>727</v>
      </c>
      <c r="Q1612" s="14"/>
      <c r="R1612" s="11"/>
    </row>
    <row r="1613" s="1" customFormat="1" ht="21.95" customHeight="1" spans="1:19">
      <c r="A1613" s="7"/>
      <c r="B1613" s="12"/>
      <c r="C1613" s="33"/>
      <c r="D1613" s="29"/>
      <c r="E1613" s="29"/>
      <c r="F1613" s="29"/>
      <c r="G1613" s="29"/>
      <c r="H1613" s="29"/>
      <c r="I1613" s="29"/>
      <c r="J1613" s="29"/>
      <c r="K1613" s="29"/>
      <c r="L1613" s="29"/>
      <c r="M1613" s="29"/>
      <c r="N1613" s="29"/>
      <c r="O1613" s="29"/>
      <c r="P1613" s="19"/>
      <c r="Q1613" s="14"/>
      <c r="R1613" s="11"/>
    </row>
    <row r="1614" s="1" customFormat="1" ht="21.95" customHeight="1" spans="1:19">
      <c r="A1614" s="7"/>
      <c r="B1614" s="12"/>
      <c r="C1614" s="33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19"/>
      <c r="Q1614" s="14"/>
      <c r="R1614" s="11"/>
    </row>
    <row r="1615" s="1" customFormat="1" ht="21.95" customHeight="1" spans="1:19">
      <c r="A1615" s="7"/>
      <c r="B1615" s="12"/>
      <c r="C1615" s="33"/>
      <c r="D1615" s="29"/>
      <c r="E1615" s="29"/>
      <c r="F1615" s="29"/>
      <c r="G1615" s="29"/>
      <c r="H1615" s="29"/>
      <c r="I1615" s="29"/>
      <c r="J1615" s="29"/>
      <c r="K1615" s="29"/>
      <c r="L1615" s="29"/>
      <c r="M1615" s="29"/>
      <c r="N1615" s="29"/>
      <c r="O1615" s="29"/>
      <c r="P1615" s="19"/>
      <c r="Q1615" s="14"/>
      <c r="R1615" s="11"/>
    </row>
    <row r="1616" s="1" customFormat="1" ht="21.95" customHeight="1" spans="1:19">
      <c r="A1616" s="7"/>
      <c r="B1616" s="12"/>
      <c r="C1616" s="33"/>
      <c r="D1616" s="29"/>
      <c r="E1616" s="29"/>
      <c r="F1616" s="29"/>
      <c r="G1616" s="29"/>
      <c r="H1616" s="29"/>
      <c r="I1616" s="29"/>
      <c r="J1616" s="29"/>
      <c r="K1616" s="29"/>
      <c r="L1616" s="29"/>
      <c r="M1616" s="29"/>
      <c r="N1616" s="29"/>
      <c r="O1616" s="29"/>
      <c r="P1616" s="19"/>
      <c r="Q1616" s="14"/>
      <c r="R1616" s="11"/>
    </row>
    <row r="1617" s="1" customFormat="1" ht="21.95" customHeight="1" spans="1:18">
      <c r="A1617" s="7"/>
      <c r="B1617" s="12"/>
      <c r="C1617" s="33"/>
      <c r="D1617" s="29"/>
      <c r="E1617" s="29"/>
      <c r="F1617" s="29"/>
      <c r="G1617" s="29"/>
      <c r="H1617" s="29"/>
      <c r="I1617" s="29"/>
      <c r="J1617" s="29"/>
      <c r="K1617" s="29"/>
      <c r="L1617" s="29"/>
      <c r="M1617" s="29"/>
      <c r="N1617" s="29"/>
      <c r="O1617" s="29"/>
      <c r="P1617" s="19"/>
      <c r="Q1617" s="14"/>
      <c r="R1617" s="11"/>
    </row>
    <row r="1618" s="1" customFormat="1" ht="21.95" customHeight="1" spans="1:18">
      <c r="A1618" s="7"/>
      <c r="B1618" s="12"/>
      <c r="C1618" s="33"/>
      <c r="D1618" s="80" t="s">
        <v>728</v>
      </c>
      <c r="E1618" s="220">
        <f>ENTRY!$D$27</f>
        <v>46102</v>
      </c>
      <c r="F1618" s="220"/>
      <c r="G1618" s="29"/>
      <c r="H1618" s="29"/>
      <c r="I1618" s="221" t="s">
        <v>729</v>
      </c>
      <c r="J1618" s="153"/>
      <c r="K1618" s="29"/>
      <c r="L1618" s="29"/>
      <c r="M1618" s="87" t="s">
        <v>730</v>
      </c>
      <c r="N1618" s="87"/>
      <c r="O1618" s="87"/>
      <c r="P1618" s="19"/>
      <c r="Q1618" s="14"/>
      <c r="R1618" s="11"/>
    </row>
    <row r="1619" s="1" customFormat="1" ht="21.95" customHeight="1" spans="1:18">
      <c r="A1619" s="7"/>
      <c r="B1619" s="12"/>
      <c r="C1619" s="33"/>
      <c r="D1619" s="80" t="s">
        <v>731</v>
      </c>
      <c r="E1619" s="88" t="str">
        <f>PROPER(ENTRY!$D$28)</f>
        <v>New Delhi</v>
      </c>
      <c r="F1619" s="88"/>
      <c r="G1619" s="29"/>
      <c r="H1619" s="29"/>
      <c r="I1619" s="153"/>
      <c r="J1619" s="153"/>
      <c r="K1619" s="29"/>
      <c r="L1619" s="29"/>
      <c r="M1619" s="79" t="s">
        <v>732</v>
      </c>
      <c r="N1619" s="79"/>
      <c r="O1619" s="79"/>
      <c r="P1619" s="19"/>
      <c r="Q1619" s="14"/>
      <c r="R1619" s="11"/>
    </row>
    <row r="1620" s="1" customFormat="1" ht="21.95" customHeight="1" spans="1:18">
      <c r="A1620" s="7"/>
      <c r="B1620" s="12"/>
      <c r="C1620" s="90"/>
      <c r="D1620" s="91"/>
      <c r="E1620" s="91"/>
      <c r="F1620" s="91"/>
      <c r="G1620" s="91"/>
      <c r="H1620" s="91"/>
      <c r="I1620" s="91"/>
      <c r="J1620" s="91"/>
      <c r="K1620" s="91"/>
      <c r="L1620" s="91"/>
      <c r="M1620" s="91"/>
      <c r="N1620" s="91"/>
      <c r="O1620" s="91"/>
      <c r="P1620" s="92"/>
      <c r="Q1620" s="14"/>
      <c r="R1620" s="11"/>
    </row>
    <row r="1621" s="1" customFormat="1" ht="5.1" customHeight="1" spans="1:18">
      <c r="A1621" s="7"/>
      <c r="B1621" s="90"/>
      <c r="C1621" s="91"/>
      <c r="D1621" s="91"/>
      <c r="E1621" s="91"/>
      <c r="F1621" s="91"/>
      <c r="G1621" s="91"/>
      <c r="H1621" s="91"/>
      <c r="I1621" s="91"/>
      <c r="J1621" s="91"/>
      <c r="K1621" s="91"/>
      <c r="L1621" s="91"/>
      <c r="M1621" s="91"/>
      <c r="N1621" s="91"/>
      <c r="O1621" s="91"/>
      <c r="P1621" s="91"/>
      <c r="Q1621" s="92"/>
      <c r="R1621" s="11"/>
    </row>
    <row r="1622" s="1" customFormat="1" ht="5.1" customHeight="1" spans="1:18">
      <c r="A1622" s="93"/>
      <c r="B1622" s="94"/>
      <c r="C1622" s="94"/>
      <c r="D1622" s="94"/>
      <c r="E1622" s="94"/>
      <c r="F1622" s="94"/>
      <c r="G1622" s="94"/>
      <c r="H1622" s="94"/>
      <c r="I1622" s="94"/>
      <c r="J1622" s="94"/>
      <c r="K1622" s="94"/>
      <c r="L1622" s="94"/>
      <c r="M1622" s="94"/>
      <c r="N1622" s="94"/>
      <c r="O1622" s="94"/>
      <c r="P1622" s="94"/>
      <c r="Q1622" s="94"/>
      <c r="R1622" s="95"/>
    </row>
    <row r="1623" s="1" customFormat="1" ht="21.95" customHeight="1"/>
    <row r="1624" ht="15.15"/>
    <row r="1625" s="1" customFormat="1" ht="5.1" customHeight="1" spans="1:18">
      <c r="A1625" s="4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6"/>
    </row>
    <row r="1626" s="1" customFormat="1" ht="15" customHeight="1" spans="1:18">
      <c r="A1626" s="7"/>
      <c r="B1626" s="8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9"/>
      <c r="O1626" s="9"/>
      <c r="P1626" s="9"/>
      <c r="Q1626" s="10"/>
      <c r="R1626" s="11"/>
    </row>
    <row r="1627" s="1" customFormat="1" ht="21.95" customHeight="1" spans="1:18">
      <c r="A1627" s="7"/>
      <c r="B1627" s="12"/>
      <c r="C1627" s="13" t="s">
        <v>7</v>
      </c>
      <c r="D1627" s="13"/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/>
      <c r="Q1627" s="14"/>
      <c r="R1627" s="11"/>
    </row>
    <row r="1628" s="1" customFormat="1" ht="21.95" customHeight="1" spans="1:18">
      <c r="A1628" s="7"/>
      <c r="B1628" s="1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14"/>
      <c r="R1628" s="11"/>
    </row>
    <row r="1629" s="1" customFormat="1" ht="21.95" customHeight="1" spans="1:18">
      <c r="A1629" s="7"/>
      <c r="B1629" s="12"/>
      <c r="C1629" s="15" t="str">
        <f>"SESSION-"&amp;ENTRY!$D$11</f>
        <v>SESSION-2026-27</v>
      </c>
      <c r="D1629" s="15"/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4"/>
      <c r="R1629" s="11"/>
    </row>
    <row r="1630" s="1" customFormat="1" ht="21.95" customHeight="1" spans="1:18">
      <c r="A1630" s="7"/>
      <c r="B1630" s="12"/>
      <c r="C1630" s="2"/>
      <c r="D1630" s="2"/>
      <c r="E1630" s="2"/>
      <c r="F1630" s="16">
        <f>F1574+1</f>
        <v>30</v>
      </c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14"/>
      <c r="R1630" s="11"/>
    </row>
    <row r="1631" s="1" customFormat="1" ht="21.95" customHeight="1" spans="1:18">
      <c r="A1631" s="7"/>
      <c r="B1631" s="12"/>
      <c r="C1631" s="17" t="s">
        <v>392</v>
      </c>
      <c r="D1631" s="17"/>
      <c r="E1631" s="17"/>
      <c r="F1631" s="18" t="str">
        <f>IF(F1630&gt;0,ENTRY!$D$6,"")</f>
        <v>MCP NITHARI NO 1 BOYS</v>
      </c>
      <c r="G1631" s="18"/>
      <c r="H1631" s="18"/>
      <c r="I1631" s="18"/>
      <c r="J1631" s="18"/>
      <c r="K1631" s="18"/>
      <c r="L1631" s="18"/>
      <c r="M1631" s="18"/>
      <c r="N1631" s="18"/>
      <c r="O1631" s="18"/>
      <c r="P1631" s="18"/>
      <c r="Q1631" s="14"/>
      <c r="R1631" s="11"/>
    </row>
    <row r="1632" s="1" customFormat="1" ht="21.95" customHeight="1" spans="1:18">
      <c r="A1632" s="7"/>
      <c r="B1632" s="12"/>
      <c r="C1632" s="17" t="s">
        <v>393</v>
      </c>
      <c r="D1632" s="17"/>
      <c r="E1632" s="17"/>
      <c r="F1632" s="18">
        <f>IF(F1630&gt;0,ENTRY!$D$7,"")</f>
        <v>0</v>
      </c>
      <c r="G1632" s="18"/>
      <c r="H1632" s="20" t="s">
        <v>702</v>
      </c>
      <c r="I1632" s="20"/>
      <c r="J1632" s="21">
        <f>IF(F1630&gt;0,ENTRY!$D$10,"")</f>
        <v>40</v>
      </c>
      <c r="K1632" s="20" t="s">
        <v>703</v>
      </c>
      <c r="L1632" s="22" t="str">
        <f>IF(F1630&gt;0,ENTRY!$D$5,"")</f>
        <v>ROHINI ZONE</v>
      </c>
      <c r="M1632" s="22"/>
      <c r="N1632" s="22"/>
      <c r="O1632" s="22"/>
      <c r="P1632" s="22"/>
      <c r="Q1632" s="14"/>
      <c r="R1632" s="11"/>
    </row>
    <row r="1633" s="1" customFormat="1" ht="21.95" customHeight="1" spans="1:18">
      <c r="A1633" s="7"/>
      <c r="B1633" s="12"/>
      <c r="C1633" s="17" t="s">
        <v>706</v>
      </c>
      <c r="D1633" s="17"/>
      <c r="E1633" s="17"/>
      <c r="F1633" s="23" t="str">
        <f>IFERROR(VLOOKUP(F1630,STUDENT!$A$2:$BP$101,5,0),"")</f>
        <v>AYAN</v>
      </c>
      <c r="G1633" s="23"/>
      <c r="H1633" s="23"/>
      <c r="I1633" s="23"/>
      <c r="J1633" s="23"/>
      <c r="K1633" s="23"/>
      <c r="L1633" s="20" t="s">
        <v>707</v>
      </c>
      <c r="M1633" s="20"/>
      <c r="N1633" s="24" t="str">
        <f>IF(F1630&gt;0,ENTRY!$D$20&amp;"-"&amp;ENTRY!$D$21,"")</f>
        <v>III-A</v>
      </c>
      <c r="O1633" s="24"/>
      <c r="P1633" s="24"/>
      <c r="Q1633" s="14"/>
      <c r="R1633" s="11"/>
    </row>
    <row r="1634" s="1" customFormat="1" ht="21.95" customHeight="1" spans="1:18">
      <c r="A1634" s="7"/>
      <c r="B1634" s="12"/>
      <c r="C1634" s="17" t="s">
        <v>708</v>
      </c>
      <c r="D1634" s="17"/>
      <c r="E1634" s="17"/>
      <c r="F1634" s="25">
        <f>IFERROR(VLOOKUP(F1630,STUDENT!$A$2:$BP$101,6,0),"")</f>
        <v>15022</v>
      </c>
      <c r="G1634" s="25"/>
      <c r="H1634" s="26" t="s">
        <v>709</v>
      </c>
      <c r="I1634" s="27" t="str">
        <f>IFERROR(VLOOKUP(F1630,STUDENT!$A$2:$BP$101,59,0),"")</f>
        <v/>
      </c>
      <c r="J1634" s="27"/>
      <c r="K1634" s="20" t="s">
        <v>710</v>
      </c>
      <c r="L1634" s="20"/>
      <c r="M1634" s="28">
        <f>IFERROR(VLOOKUP(F1630,STUDENT!$A$2:$BP$101,20,0),"")</f>
        <v>9315749491</v>
      </c>
      <c r="N1634" s="28"/>
      <c r="O1634" s="28"/>
      <c r="P1634" s="28"/>
      <c r="Q1634" s="14"/>
      <c r="R1634" s="11"/>
    </row>
    <row r="1635" s="1" customFormat="1" ht="21.95" customHeight="1" spans="1:18">
      <c r="A1635" s="7"/>
      <c r="B1635" s="12"/>
      <c r="C1635" s="17" t="s">
        <v>711</v>
      </c>
      <c r="D1635" s="17"/>
      <c r="E1635" s="17"/>
      <c r="F1635" s="23" t="str">
        <f>IFERROR(VLOOKUP(F1630,STUDENT!$A$2:$BP$101,9,0),"")</f>
        <v>HURVANO</v>
      </c>
      <c r="G1635" s="23"/>
      <c r="H1635" s="23"/>
      <c r="I1635" s="23"/>
      <c r="J1635" s="17" t="s">
        <v>620</v>
      </c>
      <c r="K1635" s="17"/>
      <c r="L1635" s="23" t="str">
        <f>IFERROR(VLOOKUP(F1630,STUDENT!$A$2:$BP$101,8,0),"")</f>
        <v>BABU HASAN</v>
      </c>
      <c r="M1635" s="23"/>
      <c r="N1635" s="23"/>
      <c r="O1635" s="23"/>
      <c r="P1635" s="23"/>
      <c r="Q1635" s="14"/>
      <c r="R1635" s="11"/>
    </row>
    <row r="1636" s="1" customFormat="1" ht="21.95" customHeight="1" spans="1:18">
      <c r="A1636" s="7"/>
      <c r="B1636" s="12"/>
      <c r="C1636" s="17" t="s">
        <v>712</v>
      </c>
      <c r="D1636" s="17"/>
      <c r="E1636" s="17"/>
      <c r="F1636" s="23" t="str">
        <f>IFERROR(VLOOKUP(F1630,STUDENT!$A$2:$BP$101,22,0),"")</f>
        <v>HOUSE NO. 230 PLOT NO. 53 BLK B INDER ENCLAVE</v>
      </c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14"/>
      <c r="R1636" s="11"/>
    </row>
    <row r="1637" s="1" customFormat="1" ht="9.95" customHeight="1" spans="1:18">
      <c r="A1637" s="7"/>
      <c r="B1637" s="12"/>
      <c r="C1637" s="29"/>
      <c r="D1637" s="29"/>
      <c r="E1637" s="29"/>
      <c r="F1637" s="29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14"/>
      <c r="R1637" s="11"/>
    </row>
    <row r="1638" s="1" customFormat="1" ht="9.95" customHeight="1" spans="1:18">
      <c r="A1638" s="7"/>
      <c r="B1638" s="12"/>
      <c r="C1638" s="30"/>
      <c r="D1638" s="31"/>
      <c r="E1638" s="31"/>
      <c r="F1638" s="31"/>
      <c r="G1638" s="31"/>
      <c r="H1638" s="31"/>
      <c r="I1638" s="31"/>
      <c r="J1638" s="31"/>
      <c r="K1638" s="31"/>
      <c r="L1638" s="31"/>
      <c r="M1638" s="31"/>
      <c r="N1638" s="31"/>
      <c r="O1638" s="31"/>
      <c r="P1638" s="32"/>
      <c r="Q1638" s="14"/>
      <c r="R1638" s="11"/>
    </row>
    <row r="1639" s="1" customFormat="1" ht="21.95" customHeight="1" spans="1:18">
      <c r="A1639" s="7"/>
      <c r="B1639" s="12"/>
      <c r="C1639" s="33"/>
      <c r="D1639" s="34" t="s">
        <v>713</v>
      </c>
      <c r="E1639" s="20" t="s">
        <v>714</v>
      </c>
      <c r="F1639" s="35" t="str">
        <f>"Level - "&amp;IFERROR(VLOOKUP(F1630,FLN!$A$4:$K$103,9,0),"")</f>
        <v>Level - 2</v>
      </c>
      <c r="G1639" s="36"/>
      <c r="H1639" s="37" t="s">
        <v>715</v>
      </c>
      <c r="I1639" s="20"/>
      <c r="J1639" s="35" t="str">
        <f>"Level - "&amp;IFERROR(VLOOKUP(F1630,FLN!$A$4:$K$103,11,0),"")</f>
        <v>Level - 3</v>
      </c>
      <c r="K1639" s="36"/>
      <c r="L1639" s="37" t="s">
        <v>408</v>
      </c>
      <c r="M1639" s="20"/>
      <c r="N1639" s="35" t="str">
        <f>"Level - "&amp;IFERROR(VLOOKUP(F1630,FLN!$A$4:$K$103,10,0),"")</f>
        <v>Level - 2</v>
      </c>
      <c r="O1639" s="36"/>
      <c r="P1639" s="19"/>
      <c r="Q1639" s="14"/>
      <c r="R1639" s="11"/>
    </row>
    <row r="1640" s="1" customFormat="1" ht="21.95" customHeight="1" spans="1:18">
      <c r="A1640" s="7"/>
      <c r="B1640" s="12"/>
      <c r="C1640" s="33"/>
      <c r="D1640" s="38"/>
      <c r="E1640" s="20" t="s">
        <v>716</v>
      </c>
      <c r="F1640" s="18" t="str">
        <f>IF(L1654&gt;197,"PERFORMED WELL","")</f>
        <v/>
      </c>
      <c r="G1640" s="18"/>
      <c r="H1640" s="18"/>
      <c r="I1640" s="18"/>
      <c r="J1640" s="18"/>
      <c r="K1640" s="18"/>
      <c r="L1640" s="18"/>
      <c r="M1640" s="18"/>
      <c r="N1640" s="18"/>
      <c r="O1640" s="18"/>
      <c r="P1640" s="19"/>
      <c r="Q1640" s="14"/>
      <c r="R1640" s="11"/>
    </row>
    <row r="1641" s="1" customFormat="1" ht="9.95" customHeight="1" spans="1:18">
      <c r="A1641" s="7"/>
      <c r="B1641" s="12"/>
      <c r="C1641" s="39"/>
      <c r="D1641" s="40"/>
      <c r="E1641" s="40"/>
      <c r="F1641" s="40"/>
      <c r="G1641" s="40"/>
      <c r="H1641" s="40"/>
      <c r="I1641" s="40"/>
      <c r="J1641" s="40"/>
      <c r="K1641" s="40"/>
      <c r="L1641" s="40"/>
      <c r="M1641" s="40"/>
      <c r="N1641" s="40"/>
      <c r="O1641" s="40"/>
      <c r="P1641" s="41"/>
      <c r="Q1641" s="14"/>
      <c r="R1641" s="11"/>
    </row>
    <row r="1642" s="1" customFormat="1" ht="9.95" customHeight="1" spans="1:18">
      <c r="A1642" s="7"/>
      <c r="B1642" s="12"/>
      <c r="C1642" s="29"/>
      <c r="D1642" s="29"/>
      <c r="E1642" s="29"/>
      <c r="F1642" s="29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14"/>
      <c r="R1642" s="11"/>
    </row>
    <row r="1643" s="1" customFormat="1" ht="9.95" customHeight="1" spans="1:18">
      <c r="A1643" s="7"/>
      <c r="B1643" s="12"/>
      <c r="C1643" s="30"/>
      <c r="D1643" s="31"/>
      <c r="E1643" s="31"/>
      <c r="F1643" s="31"/>
      <c r="G1643" s="31"/>
      <c r="H1643" s="31"/>
      <c r="I1643" s="31"/>
      <c r="J1643" s="31"/>
      <c r="K1643" s="31"/>
      <c r="L1643" s="31"/>
      <c r="M1643" s="31"/>
      <c r="N1643" s="31"/>
      <c r="O1643" s="31"/>
      <c r="P1643" s="32"/>
      <c r="Q1643" s="14"/>
      <c r="R1643" s="11"/>
    </row>
    <row r="1644" s="1" customFormat="1" ht="21.95" customHeight="1" spans="1:18">
      <c r="A1644" s="7"/>
      <c r="B1644" s="12"/>
      <c r="C1644" s="33"/>
      <c r="D1644" s="35"/>
      <c r="E1644" s="24"/>
      <c r="F1644" s="24"/>
      <c r="G1644" s="47" t="s">
        <v>717</v>
      </c>
      <c r="H1644" s="47"/>
      <c r="I1644" s="47"/>
      <c r="J1644" s="47"/>
      <c r="K1644" s="47"/>
      <c r="L1644" s="47"/>
      <c r="M1644" s="47"/>
      <c r="N1644" s="47"/>
      <c r="O1644" s="29"/>
      <c r="P1644" s="19"/>
      <c r="Q1644" s="14"/>
      <c r="R1644" s="11"/>
    </row>
    <row r="1645" s="1" customFormat="1" ht="21.95" customHeight="1" spans="1:18">
      <c r="A1645" s="7"/>
      <c r="B1645" s="12"/>
      <c r="C1645" s="33"/>
      <c r="D1645" s="47"/>
      <c r="E1645" s="47"/>
      <c r="F1645" s="47"/>
      <c r="G1645" s="47" t="s">
        <v>541</v>
      </c>
      <c r="H1645" s="47" t="s">
        <v>542</v>
      </c>
      <c r="I1645" s="47" t="s">
        <v>543</v>
      </c>
      <c r="J1645" s="47" t="s">
        <v>544</v>
      </c>
      <c r="K1645" s="47" t="s">
        <v>561</v>
      </c>
      <c r="L1645" s="47" t="s">
        <v>382</v>
      </c>
      <c r="M1645" s="49" t="s">
        <v>546</v>
      </c>
      <c r="N1645" s="49"/>
      <c r="O1645" s="29"/>
      <c r="P1645" s="19"/>
      <c r="Q1645" s="14"/>
      <c r="R1645" s="11"/>
    </row>
    <row r="1646" s="1" customFormat="1" ht="21.95" customHeight="1" spans="1:18">
      <c r="A1646" s="7"/>
      <c r="B1646" s="12"/>
      <c r="C1646" s="33"/>
      <c r="D1646" s="207" t="s">
        <v>652</v>
      </c>
      <c r="E1646" s="207"/>
      <c r="F1646" s="207"/>
      <c r="G1646" s="50">
        <v>10</v>
      </c>
      <c r="H1646" s="50">
        <v>10</v>
      </c>
      <c r="I1646" s="50">
        <v>10</v>
      </c>
      <c r="J1646" s="50">
        <v>10</v>
      </c>
      <c r="K1646" s="50">
        <v>60</v>
      </c>
      <c r="L1646" s="50">
        <v>100</v>
      </c>
      <c r="M1646" s="49"/>
      <c r="N1646" s="49"/>
      <c r="O1646" s="29"/>
      <c r="P1646" s="19"/>
      <c r="Q1646" s="14"/>
      <c r="R1646" s="11"/>
    </row>
    <row r="1647" s="1" customFormat="1" ht="21.95" customHeight="1" spans="1:18">
      <c r="A1647" s="7"/>
      <c r="B1647" s="12"/>
      <c r="C1647" s="33"/>
      <c r="D1647" s="117" t="s">
        <v>668</v>
      </c>
      <c r="E1647" s="117"/>
      <c r="F1647" s="117"/>
      <c r="G1647" s="54">
        <f>IFERROR(VLOOKUP(F1630,'1to4-2.1-RR'!$A$12:$BG$111,9,0),"")</f>
        <v>1</v>
      </c>
      <c r="H1647" s="54">
        <f>IFERROR(VLOOKUP(F1630,'1to4-2.1-RR'!$A$12:$BG$111,10,0),"")</f>
        <v>0</v>
      </c>
      <c r="I1647" s="54">
        <f>IFERROR(VLOOKUP(F1630,'1to4-2.1-RR'!$A$12:$BG$111,11,0),"")</f>
        <v>0</v>
      </c>
      <c r="J1647" s="54">
        <f>IFERROR(VLOOKUP(F1630,'1to4-2.1-RR'!$A$12:$BG$111,12,0),"")</f>
        <v>0</v>
      </c>
      <c r="K1647" s="54">
        <f>IFERROR(VLOOKUP(F1630,'1to4-2.1-RR'!$A$12:$BG$111,13,0),"")</f>
        <v>52</v>
      </c>
      <c r="L1647" s="55">
        <f>SUM(G1647:K1647)</f>
        <v>53</v>
      </c>
      <c r="M1647" s="56" t="str">
        <f>IF(F1630&gt;ENTRY!$D$24,"",IF(L1647=0,"Ab",IF(L1647&gt;80,"A",IF(L1647&gt;60,"B",IF(L1647&gt;44,"C",IF(L1647&gt;=33,"D",IF(L1647&lt;=32,"E","")))))))</f>
        <v>C</v>
      </c>
      <c r="N1647" s="56"/>
      <c r="O1647" s="29"/>
      <c r="P1647" s="19"/>
      <c r="Q1647" s="14"/>
      <c r="R1647" s="11"/>
    </row>
    <row r="1648" s="1" customFormat="1" ht="21.95" customHeight="1" spans="1:18">
      <c r="A1648" s="7"/>
      <c r="B1648" s="12"/>
      <c r="C1648" s="33"/>
      <c r="D1648" s="117" t="s">
        <v>513</v>
      </c>
      <c r="E1648" s="117"/>
      <c r="F1648" s="117"/>
      <c r="G1648" s="54">
        <f>IFERROR(VLOOKUP(F1630,'1to4-2.1-RR'!$A$12:$BG$111,16,0),"")</f>
        <v>1</v>
      </c>
      <c r="H1648" s="54">
        <f>IFERROR(VLOOKUP(F1630,'1to4-2.1-RR'!$A$12:$BG$111,17,0),"")</f>
        <v>0</v>
      </c>
      <c r="I1648" s="54">
        <f>IFERROR(VLOOKUP(F1630,'1to4-2.1-RR'!$A$12:$BG$111,18,0),"")</f>
        <v>0</v>
      </c>
      <c r="J1648" s="54">
        <f>IFERROR(VLOOKUP(F1630,'1to4-2.1-RR'!$A$12:$BG$111,19,0),"")</f>
        <v>0</v>
      </c>
      <c r="K1648" s="54">
        <f>IFERROR(VLOOKUP(F1630,'1to4-2.1-RR'!$A$12:$BG$111,20,0),"")</f>
        <v>25</v>
      </c>
      <c r="L1648" s="55">
        <f t="shared" ref="L1648:L1653" si="58">SUM(G1648:K1648)</f>
        <v>26</v>
      </c>
      <c r="M1648" s="56" t="str">
        <f>IF(F1630&gt;ENTRY!$D$24,"",IF(L1648=0,"Ab",IF(L1648&gt;80,"A",IF(L1648&gt;60,"B",IF(L1648&gt;44,"C",IF(L1648&gt;=33,"D",IF(L1648&lt;=32,"E","")))))))</f>
        <v>E</v>
      </c>
      <c r="N1648" s="56"/>
      <c r="O1648" s="29"/>
      <c r="P1648" s="19"/>
      <c r="Q1648" s="14"/>
      <c r="R1648" s="11"/>
    </row>
    <row r="1649" s="1" customFormat="1" ht="21.95" customHeight="1" spans="1:19">
      <c r="A1649" s="7"/>
      <c r="B1649" s="12"/>
      <c r="C1649" s="33"/>
      <c r="D1649" s="117" t="s">
        <v>718</v>
      </c>
      <c r="E1649" s="117"/>
      <c r="F1649" s="117"/>
      <c r="G1649" s="54">
        <f>IFERROR(VLOOKUP(F1630,'1to4-2.1-RR'!$A$12:$BG$111,23,0),"")</f>
        <v>1</v>
      </c>
      <c r="H1649" s="54">
        <f>IFERROR(VLOOKUP(F1630,'1to4-2.1-RR'!$A$12:$BG$111,24,0),"")</f>
        <v>0</v>
      </c>
      <c r="I1649" s="54">
        <f>IFERROR(VLOOKUP(F1630,'1to4-2.1-RR'!$A$12:$BG$111,25,0),"")</f>
        <v>0</v>
      </c>
      <c r="J1649" s="54">
        <f>IFERROR(VLOOKUP(F1630,'1to4-2.1-RR'!$A$12:$BG$111,26,0),"")</f>
        <v>0</v>
      </c>
      <c r="K1649" s="54">
        <f>IFERROR(VLOOKUP(F1630,'1to4-2.1-RR'!$A$12:$BG$111,27,0),"")</f>
        <v>20</v>
      </c>
      <c r="L1649" s="55">
        <f t="shared" si="58"/>
        <v>21</v>
      </c>
      <c r="M1649" s="56" t="str">
        <f>IF(F1630&gt;ENTRY!$D$24,"",IF(L1649=0,"Ab",IF(L1649&gt;80,"A",IF(L1649&gt;60,"B",IF(L1649&gt;44,"C",IF(L1649&gt;=33,"D",IF(L1649&lt;=32,"E","")))))))</f>
        <v>E</v>
      </c>
      <c r="N1649" s="56"/>
      <c r="O1649" s="29"/>
      <c r="P1649" s="19"/>
      <c r="Q1649" s="14"/>
      <c r="R1649" s="11"/>
    </row>
    <row r="1650" s="1" customFormat="1" ht="21.95" customHeight="1" spans="1:19">
      <c r="A1650" s="7"/>
      <c r="B1650" s="12"/>
      <c r="C1650" s="33"/>
      <c r="D1650" s="117" t="s">
        <v>719</v>
      </c>
      <c r="E1650" s="117"/>
      <c r="F1650" s="117"/>
      <c r="G1650" s="54">
        <f>IFERROR(VLOOKUP(F1630,'1to4-2.1-RR'!$A$12:$BG$111,30,0),"")</f>
        <v>2</v>
      </c>
      <c r="H1650" s="54">
        <f>IFERROR(VLOOKUP(F1630,'1to4-2.1-RR'!$A$12:$BG$111,31,0),"")</f>
        <v>0</v>
      </c>
      <c r="I1650" s="54">
        <f>IFERROR(VLOOKUP(F1630,'1to4-2.1-RR'!$A$12:$BG$111,32,0),"")</f>
        <v>0</v>
      </c>
      <c r="J1650" s="54">
        <f>IFERROR(VLOOKUP(F1630,'1to4-2.1-RR'!$A$12:$BG$111,33,0),"")</f>
        <v>0</v>
      </c>
      <c r="K1650" s="54">
        <f>IFERROR(VLOOKUP(F1630,'1to4-2.1-RR'!$A$12:$BG$111,34,0),"")</f>
        <v>26</v>
      </c>
      <c r="L1650" s="55">
        <f t="shared" si="58"/>
        <v>28</v>
      </c>
      <c r="M1650" s="56" t="str">
        <f>IF(F1630&gt;ENTRY!$D$24,"",IF(L1650=0,"Ab",IF(L1650&gt;80,"A",IF(L1650&gt;60,"B",IF(L1650&gt;44,"C",IF(L1650&gt;=33,"D",IF(L1650&lt;=32,"E","")))))))</f>
        <v>E</v>
      </c>
      <c r="N1650" s="56"/>
      <c r="O1650" s="29"/>
      <c r="P1650" s="19"/>
      <c r="Q1650" s="14"/>
      <c r="R1650" s="11"/>
    </row>
    <row r="1651" s="1" customFormat="1" ht="21.95" customHeight="1" spans="1:19">
      <c r="A1651" s="7"/>
      <c r="B1651" s="12"/>
      <c r="C1651" s="33"/>
      <c r="D1651" s="117" t="s">
        <v>548</v>
      </c>
      <c r="E1651" s="117"/>
      <c r="F1651" s="117"/>
      <c r="G1651" s="54">
        <f>IFERROR(VLOOKUP(F1630,'1to4-2.1-RR'!$A$12:$BG$111,37,0),"")</f>
        <v>0</v>
      </c>
      <c r="H1651" s="54">
        <f>IFERROR(VLOOKUP(F1630,'1to4-2.1-RR'!$A$12:$BG$111,38,0),"")</f>
        <v>0</v>
      </c>
      <c r="I1651" s="54">
        <f>IFERROR(VLOOKUP(F1630,'1to4-2.1-RR'!$A$12:$BG$111,39,0),"")</f>
        <v>0</v>
      </c>
      <c r="J1651" s="54">
        <f>IFERROR(VLOOKUP(F1630,'1to4-2.1-RR'!$A$12:$BG$111,40,0),"")</f>
        <v>0</v>
      </c>
      <c r="K1651" s="54">
        <f>IFERROR(VLOOKUP(F1630,'1to4-2.1-RR'!$A$12:$BG$111,41,0),"")</f>
        <v>25</v>
      </c>
      <c r="L1651" s="55">
        <f t="shared" si="58"/>
        <v>25</v>
      </c>
      <c r="M1651" s="56" t="str">
        <f>IF(F1630&gt;ENTRY!$D$24,"",IF(L1651=0,"Ab",IF(L1651&gt;80,"A",IF(L1651&gt;60,"B",IF(L1651&gt;44,"C",IF(L1651&gt;=33,"D",IF(L1651&lt;=32,"E","")))))))</f>
        <v>E</v>
      </c>
      <c r="N1651" s="56"/>
      <c r="O1651" s="29"/>
      <c r="P1651" s="19"/>
      <c r="Q1651" s="14"/>
      <c r="R1651" s="11"/>
    </row>
    <row r="1652" s="1" customFormat="1" ht="21.95" customHeight="1" spans="1:19">
      <c r="A1652" s="7"/>
      <c r="B1652" s="12"/>
      <c r="C1652" s="33"/>
      <c r="D1652" s="117" t="s">
        <v>549</v>
      </c>
      <c r="E1652" s="117"/>
      <c r="F1652" s="117"/>
      <c r="G1652" s="54">
        <f>IFERROR(VLOOKUP(F1630,'1to4-2.1-RR'!$A$12:$BG$111,44,0),"")</f>
        <v>2</v>
      </c>
      <c r="H1652" s="54">
        <f>IFERROR(VLOOKUP(F1630,'1to4-2.1-RR'!$A$12:$BG$111,45,0),"")</f>
        <v>0</v>
      </c>
      <c r="I1652" s="54">
        <f>IFERROR(VLOOKUP(F1630,'1to4-2.1-RR'!$A$12:$BG$111,46,0),"")</f>
        <v>0</v>
      </c>
      <c r="J1652" s="54">
        <f>IFERROR(VLOOKUP(F1630,'1to4-2.1-RR'!$A$12:$BG$111,47,0),"")</f>
        <v>0</v>
      </c>
      <c r="K1652" s="54">
        <f>IFERROR(VLOOKUP(F1630,'1to4-2.1-RR'!$A$12:$BG$111,48,0),"")</f>
        <v>27</v>
      </c>
      <c r="L1652" s="55">
        <f t="shared" si="58"/>
        <v>29</v>
      </c>
      <c r="M1652" s="56" t="str">
        <f>IF(F1630&gt;ENTRY!$D$24,"",IF(L1652=0,"Ab",IF(L1652&gt;80,"A",IF(L1652&gt;60,"B",IF(L1652&gt;44,"C",IF(L1652&gt;=33,"D",IF(L1652&lt;=32,"E","")))))))</f>
        <v>E</v>
      </c>
      <c r="N1652" s="56"/>
      <c r="O1652" s="29"/>
      <c r="P1652" s="19"/>
      <c r="Q1652" s="14"/>
      <c r="R1652" s="11"/>
    </row>
    <row r="1653" s="1" customFormat="1" ht="21.95" customHeight="1" spans="1:19">
      <c r="A1653" s="7"/>
      <c r="B1653" s="12"/>
      <c r="C1653" s="33"/>
      <c r="D1653" s="117" t="s">
        <v>720</v>
      </c>
      <c r="E1653" s="117"/>
      <c r="F1653" s="117"/>
      <c r="G1653" s="54"/>
      <c r="H1653" s="54"/>
      <c r="I1653" s="54"/>
      <c r="J1653" s="54"/>
      <c r="K1653" s="54"/>
      <c r="L1653" s="55">
        <f t="shared" si="58"/>
        <v>0</v>
      </c>
      <c r="M1653" s="56" t="str">
        <f>IF(F1630&gt;ENTRY!$D$24,"",IF(L1653=0,"",IF(L1653&gt;79,"A",IF(L1653&gt;59,"B",IF(L1653&gt;44,"C",IF(L1653&gt;=33,"D",IF(L1653&lt;=32,"E","")))))))</f>
        <v/>
      </c>
      <c r="N1653" s="56"/>
      <c r="O1653" s="29"/>
      <c r="P1653" s="19"/>
      <c r="Q1653" s="14"/>
      <c r="R1653" s="11"/>
    </row>
    <row r="1654" s="1" customFormat="1" ht="21.95" customHeight="1" spans="1:19">
      <c r="A1654" s="7"/>
      <c r="B1654" s="12"/>
      <c r="C1654" s="33"/>
      <c r="D1654" s="207" t="s">
        <v>382</v>
      </c>
      <c r="E1654" s="207"/>
      <c r="F1654" s="207"/>
      <c r="G1654" s="54">
        <f t="shared" ref="G1654:L1654" si="59">IFERROR(SUM(G1647:G1653),"")</f>
        <v>7</v>
      </c>
      <c r="H1654" s="54">
        <f t="shared" si="59"/>
        <v>0</v>
      </c>
      <c r="I1654" s="54">
        <f t="shared" si="59"/>
        <v>0</v>
      </c>
      <c r="J1654" s="54">
        <f t="shared" si="59"/>
        <v>0</v>
      </c>
      <c r="K1654" s="54">
        <f t="shared" si="59"/>
        <v>175</v>
      </c>
      <c r="L1654" s="55">
        <f t="shared" si="59"/>
        <v>182</v>
      </c>
      <c r="M1654" s="61" t="str">
        <f>IF(F1630&gt;ENTRY!$D$24,"",IF(N1655="Ab","Ab",IF(N1655&gt;79.5,"A",IF(N1655&gt;59.5,"B",IF(N1655&gt;44.5,"C",IF(N1655&gt;=33,"D",IF(N1655&lt;33,"E","")))))))</f>
        <v>E</v>
      </c>
      <c r="N1654" s="61"/>
      <c r="O1654" s="29"/>
      <c r="P1654" s="19"/>
      <c r="Q1654" s="14"/>
      <c r="R1654" s="11"/>
    </row>
    <row r="1655" s="1" customFormat="1" ht="21.95" customHeight="1" spans="1:19">
      <c r="A1655" s="7"/>
      <c r="B1655" s="12"/>
      <c r="C1655" s="33"/>
      <c r="D1655" s="63" t="s">
        <v>721</v>
      </c>
      <c r="E1655" s="63"/>
      <c r="F1655" s="63"/>
      <c r="G1655" s="63"/>
      <c r="H1655" s="63"/>
      <c r="I1655" s="63"/>
      <c r="J1655" s="63"/>
      <c r="K1655" s="63"/>
      <c r="L1655" s="63"/>
      <c r="M1655" s="209"/>
      <c r="N1655" s="64">
        <f>IF(L1654="Ab","Ab",L1654/6)</f>
        <v>30.3333333333333</v>
      </c>
      <c r="O1655" s="65"/>
      <c r="P1655" s="19"/>
      <c r="Q1655" s="14"/>
      <c r="R1655" s="11"/>
    </row>
    <row r="1656" s="1" customFormat="1" ht="21.95" customHeight="1" spans="1:19">
      <c r="A1656" s="7"/>
      <c r="B1656" s="12"/>
      <c r="C1656" s="33"/>
      <c r="D1656" s="29" t="s">
        <v>716</v>
      </c>
      <c r="E1656" s="18" t="str">
        <f>IFERROR(VLOOKUP(F1630,'1to4-2.1-RR'!$A$12:$BG$111,57,0),"")</f>
        <v>PROMOTED</v>
      </c>
      <c r="F1656" s="18"/>
      <c r="G1656" s="18"/>
      <c r="H1656" s="18"/>
      <c r="I1656" s="18"/>
      <c r="J1656" s="18"/>
      <c r="K1656" s="18"/>
      <c r="L1656" s="18"/>
      <c r="M1656" s="18"/>
      <c r="N1656" s="29"/>
      <c r="O1656" s="29"/>
      <c r="P1656" s="19"/>
      <c r="Q1656" s="14"/>
      <c r="R1656" s="11"/>
    </row>
    <row r="1657" s="1" customFormat="1" ht="9.95" customHeight="1" spans="1:19">
      <c r="A1657" s="7"/>
      <c r="B1657" s="12"/>
      <c r="C1657" s="39"/>
      <c r="D1657" s="40"/>
      <c r="E1657" s="40"/>
      <c r="F1657" s="40"/>
      <c r="G1657" s="40"/>
      <c r="H1657" s="40"/>
      <c r="I1657" s="40"/>
      <c r="J1657" s="40"/>
      <c r="K1657" s="40"/>
      <c r="L1657" s="40"/>
      <c r="M1657" s="40"/>
      <c r="N1657" s="40"/>
      <c r="O1657" s="40"/>
      <c r="P1657" s="41"/>
      <c r="Q1657" s="14"/>
      <c r="R1657" s="11"/>
    </row>
    <row r="1658" s="1" customFormat="1" ht="9.95" customHeight="1" spans="1:19">
      <c r="A1658" s="7"/>
      <c r="B1658" s="12"/>
      <c r="C1658" s="30"/>
      <c r="D1658" s="31"/>
      <c r="E1658" s="31"/>
      <c r="F1658" s="29"/>
      <c r="G1658" s="31"/>
      <c r="H1658" s="31"/>
      <c r="I1658" s="31"/>
      <c r="J1658" s="31"/>
      <c r="K1658" s="31"/>
      <c r="L1658" s="31"/>
      <c r="M1658" s="31"/>
      <c r="N1658" s="31"/>
      <c r="O1658" s="31"/>
      <c r="P1658" s="32"/>
      <c r="Q1658" s="14"/>
      <c r="R1658" s="11"/>
    </row>
    <row r="1659" s="1" customFormat="1" ht="9.95" customHeight="1" spans="1:19">
      <c r="A1659" s="7"/>
      <c r="B1659" s="12"/>
      <c r="C1659" s="33"/>
      <c r="D1659" s="29"/>
      <c r="E1659" s="29"/>
      <c r="F1659" s="29"/>
      <c r="G1659" s="29"/>
      <c r="H1659" s="29"/>
      <c r="I1659" s="29"/>
      <c r="J1659" s="29"/>
      <c r="K1659" s="29"/>
      <c r="L1659" s="29"/>
      <c r="M1659" s="29"/>
      <c r="N1659" s="29"/>
      <c r="O1659" s="29"/>
      <c r="P1659" s="19"/>
      <c r="Q1659" s="14"/>
      <c r="R1659" s="11"/>
    </row>
    <row r="1660" s="1" customFormat="1" ht="9.95" customHeight="1" spans="1:19">
      <c r="A1660" s="7"/>
      <c r="B1660" s="12"/>
      <c r="C1660" s="33"/>
      <c r="D1660" s="29"/>
      <c r="E1660" s="29"/>
      <c r="F1660" s="29"/>
      <c r="G1660" s="29"/>
      <c r="H1660" s="29"/>
      <c r="I1660" s="29"/>
      <c r="J1660" s="29"/>
      <c r="K1660" s="29"/>
      <c r="L1660" s="29"/>
      <c r="M1660" s="29"/>
      <c r="N1660" s="29"/>
      <c r="O1660" s="29"/>
      <c r="P1660" s="19"/>
      <c r="Q1660" s="14"/>
      <c r="R1660" s="11"/>
    </row>
    <row r="1661" s="1" customFormat="1" ht="21.95" customHeight="1" spans="1:19">
      <c r="A1661" s="7"/>
      <c r="B1661" s="12"/>
      <c r="C1661" s="210"/>
      <c r="D1661" s="211"/>
      <c r="E1661" s="211"/>
      <c r="F1661" s="211"/>
      <c r="G1661" s="211"/>
      <c r="H1661" s="211"/>
      <c r="I1661" s="211"/>
      <c r="J1661" s="211"/>
      <c r="K1661" s="211"/>
      <c r="L1661" s="211"/>
      <c r="M1661" s="211"/>
      <c r="N1661" s="211"/>
      <c r="O1661" s="211"/>
      <c r="P1661" s="212"/>
      <c r="Q1661" s="14"/>
      <c r="R1661" s="11"/>
      <c r="S1661" s="2"/>
    </row>
    <row r="1662" s="1" customFormat="1" ht="21.95" customHeight="1" spans="1:19">
      <c r="A1662" s="7"/>
      <c r="B1662" s="12"/>
      <c r="C1662" s="33"/>
      <c r="D1662" s="207" t="s">
        <v>722</v>
      </c>
      <c r="E1662" s="207"/>
      <c r="F1662" s="207"/>
      <c r="G1662" s="207"/>
      <c r="H1662" s="54">
        <f>IFERROR(VLOOKUP(F1630,PASHEET!$A$4:$CJ$103,88,0),"")</f>
        <v>0</v>
      </c>
      <c r="I1662" s="54"/>
      <c r="J1662" s="29"/>
      <c r="K1662" s="29"/>
      <c r="L1662" s="29"/>
      <c r="M1662" s="29"/>
      <c r="N1662" s="29"/>
      <c r="O1662" s="29"/>
      <c r="P1662" s="19"/>
      <c r="Q1662" s="14"/>
      <c r="R1662" s="11"/>
    </row>
    <row r="1663" s="1" customFormat="1" ht="21.95" customHeight="1" spans="1:19">
      <c r="A1663" s="7"/>
      <c r="B1663" s="12"/>
      <c r="C1663" s="213"/>
      <c r="D1663" s="207" t="s">
        <v>723</v>
      </c>
      <c r="E1663" s="207"/>
      <c r="F1663" s="207"/>
      <c r="G1663" s="207"/>
      <c r="H1663" s="54">
        <f>IFERROR(VLOOKUP(F1630,PASHEET!$A$4:$CJ$103,87,0),"")</f>
        <v>0</v>
      </c>
      <c r="I1663" s="54"/>
      <c r="J1663" s="214"/>
      <c r="K1663" s="214"/>
      <c r="L1663" s="207" t="s">
        <v>724</v>
      </c>
      <c r="M1663" s="207"/>
      <c r="N1663" s="117" t="str">
        <f>IF(F1630&gt;ENTRY!$D$24,"",IF(F1630&gt;0,L1654&amp;" / "&amp;600,""))</f>
        <v>182 / 600</v>
      </c>
      <c r="O1663" s="117"/>
      <c r="P1663" s="215"/>
      <c r="Q1663" s="14"/>
      <c r="R1663" s="11"/>
    </row>
    <row r="1664" s="1" customFormat="1" ht="18" customHeight="1" spans="1:19">
      <c r="A1664" s="7"/>
      <c r="B1664" s="12"/>
      <c r="C1664" s="33"/>
      <c r="D1664" s="207" t="s">
        <v>725</v>
      </c>
      <c r="E1664" s="207"/>
      <c r="F1664" s="207"/>
      <c r="G1664" s="207"/>
      <c r="H1664" s="69" t="str">
        <f>IFERROR(IF(F1630&gt;0,H1663/H1662*100),"")</f>
        <v/>
      </c>
      <c r="I1664" s="69"/>
      <c r="J1664" s="29"/>
      <c r="K1664" s="29"/>
      <c r="L1664" s="207" t="s">
        <v>726</v>
      </c>
      <c r="M1664" s="207"/>
      <c r="N1664" s="216">
        <f>IF(F1630&gt;ENTRY!$D$24,"",IF(F1630&gt;0,L1654/600*100,""))</f>
        <v>30.3333333333333</v>
      </c>
      <c r="O1664" s="216"/>
      <c r="P1664" s="19"/>
      <c r="Q1664" s="14"/>
      <c r="R1664" s="11"/>
    </row>
    <row r="1665" s="1" customFormat="1" ht="21.95" customHeight="1" spans="1:18">
      <c r="A1665" s="7"/>
      <c r="B1665" s="12"/>
      <c r="C1665" s="33"/>
      <c r="D1665" s="80"/>
      <c r="E1665" s="80"/>
      <c r="F1665" s="217"/>
      <c r="G1665" s="217"/>
      <c r="H1665" s="217"/>
      <c r="I1665" s="217"/>
      <c r="J1665" s="217"/>
      <c r="K1665" s="217"/>
      <c r="L1665" s="217"/>
      <c r="M1665" s="217"/>
      <c r="N1665" s="80"/>
      <c r="O1665" s="80"/>
      <c r="P1665" s="19"/>
      <c r="Q1665" s="14"/>
      <c r="R1665" s="11"/>
    </row>
    <row r="1666" s="1" customFormat="1" ht="21.95" customHeight="1" spans="1:18">
      <c r="A1666" s="7"/>
      <c r="B1666" s="12"/>
      <c r="C1666" s="33"/>
      <c r="D1666" s="80"/>
      <c r="E1666" s="218"/>
      <c r="F1666" s="218"/>
      <c r="G1666" s="218"/>
      <c r="H1666" s="80"/>
      <c r="I1666" s="218"/>
      <c r="J1666" s="218"/>
      <c r="K1666" s="218"/>
      <c r="L1666" s="218"/>
      <c r="M1666" s="80"/>
      <c r="N1666" s="219"/>
      <c r="O1666" s="219"/>
      <c r="P1666" s="19"/>
      <c r="Q1666" s="14"/>
      <c r="R1666" s="11"/>
    </row>
    <row r="1667" s="1" customFormat="1" ht="21.95" customHeight="1" spans="1:18">
      <c r="A1667" s="7"/>
      <c r="B1667" s="12"/>
      <c r="C1667" s="33"/>
      <c r="D1667" s="80"/>
      <c r="E1667" s="80"/>
      <c r="F1667" s="80"/>
      <c r="G1667" s="80"/>
      <c r="H1667" s="80"/>
      <c r="I1667" s="80"/>
      <c r="J1667" s="80"/>
      <c r="K1667" s="80"/>
      <c r="L1667" s="80"/>
      <c r="M1667" s="80"/>
      <c r="N1667" s="80"/>
      <c r="O1667" s="80"/>
      <c r="P1667" s="19"/>
      <c r="Q1667" s="14"/>
      <c r="R1667" s="11"/>
    </row>
    <row r="1668" s="1" customFormat="1" ht="21.95" customHeight="1" spans="1:18">
      <c r="A1668" s="7"/>
      <c r="B1668" s="12"/>
      <c r="C1668" s="33"/>
      <c r="D1668" s="218"/>
      <c r="E1668" s="218"/>
      <c r="F1668" s="218"/>
      <c r="G1668" s="218"/>
      <c r="H1668" s="218"/>
      <c r="I1668" s="218"/>
      <c r="J1668" s="218"/>
      <c r="K1668" s="218"/>
      <c r="L1668" s="218"/>
      <c r="M1668" s="80"/>
      <c r="N1668" s="217"/>
      <c r="O1668" s="217"/>
      <c r="P1668" s="85" t="s">
        <v>727</v>
      </c>
      <c r="Q1668" s="14"/>
      <c r="R1668" s="11"/>
    </row>
    <row r="1669" s="1" customFormat="1" ht="21.95" customHeight="1" spans="1:18">
      <c r="A1669" s="7"/>
      <c r="B1669" s="12"/>
      <c r="C1669" s="33"/>
      <c r="D1669" s="29"/>
      <c r="E1669" s="29"/>
      <c r="F1669" s="29"/>
      <c r="G1669" s="29"/>
      <c r="H1669" s="29"/>
      <c r="I1669" s="29"/>
      <c r="J1669" s="29"/>
      <c r="K1669" s="29"/>
      <c r="L1669" s="29"/>
      <c r="M1669" s="29"/>
      <c r="N1669" s="29"/>
      <c r="O1669" s="29"/>
      <c r="P1669" s="19"/>
      <c r="Q1669" s="14"/>
      <c r="R1669" s="11"/>
    </row>
    <row r="1670" s="1" customFormat="1" ht="21.95" customHeight="1" spans="1:18">
      <c r="A1670" s="7"/>
      <c r="B1670" s="12"/>
      <c r="C1670" s="33"/>
      <c r="D1670" s="29"/>
      <c r="E1670" s="29"/>
      <c r="F1670" s="29"/>
      <c r="G1670" s="29"/>
      <c r="H1670" s="29"/>
      <c r="I1670" s="29"/>
      <c r="J1670" s="29"/>
      <c r="K1670" s="29"/>
      <c r="L1670" s="29"/>
      <c r="M1670" s="29"/>
      <c r="N1670" s="29"/>
      <c r="O1670" s="29"/>
      <c r="P1670" s="19"/>
      <c r="Q1670" s="14"/>
      <c r="R1670" s="11"/>
    </row>
    <row r="1671" s="1" customFormat="1" ht="21.95" customHeight="1" spans="1:18">
      <c r="A1671" s="7"/>
      <c r="B1671" s="12"/>
      <c r="C1671" s="33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19"/>
      <c r="Q1671" s="14"/>
      <c r="R1671" s="11"/>
    </row>
    <row r="1672" s="1" customFormat="1" ht="21.95" customHeight="1" spans="1:18">
      <c r="A1672" s="7"/>
      <c r="B1672" s="12"/>
      <c r="C1672" s="33"/>
      <c r="D1672" s="29"/>
      <c r="E1672" s="29"/>
      <c r="F1672" s="29"/>
      <c r="G1672" s="29"/>
      <c r="H1672" s="29"/>
      <c r="I1672" s="29"/>
      <c r="J1672" s="29"/>
      <c r="K1672" s="29"/>
      <c r="L1672" s="29"/>
      <c r="M1672" s="29"/>
      <c r="N1672" s="29"/>
      <c r="O1672" s="29"/>
      <c r="P1672" s="19"/>
      <c r="Q1672" s="14"/>
      <c r="R1672" s="11"/>
    </row>
    <row r="1673" s="1" customFormat="1" ht="21.95" customHeight="1" spans="1:18">
      <c r="A1673" s="7"/>
      <c r="B1673" s="12"/>
      <c r="C1673" s="33"/>
      <c r="D1673" s="29"/>
      <c r="E1673" s="29"/>
      <c r="F1673" s="29"/>
      <c r="G1673" s="29"/>
      <c r="H1673" s="29"/>
      <c r="I1673" s="29"/>
      <c r="J1673" s="29"/>
      <c r="K1673" s="29"/>
      <c r="L1673" s="29"/>
      <c r="M1673" s="29"/>
      <c r="N1673" s="29"/>
      <c r="O1673" s="29"/>
      <c r="P1673" s="19"/>
      <c r="Q1673" s="14"/>
      <c r="R1673" s="11"/>
    </row>
    <row r="1674" s="1" customFormat="1" ht="21.95" customHeight="1" spans="1:18">
      <c r="A1674" s="7"/>
      <c r="B1674" s="12"/>
      <c r="C1674" s="33"/>
      <c r="D1674" s="80" t="s">
        <v>728</v>
      </c>
      <c r="E1674" s="220">
        <f>ENTRY!$D$27</f>
        <v>46102</v>
      </c>
      <c r="F1674" s="220"/>
      <c r="G1674" s="29"/>
      <c r="H1674" s="29"/>
      <c r="I1674" s="221" t="s">
        <v>729</v>
      </c>
      <c r="J1674" s="153"/>
      <c r="K1674" s="29"/>
      <c r="L1674" s="29"/>
      <c r="M1674" s="87" t="s">
        <v>730</v>
      </c>
      <c r="N1674" s="87"/>
      <c r="O1674" s="87"/>
      <c r="P1674" s="19"/>
      <c r="Q1674" s="14"/>
      <c r="R1674" s="11"/>
    </row>
    <row r="1675" s="1" customFormat="1" ht="21.95" customHeight="1" spans="1:18">
      <c r="A1675" s="7"/>
      <c r="B1675" s="12"/>
      <c r="C1675" s="33"/>
      <c r="D1675" s="80" t="s">
        <v>731</v>
      </c>
      <c r="E1675" s="88" t="str">
        <f>PROPER(ENTRY!$D$28)</f>
        <v>New Delhi</v>
      </c>
      <c r="F1675" s="88"/>
      <c r="G1675" s="29"/>
      <c r="H1675" s="29"/>
      <c r="I1675" s="153"/>
      <c r="J1675" s="153"/>
      <c r="K1675" s="29"/>
      <c r="L1675" s="29"/>
      <c r="M1675" s="79" t="s">
        <v>732</v>
      </c>
      <c r="N1675" s="79"/>
      <c r="O1675" s="79"/>
      <c r="P1675" s="19"/>
      <c r="Q1675" s="14"/>
      <c r="R1675" s="11"/>
    </row>
    <row r="1676" s="1" customFormat="1" ht="21.95" customHeight="1" spans="1:18">
      <c r="A1676" s="7"/>
      <c r="B1676" s="12"/>
      <c r="C1676" s="90"/>
      <c r="D1676" s="91"/>
      <c r="E1676" s="91"/>
      <c r="F1676" s="91"/>
      <c r="G1676" s="91"/>
      <c r="H1676" s="91"/>
      <c r="I1676" s="91"/>
      <c r="J1676" s="91"/>
      <c r="K1676" s="91"/>
      <c r="L1676" s="91"/>
      <c r="M1676" s="91"/>
      <c r="N1676" s="91"/>
      <c r="O1676" s="91"/>
      <c r="P1676" s="92"/>
      <c r="Q1676" s="14"/>
      <c r="R1676" s="11"/>
    </row>
    <row r="1677" s="1" customFormat="1" ht="5.1" customHeight="1" spans="1:18">
      <c r="A1677" s="7"/>
      <c r="B1677" s="90"/>
      <c r="C1677" s="91"/>
      <c r="D1677" s="91"/>
      <c r="E1677" s="91"/>
      <c r="F1677" s="91"/>
      <c r="G1677" s="91"/>
      <c r="H1677" s="91"/>
      <c r="I1677" s="91"/>
      <c r="J1677" s="91"/>
      <c r="K1677" s="91"/>
      <c r="L1677" s="91"/>
      <c r="M1677" s="91"/>
      <c r="N1677" s="91"/>
      <c r="O1677" s="91"/>
      <c r="P1677" s="91"/>
      <c r="Q1677" s="92"/>
      <c r="R1677" s="11"/>
    </row>
    <row r="1678" s="1" customFormat="1" ht="5.1" customHeight="1" spans="1:18">
      <c r="A1678" s="93"/>
      <c r="B1678" s="94"/>
      <c r="C1678" s="94"/>
      <c r="D1678" s="94"/>
      <c r="E1678" s="94"/>
      <c r="F1678" s="94"/>
      <c r="G1678" s="94"/>
      <c r="H1678" s="94"/>
      <c r="I1678" s="94"/>
      <c r="J1678" s="94"/>
      <c r="K1678" s="94"/>
      <c r="L1678" s="94"/>
      <c r="M1678" s="94"/>
      <c r="N1678" s="94"/>
      <c r="O1678" s="94"/>
      <c r="P1678" s="94"/>
      <c r="Q1678" s="94"/>
      <c r="R1678" s="95"/>
    </row>
    <row r="1679" s="1" customFormat="1" ht="21.95" customHeight="1"/>
    <row r="1680" ht="15.15"/>
    <row r="1681" s="1" customFormat="1" ht="5.1" customHeight="1" spans="1:18">
      <c r="A1681" s="4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6"/>
    </row>
    <row r="1682" s="1" customFormat="1" ht="15" customHeight="1" spans="1:18">
      <c r="A1682" s="7"/>
      <c r="B1682" s="8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9"/>
      <c r="O1682" s="9"/>
      <c r="P1682" s="9"/>
      <c r="Q1682" s="10"/>
      <c r="R1682" s="11"/>
    </row>
    <row r="1683" s="1" customFormat="1" ht="21.95" customHeight="1" spans="1:18">
      <c r="A1683" s="7"/>
      <c r="B1683" s="12"/>
      <c r="C1683" s="13" t="s">
        <v>7</v>
      </c>
      <c r="D1683" s="13"/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/>
      <c r="Q1683" s="14"/>
      <c r="R1683" s="11"/>
    </row>
    <row r="1684" s="1" customFormat="1" ht="21.95" customHeight="1" spans="1:18">
      <c r="A1684" s="7"/>
      <c r="B1684" s="1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14"/>
      <c r="R1684" s="11"/>
    </row>
    <row r="1685" s="1" customFormat="1" ht="21.95" customHeight="1" spans="1:18">
      <c r="A1685" s="7"/>
      <c r="B1685" s="12"/>
      <c r="C1685" s="15" t="str">
        <f>"SESSION-"&amp;ENTRY!$D$11</f>
        <v>SESSION-2026-27</v>
      </c>
      <c r="D1685" s="15"/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4"/>
      <c r="R1685" s="11"/>
    </row>
    <row r="1686" s="1" customFormat="1" ht="21.95" customHeight="1" spans="1:18">
      <c r="A1686" s="7"/>
      <c r="B1686" s="12"/>
      <c r="C1686" s="2"/>
      <c r="D1686" s="2"/>
      <c r="E1686" s="2"/>
      <c r="F1686" s="16">
        <f>F1630+1</f>
        <v>31</v>
      </c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14"/>
      <c r="R1686" s="11"/>
    </row>
    <row r="1687" s="1" customFormat="1" ht="21.95" customHeight="1" spans="1:18">
      <c r="A1687" s="7"/>
      <c r="B1687" s="12"/>
      <c r="C1687" s="17" t="s">
        <v>392</v>
      </c>
      <c r="D1687" s="17"/>
      <c r="E1687" s="17"/>
      <c r="F1687" s="18" t="str">
        <f>IF(F1686&gt;0,ENTRY!$D$6,"")</f>
        <v>MCP NITHARI NO 1 BOYS</v>
      </c>
      <c r="G1687" s="18"/>
      <c r="H1687" s="18"/>
      <c r="I1687" s="18"/>
      <c r="J1687" s="18"/>
      <c r="K1687" s="18"/>
      <c r="L1687" s="18"/>
      <c r="M1687" s="18"/>
      <c r="N1687" s="18"/>
      <c r="O1687" s="18"/>
      <c r="P1687" s="18"/>
      <c r="Q1687" s="14"/>
      <c r="R1687" s="11"/>
    </row>
    <row r="1688" s="1" customFormat="1" ht="21.95" customHeight="1" spans="1:18">
      <c r="A1688" s="7"/>
      <c r="B1688" s="12"/>
      <c r="C1688" s="17" t="s">
        <v>393</v>
      </c>
      <c r="D1688" s="17"/>
      <c r="E1688" s="17"/>
      <c r="F1688" s="18">
        <f>IF(F1686&gt;0,ENTRY!$D$7,"")</f>
        <v>0</v>
      </c>
      <c r="G1688" s="18"/>
      <c r="H1688" s="20" t="s">
        <v>702</v>
      </c>
      <c r="I1688" s="20"/>
      <c r="J1688" s="21">
        <f>IF(F1686&gt;0,ENTRY!$D$10,"")</f>
        <v>40</v>
      </c>
      <c r="K1688" s="20" t="s">
        <v>703</v>
      </c>
      <c r="L1688" s="22" t="str">
        <f>IF(F1686&gt;0,ENTRY!$D$5,"")</f>
        <v>ROHINI ZONE</v>
      </c>
      <c r="M1688" s="22"/>
      <c r="N1688" s="22"/>
      <c r="O1688" s="22"/>
      <c r="P1688" s="22"/>
      <c r="Q1688" s="14"/>
      <c r="R1688" s="11"/>
    </row>
    <row r="1689" s="1" customFormat="1" ht="21.95" customHeight="1" spans="1:18">
      <c r="A1689" s="7"/>
      <c r="B1689" s="12"/>
      <c r="C1689" s="17" t="s">
        <v>706</v>
      </c>
      <c r="D1689" s="17"/>
      <c r="E1689" s="17"/>
      <c r="F1689" s="23" t="str">
        <f>IFERROR(VLOOKUP(F1686,STUDENT!$A$2:$BP$101,5,0),"")</f>
        <v>RAM CHANDER KUMAR</v>
      </c>
      <c r="G1689" s="23"/>
      <c r="H1689" s="23"/>
      <c r="I1689" s="23"/>
      <c r="J1689" s="23"/>
      <c r="K1689" s="23"/>
      <c r="L1689" s="20" t="s">
        <v>707</v>
      </c>
      <c r="M1689" s="20"/>
      <c r="N1689" s="24" t="str">
        <f>IF(F1686&gt;0,ENTRY!$D$20&amp;"-"&amp;ENTRY!$D$21,"")</f>
        <v>III-A</v>
      </c>
      <c r="O1689" s="24"/>
      <c r="P1689" s="24"/>
      <c r="Q1689" s="14"/>
      <c r="R1689" s="11"/>
    </row>
    <row r="1690" s="1" customFormat="1" ht="21.95" customHeight="1" spans="1:18">
      <c r="A1690" s="7"/>
      <c r="B1690" s="12"/>
      <c r="C1690" s="17" t="s">
        <v>708</v>
      </c>
      <c r="D1690" s="17"/>
      <c r="E1690" s="17"/>
      <c r="F1690" s="25">
        <f>IFERROR(VLOOKUP(F1686,STUDENT!$A$2:$BP$101,6,0),"")</f>
        <v>15034</v>
      </c>
      <c r="G1690" s="25"/>
      <c r="H1690" s="26" t="s">
        <v>709</v>
      </c>
      <c r="I1690" s="27" t="str">
        <f>IFERROR(VLOOKUP(F1686,STUDENT!$A$2:$BP$101,59,0),"")</f>
        <v/>
      </c>
      <c r="J1690" s="27"/>
      <c r="K1690" s="20" t="s">
        <v>710</v>
      </c>
      <c r="L1690" s="20"/>
      <c r="M1690" s="28">
        <f>IFERROR(VLOOKUP(F1686,STUDENT!$A$2:$BP$101,20,0),"")</f>
        <v>8448641560</v>
      </c>
      <c r="N1690" s="28"/>
      <c r="O1690" s="28"/>
      <c r="P1690" s="28"/>
      <c r="Q1690" s="14"/>
      <c r="R1690" s="11"/>
    </row>
    <row r="1691" s="1" customFormat="1" ht="21.95" customHeight="1" spans="1:18">
      <c r="A1691" s="7"/>
      <c r="B1691" s="12"/>
      <c r="C1691" s="17" t="s">
        <v>711</v>
      </c>
      <c r="D1691" s="17"/>
      <c r="E1691" s="17"/>
      <c r="F1691" s="23" t="str">
        <f>IFERROR(VLOOKUP(F1686,STUDENT!$A$2:$BP$101,9,0),"")</f>
        <v>RAJANI KUMARI</v>
      </c>
      <c r="G1691" s="23"/>
      <c r="H1691" s="23"/>
      <c r="I1691" s="23"/>
      <c r="J1691" s="17" t="s">
        <v>620</v>
      </c>
      <c r="K1691" s="17"/>
      <c r="L1691" s="23" t="str">
        <f>IFERROR(VLOOKUP(F1686,STUDENT!$A$2:$BP$101,8,0),"")</f>
        <v>AKASH SHARMA</v>
      </c>
      <c r="M1691" s="23"/>
      <c r="N1691" s="23"/>
      <c r="O1691" s="23"/>
      <c r="P1691" s="23"/>
      <c r="Q1691" s="14"/>
      <c r="R1691" s="11"/>
    </row>
    <row r="1692" s="1" customFormat="1" ht="21.95" customHeight="1" spans="1:18">
      <c r="A1692" s="7"/>
      <c r="B1692" s="12"/>
      <c r="C1692" s="17" t="s">
        <v>712</v>
      </c>
      <c r="D1692" s="17"/>
      <c r="E1692" s="17"/>
      <c r="F1692" s="23" t="str">
        <f>IFERROR(VLOOKUP(F1686,STUDENT!$A$2:$BP$101,22,0),"")</f>
        <v>A-14 CHANDAN PARK SHISH MAHAL ENCLAVE PREM NAGAR -3 KIRARI</v>
      </c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14"/>
      <c r="R1692" s="11"/>
    </row>
    <row r="1693" s="1" customFormat="1" ht="9.95" customHeight="1" spans="1:18">
      <c r="A1693" s="7"/>
      <c r="B1693" s="12"/>
      <c r="C1693" s="29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14"/>
      <c r="R1693" s="11"/>
    </row>
    <row r="1694" s="1" customFormat="1" ht="9.95" customHeight="1" spans="1:18">
      <c r="A1694" s="7"/>
      <c r="B1694" s="12"/>
      <c r="C1694" s="30"/>
      <c r="D1694" s="31"/>
      <c r="E1694" s="31"/>
      <c r="F1694" s="31"/>
      <c r="G1694" s="31"/>
      <c r="H1694" s="31"/>
      <c r="I1694" s="31"/>
      <c r="J1694" s="31"/>
      <c r="K1694" s="31"/>
      <c r="L1694" s="31"/>
      <c r="M1694" s="31"/>
      <c r="N1694" s="31"/>
      <c r="O1694" s="31"/>
      <c r="P1694" s="32"/>
      <c r="Q1694" s="14"/>
      <c r="R1694" s="11"/>
    </row>
    <row r="1695" s="1" customFormat="1" ht="21.95" customHeight="1" spans="1:18">
      <c r="A1695" s="7"/>
      <c r="B1695" s="12"/>
      <c r="C1695" s="33"/>
      <c r="D1695" s="34" t="s">
        <v>713</v>
      </c>
      <c r="E1695" s="20" t="s">
        <v>714</v>
      </c>
      <c r="F1695" s="35" t="str">
        <f>"Level - "&amp;IFERROR(VLOOKUP(F1686,FLN!$A$4:$K$103,9,0),"")</f>
        <v>Level - 2</v>
      </c>
      <c r="G1695" s="36"/>
      <c r="H1695" s="37" t="s">
        <v>715</v>
      </c>
      <c r="I1695" s="20"/>
      <c r="J1695" s="35" t="str">
        <f>"Level - "&amp;IFERROR(VLOOKUP(F1686,FLN!$A$4:$K$103,11,0),"")</f>
        <v>Level - 3</v>
      </c>
      <c r="K1695" s="36"/>
      <c r="L1695" s="37" t="s">
        <v>408</v>
      </c>
      <c r="M1695" s="20"/>
      <c r="N1695" s="35" t="str">
        <f>"Level - "&amp;IFERROR(VLOOKUP(F1686,FLN!$A$4:$K$103,10,0),"")</f>
        <v>Level - 2</v>
      </c>
      <c r="O1695" s="36"/>
      <c r="P1695" s="19"/>
      <c r="Q1695" s="14"/>
      <c r="R1695" s="11"/>
    </row>
    <row r="1696" s="1" customFormat="1" ht="21.95" customHeight="1" spans="1:18">
      <c r="A1696" s="7"/>
      <c r="B1696" s="12"/>
      <c r="C1696" s="33"/>
      <c r="D1696" s="38"/>
      <c r="E1696" s="20" t="s">
        <v>716</v>
      </c>
      <c r="F1696" s="18" t="str">
        <f>IF(L1710&gt;197,"PERFORMED WELL","")</f>
        <v/>
      </c>
      <c r="G1696" s="18"/>
      <c r="H1696" s="18"/>
      <c r="I1696" s="18"/>
      <c r="J1696" s="18"/>
      <c r="K1696" s="18"/>
      <c r="L1696" s="18"/>
      <c r="M1696" s="18"/>
      <c r="N1696" s="18"/>
      <c r="O1696" s="18"/>
      <c r="P1696" s="19"/>
      <c r="Q1696" s="14"/>
      <c r="R1696" s="11"/>
    </row>
    <row r="1697" s="1" customFormat="1" ht="9.95" customHeight="1" spans="1:18">
      <c r="A1697" s="7"/>
      <c r="B1697" s="12"/>
      <c r="C1697" s="39"/>
      <c r="D1697" s="40"/>
      <c r="E1697" s="40"/>
      <c r="F1697" s="40"/>
      <c r="G1697" s="40"/>
      <c r="H1697" s="40"/>
      <c r="I1697" s="40"/>
      <c r="J1697" s="40"/>
      <c r="K1697" s="40"/>
      <c r="L1697" s="40"/>
      <c r="M1697" s="40"/>
      <c r="N1697" s="40"/>
      <c r="O1697" s="40"/>
      <c r="P1697" s="41"/>
      <c r="Q1697" s="14"/>
      <c r="R1697" s="11"/>
    </row>
    <row r="1698" s="1" customFormat="1" ht="9.95" customHeight="1" spans="1:18">
      <c r="A1698" s="7"/>
      <c r="B1698" s="12"/>
      <c r="C1698" s="29"/>
      <c r="D1698" s="29"/>
      <c r="E1698" s="29"/>
      <c r="F1698" s="29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14"/>
      <c r="R1698" s="11"/>
    </row>
    <row r="1699" s="1" customFormat="1" ht="9.95" customHeight="1" spans="1:18">
      <c r="A1699" s="7"/>
      <c r="B1699" s="12"/>
      <c r="C1699" s="30"/>
      <c r="D1699" s="31"/>
      <c r="E1699" s="31"/>
      <c r="F1699" s="31"/>
      <c r="G1699" s="31"/>
      <c r="H1699" s="31"/>
      <c r="I1699" s="31"/>
      <c r="J1699" s="31"/>
      <c r="K1699" s="31"/>
      <c r="L1699" s="31"/>
      <c r="M1699" s="31"/>
      <c r="N1699" s="31"/>
      <c r="O1699" s="31"/>
      <c r="P1699" s="32"/>
      <c r="Q1699" s="14"/>
      <c r="R1699" s="11"/>
    </row>
    <row r="1700" s="1" customFormat="1" ht="21.95" customHeight="1" spans="1:18">
      <c r="A1700" s="7"/>
      <c r="B1700" s="12"/>
      <c r="C1700" s="33"/>
      <c r="D1700" s="35"/>
      <c r="E1700" s="24"/>
      <c r="F1700" s="24"/>
      <c r="G1700" s="47" t="s">
        <v>717</v>
      </c>
      <c r="H1700" s="47"/>
      <c r="I1700" s="47"/>
      <c r="J1700" s="47"/>
      <c r="K1700" s="47"/>
      <c r="L1700" s="47"/>
      <c r="M1700" s="47"/>
      <c r="N1700" s="47"/>
      <c r="O1700" s="29"/>
      <c r="P1700" s="19"/>
      <c r="Q1700" s="14"/>
      <c r="R1700" s="11"/>
    </row>
    <row r="1701" s="1" customFormat="1" ht="21.95" customHeight="1" spans="1:18">
      <c r="A1701" s="7"/>
      <c r="B1701" s="12"/>
      <c r="C1701" s="33"/>
      <c r="D1701" s="47"/>
      <c r="E1701" s="47"/>
      <c r="F1701" s="47"/>
      <c r="G1701" s="47" t="s">
        <v>541</v>
      </c>
      <c r="H1701" s="47" t="s">
        <v>542</v>
      </c>
      <c r="I1701" s="47" t="s">
        <v>543</v>
      </c>
      <c r="J1701" s="47" t="s">
        <v>544</v>
      </c>
      <c r="K1701" s="47" t="s">
        <v>561</v>
      </c>
      <c r="L1701" s="47" t="s">
        <v>382</v>
      </c>
      <c r="M1701" s="49" t="s">
        <v>546</v>
      </c>
      <c r="N1701" s="49"/>
      <c r="O1701" s="29"/>
      <c r="P1701" s="19"/>
      <c r="Q1701" s="14"/>
      <c r="R1701" s="11"/>
    </row>
    <row r="1702" s="1" customFormat="1" ht="21.95" customHeight="1" spans="1:18">
      <c r="A1702" s="7"/>
      <c r="B1702" s="12"/>
      <c r="C1702" s="33"/>
      <c r="D1702" s="207" t="s">
        <v>652</v>
      </c>
      <c r="E1702" s="207"/>
      <c r="F1702" s="207"/>
      <c r="G1702" s="50">
        <v>10</v>
      </c>
      <c r="H1702" s="50">
        <v>10</v>
      </c>
      <c r="I1702" s="50">
        <v>10</v>
      </c>
      <c r="J1702" s="50">
        <v>10</v>
      </c>
      <c r="K1702" s="50">
        <v>60</v>
      </c>
      <c r="L1702" s="50">
        <v>100</v>
      </c>
      <c r="M1702" s="49"/>
      <c r="N1702" s="49"/>
      <c r="O1702" s="29"/>
      <c r="P1702" s="19"/>
      <c r="Q1702" s="14"/>
      <c r="R1702" s="11"/>
    </row>
    <row r="1703" s="1" customFormat="1" ht="21.95" customHeight="1" spans="1:18">
      <c r="A1703" s="7"/>
      <c r="B1703" s="12"/>
      <c r="C1703" s="33"/>
      <c r="D1703" s="117" t="s">
        <v>668</v>
      </c>
      <c r="E1703" s="117"/>
      <c r="F1703" s="117"/>
      <c r="G1703" s="54">
        <f>IFERROR(VLOOKUP(F1686,'1to4-2.1-RR'!$A$12:$BG$111,9,0),"")</f>
        <v>1</v>
      </c>
      <c r="H1703" s="54">
        <f>IFERROR(VLOOKUP(F1686,'1to4-2.1-RR'!$A$12:$BG$111,10,0),"")</f>
        <v>0</v>
      </c>
      <c r="I1703" s="54">
        <f>IFERROR(VLOOKUP(F1686,'1to4-2.1-RR'!$A$12:$BG$111,11,0),"")</f>
        <v>0</v>
      </c>
      <c r="J1703" s="54">
        <f>IFERROR(VLOOKUP(F1686,'1to4-2.1-RR'!$A$12:$BG$111,12,0),"")</f>
        <v>0</v>
      </c>
      <c r="K1703" s="54">
        <f>IFERROR(VLOOKUP(F1686,'1to4-2.1-RR'!$A$12:$BG$111,13,0),"")</f>
        <v>34</v>
      </c>
      <c r="L1703" s="55">
        <f>SUM(G1703:K1703)</f>
        <v>35</v>
      </c>
      <c r="M1703" s="56" t="str">
        <f>IF(F1686&gt;ENTRY!$D$24,"",IF(L1703=0,"Ab",IF(L1703&gt;80,"A",IF(L1703&gt;60,"B",IF(L1703&gt;44,"C",IF(L1703&gt;=33,"D",IF(L1703&lt;=32,"E","")))))))</f>
        <v>D</v>
      </c>
      <c r="N1703" s="56"/>
      <c r="O1703" s="29"/>
      <c r="P1703" s="19"/>
      <c r="Q1703" s="14"/>
      <c r="R1703" s="11"/>
    </row>
    <row r="1704" s="1" customFormat="1" ht="21.95" customHeight="1" spans="1:18">
      <c r="A1704" s="7"/>
      <c r="B1704" s="12"/>
      <c r="C1704" s="33"/>
      <c r="D1704" s="117" t="s">
        <v>513</v>
      </c>
      <c r="E1704" s="117"/>
      <c r="F1704" s="117"/>
      <c r="G1704" s="54">
        <f>IFERROR(VLOOKUP(F1686,'1to4-2.1-RR'!$A$12:$BG$111,16,0),"")</f>
        <v>1</v>
      </c>
      <c r="H1704" s="54">
        <f>IFERROR(VLOOKUP(F1686,'1to4-2.1-RR'!$A$12:$BG$111,17,0),"")</f>
        <v>0</v>
      </c>
      <c r="I1704" s="54">
        <f>IFERROR(VLOOKUP(F1686,'1to4-2.1-RR'!$A$12:$BG$111,18,0),"")</f>
        <v>0</v>
      </c>
      <c r="J1704" s="54">
        <f>IFERROR(VLOOKUP(F1686,'1to4-2.1-RR'!$A$12:$BG$111,19,0),"")</f>
        <v>0</v>
      </c>
      <c r="K1704" s="54">
        <f>IFERROR(VLOOKUP(F1686,'1to4-2.1-RR'!$A$12:$BG$111,20,0),"")</f>
        <v>15</v>
      </c>
      <c r="L1704" s="55">
        <f t="shared" ref="L1704:L1709" si="60">SUM(G1704:K1704)</f>
        <v>16</v>
      </c>
      <c r="M1704" s="56" t="str">
        <f>IF(F1686&gt;ENTRY!$D$24,"",IF(L1704=0,"Ab",IF(L1704&gt;80,"A",IF(L1704&gt;60,"B",IF(L1704&gt;44,"C",IF(L1704&gt;=33,"D",IF(L1704&lt;=32,"E","")))))))</f>
        <v>E</v>
      </c>
      <c r="N1704" s="56"/>
      <c r="O1704" s="29"/>
      <c r="P1704" s="19"/>
      <c r="Q1704" s="14"/>
      <c r="R1704" s="11"/>
    </row>
    <row r="1705" s="1" customFormat="1" ht="21.95" customHeight="1" spans="1:18">
      <c r="A1705" s="7"/>
      <c r="B1705" s="12"/>
      <c r="C1705" s="33"/>
      <c r="D1705" s="117" t="s">
        <v>718</v>
      </c>
      <c r="E1705" s="117"/>
      <c r="F1705" s="117"/>
      <c r="G1705" s="54">
        <f>IFERROR(VLOOKUP(F1686,'1to4-2.1-RR'!$A$12:$BG$111,23,0),"")</f>
        <v>1</v>
      </c>
      <c r="H1705" s="54">
        <f>IFERROR(VLOOKUP(F1686,'1to4-2.1-RR'!$A$12:$BG$111,24,0),"")</f>
        <v>0</v>
      </c>
      <c r="I1705" s="54">
        <f>IFERROR(VLOOKUP(F1686,'1to4-2.1-RR'!$A$12:$BG$111,25,0),"")</f>
        <v>0</v>
      </c>
      <c r="J1705" s="54">
        <f>IFERROR(VLOOKUP(F1686,'1to4-2.1-RR'!$A$12:$BG$111,26,0),"")</f>
        <v>0</v>
      </c>
      <c r="K1705" s="54">
        <f>IFERROR(VLOOKUP(F1686,'1to4-2.1-RR'!$A$12:$BG$111,27,0),"")</f>
        <v>15</v>
      </c>
      <c r="L1705" s="55">
        <f t="shared" si="60"/>
        <v>16</v>
      </c>
      <c r="M1705" s="56" t="str">
        <f>IF(F1686&gt;ENTRY!$D$24,"",IF(L1705=0,"Ab",IF(L1705&gt;80,"A",IF(L1705&gt;60,"B",IF(L1705&gt;44,"C",IF(L1705&gt;=33,"D",IF(L1705&lt;=32,"E","")))))))</f>
        <v>E</v>
      </c>
      <c r="N1705" s="56"/>
      <c r="O1705" s="29"/>
      <c r="P1705" s="19"/>
      <c r="Q1705" s="14"/>
      <c r="R1705" s="11"/>
    </row>
    <row r="1706" s="1" customFormat="1" ht="21.95" customHeight="1" spans="1:18">
      <c r="A1706" s="7"/>
      <c r="B1706" s="12"/>
      <c r="C1706" s="33"/>
      <c r="D1706" s="117" t="s">
        <v>719</v>
      </c>
      <c r="E1706" s="117"/>
      <c r="F1706" s="117"/>
      <c r="G1706" s="54">
        <f>IFERROR(VLOOKUP(F1686,'1to4-2.1-RR'!$A$12:$BG$111,30,0),"")</f>
        <v>1</v>
      </c>
      <c r="H1706" s="54">
        <f>IFERROR(VLOOKUP(F1686,'1to4-2.1-RR'!$A$12:$BG$111,31,0),"")</f>
        <v>0</v>
      </c>
      <c r="I1706" s="54">
        <f>IFERROR(VLOOKUP(F1686,'1to4-2.1-RR'!$A$12:$BG$111,32,0),"")</f>
        <v>0</v>
      </c>
      <c r="J1706" s="54">
        <f>IFERROR(VLOOKUP(F1686,'1to4-2.1-RR'!$A$12:$BG$111,33,0),"")</f>
        <v>0</v>
      </c>
      <c r="K1706" s="54">
        <f>IFERROR(VLOOKUP(F1686,'1to4-2.1-RR'!$A$12:$BG$111,34,0),"")</f>
        <v>16</v>
      </c>
      <c r="L1706" s="55">
        <f t="shared" si="60"/>
        <v>17</v>
      </c>
      <c r="M1706" s="56" t="str">
        <f>IF(F1686&gt;ENTRY!$D$24,"",IF(L1706=0,"Ab",IF(L1706&gt;80,"A",IF(L1706&gt;60,"B",IF(L1706&gt;44,"C",IF(L1706&gt;=33,"D",IF(L1706&lt;=32,"E","")))))))</f>
        <v>E</v>
      </c>
      <c r="N1706" s="56"/>
      <c r="O1706" s="29"/>
      <c r="P1706" s="19"/>
      <c r="Q1706" s="14"/>
      <c r="R1706" s="11"/>
    </row>
    <row r="1707" s="1" customFormat="1" ht="21.95" customHeight="1" spans="1:18">
      <c r="A1707" s="7"/>
      <c r="B1707" s="12"/>
      <c r="C1707" s="33"/>
      <c r="D1707" s="117" t="s">
        <v>548</v>
      </c>
      <c r="E1707" s="117"/>
      <c r="F1707" s="117"/>
      <c r="G1707" s="54">
        <f>IFERROR(VLOOKUP(F1686,'1to4-2.1-RR'!$A$12:$BG$111,37,0),"")</f>
        <v>0</v>
      </c>
      <c r="H1707" s="54">
        <f>IFERROR(VLOOKUP(F1686,'1to4-2.1-RR'!$A$12:$BG$111,38,0),"")</f>
        <v>0</v>
      </c>
      <c r="I1707" s="54">
        <f>IFERROR(VLOOKUP(F1686,'1to4-2.1-RR'!$A$12:$BG$111,39,0),"")</f>
        <v>0</v>
      </c>
      <c r="J1707" s="54">
        <f>IFERROR(VLOOKUP(F1686,'1to4-2.1-RR'!$A$12:$BG$111,40,0),"")</f>
        <v>0</v>
      </c>
      <c r="K1707" s="54">
        <f>IFERROR(VLOOKUP(F1686,'1to4-2.1-RR'!$A$12:$BG$111,41,0),"")</f>
        <v>15</v>
      </c>
      <c r="L1707" s="55">
        <f t="shared" si="60"/>
        <v>15</v>
      </c>
      <c r="M1707" s="56" t="str">
        <f>IF(F1686&gt;ENTRY!$D$24,"",IF(L1707=0,"Ab",IF(L1707&gt;80,"A",IF(L1707&gt;60,"B",IF(L1707&gt;44,"C",IF(L1707&gt;=33,"D",IF(L1707&lt;=32,"E","")))))))</f>
        <v>E</v>
      </c>
      <c r="N1707" s="56"/>
      <c r="O1707" s="29"/>
      <c r="P1707" s="19"/>
      <c r="Q1707" s="14"/>
      <c r="R1707" s="11"/>
    </row>
    <row r="1708" s="1" customFormat="1" ht="21.95" customHeight="1" spans="1:18">
      <c r="A1708" s="7"/>
      <c r="B1708" s="12"/>
      <c r="C1708" s="33"/>
      <c r="D1708" s="117" t="s">
        <v>549</v>
      </c>
      <c r="E1708" s="117"/>
      <c r="F1708" s="117"/>
      <c r="G1708" s="54">
        <f>IFERROR(VLOOKUP(F1686,'1to4-2.1-RR'!$A$12:$BG$111,44,0),"")</f>
        <v>2</v>
      </c>
      <c r="H1708" s="54">
        <f>IFERROR(VLOOKUP(F1686,'1to4-2.1-RR'!$A$12:$BG$111,45,0),"")</f>
        <v>0</v>
      </c>
      <c r="I1708" s="54">
        <f>IFERROR(VLOOKUP(F1686,'1to4-2.1-RR'!$A$12:$BG$111,46,0),"")</f>
        <v>0</v>
      </c>
      <c r="J1708" s="54">
        <f>IFERROR(VLOOKUP(F1686,'1to4-2.1-RR'!$A$12:$BG$111,47,0),"")</f>
        <v>0</v>
      </c>
      <c r="K1708" s="54">
        <f>IFERROR(VLOOKUP(F1686,'1to4-2.1-RR'!$A$12:$BG$111,48,0),"")</f>
        <v>17</v>
      </c>
      <c r="L1708" s="55">
        <f t="shared" si="60"/>
        <v>19</v>
      </c>
      <c r="M1708" s="56" t="str">
        <f>IF(F1686&gt;ENTRY!$D$24,"",IF(L1708=0,"Ab",IF(L1708&gt;80,"A",IF(L1708&gt;60,"B",IF(L1708&gt;44,"C",IF(L1708&gt;=33,"D",IF(L1708&lt;=32,"E","")))))))</f>
        <v>E</v>
      </c>
      <c r="N1708" s="56"/>
      <c r="O1708" s="29"/>
      <c r="P1708" s="19"/>
      <c r="Q1708" s="14"/>
      <c r="R1708" s="11"/>
    </row>
    <row r="1709" s="1" customFormat="1" ht="21.95" customHeight="1" spans="1:18">
      <c r="A1709" s="7"/>
      <c r="B1709" s="12"/>
      <c r="C1709" s="33"/>
      <c r="D1709" s="117" t="s">
        <v>720</v>
      </c>
      <c r="E1709" s="117"/>
      <c r="F1709" s="117"/>
      <c r="G1709" s="54"/>
      <c r="H1709" s="54"/>
      <c r="I1709" s="54"/>
      <c r="J1709" s="54"/>
      <c r="K1709" s="54"/>
      <c r="L1709" s="55">
        <f t="shared" si="60"/>
        <v>0</v>
      </c>
      <c r="M1709" s="56" t="str">
        <f>IF(F1686&gt;ENTRY!$D$24,"",IF(L1709=0,"",IF(L1709&gt;79,"A",IF(L1709&gt;59,"B",IF(L1709&gt;44,"C",IF(L1709&gt;=33,"D",IF(L1709&lt;=32,"E","")))))))</f>
        <v/>
      </c>
      <c r="N1709" s="56"/>
      <c r="O1709" s="29"/>
      <c r="P1709" s="19"/>
      <c r="Q1709" s="14"/>
      <c r="R1709" s="11"/>
    </row>
    <row r="1710" s="1" customFormat="1" ht="21.95" customHeight="1" spans="1:18">
      <c r="A1710" s="7"/>
      <c r="B1710" s="12"/>
      <c r="C1710" s="33"/>
      <c r="D1710" s="207" t="s">
        <v>382</v>
      </c>
      <c r="E1710" s="207"/>
      <c r="F1710" s="207"/>
      <c r="G1710" s="54">
        <f t="shared" ref="G1710:L1710" si="61">IFERROR(SUM(G1703:G1709),"")</f>
        <v>6</v>
      </c>
      <c r="H1710" s="54">
        <f t="shared" si="61"/>
        <v>0</v>
      </c>
      <c r="I1710" s="54">
        <f t="shared" si="61"/>
        <v>0</v>
      </c>
      <c r="J1710" s="54">
        <f t="shared" si="61"/>
        <v>0</v>
      </c>
      <c r="K1710" s="54">
        <f t="shared" si="61"/>
        <v>112</v>
      </c>
      <c r="L1710" s="55">
        <f t="shared" si="61"/>
        <v>118</v>
      </c>
      <c r="M1710" s="61" t="str">
        <f>IF(F1686&gt;ENTRY!$D$24,"",IF(N1711="Ab","Ab",IF(N1711&gt;79.5,"A",IF(N1711&gt;59.5,"B",IF(N1711&gt;44.5,"C",IF(N1711&gt;=33,"D",IF(N1711&lt;33,"E","")))))))</f>
        <v>E</v>
      </c>
      <c r="N1710" s="61"/>
      <c r="O1710" s="29"/>
      <c r="P1710" s="19"/>
      <c r="Q1710" s="14"/>
      <c r="R1710" s="11"/>
    </row>
    <row r="1711" s="1" customFormat="1" ht="21.95" customHeight="1" spans="1:18">
      <c r="A1711" s="7"/>
      <c r="B1711" s="12"/>
      <c r="C1711" s="33"/>
      <c r="D1711" s="63" t="s">
        <v>721</v>
      </c>
      <c r="E1711" s="63"/>
      <c r="F1711" s="63"/>
      <c r="G1711" s="63"/>
      <c r="H1711" s="63"/>
      <c r="I1711" s="63"/>
      <c r="J1711" s="63"/>
      <c r="K1711" s="63"/>
      <c r="L1711" s="63"/>
      <c r="M1711" s="209"/>
      <c r="N1711" s="64">
        <f>IF(L1710="Ab","Ab",L1710/6)</f>
        <v>19.6666666666667</v>
      </c>
      <c r="O1711" s="65"/>
      <c r="P1711" s="19"/>
      <c r="Q1711" s="14"/>
      <c r="R1711" s="11"/>
    </row>
    <row r="1712" s="1" customFormat="1" ht="21.95" customHeight="1" spans="1:18">
      <c r="A1712" s="7"/>
      <c r="B1712" s="12"/>
      <c r="C1712" s="33"/>
      <c r="D1712" s="29" t="s">
        <v>716</v>
      </c>
      <c r="E1712" s="18" t="str">
        <f>IFERROR(VLOOKUP(F1686,'1to4-2.1-RR'!$A$12:$BG$111,57,0),"")</f>
        <v>PROMOTED</v>
      </c>
      <c r="F1712" s="18"/>
      <c r="G1712" s="18"/>
      <c r="H1712" s="18"/>
      <c r="I1712" s="18"/>
      <c r="J1712" s="18"/>
      <c r="K1712" s="18"/>
      <c r="L1712" s="18"/>
      <c r="M1712" s="18"/>
      <c r="N1712" s="29"/>
      <c r="O1712" s="29"/>
      <c r="P1712" s="19"/>
      <c r="Q1712" s="14"/>
      <c r="R1712" s="11"/>
    </row>
    <row r="1713" s="1" customFormat="1" ht="9.95" customHeight="1" spans="1:19">
      <c r="A1713" s="7"/>
      <c r="B1713" s="12"/>
      <c r="C1713" s="39"/>
      <c r="D1713" s="40"/>
      <c r="E1713" s="40"/>
      <c r="F1713" s="40"/>
      <c r="G1713" s="40"/>
      <c r="H1713" s="40"/>
      <c r="I1713" s="40"/>
      <c r="J1713" s="40"/>
      <c r="K1713" s="40"/>
      <c r="L1713" s="40"/>
      <c r="M1713" s="40"/>
      <c r="N1713" s="40"/>
      <c r="O1713" s="40"/>
      <c r="P1713" s="41"/>
      <c r="Q1713" s="14"/>
      <c r="R1713" s="11"/>
    </row>
    <row r="1714" s="1" customFormat="1" ht="9.95" customHeight="1" spans="1:19">
      <c r="A1714" s="7"/>
      <c r="B1714" s="12"/>
      <c r="C1714" s="30"/>
      <c r="D1714" s="31"/>
      <c r="E1714" s="31"/>
      <c r="F1714" s="29"/>
      <c r="G1714" s="31"/>
      <c r="H1714" s="31"/>
      <c r="I1714" s="31"/>
      <c r="J1714" s="31"/>
      <c r="K1714" s="31"/>
      <c r="L1714" s="31"/>
      <c r="M1714" s="31"/>
      <c r="N1714" s="31"/>
      <c r="O1714" s="31"/>
      <c r="P1714" s="32"/>
      <c r="Q1714" s="14"/>
      <c r="R1714" s="11"/>
    </row>
    <row r="1715" s="1" customFormat="1" ht="9.95" customHeight="1" spans="1:19">
      <c r="A1715" s="7"/>
      <c r="B1715" s="12"/>
      <c r="C1715" s="33"/>
      <c r="D1715" s="29"/>
      <c r="E1715" s="29"/>
      <c r="F1715" s="29"/>
      <c r="G1715" s="29"/>
      <c r="H1715" s="29"/>
      <c r="I1715" s="29"/>
      <c r="J1715" s="29"/>
      <c r="K1715" s="29"/>
      <c r="L1715" s="29"/>
      <c r="M1715" s="29"/>
      <c r="N1715" s="29"/>
      <c r="O1715" s="29"/>
      <c r="P1715" s="19"/>
      <c r="Q1715" s="14"/>
      <c r="R1715" s="11"/>
    </row>
    <row r="1716" s="1" customFormat="1" ht="9.95" customHeight="1" spans="1:19">
      <c r="A1716" s="7"/>
      <c r="B1716" s="12"/>
      <c r="C1716" s="33"/>
      <c r="D1716" s="29"/>
      <c r="E1716" s="29"/>
      <c r="F1716" s="29"/>
      <c r="G1716" s="29"/>
      <c r="H1716" s="29"/>
      <c r="I1716" s="29"/>
      <c r="J1716" s="29"/>
      <c r="K1716" s="29"/>
      <c r="L1716" s="29"/>
      <c r="M1716" s="29"/>
      <c r="N1716" s="29"/>
      <c r="O1716" s="29"/>
      <c r="P1716" s="19"/>
      <c r="Q1716" s="14"/>
      <c r="R1716" s="11"/>
    </row>
    <row r="1717" s="1" customFormat="1" ht="21.95" customHeight="1" spans="1:19">
      <c r="A1717" s="7"/>
      <c r="B1717" s="12"/>
      <c r="C1717" s="210"/>
      <c r="D1717" s="211"/>
      <c r="E1717" s="211"/>
      <c r="F1717" s="211"/>
      <c r="G1717" s="211"/>
      <c r="H1717" s="211"/>
      <c r="I1717" s="211"/>
      <c r="J1717" s="211"/>
      <c r="K1717" s="211"/>
      <c r="L1717" s="211"/>
      <c r="M1717" s="211"/>
      <c r="N1717" s="211"/>
      <c r="O1717" s="211"/>
      <c r="P1717" s="212"/>
      <c r="Q1717" s="14"/>
      <c r="R1717" s="11"/>
      <c r="S1717" s="2"/>
    </row>
    <row r="1718" s="1" customFormat="1" ht="21.95" customHeight="1" spans="1:19">
      <c r="A1718" s="7"/>
      <c r="B1718" s="12"/>
      <c r="C1718" s="33"/>
      <c r="D1718" s="207" t="s">
        <v>722</v>
      </c>
      <c r="E1718" s="207"/>
      <c r="F1718" s="207"/>
      <c r="G1718" s="207"/>
      <c r="H1718" s="54">
        <f>IFERROR(VLOOKUP(F1686,PASHEET!$A$4:$CJ$103,88,0),"")</f>
        <v>0</v>
      </c>
      <c r="I1718" s="54"/>
      <c r="J1718" s="29"/>
      <c r="K1718" s="29"/>
      <c r="L1718" s="29"/>
      <c r="M1718" s="29"/>
      <c r="N1718" s="29"/>
      <c r="O1718" s="29"/>
      <c r="P1718" s="19"/>
      <c r="Q1718" s="14"/>
      <c r="R1718" s="11"/>
    </row>
    <row r="1719" s="1" customFormat="1" ht="21.95" customHeight="1" spans="1:19">
      <c r="A1719" s="7"/>
      <c r="B1719" s="12"/>
      <c r="C1719" s="213"/>
      <c r="D1719" s="207" t="s">
        <v>723</v>
      </c>
      <c r="E1719" s="207"/>
      <c r="F1719" s="207"/>
      <c r="G1719" s="207"/>
      <c r="H1719" s="54">
        <f>IFERROR(VLOOKUP(F1686,PASHEET!$A$4:$CJ$103,87,0),"")</f>
        <v>0</v>
      </c>
      <c r="I1719" s="54"/>
      <c r="J1719" s="214"/>
      <c r="K1719" s="214"/>
      <c r="L1719" s="207" t="s">
        <v>724</v>
      </c>
      <c r="M1719" s="207"/>
      <c r="N1719" s="117" t="str">
        <f>IF(F1686&gt;ENTRY!$D$24,"",IF(F1686&gt;0,L1710&amp;" / "&amp;600,""))</f>
        <v>118 / 600</v>
      </c>
      <c r="O1719" s="117"/>
      <c r="P1719" s="215"/>
      <c r="Q1719" s="14"/>
      <c r="R1719" s="11"/>
    </row>
    <row r="1720" s="1" customFormat="1" ht="18" customHeight="1" spans="1:19">
      <c r="A1720" s="7"/>
      <c r="B1720" s="12"/>
      <c r="C1720" s="33"/>
      <c r="D1720" s="207" t="s">
        <v>725</v>
      </c>
      <c r="E1720" s="207"/>
      <c r="F1720" s="207"/>
      <c r="G1720" s="207"/>
      <c r="H1720" s="69" t="str">
        <f>IFERROR(IF(F1686&gt;0,H1719/H1718*100),"")</f>
        <v/>
      </c>
      <c r="I1720" s="69"/>
      <c r="J1720" s="29"/>
      <c r="K1720" s="29"/>
      <c r="L1720" s="207" t="s">
        <v>726</v>
      </c>
      <c r="M1720" s="207"/>
      <c r="N1720" s="216">
        <f>IF(F1686&gt;ENTRY!$D$24,"",IF(F1686&gt;0,L1710/600*100,""))</f>
        <v>19.6666666666667</v>
      </c>
      <c r="O1720" s="216"/>
      <c r="P1720" s="19"/>
      <c r="Q1720" s="14"/>
      <c r="R1720" s="11"/>
    </row>
    <row r="1721" s="1" customFormat="1" ht="21.95" customHeight="1" spans="1:19">
      <c r="A1721" s="7"/>
      <c r="B1721" s="12"/>
      <c r="C1721" s="33"/>
      <c r="D1721" s="80"/>
      <c r="E1721" s="80"/>
      <c r="F1721" s="217"/>
      <c r="G1721" s="217"/>
      <c r="H1721" s="217"/>
      <c r="I1721" s="217"/>
      <c r="J1721" s="217"/>
      <c r="K1721" s="217"/>
      <c r="L1721" s="217"/>
      <c r="M1721" s="217"/>
      <c r="N1721" s="80"/>
      <c r="O1721" s="80"/>
      <c r="P1721" s="19"/>
      <c r="Q1721" s="14"/>
      <c r="R1721" s="11"/>
    </row>
    <row r="1722" s="1" customFormat="1" ht="21.95" customHeight="1" spans="1:19">
      <c r="A1722" s="7"/>
      <c r="B1722" s="12"/>
      <c r="C1722" s="33"/>
      <c r="D1722" s="80"/>
      <c r="E1722" s="218"/>
      <c r="F1722" s="218"/>
      <c r="G1722" s="218"/>
      <c r="H1722" s="80"/>
      <c r="I1722" s="218"/>
      <c r="J1722" s="218"/>
      <c r="K1722" s="218"/>
      <c r="L1722" s="218"/>
      <c r="M1722" s="80"/>
      <c r="N1722" s="219"/>
      <c r="O1722" s="219"/>
      <c r="P1722" s="19"/>
      <c r="Q1722" s="14"/>
      <c r="R1722" s="11"/>
    </row>
    <row r="1723" s="1" customFormat="1" ht="21.95" customHeight="1" spans="1:19">
      <c r="A1723" s="7"/>
      <c r="B1723" s="12"/>
      <c r="C1723" s="33"/>
      <c r="D1723" s="80"/>
      <c r="E1723" s="80"/>
      <c r="F1723" s="80"/>
      <c r="G1723" s="80"/>
      <c r="H1723" s="80"/>
      <c r="I1723" s="80"/>
      <c r="J1723" s="80"/>
      <c r="K1723" s="80"/>
      <c r="L1723" s="80"/>
      <c r="M1723" s="80"/>
      <c r="N1723" s="80"/>
      <c r="O1723" s="80"/>
      <c r="P1723" s="19"/>
      <c r="Q1723" s="14"/>
      <c r="R1723" s="11"/>
    </row>
    <row r="1724" s="1" customFormat="1" ht="21.95" customHeight="1" spans="1:19">
      <c r="A1724" s="7"/>
      <c r="B1724" s="12"/>
      <c r="C1724" s="33"/>
      <c r="D1724" s="218"/>
      <c r="E1724" s="218"/>
      <c r="F1724" s="218"/>
      <c r="G1724" s="218"/>
      <c r="H1724" s="218"/>
      <c r="I1724" s="218"/>
      <c r="J1724" s="218"/>
      <c r="K1724" s="218"/>
      <c r="L1724" s="218"/>
      <c r="M1724" s="80"/>
      <c r="N1724" s="217"/>
      <c r="O1724" s="217"/>
      <c r="P1724" s="85" t="s">
        <v>727</v>
      </c>
      <c r="Q1724" s="14"/>
      <c r="R1724" s="11"/>
    </row>
    <row r="1725" s="1" customFormat="1" ht="21.95" customHeight="1" spans="1:19">
      <c r="A1725" s="7"/>
      <c r="B1725" s="12"/>
      <c r="C1725" s="33"/>
      <c r="D1725" s="29"/>
      <c r="E1725" s="29"/>
      <c r="F1725" s="29"/>
      <c r="G1725" s="29"/>
      <c r="H1725" s="29"/>
      <c r="I1725" s="29"/>
      <c r="J1725" s="29"/>
      <c r="K1725" s="29"/>
      <c r="L1725" s="29"/>
      <c r="M1725" s="29"/>
      <c r="N1725" s="29"/>
      <c r="O1725" s="29"/>
      <c r="P1725" s="19"/>
      <c r="Q1725" s="14"/>
      <c r="R1725" s="11"/>
    </row>
    <row r="1726" s="1" customFormat="1" ht="21.95" customHeight="1" spans="1:19">
      <c r="A1726" s="7"/>
      <c r="B1726" s="12"/>
      <c r="C1726" s="33"/>
      <c r="D1726" s="29"/>
      <c r="E1726" s="29"/>
      <c r="F1726" s="29"/>
      <c r="G1726" s="29"/>
      <c r="H1726" s="29"/>
      <c r="I1726" s="29"/>
      <c r="J1726" s="29"/>
      <c r="K1726" s="29"/>
      <c r="L1726" s="29"/>
      <c r="M1726" s="29"/>
      <c r="N1726" s="29"/>
      <c r="O1726" s="29"/>
      <c r="P1726" s="19"/>
      <c r="Q1726" s="14"/>
      <c r="R1726" s="11"/>
    </row>
    <row r="1727" s="1" customFormat="1" ht="21.95" customHeight="1" spans="1:19">
      <c r="A1727" s="7"/>
      <c r="B1727" s="12"/>
      <c r="C1727" s="33"/>
      <c r="D1727" s="29"/>
      <c r="E1727" s="29"/>
      <c r="F1727" s="29"/>
      <c r="G1727" s="29"/>
      <c r="H1727" s="29"/>
      <c r="I1727" s="29"/>
      <c r="J1727" s="29"/>
      <c r="K1727" s="29"/>
      <c r="L1727" s="29"/>
      <c r="M1727" s="29"/>
      <c r="N1727" s="29"/>
      <c r="O1727" s="29"/>
      <c r="P1727" s="19"/>
      <c r="Q1727" s="14"/>
      <c r="R1727" s="11"/>
    </row>
    <row r="1728" s="1" customFormat="1" ht="21.95" customHeight="1" spans="1:19">
      <c r="A1728" s="7"/>
      <c r="B1728" s="12"/>
      <c r="C1728" s="33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19"/>
      <c r="Q1728" s="14"/>
      <c r="R1728" s="11"/>
    </row>
    <row r="1729" s="1" customFormat="1" ht="21.95" customHeight="1" spans="1:18">
      <c r="A1729" s="7"/>
      <c r="B1729" s="12"/>
      <c r="C1729" s="33"/>
      <c r="D1729" s="29"/>
      <c r="E1729" s="29"/>
      <c r="F1729" s="29"/>
      <c r="G1729" s="29"/>
      <c r="H1729" s="29"/>
      <c r="I1729" s="29"/>
      <c r="J1729" s="29"/>
      <c r="K1729" s="29"/>
      <c r="L1729" s="29"/>
      <c r="M1729" s="29"/>
      <c r="N1729" s="29"/>
      <c r="O1729" s="29"/>
      <c r="P1729" s="19"/>
      <c r="Q1729" s="14"/>
      <c r="R1729" s="11"/>
    </row>
    <row r="1730" s="1" customFormat="1" ht="21.95" customHeight="1" spans="1:18">
      <c r="A1730" s="7"/>
      <c r="B1730" s="12"/>
      <c r="C1730" s="33"/>
      <c r="D1730" s="80" t="s">
        <v>728</v>
      </c>
      <c r="E1730" s="220">
        <f>ENTRY!$D$27</f>
        <v>46102</v>
      </c>
      <c r="F1730" s="220"/>
      <c r="G1730" s="29"/>
      <c r="H1730" s="29"/>
      <c r="I1730" s="221" t="s">
        <v>729</v>
      </c>
      <c r="J1730" s="153"/>
      <c r="K1730" s="29"/>
      <c r="L1730" s="29"/>
      <c r="M1730" s="87" t="s">
        <v>730</v>
      </c>
      <c r="N1730" s="87"/>
      <c r="O1730" s="87"/>
      <c r="P1730" s="19"/>
      <c r="Q1730" s="14"/>
      <c r="R1730" s="11"/>
    </row>
    <row r="1731" s="1" customFormat="1" ht="21.95" customHeight="1" spans="1:18">
      <c r="A1731" s="7"/>
      <c r="B1731" s="12"/>
      <c r="C1731" s="33"/>
      <c r="D1731" s="80" t="s">
        <v>731</v>
      </c>
      <c r="E1731" s="88" t="str">
        <f>PROPER(ENTRY!$D$28)</f>
        <v>New Delhi</v>
      </c>
      <c r="F1731" s="88"/>
      <c r="G1731" s="29"/>
      <c r="H1731" s="29"/>
      <c r="I1731" s="153"/>
      <c r="J1731" s="153"/>
      <c r="K1731" s="29"/>
      <c r="L1731" s="29"/>
      <c r="M1731" s="79" t="s">
        <v>732</v>
      </c>
      <c r="N1731" s="79"/>
      <c r="O1731" s="79"/>
      <c r="P1731" s="19"/>
      <c r="Q1731" s="14"/>
      <c r="R1731" s="11"/>
    </row>
    <row r="1732" s="1" customFormat="1" ht="21.95" customHeight="1" spans="1:18">
      <c r="A1732" s="7"/>
      <c r="B1732" s="12"/>
      <c r="C1732" s="90"/>
      <c r="D1732" s="91"/>
      <c r="E1732" s="91"/>
      <c r="F1732" s="91"/>
      <c r="G1732" s="91"/>
      <c r="H1732" s="91"/>
      <c r="I1732" s="91"/>
      <c r="J1732" s="91"/>
      <c r="K1732" s="91"/>
      <c r="L1732" s="91"/>
      <c r="M1732" s="91"/>
      <c r="N1732" s="91"/>
      <c r="O1732" s="91"/>
      <c r="P1732" s="92"/>
      <c r="Q1732" s="14"/>
      <c r="R1732" s="11"/>
    </row>
    <row r="1733" s="1" customFormat="1" ht="5.1" customHeight="1" spans="1:18">
      <c r="A1733" s="7"/>
      <c r="B1733" s="90"/>
      <c r="C1733" s="91"/>
      <c r="D1733" s="91"/>
      <c r="E1733" s="91"/>
      <c r="F1733" s="91"/>
      <c r="G1733" s="91"/>
      <c r="H1733" s="91"/>
      <c r="I1733" s="91"/>
      <c r="J1733" s="91"/>
      <c r="K1733" s="91"/>
      <c r="L1733" s="91"/>
      <c r="M1733" s="91"/>
      <c r="N1733" s="91"/>
      <c r="O1733" s="91"/>
      <c r="P1733" s="91"/>
      <c r="Q1733" s="92"/>
      <c r="R1733" s="11"/>
    </row>
    <row r="1734" s="1" customFormat="1" ht="5.1" customHeight="1" spans="1:18">
      <c r="A1734" s="93"/>
      <c r="B1734" s="94"/>
      <c r="C1734" s="94"/>
      <c r="D1734" s="94"/>
      <c r="E1734" s="94"/>
      <c r="F1734" s="94"/>
      <c r="G1734" s="94"/>
      <c r="H1734" s="94"/>
      <c r="I1734" s="94"/>
      <c r="J1734" s="94"/>
      <c r="K1734" s="94"/>
      <c r="L1734" s="94"/>
      <c r="M1734" s="94"/>
      <c r="N1734" s="94"/>
      <c r="O1734" s="94"/>
      <c r="P1734" s="94"/>
      <c r="Q1734" s="94"/>
      <c r="R1734" s="95"/>
    </row>
    <row r="1735" s="1" customFormat="1" ht="21.95" customHeight="1"/>
    <row r="1736" ht="15.15"/>
    <row r="1737" s="1" customFormat="1" ht="5.1" customHeight="1" spans="1:18">
      <c r="A1737" s="4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6"/>
    </row>
    <row r="1738" s="1" customFormat="1" ht="15" customHeight="1" spans="1:18">
      <c r="A1738" s="7"/>
      <c r="B1738" s="8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9"/>
      <c r="O1738" s="9"/>
      <c r="P1738" s="9"/>
      <c r="Q1738" s="10"/>
      <c r="R1738" s="11"/>
    </row>
    <row r="1739" s="1" customFormat="1" ht="21.95" customHeight="1" spans="1:18">
      <c r="A1739" s="7"/>
      <c r="B1739" s="12"/>
      <c r="C1739" s="13" t="s">
        <v>7</v>
      </c>
      <c r="D1739" s="13"/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/>
      <c r="Q1739" s="14"/>
      <c r="R1739" s="11"/>
    </row>
    <row r="1740" s="1" customFormat="1" ht="21.95" customHeight="1" spans="1:18">
      <c r="A1740" s="7"/>
      <c r="B1740" s="1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14"/>
      <c r="R1740" s="11"/>
    </row>
    <row r="1741" s="1" customFormat="1" ht="21.95" customHeight="1" spans="1:18">
      <c r="A1741" s="7"/>
      <c r="B1741" s="12"/>
      <c r="C1741" s="15" t="str">
        <f>"SESSION-"&amp;ENTRY!$D$11</f>
        <v>SESSION-2026-27</v>
      </c>
      <c r="D1741" s="15"/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4"/>
      <c r="R1741" s="11"/>
    </row>
    <row r="1742" s="1" customFormat="1" ht="21.95" customHeight="1" spans="1:18">
      <c r="A1742" s="7"/>
      <c r="B1742" s="12"/>
      <c r="C1742" s="2"/>
      <c r="D1742" s="2"/>
      <c r="E1742" s="2"/>
      <c r="F1742" s="16">
        <f>F1686+1</f>
        <v>32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14"/>
      <c r="R1742" s="11"/>
    </row>
    <row r="1743" s="1" customFormat="1" ht="21.95" customHeight="1" spans="1:18">
      <c r="A1743" s="7"/>
      <c r="B1743" s="12"/>
      <c r="C1743" s="17" t="s">
        <v>392</v>
      </c>
      <c r="D1743" s="17"/>
      <c r="E1743" s="17"/>
      <c r="F1743" s="18" t="str">
        <f>IF(F1742&gt;0,ENTRY!$D$6,"")</f>
        <v>MCP NITHARI NO 1 BOYS</v>
      </c>
      <c r="G1743" s="18"/>
      <c r="H1743" s="18"/>
      <c r="I1743" s="18"/>
      <c r="J1743" s="18"/>
      <c r="K1743" s="18"/>
      <c r="L1743" s="18"/>
      <c r="M1743" s="18"/>
      <c r="N1743" s="18"/>
      <c r="O1743" s="18"/>
      <c r="P1743" s="18"/>
      <c r="Q1743" s="14"/>
      <c r="R1743" s="11"/>
    </row>
    <row r="1744" s="1" customFormat="1" ht="21.95" customHeight="1" spans="1:18">
      <c r="A1744" s="7"/>
      <c r="B1744" s="12"/>
      <c r="C1744" s="17" t="s">
        <v>393</v>
      </c>
      <c r="D1744" s="17"/>
      <c r="E1744" s="17"/>
      <c r="F1744" s="18">
        <f>IF(F1742&gt;0,ENTRY!$D$7,"")</f>
        <v>0</v>
      </c>
      <c r="G1744" s="18"/>
      <c r="H1744" s="20" t="s">
        <v>702</v>
      </c>
      <c r="I1744" s="20"/>
      <c r="J1744" s="21">
        <f>IF(F1742&gt;0,ENTRY!$D$10,"")</f>
        <v>40</v>
      </c>
      <c r="K1744" s="20" t="s">
        <v>703</v>
      </c>
      <c r="L1744" s="22" t="str">
        <f>IF(F1742&gt;0,ENTRY!$D$5,"")</f>
        <v>ROHINI ZONE</v>
      </c>
      <c r="M1744" s="22"/>
      <c r="N1744" s="22"/>
      <c r="O1744" s="22"/>
      <c r="P1744" s="22"/>
      <c r="Q1744" s="14"/>
      <c r="R1744" s="11"/>
    </row>
    <row r="1745" s="1" customFormat="1" ht="21.95" customHeight="1" spans="1:18">
      <c r="A1745" s="7"/>
      <c r="B1745" s="12"/>
      <c r="C1745" s="17" t="s">
        <v>706</v>
      </c>
      <c r="D1745" s="17"/>
      <c r="E1745" s="17"/>
      <c r="F1745" s="23" t="str">
        <f>IFERROR(VLOOKUP(F1742,STUDENT!$A$2:$BP$101,5,0),"")</f>
        <v>HARSHIT</v>
      </c>
      <c r="G1745" s="23"/>
      <c r="H1745" s="23"/>
      <c r="I1745" s="23"/>
      <c r="J1745" s="23"/>
      <c r="K1745" s="23"/>
      <c r="L1745" s="20" t="s">
        <v>707</v>
      </c>
      <c r="M1745" s="20"/>
      <c r="N1745" s="24" t="str">
        <f>IF(F1742&gt;0,ENTRY!$D$20&amp;"-"&amp;ENTRY!$D$21,"")</f>
        <v>III-A</v>
      </c>
      <c r="O1745" s="24"/>
      <c r="P1745" s="24"/>
      <c r="Q1745" s="14"/>
      <c r="R1745" s="11"/>
    </row>
    <row r="1746" s="1" customFormat="1" ht="21.95" customHeight="1" spans="1:18">
      <c r="A1746" s="7"/>
      <c r="B1746" s="12"/>
      <c r="C1746" s="17" t="s">
        <v>708</v>
      </c>
      <c r="D1746" s="17"/>
      <c r="E1746" s="17"/>
      <c r="F1746" s="25">
        <f>IFERROR(VLOOKUP(F1742,STUDENT!$A$2:$BP$101,6,0),"")</f>
        <v>15035</v>
      </c>
      <c r="G1746" s="25"/>
      <c r="H1746" s="26" t="s">
        <v>709</v>
      </c>
      <c r="I1746" s="27" t="str">
        <f>IFERROR(VLOOKUP(F1742,STUDENT!$A$2:$BP$101,59,0),"")</f>
        <v/>
      </c>
      <c r="J1746" s="27"/>
      <c r="K1746" s="20" t="s">
        <v>710</v>
      </c>
      <c r="L1746" s="20"/>
      <c r="M1746" s="28">
        <f>IFERROR(VLOOKUP(F1742,STUDENT!$A$2:$BP$101,20,0),"")</f>
        <v>6261811930</v>
      </c>
      <c r="N1746" s="28"/>
      <c r="O1746" s="28"/>
      <c r="P1746" s="28"/>
      <c r="Q1746" s="14"/>
      <c r="R1746" s="11"/>
    </row>
    <row r="1747" s="1" customFormat="1" ht="21.95" customHeight="1" spans="1:18">
      <c r="A1747" s="7"/>
      <c r="B1747" s="12"/>
      <c r="C1747" s="17" t="s">
        <v>711</v>
      </c>
      <c r="D1747" s="17"/>
      <c r="E1747" s="17"/>
      <c r="F1747" s="23" t="str">
        <f>IFERROR(VLOOKUP(F1742,STUDENT!$A$2:$BP$101,9,0),"")</f>
        <v>JYOTI</v>
      </c>
      <c r="G1747" s="23"/>
      <c r="H1747" s="23"/>
      <c r="I1747" s="23"/>
      <c r="J1747" s="17" t="s">
        <v>620</v>
      </c>
      <c r="K1747" s="17"/>
      <c r="L1747" s="23" t="str">
        <f>IFERROR(VLOOKUP(F1742,STUDENT!$A$2:$BP$101,8,0),"")</f>
        <v>ANKIT SINGH</v>
      </c>
      <c r="M1747" s="23"/>
      <c r="N1747" s="23"/>
      <c r="O1747" s="23"/>
      <c r="P1747" s="23"/>
      <c r="Q1747" s="14"/>
      <c r="R1747" s="11"/>
    </row>
    <row r="1748" s="1" customFormat="1" ht="21.95" customHeight="1" spans="1:18">
      <c r="A1748" s="7"/>
      <c r="B1748" s="12"/>
      <c r="C1748" s="17" t="s">
        <v>712</v>
      </c>
      <c r="D1748" s="17"/>
      <c r="E1748" s="17"/>
      <c r="F1748" s="23" t="str">
        <f>IFERROR(VLOOKUP(F1742,STUDENT!$A$2:$BP$101,22,0),"")</f>
        <v>B-150 G.NO -3 INDER ENCL PH-1</v>
      </c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14"/>
      <c r="R1748" s="11"/>
    </row>
    <row r="1749" s="1" customFormat="1" ht="9.95" customHeight="1" spans="1:18">
      <c r="A1749" s="7"/>
      <c r="B1749" s="12"/>
      <c r="C1749" s="29"/>
      <c r="D1749" s="29"/>
      <c r="E1749" s="29"/>
      <c r="F1749" s="29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14"/>
      <c r="R1749" s="11"/>
    </row>
    <row r="1750" s="1" customFormat="1" ht="9.95" customHeight="1" spans="1:18">
      <c r="A1750" s="7"/>
      <c r="B1750" s="12"/>
      <c r="C1750" s="30"/>
      <c r="D1750" s="31"/>
      <c r="E1750" s="31"/>
      <c r="F1750" s="31"/>
      <c r="G1750" s="31"/>
      <c r="H1750" s="31"/>
      <c r="I1750" s="31"/>
      <c r="J1750" s="31"/>
      <c r="K1750" s="31"/>
      <c r="L1750" s="31"/>
      <c r="M1750" s="31"/>
      <c r="N1750" s="31"/>
      <c r="O1750" s="31"/>
      <c r="P1750" s="32"/>
      <c r="Q1750" s="14"/>
      <c r="R1750" s="11"/>
    </row>
    <row r="1751" s="1" customFormat="1" ht="21.95" customHeight="1" spans="1:18">
      <c r="A1751" s="7"/>
      <c r="B1751" s="12"/>
      <c r="C1751" s="33"/>
      <c r="D1751" s="34" t="s">
        <v>713</v>
      </c>
      <c r="E1751" s="20" t="s">
        <v>714</v>
      </c>
      <c r="F1751" s="35" t="str">
        <f>"Level - "&amp;IFERROR(VLOOKUP(F1742,FLN!$A$4:$K$103,9,0),"")</f>
        <v>Level - 2</v>
      </c>
      <c r="G1751" s="36"/>
      <c r="H1751" s="37" t="s">
        <v>715</v>
      </c>
      <c r="I1751" s="20"/>
      <c r="J1751" s="35" t="str">
        <f>"Level - "&amp;IFERROR(VLOOKUP(F1742,FLN!$A$4:$K$103,11,0),"")</f>
        <v>Level - 3</v>
      </c>
      <c r="K1751" s="36"/>
      <c r="L1751" s="37" t="s">
        <v>408</v>
      </c>
      <c r="M1751" s="20"/>
      <c r="N1751" s="35" t="str">
        <f>"Level - "&amp;IFERROR(VLOOKUP(F1742,FLN!$A$4:$K$103,10,0),"")</f>
        <v>Level - 2</v>
      </c>
      <c r="O1751" s="36"/>
      <c r="P1751" s="19"/>
      <c r="Q1751" s="14"/>
      <c r="R1751" s="11"/>
    </row>
    <row r="1752" s="1" customFormat="1" ht="21.95" customHeight="1" spans="1:18">
      <c r="A1752" s="7"/>
      <c r="B1752" s="12"/>
      <c r="C1752" s="33"/>
      <c r="D1752" s="38"/>
      <c r="E1752" s="20" t="s">
        <v>716</v>
      </c>
      <c r="F1752" s="18" t="str">
        <f>IF(L1766&gt;197,"PERFORMED WELL","")</f>
        <v>PERFORMED WELL</v>
      </c>
      <c r="G1752" s="18"/>
      <c r="H1752" s="18"/>
      <c r="I1752" s="18"/>
      <c r="J1752" s="18"/>
      <c r="K1752" s="18"/>
      <c r="L1752" s="18"/>
      <c r="M1752" s="18"/>
      <c r="N1752" s="18"/>
      <c r="O1752" s="18"/>
      <c r="P1752" s="19"/>
      <c r="Q1752" s="14"/>
      <c r="R1752" s="11"/>
    </row>
    <row r="1753" s="1" customFormat="1" ht="9.95" customHeight="1" spans="1:18">
      <c r="A1753" s="7"/>
      <c r="B1753" s="12"/>
      <c r="C1753" s="39"/>
      <c r="D1753" s="40"/>
      <c r="E1753" s="40"/>
      <c r="F1753" s="40"/>
      <c r="G1753" s="40"/>
      <c r="H1753" s="40"/>
      <c r="I1753" s="40"/>
      <c r="J1753" s="40"/>
      <c r="K1753" s="40"/>
      <c r="L1753" s="40"/>
      <c r="M1753" s="40"/>
      <c r="N1753" s="40"/>
      <c r="O1753" s="40"/>
      <c r="P1753" s="41"/>
      <c r="Q1753" s="14"/>
      <c r="R1753" s="11"/>
    </row>
    <row r="1754" s="1" customFormat="1" ht="9.95" customHeight="1" spans="1:18">
      <c r="A1754" s="7"/>
      <c r="B1754" s="12"/>
      <c r="C1754" s="29"/>
      <c r="D1754" s="29"/>
      <c r="E1754" s="29"/>
      <c r="F1754" s="29"/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14"/>
      <c r="R1754" s="11"/>
    </row>
    <row r="1755" s="1" customFormat="1" ht="9.95" customHeight="1" spans="1:18">
      <c r="A1755" s="7"/>
      <c r="B1755" s="12"/>
      <c r="C1755" s="30"/>
      <c r="D1755" s="31"/>
      <c r="E1755" s="31"/>
      <c r="F1755" s="31"/>
      <c r="G1755" s="31"/>
      <c r="H1755" s="31"/>
      <c r="I1755" s="31"/>
      <c r="J1755" s="31"/>
      <c r="K1755" s="31"/>
      <c r="L1755" s="31"/>
      <c r="M1755" s="31"/>
      <c r="N1755" s="31"/>
      <c r="O1755" s="31"/>
      <c r="P1755" s="32"/>
      <c r="Q1755" s="14"/>
      <c r="R1755" s="11"/>
    </row>
    <row r="1756" s="1" customFormat="1" ht="21.95" customHeight="1" spans="1:18">
      <c r="A1756" s="7"/>
      <c r="B1756" s="12"/>
      <c r="C1756" s="33"/>
      <c r="D1756" s="35"/>
      <c r="E1756" s="24"/>
      <c r="F1756" s="24"/>
      <c r="G1756" s="47" t="s">
        <v>717</v>
      </c>
      <c r="H1756" s="47"/>
      <c r="I1756" s="47"/>
      <c r="J1756" s="47"/>
      <c r="K1756" s="47"/>
      <c r="L1756" s="47"/>
      <c r="M1756" s="47"/>
      <c r="N1756" s="47"/>
      <c r="O1756" s="29"/>
      <c r="P1756" s="19"/>
      <c r="Q1756" s="14"/>
      <c r="R1756" s="11"/>
    </row>
    <row r="1757" s="1" customFormat="1" ht="21.95" customHeight="1" spans="1:18">
      <c r="A1757" s="7"/>
      <c r="B1757" s="12"/>
      <c r="C1757" s="33"/>
      <c r="D1757" s="47"/>
      <c r="E1757" s="47"/>
      <c r="F1757" s="47"/>
      <c r="G1757" s="47" t="s">
        <v>541</v>
      </c>
      <c r="H1757" s="47" t="s">
        <v>542</v>
      </c>
      <c r="I1757" s="47" t="s">
        <v>543</v>
      </c>
      <c r="J1757" s="47" t="s">
        <v>544</v>
      </c>
      <c r="K1757" s="47" t="s">
        <v>561</v>
      </c>
      <c r="L1757" s="47" t="s">
        <v>382</v>
      </c>
      <c r="M1757" s="49" t="s">
        <v>546</v>
      </c>
      <c r="N1757" s="49"/>
      <c r="O1757" s="29"/>
      <c r="P1757" s="19"/>
      <c r="Q1757" s="14"/>
      <c r="R1757" s="11"/>
    </row>
    <row r="1758" s="1" customFormat="1" ht="21.95" customHeight="1" spans="1:18">
      <c r="A1758" s="7"/>
      <c r="B1758" s="12"/>
      <c r="C1758" s="33"/>
      <c r="D1758" s="207" t="s">
        <v>652</v>
      </c>
      <c r="E1758" s="207"/>
      <c r="F1758" s="207"/>
      <c r="G1758" s="50">
        <v>10</v>
      </c>
      <c r="H1758" s="50">
        <v>10</v>
      </c>
      <c r="I1758" s="50">
        <v>10</v>
      </c>
      <c r="J1758" s="50">
        <v>10</v>
      </c>
      <c r="K1758" s="50">
        <v>60</v>
      </c>
      <c r="L1758" s="50">
        <v>100</v>
      </c>
      <c r="M1758" s="49"/>
      <c r="N1758" s="49"/>
      <c r="O1758" s="29"/>
      <c r="P1758" s="19"/>
      <c r="Q1758" s="14"/>
      <c r="R1758" s="11"/>
    </row>
    <row r="1759" s="1" customFormat="1" ht="21.95" customHeight="1" spans="1:18">
      <c r="A1759" s="7"/>
      <c r="B1759" s="12"/>
      <c r="C1759" s="33"/>
      <c r="D1759" s="117" t="s">
        <v>668</v>
      </c>
      <c r="E1759" s="117"/>
      <c r="F1759" s="117"/>
      <c r="G1759" s="54">
        <f>IFERROR(VLOOKUP(F1742,'1to4-2.1-RR'!$A$12:$BG$111,9,0),"")</f>
        <v>2</v>
      </c>
      <c r="H1759" s="54">
        <f>IFERROR(VLOOKUP(F1742,'1to4-2.1-RR'!$A$12:$BG$111,10,0),"")</f>
        <v>0</v>
      </c>
      <c r="I1759" s="54">
        <f>IFERROR(VLOOKUP(F1742,'1to4-2.1-RR'!$A$12:$BG$111,11,0),"")</f>
        <v>0</v>
      </c>
      <c r="J1759" s="54">
        <f>IFERROR(VLOOKUP(F1742,'1to4-2.1-RR'!$A$12:$BG$111,12,0),"")</f>
        <v>0</v>
      </c>
      <c r="K1759" s="54">
        <f>IFERROR(VLOOKUP(F1742,'1to4-2.1-RR'!$A$12:$BG$111,13,0),"")</f>
        <v>56</v>
      </c>
      <c r="L1759" s="55">
        <f>SUM(G1759:K1759)</f>
        <v>58</v>
      </c>
      <c r="M1759" s="56" t="str">
        <f>IF(F1742&gt;ENTRY!$D$24,"",IF(L1759=0,"Ab",IF(L1759&gt;80,"A",IF(L1759&gt;60,"B",IF(L1759&gt;44,"C",IF(L1759&gt;=33,"D",IF(L1759&lt;=32,"E","")))))))</f>
        <v>C</v>
      </c>
      <c r="N1759" s="56"/>
      <c r="O1759" s="29"/>
      <c r="P1759" s="19"/>
      <c r="Q1759" s="14"/>
      <c r="R1759" s="11"/>
    </row>
    <row r="1760" s="1" customFormat="1" ht="21.95" customHeight="1" spans="1:18">
      <c r="A1760" s="7"/>
      <c r="B1760" s="12"/>
      <c r="C1760" s="33"/>
      <c r="D1760" s="117" t="s">
        <v>513</v>
      </c>
      <c r="E1760" s="117"/>
      <c r="F1760" s="117"/>
      <c r="G1760" s="54">
        <f>IFERROR(VLOOKUP(F1742,'1to4-2.1-RR'!$A$12:$BG$111,16,0),"")</f>
        <v>2</v>
      </c>
      <c r="H1760" s="54">
        <f>IFERROR(VLOOKUP(F1742,'1to4-2.1-RR'!$A$12:$BG$111,17,0),"")</f>
        <v>0</v>
      </c>
      <c r="I1760" s="54">
        <f>IFERROR(VLOOKUP(F1742,'1to4-2.1-RR'!$A$12:$BG$111,18,0),"")</f>
        <v>0</v>
      </c>
      <c r="J1760" s="54">
        <f>IFERROR(VLOOKUP(F1742,'1to4-2.1-RR'!$A$12:$BG$111,19,0),"")</f>
        <v>0</v>
      </c>
      <c r="K1760" s="54">
        <f>IFERROR(VLOOKUP(F1742,'1to4-2.1-RR'!$A$12:$BG$111,20,0),"")</f>
        <v>26</v>
      </c>
      <c r="L1760" s="55">
        <f t="shared" ref="L1760:L1765" si="62">SUM(G1760:K1760)</f>
        <v>28</v>
      </c>
      <c r="M1760" s="56" t="str">
        <f>IF(F1742&gt;ENTRY!$D$24,"",IF(L1760=0,"Ab",IF(L1760&gt;80,"A",IF(L1760&gt;60,"B",IF(L1760&gt;44,"C",IF(L1760&gt;=33,"D",IF(L1760&lt;=32,"E","")))))))</f>
        <v>E</v>
      </c>
      <c r="N1760" s="56"/>
      <c r="O1760" s="29"/>
      <c r="P1760" s="19"/>
      <c r="Q1760" s="14"/>
      <c r="R1760" s="11"/>
    </row>
    <row r="1761" s="1" customFormat="1" ht="21.95" customHeight="1" spans="1:19">
      <c r="A1761" s="7"/>
      <c r="B1761" s="12"/>
      <c r="C1761" s="33"/>
      <c r="D1761" s="117" t="s">
        <v>718</v>
      </c>
      <c r="E1761" s="117"/>
      <c r="F1761" s="117"/>
      <c r="G1761" s="54">
        <f>IFERROR(VLOOKUP(F1742,'1to4-2.1-RR'!$A$12:$BG$111,23,0),"")</f>
        <v>2</v>
      </c>
      <c r="H1761" s="54">
        <f>IFERROR(VLOOKUP(F1742,'1to4-2.1-RR'!$A$12:$BG$111,24,0),"")</f>
        <v>0</v>
      </c>
      <c r="I1761" s="54">
        <f>IFERROR(VLOOKUP(F1742,'1to4-2.1-RR'!$A$12:$BG$111,25,0),"")</f>
        <v>0</v>
      </c>
      <c r="J1761" s="54">
        <f>IFERROR(VLOOKUP(F1742,'1to4-2.1-RR'!$A$12:$BG$111,26,0),"")</f>
        <v>0</v>
      </c>
      <c r="K1761" s="54">
        <f>IFERROR(VLOOKUP(F1742,'1to4-2.1-RR'!$A$12:$BG$111,27,0),"")</f>
        <v>26</v>
      </c>
      <c r="L1761" s="55">
        <f t="shared" si="62"/>
        <v>28</v>
      </c>
      <c r="M1761" s="56" t="str">
        <f>IF(F1742&gt;ENTRY!$D$24,"",IF(L1761=0,"Ab",IF(L1761&gt;80,"A",IF(L1761&gt;60,"B",IF(L1761&gt;44,"C",IF(L1761&gt;=33,"D",IF(L1761&lt;=32,"E","")))))))</f>
        <v>E</v>
      </c>
      <c r="N1761" s="56"/>
      <c r="O1761" s="29"/>
      <c r="P1761" s="19"/>
      <c r="Q1761" s="14"/>
      <c r="R1761" s="11"/>
    </row>
    <row r="1762" s="1" customFormat="1" ht="21.95" customHeight="1" spans="1:19">
      <c r="A1762" s="7"/>
      <c r="B1762" s="12"/>
      <c r="C1762" s="33"/>
      <c r="D1762" s="117" t="s">
        <v>719</v>
      </c>
      <c r="E1762" s="117"/>
      <c r="F1762" s="117"/>
      <c r="G1762" s="54">
        <f>IFERROR(VLOOKUP(F1742,'1to4-2.1-RR'!$A$12:$BG$111,30,0),"")</f>
        <v>2</v>
      </c>
      <c r="H1762" s="54">
        <f>IFERROR(VLOOKUP(F1742,'1to4-2.1-RR'!$A$12:$BG$111,31,0),"")</f>
        <v>0</v>
      </c>
      <c r="I1762" s="54">
        <f>IFERROR(VLOOKUP(F1742,'1to4-2.1-RR'!$A$12:$BG$111,32,0),"")</f>
        <v>0</v>
      </c>
      <c r="J1762" s="54">
        <f>IFERROR(VLOOKUP(F1742,'1to4-2.1-RR'!$A$12:$BG$111,33,0),"")</f>
        <v>0</v>
      </c>
      <c r="K1762" s="54">
        <f>IFERROR(VLOOKUP(F1742,'1to4-2.1-RR'!$A$12:$BG$111,34,0),"")</f>
        <v>28</v>
      </c>
      <c r="L1762" s="55">
        <f t="shared" si="62"/>
        <v>30</v>
      </c>
      <c r="M1762" s="56" t="str">
        <f>IF(F1742&gt;ENTRY!$D$24,"",IF(L1762=0,"Ab",IF(L1762&gt;80,"A",IF(L1762&gt;60,"B",IF(L1762&gt;44,"C",IF(L1762&gt;=33,"D",IF(L1762&lt;=32,"E","")))))))</f>
        <v>E</v>
      </c>
      <c r="N1762" s="56"/>
      <c r="O1762" s="29"/>
      <c r="P1762" s="19"/>
      <c r="Q1762" s="14"/>
      <c r="R1762" s="11"/>
    </row>
    <row r="1763" s="1" customFormat="1" ht="21.95" customHeight="1" spans="1:19">
      <c r="A1763" s="7"/>
      <c r="B1763" s="12"/>
      <c r="C1763" s="33"/>
      <c r="D1763" s="117" t="s">
        <v>548</v>
      </c>
      <c r="E1763" s="117"/>
      <c r="F1763" s="117"/>
      <c r="G1763" s="54">
        <f>IFERROR(VLOOKUP(F1742,'1to4-2.1-RR'!$A$12:$BG$111,37,0),"")</f>
        <v>0</v>
      </c>
      <c r="H1763" s="54">
        <f>IFERROR(VLOOKUP(F1742,'1to4-2.1-RR'!$A$12:$BG$111,38,0),"")</f>
        <v>0</v>
      </c>
      <c r="I1763" s="54">
        <f>IFERROR(VLOOKUP(F1742,'1to4-2.1-RR'!$A$12:$BG$111,39,0),"")</f>
        <v>0</v>
      </c>
      <c r="J1763" s="54">
        <f>IFERROR(VLOOKUP(F1742,'1to4-2.1-RR'!$A$12:$BG$111,40,0),"")</f>
        <v>0</v>
      </c>
      <c r="K1763" s="54">
        <f>IFERROR(VLOOKUP(F1742,'1to4-2.1-RR'!$A$12:$BG$111,41,0),"")</f>
        <v>25</v>
      </c>
      <c r="L1763" s="55">
        <f t="shared" si="62"/>
        <v>25</v>
      </c>
      <c r="M1763" s="56" t="str">
        <f>IF(F1742&gt;ENTRY!$D$24,"",IF(L1763=0,"Ab",IF(L1763&gt;80,"A",IF(L1763&gt;60,"B",IF(L1763&gt;44,"C",IF(L1763&gt;=33,"D",IF(L1763&lt;=32,"E","")))))))</f>
        <v>E</v>
      </c>
      <c r="N1763" s="56"/>
      <c r="O1763" s="29"/>
      <c r="P1763" s="19"/>
      <c r="Q1763" s="14"/>
      <c r="R1763" s="11"/>
    </row>
    <row r="1764" s="1" customFormat="1" ht="21.95" customHeight="1" spans="1:19">
      <c r="A1764" s="7"/>
      <c r="B1764" s="12"/>
      <c r="C1764" s="33"/>
      <c r="D1764" s="117" t="s">
        <v>549</v>
      </c>
      <c r="E1764" s="117"/>
      <c r="F1764" s="117"/>
      <c r="G1764" s="54">
        <f>IFERROR(VLOOKUP(F1742,'1to4-2.1-RR'!$A$12:$BG$111,44,0),"")</f>
        <v>2</v>
      </c>
      <c r="H1764" s="54">
        <f>IFERROR(VLOOKUP(F1742,'1to4-2.1-RR'!$A$12:$BG$111,45,0),"")</f>
        <v>0</v>
      </c>
      <c r="I1764" s="54">
        <f>IFERROR(VLOOKUP(F1742,'1to4-2.1-RR'!$A$12:$BG$111,46,0),"")</f>
        <v>0</v>
      </c>
      <c r="J1764" s="54">
        <f>IFERROR(VLOOKUP(F1742,'1to4-2.1-RR'!$A$12:$BG$111,47,0),"")</f>
        <v>0</v>
      </c>
      <c r="K1764" s="54">
        <f>IFERROR(VLOOKUP(F1742,'1to4-2.1-RR'!$A$12:$BG$111,48,0),"")</f>
        <v>28</v>
      </c>
      <c r="L1764" s="55">
        <f t="shared" si="62"/>
        <v>30</v>
      </c>
      <c r="M1764" s="56" t="str">
        <f>IF(F1742&gt;ENTRY!$D$24,"",IF(L1764=0,"Ab",IF(L1764&gt;80,"A",IF(L1764&gt;60,"B",IF(L1764&gt;44,"C",IF(L1764&gt;=33,"D",IF(L1764&lt;=32,"E","")))))))</f>
        <v>E</v>
      </c>
      <c r="N1764" s="56"/>
      <c r="O1764" s="29"/>
      <c r="P1764" s="19"/>
      <c r="Q1764" s="14"/>
      <c r="R1764" s="11"/>
    </row>
    <row r="1765" s="1" customFormat="1" ht="21.95" customHeight="1" spans="1:19">
      <c r="A1765" s="7"/>
      <c r="B1765" s="12"/>
      <c r="C1765" s="33"/>
      <c r="D1765" s="117" t="s">
        <v>720</v>
      </c>
      <c r="E1765" s="117"/>
      <c r="F1765" s="117"/>
      <c r="G1765" s="54"/>
      <c r="H1765" s="54"/>
      <c r="I1765" s="54"/>
      <c r="J1765" s="54"/>
      <c r="K1765" s="54"/>
      <c r="L1765" s="55">
        <f t="shared" si="62"/>
        <v>0</v>
      </c>
      <c r="M1765" s="56" t="str">
        <f>IF(F1742&gt;ENTRY!$D$24,"",IF(L1765=0,"",IF(L1765&gt;79,"A",IF(L1765&gt;59,"B",IF(L1765&gt;44,"C",IF(L1765&gt;=33,"D",IF(L1765&lt;=32,"E","")))))))</f>
        <v/>
      </c>
      <c r="N1765" s="56"/>
      <c r="O1765" s="29"/>
      <c r="P1765" s="19"/>
      <c r="Q1765" s="14"/>
      <c r="R1765" s="11"/>
    </row>
    <row r="1766" s="1" customFormat="1" ht="21.95" customHeight="1" spans="1:19">
      <c r="A1766" s="7"/>
      <c r="B1766" s="12"/>
      <c r="C1766" s="33"/>
      <c r="D1766" s="207" t="s">
        <v>382</v>
      </c>
      <c r="E1766" s="207"/>
      <c r="F1766" s="207"/>
      <c r="G1766" s="54">
        <f t="shared" ref="G1766:L1766" si="63">IFERROR(SUM(G1759:G1765),"")</f>
        <v>10</v>
      </c>
      <c r="H1766" s="54">
        <f t="shared" si="63"/>
        <v>0</v>
      </c>
      <c r="I1766" s="54">
        <f t="shared" si="63"/>
        <v>0</v>
      </c>
      <c r="J1766" s="54">
        <f t="shared" si="63"/>
        <v>0</v>
      </c>
      <c r="K1766" s="54">
        <f t="shared" si="63"/>
        <v>189</v>
      </c>
      <c r="L1766" s="55">
        <f t="shared" si="63"/>
        <v>199</v>
      </c>
      <c r="M1766" s="61" t="str">
        <f>IF(F1742&gt;ENTRY!$D$24,"",IF(N1767="Ab","Ab",IF(N1767&gt;79.5,"A",IF(N1767&gt;59.5,"B",IF(N1767&gt;44.5,"C",IF(N1767&gt;=33,"D",IF(N1767&lt;33,"E","")))))))</f>
        <v>D</v>
      </c>
      <c r="N1766" s="61"/>
      <c r="O1766" s="29"/>
      <c r="P1766" s="19"/>
      <c r="Q1766" s="14"/>
      <c r="R1766" s="11"/>
    </row>
    <row r="1767" s="1" customFormat="1" ht="21.95" customHeight="1" spans="1:19">
      <c r="A1767" s="7"/>
      <c r="B1767" s="12"/>
      <c r="C1767" s="33"/>
      <c r="D1767" s="63" t="s">
        <v>721</v>
      </c>
      <c r="E1767" s="63"/>
      <c r="F1767" s="63"/>
      <c r="G1767" s="63"/>
      <c r="H1767" s="63"/>
      <c r="I1767" s="63"/>
      <c r="J1767" s="63"/>
      <c r="K1767" s="63"/>
      <c r="L1767" s="63"/>
      <c r="M1767" s="209"/>
      <c r="N1767" s="64">
        <f>IF(L1766="Ab","Ab",L1766/6)</f>
        <v>33.1666666666667</v>
      </c>
      <c r="O1767" s="65"/>
      <c r="P1767" s="19"/>
      <c r="Q1767" s="14"/>
      <c r="R1767" s="11"/>
    </row>
    <row r="1768" s="1" customFormat="1" ht="21.95" customHeight="1" spans="1:19">
      <c r="A1768" s="7"/>
      <c r="B1768" s="12"/>
      <c r="C1768" s="33"/>
      <c r="D1768" s="29" t="s">
        <v>716</v>
      </c>
      <c r="E1768" s="18" t="str">
        <f>IFERROR(VLOOKUP(F1742,'1to4-2.1-RR'!$A$12:$BG$111,57,0),"")</f>
        <v>FIRST</v>
      </c>
      <c r="F1768" s="18"/>
      <c r="G1768" s="18"/>
      <c r="H1768" s="18"/>
      <c r="I1768" s="18"/>
      <c r="J1768" s="18"/>
      <c r="K1768" s="18"/>
      <c r="L1768" s="18"/>
      <c r="M1768" s="18"/>
      <c r="N1768" s="29"/>
      <c r="O1768" s="29"/>
      <c r="P1768" s="19"/>
      <c r="Q1768" s="14"/>
      <c r="R1768" s="11"/>
    </row>
    <row r="1769" s="1" customFormat="1" ht="9.95" customHeight="1" spans="1:19">
      <c r="A1769" s="7"/>
      <c r="B1769" s="12"/>
      <c r="C1769" s="39"/>
      <c r="D1769" s="40"/>
      <c r="E1769" s="40"/>
      <c r="F1769" s="40"/>
      <c r="G1769" s="40"/>
      <c r="H1769" s="40"/>
      <c r="I1769" s="40"/>
      <c r="J1769" s="40"/>
      <c r="K1769" s="40"/>
      <c r="L1769" s="40"/>
      <c r="M1769" s="40"/>
      <c r="N1769" s="40"/>
      <c r="O1769" s="40"/>
      <c r="P1769" s="41"/>
      <c r="Q1769" s="14"/>
      <c r="R1769" s="11"/>
    </row>
    <row r="1770" s="1" customFormat="1" ht="9.95" customHeight="1" spans="1:19">
      <c r="A1770" s="7"/>
      <c r="B1770" s="12"/>
      <c r="C1770" s="30"/>
      <c r="D1770" s="31"/>
      <c r="E1770" s="31"/>
      <c r="F1770" s="29"/>
      <c r="G1770" s="31"/>
      <c r="H1770" s="31"/>
      <c r="I1770" s="31"/>
      <c r="J1770" s="31"/>
      <c r="K1770" s="31"/>
      <c r="L1770" s="31"/>
      <c r="M1770" s="31"/>
      <c r="N1770" s="31"/>
      <c r="O1770" s="31"/>
      <c r="P1770" s="32"/>
      <c r="Q1770" s="14"/>
      <c r="R1770" s="11"/>
    </row>
    <row r="1771" s="1" customFormat="1" ht="9.95" customHeight="1" spans="1:19">
      <c r="A1771" s="7"/>
      <c r="B1771" s="12"/>
      <c r="C1771" s="33"/>
      <c r="D1771" s="29"/>
      <c r="E1771" s="29"/>
      <c r="F1771" s="29"/>
      <c r="G1771" s="29"/>
      <c r="H1771" s="29"/>
      <c r="I1771" s="29"/>
      <c r="J1771" s="29"/>
      <c r="K1771" s="29"/>
      <c r="L1771" s="29"/>
      <c r="M1771" s="29"/>
      <c r="N1771" s="29"/>
      <c r="O1771" s="29"/>
      <c r="P1771" s="19"/>
      <c r="Q1771" s="14"/>
      <c r="R1771" s="11"/>
    </row>
    <row r="1772" s="1" customFormat="1" ht="9.95" customHeight="1" spans="1:19">
      <c r="A1772" s="7"/>
      <c r="B1772" s="12"/>
      <c r="C1772" s="33"/>
      <c r="D1772" s="29"/>
      <c r="E1772" s="29"/>
      <c r="F1772" s="29"/>
      <c r="G1772" s="29"/>
      <c r="H1772" s="29"/>
      <c r="I1772" s="29"/>
      <c r="J1772" s="29"/>
      <c r="K1772" s="29"/>
      <c r="L1772" s="29"/>
      <c r="M1772" s="29"/>
      <c r="N1772" s="29"/>
      <c r="O1772" s="29"/>
      <c r="P1772" s="19"/>
      <c r="Q1772" s="14"/>
      <c r="R1772" s="11"/>
    </row>
    <row r="1773" s="1" customFormat="1" ht="21.95" customHeight="1" spans="1:19">
      <c r="A1773" s="7"/>
      <c r="B1773" s="12"/>
      <c r="C1773" s="210"/>
      <c r="D1773" s="211"/>
      <c r="E1773" s="211"/>
      <c r="F1773" s="211"/>
      <c r="G1773" s="211"/>
      <c r="H1773" s="211"/>
      <c r="I1773" s="211"/>
      <c r="J1773" s="211"/>
      <c r="K1773" s="211"/>
      <c r="L1773" s="211"/>
      <c r="M1773" s="211"/>
      <c r="N1773" s="211"/>
      <c r="O1773" s="211"/>
      <c r="P1773" s="212"/>
      <c r="Q1773" s="14"/>
      <c r="R1773" s="11"/>
      <c r="S1773" s="2"/>
    </row>
    <row r="1774" s="1" customFormat="1" ht="21.95" customHeight="1" spans="1:19">
      <c r="A1774" s="7"/>
      <c r="B1774" s="12"/>
      <c r="C1774" s="33"/>
      <c r="D1774" s="207" t="s">
        <v>722</v>
      </c>
      <c r="E1774" s="207"/>
      <c r="F1774" s="207"/>
      <c r="G1774" s="207"/>
      <c r="H1774" s="54">
        <f>IFERROR(VLOOKUP(F1742,PASHEET!$A$4:$CJ$103,88,0),"")</f>
        <v>0</v>
      </c>
      <c r="I1774" s="54"/>
      <c r="J1774" s="29"/>
      <c r="K1774" s="29"/>
      <c r="L1774" s="29"/>
      <c r="M1774" s="29"/>
      <c r="N1774" s="29"/>
      <c r="O1774" s="29"/>
      <c r="P1774" s="19"/>
      <c r="Q1774" s="14"/>
      <c r="R1774" s="11"/>
    </row>
    <row r="1775" s="1" customFormat="1" ht="21.95" customHeight="1" spans="1:19">
      <c r="A1775" s="7"/>
      <c r="B1775" s="12"/>
      <c r="C1775" s="213"/>
      <c r="D1775" s="207" t="s">
        <v>723</v>
      </c>
      <c r="E1775" s="207"/>
      <c r="F1775" s="207"/>
      <c r="G1775" s="207"/>
      <c r="H1775" s="54">
        <f>IFERROR(VLOOKUP(F1742,PASHEET!$A$4:$CJ$103,87,0),"")</f>
        <v>0</v>
      </c>
      <c r="I1775" s="54"/>
      <c r="J1775" s="214"/>
      <c r="K1775" s="214"/>
      <c r="L1775" s="207" t="s">
        <v>724</v>
      </c>
      <c r="M1775" s="207"/>
      <c r="N1775" s="117" t="str">
        <f>IF(F1742&gt;ENTRY!$D$24,"",IF(F1742&gt;0,L1766&amp;" / "&amp;600,""))</f>
        <v>199 / 600</v>
      </c>
      <c r="O1775" s="117"/>
      <c r="P1775" s="215"/>
      <c r="Q1775" s="14"/>
      <c r="R1775" s="11"/>
    </row>
    <row r="1776" s="1" customFormat="1" ht="18" customHeight="1" spans="1:19">
      <c r="A1776" s="7"/>
      <c r="B1776" s="12"/>
      <c r="C1776" s="33"/>
      <c r="D1776" s="207" t="s">
        <v>725</v>
      </c>
      <c r="E1776" s="207"/>
      <c r="F1776" s="207"/>
      <c r="G1776" s="207"/>
      <c r="H1776" s="69" t="str">
        <f>IFERROR(IF(F1742&gt;0,H1775/H1774*100),"")</f>
        <v/>
      </c>
      <c r="I1776" s="69"/>
      <c r="J1776" s="29"/>
      <c r="K1776" s="29"/>
      <c r="L1776" s="207" t="s">
        <v>726</v>
      </c>
      <c r="M1776" s="207"/>
      <c r="N1776" s="216">
        <f>IF(F1742&gt;ENTRY!$D$24,"",IF(F1742&gt;0,L1766/600*100,""))</f>
        <v>33.1666666666667</v>
      </c>
      <c r="O1776" s="216"/>
      <c r="P1776" s="19"/>
      <c r="Q1776" s="14"/>
      <c r="R1776" s="11"/>
    </row>
    <row r="1777" s="1" customFormat="1" ht="21.95" customHeight="1" spans="1:18">
      <c r="A1777" s="7"/>
      <c r="B1777" s="12"/>
      <c r="C1777" s="33"/>
      <c r="D1777" s="80"/>
      <c r="E1777" s="80"/>
      <c r="F1777" s="217"/>
      <c r="G1777" s="217"/>
      <c r="H1777" s="217"/>
      <c r="I1777" s="217"/>
      <c r="J1777" s="217"/>
      <c r="K1777" s="217"/>
      <c r="L1777" s="217"/>
      <c r="M1777" s="217"/>
      <c r="N1777" s="80"/>
      <c r="O1777" s="80"/>
      <c r="P1777" s="19"/>
      <c r="Q1777" s="14"/>
      <c r="R1777" s="11"/>
    </row>
    <row r="1778" s="1" customFormat="1" ht="21.95" customHeight="1" spans="1:18">
      <c r="A1778" s="7"/>
      <c r="B1778" s="12"/>
      <c r="C1778" s="33"/>
      <c r="D1778" s="80"/>
      <c r="E1778" s="218"/>
      <c r="F1778" s="218"/>
      <c r="G1778" s="218"/>
      <c r="H1778" s="80"/>
      <c r="I1778" s="218"/>
      <c r="J1778" s="218"/>
      <c r="K1778" s="218"/>
      <c r="L1778" s="218"/>
      <c r="M1778" s="80"/>
      <c r="N1778" s="219"/>
      <c r="O1778" s="219"/>
      <c r="P1778" s="19"/>
      <c r="Q1778" s="14"/>
      <c r="R1778" s="11"/>
    </row>
    <row r="1779" s="1" customFormat="1" ht="21.95" customHeight="1" spans="1:18">
      <c r="A1779" s="7"/>
      <c r="B1779" s="12"/>
      <c r="C1779" s="33"/>
      <c r="D1779" s="80"/>
      <c r="E1779" s="80"/>
      <c r="F1779" s="80"/>
      <c r="G1779" s="80"/>
      <c r="H1779" s="80"/>
      <c r="I1779" s="80"/>
      <c r="J1779" s="80"/>
      <c r="K1779" s="80"/>
      <c r="L1779" s="80"/>
      <c r="M1779" s="80"/>
      <c r="N1779" s="80"/>
      <c r="O1779" s="80"/>
      <c r="P1779" s="19"/>
      <c r="Q1779" s="14"/>
      <c r="R1779" s="11"/>
    </row>
    <row r="1780" s="1" customFormat="1" ht="21.95" customHeight="1" spans="1:18">
      <c r="A1780" s="7"/>
      <c r="B1780" s="12"/>
      <c r="C1780" s="33"/>
      <c r="D1780" s="218"/>
      <c r="E1780" s="218"/>
      <c r="F1780" s="218"/>
      <c r="G1780" s="218"/>
      <c r="H1780" s="218"/>
      <c r="I1780" s="218"/>
      <c r="J1780" s="218"/>
      <c r="K1780" s="218"/>
      <c r="L1780" s="218"/>
      <c r="M1780" s="80"/>
      <c r="N1780" s="217"/>
      <c r="O1780" s="217"/>
      <c r="P1780" s="85" t="s">
        <v>727</v>
      </c>
      <c r="Q1780" s="14"/>
      <c r="R1780" s="11"/>
    </row>
    <row r="1781" s="1" customFormat="1" ht="21.95" customHeight="1" spans="1:18">
      <c r="A1781" s="7"/>
      <c r="B1781" s="12"/>
      <c r="C1781" s="33"/>
      <c r="D1781" s="29"/>
      <c r="E1781" s="29"/>
      <c r="F1781" s="29"/>
      <c r="G1781" s="29"/>
      <c r="H1781" s="29"/>
      <c r="I1781" s="29"/>
      <c r="J1781" s="29"/>
      <c r="K1781" s="29"/>
      <c r="L1781" s="29"/>
      <c r="M1781" s="29"/>
      <c r="N1781" s="29"/>
      <c r="O1781" s="29"/>
      <c r="P1781" s="19"/>
      <c r="Q1781" s="14"/>
      <c r="R1781" s="11"/>
    </row>
    <row r="1782" s="1" customFormat="1" ht="21.95" customHeight="1" spans="1:18">
      <c r="A1782" s="7"/>
      <c r="B1782" s="12"/>
      <c r="C1782" s="33"/>
      <c r="D1782" s="29"/>
      <c r="E1782" s="29"/>
      <c r="F1782" s="29"/>
      <c r="G1782" s="29"/>
      <c r="H1782" s="29"/>
      <c r="I1782" s="29"/>
      <c r="J1782" s="29"/>
      <c r="K1782" s="29"/>
      <c r="L1782" s="29"/>
      <c r="M1782" s="29"/>
      <c r="N1782" s="29"/>
      <c r="O1782" s="29"/>
      <c r="P1782" s="19"/>
      <c r="Q1782" s="14"/>
      <c r="R1782" s="11"/>
    </row>
    <row r="1783" s="1" customFormat="1" ht="21.95" customHeight="1" spans="1:18">
      <c r="A1783" s="7"/>
      <c r="B1783" s="12"/>
      <c r="C1783" s="33"/>
      <c r="D1783" s="29"/>
      <c r="E1783" s="29"/>
      <c r="F1783" s="29"/>
      <c r="G1783" s="29"/>
      <c r="H1783" s="29"/>
      <c r="I1783" s="29"/>
      <c r="J1783" s="29"/>
      <c r="K1783" s="29"/>
      <c r="L1783" s="29"/>
      <c r="M1783" s="29"/>
      <c r="N1783" s="29"/>
      <c r="O1783" s="29"/>
      <c r="P1783" s="19"/>
      <c r="Q1783" s="14"/>
      <c r="R1783" s="11"/>
    </row>
    <row r="1784" s="1" customFormat="1" ht="21.95" customHeight="1" spans="1:18">
      <c r="A1784" s="7"/>
      <c r="B1784" s="12"/>
      <c r="C1784" s="33"/>
      <c r="D1784" s="29"/>
      <c r="E1784" s="29"/>
      <c r="F1784" s="29"/>
      <c r="G1784" s="29"/>
      <c r="H1784" s="29"/>
      <c r="I1784" s="29"/>
      <c r="J1784" s="29"/>
      <c r="K1784" s="29"/>
      <c r="L1784" s="29"/>
      <c r="M1784" s="29"/>
      <c r="N1784" s="29"/>
      <c r="O1784" s="29"/>
      <c r="P1784" s="19"/>
      <c r="Q1784" s="14"/>
      <c r="R1784" s="11"/>
    </row>
    <row r="1785" s="1" customFormat="1" ht="21.95" customHeight="1" spans="1:18">
      <c r="A1785" s="7"/>
      <c r="B1785" s="12"/>
      <c r="C1785" s="33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19"/>
      <c r="Q1785" s="14"/>
      <c r="R1785" s="11"/>
    </row>
    <row r="1786" s="1" customFormat="1" ht="21.95" customHeight="1" spans="1:18">
      <c r="A1786" s="7"/>
      <c r="B1786" s="12"/>
      <c r="C1786" s="33"/>
      <c r="D1786" s="80" t="s">
        <v>728</v>
      </c>
      <c r="E1786" s="220">
        <f>ENTRY!$D$27</f>
        <v>46102</v>
      </c>
      <c r="F1786" s="220"/>
      <c r="G1786" s="29"/>
      <c r="H1786" s="29"/>
      <c r="I1786" s="221" t="s">
        <v>729</v>
      </c>
      <c r="J1786" s="153"/>
      <c r="K1786" s="29"/>
      <c r="L1786" s="29"/>
      <c r="M1786" s="87" t="s">
        <v>730</v>
      </c>
      <c r="N1786" s="87"/>
      <c r="O1786" s="87"/>
      <c r="P1786" s="19"/>
      <c r="Q1786" s="14"/>
      <c r="R1786" s="11"/>
    </row>
    <row r="1787" s="1" customFormat="1" ht="21.95" customHeight="1" spans="1:18">
      <c r="A1787" s="7"/>
      <c r="B1787" s="12"/>
      <c r="C1787" s="33"/>
      <c r="D1787" s="80" t="s">
        <v>731</v>
      </c>
      <c r="E1787" s="88" t="str">
        <f>PROPER(ENTRY!$D$28)</f>
        <v>New Delhi</v>
      </c>
      <c r="F1787" s="88"/>
      <c r="G1787" s="29"/>
      <c r="H1787" s="29"/>
      <c r="I1787" s="153"/>
      <c r="J1787" s="153"/>
      <c r="K1787" s="29"/>
      <c r="L1787" s="29"/>
      <c r="M1787" s="79" t="s">
        <v>732</v>
      </c>
      <c r="N1787" s="79"/>
      <c r="O1787" s="79"/>
      <c r="P1787" s="19"/>
      <c r="Q1787" s="14"/>
      <c r="R1787" s="11"/>
    </row>
    <row r="1788" s="1" customFormat="1" ht="21.95" customHeight="1" spans="1:18">
      <c r="A1788" s="7"/>
      <c r="B1788" s="12"/>
      <c r="C1788" s="90"/>
      <c r="D1788" s="91"/>
      <c r="E1788" s="91"/>
      <c r="F1788" s="91"/>
      <c r="G1788" s="91"/>
      <c r="H1788" s="91"/>
      <c r="I1788" s="91"/>
      <c r="J1788" s="91"/>
      <c r="K1788" s="91"/>
      <c r="L1788" s="91"/>
      <c r="M1788" s="91"/>
      <c r="N1788" s="91"/>
      <c r="O1788" s="91"/>
      <c r="P1788" s="92"/>
      <c r="Q1788" s="14"/>
      <c r="R1788" s="11"/>
    </row>
    <row r="1789" s="1" customFormat="1" ht="5.1" customHeight="1" spans="1:18">
      <c r="A1789" s="7"/>
      <c r="B1789" s="90"/>
      <c r="C1789" s="91"/>
      <c r="D1789" s="91"/>
      <c r="E1789" s="91"/>
      <c r="F1789" s="91"/>
      <c r="G1789" s="91"/>
      <c r="H1789" s="91"/>
      <c r="I1789" s="91"/>
      <c r="J1789" s="91"/>
      <c r="K1789" s="91"/>
      <c r="L1789" s="91"/>
      <c r="M1789" s="91"/>
      <c r="N1789" s="91"/>
      <c r="O1789" s="91"/>
      <c r="P1789" s="91"/>
      <c r="Q1789" s="92"/>
      <c r="R1789" s="11"/>
    </row>
    <row r="1790" s="1" customFormat="1" ht="5.1" customHeight="1" spans="1:18">
      <c r="A1790" s="93"/>
      <c r="B1790" s="94"/>
      <c r="C1790" s="94"/>
      <c r="D1790" s="94"/>
      <c r="E1790" s="94"/>
      <c r="F1790" s="94"/>
      <c r="G1790" s="94"/>
      <c r="H1790" s="94"/>
      <c r="I1790" s="94"/>
      <c r="J1790" s="94"/>
      <c r="K1790" s="94"/>
      <c r="L1790" s="94"/>
      <c r="M1790" s="94"/>
      <c r="N1790" s="94"/>
      <c r="O1790" s="94"/>
      <c r="P1790" s="94"/>
      <c r="Q1790" s="94"/>
      <c r="R1790" s="95"/>
    </row>
    <row r="1791" s="1" customFormat="1" ht="21.95" customHeight="1"/>
    <row r="1792" ht="15.15"/>
    <row r="1793" s="1" customFormat="1" ht="5.1" customHeight="1" spans="1:18">
      <c r="A1793" s="4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6"/>
    </row>
    <row r="1794" s="1" customFormat="1" ht="15" customHeight="1" spans="1:18">
      <c r="A1794" s="7"/>
      <c r="B1794" s="8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9"/>
      <c r="O1794" s="9"/>
      <c r="P1794" s="9"/>
      <c r="Q1794" s="10"/>
      <c r="R1794" s="11"/>
    </row>
    <row r="1795" s="1" customFormat="1" ht="21.95" customHeight="1" spans="1:18">
      <c r="A1795" s="7"/>
      <c r="B1795" s="12"/>
      <c r="C1795" s="13" t="s">
        <v>7</v>
      </c>
      <c r="D1795" s="13"/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/>
      <c r="Q1795" s="14"/>
      <c r="R1795" s="11"/>
    </row>
    <row r="1796" s="1" customFormat="1" ht="21.95" customHeight="1" spans="1:18">
      <c r="A1796" s="7"/>
      <c r="B1796" s="1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14"/>
      <c r="R1796" s="11"/>
    </row>
    <row r="1797" s="1" customFormat="1" ht="21.95" customHeight="1" spans="1:18">
      <c r="A1797" s="7"/>
      <c r="B1797" s="12"/>
      <c r="C1797" s="15" t="str">
        <f>"SESSION-"&amp;ENTRY!$D$11</f>
        <v>SESSION-2026-27</v>
      </c>
      <c r="D1797" s="15"/>
      <c r="E1797" s="15"/>
      <c r="F1797" s="15"/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4"/>
      <c r="R1797" s="11"/>
    </row>
    <row r="1798" s="1" customFormat="1" ht="21.95" customHeight="1" spans="1:18">
      <c r="A1798" s="7"/>
      <c r="B1798" s="12"/>
      <c r="C1798" s="2"/>
      <c r="D1798" s="2"/>
      <c r="E1798" s="2"/>
      <c r="F1798" s="16">
        <f>F1742+1</f>
        <v>33</v>
      </c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14"/>
      <c r="R1798" s="11"/>
    </row>
    <row r="1799" s="1" customFormat="1" ht="21.95" customHeight="1" spans="1:18">
      <c r="A1799" s="7"/>
      <c r="B1799" s="12"/>
      <c r="C1799" s="17" t="s">
        <v>392</v>
      </c>
      <c r="D1799" s="17"/>
      <c r="E1799" s="17"/>
      <c r="F1799" s="18" t="str">
        <f>IF(F1798&gt;0,ENTRY!$D$6,"")</f>
        <v>MCP NITHARI NO 1 BOYS</v>
      </c>
      <c r="G1799" s="18"/>
      <c r="H1799" s="18"/>
      <c r="I1799" s="18"/>
      <c r="J1799" s="18"/>
      <c r="K1799" s="18"/>
      <c r="L1799" s="18"/>
      <c r="M1799" s="18"/>
      <c r="N1799" s="18"/>
      <c r="O1799" s="18"/>
      <c r="P1799" s="18"/>
      <c r="Q1799" s="14"/>
      <c r="R1799" s="11"/>
    </row>
    <row r="1800" s="1" customFormat="1" ht="21.95" customHeight="1" spans="1:18">
      <c r="A1800" s="7"/>
      <c r="B1800" s="12"/>
      <c r="C1800" s="17" t="s">
        <v>393</v>
      </c>
      <c r="D1800" s="17"/>
      <c r="E1800" s="17"/>
      <c r="F1800" s="18">
        <f>IF(F1798&gt;0,ENTRY!$D$7,"")</f>
        <v>0</v>
      </c>
      <c r="G1800" s="18"/>
      <c r="H1800" s="20" t="s">
        <v>702</v>
      </c>
      <c r="I1800" s="20"/>
      <c r="J1800" s="21">
        <f>IF(F1798&gt;0,ENTRY!$D$10,"")</f>
        <v>40</v>
      </c>
      <c r="K1800" s="20" t="s">
        <v>703</v>
      </c>
      <c r="L1800" s="22" t="str">
        <f>IF(F1798&gt;0,ENTRY!$D$5,"")</f>
        <v>ROHINI ZONE</v>
      </c>
      <c r="M1800" s="22"/>
      <c r="N1800" s="22"/>
      <c r="O1800" s="22"/>
      <c r="P1800" s="22"/>
      <c r="Q1800" s="14"/>
      <c r="R1800" s="11"/>
    </row>
    <row r="1801" s="1" customFormat="1" ht="21.95" customHeight="1" spans="1:18">
      <c r="A1801" s="7"/>
      <c r="B1801" s="12"/>
      <c r="C1801" s="17" t="s">
        <v>706</v>
      </c>
      <c r="D1801" s="17"/>
      <c r="E1801" s="17"/>
      <c r="F1801" s="23" t="str">
        <f>IFERROR(VLOOKUP(F1798,STUDENT!$A$2:$BP$101,5,0),"")</f>
        <v>HEMANT KUMAR</v>
      </c>
      <c r="G1801" s="23"/>
      <c r="H1801" s="23"/>
      <c r="I1801" s="23"/>
      <c r="J1801" s="23"/>
      <c r="K1801" s="23"/>
      <c r="L1801" s="20" t="s">
        <v>707</v>
      </c>
      <c r="M1801" s="20"/>
      <c r="N1801" s="24" t="str">
        <f>IF(F1798&gt;0,ENTRY!$D$20&amp;"-"&amp;ENTRY!$D$21,"")</f>
        <v>III-A</v>
      </c>
      <c r="O1801" s="24"/>
      <c r="P1801" s="24"/>
      <c r="Q1801" s="14"/>
      <c r="R1801" s="11"/>
    </row>
    <row r="1802" s="1" customFormat="1" ht="21.95" customHeight="1" spans="1:18">
      <c r="A1802" s="7"/>
      <c r="B1802" s="12"/>
      <c r="C1802" s="17" t="s">
        <v>708</v>
      </c>
      <c r="D1802" s="17"/>
      <c r="E1802" s="17"/>
      <c r="F1802" s="25">
        <f>IFERROR(VLOOKUP(F1798,STUDENT!$A$2:$BP$101,6,0),"")</f>
        <v>15077</v>
      </c>
      <c r="G1802" s="25"/>
      <c r="H1802" s="26" t="s">
        <v>709</v>
      </c>
      <c r="I1802" s="27" t="str">
        <f>IFERROR(VLOOKUP(F1798,STUDENT!$A$2:$BP$101,59,0),"")</f>
        <v/>
      </c>
      <c r="J1802" s="27"/>
      <c r="K1802" s="20" t="s">
        <v>710</v>
      </c>
      <c r="L1802" s="20"/>
      <c r="M1802" s="28">
        <f>IFERROR(VLOOKUP(F1798,STUDENT!$A$2:$BP$101,20,0),"")</f>
        <v>6397053728</v>
      </c>
      <c r="N1802" s="28"/>
      <c r="O1802" s="28"/>
      <c r="P1802" s="28"/>
      <c r="Q1802" s="14"/>
      <c r="R1802" s="11"/>
    </row>
    <row r="1803" s="1" customFormat="1" ht="21.95" customHeight="1" spans="1:18">
      <c r="A1803" s="7"/>
      <c r="B1803" s="12"/>
      <c r="C1803" s="17" t="s">
        <v>711</v>
      </c>
      <c r="D1803" s="17"/>
      <c r="E1803" s="17"/>
      <c r="F1803" s="23" t="str">
        <f>IFERROR(VLOOKUP(F1798,STUDENT!$A$2:$BP$101,9,0),"")</f>
        <v>GEETA KUMARI</v>
      </c>
      <c r="G1803" s="23"/>
      <c r="H1803" s="23"/>
      <c r="I1803" s="23"/>
      <c r="J1803" s="17" t="s">
        <v>620</v>
      </c>
      <c r="K1803" s="17"/>
      <c r="L1803" s="23" t="str">
        <f>IFERROR(VLOOKUP(F1798,STUDENT!$A$2:$BP$101,8,0),"")</f>
        <v>PRADEEP KUMAR</v>
      </c>
      <c r="M1803" s="23"/>
      <c r="N1803" s="23"/>
      <c r="O1803" s="23"/>
      <c r="P1803" s="23"/>
      <c r="Q1803" s="14"/>
      <c r="R1803" s="11"/>
    </row>
    <row r="1804" s="1" customFormat="1" ht="21.95" customHeight="1" spans="1:18">
      <c r="A1804" s="7"/>
      <c r="B1804" s="12"/>
      <c r="C1804" s="17" t="s">
        <v>712</v>
      </c>
      <c r="D1804" s="17"/>
      <c r="E1804" s="17"/>
      <c r="F1804" s="23" t="str">
        <f>IFERROR(VLOOKUP(F1798,STUDENT!$A$2:$BP$101,22,0),"")</f>
        <v>H.NO -113 GALI NO-9 PRATAP VIHAR PART -3 KIRARI</v>
      </c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14"/>
      <c r="R1804" s="11"/>
    </row>
    <row r="1805" s="1" customFormat="1" ht="9.95" customHeight="1" spans="1:18">
      <c r="A1805" s="7"/>
      <c r="B1805" s="12"/>
      <c r="C1805" s="29"/>
      <c r="D1805" s="29"/>
      <c r="E1805" s="29"/>
      <c r="F1805" s="29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14"/>
      <c r="R1805" s="11"/>
    </row>
    <row r="1806" s="1" customFormat="1" ht="9.95" customHeight="1" spans="1:18">
      <c r="A1806" s="7"/>
      <c r="B1806" s="12"/>
      <c r="C1806" s="30"/>
      <c r="D1806" s="31"/>
      <c r="E1806" s="31"/>
      <c r="F1806" s="31"/>
      <c r="G1806" s="31"/>
      <c r="H1806" s="31"/>
      <c r="I1806" s="31"/>
      <c r="J1806" s="31"/>
      <c r="K1806" s="31"/>
      <c r="L1806" s="31"/>
      <c r="M1806" s="31"/>
      <c r="N1806" s="31"/>
      <c r="O1806" s="31"/>
      <c r="P1806" s="32"/>
      <c r="Q1806" s="14"/>
      <c r="R1806" s="11"/>
    </row>
    <row r="1807" s="1" customFormat="1" ht="21.95" customHeight="1" spans="1:18">
      <c r="A1807" s="7"/>
      <c r="B1807" s="12"/>
      <c r="C1807" s="33"/>
      <c r="D1807" s="34" t="s">
        <v>713</v>
      </c>
      <c r="E1807" s="20" t="s">
        <v>714</v>
      </c>
      <c r="F1807" s="35" t="str">
        <f>"Level - "&amp;IFERROR(VLOOKUP(F1798,FLN!$A$4:$K$103,9,0),"")</f>
        <v>Level - 2</v>
      </c>
      <c r="G1807" s="36"/>
      <c r="H1807" s="37" t="s">
        <v>715</v>
      </c>
      <c r="I1807" s="20"/>
      <c r="J1807" s="35" t="str">
        <f>"Level - "&amp;IFERROR(VLOOKUP(F1798,FLN!$A$4:$K$103,11,0),"")</f>
        <v>Level - 3</v>
      </c>
      <c r="K1807" s="36"/>
      <c r="L1807" s="37" t="s">
        <v>408</v>
      </c>
      <c r="M1807" s="20"/>
      <c r="N1807" s="35" t="str">
        <f>"Level - "&amp;IFERROR(VLOOKUP(F1798,FLN!$A$4:$K$103,10,0),"")</f>
        <v>Level - 2</v>
      </c>
      <c r="O1807" s="36"/>
      <c r="P1807" s="19"/>
      <c r="Q1807" s="14"/>
      <c r="R1807" s="11"/>
    </row>
    <row r="1808" s="1" customFormat="1" ht="21.95" customHeight="1" spans="1:18">
      <c r="A1808" s="7"/>
      <c r="B1808" s="12"/>
      <c r="C1808" s="33"/>
      <c r="D1808" s="38"/>
      <c r="E1808" s="20" t="s">
        <v>716</v>
      </c>
      <c r="F1808" s="18" t="str">
        <f>IF(L1822&gt;197,"PERFORMED WELL","")</f>
        <v/>
      </c>
      <c r="G1808" s="18"/>
      <c r="H1808" s="18"/>
      <c r="I1808" s="18"/>
      <c r="J1808" s="18"/>
      <c r="K1808" s="18"/>
      <c r="L1808" s="18"/>
      <c r="M1808" s="18"/>
      <c r="N1808" s="18"/>
      <c r="O1808" s="18"/>
      <c r="P1808" s="19"/>
      <c r="Q1808" s="14"/>
      <c r="R1808" s="11"/>
    </row>
    <row r="1809" s="1" customFormat="1" ht="9.95" customHeight="1" spans="1:18">
      <c r="A1809" s="7"/>
      <c r="B1809" s="12"/>
      <c r="C1809" s="39"/>
      <c r="D1809" s="40"/>
      <c r="E1809" s="40"/>
      <c r="F1809" s="40"/>
      <c r="G1809" s="40"/>
      <c r="H1809" s="40"/>
      <c r="I1809" s="40"/>
      <c r="J1809" s="40"/>
      <c r="K1809" s="40"/>
      <c r="L1809" s="40"/>
      <c r="M1809" s="40"/>
      <c r="N1809" s="40"/>
      <c r="O1809" s="40"/>
      <c r="P1809" s="41"/>
      <c r="Q1809" s="14"/>
      <c r="R1809" s="11"/>
    </row>
    <row r="1810" s="1" customFormat="1" ht="9.95" customHeight="1" spans="1:18">
      <c r="A1810" s="7"/>
      <c r="B1810" s="12"/>
      <c r="C1810" s="29"/>
      <c r="D1810" s="29"/>
      <c r="E1810" s="29"/>
      <c r="F1810" s="29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14"/>
      <c r="R1810" s="11"/>
    </row>
    <row r="1811" s="1" customFormat="1" ht="9.95" customHeight="1" spans="1:18">
      <c r="A1811" s="7"/>
      <c r="B1811" s="12"/>
      <c r="C1811" s="30"/>
      <c r="D1811" s="31"/>
      <c r="E1811" s="31"/>
      <c r="F1811" s="31"/>
      <c r="G1811" s="31"/>
      <c r="H1811" s="31"/>
      <c r="I1811" s="31"/>
      <c r="J1811" s="31"/>
      <c r="K1811" s="31"/>
      <c r="L1811" s="31"/>
      <c r="M1811" s="31"/>
      <c r="N1811" s="31"/>
      <c r="O1811" s="31"/>
      <c r="P1811" s="32"/>
      <c r="Q1811" s="14"/>
      <c r="R1811" s="11"/>
    </row>
    <row r="1812" s="1" customFormat="1" ht="21.95" customHeight="1" spans="1:18">
      <c r="A1812" s="7"/>
      <c r="B1812" s="12"/>
      <c r="C1812" s="33"/>
      <c r="D1812" s="35"/>
      <c r="E1812" s="24"/>
      <c r="F1812" s="24"/>
      <c r="G1812" s="47" t="s">
        <v>717</v>
      </c>
      <c r="H1812" s="47"/>
      <c r="I1812" s="47"/>
      <c r="J1812" s="47"/>
      <c r="K1812" s="47"/>
      <c r="L1812" s="47"/>
      <c r="M1812" s="47"/>
      <c r="N1812" s="47"/>
      <c r="O1812" s="29"/>
      <c r="P1812" s="19"/>
      <c r="Q1812" s="14"/>
      <c r="R1812" s="11"/>
    </row>
    <row r="1813" s="1" customFormat="1" ht="21.95" customHeight="1" spans="1:18">
      <c r="A1813" s="7"/>
      <c r="B1813" s="12"/>
      <c r="C1813" s="33"/>
      <c r="D1813" s="47"/>
      <c r="E1813" s="47"/>
      <c r="F1813" s="47"/>
      <c r="G1813" s="47" t="s">
        <v>541</v>
      </c>
      <c r="H1813" s="47" t="s">
        <v>542</v>
      </c>
      <c r="I1813" s="47" t="s">
        <v>543</v>
      </c>
      <c r="J1813" s="47" t="s">
        <v>544</v>
      </c>
      <c r="K1813" s="47" t="s">
        <v>561</v>
      </c>
      <c r="L1813" s="47" t="s">
        <v>382</v>
      </c>
      <c r="M1813" s="49" t="s">
        <v>546</v>
      </c>
      <c r="N1813" s="49"/>
      <c r="O1813" s="29"/>
      <c r="P1813" s="19"/>
      <c r="Q1813" s="14"/>
      <c r="R1813" s="11"/>
    </row>
    <row r="1814" s="1" customFormat="1" ht="21.95" customHeight="1" spans="1:18">
      <c r="A1814" s="7"/>
      <c r="B1814" s="12"/>
      <c r="C1814" s="33"/>
      <c r="D1814" s="207" t="s">
        <v>652</v>
      </c>
      <c r="E1814" s="207"/>
      <c r="F1814" s="207"/>
      <c r="G1814" s="50">
        <v>10</v>
      </c>
      <c r="H1814" s="50">
        <v>10</v>
      </c>
      <c r="I1814" s="50">
        <v>10</v>
      </c>
      <c r="J1814" s="50">
        <v>10</v>
      </c>
      <c r="K1814" s="50">
        <v>60</v>
      </c>
      <c r="L1814" s="50">
        <v>100</v>
      </c>
      <c r="M1814" s="49"/>
      <c r="N1814" s="49"/>
      <c r="O1814" s="29"/>
      <c r="P1814" s="19"/>
      <c r="Q1814" s="14"/>
      <c r="R1814" s="11"/>
    </row>
    <row r="1815" s="1" customFormat="1" ht="21.95" customHeight="1" spans="1:18">
      <c r="A1815" s="7"/>
      <c r="B1815" s="12"/>
      <c r="C1815" s="33"/>
      <c r="D1815" s="117" t="s">
        <v>668</v>
      </c>
      <c r="E1815" s="117"/>
      <c r="F1815" s="117"/>
      <c r="G1815" s="54">
        <f>IFERROR(VLOOKUP(F1798,'1to4-2.1-RR'!$A$12:$BG$111,9,0),"")</f>
        <v>2</v>
      </c>
      <c r="H1815" s="54">
        <f>IFERROR(VLOOKUP(F1798,'1to4-2.1-RR'!$A$12:$BG$111,10,0),"")</f>
        <v>0</v>
      </c>
      <c r="I1815" s="54">
        <f>IFERROR(VLOOKUP(F1798,'1to4-2.1-RR'!$A$12:$BG$111,11,0),"")</f>
        <v>0</v>
      </c>
      <c r="J1815" s="54">
        <f>IFERROR(VLOOKUP(F1798,'1to4-2.1-RR'!$A$12:$BG$111,12,0),"")</f>
        <v>0</v>
      </c>
      <c r="K1815" s="54">
        <f>IFERROR(VLOOKUP(F1798,'1to4-2.1-RR'!$A$12:$BG$111,13,0),"")</f>
        <v>43</v>
      </c>
      <c r="L1815" s="55">
        <f>SUM(G1815:K1815)</f>
        <v>45</v>
      </c>
      <c r="M1815" s="56" t="str">
        <f>IF(F1798&gt;ENTRY!$D$24,"",IF(L1815=0,"Ab",IF(L1815&gt;80,"A",IF(L1815&gt;60,"B",IF(L1815&gt;44,"C",IF(L1815&gt;=33,"D",IF(L1815&lt;=32,"E","")))))))</f>
        <v>C</v>
      </c>
      <c r="N1815" s="56"/>
      <c r="O1815" s="29"/>
      <c r="P1815" s="19"/>
      <c r="Q1815" s="14"/>
      <c r="R1815" s="11"/>
    </row>
    <row r="1816" s="1" customFormat="1" ht="21.95" customHeight="1" spans="1:18">
      <c r="A1816" s="7"/>
      <c r="B1816" s="12"/>
      <c r="C1816" s="33"/>
      <c r="D1816" s="117" t="s">
        <v>513</v>
      </c>
      <c r="E1816" s="117"/>
      <c r="F1816" s="117"/>
      <c r="G1816" s="54">
        <f>IFERROR(VLOOKUP(F1798,'1to4-2.1-RR'!$A$12:$BG$111,16,0),"")</f>
        <v>2</v>
      </c>
      <c r="H1816" s="54">
        <f>IFERROR(VLOOKUP(F1798,'1to4-2.1-RR'!$A$12:$BG$111,17,0),"")</f>
        <v>0</v>
      </c>
      <c r="I1816" s="54">
        <f>IFERROR(VLOOKUP(F1798,'1to4-2.1-RR'!$A$12:$BG$111,18,0),"")</f>
        <v>0</v>
      </c>
      <c r="J1816" s="54">
        <f>IFERROR(VLOOKUP(F1798,'1to4-2.1-RR'!$A$12:$BG$111,19,0),"")</f>
        <v>0</v>
      </c>
      <c r="K1816" s="54">
        <f>IFERROR(VLOOKUP(F1798,'1to4-2.1-RR'!$A$12:$BG$111,20,0),"")</f>
        <v>12</v>
      </c>
      <c r="L1816" s="55">
        <f t="shared" ref="L1816:L1821" si="64">SUM(G1816:K1816)</f>
        <v>14</v>
      </c>
      <c r="M1816" s="56" t="str">
        <f>IF(F1798&gt;ENTRY!$D$24,"",IF(L1816=0,"Ab",IF(L1816&gt;80,"A",IF(L1816&gt;60,"B",IF(L1816&gt;44,"C",IF(L1816&gt;=33,"D",IF(L1816&lt;=32,"E","")))))))</f>
        <v>E</v>
      </c>
      <c r="N1816" s="56"/>
      <c r="O1816" s="29"/>
      <c r="P1816" s="19"/>
      <c r="Q1816" s="14"/>
      <c r="R1816" s="11"/>
    </row>
    <row r="1817" s="1" customFormat="1" ht="21.95" customHeight="1" spans="1:18">
      <c r="A1817" s="7"/>
      <c r="B1817" s="12"/>
      <c r="C1817" s="33"/>
      <c r="D1817" s="117" t="s">
        <v>718</v>
      </c>
      <c r="E1817" s="117"/>
      <c r="F1817" s="117"/>
      <c r="G1817" s="54">
        <f>IFERROR(VLOOKUP(F1798,'1to4-2.1-RR'!$A$12:$BG$111,23,0),"")</f>
        <v>2</v>
      </c>
      <c r="H1817" s="54">
        <f>IFERROR(VLOOKUP(F1798,'1to4-2.1-RR'!$A$12:$BG$111,24,0),"")</f>
        <v>0</v>
      </c>
      <c r="I1817" s="54">
        <f>IFERROR(VLOOKUP(F1798,'1to4-2.1-RR'!$A$12:$BG$111,25,0),"")</f>
        <v>0</v>
      </c>
      <c r="J1817" s="54">
        <f>IFERROR(VLOOKUP(F1798,'1to4-2.1-RR'!$A$12:$BG$111,26,0),"")</f>
        <v>0</v>
      </c>
      <c r="K1817" s="54">
        <f>IFERROR(VLOOKUP(F1798,'1to4-2.1-RR'!$A$12:$BG$111,27,0),"")</f>
        <v>15</v>
      </c>
      <c r="L1817" s="55">
        <f t="shared" si="64"/>
        <v>17</v>
      </c>
      <c r="M1817" s="56" t="str">
        <f>IF(F1798&gt;ENTRY!$D$24,"",IF(L1817=0,"Ab",IF(L1817&gt;80,"A",IF(L1817&gt;60,"B",IF(L1817&gt;44,"C",IF(L1817&gt;=33,"D",IF(L1817&lt;=32,"E","")))))))</f>
        <v>E</v>
      </c>
      <c r="N1817" s="56"/>
      <c r="O1817" s="29"/>
      <c r="P1817" s="19"/>
      <c r="Q1817" s="14"/>
      <c r="R1817" s="11"/>
    </row>
    <row r="1818" s="1" customFormat="1" ht="21.95" customHeight="1" spans="1:18">
      <c r="A1818" s="7"/>
      <c r="B1818" s="12"/>
      <c r="C1818" s="33"/>
      <c r="D1818" s="117" t="s">
        <v>719</v>
      </c>
      <c r="E1818" s="117"/>
      <c r="F1818" s="117"/>
      <c r="G1818" s="54">
        <f>IFERROR(VLOOKUP(F1798,'1to4-2.1-RR'!$A$12:$BG$111,30,0),"")</f>
        <v>2</v>
      </c>
      <c r="H1818" s="54">
        <f>IFERROR(VLOOKUP(F1798,'1to4-2.1-RR'!$A$12:$BG$111,31,0),"")</f>
        <v>0</v>
      </c>
      <c r="I1818" s="54">
        <f>IFERROR(VLOOKUP(F1798,'1to4-2.1-RR'!$A$12:$BG$111,32,0),"")</f>
        <v>0</v>
      </c>
      <c r="J1818" s="54">
        <f>IFERROR(VLOOKUP(F1798,'1to4-2.1-RR'!$A$12:$BG$111,33,0),"")</f>
        <v>0</v>
      </c>
      <c r="K1818" s="54">
        <f>IFERROR(VLOOKUP(F1798,'1to4-2.1-RR'!$A$12:$BG$111,34,0),"")</f>
        <v>16</v>
      </c>
      <c r="L1818" s="55">
        <f t="shared" si="64"/>
        <v>18</v>
      </c>
      <c r="M1818" s="56" t="str">
        <f>IF(F1798&gt;ENTRY!$D$24,"",IF(L1818=0,"Ab",IF(L1818&gt;80,"A",IF(L1818&gt;60,"B",IF(L1818&gt;44,"C",IF(L1818&gt;=33,"D",IF(L1818&lt;=32,"E","")))))))</f>
        <v>E</v>
      </c>
      <c r="N1818" s="56"/>
      <c r="O1818" s="29"/>
      <c r="P1818" s="19"/>
      <c r="Q1818" s="14"/>
      <c r="R1818" s="11"/>
    </row>
    <row r="1819" s="1" customFormat="1" ht="21.95" customHeight="1" spans="1:18">
      <c r="A1819" s="7"/>
      <c r="B1819" s="12"/>
      <c r="C1819" s="33"/>
      <c r="D1819" s="117" t="s">
        <v>548</v>
      </c>
      <c r="E1819" s="117"/>
      <c r="F1819" s="117"/>
      <c r="G1819" s="54">
        <f>IFERROR(VLOOKUP(F1798,'1to4-2.1-RR'!$A$12:$BG$111,37,0),"")</f>
        <v>0</v>
      </c>
      <c r="H1819" s="54">
        <f>IFERROR(VLOOKUP(F1798,'1to4-2.1-RR'!$A$12:$BG$111,38,0),"")</f>
        <v>0</v>
      </c>
      <c r="I1819" s="54">
        <f>IFERROR(VLOOKUP(F1798,'1to4-2.1-RR'!$A$12:$BG$111,39,0),"")</f>
        <v>0</v>
      </c>
      <c r="J1819" s="54">
        <f>IFERROR(VLOOKUP(F1798,'1to4-2.1-RR'!$A$12:$BG$111,40,0),"")</f>
        <v>0</v>
      </c>
      <c r="K1819" s="54">
        <f>IFERROR(VLOOKUP(F1798,'1to4-2.1-RR'!$A$12:$BG$111,41,0),"")</f>
        <v>18</v>
      </c>
      <c r="L1819" s="55">
        <f t="shared" si="64"/>
        <v>18</v>
      </c>
      <c r="M1819" s="56" t="str">
        <f>IF(F1798&gt;ENTRY!$D$24,"",IF(L1819=0,"Ab",IF(L1819&gt;80,"A",IF(L1819&gt;60,"B",IF(L1819&gt;44,"C",IF(L1819&gt;=33,"D",IF(L1819&lt;=32,"E","")))))))</f>
        <v>E</v>
      </c>
      <c r="N1819" s="56"/>
      <c r="O1819" s="29"/>
      <c r="P1819" s="19"/>
      <c r="Q1819" s="14"/>
      <c r="R1819" s="11"/>
    </row>
    <row r="1820" s="1" customFormat="1" ht="21.95" customHeight="1" spans="1:18">
      <c r="A1820" s="7"/>
      <c r="B1820" s="12"/>
      <c r="C1820" s="33"/>
      <c r="D1820" s="117" t="s">
        <v>549</v>
      </c>
      <c r="E1820" s="117"/>
      <c r="F1820" s="117"/>
      <c r="G1820" s="54">
        <f>IFERROR(VLOOKUP(F1798,'1to4-2.1-RR'!$A$12:$BG$111,44,0),"")</f>
        <v>2</v>
      </c>
      <c r="H1820" s="54">
        <f>IFERROR(VLOOKUP(F1798,'1to4-2.1-RR'!$A$12:$BG$111,45,0),"")</f>
        <v>0</v>
      </c>
      <c r="I1820" s="54">
        <f>IFERROR(VLOOKUP(F1798,'1to4-2.1-RR'!$A$12:$BG$111,46,0),"")</f>
        <v>0</v>
      </c>
      <c r="J1820" s="54">
        <f>IFERROR(VLOOKUP(F1798,'1to4-2.1-RR'!$A$12:$BG$111,47,0),"")</f>
        <v>0</v>
      </c>
      <c r="K1820" s="54">
        <f>IFERROR(VLOOKUP(F1798,'1to4-2.1-RR'!$A$12:$BG$111,48,0),"")</f>
        <v>12</v>
      </c>
      <c r="L1820" s="55">
        <f t="shared" si="64"/>
        <v>14</v>
      </c>
      <c r="M1820" s="56" t="str">
        <f>IF(F1798&gt;ENTRY!$D$24,"",IF(L1820=0,"Ab",IF(L1820&gt;80,"A",IF(L1820&gt;60,"B",IF(L1820&gt;44,"C",IF(L1820&gt;=33,"D",IF(L1820&lt;=32,"E","")))))))</f>
        <v>E</v>
      </c>
      <c r="N1820" s="56"/>
      <c r="O1820" s="29"/>
      <c r="P1820" s="19"/>
      <c r="Q1820" s="14"/>
      <c r="R1820" s="11"/>
    </row>
    <row r="1821" s="1" customFormat="1" ht="21.95" customHeight="1" spans="1:18">
      <c r="A1821" s="7"/>
      <c r="B1821" s="12"/>
      <c r="C1821" s="33"/>
      <c r="D1821" s="117" t="s">
        <v>720</v>
      </c>
      <c r="E1821" s="117"/>
      <c r="F1821" s="117"/>
      <c r="G1821" s="54"/>
      <c r="H1821" s="54"/>
      <c r="I1821" s="54"/>
      <c r="J1821" s="54"/>
      <c r="K1821" s="54"/>
      <c r="L1821" s="55">
        <f t="shared" si="64"/>
        <v>0</v>
      </c>
      <c r="M1821" s="56" t="str">
        <f>IF(F1798&gt;ENTRY!$D$24,"",IF(L1821=0,"",IF(L1821&gt;79,"A",IF(L1821&gt;59,"B",IF(L1821&gt;44,"C",IF(L1821&gt;=33,"D",IF(L1821&lt;=32,"E","")))))))</f>
        <v/>
      </c>
      <c r="N1821" s="56"/>
      <c r="O1821" s="29"/>
      <c r="P1821" s="19"/>
      <c r="Q1821" s="14"/>
      <c r="R1821" s="11"/>
    </row>
    <row r="1822" s="1" customFormat="1" ht="21.95" customHeight="1" spans="1:18">
      <c r="A1822" s="7"/>
      <c r="B1822" s="12"/>
      <c r="C1822" s="33"/>
      <c r="D1822" s="207" t="s">
        <v>382</v>
      </c>
      <c r="E1822" s="207"/>
      <c r="F1822" s="207"/>
      <c r="G1822" s="54">
        <f t="shared" ref="G1822:L1822" si="65">IFERROR(SUM(G1815:G1821),"")</f>
        <v>10</v>
      </c>
      <c r="H1822" s="54">
        <f t="shared" si="65"/>
        <v>0</v>
      </c>
      <c r="I1822" s="54">
        <f t="shared" si="65"/>
        <v>0</v>
      </c>
      <c r="J1822" s="54">
        <f t="shared" si="65"/>
        <v>0</v>
      </c>
      <c r="K1822" s="54">
        <f t="shared" si="65"/>
        <v>116</v>
      </c>
      <c r="L1822" s="55">
        <f t="shared" si="65"/>
        <v>126</v>
      </c>
      <c r="M1822" s="61" t="str">
        <f>IF(F1798&gt;ENTRY!$D$24,"",IF(N1823="Ab","Ab",IF(N1823&gt;79.5,"A",IF(N1823&gt;59.5,"B",IF(N1823&gt;44.5,"C",IF(N1823&gt;=33,"D",IF(N1823&lt;33,"E","")))))))</f>
        <v>E</v>
      </c>
      <c r="N1822" s="61"/>
      <c r="O1822" s="29"/>
      <c r="P1822" s="19"/>
      <c r="Q1822" s="14"/>
      <c r="R1822" s="11"/>
    </row>
    <row r="1823" s="1" customFormat="1" ht="21.95" customHeight="1" spans="1:18">
      <c r="A1823" s="7"/>
      <c r="B1823" s="12"/>
      <c r="C1823" s="33"/>
      <c r="D1823" s="63" t="s">
        <v>721</v>
      </c>
      <c r="E1823" s="63"/>
      <c r="F1823" s="63"/>
      <c r="G1823" s="63"/>
      <c r="H1823" s="63"/>
      <c r="I1823" s="63"/>
      <c r="J1823" s="63"/>
      <c r="K1823" s="63"/>
      <c r="L1823" s="63"/>
      <c r="M1823" s="209"/>
      <c r="N1823" s="64">
        <f>IF(L1822="Ab","Ab",L1822/6)</f>
        <v>21</v>
      </c>
      <c r="O1823" s="65"/>
      <c r="P1823" s="19"/>
      <c r="Q1823" s="14"/>
      <c r="R1823" s="11"/>
    </row>
    <row r="1824" s="1" customFormat="1" ht="21.95" customHeight="1" spans="1:18">
      <c r="A1824" s="7"/>
      <c r="B1824" s="12"/>
      <c r="C1824" s="33"/>
      <c r="D1824" s="29" t="s">
        <v>716</v>
      </c>
      <c r="E1824" s="18" t="str">
        <f>IFERROR(VLOOKUP(F1798,'1to4-2.1-RR'!$A$12:$BG$111,57,0),"")</f>
        <v>PROMOTED</v>
      </c>
      <c r="F1824" s="18"/>
      <c r="G1824" s="18"/>
      <c r="H1824" s="18"/>
      <c r="I1824" s="18"/>
      <c r="J1824" s="18"/>
      <c r="K1824" s="18"/>
      <c r="L1824" s="18"/>
      <c r="M1824" s="18"/>
      <c r="N1824" s="29"/>
      <c r="O1824" s="29"/>
      <c r="P1824" s="19"/>
      <c r="Q1824" s="14"/>
      <c r="R1824" s="11"/>
    </row>
    <row r="1825" s="1" customFormat="1" ht="9.95" customHeight="1" spans="1:19">
      <c r="A1825" s="7"/>
      <c r="B1825" s="12"/>
      <c r="C1825" s="39"/>
      <c r="D1825" s="40"/>
      <c r="E1825" s="40"/>
      <c r="F1825" s="40"/>
      <c r="G1825" s="40"/>
      <c r="H1825" s="40"/>
      <c r="I1825" s="40"/>
      <c r="J1825" s="40"/>
      <c r="K1825" s="40"/>
      <c r="L1825" s="40"/>
      <c r="M1825" s="40"/>
      <c r="N1825" s="40"/>
      <c r="O1825" s="40"/>
      <c r="P1825" s="41"/>
      <c r="Q1825" s="14"/>
      <c r="R1825" s="11"/>
    </row>
    <row r="1826" s="1" customFormat="1" ht="9.95" customHeight="1" spans="1:19">
      <c r="A1826" s="7"/>
      <c r="B1826" s="12"/>
      <c r="C1826" s="30"/>
      <c r="D1826" s="31"/>
      <c r="E1826" s="31"/>
      <c r="F1826" s="29"/>
      <c r="G1826" s="31"/>
      <c r="H1826" s="31"/>
      <c r="I1826" s="31"/>
      <c r="J1826" s="31"/>
      <c r="K1826" s="31"/>
      <c r="L1826" s="31"/>
      <c r="M1826" s="31"/>
      <c r="N1826" s="31"/>
      <c r="O1826" s="31"/>
      <c r="P1826" s="32"/>
      <c r="Q1826" s="14"/>
      <c r="R1826" s="11"/>
    </row>
    <row r="1827" s="1" customFormat="1" ht="9.95" customHeight="1" spans="1:19">
      <c r="A1827" s="7"/>
      <c r="B1827" s="12"/>
      <c r="C1827" s="33"/>
      <c r="D1827" s="29"/>
      <c r="E1827" s="29"/>
      <c r="F1827" s="29"/>
      <c r="G1827" s="29"/>
      <c r="H1827" s="29"/>
      <c r="I1827" s="29"/>
      <c r="J1827" s="29"/>
      <c r="K1827" s="29"/>
      <c r="L1827" s="29"/>
      <c r="M1827" s="29"/>
      <c r="N1827" s="29"/>
      <c r="O1827" s="29"/>
      <c r="P1827" s="19"/>
      <c r="Q1827" s="14"/>
      <c r="R1827" s="11"/>
    </row>
    <row r="1828" s="1" customFormat="1" ht="9.95" customHeight="1" spans="1:19">
      <c r="A1828" s="7"/>
      <c r="B1828" s="12"/>
      <c r="C1828" s="33"/>
      <c r="D1828" s="29"/>
      <c r="E1828" s="29"/>
      <c r="F1828" s="29"/>
      <c r="G1828" s="29"/>
      <c r="H1828" s="29"/>
      <c r="I1828" s="29"/>
      <c r="J1828" s="29"/>
      <c r="K1828" s="29"/>
      <c r="L1828" s="29"/>
      <c r="M1828" s="29"/>
      <c r="N1828" s="29"/>
      <c r="O1828" s="29"/>
      <c r="P1828" s="19"/>
      <c r="Q1828" s="14"/>
      <c r="R1828" s="11"/>
    </row>
    <row r="1829" s="1" customFormat="1" ht="21.95" customHeight="1" spans="1:19">
      <c r="A1829" s="7"/>
      <c r="B1829" s="12"/>
      <c r="C1829" s="210"/>
      <c r="D1829" s="211"/>
      <c r="E1829" s="211"/>
      <c r="F1829" s="211"/>
      <c r="G1829" s="211"/>
      <c r="H1829" s="211"/>
      <c r="I1829" s="211"/>
      <c r="J1829" s="211"/>
      <c r="K1829" s="211"/>
      <c r="L1829" s="211"/>
      <c r="M1829" s="211"/>
      <c r="N1829" s="211"/>
      <c r="O1829" s="211"/>
      <c r="P1829" s="212"/>
      <c r="Q1829" s="14"/>
      <c r="R1829" s="11"/>
      <c r="S1829" s="2"/>
    </row>
    <row r="1830" s="1" customFormat="1" ht="21.95" customHeight="1" spans="1:19">
      <c r="A1830" s="7"/>
      <c r="B1830" s="12"/>
      <c r="C1830" s="33"/>
      <c r="D1830" s="207" t="s">
        <v>722</v>
      </c>
      <c r="E1830" s="207"/>
      <c r="F1830" s="207"/>
      <c r="G1830" s="207"/>
      <c r="H1830" s="54">
        <f>IFERROR(VLOOKUP(F1798,PASHEET!$A$4:$CJ$103,88,0),"")</f>
        <v>0</v>
      </c>
      <c r="I1830" s="54"/>
      <c r="J1830" s="29"/>
      <c r="K1830" s="29"/>
      <c r="L1830" s="29"/>
      <c r="M1830" s="29"/>
      <c r="N1830" s="29"/>
      <c r="O1830" s="29"/>
      <c r="P1830" s="19"/>
      <c r="Q1830" s="14"/>
      <c r="R1830" s="11"/>
    </row>
    <row r="1831" s="1" customFormat="1" ht="21.95" customHeight="1" spans="1:19">
      <c r="A1831" s="7"/>
      <c r="B1831" s="12"/>
      <c r="C1831" s="213"/>
      <c r="D1831" s="207" t="s">
        <v>723</v>
      </c>
      <c r="E1831" s="207"/>
      <c r="F1831" s="207"/>
      <c r="G1831" s="207"/>
      <c r="H1831" s="54">
        <f>IFERROR(VLOOKUP(F1798,PASHEET!$A$4:$CJ$103,87,0),"")</f>
        <v>0</v>
      </c>
      <c r="I1831" s="54"/>
      <c r="J1831" s="214"/>
      <c r="K1831" s="214"/>
      <c r="L1831" s="207" t="s">
        <v>724</v>
      </c>
      <c r="M1831" s="207"/>
      <c r="N1831" s="117" t="str">
        <f>IF(F1798&gt;ENTRY!$D$24,"",IF(F1798&gt;0,L1822&amp;" / "&amp;600,""))</f>
        <v>126 / 600</v>
      </c>
      <c r="O1831" s="117"/>
      <c r="P1831" s="215"/>
      <c r="Q1831" s="14"/>
      <c r="R1831" s="11"/>
    </row>
    <row r="1832" s="1" customFormat="1" ht="18" customHeight="1" spans="1:19">
      <c r="A1832" s="7"/>
      <c r="B1832" s="12"/>
      <c r="C1832" s="33"/>
      <c r="D1832" s="207" t="s">
        <v>725</v>
      </c>
      <c r="E1832" s="207"/>
      <c r="F1832" s="207"/>
      <c r="G1832" s="207"/>
      <c r="H1832" s="69" t="str">
        <f>IFERROR(IF(F1798&gt;0,H1831/H1830*100),"")</f>
        <v/>
      </c>
      <c r="I1832" s="69"/>
      <c r="J1832" s="29"/>
      <c r="K1832" s="29"/>
      <c r="L1832" s="207" t="s">
        <v>726</v>
      </c>
      <c r="M1832" s="207"/>
      <c r="N1832" s="216">
        <f>IF(F1798&gt;ENTRY!$D$24,"",IF(F1798&gt;0,L1822/600*100,""))</f>
        <v>21</v>
      </c>
      <c r="O1832" s="216"/>
      <c r="P1832" s="19"/>
      <c r="Q1832" s="14"/>
      <c r="R1832" s="11"/>
    </row>
    <row r="1833" s="1" customFormat="1" ht="21.95" customHeight="1" spans="1:19">
      <c r="A1833" s="7"/>
      <c r="B1833" s="12"/>
      <c r="C1833" s="33"/>
      <c r="D1833" s="80"/>
      <c r="E1833" s="80"/>
      <c r="F1833" s="217"/>
      <c r="G1833" s="217"/>
      <c r="H1833" s="217"/>
      <c r="I1833" s="217"/>
      <c r="J1833" s="217"/>
      <c r="K1833" s="217"/>
      <c r="L1833" s="217"/>
      <c r="M1833" s="217"/>
      <c r="N1833" s="80"/>
      <c r="O1833" s="80"/>
      <c r="P1833" s="19"/>
      <c r="Q1833" s="14"/>
      <c r="R1833" s="11"/>
    </row>
    <row r="1834" s="1" customFormat="1" ht="21.95" customHeight="1" spans="1:19">
      <c r="A1834" s="7"/>
      <c r="B1834" s="12"/>
      <c r="C1834" s="33"/>
      <c r="D1834" s="80"/>
      <c r="E1834" s="218"/>
      <c r="F1834" s="218"/>
      <c r="G1834" s="218"/>
      <c r="H1834" s="80"/>
      <c r="I1834" s="218"/>
      <c r="J1834" s="218"/>
      <c r="K1834" s="218"/>
      <c r="L1834" s="218"/>
      <c r="M1834" s="80"/>
      <c r="N1834" s="219"/>
      <c r="O1834" s="219"/>
      <c r="P1834" s="19"/>
      <c r="Q1834" s="14"/>
      <c r="R1834" s="11"/>
    </row>
    <row r="1835" s="1" customFormat="1" ht="21.95" customHeight="1" spans="1:19">
      <c r="A1835" s="7"/>
      <c r="B1835" s="12"/>
      <c r="C1835" s="33"/>
      <c r="D1835" s="80"/>
      <c r="E1835" s="80"/>
      <c r="F1835" s="80"/>
      <c r="G1835" s="80"/>
      <c r="H1835" s="80"/>
      <c r="I1835" s="80"/>
      <c r="J1835" s="80"/>
      <c r="K1835" s="80"/>
      <c r="L1835" s="80"/>
      <c r="M1835" s="80"/>
      <c r="N1835" s="80"/>
      <c r="O1835" s="80"/>
      <c r="P1835" s="19"/>
      <c r="Q1835" s="14"/>
      <c r="R1835" s="11"/>
    </row>
    <row r="1836" s="1" customFormat="1" ht="21.95" customHeight="1" spans="1:19">
      <c r="A1836" s="7"/>
      <c r="B1836" s="12"/>
      <c r="C1836" s="33"/>
      <c r="D1836" s="218"/>
      <c r="E1836" s="218"/>
      <c r="F1836" s="218"/>
      <c r="G1836" s="218"/>
      <c r="H1836" s="218"/>
      <c r="I1836" s="218"/>
      <c r="J1836" s="218"/>
      <c r="K1836" s="218"/>
      <c r="L1836" s="218"/>
      <c r="M1836" s="80"/>
      <c r="N1836" s="217"/>
      <c r="O1836" s="217"/>
      <c r="P1836" s="85" t="s">
        <v>727</v>
      </c>
      <c r="Q1836" s="14"/>
      <c r="R1836" s="11"/>
    </row>
    <row r="1837" s="1" customFormat="1" ht="21.95" customHeight="1" spans="1:19">
      <c r="A1837" s="7"/>
      <c r="B1837" s="12"/>
      <c r="C1837" s="33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19"/>
      <c r="Q1837" s="14"/>
      <c r="R1837" s="11"/>
    </row>
    <row r="1838" s="1" customFormat="1" ht="21.95" customHeight="1" spans="1:19">
      <c r="A1838" s="7"/>
      <c r="B1838" s="12"/>
      <c r="C1838" s="33"/>
      <c r="D1838" s="29"/>
      <c r="E1838" s="29"/>
      <c r="F1838" s="29"/>
      <c r="G1838" s="29"/>
      <c r="H1838" s="29"/>
      <c r="I1838" s="29"/>
      <c r="J1838" s="29"/>
      <c r="K1838" s="29"/>
      <c r="L1838" s="29"/>
      <c r="M1838" s="29"/>
      <c r="N1838" s="29"/>
      <c r="O1838" s="29"/>
      <c r="P1838" s="19"/>
      <c r="Q1838" s="14"/>
      <c r="R1838" s="11"/>
    </row>
    <row r="1839" s="1" customFormat="1" ht="21.95" customHeight="1" spans="1:19">
      <c r="A1839" s="7"/>
      <c r="B1839" s="12"/>
      <c r="C1839" s="33"/>
      <c r="D1839" s="29"/>
      <c r="E1839" s="29"/>
      <c r="F1839" s="29"/>
      <c r="G1839" s="29"/>
      <c r="H1839" s="29"/>
      <c r="I1839" s="29"/>
      <c r="J1839" s="29"/>
      <c r="K1839" s="29"/>
      <c r="L1839" s="29"/>
      <c r="M1839" s="29"/>
      <c r="N1839" s="29"/>
      <c r="O1839" s="29"/>
      <c r="P1839" s="19"/>
      <c r="Q1839" s="14"/>
      <c r="R1839" s="11"/>
    </row>
    <row r="1840" s="1" customFormat="1" ht="21.95" customHeight="1" spans="1:19">
      <c r="A1840" s="7"/>
      <c r="B1840" s="12"/>
      <c r="C1840" s="33"/>
      <c r="D1840" s="29"/>
      <c r="E1840" s="29"/>
      <c r="F1840" s="29"/>
      <c r="G1840" s="29"/>
      <c r="H1840" s="29"/>
      <c r="I1840" s="29"/>
      <c r="J1840" s="29"/>
      <c r="K1840" s="29"/>
      <c r="L1840" s="29"/>
      <c r="M1840" s="29"/>
      <c r="N1840" s="29"/>
      <c r="O1840" s="29"/>
      <c r="P1840" s="19"/>
      <c r="Q1840" s="14"/>
      <c r="R1840" s="11"/>
    </row>
    <row r="1841" s="1" customFormat="1" ht="21.95" customHeight="1" spans="1:18">
      <c r="A1841" s="7"/>
      <c r="B1841" s="12"/>
      <c r="C1841" s="33"/>
      <c r="D1841" s="29"/>
      <c r="E1841" s="29"/>
      <c r="F1841" s="29"/>
      <c r="G1841" s="29"/>
      <c r="H1841" s="29"/>
      <c r="I1841" s="29"/>
      <c r="J1841" s="29"/>
      <c r="K1841" s="29"/>
      <c r="L1841" s="29"/>
      <c r="M1841" s="29"/>
      <c r="N1841" s="29"/>
      <c r="O1841" s="29"/>
      <c r="P1841" s="19"/>
      <c r="Q1841" s="14"/>
      <c r="R1841" s="11"/>
    </row>
    <row r="1842" s="1" customFormat="1" ht="21.95" customHeight="1" spans="1:18">
      <c r="A1842" s="7"/>
      <c r="B1842" s="12"/>
      <c r="C1842" s="33"/>
      <c r="D1842" s="80" t="s">
        <v>728</v>
      </c>
      <c r="E1842" s="220">
        <f>ENTRY!$D$27</f>
        <v>46102</v>
      </c>
      <c r="F1842" s="220"/>
      <c r="G1842" s="29"/>
      <c r="H1842" s="29"/>
      <c r="I1842" s="221" t="s">
        <v>729</v>
      </c>
      <c r="J1842" s="153"/>
      <c r="K1842" s="29"/>
      <c r="L1842" s="29"/>
      <c r="M1842" s="87" t="s">
        <v>730</v>
      </c>
      <c r="N1842" s="87"/>
      <c r="O1842" s="87"/>
      <c r="P1842" s="19"/>
      <c r="Q1842" s="14"/>
      <c r="R1842" s="11"/>
    </row>
    <row r="1843" s="1" customFormat="1" ht="21.95" customHeight="1" spans="1:18">
      <c r="A1843" s="7"/>
      <c r="B1843" s="12"/>
      <c r="C1843" s="33"/>
      <c r="D1843" s="80" t="s">
        <v>731</v>
      </c>
      <c r="E1843" s="88" t="str">
        <f>PROPER(ENTRY!$D$28)</f>
        <v>New Delhi</v>
      </c>
      <c r="F1843" s="88"/>
      <c r="G1843" s="29"/>
      <c r="H1843" s="29"/>
      <c r="I1843" s="153"/>
      <c r="J1843" s="153"/>
      <c r="K1843" s="29"/>
      <c r="L1843" s="29"/>
      <c r="M1843" s="79" t="s">
        <v>732</v>
      </c>
      <c r="N1843" s="79"/>
      <c r="O1843" s="79"/>
      <c r="P1843" s="19"/>
      <c r="Q1843" s="14"/>
      <c r="R1843" s="11"/>
    </row>
    <row r="1844" s="1" customFormat="1" ht="21.95" customHeight="1" spans="1:18">
      <c r="A1844" s="7"/>
      <c r="B1844" s="12"/>
      <c r="C1844" s="90"/>
      <c r="D1844" s="91"/>
      <c r="E1844" s="91"/>
      <c r="F1844" s="91"/>
      <c r="G1844" s="91"/>
      <c r="H1844" s="91"/>
      <c r="I1844" s="91"/>
      <c r="J1844" s="91"/>
      <c r="K1844" s="91"/>
      <c r="L1844" s="91"/>
      <c r="M1844" s="91"/>
      <c r="N1844" s="91"/>
      <c r="O1844" s="91"/>
      <c r="P1844" s="92"/>
      <c r="Q1844" s="14"/>
      <c r="R1844" s="11"/>
    </row>
    <row r="1845" s="1" customFormat="1" ht="5.1" customHeight="1" spans="1:18">
      <c r="A1845" s="7"/>
      <c r="B1845" s="90"/>
      <c r="C1845" s="91"/>
      <c r="D1845" s="91"/>
      <c r="E1845" s="91"/>
      <c r="F1845" s="91"/>
      <c r="G1845" s="91"/>
      <c r="H1845" s="91"/>
      <c r="I1845" s="91"/>
      <c r="J1845" s="91"/>
      <c r="K1845" s="91"/>
      <c r="L1845" s="91"/>
      <c r="M1845" s="91"/>
      <c r="N1845" s="91"/>
      <c r="O1845" s="91"/>
      <c r="P1845" s="91"/>
      <c r="Q1845" s="92"/>
      <c r="R1845" s="11"/>
    </row>
    <row r="1846" s="1" customFormat="1" ht="5.1" customHeight="1" spans="1:18">
      <c r="A1846" s="93"/>
      <c r="B1846" s="94"/>
      <c r="C1846" s="94"/>
      <c r="D1846" s="94"/>
      <c r="E1846" s="94"/>
      <c r="F1846" s="94"/>
      <c r="G1846" s="94"/>
      <c r="H1846" s="94"/>
      <c r="I1846" s="94"/>
      <c r="J1846" s="94"/>
      <c r="K1846" s="94"/>
      <c r="L1846" s="94"/>
      <c r="M1846" s="94"/>
      <c r="N1846" s="94"/>
      <c r="O1846" s="94"/>
      <c r="P1846" s="94"/>
      <c r="Q1846" s="94"/>
      <c r="R1846" s="95"/>
    </row>
    <row r="1847" s="1" customFormat="1" ht="21.95" customHeight="1"/>
    <row r="1848" ht="15.15"/>
    <row r="1849" s="1" customFormat="1" ht="5.1" customHeight="1" spans="1:18">
      <c r="A1849" s="4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6"/>
    </row>
    <row r="1850" s="1" customFormat="1" ht="15" customHeight="1" spans="1:18">
      <c r="A1850" s="7"/>
      <c r="B1850" s="8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9"/>
      <c r="O1850" s="9"/>
      <c r="P1850" s="9"/>
      <c r="Q1850" s="10"/>
      <c r="R1850" s="11"/>
    </row>
    <row r="1851" s="1" customFormat="1" ht="21.95" customHeight="1" spans="1:18">
      <c r="A1851" s="7"/>
      <c r="B1851" s="12"/>
      <c r="C1851" s="13" t="s">
        <v>7</v>
      </c>
      <c r="D1851" s="13"/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/>
      <c r="Q1851" s="14"/>
      <c r="R1851" s="11"/>
    </row>
    <row r="1852" s="1" customFormat="1" ht="21.95" customHeight="1" spans="1:18">
      <c r="A1852" s="7"/>
      <c r="B1852" s="1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14"/>
      <c r="R1852" s="11"/>
    </row>
    <row r="1853" s="1" customFormat="1" ht="21.95" customHeight="1" spans="1:18">
      <c r="A1853" s="7"/>
      <c r="B1853" s="12"/>
      <c r="C1853" s="15" t="str">
        <f>"SESSION-"&amp;ENTRY!$D$11</f>
        <v>SESSION-2026-27</v>
      </c>
      <c r="D1853" s="15"/>
      <c r="E1853" s="15"/>
      <c r="F1853" s="15"/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4"/>
      <c r="R1853" s="11"/>
    </row>
    <row r="1854" s="1" customFormat="1" ht="21.95" customHeight="1" spans="1:18">
      <c r="A1854" s="7"/>
      <c r="B1854" s="12"/>
      <c r="C1854" s="2"/>
      <c r="D1854" s="2"/>
      <c r="E1854" s="2"/>
      <c r="F1854" s="16">
        <f>F1798+1</f>
        <v>34</v>
      </c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14"/>
      <c r="R1854" s="11"/>
    </row>
    <row r="1855" s="1" customFormat="1" ht="21.95" customHeight="1" spans="1:18">
      <c r="A1855" s="7"/>
      <c r="B1855" s="12"/>
      <c r="C1855" s="17" t="s">
        <v>392</v>
      </c>
      <c r="D1855" s="17"/>
      <c r="E1855" s="17"/>
      <c r="F1855" s="18" t="str">
        <f>IF(F1854&gt;0,ENTRY!$D$6,"")</f>
        <v>MCP NITHARI NO 1 BOYS</v>
      </c>
      <c r="G1855" s="18"/>
      <c r="H1855" s="18"/>
      <c r="I1855" s="18"/>
      <c r="J1855" s="18"/>
      <c r="K1855" s="18"/>
      <c r="L1855" s="18"/>
      <c r="M1855" s="18"/>
      <c r="N1855" s="18"/>
      <c r="O1855" s="18"/>
      <c r="P1855" s="18"/>
      <c r="Q1855" s="14"/>
      <c r="R1855" s="11"/>
    </row>
    <row r="1856" s="1" customFormat="1" ht="21.95" customHeight="1" spans="1:18">
      <c r="A1856" s="7"/>
      <c r="B1856" s="12"/>
      <c r="C1856" s="17" t="s">
        <v>393</v>
      </c>
      <c r="D1856" s="17"/>
      <c r="E1856" s="17"/>
      <c r="F1856" s="18">
        <f>IF(F1854&gt;0,ENTRY!$D$7,"")</f>
        <v>0</v>
      </c>
      <c r="G1856" s="18"/>
      <c r="H1856" s="20" t="s">
        <v>702</v>
      </c>
      <c r="I1856" s="20"/>
      <c r="J1856" s="21">
        <f>IF(F1854&gt;0,ENTRY!$D$10,"")</f>
        <v>40</v>
      </c>
      <c r="K1856" s="20" t="s">
        <v>703</v>
      </c>
      <c r="L1856" s="22" t="str">
        <f>IF(F1854&gt;0,ENTRY!$D$5,"")</f>
        <v>ROHINI ZONE</v>
      </c>
      <c r="M1856" s="22"/>
      <c r="N1856" s="22"/>
      <c r="O1856" s="22"/>
      <c r="P1856" s="22"/>
      <c r="Q1856" s="14"/>
      <c r="R1856" s="11"/>
    </row>
    <row r="1857" s="1" customFormat="1" ht="21.95" customHeight="1" spans="1:18">
      <c r="A1857" s="7"/>
      <c r="B1857" s="12"/>
      <c r="C1857" s="17" t="s">
        <v>706</v>
      </c>
      <c r="D1857" s="17"/>
      <c r="E1857" s="17"/>
      <c r="F1857" s="23" t="str">
        <f>IFERROR(VLOOKUP(F1854,STUDENT!$A$2:$BP$101,5,0),"")</f>
        <v>VEERPARTAP SINGH</v>
      </c>
      <c r="G1857" s="23"/>
      <c r="H1857" s="23"/>
      <c r="I1857" s="23"/>
      <c r="J1857" s="23"/>
      <c r="K1857" s="23"/>
      <c r="L1857" s="20" t="s">
        <v>707</v>
      </c>
      <c r="M1857" s="20"/>
      <c r="N1857" s="24" t="str">
        <f>IF(F1854&gt;0,ENTRY!$D$20&amp;"-"&amp;ENTRY!$D$21,"")</f>
        <v>III-A</v>
      </c>
      <c r="O1857" s="24"/>
      <c r="P1857" s="24"/>
      <c r="Q1857" s="14"/>
      <c r="R1857" s="11"/>
    </row>
    <row r="1858" s="1" customFormat="1" ht="21.95" customHeight="1" spans="1:18">
      <c r="A1858" s="7"/>
      <c r="B1858" s="12"/>
      <c r="C1858" s="17" t="s">
        <v>708</v>
      </c>
      <c r="D1858" s="17"/>
      <c r="E1858" s="17"/>
      <c r="F1858" s="25">
        <f>IFERROR(VLOOKUP(F1854,STUDENT!$A$2:$BP$101,6,0),"")</f>
        <v>15088</v>
      </c>
      <c r="G1858" s="25"/>
      <c r="H1858" s="26" t="s">
        <v>709</v>
      </c>
      <c r="I1858" s="27" t="str">
        <f>IFERROR(VLOOKUP(F1854,STUDENT!$A$2:$BP$101,59,0),"")</f>
        <v/>
      </c>
      <c r="J1858" s="27"/>
      <c r="K1858" s="20" t="s">
        <v>710</v>
      </c>
      <c r="L1858" s="20"/>
      <c r="M1858" s="28">
        <f>IFERROR(VLOOKUP(F1854,STUDENT!$A$2:$BP$101,20,0),"")</f>
        <v>8360224558</v>
      </c>
      <c r="N1858" s="28"/>
      <c r="O1858" s="28"/>
      <c r="P1858" s="28"/>
      <c r="Q1858" s="14"/>
      <c r="R1858" s="11"/>
    </row>
    <row r="1859" s="1" customFormat="1" ht="21.95" customHeight="1" spans="1:18">
      <c r="A1859" s="7"/>
      <c r="B1859" s="12"/>
      <c r="C1859" s="17" t="s">
        <v>711</v>
      </c>
      <c r="D1859" s="17"/>
      <c r="E1859" s="17"/>
      <c r="F1859" s="23" t="str">
        <f>IFERROR(VLOOKUP(F1854,STUDENT!$A$2:$BP$101,9,0),"")</f>
        <v>SARITA KUMARI</v>
      </c>
      <c r="G1859" s="23"/>
      <c r="H1859" s="23"/>
      <c r="I1859" s="23"/>
      <c r="J1859" s="17" t="s">
        <v>620</v>
      </c>
      <c r="K1859" s="17"/>
      <c r="L1859" s="23" t="str">
        <f>IFERROR(VLOOKUP(F1854,STUDENT!$A$2:$BP$101,8,0),"")</f>
        <v>VIJAY SINGH</v>
      </c>
      <c r="M1859" s="23"/>
      <c r="N1859" s="23"/>
      <c r="O1859" s="23"/>
      <c r="P1859" s="23"/>
      <c r="Q1859" s="14"/>
      <c r="R1859" s="11"/>
    </row>
    <row r="1860" s="1" customFormat="1" ht="21.95" customHeight="1" spans="1:18">
      <c r="A1860" s="7"/>
      <c r="B1860" s="12"/>
      <c r="C1860" s="17" t="s">
        <v>712</v>
      </c>
      <c r="D1860" s="17"/>
      <c r="E1860" s="17"/>
      <c r="F1860" s="23" t="str">
        <f>IFERROR(VLOOKUP(F1854,STUDENT!$A$2:$BP$101,22,0),"")</f>
        <v>H.NO -511 BLK -B INDER ENCLAVE PH-2</v>
      </c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14"/>
      <c r="R1860" s="11"/>
    </row>
    <row r="1861" s="1" customFormat="1" ht="9.95" customHeight="1" spans="1:18">
      <c r="A1861" s="7"/>
      <c r="B1861" s="12"/>
      <c r="C1861" s="29"/>
      <c r="D1861" s="29"/>
      <c r="E1861" s="29"/>
      <c r="F1861" s="29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14"/>
      <c r="R1861" s="11"/>
    </row>
    <row r="1862" s="1" customFormat="1" ht="9.95" customHeight="1" spans="1:18">
      <c r="A1862" s="7"/>
      <c r="B1862" s="12"/>
      <c r="C1862" s="30"/>
      <c r="D1862" s="31"/>
      <c r="E1862" s="31"/>
      <c r="F1862" s="31"/>
      <c r="G1862" s="31"/>
      <c r="H1862" s="31"/>
      <c r="I1862" s="31"/>
      <c r="J1862" s="31"/>
      <c r="K1862" s="31"/>
      <c r="L1862" s="31"/>
      <c r="M1862" s="31"/>
      <c r="N1862" s="31"/>
      <c r="O1862" s="31"/>
      <c r="P1862" s="32"/>
      <c r="Q1862" s="14"/>
      <c r="R1862" s="11"/>
    </row>
    <row r="1863" s="1" customFormat="1" ht="21.95" customHeight="1" spans="1:18">
      <c r="A1863" s="7"/>
      <c r="B1863" s="12"/>
      <c r="C1863" s="33"/>
      <c r="D1863" s="34" t="s">
        <v>713</v>
      </c>
      <c r="E1863" s="20" t="s">
        <v>714</v>
      </c>
      <c r="F1863" s="35" t="str">
        <f>"Level - "&amp;IFERROR(VLOOKUP(F1854,FLN!$A$4:$K$103,9,0),"")</f>
        <v>Level - </v>
      </c>
      <c r="G1863" s="36"/>
      <c r="H1863" s="37" t="s">
        <v>715</v>
      </c>
      <c r="I1863" s="20"/>
      <c r="J1863" s="35" t="str">
        <f>"Level - "&amp;IFERROR(VLOOKUP(F1854,FLN!$A$4:$K$103,11,0),"")</f>
        <v>Level - </v>
      </c>
      <c r="K1863" s="36"/>
      <c r="L1863" s="37" t="s">
        <v>408</v>
      </c>
      <c r="M1863" s="20"/>
      <c r="N1863" s="35" t="str">
        <f>"Level - "&amp;IFERROR(VLOOKUP(F1854,FLN!$A$4:$K$103,10,0),"")</f>
        <v>Level - </v>
      </c>
      <c r="O1863" s="36"/>
      <c r="P1863" s="19"/>
      <c r="Q1863" s="14"/>
      <c r="R1863" s="11"/>
    </row>
    <row r="1864" s="1" customFormat="1" ht="21.95" customHeight="1" spans="1:18">
      <c r="A1864" s="7"/>
      <c r="B1864" s="12"/>
      <c r="C1864" s="33"/>
      <c r="D1864" s="38"/>
      <c r="E1864" s="20" t="s">
        <v>716</v>
      </c>
      <c r="F1864" s="18" t="str">
        <f>IF(L1878&gt;197,"PERFORMED WELL","")</f>
        <v/>
      </c>
      <c r="G1864" s="18"/>
      <c r="H1864" s="18"/>
      <c r="I1864" s="18"/>
      <c r="J1864" s="18"/>
      <c r="K1864" s="18"/>
      <c r="L1864" s="18"/>
      <c r="M1864" s="18"/>
      <c r="N1864" s="18"/>
      <c r="O1864" s="18"/>
      <c r="P1864" s="19"/>
      <c r="Q1864" s="14"/>
      <c r="R1864" s="11"/>
    </row>
    <row r="1865" s="1" customFormat="1" ht="9.95" customHeight="1" spans="1:18">
      <c r="A1865" s="7"/>
      <c r="B1865" s="12"/>
      <c r="C1865" s="39"/>
      <c r="D1865" s="40"/>
      <c r="E1865" s="40"/>
      <c r="F1865" s="40"/>
      <c r="G1865" s="40"/>
      <c r="H1865" s="40"/>
      <c r="I1865" s="40"/>
      <c r="J1865" s="40"/>
      <c r="K1865" s="40"/>
      <c r="L1865" s="40"/>
      <c r="M1865" s="40"/>
      <c r="N1865" s="40"/>
      <c r="O1865" s="40"/>
      <c r="P1865" s="41"/>
      <c r="Q1865" s="14"/>
      <c r="R1865" s="11"/>
    </row>
    <row r="1866" s="1" customFormat="1" ht="9.95" customHeight="1" spans="1:18">
      <c r="A1866" s="7"/>
      <c r="B1866" s="12"/>
      <c r="C1866" s="29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14"/>
      <c r="R1866" s="11"/>
    </row>
    <row r="1867" s="1" customFormat="1" ht="9.95" customHeight="1" spans="1:18">
      <c r="A1867" s="7"/>
      <c r="B1867" s="12"/>
      <c r="C1867" s="30"/>
      <c r="D1867" s="31"/>
      <c r="E1867" s="31"/>
      <c r="F1867" s="31"/>
      <c r="G1867" s="31"/>
      <c r="H1867" s="31"/>
      <c r="I1867" s="31"/>
      <c r="J1867" s="31"/>
      <c r="K1867" s="31"/>
      <c r="L1867" s="31"/>
      <c r="M1867" s="31"/>
      <c r="N1867" s="31"/>
      <c r="O1867" s="31"/>
      <c r="P1867" s="32"/>
      <c r="Q1867" s="14"/>
      <c r="R1867" s="11"/>
    </row>
    <row r="1868" s="1" customFormat="1" ht="21.95" customHeight="1" spans="1:18">
      <c r="A1868" s="7"/>
      <c r="B1868" s="12"/>
      <c r="C1868" s="33"/>
      <c r="D1868" s="35"/>
      <c r="E1868" s="24"/>
      <c r="F1868" s="24"/>
      <c r="G1868" s="47" t="s">
        <v>717</v>
      </c>
      <c r="H1868" s="47"/>
      <c r="I1868" s="47"/>
      <c r="J1868" s="47"/>
      <c r="K1868" s="47"/>
      <c r="L1868" s="47"/>
      <c r="M1868" s="47"/>
      <c r="N1868" s="47"/>
      <c r="O1868" s="29"/>
      <c r="P1868" s="19"/>
      <c r="Q1868" s="14"/>
      <c r="R1868" s="11"/>
    </row>
    <row r="1869" s="1" customFormat="1" ht="21.95" customHeight="1" spans="1:18">
      <c r="A1869" s="7"/>
      <c r="B1869" s="12"/>
      <c r="C1869" s="33"/>
      <c r="D1869" s="47"/>
      <c r="E1869" s="47"/>
      <c r="F1869" s="47"/>
      <c r="G1869" s="47" t="s">
        <v>541</v>
      </c>
      <c r="H1869" s="47" t="s">
        <v>542</v>
      </c>
      <c r="I1869" s="47" t="s">
        <v>543</v>
      </c>
      <c r="J1869" s="47" t="s">
        <v>544</v>
      </c>
      <c r="K1869" s="47" t="s">
        <v>561</v>
      </c>
      <c r="L1869" s="47" t="s">
        <v>382</v>
      </c>
      <c r="M1869" s="49" t="s">
        <v>546</v>
      </c>
      <c r="N1869" s="49"/>
      <c r="O1869" s="29"/>
      <c r="P1869" s="19"/>
      <c r="Q1869" s="14"/>
      <c r="R1869" s="11"/>
    </row>
    <row r="1870" s="1" customFormat="1" ht="21.95" customHeight="1" spans="1:18">
      <c r="A1870" s="7"/>
      <c r="B1870" s="12"/>
      <c r="C1870" s="33"/>
      <c r="D1870" s="207" t="s">
        <v>652</v>
      </c>
      <c r="E1870" s="207"/>
      <c r="F1870" s="207"/>
      <c r="G1870" s="50">
        <v>10</v>
      </c>
      <c r="H1870" s="50">
        <v>10</v>
      </c>
      <c r="I1870" s="50">
        <v>10</v>
      </c>
      <c r="J1870" s="50">
        <v>10</v>
      </c>
      <c r="K1870" s="50">
        <v>60</v>
      </c>
      <c r="L1870" s="50">
        <v>100</v>
      </c>
      <c r="M1870" s="49"/>
      <c r="N1870" s="49"/>
      <c r="O1870" s="29"/>
      <c r="P1870" s="19"/>
      <c r="Q1870" s="14"/>
      <c r="R1870" s="11"/>
    </row>
    <row r="1871" s="1" customFormat="1" ht="21.95" customHeight="1" spans="1:18">
      <c r="A1871" s="7"/>
      <c r="B1871" s="12"/>
      <c r="C1871" s="33"/>
      <c r="D1871" s="117" t="s">
        <v>668</v>
      </c>
      <c r="E1871" s="117"/>
      <c r="F1871" s="117"/>
      <c r="G1871" s="54">
        <f>IFERROR(VLOOKUP(F1854,'1to4-2.1-RR'!$A$12:$BG$111,9,0),"")</f>
        <v>0</v>
      </c>
      <c r="H1871" s="54">
        <f>IFERROR(VLOOKUP(F1854,'1to4-2.1-RR'!$A$12:$BG$111,10,0),"")</f>
        <v>0</v>
      </c>
      <c r="I1871" s="54">
        <f>IFERROR(VLOOKUP(F1854,'1to4-2.1-RR'!$A$12:$BG$111,11,0),"")</f>
        <v>0</v>
      </c>
      <c r="J1871" s="54">
        <f>IFERROR(VLOOKUP(F1854,'1to4-2.1-RR'!$A$12:$BG$111,12,0),"")</f>
        <v>0</v>
      </c>
      <c r="K1871" s="54">
        <f>IFERROR(VLOOKUP(F1854,'1to4-2.1-RR'!$A$12:$BG$111,13,0),"")</f>
        <v>38</v>
      </c>
      <c r="L1871" s="55">
        <f>SUM(G1871:K1871)</f>
        <v>38</v>
      </c>
      <c r="M1871" s="56" t="str">
        <f>IF(F1854&gt;ENTRY!$D$24,"",IF(L1871=0,"Ab",IF(L1871&gt;80,"A",IF(L1871&gt;60,"B",IF(L1871&gt;44,"C",IF(L1871&gt;=33,"D",IF(L1871&lt;=32,"E","")))))))</f>
        <v>D</v>
      </c>
      <c r="N1871" s="56"/>
      <c r="O1871" s="29"/>
      <c r="P1871" s="19"/>
      <c r="Q1871" s="14"/>
      <c r="R1871" s="11"/>
    </row>
    <row r="1872" s="1" customFormat="1" ht="21.95" customHeight="1" spans="1:18">
      <c r="A1872" s="7"/>
      <c r="B1872" s="12"/>
      <c r="C1872" s="33"/>
      <c r="D1872" s="117" t="s">
        <v>513</v>
      </c>
      <c r="E1872" s="117"/>
      <c r="F1872" s="117"/>
      <c r="G1872" s="54">
        <f>IFERROR(VLOOKUP(F1854,'1to4-2.1-RR'!$A$12:$BG$111,16,0),"")</f>
        <v>0</v>
      </c>
      <c r="H1872" s="54">
        <f>IFERROR(VLOOKUP(F1854,'1to4-2.1-RR'!$A$12:$BG$111,17,0),"")</f>
        <v>0</v>
      </c>
      <c r="I1872" s="54">
        <f>IFERROR(VLOOKUP(F1854,'1to4-2.1-RR'!$A$12:$BG$111,18,0),"")</f>
        <v>0</v>
      </c>
      <c r="J1872" s="54">
        <f>IFERROR(VLOOKUP(F1854,'1to4-2.1-RR'!$A$12:$BG$111,19,0),"")</f>
        <v>0</v>
      </c>
      <c r="K1872" s="54">
        <f>IFERROR(VLOOKUP(F1854,'1to4-2.1-RR'!$A$12:$BG$111,20,0),"")</f>
        <v>11</v>
      </c>
      <c r="L1872" s="55">
        <f t="shared" ref="L1872:L1877" si="66">SUM(G1872:K1872)</f>
        <v>11</v>
      </c>
      <c r="M1872" s="56" t="str">
        <f>IF(F1854&gt;ENTRY!$D$24,"",IF(L1872=0,"Ab",IF(L1872&gt;80,"A",IF(L1872&gt;60,"B",IF(L1872&gt;44,"C",IF(L1872&gt;=33,"D",IF(L1872&lt;=32,"E","")))))))</f>
        <v>E</v>
      </c>
      <c r="N1872" s="56"/>
      <c r="O1872" s="29"/>
      <c r="P1872" s="19"/>
      <c r="Q1872" s="14"/>
      <c r="R1872" s="11"/>
    </row>
    <row r="1873" s="1" customFormat="1" ht="21.95" customHeight="1" spans="1:19">
      <c r="A1873" s="7"/>
      <c r="B1873" s="12"/>
      <c r="C1873" s="33"/>
      <c r="D1873" s="117" t="s">
        <v>718</v>
      </c>
      <c r="E1873" s="117"/>
      <c r="F1873" s="117"/>
      <c r="G1873" s="54">
        <f>IFERROR(VLOOKUP(F1854,'1to4-2.1-RR'!$A$12:$BG$111,23,0),"")</f>
        <v>0</v>
      </c>
      <c r="H1873" s="54">
        <f>IFERROR(VLOOKUP(F1854,'1to4-2.1-RR'!$A$12:$BG$111,24,0),"")</f>
        <v>0</v>
      </c>
      <c r="I1873" s="54">
        <f>IFERROR(VLOOKUP(F1854,'1to4-2.1-RR'!$A$12:$BG$111,25,0),"")</f>
        <v>0</v>
      </c>
      <c r="J1873" s="54">
        <f>IFERROR(VLOOKUP(F1854,'1to4-2.1-RR'!$A$12:$BG$111,26,0),"")</f>
        <v>0</v>
      </c>
      <c r="K1873" s="54">
        <f>IFERROR(VLOOKUP(F1854,'1to4-2.1-RR'!$A$12:$BG$111,27,0),"")</f>
        <v>17</v>
      </c>
      <c r="L1873" s="55">
        <f t="shared" si="66"/>
        <v>17</v>
      </c>
      <c r="M1873" s="56" t="str">
        <f>IF(F1854&gt;ENTRY!$D$24,"",IF(L1873=0,"Ab",IF(L1873&gt;80,"A",IF(L1873&gt;60,"B",IF(L1873&gt;44,"C",IF(L1873&gt;=33,"D",IF(L1873&lt;=32,"E","")))))))</f>
        <v>E</v>
      </c>
      <c r="N1873" s="56"/>
      <c r="O1873" s="29"/>
      <c r="P1873" s="19"/>
      <c r="Q1873" s="14"/>
      <c r="R1873" s="11"/>
    </row>
    <row r="1874" s="1" customFormat="1" ht="21.95" customHeight="1" spans="1:19">
      <c r="A1874" s="7"/>
      <c r="B1874" s="12"/>
      <c r="C1874" s="33"/>
      <c r="D1874" s="117" t="s">
        <v>719</v>
      </c>
      <c r="E1874" s="117"/>
      <c r="F1874" s="117"/>
      <c r="G1874" s="54">
        <f>IFERROR(VLOOKUP(F1854,'1to4-2.1-RR'!$A$12:$BG$111,30,0),"")</f>
        <v>0</v>
      </c>
      <c r="H1874" s="54">
        <f>IFERROR(VLOOKUP(F1854,'1to4-2.1-RR'!$A$12:$BG$111,31,0),"")</f>
        <v>0</v>
      </c>
      <c r="I1874" s="54">
        <f>IFERROR(VLOOKUP(F1854,'1to4-2.1-RR'!$A$12:$BG$111,32,0),"")</f>
        <v>0</v>
      </c>
      <c r="J1874" s="54">
        <f>IFERROR(VLOOKUP(F1854,'1to4-2.1-RR'!$A$12:$BG$111,33,0),"")</f>
        <v>0</v>
      </c>
      <c r="K1874" s="54">
        <f>IFERROR(VLOOKUP(F1854,'1to4-2.1-RR'!$A$12:$BG$111,34,0),"")</f>
        <v>20</v>
      </c>
      <c r="L1874" s="55">
        <f t="shared" si="66"/>
        <v>20</v>
      </c>
      <c r="M1874" s="56" t="str">
        <f>IF(F1854&gt;ENTRY!$D$24,"",IF(L1874=0,"Ab",IF(L1874&gt;80,"A",IF(L1874&gt;60,"B",IF(L1874&gt;44,"C",IF(L1874&gt;=33,"D",IF(L1874&lt;=32,"E","")))))))</f>
        <v>E</v>
      </c>
      <c r="N1874" s="56"/>
      <c r="O1874" s="29"/>
      <c r="P1874" s="19"/>
      <c r="Q1874" s="14"/>
      <c r="R1874" s="11"/>
    </row>
    <row r="1875" s="1" customFormat="1" ht="21.95" customHeight="1" spans="1:19">
      <c r="A1875" s="7"/>
      <c r="B1875" s="12"/>
      <c r="C1875" s="33"/>
      <c r="D1875" s="117" t="s">
        <v>548</v>
      </c>
      <c r="E1875" s="117"/>
      <c r="F1875" s="117"/>
      <c r="G1875" s="54">
        <f>IFERROR(VLOOKUP(F1854,'1to4-2.1-RR'!$A$12:$BG$111,37,0),"")</f>
        <v>0</v>
      </c>
      <c r="H1875" s="54">
        <f>IFERROR(VLOOKUP(F1854,'1to4-2.1-RR'!$A$12:$BG$111,38,0),"")</f>
        <v>0</v>
      </c>
      <c r="I1875" s="54">
        <f>IFERROR(VLOOKUP(F1854,'1to4-2.1-RR'!$A$12:$BG$111,39,0),"")</f>
        <v>0</v>
      </c>
      <c r="J1875" s="54">
        <f>IFERROR(VLOOKUP(F1854,'1to4-2.1-RR'!$A$12:$BG$111,40,0),"")</f>
        <v>0</v>
      </c>
      <c r="K1875" s="54">
        <f>IFERROR(VLOOKUP(F1854,'1to4-2.1-RR'!$A$12:$BG$111,41,0),"")</f>
        <v>23</v>
      </c>
      <c r="L1875" s="55">
        <f t="shared" si="66"/>
        <v>23</v>
      </c>
      <c r="M1875" s="56" t="str">
        <f>IF(F1854&gt;ENTRY!$D$24,"",IF(L1875=0,"Ab",IF(L1875&gt;80,"A",IF(L1875&gt;60,"B",IF(L1875&gt;44,"C",IF(L1875&gt;=33,"D",IF(L1875&lt;=32,"E","")))))))</f>
        <v>E</v>
      </c>
      <c r="N1875" s="56"/>
      <c r="O1875" s="29"/>
      <c r="P1875" s="19"/>
      <c r="Q1875" s="14"/>
      <c r="R1875" s="11"/>
    </row>
    <row r="1876" s="1" customFormat="1" ht="21.95" customHeight="1" spans="1:19">
      <c r="A1876" s="7"/>
      <c r="B1876" s="12"/>
      <c r="C1876" s="33"/>
      <c r="D1876" s="117" t="s">
        <v>549</v>
      </c>
      <c r="E1876" s="117"/>
      <c r="F1876" s="117"/>
      <c r="G1876" s="54">
        <f>IFERROR(VLOOKUP(F1854,'1to4-2.1-RR'!$A$12:$BG$111,44,0),"")</f>
        <v>0</v>
      </c>
      <c r="H1876" s="54">
        <f>IFERROR(VLOOKUP(F1854,'1to4-2.1-RR'!$A$12:$BG$111,45,0),"")</f>
        <v>0</v>
      </c>
      <c r="I1876" s="54">
        <f>IFERROR(VLOOKUP(F1854,'1to4-2.1-RR'!$A$12:$BG$111,46,0),"")</f>
        <v>0</v>
      </c>
      <c r="J1876" s="54">
        <f>IFERROR(VLOOKUP(F1854,'1to4-2.1-RR'!$A$12:$BG$111,47,0),"")</f>
        <v>0</v>
      </c>
      <c r="K1876" s="54">
        <f>IFERROR(VLOOKUP(F1854,'1to4-2.1-RR'!$A$12:$BG$111,48,0),"")</f>
        <v>23</v>
      </c>
      <c r="L1876" s="55">
        <f t="shared" si="66"/>
        <v>23</v>
      </c>
      <c r="M1876" s="56" t="str">
        <f>IF(F1854&gt;ENTRY!$D$24,"",IF(L1876=0,"Ab",IF(L1876&gt;80,"A",IF(L1876&gt;60,"B",IF(L1876&gt;44,"C",IF(L1876&gt;=33,"D",IF(L1876&lt;=32,"E","")))))))</f>
        <v>E</v>
      </c>
      <c r="N1876" s="56"/>
      <c r="O1876" s="29"/>
      <c r="P1876" s="19"/>
      <c r="Q1876" s="14"/>
      <c r="R1876" s="11"/>
    </row>
    <row r="1877" s="1" customFormat="1" ht="21.95" customHeight="1" spans="1:19">
      <c r="A1877" s="7"/>
      <c r="B1877" s="12"/>
      <c r="C1877" s="33"/>
      <c r="D1877" s="117" t="s">
        <v>720</v>
      </c>
      <c r="E1877" s="117"/>
      <c r="F1877" s="117"/>
      <c r="G1877" s="54"/>
      <c r="H1877" s="54"/>
      <c r="I1877" s="54"/>
      <c r="J1877" s="54"/>
      <c r="K1877" s="54"/>
      <c r="L1877" s="55">
        <f t="shared" si="66"/>
        <v>0</v>
      </c>
      <c r="M1877" s="56" t="str">
        <f>IF(F1854&gt;ENTRY!$D$24,"",IF(L1877=0,"",IF(L1877&gt;79,"A",IF(L1877&gt;59,"B",IF(L1877&gt;44,"C",IF(L1877&gt;=33,"D",IF(L1877&lt;=32,"E","")))))))</f>
        <v/>
      </c>
      <c r="N1877" s="56"/>
      <c r="O1877" s="29"/>
      <c r="P1877" s="19"/>
      <c r="Q1877" s="14"/>
      <c r="R1877" s="11"/>
    </row>
    <row r="1878" s="1" customFormat="1" ht="21.95" customHeight="1" spans="1:19">
      <c r="A1878" s="7"/>
      <c r="B1878" s="12"/>
      <c r="C1878" s="33"/>
      <c r="D1878" s="207" t="s">
        <v>382</v>
      </c>
      <c r="E1878" s="207"/>
      <c r="F1878" s="207"/>
      <c r="G1878" s="54">
        <f t="shared" ref="G1878:L1878" si="67">IFERROR(SUM(G1871:G1877),"")</f>
        <v>0</v>
      </c>
      <c r="H1878" s="54">
        <f t="shared" si="67"/>
        <v>0</v>
      </c>
      <c r="I1878" s="54">
        <f t="shared" si="67"/>
        <v>0</v>
      </c>
      <c r="J1878" s="54">
        <f t="shared" si="67"/>
        <v>0</v>
      </c>
      <c r="K1878" s="54">
        <f t="shared" si="67"/>
        <v>132</v>
      </c>
      <c r="L1878" s="55">
        <f t="shared" si="67"/>
        <v>132</v>
      </c>
      <c r="M1878" s="61" t="str">
        <f>IF(F1854&gt;ENTRY!$D$24,"",IF(N1879="Ab","Ab",IF(N1879&gt;79.5,"A",IF(N1879&gt;59.5,"B",IF(N1879&gt;44.5,"C",IF(N1879&gt;=33,"D",IF(N1879&lt;33,"E","")))))))</f>
        <v>E</v>
      </c>
      <c r="N1878" s="61"/>
      <c r="O1878" s="29"/>
      <c r="P1878" s="19"/>
      <c r="Q1878" s="14"/>
      <c r="R1878" s="11"/>
    </row>
    <row r="1879" s="1" customFormat="1" ht="21.95" customHeight="1" spans="1:19">
      <c r="A1879" s="7"/>
      <c r="B1879" s="12"/>
      <c r="C1879" s="33"/>
      <c r="D1879" s="63" t="s">
        <v>721</v>
      </c>
      <c r="E1879" s="63"/>
      <c r="F1879" s="63"/>
      <c r="G1879" s="63"/>
      <c r="H1879" s="63"/>
      <c r="I1879" s="63"/>
      <c r="J1879" s="63"/>
      <c r="K1879" s="63"/>
      <c r="L1879" s="63"/>
      <c r="M1879" s="209"/>
      <c r="N1879" s="64">
        <f>IF(L1878="Ab","Ab",L1878/6)</f>
        <v>22</v>
      </c>
      <c r="O1879" s="65"/>
      <c r="P1879" s="19"/>
      <c r="Q1879" s="14"/>
      <c r="R1879" s="11"/>
    </row>
    <row r="1880" s="1" customFormat="1" ht="21.95" customHeight="1" spans="1:19">
      <c r="A1880" s="7"/>
      <c r="B1880" s="12"/>
      <c r="C1880" s="33"/>
      <c r="D1880" s="29" t="s">
        <v>716</v>
      </c>
      <c r="E1880" s="18" t="str">
        <f>IFERROR(VLOOKUP(F1854,'1to4-2.1-RR'!$A$12:$BG$111,57,0),"")</f>
        <v>PROMOTED</v>
      </c>
      <c r="F1880" s="18"/>
      <c r="G1880" s="18"/>
      <c r="H1880" s="18"/>
      <c r="I1880" s="18"/>
      <c r="J1880" s="18"/>
      <c r="K1880" s="18"/>
      <c r="L1880" s="18"/>
      <c r="M1880" s="18"/>
      <c r="N1880" s="29"/>
      <c r="O1880" s="29"/>
      <c r="P1880" s="19"/>
      <c r="Q1880" s="14"/>
      <c r="R1880" s="11"/>
    </row>
    <row r="1881" s="1" customFormat="1" ht="9.95" customHeight="1" spans="1:19">
      <c r="A1881" s="7"/>
      <c r="B1881" s="12"/>
      <c r="C1881" s="39"/>
      <c r="D1881" s="40"/>
      <c r="E1881" s="40"/>
      <c r="F1881" s="40"/>
      <c r="G1881" s="40"/>
      <c r="H1881" s="40"/>
      <c r="I1881" s="40"/>
      <c r="J1881" s="40"/>
      <c r="K1881" s="40"/>
      <c r="L1881" s="40"/>
      <c r="M1881" s="40"/>
      <c r="N1881" s="40"/>
      <c r="O1881" s="40"/>
      <c r="P1881" s="41"/>
      <c r="Q1881" s="14"/>
      <c r="R1881" s="11"/>
    </row>
    <row r="1882" s="1" customFormat="1" ht="9.95" customHeight="1" spans="1:19">
      <c r="A1882" s="7"/>
      <c r="B1882" s="12"/>
      <c r="C1882" s="30"/>
      <c r="D1882" s="31"/>
      <c r="E1882" s="31"/>
      <c r="F1882" s="29"/>
      <c r="G1882" s="31"/>
      <c r="H1882" s="31"/>
      <c r="I1882" s="31"/>
      <c r="J1882" s="31"/>
      <c r="K1882" s="31"/>
      <c r="L1882" s="31"/>
      <c r="M1882" s="31"/>
      <c r="N1882" s="31"/>
      <c r="O1882" s="31"/>
      <c r="P1882" s="32"/>
      <c r="Q1882" s="14"/>
      <c r="R1882" s="11"/>
    </row>
    <row r="1883" s="1" customFormat="1" ht="9.95" customHeight="1" spans="1:19">
      <c r="A1883" s="7"/>
      <c r="B1883" s="12"/>
      <c r="C1883" s="33"/>
      <c r="D1883" s="29"/>
      <c r="E1883" s="29"/>
      <c r="F1883" s="29"/>
      <c r="G1883" s="29"/>
      <c r="H1883" s="29"/>
      <c r="I1883" s="29"/>
      <c r="J1883" s="29"/>
      <c r="K1883" s="29"/>
      <c r="L1883" s="29"/>
      <c r="M1883" s="29"/>
      <c r="N1883" s="29"/>
      <c r="O1883" s="29"/>
      <c r="P1883" s="19"/>
      <c r="Q1883" s="14"/>
      <c r="R1883" s="11"/>
    </row>
    <row r="1884" s="1" customFormat="1" ht="9.95" customHeight="1" spans="1:19">
      <c r="A1884" s="7"/>
      <c r="B1884" s="12"/>
      <c r="C1884" s="33"/>
      <c r="D1884" s="29"/>
      <c r="E1884" s="29"/>
      <c r="F1884" s="29"/>
      <c r="G1884" s="29"/>
      <c r="H1884" s="29"/>
      <c r="I1884" s="29"/>
      <c r="J1884" s="29"/>
      <c r="K1884" s="29"/>
      <c r="L1884" s="29"/>
      <c r="M1884" s="29"/>
      <c r="N1884" s="29"/>
      <c r="O1884" s="29"/>
      <c r="P1884" s="19"/>
      <c r="Q1884" s="14"/>
      <c r="R1884" s="11"/>
    </row>
    <row r="1885" s="1" customFormat="1" ht="21.95" customHeight="1" spans="1:19">
      <c r="A1885" s="7"/>
      <c r="B1885" s="12"/>
      <c r="C1885" s="210"/>
      <c r="D1885" s="211"/>
      <c r="E1885" s="211"/>
      <c r="F1885" s="211"/>
      <c r="G1885" s="211"/>
      <c r="H1885" s="211"/>
      <c r="I1885" s="211"/>
      <c r="J1885" s="211"/>
      <c r="K1885" s="211"/>
      <c r="L1885" s="211"/>
      <c r="M1885" s="211"/>
      <c r="N1885" s="211"/>
      <c r="O1885" s="211"/>
      <c r="P1885" s="212"/>
      <c r="Q1885" s="14"/>
      <c r="R1885" s="11"/>
      <c r="S1885" s="2"/>
    </row>
    <row r="1886" s="1" customFormat="1" ht="21.95" customHeight="1" spans="1:19">
      <c r="A1886" s="7"/>
      <c r="B1886" s="12"/>
      <c r="C1886" s="33"/>
      <c r="D1886" s="207" t="s">
        <v>722</v>
      </c>
      <c r="E1886" s="207"/>
      <c r="F1886" s="207"/>
      <c r="G1886" s="207"/>
      <c r="H1886" s="54">
        <f>IFERROR(VLOOKUP(F1854,PASHEET!$A$4:$CJ$103,88,0),"")</f>
        <v>0</v>
      </c>
      <c r="I1886" s="54"/>
      <c r="J1886" s="29"/>
      <c r="K1886" s="29"/>
      <c r="L1886" s="29"/>
      <c r="M1886" s="29"/>
      <c r="N1886" s="29"/>
      <c r="O1886" s="29"/>
      <c r="P1886" s="19"/>
      <c r="Q1886" s="14"/>
      <c r="R1886" s="11"/>
    </row>
    <row r="1887" s="1" customFormat="1" ht="21.95" customHeight="1" spans="1:19">
      <c r="A1887" s="7"/>
      <c r="B1887" s="12"/>
      <c r="C1887" s="213"/>
      <c r="D1887" s="207" t="s">
        <v>723</v>
      </c>
      <c r="E1887" s="207"/>
      <c r="F1887" s="207"/>
      <c r="G1887" s="207"/>
      <c r="H1887" s="54">
        <f>IFERROR(VLOOKUP(F1854,PASHEET!$A$4:$CJ$103,87,0),"")</f>
        <v>0</v>
      </c>
      <c r="I1887" s="54"/>
      <c r="J1887" s="214"/>
      <c r="K1887" s="214"/>
      <c r="L1887" s="207" t="s">
        <v>724</v>
      </c>
      <c r="M1887" s="207"/>
      <c r="N1887" s="117" t="str">
        <f>IF(F1854&gt;ENTRY!$D$24,"",IF(F1854&gt;0,L1878&amp;" / "&amp;600,""))</f>
        <v>132 / 600</v>
      </c>
      <c r="O1887" s="117"/>
      <c r="P1887" s="215"/>
      <c r="Q1887" s="14"/>
      <c r="R1887" s="11"/>
    </row>
    <row r="1888" s="1" customFormat="1" ht="18" customHeight="1" spans="1:19">
      <c r="A1888" s="7"/>
      <c r="B1888" s="12"/>
      <c r="C1888" s="33"/>
      <c r="D1888" s="207" t="s">
        <v>725</v>
      </c>
      <c r="E1888" s="207"/>
      <c r="F1888" s="207"/>
      <c r="G1888" s="207"/>
      <c r="H1888" s="69" t="str">
        <f>IFERROR(IF(F1854&gt;0,H1887/H1886*100),"")</f>
        <v/>
      </c>
      <c r="I1888" s="69"/>
      <c r="J1888" s="29"/>
      <c r="K1888" s="29"/>
      <c r="L1888" s="207" t="s">
        <v>726</v>
      </c>
      <c r="M1888" s="207"/>
      <c r="N1888" s="216">
        <f>IF(F1854&gt;ENTRY!$D$24,"",IF(F1854&gt;0,L1878/600*100,""))</f>
        <v>22</v>
      </c>
      <c r="O1888" s="216"/>
      <c r="P1888" s="19"/>
      <c r="Q1888" s="14"/>
      <c r="R1888" s="11"/>
    </row>
    <row r="1889" s="1" customFormat="1" ht="21.95" customHeight="1" spans="1:18">
      <c r="A1889" s="7"/>
      <c r="B1889" s="12"/>
      <c r="C1889" s="33"/>
      <c r="D1889" s="80"/>
      <c r="E1889" s="80"/>
      <c r="F1889" s="217"/>
      <c r="G1889" s="217"/>
      <c r="H1889" s="217"/>
      <c r="I1889" s="217"/>
      <c r="J1889" s="217"/>
      <c r="K1889" s="217"/>
      <c r="L1889" s="217"/>
      <c r="M1889" s="217"/>
      <c r="N1889" s="80"/>
      <c r="O1889" s="80"/>
      <c r="P1889" s="19"/>
      <c r="Q1889" s="14"/>
      <c r="R1889" s="11"/>
    </row>
    <row r="1890" s="1" customFormat="1" ht="21.95" customHeight="1" spans="1:18">
      <c r="A1890" s="7"/>
      <c r="B1890" s="12"/>
      <c r="C1890" s="33"/>
      <c r="D1890" s="80"/>
      <c r="E1890" s="218"/>
      <c r="F1890" s="218"/>
      <c r="G1890" s="218"/>
      <c r="H1890" s="80"/>
      <c r="I1890" s="218"/>
      <c r="J1890" s="218"/>
      <c r="K1890" s="218"/>
      <c r="L1890" s="218"/>
      <c r="M1890" s="80"/>
      <c r="N1890" s="219"/>
      <c r="O1890" s="219"/>
      <c r="P1890" s="19"/>
      <c r="Q1890" s="14"/>
      <c r="R1890" s="11"/>
    </row>
    <row r="1891" s="1" customFormat="1" ht="21.95" customHeight="1" spans="1:18">
      <c r="A1891" s="7"/>
      <c r="B1891" s="12"/>
      <c r="C1891" s="33"/>
      <c r="D1891" s="80"/>
      <c r="E1891" s="80"/>
      <c r="F1891" s="80"/>
      <c r="G1891" s="80"/>
      <c r="H1891" s="80"/>
      <c r="I1891" s="80"/>
      <c r="J1891" s="80"/>
      <c r="K1891" s="80"/>
      <c r="L1891" s="80"/>
      <c r="M1891" s="80"/>
      <c r="N1891" s="80"/>
      <c r="O1891" s="80"/>
      <c r="P1891" s="19"/>
      <c r="Q1891" s="14"/>
      <c r="R1891" s="11"/>
    </row>
    <row r="1892" s="1" customFormat="1" ht="21.95" customHeight="1" spans="1:18">
      <c r="A1892" s="7"/>
      <c r="B1892" s="12"/>
      <c r="C1892" s="33"/>
      <c r="D1892" s="218"/>
      <c r="E1892" s="218"/>
      <c r="F1892" s="218"/>
      <c r="G1892" s="218"/>
      <c r="H1892" s="218"/>
      <c r="I1892" s="218"/>
      <c r="J1892" s="218"/>
      <c r="K1892" s="218"/>
      <c r="L1892" s="218"/>
      <c r="M1892" s="80"/>
      <c r="N1892" s="217"/>
      <c r="O1892" s="217"/>
      <c r="P1892" s="85" t="s">
        <v>727</v>
      </c>
      <c r="Q1892" s="14"/>
      <c r="R1892" s="11"/>
    </row>
    <row r="1893" s="1" customFormat="1" ht="21.95" customHeight="1" spans="1:18">
      <c r="A1893" s="7"/>
      <c r="B1893" s="12"/>
      <c r="C1893" s="33"/>
      <c r="D1893" s="29"/>
      <c r="E1893" s="29"/>
      <c r="F1893" s="29"/>
      <c r="G1893" s="29"/>
      <c r="H1893" s="29"/>
      <c r="I1893" s="29"/>
      <c r="J1893" s="29"/>
      <c r="K1893" s="29"/>
      <c r="L1893" s="29"/>
      <c r="M1893" s="29"/>
      <c r="N1893" s="29"/>
      <c r="O1893" s="29"/>
      <c r="P1893" s="19"/>
      <c r="Q1893" s="14"/>
      <c r="R1893" s="11"/>
    </row>
    <row r="1894" s="1" customFormat="1" ht="21.95" customHeight="1" spans="1:18">
      <c r="A1894" s="7"/>
      <c r="B1894" s="12"/>
      <c r="C1894" s="33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  <c r="O1894" s="29"/>
      <c r="P1894" s="19"/>
      <c r="Q1894" s="14"/>
      <c r="R1894" s="11"/>
    </row>
    <row r="1895" s="1" customFormat="1" ht="21.95" customHeight="1" spans="1:18">
      <c r="A1895" s="7"/>
      <c r="B1895" s="12"/>
      <c r="C1895" s="33"/>
      <c r="D1895" s="29"/>
      <c r="E1895" s="29"/>
      <c r="F1895" s="29"/>
      <c r="G1895" s="29"/>
      <c r="H1895" s="29"/>
      <c r="I1895" s="29"/>
      <c r="J1895" s="29"/>
      <c r="K1895" s="29"/>
      <c r="L1895" s="29"/>
      <c r="M1895" s="29"/>
      <c r="N1895" s="29"/>
      <c r="O1895" s="29"/>
      <c r="P1895" s="19"/>
      <c r="Q1895" s="14"/>
      <c r="R1895" s="11"/>
    </row>
    <row r="1896" s="1" customFormat="1" ht="21.95" customHeight="1" spans="1:18">
      <c r="A1896" s="7"/>
      <c r="B1896" s="12"/>
      <c r="C1896" s="33"/>
      <c r="D1896" s="29"/>
      <c r="E1896" s="29"/>
      <c r="F1896" s="29"/>
      <c r="G1896" s="29"/>
      <c r="H1896" s="29"/>
      <c r="I1896" s="29"/>
      <c r="J1896" s="29"/>
      <c r="K1896" s="29"/>
      <c r="L1896" s="29"/>
      <c r="M1896" s="29"/>
      <c r="N1896" s="29"/>
      <c r="O1896" s="29"/>
      <c r="P1896" s="19"/>
      <c r="Q1896" s="14"/>
      <c r="R1896" s="11"/>
    </row>
    <row r="1897" s="1" customFormat="1" ht="21.95" customHeight="1" spans="1:18">
      <c r="A1897" s="7"/>
      <c r="B1897" s="12"/>
      <c r="C1897" s="33"/>
      <c r="D1897" s="29"/>
      <c r="E1897" s="29"/>
      <c r="F1897" s="29"/>
      <c r="G1897" s="29"/>
      <c r="H1897" s="29"/>
      <c r="I1897" s="29"/>
      <c r="J1897" s="29"/>
      <c r="K1897" s="29"/>
      <c r="L1897" s="29"/>
      <c r="M1897" s="29"/>
      <c r="N1897" s="29"/>
      <c r="O1897" s="29"/>
      <c r="P1897" s="19"/>
      <c r="Q1897" s="14"/>
      <c r="R1897" s="11"/>
    </row>
    <row r="1898" s="1" customFormat="1" ht="21.95" customHeight="1" spans="1:18">
      <c r="A1898" s="7"/>
      <c r="B1898" s="12"/>
      <c r="C1898" s="33"/>
      <c r="D1898" s="80" t="s">
        <v>728</v>
      </c>
      <c r="E1898" s="220">
        <f>ENTRY!$D$27</f>
        <v>46102</v>
      </c>
      <c r="F1898" s="220"/>
      <c r="G1898" s="29"/>
      <c r="H1898" s="29"/>
      <c r="I1898" s="221" t="s">
        <v>729</v>
      </c>
      <c r="J1898" s="153"/>
      <c r="K1898" s="29"/>
      <c r="L1898" s="29"/>
      <c r="M1898" s="87" t="s">
        <v>730</v>
      </c>
      <c r="N1898" s="87"/>
      <c r="O1898" s="87"/>
      <c r="P1898" s="19"/>
      <c r="Q1898" s="14"/>
      <c r="R1898" s="11"/>
    </row>
    <row r="1899" s="1" customFormat="1" ht="21.95" customHeight="1" spans="1:18">
      <c r="A1899" s="7"/>
      <c r="B1899" s="12"/>
      <c r="C1899" s="33"/>
      <c r="D1899" s="80" t="s">
        <v>731</v>
      </c>
      <c r="E1899" s="88" t="str">
        <f>PROPER(ENTRY!$D$28)</f>
        <v>New Delhi</v>
      </c>
      <c r="F1899" s="88"/>
      <c r="G1899" s="29"/>
      <c r="H1899" s="29"/>
      <c r="I1899" s="153"/>
      <c r="J1899" s="153"/>
      <c r="K1899" s="29"/>
      <c r="L1899" s="29"/>
      <c r="M1899" s="79" t="s">
        <v>732</v>
      </c>
      <c r="N1899" s="79"/>
      <c r="O1899" s="79"/>
      <c r="P1899" s="19"/>
      <c r="Q1899" s="14"/>
      <c r="R1899" s="11"/>
    </row>
    <row r="1900" s="1" customFormat="1" ht="21.95" customHeight="1" spans="1:18">
      <c r="A1900" s="7"/>
      <c r="B1900" s="12"/>
      <c r="C1900" s="90"/>
      <c r="D1900" s="91"/>
      <c r="E1900" s="91"/>
      <c r="F1900" s="91"/>
      <c r="G1900" s="91"/>
      <c r="H1900" s="91"/>
      <c r="I1900" s="91"/>
      <c r="J1900" s="91"/>
      <c r="K1900" s="91"/>
      <c r="L1900" s="91"/>
      <c r="M1900" s="91"/>
      <c r="N1900" s="91"/>
      <c r="O1900" s="91"/>
      <c r="P1900" s="92"/>
      <c r="Q1900" s="14"/>
      <c r="R1900" s="11"/>
    </row>
    <row r="1901" s="1" customFormat="1" ht="5.1" customHeight="1" spans="1:18">
      <c r="A1901" s="7"/>
      <c r="B1901" s="90"/>
      <c r="C1901" s="91"/>
      <c r="D1901" s="91"/>
      <c r="E1901" s="91"/>
      <c r="F1901" s="91"/>
      <c r="G1901" s="91"/>
      <c r="H1901" s="91"/>
      <c r="I1901" s="91"/>
      <c r="J1901" s="91"/>
      <c r="K1901" s="91"/>
      <c r="L1901" s="91"/>
      <c r="M1901" s="91"/>
      <c r="N1901" s="91"/>
      <c r="O1901" s="91"/>
      <c r="P1901" s="91"/>
      <c r="Q1901" s="92"/>
      <c r="R1901" s="11"/>
    </row>
    <row r="1902" s="1" customFormat="1" ht="5.1" customHeight="1" spans="1:18">
      <c r="A1902" s="93"/>
      <c r="B1902" s="94"/>
      <c r="C1902" s="94"/>
      <c r="D1902" s="94"/>
      <c r="E1902" s="94"/>
      <c r="F1902" s="94"/>
      <c r="G1902" s="94"/>
      <c r="H1902" s="94"/>
      <c r="I1902" s="94"/>
      <c r="J1902" s="94"/>
      <c r="K1902" s="94"/>
      <c r="L1902" s="94"/>
      <c r="M1902" s="94"/>
      <c r="N1902" s="94"/>
      <c r="O1902" s="94"/>
      <c r="P1902" s="94"/>
      <c r="Q1902" s="94"/>
      <c r="R1902" s="95"/>
    </row>
    <row r="1903" s="1" customFormat="1" ht="21.95" customHeight="1"/>
    <row r="1904" ht="15.15"/>
    <row r="1905" s="1" customFormat="1" ht="5.1" customHeight="1" spans="1:18">
      <c r="A1905" s="4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6"/>
    </row>
    <row r="1906" s="1" customFormat="1" ht="15" customHeight="1" spans="1:18">
      <c r="A1906" s="7"/>
      <c r="B1906" s="8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9"/>
      <c r="O1906" s="9"/>
      <c r="P1906" s="9"/>
      <c r="Q1906" s="10"/>
      <c r="R1906" s="11"/>
    </row>
    <row r="1907" s="1" customFormat="1" ht="21.95" customHeight="1" spans="1:18">
      <c r="A1907" s="7"/>
      <c r="B1907" s="12"/>
      <c r="C1907" s="13" t="s">
        <v>7</v>
      </c>
      <c r="D1907" s="13"/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/>
      <c r="Q1907" s="14"/>
      <c r="R1907" s="11"/>
    </row>
    <row r="1908" s="1" customFormat="1" ht="21.95" customHeight="1" spans="1:18">
      <c r="A1908" s="7"/>
      <c r="B1908" s="1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14"/>
      <c r="R1908" s="11"/>
    </row>
    <row r="1909" s="1" customFormat="1" ht="21.95" customHeight="1" spans="1:18">
      <c r="A1909" s="7"/>
      <c r="B1909" s="12"/>
      <c r="C1909" s="15" t="str">
        <f>"SESSION-"&amp;ENTRY!$D$11</f>
        <v>SESSION-2026-27</v>
      </c>
      <c r="D1909" s="15"/>
      <c r="E1909" s="15"/>
      <c r="F1909" s="15"/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4"/>
      <c r="R1909" s="11"/>
    </row>
    <row r="1910" s="1" customFormat="1" ht="21.95" customHeight="1" spans="1:18">
      <c r="A1910" s="7"/>
      <c r="B1910" s="12"/>
      <c r="C1910" s="2"/>
      <c r="D1910" s="2"/>
      <c r="E1910" s="2"/>
      <c r="F1910" s="16">
        <f>F1854+1</f>
        <v>35</v>
      </c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14"/>
      <c r="R1910" s="11"/>
    </row>
    <row r="1911" s="1" customFormat="1" ht="21.95" customHeight="1" spans="1:18">
      <c r="A1911" s="7"/>
      <c r="B1911" s="12"/>
      <c r="C1911" s="17" t="s">
        <v>392</v>
      </c>
      <c r="D1911" s="17"/>
      <c r="E1911" s="17"/>
      <c r="F1911" s="18" t="str">
        <f>IF(F1910&gt;0,ENTRY!$D$6,"")</f>
        <v>MCP NITHARI NO 1 BOYS</v>
      </c>
      <c r="G1911" s="18"/>
      <c r="H1911" s="18"/>
      <c r="I1911" s="18"/>
      <c r="J1911" s="18"/>
      <c r="K1911" s="18"/>
      <c r="L1911" s="18"/>
      <c r="M1911" s="18"/>
      <c r="N1911" s="18"/>
      <c r="O1911" s="18"/>
      <c r="P1911" s="18"/>
      <c r="Q1911" s="14"/>
      <c r="R1911" s="11"/>
    </row>
    <row r="1912" s="1" customFormat="1" ht="21.95" customHeight="1" spans="1:18">
      <c r="A1912" s="7"/>
      <c r="B1912" s="12"/>
      <c r="C1912" s="17" t="s">
        <v>393</v>
      </c>
      <c r="D1912" s="17"/>
      <c r="E1912" s="17"/>
      <c r="F1912" s="18">
        <f>IF(F1910&gt;0,ENTRY!$D$7,"")</f>
        <v>0</v>
      </c>
      <c r="G1912" s="18"/>
      <c r="H1912" s="20" t="s">
        <v>702</v>
      </c>
      <c r="I1912" s="20"/>
      <c r="J1912" s="21">
        <f>IF(F1910&gt;0,ENTRY!$D$10,"")</f>
        <v>40</v>
      </c>
      <c r="K1912" s="20" t="s">
        <v>703</v>
      </c>
      <c r="L1912" s="22" t="str">
        <f>IF(F1910&gt;0,ENTRY!$D$5,"")</f>
        <v>ROHINI ZONE</v>
      </c>
      <c r="M1912" s="22"/>
      <c r="N1912" s="22"/>
      <c r="O1912" s="22"/>
      <c r="P1912" s="22"/>
      <c r="Q1912" s="14"/>
      <c r="R1912" s="11"/>
    </row>
    <row r="1913" s="1" customFormat="1" ht="21.95" customHeight="1" spans="1:18">
      <c r="A1913" s="7"/>
      <c r="B1913" s="12"/>
      <c r="C1913" s="17" t="s">
        <v>706</v>
      </c>
      <c r="D1913" s="17"/>
      <c r="E1913" s="17"/>
      <c r="F1913" s="23" t="str">
        <f>IFERROR(VLOOKUP(F1910,STUDENT!$A$2:$BP$101,5,0),"")</f>
        <v>NIKHIL KUMAR</v>
      </c>
      <c r="G1913" s="23"/>
      <c r="H1913" s="23"/>
      <c r="I1913" s="23"/>
      <c r="J1913" s="23"/>
      <c r="K1913" s="23"/>
      <c r="L1913" s="20" t="s">
        <v>707</v>
      </c>
      <c r="M1913" s="20"/>
      <c r="N1913" s="24" t="str">
        <f>IF(F1910&gt;0,ENTRY!$D$20&amp;"-"&amp;ENTRY!$D$21,"")</f>
        <v>III-A</v>
      </c>
      <c r="O1913" s="24"/>
      <c r="P1913" s="24"/>
      <c r="Q1913" s="14"/>
      <c r="R1913" s="11"/>
    </row>
    <row r="1914" s="1" customFormat="1" ht="21.95" customHeight="1" spans="1:18">
      <c r="A1914" s="7"/>
      <c r="B1914" s="12"/>
      <c r="C1914" s="17" t="s">
        <v>708</v>
      </c>
      <c r="D1914" s="17"/>
      <c r="E1914" s="17"/>
      <c r="F1914" s="25">
        <f>IFERROR(VLOOKUP(F1910,STUDENT!$A$2:$BP$101,6,0),"")</f>
        <v>15104</v>
      </c>
      <c r="G1914" s="25"/>
      <c r="H1914" s="26" t="s">
        <v>709</v>
      </c>
      <c r="I1914" s="27" t="str">
        <f>IFERROR(VLOOKUP(F1910,STUDENT!$A$2:$BP$101,59,0),"")</f>
        <v/>
      </c>
      <c r="J1914" s="27"/>
      <c r="K1914" s="20" t="s">
        <v>710</v>
      </c>
      <c r="L1914" s="20"/>
      <c r="M1914" s="28">
        <f>IFERROR(VLOOKUP(F1910,STUDENT!$A$2:$BP$101,20,0),"")</f>
        <v>9717319030</v>
      </c>
      <c r="N1914" s="28"/>
      <c r="O1914" s="28"/>
      <c r="P1914" s="28"/>
      <c r="Q1914" s="14"/>
      <c r="R1914" s="11"/>
    </row>
    <row r="1915" s="1" customFormat="1" ht="21.95" customHeight="1" spans="1:18">
      <c r="A1915" s="7"/>
      <c r="B1915" s="12"/>
      <c r="C1915" s="17" t="s">
        <v>711</v>
      </c>
      <c r="D1915" s="17"/>
      <c r="E1915" s="17"/>
      <c r="F1915" s="23" t="str">
        <f>IFERROR(VLOOKUP(F1910,STUDENT!$A$2:$BP$101,9,0),"")</f>
        <v>NEETU</v>
      </c>
      <c r="G1915" s="23"/>
      <c r="H1915" s="23"/>
      <c r="I1915" s="23"/>
      <c r="J1915" s="17" t="s">
        <v>620</v>
      </c>
      <c r="K1915" s="17"/>
      <c r="L1915" s="23" t="str">
        <f>IFERROR(VLOOKUP(F1910,STUDENT!$A$2:$BP$101,8,0),"")</f>
        <v>SUNIL KUMAR</v>
      </c>
      <c r="M1915" s="23"/>
      <c r="N1915" s="23"/>
      <c r="O1915" s="23"/>
      <c r="P1915" s="23"/>
      <c r="Q1915" s="14"/>
      <c r="R1915" s="11"/>
    </row>
    <row r="1916" s="1" customFormat="1" ht="21.95" customHeight="1" spans="1:18">
      <c r="A1916" s="7"/>
      <c r="B1916" s="12"/>
      <c r="C1916" s="17" t="s">
        <v>712</v>
      </c>
      <c r="D1916" s="17"/>
      <c r="E1916" s="17"/>
      <c r="F1916" s="23" t="str">
        <f>IFERROR(VLOOKUP(F1910,STUDENT!$A$2:$BP$101,22,0),"")</f>
        <v>E-236 GALI NO -2 PREM NAGAR</v>
      </c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14"/>
      <c r="R1916" s="11"/>
    </row>
    <row r="1917" s="1" customFormat="1" ht="9.95" customHeight="1" spans="1:18">
      <c r="A1917" s="7"/>
      <c r="B1917" s="12"/>
      <c r="C1917" s="29"/>
      <c r="D1917" s="29"/>
      <c r="E1917" s="29"/>
      <c r="F1917" s="29"/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14"/>
      <c r="R1917" s="11"/>
    </row>
    <row r="1918" s="1" customFormat="1" ht="9.95" customHeight="1" spans="1:18">
      <c r="A1918" s="7"/>
      <c r="B1918" s="12"/>
      <c r="C1918" s="30"/>
      <c r="D1918" s="31"/>
      <c r="E1918" s="31"/>
      <c r="F1918" s="31"/>
      <c r="G1918" s="31"/>
      <c r="H1918" s="31"/>
      <c r="I1918" s="31"/>
      <c r="J1918" s="31"/>
      <c r="K1918" s="31"/>
      <c r="L1918" s="31"/>
      <c r="M1918" s="31"/>
      <c r="N1918" s="31"/>
      <c r="O1918" s="31"/>
      <c r="P1918" s="32"/>
      <c r="Q1918" s="14"/>
      <c r="R1918" s="11"/>
    </row>
    <row r="1919" s="1" customFormat="1" ht="21.95" customHeight="1" spans="1:18">
      <c r="A1919" s="7"/>
      <c r="B1919" s="12"/>
      <c r="C1919" s="33"/>
      <c r="D1919" s="34" t="s">
        <v>713</v>
      </c>
      <c r="E1919" s="20" t="s">
        <v>714</v>
      </c>
      <c r="F1919" s="35" t="str">
        <f>"Level - "&amp;IFERROR(VLOOKUP(F1910,FLN!$A$4:$K$103,9,0),"")</f>
        <v>Level - 2</v>
      </c>
      <c r="G1919" s="36"/>
      <c r="H1919" s="37" t="s">
        <v>715</v>
      </c>
      <c r="I1919" s="20"/>
      <c r="J1919" s="35" t="str">
        <f>"Level - "&amp;IFERROR(VLOOKUP(F1910,FLN!$A$4:$K$103,11,0),"")</f>
        <v>Level - 3</v>
      </c>
      <c r="K1919" s="36"/>
      <c r="L1919" s="37" t="s">
        <v>408</v>
      </c>
      <c r="M1919" s="20"/>
      <c r="N1919" s="35" t="str">
        <f>"Level - "&amp;IFERROR(VLOOKUP(F1910,FLN!$A$4:$K$103,10,0),"")</f>
        <v>Level - 2</v>
      </c>
      <c r="O1919" s="36"/>
      <c r="P1919" s="19"/>
      <c r="Q1919" s="14"/>
      <c r="R1919" s="11"/>
    </row>
    <row r="1920" s="1" customFormat="1" ht="21.95" customHeight="1" spans="1:18">
      <c r="A1920" s="7"/>
      <c r="B1920" s="12"/>
      <c r="C1920" s="33"/>
      <c r="D1920" s="38"/>
      <c r="E1920" s="20" t="s">
        <v>716</v>
      </c>
      <c r="F1920" s="18" t="str">
        <f>IF(L1934&gt;197,"PERFORMED WELL","")</f>
        <v/>
      </c>
      <c r="G1920" s="18"/>
      <c r="H1920" s="18"/>
      <c r="I1920" s="18"/>
      <c r="J1920" s="18"/>
      <c r="K1920" s="18"/>
      <c r="L1920" s="18"/>
      <c r="M1920" s="18"/>
      <c r="N1920" s="18"/>
      <c r="O1920" s="18"/>
      <c r="P1920" s="19"/>
      <c r="Q1920" s="14"/>
      <c r="R1920" s="11"/>
    </row>
    <row r="1921" s="1" customFormat="1" ht="9.95" customHeight="1" spans="1:18">
      <c r="A1921" s="7"/>
      <c r="B1921" s="12"/>
      <c r="C1921" s="39"/>
      <c r="D1921" s="40"/>
      <c r="E1921" s="40"/>
      <c r="F1921" s="40"/>
      <c r="G1921" s="40"/>
      <c r="H1921" s="40"/>
      <c r="I1921" s="40"/>
      <c r="J1921" s="40"/>
      <c r="K1921" s="40"/>
      <c r="L1921" s="40"/>
      <c r="M1921" s="40"/>
      <c r="N1921" s="40"/>
      <c r="O1921" s="40"/>
      <c r="P1921" s="41"/>
      <c r="Q1921" s="14"/>
      <c r="R1921" s="11"/>
    </row>
    <row r="1922" s="1" customFormat="1" ht="9.95" customHeight="1" spans="1:18">
      <c r="A1922" s="7"/>
      <c r="B1922" s="12"/>
      <c r="C1922" s="29"/>
      <c r="D1922" s="29"/>
      <c r="E1922" s="29"/>
      <c r="F1922" s="29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14"/>
      <c r="R1922" s="11"/>
    </row>
    <row r="1923" s="1" customFormat="1" ht="9.95" customHeight="1" spans="1:18">
      <c r="A1923" s="7"/>
      <c r="B1923" s="12"/>
      <c r="C1923" s="30"/>
      <c r="D1923" s="31"/>
      <c r="E1923" s="31"/>
      <c r="F1923" s="31"/>
      <c r="G1923" s="31"/>
      <c r="H1923" s="31"/>
      <c r="I1923" s="31"/>
      <c r="J1923" s="31"/>
      <c r="K1923" s="31"/>
      <c r="L1923" s="31"/>
      <c r="M1923" s="31"/>
      <c r="N1923" s="31"/>
      <c r="O1923" s="31"/>
      <c r="P1923" s="32"/>
      <c r="Q1923" s="14"/>
      <c r="R1923" s="11"/>
    </row>
    <row r="1924" s="1" customFormat="1" ht="21.95" customHeight="1" spans="1:18">
      <c r="A1924" s="7"/>
      <c r="B1924" s="12"/>
      <c r="C1924" s="33"/>
      <c r="D1924" s="35"/>
      <c r="E1924" s="24"/>
      <c r="F1924" s="24"/>
      <c r="G1924" s="47" t="s">
        <v>717</v>
      </c>
      <c r="H1924" s="47"/>
      <c r="I1924" s="47"/>
      <c r="J1924" s="47"/>
      <c r="K1924" s="47"/>
      <c r="L1924" s="47"/>
      <c r="M1924" s="47"/>
      <c r="N1924" s="47"/>
      <c r="O1924" s="29"/>
      <c r="P1924" s="19"/>
      <c r="Q1924" s="14"/>
      <c r="R1924" s="11"/>
    </row>
    <row r="1925" s="1" customFormat="1" ht="21.95" customHeight="1" spans="1:18">
      <c r="A1925" s="7"/>
      <c r="B1925" s="12"/>
      <c r="C1925" s="33"/>
      <c r="D1925" s="47"/>
      <c r="E1925" s="47"/>
      <c r="F1925" s="47"/>
      <c r="G1925" s="47" t="s">
        <v>541</v>
      </c>
      <c r="H1925" s="47" t="s">
        <v>542</v>
      </c>
      <c r="I1925" s="47" t="s">
        <v>543</v>
      </c>
      <c r="J1925" s="47" t="s">
        <v>544</v>
      </c>
      <c r="K1925" s="47" t="s">
        <v>561</v>
      </c>
      <c r="L1925" s="47" t="s">
        <v>382</v>
      </c>
      <c r="M1925" s="49" t="s">
        <v>546</v>
      </c>
      <c r="N1925" s="49"/>
      <c r="O1925" s="29"/>
      <c r="P1925" s="19"/>
      <c r="Q1925" s="14"/>
      <c r="R1925" s="11"/>
    </row>
    <row r="1926" s="1" customFormat="1" ht="21.95" customHeight="1" spans="1:18">
      <c r="A1926" s="7"/>
      <c r="B1926" s="12"/>
      <c r="C1926" s="33"/>
      <c r="D1926" s="207" t="s">
        <v>652</v>
      </c>
      <c r="E1926" s="207"/>
      <c r="F1926" s="207"/>
      <c r="G1926" s="50">
        <v>10</v>
      </c>
      <c r="H1926" s="50">
        <v>10</v>
      </c>
      <c r="I1926" s="50">
        <v>10</v>
      </c>
      <c r="J1926" s="50">
        <v>10</v>
      </c>
      <c r="K1926" s="50">
        <v>60</v>
      </c>
      <c r="L1926" s="50">
        <v>100</v>
      </c>
      <c r="M1926" s="49"/>
      <c r="N1926" s="49"/>
      <c r="O1926" s="29"/>
      <c r="P1926" s="19"/>
      <c r="Q1926" s="14"/>
      <c r="R1926" s="11"/>
    </row>
    <row r="1927" s="1" customFormat="1" ht="21.95" customHeight="1" spans="1:18">
      <c r="A1927" s="7"/>
      <c r="B1927" s="12"/>
      <c r="C1927" s="33"/>
      <c r="D1927" s="117" t="s">
        <v>668</v>
      </c>
      <c r="E1927" s="117"/>
      <c r="F1927" s="117"/>
      <c r="G1927" s="54">
        <f>IFERROR(VLOOKUP(F1910,'1to4-2.1-RR'!$A$12:$BG$111,9,0),"")</f>
        <v>1</v>
      </c>
      <c r="H1927" s="54">
        <f>IFERROR(VLOOKUP(F1910,'1to4-2.1-RR'!$A$12:$BG$111,10,0),"")</f>
        <v>0</v>
      </c>
      <c r="I1927" s="54">
        <f>IFERROR(VLOOKUP(F1910,'1to4-2.1-RR'!$A$12:$BG$111,11,0),"")</f>
        <v>0</v>
      </c>
      <c r="J1927" s="54">
        <f>IFERROR(VLOOKUP(F1910,'1to4-2.1-RR'!$A$12:$BG$111,12,0),"")</f>
        <v>0</v>
      </c>
      <c r="K1927" s="54">
        <f>IFERROR(VLOOKUP(F1910,'1to4-2.1-RR'!$A$12:$BG$111,13,0),"")</f>
        <v>36</v>
      </c>
      <c r="L1927" s="55">
        <f>SUM(G1927:K1927)</f>
        <v>37</v>
      </c>
      <c r="M1927" s="56" t="str">
        <f>IF(F1910&gt;ENTRY!$D$24,"",IF(L1927=0,"Ab",IF(L1927&gt;80,"A",IF(L1927&gt;60,"B",IF(L1927&gt;44,"C",IF(L1927&gt;=33,"D",IF(L1927&lt;=32,"E","")))))))</f>
        <v>D</v>
      </c>
      <c r="N1927" s="56"/>
      <c r="O1927" s="29"/>
      <c r="P1927" s="19"/>
      <c r="Q1927" s="14"/>
      <c r="R1927" s="11"/>
    </row>
    <row r="1928" s="1" customFormat="1" ht="21.95" customHeight="1" spans="1:18">
      <c r="A1928" s="7"/>
      <c r="B1928" s="12"/>
      <c r="C1928" s="33"/>
      <c r="D1928" s="117" t="s">
        <v>513</v>
      </c>
      <c r="E1928" s="117"/>
      <c r="F1928" s="117"/>
      <c r="G1928" s="54">
        <f>IFERROR(VLOOKUP(F1910,'1to4-2.1-RR'!$A$12:$BG$111,16,0),"")</f>
        <v>1</v>
      </c>
      <c r="H1928" s="54">
        <f>IFERROR(VLOOKUP(F1910,'1to4-2.1-RR'!$A$12:$BG$111,17,0),"")</f>
        <v>0</v>
      </c>
      <c r="I1928" s="54">
        <f>IFERROR(VLOOKUP(F1910,'1to4-2.1-RR'!$A$12:$BG$111,18,0),"")</f>
        <v>0</v>
      </c>
      <c r="J1928" s="54">
        <f>IFERROR(VLOOKUP(F1910,'1to4-2.1-RR'!$A$12:$BG$111,19,0),"")</f>
        <v>0</v>
      </c>
      <c r="K1928" s="54">
        <f>IFERROR(VLOOKUP(F1910,'1to4-2.1-RR'!$A$12:$BG$111,20,0),"")</f>
        <v>11</v>
      </c>
      <c r="L1928" s="55">
        <f t="shared" ref="L1928:L1933" si="68">SUM(G1928:K1928)</f>
        <v>12</v>
      </c>
      <c r="M1928" s="56" t="str">
        <f>IF(F1910&gt;ENTRY!$D$24,"",IF(L1928=0,"Ab",IF(L1928&gt;80,"A",IF(L1928&gt;60,"B",IF(L1928&gt;44,"C",IF(L1928&gt;=33,"D",IF(L1928&lt;=32,"E","")))))))</f>
        <v>E</v>
      </c>
      <c r="N1928" s="56"/>
      <c r="O1928" s="29"/>
      <c r="P1928" s="19"/>
      <c r="Q1928" s="14"/>
      <c r="R1928" s="11"/>
    </row>
    <row r="1929" s="1" customFormat="1" ht="21.95" customHeight="1" spans="1:18">
      <c r="A1929" s="7"/>
      <c r="B1929" s="12"/>
      <c r="C1929" s="33"/>
      <c r="D1929" s="117" t="s">
        <v>718</v>
      </c>
      <c r="E1929" s="117"/>
      <c r="F1929" s="117"/>
      <c r="G1929" s="54">
        <f>IFERROR(VLOOKUP(F1910,'1to4-2.1-RR'!$A$12:$BG$111,23,0),"")</f>
        <v>2</v>
      </c>
      <c r="H1929" s="54">
        <f>IFERROR(VLOOKUP(F1910,'1to4-2.1-RR'!$A$12:$BG$111,24,0),"")</f>
        <v>0</v>
      </c>
      <c r="I1929" s="54">
        <f>IFERROR(VLOOKUP(F1910,'1to4-2.1-RR'!$A$12:$BG$111,25,0),"")</f>
        <v>0</v>
      </c>
      <c r="J1929" s="54">
        <f>IFERROR(VLOOKUP(F1910,'1to4-2.1-RR'!$A$12:$BG$111,26,0),"")</f>
        <v>0</v>
      </c>
      <c r="K1929" s="54">
        <f>IFERROR(VLOOKUP(F1910,'1to4-2.1-RR'!$A$12:$BG$111,27,0),"")</f>
        <v>22</v>
      </c>
      <c r="L1929" s="55">
        <f t="shared" si="68"/>
        <v>24</v>
      </c>
      <c r="M1929" s="56" t="str">
        <f>IF(F1910&gt;ENTRY!$D$24,"",IF(L1929=0,"Ab",IF(L1929&gt;80,"A",IF(L1929&gt;60,"B",IF(L1929&gt;44,"C",IF(L1929&gt;=33,"D",IF(L1929&lt;=32,"E","")))))))</f>
        <v>E</v>
      </c>
      <c r="N1929" s="56"/>
      <c r="O1929" s="29"/>
      <c r="P1929" s="19"/>
      <c r="Q1929" s="14"/>
      <c r="R1929" s="11"/>
    </row>
    <row r="1930" s="1" customFormat="1" ht="21.95" customHeight="1" spans="1:18">
      <c r="A1930" s="7"/>
      <c r="B1930" s="12"/>
      <c r="C1930" s="33"/>
      <c r="D1930" s="117" t="s">
        <v>719</v>
      </c>
      <c r="E1930" s="117"/>
      <c r="F1930" s="117"/>
      <c r="G1930" s="54">
        <f>IFERROR(VLOOKUP(F1910,'1to4-2.1-RR'!$A$12:$BG$111,30,0),"")</f>
        <v>1</v>
      </c>
      <c r="H1930" s="54">
        <f>IFERROR(VLOOKUP(F1910,'1to4-2.1-RR'!$A$12:$BG$111,31,0),"")</f>
        <v>0</v>
      </c>
      <c r="I1930" s="54">
        <f>IFERROR(VLOOKUP(F1910,'1to4-2.1-RR'!$A$12:$BG$111,32,0),"")</f>
        <v>0</v>
      </c>
      <c r="J1930" s="54">
        <f>IFERROR(VLOOKUP(F1910,'1to4-2.1-RR'!$A$12:$BG$111,33,0),"")</f>
        <v>0</v>
      </c>
      <c r="K1930" s="54">
        <f>IFERROR(VLOOKUP(F1910,'1to4-2.1-RR'!$A$12:$BG$111,34,0),"")</f>
        <v>13</v>
      </c>
      <c r="L1930" s="55">
        <f t="shared" si="68"/>
        <v>14</v>
      </c>
      <c r="M1930" s="56" t="str">
        <f>IF(F1910&gt;ENTRY!$D$24,"",IF(L1930=0,"Ab",IF(L1930&gt;80,"A",IF(L1930&gt;60,"B",IF(L1930&gt;44,"C",IF(L1930&gt;=33,"D",IF(L1930&lt;=32,"E","")))))))</f>
        <v>E</v>
      </c>
      <c r="N1930" s="56"/>
      <c r="O1930" s="29"/>
      <c r="P1930" s="19"/>
      <c r="Q1930" s="14"/>
      <c r="R1930" s="11"/>
    </row>
    <row r="1931" s="1" customFormat="1" ht="21.95" customHeight="1" spans="1:18">
      <c r="A1931" s="7"/>
      <c r="B1931" s="12"/>
      <c r="C1931" s="33"/>
      <c r="D1931" s="117" t="s">
        <v>548</v>
      </c>
      <c r="E1931" s="117"/>
      <c r="F1931" s="117"/>
      <c r="G1931" s="54">
        <f>IFERROR(VLOOKUP(F1910,'1to4-2.1-RR'!$A$12:$BG$111,37,0),"")</f>
        <v>0</v>
      </c>
      <c r="H1931" s="54">
        <f>IFERROR(VLOOKUP(F1910,'1to4-2.1-RR'!$A$12:$BG$111,38,0),"")</f>
        <v>0</v>
      </c>
      <c r="I1931" s="54">
        <f>IFERROR(VLOOKUP(F1910,'1to4-2.1-RR'!$A$12:$BG$111,39,0),"")</f>
        <v>0</v>
      </c>
      <c r="J1931" s="54">
        <f>IFERROR(VLOOKUP(F1910,'1to4-2.1-RR'!$A$12:$BG$111,40,0),"")</f>
        <v>0</v>
      </c>
      <c r="K1931" s="54">
        <f>IFERROR(VLOOKUP(F1910,'1to4-2.1-RR'!$A$12:$BG$111,41,0),"")</f>
        <v>14</v>
      </c>
      <c r="L1931" s="55">
        <f t="shared" si="68"/>
        <v>14</v>
      </c>
      <c r="M1931" s="56" t="str">
        <f>IF(F1910&gt;ENTRY!$D$24,"",IF(L1931=0,"Ab",IF(L1931&gt;80,"A",IF(L1931&gt;60,"B",IF(L1931&gt;44,"C",IF(L1931&gt;=33,"D",IF(L1931&lt;=32,"E","")))))))</f>
        <v>E</v>
      </c>
      <c r="N1931" s="56"/>
      <c r="O1931" s="29"/>
      <c r="P1931" s="19"/>
      <c r="Q1931" s="14"/>
      <c r="R1931" s="11"/>
    </row>
    <row r="1932" s="1" customFormat="1" ht="21.95" customHeight="1" spans="1:18">
      <c r="A1932" s="7"/>
      <c r="B1932" s="12"/>
      <c r="C1932" s="33"/>
      <c r="D1932" s="117" t="s">
        <v>549</v>
      </c>
      <c r="E1932" s="117"/>
      <c r="F1932" s="117"/>
      <c r="G1932" s="54">
        <f>IFERROR(VLOOKUP(F1910,'1to4-2.1-RR'!$A$12:$BG$111,44,0),"")</f>
        <v>2</v>
      </c>
      <c r="H1932" s="54">
        <f>IFERROR(VLOOKUP(F1910,'1to4-2.1-RR'!$A$12:$BG$111,45,0),"")</f>
        <v>0</v>
      </c>
      <c r="I1932" s="54">
        <f>IFERROR(VLOOKUP(F1910,'1to4-2.1-RR'!$A$12:$BG$111,46,0),"")</f>
        <v>0</v>
      </c>
      <c r="J1932" s="54">
        <f>IFERROR(VLOOKUP(F1910,'1to4-2.1-RR'!$A$12:$BG$111,47,0),"")</f>
        <v>0</v>
      </c>
      <c r="K1932" s="54">
        <f>IFERROR(VLOOKUP(F1910,'1to4-2.1-RR'!$A$12:$BG$111,48,0),"")</f>
        <v>22</v>
      </c>
      <c r="L1932" s="55">
        <f t="shared" si="68"/>
        <v>24</v>
      </c>
      <c r="M1932" s="56" t="str">
        <f>IF(F1910&gt;ENTRY!$D$24,"",IF(L1932=0,"Ab",IF(L1932&gt;80,"A",IF(L1932&gt;60,"B",IF(L1932&gt;44,"C",IF(L1932&gt;=33,"D",IF(L1932&lt;=32,"E","")))))))</f>
        <v>E</v>
      </c>
      <c r="N1932" s="56"/>
      <c r="O1932" s="29"/>
      <c r="P1932" s="19"/>
      <c r="Q1932" s="14"/>
      <c r="R1932" s="11"/>
    </row>
    <row r="1933" s="1" customFormat="1" ht="21.95" customHeight="1" spans="1:18">
      <c r="A1933" s="7"/>
      <c r="B1933" s="12"/>
      <c r="C1933" s="33"/>
      <c r="D1933" s="117" t="s">
        <v>720</v>
      </c>
      <c r="E1933" s="117"/>
      <c r="F1933" s="117"/>
      <c r="G1933" s="54"/>
      <c r="H1933" s="54"/>
      <c r="I1933" s="54"/>
      <c r="J1933" s="54"/>
      <c r="K1933" s="54"/>
      <c r="L1933" s="55">
        <f t="shared" si="68"/>
        <v>0</v>
      </c>
      <c r="M1933" s="56" t="str">
        <f>IF(F1910&gt;ENTRY!$D$24,"",IF(L1933=0,"",IF(L1933&gt;79,"A",IF(L1933&gt;59,"B",IF(L1933&gt;44,"C",IF(L1933&gt;=33,"D",IF(L1933&lt;=32,"E","")))))))</f>
        <v/>
      </c>
      <c r="N1933" s="56"/>
      <c r="O1933" s="29"/>
      <c r="P1933" s="19"/>
      <c r="Q1933" s="14"/>
      <c r="R1933" s="11"/>
    </row>
    <row r="1934" s="1" customFormat="1" ht="21.95" customHeight="1" spans="1:18">
      <c r="A1934" s="7"/>
      <c r="B1934" s="12"/>
      <c r="C1934" s="33"/>
      <c r="D1934" s="207" t="s">
        <v>382</v>
      </c>
      <c r="E1934" s="207"/>
      <c r="F1934" s="207"/>
      <c r="G1934" s="54">
        <f t="shared" ref="G1934:L1934" si="69">IFERROR(SUM(G1927:G1933),"")</f>
        <v>7</v>
      </c>
      <c r="H1934" s="54">
        <f t="shared" si="69"/>
        <v>0</v>
      </c>
      <c r="I1934" s="54">
        <f t="shared" si="69"/>
        <v>0</v>
      </c>
      <c r="J1934" s="54">
        <f t="shared" si="69"/>
        <v>0</v>
      </c>
      <c r="K1934" s="54">
        <f t="shared" si="69"/>
        <v>118</v>
      </c>
      <c r="L1934" s="55">
        <f t="shared" si="69"/>
        <v>125</v>
      </c>
      <c r="M1934" s="61" t="str">
        <f>IF(F1910&gt;ENTRY!$D$24,"",IF(N1935="Ab","Ab",IF(N1935&gt;79.5,"A",IF(N1935&gt;59.5,"B",IF(N1935&gt;44.5,"C",IF(N1935&gt;=33,"D",IF(N1935&lt;33,"E","")))))))</f>
        <v>E</v>
      </c>
      <c r="N1934" s="61"/>
      <c r="O1934" s="29"/>
      <c r="P1934" s="19"/>
      <c r="Q1934" s="14"/>
      <c r="R1934" s="11"/>
    </row>
    <row r="1935" s="1" customFormat="1" ht="21.95" customHeight="1" spans="1:18">
      <c r="A1935" s="7"/>
      <c r="B1935" s="12"/>
      <c r="C1935" s="33"/>
      <c r="D1935" s="63" t="s">
        <v>721</v>
      </c>
      <c r="E1935" s="63"/>
      <c r="F1935" s="63"/>
      <c r="G1935" s="63"/>
      <c r="H1935" s="63"/>
      <c r="I1935" s="63"/>
      <c r="J1935" s="63"/>
      <c r="K1935" s="63"/>
      <c r="L1935" s="63"/>
      <c r="M1935" s="209"/>
      <c r="N1935" s="64">
        <f>IF(L1934="Ab","Ab",L1934/6)</f>
        <v>20.8333333333333</v>
      </c>
      <c r="O1935" s="65"/>
      <c r="P1935" s="19"/>
      <c r="Q1935" s="14"/>
      <c r="R1935" s="11"/>
    </row>
    <row r="1936" s="1" customFormat="1" ht="21.95" customHeight="1" spans="1:18">
      <c r="A1936" s="7"/>
      <c r="B1936" s="12"/>
      <c r="C1936" s="33"/>
      <c r="D1936" s="29" t="s">
        <v>716</v>
      </c>
      <c r="E1936" s="18" t="str">
        <f>IFERROR(VLOOKUP(F1910,'1to4-2.1-RR'!$A$12:$BG$111,57,0),"")</f>
        <v>PROMOTED</v>
      </c>
      <c r="F1936" s="18"/>
      <c r="G1936" s="18"/>
      <c r="H1936" s="18"/>
      <c r="I1936" s="18"/>
      <c r="J1936" s="18"/>
      <c r="K1936" s="18"/>
      <c r="L1936" s="18"/>
      <c r="M1936" s="18"/>
      <c r="N1936" s="29"/>
      <c r="O1936" s="29"/>
      <c r="P1936" s="19"/>
      <c r="Q1936" s="14"/>
      <c r="R1936" s="11"/>
    </row>
    <row r="1937" s="1" customFormat="1" ht="9.95" customHeight="1" spans="1:19">
      <c r="A1937" s="7"/>
      <c r="B1937" s="12"/>
      <c r="C1937" s="39"/>
      <c r="D1937" s="40"/>
      <c r="E1937" s="40"/>
      <c r="F1937" s="40"/>
      <c r="G1937" s="40"/>
      <c r="H1937" s="40"/>
      <c r="I1937" s="40"/>
      <c r="J1937" s="40"/>
      <c r="K1937" s="40"/>
      <c r="L1937" s="40"/>
      <c r="M1937" s="40"/>
      <c r="N1937" s="40"/>
      <c r="O1937" s="40"/>
      <c r="P1937" s="41"/>
      <c r="Q1937" s="14"/>
      <c r="R1937" s="11"/>
    </row>
    <row r="1938" s="1" customFormat="1" ht="9.95" customHeight="1" spans="1:19">
      <c r="A1938" s="7"/>
      <c r="B1938" s="12"/>
      <c r="C1938" s="30"/>
      <c r="D1938" s="31"/>
      <c r="E1938" s="31"/>
      <c r="F1938" s="29"/>
      <c r="G1938" s="31"/>
      <c r="H1938" s="31"/>
      <c r="I1938" s="31"/>
      <c r="J1938" s="31"/>
      <c r="K1938" s="31"/>
      <c r="L1938" s="31"/>
      <c r="M1938" s="31"/>
      <c r="N1938" s="31"/>
      <c r="O1938" s="31"/>
      <c r="P1938" s="32"/>
      <c r="Q1938" s="14"/>
      <c r="R1938" s="11"/>
    </row>
    <row r="1939" s="1" customFormat="1" ht="9.95" customHeight="1" spans="1:19">
      <c r="A1939" s="7"/>
      <c r="B1939" s="12"/>
      <c r="C1939" s="33"/>
      <c r="D1939" s="29"/>
      <c r="E1939" s="29"/>
      <c r="F1939" s="29"/>
      <c r="G1939" s="29"/>
      <c r="H1939" s="29"/>
      <c r="I1939" s="29"/>
      <c r="J1939" s="29"/>
      <c r="K1939" s="29"/>
      <c r="L1939" s="29"/>
      <c r="M1939" s="29"/>
      <c r="N1939" s="29"/>
      <c r="O1939" s="29"/>
      <c r="P1939" s="19"/>
      <c r="Q1939" s="14"/>
      <c r="R1939" s="11"/>
    </row>
    <row r="1940" s="1" customFormat="1" ht="9.95" customHeight="1" spans="1:19">
      <c r="A1940" s="7"/>
      <c r="B1940" s="12"/>
      <c r="C1940" s="33"/>
      <c r="D1940" s="29"/>
      <c r="E1940" s="29"/>
      <c r="F1940" s="29"/>
      <c r="G1940" s="29"/>
      <c r="H1940" s="29"/>
      <c r="I1940" s="29"/>
      <c r="J1940" s="29"/>
      <c r="K1940" s="29"/>
      <c r="L1940" s="29"/>
      <c r="M1940" s="29"/>
      <c r="N1940" s="29"/>
      <c r="O1940" s="29"/>
      <c r="P1940" s="19"/>
      <c r="Q1940" s="14"/>
      <c r="R1940" s="11"/>
    </row>
    <row r="1941" s="1" customFormat="1" ht="21.95" customHeight="1" spans="1:19">
      <c r="A1941" s="7"/>
      <c r="B1941" s="12"/>
      <c r="C1941" s="210"/>
      <c r="D1941" s="211"/>
      <c r="E1941" s="211"/>
      <c r="F1941" s="211"/>
      <c r="G1941" s="211"/>
      <c r="H1941" s="211"/>
      <c r="I1941" s="211"/>
      <c r="J1941" s="211"/>
      <c r="K1941" s="211"/>
      <c r="L1941" s="211"/>
      <c r="M1941" s="211"/>
      <c r="N1941" s="211"/>
      <c r="O1941" s="211"/>
      <c r="P1941" s="212"/>
      <c r="Q1941" s="14"/>
      <c r="R1941" s="11"/>
      <c r="S1941" s="2"/>
    </row>
    <row r="1942" s="1" customFormat="1" ht="21.95" customHeight="1" spans="1:19">
      <c r="A1942" s="7"/>
      <c r="B1942" s="12"/>
      <c r="C1942" s="33"/>
      <c r="D1942" s="207" t="s">
        <v>722</v>
      </c>
      <c r="E1942" s="207"/>
      <c r="F1942" s="207"/>
      <c r="G1942" s="207"/>
      <c r="H1942" s="54">
        <f>IFERROR(VLOOKUP(F1910,PASHEET!$A$4:$CJ$103,88,0),"")</f>
        <v>0</v>
      </c>
      <c r="I1942" s="54"/>
      <c r="J1942" s="29"/>
      <c r="K1942" s="29"/>
      <c r="L1942" s="29"/>
      <c r="M1942" s="29"/>
      <c r="N1942" s="29"/>
      <c r="O1942" s="29"/>
      <c r="P1942" s="19"/>
      <c r="Q1942" s="14"/>
      <c r="R1942" s="11"/>
    </row>
    <row r="1943" s="1" customFormat="1" ht="21.95" customHeight="1" spans="1:19">
      <c r="A1943" s="7"/>
      <c r="B1943" s="12"/>
      <c r="C1943" s="213"/>
      <c r="D1943" s="207" t="s">
        <v>723</v>
      </c>
      <c r="E1943" s="207"/>
      <c r="F1943" s="207"/>
      <c r="G1943" s="207"/>
      <c r="H1943" s="54">
        <f>IFERROR(VLOOKUP(F1910,PASHEET!$A$4:$CJ$103,87,0),"")</f>
        <v>0</v>
      </c>
      <c r="I1943" s="54"/>
      <c r="J1943" s="214"/>
      <c r="K1943" s="214"/>
      <c r="L1943" s="207" t="s">
        <v>724</v>
      </c>
      <c r="M1943" s="207"/>
      <c r="N1943" s="117" t="str">
        <f>IF(F1910&gt;ENTRY!$D$24,"",IF(F1910&gt;0,L1934&amp;" / "&amp;600,""))</f>
        <v>125 / 600</v>
      </c>
      <c r="O1943" s="117"/>
      <c r="P1943" s="215"/>
      <c r="Q1943" s="14"/>
      <c r="R1943" s="11"/>
    </row>
    <row r="1944" s="1" customFormat="1" ht="18" customHeight="1" spans="1:19">
      <c r="A1944" s="7"/>
      <c r="B1944" s="12"/>
      <c r="C1944" s="33"/>
      <c r="D1944" s="207" t="s">
        <v>725</v>
      </c>
      <c r="E1944" s="207"/>
      <c r="F1944" s="207"/>
      <c r="G1944" s="207"/>
      <c r="H1944" s="69" t="str">
        <f>IFERROR(IF(F1910&gt;0,H1943/H1942*100),"")</f>
        <v/>
      </c>
      <c r="I1944" s="69"/>
      <c r="J1944" s="29"/>
      <c r="K1944" s="29"/>
      <c r="L1944" s="207" t="s">
        <v>726</v>
      </c>
      <c r="M1944" s="207"/>
      <c r="N1944" s="216">
        <f>IF(F1910&gt;ENTRY!$D$24,"",IF(F1910&gt;0,L1934/600*100,""))</f>
        <v>20.8333333333333</v>
      </c>
      <c r="O1944" s="216"/>
      <c r="P1944" s="19"/>
      <c r="Q1944" s="14"/>
      <c r="R1944" s="11"/>
    </row>
    <row r="1945" s="1" customFormat="1" ht="21.95" customHeight="1" spans="1:19">
      <c r="A1945" s="7"/>
      <c r="B1945" s="12"/>
      <c r="C1945" s="33"/>
      <c r="D1945" s="80"/>
      <c r="E1945" s="80"/>
      <c r="F1945" s="217"/>
      <c r="G1945" s="217"/>
      <c r="H1945" s="217"/>
      <c r="I1945" s="217"/>
      <c r="J1945" s="217"/>
      <c r="K1945" s="217"/>
      <c r="L1945" s="217"/>
      <c r="M1945" s="217"/>
      <c r="N1945" s="80"/>
      <c r="O1945" s="80"/>
      <c r="P1945" s="19"/>
      <c r="Q1945" s="14"/>
      <c r="R1945" s="11"/>
    </row>
    <row r="1946" s="1" customFormat="1" ht="21.95" customHeight="1" spans="1:19">
      <c r="A1946" s="7"/>
      <c r="B1946" s="12"/>
      <c r="C1946" s="33"/>
      <c r="D1946" s="80"/>
      <c r="E1946" s="218"/>
      <c r="F1946" s="218"/>
      <c r="G1946" s="218"/>
      <c r="H1946" s="80"/>
      <c r="I1946" s="218"/>
      <c r="J1946" s="218"/>
      <c r="K1946" s="218"/>
      <c r="L1946" s="218"/>
      <c r="M1946" s="80"/>
      <c r="N1946" s="219"/>
      <c r="O1946" s="219"/>
      <c r="P1946" s="19"/>
      <c r="Q1946" s="14"/>
      <c r="R1946" s="11"/>
    </row>
    <row r="1947" s="1" customFormat="1" ht="21.95" customHeight="1" spans="1:19">
      <c r="A1947" s="7"/>
      <c r="B1947" s="12"/>
      <c r="C1947" s="33"/>
      <c r="D1947" s="80"/>
      <c r="E1947" s="80"/>
      <c r="F1947" s="80"/>
      <c r="G1947" s="80"/>
      <c r="H1947" s="80"/>
      <c r="I1947" s="80"/>
      <c r="J1947" s="80"/>
      <c r="K1947" s="80"/>
      <c r="L1947" s="80"/>
      <c r="M1947" s="80"/>
      <c r="N1947" s="80"/>
      <c r="O1947" s="80"/>
      <c r="P1947" s="19"/>
      <c r="Q1947" s="14"/>
      <c r="R1947" s="11"/>
    </row>
    <row r="1948" s="1" customFormat="1" ht="21.95" customHeight="1" spans="1:19">
      <c r="A1948" s="7"/>
      <c r="B1948" s="12"/>
      <c r="C1948" s="33"/>
      <c r="D1948" s="218"/>
      <c r="E1948" s="218"/>
      <c r="F1948" s="218"/>
      <c r="G1948" s="218"/>
      <c r="H1948" s="218"/>
      <c r="I1948" s="218"/>
      <c r="J1948" s="218"/>
      <c r="K1948" s="218"/>
      <c r="L1948" s="218"/>
      <c r="M1948" s="80"/>
      <c r="N1948" s="217"/>
      <c r="O1948" s="217"/>
      <c r="P1948" s="85" t="s">
        <v>727</v>
      </c>
      <c r="Q1948" s="14"/>
      <c r="R1948" s="11"/>
    </row>
    <row r="1949" s="1" customFormat="1" ht="21.95" customHeight="1" spans="1:19">
      <c r="A1949" s="7"/>
      <c r="B1949" s="12"/>
      <c r="C1949" s="33"/>
      <c r="D1949" s="29"/>
      <c r="E1949" s="29"/>
      <c r="F1949" s="29"/>
      <c r="G1949" s="29"/>
      <c r="H1949" s="29"/>
      <c r="I1949" s="29"/>
      <c r="J1949" s="29"/>
      <c r="K1949" s="29"/>
      <c r="L1949" s="29"/>
      <c r="M1949" s="29"/>
      <c r="N1949" s="29"/>
      <c r="O1949" s="29"/>
      <c r="P1949" s="19"/>
      <c r="Q1949" s="14"/>
      <c r="R1949" s="11"/>
    </row>
    <row r="1950" s="1" customFormat="1" ht="21.95" customHeight="1" spans="1:19">
      <c r="A1950" s="7"/>
      <c r="B1950" s="12"/>
      <c r="C1950" s="33"/>
      <c r="D1950" s="29"/>
      <c r="E1950" s="29"/>
      <c r="F1950" s="29"/>
      <c r="G1950" s="29"/>
      <c r="H1950" s="29"/>
      <c r="I1950" s="29"/>
      <c r="J1950" s="29"/>
      <c r="K1950" s="29"/>
      <c r="L1950" s="29"/>
      <c r="M1950" s="29"/>
      <c r="N1950" s="29"/>
      <c r="O1950" s="29"/>
      <c r="P1950" s="19"/>
      <c r="Q1950" s="14"/>
      <c r="R1950" s="11"/>
    </row>
    <row r="1951" s="1" customFormat="1" ht="21.95" customHeight="1" spans="1:19">
      <c r="A1951" s="7"/>
      <c r="B1951" s="12"/>
      <c r="C1951" s="33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  <c r="P1951" s="19"/>
      <c r="Q1951" s="14"/>
      <c r="R1951" s="11"/>
    </row>
    <row r="1952" s="1" customFormat="1" ht="21.95" customHeight="1" spans="1:19">
      <c r="A1952" s="7"/>
      <c r="B1952" s="12"/>
      <c r="C1952" s="33"/>
      <c r="D1952" s="29"/>
      <c r="E1952" s="29"/>
      <c r="F1952" s="29"/>
      <c r="G1952" s="29"/>
      <c r="H1952" s="29"/>
      <c r="I1952" s="29"/>
      <c r="J1952" s="29"/>
      <c r="K1952" s="29"/>
      <c r="L1952" s="29"/>
      <c r="M1952" s="29"/>
      <c r="N1952" s="29"/>
      <c r="O1952" s="29"/>
      <c r="P1952" s="19"/>
      <c r="Q1952" s="14"/>
      <c r="R1952" s="11"/>
    </row>
    <row r="1953" s="1" customFormat="1" ht="21.95" customHeight="1" spans="1:18">
      <c r="A1953" s="7"/>
      <c r="B1953" s="12"/>
      <c r="C1953" s="33"/>
      <c r="D1953" s="29"/>
      <c r="E1953" s="29"/>
      <c r="F1953" s="29"/>
      <c r="G1953" s="29"/>
      <c r="H1953" s="29"/>
      <c r="I1953" s="29"/>
      <c r="J1953" s="29"/>
      <c r="K1953" s="29"/>
      <c r="L1953" s="29"/>
      <c r="M1953" s="29"/>
      <c r="N1953" s="29"/>
      <c r="O1953" s="29"/>
      <c r="P1953" s="19"/>
      <c r="Q1953" s="14"/>
      <c r="R1953" s="11"/>
    </row>
    <row r="1954" s="1" customFormat="1" ht="21.95" customHeight="1" spans="1:18">
      <c r="A1954" s="7"/>
      <c r="B1954" s="12"/>
      <c r="C1954" s="33"/>
      <c r="D1954" s="80" t="s">
        <v>728</v>
      </c>
      <c r="E1954" s="220">
        <f>ENTRY!$D$27</f>
        <v>46102</v>
      </c>
      <c r="F1954" s="220"/>
      <c r="G1954" s="29"/>
      <c r="H1954" s="29"/>
      <c r="I1954" s="221" t="s">
        <v>729</v>
      </c>
      <c r="J1954" s="153"/>
      <c r="K1954" s="29"/>
      <c r="L1954" s="29"/>
      <c r="M1954" s="87" t="s">
        <v>730</v>
      </c>
      <c r="N1954" s="87"/>
      <c r="O1954" s="87"/>
      <c r="P1954" s="19"/>
      <c r="Q1954" s="14"/>
      <c r="R1954" s="11"/>
    </row>
    <row r="1955" s="1" customFormat="1" ht="21.95" customHeight="1" spans="1:18">
      <c r="A1955" s="7"/>
      <c r="B1955" s="12"/>
      <c r="C1955" s="33"/>
      <c r="D1955" s="80" t="s">
        <v>731</v>
      </c>
      <c r="E1955" s="88" t="str">
        <f>PROPER(ENTRY!$D$28)</f>
        <v>New Delhi</v>
      </c>
      <c r="F1955" s="88"/>
      <c r="G1955" s="29"/>
      <c r="H1955" s="29"/>
      <c r="I1955" s="153"/>
      <c r="J1955" s="153"/>
      <c r="K1955" s="29"/>
      <c r="L1955" s="29"/>
      <c r="M1955" s="79" t="s">
        <v>732</v>
      </c>
      <c r="N1955" s="79"/>
      <c r="O1955" s="79"/>
      <c r="P1955" s="19"/>
      <c r="Q1955" s="14"/>
      <c r="R1955" s="11"/>
    </row>
    <row r="1956" s="1" customFormat="1" ht="21.95" customHeight="1" spans="1:18">
      <c r="A1956" s="7"/>
      <c r="B1956" s="12"/>
      <c r="C1956" s="90"/>
      <c r="D1956" s="91"/>
      <c r="E1956" s="91"/>
      <c r="F1956" s="91"/>
      <c r="G1956" s="91"/>
      <c r="H1956" s="91"/>
      <c r="I1956" s="91"/>
      <c r="J1956" s="91"/>
      <c r="K1956" s="91"/>
      <c r="L1956" s="91"/>
      <c r="M1956" s="91"/>
      <c r="N1956" s="91"/>
      <c r="O1956" s="91"/>
      <c r="P1956" s="92"/>
      <c r="Q1956" s="14"/>
      <c r="R1956" s="11"/>
    </row>
    <row r="1957" s="1" customFormat="1" ht="5.1" customHeight="1" spans="1:18">
      <c r="A1957" s="7"/>
      <c r="B1957" s="90"/>
      <c r="C1957" s="91"/>
      <c r="D1957" s="91"/>
      <c r="E1957" s="91"/>
      <c r="F1957" s="91"/>
      <c r="G1957" s="91"/>
      <c r="H1957" s="91"/>
      <c r="I1957" s="91"/>
      <c r="J1957" s="91"/>
      <c r="K1957" s="91"/>
      <c r="L1957" s="91"/>
      <c r="M1957" s="91"/>
      <c r="N1957" s="91"/>
      <c r="O1957" s="91"/>
      <c r="P1957" s="91"/>
      <c r="Q1957" s="92"/>
      <c r="R1957" s="11"/>
    </row>
    <row r="1958" s="1" customFormat="1" ht="5.1" customHeight="1" spans="1:18">
      <c r="A1958" s="93"/>
      <c r="B1958" s="94"/>
      <c r="C1958" s="94"/>
      <c r="D1958" s="94"/>
      <c r="E1958" s="94"/>
      <c r="F1958" s="94"/>
      <c r="G1958" s="94"/>
      <c r="H1958" s="94"/>
      <c r="I1958" s="94"/>
      <c r="J1958" s="94"/>
      <c r="K1958" s="94"/>
      <c r="L1958" s="94"/>
      <c r="M1958" s="94"/>
      <c r="N1958" s="94"/>
      <c r="O1958" s="94"/>
      <c r="P1958" s="94"/>
      <c r="Q1958" s="94"/>
      <c r="R1958" s="95"/>
    </row>
    <row r="1959" s="1" customFormat="1" ht="21.95" customHeight="1"/>
    <row r="1960" ht="15.15"/>
    <row r="1961" s="1" customFormat="1" ht="5.1" customHeight="1" spans="1:18">
      <c r="A1961" s="4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6"/>
    </row>
    <row r="1962" s="1" customFormat="1" ht="15" customHeight="1" spans="1:18">
      <c r="A1962" s="7"/>
      <c r="B1962" s="8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9"/>
      <c r="O1962" s="9"/>
      <c r="P1962" s="9"/>
      <c r="Q1962" s="10"/>
      <c r="R1962" s="11"/>
    </row>
    <row r="1963" s="1" customFormat="1" ht="21.95" customHeight="1" spans="1:18">
      <c r="A1963" s="7"/>
      <c r="B1963" s="12"/>
      <c r="C1963" s="13" t="s">
        <v>7</v>
      </c>
      <c r="D1963" s="13"/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4"/>
      <c r="R1963" s="11"/>
    </row>
    <row r="1964" s="1" customFormat="1" ht="21.95" customHeight="1" spans="1:18">
      <c r="A1964" s="7"/>
      <c r="B1964" s="1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14"/>
      <c r="R1964" s="11"/>
    </row>
    <row r="1965" s="1" customFormat="1" ht="21.95" customHeight="1" spans="1:18">
      <c r="A1965" s="7"/>
      <c r="B1965" s="12"/>
      <c r="C1965" s="15" t="str">
        <f>"SESSION-"&amp;ENTRY!$D$11</f>
        <v>SESSION-2026-27</v>
      </c>
      <c r="D1965" s="15"/>
      <c r="E1965" s="15"/>
      <c r="F1965" s="15"/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4"/>
      <c r="R1965" s="11"/>
    </row>
    <row r="1966" s="1" customFormat="1" ht="21.95" customHeight="1" spans="1:18">
      <c r="A1966" s="7"/>
      <c r="B1966" s="12"/>
      <c r="C1966" s="2"/>
      <c r="D1966" s="2"/>
      <c r="E1966" s="2"/>
      <c r="F1966" s="16">
        <f>F1910+1</f>
        <v>36</v>
      </c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14"/>
      <c r="R1966" s="11"/>
    </row>
    <row r="1967" s="1" customFormat="1" ht="21.95" customHeight="1" spans="1:18">
      <c r="A1967" s="7"/>
      <c r="B1967" s="12"/>
      <c r="C1967" s="17" t="s">
        <v>392</v>
      </c>
      <c r="D1967" s="17"/>
      <c r="E1967" s="17"/>
      <c r="F1967" s="18" t="str">
        <f>IF(F1966&gt;0,ENTRY!$D$6,"")</f>
        <v>MCP NITHARI NO 1 BOYS</v>
      </c>
      <c r="G1967" s="18"/>
      <c r="H1967" s="18"/>
      <c r="I1967" s="18"/>
      <c r="J1967" s="18"/>
      <c r="K1967" s="18"/>
      <c r="L1967" s="18"/>
      <c r="M1967" s="18"/>
      <c r="N1967" s="18"/>
      <c r="O1967" s="18"/>
      <c r="P1967" s="18"/>
      <c r="Q1967" s="14"/>
      <c r="R1967" s="11"/>
    </row>
    <row r="1968" s="1" customFormat="1" ht="21.95" customHeight="1" spans="1:18">
      <c r="A1968" s="7"/>
      <c r="B1968" s="12"/>
      <c r="C1968" s="17" t="s">
        <v>393</v>
      </c>
      <c r="D1968" s="17"/>
      <c r="E1968" s="17"/>
      <c r="F1968" s="18">
        <f>IF(F1966&gt;0,ENTRY!$D$7,"")</f>
        <v>0</v>
      </c>
      <c r="G1968" s="18"/>
      <c r="H1968" s="20" t="s">
        <v>702</v>
      </c>
      <c r="I1968" s="20"/>
      <c r="J1968" s="21">
        <f>IF(F1966&gt;0,ENTRY!$D$10,"")</f>
        <v>40</v>
      </c>
      <c r="K1968" s="20" t="s">
        <v>703</v>
      </c>
      <c r="L1968" s="22" t="str">
        <f>IF(F1966&gt;0,ENTRY!$D$5,"")</f>
        <v>ROHINI ZONE</v>
      </c>
      <c r="M1968" s="22"/>
      <c r="N1968" s="22"/>
      <c r="O1968" s="22"/>
      <c r="P1968" s="22"/>
      <c r="Q1968" s="14"/>
      <c r="R1968" s="11"/>
    </row>
    <row r="1969" s="1" customFormat="1" ht="21.95" customHeight="1" spans="1:18">
      <c r="A1969" s="7"/>
      <c r="B1969" s="12"/>
      <c r="C1969" s="17" t="s">
        <v>706</v>
      </c>
      <c r="D1969" s="17"/>
      <c r="E1969" s="17"/>
      <c r="F1969" s="23" t="str">
        <f>IFERROR(VLOOKUP(F1966,STUDENT!$A$2:$BP$101,5,0),"")</f>
        <v>JITENDRA</v>
      </c>
      <c r="G1969" s="23"/>
      <c r="H1969" s="23"/>
      <c r="I1969" s="23"/>
      <c r="J1969" s="23"/>
      <c r="K1969" s="23"/>
      <c r="L1969" s="20" t="s">
        <v>707</v>
      </c>
      <c r="M1969" s="20"/>
      <c r="N1969" s="24" t="str">
        <f>IF(F1966&gt;0,ENTRY!$D$20&amp;"-"&amp;ENTRY!$D$21,"")</f>
        <v>III-A</v>
      </c>
      <c r="O1969" s="24"/>
      <c r="P1969" s="24"/>
      <c r="Q1969" s="14"/>
      <c r="R1969" s="11"/>
    </row>
    <row r="1970" s="1" customFormat="1" ht="21.95" customHeight="1" spans="1:18">
      <c r="A1970" s="7"/>
      <c r="B1970" s="12"/>
      <c r="C1970" s="17" t="s">
        <v>708</v>
      </c>
      <c r="D1970" s="17"/>
      <c r="E1970" s="17"/>
      <c r="F1970" s="25">
        <f>IFERROR(VLOOKUP(F1966,STUDENT!$A$2:$BP$101,6,0),"")</f>
        <v>15143</v>
      </c>
      <c r="G1970" s="25"/>
      <c r="H1970" s="26" t="s">
        <v>709</v>
      </c>
      <c r="I1970" s="27" t="str">
        <f>IFERROR(VLOOKUP(F1966,STUDENT!$A$2:$BP$101,59,0),"")</f>
        <v/>
      </c>
      <c r="J1970" s="27"/>
      <c r="K1970" s="20" t="s">
        <v>710</v>
      </c>
      <c r="L1970" s="20"/>
      <c r="M1970" s="28">
        <f>IFERROR(VLOOKUP(F1966,STUDENT!$A$2:$BP$101,20,0),"")</f>
        <v>7991829115</v>
      </c>
      <c r="N1970" s="28"/>
      <c r="O1970" s="28"/>
      <c r="P1970" s="28"/>
      <c r="Q1970" s="14"/>
      <c r="R1970" s="11"/>
    </row>
    <row r="1971" s="1" customFormat="1" ht="21.95" customHeight="1" spans="1:18">
      <c r="A1971" s="7"/>
      <c r="B1971" s="12"/>
      <c r="C1971" s="17" t="s">
        <v>711</v>
      </c>
      <c r="D1971" s="17"/>
      <c r="E1971" s="17"/>
      <c r="F1971" s="23" t="str">
        <f>IFERROR(VLOOKUP(F1966,STUDENT!$A$2:$BP$101,9,0),"")</f>
        <v>POOJA DEVI</v>
      </c>
      <c r="G1971" s="23"/>
      <c r="H1971" s="23"/>
      <c r="I1971" s="23"/>
      <c r="J1971" s="17" t="s">
        <v>620</v>
      </c>
      <c r="K1971" s="17"/>
      <c r="L1971" s="23" t="str">
        <f>IFERROR(VLOOKUP(F1966,STUDENT!$A$2:$BP$101,8,0),"")</f>
        <v>RAM SUMAR</v>
      </c>
      <c r="M1971" s="23"/>
      <c r="N1971" s="23"/>
      <c r="O1971" s="23"/>
      <c r="P1971" s="23"/>
      <c r="Q1971" s="14"/>
      <c r="R1971" s="11"/>
    </row>
    <row r="1972" s="1" customFormat="1" ht="21.95" customHeight="1" spans="1:18">
      <c r="A1972" s="7"/>
      <c r="B1972" s="12"/>
      <c r="C1972" s="17" t="s">
        <v>712</v>
      </c>
      <c r="D1972" s="17"/>
      <c r="E1972" s="17"/>
      <c r="F1972" s="23" t="str">
        <f>IFERROR(VLOOKUP(F1966,STUDENT!$A$2:$BP$101,22,0),"")</f>
        <v>H.NO-A-204 NEAR SHANI BAZAR PREM NAGAR -3</v>
      </c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14"/>
      <c r="R1972" s="11"/>
    </row>
    <row r="1973" s="1" customFormat="1" ht="9.95" customHeight="1" spans="1:18">
      <c r="A1973" s="7"/>
      <c r="B1973" s="12"/>
      <c r="C1973" s="29"/>
      <c r="D1973" s="29"/>
      <c r="E1973" s="29"/>
      <c r="F1973" s="29"/>
      <c r="G1973" s="29"/>
      <c r="H1973" s="29"/>
      <c r="I1973" s="29"/>
      <c r="J1973" s="29"/>
      <c r="K1973" s="29"/>
      <c r="L1973" s="29"/>
      <c r="M1973" s="29"/>
      <c r="N1973" s="29"/>
      <c r="O1973" s="29"/>
      <c r="P1973" s="29"/>
      <c r="Q1973" s="14"/>
      <c r="R1973" s="11"/>
    </row>
    <row r="1974" s="1" customFormat="1" ht="9.95" customHeight="1" spans="1:18">
      <c r="A1974" s="7"/>
      <c r="B1974" s="12"/>
      <c r="C1974" s="30"/>
      <c r="D1974" s="31"/>
      <c r="E1974" s="31"/>
      <c r="F1974" s="31"/>
      <c r="G1974" s="31"/>
      <c r="H1974" s="31"/>
      <c r="I1974" s="31"/>
      <c r="J1974" s="31"/>
      <c r="K1974" s="31"/>
      <c r="L1974" s="31"/>
      <c r="M1974" s="31"/>
      <c r="N1974" s="31"/>
      <c r="O1974" s="31"/>
      <c r="P1974" s="32"/>
      <c r="Q1974" s="14"/>
      <c r="R1974" s="11"/>
    </row>
    <row r="1975" s="1" customFormat="1" ht="21.95" customHeight="1" spans="1:18">
      <c r="A1975" s="7"/>
      <c r="B1975" s="12"/>
      <c r="C1975" s="33"/>
      <c r="D1975" s="34" t="s">
        <v>713</v>
      </c>
      <c r="E1975" s="20" t="s">
        <v>714</v>
      </c>
      <c r="F1975" s="35" t="str">
        <f>"Level - "&amp;IFERROR(VLOOKUP(F1966,FLN!$A$4:$K$103,9,0),"")</f>
        <v>Level - 2</v>
      </c>
      <c r="G1975" s="36"/>
      <c r="H1975" s="37" t="s">
        <v>715</v>
      </c>
      <c r="I1975" s="20"/>
      <c r="J1975" s="35" t="str">
        <f>"Level - "&amp;IFERROR(VLOOKUP(F1966,FLN!$A$4:$K$103,11,0),"")</f>
        <v>Level - 3</v>
      </c>
      <c r="K1975" s="36"/>
      <c r="L1975" s="37" t="s">
        <v>408</v>
      </c>
      <c r="M1975" s="20"/>
      <c r="N1975" s="35" t="str">
        <f>"Level - "&amp;IFERROR(VLOOKUP(F1966,FLN!$A$4:$K$103,10,0),"")</f>
        <v>Level - 2</v>
      </c>
      <c r="O1975" s="36"/>
      <c r="P1975" s="19"/>
      <c r="Q1975" s="14"/>
      <c r="R1975" s="11"/>
    </row>
    <row r="1976" s="1" customFormat="1" ht="21.95" customHeight="1" spans="1:18">
      <c r="A1976" s="7"/>
      <c r="B1976" s="12"/>
      <c r="C1976" s="33"/>
      <c r="D1976" s="38"/>
      <c r="E1976" s="20" t="s">
        <v>716</v>
      </c>
      <c r="F1976" s="18" t="str">
        <f>IF(L1990&gt;197,"PERFORMED WELL","")</f>
        <v/>
      </c>
      <c r="G1976" s="18"/>
      <c r="H1976" s="18"/>
      <c r="I1976" s="18"/>
      <c r="J1976" s="18"/>
      <c r="K1976" s="18"/>
      <c r="L1976" s="18"/>
      <c r="M1976" s="18"/>
      <c r="N1976" s="18"/>
      <c r="O1976" s="18"/>
      <c r="P1976" s="19"/>
      <c r="Q1976" s="14"/>
      <c r="R1976" s="11"/>
    </row>
    <row r="1977" s="1" customFormat="1" ht="9.95" customHeight="1" spans="1:18">
      <c r="A1977" s="7"/>
      <c r="B1977" s="12"/>
      <c r="C1977" s="39"/>
      <c r="D1977" s="40"/>
      <c r="E1977" s="40"/>
      <c r="F1977" s="40"/>
      <c r="G1977" s="40"/>
      <c r="H1977" s="40"/>
      <c r="I1977" s="40"/>
      <c r="J1977" s="40"/>
      <c r="K1977" s="40"/>
      <c r="L1977" s="40"/>
      <c r="M1977" s="40"/>
      <c r="N1977" s="40"/>
      <c r="O1977" s="40"/>
      <c r="P1977" s="41"/>
      <c r="Q1977" s="14"/>
      <c r="R1977" s="11"/>
    </row>
    <row r="1978" s="1" customFormat="1" ht="9.95" customHeight="1" spans="1:18">
      <c r="A1978" s="7"/>
      <c r="B1978" s="12"/>
      <c r="C1978" s="29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29"/>
      <c r="Q1978" s="14"/>
      <c r="R1978" s="11"/>
    </row>
    <row r="1979" s="1" customFormat="1" ht="9.95" customHeight="1" spans="1:18">
      <c r="A1979" s="7"/>
      <c r="B1979" s="12"/>
      <c r="C1979" s="30"/>
      <c r="D1979" s="31"/>
      <c r="E1979" s="31"/>
      <c r="F1979" s="31"/>
      <c r="G1979" s="31"/>
      <c r="H1979" s="31"/>
      <c r="I1979" s="31"/>
      <c r="J1979" s="31"/>
      <c r="K1979" s="31"/>
      <c r="L1979" s="31"/>
      <c r="M1979" s="31"/>
      <c r="N1979" s="31"/>
      <c r="O1979" s="31"/>
      <c r="P1979" s="32"/>
      <c r="Q1979" s="14"/>
      <c r="R1979" s="11"/>
    </row>
    <row r="1980" s="1" customFormat="1" ht="21.95" customHeight="1" spans="1:18">
      <c r="A1980" s="7"/>
      <c r="B1980" s="12"/>
      <c r="C1980" s="33"/>
      <c r="D1980" s="35"/>
      <c r="E1980" s="24"/>
      <c r="F1980" s="24"/>
      <c r="G1980" s="47" t="s">
        <v>717</v>
      </c>
      <c r="H1980" s="47"/>
      <c r="I1980" s="47"/>
      <c r="J1980" s="47"/>
      <c r="K1980" s="47"/>
      <c r="L1980" s="47"/>
      <c r="M1980" s="47"/>
      <c r="N1980" s="47"/>
      <c r="O1980" s="29"/>
      <c r="P1980" s="19"/>
      <c r="Q1980" s="14"/>
      <c r="R1980" s="11"/>
    </row>
    <row r="1981" s="1" customFormat="1" ht="21.95" customHeight="1" spans="1:18">
      <c r="A1981" s="7"/>
      <c r="B1981" s="12"/>
      <c r="C1981" s="33"/>
      <c r="D1981" s="47"/>
      <c r="E1981" s="47"/>
      <c r="F1981" s="47"/>
      <c r="G1981" s="47" t="s">
        <v>541</v>
      </c>
      <c r="H1981" s="47" t="s">
        <v>542</v>
      </c>
      <c r="I1981" s="47" t="s">
        <v>543</v>
      </c>
      <c r="J1981" s="47" t="s">
        <v>544</v>
      </c>
      <c r="K1981" s="47" t="s">
        <v>561</v>
      </c>
      <c r="L1981" s="47" t="s">
        <v>382</v>
      </c>
      <c r="M1981" s="49" t="s">
        <v>546</v>
      </c>
      <c r="N1981" s="49"/>
      <c r="O1981" s="29"/>
      <c r="P1981" s="19"/>
      <c r="Q1981" s="14"/>
      <c r="R1981" s="11"/>
    </row>
    <row r="1982" s="1" customFormat="1" ht="21.95" customHeight="1" spans="1:18">
      <c r="A1982" s="7"/>
      <c r="B1982" s="12"/>
      <c r="C1982" s="33"/>
      <c r="D1982" s="207" t="s">
        <v>652</v>
      </c>
      <c r="E1982" s="207"/>
      <c r="F1982" s="207"/>
      <c r="G1982" s="50">
        <v>10</v>
      </c>
      <c r="H1982" s="50">
        <v>10</v>
      </c>
      <c r="I1982" s="50">
        <v>10</v>
      </c>
      <c r="J1982" s="50">
        <v>10</v>
      </c>
      <c r="K1982" s="50">
        <v>60</v>
      </c>
      <c r="L1982" s="50">
        <v>100</v>
      </c>
      <c r="M1982" s="49"/>
      <c r="N1982" s="49"/>
      <c r="O1982" s="29"/>
      <c r="P1982" s="19"/>
      <c r="Q1982" s="14"/>
      <c r="R1982" s="11"/>
    </row>
    <row r="1983" s="1" customFormat="1" ht="21.95" customHeight="1" spans="1:18">
      <c r="A1983" s="7"/>
      <c r="B1983" s="12"/>
      <c r="C1983" s="33"/>
      <c r="D1983" s="117" t="s">
        <v>668</v>
      </c>
      <c r="E1983" s="117"/>
      <c r="F1983" s="117"/>
      <c r="G1983" s="54">
        <f>IFERROR(VLOOKUP(F1966,'1to4-2.1-RR'!$A$12:$BG$111,9,0),"")</f>
        <v>2</v>
      </c>
      <c r="H1983" s="54">
        <f>IFERROR(VLOOKUP(F1966,'1to4-2.1-RR'!$A$12:$BG$111,10,0),"")</f>
        <v>0</v>
      </c>
      <c r="I1983" s="54">
        <f>IFERROR(VLOOKUP(F1966,'1to4-2.1-RR'!$A$12:$BG$111,11,0),"")</f>
        <v>0</v>
      </c>
      <c r="J1983" s="54">
        <f>IFERROR(VLOOKUP(F1966,'1to4-2.1-RR'!$A$12:$BG$111,12,0),"")</f>
        <v>0</v>
      </c>
      <c r="K1983" s="54">
        <f>IFERROR(VLOOKUP(F1966,'1to4-2.1-RR'!$A$12:$BG$111,13,0),"")</f>
        <v>33</v>
      </c>
      <c r="L1983" s="55">
        <f>SUM(G1983:K1983)</f>
        <v>35</v>
      </c>
      <c r="M1983" s="56" t="str">
        <f>IF(F1966&gt;ENTRY!$D$24,"",IF(L1983=0,"Ab",IF(L1983&gt;80,"A",IF(L1983&gt;60,"B",IF(L1983&gt;44,"C",IF(L1983&gt;=33,"D",IF(L1983&lt;=32,"E","")))))))</f>
        <v>D</v>
      </c>
      <c r="N1983" s="56"/>
      <c r="O1983" s="29"/>
      <c r="P1983" s="19"/>
      <c r="Q1983" s="14"/>
      <c r="R1983" s="11"/>
    </row>
    <row r="1984" s="1" customFormat="1" ht="21.95" customHeight="1" spans="1:18">
      <c r="A1984" s="7"/>
      <c r="B1984" s="12"/>
      <c r="C1984" s="33"/>
      <c r="D1984" s="117" t="s">
        <v>513</v>
      </c>
      <c r="E1984" s="117"/>
      <c r="F1984" s="117"/>
      <c r="G1984" s="54">
        <f>IFERROR(VLOOKUP(F1966,'1to4-2.1-RR'!$A$12:$BG$111,16,0),"")</f>
        <v>1</v>
      </c>
      <c r="H1984" s="54">
        <f>IFERROR(VLOOKUP(F1966,'1to4-2.1-RR'!$A$12:$BG$111,17,0),"")</f>
        <v>0</v>
      </c>
      <c r="I1984" s="54">
        <f>IFERROR(VLOOKUP(F1966,'1to4-2.1-RR'!$A$12:$BG$111,18,0),"")</f>
        <v>0</v>
      </c>
      <c r="J1984" s="54">
        <f>IFERROR(VLOOKUP(F1966,'1to4-2.1-RR'!$A$12:$BG$111,19,0),"")</f>
        <v>0</v>
      </c>
      <c r="K1984" s="54">
        <f>IFERROR(VLOOKUP(F1966,'1to4-2.1-RR'!$A$12:$BG$111,20,0),"")</f>
        <v>13</v>
      </c>
      <c r="L1984" s="55">
        <f t="shared" ref="L1984:L1989" si="70">SUM(G1984:K1984)</f>
        <v>14</v>
      </c>
      <c r="M1984" s="56" t="str">
        <f>IF(F1966&gt;ENTRY!$D$24,"",IF(L1984=0,"Ab",IF(L1984&gt;80,"A",IF(L1984&gt;60,"B",IF(L1984&gt;44,"C",IF(L1984&gt;=33,"D",IF(L1984&lt;=32,"E","")))))))</f>
        <v>E</v>
      </c>
      <c r="N1984" s="56"/>
      <c r="O1984" s="29"/>
      <c r="P1984" s="19"/>
      <c r="Q1984" s="14"/>
      <c r="R1984" s="11"/>
    </row>
    <row r="1985" s="1" customFormat="1" ht="21.95" customHeight="1" spans="1:19">
      <c r="A1985" s="7"/>
      <c r="B1985" s="12"/>
      <c r="C1985" s="33"/>
      <c r="D1985" s="117" t="s">
        <v>718</v>
      </c>
      <c r="E1985" s="117"/>
      <c r="F1985" s="117"/>
      <c r="G1985" s="54">
        <f>IFERROR(VLOOKUP(F1966,'1to4-2.1-RR'!$A$12:$BG$111,23,0),"")</f>
        <v>1</v>
      </c>
      <c r="H1985" s="54">
        <f>IFERROR(VLOOKUP(F1966,'1to4-2.1-RR'!$A$12:$BG$111,24,0),"")</f>
        <v>0</v>
      </c>
      <c r="I1985" s="54">
        <f>IFERROR(VLOOKUP(F1966,'1to4-2.1-RR'!$A$12:$BG$111,25,0),"")</f>
        <v>0</v>
      </c>
      <c r="J1985" s="54">
        <f>IFERROR(VLOOKUP(F1966,'1to4-2.1-RR'!$A$12:$BG$111,26,0),"")</f>
        <v>0</v>
      </c>
      <c r="K1985" s="54">
        <f>IFERROR(VLOOKUP(F1966,'1to4-2.1-RR'!$A$12:$BG$111,27,0),"")</f>
        <v>13</v>
      </c>
      <c r="L1985" s="55">
        <f t="shared" si="70"/>
        <v>14</v>
      </c>
      <c r="M1985" s="56" t="str">
        <f>IF(F1966&gt;ENTRY!$D$24,"",IF(L1985=0,"Ab",IF(L1985&gt;80,"A",IF(L1985&gt;60,"B",IF(L1985&gt;44,"C",IF(L1985&gt;=33,"D",IF(L1985&lt;=32,"E","")))))))</f>
        <v>E</v>
      </c>
      <c r="N1985" s="56"/>
      <c r="O1985" s="29"/>
      <c r="P1985" s="19"/>
      <c r="Q1985" s="14"/>
      <c r="R1985" s="11"/>
    </row>
    <row r="1986" s="1" customFormat="1" ht="21.95" customHeight="1" spans="1:19">
      <c r="A1986" s="7"/>
      <c r="B1986" s="12"/>
      <c r="C1986" s="33"/>
      <c r="D1986" s="117" t="s">
        <v>719</v>
      </c>
      <c r="E1986" s="117"/>
      <c r="F1986" s="117"/>
      <c r="G1986" s="54">
        <f>IFERROR(VLOOKUP(F1966,'1to4-2.1-RR'!$A$12:$BG$111,30,0),"")</f>
        <v>1</v>
      </c>
      <c r="H1986" s="54">
        <f>IFERROR(VLOOKUP(F1966,'1to4-2.1-RR'!$A$12:$BG$111,31,0),"")</f>
        <v>0</v>
      </c>
      <c r="I1986" s="54">
        <f>IFERROR(VLOOKUP(F1966,'1to4-2.1-RR'!$A$12:$BG$111,32,0),"")</f>
        <v>0</v>
      </c>
      <c r="J1986" s="54">
        <f>IFERROR(VLOOKUP(F1966,'1to4-2.1-RR'!$A$12:$BG$111,33,0),"")</f>
        <v>0</v>
      </c>
      <c r="K1986" s="54">
        <f>IFERROR(VLOOKUP(F1966,'1to4-2.1-RR'!$A$12:$BG$111,34,0),"")</f>
        <v>13</v>
      </c>
      <c r="L1986" s="55">
        <f t="shared" si="70"/>
        <v>14</v>
      </c>
      <c r="M1986" s="56" t="str">
        <f>IF(F1966&gt;ENTRY!$D$24,"",IF(L1986=0,"Ab",IF(L1986&gt;80,"A",IF(L1986&gt;60,"B",IF(L1986&gt;44,"C",IF(L1986&gt;=33,"D",IF(L1986&lt;=32,"E","")))))))</f>
        <v>E</v>
      </c>
      <c r="N1986" s="56"/>
      <c r="O1986" s="29"/>
      <c r="P1986" s="19"/>
      <c r="Q1986" s="14"/>
      <c r="R1986" s="11"/>
    </row>
    <row r="1987" s="1" customFormat="1" ht="21.95" customHeight="1" spans="1:19">
      <c r="A1987" s="7"/>
      <c r="B1987" s="12"/>
      <c r="C1987" s="33"/>
      <c r="D1987" s="117" t="s">
        <v>548</v>
      </c>
      <c r="E1987" s="117"/>
      <c r="F1987" s="117"/>
      <c r="G1987" s="54">
        <f>IFERROR(VLOOKUP(F1966,'1to4-2.1-RR'!$A$12:$BG$111,37,0),"")</f>
        <v>0</v>
      </c>
      <c r="H1987" s="54">
        <f>IFERROR(VLOOKUP(F1966,'1to4-2.1-RR'!$A$12:$BG$111,38,0),"")</f>
        <v>0</v>
      </c>
      <c r="I1987" s="54">
        <f>IFERROR(VLOOKUP(F1966,'1to4-2.1-RR'!$A$12:$BG$111,39,0),"")</f>
        <v>0</v>
      </c>
      <c r="J1987" s="54">
        <f>IFERROR(VLOOKUP(F1966,'1to4-2.1-RR'!$A$12:$BG$111,40,0),"")</f>
        <v>0</v>
      </c>
      <c r="K1987" s="54">
        <f>IFERROR(VLOOKUP(F1966,'1to4-2.1-RR'!$A$12:$BG$111,41,0),"")</f>
        <v>12</v>
      </c>
      <c r="L1987" s="55">
        <f t="shared" si="70"/>
        <v>12</v>
      </c>
      <c r="M1987" s="56" t="str">
        <f>IF(F1966&gt;ENTRY!$D$24,"",IF(L1987=0,"Ab",IF(L1987&gt;80,"A",IF(L1987&gt;60,"B",IF(L1987&gt;44,"C",IF(L1987&gt;=33,"D",IF(L1987&lt;=32,"E","")))))))</f>
        <v>E</v>
      </c>
      <c r="N1987" s="56"/>
      <c r="O1987" s="29"/>
      <c r="P1987" s="19"/>
      <c r="Q1987" s="14"/>
      <c r="R1987" s="11"/>
    </row>
    <row r="1988" s="1" customFormat="1" ht="21.95" customHeight="1" spans="1:19">
      <c r="A1988" s="7"/>
      <c r="B1988" s="12"/>
      <c r="C1988" s="33"/>
      <c r="D1988" s="117" t="s">
        <v>549</v>
      </c>
      <c r="E1988" s="117"/>
      <c r="F1988" s="117"/>
      <c r="G1988" s="54">
        <f>IFERROR(VLOOKUP(F1966,'1to4-2.1-RR'!$A$12:$BG$111,44,0),"")</f>
        <v>1</v>
      </c>
      <c r="H1988" s="54">
        <f>IFERROR(VLOOKUP(F1966,'1to4-2.1-RR'!$A$12:$BG$111,45,0),"")</f>
        <v>0</v>
      </c>
      <c r="I1988" s="54">
        <f>IFERROR(VLOOKUP(F1966,'1to4-2.1-RR'!$A$12:$BG$111,46,0),"")</f>
        <v>0</v>
      </c>
      <c r="J1988" s="54">
        <f>IFERROR(VLOOKUP(F1966,'1to4-2.1-RR'!$A$12:$BG$111,47,0),"")</f>
        <v>0</v>
      </c>
      <c r="K1988" s="54">
        <f>IFERROR(VLOOKUP(F1966,'1to4-2.1-RR'!$A$12:$BG$111,48,0),"")</f>
        <v>23</v>
      </c>
      <c r="L1988" s="55">
        <f t="shared" si="70"/>
        <v>24</v>
      </c>
      <c r="M1988" s="56" t="str">
        <f>IF(F1966&gt;ENTRY!$D$24,"",IF(L1988=0,"Ab",IF(L1988&gt;80,"A",IF(L1988&gt;60,"B",IF(L1988&gt;44,"C",IF(L1988&gt;=33,"D",IF(L1988&lt;=32,"E","")))))))</f>
        <v>E</v>
      </c>
      <c r="N1988" s="56"/>
      <c r="O1988" s="29"/>
      <c r="P1988" s="19"/>
      <c r="Q1988" s="14"/>
      <c r="R1988" s="11"/>
    </row>
    <row r="1989" s="1" customFormat="1" ht="21.95" customHeight="1" spans="1:19">
      <c r="A1989" s="7"/>
      <c r="B1989" s="12"/>
      <c r="C1989" s="33"/>
      <c r="D1989" s="117" t="s">
        <v>720</v>
      </c>
      <c r="E1989" s="117"/>
      <c r="F1989" s="117"/>
      <c r="G1989" s="54"/>
      <c r="H1989" s="54"/>
      <c r="I1989" s="54"/>
      <c r="J1989" s="54"/>
      <c r="K1989" s="54"/>
      <c r="L1989" s="55">
        <f t="shared" si="70"/>
        <v>0</v>
      </c>
      <c r="M1989" s="56" t="str">
        <f>IF(F1966&gt;ENTRY!$D$24,"",IF(L1989=0,"",IF(L1989&gt;79,"A",IF(L1989&gt;59,"B",IF(L1989&gt;44,"C",IF(L1989&gt;=33,"D",IF(L1989&lt;=32,"E","")))))))</f>
        <v/>
      </c>
      <c r="N1989" s="56"/>
      <c r="O1989" s="29"/>
      <c r="P1989" s="19"/>
      <c r="Q1989" s="14"/>
      <c r="R1989" s="11"/>
    </row>
    <row r="1990" s="1" customFormat="1" ht="21.95" customHeight="1" spans="1:19">
      <c r="A1990" s="7"/>
      <c r="B1990" s="12"/>
      <c r="C1990" s="33"/>
      <c r="D1990" s="207" t="s">
        <v>382</v>
      </c>
      <c r="E1990" s="207"/>
      <c r="F1990" s="207"/>
      <c r="G1990" s="54">
        <f t="shared" ref="G1990:L1990" si="71">IFERROR(SUM(G1983:G1989),"")</f>
        <v>6</v>
      </c>
      <c r="H1990" s="54">
        <f t="shared" si="71"/>
        <v>0</v>
      </c>
      <c r="I1990" s="54">
        <f t="shared" si="71"/>
        <v>0</v>
      </c>
      <c r="J1990" s="54">
        <f t="shared" si="71"/>
        <v>0</v>
      </c>
      <c r="K1990" s="54">
        <f t="shared" si="71"/>
        <v>107</v>
      </c>
      <c r="L1990" s="55">
        <f t="shared" si="71"/>
        <v>113</v>
      </c>
      <c r="M1990" s="61" t="str">
        <f>IF(F1966&gt;ENTRY!$D$24,"",IF(N1991="Ab","Ab",IF(N1991&gt;79.5,"A",IF(N1991&gt;59.5,"B",IF(N1991&gt;44.5,"C",IF(N1991&gt;=33,"D",IF(N1991&lt;33,"E","")))))))</f>
        <v>E</v>
      </c>
      <c r="N1990" s="61"/>
      <c r="O1990" s="29"/>
      <c r="P1990" s="19"/>
      <c r="Q1990" s="14"/>
      <c r="R1990" s="11"/>
    </row>
    <row r="1991" s="1" customFormat="1" ht="21.95" customHeight="1" spans="1:19">
      <c r="A1991" s="7"/>
      <c r="B1991" s="12"/>
      <c r="C1991" s="33"/>
      <c r="D1991" s="63" t="s">
        <v>721</v>
      </c>
      <c r="E1991" s="63"/>
      <c r="F1991" s="63"/>
      <c r="G1991" s="63"/>
      <c r="H1991" s="63"/>
      <c r="I1991" s="63"/>
      <c r="J1991" s="63"/>
      <c r="K1991" s="63"/>
      <c r="L1991" s="63"/>
      <c r="M1991" s="209"/>
      <c r="N1991" s="64">
        <f>IF(L1990="Ab","Ab",L1990/6)</f>
        <v>18.8333333333333</v>
      </c>
      <c r="O1991" s="65"/>
      <c r="P1991" s="19"/>
      <c r="Q1991" s="14"/>
      <c r="R1991" s="11"/>
    </row>
    <row r="1992" s="1" customFormat="1" ht="21.95" customHeight="1" spans="1:19">
      <c r="A1992" s="7"/>
      <c r="B1992" s="12"/>
      <c r="C1992" s="33"/>
      <c r="D1992" s="29" t="s">
        <v>716</v>
      </c>
      <c r="E1992" s="18" t="str">
        <f>IFERROR(VLOOKUP(F1966,'1to4-2.1-RR'!$A$12:$BG$111,57,0),"")</f>
        <v>PROMOTED</v>
      </c>
      <c r="F1992" s="18"/>
      <c r="G1992" s="18"/>
      <c r="H1992" s="18"/>
      <c r="I1992" s="18"/>
      <c r="J1992" s="18"/>
      <c r="K1992" s="18"/>
      <c r="L1992" s="18"/>
      <c r="M1992" s="18"/>
      <c r="N1992" s="29"/>
      <c r="O1992" s="29"/>
      <c r="P1992" s="19"/>
      <c r="Q1992" s="14"/>
      <c r="R1992" s="11"/>
    </row>
    <row r="1993" s="1" customFormat="1" ht="9.95" customHeight="1" spans="1:19">
      <c r="A1993" s="7"/>
      <c r="B1993" s="12"/>
      <c r="C1993" s="39"/>
      <c r="D1993" s="40"/>
      <c r="E1993" s="40"/>
      <c r="F1993" s="40"/>
      <c r="G1993" s="40"/>
      <c r="H1993" s="40"/>
      <c r="I1993" s="40"/>
      <c r="J1993" s="40"/>
      <c r="K1993" s="40"/>
      <c r="L1993" s="40"/>
      <c r="M1993" s="40"/>
      <c r="N1993" s="40"/>
      <c r="O1993" s="40"/>
      <c r="P1993" s="41"/>
      <c r="Q1993" s="14"/>
      <c r="R1993" s="11"/>
    </row>
    <row r="1994" s="1" customFormat="1" ht="9.95" customHeight="1" spans="1:19">
      <c r="A1994" s="7"/>
      <c r="B1994" s="12"/>
      <c r="C1994" s="30"/>
      <c r="D1994" s="31"/>
      <c r="E1994" s="31"/>
      <c r="F1994" s="29"/>
      <c r="G1994" s="31"/>
      <c r="H1994" s="31"/>
      <c r="I1994" s="31"/>
      <c r="J1994" s="31"/>
      <c r="K1994" s="31"/>
      <c r="L1994" s="31"/>
      <c r="M1994" s="31"/>
      <c r="N1994" s="31"/>
      <c r="O1994" s="31"/>
      <c r="P1994" s="32"/>
      <c r="Q1994" s="14"/>
      <c r="R1994" s="11"/>
    </row>
    <row r="1995" s="1" customFormat="1" ht="9.95" customHeight="1" spans="1:19">
      <c r="A1995" s="7"/>
      <c r="B1995" s="12"/>
      <c r="C1995" s="33"/>
      <c r="D1995" s="29"/>
      <c r="E1995" s="29"/>
      <c r="F1995" s="29"/>
      <c r="G1995" s="29"/>
      <c r="H1995" s="29"/>
      <c r="I1995" s="29"/>
      <c r="J1995" s="29"/>
      <c r="K1995" s="29"/>
      <c r="L1995" s="29"/>
      <c r="M1995" s="29"/>
      <c r="N1995" s="29"/>
      <c r="O1995" s="29"/>
      <c r="P1995" s="19"/>
      <c r="Q1995" s="14"/>
      <c r="R1995" s="11"/>
    </row>
    <row r="1996" s="1" customFormat="1" ht="9.95" customHeight="1" spans="1:19">
      <c r="A1996" s="7"/>
      <c r="B1996" s="12"/>
      <c r="C1996" s="33"/>
      <c r="D1996" s="29"/>
      <c r="E1996" s="29"/>
      <c r="F1996" s="29"/>
      <c r="G1996" s="29"/>
      <c r="H1996" s="29"/>
      <c r="I1996" s="29"/>
      <c r="J1996" s="29"/>
      <c r="K1996" s="29"/>
      <c r="L1996" s="29"/>
      <c r="M1996" s="29"/>
      <c r="N1996" s="29"/>
      <c r="O1996" s="29"/>
      <c r="P1996" s="19"/>
      <c r="Q1996" s="14"/>
      <c r="R1996" s="11"/>
    </row>
    <row r="1997" s="1" customFormat="1" ht="21.95" customHeight="1" spans="1:19">
      <c r="A1997" s="7"/>
      <c r="B1997" s="12"/>
      <c r="C1997" s="210"/>
      <c r="D1997" s="211"/>
      <c r="E1997" s="211"/>
      <c r="F1997" s="211"/>
      <c r="G1997" s="211"/>
      <c r="H1997" s="211"/>
      <c r="I1997" s="211"/>
      <c r="J1997" s="211"/>
      <c r="K1997" s="211"/>
      <c r="L1997" s="211"/>
      <c r="M1997" s="211"/>
      <c r="N1997" s="211"/>
      <c r="O1997" s="211"/>
      <c r="P1997" s="212"/>
      <c r="Q1997" s="14"/>
      <c r="R1997" s="11"/>
      <c r="S1997" s="2"/>
    </row>
    <row r="1998" s="1" customFormat="1" ht="21.95" customHeight="1" spans="1:19">
      <c r="A1998" s="7"/>
      <c r="B1998" s="12"/>
      <c r="C1998" s="33"/>
      <c r="D1998" s="207" t="s">
        <v>722</v>
      </c>
      <c r="E1998" s="207"/>
      <c r="F1998" s="207"/>
      <c r="G1998" s="207"/>
      <c r="H1998" s="54">
        <f>IFERROR(VLOOKUP(F1966,PASHEET!$A$4:$CJ$103,88,0),"")</f>
        <v>0</v>
      </c>
      <c r="I1998" s="54"/>
      <c r="J1998" s="29"/>
      <c r="K1998" s="29"/>
      <c r="L1998" s="29"/>
      <c r="M1998" s="29"/>
      <c r="N1998" s="29"/>
      <c r="O1998" s="29"/>
      <c r="P1998" s="19"/>
      <c r="Q1998" s="14"/>
      <c r="R1998" s="11"/>
    </row>
    <row r="1999" s="1" customFormat="1" ht="21.95" customHeight="1" spans="1:19">
      <c r="A1999" s="7"/>
      <c r="B1999" s="12"/>
      <c r="C1999" s="213"/>
      <c r="D1999" s="207" t="s">
        <v>723</v>
      </c>
      <c r="E1999" s="207"/>
      <c r="F1999" s="207"/>
      <c r="G1999" s="207"/>
      <c r="H1999" s="54">
        <f>IFERROR(VLOOKUP(F1966,PASHEET!$A$4:$CJ$103,87,0),"")</f>
        <v>0</v>
      </c>
      <c r="I1999" s="54"/>
      <c r="J1999" s="214"/>
      <c r="K1999" s="214"/>
      <c r="L1999" s="207" t="s">
        <v>724</v>
      </c>
      <c r="M1999" s="207"/>
      <c r="N1999" s="117" t="str">
        <f>IF(F1966&gt;ENTRY!$D$24,"",IF(F1966&gt;0,L1990&amp;" / "&amp;600,""))</f>
        <v>113 / 600</v>
      </c>
      <c r="O1999" s="117"/>
      <c r="P1999" s="215"/>
      <c r="Q1999" s="14"/>
      <c r="R1999" s="11"/>
    </row>
    <row r="2000" s="1" customFormat="1" ht="18" customHeight="1" spans="1:19">
      <c r="A2000" s="7"/>
      <c r="B2000" s="12"/>
      <c r="C2000" s="33"/>
      <c r="D2000" s="207" t="s">
        <v>725</v>
      </c>
      <c r="E2000" s="207"/>
      <c r="F2000" s="207"/>
      <c r="G2000" s="207"/>
      <c r="H2000" s="69" t="str">
        <f>IFERROR(IF(F1966&gt;0,H1999/H1998*100),"")</f>
        <v/>
      </c>
      <c r="I2000" s="69"/>
      <c r="J2000" s="29"/>
      <c r="K2000" s="29"/>
      <c r="L2000" s="207" t="s">
        <v>726</v>
      </c>
      <c r="M2000" s="207"/>
      <c r="N2000" s="216">
        <f>IF(F1966&gt;ENTRY!$D$24,"",IF(F1966&gt;0,L1990/600*100,""))</f>
        <v>18.8333333333333</v>
      </c>
      <c r="O2000" s="216"/>
      <c r="P2000" s="19"/>
      <c r="Q2000" s="14"/>
      <c r="R2000" s="11"/>
    </row>
    <row r="2001" s="1" customFormat="1" ht="21.95" customHeight="1" spans="1:18">
      <c r="A2001" s="7"/>
      <c r="B2001" s="12"/>
      <c r="C2001" s="33"/>
      <c r="D2001" s="80"/>
      <c r="E2001" s="80"/>
      <c r="F2001" s="217"/>
      <c r="G2001" s="217"/>
      <c r="H2001" s="217"/>
      <c r="I2001" s="217"/>
      <c r="J2001" s="217"/>
      <c r="K2001" s="217"/>
      <c r="L2001" s="217"/>
      <c r="M2001" s="217"/>
      <c r="N2001" s="80"/>
      <c r="O2001" s="80"/>
      <c r="P2001" s="19"/>
      <c r="Q2001" s="14"/>
      <c r="R2001" s="11"/>
    </row>
    <row r="2002" s="1" customFormat="1" ht="21.95" customHeight="1" spans="1:18">
      <c r="A2002" s="7"/>
      <c r="B2002" s="12"/>
      <c r="C2002" s="33"/>
      <c r="D2002" s="80"/>
      <c r="E2002" s="218"/>
      <c r="F2002" s="218"/>
      <c r="G2002" s="218"/>
      <c r="H2002" s="80"/>
      <c r="I2002" s="218"/>
      <c r="J2002" s="218"/>
      <c r="K2002" s="218"/>
      <c r="L2002" s="218"/>
      <c r="M2002" s="80"/>
      <c r="N2002" s="219"/>
      <c r="O2002" s="219"/>
      <c r="P2002" s="19"/>
      <c r="Q2002" s="14"/>
      <c r="R2002" s="11"/>
    </row>
    <row r="2003" s="1" customFormat="1" ht="21.95" customHeight="1" spans="1:18">
      <c r="A2003" s="7"/>
      <c r="B2003" s="12"/>
      <c r="C2003" s="33"/>
      <c r="D2003" s="80"/>
      <c r="E2003" s="80"/>
      <c r="F2003" s="80"/>
      <c r="G2003" s="80"/>
      <c r="H2003" s="80"/>
      <c r="I2003" s="80"/>
      <c r="J2003" s="80"/>
      <c r="K2003" s="80"/>
      <c r="L2003" s="80"/>
      <c r="M2003" s="80"/>
      <c r="N2003" s="80"/>
      <c r="O2003" s="80"/>
      <c r="P2003" s="19"/>
      <c r="Q2003" s="14"/>
      <c r="R2003" s="11"/>
    </row>
    <row r="2004" s="1" customFormat="1" ht="21.95" customHeight="1" spans="1:18">
      <c r="A2004" s="7"/>
      <c r="B2004" s="12"/>
      <c r="C2004" s="33"/>
      <c r="D2004" s="218"/>
      <c r="E2004" s="218"/>
      <c r="F2004" s="218"/>
      <c r="G2004" s="218"/>
      <c r="H2004" s="218"/>
      <c r="I2004" s="218"/>
      <c r="J2004" s="218"/>
      <c r="K2004" s="218"/>
      <c r="L2004" s="218"/>
      <c r="M2004" s="80"/>
      <c r="N2004" s="217"/>
      <c r="O2004" s="217"/>
      <c r="P2004" s="85" t="s">
        <v>727</v>
      </c>
      <c r="Q2004" s="14"/>
      <c r="R2004" s="11"/>
    </row>
    <row r="2005" s="1" customFormat="1" ht="21.95" customHeight="1" spans="1:18">
      <c r="A2005" s="7"/>
      <c r="B2005" s="12"/>
      <c r="C2005" s="33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  <c r="O2005" s="29"/>
      <c r="P2005" s="19"/>
      <c r="Q2005" s="14"/>
      <c r="R2005" s="11"/>
    </row>
    <row r="2006" s="1" customFormat="1" ht="21.95" customHeight="1" spans="1:18">
      <c r="A2006" s="7"/>
      <c r="B2006" s="12"/>
      <c r="C2006" s="33"/>
      <c r="D2006" s="29"/>
      <c r="E2006" s="29"/>
      <c r="F2006" s="29"/>
      <c r="G2006" s="29"/>
      <c r="H2006" s="29"/>
      <c r="I2006" s="29"/>
      <c r="J2006" s="29"/>
      <c r="K2006" s="29"/>
      <c r="L2006" s="29"/>
      <c r="M2006" s="29"/>
      <c r="N2006" s="29"/>
      <c r="O2006" s="29"/>
      <c r="P2006" s="19"/>
      <c r="Q2006" s="14"/>
      <c r="R2006" s="11"/>
    </row>
    <row r="2007" s="1" customFormat="1" ht="21.95" customHeight="1" spans="1:18">
      <c r="A2007" s="7"/>
      <c r="B2007" s="12"/>
      <c r="C2007" s="33"/>
      <c r="D2007" s="29"/>
      <c r="E2007" s="29"/>
      <c r="F2007" s="29"/>
      <c r="G2007" s="29"/>
      <c r="H2007" s="29"/>
      <c r="I2007" s="29"/>
      <c r="J2007" s="29"/>
      <c r="K2007" s="29"/>
      <c r="L2007" s="29"/>
      <c r="M2007" s="29"/>
      <c r="N2007" s="29"/>
      <c r="O2007" s="29"/>
      <c r="P2007" s="19"/>
      <c r="Q2007" s="14"/>
      <c r="R2007" s="11"/>
    </row>
    <row r="2008" s="1" customFormat="1" ht="21.95" customHeight="1" spans="1:18">
      <c r="A2008" s="7"/>
      <c r="B2008" s="12"/>
      <c r="C2008" s="33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  <c r="P2008" s="19"/>
      <c r="Q2008" s="14"/>
      <c r="R2008" s="11"/>
    </row>
    <row r="2009" s="1" customFormat="1" ht="21.95" customHeight="1" spans="1:18">
      <c r="A2009" s="7"/>
      <c r="B2009" s="12"/>
      <c r="C2009" s="33"/>
      <c r="D2009" s="29"/>
      <c r="E2009" s="29"/>
      <c r="F2009" s="29"/>
      <c r="G2009" s="29"/>
      <c r="H2009" s="29"/>
      <c r="I2009" s="29"/>
      <c r="J2009" s="29"/>
      <c r="K2009" s="29"/>
      <c r="L2009" s="29"/>
      <c r="M2009" s="29"/>
      <c r="N2009" s="29"/>
      <c r="O2009" s="29"/>
      <c r="P2009" s="19"/>
      <c r="Q2009" s="14"/>
      <c r="R2009" s="11"/>
    </row>
    <row r="2010" s="1" customFormat="1" ht="21.95" customHeight="1" spans="1:18">
      <c r="A2010" s="7"/>
      <c r="B2010" s="12"/>
      <c r="C2010" s="33"/>
      <c r="D2010" s="80" t="s">
        <v>728</v>
      </c>
      <c r="E2010" s="220">
        <f>ENTRY!$D$27</f>
        <v>46102</v>
      </c>
      <c r="F2010" s="220"/>
      <c r="G2010" s="29"/>
      <c r="H2010" s="29"/>
      <c r="I2010" s="221" t="s">
        <v>729</v>
      </c>
      <c r="J2010" s="153"/>
      <c r="K2010" s="29"/>
      <c r="L2010" s="29"/>
      <c r="M2010" s="87" t="s">
        <v>730</v>
      </c>
      <c r="N2010" s="87"/>
      <c r="O2010" s="87"/>
      <c r="P2010" s="19"/>
      <c r="Q2010" s="14"/>
      <c r="R2010" s="11"/>
    </row>
    <row r="2011" s="1" customFormat="1" ht="21.95" customHeight="1" spans="1:18">
      <c r="A2011" s="7"/>
      <c r="B2011" s="12"/>
      <c r="C2011" s="33"/>
      <c r="D2011" s="80" t="s">
        <v>731</v>
      </c>
      <c r="E2011" s="88" t="str">
        <f>PROPER(ENTRY!$D$28)</f>
        <v>New Delhi</v>
      </c>
      <c r="F2011" s="88"/>
      <c r="G2011" s="29"/>
      <c r="H2011" s="29"/>
      <c r="I2011" s="153"/>
      <c r="J2011" s="153"/>
      <c r="K2011" s="29"/>
      <c r="L2011" s="29"/>
      <c r="M2011" s="79" t="s">
        <v>732</v>
      </c>
      <c r="N2011" s="79"/>
      <c r="O2011" s="79"/>
      <c r="P2011" s="19"/>
      <c r="Q2011" s="14"/>
      <c r="R2011" s="11"/>
    </row>
    <row r="2012" s="1" customFormat="1" ht="21.95" customHeight="1" spans="1:18">
      <c r="A2012" s="7"/>
      <c r="B2012" s="12"/>
      <c r="C2012" s="90"/>
      <c r="D2012" s="91"/>
      <c r="E2012" s="91"/>
      <c r="F2012" s="91"/>
      <c r="G2012" s="91"/>
      <c r="H2012" s="91"/>
      <c r="I2012" s="91"/>
      <c r="J2012" s="91"/>
      <c r="K2012" s="91"/>
      <c r="L2012" s="91"/>
      <c r="M2012" s="91"/>
      <c r="N2012" s="91"/>
      <c r="O2012" s="91"/>
      <c r="P2012" s="92"/>
      <c r="Q2012" s="14"/>
      <c r="R2012" s="11"/>
    </row>
    <row r="2013" s="1" customFormat="1" ht="5.1" customHeight="1" spans="1:18">
      <c r="A2013" s="7"/>
      <c r="B2013" s="90"/>
      <c r="C2013" s="91"/>
      <c r="D2013" s="91"/>
      <c r="E2013" s="91"/>
      <c r="F2013" s="91"/>
      <c r="G2013" s="91"/>
      <c r="H2013" s="91"/>
      <c r="I2013" s="91"/>
      <c r="J2013" s="91"/>
      <c r="K2013" s="91"/>
      <c r="L2013" s="91"/>
      <c r="M2013" s="91"/>
      <c r="N2013" s="91"/>
      <c r="O2013" s="91"/>
      <c r="P2013" s="91"/>
      <c r="Q2013" s="92"/>
      <c r="R2013" s="11"/>
    </row>
    <row r="2014" s="1" customFormat="1" ht="5.1" customHeight="1" spans="1:18">
      <c r="A2014" s="93"/>
      <c r="B2014" s="94"/>
      <c r="C2014" s="94"/>
      <c r="D2014" s="94"/>
      <c r="E2014" s="94"/>
      <c r="F2014" s="94"/>
      <c r="G2014" s="94"/>
      <c r="H2014" s="94"/>
      <c r="I2014" s="94"/>
      <c r="J2014" s="94"/>
      <c r="K2014" s="94"/>
      <c r="L2014" s="94"/>
      <c r="M2014" s="94"/>
      <c r="N2014" s="94"/>
      <c r="O2014" s="94"/>
      <c r="P2014" s="94"/>
      <c r="Q2014" s="94"/>
      <c r="R2014" s="95"/>
    </row>
    <row r="2015" s="1" customFormat="1" ht="21.95" customHeight="1"/>
    <row r="2016" ht="15.15"/>
    <row r="2017" s="1" customFormat="1" ht="5.1" customHeight="1" spans="1:18">
      <c r="A2017" s="4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  <c r="O2017" s="5"/>
      <c r="P2017" s="5"/>
      <c r="Q2017" s="5"/>
      <c r="R2017" s="6"/>
    </row>
    <row r="2018" s="1" customFormat="1" ht="15" customHeight="1" spans="1:18">
      <c r="A2018" s="7"/>
      <c r="B2018" s="8"/>
      <c r="C2018" s="9"/>
      <c r="D2018" s="9"/>
      <c r="E2018" s="9"/>
      <c r="F2018" s="9"/>
      <c r="G2018" s="9"/>
      <c r="H2018" s="9"/>
      <c r="I2018" s="9"/>
      <c r="J2018" s="9"/>
      <c r="K2018" s="9"/>
      <c r="L2018" s="9"/>
      <c r="M2018" s="9"/>
      <c r="N2018" s="9"/>
      <c r="O2018" s="9"/>
      <c r="P2018" s="9"/>
      <c r="Q2018" s="10"/>
      <c r="R2018" s="11"/>
    </row>
    <row r="2019" s="1" customFormat="1" ht="21.95" customHeight="1" spans="1:18">
      <c r="A2019" s="7"/>
      <c r="B2019" s="12"/>
      <c r="C2019" s="13" t="s">
        <v>7</v>
      </c>
      <c r="D2019" s="13"/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/>
      <c r="Q2019" s="14"/>
      <c r="R2019" s="11"/>
    </row>
    <row r="2020" s="1" customFormat="1" ht="21.95" customHeight="1" spans="1:18">
      <c r="A2020" s="7"/>
      <c r="B2020" s="1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14"/>
      <c r="R2020" s="11"/>
    </row>
    <row r="2021" s="1" customFormat="1" ht="21.95" customHeight="1" spans="1:18">
      <c r="A2021" s="7"/>
      <c r="B2021" s="12"/>
      <c r="C2021" s="15" t="str">
        <f>"SESSION-"&amp;ENTRY!$D$11</f>
        <v>SESSION-2026-27</v>
      </c>
      <c r="D2021" s="15"/>
      <c r="E2021" s="15"/>
      <c r="F2021" s="15"/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4"/>
      <c r="R2021" s="11"/>
    </row>
    <row r="2022" s="1" customFormat="1" ht="21.95" customHeight="1" spans="1:18">
      <c r="A2022" s="7"/>
      <c r="B2022" s="12"/>
      <c r="C2022" s="2"/>
      <c r="D2022" s="2"/>
      <c r="E2022" s="2"/>
      <c r="F2022" s="16">
        <f>F1966+1</f>
        <v>37</v>
      </c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14"/>
      <c r="R2022" s="11"/>
    </row>
    <row r="2023" s="1" customFormat="1" ht="21.95" customHeight="1" spans="1:18">
      <c r="A2023" s="7"/>
      <c r="B2023" s="12"/>
      <c r="C2023" s="17" t="s">
        <v>392</v>
      </c>
      <c r="D2023" s="17"/>
      <c r="E2023" s="17"/>
      <c r="F2023" s="18" t="str">
        <f>IF(F2022&gt;0,ENTRY!$D$6,"")</f>
        <v>MCP NITHARI NO 1 BOYS</v>
      </c>
      <c r="G2023" s="18"/>
      <c r="H2023" s="18"/>
      <c r="I2023" s="18"/>
      <c r="J2023" s="18"/>
      <c r="K2023" s="18"/>
      <c r="L2023" s="18"/>
      <c r="M2023" s="18"/>
      <c r="N2023" s="18"/>
      <c r="O2023" s="18"/>
      <c r="P2023" s="18"/>
      <c r="Q2023" s="14"/>
      <c r="R2023" s="11"/>
    </row>
    <row r="2024" s="1" customFormat="1" ht="21.95" customHeight="1" spans="1:18">
      <c r="A2024" s="7"/>
      <c r="B2024" s="12"/>
      <c r="C2024" s="17" t="s">
        <v>393</v>
      </c>
      <c r="D2024" s="17"/>
      <c r="E2024" s="17"/>
      <c r="F2024" s="18">
        <f>IF(F2022&gt;0,ENTRY!$D$7,"")</f>
        <v>0</v>
      </c>
      <c r="G2024" s="18"/>
      <c r="H2024" s="20" t="s">
        <v>702</v>
      </c>
      <c r="I2024" s="20"/>
      <c r="J2024" s="21">
        <f>IF(F2022&gt;0,ENTRY!$D$10,"")</f>
        <v>40</v>
      </c>
      <c r="K2024" s="20" t="s">
        <v>703</v>
      </c>
      <c r="L2024" s="22" t="str">
        <f>IF(F2022&gt;0,ENTRY!$D$5,"")</f>
        <v>ROHINI ZONE</v>
      </c>
      <c r="M2024" s="22"/>
      <c r="N2024" s="22"/>
      <c r="O2024" s="22"/>
      <c r="P2024" s="22"/>
      <c r="Q2024" s="14"/>
      <c r="R2024" s="11"/>
    </row>
    <row r="2025" s="1" customFormat="1" ht="21.95" customHeight="1" spans="1:18">
      <c r="A2025" s="7"/>
      <c r="B2025" s="12"/>
      <c r="C2025" s="17" t="s">
        <v>706</v>
      </c>
      <c r="D2025" s="17"/>
      <c r="E2025" s="17"/>
      <c r="F2025" s="23" t="str">
        <f>IFERROR(VLOOKUP(F2022,STUDENT!$A$2:$BP$101,5,0),"")</f>
        <v>MOHD AYAN</v>
      </c>
      <c r="G2025" s="23"/>
      <c r="H2025" s="23"/>
      <c r="I2025" s="23"/>
      <c r="J2025" s="23"/>
      <c r="K2025" s="23"/>
      <c r="L2025" s="20" t="s">
        <v>707</v>
      </c>
      <c r="M2025" s="20"/>
      <c r="N2025" s="24" t="str">
        <f>IF(F2022&gt;0,ENTRY!$D$20&amp;"-"&amp;ENTRY!$D$21,"")</f>
        <v>III-A</v>
      </c>
      <c r="O2025" s="24"/>
      <c r="P2025" s="24"/>
      <c r="Q2025" s="14"/>
      <c r="R2025" s="11"/>
    </row>
    <row r="2026" s="1" customFormat="1" ht="21.95" customHeight="1" spans="1:18">
      <c r="A2026" s="7"/>
      <c r="B2026" s="12"/>
      <c r="C2026" s="17" t="s">
        <v>708</v>
      </c>
      <c r="D2026" s="17"/>
      <c r="E2026" s="17"/>
      <c r="F2026" s="25">
        <f>IFERROR(VLOOKUP(F2022,STUDENT!$A$2:$BP$101,6,0),"")</f>
        <v>15144</v>
      </c>
      <c r="G2026" s="25"/>
      <c r="H2026" s="26" t="s">
        <v>709</v>
      </c>
      <c r="I2026" s="27" t="str">
        <f>IFERROR(VLOOKUP(F2022,STUDENT!$A$2:$BP$101,59,0),"")</f>
        <v/>
      </c>
      <c r="J2026" s="27"/>
      <c r="K2026" s="20" t="s">
        <v>710</v>
      </c>
      <c r="L2026" s="20"/>
      <c r="M2026" s="28">
        <f>IFERROR(VLOOKUP(F2022,STUDENT!$A$2:$BP$101,20,0),"")</f>
        <v>8882628140</v>
      </c>
      <c r="N2026" s="28"/>
      <c r="O2026" s="28"/>
      <c r="P2026" s="28"/>
      <c r="Q2026" s="14"/>
      <c r="R2026" s="11"/>
    </row>
    <row r="2027" s="1" customFormat="1" ht="21.95" customHeight="1" spans="1:18">
      <c r="A2027" s="7"/>
      <c r="B2027" s="12"/>
      <c r="C2027" s="17" t="s">
        <v>711</v>
      </c>
      <c r="D2027" s="17"/>
      <c r="E2027" s="17"/>
      <c r="F2027" s="23" t="str">
        <f>IFERROR(VLOOKUP(F2022,STUDENT!$A$2:$BP$101,9,0),"")</f>
        <v>GULBASA KHATUN</v>
      </c>
      <c r="G2027" s="23"/>
      <c r="H2027" s="23"/>
      <c r="I2027" s="23"/>
      <c r="J2027" s="17" t="s">
        <v>620</v>
      </c>
      <c r="K2027" s="17"/>
      <c r="L2027" s="23" t="str">
        <f>IFERROR(VLOOKUP(F2022,STUDENT!$A$2:$BP$101,8,0),"")</f>
        <v>BUDHAN MIYAN</v>
      </c>
      <c r="M2027" s="23"/>
      <c r="N2027" s="23"/>
      <c r="O2027" s="23"/>
      <c r="P2027" s="23"/>
      <c r="Q2027" s="14"/>
      <c r="R2027" s="11"/>
    </row>
    <row r="2028" s="1" customFormat="1" ht="21.95" customHeight="1" spans="1:18">
      <c r="A2028" s="7"/>
      <c r="B2028" s="12"/>
      <c r="C2028" s="17" t="s">
        <v>712</v>
      </c>
      <c r="D2028" s="17"/>
      <c r="E2028" s="17"/>
      <c r="F2028" s="23" t="str">
        <f>IFERROR(VLOOKUP(F2022,STUDENT!$A$2:$BP$101,22,0),"")</f>
        <v>H.NO-981 PLOT NO OLD NO-6 KH.NO-19/16 MUBARAKPUR BLOCK -F PH-2</v>
      </c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14"/>
      <c r="R2028" s="11"/>
    </row>
    <row r="2029" s="1" customFormat="1" ht="9.95" customHeight="1" spans="1:18">
      <c r="A2029" s="7"/>
      <c r="B2029" s="12"/>
      <c r="C2029" s="29"/>
      <c r="D2029" s="29"/>
      <c r="E2029" s="29"/>
      <c r="F2029" s="29"/>
      <c r="G2029" s="29"/>
      <c r="H2029" s="29"/>
      <c r="I2029" s="29"/>
      <c r="J2029" s="29"/>
      <c r="K2029" s="29"/>
      <c r="L2029" s="29"/>
      <c r="M2029" s="29"/>
      <c r="N2029" s="29"/>
      <c r="O2029" s="29"/>
      <c r="P2029" s="29"/>
      <c r="Q2029" s="14"/>
      <c r="R2029" s="11"/>
    </row>
    <row r="2030" s="1" customFormat="1" ht="9.95" customHeight="1" spans="1:18">
      <c r="A2030" s="7"/>
      <c r="B2030" s="12"/>
      <c r="C2030" s="30"/>
      <c r="D2030" s="31"/>
      <c r="E2030" s="31"/>
      <c r="F2030" s="31"/>
      <c r="G2030" s="31"/>
      <c r="H2030" s="31"/>
      <c r="I2030" s="31"/>
      <c r="J2030" s="31"/>
      <c r="K2030" s="31"/>
      <c r="L2030" s="31"/>
      <c r="M2030" s="31"/>
      <c r="N2030" s="31"/>
      <c r="O2030" s="31"/>
      <c r="P2030" s="32"/>
      <c r="Q2030" s="14"/>
      <c r="R2030" s="11"/>
    </row>
    <row r="2031" s="1" customFormat="1" ht="21.95" customHeight="1" spans="1:18">
      <c r="A2031" s="7"/>
      <c r="B2031" s="12"/>
      <c r="C2031" s="33"/>
      <c r="D2031" s="34" t="s">
        <v>713</v>
      </c>
      <c r="E2031" s="20" t="s">
        <v>714</v>
      </c>
      <c r="F2031" s="35" t="str">
        <f>"Level - "&amp;IFERROR(VLOOKUP(F2022,FLN!$A$4:$K$103,9,0),"")</f>
        <v>Level - 2</v>
      </c>
      <c r="G2031" s="36"/>
      <c r="H2031" s="37" t="s">
        <v>715</v>
      </c>
      <c r="I2031" s="20"/>
      <c r="J2031" s="35" t="str">
        <f>"Level - "&amp;IFERROR(VLOOKUP(F2022,FLN!$A$4:$K$103,11,0),"")</f>
        <v>Level - 3</v>
      </c>
      <c r="K2031" s="36"/>
      <c r="L2031" s="37" t="s">
        <v>408</v>
      </c>
      <c r="M2031" s="20"/>
      <c r="N2031" s="35" t="str">
        <f>"Level - "&amp;IFERROR(VLOOKUP(F2022,FLN!$A$4:$K$103,10,0),"")</f>
        <v>Level - 2</v>
      </c>
      <c r="O2031" s="36"/>
      <c r="P2031" s="19"/>
      <c r="Q2031" s="14"/>
      <c r="R2031" s="11"/>
    </row>
    <row r="2032" s="1" customFormat="1" ht="21.95" customHeight="1" spans="1:18">
      <c r="A2032" s="7"/>
      <c r="B2032" s="12"/>
      <c r="C2032" s="33"/>
      <c r="D2032" s="38"/>
      <c r="E2032" s="20" t="s">
        <v>716</v>
      </c>
      <c r="F2032" s="18" t="str">
        <f>IF(L2046&gt;197,"PERFORMED WELL","")</f>
        <v/>
      </c>
      <c r="G2032" s="18"/>
      <c r="H2032" s="18"/>
      <c r="I2032" s="18"/>
      <c r="J2032" s="18"/>
      <c r="K2032" s="18"/>
      <c r="L2032" s="18"/>
      <c r="M2032" s="18"/>
      <c r="N2032" s="18"/>
      <c r="O2032" s="18"/>
      <c r="P2032" s="19"/>
      <c r="Q2032" s="14"/>
      <c r="R2032" s="11"/>
    </row>
    <row r="2033" s="1" customFormat="1" ht="9.95" customHeight="1" spans="1:18">
      <c r="A2033" s="7"/>
      <c r="B2033" s="12"/>
      <c r="C2033" s="39"/>
      <c r="D2033" s="40"/>
      <c r="E2033" s="40"/>
      <c r="F2033" s="40"/>
      <c r="G2033" s="40"/>
      <c r="H2033" s="40"/>
      <c r="I2033" s="40"/>
      <c r="J2033" s="40"/>
      <c r="K2033" s="40"/>
      <c r="L2033" s="40"/>
      <c r="M2033" s="40"/>
      <c r="N2033" s="40"/>
      <c r="O2033" s="40"/>
      <c r="P2033" s="41"/>
      <c r="Q2033" s="14"/>
      <c r="R2033" s="11"/>
    </row>
    <row r="2034" s="1" customFormat="1" ht="9.95" customHeight="1" spans="1:18">
      <c r="A2034" s="7"/>
      <c r="B2034" s="12"/>
      <c r="C2034" s="29"/>
      <c r="D2034" s="29"/>
      <c r="E2034" s="29"/>
      <c r="F2034" s="29"/>
      <c r="G2034" s="29"/>
      <c r="H2034" s="29"/>
      <c r="I2034" s="29"/>
      <c r="J2034" s="29"/>
      <c r="K2034" s="29"/>
      <c r="L2034" s="29"/>
      <c r="M2034" s="29"/>
      <c r="N2034" s="29"/>
      <c r="O2034" s="29"/>
      <c r="P2034" s="29"/>
      <c r="Q2034" s="14"/>
      <c r="R2034" s="11"/>
    </row>
    <row r="2035" s="1" customFormat="1" ht="9.95" customHeight="1" spans="1:18">
      <c r="A2035" s="7"/>
      <c r="B2035" s="12"/>
      <c r="C2035" s="30"/>
      <c r="D2035" s="31"/>
      <c r="E2035" s="31"/>
      <c r="F2035" s="31"/>
      <c r="G2035" s="31"/>
      <c r="H2035" s="31"/>
      <c r="I2035" s="31"/>
      <c r="J2035" s="31"/>
      <c r="K2035" s="31"/>
      <c r="L2035" s="31"/>
      <c r="M2035" s="31"/>
      <c r="N2035" s="31"/>
      <c r="O2035" s="31"/>
      <c r="P2035" s="32"/>
      <c r="Q2035" s="14"/>
      <c r="R2035" s="11"/>
    </row>
    <row r="2036" s="1" customFormat="1" ht="21.95" customHeight="1" spans="1:18">
      <c r="A2036" s="7"/>
      <c r="B2036" s="12"/>
      <c r="C2036" s="33"/>
      <c r="D2036" s="35"/>
      <c r="E2036" s="24"/>
      <c r="F2036" s="24"/>
      <c r="G2036" s="47" t="s">
        <v>717</v>
      </c>
      <c r="H2036" s="47"/>
      <c r="I2036" s="47"/>
      <c r="J2036" s="47"/>
      <c r="K2036" s="47"/>
      <c r="L2036" s="47"/>
      <c r="M2036" s="47"/>
      <c r="N2036" s="47"/>
      <c r="O2036" s="29"/>
      <c r="P2036" s="19"/>
      <c r="Q2036" s="14"/>
      <c r="R2036" s="11"/>
    </row>
    <row r="2037" s="1" customFormat="1" ht="21.95" customHeight="1" spans="1:18">
      <c r="A2037" s="7"/>
      <c r="B2037" s="12"/>
      <c r="C2037" s="33"/>
      <c r="D2037" s="47"/>
      <c r="E2037" s="47"/>
      <c r="F2037" s="47"/>
      <c r="G2037" s="47" t="s">
        <v>541</v>
      </c>
      <c r="H2037" s="47" t="s">
        <v>542</v>
      </c>
      <c r="I2037" s="47" t="s">
        <v>543</v>
      </c>
      <c r="J2037" s="47" t="s">
        <v>544</v>
      </c>
      <c r="K2037" s="47" t="s">
        <v>561</v>
      </c>
      <c r="L2037" s="47" t="s">
        <v>382</v>
      </c>
      <c r="M2037" s="49" t="s">
        <v>546</v>
      </c>
      <c r="N2037" s="49"/>
      <c r="O2037" s="29"/>
      <c r="P2037" s="19"/>
      <c r="Q2037" s="14"/>
      <c r="R2037" s="11"/>
    </row>
    <row r="2038" s="1" customFormat="1" ht="21.95" customHeight="1" spans="1:18">
      <c r="A2038" s="7"/>
      <c r="B2038" s="12"/>
      <c r="C2038" s="33"/>
      <c r="D2038" s="207" t="s">
        <v>652</v>
      </c>
      <c r="E2038" s="207"/>
      <c r="F2038" s="207"/>
      <c r="G2038" s="50">
        <v>10</v>
      </c>
      <c r="H2038" s="50">
        <v>10</v>
      </c>
      <c r="I2038" s="50">
        <v>10</v>
      </c>
      <c r="J2038" s="50">
        <v>10</v>
      </c>
      <c r="K2038" s="50">
        <v>60</v>
      </c>
      <c r="L2038" s="50">
        <v>100</v>
      </c>
      <c r="M2038" s="49"/>
      <c r="N2038" s="49"/>
      <c r="O2038" s="29"/>
      <c r="P2038" s="19"/>
      <c r="Q2038" s="14"/>
      <c r="R2038" s="11"/>
    </row>
    <row r="2039" s="1" customFormat="1" ht="21.95" customHeight="1" spans="1:18">
      <c r="A2039" s="7"/>
      <c r="B2039" s="12"/>
      <c r="C2039" s="33"/>
      <c r="D2039" s="117" t="s">
        <v>668</v>
      </c>
      <c r="E2039" s="117"/>
      <c r="F2039" s="117"/>
      <c r="G2039" s="54">
        <f>IFERROR(VLOOKUP(F2022,'1to4-2.1-RR'!$A$12:$BG$111,9,0),"")</f>
        <v>0</v>
      </c>
      <c r="H2039" s="54">
        <f>IFERROR(VLOOKUP(F2022,'1to4-2.1-RR'!$A$12:$BG$111,10,0),"")</f>
        <v>0</v>
      </c>
      <c r="I2039" s="54">
        <f>IFERROR(VLOOKUP(F2022,'1to4-2.1-RR'!$A$12:$BG$111,11,0),"")</f>
        <v>0</v>
      </c>
      <c r="J2039" s="54">
        <f>IFERROR(VLOOKUP(F2022,'1to4-2.1-RR'!$A$12:$BG$111,12,0),"")</f>
        <v>0</v>
      </c>
      <c r="K2039" s="54">
        <f>IFERROR(VLOOKUP(F2022,'1to4-2.1-RR'!$A$12:$BG$111,13,0),"")</f>
        <v>33</v>
      </c>
      <c r="L2039" s="55">
        <f>SUM(G2039:K2039)</f>
        <v>33</v>
      </c>
      <c r="M2039" s="56" t="str">
        <f>IF(F2022&gt;ENTRY!$D$24,"",IF(L2039=0,"Ab",IF(L2039&gt;80,"A",IF(L2039&gt;60,"B",IF(L2039&gt;44,"C",IF(L2039&gt;=33,"D",IF(L2039&lt;=32,"E","")))))))</f>
        <v>D</v>
      </c>
      <c r="N2039" s="56"/>
      <c r="O2039" s="29"/>
      <c r="P2039" s="19"/>
      <c r="Q2039" s="14"/>
      <c r="R2039" s="11"/>
    </row>
    <row r="2040" s="1" customFormat="1" ht="21.95" customHeight="1" spans="1:18">
      <c r="A2040" s="7"/>
      <c r="B2040" s="12"/>
      <c r="C2040" s="33"/>
      <c r="D2040" s="117" t="s">
        <v>513</v>
      </c>
      <c r="E2040" s="117"/>
      <c r="F2040" s="117"/>
      <c r="G2040" s="54">
        <f>IFERROR(VLOOKUP(F2022,'1to4-2.1-RR'!$A$12:$BG$111,16,0),"")</f>
        <v>0</v>
      </c>
      <c r="H2040" s="54">
        <f>IFERROR(VLOOKUP(F2022,'1to4-2.1-RR'!$A$12:$BG$111,17,0),"")</f>
        <v>0</v>
      </c>
      <c r="I2040" s="54">
        <f>IFERROR(VLOOKUP(F2022,'1to4-2.1-RR'!$A$12:$BG$111,18,0),"")</f>
        <v>0</v>
      </c>
      <c r="J2040" s="54">
        <f>IFERROR(VLOOKUP(F2022,'1to4-2.1-RR'!$A$12:$BG$111,19,0),"")</f>
        <v>0</v>
      </c>
      <c r="K2040" s="54">
        <f>IFERROR(VLOOKUP(F2022,'1to4-2.1-RR'!$A$12:$BG$111,20,0),"")</f>
        <v>14</v>
      </c>
      <c r="L2040" s="55">
        <f t="shared" ref="L2040:L2045" si="72">SUM(G2040:K2040)</f>
        <v>14</v>
      </c>
      <c r="M2040" s="56" t="str">
        <f>IF(F2022&gt;ENTRY!$D$24,"",IF(L2040=0,"Ab",IF(L2040&gt;80,"A",IF(L2040&gt;60,"B",IF(L2040&gt;44,"C",IF(L2040&gt;=33,"D",IF(L2040&lt;=32,"E","")))))))</f>
        <v>E</v>
      </c>
      <c r="N2040" s="56"/>
      <c r="O2040" s="29"/>
      <c r="P2040" s="19"/>
      <c r="Q2040" s="14"/>
      <c r="R2040" s="11"/>
    </row>
    <row r="2041" s="1" customFormat="1" ht="21.95" customHeight="1" spans="1:18">
      <c r="A2041" s="7"/>
      <c r="B2041" s="12"/>
      <c r="C2041" s="33"/>
      <c r="D2041" s="117" t="s">
        <v>718</v>
      </c>
      <c r="E2041" s="117"/>
      <c r="F2041" s="117"/>
      <c r="G2041" s="54">
        <f>IFERROR(VLOOKUP(F2022,'1to4-2.1-RR'!$A$12:$BG$111,23,0),"")</f>
        <v>0</v>
      </c>
      <c r="H2041" s="54">
        <f>IFERROR(VLOOKUP(F2022,'1to4-2.1-RR'!$A$12:$BG$111,24,0),"")</f>
        <v>0</v>
      </c>
      <c r="I2041" s="54">
        <f>IFERROR(VLOOKUP(F2022,'1to4-2.1-RR'!$A$12:$BG$111,25,0),"")</f>
        <v>0</v>
      </c>
      <c r="J2041" s="54">
        <f>IFERROR(VLOOKUP(F2022,'1to4-2.1-RR'!$A$12:$BG$111,26,0),"")</f>
        <v>0</v>
      </c>
      <c r="K2041" s="54">
        <f>IFERROR(VLOOKUP(F2022,'1to4-2.1-RR'!$A$12:$BG$111,27,0),"")</f>
        <v>15</v>
      </c>
      <c r="L2041" s="55">
        <f t="shared" si="72"/>
        <v>15</v>
      </c>
      <c r="M2041" s="56" t="str">
        <f>IF(F2022&gt;ENTRY!$D$24,"",IF(L2041=0,"Ab",IF(L2041&gt;80,"A",IF(L2041&gt;60,"B",IF(L2041&gt;44,"C",IF(L2041&gt;=33,"D",IF(L2041&lt;=32,"E","")))))))</f>
        <v>E</v>
      </c>
      <c r="N2041" s="56"/>
      <c r="O2041" s="29"/>
      <c r="P2041" s="19"/>
      <c r="Q2041" s="14"/>
      <c r="R2041" s="11"/>
    </row>
    <row r="2042" s="1" customFormat="1" ht="21.95" customHeight="1" spans="1:18">
      <c r="A2042" s="7"/>
      <c r="B2042" s="12"/>
      <c r="C2042" s="33"/>
      <c r="D2042" s="117" t="s">
        <v>719</v>
      </c>
      <c r="E2042" s="117"/>
      <c r="F2042" s="117"/>
      <c r="G2042" s="54">
        <f>IFERROR(VLOOKUP(F2022,'1to4-2.1-RR'!$A$12:$BG$111,30,0),"")</f>
        <v>0</v>
      </c>
      <c r="H2042" s="54">
        <f>IFERROR(VLOOKUP(F2022,'1to4-2.1-RR'!$A$12:$BG$111,31,0),"")</f>
        <v>0</v>
      </c>
      <c r="I2042" s="54">
        <f>IFERROR(VLOOKUP(F2022,'1to4-2.1-RR'!$A$12:$BG$111,32,0),"")</f>
        <v>0</v>
      </c>
      <c r="J2042" s="54">
        <f>IFERROR(VLOOKUP(F2022,'1to4-2.1-RR'!$A$12:$BG$111,33,0),"")</f>
        <v>0</v>
      </c>
      <c r="K2042" s="54">
        <f>IFERROR(VLOOKUP(F2022,'1to4-2.1-RR'!$A$12:$BG$111,34,0),"")</f>
        <v>16</v>
      </c>
      <c r="L2042" s="55">
        <f t="shared" si="72"/>
        <v>16</v>
      </c>
      <c r="M2042" s="56" t="str">
        <f>IF(F2022&gt;ENTRY!$D$24,"",IF(L2042=0,"Ab",IF(L2042&gt;80,"A",IF(L2042&gt;60,"B",IF(L2042&gt;44,"C",IF(L2042&gt;=33,"D",IF(L2042&lt;=32,"E","")))))))</f>
        <v>E</v>
      </c>
      <c r="N2042" s="56"/>
      <c r="O2042" s="29"/>
      <c r="P2042" s="19"/>
      <c r="Q2042" s="14"/>
      <c r="R2042" s="11"/>
    </row>
    <row r="2043" s="1" customFormat="1" ht="21.95" customHeight="1" spans="1:18">
      <c r="A2043" s="7"/>
      <c r="B2043" s="12"/>
      <c r="C2043" s="33"/>
      <c r="D2043" s="117" t="s">
        <v>548</v>
      </c>
      <c r="E2043" s="117"/>
      <c r="F2043" s="117"/>
      <c r="G2043" s="54">
        <f>IFERROR(VLOOKUP(F2022,'1to4-2.1-RR'!$A$12:$BG$111,37,0),"")</f>
        <v>0</v>
      </c>
      <c r="H2043" s="54">
        <f>IFERROR(VLOOKUP(F2022,'1to4-2.1-RR'!$A$12:$BG$111,38,0),"")</f>
        <v>0</v>
      </c>
      <c r="I2043" s="54">
        <f>IFERROR(VLOOKUP(F2022,'1to4-2.1-RR'!$A$12:$BG$111,39,0),"")</f>
        <v>0</v>
      </c>
      <c r="J2043" s="54">
        <f>IFERROR(VLOOKUP(F2022,'1to4-2.1-RR'!$A$12:$BG$111,40,0),"")</f>
        <v>0</v>
      </c>
      <c r="K2043" s="54">
        <f>IFERROR(VLOOKUP(F2022,'1to4-2.1-RR'!$A$12:$BG$111,41,0),"")</f>
        <v>16</v>
      </c>
      <c r="L2043" s="55">
        <f t="shared" si="72"/>
        <v>16</v>
      </c>
      <c r="M2043" s="56" t="str">
        <f>IF(F2022&gt;ENTRY!$D$24,"",IF(L2043=0,"Ab",IF(L2043&gt;80,"A",IF(L2043&gt;60,"B",IF(L2043&gt;44,"C",IF(L2043&gt;=33,"D",IF(L2043&lt;=32,"E","")))))))</f>
        <v>E</v>
      </c>
      <c r="N2043" s="56"/>
      <c r="O2043" s="29"/>
      <c r="P2043" s="19"/>
      <c r="Q2043" s="14"/>
      <c r="R2043" s="11"/>
    </row>
    <row r="2044" s="1" customFormat="1" ht="21.95" customHeight="1" spans="1:18">
      <c r="A2044" s="7"/>
      <c r="B2044" s="12"/>
      <c r="C2044" s="33"/>
      <c r="D2044" s="117" t="s">
        <v>549</v>
      </c>
      <c r="E2044" s="117"/>
      <c r="F2044" s="117"/>
      <c r="G2044" s="54">
        <f>IFERROR(VLOOKUP(F2022,'1to4-2.1-RR'!$A$12:$BG$111,44,0),"")</f>
        <v>0</v>
      </c>
      <c r="H2044" s="54">
        <f>IFERROR(VLOOKUP(F2022,'1to4-2.1-RR'!$A$12:$BG$111,45,0),"")</f>
        <v>0</v>
      </c>
      <c r="I2044" s="54">
        <f>IFERROR(VLOOKUP(F2022,'1to4-2.1-RR'!$A$12:$BG$111,46,0),"")</f>
        <v>0</v>
      </c>
      <c r="J2044" s="54">
        <f>IFERROR(VLOOKUP(F2022,'1to4-2.1-RR'!$A$12:$BG$111,47,0),"")</f>
        <v>0</v>
      </c>
      <c r="K2044" s="54">
        <f>IFERROR(VLOOKUP(F2022,'1to4-2.1-RR'!$A$12:$BG$111,48,0),"")</f>
        <v>23</v>
      </c>
      <c r="L2044" s="55">
        <f t="shared" si="72"/>
        <v>23</v>
      </c>
      <c r="M2044" s="56" t="str">
        <f>IF(F2022&gt;ENTRY!$D$24,"",IF(L2044=0,"Ab",IF(L2044&gt;80,"A",IF(L2044&gt;60,"B",IF(L2044&gt;44,"C",IF(L2044&gt;=33,"D",IF(L2044&lt;=32,"E","")))))))</f>
        <v>E</v>
      </c>
      <c r="N2044" s="56"/>
      <c r="O2044" s="29"/>
      <c r="P2044" s="19"/>
      <c r="Q2044" s="14"/>
      <c r="R2044" s="11"/>
    </row>
    <row r="2045" s="1" customFormat="1" ht="21.95" customHeight="1" spans="1:18">
      <c r="A2045" s="7"/>
      <c r="B2045" s="12"/>
      <c r="C2045" s="33"/>
      <c r="D2045" s="117" t="s">
        <v>720</v>
      </c>
      <c r="E2045" s="117"/>
      <c r="F2045" s="117"/>
      <c r="G2045" s="54"/>
      <c r="H2045" s="54"/>
      <c r="I2045" s="54"/>
      <c r="J2045" s="54"/>
      <c r="K2045" s="54"/>
      <c r="L2045" s="55">
        <f t="shared" si="72"/>
        <v>0</v>
      </c>
      <c r="M2045" s="56" t="str">
        <f>IF(F2022&gt;ENTRY!$D$24,"",IF(L2045=0,"",IF(L2045&gt;79,"A",IF(L2045&gt;59,"B",IF(L2045&gt;44,"C",IF(L2045&gt;=33,"D",IF(L2045&lt;=32,"E","")))))))</f>
        <v/>
      </c>
      <c r="N2045" s="56"/>
      <c r="O2045" s="29"/>
      <c r="P2045" s="19"/>
      <c r="Q2045" s="14"/>
      <c r="R2045" s="11"/>
    </row>
    <row r="2046" s="1" customFormat="1" ht="21.95" customHeight="1" spans="1:18">
      <c r="A2046" s="7"/>
      <c r="B2046" s="12"/>
      <c r="C2046" s="33"/>
      <c r="D2046" s="207" t="s">
        <v>382</v>
      </c>
      <c r="E2046" s="207"/>
      <c r="F2046" s="207"/>
      <c r="G2046" s="54">
        <f t="shared" ref="G2046:L2046" si="73">IFERROR(SUM(G2039:G2045),"")</f>
        <v>0</v>
      </c>
      <c r="H2046" s="54">
        <f t="shared" si="73"/>
        <v>0</v>
      </c>
      <c r="I2046" s="54">
        <f t="shared" si="73"/>
        <v>0</v>
      </c>
      <c r="J2046" s="54">
        <f t="shared" si="73"/>
        <v>0</v>
      </c>
      <c r="K2046" s="54">
        <f t="shared" si="73"/>
        <v>117</v>
      </c>
      <c r="L2046" s="55">
        <f t="shared" si="73"/>
        <v>117</v>
      </c>
      <c r="M2046" s="61" t="str">
        <f>IF(F2022&gt;ENTRY!$D$24,"",IF(N2047="Ab","Ab",IF(N2047&gt;79.5,"A",IF(N2047&gt;59.5,"B",IF(N2047&gt;44.5,"C",IF(N2047&gt;=33,"D",IF(N2047&lt;33,"E","")))))))</f>
        <v>E</v>
      </c>
      <c r="N2046" s="61"/>
      <c r="O2046" s="29"/>
      <c r="P2046" s="19"/>
      <c r="Q2046" s="14"/>
      <c r="R2046" s="11"/>
    </row>
    <row r="2047" s="1" customFormat="1" ht="21.95" customHeight="1" spans="1:18">
      <c r="A2047" s="7"/>
      <c r="B2047" s="12"/>
      <c r="C2047" s="33"/>
      <c r="D2047" s="63" t="s">
        <v>721</v>
      </c>
      <c r="E2047" s="63"/>
      <c r="F2047" s="63"/>
      <c r="G2047" s="63"/>
      <c r="H2047" s="63"/>
      <c r="I2047" s="63"/>
      <c r="J2047" s="63"/>
      <c r="K2047" s="63"/>
      <c r="L2047" s="63"/>
      <c r="M2047" s="209"/>
      <c r="N2047" s="64">
        <f>IF(L2046="Ab","Ab",L2046/6)</f>
        <v>19.5</v>
      </c>
      <c r="O2047" s="65"/>
      <c r="P2047" s="19"/>
      <c r="Q2047" s="14"/>
      <c r="R2047" s="11"/>
    </row>
    <row r="2048" s="1" customFormat="1" ht="21.95" customHeight="1" spans="1:18">
      <c r="A2048" s="7"/>
      <c r="B2048" s="12"/>
      <c r="C2048" s="33"/>
      <c r="D2048" s="29" t="s">
        <v>716</v>
      </c>
      <c r="E2048" s="18" t="str">
        <f>IFERROR(VLOOKUP(F2022,'1to4-2.1-RR'!$A$12:$BG$111,57,0),"")</f>
        <v>PROMOTED</v>
      </c>
      <c r="F2048" s="18"/>
      <c r="G2048" s="18"/>
      <c r="H2048" s="18"/>
      <c r="I2048" s="18"/>
      <c r="J2048" s="18"/>
      <c r="K2048" s="18"/>
      <c r="L2048" s="18"/>
      <c r="M2048" s="18"/>
      <c r="N2048" s="29"/>
      <c r="O2048" s="29"/>
      <c r="P2048" s="19"/>
      <c r="Q2048" s="14"/>
      <c r="R2048" s="11"/>
    </row>
    <row r="2049" s="1" customFormat="1" ht="9.95" customHeight="1" spans="1:19">
      <c r="A2049" s="7"/>
      <c r="B2049" s="12"/>
      <c r="C2049" s="39"/>
      <c r="D2049" s="40"/>
      <c r="E2049" s="40"/>
      <c r="F2049" s="40"/>
      <c r="G2049" s="40"/>
      <c r="H2049" s="40"/>
      <c r="I2049" s="40"/>
      <c r="J2049" s="40"/>
      <c r="K2049" s="40"/>
      <c r="L2049" s="40"/>
      <c r="M2049" s="40"/>
      <c r="N2049" s="40"/>
      <c r="O2049" s="40"/>
      <c r="P2049" s="41"/>
      <c r="Q2049" s="14"/>
      <c r="R2049" s="11"/>
    </row>
    <row r="2050" s="1" customFormat="1" ht="9.95" customHeight="1" spans="1:19">
      <c r="A2050" s="7"/>
      <c r="B2050" s="12"/>
      <c r="C2050" s="30"/>
      <c r="D2050" s="31"/>
      <c r="E2050" s="31"/>
      <c r="F2050" s="29"/>
      <c r="G2050" s="31"/>
      <c r="H2050" s="31"/>
      <c r="I2050" s="31"/>
      <c r="J2050" s="31"/>
      <c r="K2050" s="31"/>
      <c r="L2050" s="31"/>
      <c r="M2050" s="31"/>
      <c r="N2050" s="31"/>
      <c r="O2050" s="31"/>
      <c r="P2050" s="32"/>
      <c r="Q2050" s="14"/>
      <c r="R2050" s="11"/>
    </row>
    <row r="2051" s="1" customFormat="1" ht="9.95" customHeight="1" spans="1:19">
      <c r="A2051" s="7"/>
      <c r="B2051" s="12"/>
      <c r="C2051" s="33"/>
      <c r="D2051" s="29"/>
      <c r="E2051" s="29"/>
      <c r="F2051" s="29"/>
      <c r="G2051" s="29"/>
      <c r="H2051" s="29"/>
      <c r="I2051" s="29"/>
      <c r="J2051" s="29"/>
      <c r="K2051" s="29"/>
      <c r="L2051" s="29"/>
      <c r="M2051" s="29"/>
      <c r="N2051" s="29"/>
      <c r="O2051" s="29"/>
      <c r="P2051" s="19"/>
      <c r="Q2051" s="14"/>
      <c r="R2051" s="11"/>
    </row>
    <row r="2052" s="1" customFormat="1" ht="9.95" customHeight="1" spans="1:19">
      <c r="A2052" s="7"/>
      <c r="B2052" s="12"/>
      <c r="C2052" s="33"/>
      <c r="D2052" s="29"/>
      <c r="E2052" s="29"/>
      <c r="F2052" s="29"/>
      <c r="G2052" s="29"/>
      <c r="H2052" s="29"/>
      <c r="I2052" s="29"/>
      <c r="J2052" s="29"/>
      <c r="K2052" s="29"/>
      <c r="L2052" s="29"/>
      <c r="M2052" s="29"/>
      <c r="N2052" s="29"/>
      <c r="O2052" s="29"/>
      <c r="P2052" s="19"/>
      <c r="Q2052" s="14"/>
      <c r="R2052" s="11"/>
    </row>
    <row r="2053" s="1" customFormat="1" ht="21.95" customHeight="1" spans="1:19">
      <c r="A2053" s="7"/>
      <c r="B2053" s="12"/>
      <c r="C2053" s="210"/>
      <c r="D2053" s="211"/>
      <c r="E2053" s="211"/>
      <c r="F2053" s="211"/>
      <c r="G2053" s="211"/>
      <c r="H2053" s="211"/>
      <c r="I2053" s="211"/>
      <c r="J2053" s="211"/>
      <c r="K2053" s="211"/>
      <c r="L2053" s="211"/>
      <c r="M2053" s="211"/>
      <c r="N2053" s="211"/>
      <c r="O2053" s="211"/>
      <c r="P2053" s="212"/>
      <c r="Q2053" s="14"/>
      <c r="R2053" s="11"/>
      <c r="S2053" s="2"/>
    </row>
    <row r="2054" s="1" customFormat="1" ht="21.95" customHeight="1" spans="1:19">
      <c r="A2054" s="7"/>
      <c r="B2054" s="12"/>
      <c r="C2054" s="33"/>
      <c r="D2054" s="207" t="s">
        <v>722</v>
      </c>
      <c r="E2054" s="207"/>
      <c r="F2054" s="207"/>
      <c r="G2054" s="207"/>
      <c r="H2054" s="54">
        <f>IFERROR(VLOOKUP(F2022,PASHEET!$A$4:$CJ$103,88,0),"")</f>
        <v>0</v>
      </c>
      <c r="I2054" s="54"/>
      <c r="J2054" s="29"/>
      <c r="K2054" s="29"/>
      <c r="L2054" s="29"/>
      <c r="M2054" s="29"/>
      <c r="N2054" s="29"/>
      <c r="O2054" s="29"/>
      <c r="P2054" s="19"/>
      <c r="Q2054" s="14"/>
      <c r="R2054" s="11"/>
    </row>
    <row r="2055" s="1" customFormat="1" ht="21.95" customHeight="1" spans="1:19">
      <c r="A2055" s="7"/>
      <c r="B2055" s="12"/>
      <c r="C2055" s="213"/>
      <c r="D2055" s="207" t="s">
        <v>723</v>
      </c>
      <c r="E2055" s="207"/>
      <c r="F2055" s="207"/>
      <c r="G2055" s="207"/>
      <c r="H2055" s="54">
        <f>IFERROR(VLOOKUP(F2022,PASHEET!$A$4:$CJ$103,87,0),"")</f>
        <v>0</v>
      </c>
      <c r="I2055" s="54"/>
      <c r="J2055" s="214"/>
      <c r="K2055" s="214"/>
      <c r="L2055" s="207" t="s">
        <v>724</v>
      </c>
      <c r="M2055" s="207"/>
      <c r="N2055" s="117" t="str">
        <f>IF(F2022&gt;ENTRY!$D$24,"",IF(F2022&gt;0,L2046&amp;" / "&amp;600,""))</f>
        <v>117 / 600</v>
      </c>
      <c r="O2055" s="117"/>
      <c r="P2055" s="215"/>
      <c r="Q2055" s="14"/>
      <c r="R2055" s="11"/>
    </row>
    <row r="2056" s="1" customFormat="1" ht="18" customHeight="1" spans="1:19">
      <c r="A2056" s="7"/>
      <c r="B2056" s="12"/>
      <c r="C2056" s="33"/>
      <c r="D2056" s="207" t="s">
        <v>725</v>
      </c>
      <c r="E2056" s="207"/>
      <c r="F2056" s="207"/>
      <c r="G2056" s="207"/>
      <c r="H2056" s="69" t="str">
        <f>IFERROR(IF(F2022&gt;0,H2055/H2054*100),"")</f>
        <v/>
      </c>
      <c r="I2056" s="69"/>
      <c r="J2056" s="29"/>
      <c r="K2056" s="29"/>
      <c r="L2056" s="207" t="s">
        <v>726</v>
      </c>
      <c r="M2056" s="207"/>
      <c r="N2056" s="216">
        <f>IF(F2022&gt;ENTRY!$D$24,"",IF(F2022&gt;0,L2046/600*100,""))</f>
        <v>19.5</v>
      </c>
      <c r="O2056" s="216"/>
      <c r="P2056" s="19"/>
      <c r="Q2056" s="14"/>
      <c r="R2056" s="11"/>
    </row>
    <row r="2057" s="1" customFormat="1" ht="21.95" customHeight="1" spans="1:19">
      <c r="A2057" s="7"/>
      <c r="B2057" s="12"/>
      <c r="C2057" s="33"/>
      <c r="D2057" s="80"/>
      <c r="E2057" s="80"/>
      <c r="F2057" s="217"/>
      <c r="G2057" s="217"/>
      <c r="H2057" s="217"/>
      <c r="I2057" s="217"/>
      <c r="J2057" s="217"/>
      <c r="K2057" s="217"/>
      <c r="L2057" s="217"/>
      <c r="M2057" s="217"/>
      <c r="N2057" s="80"/>
      <c r="O2057" s="80"/>
      <c r="P2057" s="19"/>
      <c r="Q2057" s="14"/>
      <c r="R2057" s="11"/>
    </row>
    <row r="2058" s="1" customFormat="1" ht="21.95" customHeight="1" spans="1:19">
      <c r="A2058" s="7"/>
      <c r="B2058" s="12"/>
      <c r="C2058" s="33"/>
      <c r="D2058" s="80"/>
      <c r="E2058" s="218"/>
      <c r="F2058" s="218"/>
      <c r="G2058" s="218"/>
      <c r="H2058" s="80"/>
      <c r="I2058" s="218"/>
      <c r="J2058" s="218"/>
      <c r="K2058" s="218"/>
      <c r="L2058" s="218"/>
      <c r="M2058" s="80"/>
      <c r="N2058" s="219"/>
      <c r="O2058" s="219"/>
      <c r="P2058" s="19"/>
      <c r="Q2058" s="14"/>
      <c r="R2058" s="11"/>
    </row>
    <row r="2059" s="1" customFormat="1" ht="21.95" customHeight="1" spans="1:19">
      <c r="A2059" s="7"/>
      <c r="B2059" s="12"/>
      <c r="C2059" s="33"/>
      <c r="D2059" s="80"/>
      <c r="E2059" s="80"/>
      <c r="F2059" s="80"/>
      <c r="G2059" s="80"/>
      <c r="H2059" s="80"/>
      <c r="I2059" s="80"/>
      <c r="J2059" s="80"/>
      <c r="K2059" s="80"/>
      <c r="L2059" s="80"/>
      <c r="M2059" s="80"/>
      <c r="N2059" s="80"/>
      <c r="O2059" s="80"/>
      <c r="P2059" s="19"/>
      <c r="Q2059" s="14"/>
      <c r="R2059" s="11"/>
    </row>
    <row r="2060" s="1" customFormat="1" ht="21.95" customHeight="1" spans="1:19">
      <c r="A2060" s="7"/>
      <c r="B2060" s="12"/>
      <c r="C2060" s="33"/>
      <c r="D2060" s="218"/>
      <c r="E2060" s="218"/>
      <c r="F2060" s="218"/>
      <c r="G2060" s="218"/>
      <c r="H2060" s="218"/>
      <c r="I2060" s="218"/>
      <c r="J2060" s="218"/>
      <c r="K2060" s="218"/>
      <c r="L2060" s="218"/>
      <c r="M2060" s="80"/>
      <c r="N2060" s="217"/>
      <c r="O2060" s="217"/>
      <c r="P2060" s="85" t="s">
        <v>727</v>
      </c>
      <c r="Q2060" s="14"/>
      <c r="R2060" s="11"/>
    </row>
    <row r="2061" s="1" customFormat="1" ht="21.95" customHeight="1" spans="1:19">
      <c r="A2061" s="7"/>
      <c r="B2061" s="12"/>
      <c r="C2061" s="33"/>
      <c r="D2061" s="29"/>
      <c r="E2061" s="29"/>
      <c r="F2061" s="29"/>
      <c r="G2061" s="29"/>
      <c r="H2061" s="29"/>
      <c r="I2061" s="29"/>
      <c r="J2061" s="29"/>
      <c r="K2061" s="29"/>
      <c r="L2061" s="29"/>
      <c r="M2061" s="29"/>
      <c r="N2061" s="29"/>
      <c r="O2061" s="29"/>
      <c r="P2061" s="19"/>
      <c r="Q2061" s="14"/>
      <c r="R2061" s="11"/>
    </row>
    <row r="2062" s="1" customFormat="1" ht="21.95" customHeight="1" spans="1:19">
      <c r="A2062" s="7"/>
      <c r="B2062" s="12"/>
      <c r="C2062" s="33"/>
      <c r="D2062" s="29"/>
      <c r="E2062" s="29"/>
      <c r="F2062" s="29"/>
      <c r="G2062" s="29"/>
      <c r="H2062" s="29"/>
      <c r="I2062" s="29"/>
      <c r="J2062" s="29"/>
      <c r="K2062" s="29"/>
      <c r="L2062" s="29"/>
      <c r="M2062" s="29"/>
      <c r="N2062" s="29"/>
      <c r="O2062" s="29"/>
      <c r="P2062" s="19"/>
      <c r="Q2062" s="14"/>
      <c r="R2062" s="11"/>
    </row>
    <row r="2063" s="1" customFormat="1" ht="21.95" customHeight="1" spans="1:19">
      <c r="A2063" s="7"/>
      <c r="B2063" s="12"/>
      <c r="C2063" s="33"/>
      <c r="D2063" s="29"/>
      <c r="E2063" s="29"/>
      <c r="F2063" s="29"/>
      <c r="G2063" s="29"/>
      <c r="H2063" s="29"/>
      <c r="I2063" s="29"/>
      <c r="J2063" s="29"/>
      <c r="K2063" s="29"/>
      <c r="L2063" s="29"/>
      <c r="M2063" s="29"/>
      <c r="N2063" s="29"/>
      <c r="O2063" s="29"/>
      <c r="P2063" s="19"/>
      <c r="Q2063" s="14"/>
      <c r="R2063" s="11"/>
    </row>
    <row r="2064" s="1" customFormat="1" ht="21.95" customHeight="1" spans="1:19">
      <c r="A2064" s="7"/>
      <c r="B2064" s="12"/>
      <c r="C2064" s="33"/>
      <c r="D2064" s="29"/>
      <c r="E2064" s="29"/>
      <c r="F2064" s="29"/>
      <c r="G2064" s="29"/>
      <c r="H2064" s="29"/>
      <c r="I2064" s="29"/>
      <c r="J2064" s="29"/>
      <c r="K2064" s="29"/>
      <c r="L2064" s="29"/>
      <c r="M2064" s="29"/>
      <c r="N2064" s="29"/>
      <c r="O2064" s="29"/>
      <c r="P2064" s="19"/>
      <c r="Q2064" s="14"/>
      <c r="R2064" s="11"/>
    </row>
    <row r="2065" s="1" customFormat="1" ht="21.95" customHeight="1" spans="1:18">
      <c r="A2065" s="7"/>
      <c r="B2065" s="12"/>
      <c r="C2065" s="33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  <c r="O2065" s="29"/>
      <c r="P2065" s="19"/>
      <c r="Q2065" s="14"/>
      <c r="R2065" s="11"/>
    </row>
    <row r="2066" s="1" customFormat="1" ht="21.95" customHeight="1" spans="1:18">
      <c r="A2066" s="7"/>
      <c r="B2066" s="12"/>
      <c r="C2066" s="33"/>
      <c r="D2066" s="80" t="s">
        <v>728</v>
      </c>
      <c r="E2066" s="220">
        <f>ENTRY!$D$27</f>
        <v>46102</v>
      </c>
      <c r="F2066" s="220"/>
      <c r="G2066" s="29"/>
      <c r="H2066" s="29"/>
      <c r="I2066" s="221" t="s">
        <v>729</v>
      </c>
      <c r="J2066" s="153"/>
      <c r="K2066" s="29"/>
      <c r="L2066" s="29"/>
      <c r="M2066" s="87" t="s">
        <v>730</v>
      </c>
      <c r="N2066" s="87"/>
      <c r="O2066" s="87"/>
      <c r="P2066" s="19"/>
      <c r="Q2066" s="14"/>
      <c r="R2066" s="11"/>
    </row>
    <row r="2067" s="1" customFormat="1" ht="21.95" customHeight="1" spans="1:18">
      <c r="A2067" s="7"/>
      <c r="B2067" s="12"/>
      <c r="C2067" s="33"/>
      <c r="D2067" s="80" t="s">
        <v>731</v>
      </c>
      <c r="E2067" s="88" t="str">
        <f>PROPER(ENTRY!$D$28)</f>
        <v>New Delhi</v>
      </c>
      <c r="F2067" s="88"/>
      <c r="G2067" s="29"/>
      <c r="H2067" s="29"/>
      <c r="I2067" s="153"/>
      <c r="J2067" s="153"/>
      <c r="K2067" s="29"/>
      <c r="L2067" s="29"/>
      <c r="M2067" s="79" t="s">
        <v>732</v>
      </c>
      <c r="N2067" s="79"/>
      <c r="O2067" s="79"/>
      <c r="P2067" s="19"/>
      <c r="Q2067" s="14"/>
      <c r="R2067" s="11"/>
    </row>
    <row r="2068" s="1" customFormat="1" ht="21.95" customHeight="1" spans="1:18">
      <c r="A2068" s="7"/>
      <c r="B2068" s="12"/>
      <c r="C2068" s="90"/>
      <c r="D2068" s="91"/>
      <c r="E2068" s="91"/>
      <c r="F2068" s="91"/>
      <c r="G2068" s="91"/>
      <c r="H2068" s="91"/>
      <c r="I2068" s="91"/>
      <c r="J2068" s="91"/>
      <c r="K2068" s="91"/>
      <c r="L2068" s="91"/>
      <c r="M2068" s="91"/>
      <c r="N2068" s="91"/>
      <c r="O2068" s="91"/>
      <c r="P2068" s="92"/>
      <c r="Q2068" s="14"/>
      <c r="R2068" s="11"/>
    </row>
    <row r="2069" s="1" customFormat="1" ht="5.1" customHeight="1" spans="1:18">
      <c r="A2069" s="7"/>
      <c r="B2069" s="90"/>
      <c r="C2069" s="91"/>
      <c r="D2069" s="91"/>
      <c r="E2069" s="91"/>
      <c r="F2069" s="91"/>
      <c r="G2069" s="91"/>
      <c r="H2069" s="91"/>
      <c r="I2069" s="91"/>
      <c r="J2069" s="91"/>
      <c r="K2069" s="91"/>
      <c r="L2069" s="91"/>
      <c r="M2069" s="91"/>
      <c r="N2069" s="91"/>
      <c r="O2069" s="91"/>
      <c r="P2069" s="91"/>
      <c r="Q2069" s="92"/>
      <c r="R2069" s="11"/>
    </row>
    <row r="2070" s="1" customFormat="1" ht="5.1" customHeight="1" spans="1:18">
      <c r="A2070" s="93"/>
      <c r="B2070" s="94"/>
      <c r="C2070" s="94"/>
      <c r="D2070" s="94"/>
      <c r="E2070" s="94"/>
      <c r="F2070" s="94"/>
      <c r="G2070" s="94"/>
      <c r="H2070" s="94"/>
      <c r="I2070" s="94"/>
      <c r="J2070" s="94"/>
      <c r="K2070" s="94"/>
      <c r="L2070" s="94"/>
      <c r="M2070" s="94"/>
      <c r="N2070" s="94"/>
      <c r="O2070" s="94"/>
      <c r="P2070" s="94"/>
      <c r="Q2070" s="94"/>
      <c r="R2070" s="95"/>
    </row>
    <row r="2071" s="1" customFormat="1" ht="21.95" customHeight="1"/>
    <row r="2072" ht="15.15"/>
    <row r="2073" s="1" customFormat="1" ht="5.1" customHeight="1" spans="1:18">
      <c r="A2073" s="4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  <c r="O2073" s="5"/>
      <c r="P2073" s="5"/>
      <c r="Q2073" s="5"/>
      <c r="R2073" s="6"/>
    </row>
    <row r="2074" s="1" customFormat="1" ht="15" customHeight="1" spans="1:18">
      <c r="A2074" s="7"/>
      <c r="B2074" s="8"/>
      <c r="C2074" s="9"/>
      <c r="D2074" s="9"/>
      <c r="E2074" s="9"/>
      <c r="F2074" s="9"/>
      <c r="G2074" s="9"/>
      <c r="H2074" s="9"/>
      <c r="I2074" s="9"/>
      <c r="J2074" s="9"/>
      <c r="K2074" s="9"/>
      <c r="L2074" s="9"/>
      <c r="M2074" s="9"/>
      <c r="N2074" s="9"/>
      <c r="O2074" s="9"/>
      <c r="P2074" s="9"/>
      <c r="Q2074" s="10"/>
      <c r="R2074" s="11"/>
    </row>
    <row r="2075" s="1" customFormat="1" ht="21.95" customHeight="1" spans="1:18">
      <c r="A2075" s="7"/>
      <c r="B2075" s="12"/>
      <c r="C2075" s="13" t="s">
        <v>7</v>
      </c>
      <c r="D2075" s="13"/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/>
      <c r="Q2075" s="14"/>
      <c r="R2075" s="11"/>
    </row>
    <row r="2076" s="1" customFormat="1" ht="21.95" customHeight="1" spans="1:18">
      <c r="A2076" s="7"/>
      <c r="B2076" s="1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14"/>
      <c r="R2076" s="11"/>
    </row>
    <row r="2077" s="1" customFormat="1" ht="21.95" customHeight="1" spans="1:18">
      <c r="A2077" s="7"/>
      <c r="B2077" s="12"/>
      <c r="C2077" s="15" t="str">
        <f>"SESSION-"&amp;ENTRY!$D$11</f>
        <v>SESSION-2026-27</v>
      </c>
      <c r="D2077" s="15"/>
      <c r="E2077" s="15"/>
      <c r="F2077" s="15"/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4"/>
      <c r="R2077" s="11"/>
    </row>
    <row r="2078" s="1" customFormat="1" ht="21.95" customHeight="1" spans="1:18">
      <c r="A2078" s="7"/>
      <c r="B2078" s="12"/>
      <c r="C2078" s="2"/>
      <c r="D2078" s="2"/>
      <c r="E2078" s="2"/>
      <c r="F2078" s="16">
        <f>F2022+1</f>
        <v>38</v>
      </c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14"/>
      <c r="R2078" s="11"/>
    </row>
    <row r="2079" s="1" customFormat="1" ht="21.95" customHeight="1" spans="1:18">
      <c r="A2079" s="7"/>
      <c r="B2079" s="12"/>
      <c r="C2079" s="17" t="s">
        <v>392</v>
      </c>
      <c r="D2079" s="17"/>
      <c r="E2079" s="17"/>
      <c r="F2079" s="18" t="str">
        <f>IF(F2078&gt;0,ENTRY!$D$6,"")</f>
        <v>MCP NITHARI NO 1 BOYS</v>
      </c>
      <c r="G2079" s="18"/>
      <c r="H2079" s="18"/>
      <c r="I2079" s="18"/>
      <c r="J2079" s="18"/>
      <c r="K2079" s="18"/>
      <c r="L2079" s="18"/>
      <c r="M2079" s="18"/>
      <c r="N2079" s="18"/>
      <c r="O2079" s="18"/>
      <c r="P2079" s="18"/>
      <c r="Q2079" s="14"/>
      <c r="R2079" s="11"/>
    </row>
    <row r="2080" s="1" customFormat="1" ht="21.95" customHeight="1" spans="1:18">
      <c r="A2080" s="7"/>
      <c r="B2080" s="12"/>
      <c r="C2080" s="17" t="s">
        <v>393</v>
      </c>
      <c r="D2080" s="17"/>
      <c r="E2080" s="17"/>
      <c r="F2080" s="18">
        <f>IF(F2078&gt;0,ENTRY!$D$7,"")</f>
        <v>0</v>
      </c>
      <c r="G2080" s="18"/>
      <c r="H2080" s="20" t="s">
        <v>702</v>
      </c>
      <c r="I2080" s="20"/>
      <c r="J2080" s="21">
        <f>IF(F2078&gt;0,ENTRY!$D$10,"")</f>
        <v>40</v>
      </c>
      <c r="K2080" s="20" t="s">
        <v>703</v>
      </c>
      <c r="L2080" s="22" t="str">
        <f>IF(F2078&gt;0,ENTRY!$D$5,"")</f>
        <v>ROHINI ZONE</v>
      </c>
      <c r="M2080" s="22"/>
      <c r="N2080" s="22"/>
      <c r="O2080" s="22"/>
      <c r="P2080" s="22"/>
      <c r="Q2080" s="14"/>
      <c r="R2080" s="11"/>
    </row>
    <row r="2081" s="1" customFormat="1" ht="21.95" customHeight="1" spans="1:18">
      <c r="A2081" s="7"/>
      <c r="B2081" s="12"/>
      <c r="C2081" s="17" t="s">
        <v>706</v>
      </c>
      <c r="D2081" s="17"/>
      <c r="E2081" s="17"/>
      <c r="F2081" s="23" t="str">
        <f>IFERROR(VLOOKUP(F2078,STUDENT!$A$2:$BP$101,5,0),"")</f>
        <v>RAJA KUMAR</v>
      </c>
      <c r="G2081" s="23"/>
      <c r="H2081" s="23"/>
      <c r="I2081" s="23"/>
      <c r="J2081" s="23"/>
      <c r="K2081" s="23"/>
      <c r="L2081" s="20" t="s">
        <v>707</v>
      </c>
      <c r="M2081" s="20"/>
      <c r="N2081" s="24" t="str">
        <f>IF(F2078&gt;0,ENTRY!$D$20&amp;"-"&amp;ENTRY!$D$21,"")</f>
        <v>III-A</v>
      </c>
      <c r="O2081" s="24"/>
      <c r="P2081" s="24"/>
      <c r="Q2081" s="14"/>
      <c r="R2081" s="11"/>
    </row>
    <row r="2082" s="1" customFormat="1" ht="21.95" customHeight="1" spans="1:18">
      <c r="A2082" s="7"/>
      <c r="B2082" s="12"/>
      <c r="C2082" s="17" t="s">
        <v>708</v>
      </c>
      <c r="D2082" s="17"/>
      <c r="E2082" s="17"/>
      <c r="F2082" s="25">
        <f>IFERROR(VLOOKUP(F2078,STUDENT!$A$2:$BP$101,6,0),"")</f>
        <v>15145</v>
      </c>
      <c r="G2082" s="25"/>
      <c r="H2082" s="26" t="s">
        <v>709</v>
      </c>
      <c r="I2082" s="27" t="str">
        <f>IFERROR(VLOOKUP(F2078,STUDENT!$A$2:$BP$101,59,0),"")</f>
        <v/>
      </c>
      <c r="J2082" s="27"/>
      <c r="K2082" s="20" t="s">
        <v>710</v>
      </c>
      <c r="L2082" s="20"/>
      <c r="M2082" s="28">
        <f>IFERROR(VLOOKUP(F2078,STUDENT!$A$2:$BP$101,20,0),"")</f>
        <v>9315426800</v>
      </c>
      <c r="N2082" s="28"/>
      <c r="O2082" s="28"/>
      <c r="P2082" s="28"/>
      <c r="Q2082" s="14"/>
      <c r="R2082" s="11"/>
    </row>
    <row r="2083" s="1" customFormat="1" ht="21.95" customHeight="1" spans="1:18">
      <c r="A2083" s="7"/>
      <c r="B2083" s="12"/>
      <c r="C2083" s="17" t="s">
        <v>711</v>
      </c>
      <c r="D2083" s="17"/>
      <c r="E2083" s="17"/>
      <c r="F2083" s="23" t="str">
        <f>IFERROR(VLOOKUP(F2078,STUDENT!$A$2:$BP$101,9,0),"")</f>
        <v>SUJITA DEVI</v>
      </c>
      <c r="G2083" s="23"/>
      <c r="H2083" s="23"/>
      <c r="I2083" s="23"/>
      <c r="J2083" s="17" t="s">
        <v>620</v>
      </c>
      <c r="K2083" s="17"/>
      <c r="L2083" s="23" t="str">
        <f>IFERROR(VLOOKUP(F2078,STUDENT!$A$2:$BP$101,8,0),"")</f>
        <v>AMAR PODDAR</v>
      </c>
      <c r="M2083" s="23"/>
      <c r="N2083" s="23"/>
      <c r="O2083" s="23"/>
      <c r="P2083" s="23"/>
      <c r="Q2083" s="14"/>
      <c r="R2083" s="11"/>
    </row>
    <row r="2084" s="1" customFormat="1" ht="21.95" customHeight="1" spans="1:18">
      <c r="A2084" s="7"/>
      <c r="B2084" s="12"/>
      <c r="C2084" s="17" t="s">
        <v>712</v>
      </c>
      <c r="D2084" s="17"/>
      <c r="E2084" s="17"/>
      <c r="F2084" s="23" t="str">
        <f>IFERROR(VLOOKUP(F2078,STUDENT!$A$2:$BP$101,22,0),"")</f>
        <v>H.NO-93 BLK-A SHANTI VIHAR PREM NAGAR PH-3</v>
      </c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14"/>
      <c r="R2084" s="11"/>
    </row>
    <row r="2085" s="1" customFormat="1" ht="9.95" customHeight="1" spans="1:18">
      <c r="A2085" s="7"/>
      <c r="B2085" s="12"/>
      <c r="C2085" s="29"/>
      <c r="D2085" s="29"/>
      <c r="E2085" s="29"/>
      <c r="F2085" s="29"/>
      <c r="G2085" s="29"/>
      <c r="H2085" s="29"/>
      <c r="I2085" s="29"/>
      <c r="J2085" s="29"/>
      <c r="K2085" s="29"/>
      <c r="L2085" s="29"/>
      <c r="M2085" s="29"/>
      <c r="N2085" s="29"/>
      <c r="O2085" s="29"/>
      <c r="P2085" s="29"/>
      <c r="Q2085" s="14"/>
      <c r="R2085" s="11"/>
    </row>
    <row r="2086" s="1" customFormat="1" ht="9.95" customHeight="1" spans="1:18">
      <c r="A2086" s="7"/>
      <c r="B2086" s="12"/>
      <c r="C2086" s="30"/>
      <c r="D2086" s="31"/>
      <c r="E2086" s="31"/>
      <c r="F2086" s="31"/>
      <c r="G2086" s="31"/>
      <c r="H2086" s="31"/>
      <c r="I2086" s="31"/>
      <c r="J2086" s="31"/>
      <c r="K2086" s="31"/>
      <c r="L2086" s="31"/>
      <c r="M2086" s="31"/>
      <c r="N2086" s="31"/>
      <c r="O2086" s="31"/>
      <c r="P2086" s="32"/>
      <c r="Q2086" s="14"/>
      <c r="R2086" s="11"/>
    </row>
    <row r="2087" s="1" customFormat="1" ht="21.95" customHeight="1" spans="1:18">
      <c r="A2087" s="7"/>
      <c r="B2087" s="12"/>
      <c r="C2087" s="33"/>
      <c r="D2087" s="34" t="s">
        <v>713</v>
      </c>
      <c r="E2087" s="20" t="s">
        <v>714</v>
      </c>
      <c r="F2087" s="35" t="str">
        <f>"Level - "&amp;IFERROR(VLOOKUP(F2078,FLN!$A$4:$K$103,9,0),"")</f>
        <v>Level - 2</v>
      </c>
      <c r="G2087" s="36"/>
      <c r="H2087" s="37" t="s">
        <v>715</v>
      </c>
      <c r="I2087" s="20"/>
      <c r="J2087" s="35" t="str">
        <f>"Level - "&amp;IFERROR(VLOOKUP(F2078,FLN!$A$4:$K$103,11,0),"")</f>
        <v>Level - 3</v>
      </c>
      <c r="K2087" s="36"/>
      <c r="L2087" s="37" t="s">
        <v>408</v>
      </c>
      <c r="M2087" s="20"/>
      <c r="N2087" s="35" t="str">
        <f>"Level - "&amp;IFERROR(VLOOKUP(F2078,FLN!$A$4:$K$103,10,0),"")</f>
        <v>Level - 2</v>
      </c>
      <c r="O2087" s="36"/>
      <c r="P2087" s="19"/>
      <c r="Q2087" s="14"/>
      <c r="R2087" s="11"/>
    </row>
    <row r="2088" s="1" customFormat="1" ht="21.95" customHeight="1" spans="1:18">
      <c r="A2088" s="7"/>
      <c r="B2088" s="12"/>
      <c r="C2088" s="33"/>
      <c r="D2088" s="38"/>
      <c r="E2088" s="20" t="s">
        <v>716</v>
      </c>
      <c r="F2088" s="18" t="str">
        <f>IF(L2102&gt;197,"PERFORMED WELL","")</f>
        <v/>
      </c>
      <c r="G2088" s="18"/>
      <c r="H2088" s="18"/>
      <c r="I2088" s="18"/>
      <c r="J2088" s="18"/>
      <c r="K2088" s="18"/>
      <c r="L2088" s="18"/>
      <c r="M2088" s="18"/>
      <c r="N2088" s="18"/>
      <c r="O2088" s="18"/>
      <c r="P2088" s="19"/>
      <c r="Q2088" s="14"/>
      <c r="R2088" s="11"/>
    </row>
    <row r="2089" s="1" customFormat="1" ht="9.95" customHeight="1" spans="1:18">
      <c r="A2089" s="7"/>
      <c r="B2089" s="12"/>
      <c r="C2089" s="39"/>
      <c r="D2089" s="40"/>
      <c r="E2089" s="40"/>
      <c r="F2089" s="40"/>
      <c r="G2089" s="40"/>
      <c r="H2089" s="40"/>
      <c r="I2089" s="40"/>
      <c r="J2089" s="40"/>
      <c r="K2089" s="40"/>
      <c r="L2089" s="40"/>
      <c r="M2089" s="40"/>
      <c r="N2089" s="40"/>
      <c r="O2089" s="40"/>
      <c r="P2089" s="41"/>
      <c r="Q2089" s="14"/>
      <c r="R2089" s="11"/>
    </row>
    <row r="2090" s="1" customFormat="1" ht="9.95" customHeight="1" spans="1:18">
      <c r="A2090" s="7"/>
      <c r="B2090" s="12"/>
      <c r="C2090" s="29"/>
      <c r="D2090" s="29"/>
      <c r="E2090" s="29"/>
      <c r="F2090" s="29"/>
      <c r="G2090" s="29"/>
      <c r="H2090" s="29"/>
      <c r="I2090" s="29"/>
      <c r="J2090" s="29"/>
      <c r="K2090" s="29"/>
      <c r="L2090" s="29"/>
      <c r="M2090" s="29"/>
      <c r="N2090" s="29"/>
      <c r="O2090" s="29"/>
      <c r="P2090" s="29"/>
      <c r="Q2090" s="14"/>
      <c r="R2090" s="11"/>
    </row>
    <row r="2091" s="1" customFormat="1" ht="9.95" customHeight="1" spans="1:18">
      <c r="A2091" s="7"/>
      <c r="B2091" s="12"/>
      <c r="C2091" s="30"/>
      <c r="D2091" s="31"/>
      <c r="E2091" s="31"/>
      <c r="F2091" s="31"/>
      <c r="G2091" s="31"/>
      <c r="H2091" s="31"/>
      <c r="I2091" s="31"/>
      <c r="J2091" s="31"/>
      <c r="K2091" s="31"/>
      <c r="L2091" s="31"/>
      <c r="M2091" s="31"/>
      <c r="N2091" s="31"/>
      <c r="O2091" s="31"/>
      <c r="P2091" s="32"/>
      <c r="Q2091" s="14"/>
      <c r="R2091" s="11"/>
    </row>
    <row r="2092" s="1" customFormat="1" ht="21.95" customHeight="1" spans="1:18">
      <c r="A2092" s="7"/>
      <c r="B2092" s="12"/>
      <c r="C2092" s="33"/>
      <c r="D2092" s="35"/>
      <c r="E2092" s="24"/>
      <c r="F2092" s="24"/>
      <c r="G2092" s="47" t="s">
        <v>717</v>
      </c>
      <c r="H2092" s="47"/>
      <c r="I2092" s="47"/>
      <c r="J2092" s="47"/>
      <c r="K2092" s="47"/>
      <c r="L2092" s="47"/>
      <c r="M2092" s="47"/>
      <c r="N2092" s="47"/>
      <c r="O2092" s="29"/>
      <c r="P2092" s="19"/>
      <c r="Q2092" s="14"/>
      <c r="R2092" s="11"/>
    </row>
    <row r="2093" s="1" customFormat="1" ht="21.95" customHeight="1" spans="1:18">
      <c r="A2093" s="7"/>
      <c r="B2093" s="12"/>
      <c r="C2093" s="33"/>
      <c r="D2093" s="47"/>
      <c r="E2093" s="47"/>
      <c r="F2093" s="47"/>
      <c r="G2093" s="47" t="s">
        <v>541</v>
      </c>
      <c r="H2093" s="47" t="s">
        <v>542</v>
      </c>
      <c r="I2093" s="47" t="s">
        <v>543</v>
      </c>
      <c r="J2093" s="47" t="s">
        <v>544</v>
      </c>
      <c r="K2093" s="47" t="s">
        <v>561</v>
      </c>
      <c r="L2093" s="47" t="s">
        <v>382</v>
      </c>
      <c r="M2093" s="49" t="s">
        <v>546</v>
      </c>
      <c r="N2093" s="49"/>
      <c r="O2093" s="29"/>
      <c r="P2093" s="19"/>
      <c r="Q2093" s="14"/>
      <c r="R2093" s="11"/>
    </row>
    <row r="2094" s="1" customFormat="1" ht="21.95" customHeight="1" spans="1:18">
      <c r="A2094" s="7"/>
      <c r="B2094" s="12"/>
      <c r="C2094" s="33"/>
      <c r="D2094" s="207" t="s">
        <v>652</v>
      </c>
      <c r="E2094" s="207"/>
      <c r="F2094" s="207"/>
      <c r="G2094" s="50">
        <v>10</v>
      </c>
      <c r="H2094" s="50">
        <v>10</v>
      </c>
      <c r="I2094" s="50">
        <v>10</v>
      </c>
      <c r="J2094" s="50">
        <v>10</v>
      </c>
      <c r="K2094" s="50">
        <v>60</v>
      </c>
      <c r="L2094" s="50">
        <v>100</v>
      </c>
      <c r="M2094" s="49"/>
      <c r="N2094" s="49"/>
      <c r="O2094" s="29"/>
      <c r="P2094" s="19"/>
      <c r="Q2094" s="14"/>
      <c r="R2094" s="11"/>
    </row>
    <row r="2095" s="1" customFormat="1" ht="21.95" customHeight="1" spans="1:18">
      <c r="A2095" s="7"/>
      <c r="B2095" s="12"/>
      <c r="C2095" s="33"/>
      <c r="D2095" s="117" t="s">
        <v>668</v>
      </c>
      <c r="E2095" s="117"/>
      <c r="F2095" s="117"/>
      <c r="G2095" s="54">
        <f>IFERROR(VLOOKUP(F2078,'1to4-2.1-RR'!$A$12:$BG$111,9,0),"")</f>
        <v>0</v>
      </c>
      <c r="H2095" s="54">
        <f>IFERROR(VLOOKUP(F2078,'1to4-2.1-RR'!$A$12:$BG$111,10,0),"")</f>
        <v>0</v>
      </c>
      <c r="I2095" s="54">
        <f>IFERROR(VLOOKUP(F2078,'1to4-2.1-RR'!$A$12:$BG$111,11,0),"")</f>
        <v>0</v>
      </c>
      <c r="J2095" s="54">
        <f>IFERROR(VLOOKUP(F2078,'1to4-2.1-RR'!$A$12:$BG$111,12,0),"")</f>
        <v>0</v>
      </c>
      <c r="K2095" s="54">
        <f>IFERROR(VLOOKUP(F2078,'1to4-2.1-RR'!$A$12:$BG$111,13,0),"")</f>
        <v>28</v>
      </c>
      <c r="L2095" s="55">
        <f>SUM(G2095:K2095)</f>
        <v>28</v>
      </c>
      <c r="M2095" s="56" t="str">
        <f>IF(F2078&gt;ENTRY!$D$24,"",IF(L2095=0,"Ab",IF(L2095&gt;80,"A",IF(L2095&gt;60,"B",IF(L2095&gt;44,"C",IF(L2095&gt;=33,"D",IF(L2095&lt;=32,"E","")))))))</f>
        <v>E</v>
      </c>
      <c r="N2095" s="56"/>
      <c r="O2095" s="29"/>
      <c r="P2095" s="19"/>
      <c r="Q2095" s="14"/>
      <c r="R2095" s="11"/>
    </row>
    <row r="2096" s="1" customFormat="1" ht="21.95" customHeight="1" spans="1:18">
      <c r="A2096" s="7"/>
      <c r="B2096" s="12"/>
      <c r="C2096" s="33"/>
      <c r="D2096" s="117" t="s">
        <v>513</v>
      </c>
      <c r="E2096" s="117"/>
      <c r="F2096" s="117"/>
      <c r="G2096" s="54">
        <f>IFERROR(VLOOKUP(F2078,'1to4-2.1-RR'!$A$12:$BG$111,16,0),"")</f>
        <v>0</v>
      </c>
      <c r="H2096" s="54">
        <f>IFERROR(VLOOKUP(F2078,'1to4-2.1-RR'!$A$12:$BG$111,17,0),"")</f>
        <v>0</v>
      </c>
      <c r="I2096" s="54">
        <f>IFERROR(VLOOKUP(F2078,'1to4-2.1-RR'!$A$12:$BG$111,18,0),"")</f>
        <v>0</v>
      </c>
      <c r="J2096" s="54">
        <f>IFERROR(VLOOKUP(F2078,'1to4-2.1-RR'!$A$12:$BG$111,19,0),"")</f>
        <v>0</v>
      </c>
      <c r="K2096" s="54">
        <f>IFERROR(VLOOKUP(F2078,'1to4-2.1-RR'!$A$12:$BG$111,20,0),"")</f>
        <v>12</v>
      </c>
      <c r="L2096" s="55">
        <f t="shared" ref="L2096:L2101" si="74">SUM(G2096:K2096)</f>
        <v>12</v>
      </c>
      <c r="M2096" s="56" t="str">
        <f>IF(F2078&gt;ENTRY!$D$24,"",IF(L2096=0,"Ab",IF(L2096&gt;80,"A",IF(L2096&gt;60,"B",IF(L2096&gt;44,"C",IF(L2096&gt;=33,"D",IF(L2096&lt;=32,"E","")))))))</f>
        <v>E</v>
      </c>
      <c r="N2096" s="56"/>
      <c r="O2096" s="29"/>
      <c r="P2096" s="19"/>
      <c r="Q2096" s="14"/>
      <c r="R2096" s="11"/>
    </row>
    <row r="2097" s="1" customFormat="1" ht="21.95" customHeight="1" spans="1:19">
      <c r="A2097" s="7"/>
      <c r="B2097" s="12"/>
      <c r="C2097" s="33"/>
      <c r="D2097" s="117" t="s">
        <v>718</v>
      </c>
      <c r="E2097" s="117"/>
      <c r="F2097" s="117"/>
      <c r="G2097" s="54">
        <f>IFERROR(VLOOKUP(F2078,'1to4-2.1-RR'!$A$12:$BG$111,23,0),"")</f>
        <v>0</v>
      </c>
      <c r="H2097" s="54">
        <f>IFERROR(VLOOKUP(F2078,'1to4-2.1-RR'!$A$12:$BG$111,24,0),"")</f>
        <v>0</v>
      </c>
      <c r="I2097" s="54">
        <f>IFERROR(VLOOKUP(F2078,'1to4-2.1-RR'!$A$12:$BG$111,25,0),"")</f>
        <v>0</v>
      </c>
      <c r="J2097" s="54">
        <f>IFERROR(VLOOKUP(F2078,'1to4-2.1-RR'!$A$12:$BG$111,26,0),"")</f>
        <v>0</v>
      </c>
      <c r="K2097" s="54">
        <f>IFERROR(VLOOKUP(F2078,'1to4-2.1-RR'!$A$12:$BG$111,27,0),"")</f>
        <v>12</v>
      </c>
      <c r="L2097" s="55">
        <f t="shared" si="74"/>
        <v>12</v>
      </c>
      <c r="M2097" s="56" t="str">
        <f>IF(F2078&gt;ENTRY!$D$24,"",IF(L2097=0,"Ab",IF(L2097&gt;80,"A",IF(L2097&gt;60,"B",IF(L2097&gt;44,"C",IF(L2097&gt;=33,"D",IF(L2097&lt;=32,"E","")))))))</f>
        <v>E</v>
      </c>
      <c r="N2097" s="56"/>
      <c r="O2097" s="29"/>
      <c r="P2097" s="19"/>
      <c r="Q2097" s="14"/>
      <c r="R2097" s="11"/>
    </row>
    <row r="2098" s="1" customFormat="1" ht="21.95" customHeight="1" spans="1:19">
      <c r="A2098" s="7"/>
      <c r="B2098" s="12"/>
      <c r="C2098" s="33"/>
      <c r="D2098" s="117" t="s">
        <v>719</v>
      </c>
      <c r="E2098" s="117"/>
      <c r="F2098" s="117"/>
      <c r="G2098" s="54">
        <f>IFERROR(VLOOKUP(F2078,'1to4-2.1-RR'!$A$12:$BG$111,30,0),"")</f>
        <v>0</v>
      </c>
      <c r="H2098" s="54">
        <f>IFERROR(VLOOKUP(F2078,'1to4-2.1-RR'!$A$12:$BG$111,31,0),"")</f>
        <v>0</v>
      </c>
      <c r="I2098" s="54">
        <f>IFERROR(VLOOKUP(F2078,'1to4-2.1-RR'!$A$12:$BG$111,32,0),"")</f>
        <v>0</v>
      </c>
      <c r="J2098" s="54">
        <f>IFERROR(VLOOKUP(F2078,'1to4-2.1-RR'!$A$12:$BG$111,33,0),"")</f>
        <v>0</v>
      </c>
      <c r="K2098" s="54">
        <f>IFERROR(VLOOKUP(F2078,'1to4-2.1-RR'!$A$12:$BG$111,34,0),"")</f>
        <v>13</v>
      </c>
      <c r="L2098" s="55">
        <f t="shared" si="74"/>
        <v>13</v>
      </c>
      <c r="M2098" s="56" t="str">
        <f>IF(F2078&gt;ENTRY!$D$24,"",IF(L2098=0,"Ab",IF(L2098&gt;80,"A",IF(L2098&gt;60,"B",IF(L2098&gt;44,"C",IF(L2098&gt;=33,"D",IF(L2098&lt;=32,"E","")))))))</f>
        <v>E</v>
      </c>
      <c r="N2098" s="56"/>
      <c r="O2098" s="29"/>
      <c r="P2098" s="19"/>
      <c r="Q2098" s="14"/>
      <c r="R2098" s="11"/>
    </row>
    <row r="2099" s="1" customFormat="1" ht="21.95" customHeight="1" spans="1:19">
      <c r="A2099" s="7"/>
      <c r="B2099" s="12"/>
      <c r="C2099" s="33"/>
      <c r="D2099" s="117" t="s">
        <v>548</v>
      </c>
      <c r="E2099" s="117"/>
      <c r="F2099" s="117"/>
      <c r="G2099" s="54">
        <f>IFERROR(VLOOKUP(F2078,'1to4-2.1-RR'!$A$12:$BG$111,37,0),"")</f>
        <v>0</v>
      </c>
      <c r="H2099" s="54">
        <f>IFERROR(VLOOKUP(F2078,'1to4-2.1-RR'!$A$12:$BG$111,38,0),"")</f>
        <v>0</v>
      </c>
      <c r="I2099" s="54">
        <f>IFERROR(VLOOKUP(F2078,'1to4-2.1-RR'!$A$12:$BG$111,39,0),"")</f>
        <v>0</v>
      </c>
      <c r="J2099" s="54">
        <f>IFERROR(VLOOKUP(F2078,'1to4-2.1-RR'!$A$12:$BG$111,40,0),"")</f>
        <v>0</v>
      </c>
      <c r="K2099" s="54">
        <f>IFERROR(VLOOKUP(F2078,'1to4-2.1-RR'!$A$12:$BG$111,41,0),"")</f>
        <v>17</v>
      </c>
      <c r="L2099" s="55">
        <f t="shared" si="74"/>
        <v>17</v>
      </c>
      <c r="M2099" s="56" t="str">
        <f>IF(F2078&gt;ENTRY!$D$24,"",IF(L2099=0,"Ab",IF(L2099&gt;80,"A",IF(L2099&gt;60,"B",IF(L2099&gt;44,"C",IF(L2099&gt;=33,"D",IF(L2099&lt;=32,"E","")))))))</f>
        <v>E</v>
      </c>
      <c r="N2099" s="56"/>
      <c r="O2099" s="29"/>
      <c r="P2099" s="19"/>
      <c r="Q2099" s="14"/>
      <c r="R2099" s="11"/>
    </row>
    <row r="2100" s="1" customFormat="1" ht="21.95" customHeight="1" spans="1:19">
      <c r="A2100" s="7"/>
      <c r="B2100" s="12"/>
      <c r="C2100" s="33"/>
      <c r="D2100" s="117" t="s">
        <v>549</v>
      </c>
      <c r="E2100" s="117"/>
      <c r="F2100" s="117"/>
      <c r="G2100" s="54">
        <f>IFERROR(VLOOKUP(F2078,'1to4-2.1-RR'!$A$12:$BG$111,44,0),"")</f>
        <v>0</v>
      </c>
      <c r="H2100" s="54">
        <f>IFERROR(VLOOKUP(F2078,'1to4-2.1-RR'!$A$12:$BG$111,45,0),"")</f>
        <v>0</v>
      </c>
      <c r="I2100" s="54">
        <f>IFERROR(VLOOKUP(F2078,'1to4-2.1-RR'!$A$12:$BG$111,46,0),"")</f>
        <v>0</v>
      </c>
      <c r="J2100" s="54">
        <f>IFERROR(VLOOKUP(F2078,'1to4-2.1-RR'!$A$12:$BG$111,47,0),"")</f>
        <v>0</v>
      </c>
      <c r="K2100" s="54">
        <f>IFERROR(VLOOKUP(F2078,'1to4-2.1-RR'!$A$12:$BG$111,48,0),"")</f>
        <v>25</v>
      </c>
      <c r="L2100" s="55">
        <f t="shared" si="74"/>
        <v>25</v>
      </c>
      <c r="M2100" s="56" t="str">
        <f>IF(F2078&gt;ENTRY!$D$24,"",IF(L2100=0,"Ab",IF(L2100&gt;80,"A",IF(L2100&gt;60,"B",IF(L2100&gt;44,"C",IF(L2100&gt;=33,"D",IF(L2100&lt;=32,"E","")))))))</f>
        <v>E</v>
      </c>
      <c r="N2100" s="56"/>
      <c r="O2100" s="29"/>
      <c r="P2100" s="19"/>
      <c r="Q2100" s="14"/>
      <c r="R2100" s="11"/>
    </row>
    <row r="2101" s="1" customFormat="1" ht="21.95" customHeight="1" spans="1:19">
      <c r="A2101" s="7"/>
      <c r="B2101" s="12"/>
      <c r="C2101" s="33"/>
      <c r="D2101" s="117" t="s">
        <v>720</v>
      </c>
      <c r="E2101" s="117"/>
      <c r="F2101" s="117"/>
      <c r="G2101" s="54"/>
      <c r="H2101" s="54"/>
      <c r="I2101" s="54"/>
      <c r="J2101" s="54"/>
      <c r="K2101" s="54"/>
      <c r="L2101" s="55">
        <f t="shared" si="74"/>
        <v>0</v>
      </c>
      <c r="M2101" s="56" t="str">
        <f>IF(F2078&gt;ENTRY!$D$24,"",IF(L2101=0,"",IF(L2101&gt;79,"A",IF(L2101&gt;59,"B",IF(L2101&gt;44,"C",IF(L2101&gt;=33,"D",IF(L2101&lt;=32,"E","")))))))</f>
        <v/>
      </c>
      <c r="N2101" s="56"/>
      <c r="O2101" s="29"/>
      <c r="P2101" s="19"/>
      <c r="Q2101" s="14"/>
      <c r="R2101" s="11"/>
    </row>
    <row r="2102" s="1" customFormat="1" ht="21.95" customHeight="1" spans="1:19">
      <c r="A2102" s="7"/>
      <c r="B2102" s="12"/>
      <c r="C2102" s="33"/>
      <c r="D2102" s="207" t="s">
        <v>382</v>
      </c>
      <c r="E2102" s="207"/>
      <c r="F2102" s="207"/>
      <c r="G2102" s="54">
        <f t="shared" ref="G2102:L2102" si="75">IFERROR(SUM(G2095:G2101),"")</f>
        <v>0</v>
      </c>
      <c r="H2102" s="54">
        <f t="shared" si="75"/>
        <v>0</v>
      </c>
      <c r="I2102" s="54">
        <f t="shared" si="75"/>
        <v>0</v>
      </c>
      <c r="J2102" s="54">
        <f t="shared" si="75"/>
        <v>0</v>
      </c>
      <c r="K2102" s="54">
        <f t="shared" si="75"/>
        <v>107</v>
      </c>
      <c r="L2102" s="55">
        <f t="shared" si="75"/>
        <v>107</v>
      </c>
      <c r="M2102" s="61" t="str">
        <f>IF(F2078&gt;ENTRY!$D$24,"",IF(N2103="Ab","Ab",IF(N2103&gt;79.5,"A",IF(N2103&gt;59.5,"B",IF(N2103&gt;44.5,"C",IF(N2103&gt;=33,"D",IF(N2103&lt;33,"E","")))))))</f>
        <v>E</v>
      </c>
      <c r="N2102" s="61"/>
      <c r="O2102" s="29"/>
      <c r="P2102" s="19"/>
      <c r="Q2102" s="14"/>
      <c r="R2102" s="11"/>
    </row>
    <row r="2103" s="1" customFormat="1" ht="21.95" customHeight="1" spans="1:19">
      <c r="A2103" s="7"/>
      <c r="B2103" s="12"/>
      <c r="C2103" s="33"/>
      <c r="D2103" s="63" t="s">
        <v>721</v>
      </c>
      <c r="E2103" s="63"/>
      <c r="F2103" s="63"/>
      <c r="G2103" s="63"/>
      <c r="H2103" s="63"/>
      <c r="I2103" s="63"/>
      <c r="J2103" s="63"/>
      <c r="K2103" s="63"/>
      <c r="L2103" s="63"/>
      <c r="M2103" s="209"/>
      <c r="N2103" s="64">
        <f>IF(L2102="Ab","Ab",L2102/6)</f>
        <v>17.8333333333333</v>
      </c>
      <c r="O2103" s="65"/>
      <c r="P2103" s="19"/>
      <c r="Q2103" s="14"/>
      <c r="R2103" s="11"/>
    </row>
    <row r="2104" s="1" customFormat="1" ht="21.95" customHeight="1" spans="1:19">
      <c r="A2104" s="7"/>
      <c r="B2104" s="12"/>
      <c r="C2104" s="33"/>
      <c r="D2104" s="29" t="s">
        <v>716</v>
      </c>
      <c r="E2104" s="18" t="str">
        <f>IFERROR(VLOOKUP(F2078,'1to4-2.1-RR'!$A$12:$BG$111,57,0),"")</f>
        <v>PROMOTED</v>
      </c>
      <c r="F2104" s="18"/>
      <c r="G2104" s="18"/>
      <c r="H2104" s="18"/>
      <c r="I2104" s="18"/>
      <c r="J2104" s="18"/>
      <c r="K2104" s="18"/>
      <c r="L2104" s="18"/>
      <c r="M2104" s="18"/>
      <c r="N2104" s="29"/>
      <c r="O2104" s="29"/>
      <c r="P2104" s="19"/>
      <c r="Q2104" s="14"/>
      <c r="R2104" s="11"/>
    </row>
    <row r="2105" s="1" customFormat="1" ht="9.95" customHeight="1" spans="1:19">
      <c r="A2105" s="7"/>
      <c r="B2105" s="12"/>
      <c r="C2105" s="39"/>
      <c r="D2105" s="40"/>
      <c r="E2105" s="40"/>
      <c r="F2105" s="40"/>
      <c r="G2105" s="40"/>
      <c r="H2105" s="40"/>
      <c r="I2105" s="40"/>
      <c r="J2105" s="40"/>
      <c r="K2105" s="40"/>
      <c r="L2105" s="40"/>
      <c r="M2105" s="40"/>
      <c r="N2105" s="40"/>
      <c r="O2105" s="40"/>
      <c r="P2105" s="41"/>
      <c r="Q2105" s="14"/>
      <c r="R2105" s="11"/>
    </row>
    <row r="2106" s="1" customFormat="1" ht="9.95" customHeight="1" spans="1:19">
      <c r="A2106" s="7"/>
      <c r="B2106" s="12"/>
      <c r="C2106" s="30"/>
      <c r="D2106" s="31"/>
      <c r="E2106" s="31"/>
      <c r="F2106" s="29"/>
      <c r="G2106" s="31"/>
      <c r="H2106" s="31"/>
      <c r="I2106" s="31"/>
      <c r="J2106" s="31"/>
      <c r="K2106" s="31"/>
      <c r="L2106" s="31"/>
      <c r="M2106" s="31"/>
      <c r="N2106" s="31"/>
      <c r="O2106" s="31"/>
      <c r="P2106" s="32"/>
      <c r="Q2106" s="14"/>
      <c r="R2106" s="11"/>
    </row>
    <row r="2107" s="1" customFormat="1" ht="9.95" customHeight="1" spans="1:19">
      <c r="A2107" s="7"/>
      <c r="B2107" s="12"/>
      <c r="C2107" s="33"/>
      <c r="D2107" s="29"/>
      <c r="E2107" s="29"/>
      <c r="F2107" s="29"/>
      <c r="G2107" s="29"/>
      <c r="H2107" s="29"/>
      <c r="I2107" s="29"/>
      <c r="J2107" s="29"/>
      <c r="K2107" s="29"/>
      <c r="L2107" s="29"/>
      <c r="M2107" s="29"/>
      <c r="N2107" s="29"/>
      <c r="O2107" s="29"/>
      <c r="P2107" s="19"/>
      <c r="Q2107" s="14"/>
      <c r="R2107" s="11"/>
    </row>
    <row r="2108" s="1" customFormat="1" ht="9.95" customHeight="1" spans="1:19">
      <c r="A2108" s="7"/>
      <c r="B2108" s="12"/>
      <c r="C2108" s="33"/>
      <c r="D2108" s="29"/>
      <c r="E2108" s="29"/>
      <c r="F2108" s="29"/>
      <c r="G2108" s="29"/>
      <c r="H2108" s="29"/>
      <c r="I2108" s="29"/>
      <c r="J2108" s="29"/>
      <c r="K2108" s="29"/>
      <c r="L2108" s="29"/>
      <c r="M2108" s="29"/>
      <c r="N2108" s="29"/>
      <c r="O2108" s="29"/>
      <c r="P2108" s="19"/>
      <c r="Q2108" s="14"/>
      <c r="R2108" s="11"/>
    </row>
    <row r="2109" s="1" customFormat="1" ht="21.95" customHeight="1" spans="1:19">
      <c r="A2109" s="7"/>
      <c r="B2109" s="12"/>
      <c r="C2109" s="210"/>
      <c r="D2109" s="211"/>
      <c r="E2109" s="211"/>
      <c r="F2109" s="211"/>
      <c r="G2109" s="211"/>
      <c r="H2109" s="211"/>
      <c r="I2109" s="211"/>
      <c r="J2109" s="211"/>
      <c r="K2109" s="211"/>
      <c r="L2109" s="211"/>
      <c r="M2109" s="211"/>
      <c r="N2109" s="211"/>
      <c r="O2109" s="211"/>
      <c r="P2109" s="212"/>
      <c r="Q2109" s="14"/>
      <c r="R2109" s="11"/>
      <c r="S2109" s="2"/>
    </row>
    <row r="2110" s="1" customFormat="1" ht="21.95" customHeight="1" spans="1:19">
      <c r="A2110" s="7"/>
      <c r="B2110" s="12"/>
      <c r="C2110" s="33"/>
      <c r="D2110" s="207" t="s">
        <v>722</v>
      </c>
      <c r="E2110" s="207"/>
      <c r="F2110" s="207"/>
      <c r="G2110" s="207"/>
      <c r="H2110" s="54">
        <f>IFERROR(VLOOKUP(F2078,PASHEET!$A$4:$CJ$103,88,0),"")</f>
        <v>0</v>
      </c>
      <c r="I2110" s="54"/>
      <c r="J2110" s="29"/>
      <c r="K2110" s="29"/>
      <c r="L2110" s="29"/>
      <c r="M2110" s="29"/>
      <c r="N2110" s="29"/>
      <c r="O2110" s="29"/>
      <c r="P2110" s="19"/>
      <c r="Q2110" s="14"/>
      <c r="R2110" s="11"/>
    </row>
    <row r="2111" s="1" customFormat="1" ht="21.95" customHeight="1" spans="1:19">
      <c r="A2111" s="7"/>
      <c r="B2111" s="12"/>
      <c r="C2111" s="213"/>
      <c r="D2111" s="207" t="s">
        <v>723</v>
      </c>
      <c r="E2111" s="207"/>
      <c r="F2111" s="207"/>
      <c r="G2111" s="207"/>
      <c r="H2111" s="54">
        <f>IFERROR(VLOOKUP(F2078,PASHEET!$A$4:$CJ$103,87,0),"")</f>
        <v>0</v>
      </c>
      <c r="I2111" s="54"/>
      <c r="J2111" s="214"/>
      <c r="K2111" s="214"/>
      <c r="L2111" s="207" t="s">
        <v>724</v>
      </c>
      <c r="M2111" s="207"/>
      <c r="N2111" s="117" t="str">
        <f>IF(F2078&gt;ENTRY!$D$24,"",IF(F2078&gt;0,L2102&amp;" / "&amp;600,""))</f>
        <v>107 / 600</v>
      </c>
      <c r="O2111" s="117"/>
      <c r="P2111" s="215"/>
      <c r="Q2111" s="14"/>
      <c r="R2111" s="11"/>
    </row>
    <row r="2112" s="1" customFormat="1" ht="18" customHeight="1" spans="1:19">
      <c r="A2112" s="7"/>
      <c r="B2112" s="12"/>
      <c r="C2112" s="33"/>
      <c r="D2112" s="207" t="s">
        <v>725</v>
      </c>
      <c r="E2112" s="207"/>
      <c r="F2112" s="207"/>
      <c r="G2112" s="207"/>
      <c r="H2112" s="69" t="str">
        <f>IFERROR(IF(F2078&gt;0,H2111/H2110*100),"")</f>
        <v/>
      </c>
      <c r="I2112" s="69"/>
      <c r="J2112" s="29"/>
      <c r="K2112" s="29"/>
      <c r="L2112" s="207" t="s">
        <v>726</v>
      </c>
      <c r="M2112" s="207"/>
      <c r="N2112" s="216">
        <f>IF(F2078&gt;ENTRY!$D$24,"",IF(F2078&gt;0,L2102/600*100,""))</f>
        <v>17.8333333333333</v>
      </c>
      <c r="O2112" s="216"/>
      <c r="P2112" s="19"/>
      <c r="Q2112" s="14"/>
      <c r="R2112" s="11"/>
    </row>
    <row r="2113" s="1" customFormat="1" ht="21.95" customHeight="1" spans="1:18">
      <c r="A2113" s="7"/>
      <c r="B2113" s="12"/>
      <c r="C2113" s="33"/>
      <c r="D2113" s="80"/>
      <c r="E2113" s="80"/>
      <c r="F2113" s="217"/>
      <c r="G2113" s="217"/>
      <c r="H2113" s="217"/>
      <c r="I2113" s="217"/>
      <c r="J2113" s="217"/>
      <c r="K2113" s="217"/>
      <c r="L2113" s="217"/>
      <c r="M2113" s="217"/>
      <c r="N2113" s="80"/>
      <c r="O2113" s="80"/>
      <c r="P2113" s="19"/>
      <c r="Q2113" s="14"/>
      <c r="R2113" s="11"/>
    </row>
    <row r="2114" s="1" customFormat="1" ht="21.95" customHeight="1" spans="1:18">
      <c r="A2114" s="7"/>
      <c r="B2114" s="12"/>
      <c r="C2114" s="33"/>
      <c r="D2114" s="80"/>
      <c r="E2114" s="218"/>
      <c r="F2114" s="218"/>
      <c r="G2114" s="218"/>
      <c r="H2114" s="80"/>
      <c r="I2114" s="218"/>
      <c r="J2114" s="218"/>
      <c r="K2114" s="218"/>
      <c r="L2114" s="218"/>
      <c r="M2114" s="80"/>
      <c r="N2114" s="219"/>
      <c r="O2114" s="219"/>
      <c r="P2114" s="19"/>
      <c r="Q2114" s="14"/>
      <c r="R2114" s="11"/>
    </row>
    <row r="2115" s="1" customFormat="1" ht="21.95" customHeight="1" spans="1:18">
      <c r="A2115" s="7"/>
      <c r="B2115" s="12"/>
      <c r="C2115" s="33"/>
      <c r="D2115" s="80"/>
      <c r="E2115" s="80"/>
      <c r="F2115" s="80"/>
      <c r="G2115" s="80"/>
      <c r="H2115" s="80"/>
      <c r="I2115" s="80"/>
      <c r="J2115" s="80"/>
      <c r="K2115" s="80"/>
      <c r="L2115" s="80"/>
      <c r="M2115" s="80"/>
      <c r="N2115" s="80"/>
      <c r="O2115" s="80"/>
      <c r="P2115" s="19"/>
      <c r="Q2115" s="14"/>
      <c r="R2115" s="11"/>
    </row>
    <row r="2116" s="1" customFormat="1" ht="21.95" customHeight="1" spans="1:18">
      <c r="A2116" s="7"/>
      <c r="B2116" s="12"/>
      <c r="C2116" s="33"/>
      <c r="D2116" s="218"/>
      <c r="E2116" s="218"/>
      <c r="F2116" s="218"/>
      <c r="G2116" s="218"/>
      <c r="H2116" s="218"/>
      <c r="I2116" s="218"/>
      <c r="J2116" s="218"/>
      <c r="K2116" s="218"/>
      <c r="L2116" s="218"/>
      <c r="M2116" s="80"/>
      <c r="N2116" s="217"/>
      <c r="O2116" s="217"/>
      <c r="P2116" s="85" t="s">
        <v>727</v>
      </c>
      <c r="Q2116" s="14"/>
      <c r="R2116" s="11"/>
    </row>
    <row r="2117" s="1" customFormat="1" ht="21.95" customHeight="1" spans="1:18">
      <c r="A2117" s="7"/>
      <c r="B2117" s="12"/>
      <c r="C2117" s="33"/>
      <c r="D2117" s="29"/>
      <c r="E2117" s="29"/>
      <c r="F2117" s="29"/>
      <c r="G2117" s="29"/>
      <c r="H2117" s="29"/>
      <c r="I2117" s="29"/>
      <c r="J2117" s="29"/>
      <c r="K2117" s="29"/>
      <c r="L2117" s="29"/>
      <c r="M2117" s="29"/>
      <c r="N2117" s="29"/>
      <c r="O2117" s="29"/>
      <c r="P2117" s="19"/>
      <c r="Q2117" s="14"/>
      <c r="R2117" s="11"/>
    </row>
    <row r="2118" s="1" customFormat="1" ht="21.95" customHeight="1" spans="1:18">
      <c r="A2118" s="7"/>
      <c r="B2118" s="12"/>
      <c r="C2118" s="33"/>
      <c r="D2118" s="29"/>
      <c r="E2118" s="29"/>
      <c r="F2118" s="29"/>
      <c r="G2118" s="29"/>
      <c r="H2118" s="29"/>
      <c r="I2118" s="29"/>
      <c r="J2118" s="29"/>
      <c r="K2118" s="29"/>
      <c r="L2118" s="29"/>
      <c r="M2118" s="29"/>
      <c r="N2118" s="29"/>
      <c r="O2118" s="29"/>
      <c r="P2118" s="19"/>
      <c r="Q2118" s="14"/>
      <c r="R2118" s="11"/>
    </row>
    <row r="2119" s="1" customFormat="1" ht="21.95" customHeight="1" spans="1:18">
      <c r="A2119" s="7"/>
      <c r="B2119" s="12"/>
      <c r="C2119" s="33"/>
      <c r="D2119" s="29"/>
      <c r="E2119" s="29"/>
      <c r="F2119" s="29"/>
      <c r="G2119" s="29"/>
      <c r="H2119" s="29"/>
      <c r="I2119" s="29"/>
      <c r="J2119" s="29"/>
      <c r="K2119" s="29"/>
      <c r="L2119" s="29"/>
      <c r="M2119" s="29"/>
      <c r="N2119" s="29"/>
      <c r="O2119" s="29"/>
      <c r="P2119" s="19"/>
      <c r="Q2119" s="14"/>
      <c r="R2119" s="11"/>
    </row>
    <row r="2120" s="1" customFormat="1" ht="21.95" customHeight="1" spans="1:18">
      <c r="A2120" s="7"/>
      <c r="B2120" s="12"/>
      <c r="C2120" s="33"/>
      <c r="D2120" s="29"/>
      <c r="E2120" s="29"/>
      <c r="F2120" s="29"/>
      <c r="G2120" s="29"/>
      <c r="H2120" s="29"/>
      <c r="I2120" s="29"/>
      <c r="J2120" s="29"/>
      <c r="K2120" s="29"/>
      <c r="L2120" s="29"/>
      <c r="M2120" s="29"/>
      <c r="N2120" s="29"/>
      <c r="O2120" s="29"/>
      <c r="P2120" s="19"/>
      <c r="Q2120" s="14"/>
      <c r="R2120" s="11"/>
    </row>
    <row r="2121" s="1" customFormat="1" ht="21.95" customHeight="1" spans="1:18">
      <c r="A2121" s="7"/>
      <c r="B2121" s="12"/>
      <c r="C2121" s="33"/>
      <c r="D2121" s="29"/>
      <c r="E2121" s="29"/>
      <c r="F2121" s="29"/>
      <c r="G2121" s="29"/>
      <c r="H2121" s="29"/>
      <c r="I2121" s="29"/>
      <c r="J2121" s="29"/>
      <c r="K2121" s="29"/>
      <c r="L2121" s="29"/>
      <c r="M2121" s="29"/>
      <c r="N2121" s="29"/>
      <c r="O2121" s="29"/>
      <c r="P2121" s="19"/>
      <c r="Q2121" s="14"/>
      <c r="R2121" s="11"/>
    </row>
    <row r="2122" s="1" customFormat="1" ht="21.95" customHeight="1" spans="1:18">
      <c r="A2122" s="7"/>
      <c r="B2122" s="12"/>
      <c r="C2122" s="33"/>
      <c r="D2122" s="80" t="s">
        <v>728</v>
      </c>
      <c r="E2122" s="220">
        <f>ENTRY!$D$27</f>
        <v>46102</v>
      </c>
      <c r="F2122" s="220"/>
      <c r="G2122" s="29"/>
      <c r="H2122" s="29"/>
      <c r="I2122" s="221" t="s">
        <v>729</v>
      </c>
      <c r="J2122" s="153"/>
      <c r="K2122" s="29"/>
      <c r="L2122" s="29"/>
      <c r="M2122" s="87" t="s">
        <v>730</v>
      </c>
      <c r="N2122" s="87"/>
      <c r="O2122" s="87"/>
      <c r="P2122" s="19"/>
      <c r="Q2122" s="14"/>
      <c r="R2122" s="11"/>
    </row>
    <row r="2123" s="1" customFormat="1" ht="21.95" customHeight="1" spans="1:18">
      <c r="A2123" s="7"/>
      <c r="B2123" s="12"/>
      <c r="C2123" s="33"/>
      <c r="D2123" s="80" t="s">
        <v>731</v>
      </c>
      <c r="E2123" s="88" t="str">
        <f>PROPER(ENTRY!$D$28)</f>
        <v>New Delhi</v>
      </c>
      <c r="F2123" s="88"/>
      <c r="G2123" s="29"/>
      <c r="H2123" s="29"/>
      <c r="I2123" s="153"/>
      <c r="J2123" s="153"/>
      <c r="K2123" s="29"/>
      <c r="L2123" s="29"/>
      <c r="M2123" s="79" t="s">
        <v>732</v>
      </c>
      <c r="N2123" s="79"/>
      <c r="O2123" s="79"/>
      <c r="P2123" s="19"/>
      <c r="Q2123" s="14"/>
      <c r="R2123" s="11"/>
    </row>
    <row r="2124" s="1" customFormat="1" ht="21.95" customHeight="1" spans="1:18">
      <c r="A2124" s="7"/>
      <c r="B2124" s="12"/>
      <c r="C2124" s="90"/>
      <c r="D2124" s="91"/>
      <c r="E2124" s="91"/>
      <c r="F2124" s="91"/>
      <c r="G2124" s="91"/>
      <c r="H2124" s="91"/>
      <c r="I2124" s="91"/>
      <c r="J2124" s="91"/>
      <c r="K2124" s="91"/>
      <c r="L2124" s="91"/>
      <c r="M2124" s="91"/>
      <c r="N2124" s="91"/>
      <c r="O2124" s="91"/>
      <c r="P2124" s="92"/>
      <c r="Q2124" s="14"/>
      <c r="R2124" s="11"/>
    </row>
    <row r="2125" s="1" customFormat="1" ht="5.1" customHeight="1" spans="1:18">
      <c r="A2125" s="7"/>
      <c r="B2125" s="90"/>
      <c r="C2125" s="91"/>
      <c r="D2125" s="91"/>
      <c r="E2125" s="91"/>
      <c r="F2125" s="91"/>
      <c r="G2125" s="91"/>
      <c r="H2125" s="91"/>
      <c r="I2125" s="91"/>
      <c r="J2125" s="91"/>
      <c r="K2125" s="91"/>
      <c r="L2125" s="91"/>
      <c r="M2125" s="91"/>
      <c r="N2125" s="91"/>
      <c r="O2125" s="91"/>
      <c r="P2125" s="91"/>
      <c r="Q2125" s="92"/>
      <c r="R2125" s="11"/>
    </row>
    <row r="2126" s="1" customFormat="1" ht="5.1" customHeight="1" spans="1:18">
      <c r="A2126" s="93"/>
      <c r="B2126" s="94"/>
      <c r="C2126" s="94"/>
      <c r="D2126" s="94"/>
      <c r="E2126" s="94"/>
      <c r="F2126" s="94"/>
      <c r="G2126" s="94"/>
      <c r="H2126" s="94"/>
      <c r="I2126" s="94"/>
      <c r="J2126" s="94"/>
      <c r="K2126" s="94"/>
      <c r="L2126" s="94"/>
      <c r="M2126" s="94"/>
      <c r="N2126" s="94"/>
      <c r="O2126" s="94"/>
      <c r="P2126" s="94"/>
      <c r="Q2126" s="94"/>
      <c r="R2126" s="95"/>
    </row>
    <row r="2127" s="1" customFormat="1" ht="21.95" customHeight="1"/>
    <row r="2128" ht="15.15"/>
    <row r="2129" s="1" customFormat="1" ht="5.1" customHeight="1" spans="1:18">
      <c r="A2129" s="4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  <c r="O2129" s="5"/>
      <c r="P2129" s="5"/>
      <c r="Q2129" s="5"/>
      <c r="R2129" s="6"/>
    </row>
    <row r="2130" s="1" customFormat="1" ht="15" customHeight="1" spans="1:18">
      <c r="A2130" s="7"/>
      <c r="B2130" s="8"/>
      <c r="C2130" s="9"/>
      <c r="D2130" s="9"/>
      <c r="E2130" s="9"/>
      <c r="F2130" s="9"/>
      <c r="G2130" s="9"/>
      <c r="H2130" s="9"/>
      <c r="I2130" s="9"/>
      <c r="J2130" s="9"/>
      <c r="K2130" s="9"/>
      <c r="L2130" s="9"/>
      <c r="M2130" s="9"/>
      <c r="N2130" s="9"/>
      <c r="O2130" s="9"/>
      <c r="P2130" s="9"/>
      <c r="Q2130" s="10"/>
      <c r="R2130" s="11"/>
    </row>
    <row r="2131" s="1" customFormat="1" ht="21.95" customHeight="1" spans="1:18">
      <c r="A2131" s="7"/>
      <c r="B2131" s="12"/>
      <c r="C2131" s="13" t="s">
        <v>7</v>
      </c>
      <c r="D2131" s="13"/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/>
      <c r="Q2131" s="14"/>
      <c r="R2131" s="11"/>
    </row>
    <row r="2132" s="1" customFormat="1" ht="21.95" customHeight="1" spans="1:18">
      <c r="A2132" s="7"/>
      <c r="B2132" s="1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14"/>
      <c r="R2132" s="11"/>
    </row>
    <row r="2133" s="1" customFormat="1" ht="21.95" customHeight="1" spans="1:18">
      <c r="A2133" s="7"/>
      <c r="B2133" s="12"/>
      <c r="C2133" s="15" t="str">
        <f>"SESSION-"&amp;ENTRY!$D$11</f>
        <v>SESSION-2026-27</v>
      </c>
      <c r="D2133" s="15"/>
      <c r="E2133" s="15"/>
      <c r="F2133" s="15"/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4"/>
      <c r="R2133" s="11"/>
    </row>
    <row r="2134" s="1" customFormat="1" ht="21.95" customHeight="1" spans="1:18">
      <c r="A2134" s="7"/>
      <c r="B2134" s="12"/>
      <c r="C2134" s="2"/>
      <c r="D2134" s="2"/>
      <c r="E2134" s="2"/>
      <c r="F2134" s="16">
        <f>F2078+1</f>
        <v>39</v>
      </c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14"/>
      <c r="R2134" s="11"/>
    </row>
    <row r="2135" s="1" customFormat="1" ht="21.95" customHeight="1" spans="1:18">
      <c r="A2135" s="7"/>
      <c r="B2135" s="12"/>
      <c r="C2135" s="17" t="s">
        <v>392</v>
      </c>
      <c r="D2135" s="17"/>
      <c r="E2135" s="17"/>
      <c r="F2135" s="18" t="str">
        <f>IF(F2134&gt;0,ENTRY!$D$6,"")</f>
        <v>MCP NITHARI NO 1 BOYS</v>
      </c>
      <c r="G2135" s="18"/>
      <c r="H2135" s="18"/>
      <c r="I2135" s="18"/>
      <c r="J2135" s="18"/>
      <c r="K2135" s="18"/>
      <c r="L2135" s="18"/>
      <c r="M2135" s="18"/>
      <c r="N2135" s="18"/>
      <c r="O2135" s="18"/>
      <c r="P2135" s="18"/>
      <c r="Q2135" s="14"/>
      <c r="R2135" s="11"/>
    </row>
    <row r="2136" s="1" customFormat="1" ht="21.95" customHeight="1" spans="1:18">
      <c r="A2136" s="7"/>
      <c r="B2136" s="12"/>
      <c r="C2136" s="17" t="s">
        <v>393</v>
      </c>
      <c r="D2136" s="17"/>
      <c r="E2136" s="17"/>
      <c r="F2136" s="18">
        <f>IF(F2134&gt;0,ENTRY!$D$7,"")</f>
        <v>0</v>
      </c>
      <c r="G2136" s="18"/>
      <c r="H2136" s="20" t="s">
        <v>702</v>
      </c>
      <c r="I2136" s="20"/>
      <c r="J2136" s="21">
        <f>IF(F2134&gt;0,ENTRY!$D$10,"")</f>
        <v>40</v>
      </c>
      <c r="K2136" s="20" t="s">
        <v>703</v>
      </c>
      <c r="L2136" s="22" t="str">
        <f>IF(F2134&gt;0,ENTRY!$D$5,"")</f>
        <v>ROHINI ZONE</v>
      </c>
      <c r="M2136" s="22"/>
      <c r="N2136" s="22"/>
      <c r="O2136" s="22"/>
      <c r="P2136" s="22"/>
      <c r="Q2136" s="14"/>
      <c r="R2136" s="11"/>
    </row>
    <row r="2137" s="1" customFormat="1" ht="21.95" customHeight="1" spans="1:18">
      <c r="A2137" s="7"/>
      <c r="B2137" s="12"/>
      <c r="C2137" s="17" t="s">
        <v>706</v>
      </c>
      <c r="D2137" s="17"/>
      <c r="E2137" s="17"/>
      <c r="F2137" s="23" t="str">
        <f>IFERROR(VLOOKUP(F2134,STUDENT!$A$2:$BP$101,5,0),"")</f>
        <v>LOVECESH KUMAR</v>
      </c>
      <c r="G2137" s="23"/>
      <c r="H2137" s="23"/>
      <c r="I2137" s="23"/>
      <c r="J2137" s="23"/>
      <c r="K2137" s="23"/>
      <c r="L2137" s="20" t="s">
        <v>707</v>
      </c>
      <c r="M2137" s="20"/>
      <c r="N2137" s="24" t="str">
        <f>IF(F2134&gt;0,ENTRY!$D$20&amp;"-"&amp;ENTRY!$D$21,"")</f>
        <v>III-A</v>
      </c>
      <c r="O2137" s="24"/>
      <c r="P2137" s="24"/>
      <c r="Q2137" s="14"/>
      <c r="R2137" s="11"/>
    </row>
    <row r="2138" s="1" customFormat="1" ht="21.95" customHeight="1" spans="1:18">
      <c r="A2138" s="7"/>
      <c r="B2138" s="12"/>
      <c r="C2138" s="17" t="s">
        <v>708</v>
      </c>
      <c r="D2138" s="17"/>
      <c r="E2138" s="17"/>
      <c r="F2138" s="25">
        <f>IFERROR(VLOOKUP(F2134,STUDENT!$A$2:$BP$101,6,0),"")</f>
        <v>15149</v>
      </c>
      <c r="G2138" s="25"/>
      <c r="H2138" s="26" t="s">
        <v>709</v>
      </c>
      <c r="I2138" s="27" t="str">
        <f>IFERROR(VLOOKUP(F2134,STUDENT!$A$2:$BP$101,59,0),"")</f>
        <v/>
      </c>
      <c r="J2138" s="27"/>
      <c r="K2138" s="20" t="s">
        <v>710</v>
      </c>
      <c r="L2138" s="20"/>
      <c r="M2138" s="28">
        <f>IFERROR(VLOOKUP(F2134,STUDENT!$A$2:$BP$101,20,0),"")</f>
        <v>6280119792</v>
      </c>
      <c r="N2138" s="28"/>
      <c r="O2138" s="28"/>
      <c r="P2138" s="28"/>
      <c r="Q2138" s="14"/>
      <c r="R2138" s="11"/>
    </row>
    <row r="2139" s="1" customFormat="1" ht="21.95" customHeight="1" spans="1:18">
      <c r="A2139" s="7"/>
      <c r="B2139" s="12"/>
      <c r="C2139" s="17" t="s">
        <v>711</v>
      </c>
      <c r="D2139" s="17"/>
      <c r="E2139" s="17"/>
      <c r="F2139" s="23" t="str">
        <f>IFERROR(VLOOKUP(F2134,STUDENT!$A$2:$BP$101,9,0),"")</f>
        <v>ANJU KUMARI</v>
      </c>
      <c r="G2139" s="23"/>
      <c r="H2139" s="23"/>
      <c r="I2139" s="23"/>
      <c r="J2139" s="17" t="s">
        <v>620</v>
      </c>
      <c r="K2139" s="17"/>
      <c r="L2139" s="23" t="str">
        <f>IFERROR(VLOOKUP(F2134,STUDENT!$A$2:$BP$101,8,0),"")</f>
        <v>SANDEEP KUMAR</v>
      </c>
      <c r="M2139" s="23"/>
      <c r="N2139" s="23"/>
      <c r="O2139" s="23"/>
      <c r="P2139" s="23"/>
      <c r="Q2139" s="14"/>
      <c r="R2139" s="11"/>
    </row>
    <row r="2140" s="1" customFormat="1" ht="21.95" customHeight="1" spans="1:18">
      <c r="A2140" s="7"/>
      <c r="B2140" s="12"/>
      <c r="C2140" s="17" t="s">
        <v>712</v>
      </c>
      <c r="D2140" s="17"/>
      <c r="E2140" s="17"/>
      <c r="F2140" s="23" t="str">
        <f>IFERROR(VLOOKUP(F2134,STUDENT!$A$2:$BP$101,22,0),"")</f>
        <v>HOUSE NO-150 KH .NO . A/24 GROUND FLOOR NITHARI</v>
      </c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14"/>
      <c r="R2140" s="11"/>
    </row>
    <row r="2141" s="1" customFormat="1" ht="9.95" customHeight="1" spans="1:18">
      <c r="A2141" s="7"/>
      <c r="B2141" s="12"/>
      <c r="C2141" s="29"/>
      <c r="D2141" s="29"/>
      <c r="E2141" s="29"/>
      <c r="F2141" s="29"/>
      <c r="G2141" s="29"/>
      <c r="H2141" s="29"/>
      <c r="I2141" s="29"/>
      <c r="J2141" s="29"/>
      <c r="K2141" s="29"/>
      <c r="L2141" s="29"/>
      <c r="M2141" s="29"/>
      <c r="N2141" s="29"/>
      <c r="O2141" s="29"/>
      <c r="P2141" s="29"/>
      <c r="Q2141" s="14"/>
      <c r="R2141" s="11"/>
    </row>
    <row r="2142" s="1" customFormat="1" ht="9.95" customHeight="1" spans="1:18">
      <c r="A2142" s="7"/>
      <c r="B2142" s="12"/>
      <c r="C2142" s="30"/>
      <c r="D2142" s="31"/>
      <c r="E2142" s="31"/>
      <c r="F2142" s="31"/>
      <c r="G2142" s="31"/>
      <c r="H2142" s="31"/>
      <c r="I2142" s="31"/>
      <c r="J2142" s="31"/>
      <c r="K2142" s="31"/>
      <c r="L2142" s="31"/>
      <c r="M2142" s="31"/>
      <c r="N2142" s="31"/>
      <c r="O2142" s="31"/>
      <c r="P2142" s="32"/>
      <c r="Q2142" s="14"/>
      <c r="R2142" s="11"/>
    </row>
    <row r="2143" s="1" customFormat="1" ht="21.95" customHeight="1" spans="1:18">
      <c r="A2143" s="7"/>
      <c r="B2143" s="12"/>
      <c r="C2143" s="33"/>
      <c r="D2143" s="34" t="s">
        <v>713</v>
      </c>
      <c r="E2143" s="20" t="s">
        <v>714</v>
      </c>
      <c r="F2143" s="35" t="str">
        <f>"Level - "&amp;IFERROR(VLOOKUP(F2134,FLN!$A$4:$K$103,9,0),"")</f>
        <v>Level - </v>
      </c>
      <c r="G2143" s="36"/>
      <c r="H2143" s="37" t="s">
        <v>715</v>
      </c>
      <c r="I2143" s="20"/>
      <c r="J2143" s="35" t="str">
        <f>"Level - "&amp;IFERROR(VLOOKUP(F2134,FLN!$A$4:$K$103,11,0),"")</f>
        <v>Level - </v>
      </c>
      <c r="K2143" s="36"/>
      <c r="L2143" s="37" t="s">
        <v>408</v>
      </c>
      <c r="M2143" s="20"/>
      <c r="N2143" s="35" t="str">
        <f>"Level - "&amp;IFERROR(VLOOKUP(F2134,FLN!$A$4:$K$103,10,0),"")</f>
        <v>Level - </v>
      </c>
      <c r="O2143" s="36"/>
      <c r="P2143" s="19"/>
      <c r="Q2143" s="14"/>
      <c r="R2143" s="11"/>
    </row>
    <row r="2144" s="1" customFormat="1" ht="21.95" customHeight="1" spans="1:18">
      <c r="A2144" s="7"/>
      <c r="B2144" s="12"/>
      <c r="C2144" s="33"/>
      <c r="D2144" s="38"/>
      <c r="E2144" s="20" t="s">
        <v>716</v>
      </c>
      <c r="F2144" s="18" t="str">
        <f>IF(L2158&gt;197,"PERFORMED WELL","")</f>
        <v/>
      </c>
      <c r="G2144" s="18"/>
      <c r="H2144" s="18"/>
      <c r="I2144" s="18"/>
      <c r="J2144" s="18"/>
      <c r="K2144" s="18"/>
      <c r="L2144" s="18"/>
      <c r="M2144" s="18"/>
      <c r="N2144" s="18"/>
      <c r="O2144" s="18"/>
      <c r="P2144" s="19"/>
      <c r="Q2144" s="14"/>
      <c r="R2144" s="11"/>
    </row>
    <row r="2145" s="1" customFormat="1" ht="9.95" customHeight="1" spans="1:18">
      <c r="A2145" s="7"/>
      <c r="B2145" s="12"/>
      <c r="C2145" s="39"/>
      <c r="D2145" s="40"/>
      <c r="E2145" s="40"/>
      <c r="F2145" s="40"/>
      <c r="G2145" s="40"/>
      <c r="H2145" s="40"/>
      <c r="I2145" s="40"/>
      <c r="J2145" s="40"/>
      <c r="K2145" s="40"/>
      <c r="L2145" s="40"/>
      <c r="M2145" s="40"/>
      <c r="N2145" s="40"/>
      <c r="O2145" s="40"/>
      <c r="P2145" s="41"/>
      <c r="Q2145" s="14"/>
      <c r="R2145" s="11"/>
    </row>
    <row r="2146" s="1" customFormat="1" ht="9.95" customHeight="1" spans="1:18">
      <c r="A2146" s="7"/>
      <c r="B2146" s="12"/>
      <c r="C2146" s="29"/>
      <c r="D2146" s="29"/>
      <c r="E2146" s="29"/>
      <c r="F2146" s="29"/>
      <c r="G2146" s="29"/>
      <c r="H2146" s="29"/>
      <c r="I2146" s="29"/>
      <c r="J2146" s="29"/>
      <c r="K2146" s="29"/>
      <c r="L2146" s="29"/>
      <c r="M2146" s="29"/>
      <c r="N2146" s="29"/>
      <c r="O2146" s="29"/>
      <c r="P2146" s="29"/>
      <c r="Q2146" s="14"/>
      <c r="R2146" s="11"/>
    </row>
    <row r="2147" s="1" customFormat="1" ht="9.95" customHeight="1" spans="1:18">
      <c r="A2147" s="7"/>
      <c r="B2147" s="12"/>
      <c r="C2147" s="30"/>
      <c r="D2147" s="31"/>
      <c r="E2147" s="31"/>
      <c r="F2147" s="31"/>
      <c r="G2147" s="31"/>
      <c r="H2147" s="31"/>
      <c r="I2147" s="31"/>
      <c r="J2147" s="31"/>
      <c r="K2147" s="31"/>
      <c r="L2147" s="31"/>
      <c r="M2147" s="31"/>
      <c r="N2147" s="31"/>
      <c r="O2147" s="31"/>
      <c r="P2147" s="32"/>
      <c r="Q2147" s="14"/>
      <c r="R2147" s="11"/>
    </row>
    <row r="2148" s="1" customFormat="1" ht="21.95" customHeight="1" spans="1:18">
      <c r="A2148" s="7"/>
      <c r="B2148" s="12"/>
      <c r="C2148" s="33"/>
      <c r="D2148" s="35"/>
      <c r="E2148" s="24"/>
      <c r="F2148" s="24"/>
      <c r="G2148" s="47" t="s">
        <v>717</v>
      </c>
      <c r="H2148" s="47"/>
      <c r="I2148" s="47"/>
      <c r="J2148" s="47"/>
      <c r="K2148" s="47"/>
      <c r="L2148" s="47"/>
      <c r="M2148" s="47"/>
      <c r="N2148" s="47"/>
      <c r="O2148" s="29"/>
      <c r="P2148" s="19"/>
      <c r="Q2148" s="14"/>
      <c r="R2148" s="11"/>
    </row>
    <row r="2149" s="1" customFormat="1" ht="21.95" customHeight="1" spans="1:18">
      <c r="A2149" s="7"/>
      <c r="B2149" s="12"/>
      <c r="C2149" s="33"/>
      <c r="D2149" s="47"/>
      <c r="E2149" s="47"/>
      <c r="F2149" s="47"/>
      <c r="G2149" s="47" t="s">
        <v>541</v>
      </c>
      <c r="H2149" s="47" t="s">
        <v>542</v>
      </c>
      <c r="I2149" s="47" t="s">
        <v>543</v>
      </c>
      <c r="J2149" s="47" t="s">
        <v>544</v>
      </c>
      <c r="K2149" s="47" t="s">
        <v>561</v>
      </c>
      <c r="L2149" s="47" t="s">
        <v>382</v>
      </c>
      <c r="M2149" s="49" t="s">
        <v>546</v>
      </c>
      <c r="N2149" s="49"/>
      <c r="O2149" s="29"/>
      <c r="P2149" s="19"/>
      <c r="Q2149" s="14"/>
      <c r="R2149" s="11"/>
    </row>
    <row r="2150" s="1" customFormat="1" ht="21.95" customHeight="1" spans="1:18">
      <c r="A2150" s="7"/>
      <c r="B2150" s="12"/>
      <c r="C2150" s="33"/>
      <c r="D2150" s="207" t="s">
        <v>652</v>
      </c>
      <c r="E2150" s="207"/>
      <c r="F2150" s="207"/>
      <c r="G2150" s="50">
        <v>10</v>
      </c>
      <c r="H2150" s="50">
        <v>10</v>
      </c>
      <c r="I2150" s="50">
        <v>10</v>
      </c>
      <c r="J2150" s="50">
        <v>10</v>
      </c>
      <c r="K2150" s="50">
        <v>60</v>
      </c>
      <c r="L2150" s="50">
        <v>100</v>
      </c>
      <c r="M2150" s="49"/>
      <c r="N2150" s="49"/>
      <c r="O2150" s="29"/>
      <c r="P2150" s="19"/>
      <c r="Q2150" s="14"/>
      <c r="R2150" s="11"/>
    </row>
    <row r="2151" s="1" customFormat="1" ht="21.95" customHeight="1" spans="1:18">
      <c r="A2151" s="7"/>
      <c r="B2151" s="12"/>
      <c r="C2151" s="33"/>
      <c r="D2151" s="117" t="s">
        <v>668</v>
      </c>
      <c r="E2151" s="117"/>
      <c r="F2151" s="117"/>
      <c r="G2151" s="54">
        <f>IFERROR(VLOOKUP(F2134,'1to4-2.1-RR'!$A$12:$BG$111,9,0),"")</f>
        <v>0</v>
      </c>
      <c r="H2151" s="54">
        <f>IFERROR(VLOOKUP(F2134,'1to4-2.1-RR'!$A$12:$BG$111,10,0),"")</f>
        <v>0</v>
      </c>
      <c r="I2151" s="54">
        <f>IFERROR(VLOOKUP(F2134,'1to4-2.1-RR'!$A$12:$BG$111,11,0),"")</f>
        <v>0</v>
      </c>
      <c r="J2151" s="54">
        <f>IFERROR(VLOOKUP(F2134,'1to4-2.1-RR'!$A$12:$BG$111,12,0),"")</f>
        <v>0</v>
      </c>
      <c r="K2151" s="54">
        <f>IFERROR(VLOOKUP(F2134,'1to4-2.1-RR'!$A$12:$BG$111,13,0),"")</f>
        <v>31</v>
      </c>
      <c r="L2151" s="55">
        <f>SUM(G2151:K2151)</f>
        <v>31</v>
      </c>
      <c r="M2151" s="56" t="str">
        <f>IF(F2134&gt;ENTRY!$D$24,"",IF(L2151=0,"Ab",IF(L2151&gt;80,"A",IF(L2151&gt;60,"B",IF(L2151&gt;44,"C",IF(L2151&gt;=33,"D",IF(L2151&lt;=32,"E","")))))))</f>
        <v>E</v>
      </c>
      <c r="N2151" s="56"/>
      <c r="O2151" s="29"/>
      <c r="P2151" s="19"/>
      <c r="Q2151" s="14"/>
      <c r="R2151" s="11"/>
    </row>
    <row r="2152" s="1" customFormat="1" ht="21.95" customHeight="1" spans="1:18">
      <c r="A2152" s="7"/>
      <c r="B2152" s="12"/>
      <c r="C2152" s="33"/>
      <c r="D2152" s="117" t="s">
        <v>513</v>
      </c>
      <c r="E2152" s="117"/>
      <c r="F2152" s="117"/>
      <c r="G2152" s="54">
        <f>IFERROR(VLOOKUP(F2134,'1to4-2.1-RR'!$A$12:$BG$111,16,0),"")</f>
        <v>0</v>
      </c>
      <c r="H2152" s="54">
        <f>IFERROR(VLOOKUP(F2134,'1to4-2.1-RR'!$A$12:$BG$111,17,0),"")</f>
        <v>0</v>
      </c>
      <c r="I2152" s="54">
        <f>IFERROR(VLOOKUP(F2134,'1to4-2.1-RR'!$A$12:$BG$111,18,0),"")</f>
        <v>0</v>
      </c>
      <c r="J2152" s="54">
        <f>IFERROR(VLOOKUP(F2134,'1to4-2.1-RR'!$A$12:$BG$111,19,0),"")</f>
        <v>0</v>
      </c>
      <c r="K2152" s="54">
        <f>IFERROR(VLOOKUP(F2134,'1to4-2.1-RR'!$A$12:$BG$111,20,0),"")</f>
        <v>21</v>
      </c>
      <c r="L2152" s="55">
        <f t="shared" ref="L2152:L2157" si="76">SUM(G2152:K2152)</f>
        <v>21</v>
      </c>
      <c r="M2152" s="56" t="str">
        <f>IF(F2134&gt;ENTRY!$D$24,"",IF(L2152=0,"Ab",IF(L2152&gt;80,"A",IF(L2152&gt;60,"B",IF(L2152&gt;44,"C",IF(L2152&gt;=33,"D",IF(L2152&lt;=32,"E","")))))))</f>
        <v>E</v>
      </c>
      <c r="N2152" s="56"/>
      <c r="O2152" s="29"/>
      <c r="P2152" s="19"/>
      <c r="Q2152" s="14"/>
      <c r="R2152" s="11"/>
    </row>
    <row r="2153" s="1" customFormat="1" ht="21.95" customHeight="1" spans="1:18">
      <c r="A2153" s="7"/>
      <c r="B2153" s="12"/>
      <c r="C2153" s="33"/>
      <c r="D2153" s="117" t="s">
        <v>718</v>
      </c>
      <c r="E2153" s="117"/>
      <c r="F2153" s="117"/>
      <c r="G2153" s="54">
        <f>IFERROR(VLOOKUP(F2134,'1to4-2.1-RR'!$A$12:$BG$111,23,0),"")</f>
        <v>0</v>
      </c>
      <c r="H2153" s="54">
        <f>IFERROR(VLOOKUP(F2134,'1to4-2.1-RR'!$A$12:$BG$111,24,0),"")</f>
        <v>0</v>
      </c>
      <c r="I2153" s="54">
        <f>IFERROR(VLOOKUP(F2134,'1to4-2.1-RR'!$A$12:$BG$111,25,0),"")</f>
        <v>0</v>
      </c>
      <c r="J2153" s="54">
        <f>IFERROR(VLOOKUP(F2134,'1to4-2.1-RR'!$A$12:$BG$111,26,0),"")</f>
        <v>0</v>
      </c>
      <c r="K2153" s="54">
        <f>IFERROR(VLOOKUP(F2134,'1to4-2.1-RR'!$A$12:$BG$111,27,0),"")</f>
        <v>15</v>
      </c>
      <c r="L2153" s="55">
        <f t="shared" si="76"/>
        <v>15</v>
      </c>
      <c r="M2153" s="56" t="str">
        <f>IF(F2134&gt;ENTRY!$D$24,"",IF(L2153=0,"Ab",IF(L2153&gt;80,"A",IF(L2153&gt;60,"B",IF(L2153&gt;44,"C",IF(L2153&gt;=33,"D",IF(L2153&lt;=32,"E","")))))))</f>
        <v>E</v>
      </c>
      <c r="N2153" s="56"/>
      <c r="O2153" s="29"/>
      <c r="P2153" s="19"/>
      <c r="Q2153" s="14"/>
      <c r="R2153" s="11"/>
    </row>
    <row r="2154" s="1" customFormat="1" ht="21.95" customHeight="1" spans="1:18">
      <c r="A2154" s="7"/>
      <c r="B2154" s="12"/>
      <c r="C2154" s="33"/>
      <c r="D2154" s="117" t="s">
        <v>719</v>
      </c>
      <c r="E2154" s="117"/>
      <c r="F2154" s="117"/>
      <c r="G2154" s="54">
        <f>IFERROR(VLOOKUP(F2134,'1to4-2.1-RR'!$A$12:$BG$111,30,0),"")</f>
        <v>0</v>
      </c>
      <c r="H2154" s="54">
        <f>IFERROR(VLOOKUP(F2134,'1to4-2.1-RR'!$A$12:$BG$111,31,0),"")</f>
        <v>0</v>
      </c>
      <c r="I2154" s="54">
        <f>IFERROR(VLOOKUP(F2134,'1to4-2.1-RR'!$A$12:$BG$111,32,0),"")</f>
        <v>0</v>
      </c>
      <c r="J2154" s="54">
        <f>IFERROR(VLOOKUP(F2134,'1to4-2.1-RR'!$A$12:$BG$111,33,0),"")</f>
        <v>0</v>
      </c>
      <c r="K2154" s="54">
        <f>IFERROR(VLOOKUP(F2134,'1to4-2.1-RR'!$A$12:$BG$111,34,0),"")</f>
        <v>13</v>
      </c>
      <c r="L2154" s="55">
        <f t="shared" si="76"/>
        <v>13</v>
      </c>
      <c r="M2154" s="56" t="str">
        <f>IF(F2134&gt;ENTRY!$D$24,"",IF(L2154=0,"Ab",IF(L2154&gt;80,"A",IF(L2154&gt;60,"B",IF(L2154&gt;44,"C",IF(L2154&gt;=33,"D",IF(L2154&lt;=32,"E","")))))))</f>
        <v>E</v>
      </c>
      <c r="N2154" s="56"/>
      <c r="O2154" s="29"/>
      <c r="P2154" s="19"/>
      <c r="Q2154" s="14"/>
      <c r="R2154" s="11"/>
    </row>
    <row r="2155" s="1" customFormat="1" ht="21.95" customHeight="1" spans="1:18">
      <c r="A2155" s="7"/>
      <c r="B2155" s="12"/>
      <c r="C2155" s="33"/>
      <c r="D2155" s="117" t="s">
        <v>548</v>
      </c>
      <c r="E2155" s="117"/>
      <c r="F2155" s="117"/>
      <c r="G2155" s="54">
        <f>IFERROR(VLOOKUP(F2134,'1to4-2.1-RR'!$A$12:$BG$111,37,0),"")</f>
        <v>0</v>
      </c>
      <c r="H2155" s="54">
        <f>IFERROR(VLOOKUP(F2134,'1to4-2.1-RR'!$A$12:$BG$111,38,0),"")</f>
        <v>0</v>
      </c>
      <c r="I2155" s="54">
        <f>IFERROR(VLOOKUP(F2134,'1to4-2.1-RR'!$A$12:$BG$111,39,0),"")</f>
        <v>0</v>
      </c>
      <c r="J2155" s="54">
        <f>IFERROR(VLOOKUP(F2134,'1to4-2.1-RR'!$A$12:$BG$111,40,0),"")</f>
        <v>0</v>
      </c>
      <c r="K2155" s="54">
        <f>IFERROR(VLOOKUP(F2134,'1to4-2.1-RR'!$A$12:$BG$111,41,0),"")</f>
        <v>16</v>
      </c>
      <c r="L2155" s="55">
        <f t="shared" si="76"/>
        <v>16</v>
      </c>
      <c r="M2155" s="56" t="str">
        <f>IF(F2134&gt;ENTRY!$D$24,"",IF(L2155=0,"Ab",IF(L2155&gt;80,"A",IF(L2155&gt;60,"B",IF(L2155&gt;44,"C",IF(L2155&gt;=33,"D",IF(L2155&lt;=32,"E","")))))))</f>
        <v>E</v>
      </c>
      <c r="N2155" s="56"/>
      <c r="O2155" s="29"/>
      <c r="P2155" s="19"/>
      <c r="Q2155" s="14"/>
      <c r="R2155" s="11"/>
    </row>
    <row r="2156" s="1" customFormat="1" ht="21.95" customHeight="1" spans="1:18">
      <c r="A2156" s="7"/>
      <c r="B2156" s="12"/>
      <c r="C2156" s="33"/>
      <c r="D2156" s="117" t="s">
        <v>549</v>
      </c>
      <c r="E2156" s="117"/>
      <c r="F2156" s="117"/>
      <c r="G2156" s="54">
        <f>IFERROR(VLOOKUP(F2134,'1to4-2.1-RR'!$A$12:$BG$111,44,0),"")</f>
        <v>0</v>
      </c>
      <c r="H2156" s="54">
        <f>IFERROR(VLOOKUP(F2134,'1to4-2.1-RR'!$A$12:$BG$111,45,0),"")</f>
        <v>0</v>
      </c>
      <c r="I2156" s="54">
        <f>IFERROR(VLOOKUP(F2134,'1to4-2.1-RR'!$A$12:$BG$111,46,0),"")</f>
        <v>0</v>
      </c>
      <c r="J2156" s="54">
        <f>IFERROR(VLOOKUP(F2134,'1to4-2.1-RR'!$A$12:$BG$111,47,0),"")</f>
        <v>0</v>
      </c>
      <c r="K2156" s="54">
        <f>IFERROR(VLOOKUP(F2134,'1to4-2.1-RR'!$A$12:$BG$111,48,0),"")</f>
        <v>20</v>
      </c>
      <c r="L2156" s="55">
        <f t="shared" si="76"/>
        <v>20</v>
      </c>
      <c r="M2156" s="56" t="str">
        <f>IF(F2134&gt;ENTRY!$D$24,"",IF(L2156=0,"Ab",IF(L2156&gt;80,"A",IF(L2156&gt;60,"B",IF(L2156&gt;44,"C",IF(L2156&gt;=33,"D",IF(L2156&lt;=32,"E","")))))))</f>
        <v>E</v>
      </c>
      <c r="N2156" s="56"/>
      <c r="O2156" s="29"/>
      <c r="P2156" s="19"/>
      <c r="Q2156" s="14"/>
      <c r="R2156" s="11"/>
    </row>
    <row r="2157" s="1" customFormat="1" ht="21.95" customHeight="1" spans="1:18">
      <c r="A2157" s="7"/>
      <c r="B2157" s="12"/>
      <c r="C2157" s="33"/>
      <c r="D2157" s="117" t="s">
        <v>720</v>
      </c>
      <c r="E2157" s="117"/>
      <c r="F2157" s="117"/>
      <c r="G2157" s="54"/>
      <c r="H2157" s="54"/>
      <c r="I2157" s="54"/>
      <c r="J2157" s="54"/>
      <c r="K2157" s="54"/>
      <c r="L2157" s="55">
        <f t="shared" si="76"/>
        <v>0</v>
      </c>
      <c r="M2157" s="56" t="str">
        <f>IF(F2134&gt;ENTRY!$D$24,"",IF(L2157=0,"",IF(L2157&gt;79,"A",IF(L2157&gt;59,"B",IF(L2157&gt;44,"C",IF(L2157&gt;=33,"D",IF(L2157&lt;=32,"E","")))))))</f>
        <v/>
      </c>
      <c r="N2157" s="56"/>
      <c r="O2157" s="29"/>
      <c r="P2157" s="19"/>
      <c r="Q2157" s="14"/>
      <c r="R2157" s="11"/>
    </row>
    <row r="2158" s="1" customFormat="1" ht="21.95" customHeight="1" spans="1:18">
      <c r="A2158" s="7"/>
      <c r="B2158" s="12"/>
      <c r="C2158" s="33"/>
      <c r="D2158" s="207" t="s">
        <v>382</v>
      </c>
      <c r="E2158" s="207"/>
      <c r="F2158" s="207"/>
      <c r="G2158" s="54">
        <f t="shared" ref="G2158:L2158" si="77">IFERROR(SUM(G2151:G2157),"")</f>
        <v>0</v>
      </c>
      <c r="H2158" s="54">
        <f t="shared" si="77"/>
        <v>0</v>
      </c>
      <c r="I2158" s="54">
        <f t="shared" si="77"/>
        <v>0</v>
      </c>
      <c r="J2158" s="54">
        <f t="shared" si="77"/>
        <v>0</v>
      </c>
      <c r="K2158" s="54">
        <f t="shared" si="77"/>
        <v>116</v>
      </c>
      <c r="L2158" s="55">
        <f t="shared" si="77"/>
        <v>116</v>
      </c>
      <c r="M2158" s="61" t="str">
        <f>IF(F2134&gt;ENTRY!$D$24,"",IF(N2159="Ab","Ab",IF(N2159&gt;79.5,"A",IF(N2159&gt;59.5,"B",IF(N2159&gt;44.5,"C",IF(N2159&gt;=33,"D",IF(N2159&lt;33,"E","")))))))</f>
        <v>E</v>
      </c>
      <c r="N2158" s="61"/>
      <c r="O2158" s="29"/>
      <c r="P2158" s="19"/>
      <c r="Q2158" s="14"/>
      <c r="R2158" s="11"/>
    </row>
    <row r="2159" s="1" customFormat="1" ht="21.95" customHeight="1" spans="1:18">
      <c r="A2159" s="7"/>
      <c r="B2159" s="12"/>
      <c r="C2159" s="33"/>
      <c r="D2159" s="63" t="s">
        <v>721</v>
      </c>
      <c r="E2159" s="63"/>
      <c r="F2159" s="63"/>
      <c r="G2159" s="63"/>
      <c r="H2159" s="63"/>
      <c r="I2159" s="63"/>
      <c r="J2159" s="63"/>
      <c r="K2159" s="63"/>
      <c r="L2159" s="63"/>
      <c r="M2159" s="209"/>
      <c r="N2159" s="64">
        <f>IF(L2158="Ab","Ab",L2158/6)</f>
        <v>19.3333333333333</v>
      </c>
      <c r="O2159" s="65"/>
      <c r="P2159" s="19"/>
      <c r="Q2159" s="14"/>
      <c r="R2159" s="11"/>
    </row>
    <row r="2160" s="1" customFormat="1" ht="21.95" customHeight="1" spans="1:18">
      <c r="A2160" s="7"/>
      <c r="B2160" s="12"/>
      <c r="C2160" s="33"/>
      <c r="D2160" s="29" t="s">
        <v>716</v>
      </c>
      <c r="E2160" s="18" t="str">
        <f>IFERROR(VLOOKUP(F2134,'1to4-2.1-RR'!$A$12:$BG$111,57,0),"")</f>
        <v>PROMOTED</v>
      </c>
      <c r="F2160" s="18"/>
      <c r="G2160" s="18"/>
      <c r="H2160" s="18"/>
      <c r="I2160" s="18"/>
      <c r="J2160" s="18"/>
      <c r="K2160" s="18"/>
      <c r="L2160" s="18"/>
      <c r="M2160" s="18"/>
      <c r="N2160" s="29"/>
      <c r="O2160" s="29"/>
      <c r="P2160" s="19"/>
      <c r="Q2160" s="14"/>
      <c r="R2160" s="11"/>
    </row>
    <row r="2161" s="1" customFormat="1" ht="9.95" customHeight="1" spans="1:19">
      <c r="A2161" s="7"/>
      <c r="B2161" s="12"/>
      <c r="C2161" s="39"/>
      <c r="D2161" s="40"/>
      <c r="E2161" s="40"/>
      <c r="F2161" s="40"/>
      <c r="G2161" s="40"/>
      <c r="H2161" s="40"/>
      <c r="I2161" s="40"/>
      <c r="J2161" s="40"/>
      <c r="K2161" s="40"/>
      <c r="L2161" s="40"/>
      <c r="M2161" s="40"/>
      <c r="N2161" s="40"/>
      <c r="O2161" s="40"/>
      <c r="P2161" s="41"/>
      <c r="Q2161" s="14"/>
      <c r="R2161" s="11"/>
    </row>
    <row r="2162" s="1" customFormat="1" ht="9.95" customHeight="1" spans="1:19">
      <c r="A2162" s="7"/>
      <c r="B2162" s="12"/>
      <c r="C2162" s="30"/>
      <c r="D2162" s="31"/>
      <c r="E2162" s="31"/>
      <c r="F2162" s="29"/>
      <c r="G2162" s="31"/>
      <c r="H2162" s="31"/>
      <c r="I2162" s="31"/>
      <c r="J2162" s="31"/>
      <c r="K2162" s="31"/>
      <c r="L2162" s="31"/>
      <c r="M2162" s="31"/>
      <c r="N2162" s="31"/>
      <c r="O2162" s="31"/>
      <c r="P2162" s="32"/>
      <c r="Q2162" s="14"/>
      <c r="R2162" s="11"/>
    </row>
    <row r="2163" s="1" customFormat="1" ht="9.95" customHeight="1" spans="1:19">
      <c r="A2163" s="7"/>
      <c r="B2163" s="12"/>
      <c r="C2163" s="33"/>
      <c r="D2163" s="29"/>
      <c r="E2163" s="29"/>
      <c r="F2163" s="29"/>
      <c r="G2163" s="29"/>
      <c r="H2163" s="29"/>
      <c r="I2163" s="29"/>
      <c r="J2163" s="29"/>
      <c r="K2163" s="29"/>
      <c r="L2163" s="29"/>
      <c r="M2163" s="29"/>
      <c r="N2163" s="29"/>
      <c r="O2163" s="29"/>
      <c r="P2163" s="19"/>
      <c r="Q2163" s="14"/>
      <c r="R2163" s="11"/>
    </row>
    <row r="2164" s="1" customFormat="1" ht="9.95" customHeight="1" spans="1:19">
      <c r="A2164" s="7"/>
      <c r="B2164" s="12"/>
      <c r="C2164" s="33"/>
      <c r="D2164" s="29"/>
      <c r="E2164" s="29"/>
      <c r="F2164" s="29"/>
      <c r="G2164" s="29"/>
      <c r="H2164" s="29"/>
      <c r="I2164" s="29"/>
      <c r="J2164" s="29"/>
      <c r="K2164" s="29"/>
      <c r="L2164" s="29"/>
      <c r="M2164" s="29"/>
      <c r="N2164" s="29"/>
      <c r="O2164" s="29"/>
      <c r="P2164" s="19"/>
      <c r="Q2164" s="14"/>
      <c r="R2164" s="11"/>
    </row>
    <row r="2165" s="1" customFormat="1" ht="21.95" customHeight="1" spans="1:19">
      <c r="A2165" s="7"/>
      <c r="B2165" s="12"/>
      <c r="C2165" s="210"/>
      <c r="D2165" s="211"/>
      <c r="E2165" s="211"/>
      <c r="F2165" s="211"/>
      <c r="G2165" s="211"/>
      <c r="H2165" s="211"/>
      <c r="I2165" s="211"/>
      <c r="J2165" s="211"/>
      <c r="K2165" s="211"/>
      <c r="L2165" s="211"/>
      <c r="M2165" s="211"/>
      <c r="N2165" s="211"/>
      <c r="O2165" s="211"/>
      <c r="P2165" s="212"/>
      <c r="Q2165" s="14"/>
      <c r="R2165" s="11"/>
      <c r="S2165" s="2"/>
    </row>
    <row r="2166" s="1" customFormat="1" ht="21.95" customHeight="1" spans="1:19">
      <c r="A2166" s="7"/>
      <c r="B2166" s="12"/>
      <c r="C2166" s="33"/>
      <c r="D2166" s="207" t="s">
        <v>722</v>
      </c>
      <c r="E2166" s="207"/>
      <c r="F2166" s="207"/>
      <c r="G2166" s="207"/>
      <c r="H2166" s="54">
        <f>IFERROR(VLOOKUP(F2134,PASHEET!$A$4:$CJ$103,88,0),"")</f>
        <v>0</v>
      </c>
      <c r="I2166" s="54"/>
      <c r="J2166" s="29"/>
      <c r="K2166" s="29"/>
      <c r="L2166" s="29"/>
      <c r="M2166" s="29"/>
      <c r="N2166" s="29"/>
      <c r="O2166" s="29"/>
      <c r="P2166" s="19"/>
      <c r="Q2166" s="14"/>
      <c r="R2166" s="11"/>
    </row>
    <row r="2167" s="1" customFormat="1" ht="21.95" customHeight="1" spans="1:19">
      <c r="A2167" s="7"/>
      <c r="B2167" s="12"/>
      <c r="C2167" s="213"/>
      <c r="D2167" s="207" t="s">
        <v>723</v>
      </c>
      <c r="E2167" s="207"/>
      <c r="F2167" s="207"/>
      <c r="G2167" s="207"/>
      <c r="H2167" s="54">
        <f>IFERROR(VLOOKUP(F2134,PASHEET!$A$4:$CJ$103,87,0),"")</f>
        <v>0</v>
      </c>
      <c r="I2167" s="54"/>
      <c r="J2167" s="214"/>
      <c r="K2167" s="214"/>
      <c r="L2167" s="207" t="s">
        <v>724</v>
      </c>
      <c r="M2167" s="207"/>
      <c r="N2167" s="117" t="str">
        <f>IF(F2134&gt;ENTRY!$D$24,"",IF(F2134&gt;0,L2158&amp;" / "&amp;600,""))</f>
        <v>116 / 600</v>
      </c>
      <c r="O2167" s="117"/>
      <c r="P2167" s="215"/>
      <c r="Q2167" s="14"/>
      <c r="R2167" s="11"/>
    </row>
    <row r="2168" s="1" customFormat="1" ht="18" customHeight="1" spans="1:19">
      <c r="A2168" s="7"/>
      <c r="B2168" s="12"/>
      <c r="C2168" s="33"/>
      <c r="D2168" s="207" t="s">
        <v>725</v>
      </c>
      <c r="E2168" s="207"/>
      <c r="F2168" s="207"/>
      <c r="G2168" s="207"/>
      <c r="H2168" s="69" t="str">
        <f>IFERROR(IF(F2134&gt;0,H2167/H2166*100),"")</f>
        <v/>
      </c>
      <c r="I2168" s="69"/>
      <c r="J2168" s="29"/>
      <c r="K2168" s="29"/>
      <c r="L2168" s="207" t="s">
        <v>726</v>
      </c>
      <c r="M2168" s="207"/>
      <c r="N2168" s="216">
        <f>IF(F2134&gt;ENTRY!$D$24,"",IF(F2134&gt;0,L2158/600*100,""))</f>
        <v>19.3333333333333</v>
      </c>
      <c r="O2168" s="216"/>
      <c r="P2168" s="19"/>
      <c r="Q2168" s="14"/>
      <c r="R2168" s="11"/>
    </row>
    <row r="2169" s="1" customFormat="1" ht="21.95" customHeight="1" spans="1:19">
      <c r="A2169" s="7"/>
      <c r="B2169" s="12"/>
      <c r="C2169" s="33"/>
      <c r="D2169" s="80"/>
      <c r="E2169" s="80"/>
      <c r="F2169" s="217"/>
      <c r="G2169" s="217"/>
      <c r="H2169" s="217"/>
      <c r="I2169" s="217"/>
      <c r="J2169" s="217"/>
      <c r="K2169" s="217"/>
      <c r="L2169" s="217"/>
      <c r="M2169" s="217"/>
      <c r="N2169" s="80"/>
      <c r="O2169" s="80"/>
      <c r="P2169" s="19"/>
      <c r="Q2169" s="14"/>
      <c r="R2169" s="11"/>
    </row>
    <row r="2170" s="1" customFormat="1" ht="21.95" customHeight="1" spans="1:19">
      <c r="A2170" s="7"/>
      <c r="B2170" s="12"/>
      <c r="C2170" s="33"/>
      <c r="D2170" s="80"/>
      <c r="E2170" s="218"/>
      <c r="F2170" s="218"/>
      <c r="G2170" s="218"/>
      <c r="H2170" s="80"/>
      <c r="I2170" s="218"/>
      <c r="J2170" s="218"/>
      <c r="K2170" s="218"/>
      <c r="L2170" s="218"/>
      <c r="M2170" s="80"/>
      <c r="N2170" s="219"/>
      <c r="O2170" s="219"/>
      <c r="P2170" s="19"/>
      <c r="Q2170" s="14"/>
      <c r="R2170" s="11"/>
    </row>
    <row r="2171" s="1" customFormat="1" ht="21.95" customHeight="1" spans="1:19">
      <c r="A2171" s="7"/>
      <c r="B2171" s="12"/>
      <c r="C2171" s="33"/>
      <c r="D2171" s="80"/>
      <c r="E2171" s="80"/>
      <c r="F2171" s="80"/>
      <c r="G2171" s="80"/>
      <c r="H2171" s="80"/>
      <c r="I2171" s="80"/>
      <c r="J2171" s="80"/>
      <c r="K2171" s="80"/>
      <c r="L2171" s="80"/>
      <c r="M2171" s="80"/>
      <c r="N2171" s="80"/>
      <c r="O2171" s="80"/>
      <c r="P2171" s="19"/>
      <c r="Q2171" s="14"/>
      <c r="R2171" s="11"/>
    </row>
    <row r="2172" s="1" customFormat="1" ht="21.95" customHeight="1" spans="1:19">
      <c r="A2172" s="7"/>
      <c r="B2172" s="12"/>
      <c r="C2172" s="33"/>
      <c r="D2172" s="218"/>
      <c r="E2172" s="218"/>
      <c r="F2172" s="218"/>
      <c r="G2172" s="218"/>
      <c r="H2172" s="218"/>
      <c r="I2172" s="218"/>
      <c r="J2172" s="218"/>
      <c r="K2172" s="218"/>
      <c r="L2172" s="218"/>
      <c r="M2172" s="80"/>
      <c r="N2172" s="217"/>
      <c r="O2172" s="217"/>
      <c r="P2172" s="85" t="s">
        <v>727</v>
      </c>
      <c r="Q2172" s="14"/>
      <c r="R2172" s="11"/>
    </row>
    <row r="2173" s="1" customFormat="1" ht="21.95" customHeight="1" spans="1:19">
      <c r="A2173" s="7"/>
      <c r="B2173" s="12"/>
      <c r="C2173" s="33"/>
      <c r="D2173" s="29"/>
      <c r="E2173" s="29"/>
      <c r="F2173" s="29"/>
      <c r="G2173" s="29"/>
      <c r="H2173" s="29"/>
      <c r="I2173" s="29"/>
      <c r="J2173" s="29"/>
      <c r="K2173" s="29"/>
      <c r="L2173" s="29"/>
      <c r="M2173" s="29"/>
      <c r="N2173" s="29"/>
      <c r="O2173" s="29"/>
      <c r="P2173" s="19"/>
      <c r="Q2173" s="14"/>
      <c r="R2173" s="11"/>
    </row>
    <row r="2174" s="1" customFormat="1" ht="21.95" customHeight="1" spans="1:19">
      <c r="A2174" s="7"/>
      <c r="B2174" s="12"/>
      <c r="C2174" s="33"/>
      <c r="D2174" s="29"/>
      <c r="E2174" s="29"/>
      <c r="F2174" s="29"/>
      <c r="G2174" s="29"/>
      <c r="H2174" s="29"/>
      <c r="I2174" s="29"/>
      <c r="J2174" s="29"/>
      <c r="K2174" s="29"/>
      <c r="L2174" s="29"/>
      <c r="M2174" s="29"/>
      <c r="N2174" s="29"/>
      <c r="O2174" s="29"/>
      <c r="P2174" s="19"/>
      <c r="Q2174" s="14"/>
      <c r="R2174" s="11"/>
    </row>
    <row r="2175" s="1" customFormat="1" ht="21.95" customHeight="1" spans="1:19">
      <c r="A2175" s="7"/>
      <c r="B2175" s="12"/>
      <c r="C2175" s="33"/>
      <c r="D2175" s="29"/>
      <c r="E2175" s="29"/>
      <c r="F2175" s="29"/>
      <c r="G2175" s="29"/>
      <c r="H2175" s="29"/>
      <c r="I2175" s="29"/>
      <c r="J2175" s="29"/>
      <c r="K2175" s="29"/>
      <c r="L2175" s="29"/>
      <c r="M2175" s="29"/>
      <c r="N2175" s="29"/>
      <c r="O2175" s="29"/>
      <c r="P2175" s="19"/>
      <c r="Q2175" s="14"/>
      <c r="R2175" s="11"/>
    </row>
    <row r="2176" s="1" customFormat="1" ht="21.95" customHeight="1" spans="1:19">
      <c r="A2176" s="7"/>
      <c r="B2176" s="12"/>
      <c r="C2176" s="33"/>
      <c r="D2176" s="29"/>
      <c r="E2176" s="29"/>
      <c r="F2176" s="29"/>
      <c r="G2176" s="29"/>
      <c r="H2176" s="29"/>
      <c r="I2176" s="29"/>
      <c r="J2176" s="29"/>
      <c r="K2176" s="29"/>
      <c r="L2176" s="29"/>
      <c r="M2176" s="29"/>
      <c r="N2176" s="29"/>
      <c r="O2176" s="29"/>
      <c r="P2176" s="19"/>
      <c r="Q2176" s="14"/>
      <c r="R2176" s="11"/>
    </row>
    <row r="2177" s="1" customFormat="1" ht="21.95" customHeight="1" spans="1:18">
      <c r="A2177" s="7"/>
      <c r="B2177" s="12"/>
      <c r="C2177" s="33"/>
      <c r="D2177" s="29"/>
      <c r="E2177" s="29"/>
      <c r="F2177" s="29"/>
      <c r="G2177" s="29"/>
      <c r="H2177" s="29"/>
      <c r="I2177" s="29"/>
      <c r="J2177" s="29"/>
      <c r="K2177" s="29"/>
      <c r="L2177" s="29"/>
      <c r="M2177" s="29"/>
      <c r="N2177" s="29"/>
      <c r="O2177" s="29"/>
      <c r="P2177" s="19"/>
      <c r="Q2177" s="14"/>
      <c r="R2177" s="11"/>
    </row>
    <row r="2178" s="1" customFormat="1" ht="21.95" customHeight="1" spans="1:18">
      <c r="A2178" s="7"/>
      <c r="B2178" s="12"/>
      <c r="C2178" s="33"/>
      <c r="D2178" s="80" t="s">
        <v>728</v>
      </c>
      <c r="E2178" s="220">
        <f>ENTRY!$D$27</f>
        <v>46102</v>
      </c>
      <c r="F2178" s="220"/>
      <c r="G2178" s="29"/>
      <c r="H2178" s="29"/>
      <c r="I2178" s="221" t="s">
        <v>729</v>
      </c>
      <c r="J2178" s="153"/>
      <c r="K2178" s="29"/>
      <c r="L2178" s="29"/>
      <c r="M2178" s="87" t="s">
        <v>730</v>
      </c>
      <c r="N2178" s="87"/>
      <c r="O2178" s="87"/>
      <c r="P2178" s="19"/>
      <c r="Q2178" s="14"/>
      <c r="R2178" s="11"/>
    </row>
    <row r="2179" s="1" customFormat="1" ht="21.95" customHeight="1" spans="1:18">
      <c r="A2179" s="7"/>
      <c r="B2179" s="12"/>
      <c r="C2179" s="33"/>
      <c r="D2179" s="80" t="s">
        <v>731</v>
      </c>
      <c r="E2179" s="88" t="str">
        <f>PROPER(ENTRY!$D$28)</f>
        <v>New Delhi</v>
      </c>
      <c r="F2179" s="88"/>
      <c r="G2179" s="29"/>
      <c r="H2179" s="29"/>
      <c r="I2179" s="153"/>
      <c r="J2179" s="153"/>
      <c r="K2179" s="29"/>
      <c r="L2179" s="29"/>
      <c r="M2179" s="79" t="s">
        <v>732</v>
      </c>
      <c r="N2179" s="79"/>
      <c r="O2179" s="79"/>
      <c r="P2179" s="19"/>
      <c r="Q2179" s="14"/>
      <c r="R2179" s="11"/>
    </row>
    <row r="2180" s="1" customFormat="1" ht="21.95" customHeight="1" spans="1:18">
      <c r="A2180" s="7"/>
      <c r="B2180" s="12"/>
      <c r="C2180" s="90"/>
      <c r="D2180" s="91"/>
      <c r="E2180" s="91"/>
      <c r="F2180" s="91"/>
      <c r="G2180" s="91"/>
      <c r="H2180" s="91"/>
      <c r="I2180" s="91"/>
      <c r="J2180" s="91"/>
      <c r="K2180" s="91"/>
      <c r="L2180" s="91"/>
      <c r="M2180" s="91"/>
      <c r="N2180" s="91"/>
      <c r="O2180" s="91"/>
      <c r="P2180" s="92"/>
      <c r="Q2180" s="14"/>
      <c r="R2180" s="11"/>
    </row>
    <row r="2181" s="1" customFormat="1" ht="5.1" customHeight="1" spans="1:18">
      <c r="A2181" s="7"/>
      <c r="B2181" s="90"/>
      <c r="C2181" s="91"/>
      <c r="D2181" s="91"/>
      <c r="E2181" s="91"/>
      <c r="F2181" s="91"/>
      <c r="G2181" s="91"/>
      <c r="H2181" s="91"/>
      <c r="I2181" s="91"/>
      <c r="J2181" s="91"/>
      <c r="K2181" s="91"/>
      <c r="L2181" s="91"/>
      <c r="M2181" s="91"/>
      <c r="N2181" s="91"/>
      <c r="O2181" s="91"/>
      <c r="P2181" s="91"/>
      <c r="Q2181" s="92"/>
      <c r="R2181" s="11"/>
    </row>
    <row r="2182" s="1" customFormat="1" ht="5.1" customHeight="1" spans="1:18">
      <c r="A2182" s="93"/>
      <c r="B2182" s="94"/>
      <c r="C2182" s="94"/>
      <c r="D2182" s="94"/>
      <c r="E2182" s="94"/>
      <c r="F2182" s="94"/>
      <c r="G2182" s="94"/>
      <c r="H2182" s="94"/>
      <c r="I2182" s="94"/>
      <c r="J2182" s="94"/>
      <c r="K2182" s="94"/>
      <c r="L2182" s="94"/>
      <c r="M2182" s="94"/>
      <c r="N2182" s="94"/>
      <c r="O2182" s="94"/>
      <c r="P2182" s="94"/>
      <c r="Q2182" s="94"/>
      <c r="R2182" s="95"/>
    </row>
    <row r="2183" s="1" customFormat="1" ht="21.95" customHeight="1"/>
    <row r="2184" ht="15.15"/>
    <row r="2185" s="1" customFormat="1" ht="5.1" customHeight="1" spans="1:18">
      <c r="A2185" s="4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  <c r="O2185" s="5"/>
      <c r="P2185" s="5"/>
      <c r="Q2185" s="5"/>
      <c r="R2185" s="6"/>
    </row>
    <row r="2186" s="1" customFormat="1" ht="15" customHeight="1" spans="1:18">
      <c r="A2186" s="7"/>
      <c r="B2186" s="8"/>
      <c r="C2186" s="9"/>
      <c r="D2186" s="9"/>
      <c r="E2186" s="9"/>
      <c r="F2186" s="9"/>
      <c r="G2186" s="9"/>
      <c r="H2186" s="9"/>
      <c r="I2186" s="9"/>
      <c r="J2186" s="9"/>
      <c r="K2186" s="9"/>
      <c r="L2186" s="9"/>
      <c r="M2186" s="9"/>
      <c r="N2186" s="9"/>
      <c r="O2186" s="9"/>
      <c r="P2186" s="9"/>
      <c r="Q2186" s="10"/>
      <c r="R2186" s="11"/>
    </row>
    <row r="2187" s="1" customFormat="1" ht="21.95" customHeight="1" spans="1:18">
      <c r="A2187" s="7"/>
      <c r="B2187" s="12"/>
      <c r="C2187" s="13" t="s">
        <v>7</v>
      </c>
      <c r="D2187" s="13"/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/>
      <c r="Q2187" s="14"/>
      <c r="R2187" s="11"/>
    </row>
    <row r="2188" s="1" customFormat="1" ht="21.95" customHeight="1" spans="1:18">
      <c r="A2188" s="7"/>
      <c r="B2188" s="1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14"/>
      <c r="R2188" s="11"/>
    </row>
    <row r="2189" s="1" customFormat="1" ht="21.95" customHeight="1" spans="1:18">
      <c r="A2189" s="7"/>
      <c r="B2189" s="12"/>
      <c r="C2189" s="15" t="str">
        <f>"SESSION-"&amp;ENTRY!$D$11</f>
        <v>SESSION-2026-27</v>
      </c>
      <c r="D2189" s="15"/>
      <c r="E2189" s="15"/>
      <c r="F2189" s="15"/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4"/>
      <c r="R2189" s="11"/>
    </row>
    <row r="2190" s="1" customFormat="1" ht="21.95" customHeight="1" spans="1:18">
      <c r="A2190" s="7"/>
      <c r="B2190" s="12"/>
      <c r="C2190" s="2"/>
      <c r="D2190" s="2"/>
      <c r="E2190" s="2"/>
      <c r="F2190" s="16">
        <f>F2134+1</f>
        <v>40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14"/>
      <c r="R2190" s="11"/>
    </row>
    <row r="2191" s="1" customFormat="1" ht="21.95" customHeight="1" spans="1:18">
      <c r="A2191" s="7"/>
      <c r="B2191" s="12"/>
      <c r="C2191" s="17" t="s">
        <v>392</v>
      </c>
      <c r="D2191" s="17"/>
      <c r="E2191" s="17"/>
      <c r="F2191" s="18" t="str">
        <f>IF(F2190&gt;0,ENTRY!$D$6,"")</f>
        <v>MCP NITHARI NO 1 BOYS</v>
      </c>
      <c r="G2191" s="18"/>
      <c r="H2191" s="18"/>
      <c r="I2191" s="18"/>
      <c r="J2191" s="18"/>
      <c r="K2191" s="18"/>
      <c r="L2191" s="18"/>
      <c r="M2191" s="18"/>
      <c r="N2191" s="18"/>
      <c r="O2191" s="18"/>
      <c r="P2191" s="18"/>
      <c r="Q2191" s="14"/>
      <c r="R2191" s="11"/>
    </row>
    <row r="2192" s="1" customFormat="1" ht="21.95" customHeight="1" spans="1:18">
      <c r="A2192" s="7"/>
      <c r="B2192" s="12"/>
      <c r="C2192" s="17" t="s">
        <v>393</v>
      </c>
      <c r="D2192" s="17"/>
      <c r="E2192" s="17"/>
      <c r="F2192" s="18">
        <f>IF(F2190&gt;0,ENTRY!$D$7,"")</f>
        <v>0</v>
      </c>
      <c r="G2192" s="18"/>
      <c r="H2192" s="20" t="s">
        <v>702</v>
      </c>
      <c r="I2192" s="20"/>
      <c r="J2192" s="21">
        <f>IF(F2190&gt;0,ENTRY!$D$10,"")</f>
        <v>40</v>
      </c>
      <c r="K2192" s="20" t="s">
        <v>703</v>
      </c>
      <c r="L2192" s="22" t="str">
        <f>IF(F2190&gt;0,ENTRY!$D$5,"")</f>
        <v>ROHINI ZONE</v>
      </c>
      <c r="M2192" s="22"/>
      <c r="N2192" s="22"/>
      <c r="O2192" s="22"/>
      <c r="P2192" s="22"/>
      <c r="Q2192" s="14"/>
      <c r="R2192" s="11"/>
    </row>
    <row r="2193" s="1" customFormat="1" ht="21.95" customHeight="1" spans="1:18">
      <c r="A2193" s="7"/>
      <c r="B2193" s="12"/>
      <c r="C2193" s="17" t="s">
        <v>706</v>
      </c>
      <c r="D2193" s="17"/>
      <c r="E2193" s="17"/>
      <c r="F2193" s="23">
        <f>IFERROR(VLOOKUP(F2190,STUDENT!$A$2:$BP$101,5,0),"")</f>
        <v>0</v>
      </c>
      <c r="G2193" s="23"/>
      <c r="H2193" s="23"/>
      <c r="I2193" s="23"/>
      <c r="J2193" s="23"/>
      <c r="K2193" s="23"/>
      <c r="L2193" s="20" t="s">
        <v>707</v>
      </c>
      <c r="M2193" s="20"/>
      <c r="N2193" s="24" t="str">
        <f>IF(F2190&gt;0,ENTRY!$D$20&amp;"-"&amp;ENTRY!$D$21,"")</f>
        <v>III-A</v>
      </c>
      <c r="O2193" s="24"/>
      <c r="P2193" s="24"/>
      <c r="Q2193" s="14"/>
      <c r="R2193" s="11"/>
    </row>
    <row r="2194" s="1" customFormat="1" ht="21.95" customHeight="1" spans="1:18">
      <c r="A2194" s="7"/>
      <c r="B2194" s="12"/>
      <c r="C2194" s="17" t="s">
        <v>708</v>
      </c>
      <c r="D2194" s="17"/>
      <c r="E2194" s="17"/>
      <c r="F2194" s="25">
        <f>IFERROR(VLOOKUP(F2190,STUDENT!$A$2:$BP$101,6,0),"")</f>
        <v>0</v>
      </c>
      <c r="G2194" s="25"/>
      <c r="H2194" s="26" t="s">
        <v>709</v>
      </c>
      <c r="I2194" s="27" t="str">
        <f>IFERROR(VLOOKUP(F2190,STUDENT!$A$2:$BP$101,59,0),"")</f>
        <v/>
      </c>
      <c r="J2194" s="27"/>
      <c r="K2194" s="20" t="s">
        <v>710</v>
      </c>
      <c r="L2194" s="20"/>
      <c r="M2194" s="28">
        <f>IFERROR(VLOOKUP(F2190,STUDENT!$A$2:$BP$101,20,0),"")</f>
        <v>0</v>
      </c>
      <c r="N2194" s="28"/>
      <c r="O2194" s="28"/>
      <c r="P2194" s="28"/>
      <c r="Q2194" s="14"/>
      <c r="R2194" s="11"/>
    </row>
    <row r="2195" s="1" customFormat="1" ht="21.95" customHeight="1" spans="1:18">
      <c r="A2195" s="7"/>
      <c r="B2195" s="12"/>
      <c r="C2195" s="17" t="s">
        <v>711</v>
      </c>
      <c r="D2195" s="17"/>
      <c r="E2195" s="17"/>
      <c r="F2195" s="23">
        <f>IFERROR(VLOOKUP(F2190,STUDENT!$A$2:$BP$101,9,0),"")</f>
        <v>0</v>
      </c>
      <c r="G2195" s="23"/>
      <c r="H2195" s="23"/>
      <c r="I2195" s="23"/>
      <c r="J2195" s="17" t="s">
        <v>620</v>
      </c>
      <c r="K2195" s="17"/>
      <c r="L2195" s="23">
        <f>IFERROR(VLOOKUP(F2190,STUDENT!$A$2:$BP$101,8,0),"")</f>
        <v>0</v>
      </c>
      <c r="M2195" s="23"/>
      <c r="N2195" s="23"/>
      <c r="O2195" s="23"/>
      <c r="P2195" s="23"/>
      <c r="Q2195" s="14"/>
      <c r="R2195" s="11"/>
    </row>
    <row r="2196" s="1" customFormat="1" ht="21.95" customHeight="1" spans="1:18">
      <c r="A2196" s="7"/>
      <c r="B2196" s="12"/>
      <c r="C2196" s="17" t="s">
        <v>712</v>
      </c>
      <c r="D2196" s="17"/>
      <c r="E2196" s="17"/>
      <c r="F2196" s="23">
        <f>IFERROR(VLOOKUP(F2190,STUDENT!$A$2:$BP$101,22,0),"")</f>
        <v>0</v>
      </c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14"/>
      <c r="R2196" s="11"/>
    </row>
    <row r="2197" s="1" customFormat="1" ht="9.95" customHeight="1" spans="1:18">
      <c r="A2197" s="7"/>
      <c r="B2197" s="12"/>
      <c r="C2197" s="29"/>
      <c r="D2197" s="29"/>
      <c r="E2197" s="29"/>
      <c r="F2197" s="29"/>
      <c r="G2197" s="29"/>
      <c r="H2197" s="29"/>
      <c r="I2197" s="29"/>
      <c r="J2197" s="29"/>
      <c r="K2197" s="29"/>
      <c r="L2197" s="29"/>
      <c r="M2197" s="29"/>
      <c r="N2197" s="29"/>
      <c r="O2197" s="29"/>
      <c r="P2197" s="29"/>
      <c r="Q2197" s="14"/>
      <c r="R2197" s="11"/>
    </row>
    <row r="2198" s="1" customFormat="1" ht="9.95" customHeight="1" spans="1:18">
      <c r="A2198" s="7"/>
      <c r="B2198" s="12"/>
      <c r="C2198" s="30"/>
      <c r="D2198" s="31"/>
      <c r="E2198" s="31"/>
      <c r="F2198" s="31"/>
      <c r="G2198" s="31"/>
      <c r="H2198" s="31"/>
      <c r="I2198" s="31"/>
      <c r="J2198" s="31"/>
      <c r="K2198" s="31"/>
      <c r="L2198" s="31"/>
      <c r="M2198" s="31"/>
      <c r="N2198" s="31"/>
      <c r="O2198" s="31"/>
      <c r="P2198" s="32"/>
      <c r="Q2198" s="14"/>
      <c r="R2198" s="11"/>
    </row>
    <row r="2199" s="1" customFormat="1" ht="21.95" customHeight="1" spans="1:18">
      <c r="A2199" s="7"/>
      <c r="B2199" s="12"/>
      <c r="C2199" s="33"/>
      <c r="D2199" s="34" t="s">
        <v>713</v>
      </c>
      <c r="E2199" s="20" t="s">
        <v>714</v>
      </c>
      <c r="F2199" s="35" t="str">
        <f>"Level - "&amp;IFERROR(VLOOKUP(F2190,FLN!$A$4:$K$103,9,0),"")</f>
        <v>Level - </v>
      </c>
      <c r="G2199" s="36"/>
      <c r="H2199" s="37" t="s">
        <v>715</v>
      </c>
      <c r="I2199" s="20"/>
      <c r="J2199" s="35" t="str">
        <f>"Level - "&amp;IFERROR(VLOOKUP(F2190,FLN!$A$4:$K$103,11,0),"")</f>
        <v>Level - </v>
      </c>
      <c r="K2199" s="36"/>
      <c r="L2199" s="37" t="s">
        <v>408</v>
      </c>
      <c r="M2199" s="20"/>
      <c r="N2199" s="35" t="str">
        <f>"Level - "&amp;IFERROR(VLOOKUP(F2190,FLN!$A$4:$K$103,10,0),"")</f>
        <v>Level - </v>
      </c>
      <c r="O2199" s="36"/>
      <c r="P2199" s="19"/>
      <c r="Q2199" s="14"/>
      <c r="R2199" s="11"/>
    </row>
    <row r="2200" s="1" customFormat="1" ht="21.95" customHeight="1" spans="1:18">
      <c r="A2200" s="7"/>
      <c r="B2200" s="12"/>
      <c r="C2200" s="33"/>
      <c r="D2200" s="38"/>
      <c r="E2200" s="20" t="s">
        <v>716</v>
      </c>
      <c r="F2200" s="18" t="str">
        <f>IF(L2214&gt;197,"PERFORMED WELL","")</f>
        <v/>
      </c>
      <c r="G2200" s="18"/>
      <c r="H2200" s="18"/>
      <c r="I2200" s="18"/>
      <c r="J2200" s="18"/>
      <c r="K2200" s="18"/>
      <c r="L2200" s="18"/>
      <c r="M2200" s="18"/>
      <c r="N2200" s="18"/>
      <c r="O2200" s="18"/>
      <c r="P2200" s="19"/>
      <c r="Q2200" s="14"/>
      <c r="R2200" s="11"/>
    </row>
    <row r="2201" s="1" customFormat="1" ht="9.95" customHeight="1" spans="1:18">
      <c r="A2201" s="7"/>
      <c r="B2201" s="12"/>
      <c r="C2201" s="39"/>
      <c r="D2201" s="40"/>
      <c r="E2201" s="40"/>
      <c r="F2201" s="40"/>
      <c r="G2201" s="40"/>
      <c r="H2201" s="40"/>
      <c r="I2201" s="40"/>
      <c r="J2201" s="40"/>
      <c r="K2201" s="40"/>
      <c r="L2201" s="40"/>
      <c r="M2201" s="40"/>
      <c r="N2201" s="40"/>
      <c r="O2201" s="40"/>
      <c r="P2201" s="41"/>
      <c r="Q2201" s="14"/>
      <c r="R2201" s="11"/>
    </row>
    <row r="2202" s="1" customFormat="1" ht="9.95" customHeight="1" spans="1:18">
      <c r="A2202" s="7"/>
      <c r="B2202" s="12"/>
      <c r="C2202" s="29"/>
      <c r="D2202" s="29"/>
      <c r="E2202" s="29"/>
      <c r="F2202" s="29"/>
      <c r="G2202" s="29"/>
      <c r="H2202" s="29"/>
      <c r="I2202" s="29"/>
      <c r="J2202" s="29"/>
      <c r="K2202" s="29"/>
      <c r="L2202" s="29"/>
      <c r="M2202" s="29"/>
      <c r="N2202" s="29"/>
      <c r="O2202" s="29"/>
      <c r="P2202" s="29"/>
      <c r="Q2202" s="14"/>
      <c r="R2202" s="11"/>
    </row>
    <row r="2203" s="1" customFormat="1" ht="9.95" customHeight="1" spans="1:18">
      <c r="A2203" s="7"/>
      <c r="B2203" s="12"/>
      <c r="C2203" s="30"/>
      <c r="D2203" s="31"/>
      <c r="E2203" s="31"/>
      <c r="F2203" s="31"/>
      <c r="G2203" s="31"/>
      <c r="H2203" s="31"/>
      <c r="I2203" s="31"/>
      <c r="J2203" s="31"/>
      <c r="K2203" s="31"/>
      <c r="L2203" s="31"/>
      <c r="M2203" s="31"/>
      <c r="N2203" s="31"/>
      <c r="O2203" s="31"/>
      <c r="P2203" s="32"/>
      <c r="Q2203" s="14"/>
      <c r="R2203" s="11"/>
    </row>
    <row r="2204" s="1" customFormat="1" ht="21.95" customHeight="1" spans="1:18">
      <c r="A2204" s="7"/>
      <c r="B2204" s="12"/>
      <c r="C2204" s="33"/>
      <c r="D2204" s="35"/>
      <c r="E2204" s="24"/>
      <c r="F2204" s="24"/>
      <c r="G2204" s="47" t="s">
        <v>717</v>
      </c>
      <c r="H2204" s="47"/>
      <c r="I2204" s="47"/>
      <c r="J2204" s="47"/>
      <c r="K2204" s="47"/>
      <c r="L2204" s="47"/>
      <c r="M2204" s="47"/>
      <c r="N2204" s="47"/>
      <c r="O2204" s="29"/>
      <c r="P2204" s="19"/>
      <c r="Q2204" s="14"/>
      <c r="R2204" s="11"/>
    </row>
    <row r="2205" s="1" customFormat="1" ht="21.95" customHeight="1" spans="1:18">
      <c r="A2205" s="7"/>
      <c r="B2205" s="12"/>
      <c r="C2205" s="33"/>
      <c r="D2205" s="47"/>
      <c r="E2205" s="47"/>
      <c r="F2205" s="47"/>
      <c r="G2205" s="47" t="s">
        <v>541</v>
      </c>
      <c r="H2205" s="47" t="s">
        <v>542</v>
      </c>
      <c r="I2205" s="47" t="s">
        <v>543</v>
      </c>
      <c r="J2205" s="47" t="s">
        <v>544</v>
      </c>
      <c r="K2205" s="47" t="s">
        <v>561</v>
      </c>
      <c r="L2205" s="47" t="s">
        <v>382</v>
      </c>
      <c r="M2205" s="49" t="s">
        <v>546</v>
      </c>
      <c r="N2205" s="49"/>
      <c r="O2205" s="29"/>
      <c r="P2205" s="19"/>
      <c r="Q2205" s="14"/>
      <c r="R2205" s="11"/>
    </row>
    <row r="2206" s="1" customFormat="1" ht="21.95" customHeight="1" spans="1:18">
      <c r="A2206" s="7"/>
      <c r="B2206" s="12"/>
      <c r="C2206" s="33"/>
      <c r="D2206" s="207" t="s">
        <v>652</v>
      </c>
      <c r="E2206" s="207"/>
      <c r="F2206" s="207"/>
      <c r="G2206" s="50">
        <v>10</v>
      </c>
      <c r="H2206" s="50">
        <v>10</v>
      </c>
      <c r="I2206" s="50">
        <v>10</v>
      </c>
      <c r="J2206" s="50">
        <v>10</v>
      </c>
      <c r="K2206" s="50">
        <v>60</v>
      </c>
      <c r="L2206" s="50">
        <v>100</v>
      </c>
      <c r="M2206" s="49"/>
      <c r="N2206" s="49"/>
      <c r="O2206" s="29"/>
      <c r="P2206" s="19"/>
      <c r="Q2206" s="14"/>
      <c r="R2206" s="11"/>
    </row>
    <row r="2207" s="1" customFormat="1" ht="21.95" customHeight="1" spans="1:18">
      <c r="A2207" s="7"/>
      <c r="B2207" s="12"/>
      <c r="C2207" s="33"/>
      <c r="D2207" s="117" t="s">
        <v>668</v>
      </c>
      <c r="E2207" s="117"/>
      <c r="F2207" s="117"/>
      <c r="G2207" s="54" t="str">
        <f>IFERROR(VLOOKUP(F2190,'1to4-2.1-RR'!$A$12:$BG$111,9,0),"")</f>
        <v/>
      </c>
      <c r="H2207" s="54" t="str">
        <f>IFERROR(VLOOKUP(F2190,'1to4-2.1-RR'!$A$12:$BG$111,10,0),"")</f>
        <v/>
      </c>
      <c r="I2207" s="54" t="str">
        <f>IFERROR(VLOOKUP(F2190,'1to4-2.1-RR'!$A$12:$BG$111,11,0),"")</f>
        <v/>
      </c>
      <c r="J2207" s="54" t="str">
        <f>IFERROR(VLOOKUP(F2190,'1to4-2.1-RR'!$A$12:$BG$111,12,0),"")</f>
        <v/>
      </c>
      <c r="K2207" s="54" t="str">
        <f>IFERROR(VLOOKUP(F2190,'1to4-2.1-RR'!$A$12:$BG$111,13,0),"")</f>
        <v/>
      </c>
      <c r="L2207" s="55">
        <f>SUM(G2207:K2207)</f>
        <v>0</v>
      </c>
      <c r="M2207" s="56" t="str">
        <f>IF(F2190&gt;ENTRY!$D$24,"",IF(L2207=0,"Ab",IF(L2207&gt;80,"A",IF(L2207&gt;60,"B",IF(L2207&gt;44,"C",IF(L2207&gt;=33,"D",IF(L2207&lt;=32,"E","")))))))</f>
        <v/>
      </c>
      <c r="N2207" s="56"/>
      <c r="O2207" s="29"/>
      <c r="P2207" s="19"/>
      <c r="Q2207" s="14"/>
      <c r="R2207" s="11"/>
    </row>
    <row r="2208" s="1" customFormat="1" ht="21.95" customHeight="1" spans="1:18">
      <c r="A2208" s="7"/>
      <c r="B2208" s="12"/>
      <c r="C2208" s="33"/>
      <c r="D2208" s="117" t="s">
        <v>513</v>
      </c>
      <c r="E2208" s="117"/>
      <c r="F2208" s="117"/>
      <c r="G2208" s="54" t="str">
        <f>IFERROR(VLOOKUP(F2190,'1to4-2.1-RR'!$A$12:$BG$111,16,0),"")</f>
        <v/>
      </c>
      <c r="H2208" s="54" t="str">
        <f>IFERROR(VLOOKUP(F2190,'1to4-2.1-RR'!$A$12:$BG$111,17,0),"")</f>
        <v/>
      </c>
      <c r="I2208" s="54" t="str">
        <f>IFERROR(VLOOKUP(F2190,'1to4-2.1-RR'!$A$12:$BG$111,18,0),"")</f>
        <v/>
      </c>
      <c r="J2208" s="54" t="str">
        <f>IFERROR(VLOOKUP(F2190,'1to4-2.1-RR'!$A$12:$BG$111,19,0),"")</f>
        <v/>
      </c>
      <c r="K2208" s="54" t="str">
        <f>IFERROR(VLOOKUP(F2190,'1to4-2.1-RR'!$A$12:$BG$111,20,0),"")</f>
        <v/>
      </c>
      <c r="L2208" s="55">
        <f t="shared" ref="L2208:L2213" si="78">SUM(G2208:K2208)</f>
        <v>0</v>
      </c>
      <c r="M2208" s="56" t="str">
        <f>IF(F2190&gt;ENTRY!$D$24,"",IF(L2208=0,"Ab",IF(L2208&gt;80,"A",IF(L2208&gt;60,"B",IF(L2208&gt;44,"C",IF(L2208&gt;=33,"D",IF(L2208&lt;=32,"E","")))))))</f>
        <v/>
      </c>
      <c r="N2208" s="56"/>
      <c r="O2208" s="29"/>
      <c r="P2208" s="19"/>
      <c r="Q2208" s="14"/>
      <c r="R2208" s="11"/>
    </row>
    <row r="2209" s="1" customFormat="1" ht="21.95" customHeight="1" spans="1:19">
      <c r="A2209" s="7"/>
      <c r="B2209" s="12"/>
      <c r="C2209" s="33"/>
      <c r="D2209" s="117" t="s">
        <v>718</v>
      </c>
      <c r="E2209" s="117"/>
      <c r="F2209" s="117"/>
      <c r="G2209" s="54" t="str">
        <f>IFERROR(VLOOKUP(F2190,'1to4-2.1-RR'!$A$12:$BG$111,23,0),"")</f>
        <v/>
      </c>
      <c r="H2209" s="54" t="str">
        <f>IFERROR(VLOOKUP(F2190,'1to4-2.1-RR'!$A$12:$BG$111,24,0),"")</f>
        <v/>
      </c>
      <c r="I2209" s="54" t="str">
        <f>IFERROR(VLOOKUP(F2190,'1to4-2.1-RR'!$A$12:$BG$111,25,0),"")</f>
        <v/>
      </c>
      <c r="J2209" s="54" t="str">
        <f>IFERROR(VLOOKUP(F2190,'1to4-2.1-RR'!$A$12:$BG$111,26,0),"")</f>
        <v/>
      </c>
      <c r="K2209" s="54" t="str">
        <f>IFERROR(VLOOKUP(F2190,'1to4-2.1-RR'!$A$12:$BG$111,27,0),"")</f>
        <v/>
      </c>
      <c r="L2209" s="55">
        <f t="shared" si="78"/>
        <v>0</v>
      </c>
      <c r="M2209" s="56" t="str">
        <f>IF(F2190&gt;ENTRY!$D$24,"",IF(L2209=0,"Ab",IF(L2209&gt;80,"A",IF(L2209&gt;60,"B",IF(L2209&gt;44,"C",IF(L2209&gt;=33,"D",IF(L2209&lt;=32,"E","")))))))</f>
        <v/>
      </c>
      <c r="N2209" s="56"/>
      <c r="O2209" s="29"/>
      <c r="P2209" s="19"/>
      <c r="Q2209" s="14"/>
      <c r="R2209" s="11"/>
    </row>
    <row r="2210" s="1" customFormat="1" ht="21.95" customHeight="1" spans="1:19">
      <c r="A2210" s="7"/>
      <c r="B2210" s="12"/>
      <c r="C2210" s="33"/>
      <c r="D2210" s="117" t="s">
        <v>719</v>
      </c>
      <c r="E2210" s="117"/>
      <c r="F2210" s="117"/>
      <c r="G2210" s="54" t="str">
        <f>IFERROR(VLOOKUP(F2190,'1to4-2.1-RR'!$A$12:$BG$111,30,0),"")</f>
        <v/>
      </c>
      <c r="H2210" s="54" t="str">
        <f>IFERROR(VLOOKUP(F2190,'1to4-2.1-RR'!$A$12:$BG$111,31,0),"")</f>
        <v/>
      </c>
      <c r="I2210" s="54" t="str">
        <f>IFERROR(VLOOKUP(F2190,'1to4-2.1-RR'!$A$12:$BG$111,32,0),"")</f>
        <v/>
      </c>
      <c r="J2210" s="54" t="str">
        <f>IFERROR(VLOOKUP(F2190,'1to4-2.1-RR'!$A$12:$BG$111,33,0),"")</f>
        <v/>
      </c>
      <c r="K2210" s="54" t="str">
        <f>IFERROR(VLOOKUP(F2190,'1to4-2.1-RR'!$A$12:$BG$111,34,0),"")</f>
        <v/>
      </c>
      <c r="L2210" s="55">
        <f t="shared" si="78"/>
        <v>0</v>
      </c>
      <c r="M2210" s="56" t="str">
        <f>IF(F2190&gt;ENTRY!$D$24,"",IF(L2210=0,"Ab",IF(L2210&gt;80,"A",IF(L2210&gt;60,"B",IF(L2210&gt;44,"C",IF(L2210&gt;=33,"D",IF(L2210&lt;=32,"E","")))))))</f>
        <v/>
      </c>
      <c r="N2210" s="56"/>
      <c r="O2210" s="29"/>
      <c r="P2210" s="19"/>
      <c r="Q2210" s="14"/>
      <c r="R2210" s="11"/>
    </row>
    <row r="2211" s="1" customFormat="1" ht="21.95" customHeight="1" spans="1:19">
      <c r="A2211" s="7"/>
      <c r="B2211" s="12"/>
      <c r="C2211" s="33"/>
      <c r="D2211" s="117" t="s">
        <v>548</v>
      </c>
      <c r="E2211" s="117"/>
      <c r="F2211" s="117"/>
      <c r="G2211" s="54" t="str">
        <f>IFERROR(VLOOKUP(F2190,'1to4-2.1-RR'!$A$12:$BG$111,37,0),"")</f>
        <v/>
      </c>
      <c r="H2211" s="54" t="str">
        <f>IFERROR(VLOOKUP(F2190,'1to4-2.1-RR'!$A$12:$BG$111,38,0),"")</f>
        <v/>
      </c>
      <c r="I2211" s="54" t="str">
        <f>IFERROR(VLOOKUP(F2190,'1to4-2.1-RR'!$A$12:$BG$111,39,0),"")</f>
        <v/>
      </c>
      <c r="J2211" s="54" t="str">
        <f>IFERROR(VLOOKUP(F2190,'1to4-2.1-RR'!$A$12:$BG$111,40,0),"")</f>
        <v/>
      </c>
      <c r="K2211" s="54" t="str">
        <f>IFERROR(VLOOKUP(F2190,'1to4-2.1-RR'!$A$12:$BG$111,41,0),"")</f>
        <v/>
      </c>
      <c r="L2211" s="55">
        <f t="shared" si="78"/>
        <v>0</v>
      </c>
      <c r="M2211" s="56" t="str">
        <f>IF(F2190&gt;ENTRY!$D$24,"",IF(L2211=0,"Ab",IF(L2211&gt;80,"A",IF(L2211&gt;60,"B",IF(L2211&gt;44,"C",IF(L2211&gt;=33,"D",IF(L2211&lt;=32,"E","")))))))</f>
        <v/>
      </c>
      <c r="N2211" s="56"/>
      <c r="O2211" s="29"/>
      <c r="P2211" s="19"/>
      <c r="Q2211" s="14"/>
      <c r="R2211" s="11"/>
    </row>
    <row r="2212" s="1" customFormat="1" ht="21.95" customHeight="1" spans="1:19">
      <c r="A2212" s="7"/>
      <c r="B2212" s="12"/>
      <c r="C2212" s="33"/>
      <c r="D2212" s="117" t="s">
        <v>549</v>
      </c>
      <c r="E2212" s="117"/>
      <c r="F2212" s="117"/>
      <c r="G2212" s="54" t="str">
        <f>IFERROR(VLOOKUP(F2190,'1to4-2.1-RR'!$A$12:$BG$111,44,0),"")</f>
        <v/>
      </c>
      <c r="H2212" s="54" t="str">
        <f>IFERROR(VLOOKUP(F2190,'1to4-2.1-RR'!$A$12:$BG$111,45,0),"")</f>
        <v/>
      </c>
      <c r="I2212" s="54" t="str">
        <f>IFERROR(VLOOKUP(F2190,'1to4-2.1-RR'!$A$12:$BG$111,46,0),"")</f>
        <v/>
      </c>
      <c r="J2212" s="54" t="str">
        <f>IFERROR(VLOOKUP(F2190,'1to4-2.1-RR'!$A$12:$BG$111,47,0),"")</f>
        <v/>
      </c>
      <c r="K2212" s="54" t="str">
        <f>IFERROR(VLOOKUP(F2190,'1to4-2.1-RR'!$A$12:$BG$111,48,0),"")</f>
        <v/>
      </c>
      <c r="L2212" s="55">
        <f t="shared" si="78"/>
        <v>0</v>
      </c>
      <c r="M2212" s="56" t="str">
        <f>IF(F2190&gt;ENTRY!$D$24,"",IF(L2212=0,"Ab",IF(L2212&gt;80,"A",IF(L2212&gt;60,"B",IF(L2212&gt;44,"C",IF(L2212&gt;=33,"D",IF(L2212&lt;=32,"E","")))))))</f>
        <v/>
      </c>
      <c r="N2212" s="56"/>
      <c r="O2212" s="29"/>
      <c r="P2212" s="19"/>
      <c r="Q2212" s="14"/>
      <c r="R2212" s="11"/>
    </row>
    <row r="2213" s="1" customFormat="1" ht="21.95" customHeight="1" spans="1:19">
      <c r="A2213" s="7"/>
      <c r="B2213" s="12"/>
      <c r="C2213" s="33"/>
      <c r="D2213" s="117" t="s">
        <v>720</v>
      </c>
      <c r="E2213" s="117"/>
      <c r="F2213" s="117"/>
      <c r="G2213" s="54"/>
      <c r="H2213" s="54"/>
      <c r="I2213" s="54"/>
      <c r="J2213" s="54"/>
      <c r="K2213" s="54"/>
      <c r="L2213" s="55">
        <f t="shared" si="78"/>
        <v>0</v>
      </c>
      <c r="M2213" s="56" t="str">
        <f>IF(F2190&gt;ENTRY!$D$24,"",IF(L2213=0,"",IF(L2213&gt;79,"A",IF(L2213&gt;59,"B",IF(L2213&gt;44,"C",IF(L2213&gt;=33,"D",IF(L2213&lt;=32,"E","")))))))</f>
        <v/>
      </c>
      <c r="N2213" s="56"/>
      <c r="O2213" s="29"/>
      <c r="P2213" s="19"/>
      <c r="Q2213" s="14"/>
      <c r="R2213" s="11"/>
    </row>
    <row r="2214" s="1" customFormat="1" ht="21.95" customHeight="1" spans="1:19">
      <c r="A2214" s="7"/>
      <c r="B2214" s="12"/>
      <c r="C2214" s="33"/>
      <c r="D2214" s="207" t="s">
        <v>382</v>
      </c>
      <c r="E2214" s="207"/>
      <c r="F2214" s="207"/>
      <c r="G2214" s="54">
        <f t="shared" ref="G2214:L2214" si="79">IFERROR(SUM(G2207:G2213),"")</f>
        <v>0</v>
      </c>
      <c r="H2214" s="54">
        <f t="shared" si="79"/>
        <v>0</v>
      </c>
      <c r="I2214" s="54">
        <f t="shared" si="79"/>
        <v>0</v>
      </c>
      <c r="J2214" s="54">
        <f t="shared" si="79"/>
        <v>0</v>
      </c>
      <c r="K2214" s="54">
        <f t="shared" si="79"/>
        <v>0</v>
      </c>
      <c r="L2214" s="55">
        <f t="shared" si="79"/>
        <v>0</v>
      </c>
      <c r="M2214" s="61" t="str">
        <f>IF(F2190&gt;ENTRY!$D$24,"",IF(N2215="Ab","Ab",IF(N2215&gt;79.5,"A",IF(N2215&gt;59.5,"B",IF(N2215&gt;44.5,"C",IF(N2215&gt;=33,"D",IF(N2215&lt;33,"E","")))))))</f>
        <v/>
      </c>
      <c r="N2214" s="61"/>
      <c r="O2214" s="29"/>
      <c r="P2214" s="19"/>
      <c r="Q2214" s="14"/>
      <c r="R2214" s="11"/>
    </row>
    <row r="2215" s="1" customFormat="1" ht="21.95" customHeight="1" spans="1:19">
      <c r="A2215" s="7"/>
      <c r="B2215" s="12"/>
      <c r="C2215" s="33"/>
      <c r="D2215" s="63" t="s">
        <v>721</v>
      </c>
      <c r="E2215" s="63"/>
      <c r="F2215" s="63"/>
      <c r="G2215" s="63"/>
      <c r="H2215" s="63"/>
      <c r="I2215" s="63"/>
      <c r="J2215" s="63"/>
      <c r="K2215" s="63"/>
      <c r="L2215" s="63"/>
      <c r="M2215" s="209"/>
      <c r="N2215" s="64">
        <f>IF(L2214="Ab","Ab",L2214/6)</f>
        <v>0</v>
      </c>
      <c r="O2215" s="65"/>
      <c r="P2215" s="19"/>
      <c r="Q2215" s="14"/>
      <c r="R2215" s="11"/>
    </row>
    <row r="2216" s="1" customFormat="1" ht="21.95" customHeight="1" spans="1:19">
      <c r="A2216" s="7"/>
      <c r="B2216" s="12"/>
      <c r="C2216" s="33"/>
      <c r="D2216" s="29" t="s">
        <v>716</v>
      </c>
      <c r="E2216" s="18" t="str">
        <f>IFERROR(VLOOKUP(F2190,'1to4-2.1-RR'!$A$12:$BG$111,57,0),"")</f>
        <v/>
      </c>
      <c r="F2216" s="18"/>
      <c r="G2216" s="18"/>
      <c r="H2216" s="18"/>
      <c r="I2216" s="18"/>
      <c r="J2216" s="18"/>
      <c r="K2216" s="18"/>
      <c r="L2216" s="18"/>
      <c r="M2216" s="18"/>
      <c r="N2216" s="29"/>
      <c r="O2216" s="29"/>
      <c r="P2216" s="19"/>
      <c r="Q2216" s="14"/>
      <c r="R2216" s="11"/>
    </row>
    <row r="2217" s="1" customFormat="1" ht="9.95" customHeight="1" spans="1:19">
      <c r="A2217" s="7"/>
      <c r="B2217" s="12"/>
      <c r="C2217" s="39"/>
      <c r="D2217" s="40"/>
      <c r="E2217" s="40"/>
      <c r="F2217" s="40"/>
      <c r="G2217" s="40"/>
      <c r="H2217" s="40"/>
      <c r="I2217" s="40"/>
      <c r="J2217" s="40"/>
      <c r="K2217" s="40"/>
      <c r="L2217" s="40"/>
      <c r="M2217" s="40"/>
      <c r="N2217" s="40"/>
      <c r="O2217" s="40"/>
      <c r="P2217" s="41"/>
      <c r="Q2217" s="14"/>
      <c r="R2217" s="11"/>
    </row>
    <row r="2218" s="1" customFormat="1" ht="9.95" customHeight="1" spans="1:19">
      <c r="A2218" s="7"/>
      <c r="B2218" s="12"/>
      <c r="C2218" s="30"/>
      <c r="D2218" s="31"/>
      <c r="E2218" s="31"/>
      <c r="F2218" s="29"/>
      <c r="G2218" s="31"/>
      <c r="H2218" s="31"/>
      <c r="I2218" s="31"/>
      <c r="J2218" s="31"/>
      <c r="K2218" s="31"/>
      <c r="L2218" s="31"/>
      <c r="M2218" s="31"/>
      <c r="N2218" s="31"/>
      <c r="O2218" s="31"/>
      <c r="P2218" s="32"/>
      <c r="Q2218" s="14"/>
      <c r="R2218" s="11"/>
    </row>
    <row r="2219" s="1" customFormat="1" ht="9.95" customHeight="1" spans="1:19">
      <c r="A2219" s="7"/>
      <c r="B2219" s="12"/>
      <c r="C2219" s="33"/>
      <c r="D2219" s="29"/>
      <c r="E2219" s="29"/>
      <c r="F2219" s="29"/>
      <c r="G2219" s="29"/>
      <c r="H2219" s="29"/>
      <c r="I2219" s="29"/>
      <c r="J2219" s="29"/>
      <c r="K2219" s="29"/>
      <c r="L2219" s="29"/>
      <c r="M2219" s="29"/>
      <c r="N2219" s="29"/>
      <c r="O2219" s="29"/>
      <c r="P2219" s="19"/>
      <c r="Q2219" s="14"/>
      <c r="R2219" s="11"/>
    </row>
    <row r="2220" s="1" customFormat="1" ht="9.95" customHeight="1" spans="1:19">
      <c r="A2220" s="7"/>
      <c r="B2220" s="12"/>
      <c r="C2220" s="33"/>
      <c r="D2220" s="29"/>
      <c r="E2220" s="29"/>
      <c r="F2220" s="29"/>
      <c r="G2220" s="29"/>
      <c r="H2220" s="29"/>
      <c r="I2220" s="29"/>
      <c r="J2220" s="29"/>
      <c r="K2220" s="29"/>
      <c r="L2220" s="29"/>
      <c r="M2220" s="29"/>
      <c r="N2220" s="29"/>
      <c r="O2220" s="29"/>
      <c r="P2220" s="19"/>
      <c r="Q2220" s="14"/>
      <c r="R2220" s="11"/>
    </row>
    <row r="2221" s="1" customFormat="1" ht="21.95" customHeight="1" spans="1:19">
      <c r="A2221" s="7"/>
      <c r="B2221" s="12"/>
      <c r="C2221" s="210"/>
      <c r="D2221" s="211"/>
      <c r="E2221" s="211"/>
      <c r="F2221" s="211"/>
      <c r="G2221" s="211"/>
      <c r="H2221" s="211"/>
      <c r="I2221" s="211"/>
      <c r="J2221" s="211"/>
      <c r="K2221" s="211"/>
      <c r="L2221" s="211"/>
      <c r="M2221" s="211"/>
      <c r="N2221" s="211"/>
      <c r="O2221" s="211"/>
      <c r="P2221" s="212"/>
      <c r="Q2221" s="14"/>
      <c r="R2221" s="11"/>
      <c r="S2221" s="2"/>
    </row>
    <row r="2222" s="1" customFormat="1" ht="21.95" customHeight="1" spans="1:19">
      <c r="A2222" s="7"/>
      <c r="B2222" s="12"/>
      <c r="C2222" s="33"/>
      <c r="D2222" s="207" t="s">
        <v>722</v>
      </c>
      <c r="E2222" s="207"/>
      <c r="F2222" s="207"/>
      <c r="G2222" s="207"/>
      <c r="H2222" s="54">
        <f>IFERROR(VLOOKUP(F2190,PASHEET!$A$4:$CJ$103,88,0),"")</f>
        <v>0</v>
      </c>
      <c r="I2222" s="54"/>
      <c r="J2222" s="29"/>
      <c r="K2222" s="29"/>
      <c r="L2222" s="29"/>
      <c r="M2222" s="29"/>
      <c r="N2222" s="29"/>
      <c r="O2222" s="29"/>
      <c r="P2222" s="19"/>
      <c r="Q2222" s="14"/>
      <c r="R2222" s="11"/>
    </row>
    <row r="2223" s="1" customFormat="1" ht="21.95" customHeight="1" spans="1:19">
      <c r="A2223" s="7"/>
      <c r="B2223" s="12"/>
      <c r="C2223" s="213"/>
      <c r="D2223" s="207" t="s">
        <v>723</v>
      </c>
      <c r="E2223" s="207"/>
      <c r="F2223" s="207"/>
      <c r="G2223" s="207"/>
      <c r="H2223" s="54">
        <f>IFERROR(VLOOKUP(F2190,PASHEET!$A$4:$CJ$103,87,0),"")</f>
        <v>0</v>
      </c>
      <c r="I2223" s="54"/>
      <c r="J2223" s="214"/>
      <c r="K2223" s="214"/>
      <c r="L2223" s="207" t="s">
        <v>724</v>
      </c>
      <c r="M2223" s="207"/>
      <c r="N2223" s="117" t="str">
        <f>IF(F2190&gt;ENTRY!$D$24,"",IF(F2190&gt;0,L2214&amp;" / "&amp;600,""))</f>
        <v/>
      </c>
      <c r="O2223" s="117"/>
      <c r="P2223" s="215"/>
      <c r="Q2223" s="14"/>
      <c r="R2223" s="11"/>
    </row>
    <row r="2224" s="1" customFormat="1" ht="18" customHeight="1" spans="1:19">
      <c r="A2224" s="7"/>
      <c r="B2224" s="12"/>
      <c r="C2224" s="33"/>
      <c r="D2224" s="207" t="s">
        <v>725</v>
      </c>
      <c r="E2224" s="207"/>
      <c r="F2224" s="207"/>
      <c r="G2224" s="207"/>
      <c r="H2224" s="69" t="str">
        <f>IFERROR(IF(F2190&gt;0,H2223/H2222*100),"")</f>
        <v/>
      </c>
      <c r="I2224" s="69"/>
      <c r="J2224" s="29"/>
      <c r="K2224" s="29"/>
      <c r="L2224" s="207" t="s">
        <v>726</v>
      </c>
      <c r="M2224" s="207"/>
      <c r="N2224" s="216" t="str">
        <f>IF(F2190&gt;ENTRY!$D$24,"",IF(F2190&gt;0,L2214/600*100,""))</f>
        <v/>
      </c>
      <c r="O2224" s="216"/>
      <c r="P2224" s="19"/>
      <c r="Q2224" s="14"/>
      <c r="R2224" s="11"/>
    </row>
    <row r="2225" s="1" customFormat="1" ht="21.95" customHeight="1" spans="1:18">
      <c r="A2225" s="7"/>
      <c r="B2225" s="12"/>
      <c r="C2225" s="33"/>
      <c r="D2225" s="80"/>
      <c r="E2225" s="80"/>
      <c r="F2225" s="217"/>
      <c r="G2225" s="217"/>
      <c r="H2225" s="217"/>
      <c r="I2225" s="217"/>
      <c r="J2225" s="217"/>
      <c r="K2225" s="217"/>
      <c r="L2225" s="217"/>
      <c r="M2225" s="217"/>
      <c r="N2225" s="80"/>
      <c r="O2225" s="80"/>
      <c r="P2225" s="19"/>
      <c r="Q2225" s="14"/>
      <c r="R2225" s="11"/>
    </row>
    <row r="2226" s="1" customFormat="1" ht="21.95" customHeight="1" spans="1:18">
      <c r="A2226" s="7"/>
      <c r="B2226" s="12"/>
      <c r="C2226" s="33"/>
      <c r="D2226" s="80"/>
      <c r="E2226" s="218"/>
      <c r="F2226" s="218"/>
      <c r="G2226" s="218"/>
      <c r="H2226" s="80"/>
      <c r="I2226" s="218"/>
      <c r="J2226" s="218"/>
      <c r="K2226" s="218"/>
      <c r="L2226" s="218"/>
      <c r="M2226" s="80"/>
      <c r="N2226" s="219"/>
      <c r="O2226" s="219"/>
      <c r="P2226" s="19"/>
      <c r="Q2226" s="14"/>
      <c r="R2226" s="11"/>
    </row>
    <row r="2227" s="1" customFormat="1" ht="21.95" customHeight="1" spans="1:18">
      <c r="A2227" s="7"/>
      <c r="B2227" s="12"/>
      <c r="C2227" s="33"/>
      <c r="D2227" s="80"/>
      <c r="E2227" s="80"/>
      <c r="F2227" s="80"/>
      <c r="G2227" s="80"/>
      <c r="H2227" s="80"/>
      <c r="I2227" s="80"/>
      <c r="J2227" s="80"/>
      <c r="K2227" s="80"/>
      <c r="L2227" s="80"/>
      <c r="M2227" s="80"/>
      <c r="N2227" s="80"/>
      <c r="O2227" s="80"/>
      <c r="P2227" s="19"/>
      <c r="Q2227" s="14"/>
      <c r="R2227" s="11"/>
    </row>
    <row r="2228" s="1" customFormat="1" ht="21.95" customHeight="1" spans="1:18">
      <c r="A2228" s="7"/>
      <c r="B2228" s="12"/>
      <c r="C2228" s="33"/>
      <c r="D2228" s="218"/>
      <c r="E2228" s="218"/>
      <c r="F2228" s="218"/>
      <c r="G2228" s="218"/>
      <c r="H2228" s="218"/>
      <c r="I2228" s="218"/>
      <c r="J2228" s="218"/>
      <c r="K2228" s="218"/>
      <c r="L2228" s="218"/>
      <c r="M2228" s="80"/>
      <c r="N2228" s="217"/>
      <c r="O2228" s="217"/>
      <c r="P2228" s="85" t="s">
        <v>727</v>
      </c>
      <c r="Q2228" s="14"/>
      <c r="R2228" s="11"/>
    </row>
    <row r="2229" s="1" customFormat="1" ht="21.95" customHeight="1" spans="1:18">
      <c r="A2229" s="7"/>
      <c r="B2229" s="12"/>
      <c r="C2229" s="33"/>
      <c r="D2229" s="29"/>
      <c r="E2229" s="29"/>
      <c r="F2229" s="29"/>
      <c r="G2229" s="29"/>
      <c r="H2229" s="29"/>
      <c r="I2229" s="29"/>
      <c r="J2229" s="29"/>
      <c r="K2229" s="29"/>
      <c r="L2229" s="29"/>
      <c r="M2229" s="29"/>
      <c r="N2229" s="29"/>
      <c r="O2229" s="29"/>
      <c r="P2229" s="19"/>
      <c r="Q2229" s="14"/>
      <c r="R2229" s="11"/>
    </row>
    <row r="2230" s="1" customFormat="1" ht="21.95" customHeight="1" spans="1:18">
      <c r="A2230" s="7"/>
      <c r="B2230" s="12"/>
      <c r="C2230" s="33"/>
      <c r="D2230" s="29"/>
      <c r="E2230" s="29"/>
      <c r="F2230" s="29"/>
      <c r="G2230" s="29"/>
      <c r="H2230" s="29"/>
      <c r="I2230" s="29"/>
      <c r="J2230" s="29"/>
      <c r="K2230" s="29"/>
      <c r="L2230" s="29"/>
      <c r="M2230" s="29"/>
      <c r="N2230" s="29"/>
      <c r="O2230" s="29"/>
      <c r="P2230" s="19"/>
      <c r="Q2230" s="14"/>
      <c r="R2230" s="11"/>
    </row>
    <row r="2231" s="1" customFormat="1" ht="21.95" customHeight="1" spans="1:18">
      <c r="A2231" s="7"/>
      <c r="B2231" s="12"/>
      <c r="C2231" s="33"/>
      <c r="D2231" s="29"/>
      <c r="E2231" s="29"/>
      <c r="F2231" s="29"/>
      <c r="G2231" s="29"/>
      <c r="H2231" s="29"/>
      <c r="I2231" s="29"/>
      <c r="J2231" s="29"/>
      <c r="K2231" s="29"/>
      <c r="L2231" s="29"/>
      <c r="M2231" s="29"/>
      <c r="N2231" s="29"/>
      <c r="O2231" s="29"/>
      <c r="P2231" s="19"/>
      <c r="Q2231" s="14"/>
      <c r="R2231" s="11"/>
    </row>
    <row r="2232" s="1" customFormat="1" ht="21.95" customHeight="1" spans="1:18">
      <c r="A2232" s="7"/>
      <c r="B2232" s="12"/>
      <c r="C2232" s="33"/>
      <c r="D2232" s="29"/>
      <c r="E2232" s="29"/>
      <c r="F2232" s="29"/>
      <c r="G2232" s="29"/>
      <c r="H2232" s="29"/>
      <c r="I2232" s="29"/>
      <c r="J2232" s="29"/>
      <c r="K2232" s="29"/>
      <c r="L2232" s="29"/>
      <c r="M2232" s="29"/>
      <c r="N2232" s="29"/>
      <c r="O2232" s="29"/>
      <c r="P2232" s="19"/>
      <c r="Q2232" s="14"/>
      <c r="R2232" s="11"/>
    </row>
    <row r="2233" s="1" customFormat="1" ht="21.95" customHeight="1" spans="1:18">
      <c r="A2233" s="7"/>
      <c r="B2233" s="12"/>
      <c r="C2233" s="33"/>
      <c r="D2233" s="29"/>
      <c r="E2233" s="29"/>
      <c r="F2233" s="29"/>
      <c r="G2233" s="29"/>
      <c r="H2233" s="29"/>
      <c r="I2233" s="29"/>
      <c r="J2233" s="29"/>
      <c r="K2233" s="29"/>
      <c r="L2233" s="29"/>
      <c r="M2233" s="29"/>
      <c r="N2233" s="29"/>
      <c r="O2233" s="29"/>
      <c r="P2233" s="19"/>
      <c r="Q2233" s="14"/>
      <c r="R2233" s="11"/>
    </row>
    <row r="2234" s="1" customFormat="1" ht="21.95" customHeight="1" spans="1:18">
      <c r="A2234" s="7"/>
      <c r="B2234" s="12"/>
      <c r="C2234" s="33"/>
      <c r="D2234" s="80" t="s">
        <v>728</v>
      </c>
      <c r="E2234" s="220">
        <f>ENTRY!$D$27</f>
        <v>46102</v>
      </c>
      <c r="F2234" s="220"/>
      <c r="G2234" s="29"/>
      <c r="H2234" s="29"/>
      <c r="I2234" s="221" t="s">
        <v>729</v>
      </c>
      <c r="J2234" s="153"/>
      <c r="K2234" s="29"/>
      <c r="L2234" s="29"/>
      <c r="M2234" s="87" t="s">
        <v>730</v>
      </c>
      <c r="N2234" s="87"/>
      <c r="O2234" s="87"/>
      <c r="P2234" s="19"/>
      <c r="Q2234" s="14"/>
      <c r="R2234" s="11"/>
    </row>
    <row r="2235" s="1" customFormat="1" ht="21.95" customHeight="1" spans="1:18">
      <c r="A2235" s="7"/>
      <c r="B2235" s="12"/>
      <c r="C2235" s="33"/>
      <c r="D2235" s="80" t="s">
        <v>731</v>
      </c>
      <c r="E2235" s="88" t="str">
        <f>PROPER(ENTRY!$D$28)</f>
        <v>New Delhi</v>
      </c>
      <c r="F2235" s="88"/>
      <c r="G2235" s="29"/>
      <c r="H2235" s="29"/>
      <c r="I2235" s="153"/>
      <c r="J2235" s="153"/>
      <c r="K2235" s="29"/>
      <c r="L2235" s="29"/>
      <c r="M2235" s="79" t="s">
        <v>732</v>
      </c>
      <c r="N2235" s="79"/>
      <c r="O2235" s="79"/>
      <c r="P2235" s="19"/>
      <c r="Q2235" s="14"/>
      <c r="R2235" s="11"/>
    </row>
    <row r="2236" s="1" customFormat="1" ht="21.95" customHeight="1" spans="1:18">
      <c r="A2236" s="7"/>
      <c r="B2236" s="12"/>
      <c r="C2236" s="90"/>
      <c r="D2236" s="91"/>
      <c r="E2236" s="91"/>
      <c r="F2236" s="91"/>
      <c r="G2236" s="91"/>
      <c r="H2236" s="91"/>
      <c r="I2236" s="91"/>
      <c r="J2236" s="91"/>
      <c r="K2236" s="91"/>
      <c r="L2236" s="91"/>
      <c r="M2236" s="91"/>
      <c r="N2236" s="91"/>
      <c r="O2236" s="91"/>
      <c r="P2236" s="92"/>
      <c r="Q2236" s="14"/>
      <c r="R2236" s="11"/>
    </row>
    <row r="2237" s="1" customFormat="1" ht="5.1" customHeight="1" spans="1:18">
      <c r="A2237" s="7"/>
      <c r="B2237" s="90"/>
      <c r="C2237" s="91"/>
      <c r="D2237" s="91"/>
      <c r="E2237" s="91"/>
      <c r="F2237" s="91"/>
      <c r="G2237" s="91"/>
      <c r="H2237" s="91"/>
      <c r="I2237" s="91"/>
      <c r="J2237" s="91"/>
      <c r="K2237" s="91"/>
      <c r="L2237" s="91"/>
      <c r="M2237" s="91"/>
      <c r="N2237" s="91"/>
      <c r="O2237" s="91"/>
      <c r="P2237" s="91"/>
      <c r="Q2237" s="92"/>
      <c r="R2237" s="11"/>
    </row>
    <row r="2238" s="1" customFormat="1" ht="5.1" customHeight="1" spans="1:18">
      <c r="A2238" s="93"/>
      <c r="B2238" s="94"/>
      <c r="C2238" s="94"/>
      <c r="D2238" s="94"/>
      <c r="E2238" s="94"/>
      <c r="F2238" s="94"/>
      <c r="G2238" s="94"/>
      <c r="H2238" s="94"/>
      <c r="I2238" s="94"/>
      <c r="J2238" s="94"/>
      <c r="K2238" s="94"/>
      <c r="L2238" s="94"/>
      <c r="M2238" s="94"/>
      <c r="N2238" s="94"/>
      <c r="O2238" s="94"/>
      <c r="P2238" s="94"/>
      <c r="Q2238" s="94"/>
      <c r="R2238" s="95"/>
    </row>
    <row r="2239" s="1" customFormat="1" ht="21.95" customHeight="1"/>
    <row r="2240" ht="15.15"/>
    <row r="2241" s="1" customFormat="1" ht="5.1" customHeight="1" spans="1:18">
      <c r="A2241" s="4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  <c r="O2241" s="5"/>
      <c r="P2241" s="5"/>
      <c r="Q2241" s="5"/>
      <c r="R2241" s="6"/>
    </row>
    <row r="2242" s="1" customFormat="1" ht="15" customHeight="1" spans="1:18">
      <c r="A2242" s="7"/>
      <c r="B2242" s="8"/>
      <c r="C2242" s="9"/>
      <c r="D2242" s="9"/>
      <c r="E2242" s="9"/>
      <c r="F2242" s="9"/>
      <c r="G2242" s="9"/>
      <c r="H2242" s="9"/>
      <c r="I2242" s="9"/>
      <c r="J2242" s="9"/>
      <c r="K2242" s="9"/>
      <c r="L2242" s="9"/>
      <c r="M2242" s="9"/>
      <c r="N2242" s="9"/>
      <c r="O2242" s="9"/>
      <c r="P2242" s="9"/>
      <c r="Q2242" s="10"/>
      <c r="R2242" s="11"/>
    </row>
    <row r="2243" s="1" customFormat="1" ht="21.95" customHeight="1" spans="1:18">
      <c r="A2243" s="7"/>
      <c r="B2243" s="12"/>
      <c r="C2243" s="13" t="s">
        <v>7</v>
      </c>
      <c r="D2243" s="13"/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/>
      <c r="Q2243" s="14"/>
      <c r="R2243" s="11"/>
    </row>
    <row r="2244" s="1" customFormat="1" ht="21.95" customHeight="1" spans="1:18">
      <c r="A2244" s="7"/>
      <c r="B2244" s="1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14"/>
      <c r="R2244" s="11"/>
    </row>
    <row r="2245" s="1" customFormat="1" ht="21.95" customHeight="1" spans="1:18">
      <c r="A2245" s="7"/>
      <c r="B2245" s="12"/>
      <c r="C2245" s="15" t="str">
        <f>"SESSION-"&amp;ENTRY!$D$11</f>
        <v>SESSION-2026-27</v>
      </c>
      <c r="D2245" s="15"/>
      <c r="E2245" s="15"/>
      <c r="F2245" s="15"/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4"/>
      <c r="R2245" s="11"/>
    </row>
    <row r="2246" s="1" customFormat="1" ht="21.95" customHeight="1" spans="1:18">
      <c r="A2246" s="7"/>
      <c r="B2246" s="12"/>
      <c r="C2246" s="2"/>
      <c r="D2246" s="2"/>
      <c r="E2246" s="2"/>
      <c r="F2246" s="16">
        <f>F2190+1</f>
        <v>41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14"/>
      <c r="R2246" s="11"/>
    </row>
    <row r="2247" s="1" customFormat="1" ht="21.95" customHeight="1" spans="1:18">
      <c r="A2247" s="7"/>
      <c r="B2247" s="12"/>
      <c r="C2247" s="17" t="s">
        <v>392</v>
      </c>
      <c r="D2247" s="17"/>
      <c r="E2247" s="17"/>
      <c r="F2247" s="18" t="str">
        <f>IF(F2246&gt;0,ENTRY!$D$6,"")</f>
        <v>MCP NITHARI NO 1 BOYS</v>
      </c>
      <c r="G2247" s="18"/>
      <c r="H2247" s="18"/>
      <c r="I2247" s="18"/>
      <c r="J2247" s="18"/>
      <c r="K2247" s="18"/>
      <c r="L2247" s="18"/>
      <c r="M2247" s="18"/>
      <c r="N2247" s="18"/>
      <c r="O2247" s="18"/>
      <c r="P2247" s="18"/>
      <c r="Q2247" s="14"/>
      <c r="R2247" s="11"/>
    </row>
    <row r="2248" s="1" customFormat="1" ht="21.95" customHeight="1" spans="1:18">
      <c r="A2248" s="7"/>
      <c r="B2248" s="12"/>
      <c r="C2248" s="17" t="s">
        <v>393</v>
      </c>
      <c r="D2248" s="17"/>
      <c r="E2248" s="17"/>
      <c r="F2248" s="18">
        <f>IF(F2246&gt;0,ENTRY!$D$7,"")</f>
        <v>0</v>
      </c>
      <c r="G2248" s="18"/>
      <c r="H2248" s="20" t="s">
        <v>702</v>
      </c>
      <c r="I2248" s="20"/>
      <c r="J2248" s="21">
        <f>IF(F2246&gt;0,ENTRY!$D$10,"")</f>
        <v>40</v>
      </c>
      <c r="K2248" s="20" t="s">
        <v>703</v>
      </c>
      <c r="L2248" s="22" t="str">
        <f>IF(F2246&gt;0,ENTRY!$D$5,"")</f>
        <v>ROHINI ZONE</v>
      </c>
      <c r="M2248" s="22"/>
      <c r="N2248" s="22"/>
      <c r="O2248" s="22"/>
      <c r="P2248" s="22"/>
      <c r="Q2248" s="14"/>
      <c r="R2248" s="11"/>
    </row>
    <row r="2249" s="1" customFormat="1" ht="21.95" customHeight="1" spans="1:18">
      <c r="A2249" s="7"/>
      <c r="B2249" s="12"/>
      <c r="C2249" s="17" t="s">
        <v>706</v>
      </c>
      <c r="D2249" s="17"/>
      <c r="E2249" s="17"/>
      <c r="F2249" s="23">
        <f>IFERROR(VLOOKUP(F2246,STUDENT!$A$2:$BP$101,5,0),"")</f>
        <v>0</v>
      </c>
      <c r="G2249" s="23"/>
      <c r="H2249" s="23"/>
      <c r="I2249" s="23"/>
      <c r="J2249" s="23"/>
      <c r="K2249" s="23"/>
      <c r="L2249" s="20" t="s">
        <v>707</v>
      </c>
      <c r="M2249" s="20"/>
      <c r="N2249" s="24" t="str">
        <f>IF(F2246&gt;0,ENTRY!$D$20&amp;"-"&amp;ENTRY!$D$21,"")</f>
        <v>III-A</v>
      </c>
      <c r="O2249" s="24"/>
      <c r="P2249" s="24"/>
      <c r="Q2249" s="14"/>
      <c r="R2249" s="11"/>
    </row>
    <row r="2250" s="1" customFormat="1" ht="21.95" customHeight="1" spans="1:18">
      <c r="A2250" s="7"/>
      <c r="B2250" s="12"/>
      <c r="C2250" s="17" t="s">
        <v>708</v>
      </c>
      <c r="D2250" s="17"/>
      <c r="E2250" s="17"/>
      <c r="F2250" s="25">
        <f>IFERROR(VLOOKUP(F2246,STUDENT!$A$2:$BP$101,6,0),"")</f>
        <v>0</v>
      </c>
      <c r="G2250" s="25"/>
      <c r="H2250" s="26" t="s">
        <v>709</v>
      </c>
      <c r="I2250" s="27" t="str">
        <f>IFERROR(VLOOKUP(F2246,STUDENT!$A$2:$BP$101,59,0),"")</f>
        <v/>
      </c>
      <c r="J2250" s="27"/>
      <c r="K2250" s="20" t="s">
        <v>710</v>
      </c>
      <c r="L2250" s="20"/>
      <c r="M2250" s="28">
        <f>IFERROR(VLOOKUP(F2246,STUDENT!$A$2:$BP$101,20,0),"")</f>
        <v>0</v>
      </c>
      <c r="N2250" s="28"/>
      <c r="O2250" s="28"/>
      <c r="P2250" s="28"/>
      <c r="Q2250" s="14"/>
      <c r="R2250" s="11"/>
    </row>
    <row r="2251" s="1" customFormat="1" ht="21.95" customHeight="1" spans="1:18">
      <c r="A2251" s="7"/>
      <c r="B2251" s="12"/>
      <c r="C2251" s="17" t="s">
        <v>711</v>
      </c>
      <c r="D2251" s="17"/>
      <c r="E2251" s="17"/>
      <c r="F2251" s="23">
        <f>IFERROR(VLOOKUP(F2246,STUDENT!$A$2:$BP$101,9,0),"")</f>
        <v>0</v>
      </c>
      <c r="G2251" s="23"/>
      <c r="H2251" s="23"/>
      <c r="I2251" s="23"/>
      <c r="J2251" s="17" t="s">
        <v>620</v>
      </c>
      <c r="K2251" s="17"/>
      <c r="L2251" s="23">
        <f>IFERROR(VLOOKUP(F2246,STUDENT!$A$2:$BP$101,8,0),"")</f>
        <v>0</v>
      </c>
      <c r="M2251" s="23"/>
      <c r="N2251" s="23"/>
      <c r="O2251" s="23"/>
      <c r="P2251" s="23"/>
      <c r="Q2251" s="14"/>
      <c r="R2251" s="11"/>
    </row>
    <row r="2252" s="1" customFormat="1" ht="21.95" customHeight="1" spans="1:18">
      <c r="A2252" s="7"/>
      <c r="B2252" s="12"/>
      <c r="C2252" s="17" t="s">
        <v>712</v>
      </c>
      <c r="D2252" s="17"/>
      <c r="E2252" s="17"/>
      <c r="F2252" s="23">
        <f>IFERROR(VLOOKUP(F2246,STUDENT!$A$2:$BP$101,22,0),"")</f>
        <v>0</v>
      </c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14"/>
      <c r="R2252" s="11"/>
    </row>
    <row r="2253" s="1" customFormat="1" ht="9.95" customHeight="1" spans="1:18">
      <c r="A2253" s="7"/>
      <c r="B2253" s="12"/>
      <c r="C2253" s="29"/>
      <c r="D2253" s="29"/>
      <c r="E2253" s="29"/>
      <c r="F2253" s="29"/>
      <c r="G2253" s="29"/>
      <c r="H2253" s="29"/>
      <c r="I2253" s="29"/>
      <c r="J2253" s="29"/>
      <c r="K2253" s="29"/>
      <c r="L2253" s="29"/>
      <c r="M2253" s="29"/>
      <c r="N2253" s="29"/>
      <c r="O2253" s="29"/>
      <c r="P2253" s="29"/>
      <c r="Q2253" s="14"/>
      <c r="R2253" s="11"/>
    </row>
    <row r="2254" s="1" customFormat="1" ht="9.95" customHeight="1" spans="1:18">
      <c r="A2254" s="7"/>
      <c r="B2254" s="12"/>
      <c r="C2254" s="30"/>
      <c r="D2254" s="31"/>
      <c r="E2254" s="31"/>
      <c r="F2254" s="31"/>
      <c r="G2254" s="31"/>
      <c r="H2254" s="31"/>
      <c r="I2254" s="31"/>
      <c r="J2254" s="31"/>
      <c r="K2254" s="31"/>
      <c r="L2254" s="31"/>
      <c r="M2254" s="31"/>
      <c r="N2254" s="31"/>
      <c r="O2254" s="31"/>
      <c r="P2254" s="32"/>
      <c r="Q2254" s="14"/>
      <c r="R2254" s="11"/>
    </row>
    <row r="2255" s="1" customFormat="1" ht="21.95" customHeight="1" spans="1:18">
      <c r="A2255" s="7"/>
      <c r="B2255" s="12"/>
      <c r="C2255" s="33"/>
      <c r="D2255" s="34" t="s">
        <v>713</v>
      </c>
      <c r="E2255" s="20" t="s">
        <v>714</v>
      </c>
      <c r="F2255" s="35" t="str">
        <f>"Level - "&amp;IFERROR(VLOOKUP(F2246,FLN!$A$4:$K$103,9,0),"")</f>
        <v>Level - </v>
      </c>
      <c r="G2255" s="36"/>
      <c r="H2255" s="37" t="s">
        <v>715</v>
      </c>
      <c r="I2255" s="20"/>
      <c r="J2255" s="35" t="str">
        <f>"Level - "&amp;IFERROR(VLOOKUP(F2246,FLN!$A$4:$K$103,11,0),"")</f>
        <v>Level - </v>
      </c>
      <c r="K2255" s="36"/>
      <c r="L2255" s="37" t="s">
        <v>408</v>
      </c>
      <c r="M2255" s="20"/>
      <c r="N2255" s="35" t="str">
        <f>"Level - "&amp;IFERROR(VLOOKUP(F2246,FLN!$A$4:$K$103,10,0),"")</f>
        <v>Level - </v>
      </c>
      <c r="O2255" s="36"/>
      <c r="P2255" s="19"/>
      <c r="Q2255" s="14"/>
      <c r="R2255" s="11"/>
    </row>
    <row r="2256" s="1" customFormat="1" ht="21.95" customHeight="1" spans="1:18">
      <c r="A2256" s="7"/>
      <c r="B2256" s="12"/>
      <c r="C2256" s="33"/>
      <c r="D2256" s="38"/>
      <c r="E2256" s="20" t="s">
        <v>716</v>
      </c>
      <c r="F2256" s="18" t="str">
        <f>IF(L2270&gt;197,"PERFORMED WELL","")</f>
        <v/>
      </c>
      <c r="G2256" s="18"/>
      <c r="H2256" s="18"/>
      <c r="I2256" s="18"/>
      <c r="J2256" s="18"/>
      <c r="K2256" s="18"/>
      <c r="L2256" s="18"/>
      <c r="M2256" s="18"/>
      <c r="N2256" s="18"/>
      <c r="O2256" s="18"/>
      <c r="P2256" s="19"/>
      <c r="Q2256" s="14"/>
      <c r="R2256" s="11"/>
    </row>
    <row r="2257" s="1" customFormat="1" ht="9.95" customHeight="1" spans="1:18">
      <c r="A2257" s="7"/>
      <c r="B2257" s="12"/>
      <c r="C2257" s="39"/>
      <c r="D2257" s="40"/>
      <c r="E2257" s="40"/>
      <c r="F2257" s="40"/>
      <c r="G2257" s="40"/>
      <c r="H2257" s="40"/>
      <c r="I2257" s="40"/>
      <c r="J2257" s="40"/>
      <c r="K2257" s="40"/>
      <c r="L2257" s="40"/>
      <c r="M2257" s="40"/>
      <c r="N2257" s="40"/>
      <c r="O2257" s="40"/>
      <c r="P2257" s="41"/>
      <c r="Q2257" s="14"/>
      <c r="R2257" s="11"/>
    </row>
    <row r="2258" s="1" customFormat="1" ht="9.95" customHeight="1" spans="1:18">
      <c r="A2258" s="7"/>
      <c r="B2258" s="12"/>
      <c r="C2258" s="29"/>
      <c r="D2258" s="29"/>
      <c r="E2258" s="29"/>
      <c r="F2258" s="29"/>
      <c r="G2258" s="29"/>
      <c r="H2258" s="29"/>
      <c r="I2258" s="29"/>
      <c r="J2258" s="29"/>
      <c r="K2258" s="29"/>
      <c r="L2258" s="29"/>
      <c r="M2258" s="29"/>
      <c r="N2258" s="29"/>
      <c r="O2258" s="29"/>
      <c r="P2258" s="29"/>
      <c r="Q2258" s="14"/>
      <c r="R2258" s="11"/>
    </row>
    <row r="2259" s="1" customFormat="1" ht="9.95" customHeight="1" spans="1:18">
      <c r="A2259" s="7"/>
      <c r="B2259" s="12"/>
      <c r="C2259" s="30"/>
      <c r="D2259" s="31"/>
      <c r="E2259" s="31"/>
      <c r="F2259" s="31"/>
      <c r="G2259" s="31"/>
      <c r="H2259" s="31"/>
      <c r="I2259" s="31"/>
      <c r="J2259" s="31"/>
      <c r="K2259" s="31"/>
      <c r="L2259" s="31"/>
      <c r="M2259" s="31"/>
      <c r="N2259" s="31"/>
      <c r="O2259" s="31"/>
      <c r="P2259" s="32"/>
      <c r="Q2259" s="14"/>
      <c r="R2259" s="11"/>
    </row>
    <row r="2260" s="1" customFormat="1" ht="21.95" customHeight="1" spans="1:18">
      <c r="A2260" s="7"/>
      <c r="B2260" s="12"/>
      <c r="C2260" s="33"/>
      <c r="D2260" s="35"/>
      <c r="E2260" s="24"/>
      <c r="F2260" s="24"/>
      <c r="G2260" s="47" t="s">
        <v>717</v>
      </c>
      <c r="H2260" s="47"/>
      <c r="I2260" s="47"/>
      <c r="J2260" s="47"/>
      <c r="K2260" s="47"/>
      <c r="L2260" s="47"/>
      <c r="M2260" s="47"/>
      <c r="N2260" s="47"/>
      <c r="O2260" s="29"/>
      <c r="P2260" s="19"/>
      <c r="Q2260" s="14"/>
      <c r="R2260" s="11"/>
    </row>
    <row r="2261" s="1" customFormat="1" ht="21.95" customHeight="1" spans="1:18">
      <c r="A2261" s="7"/>
      <c r="B2261" s="12"/>
      <c r="C2261" s="33"/>
      <c r="D2261" s="47"/>
      <c r="E2261" s="47"/>
      <c r="F2261" s="47"/>
      <c r="G2261" s="47" t="s">
        <v>541</v>
      </c>
      <c r="H2261" s="47" t="s">
        <v>542</v>
      </c>
      <c r="I2261" s="47" t="s">
        <v>543</v>
      </c>
      <c r="J2261" s="47" t="s">
        <v>544</v>
      </c>
      <c r="K2261" s="47" t="s">
        <v>561</v>
      </c>
      <c r="L2261" s="47" t="s">
        <v>382</v>
      </c>
      <c r="M2261" s="49" t="s">
        <v>546</v>
      </c>
      <c r="N2261" s="49"/>
      <c r="O2261" s="29"/>
      <c r="P2261" s="19"/>
      <c r="Q2261" s="14"/>
      <c r="R2261" s="11"/>
    </row>
    <row r="2262" s="1" customFormat="1" ht="21.95" customHeight="1" spans="1:18">
      <c r="A2262" s="7"/>
      <c r="B2262" s="12"/>
      <c r="C2262" s="33"/>
      <c r="D2262" s="207" t="s">
        <v>652</v>
      </c>
      <c r="E2262" s="207"/>
      <c r="F2262" s="207"/>
      <c r="G2262" s="50">
        <v>10</v>
      </c>
      <c r="H2262" s="50">
        <v>10</v>
      </c>
      <c r="I2262" s="50">
        <v>10</v>
      </c>
      <c r="J2262" s="50">
        <v>10</v>
      </c>
      <c r="K2262" s="50">
        <v>60</v>
      </c>
      <c r="L2262" s="50">
        <v>100</v>
      </c>
      <c r="M2262" s="49"/>
      <c r="N2262" s="49"/>
      <c r="O2262" s="29"/>
      <c r="P2262" s="19"/>
      <c r="Q2262" s="14"/>
      <c r="R2262" s="11"/>
    </row>
    <row r="2263" s="1" customFormat="1" ht="21.95" customHeight="1" spans="1:18">
      <c r="A2263" s="7"/>
      <c r="B2263" s="12"/>
      <c r="C2263" s="33"/>
      <c r="D2263" s="117" t="s">
        <v>668</v>
      </c>
      <c r="E2263" s="117"/>
      <c r="F2263" s="117"/>
      <c r="G2263" s="54" t="str">
        <f>IFERROR(VLOOKUP(F2246,'1to4-2.1-RR'!$A$12:$BG$111,9,0),"")</f>
        <v/>
      </c>
      <c r="H2263" s="54" t="str">
        <f>IFERROR(VLOOKUP(F2246,'1to4-2.1-RR'!$A$12:$BG$111,10,0),"")</f>
        <v/>
      </c>
      <c r="I2263" s="54" t="str">
        <f>IFERROR(VLOOKUP(F2246,'1to4-2.1-RR'!$A$12:$BG$111,11,0),"")</f>
        <v/>
      </c>
      <c r="J2263" s="54" t="str">
        <f>IFERROR(VLOOKUP(F2246,'1to4-2.1-RR'!$A$12:$BG$111,12,0),"")</f>
        <v/>
      </c>
      <c r="K2263" s="54" t="str">
        <f>IFERROR(VLOOKUP(F2246,'1to4-2.1-RR'!$A$12:$BG$111,13,0),"")</f>
        <v/>
      </c>
      <c r="L2263" s="55">
        <f>SUM(G2263:K2263)</f>
        <v>0</v>
      </c>
      <c r="M2263" s="56" t="str">
        <f>IF(F2246&gt;ENTRY!$D$24,"",IF(L2263=0,"Ab",IF(L2263&gt;80,"A",IF(L2263&gt;60,"B",IF(L2263&gt;44,"C",IF(L2263&gt;=33,"D",IF(L2263&lt;=32,"E","")))))))</f>
        <v/>
      </c>
      <c r="N2263" s="56"/>
      <c r="O2263" s="29"/>
      <c r="P2263" s="19"/>
      <c r="Q2263" s="14"/>
      <c r="R2263" s="11"/>
    </row>
    <row r="2264" s="1" customFormat="1" ht="21.95" customHeight="1" spans="1:18">
      <c r="A2264" s="7"/>
      <c r="B2264" s="12"/>
      <c r="C2264" s="33"/>
      <c r="D2264" s="117" t="s">
        <v>513</v>
      </c>
      <c r="E2264" s="117"/>
      <c r="F2264" s="117"/>
      <c r="G2264" s="54" t="str">
        <f>IFERROR(VLOOKUP(F2246,'1to4-2.1-RR'!$A$12:$BG$111,16,0),"")</f>
        <v/>
      </c>
      <c r="H2264" s="54" t="str">
        <f>IFERROR(VLOOKUP(F2246,'1to4-2.1-RR'!$A$12:$BG$111,17,0),"")</f>
        <v/>
      </c>
      <c r="I2264" s="54" t="str">
        <f>IFERROR(VLOOKUP(F2246,'1to4-2.1-RR'!$A$12:$BG$111,18,0),"")</f>
        <v/>
      </c>
      <c r="J2264" s="54" t="str">
        <f>IFERROR(VLOOKUP(F2246,'1to4-2.1-RR'!$A$12:$BG$111,19,0),"")</f>
        <v/>
      </c>
      <c r="K2264" s="54" t="str">
        <f>IFERROR(VLOOKUP(F2246,'1to4-2.1-RR'!$A$12:$BG$111,20,0),"")</f>
        <v/>
      </c>
      <c r="L2264" s="55">
        <f t="shared" ref="L2264:L2269" si="80">SUM(G2264:K2264)</f>
        <v>0</v>
      </c>
      <c r="M2264" s="56" t="str">
        <f>IF(F2246&gt;ENTRY!$D$24,"",IF(L2264=0,"Ab",IF(L2264&gt;80,"A",IF(L2264&gt;60,"B",IF(L2264&gt;44,"C",IF(L2264&gt;=33,"D",IF(L2264&lt;=32,"E","")))))))</f>
        <v/>
      </c>
      <c r="N2264" s="56"/>
      <c r="O2264" s="29"/>
      <c r="P2264" s="19"/>
      <c r="Q2264" s="14"/>
      <c r="R2264" s="11"/>
    </row>
    <row r="2265" s="1" customFormat="1" ht="21.95" customHeight="1" spans="1:18">
      <c r="A2265" s="7"/>
      <c r="B2265" s="12"/>
      <c r="C2265" s="33"/>
      <c r="D2265" s="117" t="s">
        <v>718</v>
      </c>
      <c r="E2265" s="117"/>
      <c r="F2265" s="117"/>
      <c r="G2265" s="54" t="str">
        <f>IFERROR(VLOOKUP(F2246,'1to4-2.1-RR'!$A$12:$BG$111,23,0),"")</f>
        <v/>
      </c>
      <c r="H2265" s="54" t="str">
        <f>IFERROR(VLOOKUP(F2246,'1to4-2.1-RR'!$A$12:$BG$111,24,0),"")</f>
        <v/>
      </c>
      <c r="I2265" s="54" t="str">
        <f>IFERROR(VLOOKUP(F2246,'1to4-2.1-RR'!$A$12:$BG$111,25,0),"")</f>
        <v/>
      </c>
      <c r="J2265" s="54" t="str">
        <f>IFERROR(VLOOKUP(F2246,'1to4-2.1-RR'!$A$12:$BG$111,26,0),"")</f>
        <v/>
      </c>
      <c r="K2265" s="54" t="str">
        <f>IFERROR(VLOOKUP(F2246,'1to4-2.1-RR'!$A$12:$BG$111,27,0),"")</f>
        <v/>
      </c>
      <c r="L2265" s="55">
        <f t="shared" si="80"/>
        <v>0</v>
      </c>
      <c r="M2265" s="56" t="str">
        <f>IF(F2246&gt;ENTRY!$D$24,"",IF(L2265=0,"Ab",IF(L2265&gt;80,"A",IF(L2265&gt;60,"B",IF(L2265&gt;44,"C",IF(L2265&gt;=33,"D",IF(L2265&lt;=32,"E","")))))))</f>
        <v/>
      </c>
      <c r="N2265" s="56"/>
      <c r="O2265" s="29"/>
      <c r="P2265" s="19"/>
      <c r="Q2265" s="14"/>
      <c r="R2265" s="11"/>
    </row>
    <row r="2266" s="1" customFormat="1" ht="21.95" customHeight="1" spans="1:18">
      <c r="A2266" s="7"/>
      <c r="B2266" s="12"/>
      <c r="C2266" s="33"/>
      <c r="D2266" s="117" t="s">
        <v>719</v>
      </c>
      <c r="E2266" s="117"/>
      <c r="F2266" s="117"/>
      <c r="G2266" s="54" t="str">
        <f>IFERROR(VLOOKUP(F2246,'1to4-2.1-RR'!$A$12:$BG$111,30,0),"")</f>
        <v/>
      </c>
      <c r="H2266" s="54" t="str">
        <f>IFERROR(VLOOKUP(F2246,'1to4-2.1-RR'!$A$12:$BG$111,31,0),"")</f>
        <v/>
      </c>
      <c r="I2266" s="54" t="str">
        <f>IFERROR(VLOOKUP(F2246,'1to4-2.1-RR'!$A$12:$BG$111,32,0),"")</f>
        <v/>
      </c>
      <c r="J2266" s="54" t="str">
        <f>IFERROR(VLOOKUP(F2246,'1to4-2.1-RR'!$A$12:$BG$111,33,0),"")</f>
        <v/>
      </c>
      <c r="K2266" s="54" t="str">
        <f>IFERROR(VLOOKUP(F2246,'1to4-2.1-RR'!$A$12:$BG$111,34,0),"")</f>
        <v/>
      </c>
      <c r="L2266" s="55">
        <f t="shared" si="80"/>
        <v>0</v>
      </c>
      <c r="M2266" s="56" t="str">
        <f>IF(F2246&gt;ENTRY!$D$24,"",IF(L2266=0,"Ab",IF(L2266&gt;80,"A",IF(L2266&gt;60,"B",IF(L2266&gt;44,"C",IF(L2266&gt;=33,"D",IF(L2266&lt;=32,"E","")))))))</f>
        <v/>
      </c>
      <c r="N2266" s="56"/>
      <c r="O2266" s="29"/>
      <c r="P2266" s="19"/>
      <c r="Q2266" s="14"/>
      <c r="R2266" s="11"/>
    </row>
    <row r="2267" s="1" customFormat="1" ht="21.95" customHeight="1" spans="1:18">
      <c r="A2267" s="7"/>
      <c r="B2267" s="12"/>
      <c r="C2267" s="33"/>
      <c r="D2267" s="117" t="s">
        <v>548</v>
      </c>
      <c r="E2267" s="117"/>
      <c r="F2267" s="117"/>
      <c r="G2267" s="54" t="str">
        <f>IFERROR(VLOOKUP(F2246,'1to4-2.1-RR'!$A$12:$BG$111,37,0),"")</f>
        <v/>
      </c>
      <c r="H2267" s="54" t="str">
        <f>IFERROR(VLOOKUP(F2246,'1to4-2.1-RR'!$A$12:$BG$111,38,0),"")</f>
        <v/>
      </c>
      <c r="I2267" s="54" t="str">
        <f>IFERROR(VLOOKUP(F2246,'1to4-2.1-RR'!$A$12:$BG$111,39,0),"")</f>
        <v/>
      </c>
      <c r="J2267" s="54" t="str">
        <f>IFERROR(VLOOKUP(F2246,'1to4-2.1-RR'!$A$12:$BG$111,40,0),"")</f>
        <v/>
      </c>
      <c r="K2267" s="54" t="str">
        <f>IFERROR(VLOOKUP(F2246,'1to4-2.1-RR'!$A$12:$BG$111,41,0),"")</f>
        <v/>
      </c>
      <c r="L2267" s="55">
        <f t="shared" si="80"/>
        <v>0</v>
      </c>
      <c r="M2267" s="56" t="str">
        <f>IF(F2246&gt;ENTRY!$D$24,"",IF(L2267=0,"Ab",IF(L2267&gt;80,"A",IF(L2267&gt;60,"B",IF(L2267&gt;44,"C",IF(L2267&gt;=33,"D",IF(L2267&lt;=32,"E","")))))))</f>
        <v/>
      </c>
      <c r="N2267" s="56"/>
      <c r="O2267" s="29"/>
      <c r="P2267" s="19"/>
      <c r="Q2267" s="14"/>
      <c r="R2267" s="11"/>
    </row>
    <row r="2268" s="1" customFormat="1" ht="21.95" customHeight="1" spans="1:18">
      <c r="A2268" s="7"/>
      <c r="B2268" s="12"/>
      <c r="C2268" s="33"/>
      <c r="D2268" s="117" t="s">
        <v>549</v>
      </c>
      <c r="E2268" s="117"/>
      <c r="F2268" s="117"/>
      <c r="G2268" s="54" t="str">
        <f>IFERROR(VLOOKUP(F2246,'1to4-2.1-RR'!$A$12:$BG$111,44,0),"")</f>
        <v/>
      </c>
      <c r="H2268" s="54" t="str">
        <f>IFERROR(VLOOKUP(F2246,'1to4-2.1-RR'!$A$12:$BG$111,45,0),"")</f>
        <v/>
      </c>
      <c r="I2268" s="54" t="str">
        <f>IFERROR(VLOOKUP(F2246,'1to4-2.1-RR'!$A$12:$BG$111,46,0),"")</f>
        <v/>
      </c>
      <c r="J2268" s="54" t="str">
        <f>IFERROR(VLOOKUP(F2246,'1to4-2.1-RR'!$A$12:$BG$111,47,0),"")</f>
        <v/>
      </c>
      <c r="K2268" s="54" t="str">
        <f>IFERROR(VLOOKUP(F2246,'1to4-2.1-RR'!$A$12:$BG$111,48,0),"")</f>
        <v/>
      </c>
      <c r="L2268" s="55">
        <f t="shared" si="80"/>
        <v>0</v>
      </c>
      <c r="M2268" s="56" t="str">
        <f>IF(F2246&gt;ENTRY!$D$24,"",IF(L2268=0,"Ab",IF(L2268&gt;80,"A",IF(L2268&gt;60,"B",IF(L2268&gt;44,"C",IF(L2268&gt;=33,"D",IF(L2268&lt;=32,"E","")))))))</f>
        <v/>
      </c>
      <c r="N2268" s="56"/>
      <c r="O2268" s="29"/>
      <c r="P2268" s="19"/>
      <c r="Q2268" s="14"/>
      <c r="R2268" s="11"/>
    </row>
    <row r="2269" s="1" customFormat="1" ht="21.95" customHeight="1" spans="1:18">
      <c r="A2269" s="7"/>
      <c r="B2269" s="12"/>
      <c r="C2269" s="33"/>
      <c r="D2269" s="117" t="s">
        <v>720</v>
      </c>
      <c r="E2269" s="117"/>
      <c r="F2269" s="117"/>
      <c r="G2269" s="54"/>
      <c r="H2269" s="54"/>
      <c r="I2269" s="54"/>
      <c r="J2269" s="54"/>
      <c r="K2269" s="54"/>
      <c r="L2269" s="55">
        <f t="shared" si="80"/>
        <v>0</v>
      </c>
      <c r="M2269" s="56" t="str">
        <f>IF(F2246&gt;ENTRY!$D$24,"",IF(L2269=0,"",IF(L2269&gt;79,"A",IF(L2269&gt;59,"B",IF(L2269&gt;44,"C",IF(L2269&gt;=33,"D",IF(L2269&lt;=32,"E","")))))))</f>
        <v/>
      </c>
      <c r="N2269" s="56"/>
      <c r="O2269" s="29"/>
      <c r="P2269" s="19"/>
      <c r="Q2269" s="14"/>
      <c r="R2269" s="11"/>
    </row>
    <row r="2270" s="1" customFormat="1" ht="21.95" customHeight="1" spans="1:18">
      <c r="A2270" s="7"/>
      <c r="B2270" s="12"/>
      <c r="C2270" s="33"/>
      <c r="D2270" s="207" t="s">
        <v>382</v>
      </c>
      <c r="E2270" s="207"/>
      <c r="F2270" s="207"/>
      <c r="G2270" s="54">
        <f t="shared" ref="G2270:L2270" si="81">IFERROR(SUM(G2263:G2269),"")</f>
        <v>0</v>
      </c>
      <c r="H2270" s="54">
        <f t="shared" si="81"/>
        <v>0</v>
      </c>
      <c r="I2270" s="54">
        <f t="shared" si="81"/>
        <v>0</v>
      </c>
      <c r="J2270" s="54">
        <f t="shared" si="81"/>
        <v>0</v>
      </c>
      <c r="K2270" s="54">
        <f t="shared" si="81"/>
        <v>0</v>
      </c>
      <c r="L2270" s="55">
        <f t="shared" si="81"/>
        <v>0</v>
      </c>
      <c r="M2270" s="61" t="str">
        <f>IF(F2246&gt;ENTRY!$D$24,"",IF(N2271="Ab","Ab",IF(N2271&gt;79.5,"A",IF(N2271&gt;59.5,"B",IF(N2271&gt;44.5,"C",IF(N2271&gt;=33,"D",IF(N2271&lt;33,"E","")))))))</f>
        <v/>
      </c>
      <c r="N2270" s="61"/>
      <c r="O2270" s="29"/>
      <c r="P2270" s="19"/>
      <c r="Q2270" s="14"/>
      <c r="R2270" s="11"/>
    </row>
    <row r="2271" s="1" customFormat="1" ht="21.95" customHeight="1" spans="1:18">
      <c r="A2271" s="7"/>
      <c r="B2271" s="12"/>
      <c r="C2271" s="33"/>
      <c r="D2271" s="63" t="s">
        <v>721</v>
      </c>
      <c r="E2271" s="63"/>
      <c r="F2271" s="63"/>
      <c r="G2271" s="63"/>
      <c r="H2271" s="63"/>
      <c r="I2271" s="63"/>
      <c r="J2271" s="63"/>
      <c r="K2271" s="63"/>
      <c r="L2271" s="63"/>
      <c r="M2271" s="209"/>
      <c r="N2271" s="64">
        <f>IF(L2270="Ab","Ab",L2270/6)</f>
        <v>0</v>
      </c>
      <c r="O2271" s="65"/>
      <c r="P2271" s="19"/>
      <c r="Q2271" s="14"/>
      <c r="R2271" s="11"/>
    </row>
    <row r="2272" s="1" customFormat="1" ht="21.95" customHeight="1" spans="1:18">
      <c r="A2272" s="7"/>
      <c r="B2272" s="12"/>
      <c r="C2272" s="33"/>
      <c r="D2272" s="29" t="s">
        <v>716</v>
      </c>
      <c r="E2272" s="18" t="str">
        <f>IFERROR(VLOOKUP(F2246,'1to4-2.1-RR'!$A$12:$BG$111,57,0),"")</f>
        <v/>
      </c>
      <c r="F2272" s="18"/>
      <c r="G2272" s="18"/>
      <c r="H2272" s="18"/>
      <c r="I2272" s="18"/>
      <c r="J2272" s="18"/>
      <c r="K2272" s="18"/>
      <c r="L2272" s="18"/>
      <c r="M2272" s="18"/>
      <c r="N2272" s="29"/>
      <c r="O2272" s="29"/>
      <c r="P2272" s="19"/>
      <c r="Q2272" s="14"/>
      <c r="R2272" s="11"/>
    </row>
    <row r="2273" s="1" customFormat="1" ht="9.95" customHeight="1" spans="1:19">
      <c r="A2273" s="7"/>
      <c r="B2273" s="12"/>
      <c r="C2273" s="39"/>
      <c r="D2273" s="40"/>
      <c r="E2273" s="40"/>
      <c r="F2273" s="40"/>
      <c r="G2273" s="40"/>
      <c r="H2273" s="40"/>
      <c r="I2273" s="40"/>
      <c r="J2273" s="40"/>
      <c r="K2273" s="40"/>
      <c r="L2273" s="40"/>
      <c r="M2273" s="40"/>
      <c r="N2273" s="40"/>
      <c r="O2273" s="40"/>
      <c r="P2273" s="41"/>
      <c r="Q2273" s="14"/>
      <c r="R2273" s="11"/>
    </row>
    <row r="2274" s="1" customFormat="1" ht="9.95" customHeight="1" spans="1:19">
      <c r="A2274" s="7"/>
      <c r="B2274" s="12"/>
      <c r="C2274" s="30"/>
      <c r="D2274" s="31"/>
      <c r="E2274" s="31"/>
      <c r="F2274" s="29"/>
      <c r="G2274" s="31"/>
      <c r="H2274" s="31"/>
      <c r="I2274" s="31"/>
      <c r="J2274" s="31"/>
      <c r="K2274" s="31"/>
      <c r="L2274" s="31"/>
      <c r="M2274" s="31"/>
      <c r="N2274" s="31"/>
      <c r="O2274" s="31"/>
      <c r="P2274" s="32"/>
      <c r="Q2274" s="14"/>
      <c r="R2274" s="11"/>
    </row>
    <row r="2275" s="1" customFormat="1" ht="9.95" customHeight="1" spans="1:19">
      <c r="A2275" s="7"/>
      <c r="B2275" s="12"/>
      <c r="C2275" s="33"/>
      <c r="D2275" s="29"/>
      <c r="E2275" s="29"/>
      <c r="F2275" s="29"/>
      <c r="G2275" s="29"/>
      <c r="H2275" s="29"/>
      <c r="I2275" s="29"/>
      <c r="J2275" s="29"/>
      <c r="K2275" s="29"/>
      <c r="L2275" s="29"/>
      <c r="M2275" s="29"/>
      <c r="N2275" s="29"/>
      <c r="O2275" s="29"/>
      <c r="P2275" s="19"/>
      <c r="Q2275" s="14"/>
      <c r="R2275" s="11"/>
    </row>
    <row r="2276" s="1" customFormat="1" ht="9.95" customHeight="1" spans="1:19">
      <c r="A2276" s="7"/>
      <c r="B2276" s="12"/>
      <c r="C2276" s="33"/>
      <c r="D2276" s="29"/>
      <c r="E2276" s="29"/>
      <c r="F2276" s="29"/>
      <c r="G2276" s="29"/>
      <c r="H2276" s="29"/>
      <c r="I2276" s="29"/>
      <c r="J2276" s="29"/>
      <c r="K2276" s="29"/>
      <c r="L2276" s="29"/>
      <c r="M2276" s="29"/>
      <c r="N2276" s="29"/>
      <c r="O2276" s="29"/>
      <c r="P2276" s="19"/>
      <c r="Q2276" s="14"/>
      <c r="R2276" s="11"/>
    </row>
    <row r="2277" s="1" customFormat="1" ht="21.95" customHeight="1" spans="1:19">
      <c r="A2277" s="7"/>
      <c r="B2277" s="12"/>
      <c r="C2277" s="210"/>
      <c r="D2277" s="211"/>
      <c r="E2277" s="211"/>
      <c r="F2277" s="211"/>
      <c r="G2277" s="211"/>
      <c r="H2277" s="211"/>
      <c r="I2277" s="211"/>
      <c r="J2277" s="211"/>
      <c r="K2277" s="211"/>
      <c r="L2277" s="211"/>
      <c r="M2277" s="211"/>
      <c r="N2277" s="211"/>
      <c r="O2277" s="211"/>
      <c r="P2277" s="212"/>
      <c r="Q2277" s="14"/>
      <c r="R2277" s="11"/>
      <c r="S2277" s="2"/>
    </row>
    <row r="2278" s="1" customFormat="1" ht="21.95" customHeight="1" spans="1:19">
      <c r="A2278" s="7"/>
      <c r="B2278" s="12"/>
      <c r="C2278" s="33"/>
      <c r="D2278" s="207" t="s">
        <v>722</v>
      </c>
      <c r="E2278" s="207"/>
      <c r="F2278" s="207"/>
      <c r="G2278" s="207"/>
      <c r="H2278" s="54">
        <f>IFERROR(VLOOKUP(F2246,PASHEET!$A$4:$CJ$103,88,0),"")</f>
        <v>0</v>
      </c>
      <c r="I2278" s="54"/>
      <c r="J2278" s="29"/>
      <c r="K2278" s="29"/>
      <c r="L2278" s="29"/>
      <c r="M2278" s="29"/>
      <c r="N2278" s="29"/>
      <c r="O2278" s="29"/>
      <c r="P2278" s="19"/>
      <c r="Q2278" s="14"/>
      <c r="R2278" s="11"/>
    </row>
    <row r="2279" s="1" customFormat="1" ht="21.95" customHeight="1" spans="1:19">
      <c r="A2279" s="7"/>
      <c r="B2279" s="12"/>
      <c r="C2279" s="213"/>
      <c r="D2279" s="207" t="s">
        <v>723</v>
      </c>
      <c r="E2279" s="207"/>
      <c r="F2279" s="207"/>
      <c r="G2279" s="207"/>
      <c r="H2279" s="54">
        <f>IFERROR(VLOOKUP(F2246,PASHEET!$A$4:$CJ$103,87,0),"")</f>
        <v>0</v>
      </c>
      <c r="I2279" s="54"/>
      <c r="J2279" s="214"/>
      <c r="K2279" s="214"/>
      <c r="L2279" s="207" t="s">
        <v>724</v>
      </c>
      <c r="M2279" s="207"/>
      <c r="N2279" s="117" t="str">
        <f>IF(F2246&gt;ENTRY!$D$24,"",IF(F2246&gt;0,L2270&amp;" / "&amp;600,""))</f>
        <v/>
      </c>
      <c r="O2279" s="117"/>
      <c r="P2279" s="215"/>
      <c r="Q2279" s="14"/>
      <c r="R2279" s="11"/>
    </row>
    <row r="2280" s="1" customFormat="1" ht="18" customHeight="1" spans="1:19">
      <c r="A2280" s="7"/>
      <c r="B2280" s="12"/>
      <c r="C2280" s="33"/>
      <c r="D2280" s="207" t="s">
        <v>725</v>
      </c>
      <c r="E2280" s="207"/>
      <c r="F2280" s="207"/>
      <c r="G2280" s="207"/>
      <c r="H2280" s="69" t="str">
        <f>IFERROR(IF(F2246&gt;0,H2279/H2278*100),"")</f>
        <v/>
      </c>
      <c r="I2280" s="69"/>
      <c r="J2280" s="29"/>
      <c r="K2280" s="29"/>
      <c r="L2280" s="207" t="s">
        <v>726</v>
      </c>
      <c r="M2280" s="207"/>
      <c r="N2280" s="216" t="str">
        <f>IF(F2246&gt;ENTRY!$D$24,"",IF(F2246&gt;0,L2270/600*100,""))</f>
        <v/>
      </c>
      <c r="O2280" s="216"/>
      <c r="P2280" s="19"/>
      <c r="Q2280" s="14"/>
      <c r="R2280" s="11"/>
    </row>
    <row r="2281" s="1" customFormat="1" ht="21.95" customHeight="1" spans="1:19">
      <c r="A2281" s="7"/>
      <c r="B2281" s="12"/>
      <c r="C2281" s="33"/>
      <c r="D2281" s="80"/>
      <c r="E2281" s="80"/>
      <c r="F2281" s="217"/>
      <c r="G2281" s="217"/>
      <c r="H2281" s="217"/>
      <c r="I2281" s="217"/>
      <c r="J2281" s="217"/>
      <c r="K2281" s="217"/>
      <c r="L2281" s="217"/>
      <c r="M2281" s="217"/>
      <c r="N2281" s="80"/>
      <c r="O2281" s="80"/>
      <c r="P2281" s="19"/>
      <c r="Q2281" s="14"/>
      <c r="R2281" s="11"/>
    </row>
    <row r="2282" s="1" customFormat="1" ht="21.95" customHeight="1" spans="1:19">
      <c r="A2282" s="7"/>
      <c r="B2282" s="12"/>
      <c r="C2282" s="33"/>
      <c r="D2282" s="80"/>
      <c r="E2282" s="218"/>
      <c r="F2282" s="218"/>
      <c r="G2282" s="218"/>
      <c r="H2282" s="80"/>
      <c r="I2282" s="218"/>
      <c r="J2282" s="218"/>
      <c r="K2282" s="218"/>
      <c r="L2282" s="218"/>
      <c r="M2282" s="80"/>
      <c r="N2282" s="219"/>
      <c r="O2282" s="219"/>
      <c r="P2282" s="19"/>
      <c r="Q2282" s="14"/>
      <c r="R2282" s="11"/>
    </row>
    <row r="2283" s="1" customFormat="1" ht="21.95" customHeight="1" spans="1:19">
      <c r="A2283" s="7"/>
      <c r="B2283" s="12"/>
      <c r="C2283" s="33"/>
      <c r="D2283" s="80"/>
      <c r="E2283" s="80"/>
      <c r="F2283" s="80"/>
      <c r="G2283" s="80"/>
      <c r="H2283" s="80"/>
      <c r="I2283" s="80"/>
      <c r="J2283" s="80"/>
      <c r="K2283" s="80"/>
      <c r="L2283" s="80"/>
      <c r="M2283" s="80"/>
      <c r="N2283" s="80"/>
      <c r="O2283" s="80"/>
      <c r="P2283" s="19"/>
      <c r="Q2283" s="14"/>
      <c r="R2283" s="11"/>
    </row>
    <row r="2284" s="1" customFormat="1" ht="21.95" customHeight="1" spans="1:19">
      <c r="A2284" s="7"/>
      <c r="B2284" s="12"/>
      <c r="C2284" s="33"/>
      <c r="D2284" s="218"/>
      <c r="E2284" s="218"/>
      <c r="F2284" s="218"/>
      <c r="G2284" s="218"/>
      <c r="H2284" s="218"/>
      <c r="I2284" s="218"/>
      <c r="J2284" s="218"/>
      <c r="K2284" s="218"/>
      <c r="L2284" s="218"/>
      <c r="M2284" s="80"/>
      <c r="N2284" s="217"/>
      <c r="O2284" s="217"/>
      <c r="P2284" s="85" t="s">
        <v>727</v>
      </c>
      <c r="Q2284" s="14"/>
      <c r="R2284" s="11"/>
    </row>
    <row r="2285" s="1" customFormat="1" ht="21.95" customHeight="1" spans="1:19">
      <c r="A2285" s="7"/>
      <c r="B2285" s="12"/>
      <c r="C2285" s="33"/>
      <c r="D2285" s="29"/>
      <c r="E2285" s="29"/>
      <c r="F2285" s="29"/>
      <c r="G2285" s="29"/>
      <c r="H2285" s="29"/>
      <c r="I2285" s="29"/>
      <c r="J2285" s="29"/>
      <c r="K2285" s="29"/>
      <c r="L2285" s="29"/>
      <c r="M2285" s="29"/>
      <c r="N2285" s="29"/>
      <c r="O2285" s="29"/>
      <c r="P2285" s="19"/>
      <c r="Q2285" s="14"/>
      <c r="R2285" s="11"/>
    </row>
    <row r="2286" s="1" customFormat="1" ht="21.95" customHeight="1" spans="1:19">
      <c r="A2286" s="7"/>
      <c r="B2286" s="12"/>
      <c r="C2286" s="33"/>
      <c r="D2286" s="29"/>
      <c r="E2286" s="29"/>
      <c r="F2286" s="29"/>
      <c r="G2286" s="29"/>
      <c r="H2286" s="29"/>
      <c r="I2286" s="29"/>
      <c r="J2286" s="29"/>
      <c r="K2286" s="29"/>
      <c r="L2286" s="29"/>
      <c r="M2286" s="29"/>
      <c r="N2286" s="29"/>
      <c r="O2286" s="29"/>
      <c r="P2286" s="19"/>
      <c r="Q2286" s="14"/>
      <c r="R2286" s="11"/>
    </row>
    <row r="2287" s="1" customFormat="1" ht="21.95" customHeight="1" spans="1:19">
      <c r="A2287" s="7"/>
      <c r="B2287" s="12"/>
      <c r="C2287" s="33"/>
      <c r="D2287" s="29"/>
      <c r="E2287" s="29"/>
      <c r="F2287" s="29"/>
      <c r="G2287" s="29"/>
      <c r="H2287" s="29"/>
      <c r="I2287" s="29"/>
      <c r="J2287" s="29"/>
      <c r="K2287" s="29"/>
      <c r="L2287" s="29"/>
      <c r="M2287" s="29"/>
      <c r="N2287" s="29"/>
      <c r="O2287" s="29"/>
      <c r="P2287" s="19"/>
      <c r="Q2287" s="14"/>
      <c r="R2287" s="11"/>
    </row>
    <row r="2288" s="1" customFormat="1" ht="21.95" customHeight="1" spans="1:19">
      <c r="A2288" s="7"/>
      <c r="B2288" s="12"/>
      <c r="C2288" s="33"/>
      <c r="D2288" s="29"/>
      <c r="E2288" s="29"/>
      <c r="F2288" s="29"/>
      <c r="G2288" s="29"/>
      <c r="H2288" s="29"/>
      <c r="I2288" s="29"/>
      <c r="J2288" s="29"/>
      <c r="K2288" s="29"/>
      <c r="L2288" s="29"/>
      <c r="M2288" s="29"/>
      <c r="N2288" s="29"/>
      <c r="O2288" s="29"/>
      <c r="P2288" s="19"/>
      <c r="Q2288" s="14"/>
      <c r="R2288" s="11"/>
    </row>
    <row r="2289" s="1" customFormat="1" ht="21.95" customHeight="1" spans="1:18">
      <c r="A2289" s="7"/>
      <c r="B2289" s="12"/>
      <c r="C2289" s="33"/>
      <c r="D2289" s="29"/>
      <c r="E2289" s="29"/>
      <c r="F2289" s="29"/>
      <c r="G2289" s="29"/>
      <c r="H2289" s="29"/>
      <c r="I2289" s="29"/>
      <c r="J2289" s="29"/>
      <c r="K2289" s="29"/>
      <c r="L2289" s="29"/>
      <c r="M2289" s="29"/>
      <c r="N2289" s="29"/>
      <c r="O2289" s="29"/>
      <c r="P2289" s="19"/>
      <c r="Q2289" s="14"/>
      <c r="R2289" s="11"/>
    </row>
    <row r="2290" s="1" customFormat="1" ht="21.95" customHeight="1" spans="1:18">
      <c r="A2290" s="7"/>
      <c r="B2290" s="12"/>
      <c r="C2290" s="33"/>
      <c r="D2290" s="80" t="s">
        <v>728</v>
      </c>
      <c r="E2290" s="220">
        <f>ENTRY!$D$27</f>
        <v>46102</v>
      </c>
      <c r="F2290" s="220"/>
      <c r="G2290" s="29"/>
      <c r="H2290" s="29"/>
      <c r="I2290" s="221" t="s">
        <v>729</v>
      </c>
      <c r="J2290" s="153"/>
      <c r="K2290" s="29"/>
      <c r="L2290" s="29"/>
      <c r="M2290" s="87" t="s">
        <v>730</v>
      </c>
      <c r="N2290" s="87"/>
      <c r="O2290" s="87"/>
      <c r="P2290" s="19"/>
      <c r="Q2290" s="14"/>
      <c r="R2290" s="11"/>
    </row>
    <row r="2291" s="1" customFormat="1" ht="21.95" customHeight="1" spans="1:18">
      <c r="A2291" s="7"/>
      <c r="B2291" s="12"/>
      <c r="C2291" s="33"/>
      <c r="D2291" s="80" t="s">
        <v>731</v>
      </c>
      <c r="E2291" s="88" t="str">
        <f>PROPER(ENTRY!$D$28)</f>
        <v>New Delhi</v>
      </c>
      <c r="F2291" s="88"/>
      <c r="G2291" s="29"/>
      <c r="H2291" s="29"/>
      <c r="I2291" s="153"/>
      <c r="J2291" s="153"/>
      <c r="K2291" s="29"/>
      <c r="L2291" s="29"/>
      <c r="M2291" s="79" t="s">
        <v>732</v>
      </c>
      <c r="N2291" s="79"/>
      <c r="O2291" s="79"/>
      <c r="P2291" s="19"/>
      <c r="Q2291" s="14"/>
      <c r="R2291" s="11"/>
    </row>
    <row r="2292" s="1" customFormat="1" ht="21.95" customHeight="1" spans="1:18">
      <c r="A2292" s="7"/>
      <c r="B2292" s="12"/>
      <c r="C2292" s="90"/>
      <c r="D2292" s="91"/>
      <c r="E2292" s="91"/>
      <c r="F2292" s="91"/>
      <c r="G2292" s="91"/>
      <c r="H2292" s="91"/>
      <c r="I2292" s="91"/>
      <c r="J2292" s="91"/>
      <c r="K2292" s="91"/>
      <c r="L2292" s="91"/>
      <c r="M2292" s="91"/>
      <c r="N2292" s="91"/>
      <c r="O2292" s="91"/>
      <c r="P2292" s="92"/>
      <c r="Q2292" s="14"/>
      <c r="R2292" s="11"/>
    </row>
    <row r="2293" s="1" customFormat="1" ht="5.1" customHeight="1" spans="1:18">
      <c r="A2293" s="7"/>
      <c r="B2293" s="90"/>
      <c r="C2293" s="91"/>
      <c r="D2293" s="91"/>
      <c r="E2293" s="91"/>
      <c r="F2293" s="91"/>
      <c r="G2293" s="91"/>
      <c r="H2293" s="91"/>
      <c r="I2293" s="91"/>
      <c r="J2293" s="91"/>
      <c r="K2293" s="91"/>
      <c r="L2293" s="91"/>
      <c r="M2293" s="91"/>
      <c r="N2293" s="91"/>
      <c r="O2293" s="91"/>
      <c r="P2293" s="91"/>
      <c r="Q2293" s="92"/>
      <c r="R2293" s="11"/>
    </row>
    <row r="2294" s="1" customFormat="1" ht="5.1" customHeight="1" spans="1:18">
      <c r="A2294" s="93"/>
      <c r="B2294" s="94"/>
      <c r="C2294" s="94"/>
      <c r="D2294" s="94"/>
      <c r="E2294" s="94"/>
      <c r="F2294" s="94"/>
      <c r="G2294" s="94"/>
      <c r="H2294" s="94"/>
      <c r="I2294" s="94"/>
      <c r="J2294" s="94"/>
      <c r="K2294" s="94"/>
      <c r="L2294" s="94"/>
      <c r="M2294" s="94"/>
      <c r="N2294" s="94"/>
      <c r="O2294" s="94"/>
      <c r="P2294" s="94"/>
      <c r="Q2294" s="94"/>
      <c r="R2294" s="95"/>
    </row>
    <row r="2295" s="1" customFormat="1" ht="21.95" customHeight="1"/>
    <row r="2296" ht="15.15"/>
    <row r="2297" s="1" customFormat="1" ht="5.1" customHeight="1" spans="1:18">
      <c r="A2297" s="4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  <c r="O2297" s="5"/>
      <c r="P2297" s="5"/>
      <c r="Q2297" s="5"/>
      <c r="R2297" s="6"/>
    </row>
    <row r="2298" s="1" customFormat="1" ht="15" customHeight="1" spans="1:18">
      <c r="A2298" s="7"/>
      <c r="B2298" s="8"/>
      <c r="C2298" s="9"/>
      <c r="D2298" s="9"/>
      <c r="E2298" s="9"/>
      <c r="F2298" s="9"/>
      <c r="G2298" s="9"/>
      <c r="H2298" s="9"/>
      <c r="I2298" s="9"/>
      <c r="J2298" s="9"/>
      <c r="K2298" s="9"/>
      <c r="L2298" s="9"/>
      <c r="M2298" s="9"/>
      <c r="N2298" s="9"/>
      <c r="O2298" s="9"/>
      <c r="P2298" s="9"/>
      <c r="Q2298" s="10"/>
      <c r="R2298" s="11"/>
    </row>
    <row r="2299" s="1" customFormat="1" ht="21.95" customHeight="1" spans="1:18">
      <c r="A2299" s="7"/>
      <c r="B2299" s="12"/>
      <c r="C2299" s="13" t="s">
        <v>7</v>
      </c>
      <c r="D2299" s="13"/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/>
      <c r="Q2299" s="14"/>
      <c r="R2299" s="11"/>
    </row>
    <row r="2300" s="1" customFormat="1" ht="21.95" customHeight="1" spans="1:18">
      <c r="A2300" s="7"/>
      <c r="B2300" s="1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14"/>
      <c r="R2300" s="11"/>
    </row>
    <row r="2301" s="1" customFormat="1" ht="21.95" customHeight="1" spans="1:18">
      <c r="A2301" s="7"/>
      <c r="B2301" s="12"/>
      <c r="C2301" s="15" t="str">
        <f>"SESSION-"&amp;ENTRY!$D$11</f>
        <v>SESSION-2026-27</v>
      </c>
      <c r="D2301" s="15"/>
      <c r="E2301" s="15"/>
      <c r="F2301" s="15"/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4"/>
      <c r="R2301" s="11"/>
    </row>
    <row r="2302" s="1" customFormat="1" ht="21.95" customHeight="1" spans="1:18">
      <c r="A2302" s="7"/>
      <c r="B2302" s="12"/>
      <c r="C2302" s="2"/>
      <c r="D2302" s="2"/>
      <c r="E2302" s="2"/>
      <c r="F2302" s="16">
        <f>F2246+1</f>
        <v>42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14"/>
      <c r="R2302" s="11"/>
    </row>
    <row r="2303" s="1" customFormat="1" ht="21.95" customHeight="1" spans="1:18">
      <c r="A2303" s="7"/>
      <c r="B2303" s="12"/>
      <c r="C2303" s="17" t="s">
        <v>392</v>
      </c>
      <c r="D2303" s="17"/>
      <c r="E2303" s="17"/>
      <c r="F2303" s="18" t="str">
        <f>IF(F2302&gt;0,ENTRY!$D$6,"")</f>
        <v>MCP NITHARI NO 1 BOYS</v>
      </c>
      <c r="G2303" s="18"/>
      <c r="H2303" s="18"/>
      <c r="I2303" s="18"/>
      <c r="J2303" s="18"/>
      <c r="K2303" s="18"/>
      <c r="L2303" s="18"/>
      <c r="M2303" s="18"/>
      <c r="N2303" s="18"/>
      <c r="O2303" s="18"/>
      <c r="P2303" s="18"/>
      <c r="Q2303" s="14"/>
      <c r="R2303" s="11"/>
    </row>
    <row r="2304" s="1" customFormat="1" ht="21.95" customHeight="1" spans="1:18">
      <c r="A2304" s="7"/>
      <c r="B2304" s="12"/>
      <c r="C2304" s="17" t="s">
        <v>393</v>
      </c>
      <c r="D2304" s="17"/>
      <c r="E2304" s="17"/>
      <c r="F2304" s="18">
        <f>IF(F2302&gt;0,ENTRY!$D$7,"")</f>
        <v>0</v>
      </c>
      <c r="G2304" s="18"/>
      <c r="H2304" s="20" t="s">
        <v>702</v>
      </c>
      <c r="I2304" s="20"/>
      <c r="J2304" s="21">
        <f>IF(F2302&gt;0,ENTRY!$D$10,"")</f>
        <v>40</v>
      </c>
      <c r="K2304" s="20" t="s">
        <v>703</v>
      </c>
      <c r="L2304" s="22" t="str">
        <f>IF(F2302&gt;0,ENTRY!$D$5,"")</f>
        <v>ROHINI ZONE</v>
      </c>
      <c r="M2304" s="22"/>
      <c r="N2304" s="22"/>
      <c r="O2304" s="22"/>
      <c r="P2304" s="22"/>
      <c r="Q2304" s="14"/>
      <c r="R2304" s="11"/>
    </row>
    <row r="2305" s="1" customFormat="1" ht="21.95" customHeight="1" spans="1:18">
      <c r="A2305" s="7"/>
      <c r="B2305" s="12"/>
      <c r="C2305" s="17" t="s">
        <v>706</v>
      </c>
      <c r="D2305" s="17"/>
      <c r="E2305" s="17"/>
      <c r="F2305" s="23">
        <f>IFERROR(VLOOKUP(F2302,STUDENT!$A$2:$BP$101,5,0),"")</f>
        <v>0</v>
      </c>
      <c r="G2305" s="23"/>
      <c r="H2305" s="23"/>
      <c r="I2305" s="23"/>
      <c r="J2305" s="23"/>
      <c r="K2305" s="23"/>
      <c r="L2305" s="20" t="s">
        <v>707</v>
      </c>
      <c r="M2305" s="20"/>
      <c r="N2305" s="24" t="str">
        <f>IF(F2302&gt;0,ENTRY!$D$20&amp;"-"&amp;ENTRY!$D$21,"")</f>
        <v>III-A</v>
      </c>
      <c r="O2305" s="24"/>
      <c r="P2305" s="24"/>
      <c r="Q2305" s="14"/>
      <c r="R2305" s="11"/>
    </row>
    <row r="2306" s="1" customFormat="1" ht="21.95" customHeight="1" spans="1:18">
      <c r="A2306" s="7"/>
      <c r="B2306" s="12"/>
      <c r="C2306" s="17" t="s">
        <v>708</v>
      </c>
      <c r="D2306" s="17"/>
      <c r="E2306" s="17"/>
      <c r="F2306" s="25">
        <f>IFERROR(VLOOKUP(F2302,STUDENT!$A$2:$BP$101,6,0),"")</f>
        <v>0</v>
      </c>
      <c r="G2306" s="25"/>
      <c r="H2306" s="26" t="s">
        <v>709</v>
      </c>
      <c r="I2306" s="27" t="str">
        <f>IFERROR(VLOOKUP(F2302,STUDENT!$A$2:$BP$101,59,0),"")</f>
        <v/>
      </c>
      <c r="J2306" s="27"/>
      <c r="K2306" s="20" t="s">
        <v>710</v>
      </c>
      <c r="L2306" s="20"/>
      <c r="M2306" s="28">
        <f>IFERROR(VLOOKUP(F2302,STUDENT!$A$2:$BP$101,20,0),"")</f>
        <v>0</v>
      </c>
      <c r="N2306" s="28"/>
      <c r="O2306" s="28"/>
      <c r="P2306" s="28"/>
      <c r="Q2306" s="14"/>
      <c r="R2306" s="11"/>
    </row>
    <row r="2307" s="1" customFormat="1" ht="21.95" customHeight="1" spans="1:18">
      <c r="A2307" s="7"/>
      <c r="B2307" s="12"/>
      <c r="C2307" s="17" t="s">
        <v>711</v>
      </c>
      <c r="D2307" s="17"/>
      <c r="E2307" s="17"/>
      <c r="F2307" s="23">
        <f>IFERROR(VLOOKUP(F2302,STUDENT!$A$2:$BP$101,9,0),"")</f>
        <v>0</v>
      </c>
      <c r="G2307" s="23"/>
      <c r="H2307" s="23"/>
      <c r="I2307" s="23"/>
      <c r="J2307" s="17" t="s">
        <v>620</v>
      </c>
      <c r="K2307" s="17"/>
      <c r="L2307" s="23">
        <f>IFERROR(VLOOKUP(F2302,STUDENT!$A$2:$BP$101,8,0),"")</f>
        <v>0</v>
      </c>
      <c r="M2307" s="23"/>
      <c r="N2307" s="23"/>
      <c r="O2307" s="23"/>
      <c r="P2307" s="23"/>
      <c r="Q2307" s="14"/>
      <c r="R2307" s="11"/>
    </row>
    <row r="2308" s="1" customFormat="1" ht="21.95" customHeight="1" spans="1:18">
      <c r="A2308" s="7"/>
      <c r="B2308" s="12"/>
      <c r="C2308" s="17" t="s">
        <v>712</v>
      </c>
      <c r="D2308" s="17"/>
      <c r="E2308" s="17"/>
      <c r="F2308" s="23">
        <f>IFERROR(VLOOKUP(F2302,STUDENT!$A$2:$BP$101,22,0),"")</f>
        <v>0</v>
      </c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14"/>
      <c r="R2308" s="11"/>
    </row>
    <row r="2309" s="1" customFormat="1" ht="9.95" customHeight="1" spans="1:18">
      <c r="A2309" s="7"/>
      <c r="B2309" s="12"/>
      <c r="C2309" s="29"/>
      <c r="D2309" s="29"/>
      <c r="E2309" s="29"/>
      <c r="F2309" s="29"/>
      <c r="G2309" s="29"/>
      <c r="H2309" s="29"/>
      <c r="I2309" s="29"/>
      <c r="J2309" s="29"/>
      <c r="K2309" s="29"/>
      <c r="L2309" s="29"/>
      <c r="M2309" s="29"/>
      <c r="N2309" s="29"/>
      <c r="O2309" s="29"/>
      <c r="P2309" s="29"/>
      <c r="Q2309" s="14"/>
      <c r="R2309" s="11"/>
    </row>
    <row r="2310" s="1" customFormat="1" ht="9.95" customHeight="1" spans="1:18">
      <c r="A2310" s="7"/>
      <c r="B2310" s="12"/>
      <c r="C2310" s="30"/>
      <c r="D2310" s="31"/>
      <c r="E2310" s="31"/>
      <c r="F2310" s="31"/>
      <c r="G2310" s="31"/>
      <c r="H2310" s="31"/>
      <c r="I2310" s="31"/>
      <c r="J2310" s="31"/>
      <c r="K2310" s="31"/>
      <c r="L2310" s="31"/>
      <c r="M2310" s="31"/>
      <c r="N2310" s="31"/>
      <c r="O2310" s="31"/>
      <c r="P2310" s="32"/>
      <c r="Q2310" s="14"/>
      <c r="R2310" s="11"/>
    </row>
    <row r="2311" s="1" customFormat="1" ht="21.95" customHeight="1" spans="1:18">
      <c r="A2311" s="7"/>
      <c r="B2311" s="12"/>
      <c r="C2311" s="33"/>
      <c r="D2311" s="34" t="s">
        <v>713</v>
      </c>
      <c r="E2311" s="20" t="s">
        <v>714</v>
      </c>
      <c r="F2311" s="35" t="str">
        <f>"Level - "&amp;IFERROR(VLOOKUP(F2302,FLN!$A$4:$K$103,9,0),"")</f>
        <v>Level - </v>
      </c>
      <c r="G2311" s="36"/>
      <c r="H2311" s="37" t="s">
        <v>715</v>
      </c>
      <c r="I2311" s="20"/>
      <c r="J2311" s="35" t="str">
        <f>"Level - "&amp;IFERROR(VLOOKUP(F2302,FLN!$A$4:$K$103,11,0),"")</f>
        <v>Level - </v>
      </c>
      <c r="K2311" s="36"/>
      <c r="L2311" s="37" t="s">
        <v>408</v>
      </c>
      <c r="M2311" s="20"/>
      <c r="N2311" s="35" t="str">
        <f>"Level - "&amp;IFERROR(VLOOKUP(F2302,FLN!$A$4:$K$103,10,0),"")</f>
        <v>Level - </v>
      </c>
      <c r="O2311" s="36"/>
      <c r="P2311" s="19"/>
      <c r="Q2311" s="14"/>
      <c r="R2311" s="11"/>
    </row>
    <row r="2312" s="1" customFormat="1" ht="21.95" customHeight="1" spans="1:18">
      <c r="A2312" s="7"/>
      <c r="B2312" s="12"/>
      <c r="C2312" s="33"/>
      <c r="D2312" s="38"/>
      <c r="E2312" s="20" t="s">
        <v>716</v>
      </c>
      <c r="F2312" s="18" t="str">
        <f>IF(L2326&gt;197,"PERFORMED WELL","")</f>
        <v/>
      </c>
      <c r="G2312" s="18"/>
      <c r="H2312" s="18"/>
      <c r="I2312" s="18"/>
      <c r="J2312" s="18"/>
      <c r="K2312" s="18"/>
      <c r="L2312" s="18"/>
      <c r="M2312" s="18"/>
      <c r="N2312" s="18"/>
      <c r="O2312" s="18"/>
      <c r="P2312" s="19"/>
      <c r="Q2312" s="14"/>
      <c r="R2312" s="11"/>
    </row>
    <row r="2313" s="1" customFormat="1" ht="9.95" customHeight="1" spans="1:18">
      <c r="A2313" s="7"/>
      <c r="B2313" s="12"/>
      <c r="C2313" s="39"/>
      <c r="D2313" s="40"/>
      <c r="E2313" s="40"/>
      <c r="F2313" s="40"/>
      <c r="G2313" s="40"/>
      <c r="H2313" s="40"/>
      <c r="I2313" s="40"/>
      <c r="J2313" s="40"/>
      <c r="K2313" s="40"/>
      <c r="L2313" s="40"/>
      <c r="M2313" s="40"/>
      <c r="N2313" s="40"/>
      <c r="O2313" s="40"/>
      <c r="P2313" s="41"/>
      <c r="Q2313" s="14"/>
      <c r="R2313" s="11"/>
    </row>
    <row r="2314" s="1" customFormat="1" ht="9.95" customHeight="1" spans="1:18">
      <c r="A2314" s="7"/>
      <c r="B2314" s="12"/>
      <c r="C2314" s="29"/>
      <c r="D2314" s="29"/>
      <c r="E2314" s="29"/>
      <c r="F2314" s="29"/>
      <c r="G2314" s="29"/>
      <c r="H2314" s="29"/>
      <c r="I2314" s="29"/>
      <c r="J2314" s="29"/>
      <c r="K2314" s="29"/>
      <c r="L2314" s="29"/>
      <c r="M2314" s="29"/>
      <c r="N2314" s="29"/>
      <c r="O2314" s="29"/>
      <c r="P2314" s="29"/>
      <c r="Q2314" s="14"/>
      <c r="R2314" s="11"/>
    </row>
    <row r="2315" s="1" customFormat="1" ht="9.95" customHeight="1" spans="1:18">
      <c r="A2315" s="7"/>
      <c r="B2315" s="12"/>
      <c r="C2315" s="30"/>
      <c r="D2315" s="31"/>
      <c r="E2315" s="31"/>
      <c r="F2315" s="31"/>
      <c r="G2315" s="31"/>
      <c r="H2315" s="31"/>
      <c r="I2315" s="31"/>
      <c r="J2315" s="31"/>
      <c r="K2315" s="31"/>
      <c r="L2315" s="31"/>
      <c r="M2315" s="31"/>
      <c r="N2315" s="31"/>
      <c r="O2315" s="31"/>
      <c r="P2315" s="32"/>
      <c r="Q2315" s="14"/>
      <c r="R2315" s="11"/>
    </row>
    <row r="2316" s="1" customFormat="1" ht="21.95" customHeight="1" spans="1:18">
      <c r="A2316" s="7"/>
      <c r="B2316" s="12"/>
      <c r="C2316" s="33"/>
      <c r="D2316" s="35"/>
      <c r="E2316" s="24"/>
      <c r="F2316" s="24"/>
      <c r="G2316" s="47" t="s">
        <v>717</v>
      </c>
      <c r="H2316" s="47"/>
      <c r="I2316" s="47"/>
      <c r="J2316" s="47"/>
      <c r="K2316" s="47"/>
      <c r="L2316" s="47"/>
      <c r="M2316" s="47"/>
      <c r="N2316" s="47"/>
      <c r="O2316" s="29"/>
      <c r="P2316" s="19"/>
      <c r="Q2316" s="14"/>
      <c r="R2316" s="11"/>
    </row>
    <row r="2317" s="1" customFormat="1" ht="21.95" customHeight="1" spans="1:18">
      <c r="A2317" s="7"/>
      <c r="B2317" s="12"/>
      <c r="C2317" s="33"/>
      <c r="D2317" s="47"/>
      <c r="E2317" s="47"/>
      <c r="F2317" s="47"/>
      <c r="G2317" s="47" t="s">
        <v>541</v>
      </c>
      <c r="H2317" s="47" t="s">
        <v>542</v>
      </c>
      <c r="I2317" s="47" t="s">
        <v>543</v>
      </c>
      <c r="J2317" s="47" t="s">
        <v>544</v>
      </c>
      <c r="K2317" s="47" t="s">
        <v>561</v>
      </c>
      <c r="L2317" s="47" t="s">
        <v>382</v>
      </c>
      <c r="M2317" s="49" t="s">
        <v>546</v>
      </c>
      <c r="N2317" s="49"/>
      <c r="O2317" s="29"/>
      <c r="P2317" s="19"/>
      <c r="Q2317" s="14"/>
      <c r="R2317" s="11"/>
    </row>
    <row r="2318" s="1" customFormat="1" ht="21.95" customHeight="1" spans="1:18">
      <c r="A2318" s="7"/>
      <c r="B2318" s="12"/>
      <c r="C2318" s="33"/>
      <c r="D2318" s="207" t="s">
        <v>652</v>
      </c>
      <c r="E2318" s="207"/>
      <c r="F2318" s="207"/>
      <c r="G2318" s="50">
        <v>10</v>
      </c>
      <c r="H2318" s="50">
        <v>10</v>
      </c>
      <c r="I2318" s="50">
        <v>10</v>
      </c>
      <c r="J2318" s="50">
        <v>10</v>
      </c>
      <c r="K2318" s="50">
        <v>60</v>
      </c>
      <c r="L2318" s="50">
        <v>100</v>
      </c>
      <c r="M2318" s="49"/>
      <c r="N2318" s="49"/>
      <c r="O2318" s="29"/>
      <c r="P2318" s="19"/>
      <c r="Q2318" s="14"/>
      <c r="R2318" s="11"/>
    </row>
    <row r="2319" s="1" customFormat="1" ht="21.95" customHeight="1" spans="1:18">
      <c r="A2319" s="7"/>
      <c r="B2319" s="12"/>
      <c r="C2319" s="33"/>
      <c r="D2319" s="117" t="s">
        <v>668</v>
      </c>
      <c r="E2319" s="117"/>
      <c r="F2319" s="117"/>
      <c r="G2319" s="54" t="str">
        <f>IFERROR(VLOOKUP(F2302,'1to4-2.1-RR'!$A$12:$BG$111,9,0),"")</f>
        <v/>
      </c>
      <c r="H2319" s="54" t="str">
        <f>IFERROR(VLOOKUP(F2302,'1to4-2.1-RR'!$A$12:$BG$111,10,0),"")</f>
        <v/>
      </c>
      <c r="I2319" s="54" t="str">
        <f>IFERROR(VLOOKUP(F2302,'1to4-2.1-RR'!$A$12:$BG$111,11,0),"")</f>
        <v/>
      </c>
      <c r="J2319" s="54" t="str">
        <f>IFERROR(VLOOKUP(F2302,'1to4-2.1-RR'!$A$12:$BG$111,12,0),"")</f>
        <v/>
      </c>
      <c r="K2319" s="54" t="str">
        <f>IFERROR(VLOOKUP(F2302,'1to4-2.1-RR'!$A$12:$BG$111,13,0),"")</f>
        <v/>
      </c>
      <c r="L2319" s="55">
        <f>SUM(G2319:K2319)</f>
        <v>0</v>
      </c>
      <c r="M2319" s="56" t="str">
        <f>IF(F2302&gt;ENTRY!$D$24,"",IF(L2319=0,"Ab",IF(L2319&gt;80,"A",IF(L2319&gt;60,"B",IF(L2319&gt;44,"C",IF(L2319&gt;=33,"D",IF(L2319&lt;=32,"E","")))))))</f>
        <v/>
      </c>
      <c r="N2319" s="56"/>
      <c r="O2319" s="29"/>
      <c r="P2319" s="19"/>
      <c r="Q2319" s="14"/>
      <c r="R2319" s="11"/>
    </row>
    <row r="2320" s="1" customFormat="1" ht="21.95" customHeight="1" spans="1:18">
      <c r="A2320" s="7"/>
      <c r="B2320" s="12"/>
      <c r="C2320" s="33"/>
      <c r="D2320" s="117" t="s">
        <v>513</v>
      </c>
      <c r="E2320" s="117"/>
      <c r="F2320" s="117"/>
      <c r="G2320" s="54" t="str">
        <f>IFERROR(VLOOKUP(F2302,'1to4-2.1-RR'!$A$12:$BG$111,16,0),"")</f>
        <v/>
      </c>
      <c r="H2320" s="54" t="str">
        <f>IFERROR(VLOOKUP(F2302,'1to4-2.1-RR'!$A$12:$BG$111,17,0),"")</f>
        <v/>
      </c>
      <c r="I2320" s="54" t="str">
        <f>IFERROR(VLOOKUP(F2302,'1to4-2.1-RR'!$A$12:$BG$111,18,0),"")</f>
        <v/>
      </c>
      <c r="J2320" s="54" t="str">
        <f>IFERROR(VLOOKUP(F2302,'1to4-2.1-RR'!$A$12:$BG$111,19,0),"")</f>
        <v/>
      </c>
      <c r="K2320" s="54" t="str">
        <f>IFERROR(VLOOKUP(F2302,'1to4-2.1-RR'!$A$12:$BG$111,20,0),"")</f>
        <v/>
      </c>
      <c r="L2320" s="55">
        <f t="shared" ref="L2320:L2325" si="82">SUM(G2320:K2320)</f>
        <v>0</v>
      </c>
      <c r="M2320" s="56" t="str">
        <f>IF(F2302&gt;ENTRY!$D$24,"",IF(L2320=0,"Ab",IF(L2320&gt;80,"A",IF(L2320&gt;60,"B",IF(L2320&gt;44,"C",IF(L2320&gt;=33,"D",IF(L2320&lt;=32,"E","")))))))</f>
        <v/>
      </c>
      <c r="N2320" s="56"/>
      <c r="O2320" s="29"/>
      <c r="P2320" s="19"/>
      <c r="Q2320" s="14"/>
      <c r="R2320" s="11"/>
    </row>
    <row r="2321" s="1" customFormat="1" ht="21.95" customHeight="1" spans="1:19">
      <c r="A2321" s="7"/>
      <c r="B2321" s="12"/>
      <c r="C2321" s="33"/>
      <c r="D2321" s="117" t="s">
        <v>718</v>
      </c>
      <c r="E2321" s="117"/>
      <c r="F2321" s="117"/>
      <c r="G2321" s="54" t="str">
        <f>IFERROR(VLOOKUP(F2302,'1to4-2.1-RR'!$A$12:$BG$111,23,0),"")</f>
        <v/>
      </c>
      <c r="H2321" s="54" t="str">
        <f>IFERROR(VLOOKUP(F2302,'1to4-2.1-RR'!$A$12:$BG$111,24,0),"")</f>
        <v/>
      </c>
      <c r="I2321" s="54" t="str">
        <f>IFERROR(VLOOKUP(F2302,'1to4-2.1-RR'!$A$12:$BG$111,25,0),"")</f>
        <v/>
      </c>
      <c r="J2321" s="54" t="str">
        <f>IFERROR(VLOOKUP(F2302,'1to4-2.1-RR'!$A$12:$BG$111,26,0),"")</f>
        <v/>
      </c>
      <c r="K2321" s="54" t="str">
        <f>IFERROR(VLOOKUP(F2302,'1to4-2.1-RR'!$A$12:$BG$111,27,0),"")</f>
        <v/>
      </c>
      <c r="L2321" s="55">
        <f t="shared" si="82"/>
        <v>0</v>
      </c>
      <c r="M2321" s="56" t="str">
        <f>IF(F2302&gt;ENTRY!$D$24,"",IF(L2321=0,"Ab",IF(L2321&gt;80,"A",IF(L2321&gt;60,"B",IF(L2321&gt;44,"C",IF(L2321&gt;=33,"D",IF(L2321&lt;=32,"E","")))))))</f>
        <v/>
      </c>
      <c r="N2321" s="56"/>
      <c r="O2321" s="29"/>
      <c r="P2321" s="19"/>
      <c r="Q2321" s="14"/>
      <c r="R2321" s="11"/>
    </row>
    <row r="2322" s="1" customFormat="1" ht="21.95" customHeight="1" spans="1:19">
      <c r="A2322" s="7"/>
      <c r="B2322" s="12"/>
      <c r="C2322" s="33"/>
      <c r="D2322" s="117" t="s">
        <v>719</v>
      </c>
      <c r="E2322" s="117"/>
      <c r="F2322" s="117"/>
      <c r="G2322" s="54" t="str">
        <f>IFERROR(VLOOKUP(F2302,'1to4-2.1-RR'!$A$12:$BG$111,30,0),"")</f>
        <v/>
      </c>
      <c r="H2322" s="54" t="str">
        <f>IFERROR(VLOOKUP(F2302,'1to4-2.1-RR'!$A$12:$BG$111,31,0),"")</f>
        <v/>
      </c>
      <c r="I2322" s="54" t="str">
        <f>IFERROR(VLOOKUP(F2302,'1to4-2.1-RR'!$A$12:$BG$111,32,0),"")</f>
        <v/>
      </c>
      <c r="J2322" s="54" t="str">
        <f>IFERROR(VLOOKUP(F2302,'1to4-2.1-RR'!$A$12:$BG$111,33,0),"")</f>
        <v/>
      </c>
      <c r="K2322" s="54" t="str">
        <f>IFERROR(VLOOKUP(F2302,'1to4-2.1-RR'!$A$12:$BG$111,34,0),"")</f>
        <v/>
      </c>
      <c r="L2322" s="55">
        <f t="shared" si="82"/>
        <v>0</v>
      </c>
      <c r="M2322" s="56" t="str">
        <f>IF(F2302&gt;ENTRY!$D$24,"",IF(L2322=0,"Ab",IF(L2322&gt;80,"A",IF(L2322&gt;60,"B",IF(L2322&gt;44,"C",IF(L2322&gt;=33,"D",IF(L2322&lt;=32,"E","")))))))</f>
        <v/>
      </c>
      <c r="N2322" s="56"/>
      <c r="O2322" s="29"/>
      <c r="P2322" s="19"/>
      <c r="Q2322" s="14"/>
      <c r="R2322" s="11"/>
    </row>
    <row r="2323" s="1" customFormat="1" ht="21.95" customHeight="1" spans="1:19">
      <c r="A2323" s="7"/>
      <c r="B2323" s="12"/>
      <c r="C2323" s="33"/>
      <c r="D2323" s="117" t="s">
        <v>548</v>
      </c>
      <c r="E2323" s="117"/>
      <c r="F2323" s="117"/>
      <c r="G2323" s="54" t="str">
        <f>IFERROR(VLOOKUP(F2302,'1to4-2.1-RR'!$A$12:$BG$111,37,0),"")</f>
        <v/>
      </c>
      <c r="H2323" s="54" t="str">
        <f>IFERROR(VLOOKUP(F2302,'1to4-2.1-RR'!$A$12:$BG$111,38,0),"")</f>
        <v/>
      </c>
      <c r="I2323" s="54" t="str">
        <f>IFERROR(VLOOKUP(F2302,'1to4-2.1-RR'!$A$12:$BG$111,39,0),"")</f>
        <v/>
      </c>
      <c r="J2323" s="54" t="str">
        <f>IFERROR(VLOOKUP(F2302,'1to4-2.1-RR'!$A$12:$BG$111,40,0),"")</f>
        <v/>
      </c>
      <c r="K2323" s="54" t="str">
        <f>IFERROR(VLOOKUP(F2302,'1to4-2.1-RR'!$A$12:$BG$111,41,0),"")</f>
        <v/>
      </c>
      <c r="L2323" s="55">
        <f t="shared" si="82"/>
        <v>0</v>
      </c>
      <c r="M2323" s="56" t="str">
        <f>IF(F2302&gt;ENTRY!$D$24,"",IF(L2323=0,"Ab",IF(L2323&gt;80,"A",IF(L2323&gt;60,"B",IF(L2323&gt;44,"C",IF(L2323&gt;=33,"D",IF(L2323&lt;=32,"E","")))))))</f>
        <v/>
      </c>
      <c r="N2323" s="56"/>
      <c r="O2323" s="29"/>
      <c r="P2323" s="19"/>
      <c r="Q2323" s="14"/>
      <c r="R2323" s="11"/>
    </row>
    <row r="2324" s="1" customFormat="1" ht="21.95" customHeight="1" spans="1:19">
      <c r="A2324" s="7"/>
      <c r="B2324" s="12"/>
      <c r="C2324" s="33"/>
      <c r="D2324" s="117" t="s">
        <v>549</v>
      </c>
      <c r="E2324" s="117"/>
      <c r="F2324" s="117"/>
      <c r="G2324" s="54" t="str">
        <f>IFERROR(VLOOKUP(F2302,'1to4-2.1-RR'!$A$12:$BG$111,44,0),"")</f>
        <v/>
      </c>
      <c r="H2324" s="54" t="str">
        <f>IFERROR(VLOOKUP(F2302,'1to4-2.1-RR'!$A$12:$BG$111,45,0),"")</f>
        <v/>
      </c>
      <c r="I2324" s="54" t="str">
        <f>IFERROR(VLOOKUP(F2302,'1to4-2.1-RR'!$A$12:$BG$111,46,0),"")</f>
        <v/>
      </c>
      <c r="J2324" s="54" t="str">
        <f>IFERROR(VLOOKUP(F2302,'1to4-2.1-RR'!$A$12:$BG$111,47,0),"")</f>
        <v/>
      </c>
      <c r="K2324" s="54" t="str">
        <f>IFERROR(VLOOKUP(F2302,'1to4-2.1-RR'!$A$12:$BG$111,48,0),"")</f>
        <v/>
      </c>
      <c r="L2324" s="55">
        <f t="shared" si="82"/>
        <v>0</v>
      </c>
      <c r="M2324" s="56" t="str">
        <f>IF(F2302&gt;ENTRY!$D$24,"",IF(L2324=0,"Ab",IF(L2324&gt;80,"A",IF(L2324&gt;60,"B",IF(L2324&gt;44,"C",IF(L2324&gt;=33,"D",IF(L2324&lt;=32,"E","")))))))</f>
        <v/>
      </c>
      <c r="N2324" s="56"/>
      <c r="O2324" s="29"/>
      <c r="P2324" s="19"/>
      <c r="Q2324" s="14"/>
      <c r="R2324" s="11"/>
    </row>
    <row r="2325" s="1" customFormat="1" ht="21.95" customHeight="1" spans="1:19">
      <c r="A2325" s="7"/>
      <c r="B2325" s="12"/>
      <c r="C2325" s="33"/>
      <c r="D2325" s="117" t="s">
        <v>720</v>
      </c>
      <c r="E2325" s="117"/>
      <c r="F2325" s="117"/>
      <c r="G2325" s="54"/>
      <c r="H2325" s="54"/>
      <c r="I2325" s="54"/>
      <c r="J2325" s="54"/>
      <c r="K2325" s="54"/>
      <c r="L2325" s="55">
        <f t="shared" si="82"/>
        <v>0</v>
      </c>
      <c r="M2325" s="56" t="str">
        <f>IF(F2302&gt;ENTRY!$D$24,"",IF(L2325=0,"",IF(L2325&gt;79,"A",IF(L2325&gt;59,"B",IF(L2325&gt;44,"C",IF(L2325&gt;=33,"D",IF(L2325&lt;=32,"E","")))))))</f>
        <v/>
      </c>
      <c r="N2325" s="56"/>
      <c r="O2325" s="29"/>
      <c r="P2325" s="19"/>
      <c r="Q2325" s="14"/>
      <c r="R2325" s="11"/>
    </row>
    <row r="2326" s="1" customFormat="1" ht="21.95" customHeight="1" spans="1:19">
      <c r="A2326" s="7"/>
      <c r="B2326" s="12"/>
      <c r="C2326" s="33"/>
      <c r="D2326" s="207" t="s">
        <v>382</v>
      </c>
      <c r="E2326" s="207"/>
      <c r="F2326" s="207"/>
      <c r="G2326" s="54">
        <f t="shared" ref="G2326:L2326" si="83">IFERROR(SUM(G2319:G2325),"")</f>
        <v>0</v>
      </c>
      <c r="H2326" s="54">
        <f t="shared" si="83"/>
        <v>0</v>
      </c>
      <c r="I2326" s="54">
        <f t="shared" si="83"/>
        <v>0</v>
      </c>
      <c r="J2326" s="54">
        <f t="shared" si="83"/>
        <v>0</v>
      </c>
      <c r="K2326" s="54">
        <f t="shared" si="83"/>
        <v>0</v>
      </c>
      <c r="L2326" s="55">
        <f t="shared" si="83"/>
        <v>0</v>
      </c>
      <c r="M2326" s="61" t="str">
        <f>IF(F2302&gt;ENTRY!$D$24,"",IF(N2327="Ab","Ab",IF(N2327&gt;79.5,"A",IF(N2327&gt;59.5,"B",IF(N2327&gt;44.5,"C",IF(N2327&gt;=33,"D",IF(N2327&lt;33,"E","")))))))</f>
        <v/>
      </c>
      <c r="N2326" s="61"/>
      <c r="O2326" s="29"/>
      <c r="P2326" s="19"/>
      <c r="Q2326" s="14"/>
      <c r="R2326" s="11"/>
    </row>
    <row r="2327" s="1" customFormat="1" ht="21.95" customHeight="1" spans="1:19">
      <c r="A2327" s="7"/>
      <c r="B2327" s="12"/>
      <c r="C2327" s="33"/>
      <c r="D2327" s="63" t="s">
        <v>721</v>
      </c>
      <c r="E2327" s="63"/>
      <c r="F2327" s="63"/>
      <c r="G2327" s="63"/>
      <c r="H2327" s="63"/>
      <c r="I2327" s="63"/>
      <c r="J2327" s="63"/>
      <c r="K2327" s="63"/>
      <c r="L2327" s="63"/>
      <c r="M2327" s="209"/>
      <c r="N2327" s="64">
        <f>IF(L2326="Ab","Ab",L2326/6)</f>
        <v>0</v>
      </c>
      <c r="O2327" s="65"/>
      <c r="P2327" s="19"/>
      <c r="Q2327" s="14"/>
      <c r="R2327" s="11"/>
    </row>
    <row r="2328" s="1" customFormat="1" ht="21.95" customHeight="1" spans="1:19">
      <c r="A2328" s="7"/>
      <c r="B2328" s="12"/>
      <c r="C2328" s="33"/>
      <c r="D2328" s="29" t="s">
        <v>716</v>
      </c>
      <c r="E2328" s="18" t="str">
        <f>IFERROR(VLOOKUP(F2302,'1to4-2.1-RR'!$A$12:$BG$111,57,0),"")</f>
        <v/>
      </c>
      <c r="F2328" s="18"/>
      <c r="G2328" s="18"/>
      <c r="H2328" s="18"/>
      <c r="I2328" s="18"/>
      <c r="J2328" s="18"/>
      <c r="K2328" s="18"/>
      <c r="L2328" s="18"/>
      <c r="M2328" s="18"/>
      <c r="N2328" s="29"/>
      <c r="O2328" s="29"/>
      <c r="P2328" s="19"/>
      <c r="Q2328" s="14"/>
      <c r="R2328" s="11"/>
    </row>
    <row r="2329" s="1" customFormat="1" ht="9.95" customHeight="1" spans="1:19">
      <c r="A2329" s="7"/>
      <c r="B2329" s="12"/>
      <c r="C2329" s="39"/>
      <c r="D2329" s="40"/>
      <c r="E2329" s="40"/>
      <c r="F2329" s="40"/>
      <c r="G2329" s="40"/>
      <c r="H2329" s="40"/>
      <c r="I2329" s="40"/>
      <c r="J2329" s="40"/>
      <c r="K2329" s="40"/>
      <c r="L2329" s="40"/>
      <c r="M2329" s="40"/>
      <c r="N2329" s="40"/>
      <c r="O2329" s="40"/>
      <c r="P2329" s="41"/>
      <c r="Q2329" s="14"/>
      <c r="R2329" s="11"/>
    </row>
    <row r="2330" s="1" customFormat="1" ht="9.95" customHeight="1" spans="1:19">
      <c r="A2330" s="7"/>
      <c r="B2330" s="12"/>
      <c r="C2330" s="30"/>
      <c r="D2330" s="31"/>
      <c r="E2330" s="31"/>
      <c r="F2330" s="29"/>
      <c r="G2330" s="31"/>
      <c r="H2330" s="31"/>
      <c r="I2330" s="31"/>
      <c r="J2330" s="31"/>
      <c r="K2330" s="31"/>
      <c r="L2330" s="31"/>
      <c r="M2330" s="31"/>
      <c r="N2330" s="31"/>
      <c r="O2330" s="31"/>
      <c r="P2330" s="32"/>
      <c r="Q2330" s="14"/>
      <c r="R2330" s="11"/>
    </row>
    <row r="2331" s="1" customFormat="1" ht="9.95" customHeight="1" spans="1:19">
      <c r="A2331" s="7"/>
      <c r="B2331" s="12"/>
      <c r="C2331" s="33"/>
      <c r="D2331" s="29"/>
      <c r="E2331" s="29"/>
      <c r="F2331" s="29"/>
      <c r="G2331" s="29"/>
      <c r="H2331" s="29"/>
      <c r="I2331" s="29"/>
      <c r="J2331" s="29"/>
      <c r="K2331" s="29"/>
      <c r="L2331" s="29"/>
      <c r="M2331" s="29"/>
      <c r="N2331" s="29"/>
      <c r="O2331" s="29"/>
      <c r="P2331" s="19"/>
      <c r="Q2331" s="14"/>
      <c r="R2331" s="11"/>
    </row>
    <row r="2332" s="1" customFormat="1" ht="9.95" customHeight="1" spans="1:19">
      <c r="A2332" s="7"/>
      <c r="B2332" s="12"/>
      <c r="C2332" s="33"/>
      <c r="D2332" s="29"/>
      <c r="E2332" s="29"/>
      <c r="F2332" s="29"/>
      <c r="G2332" s="29"/>
      <c r="H2332" s="29"/>
      <c r="I2332" s="29"/>
      <c r="J2332" s="29"/>
      <c r="K2332" s="29"/>
      <c r="L2332" s="29"/>
      <c r="M2332" s="29"/>
      <c r="N2332" s="29"/>
      <c r="O2332" s="29"/>
      <c r="P2332" s="19"/>
      <c r="Q2332" s="14"/>
      <c r="R2332" s="11"/>
    </row>
    <row r="2333" s="1" customFormat="1" ht="21.95" customHeight="1" spans="1:19">
      <c r="A2333" s="7"/>
      <c r="B2333" s="12"/>
      <c r="C2333" s="210"/>
      <c r="D2333" s="211"/>
      <c r="E2333" s="211"/>
      <c r="F2333" s="211"/>
      <c r="G2333" s="211"/>
      <c r="H2333" s="211"/>
      <c r="I2333" s="211"/>
      <c r="J2333" s="211"/>
      <c r="K2333" s="211"/>
      <c r="L2333" s="211"/>
      <c r="M2333" s="211"/>
      <c r="N2333" s="211"/>
      <c r="O2333" s="211"/>
      <c r="P2333" s="212"/>
      <c r="Q2333" s="14"/>
      <c r="R2333" s="11"/>
      <c r="S2333" s="2"/>
    </row>
    <row r="2334" s="1" customFormat="1" ht="21.95" customHeight="1" spans="1:19">
      <c r="A2334" s="7"/>
      <c r="B2334" s="12"/>
      <c r="C2334" s="33"/>
      <c r="D2334" s="207" t="s">
        <v>722</v>
      </c>
      <c r="E2334" s="207"/>
      <c r="F2334" s="207"/>
      <c r="G2334" s="207"/>
      <c r="H2334" s="54">
        <f>IFERROR(VLOOKUP(F2302,PASHEET!$A$4:$CJ$103,88,0),"")</f>
        <v>0</v>
      </c>
      <c r="I2334" s="54"/>
      <c r="J2334" s="29"/>
      <c r="K2334" s="29"/>
      <c r="L2334" s="29"/>
      <c r="M2334" s="29"/>
      <c r="N2334" s="29"/>
      <c r="O2334" s="29"/>
      <c r="P2334" s="19"/>
      <c r="Q2334" s="14"/>
      <c r="R2334" s="11"/>
    </row>
    <row r="2335" s="1" customFormat="1" ht="21.95" customHeight="1" spans="1:19">
      <c r="A2335" s="7"/>
      <c r="B2335" s="12"/>
      <c r="C2335" s="213"/>
      <c r="D2335" s="207" t="s">
        <v>723</v>
      </c>
      <c r="E2335" s="207"/>
      <c r="F2335" s="207"/>
      <c r="G2335" s="207"/>
      <c r="H2335" s="54">
        <f>IFERROR(VLOOKUP(F2302,PASHEET!$A$4:$CJ$103,87,0),"")</f>
        <v>0</v>
      </c>
      <c r="I2335" s="54"/>
      <c r="J2335" s="214"/>
      <c r="K2335" s="214"/>
      <c r="L2335" s="207" t="s">
        <v>724</v>
      </c>
      <c r="M2335" s="207"/>
      <c r="N2335" s="117" t="str">
        <f>IF(F2302&gt;ENTRY!$D$24,"",IF(F2302&gt;0,L2326&amp;" / "&amp;600,""))</f>
        <v/>
      </c>
      <c r="O2335" s="117"/>
      <c r="P2335" s="215"/>
      <c r="Q2335" s="14"/>
      <c r="R2335" s="11"/>
    </row>
    <row r="2336" s="1" customFormat="1" ht="18" customHeight="1" spans="1:19">
      <c r="A2336" s="7"/>
      <c r="B2336" s="12"/>
      <c r="C2336" s="33"/>
      <c r="D2336" s="207" t="s">
        <v>725</v>
      </c>
      <c r="E2336" s="207"/>
      <c r="F2336" s="207"/>
      <c r="G2336" s="207"/>
      <c r="H2336" s="69" t="str">
        <f>IFERROR(IF(F2302&gt;0,H2335/H2334*100),"")</f>
        <v/>
      </c>
      <c r="I2336" s="69"/>
      <c r="J2336" s="29"/>
      <c r="K2336" s="29"/>
      <c r="L2336" s="207" t="s">
        <v>726</v>
      </c>
      <c r="M2336" s="207"/>
      <c r="N2336" s="216" t="str">
        <f>IF(F2302&gt;ENTRY!$D$24,"",IF(F2302&gt;0,L2326/600*100,""))</f>
        <v/>
      </c>
      <c r="O2336" s="216"/>
      <c r="P2336" s="19"/>
      <c r="Q2336" s="14"/>
      <c r="R2336" s="11"/>
    </row>
    <row r="2337" s="1" customFormat="1" ht="21.95" customHeight="1" spans="1:18">
      <c r="A2337" s="7"/>
      <c r="B2337" s="12"/>
      <c r="C2337" s="33"/>
      <c r="D2337" s="80"/>
      <c r="E2337" s="80"/>
      <c r="F2337" s="217"/>
      <c r="G2337" s="217"/>
      <c r="H2337" s="217"/>
      <c r="I2337" s="217"/>
      <c r="J2337" s="217"/>
      <c r="K2337" s="217"/>
      <c r="L2337" s="217"/>
      <c r="M2337" s="217"/>
      <c r="N2337" s="80"/>
      <c r="O2337" s="80"/>
      <c r="P2337" s="19"/>
      <c r="Q2337" s="14"/>
      <c r="R2337" s="11"/>
    </row>
    <row r="2338" s="1" customFormat="1" ht="21.95" customHeight="1" spans="1:18">
      <c r="A2338" s="7"/>
      <c r="B2338" s="12"/>
      <c r="C2338" s="33"/>
      <c r="D2338" s="80"/>
      <c r="E2338" s="218"/>
      <c r="F2338" s="218"/>
      <c r="G2338" s="218"/>
      <c r="H2338" s="80"/>
      <c r="I2338" s="218"/>
      <c r="J2338" s="218"/>
      <c r="K2338" s="218"/>
      <c r="L2338" s="218"/>
      <c r="M2338" s="80"/>
      <c r="N2338" s="219"/>
      <c r="O2338" s="219"/>
      <c r="P2338" s="19"/>
      <c r="Q2338" s="14"/>
      <c r="R2338" s="11"/>
    </row>
    <row r="2339" s="1" customFormat="1" ht="21.95" customHeight="1" spans="1:18">
      <c r="A2339" s="7"/>
      <c r="B2339" s="12"/>
      <c r="C2339" s="33"/>
      <c r="D2339" s="80"/>
      <c r="E2339" s="80"/>
      <c r="F2339" s="80"/>
      <c r="G2339" s="80"/>
      <c r="H2339" s="80"/>
      <c r="I2339" s="80"/>
      <c r="J2339" s="80"/>
      <c r="K2339" s="80"/>
      <c r="L2339" s="80"/>
      <c r="M2339" s="80"/>
      <c r="N2339" s="80"/>
      <c r="O2339" s="80"/>
      <c r="P2339" s="19"/>
      <c r="Q2339" s="14"/>
      <c r="R2339" s="11"/>
    </row>
    <row r="2340" s="1" customFormat="1" ht="21.95" customHeight="1" spans="1:18">
      <c r="A2340" s="7"/>
      <c r="B2340" s="12"/>
      <c r="C2340" s="33"/>
      <c r="D2340" s="218"/>
      <c r="E2340" s="218"/>
      <c r="F2340" s="218"/>
      <c r="G2340" s="218"/>
      <c r="H2340" s="218"/>
      <c r="I2340" s="218"/>
      <c r="J2340" s="218"/>
      <c r="K2340" s="218"/>
      <c r="L2340" s="218"/>
      <c r="M2340" s="80"/>
      <c r="N2340" s="217"/>
      <c r="O2340" s="217"/>
      <c r="P2340" s="85" t="s">
        <v>727</v>
      </c>
      <c r="Q2340" s="14"/>
      <c r="R2340" s="11"/>
    </row>
    <row r="2341" s="1" customFormat="1" ht="21.95" customHeight="1" spans="1:18">
      <c r="A2341" s="7"/>
      <c r="B2341" s="12"/>
      <c r="C2341" s="33"/>
      <c r="D2341" s="29"/>
      <c r="E2341" s="29"/>
      <c r="F2341" s="29"/>
      <c r="G2341" s="29"/>
      <c r="H2341" s="29"/>
      <c r="I2341" s="29"/>
      <c r="J2341" s="29"/>
      <c r="K2341" s="29"/>
      <c r="L2341" s="29"/>
      <c r="M2341" s="29"/>
      <c r="N2341" s="29"/>
      <c r="O2341" s="29"/>
      <c r="P2341" s="19"/>
      <c r="Q2341" s="14"/>
      <c r="R2341" s="11"/>
    </row>
    <row r="2342" s="1" customFormat="1" ht="21.95" customHeight="1" spans="1:18">
      <c r="A2342" s="7"/>
      <c r="B2342" s="12"/>
      <c r="C2342" s="33"/>
      <c r="D2342" s="29"/>
      <c r="E2342" s="29"/>
      <c r="F2342" s="29"/>
      <c r="G2342" s="29"/>
      <c r="H2342" s="29"/>
      <c r="I2342" s="29"/>
      <c r="J2342" s="29"/>
      <c r="K2342" s="29"/>
      <c r="L2342" s="29"/>
      <c r="M2342" s="29"/>
      <c r="N2342" s="29"/>
      <c r="O2342" s="29"/>
      <c r="P2342" s="19"/>
      <c r="Q2342" s="14"/>
      <c r="R2342" s="11"/>
    </row>
    <row r="2343" s="1" customFormat="1" ht="21.95" customHeight="1" spans="1:18">
      <c r="A2343" s="7"/>
      <c r="B2343" s="12"/>
      <c r="C2343" s="33"/>
      <c r="D2343" s="29"/>
      <c r="E2343" s="29"/>
      <c r="F2343" s="29"/>
      <c r="G2343" s="29"/>
      <c r="H2343" s="29"/>
      <c r="I2343" s="29"/>
      <c r="J2343" s="29"/>
      <c r="K2343" s="29"/>
      <c r="L2343" s="29"/>
      <c r="M2343" s="29"/>
      <c r="N2343" s="29"/>
      <c r="O2343" s="29"/>
      <c r="P2343" s="19"/>
      <c r="Q2343" s="14"/>
      <c r="R2343" s="11"/>
    </row>
    <row r="2344" s="1" customFormat="1" ht="21.95" customHeight="1" spans="1:18">
      <c r="A2344" s="7"/>
      <c r="B2344" s="12"/>
      <c r="C2344" s="33"/>
      <c r="D2344" s="29"/>
      <c r="E2344" s="29"/>
      <c r="F2344" s="29"/>
      <c r="G2344" s="29"/>
      <c r="H2344" s="29"/>
      <c r="I2344" s="29"/>
      <c r="J2344" s="29"/>
      <c r="K2344" s="29"/>
      <c r="L2344" s="29"/>
      <c r="M2344" s="29"/>
      <c r="N2344" s="29"/>
      <c r="O2344" s="29"/>
      <c r="P2344" s="19"/>
      <c r="Q2344" s="14"/>
      <c r="R2344" s="11"/>
    </row>
    <row r="2345" s="1" customFormat="1" ht="21.95" customHeight="1" spans="1:18">
      <c r="A2345" s="7"/>
      <c r="B2345" s="12"/>
      <c r="C2345" s="33"/>
      <c r="D2345" s="29"/>
      <c r="E2345" s="29"/>
      <c r="F2345" s="29"/>
      <c r="G2345" s="29"/>
      <c r="H2345" s="29"/>
      <c r="I2345" s="29"/>
      <c r="J2345" s="29"/>
      <c r="K2345" s="29"/>
      <c r="L2345" s="29"/>
      <c r="M2345" s="29"/>
      <c r="N2345" s="29"/>
      <c r="O2345" s="29"/>
      <c r="P2345" s="19"/>
      <c r="Q2345" s="14"/>
      <c r="R2345" s="11"/>
    </row>
    <row r="2346" s="1" customFormat="1" ht="21.95" customHeight="1" spans="1:18">
      <c r="A2346" s="7"/>
      <c r="B2346" s="12"/>
      <c r="C2346" s="33"/>
      <c r="D2346" s="80" t="s">
        <v>728</v>
      </c>
      <c r="E2346" s="220">
        <f>ENTRY!$D$27</f>
        <v>46102</v>
      </c>
      <c r="F2346" s="220"/>
      <c r="G2346" s="29"/>
      <c r="H2346" s="29"/>
      <c r="I2346" s="221" t="s">
        <v>729</v>
      </c>
      <c r="J2346" s="153"/>
      <c r="K2346" s="29"/>
      <c r="L2346" s="29"/>
      <c r="M2346" s="87" t="s">
        <v>730</v>
      </c>
      <c r="N2346" s="87"/>
      <c r="O2346" s="87"/>
      <c r="P2346" s="19"/>
      <c r="Q2346" s="14"/>
      <c r="R2346" s="11"/>
    </row>
    <row r="2347" s="1" customFormat="1" ht="21.95" customHeight="1" spans="1:18">
      <c r="A2347" s="7"/>
      <c r="B2347" s="12"/>
      <c r="C2347" s="33"/>
      <c r="D2347" s="80" t="s">
        <v>731</v>
      </c>
      <c r="E2347" s="88" t="str">
        <f>PROPER(ENTRY!$D$28)</f>
        <v>New Delhi</v>
      </c>
      <c r="F2347" s="88"/>
      <c r="G2347" s="29"/>
      <c r="H2347" s="29"/>
      <c r="I2347" s="153"/>
      <c r="J2347" s="153"/>
      <c r="K2347" s="29"/>
      <c r="L2347" s="29"/>
      <c r="M2347" s="79" t="s">
        <v>732</v>
      </c>
      <c r="N2347" s="79"/>
      <c r="O2347" s="79"/>
      <c r="P2347" s="19"/>
      <c r="Q2347" s="14"/>
      <c r="R2347" s="11"/>
    </row>
    <row r="2348" s="1" customFormat="1" ht="21.95" customHeight="1" spans="1:18">
      <c r="A2348" s="7"/>
      <c r="B2348" s="12"/>
      <c r="C2348" s="90"/>
      <c r="D2348" s="91"/>
      <c r="E2348" s="91"/>
      <c r="F2348" s="91"/>
      <c r="G2348" s="91"/>
      <c r="H2348" s="91"/>
      <c r="I2348" s="91"/>
      <c r="J2348" s="91"/>
      <c r="K2348" s="91"/>
      <c r="L2348" s="91"/>
      <c r="M2348" s="91"/>
      <c r="N2348" s="91"/>
      <c r="O2348" s="91"/>
      <c r="P2348" s="92"/>
      <c r="Q2348" s="14"/>
      <c r="R2348" s="11"/>
    </row>
    <row r="2349" s="1" customFormat="1" ht="5.1" customHeight="1" spans="1:18">
      <c r="A2349" s="7"/>
      <c r="B2349" s="90"/>
      <c r="C2349" s="91"/>
      <c r="D2349" s="91"/>
      <c r="E2349" s="91"/>
      <c r="F2349" s="91"/>
      <c r="G2349" s="91"/>
      <c r="H2349" s="91"/>
      <c r="I2349" s="91"/>
      <c r="J2349" s="91"/>
      <c r="K2349" s="91"/>
      <c r="L2349" s="91"/>
      <c r="M2349" s="91"/>
      <c r="N2349" s="91"/>
      <c r="O2349" s="91"/>
      <c r="P2349" s="91"/>
      <c r="Q2349" s="92"/>
      <c r="R2349" s="11"/>
    </row>
    <row r="2350" s="1" customFormat="1" ht="5.1" customHeight="1" spans="1:18">
      <c r="A2350" s="93"/>
      <c r="B2350" s="94"/>
      <c r="C2350" s="94"/>
      <c r="D2350" s="94"/>
      <c r="E2350" s="94"/>
      <c r="F2350" s="94"/>
      <c r="G2350" s="94"/>
      <c r="H2350" s="94"/>
      <c r="I2350" s="94"/>
      <c r="J2350" s="94"/>
      <c r="K2350" s="94"/>
      <c r="L2350" s="94"/>
      <c r="M2350" s="94"/>
      <c r="N2350" s="94"/>
      <c r="O2350" s="94"/>
      <c r="P2350" s="94"/>
      <c r="Q2350" s="94"/>
      <c r="R2350" s="95"/>
    </row>
    <row r="2351" s="1" customFormat="1" ht="21.95" customHeight="1"/>
    <row r="2352" ht="15.15"/>
    <row r="2353" s="1" customFormat="1" ht="5.1" customHeight="1" spans="1:18">
      <c r="A2353" s="4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  <c r="O2353" s="5"/>
      <c r="P2353" s="5"/>
      <c r="Q2353" s="5"/>
      <c r="R2353" s="6"/>
    </row>
    <row r="2354" s="1" customFormat="1" ht="15" customHeight="1" spans="1:18">
      <c r="A2354" s="7"/>
      <c r="B2354" s="8"/>
      <c r="C2354" s="9"/>
      <c r="D2354" s="9"/>
      <c r="E2354" s="9"/>
      <c r="F2354" s="9"/>
      <c r="G2354" s="9"/>
      <c r="H2354" s="9"/>
      <c r="I2354" s="9"/>
      <c r="J2354" s="9"/>
      <c r="K2354" s="9"/>
      <c r="L2354" s="9"/>
      <c r="M2354" s="9"/>
      <c r="N2354" s="9"/>
      <c r="O2354" s="9"/>
      <c r="P2354" s="9"/>
      <c r="Q2354" s="10"/>
      <c r="R2354" s="11"/>
    </row>
    <row r="2355" s="1" customFormat="1" ht="21.95" customHeight="1" spans="1:18">
      <c r="A2355" s="7"/>
      <c r="B2355" s="12"/>
      <c r="C2355" s="13" t="s">
        <v>7</v>
      </c>
      <c r="D2355" s="13"/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/>
      <c r="Q2355" s="14"/>
      <c r="R2355" s="11"/>
    </row>
    <row r="2356" s="1" customFormat="1" ht="21.95" customHeight="1" spans="1:18">
      <c r="A2356" s="7"/>
      <c r="B2356" s="1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14"/>
      <c r="R2356" s="11"/>
    </row>
    <row r="2357" s="1" customFormat="1" ht="21.95" customHeight="1" spans="1:18">
      <c r="A2357" s="7"/>
      <c r="B2357" s="12"/>
      <c r="C2357" s="15" t="str">
        <f>"SESSION-"&amp;ENTRY!$D$11</f>
        <v>SESSION-2026-27</v>
      </c>
      <c r="D2357" s="15"/>
      <c r="E2357" s="15"/>
      <c r="F2357" s="15"/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4"/>
      <c r="R2357" s="11"/>
    </row>
    <row r="2358" s="1" customFormat="1" ht="21.95" customHeight="1" spans="1:18">
      <c r="A2358" s="7"/>
      <c r="B2358" s="12"/>
      <c r="C2358" s="2"/>
      <c r="D2358" s="2"/>
      <c r="E2358" s="2"/>
      <c r="F2358" s="16">
        <f>F2302+1</f>
        <v>43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14"/>
      <c r="R2358" s="11"/>
    </row>
    <row r="2359" s="1" customFormat="1" ht="21.95" customHeight="1" spans="1:18">
      <c r="A2359" s="7"/>
      <c r="B2359" s="12"/>
      <c r="C2359" s="17" t="s">
        <v>392</v>
      </c>
      <c r="D2359" s="17"/>
      <c r="E2359" s="17"/>
      <c r="F2359" s="18" t="str">
        <f>IF(F2358&gt;0,ENTRY!$D$6,"")</f>
        <v>MCP NITHARI NO 1 BOYS</v>
      </c>
      <c r="G2359" s="18"/>
      <c r="H2359" s="18"/>
      <c r="I2359" s="18"/>
      <c r="J2359" s="18"/>
      <c r="K2359" s="18"/>
      <c r="L2359" s="18"/>
      <c r="M2359" s="18"/>
      <c r="N2359" s="18"/>
      <c r="O2359" s="18"/>
      <c r="P2359" s="18"/>
      <c r="Q2359" s="14"/>
      <c r="R2359" s="11"/>
    </row>
    <row r="2360" s="1" customFormat="1" ht="21.95" customHeight="1" spans="1:18">
      <c r="A2360" s="7"/>
      <c r="B2360" s="12"/>
      <c r="C2360" s="17" t="s">
        <v>393</v>
      </c>
      <c r="D2360" s="17"/>
      <c r="E2360" s="17"/>
      <c r="F2360" s="18">
        <f>IF(F2358&gt;0,ENTRY!$D$7,"")</f>
        <v>0</v>
      </c>
      <c r="G2360" s="18"/>
      <c r="H2360" s="20" t="s">
        <v>702</v>
      </c>
      <c r="I2360" s="20"/>
      <c r="J2360" s="21">
        <f>IF(F2358&gt;0,ENTRY!$D$10,"")</f>
        <v>40</v>
      </c>
      <c r="K2360" s="20" t="s">
        <v>703</v>
      </c>
      <c r="L2360" s="22" t="str">
        <f>IF(F2358&gt;0,ENTRY!$D$5,"")</f>
        <v>ROHINI ZONE</v>
      </c>
      <c r="M2360" s="22"/>
      <c r="N2360" s="22"/>
      <c r="O2360" s="22"/>
      <c r="P2360" s="22"/>
      <c r="Q2360" s="14"/>
      <c r="R2360" s="11"/>
    </row>
    <row r="2361" s="1" customFormat="1" ht="21.95" customHeight="1" spans="1:18">
      <c r="A2361" s="7"/>
      <c r="B2361" s="12"/>
      <c r="C2361" s="17" t="s">
        <v>706</v>
      </c>
      <c r="D2361" s="17"/>
      <c r="E2361" s="17"/>
      <c r="F2361" s="23">
        <f>IFERROR(VLOOKUP(F2358,STUDENT!$A$2:$BP$101,5,0),"")</f>
        <v>0</v>
      </c>
      <c r="G2361" s="23"/>
      <c r="H2361" s="23"/>
      <c r="I2361" s="23"/>
      <c r="J2361" s="23"/>
      <c r="K2361" s="23"/>
      <c r="L2361" s="20" t="s">
        <v>707</v>
      </c>
      <c r="M2361" s="20"/>
      <c r="N2361" s="24" t="str">
        <f>IF(F2358&gt;0,ENTRY!$D$20&amp;"-"&amp;ENTRY!$D$21,"")</f>
        <v>III-A</v>
      </c>
      <c r="O2361" s="24"/>
      <c r="P2361" s="24"/>
      <c r="Q2361" s="14"/>
      <c r="R2361" s="11"/>
    </row>
    <row r="2362" s="1" customFormat="1" ht="21.95" customHeight="1" spans="1:18">
      <c r="A2362" s="7"/>
      <c r="B2362" s="12"/>
      <c r="C2362" s="17" t="s">
        <v>708</v>
      </c>
      <c r="D2362" s="17"/>
      <c r="E2362" s="17"/>
      <c r="F2362" s="25">
        <f>IFERROR(VLOOKUP(F2358,STUDENT!$A$2:$BP$101,6,0),"")</f>
        <v>0</v>
      </c>
      <c r="G2362" s="25"/>
      <c r="H2362" s="26" t="s">
        <v>709</v>
      </c>
      <c r="I2362" s="27" t="str">
        <f>IFERROR(VLOOKUP(F2358,STUDENT!$A$2:$BP$101,59,0),"")</f>
        <v/>
      </c>
      <c r="J2362" s="27"/>
      <c r="K2362" s="20" t="s">
        <v>710</v>
      </c>
      <c r="L2362" s="20"/>
      <c r="M2362" s="28">
        <f>IFERROR(VLOOKUP(F2358,STUDENT!$A$2:$BP$101,20,0),"")</f>
        <v>0</v>
      </c>
      <c r="N2362" s="28"/>
      <c r="O2362" s="28"/>
      <c r="P2362" s="28"/>
      <c r="Q2362" s="14"/>
      <c r="R2362" s="11"/>
    </row>
    <row r="2363" s="1" customFormat="1" ht="21.95" customHeight="1" spans="1:18">
      <c r="A2363" s="7"/>
      <c r="B2363" s="12"/>
      <c r="C2363" s="17" t="s">
        <v>711</v>
      </c>
      <c r="D2363" s="17"/>
      <c r="E2363" s="17"/>
      <c r="F2363" s="23">
        <f>IFERROR(VLOOKUP(F2358,STUDENT!$A$2:$BP$101,9,0),"")</f>
        <v>0</v>
      </c>
      <c r="G2363" s="23"/>
      <c r="H2363" s="23"/>
      <c r="I2363" s="23"/>
      <c r="J2363" s="17" t="s">
        <v>620</v>
      </c>
      <c r="K2363" s="17"/>
      <c r="L2363" s="23">
        <f>IFERROR(VLOOKUP(F2358,STUDENT!$A$2:$BP$101,8,0),"")</f>
        <v>0</v>
      </c>
      <c r="M2363" s="23"/>
      <c r="N2363" s="23"/>
      <c r="O2363" s="23"/>
      <c r="P2363" s="23"/>
      <c r="Q2363" s="14"/>
      <c r="R2363" s="11"/>
    </row>
    <row r="2364" s="1" customFormat="1" ht="21.95" customHeight="1" spans="1:18">
      <c r="A2364" s="7"/>
      <c r="B2364" s="12"/>
      <c r="C2364" s="17" t="s">
        <v>712</v>
      </c>
      <c r="D2364" s="17"/>
      <c r="E2364" s="17"/>
      <c r="F2364" s="23">
        <f>IFERROR(VLOOKUP(F2358,STUDENT!$A$2:$BP$101,22,0),"")</f>
        <v>0</v>
      </c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14"/>
      <c r="R2364" s="11"/>
    </row>
    <row r="2365" s="1" customFormat="1" ht="9.95" customHeight="1" spans="1:18">
      <c r="A2365" s="7"/>
      <c r="B2365" s="12"/>
      <c r="C2365" s="29"/>
      <c r="D2365" s="29"/>
      <c r="E2365" s="29"/>
      <c r="F2365" s="29"/>
      <c r="G2365" s="29"/>
      <c r="H2365" s="29"/>
      <c r="I2365" s="29"/>
      <c r="J2365" s="29"/>
      <c r="K2365" s="29"/>
      <c r="L2365" s="29"/>
      <c r="M2365" s="29"/>
      <c r="N2365" s="29"/>
      <c r="O2365" s="29"/>
      <c r="P2365" s="29"/>
      <c r="Q2365" s="14"/>
      <c r="R2365" s="11"/>
    </row>
    <row r="2366" s="1" customFormat="1" ht="9.95" customHeight="1" spans="1:18">
      <c r="A2366" s="7"/>
      <c r="B2366" s="12"/>
      <c r="C2366" s="30"/>
      <c r="D2366" s="31"/>
      <c r="E2366" s="31"/>
      <c r="F2366" s="31"/>
      <c r="G2366" s="31"/>
      <c r="H2366" s="31"/>
      <c r="I2366" s="31"/>
      <c r="J2366" s="31"/>
      <c r="K2366" s="31"/>
      <c r="L2366" s="31"/>
      <c r="M2366" s="31"/>
      <c r="N2366" s="31"/>
      <c r="O2366" s="31"/>
      <c r="P2366" s="32"/>
      <c r="Q2366" s="14"/>
      <c r="R2366" s="11"/>
    </row>
    <row r="2367" s="1" customFormat="1" ht="21.95" customHeight="1" spans="1:18">
      <c r="A2367" s="7"/>
      <c r="B2367" s="12"/>
      <c r="C2367" s="33"/>
      <c r="D2367" s="34" t="s">
        <v>713</v>
      </c>
      <c r="E2367" s="20" t="s">
        <v>714</v>
      </c>
      <c r="F2367" s="35" t="str">
        <f>"Level - "&amp;IFERROR(VLOOKUP(F2358,FLN!$A$4:$K$103,9,0),"")</f>
        <v>Level - </v>
      </c>
      <c r="G2367" s="36"/>
      <c r="H2367" s="37" t="s">
        <v>715</v>
      </c>
      <c r="I2367" s="20"/>
      <c r="J2367" s="35" t="str">
        <f>"Level - "&amp;IFERROR(VLOOKUP(F2358,FLN!$A$4:$K$103,11,0),"")</f>
        <v>Level - </v>
      </c>
      <c r="K2367" s="36"/>
      <c r="L2367" s="37" t="s">
        <v>408</v>
      </c>
      <c r="M2367" s="20"/>
      <c r="N2367" s="35" t="str">
        <f>"Level - "&amp;IFERROR(VLOOKUP(F2358,FLN!$A$4:$K$103,10,0),"")</f>
        <v>Level - </v>
      </c>
      <c r="O2367" s="36"/>
      <c r="P2367" s="19"/>
      <c r="Q2367" s="14"/>
      <c r="R2367" s="11"/>
    </row>
    <row r="2368" s="1" customFormat="1" ht="21.95" customHeight="1" spans="1:18">
      <c r="A2368" s="7"/>
      <c r="B2368" s="12"/>
      <c r="C2368" s="33"/>
      <c r="D2368" s="38"/>
      <c r="E2368" s="20" t="s">
        <v>716</v>
      </c>
      <c r="F2368" s="18" t="str">
        <f>IF(L2382&gt;197,"PERFORMED WELL","")</f>
        <v/>
      </c>
      <c r="G2368" s="18"/>
      <c r="H2368" s="18"/>
      <c r="I2368" s="18"/>
      <c r="J2368" s="18"/>
      <c r="K2368" s="18"/>
      <c r="L2368" s="18"/>
      <c r="M2368" s="18"/>
      <c r="N2368" s="18"/>
      <c r="O2368" s="18"/>
      <c r="P2368" s="19"/>
      <c r="Q2368" s="14"/>
      <c r="R2368" s="11"/>
    </row>
    <row r="2369" s="1" customFormat="1" ht="9.95" customHeight="1" spans="1:18">
      <c r="A2369" s="7"/>
      <c r="B2369" s="12"/>
      <c r="C2369" s="39"/>
      <c r="D2369" s="40"/>
      <c r="E2369" s="40"/>
      <c r="F2369" s="40"/>
      <c r="G2369" s="40"/>
      <c r="H2369" s="40"/>
      <c r="I2369" s="40"/>
      <c r="J2369" s="40"/>
      <c r="K2369" s="40"/>
      <c r="L2369" s="40"/>
      <c r="M2369" s="40"/>
      <c r="N2369" s="40"/>
      <c r="O2369" s="40"/>
      <c r="P2369" s="41"/>
      <c r="Q2369" s="14"/>
      <c r="R2369" s="11"/>
    </row>
    <row r="2370" s="1" customFormat="1" ht="9.95" customHeight="1" spans="1:18">
      <c r="A2370" s="7"/>
      <c r="B2370" s="12"/>
      <c r="C2370" s="29"/>
      <c r="D2370" s="29"/>
      <c r="E2370" s="29"/>
      <c r="F2370" s="29"/>
      <c r="G2370" s="29"/>
      <c r="H2370" s="29"/>
      <c r="I2370" s="29"/>
      <c r="J2370" s="29"/>
      <c r="K2370" s="29"/>
      <c r="L2370" s="29"/>
      <c r="M2370" s="29"/>
      <c r="N2370" s="29"/>
      <c r="O2370" s="29"/>
      <c r="P2370" s="29"/>
      <c r="Q2370" s="14"/>
      <c r="R2370" s="11"/>
    </row>
    <row r="2371" s="1" customFormat="1" ht="9.95" customHeight="1" spans="1:18">
      <c r="A2371" s="7"/>
      <c r="B2371" s="12"/>
      <c r="C2371" s="30"/>
      <c r="D2371" s="31"/>
      <c r="E2371" s="31"/>
      <c r="F2371" s="31"/>
      <c r="G2371" s="31"/>
      <c r="H2371" s="31"/>
      <c r="I2371" s="31"/>
      <c r="J2371" s="31"/>
      <c r="K2371" s="31"/>
      <c r="L2371" s="31"/>
      <c r="M2371" s="31"/>
      <c r="N2371" s="31"/>
      <c r="O2371" s="31"/>
      <c r="P2371" s="32"/>
      <c r="Q2371" s="14"/>
      <c r="R2371" s="11"/>
    </row>
    <row r="2372" s="1" customFormat="1" ht="21.95" customHeight="1" spans="1:18">
      <c r="A2372" s="7"/>
      <c r="B2372" s="12"/>
      <c r="C2372" s="33"/>
      <c r="D2372" s="35"/>
      <c r="E2372" s="24"/>
      <c r="F2372" s="24"/>
      <c r="G2372" s="47" t="s">
        <v>717</v>
      </c>
      <c r="H2372" s="47"/>
      <c r="I2372" s="47"/>
      <c r="J2372" s="47"/>
      <c r="K2372" s="47"/>
      <c r="L2372" s="47"/>
      <c r="M2372" s="47"/>
      <c r="N2372" s="47"/>
      <c r="O2372" s="29"/>
      <c r="P2372" s="19"/>
      <c r="Q2372" s="14"/>
      <c r="R2372" s="11"/>
    </row>
    <row r="2373" s="1" customFormat="1" ht="21.95" customHeight="1" spans="1:18">
      <c r="A2373" s="7"/>
      <c r="B2373" s="12"/>
      <c r="C2373" s="33"/>
      <c r="D2373" s="47"/>
      <c r="E2373" s="47"/>
      <c r="F2373" s="47"/>
      <c r="G2373" s="47" t="s">
        <v>541</v>
      </c>
      <c r="H2373" s="47" t="s">
        <v>542</v>
      </c>
      <c r="I2373" s="47" t="s">
        <v>543</v>
      </c>
      <c r="J2373" s="47" t="s">
        <v>544</v>
      </c>
      <c r="K2373" s="47" t="s">
        <v>561</v>
      </c>
      <c r="L2373" s="47" t="s">
        <v>382</v>
      </c>
      <c r="M2373" s="49" t="s">
        <v>546</v>
      </c>
      <c r="N2373" s="49"/>
      <c r="O2373" s="29"/>
      <c r="P2373" s="19"/>
      <c r="Q2373" s="14"/>
      <c r="R2373" s="11"/>
    </row>
    <row r="2374" s="1" customFormat="1" ht="21.95" customHeight="1" spans="1:18">
      <c r="A2374" s="7"/>
      <c r="B2374" s="12"/>
      <c r="C2374" s="33"/>
      <c r="D2374" s="207" t="s">
        <v>652</v>
      </c>
      <c r="E2374" s="207"/>
      <c r="F2374" s="207"/>
      <c r="G2374" s="50">
        <v>10</v>
      </c>
      <c r="H2374" s="50">
        <v>10</v>
      </c>
      <c r="I2374" s="50">
        <v>10</v>
      </c>
      <c r="J2374" s="50">
        <v>10</v>
      </c>
      <c r="K2374" s="50">
        <v>60</v>
      </c>
      <c r="L2374" s="50">
        <v>100</v>
      </c>
      <c r="M2374" s="49"/>
      <c r="N2374" s="49"/>
      <c r="O2374" s="29"/>
      <c r="P2374" s="19"/>
      <c r="Q2374" s="14"/>
      <c r="R2374" s="11"/>
    </row>
    <row r="2375" s="1" customFormat="1" ht="21.95" customHeight="1" spans="1:18">
      <c r="A2375" s="7"/>
      <c r="B2375" s="12"/>
      <c r="C2375" s="33"/>
      <c r="D2375" s="117" t="s">
        <v>668</v>
      </c>
      <c r="E2375" s="117"/>
      <c r="F2375" s="117"/>
      <c r="G2375" s="54" t="str">
        <f>IFERROR(VLOOKUP(F2358,'1to4-2.1-RR'!$A$12:$BG$111,9,0),"")</f>
        <v/>
      </c>
      <c r="H2375" s="54" t="str">
        <f>IFERROR(VLOOKUP(F2358,'1to4-2.1-RR'!$A$12:$BG$111,10,0),"")</f>
        <v/>
      </c>
      <c r="I2375" s="54" t="str">
        <f>IFERROR(VLOOKUP(F2358,'1to4-2.1-RR'!$A$12:$BG$111,11,0),"")</f>
        <v/>
      </c>
      <c r="J2375" s="54" t="str">
        <f>IFERROR(VLOOKUP(F2358,'1to4-2.1-RR'!$A$12:$BG$111,12,0),"")</f>
        <v/>
      </c>
      <c r="K2375" s="54" t="str">
        <f>IFERROR(VLOOKUP(F2358,'1to4-2.1-RR'!$A$12:$BG$111,13,0),"")</f>
        <v/>
      </c>
      <c r="L2375" s="55">
        <f>SUM(G2375:K2375)</f>
        <v>0</v>
      </c>
      <c r="M2375" s="56" t="str">
        <f>IF(F2358&gt;ENTRY!$D$24,"",IF(L2375=0,"Ab",IF(L2375&gt;80,"A",IF(L2375&gt;60,"B",IF(L2375&gt;44,"C",IF(L2375&gt;=33,"D",IF(L2375&lt;=32,"E","")))))))</f>
        <v/>
      </c>
      <c r="N2375" s="56"/>
      <c r="O2375" s="29"/>
      <c r="P2375" s="19"/>
      <c r="Q2375" s="14"/>
      <c r="R2375" s="11"/>
    </row>
    <row r="2376" s="1" customFormat="1" ht="21.95" customHeight="1" spans="1:18">
      <c r="A2376" s="7"/>
      <c r="B2376" s="12"/>
      <c r="C2376" s="33"/>
      <c r="D2376" s="117" t="s">
        <v>513</v>
      </c>
      <c r="E2376" s="117"/>
      <c r="F2376" s="117"/>
      <c r="G2376" s="54" t="str">
        <f>IFERROR(VLOOKUP(F2358,'1to4-2.1-RR'!$A$12:$BG$111,16,0),"")</f>
        <v/>
      </c>
      <c r="H2376" s="54" t="str">
        <f>IFERROR(VLOOKUP(F2358,'1to4-2.1-RR'!$A$12:$BG$111,17,0),"")</f>
        <v/>
      </c>
      <c r="I2376" s="54" t="str">
        <f>IFERROR(VLOOKUP(F2358,'1to4-2.1-RR'!$A$12:$BG$111,18,0),"")</f>
        <v/>
      </c>
      <c r="J2376" s="54" t="str">
        <f>IFERROR(VLOOKUP(F2358,'1to4-2.1-RR'!$A$12:$BG$111,19,0),"")</f>
        <v/>
      </c>
      <c r="K2376" s="54" t="str">
        <f>IFERROR(VLOOKUP(F2358,'1to4-2.1-RR'!$A$12:$BG$111,20,0),"")</f>
        <v/>
      </c>
      <c r="L2376" s="55">
        <f t="shared" ref="L2376:L2381" si="84">SUM(G2376:K2376)</f>
        <v>0</v>
      </c>
      <c r="M2376" s="56" t="str">
        <f>IF(F2358&gt;ENTRY!$D$24,"",IF(L2376=0,"Ab",IF(L2376&gt;80,"A",IF(L2376&gt;60,"B",IF(L2376&gt;44,"C",IF(L2376&gt;=33,"D",IF(L2376&lt;=32,"E","")))))))</f>
        <v/>
      </c>
      <c r="N2376" s="56"/>
      <c r="O2376" s="29"/>
      <c r="P2376" s="19"/>
      <c r="Q2376" s="14"/>
      <c r="R2376" s="11"/>
    </row>
    <row r="2377" s="1" customFormat="1" ht="21.95" customHeight="1" spans="1:18">
      <c r="A2377" s="7"/>
      <c r="B2377" s="12"/>
      <c r="C2377" s="33"/>
      <c r="D2377" s="117" t="s">
        <v>718</v>
      </c>
      <c r="E2377" s="117"/>
      <c r="F2377" s="117"/>
      <c r="G2377" s="54" t="str">
        <f>IFERROR(VLOOKUP(F2358,'1to4-2.1-RR'!$A$12:$BG$111,23,0),"")</f>
        <v/>
      </c>
      <c r="H2377" s="54" t="str">
        <f>IFERROR(VLOOKUP(F2358,'1to4-2.1-RR'!$A$12:$BG$111,24,0),"")</f>
        <v/>
      </c>
      <c r="I2377" s="54" t="str">
        <f>IFERROR(VLOOKUP(F2358,'1to4-2.1-RR'!$A$12:$BG$111,25,0),"")</f>
        <v/>
      </c>
      <c r="J2377" s="54" t="str">
        <f>IFERROR(VLOOKUP(F2358,'1to4-2.1-RR'!$A$12:$BG$111,26,0),"")</f>
        <v/>
      </c>
      <c r="K2377" s="54" t="str">
        <f>IFERROR(VLOOKUP(F2358,'1to4-2.1-RR'!$A$12:$BG$111,27,0),"")</f>
        <v/>
      </c>
      <c r="L2377" s="55">
        <f t="shared" si="84"/>
        <v>0</v>
      </c>
      <c r="M2377" s="56" t="str">
        <f>IF(F2358&gt;ENTRY!$D$24,"",IF(L2377=0,"Ab",IF(L2377&gt;80,"A",IF(L2377&gt;60,"B",IF(L2377&gt;44,"C",IF(L2377&gt;=33,"D",IF(L2377&lt;=32,"E","")))))))</f>
        <v/>
      </c>
      <c r="N2377" s="56"/>
      <c r="O2377" s="29"/>
      <c r="P2377" s="19"/>
      <c r="Q2377" s="14"/>
      <c r="R2377" s="11"/>
    </row>
    <row r="2378" s="1" customFormat="1" ht="21.95" customHeight="1" spans="1:18">
      <c r="A2378" s="7"/>
      <c r="B2378" s="12"/>
      <c r="C2378" s="33"/>
      <c r="D2378" s="117" t="s">
        <v>719</v>
      </c>
      <c r="E2378" s="117"/>
      <c r="F2378" s="117"/>
      <c r="G2378" s="54" t="str">
        <f>IFERROR(VLOOKUP(F2358,'1to4-2.1-RR'!$A$12:$BG$111,30,0),"")</f>
        <v/>
      </c>
      <c r="H2378" s="54" t="str">
        <f>IFERROR(VLOOKUP(F2358,'1to4-2.1-RR'!$A$12:$BG$111,31,0),"")</f>
        <v/>
      </c>
      <c r="I2378" s="54" t="str">
        <f>IFERROR(VLOOKUP(F2358,'1to4-2.1-RR'!$A$12:$BG$111,32,0),"")</f>
        <v/>
      </c>
      <c r="J2378" s="54" t="str">
        <f>IFERROR(VLOOKUP(F2358,'1to4-2.1-RR'!$A$12:$BG$111,33,0),"")</f>
        <v/>
      </c>
      <c r="K2378" s="54" t="str">
        <f>IFERROR(VLOOKUP(F2358,'1to4-2.1-RR'!$A$12:$BG$111,34,0),"")</f>
        <v/>
      </c>
      <c r="L2378" s="55">
        <f t="shared" si="84"/>
        <v>0</v>
      </c>
      <c r="M2378" s="56" t="str">
        <f>IF(F2358&gt;ENTRY!$D$24,"",IF(L2378=0,"Ab",IF(L2378&gt;80,"A",IF(L2378&gt;60,"B",IF(L2378&gt;44,"C",IF(L2378&gt;=33,"D",IF(L2378&lt;=32,"E","")))))))</f>
        <v/>
      </c>
      <c r="N2378" s="56"/>
      <c r="O2378" s="29"/>
      <c r="P2378" s="19"/>
      <c r="Q2378" s="14"/>
      <c r="R2378" s="11"/>
    </row>
    <row r="2379" s="1" customFormat="1" ht="21.95" customHeight="1" spans="1:18">
      <c r="A2379" s="7"/>
      <c r="B2379" s="12"/>
      <c r="C2379" s="33"/>
      <c r="D2379" s="117" t="s">
        <v>548</v>
      </c>
      <c r="E2379" s="117"/>
      <c r="F2379" s="117"/>
      <c r="G2379" s="54" t="str">
        <f>IFERROR(VLOOKUP(F2358,'1to4-2.1-RR'!$A$12:$BG$111,37,0),"")</f>
        <v/>
      </c>
      <c r="H2379" s="54" t="str">
        <f>IFERROR(VLOOKUP(F2358,'1to4-2.1-RR'!$A$12:$BG$111,38,0),"")</f>
        <v/>
      </c>
      <c r="I2379" s="54" t="str">
        <f>IFERROR(VLOOKUP(F2358,'1to4-2.1-RR'!$A$12:$BG$111,39,0),"")</f>
        <v/>
      </c>
      <c r="J2379" s="54" t="str">
        <f>IFERROR(VLOOKUP(F2358,'1to4-2.1-RR'!$A$12:$BG$111,40,0),"")</f>
        <v/>
      </c>
      <c r="K2379" s="54" t="str">
        <f>IFERROR(VLOOKUP(F2358,'1to4-2.1-RR'!$A$12:$BG$111,41,0),"")</f>
        <v/>
      </c>
      <c r="L2379" s="55">
        <f t="shared" si="84"/>
        <v>0</v>
      </c>
      <c r="M2379" s="56" t="str">
        <f>IF(F2358&gt;ENTRY!$D$24,"",IF(L2379=0,"Ab",IF(L2379&gt;80,"A",IF(L2379&gt;60,"B",IF(L2379&gt;44,"C",IF(L2379&gt;=33,"D",IF(L2379&lt;=32,"E","")))))))</f>
        <v/>
      </c>
      <c r="N2379" s="56"/>
      <c r="O2379" s="29"/>
      <c r="P2379" s="19"/>
      <c r="Q2379" s="14"/>
      <c r="R2379" s="11"/>
    </row>
    <row r="2380" s="1" customFormat="1" ht="21.95" customHeight="1" spans="1:18">
      <c r="A2380" s="7"/>
      <c r="B2380" s="12"/>
      <c r="C2380" s="33"/>
      <c r="D2380" s="117" t="s">
        <v>549</v>
      </c>
      <c r="E2380" s="117"/>
      <c r="F2380" s="117"/>
      <c r="G2380" s="54" t="str">
        <f>IFERROR(VLOOKUP(F2358,'1to4-2.1-RR'!$A$12:$BG$111,44,0),"")</f>
        <v/>
      </c>
      <c r="H2380" s="54" t="str">
        <f>IFERROR(VLOOKUP(F2358,'1to4-2.1-RR'!$A$12:$BG$111,45,0),"")</f>
        <v/>
      </c>
      <c r="I2380" s="54" t="str">
        <f>IFERROR(VLOOKUP(F2358,'1to4-2.1-RR'!$A$12:$BG$111,46,0),"")</f>
        <v/>
      </c>
      <c r="J2380" s="54" t="str">
        <f>IFERROR(VLOOKUP(F2358,'1to4-2.1-RR'!$A$12:$BG$111,47,0),"")</f>
        <v/>
      </c>
      <c r="K2380" s="54" t="str">
        <f>IFERROR(VLOOKUP(F2358,'1to4-2.1-RR'!$A$12:$BG$111,48,0),"")</f>
        <v/>
      </c>
      <c r="L2380" s="55">
        <f t="shared" si="84"/>
        <v>0</v>
      </c>
      <c r="M2380" s="56" t="str">
        <f>IF(F2358&gt;ENTRY!$D$24,"",IF(L2380=0,"Ab",IF(L2380&gt;80,"A",IF(L2380&gt;60,"B",IF(L2380&gt;44,"C",IF(L2380&gt;=33,"D",IF(L2380&lt;=32,"E","")))))))</f>
        <v/>
      </c>
      <c r="N2380" s="56"/>
      <c r="O2380" s="29"/>
      <c r="P2380" s="19"/>
      <c r="Q2380" s="14"/>
      <c r="R2380" s="11"/>
    </row>
    <row r="2381" s="1" customFormat="1" ht="21.95" customHeight="1" spans="1:18">
      <c r="A2381" s="7"/>
      <c r="B2381" s="12"/>
      <c r="C2381" s="33"/>
      <c r="D2381" s="117" t="s">
        <v>720</v>
      </c>
      <c r="E2381" s="117"/>
      <c r="F2381" s="117"/>
      <c r="G2381" s="54"/>
      <c r="H2381" s="54"/>
      <c r="I2381" s="54"/>
      <c r="J2381" s="54"/>
      <c r="K2381" s="54"/>
      <c r="L2381" s="55">
        <f t="shared" si="84"/>
        <v>0</v>
      </c>
      <c r="M2381" s="56" t="str">
        <f>IF(F2358&gt;ENTRY!$D$24,"",IF(L2381=0,"",IF(L2381&gt;79,"A",IF(L2381&gt;59,"B",IF(L2381&gt;44,"C",IF(L2381&gt;=33,"D",IF(L2381&lt;=32,"E","")))))))</f>
        <v/>
      </c>
      <c r="N2381" s="56"/>
      <c r="O2381" s="29"/>
      <c r="P2381" s="19"/>
      <c r="Q2381" s="14"/>
      <c r="R2381" s="11"/>
    </row>
    <row r="2382" s="1" customFormat="1" ht="21.95" customHeight="1" spans="1:18">
      <c r="A2382" s="7"/>
      <c r="B2382" s="12"/>
      <c r="C2382" s="33"/>
      <c r="D2382" s="207" t="s">
        <v>382</v>
      </c>
      <c r="E2382" s="207"/>
      <c r="F2382" s="207"/>
      <c r="G2382" s="54">
        <f t="shared" ref="G2382:L2382" si="85">IFERROR(SUM(G2375:G2381),"")</f>
        <v>0</v>
      </c>
      <c r="H2382" s="54">
        <f t="shared" si="85"/>
        <v>0</v>
      </c>
      <c r="I2382" s="54">
        <f t="shared" si="85"/>
        <v>0</v>
      </c>
      <c r="J2382" s="54">
        <f t="shared" si="85"/>
        <v>0</v>
      </c>
      <c r="K2382" s="54">
        <f t="shared" si="85"/>
        <v>0</v>
      </c>
      <c r="L2382" s="55">
        <f t="shared" si="85"/>
        <v>0</v>
      </c>
      <c r="M2382" s="61" t="str">
        <f>IF(F2358&gt;ENTRY!$D$24,"",IF(N2383="Ab","Ab",IF(N2383&gt;79.5,"A",IF(N2383&gt;59.5,"B",IF(N2383&gt;44.5,"C",IF(N2383&gt;=33,"D",IF(N2383&lt;33,"E","")))))))</f>
        <v/>
      </c>
      <c r="N2382" s="61"/>
      <c r="O2382" s="29"/>
      <c r="P2382" s="19"/>
      <c r="Q2382" s="14"/>
      <c r="R2382" s="11"/>
    </row>
    <row r="2383" s="1" customFormat="1" ht="21.95" customHeight="1" spans="1:18">
      <c r="A2383" s="7"/>
      <c r="B2383" s="12"/>
      <c r="C2383" s="33"/>
      <c r="D2383" s="63" t="s">
        <v>721</v>
      </c>
      <c r="E2383" s="63"/>
      <c r="F2383" s="63"/>
      <c r="G2383" s="63"/>
      <c r="H2383" s="63"/>
      <c r="I2383" s="63"/>
      <c r="J2383" s="63"/>
      <c r="K2383" s="63"/>
      <c r="L2383" s="63"/>
      <c r="M2383" s="209"/>
      <c r="N2383" s="64">
        <f>IF(L2382="Ab","Ab",L2382/6)</f>
        <v>0</v>
      </c>
      <c r="O2383" s="65"/>
      <c r="P2383" s="19"/>
      <c r="Q2383" s="14"/>
      <c r="R2383" s="11"/>
    </row>
    <row r="2384" s="1" customFormat="1" ht="21.95" customHeight="1" spans="1:18">
      <c r="A2384" s="7"/>
      <c r="B2384" s="12"/>
      <c r="C2384" s="33"/>
      <c r="D2384" s="29" t="s">
        <v>716</v>
      </c>
      <c r="E2384" s="18" t="str">
        <f>IFERROR(VLOOKUP(F2358,'1to4-2.1-RR'!$A$12:$BG$111,57,0),"")</f>
        <v/>
      </c>
      <c r="F2384" s="18"/>
      <c r="G2384" s="18"/>
      <c r="H2384" s="18"/>
      <c r="I2384" s="18"/>
      <c r="J2384" s="18"/>
      <c r="K2384" s="18"/>
      <c r="L2384" s="18"/>
      <c r="M2384" s="18"/>
      <c r="N2384" s="29"/>
      <c r="O2384" s="29"/>
      <c r="P2384" s="19"/>
      <c r="Q2384" s="14"/>
      <c r="R2384" s="11"/>
    </row>
    <row r="2385" s="1" customFormat="1" ht="9.95" customHeight="1" spans="1:19">
      <c r="A2385" s="7"/>
      <c r="B2385" s="12"/>
      <c r="C2385" s="39"/>
      <c r="D2385" s="40"/>
      <c r="E2385" s="40"/>
      <c r="F2385" s="40"/>
      <c r="G2385" s="40"/>
      <c r="H2385" s="40"/>
      <c r="I2385" s="40"/>
      <c r="J2385" s="40"/>
      <c r="K2385" s="40"/>
      <c r="L2385" s="40"/>
      <c r="M2385" s="40"/>
      <c r="N2385" s="40"/>
      <c r="O2385" s="40"/>
      <c r="P2385" s="41"/>
      <c r="Q2385" s="14"/>
      <c r="R2385" s="11"/>
    </row>
    <row r="2386" s="1" customFormat="1" ht="9.95" customHeight="1" spans="1:19">
      <c r="A2386" s="7"/>
      <c r="B2386" s="12"/>
      <c r="C2386" s="30"/>
      <c r="D2386" s="31"/>
      <c r="E2386" s="31"/>
      <c r="F2386" s="29"/>
      <c r="G2386" s="31"/>
      <c r="H2386" s="31"/>
      <c r="I2386" s="31"/>
      <c r="J2386" s="31"/>
      <c r="K2386" s="31"/>
      <c r="L2386" s="31"/>
      <c r="M2386" s="31"/>
      <c r="N2386" s="31"/>
      <c r="O2386" s="31"/>
      <c r="P2386" s="32"/>
      <c r="Q2386" s="14"/>
      <c r="R2386" s="11"/>
    </row>
    <row r="2387" s="1" customFormat="1" ht="9.95" customHeight="1" spans="1:19">
      <c r="A2387" s="7"/>
      <c r="B2387" s="12"/>
      <c r="C2387" s="33"/>
      <c r="D2387" s="29"/>
      <c r="E2387" s="29"/>
      <c r="F2387" s="29"/>
      <c r="G2387" s="29"/>
      <c r="H2387" s="29"/>
      <c r="I2387" s="29"/>
      <c r="J2387" s="29"/>
      <c r="K2387" s="29"/>
      <c r="L2387" s="29"/>
      <c r="M2387" s="29"/>
      <c r="N2387" s="29"/>
      <c r="O2387" s="29"/>
      <c r="P2387" s="19"/>
      <c r="Q2387" s="14"/>
      <c r="R2387" s="11"/>
    </row>
    <row r="2388" s="1" customFormat="1" ht="9.95" customHeight="1" spans="1:19">
      <c r="A2388" s="7"/>
      <c r="B2388" s="12"/>
      <c r="C2388" s="33"/>
      <c r="D2388" s="29"/>
      <c r="E2388" s="29"/>
      <c r="F2388" s="29"/>
      <c r="G2388" s="29"/>
      <c r="H2388" s="29"/>
      <c r="I2388" s="29"/>
      <c r="J2388" s="29"/>
      <c r="K2388" s="29"/>
      <c r="L2388" s="29"/>
      <c r="M2388" s="29"/>
      <c r="N2388" s="29"/>
      <c r="O2388" s="29"/>
      <c r="P2388" s="19"/>
      <c r="Q2388" s="14"/>
      <c r="R2388" s="11"/>
    </row>
    <row r="2389" s="1" customFormat="1" ht="21.95" customHeight="1" spans="1:19">
      <c r="A2389" s="7"/>
      <c r="B2389" s="12"/>
      <c r="C2389" s="210"/>
      <c r="D2389" s="211"/>
      <c r="E2389" s="211"/>
      <c r="F2389" s="211"/>
      <c r="G2389" s="211"/>
      <c r="H2389" s="211"/>
      <c r="I2389" s="211"/>
      <c r="J2389" s="211"/>
      <c r="K2389" s="211"/>
      <c r="L2389" s="211"/>
      <c r="M2389" s="211"/>
      <c r="N2389" s="211"/>
      <c r="O2389" s="211"/>
      <c r="P2389" s="212"/>
      <c r="Q2389" s="14"/>
      <c r="R2389" s="11"/>
      <c r="S2389" s="2"/>
    </row>
    <row r="2390" s="1" customFormat="1" ht="21.95" customHeight="1" spans="1:19">
      <c r="A2390" s="7"/>
      <c r="B2390" s="12"/>
      <c r="C2390" s="33"/>
      <c r="D2390" s="207" t="s">
        <v>722</v>
      </c>
      <c r="E2390" s="207"/>
      <c r="F2390" s="207"/>
      <c r="G2390" s="207"/>
      <c r="H2390" s="54">
        <f>IFERROR(VLOOKUP(F2358,PASHEET!$A$4:$CJ$103,88,0),"")</f>
        <v>0</v>
      </c>
      <c r="I2390" s="54"/>
      <c r="J2390" s="29"/>
      <c r="K2390" s="29"/>
      <c r="L2390" s="29"/>
      <c r="M2390" s="29"/>
      <c r="N2390" s="29"/>
      <c r="O2390" s="29"/>
      <c r="P2390" s="19"/>
      <c r="Q2390" s="14"/>
      <c r="R2390" s="11"/>
    </row>
    <row r="2391" s="1" customFormat="1" ht="21.95" customHeight="1" spans="1:19">
      <c r="A2391" s="7"/>
      <c r="B2391" s="12"/>
      <c r="C2391" s="213"/>
      <c r="D2391" s="207" t="s">
        <v>723</v>
      </c>
      <c r="E2391" s="207"/>
      <c r="F2391" s="207"/>
      <c r="G2391" s="207"/>
      <c r="H2391" s="54">
        <f>IFERROR(VLOOKUP(F2358,PASHEET!$A$4:$CJ$103,87,0),"")</f>
        <v>0</v>
      </c>
      <c r="I2391" s="54"/>
      <c r="J2391" s="214"/>
      <c r="K2391" s="214"/>
      <c r="L2391" s="207" t="s">
        <v>724</v>
      </c>
      <c r="M2391" s="207"/>
      <c r="N2391" s="117" t="str">
        <f>IF(F2358&gt;ENTRY!$D$24,"",IF(F2358&gt;0,L2382&amp;" / "&amp;600,""))</f>
        <v/>
      </c>
      <c r="O2391" s="117"/>
      <c r="P2391" s="215"/>
      <c r="Q2391" s="14"/>
      <c r="R2391" s="11"/>
    </row>
    <row r="2392" s="1" customFormat="1" ht="18" customHeight="1" spans="1:19">
      <c r="A2392" s="7"/>
      <c r="B2392" s="12"/>
      <c r="C2392" s="33"/>
      <c r="D2392" s="207" t="s">
        <v>725</v>
      </c>
      <c r="E2392" s="207"/>
      <c r="F2392" s="207"/>
      <c r="G2392" s="207"/>
      <c r="H2392" s="69" t="str">
        <f>IFERROR(IF(F2358&gt;0,H2391/H2390*100),"")</f>
        <v/>
      </c>
      <c r="I2392" s="69"/>
      <c r="J2392" s="29"/>
      <c r="K2392" s="29"/>
      <c r="L2392" s="207" t="s">
        <v>726</v>
      </c>
      <c r="M2392" s="207"/>
      <c r="N2392" s="216" t="str">
        <f>IF(F2358&gt;ENTRY!$D$24,"",IF(F2358&gt;0,L2382/600*100,""))</f>
        <v/>
      </c>
      <c r="O2392" s="216"/>
      <c r="P2392" s="19"/>
      <c r="Q2392" s="14"/>
      <c r="R2392" s="11"/>
    </row>
    <row r="2393" s="1" customFormat="1" ht="21.95" customHeight="1" spans="1:19">
      <c r="A2393" s="7"/>
      <c r="B2393" s="12"/>
      <c r="C2393" s="33"/>
      <c r="D2393" s="80"/>
      <c r="E2393" s="80"/>
      <c r="F2393" s="217"/>
      <c r="G2393" s="217"/>
      <c r="H2393" s="217"/>
      <c r="I2393" s="217"/>
      <c r="J2393" s="217"/>
      <c r="K2393" s="217"/>
      <c r="L2393" s="217"/>
      <c r="M2393" s="217"/>
      <c r="N2393" s="80"/>
      <c r="O2393" s="80"/>
      <c r="P2393" s="19"/>
      <c r="Q2393" s="14"/>
      <c r="R2393" s="11"/>
    </row>
    <row r="2394" s="1" customFormat="1" ht="21.95" customHeight="1" spans="1:19">
      <c r="A2394" s="7"/>
      <c r="B2394" s="12"/>
      <c r="C2394" s="33"/>
      <c r="D2394" s="80"/>
      <c r="E2394" s="218"/>
      <c r="F2394" s="218"/>
      <c r="G2394" s="218"/>
      <c r="H2394" s="80"/>
      <c r="I2394" s="218"/>
      <c r="J2394" s="218"/>
      <c r="K2394" s="218"/>
      <c r="L2394" s="218"/>
      <c r="M2394" s="80"/>
      <c r="N2394" s="219"/>
      <c r="O2394" s="219"/>
      <c r="P2394" s="19"/>
      <c r="Q2394" s="14"/>
      <c r="R2394" s="11"/>
    </row>
    <row r="2395" s="1" customFormat="1" ht="21.95" customHeight="1" spans="1:19">
      <c r="A2395" s="7"/>
      <c r="B2395" s="12"/>
      <c r="C2395" s="33"/>
      <c r="D2395" s="80"/>
      <c r="E2395" s="80"/>
      <c r="F2395" s="80"/>
      <c r="G2395" s="80"/>
      <c r="H2395" s="80"/>
      <c r="I2395" s="80"/>
      <c r="J2395" s="80"/>
      <c r="K2395" s="80"/>
      <c r="L2395" s="80"/>
      <c r="M2395" s="80"/>
      <c r="N2395" s="80"/>
      <c r="O2395" s="80"/>
      <c r="P2395" s="19"/>
      <c r="Q2395" s="14"/>
      <c r="R2395" s="11"/>
    </row>
    <row r="2396" s="1" customFormat="1" ht="21.95" customHeight="1" spans="1:19">
      <c r="A2396" s="7"/>
      <c r="B2396" s="12"/>
      <c r="C2396" s="33"/>
      <c r="D2396" s="218"/>
      <c r="E2396" s="218"/>
      <c r="F2396" s="218"/>
      <c r="G2396" s="218"/>
      <c r="H2396" s="218"/>
      <c r="I2396" s="218"/>
      <c r="J2396" s="218"/>
      <c r="K2396" s="218"/>
      <c r="L2396" s="218"/>
      <c r="M2396" s="80"/>
      <c r="N2396" s="217"/>
      <c r="O2396" s="217"/>
      <c r="P2396" s="85" t="s">
        <v>727</v>
      </c>
      <c r="Q2396" s="14"/>
      <c r="R2396" s="11"/>
    </row>
    <row r="2397" s="1" customFormat="1" ht="21.95" customHeight="1" spans="1:19">
      <c r="A2397" s="7"/>
      <c r="B2397" s="12"/>
      <c r="C2397" s="33"/>
      <c r="D2397" s="29"/>
      <c r="E2397" s="29"/>
      <c r="F2397" s="29"/>
      <c r="G2397" s="29"/>
      <c r="H2397" s="29"/>
      <c r="I2397" s="29"/>
      <c r="J2397" s="29"/>
      <c r="K2397" s="29"/>
      <c r="L2397" s="29"/>
      <c r="M2397" s="29"/>
      <c r="N2397" s="29"/>
      <c r="O2397" s="29"/>
      <c r="P2397" s="19"/>
      <c r="Q2397" s="14"/>
      <c r="R2397" s="11"/>
    </row>
    <row r="2398" s="1" customFormat="1" ht="21.95" customHeight="1" spans="1:19">
      <c r="A2398" s="7"/>
      <c r="B2398" s="12"/>
      <c r="C2398" s="33"/>
      <c r="D2398" s="29"/>
      <c r="E2398" s="29"/>
      <c r="F2398" s="29"/>
      <c r="G2398" s="29"/>
      <c r="H2398" s="29"/>
      <c r="I2398" s="29"/>
      <c r="J2398" s="29"/>
      <c r="K2398" s="29"/>
      <c r="L2398" s="29"/>
      <c r="M2398" s="29"/>
      <c r="N2398" s="29"/>
      <c r="O2398" s="29"/>
      <c r="P2398" s="19"/>
      <c r="Q2398" s="14"/>
      <c r="R2398" s="11"/>
    </row>
    <row r="2399" s="1" customFormat="1" ht="21.95" customHeight="1" spans="1:19">
      <c r="A2399" s="7"/>
      <c r="B2399" s="12"/>
      <c r="C2399" s="33"/>
      <c r="D2399" s="29"/>
      <c r="E2399" s="29"/>
      <c r="F2399" s="29"/>
      <c r="G2399" s="29"/>
      <c r="H2399" s="29"/>
      <c r="I2399" s="29"/>
      <c r="J2399" s="29"/>
      <c r="K2399" s="29"/>
      <c r="L2399" s="29"/>
      <c r="M2399" s="29"/>
      <c r="N2399" s="29"/>
      <c r="O2399" s="29"/>
      <c r="P2399" s="19"/>
      <c r="Q2399" s="14"/>
      <c r="R2399" s="11"/>
    </row>
    <row r="2400" s="1" customFormat="1" ht="21.95" customHeight="1" spans="1:19">
      <c r="A2400" s="7"/>
      <c r="B2400" s="12"/>
      <c r="C2400" s="33"/>
      <c r="D2400" s="29"/>
      <c r="E2400" s="29"/>
      <c r="F2400" s="29"/>
      <c r="G2400" s="29"/>
      <c r="H2400" s="29"/>
      <c r="I2400" s="29"/>
      <c r="J2400" s="29"/>
      <c r="K2400" s="29"/>
      <c r="L2400" s="29"/>
      <c r="M2400" s="29"/>
      <c r="N2400" s="29"/>
      <c r="O2400" s="29"/>
      <c r="P2400" s="19"/>
      <c r="Q2400" s="14"/>
      <c r="R2400" s="11"/>
    </row>
    <row r="2401" s="1" customFormat="1" ht="21.95" customHeight="1" spans="1:18">
      <c r="A2401" s="7"/>
      <c r="B2401" s="12"/>
      <c r="C2401" s="33"/>
      <c r="D2401" s="29"/>
      <c r="E2401" s="29"/>
      <c r="F2401" s="29"/>
      <c r="G2401" s="29"/>
      <c r="H2401" s="29"/>
      <c r="I2401" s="29"/>
      <c r="J2401" s="29"/>
      <c r="K2401" s="29"/>
      <c r="L2401" s="29"/>
      <c r="M2401" s="29"/>
      <c r="N2401" s="29"/>
      <c r="O2401" s="29"/>
      <c r="P2401" s="19"/>
      <c r="Q2401" s="14"/>
      <c r="R2401" s="11"/>
    </row>
    <row r="2402" s="1" customFormat="1" ht="21.95" customHeight="1" spans="1:18">
      <c r="A2402" s="7"/>
      <c r="B2402" s="12"/>
      <c r="C2402" s="33"/>
      <c r="D2402" s="80" t="s">
        <v>728</v>
      </c>
      <c r="E2402" s="220">
        <f>ENTRY!$D$27</f>
        <v>46102</v>
      </c>
      <c r="F2402" s="220"/>
      <c r="G2402" s="29"/>
      <c r="H2402" s="29"/>
      <c r="I2402" s="221" t="s">
        <v>729</v>
      </c>
      <c r="J2402" s="153"/>
      <c r="K2402" s="29"/>
      <c r="L2402" s="29"/>
      <c r="M2402" s="87" t="s">
        <v>730</v>
      </c>
      <c r="N2402" s="87"/>
      <c r="O2402" s="87"/>
      <c r="P2402" s="19"/>
      <c r="Q2402" s="14"/>
      <c r="R2402" s="11"/>
    </row>
    <row r="2403" s="1" customFormat="1" ht="21.95" customHeight="1" spans="1:18">
      <c r="A2403" s="7"/>
      <c r="B2403" s="12"/>
      <c r="C2403" s="33"/>
      <c r="D2403" s="80" t="s">
        <v>731</v>
      </c>
      <c r="E2403" s="88" t="str">
        <f>PROPER(ENTRY!$D$28)</f>
        <v>New Delhi</v>
      </c>
      <c r="F2403" s="88"/>
      <c r="G2403" s="29"/>
      <c r="H2403" s="29"/>
      <c r="I2403" s="153"/>
      <c r="J2403" s="153"/>
      <c r="K2403" s="29"/>
      <c r="L2403" s="29"/>
      <c r="M2403" s="79" t="s">
        <v>732</v>
      </c>
      <c r="N2403" s="79"/>
      <c r="O2403" s="79"/>
      <c r="P2403" s="19"/>
      <c r="Q2403" s="14"/>
      <c r="R2403" s="11"/>
    </row>
    <row r="2404" s="1" customFormat="1" ht="21.95" customHeight="1" spans="1:18">
      <c r="A2404" s="7"/>
      <c r="B2404" s="12"/>
      <c r="C2404" s="90"/>
      <c r="D2404" s="91"/>
      <c r="E2404" s="91"/>
      <c r="F2404" s="91"/>
      <c r="G2404" s="91"/>
      <c r="H2404" s="91"/>
      <c r="I2404" s="91"/>
      <c r="J2404" s="91"/>
      <c r="K2404" s="91"/>
      <c r="L2404" s="91"/>
      <c r="M2404" s="91"/>
      <c r="N2404" s="91"/>
      <c r="O2404" s="91"/>
      <c r="P2404" s="92"/>
      <c r="Q2404" s="14"/>
      <c r="R2404" s="11"/>
    </row>
    <row r="2405" s="1" customFormat="1" ht="5.1" customHeight="1" spans="1:18">
      <c r="A2405" s="7"/>
      <c r="B2405" s="90"/>
      <c r="C2405" s="91"/>
      <c r="D2405" s="91"/>
      <c r="E2405" s="91"/>
      <c r="F2405" s="91"/>
      <c r="G2405" s="91"/>
      <c r="H2405" s="91"/>
      <c r="I2405" s="91"/>
      <c r="J2405" s="91"/>
      <c r="K2405" s="91"/>
      <c r="L2405" s="91"/>
      <c r="M2405" s="91"/>
      <c r="N2405" s="91"/>
      <c r="O2405" s="91"/>
      <c r="P2405" s="91"/>
      <c r="Q2405" s="92"/>
      <c r="R2405" s="11"/>
    </row>
    <row r="2406" s="1" customFormat="1" ht="5.1" customHeight="1" spans="1:18">
      <c r="A2406" s="93"/>
      <c r="B2406" s="94"/>
      <c r="C2406" s="94"/>
      <c r="D2406" s="94"/>
      <c r="E2406" s="94"/>
      <c r="F2406" s="94"/>
      <c r="G2406" s="94"/>
      <c r="H2406" s="94"/>
      <c r="I2406" s="94"/>
      <c r="J2406" s="94"/>
      <c r="K2406" s="94"/>
      <c r="L2406" s="94"/>
      <c r="M2406" s="94"/>
      <c r="N2406" s="94"/>
      <c r="O2406" s="94"/>
      <c r="P2406" s="94"/>
      <c r="Q2406" s="94"/>
      <c r="R2406" s="95"/>
    </row>
    <row r="2407" s="1" customFormat="1" ht="21.95" customHeight="1"/>
    <row r="2408" ht="15.15"/>
    <row r="2409" s="1" customFormat="1" ht="5.1" customHeight="1" spans="1:18">
      <c r="A2409" s="4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  <c r="O2409" s="5"/>
      <c r="P2409" s="5"/>
      <c r="Q2409" s="5"/>
      <c r="R2409" s="6"/>
    </row>
    <row r="2410" s="1" customFormat="1" ht="15" customHeight="1" spans="1:18">
      <c r="A2410" s="7"/>
      <c r="B2410" s="8"/>
      <c r="C2410" s="9"/>
      <c r="D2410" s="9"/>
      <c r="E2410" s="9"/>
      <c r="F2410" s="9"/>
      <c r="G2410" s="9"/>
      <c r="H2410" s="9"/>
      <c r="I2410" s="9"/>
      <c r="J2410" s="9"/>
      <c r="K2410" s="9"/>
      <c r="L2410" s="9"/>
      <c r="M2410" s="9"/>
      <c r="N2410" s="9"/>
      <c r="O2410" s="9"/>
      <c r="P2410" s="9"/>
      <c r="Q2410" s="10"/>
      <c r="R2410" s="11"/>
    </row>
    <row r="2411" s="1" customFormat="1" ht="21.95" customHeight="1" spans="1:18">
      <c r="A2411" s="7"/>
      <c r="B2411" s="12"/>
      <c r="C2411" s="13" t="s">
        <v>7</v>
      </c>
      <c r="D2411" s="13"/>
      <c r="E2411" s="13"/>
      <c r="F2411" s="13"/>
      <c r="G2411" s="13"/>
      <c r="H2411" s="13"/>
      <c r="I2411" s="13"/>
      <c r="J2411" s="13"/>
      <c r="K2411" s="13"/>
      <c r="L2411" s="13"/>
      <c r="M2411" s="13"/>
      <c r="N2411" s="13"/>
      <c r="O2411" s="13"/>
      <c r="P2411" s="13"/>
      <c r="Q2411" s="14"/>
      <c r="R2411" s="11"/>
    </row>
    <row r="2412" s="1" customFormat="1" ht="21.95" customHeight="1" spans="1:18">
      <c r="A2412" s="7"/>
      <c r="B2412" s="1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14"/>
      <c r="R2412" s="11"/>
    </row>
    <row r="2413" s="1" customFormat="1" ht="21.95" customHeight="1" spans="1:18">
      <c r="A2413" s="7"/>
      <c r="B2413" s="12"/>
      <c r="C2413" s="15" t="str">
        <f>"SESSION-"&amp;ENTRY!$D$11</f>
        <v>SESSION-2026-27</v>
      </c>
      <c r="D2413" s="15"/>
      <c r="E2413" s="15"/>
      <c r="F2413" s="15"/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4"/>
      <c r="R2413" s="11"/>
    </row>
    <row r="2414" s="1" customFormat="1" ht="21.95" customHeight="1" spans="1:18">
      <c r="A2414" s="7"/>
      <c r="B2414" s="12"/>
      <c r="C2414" s="2"/>
      <c r="D2414" s="2"/>
      <c r="E2414" s="2"/>
      <c r="F2414" s="16">
        <f>F2358+1</f>
        <v>44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14"/>
      <c r="R2414" s="11"/>
    </row>
    <row r="2415" s="1" customFormat="1" ht="21.95" customHeight="1" spans="1:18">
      <c r="A2415" s="7"/>
      <c r="B2415" s="12"/>
      <c r="C2415" s="17" t="s">
        <v>392</v>
      </c>
      <c r="D2415" s="17"/>
      <c r="E2415" s="17"/>
      <c r="F2415" s="18" t="str">
        <f>IF(F2414&gt;0,ENTRY!$D$6,"")</f>
        <v>MCP NITHARI NO 1 BOYS</v>
      </c>
      <c r="G2415" s="18"/>
      <c r="H2415" s="18"/>
      <c r="I2415" s="18"/>
      <c r="J2415" s="18"/>
      <c r="K2415" s="18"/>
      <c r="L2415" s="18"/>
      <c r="M2415" s="18"/>
      <c r="N2415" s="18"/>
      <c r="O2415" s="18"/>
      <c r="P2415" s="18"/>
      <c r="Q2415" s="14"/>
      <c r="R2415" s="11"/>
    </row>
    <row r="2416" s="1" customFormat="1" ht="21.95" customHeight="1" spans="1:18">
      <c r="A2416" s="7"/>
      <c r="B2416" s="12"/>
      <c r="C2416" s="17" t="s">
        <v>393</v>
      </c>
      <c r="D2416" s="17"/>
      <c r="E2416" s="17"/>
      <c r="F2416" s="18">
        <f>IF(F2414&gt;0,ENTRY!$D$7,"")</f>
        <v>0</v>
      </c>
      <c r="G2416" s="18"/>
      <c r="H2416" s="20" t="s">
        <v>702</v>
      </c>
      <c r="I2416" s="20"/>
      <c r="J2416" s="21">
        <f>IF(F2414&gt;0,ENTRY!$D$10,"")</f>
        <v>40</v>
      </c>
      <c r="K2416" s="20" t="s">
        <v>703</v>
      </c>
      <c r="L2416" s="22" t="str">
        <f>IF(F2414&gt;0,ENTRY!$D$5,"")</f>
        <v>ROHINI ZONE</v>
      </c>
      <c r="M2416" s="22"/>
      <c r="N2416" s="22"/>
      <c r="O2416" s="22"/>
      <c r="P2416" s="22"/>
      <c r="Q2416" s="14"/>
      <c r="R2416" s="11"/>
    </row>
    <row r="2417" s="1" customFormat="1" ht="21.95" customHeight="1" spans="1:18">
      <c r="A2417" s="7"/>
      <c r="B2417" s="12"/>
      <c r="C2417" s="17" t="s">
        <v>706</v>
      </c>
      <c r="D2417" s="17"/>
      <c r="E2417" s="17"/>
      <c r="F2417" s="23">
        <f>IFERROR(VLOOKUP(F2414,STUDENT!$A$2:$BP$101,5,0),"")</f>
        <v>0</v>
      </c>
      <c r="G2417" s="23"/>
      <c r="H2417" s="23"/>
      <c r="I2417" s="23"/>
      <c r="J2417" s="23"/>
      <c r="K2417" s="23"/>
      <c r="L2417" s="20" t="s">
        <v>707</v>
      </c>
      <c r="M2417" s="20"/>
      <c r="N2417" s="24" t="str">
        <f>IF(F2414&gt;0,ENTRY!$D$20&amp;"-"&amp;ENTRY!$D$21,"")</f>
        <v>III-A</v>
      </c>
      <c r="O2417" s="24"/>
      <c r="P2417" s="24"/>
      <c r="Q2417" s="14"/>
      <c r="R2417" s="11"/>
    </row>
    <row r="2418" s="1" customFormat="1" ht="21.95" customHeight="1" spans="1:18">
      <c r="A2418" s="7"/>
      <c r="B2418" s="12"/>
      <c r="C2418" s="17" t="s">
        <v>708</v>
      </c>
      <c r="D2418" s="17"/>
      <c r="E2418" s="17"/>
      <c r="F2418" s="25">
        <f>IFERROR(VLOOKUP(F2414,STUDENT!$A$2:$BP$101,6,0),"")</f>
        <v>0</v>
      </c>
      <c r="G2418" s="25"/>
      <c r="H2418" s="26" t="s">
        <v>709</v>
      </c>
      <c r="I2418" s="27" t="str">
        <f>IFERROR(VLOOKUP(F2414,STUDENT!$A$2:$BP$101,59,0),"")</f>
        <v/>
      </c>
      <c r="J2418" s="27"/>
      <c r="K2418" s="20" t="s">
        <v>710</v>
      </c>
      <c r="L2418" s="20"/>
      <c r="M2418" s="28">
        <f>IFERROR(VLOOKUP(F2414,STUDENT!$A$2:$BP$101,20,0),"")</f>
        <v>0</v>
      </c>
      <c r="N2418" s="28"/>
      <c r="O2418" s="28"/>
      <c r="P2418" s="28"/>
      <c r="Q2418" s="14"/>
      <c r="R2418" s="11"/>
    </row>
    <row r="2419" s="1" customFormat="1" ht="21.95" customHeight="1" spans="1:18">
      <c r="A2419" s="7"/>
      <c r="B2419" s="12"/>
      <c r="C2419" s="17" t="s">
        <v>711</v>
      </c>
      <c r="D2419" s="17"/>
      <c r="E2419" s="17"/>
      <c r="F2419" s="23">
        <f>IFERROR(VLOOKUP(F2414,STUDENT!$A$2:$BP$101,9,0),"")</f>
        <v>0</v>
      </c>
      <c r="G2419" s="23"/>
      <c r="H2419" s="23"/>
      <c r="I2419" s="23"/>
      <c r="J2419" s="17" t="s">
        <v>620</v>
      </c>
      <c r="K2419" s="17"/>
      <c r="L2419" s="23">
        <f>IFERROR(VLOOKUP(F2414,STUDENT!$A$2:$BP$101,8,0),"")</f>
        <v>0</v>
      </c>
      <c r="M2419" s="23"/>
      <c r="N2419" s="23"/>
      <c r="O2419" s="23"/>
      <c r="P2419" s="23"/>
      <c r="Q2419" s="14"/>
      <c r="R2419" s="11"/>
    </row>
    <row r="2420" s="1" customFormat="1" ht="21.95" customHeight="1" spans="1:18">
      <c r="A2420" s="7"/>
      <c r="B2420" s="12"/>
      <c r="C2420" s="17" t="s">
        <v>712</v>
      </c>
      <c r="D2420" s="17"/>
      <c r="E2420" s="17"/>
      <c r="F2420" s="23">
        <f>IFERROR(VLOOKUP(F2414,STUDENT!$A$2:$BP$101,22,0),"")</f>
        <v>0</v>
      </c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14"/>
      <c r="R2420" s="11"/>
    </row>
    <row r="2421" s="1" customFormat="1" ht="9.95" customHeight="1" spans="1:18">
      <c r="A2421" s="7"/>
      <c r="B2421" s="12"/>
      <c r="C2421" s="29"/>
      <c r="D2421" s="29"/>
      <c r="E2421" s="29"/>
      <c r="F2421" s="29"/>
      <c r="G2421" s="29"/>
      <c r="H2421" s="29"/>
      <c r="I2421" s="29"/>
      <c r="J2421" s="29"/>
      <c r="K2421" s="29"/>
      <c r="L2421" s="29"/>
      <c r="M2421" s="29"/>
      <c r="N2421" s="29"/>
      <c r="O2421" s="29"/>
      <c r="P2421" s="29"/>
      <c r="Q2421" s="14"/>
      <c r="R2421" s="11"/>
    </row>
    <row r="2422" s="1" customFormat="1" ht="9.95" customHeight="1" spans="1:18">
      <c r="A2422" s="7"/>
      <c r="B2422" s="12"/>
      <c r="C2422" s="30"/>
      <c r="D2422" s="31"/>
      <c r="E2422" s="31"/>
      <c r="F2422" s="31"/>
      <c r="G2422" s="31"/>
      <c r="H2422" s="31"/>
      <c r="I2422" s="31"/>
      <c r="J2422" s="31"/>
      <c r="K2422" s="31"/>
      <c r="L2422" s="31"/>
      <c r="M2422" s="31"/>
      <c r="N2422" s="31"/>
      <c r="O2422" s="31"/>
      <c r="P2422" s="32"/>
      <c r="Q2422" s="14"/>
      <c r="R2422" s="11"/>
    </row>
    <row r="2423" s="1" customFormat="1" ht="21.95" customHeight="1" spans="1:18">
      <c r="A2423" s="7"/>
      <c r="B2423" s="12"/>
      <c r="C2423" s="33"/>
      <c r="D2423" s="34" t="s">
        <v>713</v>
      </c>
      <c r="E2423" s="20" t="s">
        <v>714</v>
      </c>
      <c r="F2423" s="35" t="str">
        <f>"Level - "&amp;IFERROR(VLOOKUP(F2414,FLN!$A$4:$K$103,9,0),"")</f>
        <v>Level - </v>
      </c>
      <c r="G2423" s="36"/>
      <c r="H2423" s="37" t="s">
        <v>715</v>
      </c>
      <c r="I2423" s="20"/>
      <c r="J2423" s="35" t="str">
        <f>"Level - "&amp;IFERROR(VLOOKUP(F2414,FLN!$A$4:$K$103,11,0),"")</f>
        <v>Level - </v>
      </c>
      <c r="K2423" s="36"/>
      <c r="L2423" s="37" t="s">
        <v>408</v>
      </c>
      <c r="M2423" s="20"/>
      <c r="N2423" s="35" t="str">
        <f>"Level - "&amp;IFERROR(VLOOKUP(F2414,FLN!$A$4:$K$103,10,0),"")</f>
        <v>Level - </v>
      </c>
      <c r="O2423" s="36"/>
      <c r="P2423" s="19"/>
      <c r="Q2423" s="14"/>
      <c r="R2423" s="11"/>
    </row>
    <row r="2424" s="1" customFormat="1" ht="21.95" customHeight="1" spans="1:18">
      <c r="A2424" s="7"/>
      <c r="B2424" s="12"/>
      <c r="C2424" s="33"/>
      <c r="D2424" s="38"/>
      <c r="E2424" s="20" t="s">
        <v>716</v>
      </c>
      <c r="F2424" s="18" t="str">
        <f>IF(L2438&gt;197,"PERFORMED WELL","")</f>
        <v/>
      </c>
      <c r="G2424" s="18"/>
      <c r="H2424" s="18"/>
      <c r="I2424" s="18"/>
      <c r="J2424" s="18"/>
      <c r="K2424" s="18"/>
      <c r="L2424" s="18"/>
      <c r="M2424" s="18"/>
      <c r="N2424" s="18"/>
      <c r="O2424" s="18"/>
      <c r="P2424" s="19"/>
      <c r="Q2424" s="14"/>
      <c r="R2424" s="11"/>
    </row>
    <row r="2425" s="1" customFormat="1" ht="9.95" customHeight="1" spans="1:18">
      <c r="A2425" s="7"/>
      <c r="B2425" s="12"/>
      <c r="C2425" s="39"/>
      <c r="D2425" s="40"/>
      <c r="E2425" s="40"/>
      <c r="F2425" s="40"/>
      <c r="G2425" s="40"/>
      <c r="H2425" s="40"/>
      <c r="I2425" s="40"/>
      <c r="J2425" s="40"/>
      <c r="K2425" s="40"/>
      <c r="L2425" s="40"/>
      <c r="M2425" s="40"/>
      <c r="N2425" s="40"/>
      <c r="O2425" s="40"/>
      <c r="P2425" s="41"/>
      <c r="Q2425" s="14"/>
      <c r="R2425" s="11"/>
    </row>
    <row r="2426" s="1" customFormat="1" ht="9.95" customHeight="1" spans="1:18">
      <c r="A2426" s="7"/>
      <c r="B2426" s="12"/>
      <c r="C2426" s="29"/>
      <c r="D2426" s="29"/>
      <c r="E2426" s="29"/>
      <c r="F2426" s="29"/>
      <c r="G2426" s="29"/>
      <c r="H2426" s="29"/>
      <c r="I2426" s="29"/>
      <c r="J2426" s="29"/>
      <c r="K2426" s="29"/>
      <c r="L2426" s="29"/>
      <c r="M2426" s="29"/>
      <c r="N2426" s="29"/>
      <c r="O2426" s="29"/>
      <c r="P2426" s="29"/>
      <c r="Q2426" s="14"/>
      <c r="R2426" s="11"/>
    </row>
    <row r="2427" s="1" customFormat="1" ht="9.95" customHeight="1" spans="1:18">
      <c r="A2427" s="7"/>
      <c r="B2427" s="12"/>
      <c r="C2427" s="30"/>
      <c r="D2427" s="31"/>
      <c r="E2427" s="31"/>
      <c r="F2427" s="31"/>
      <c r="G2427" s="31"/>
      <c r="H2427" s="31"/>
      <c r="I2427" s="31"/>
      <c r="J2427" s="31"/>
      <c r="K2427" s="31"/>
      <c r="L2427" s="31"/>
      <c r="M2427" s="31"/>
      <c r="N2427" s="31"/>
      <c r="O2427" s="31"/>
      <c r="P2427" s="32"/>
      <c r="Q2427" s="14"/>
      <c r="R2427" s="11"/>
    </row>
    <row r="2428" s="1" customFormat="1" ht="21.95" customHeight="1" spans="1:18">
      <c r="A2428" s="7"/>
      <c r="B2428" s="12"/>
      <c r="C2428" s="33"/>
      <c r="D2428" s="35"/>
      <c r="E2428" s="24"/>
      <c r="F2428" s="24"/>
      <c r="G2428" s="47" t="s">
        <v>717</v>
      </c>
      <c r="H2428" s="47"/>
      <c r="I2428" s="47"/>
      <c r="J2428" s="47"/>
      <c r="K2428" s="47"/>
      <c r="L2428" s="47"/>
      <c r="M2428" s="47"/>
      <c r="N2428" s="47"/>
      <c r="O2428" s="29"/>
      <c r="P2428" s="19"/>
      <c r="Q2428" s="14"/>
      <c r="R2428" s="11"/>
    </row>
    <row r="2429" s="1" customFormat="1" ht="21.95" customHeight="1" spans="1:18">
      <c r="A2429" s="7"/>
      <c r="B2429" s="12"/>
      <c r="C2429" s="33"/>
      <c r="D2429" s="47"/>
      <c r="E2429" s="47"/>
      <c r="F2429" s="47"/>
      <c r="G2429" s="47" t="s">
        <v>541</v>
      </c>
      <c r="H2429" s="47" t="s">
        <v>542</v>
      </c>
      <c r="I2429" s="47" t="s">
        <v>543</v>
      </c>
      <c r="J2429" s="47" t="s">
        <v>544</v>
      </c>
      <c r="K2429" s="47" t="s">
        <v>561</v>
      </c>
      <c r="L2429" s="47" t="s">
        <v>382</v>
      </c>
      <c r="M2429" s="49" t="s">
        <v>546</v>
      </c>
      <c r="N2429" s="49"/>
      <c r="O2429" s="29"/>
      <c r="P2429" s="19"/>
      <c r="Q2429" s="14"/>
      <c r="R2429" s="11"/>
    </row>
    <row r="2430" s="1" customFormat="1" ht="21.95" customHeight="1" spans="1:18">
      <c r="A2430" s="7"/>
      <c r="B2430" s="12"/>
      <c r="C2430" s="33"/>
      <c r="D2430" s="207" t="s">
        <v>652</v>
      </c>
      <c r="E2430" s="207"/>
      <c r="F2430" s="207"/>
      <c r="G2430" s="50">
        <v>10</v>
      </c>
      <c r="H2430" s="50">
        <v>10</v>
      </c>
      <c r="I2430" s="50">
        <v>10</v>
      </c>
      <c r="J2430" s="50">
        <v>10</v>
      </c>
      <c r="K2430" s="50">
        <v>60</v>
      </c>
      <c r="L2430" s="50">
        <v>100</v>
      </c>
      <c r="M2430" s="49"/>
      <c r="N2430" s="49"/>
      <c r="O2430" s="29"/>
      <c r="P2430" s="19"/>
      <c r="Q2430" s="14"/>
      <c r="R2430" s="11"/>
    </row>
    <row r="2431" s="1" customFormat="1" ht="21.95" customHeight="1" spans="1:18">
      <c r="A2431" s="7"/>
      <c r="B2431" s="12"/>
      <c r="C2431" s="33"/>
      <c r="D2431" s="117" t="s">
        <v>668</v>
      </c>
      <c r="E2431" s="117"/>
      <c r="F2431" s="117"/>
      <c r="G2431" s="54" t="str">
        <f>IFERROR(VLOOKUP(F2414,'1to4-2.1-RR'!$A$12:$BG$111,9,0),"")</f>
        <v/>
      </c>
      <c r="H2431" s="54" t="str">
        <f>IFERROR(VLOOKUP(F2414,'1to4-2.1-RR'!$A$12:$BG$111,10,0),"")</f>
        <v/>
      </c>
      <c r="I2431" s="54" t="str">
        <f>IFERROR(VLOOKUP(F2414,'1to4-2.1-RR'!$A$12:$BG$111,11,0),"")</f>
        <v/>
      </c>
      <c r="J2431" s="54" t="str">
        <f>IFERROR(VLOOKUP(F2414,'1to4-2.1-RR'!$A$12:$BG$111,12,0),"")</f>
        <v/>
      </c>
      <c r="K2431" s="54" t="str">
        <f>IFERROR(VLOOKUP(F2414,'1to4-2.1-RR'!$A$12:$BG$111,13,0),"")</f>
        <v/>
      </c>
      <c r="L2431" s="55">
        <f>SUM(G2431:K2431)</f>
        <v>0</v>
      </c>
      <c r="M2431" s="56" t="str">
        <f>IF(F2414&gt;ENTRY!$D$24,"",IF(L2431=0,"Ab",IF(L2431&gt;80,"A",IF(L2431&gt;60,"B",IF(L2431&gt;44,"C",IF(L2431&gt;=33,"D",IF(L2431&lt;=32,"E","")))))))</f>
        <v/>
      </c>
      <c r="N2431" s="56"/>
      <c r="O2431" s="29"/>
      <c r="P2431" s="19"/>
      <c r="Q2431" s="14"/>
      <c r="R2431" s="11"/>
    </row>
    <row r="2432" s="1" customFormat="1" ht="21.95" customHeight="1" spans="1:18">
      <c r="A2432" s="7"/>
      <c r="B2432" s="12"/>
      <c r="C2432" s="33"/>
      <c r="D2432" s="117" t="s">
        <v>513</v>
      </c>
      <c r="E2432" s="117"/>
      <c r="F2432" s="117"/>
      <c r="G2432" s="54" t="str">
        <f>IFERROR(VLOOKUP(F2414,'1to4-2.1-RR'!$A$12:$BG$111,16,0),"")</f>
        <v/>
      </c>
      <c r="H2432" s="54" t="str">
        <f>IFERROR(VLOOKUP(F2414,'1to4-2.1-RR'!$A$12:$BG$111,17,0),"")</f>
        <v/>
      </c>
      <c r="I2432" s="54" t="str">
        <f>IFERROR(VLOOKUP(F2414,'1to4-2.1-RR'!$A$12:$BG$111,18,0),"")</f>
        <v/>
      </c>
      <c r="J2432" s="54" t="str">
        <f>IFERROR(VLOOKUP(F2414,'1to4-2.1-RR'!$A$12:$BG$111,19,0),"")</f>
        <v/>
      </c>
      <c r="K2432" s="54" t="str">
        <f>IFERROR(VLOOKUP(F2414,'1to4-2.1-RR'!$A$12:$BG$111,20,0),"")</f>
        <v/>
      </c>
      <c r="L2432" s="55">
        <f t="shared" ref="L2432:L2437" si="86">SUM(G2432:K2432)</f>
        <v>0</v>
      </c>
      <c r="M2432" s="56" t="str">
        <f>IF(F2414&gt;ENTRY!$D$24,"",IF(L2432=0,"Ab",IF(L2432&gt;80,"A",IF(L2432&gt;60,"B",IF(L2432&gt;44,"C",IF(L2432&gt;=33,"D",IF(L2432&lt;=32,"E","")))))))</f>
        <v/>
      </c>
      <c r="N2432" s="56"/>
      <c r="O2432" s="29"/>
      <c r="P2432" s="19"/>
      <c r="Q2432" s="14"/>
      <c r="R2432" s="11"/>
    </row>
    <row r="2433" s="1" customFormat="1" ht="21.95" customHeight="1" spans="1:19">
      <c r="A2433" s="7"/>
      <c r="B2433" s="12"/>
      <c r="C2433" s="33"/>
      <c r="D2433" s="117" t="s">
        <v>718</v>
      </c>
      <c r="E2433" s="117"/>
      <c r="F2433" s="117"/>
      <c r="G2433" s="54" t="str">
        <f>IFERROR(VLOOKUP(F2414,'1to4-2.1-RR'!$A$12:$BG$111,23,0),"")</f>
        <v/>
      </c>
      <c r="H2433" s="54" t="str">
        <f>IFERROR(VLOOKUP(F2414,'1to4-2.1-RR'!$A$12:$BG$111,24,0),"")</f>
        <v/>
      </c>
      <c r="I2433" s="54" t="str">
        <f>IFERROR(VLOOKUP(F2414,'1to4-2.1-RR'!$A$12:$BG$111,25,0),"")</f>
        <v/>
      </c>
      <c r="J2433" s="54" t="str">
        <f>IFERROR(VLOOKUP(F2414,'1to4-2.1-RR'!$A$12:$BG$111,26,0),"")</f>
        <v/>
      </c>
      <c r="K2433" s="54" t="str">
        <f>IFERROR(VLOOKUP(F2414,'1to4-2.1-RR'!$A$12:$BG$111,27,0),"")</f>
        <v/>
      </c>
      <c r="L2433" s="55">
        <f t="shared" si="86"/>
        <v>0</v>
      </c>
      <c r="M2433" s="56" t="str">
        <f>IF(F2414&gt;ENTRY!$D$24,"",IF(L2433=0,"Ab",IF(L2433&gt;80,"A",IF(L2433&gt;60,"B",IF(L2433&gt;44,"C",IF(L2433&gt;=33,"D",IF(L2433&lt;=32,"E","")))))))</f>
        <v/>
      </c>
      <c r="N2433" s="56"/>
      <c r="O2433" s="29"/>
      <c r="P2433" s="19"/>
      <c r="Q2433" s="14"/>
      <c r="R2433" s="11"/>
    </row>
    <row r="2434" s="1" customFormat="1" ht="21.95" customHeight="1" spans="1:19">
      <c r="A2434" s="7"/>
      <c r="B2434" s="12"/>
      <c r="C2434" s="33"/>
      <c r="D2434" s="117" t="s">
        <v>719</v>
      </c>
      <c r="E2434" s="117"/>
      <c r="F2434" s="117"/>
      <c r="G2434" s="54" t="str">
        <f>IFERROR(VLOOKUP(F2414,'1to4-2.1-RR'!$A$12:$BG$111,30,0),"")</f>
        <v/>
      </c>
      <c r="H2434" s="54" t="str">
        <f>IFERROR(VLOOKUP(F2414,'1to4-2.1-RR'!$A$12:$BG$111,31,0),"")</f>
        <v/>
      </c>
      <c r="I2434" s="54" t="str">
        <f>IFERROR(VLOOKUP(F2414,'1to4-2.1-RR'!$A$12:$BG$111,32,0),"")</f>
        <v/>
      </c>
      <c r="J2434" s="54" t="str">
        <f>IFERROR(VLOOKUP(F2414,'1to4-2.1-RR'!$A$12:$BG$111,33,0),"")</f>
        <v/>
      </c>
      <c r="K2434" s="54" t="str">
        <f>IFERROR(VLOOKUP(F2414,'1to4-2.1-RR'!$A$12:$BG$111,34,0),"")</f>
        <v/>
      </c>
      <c r="L2434" s="55">
        <f t="shared" si="86"/>
        <v>0</v>
      </c>
      <c r="M2434" s="56" t="str">
        <f>IF(F2414&gt;ENTRY!$D$24,"",IF(L2434=0,"Ab",IF(L2434&gt;80,"A",IF(L2434&gt;60,"B",IF(L2434&gt;44,"C",IF(L2434&gt;=33,"D",IF(L2434&lt;=32,"E","")))))))</f>
        <v/>
      </c>
      <c r="N2434" s="56"/>
      <c r="O2434" s="29"/>
      <c r="P2434" s="19"/>
      <c r="Q2434" s="14"/>
      <c r="R2434" s="11"/>
    </row>
    <row r="2435" s="1" customFormat="1" ht="21.95" customHeight="1" spans="1:19">
      <c r="A2435" s="7"/>
      <c r="B2435" s="12"/>
      <c r="C2435" s="33"/>
      <c r="D2435" s="117" t="s">
        <v>548</v>
      </c>
      <c r="E2435" s="117"/>
      <c r="F2435" s="117"/>
      <c r="G2435" s="54" t="str">
        <f>IFERROR(VLOOKUP(F2414,'1to4-2.1-RR'!$A$12:$BG$111,37,0),"")</f>
        <v/>
      </c>
      <c r="H2435" s="54" t="str">
        <f>IFERROR(VLOOKUP(F2414,'1to4-2.1-RR'!$A$12:$BG$111,38,0),"")</f>
        <v/>
      </c>
      <c r="I2435" s="54" t="str">
        <f>IFERROR(VLOOKUP(F2414,'1to4-2.1-RR'!$A$12:$BG$111,39,0),"")</f>
        <v/>
      </c>
      <c r="J2435" s="54" t="str">
        <f>IFERROR(VLOOKUP(F2414,'1to4-2.1-RR'!$A$12:$BG$111,40,0),"")</f>
        <v/>
      </c>
      <c r="K2435" s="54" t="str">
        <f>IFERROR(VLOOKUP(F2414,'1to4-2.1-RR'!$A$12:$BG$111,41,0),"")</f>
        <v/>
      </c>
      <c r="L2435" s="55">
        <f t="shared" si="86"/>
        <v>0</v>
      </c>
      <c r="M2435" s="56" t="str">
        <f>IF(F2414&gt;ENTRY!$D$24,"",IF(L2435=0,"Ab",IF(L2435&gt;80,"A",IF(L2435&gt;60,"B",IF(L2435&gt;44,"C",IF(L2435&gt;=33,"D",IF(L2435&lt;=32,"E","")))))))</f>
        <v/>
      </c>
      <c r="N2435" s="56"/>
      <c r="O2435" s="29"/>
      <c r="P2435" s="19"/>
      <c r="Q2435" s="14"/>
      <c r="R2435" s="11"/>
    </row>
    <row r="2436" s="1" customFormat="1" ht="21.95" customHeight="1" spans="1:19">
      <c r="A2436" s="7"/>
      <c r="B2436" s="12"/>
      <c r="C2436" s="33"/>
      <c r="D2436" s="117" t="s">
        <v>549</v>
      </c>
      <c r="E2436" s="117"/>
      <c r="F2436" s="117"/>
      <c r="G2436" s="54" t="str">
        <f>IFERROR(VLOOKUP(F2414,'1to4-2.1-RR'!$A$12:$BG$111,44,0),"")</f>
        <v/>
      </c>
      <c r="H2436" s="54" t="str">
        <f>IFERROR(VLOOKUP(F2414,'1to4-2.1-RR'!$A$12:$BG$111,45,0),"")</f>
        <v/>
      </c>
      <c r="I2436" s="54" t="str">
        <f>IFERROR(VLOOKUP(F2414,'1to4-2.1-RR'!$A$12:$BG$111,46,0),"")</f>
        <v/>
      </c>
      <c r="J2436" s="54" t="str">
        <f>IFERROR(VLOOKUP(F2414,'1to4-2.1-RR'!$A$12:$BG$111,47,0),"")</f>
        <v/>
      </c>
      <c r="K2436" s="54" t="str">
        <f>IFERROR(VLOOKUP(F2414,'1to4-2.1-RR'!$A$12:$BG$111,48,0),"")</f>
        <v/>
      </c>
      <c r="L2436" s="55">
        <f t="shared" si="86"/>
        <v>0</v>
      </c>
      <c r="M2436" s="56" t="str">
        <f>IF(F2414&gt;ENTRY!$D$24,"",IF(L2436=0,"Ab",IF(L2436&gt;80,"A",IF(L2436&gt;60,"B",IF(L2436&gt;44,"C",IF(L2436&gt;=33,"D",IF(L2436&lt;=32,"E","")))))))</f>
        <v/>
      </c>
      <c r="N2436" s="56"/>
      <c r="O2436" s="29"/>
      <c r="P2436" s="19"/>
      <c r="Q2436" s="14"/>
      <c r="R2436" s="11"/>
    </row>
    <row r="2437" s="1" customFormat="1" ht="21.95" customHeight="1" spans="1:19">
      <c r="A2437" s="7"/>
      <c r="B2437" s="12"/>
      <c r="C2437" s="33"/>
      <c r="D2437" s="117" t="s">
        <v>720</v>
      </c>
      <c r="E2437" s="117"/>
      <c r="F2437" s="117"/>
      <c r="G2437" s="54"/>
      <c r="H2437" s="54"/>
      <c r="I2437" s="54"/>
      <c r="J2437" s="54"/>
      <c r="K2437" s="54"/>
      <c r="L2437" s="55">
        <f t="shared" si="86"/>
        <v>0</v>
      </c>
      <c r="M2437" s="56" t="str">
        <f>IF(F2414&gt;ENTRY!$D$24,"",IF(L2437=0,"",IF(L2437&gt;79,"A",IF(L2437&gt;59,"B",IF(L2437&gt;44,"C",IF(L2437&gt;=33,"D",IF(L2437&lt;=32,"E","")))))))</f>
        <v/>
      </c>
      <c r="N2437" s="56"/>
      <c r="O2437" s="29"/>
      <c r="P2437" s="19"/>
      <c r="Q2437" s="14"/>
      <c r="R2437" s="11"/>
    </row>
    <row r="2438" s="1" customFormat="1" ht="21.95" customHeight="1" spans="1:19">
      <c r="A2438" s="7"/>
      <c r="B2438" s="12"/>
      <c r="C2438" s="33"/>
      <c r="D2438" s="207" t="s">
        <v>382</v>
      </c>
      <c r="E2438" s="207"/>
      <c r="F2438" s="207"/>
      <c r="G2438" s="54">
        <f t="shared" ref="G2438:L2438" si="87">IFERROR(SUM(G2431:G2437),"")</f>
        <v>0</v>
      </c>
      <c r="H2438" s="54">
        <f t="shared" si="87"/>
        <v>0</v>
      </c>
      <c r="I2438" s="54">
        <f t="shared" si="87"/>
        <v>0</v>
      </c>
      <c r="J2438" s="54">
        <f t="shared" si="87"/>
        <v>0</v>
      </c>
      <c r="K2438" s="54">
        <f t="shared" si="87"/>
        <v>0</v>
      </c>
      <c r="L2438" s="55">
        <f t="shared" si="87"/>
        <v>0</v>
      </c>
      <c r="M2438" s="61" t="str">
        <f>IF(F2414&gt;ENTRY!$D$24,"",IF(N2439="Ab","Ab",IF(N2439&gt;79.5,"A",IF(N2439&gt;59.5,"B",IF(N2439&gt;44.5,"C",IF(N2439&gt;=33,"D",IF(N2439&lt;33,"E","")))))))</f>
        <v/>
      </c>
      <c r="N2438" s="61"/>
      <c r="O2438" s="29"/>
      <c r="P2438" s="19"/>
      <c r="Q2438" s="14"/>
      <c r="R2438" s="11"/>
    </row>
    <row r="2439" s="1" customFormat="1" ht="21.95" customHeight="1" spans="1:19">
      <c r="A2439" s="7"/>
      <c r="B2439" s="12"/>
      <c r="C2439" s="33"/>
      <c r="D2439" s="63" t="s">
        <v>721</v>
      </c>
      <c r="E2439" s="63"/>
      <c r="F2439" s="63"/>
      <c r="G2439" s="63"/>
      <c r="H2439" s="63"/>
      <c r="I2439" s="63"/>
      <c r="J2439" s="63"/>
      <c r="K2439" s="63"/>
      <c r="L2439" s="63"/>
      <c r="M2439" s="209"/>
      <c r="N2439" s="64">
        <f>IF(L2438="Ab","Ab",L2438/6)</f>
        <v>0</v>
      </c>
      <c r="O2439" s="65"/>
      <c r="P2439" s="19"/>
      <c r="Q2439" s="14"/>
      <c r="R2439" s="11"/>
    </row>
    <row r="2440" s="1" customFormat="1" ht="21.95" customHeight="1" spans="1:19">
      <c r="A2440" s="7"/>
      <c r="B2440" s="12"/>
      <c r="C2440" s="33"/>
      <c r="D2440" s="29" t="s">
        <v>716</v>
      </c>
      <c r="E2440" s="18" t="str">
        <f>IFERROR(VLOOKUP(F2414,'1to4-2.1-RR'!$A$12:$BG$111,57,0),"")</f>
        <v/>
      </c>
      <c r="F2440" s="18"/>
      <c r="G2440" s="18"/>
      <c r="H2440" s="18"/>
      <c r="I2440" s="18"/>
      <c r="J2440" s="18"/>
      <c r="K2440" s="18"/>
      <c r="L2440" s="18"/>
      <c r="M2440" s="18"/>
      <c r="N2440" s="29"/>
      <c r="O2440" s="29"/>
      <c r="P2440" s="19"/>
      <c r="Q2440" s="14"/>
      <c r="R2440" s="11"/>
    </row>
    <row r="2441" s="1" customFormat="1" ht="9.95" customHeight="1" spans="1:19">
      <c r="A2441" s="7"/>
      <c r="B2441" s="12"/>
      <c r="C2441" s="39"/>
      <c r="D2441" s="40"/>
      <c r="E2441" s="40"/>
      <c r="F2441" s="40"/>
      <c r="G2441" s="40"/>
      <c r="H2441" s="40"/>
      <c r="I2441" s="40"/>
      <c r="J2441" s="40"/>
      <c r="K2441" s="40"/>
      <c r="L2441" s="40"/>
      <c r="M2441" s="40"/>
      <c r="N2441" s="40"/>
      <c r="O2441" s="40"/>
      <c r="P2441" s="41"/>
      <c r="Q2441" s="14"/>
      <c r="R2441" s="11"/>
    </row>
    <row r="2442" s="1" customFormat="1" ht="9.95" customHeight="1" spans="1:19">
      <c r="A2442" s="7"/>
      <c r="B2442" s="12"/>
      <c r="C2442" s="30"/>
      <c r="D2442" s="31"/>
      <c r="E2442" s="31"/>
      <c r="F2442" s="29"/>
      <c r="G2442" s="31"/>
      <c r="H2442" s="31"/>
      <c r="I2442" s="31"/>
      <c r="J2442" s="31"/>
      <c r="K2442" s="31"/>
      <c r="L2442" s="31"/>
      <c r="M2442" s="31"/>
      <c r="N2442" s="31"/>
      <c r="O2442" s="31"/>
      <c r="P2442" s="32"/>
      <c r="Q2442" s="14"/>
      <c r="R2442" s="11"/>
    </row>
    <row r="2443" s="1" customFormat="1" ht="9.95" customHeight="1" spans="1:19">
      <c r="A2443" s="7"/>
      <c r="B2443" s="12"/>
      <c r="C2443" s="33"/>
      <c r="D2443" s="29"/>
      <c r="E2443" s="29"/>
      <c r="F2443" s="29"/>
      <c r="G2443" s="29"/>
      <c r="H2443" s="29"/>
      <c r="I2443" s="29"/>
      <c r="J2443" s="29"/>
      <c r="K2443" s="29"/>
      <c r="L2443" s="29"/>
      <c r="M2443" s="29"/>
      <c r="N2443" s="29"/>
      <c r="O2443" s="29"/>
      <c r="P2443" s="19"/>
      <c r="Q2443" s="14"/>
      <c r="R2443" s="11"/>
    </row>
    <row r="2444" s="1" customFormat="1" ht="9.95" customHeight="1" spans="1:19">
      <c r="A2444" s="7"/>
      <c r="B2444" s="12"/>
      <c r="C2444" s="33"/>
      <c r="D2444" s="29"/>
      <c r="E2444" s="29"/>
      <c r="F2444" s="29"/>
      <c r="G2444" s="29"/>
      <c r="H2444" s="29"/>
      <c r="I2444" s="29"/>
      <c r="J2444" s="29"/>
      <c r="K2444" s="29"/>
      <c r="L2444" s="29"/>
      <c r="M2444" s="29"/>
      <c r="N2444" s="29"/>
      <c r="O2444" s="29"/>
      <c r="P2444" s="19"/>
      <c r="Q2444" s="14"/>
      <c r="R2444" s="11"/>
    </row>
    <row r="2445" s="1" customFormat="1" ht="21.95" customHeight="1" spans="1:19">
      <c r="A2445" s="7"/>
      <c r="B2445" s="12"/>
      <c r="C2445" s="210"/>
      <c r="D2445" s="211"/>
      <c r="E2445" s="211"/>
      <c r="F2445" s="211"/>
      <c r="G2445" s="211"/>
      <c r="H2445" s="211"/>
      <c r="I2445" s="211"/>
      <c r="J2445" s="211"/>
      <c r="K2445" s="211"/>
      <c r="L2445" s="211"/>
      <c r="M2445" s="211"/>
      <c r="N2445" s="211"/>
      <c r="O2445" s="211"/>
      <c r="P2445" s="212"/>
      <c r="Q2445" s="14"/>
      <c r="R2445" s="11"/>
      <c r="S2445" s="2"/>
    </row>
    <row r="2446" s="1" customFormat="1" ht="21.95" customHeight="1" spans="1:19">
      <c r="A2446" s="7"/>
      <c r="B2446" s="12"/>
      <c r="C2446" s="33"/>
      <c r="D2446" s="207" t="s">
        <v>722</v>
      </c>
      <c r="E2446" s="207"/>
      <c r="F2446" s="207"/>
      <c r="G2446" s="207"/>
      <c r="H2446" s="54">
        <f>IFERROR(VLOOKUP(F2414,PASHEET!$A$4:$CJ$103,88,0),"")</f>
        <v>0</v>
      </c>
      <c r="I2446" s="54"/>
      <c r="J2446" s="29"/>
      <c r="K2446" s="29"/>
      <c r="L2446" s="29"/>
      <c r="M2446" s="29"/>
      <c r="N2446" s="29"/>
      <c r="O2446" s="29"/>
      <c r="P2446" s="19"/>
      <c r="Q2446" s="14"/>
      <c r="R2446" s="11"/>
    </row>
    <row r="2447" s="1" customFormat="1" ht="21.95" customHeight="1" spans="1:19">
      <c r="A2447" s="7"/>
      <c r="B2447" s="12"/>
      <c r="C2447" s="213"/>
      <c r="D2447" s="207" t="s">
        <v>723</v>
      </c>
      <c r="E2447" s="207"/>
      <c r="F2447" s="207"/>
      <c r="G2447" s="207"/>
      <c r="H2447" s="54">
        <f>IFERROR(VLOOKUP(F2414,PASHEET!$A$4:$CJ$103,87,0),"")</f>
        <v>0</v>
      </c>
      <c r="I2447" s="54"/>
      <c r="J2447" s="214"/>
      <c r="K2447" s="214"/>
      <c r="L2447" s="207" t="s">
        <v>724</v>
      </c>
      <c r="M2447" s="207"/>
      <c r="N2447" s="117" t="str">
        <f>IF(F2414&gt;ENTRY!$D$24,"",IF(F2414&gt;0,L2438&amp;" / "&amp;600,""))</f>
        <v/>
      </c>
      <c r="O2447" s="117"/>
      <c r="P2447" s="215"/>
      <c r="Q2447" s="14"/>
      <c r="R2447" s="11"/>
    </row>
    <row r="2448" s="1" customFormat="1" ht="18" customHeight="1" spans="1:19">
      <c r="A2448" s="7"/>
      <c r="B2448" s="12"/>
      <c r="C2448" s="33"/>
      <c r="D2448" s="207" t="s">
        <v>725</v>
      </c>
      <c r="E2448" s="207"/>
      <c r="F2448" s="207"/>
      <c r="G2448" s="207"/>
      <c r="H2448" s="69" t="str">
        <f>IFERROR(IF(F2414&gt;0,H2447/H2446*100),"")</f>
        <v/>
      </c>
      <c r="I2448" s="69"/>
      <c r="J2448" s="29"/>
      <c r="K2448" s="29"/>
      <c r="L2448" s="207" t="s">
        <v>726</v>
      </c>
      <c r="M2448" s="207"/>
      <c r="N2448" s="216" t="str">
        <f>IF(F2414&gt;ENTRY!$D$24,"",IF(F2414&gt;0,L2438/600*100,""))</f>
        <v/>
      </c>
      <c r="O2448" s="216"/>
      <c r="P2448" s="19"/>
      <c r="Q2448" s="14"/>
      <c r="R2448" s="11"/>
    </row>
    <row r="2449" s="1" customFormat="1" ht="21.95" customHeight="1" spans="1:18">
      <c r="A2449" s="7"/>
      <c r="B2449" s="12"/>
      <c r="C2449" s="33"/>
      <c r="D2449" s="80"/>
      <c r="E2449" s="80"/>
      <c r="F2449" s="217"/>
      <c r="G2449" s="217"/>
      <c r="H2449" s="217"/>
      <c r="I2449" s="217"/>
      <c r="J2449" s="217"/>
      <c r="K2449" s="217"/>
      <c r="L2449" s="217"/>
      <c r="M2449" s="217"/>
      <c r="N2449" s="80"/>
      <c r="O2449" s="80"/>
      <c r="P2449" s="19"/>
      <c r="Q2449" s="14"/>
      <c r="R2449" s="11"/>
    </row>
    <row r="2450" s="1" customFormat="1" ht="21.95" customHeight="1" spans="1:18">
      <c r="A2450" s="7"/>
      <c r="B2450" s="12"/>
      <c r="C2450" s="33"/>
      <c r="D2450" s="80"/>
      <c r="E2450" s="218"/>
      <c r="F2450" s="218"/>
      <c r="G2450" s="218"/>
      <c r="H2450" s="80"/>
      <c r="I2450" s="218"/>
      <c r="J2450" s="218"/>
      <c r="K2450" s="218"/>
      <c r="L2450" s="218"/>
      <c r="M2450" s="80"/>
      <c r="N2450" s="219"/>
      <c r="O2450" s="219"/>
      <c r="P2450" s="19"/>
      <c r="Q2450" s="14"/>
      <c r="R2450" s="11"/>
    </row>
    <row r="2451" s="1" customFormat="1" ht="21.95" customHeight="1" spans="1:18">
      <c r="A2451" s="7"/>
      <c r="B2451" s="12"/>
      <c r="C2451" s="33"/>
      <c r="D2451" s="80"/>
      <c r="E2451" s="80"/>
      <c r="F2451" s="80"/>
      <c r="G2451" s="80"/>
      <c r="H2451" s="80"/>
      <c r="I2451" s="80"/>
      <c r="J2451" s="80"/>
      <c r="K2451" s="80"/>
      <c r="L2451" s="80"/>
      <c r="M2451" s="80"/>
      <c r="N2451" s="80"/>
      <c r="O2451" s="80"/>
      <c r="P2451" s="19"/>
      <c r="Q2451" s="14"/>
      <c r="R2451" s="11"/>
    </row>
    <row r="2452" s="1" customFormat="1" ht="21.95" customHeight="1" spans="1:18">
      <c r="A2452" s="7"/>
      <c r="B2452" s="12"/>
      <c r="C2452" s="33"/>
      <c r="D2452" s="218"/>
      <c r="E2452" s="218"/>
      <c r="F2452" s="218"/>
      <c r="G2452" s="218"/>
      <c r="H2452" s="218"/>
      <c r="I2452" s="218"/>
      <c r="J2452" s="218"/>
      <c r="K2452" s="218"/>
      <c r="L2452" s="218"/>
      <c r="M2452" s="80"/>
      <c r="N2452" s="217"/>
      <c r="O2452" s="217"/>
      <c r="P2452" s="85" t="s">
        <v>727</v>
      </c>
      <c r="Q2452" s="14"/>
      <c r="R2452" s="11"/>
    </row>
    <row r="2453" s="1" customFormat="1" ht="21.95" customHeight="1" spans="1:18">
      <c r="A2453" s="7"/>
      <c r="B2453" s="12"/>
      <c r="C2453" s="33"/>
      <c r="D2453" s="29"/>
      <c r="E2453" s="29"/>
      <c r="F2453" s="29"/>
      <c r="G2453" s="29"/>
      <c r="H2453" s="29"/>
      <c r="I2453" s="29"/>
      <c r="J2453" s="29"/>
      <c r="K2453" s="29"/>
      <c r="L2453" s="29"/>
      <c r="M2453" s="29"/>
      <c r="N2453" s="29"/>
      <c r="O2453" s="29"/>
      <c r="P2453" s="19"/>
      <c r="Q2453" s="14"/>
      <c r="R2453" s="11"/>
    </row>
    <row r="2454" s="1" customFormat="1" ht="21.95" customHeight="1" spans="1:18">
      <c r="A2454" s="7"/>
      <c r="B2454" s="12"/>
      <c r="C2454" s="33"/>
      <c r="D2454" s="29"/>
      <c r="E2454" s="29"/>
      <c r="F2454" s="29"/>
      <c r="G2454" s="29"/>
      <c r="H2454" s="29"/>
      <c r="I2454" s="29"/>
      <c r="J2454" s="29"/>
      <c r="K2454" s="29"/>
      <c r="L2454" s="29"/>
      <c r="M2454" s="29"/>
      <c r="N2454" s="29"/>
      <c r="O2454" s="29"/>
      <c r="P2454" s="19"/>
      <c r="Q2454" s="14"/>
      <c r="R2454" s="11"/>
    </row>
    <row r="2455" s="1" customFormat="1" ht="21.95" customHeight="1" spans="1:18">
      <c r="A2455" s="7"/>
      <c r="B2455" s="12"/>
      <c r="C2455" s="33"/>
      <c r="D2455" s="29"/>
      <c r="E2455" s="29"/>
      <c r="F2455" s="29"/>
      <c r="G2455" s="29"/>
      <c r="H2455" s="29"/>
      <c r="I2455" s="29"/>
      <c r="J2455" s="29"/>
      <c r="K2455" s="29"/>
      <c r="L2455" s="29"/>
      <c r="M2455" s="29"/>
      <c r="N2455" s="29"/>
      <c r="O2455" s="29"/>
      <c r="P2455" s="19"/>
      <c r="Q2455" s="14"/>
      <c r="R2455" s="11"/>
    </row>
    <row r="2456" s="1" customFormat="1" ht="21.95" customHeight="1" spans="1:18">
      <c r="A2456" s="7"/>
      <c r="B2456" s="12"/>
      <c r="C2456" s="33"/>
      <c r="D2456" s="29"/>
      <c r="E2456" s="29"/>
      <c r="F2456" s="29"/>
      <c r="G2456" s="29"/>
      <c r="H2456" s="29"/>
      <c r="I2456" s="29"/>
      <c r="J2456" s="29"/>
      <c r="K2456" s="29"/>
      <c r="L2456" s="29"/>
      <c r="M2456" s="29"/>
      <c r="N2456" s="29"/>
      <c r="O2456" s="29"/>
      <c r="P2456" s="19"/>
      <c r="Q2456" s="14"/>
      <c r="R2456" s="11"/>
    </row>
    <row r="2457" s="1" customFormat="1" ht="21.95" customHeight="1" spans="1:18">
      <c r="A2457" s="7"/>
      <c r="B2457" s="12"/>
      <c r="C2457" s="33"/>
      <c r="D2457" s="29"/>
      <c r="E2457" s="29"/>
      <c r="F2457" s="29"/>
      <c r="G2457" s="29"/>
      <c r="H2457" s="29"/>
      <c r="I2457" s="29"/>
      <c r="J2457" s="29"/>
      <c r="K2457" s="29"/>
      <c r="L2457" s="29"/>
      <c r="M2457" s="29"/>
      <c r="N2457" s="29"/>
      <c r="O2457" s="29"/>
      <c r="P2457" s="19"/>
      <c r="Q2457" s="14"/>
      <c r="R2457" s="11"/>
    </row>
    <row r="2458" s="1" customFormat="1" ht="21.95" customHeight="1" spans="1:18">
      <c r="A2458" s="7"/>
      <c r="B2458" s="12"/>
      <c r="C2458" s="33"/>
      <c r="D2458" s="80" t="s">
        <v>728</v>
      </c>
      <c r="E2458" s="220">
        <f>ENTRY!$D$27</f>
        <v>46102</v>
      </c>
      <c r="F2458" s="220"/>
      <c r="G2458" s="29"/>
      <c r="H2458" s="29"/>
      <c r="I2458" s="221" t="s">
        <v>729</v>
      </c>
      <c r="J2458" s="153"/>
      <c r="K2458" s="29"/>
      <c r="L2458" s="29"/>
      <c r="M2458" s="87" t="s">
        <v>730</v>
      </c>
      <c r="N2458" s="87"/>
      <c r="O2458" s="87"/>
      <c r="P2458" s="19"/>
      <c r="Q2458" s="14"/>
      <c r="R2458" s="11"/>
    </row>
    <row r="2459" s="1" customFormat="1" ht="21.95" customHeight="1" spans="1:18">
      <c r="A2459" s="7"/>
      <c r="B2459" s="12"/>
      <c r="C2459" s="33"/>
      <c r="D2459" s="80" t="s">
        <v>731</v>
      </c>
      <c r="E2459" s="88" t="str">
        <f>PROPER(ENTRY!$D$28)</f>
        <v>New Delhi</v>
      </c>
      <c r="F2459" s="88"/>
      <c r="G2459" s="29"/>
      <c r="H2459" s="29"/>
      <c r="I2459" s="153"/>
      <c r="J2459" s="153"/>
      <c r="K2459" s="29"/>
      <c r="L2459" s="29"/>
      <c r="M2459" s="79" t="s">
        <v>732</v>
      </c>
      <c r="N2459" s="79"/>
      <c r="O2459" s="79"/>
      <c r="P2459" s="19"/>
      <c r="Q2459" s="14"/>
      <c r="R2459" s="11"/>
    </row>
    <row r="2460" s="1" customFormat="1" ht="21.95" customHeight="1" spans="1:18">
      <c r="A2460" s="7"/>
      <c r="B2460" s="12"/>
      <c r="C2460" s="90"/>
      <c r="D2460" s="91"/>
      <c r="E2460" s="91"/>
      <c r="F2460" s="91"/>
      <c r="G2460" s="91"/>
      <c r="H2460" s="91"/>
      <c r="I2460" s="91"/>
      <c r="J2460" s="91"/>
      <c r="K2460" s="91"/>
      <c r="L2460" s="91"/>
      <c r="M2460" s="91"/>
      <c r="N2460" s="91"/>
      <c r="O2460" s="91"/>
      <c r="P2460" s="92"/>
      <c r="Q2460" s="14"/>
      <c r="R2460" s="11"/>
    </row>
    <row r="2461" s="1" customFormat="1" ht="5.1" customHeight="1" spans="1:18">
      <c r="A2461" s="7"/>
      <c r="B2461" s="90"/>
      <c r="C2461" s="91"/>
      <c r="D2461" s="91"/>
      <c r="E2461" s="91"/>
      <c r="F2461" s="91"/>
      <c r="G2461" s="91"/>
      <c r="H2461" s="91"/>
      <c r="I2461" s="91"/>
      <c r="J2461" s="91"/>
      <c r="K2461" s="91"/>
      <c r="L2461" s="91"/>
      <c r="M2461" s="91"/>
      <c r="N2461" s="91"/>
      <c r="O2461" s="91"/>
      <c r="P2461" s="91"/>
      <c r="Q2461" s="92"/>
      <c r="R2461" s="11"/>
    </row>
    <row r="2462" s="1" customFormat="1" ht="5.1" customHeight="1" spans="1:18">
      <c r="A2462" s="93"/>
      <c r="B2462" s="94"/>
      <c r="C2462" s="94"/>
      <c r="D2462" s="94"/>
      <c r="E2462" s="94"/>
      <c r="F2462" s="94"/>
      <c r="G2462" s="94"/>
      <c r="H2462" s="94"/>
      <c r="I2462" s="94"/>
      <c r="J2462" s="94"/>
      <c r="K2462" s="94"/>
      <c r="L2462" s="94"/>
      <c r="M2462" s="94"/>
      <c r="N2462" s="94"/>
      <c r="O2462" s="94"/>
      <c r="P2462" s="94"/>
      <c r="Q2462" s="94"/>
      <c r="R2462" s="95"/>
    </row>
    <row r="2463" s="1" customFormat="1" ht="21.95" customHeight="1"/>
    <row r="2464" ht="15.15"/>
    <row r="2465" s="1" customFormat="1" ht="5.1" customHeight="1" spans="1:18">
      <c r="A2465" s="4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  <c r="O2465" s="5"/>
      <c r="P2465" s="5"/>
      <c r="Q2465" s="5"/>
      <c r="R2465" s="6"/>
    </row>
    <row r="2466" s="1" customFormat="1" ht="15" customHeight="1" spans="1:18">
      <c r="A2466" s="7"/>
      <c r="B2466" s="8"/>
      <c r="C2466" s="9"/>
      <c r="D2466" s="9"/>
      <c r="E2466" s="9"/>
      <c r="F2466" s="9"/>
      <c r="G2466" s="9"/>
      <c r="H2466" s="9"/>
      <c r="I2466" s="9"/>
      <c r="J2466" s="9"/>
      <c r="K2466" s="9"/>
      <c r="L2466" s="9"/>
      <c r="M2466" s="9"/>
      <c r="N2466" s="9"/>
      <c r="O2466" s="9"/>
      <c r="P2466" s="9"/>
      <c r="Q2466" s="10"/>
      <c r="R2466" s="11"/>
    </row>
    <row r="2467" s="1" customFormat="1" ht="21.95" customHeight="1" spans="1:18">
      <c r="A2467" s="7"/>
      <c r="B2467" s="12"/>
      <c r="C2467" s="13" t="s">
        <v>7</v>
      </c>
      <c r="D2467" s="13"/>
      <c r="E2467" s="13"/>
      <c r="F2467" s="13"/>
      <c r="G2467" s="13"/>
      <c r="H2467" s="13"/>
      <c r="I2467" s="13"/>
      <c r="J2467" s="13"/>
      <c r="K2467" s="13"/>
      <c r="L2467" s="13"/>
      <c r="M2467" s="13"/>
      <c r="N2467" s="13"/>
      <c r="O2467" s="13"/>
      <c r="P2467" s="13"/>
      <c r="Q2467" s="14"/>
      <c r="R2467" s="11"/>
    </row>
    <row r="2468" s="1" customFormat="1" ht="21.95" customHeight="1" spans="1:18">
      <c r="A2468" s="7"/>
      <c r="B2468" s="1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14"/>
      <c r="R2468" s="11"/>
    </row>
    <row r="2469" s="1" customFormat="1" ht="21.95" customHeight="1" spans="1:18">
      <c r="A2469" s="7"/>
      <c r="B2469" s="12"/>
      <c r="C2469" s="15" t="str">
        <f>"SESSION-"&amp;ENTRY!$D$11</f>
        <v>SESSION-2026-27</v>
      </c>
      <c r="D2469" s="15"/>
      <c r="E2469" s="15"/>
      <c r="F2469" s="15"/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4"/>
      <c r="R2469" s="11"/>
    </row>
    <row r="2470" s="1" customFormat="1" ht="21.95" customHeight="1" spans="1:18">
      <c r="A2470" s="7"/>
      <c r="B2470" s="12"/>
      <c r="C2470" s="2"/>
      <c r="D2470" s="2"/>
      <c r="E2470" s="2"/>
      <c r="F2470" s="16">
        <f>F2414+1</f>
        <v>45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14"/>
      <c r="R2470" s="11"/>
    </row>
    <row r="2471" s="1" customFormat="1" ht="21.95" customHeight="1" spans="1:18">
      <c r="A2471" s="7"/>
      <c r="B2471" s="12"/>
      <c r="C2471" s="17" t="s">
        <v>392</v>
      </c>
      <c r="D2471" s="17"/>
      <c r="E2471" s="17"/>
      <c r="F2471" s="18" t="str">
        <f>IF(F2470&gt;0,ENTRY!$D$6,"")</f>
        <v>MCP NITHARI NO 1 BOYS</v>
      </c>
      <c r="G2471" s="18"/>
      <c r="H2471" s="18"/>
      <c r="I2471" s="18"/>
      <c r="J2471" s="18"/>
      <c r="K2471" s="18"/>
      <c r="L2471" s="18"/>
      <c r="M2471" s="18"/>
      <c r="N2471" s="18"/>
      <c r="O2471" s="18"/>
      <c r="P2471" s="18"/>
      <c r="Q2471" s="14"/>
      <c r="R2471" s="11"/>
    </row>
    <row r="2472" s="1" customFormat="1" ht="21.95" customHeight="1" spans="1:18">
      <c r="A2472" s="7"/>
      <c r="B2472" s="12"/>
      <c r="C2472" s="17" t="s">
        <v>393</v>
      </c>
      <c r="D2472" s="17"/>
      <c r="E2472" s="17"/>
      <c r="F2472" s="18">
        <f>IF(F2470&gt;0,ENTRY!$D$7,"")</f>
        <v>0</v>
      </c>
      <c r="G2472" s="18"/>
      <c r="H2472" s="20" t="s">
        <v>702</v>
      </c>
      <c r="I2472" s="20"/>
      <c r="J2472" s="21">
        <f>IF(F2470&gt;0,ENTRY!$D$10,"")</f>
        <v>40</v>
      </c>
      <c r="K2472" s="20" t="s">
        <v>703</v>
      </c>
      <c r="L2472" s="22" t="str">
        <f>IF(F2470&gt;0,ENTRY!$D$5,"")</f>
        <v>ROHINI ZONE</v>
      </c>
      <c r="M2472" s="22"/>
      <c r="N2472" s="22"/>
      <c r="O2472" s="22"/>
      <c r="P2472" s="22"/>
      <c r="Q2472" s="14"/>
      <c r="R2472" s="11"/>
    </row>
    <row r="2473" s="1" customFormat="1" ht="21.95" customHeight="1" spans="1:18">
      <c r="A2473" s="7"/>
      <c r="B2473" s="12"/>
      <c r="C2473" s="17" t="s">
        <v>706</v>
      </c>
      <c r="D2473" s="17"/>
      <c r="E2473" s="17"/>
      <c r="F2473" s="23">
        <f>IFERROR(VLOOKUP(F2470,STUDENT!$A$2:$BP$101,5,0),"")</f>
        <v>0</v>
      </c>
      <c r="G2473" s="23"/>
      <c r="H2473" s="23"/>
      <c r="I2473" s="23"/>
      <c r="J2473" s="23"/>
      <c r="K2473" s="23"/>
      <c r="L2473" s="20" t="s">
        <v>707</v>
      </c>
      <c r="M2473" s="20"/>
      <c r="N2473" s="24" t="str">
        <f>IF(F2470&gt;0,ENTRY!$D$20&amp;"-"&amp;ENTRY!$D$21,"")</f>
        <v>III-A</v>
      </c>
      <c r="O2473" s="24"/>
      <c r="P2473" s="24"/>
      <c r="Q2473" s="14"/>
      <c r="R2473" s="11"/>
    </row>
    <row r="2474" s="1" customFormat="1" ht="21.95" customHeight="1" spans="1:18">
      <c r="A2474" s="7"/>
      <c r="B2474" s="12"/>
      <c r="C2474" s="17" t="s">
        <v>708</v>
      </c>
      <c r="D2474" s="17"/>
      <c r="E2474" s="17"/>
      <c r="F2474" s="25">
        <f>IFERROR(VLOOKUP(F2470,STUDENT!$A$2:$BP$101,6,0),"")</f>
        <v>0</v>
      </c>
      <c r="G2474" s="25"/>
      <c r="H2474" s="26" t="s">
        <v>709</v>
      </c>
      <c r="I2474" s="27" t="str">
        <f>IFERROR(VLOOKUP(F2470,STUDENT!$A$2:$BP$101,59,0),"")</f>
        <v/>
      </c>
      <c r="J2474" s="27"/>
      <c r="K2474" s="20" t="s">
        <v>710</v>
      </c>
      <c r="L2474" s="20"/>
      <c r="M2474" s="28">
        <f>IFERROR(VLOOKUP(F2470,STUDENT!$A$2:$BP$101,20,0),"")</f>
        <v>0</v>
      </c>
      <c r="N2474" s="28"/>
      <c r="O2474" s="28"/>
      <c r="P2474" s="28"/>
      <c r="Q2474" s="14"/>
      <c r="R2474" s="11"/>
    </row>
    <row r="2475" s="1" customFormat="1" ht="21.95" customHeight="1" spans="1:18">
      <c r="A2475" s="7"/>
      <c r="B2475" s="12"/>
      <c r="C2475" s="17" t="s">
        <v>711</v>
      </c>
      <c r="D2475" s="17"/>
      <c r="E2475" s="17"/>
      <c r="F2475" s="23">
        <f>IFERROR(VLOOKUP(F2470,STUDENT!$A$2:$BP$101,9,0),"")</f>
        <v>0</v>
      </c>
      <c r="G2475" s="23"/>
      <c r="H2475" s="23"/>
      <c r="I2475" s="23"/>
      <c r="J2475" s="17" t="s">
        <v>620</v>
      </c>
      <c r="K2475" s="17"/>
      <c r="L2475" s="23">
        <f>IFERROR(VLOOKUP(F2470,STUDENT!$A$2:$BP$101,8,0),"")</f>
        <v>0</v>
      </c>
      <c r="M2475" s="23"/>
      <c r="N2475" s="23"/>
      <c r="O2475" s="23"/>
      <c r="P2475" s="23"/>
      <c r="Q2475" s="14"/>
      <c r="R2475" s="11"/>
    </row>
    <row r="2476" s="1" customFormat="1" ht="21.95" customHeight="1" spans="1:18">
      <c r="A2476" s="7"/>
      <c r="B2476" s="12"/>
      <c r="C2476" s="17" t="s">
        <v>712</v>
      </c>
      <c r="D2476" s="17"/>
      <c r="E2476" s="17"/>
      <c r="F2476" s="23">
        <f>IFERROR(VLOOKUP(F2470,STUDENT!$A$2:$BP$101,22,0),"")</f>
        <v>0</v>
      </c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14"/>
      <c r="R2476" s="11"/>
    </row>
    <row r="2477" s="1" customFormat="1" ht="9.95" customHeight="1" spans="1:18">
      <c r="A2477" s="7"/>
      <c r="B2477" s="12"/>
      <c r="C2477" s="29"/>
      <c r="D2477" s="29"/>
      <c r="E2477" s="29"/>
      <c r="F2477" s="29"/>
      <c r="G2477" s="29"/>
      <c r="H2477" s="29"/>
      <c r="I2477" s="29"/>
      <c r="J2477" s="29"/>
      <c r="K2477" s="29"/>
      <c r="L2477" s="29"/>
      <c r="M2477" s="29"/>
      <c r="N2477" s="29"/>
      <c r="O2477" s="29"/>
      <c r="P2477" s="29"/>
      <c r="Q2477" s="14"/>
      <c r="R2477" s="11"/>
    </row>
    <row r="2478" s="1" customFormat="1" ht="9.95" customHeight="1" spans="1:18">
      <c r="A2478" s="7"/>
      <c r="B2478" s="12"/>
      <c r="C2478" s="30"/>
      <c r="D2478" s="31"/>
      <c r="E2478" s="31"/>
      <c r="F2478" s="31"/>
      <c r="G2478" s="31"/>
      <c r="H2478" s="31"/>
      <c r="I2478" s="31"/>
      <c r="J2478" s="31"/>
      <c r="K2478" s="31"/>
      <c r="L2478" s="31"/>
      <c r="M2478" s="31"/>
      <c r="N2478" s="31"/>
      <c r="O2478" s="31"/>
      <c r="P2478" s="32"/>
      <c r="Q2478" s="14"/>
      <c r="R2478" s="11"/>
    </row>
    <row r="2479" s="1" customFormat="1" ht="21.95" customHeight="1" spans="1:18">
      <c r="A2479" s="7"/>
      <c r="B2479" s="12"/>
      <c r="C2479" s="33"/>
      <c r="D2479" s="34" t="s">
        <v>713</v>
      </c>
      <c r="E2479" s="20" t="s">
        <v>714</v>
      </c>
      <c r="F2479" s="35" t="str">
        <f>"Level - "&amp;IFERROR(VLOOKUP(F2470,FLN!$A$4:$K$103,9,0),"")</f>
        <v>Level - </v>
      </c>
      <c r="G2479" s="36"/>
      <c r="H2479" s="37" t="s">
        <v>715</v>
      </c>
      <c r="I2479" s="20"/>
      <c r="J2479" s="35" t="str">
        <f>"Level - "&amp;IFERROR(VLOOKUP(F2470,FLN!$A$4:$K$103,11,0),"")</f>
        <v>Level - </v>
      </c>
      <c r="K2479" s="36"/>
      <c r="L2479" s="37" t="s">
        <v>408</v>
      </c>
      <c r="M2479" s="20"/>
      <c r="N2479" s="35" t="str">
        <f>"Level - "&amp;IFERROR(VLOOKUP(F2470,FLN!$A$4:$K$103,10,0),"")</f>
        <v>Level - </v>
      </c>
      <c r="O2479" s="36"/>
      <c r="P2479" s="19"/>
      <c r="Q2479" s="14"/>
      <c r="R2479" s="11"/>
    </row>
    <row r="2480" s="1" customFormat="1" ht="21.95" customHeight="1" spans="1:18">
      <c r="A2480" s="7"/>
      <c r="B2480" s="12"/>
      <c r="C2480" s="33"/>
      <c r="D2480" s="38"/>
      <c r="E2480" s="20" t="s">
        <v>716</v>
      </c>
      <c r="F2480" s="18" t="str">
        <f>IF(L2494&gt;197,"PERFORMED WELL","")</f>
        <v/>
      </c>
      <c r="G2480" s="18"/>
      <c r="H2480" s="18"/>
      <c r="I2480" s="18"/>
      <c r="J2480" s="18"/>
      <c r="K2480" s="18"/>
      <c r="L2480" s="18"/>
      <c r="M2480" s="18"/>
      <c r="N2480" s="18"/>
      <c r="O2480" s="18"/>
      <c r="P2480" s="19"/>
      <c r="Q2480" s="14"/>
      <c r="R2480" s="11"/>
    </row>
    <row r="2481" s="1" customFormat="1" ht="9.95" customHeight="1" spans="1:18">
      <c r="A2481" s="7"/>
      <c r="B2481" s="12"/>
      <c r="C2481" s="39"/>
      <c r="D2481" s="40"/>
      <c r="E2481" s="40"/>
      <c r="F2481" s="40"/>
      <c r="G2481" s="40"/>
      <c r="H2481" s="40"/>
      <c r="I2481" s="40"/>
      <c r="J2481" s="40"/>
      <c r="K2481" s="40"/>
      <c r="L2481" s="40"/>
      <c r="M2481" s="40"/>
      <c r="N2481" s="40"/>
      <c r="O2481" s="40"/>
      <c r="P2481" s="41"/>
      <c r="Q2481" s="14"/>
      <c r="R2481" s="11"/>
    </row>
    <row r="2482" s="1" customFormat="1" ht="9.95" customHeight="1" spans="1:18">
      <c r="A2482" s="7"/>
      <c r="B2482" s="12"/>
      <c r="C2482" s="29"/>
      <c r="D2482" s="29"/>
      <c r="E2482" s="29"/>
      <c r="F2482" s="29"/>
      <c r="G2482" s="29"/>
      <c r="H2482" s="29"/>
      <c r="I2482" s="29"/>
      <c r="J2482" s="29"/>
      <c r="K2482" s="29"/>
      <c r="L2482" s="29"/>
      <c r="M2482" s="29"/>
      <c r="N2482" s="29"/>
      <c r="O2482" s="29"/>
      <c r="P2482" s="29"/>
      <c r="Q2482" s="14"/>
      <c r="R2482" s="11"/>
    </row>
    <row r="2483" s="1" customFormat="1" ht="9.95" customHeight="1" spans="1:18">
      <c r="A2483" s="7"/>
      <c r="B2483" s="12"/>
      <c r="C2483" s="30"/>
      <c r="D2483" s="31"/>
      <c r="E2483" s="31"/>
      <c r="F2483" s="31"/>
      <c r="G2483" s="31"/>
      <c r="H2483" s="31"/>
      <c r="I2483" s="31"/>
      <c r="J2483" s="31"/>
      <c r="K2483" s="31"/>
      <c r="L2483" s="31"/>
      <c r="M2483" s="31"/>
      <c r="N2483" s="31"/>
      <c r="O2483" s="31"/>
      <c r="P2483" s="32"/>
      <c r="Q2483" s="14"/>
      <c r="R2483" s="11"/>
    </row>
    <row r="2484" s="1" customFormat="1" ht="21.95" customHeight="1" spans="1:18">
      <c r="A2484" s="7"/>
      <c r="B2484" s="12"/>
      <c r="C2484" s="33"/>
      <c r="D2484" s="35"/>
      <c r="E2484" s="24"/>
      <c r="F2484" s="24"/>
      <c r="G2484" s="47" t="s">
        <v>717</v>
      </c>
      <c r="H2484" s="47"/>
      <c r="I2484" s="47"/>
      <c r="J2484" s="47"/>
      <c r="K2484" s="47"/>
      <c r="L2484" s="47"/>
      <c r="M2484" s="47"/>
      <c r="N2484" s="47"/>
      <c r="O2484" s="29"/>
      <c r="P2484" s="19"/>
      <c r="Q2484" s="14"/>
      <c r="R2484" s="11"/>
    </row>
    <row r="2485" s="1" customFormat="1" ht="21.95" customHeight="1" spans="1:18">
      <c r="A2485" s="7"/>
      <c r="B2485" s="12"/>
      <c r="C2485" s="33"/>
      <c r="D2485" s="47"/>
      <c r="E2485" s="47"/>
      <c r="F2485" s="47"/>
      <c r="G2485" s="47" t="s">
        <v>541</v>
      </c>
      <c r="H2485" s="47" t="s">
        <v>542</v>
      </c>
      <c r="I2485" s="47" t="s">
        <v>543</v>
      </c>
      <c r="J2485" s="47" t="s">
        <v>544</v>
      </c>
      <c r="K2485" s="47" t="s">
        <v>561</v>
      </c>
      <c r="L2485" s="47" t="s">
        <v>382</v>
      </c>
      <c r="M2485" s="49" t="s">
        <v>546</v>
      </c>
      <c r="N2485" s="49"/>
      <c r="O2485" s="29"/>
      <c r="P2485" s="19"/>
      <c r="Q2485" s="14"/>
      <c r="R2485" s="11"/>
    </row>
    <row r="2486" s="1" customFormat="1" ht="21.95" customHeight="1" spans="1:18">
      <c r="A2486" s="7"/>
      <c r="B2486" s="12"/>
      <c r="C2486" s="33"/>
      <c r="D2486" s="207" t="s">
        <v>652</v>
      </c>
      <c r="E2486" s="207"/>
      <c r="F2486" s="207"/>
      <c r="G2486" s="50">
        <v>10</v>
      </c>
      <c r="H2486" s="50">
        <v>10</v>
      </c>
      <c r="I2486" s="50">
        <v>10</v>
      </c>
      <c r="J2486" s="50">
        <v>10</v>
      </c>
      <c r="K2486" s="50">
        <v>60</v>
      </c>
      <c r="L2486" s="50">
        <v>100</v>
      </c>
      <c r="M2486" s="49"/>
      <c r="N2486" s="49"/>
      <c r="O2486" s="29"/>
      <c r="P2486" s="19"/>
      <c r="Q2486" s="14"/>
      <c r="R2486" s="11"/>
    </row>
    <row r="2487" s="1" customFormat="1" ht="21.95" customHeight="1" spans="1:18">
      <c r="A2487" s="7"/>
      <c r="B2487" s="12"/>
      <c r="C2487" s="33"/>
      <c r="D2487" s="117" t="s">
        <v>668</v>
      </c>
      <c r="E2487" s="117"/>
      <c r="F2487" s="117"/>
      <c r="G2487" s="54" t="str">
        <f>IFERROR(VLOOKUP(F2470,'1to4-2.1-RR'!$A$12:$BG$111,9,0),"")</f>
        <v/>
      </c>
      <c r="H2487" s="54" t="str">
        <f>IFERROR(VLOOKUP(F2470,'1to4-2.1-RR'!$A$12:$BG$111,10,0),"")</f>
        <v/>
      </c>
      <c r="I2487" s="54" t="str">
        <f>IFERROR(VLOOKUP(F2470,'1to4-2.1-RR'!$A$12:$BG$111,11,0),"")</f>
        <v/>
      </c>
      <c r="J2487" s="54" t="str">
        <f>IFERROR(VLOOKUP(F2470,'1to4-2.1-RR'!$A$12:$BG$111,12,0),"")</f>
        <v/>
      </c>
      <c r="K2487" s="54" t="str">
        <f>IFERROR(VLOOKUP(F2470,'1to4-2.1-RR'!$A$12:$BG$111,13,0),"")</f>
        <v/>
      </c>
      <c r="L2487" s="55">
        <f>SUM(G2487:K2487)</f>
        <v>0</v>
      </c>
      <c r="M2487" s="56" t="str">
        <f>IF(F2470&gt;ENTRY!$D$24,"",IF(L2487=0,"Ab",IF(L2487&gt;80,"A",IF(L2487&gt;60,"B",IF(L2487&gt;44,"C",IF(L2487&gt;=33,"D",IF(L2487&lt;=32,"E","")))))))</f>
        <v/>
      </c>
      <c r="N2487" s="56"/>
      <c r="O2487" s="29"/>
      <c r="P2487" s="19"/>
      <c r="Q2487" s="14"/>
      <c r="R2487" s="11"/>
    </row>
    <row r="2488" s="1" customFormat="1" ht="21.95" customHeight="1" spans="1:18">
      <c r="A2488" s="7"/>
      <c r="B2488" s="12"/>
      <c r="C2488" s="33"/>
      <c r="D2488" s="117" t="s">
        <v>513</v>
      </c>
      <c r="E2488" s="117"/>
      <c r="F2488" s="117"/>
      <c r="G2488" s="54" t="str">
        <f>IFERROR(VLOOKUP(F2470,'1to4-2.1-RR'!$A$12:$BG$111,16,0),"")</f>
        <v/>
      </c>
      <c r="H2488" s="54" t="str">
        <f>IFERROR(VLOOKUP(F2470,'1to4-2.1-RR'!$A$12:$BG$111,17,0),"")</f>
        <v/>
      </c>
      <c r="I2488" s="54" t="str">
        <f>IFERROR(VLOOKUP(F2470,'1to4-2.1-RR'!$A$12:$BG$111,18,0),"")</f>
        <v/>
      </c>
      <c r="J2488" s="54" t="str">
        <f>IFERROR(VLOOKUP(F2470,'1to4-2.1-RR'!$A$12:$BG$111,19,0),"")</f>
        <v/>
      </c>
      <c r="K2488" s="54" t="str">
        <f>IFERROR(VLOOKUP(F2470,'1to4-2.1-RR'!$A$12:$BG$111,20,0),"")</f>
        <v/>
      </c>
      <c r="L2488" s="55">
        <f t="shared" ref="L2488:L2493" si="88">SUM(G2488:K2488)</f>
        <v>0</v>
      </c>
      <c r="M2488" s="56" t="str">
        <f>IF(F2470&gt;ENTRY!$D$24,"",IF(L2488=0,"Ab",IF(L2488&gt;80,"A",IF(L2488&gt;60,"B",IF(L2488&gt;44,"C",IF(L2488&gt;=33,"D",IF(L2488&lt;=32,"E","")))))))</f>
        <v/>
      </c>
      <c r="N2488" s="56"/>
      <c r="O2488" s="29"/>
      <c r="P2488" s="19"/>
      <c r="Q2488" s="14"/>
      <c r="R2488" s="11"/>
    </row>
    <row r="2489" s="1" customFormat="1" ht="21.95" customHeight="1" spans="1:18">
      <c r="A2489" s="7"/>
      <c r="B2489" s="12"/>
      <c r="C2489" s="33"/>
      <c r="D2489" s="117" t="s">
        <v>718</v>
      </c>
      <c r="E2489" s="117"/>
      <c r="F2489" s="117"/>
      <c r="G2489" s="54" t="str">
        <f>IFERROR(VLOOKUP(F2470,'1to4-2.1-RR'!$A$12:$BG$111,23,0),"")</f>
        <v/>
      </c>
      <c r="H2489" s="54" t="str">
        <f>IFERROR(VLOOKUP(F2470,'1to4-2.1-RR'!$A$12:$BG$111,24,0),"")</f>
        <v/>
      </c>
      <c r="I2489" s="54" t="str">
        <f>IFERROR(VLOOKUP(F2470,'1to4-2.1-RR'!$A$12:$BG$111,25,0),"")</f>
        <v/>
      </c>
      <c r="J2489" s="54" t="str">
        <f>IFERROR(VLOOKUP(F2470,'1to4-2.1-RR'!$A$12:$BG$111,26,0),"")</f>
        <v/>
      </c>
      <c r="K2489" s="54" t="str">
        <f>IFERROR(VLOOKUP(F2470,'1to4-2.1-RR'!$A$12:$BG$111,27,0),"")</f>
        <v/>
      </c>
      <c r="L2489" s="55">
        <f t="shared" si="88"/>
        <v>0</v>
      </c>
      <c r="M2489" s="56" t="str">
        <f>IF(F2470&gt;ENTRY!$D$24,"",IF(L2489=0,"Ab",IF(L2489&gt;80,"A",IF(L2489&gt;60,"B",IF(L2489&gt;44,"C",IF(L2489&gt;=33,"D",IF(L2489&lt;=32,"E","")))))))</f>
        <v/>
      </c>
      <c r="N2489" s="56"/>
      <c r="O2489" s="29"/>
      <c r="P2489" s="19"/>
      <c r="Q2489" s="14"/>
      <c r="R2489" s="11"/>
    </row>
    <row r="2490" s="1" customFormat="1" ht="21.95" customHeight="1" spans="1:18">
      <c r="A2490" s="7"/>
      <c r="B2490" s="12"/>
      <c r="C2490" s="33"/>
      <c r="D2490" s="117" t="s">
        <v>719</v>
      </c>
      <c r="E2490" s="117"/>
      <c r="F2490" s="117"/>
      <c r="G2490" s="54" t="str">
        <f>IFERROR(VLOOKUP(F2470,'1to4-2.1-RR'!$A$12:$BG$111,30,0),"")</f>
        <v/>
      </c>
      <c r="H2490" s="54" t="str">
        <f>IFERROR(VLOOKUP(F2470,'1to4-2.1-RR'!$A$12:$BG$111,31,0),"")</f>
        <v/>
      </c>
      <c r="I2490" s="54" t="str">
        <f>IFERROR(VLOOKUP(F2470,'1to4-2.1-RR'!$A$12:$BG$111,32,0),"")</f>
        <v/>
      </c>
      <c r="J2490" s="54" t="str">
        <f>IFERROR(VLOOKUP(F2470,'1to4-2.1-RR'!$A$12:$BG$111,33,0),"")</f>
        <v/>
      </c>
      <c r="K2490" s="54" t="str">
        <f>IFERROR(VLOOKUP(F2470,'1to4-2.1-RR'!$A$12:$BG$111,34,0),"")</f>
        <v/>
      </c>
      <c r="L2490" s="55">
        <f t="shared" si="88"/>
        <v>0</v>
      </c>
      <c r="M2490" s="56" t="str">
        <f>IF(F2470&gt;ENTRY!$D$24,"",IF(L2490=0,"Ab",IF(L2490&gt;80,"A",IF(L2490&gt;60,"B",IF(L2490&gt;44,"C",IF(L2490&gt;=33,"D",IF(L2490&lt;=32,"E","")))))))</f>
        <v/>
      </c>
      <c r="N2490" s="56"/>
      <c r="O2490" s="29"/>
      <c r="P2490" s="19"/>
      <c r="Q2490" s="14"/>
      <c r="R2490" s="11"/>
    </row>
    <row r="2491" s="1" customFormat="1" ht="21.95" customHeight="1" spans="1:18">
      <c r="A2491" s="7"/>
      <c r="B2491" s="12"/>
      <c r="C2491" s="33"/>
      <c r="D2491" s="117" t="s">
        <v>548</v>
      </c>
      <c r="E2491" s="117"/>
      <c r="F2491" s="117"/>
      <c r="G2491" s="54" t="str">
        <f>IFERROR(VLOOKUP(F2470,'1to4-2.1-RR'!$A$12:$BG$111,37,0),"")</f>
        <v/>
      </c>
      <c r="H2491" s="54" t="str">
        <f>IFERROR(VLOOKUP(F2470,'1to4-2.1-RR'!$A$12:$BG$111,38,0),"")</f>
        <v/>
      </c>
      <c r="I2491" s="54" t="str">
        <f>IFERROR(VLOOKUP(F2470,'1to4-2.1-RR'!$A$12:$BG$111,39,0),"")</f>
        <v/>
      </c>
      <c r="J2491" s="54" t="str">
        <f>IFERROR(VLOOKUP(F2470,'1to4-2.1-RR'!$A$12:$BG$111,40,0),"")</f>
        <v/>
      </c>
      <c r="K2491" s="54" t="str">
        <f>IFERROR(VLOOKUP(F2470,'1to4-2.1-RR'!$A$12:$BG$111,41,0),"")</f>
        <v/>
      </c>
      <c r="L2491" s="55">
        <f t="shared" si="88"/>
        <v>0</v>
      </c>
      <c r="M2491" s="56" t="str">
        <f>IF(F2470&gt;ENTRY!$D$24,"",IF(L2491=0,"Ab",IF(L2491&gt;80,"A",IF(L2491&gt;60,"B",IF(L2491&gt;44,"C",IF(L2491&gt;=33,"D",IF(L2491&lt;=32,"E","")))))))</f>
        <v/>
      </c>
      <c r="N2491" s="56"/>
      <c r="O2491" s="29"/>
      <c r="P2491" s="19"/>
      <c r="Q2491" s="14"/>
      <c r="R2491" s="11"/>
    </row>
    <row r="2492" s="1" customFormat="1" ht="21.95" customHeight="1" spans="1:18">
      <c r="A2492" s="7"/>
      <c r="B2492" s="12"/>
      <c r="C2492" s="33"/>
      <c r="D2492" s="117" t="s">
        <v>549</v>
      </c>
      <c r="E2492" s="117"/>
      <c r="F2492" s="117"/>
      <c r="G2492" s="54" t="str">
        <f>IFERROR(VLOOKUP(F2470,'1to4-2.1-RR'!$A$12:$BG$111,44,0),"")</f>
        <v/>
      </c>
      <c r="H2492" s="54" t="str">
        <f>IFERROR(VLOOKUP(F2470,'1to4-2.1-RR'!$A$12:$BG$111,45,0),"")</f>
        <v/>
      </c>
      <c r="I2492" s="54" t="str">
        <f>IFERROR(VLOOKUP(F2470,'1to4-2.1-RR'!$A$12:$BG$111,46,0),"")</f>
        <v/>
      </c>
      <c r="J2492" s="54" t="str">
        <f>IFERROR(VLOOKUP(F2470,'1to4-2.1-RR'!$A$12:$BG$111,47,0),"")</f>
        <v/>
      </c>
      <c r="K2492" s="54" t="str">
        <f>IFERROR(VLOOKUP(F2470,'1to4-2.1-RR'!$A$12:$BG$111,48,0),"")</f>
        <v/>
      </c>
      <c r="L2492" s="55">
        <f t="shared" si="88"/>
        <v>0</v>
      </c>
      <c r="M2492" s="56" t="str">
        <f>IF(F2470&gt;ENTRY!$D$24,"",IF(L2492=0,"Ab",IF(L2492&gt;80,"A",IF(L2492&gt;60,"B",IF(L2492&gt;44,"C",IF(L2492&gt;=33,"D",IF(L2492&lt;=32,"E","")))))))</f>
        <v/>
      </c>
      <c r="N2492" s="56"/>
      <c r="O2492" s="29"/>
      <c r="P2492" s="19"/>
      <c r="Q2492" s="14"/>
      <c r="R2492" s="11"/>
    </row>
    <row r="2493" s="1" customFormat="1" ht="21.95" customHeight="1" spans="1:18">
      <c r="A2493" s="7"/>
      <c r="B2493" s="12"/>
      <c r="C2493" s="33"/>
      <c r="D2493" s="117" t="s">
        <v>720</v>
      </c>
      <c r="E2493" s="117"/>
      <c r="F2493" s="117"/>
      <c r="G2493" s="54"/>
      <c r="H2493" s="54"/>
      <c r="I2493" s="54"/>
      <c r="J2493" s="54"/>
      <c r="K2493" s="54"/>
      <c r="L2493" s="55">
        <f t="shared" si="88"/>
        <v>0</v>
      </c>
      <c r="M2493" s="56" t="str">
        <f>IF(F2470&gt;ENTRY!$D$24,"",IF(L2493=0,"",IF(L2493&gt;79,"A",IF(L2493&gt;59,"B",IF(L2493&gt;44,"C",IF(L2493&gt;=33,"D",IF(L2493&lt;=32,"E","")))))))</f>
        <v/>
      </c>
      <c r="N2493" s="56"/>
      <c r="O2493" s="29"/>
      <c r="P2493" s="19"/>
      <c r="Q2493" s="14"/>
      <c r="R2493" s="11"/>
    </row>
    <row r="2494" s="1" customFormat="1" ht="21.95" customHeight="1" spans="1:18">
      <c r="A2494" s="7"/>
      <c r="B2494" s="12"/>
      <c r="C2494" s="33"/>
      <c r="D2494" s="207" t="s">
        <v>382</v>
      </c>
      <c r="E2494" s="207"/>
      <c r="F2494" s="207"/>
      <c r="G2494" s="54">
        <f t="shared" ref="G2494:L2494" si="89">IFERROR(SUM(G2487:G2493),"")</f>
        <v>0</v>
      </c>
      <c r="H2494" s="54">
        <f t="shared" si="89"/>
        <v>0</v>
      </c>
      <c r="I2494" s="54">
        <f t="shared" si="89"/>
        <v>0</v>
      </c>
      <c r="J2494" s="54">
        <f t="shared" si="89"/>
        <v>0</v>
      </c>
      <c r="K2494" s="54">
        <f t="shared" si="89"/>
        <v>0</v>
      </c>
      <c r="L2494" s="55">
        <f t="shared" si="89"/>
        <v>0</v>
      </c>
      <c r="M2494" s="61" t="str">
        <f>IF(F2470&gt;ENTRY!$D$24,"",IF(N2495="Ab","Ab",IF(N2495&gt;79.5,"A",IF(N2495&gt;59.5,"B",IF(N2495&gt;44.5,"C",IF(N2495&gt;=33,"D",IF(N2495&lt;33,"E","")))))))</f>
        <v/>
      </c>
      <c r="N2494" s="61"/>
      <c r="O2494" s="29"/>
      <c r="P2494" s="19"/>
      <c r="Q2494" s="14"/>
      <c r="R2494" s="11"/>
    </row>
    <row r="2495" s="1" customFormat="1" ht="21.95" customHeight="1" spans="1:18">
      <c r="A2495" s="7"/>
      <c r="B2495" s="12"/>
      <c r="C2495" s="33"/>
      <c r="D2495" s="63" t="s">
        <v>721</v>
      </c>
      <c r="E2495" s="63"/>
      <c r="F2495" s="63"/>
      <c r="G2495" s="63"/>
      <c r="H2495" s="63"/>
      <c r="I2495" s="63"/>
      <c r="J2495" s="63"/>
      <c r="K2495" s="63"/>
      <c r="L2495" s="63"/>
      <c r="M2495" s="209"/>
      <c r="N2495" s="64">
        <f>IF(L2494="Ab","Ab",L2494/6)</f>
        <v>0</v>
      </c>
      <c r="O2495" s="65"/>
      <c r="P2495" s="19"/>
      <c r="Q2495" s="14"/>
      <c r="R2495" s="11"/>
    </row>
    <row r="2496" s="1" customFormat="1" ht="21.95" customHeight="1" spans="1:18">
      <c r="A2496" s="7"/>
      <c r="B2496" s="12"/>
      <c r="C2496" s="33"/>
      <c r="D2496" s="29" t="s">
        <v>716</v>
      </c>
      <c r="E2496" s="18" t="str">
        <f>IFERROR(VLOOKUP(F2470,'1to4-2.1-RR'!$A$12:$BG$111,57,0),"")</f>
        <v/>
      </c>
      <c r="F2496" s="18"/>
      <c r="G2496" s="18"/>
      <c r="H2496" s="18"/>
      <c r="I2496" s="18"/>
      <c r="J2496" s="18"/>
      <c r="K2496" s="18"/>
      <c r="L2496" s="18"/>
      <c r="M2496" s="18"/>
      <c r="N2496" s="29"/>
      <c r="O2496" s="29"/>
      <c r="P2496" s="19"/>
      <c r="Q2496" s="14"/>
      <c r="R2496" s="11"/>
    </row>
    <row r="2497" s="1" customFormat="1" ht="9.95" customHeight="1" spans="1:19">
      <c r="A2497" s="7"/>
      <c r="B2497" s="12"/>
      <c r="C2497" s="39"/>
      <c r="D2497" s="40"/>
      <c r="E2497" s="40"/>
      <c r="F2497" s="40"/>
      <c r="G2497" s="40"/>
      <c r="H2497" s="40"/>
      <c r="I2497" s="40"/>
      <c r="J2497" s="40"/>
      <c r="K2497" s="40"/>
      <c r="L2497" s="40"/>
      <c r="M2497" s="40"/>
      <c r="N2497" s="40"/>
      <c r="O2497" s="40"/>
      <c r="P2497" s="41"/>
      <c r="Q2497" s="14"/>
      <c r="R2497" s="11"/>
    </row>
    <row r="2498" s="1" customFormat="1" ht="9.95" customHeight="1" spans="1:19">
      <c r="A2498" s="7"/>
      <c r="B2498" s="12"/>
      <c r="C2498" s="30"/>
      <c r="D2498" s="31"/>
      <c r="E2498" s="31"/>
      <c r="F2498" s="29"/>
      <c r="G2498" s="31"/>
      <c r="H2498" s="31"/>
      <c r="I2498" s="31"/>
      <c r="J2498" s="31"/>
      <c r="K2498" s="31"/>
      <c r="L2498" s="31"/>
      <c r="M2498" s="31"/>
      <c r="N2498" s="31"/>
      <c r="O2498" s="31"/>
      <c r="P2498" s="32"/>
      <c r="Q2498" s="14"/>
      <c r="R2498" s="11"/>
    </row>
    <row r="2499" s="1" customFormat="1" ht="9.95" customHeight="1" spans="1:19">
      <c r="A2499" s="7"/>
      <c r="B2499" s="12"/>
      <c r="C2499" s="33"/>
      <c r="D2499" s="29"/>
      <c r="E2499" s="29"/>
      <c r="F2499" s="29"/>
      <c r="G2499" s="29"/>
      <c r="H2499" s="29"/>
      <c r="I2499" s="29"/>
      <c r="J2499" s="29"/>
      <c r="K2499" s="29"/>
      <c r="L2499" s="29"/>
      <c r="M2499" s="29"/>
      <c r="N2499" s="29"/>
      <c r="O2499" s="29"/>
      <c r="P2499" s="19"/>
      <c r="Q2499" s="14"/>
      <c r="R2499" s="11"/>
    </row>
    <row r="2500" s="1" customFormat="1" ht="9.95" customHeight="1" spans="1:19">
      <c r="A2500" s="7"/>
      <c r="B2500" s="12"/>
      <c r="C2500" s="33"/>
      <c r="D2500" s="29"/>
      <c r="E2500" s="29"/>
      <c r="F2500" s="29"/>
      <c r="G2500" s="29"/>
      <c r="H2500" s="29"/>
      <c r="I2500" s="29"/>
      <c r="J2500" s="29"/>
      <c r="K2500" s="29"/>
      <c r="L2500" s="29"/>
      <c r="M2500" s="29"/>
      <c r="N2500" s="29"/>
      <c r="O2500" s="29"/>
      <c r="P2500" s="19"/>
      <c r="Q2500" s="14"/>
      <c r="R2500" s="11"/>
    </row>
    <row r="2501" s="1" customFormat="1" ht="21.95" customHeight="1" spans="1:19">
      <c r="A2501" s="7"/>
      <c r="B2501" s="12"/>
      <c r="C2501" s="210"/>
      <c r="D2501" s="211"/>
      <c r="E2501" s="211"/>
      <c r="F2501" s="211"/>
      <c r="G2501" s="211"/>
      <c r="H2501" s="211"/>
      <c r="I2501" s="211"/>
      <c r="J2501" s="211"/>
      <c r="K2501" s="211"/>
      <c r="L2501" s="211"/>
      <c r="M2501" s="211"/>
      <c r="N2501" s="211"/>
      <c r="O2501" s="211"/>
      <c r="P2501" s="212"/>
      <c r="Q2501" s="14"/>
      <c r="R2501" s="11"/>
      <c r="S2501" s="2"/>
    </row>
    <row r="2502" s="1" customFormat="1" ht="21.95" customHeight="1" spans="1:19">
      <c r="A2502" s="7"/>
      <c r="B2502" s="12"/>
      <c r="C2502" s="33"/>
      <c r="D2502" s="207" t="s">
        <v>722</v>
      </c>
      <c r="E2502" s="207"/>
      <c r="F2502" s="207"/>
      <c r="G2502" s="207"/>
      <c r="H2502" s="54">
        <f>IFERROR(VLOOKUP(F2470,PASHEET!$A$4:$CJ$103,88,0),"")</f>
        <v>0</v>
      </c>
      <c r="I2502" s="54"/>
      <c r="J2502" s="29"/>
      <c r="K2502" s="29"/>
      <c r="L2502" s="29"/>
      <c r="M2502" s="29"/>
      <c r="N2502" s="29"/>
      <c r="O2502" s="29"/>
      <c r="P2502" s="19"/>
      <c r="Q2502" s="14"/>
      <c r="R2502" s="11"/>
    </row>
    <row r="2503" s="1" customFormat="1" ht="21.95" customHeight="1" spans="1:19">
      <c r="A2503" s="7"/>
      <c r="B2503" s="12"/>
      <c r="C2503" s="213"/>
      <c r="D2503" s="207" t="s">
        <v>723</v>
      </c>
      <c r="E2503" s="207"/>
      <c r="F2503" s="207"/>
      <c r="G2503" s="207"/>
      <c r="H2503" s="54">
        <f>IFERROR(VLOOKUP(F2470,PASHEET!$A$4:$CJ$103,87,0),"")</f>
        <v>0</v>
      </c>
      <c r="I2503" s="54"/>
      <c r="J2503" s="214"/>
      <c r="K2503" s="214"/>
      <c r="L2503" s="207" t="s">
        <v>724</v>
      </c>
      <c r="M2503" s="207"/>
      <c r="N2503" s="117" t="str">
        <f>IF(F2470&gt;ENTRY!$D$24,"",IF(F2470&gt;0,L2494&amp;" / "&amp;600,""))</f>
        <v/>
      </c>
      <c r="O2503" s="117"/>
      <c r="P2503" s="215"/>
      <c r="Q2503" s="14"/>
      <c r="R2503" s="11"/>
    </row>
    <row r="2504" s="1" customFormat="1" ht="18" customHeight="1" spans="1:19">
      <c r="A2504" s="7"/>
      <c r="B2504" s="12"/>
      <c r="C2504" s="33"/>
      <c r="D2504" s="207" t="s">
        <v>725</v>
      </c>
      <c r="E2504" s="207"/>
      <c r="F2504" s="207"/>
      <c r="G2504" s="207"/>
      <c r="H2504" s="69" t="str">
        <f>IFERROR(IF(F2470&gt;0,H2503/H2502*100),"")</f>
        <v/>
      </c>
      <c r="I2504" s="69"/>
      <c r="J2504" s="29"/>
      <c r="K2504" s="29"/>
      <c r="L2504" s="207" t="s">
        <v>726</v>
      </c>
      <c r="M2504" s="207"/>
      <c r="N2504" s="216" t="str">
        <f>IF(F2470&gt;ENTRY!$D$24,"",IF(F2470&gt;0,L2494/600*100,""))</f>
        <v/>
      </c>
      <c r="O2504" s="216"/>
      <c r="P2504" s="19"/>
      <c r="Q2504" s="14"/>
      <c r="R2504" s="11"/>
    </row>
    <row r="2505" s="1" customFormat="1" ht="21.95" customHeight="1" spans="1:19">
      <c r="A2505" s="7"/>
      <c r="B2505" s="12"/>
      <c r="C2505" s="33"/>
      <c r="D2505" s="80"/>
      <c r="E2505" s="80"/>
      <c r="F2505" s="217"/>
      <c r="G2505" s="217"/>
      <c r="H2505" s="217"/>
      <c r="I2505" s="217"/>
      <c r="J2505" s="217"/>
      <c r="K2505" s="217"/>
      <c r="L2505" s="217"/>
      <c r="M2505" s="217"/>
      <c r="N2505" s="80"/>
      <c r="O2505" s="80"/>
      <c r="P2505" s="19"/>
      <c r="Q2505" s="14"/>
      <c r="R2505" s="11"/>
    </row>
    <row r="2506" s="1" customFormat="1" ht="21.95" customHeight="1" spans="1:19">
      <c r="A2506" s="7"/>
      <c r="B2506" s="12"/>
      <c r="C2506" s="33"/>
      <c r="D2506" s="80"/>
      <c r="E2506" s="218"/>
      <c r="F2506" s="218"/>
      <c r="G2506" s="218"/>
      <c r="H2506" s="80"/>
      <c r="I2506" s="218"/>
      <c r="J2506" s="218"/>
      <c r="K2506" s="218"/>
      <c r="L2506" s="218"/>
      <c r="M2506" s="80"/>
      <c r="N2506" s="219"/>
      <c r="O2506" s="219"/>
      <c r="P2506" s="19"/>
      <c r="Q2506" s="14"/>
      <c r="R2506" s="11"/>
    </row>
    <row r="2507" s="1" customFormat="1" ht="21.95" customHeight="1" spans="1:19">
      <c r="A2507" s="7"/>
      <c r="B2507" s="12"/>
      <c r="C2507" s="33"/>
      <c r="D2507" s="80"/>
      <c r="E2507" s="80"/>
      <c r="F2507" s="80"/>
      <c r="G2507" s="80"/>
      <c r="H2507" s="80"/>
      <c r="I2507" s="80"/>
      <c r="J2507" s="80"/>
      <c r="K2507" s="80"/>
      <c r="L2507" s="80"/>
      <c r="M2507" s="80"/>
      <c r="N2507" s="80"/>
      <c r="O2507" s="80"/>
      <c r="P2507" s="19"/>
      <c r="Q2507" s="14"/>
      <c r="R2507" s="11"/>
    </row>
    <row r="2508" s="1" customFormat="1" ht="21.95" customHeight="1" spans="1:19">
      <c r="A2508" s="7"/>
      <c r="B2508" s="12"/>
      <c r="C2508" s="33"/>
      <c r="D2508" s="218"/>
      <c r="E2508" s="218"/>
      <c r="F2508" s="218"/>
      <c r="G2508" s="218"/>
      <c r="H2508" s="218"/>
      <c r="I2508" s="218"/>
      <c r="J2508" s="218"/>
      <c r="K2508" s="218"/>
      <c r="L2508" s="218"/>
      <c r="M2508" s="80"/>
      <c r="N2508" s="217"/>
      <c r="O2508" s="217"/>
      <c r="P2508" s="85" t="s">
        <v>727</v>
      </c>
      <c r="Q2508" s="14"/>
      <c r="R2508" s="11"/>
    </row>
    <row r="2509" s="1" customFormat="1" ht="21.95" customHeight="1" spans="1:19">
      <c r="A2509" s="7"/>
      <c r="B2509" s="12"/>
      <c r="C2509" s="33"/>
      <c r="D2509" s="29"/>
      <c r="E2509" s="29"/>
      <c r="F2509" s="29"/>
      <c r="G2509" s="29"/>
      <c r="H2509" s="29"/>
      <c r="I2509" s="29"/>
      <c r="J2509" s="29"/>
      <c r="K2509" s="29"/>
      <c r="L2509" s="29"/>
      <c r="M2509" s="29"/>
      <c r="N2509" s="29"/>
      <c r="O2509" s="29"/>
      <c r="P2509" s="19"/>
      <c r="Q2509" s="14"/>
      <c r="R2509" s="11"/>
    </row>
    <row r="2510" s="1" customFormat="1" ht="21.95" customHeight="1" spans="1:19">
      <c r="A2510" s="7"/>
      <c r="B2510" s="12"/>
      <c r="C2510" s="33"/>
      <c r="D2510" s="29"/>
      <c r="E2510" s="29"/>
      <c r="F2510" s="29"/>
      <c r="G2510" s="29"/>
      <c r="H2510" s="29"/>
      <c r="I2510" s="29"/>
      <c r="J2510" s="29"/>
      <c r="K2510" s="29"/>
      <c r="L2510" s="29"/>
      <c r="M2510" s="29"/>
      <c r="N2510" s="29"/>
      <c r="O2510" s="29"/>
      <c r="P2510" s="19"/>
      <c r="Q2510" s="14"/>
      <c r="R2510" s="11"/>
    </row>
    <row r="2511" s="1" customFormat="1" ht="21.95" customHeight="1" spans="1:19">
      <c r="A2511" s="7"/>
      <c r="B2511" s="12"/>
      <c r="C2511" s="33"/>
      <c r="D2511" s="29"/>
      <c r="E2511" s="29"/>
      <c r="F2511" s="29"/>
      <c r="G2511" s="29"/>
      <c r="H2511" s="29"/>
      <c r="I2511" s="29"/>
      <c r="J2511" s="29"/>
      <c r="K2511" s="29"/>
      <c r="L2511" s="29"/>
      <c r="M2511" s="29"/>
      <c r="N2511" s="29"/>
      <c r="O2511" s="29"/>
      <c r="P2511" s="19"/>
      <c r="Q2511" s="14"/>
      <c r="R2511" s="11"/>
    </row>
    <row r="2512" s="1" customFormat="1" ht="21.95" customHeight="1" spans="1:19">
      <c r="A2512" s="7"/>
      <c r="B2512" s="12"/>
      <c r="C2512" s="33"/>
      <c r="D2512" s="29"/>
      <c r="E2512" s="29"/>
      <c r="F2512" s="29"/>
      <c r="G2512" s="29"/>
      <c r="H2512" s="29"/>
      <c r="I2512" s="29"/>
      <c r="J2512" s="29"/>
      <c r="K2512" s="29"/>
      <c r="L2512" s="29"/>
      <c r="M2512" s="29"/>
      <c r="N2512" s="29"/>
      <c r="O2512" s="29"/>
      <c r="P2512" s="19"/>
      <c r="Q2512" s="14"/>
      <c r="R2512" s="11"/>
    </row>
    <row r="2513" s="1" customFormat="1" ht="21.95" customHeight="1" spans="1:18">
      <c r="A2513" s="7"/>
      <c r="B2513" s="12"/>
      <c r="C2513" s="33"/>
      <c r="D2513" s="29"/>
      <c r="E2513" s="29"/>
      <c r="F2513" s="29"/>
      <c r="G2513" s="29"/>
      <c r="H2513" s="29"/>
      <c r="I2513" s="29"/>
      <c r="J2513" s="29"/>
      <c r="K2513" s="29"/>
      <c r="L2513" s="29"/>
      <c r="M2513" s="29"/>
      <c r="N2513" s="29"/>
      <c r="O2513" s="29"/>
      <c r="P2513" s="19"/>
      <c r="Q2513" s="14"/>
      <c r="R2513" s="11"/>
    </row>
    <row r="2514" s="1" customFormat="1" ht="21.95" customHeight="1" spans="1:18">
      <c r="A2514" s="7"/>
      <c r="B2514" s="12"/>
      <c r="C2514" s="33"/>
      <c r="D2514" s="80" t="s">
        <v>728</v>
      </c>
      <c r="E2514" s="220">
        <f>ENTRY!$D$27</f>
        <v>46102</v>
      </c>
      <c r="F2514" s="220"/>
      <c r="G2514" s="29"/>
      <c r="H2514" s="29"/>
      <c r="I2514" s="221" t="s">
        <v>729</v>
      </c>
      <c r="J2514" s="153"/>
      <c r="K2514" s="29"/>
      <c r="L2514" s="29"/>
      <c r="M2514" s="87" t="s">
        <v>730</v>
      </c>
      <c r="N2514" s="87"/>
      <c r="O2514" s="87"/>
      <c r="P2514" s="19"/>
      <c r="Q2514" s="14"/>
      <c r="R2514" s="11"/>
    </row>
    <row r="2515" s="1" customFormat="1" ht="21.95" customHeight="1" spans="1:18">
      <c r="A2515" s="7"/>
      <c r="B2515" s="12"/>
      <c r="C2515" s="33"/>
      <c r="D2515" s="80" t="s">
        <v>731</v>
      </c>
      <c r="E2515" s="88" t="str">
        <f>PROPER(ENTRY!$D$28)</f>
        <v>New Delhi</v>
      </c>
      <c r="F2515" s="88"/>
      <c r="G2515" s="29"/>
      <c r="H2515" s="29"/>
      <c r="I2515" s="153"/>
      <c r="J2515" s="153"/>
      <c r="K2515" s="29"/>
      <c r="L2515" s="29"/>
      <c r="M2515" s="79" t="s">
        <v>732</v>
      </c>
      <c r="N2515" s="79"/>
      <c r="O2515" s="79"/>
      <c r="P2515" s="19"/>
      <c r="Q2515" s="14"/>
      <c r="R2515" s="11"/>
    </row>
    <row r="2516" s="1" customFormat="1" ht="21.95" customHeight="1" spans="1:18">
      <c r="A2516" s="7"/>
      <c r="B2516" s="12"/>
      <c r="C2516" s="90"/>
      <c r="D2516" s="91"/>
      <c r="E2516" s="91"/>
      <c r="F2516" s="91"/>
      <c r="G2516" s="91"/>
      <c r="H2516" s="91"/>
      <c r="I2516" s="91"/>
      <c r="J2516" s="91"/>
      <c r="K2516" s="91"/>
      <c r="L2516" s="91"/>
      <c r="M2516" s="91"/>
      <c r="N2516" s="91"/>
      <c r="O2516" s="91"/>
      <c r="P2516" s="92"/>
      <c r="Q2516" s="14"/>
      <c r="R2516" s="11"/>
    </row>
    <row r="2517" s="1" customFormat="1" ht="5.1" customHeight="1" spans="1:18">
      <c r="A2517" s="7"/>
      <c r="B2517" s="90"/>
      <c r="C2517" s="91"/>
      <c r="D2517" s="91"/>
      <c r="E2517" s="91"/>
      <c r="F2517" s="91"/>
      <c r="G2517" s="91"/>
      <c r="H2517" s="91"/>
      <c r="I2517" s="91"/>
      <c r="J2517" s="91"/>
      <c r="K2517" s="91"/>
      <c r="L2517" s="91"/>
      <c r="M2517" s="91"/>
      <c r="N2517" s="91"/>
      <c r="O2517" s="91"/>
      <c r="P2517" s="91"/>
      <c r="Q2517" s="92"/>
      <c r="R2517" s="11"/>
    </row>
    <row r="2518" s="1" customFormat="1" ht="5.1" customHeight="1" spans="1:18">
      <c r="A2518" s="93"/>
      <c r="B2518" s="94"/>
      <c r="C2518" s="94"/>
      <c r="D2518" s="94"/>
      <c r="E2518" s="94"/>
      <c r="F2518" s="94"/>
      <c r="G2518" s="94"/>
      <c r="H2518" s="94"/>
      <c r="I2518" s="94"/>
      <c r="J2518" s="94"/>
      <c r="K2518" s="94"/>
      <c r="L2518" s="94"/>
      <c r="M2518" s="94"/>
      <c r="N2518" s="94"/>
      <c r="O2518" s="94"/>
      <c r="P2518" s="94"/>
      <c r="Q2518" s="94"/>
      <c r="R2518" s="95"/>
    </row>
    <row r="2519" s="1" customFormat="1" ht="21.95" customHeight="1"/>
    <row r="2520" ht="15.15"/>
    <row r="2521" s="1" customFormat="1" ht="5.1" customHeight="1" spans="1:18">
      <c r="A2521" s="4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  <c r="R2521" s="6"/>
    </row>
    <row r="2522" s="1" customFormat="1" ht="15" customHeight="1" spans="1:18">
      <c r="A2522" s="7"/>
      <c r="B2522" s="8"/>
      <c r="C2522" s="9"/>
      <c r="D2522" s="9"/>
      <c r="E2522" s="9"/>
      <c r="F2522" s="9"/>
      <c r="G2522" s="9"/>
      <c r="H2522" s="9"/>
      <c r="I2522" s="9"/>
      <c r="J2522" s="9"/>
      <c r="K2522" s="9"/>
      <c r="L2522" s="9"/>
      <c r="M2522" s="9"/>
      <c r="N2522" s="9"/>
      <c r="O2522" s="9"/>
      <c r="P2522" s="9"/>
      <c r="Q2522" s="10"/>
      <c r="R2522" s="11"/>
    </row>
    <row r="2523" s="1" customFormat="1" ht="21.95" customHeight="1" spans="1:18">
      <c r="A2523" s="7"/>
      <c r="B2523" s="12"/>
      <c r="C2523" s="13" t="s">
        <v>7</v>
      </c>
      <c r="D2523" s="13"/>
      <c r="E2523" s="13"/>
      <c r="F2523" s="13"/>
      <c r="G2523" s="13"/>
      <c r="H2523" s="13"/>
      <c r="I2523" s="13"/>
      <c r="J2523" s="13"/>
      <c r="K2523" s="13"/>
      <c r="L2523" s="13"/>
      <c r="M2523" s="13"/>
      <c r="N2523" s="13"/>
      <c r="O2523" s="13"/>
      <c r="P2523" s="13"/>
      <c r="Q2523" s="14"/>
      <c r="R2523" s="11"/>
    </row>
    <row r="2524" s="1" customFormat="1" ht="21.95" customHeight="1" spans="1:18">
      <c r="A2524" s="7"/>
      <c r="B2524" s="1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14"/>
      <c r="R2524" s="11"/>
    </row>
    <row r="2525" s="1" customFormat="1" ht="21.95" customHeight="1" spans="1:18">
      <c r="A2525" s="7"/>
      <c r="B2525" s="12"/>
      <c r="C2525" s="15" t="str">
        <f>"SESSION-"&amp;ENTRY!$D$11</f>
        <v>SESSION-2026-27</v>
      </c>
      <c r="D2525" s="15"/>
      <c r="E2525" s="15"/>
      <c r="F2525" s="15"/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4"/>
      <c r="R2525" s="11"/>
    </row>
    <row r="2526" s="1" customFormat="1" ht="21.95" customHeight="1" spans="1:18">
      <c r="A2526" s="7"/>
      <c r="B2526" s="12"/>
      <c r="C2526" s="2"/>
      <c r="D2526" s="2"/>
      <c r="E2526" s="2"/>
      <c r="F2526" s="16">
        <f>F2470+1</f>
        <v>46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14"/>
      <c r="R2526" s="11"/>
    </row>
    <row r="2527" s="1" customFormat="1" ht="21.95" customHeight="1" spans="1:18">
      <c r="A2527" s="7"/>
      <c r="B2527" s="12"/>
      <c r="C2527" s="17" t="s">
        <v>392</v>
      </c>
      <c r="D2527" s="17"/>
      <c r="E2527" s="17"/>
      <c r="F2527" s="18" t="str">
        <f>IF(F2526&gt;0,ENTRY!$D$6,"")</f>
        <v>MCP NITHARI NO 1 BOYS</v>
      </c>
      <c r="G2527" s="18"/>
      <c r="H2527" s="18"/>
      <c r="I2527" s="18"/>
      <c r="J2527" s="18"/>
      <c r="K2527" s="18"/>
      <c r="L2527" s="18"/>
      <c r="M2527" s="18"/>
      <c r="N2527" s="18"/>
      <c r="O2527" s="18"/>
      <c r="P2527" s="18"/>
      <c r="Q2527" s="14"/>
      <c r="R2527" s="11"/>
    </row>
    <row r="2528" s="1" customFormat="1" ht="21.95" customHeight="1" spans="1:18">
      <c r="A2528" s="7"/>
      <c r="B2528" s="12"/>
      <c r="C2528" s="17" t="s">
        <v>393</v>
      </c>
      <c r="D2528" s="17"/>
      <c r="E2528" s="17"/>
      <c r="F2528" s="18">
        <f>IF(F2526&gt;0,ENTRY!$D$7,"")</f>
        <v>0</v>
      </c>
      <c r="G2528" s="18"/>
      <c r="H2528" s="20" t="s">
        <v>702</v>
      </c>
      <c r="I2528" s="20"/>
      <c r="J2528" s="21">
        <f>IF(F2526&gt;0,ENTRY!$D$10,"")</f>
        <v>40</v>
      </c>
      <c r="K2528" s="20" t="s">
        <v>703</v>
      </c>
      <c r="L2528" s="22" t="str">
        <f>IF(F2526&gt;0,ENTRY!$D$5,"")</f>
        <v>ROHINI ZONE</v>
      </c>
      <c r="M2528" s="22"/>
      <c r="N2528" s="22"/>
      <c r="O2528" s="22"/>
      <c r="P2528" s="22"/>
      <c r="Q2528" s="14"/>
      <c r="R2528" s="11"/>
    </row>
    <row r="2529" s="1" customFormat="1" ht="21.95" customHeight="1" spans="1:18">
      <c r="A2529" s="7"/>
      <c r="B2529" s="12"/>
      <c r="C2529" s="17" t="s">
        <v>706</v>
      </c>
      <c r="D2529" s="17"/>
      <c r="E2529" s="17"/>
      <c r="F2529" s="23">
        <f>IFERROR(VLOOKUP(F2526,STUDENT!$A$2:$BP$101,5,0),"")</f>
        <v>0</v>
      </c>
      <c r="G2529" s="23"/>
      <c r="H2529" s="23"/>
      <c r="I2529" s="23"/>
      <c r="J2529" s="23"/>
      <c r="K2529" s="23"/>
      <c r="L2529" s="20" t="s">
        <v>707</v>
      </c>
      <c r="M2529" s="20"/>
      <c r="N2529" s="24" t="str">
        <f>IF(F2526&gt;0,ENTRY!$D$20&amp;"-"&amp;ENTRY!$D$21,"")</f>
        <v>III-A</v>
      </c>
      <c r="O2529" s="24"/>
      <c r="P2529" s="24"/>
      <c r="Q2529" s="14"/>
      <c r="R2529" s="11"/>
    </row>
    <row r="2530" s="1" customFormat="1" ht="21.95" customHeight="1" spans="1:18">
      <c r="A2530" s="7"/>
      <c r="B2530" s="12"/>
      <c r="C2530" s="17" t="s">
        <v>708</v>
      </c>
      <c r="D2530" s="17"/>
      <c r="E2530" s="17"/>
      <c r="F2530" s="25">
        <f>IFERROR(VLOOKUP(F2526,STUDENT!$A$2:$BP$101,6,0),"")</f>
        <v>0</v>
      </c>
      <c r="G2530" s="25"/>
      <c r="H2530" s="26" t="s">
        <v>709</v>
      </c>
      <c r="I2530" s="27" t="str">
        <f>IFERROR(VLOOKUP(F2526,STUDENT!$A$2:$BP$101,59,0),"")</f>
        <v/>
      </c>
      <c r="J2530" s="27"/>
      <c r="K2530" s="20" t="s">
        <v>710</v>
      </c>
      <c r="L2530" s="20"/>
      <c r="M2530" s="28">
        <f>IFERROR(VLOOKUP(F2526,STUDENT!$A$2:$BP$101,20,0),"")</f>
        <v>0</v>
      </c>
      <c r="N2530" s="28"/>
      <c r="O2530" s="28"/>
      <c r="P2530" s="28"/>
      <c r="Q2530" s="14"/>
      <c r="R2530" s="11"/>
    </row>
    <row r="2531" s="1" customFormat="1" ht="21.95" customHeight="1" spans="1:18">
      <c r="A2531" s="7"/>
      <c r="B2531" s="12"/>
      <c r="C2531" s="17" t="s">
        <v>711</v>
      </c>
      <c r="D2531" s="17"/>
      <c r="E2531" s="17"/>
      <c r="F2531" s="23">
        <f>IFERROR(VLOOKUP(F2526,STUDENT!$A$2:$BP$101,9,0),"")</f>
        <v>0</v>
      </c>
      <c r="G2531" s="23"/>
      <c r="H2531" s="23"/>
      <c r="I2531" s="23"/>
      <c r="J2531" s="17" t="s">
        <v>620</v>
      </c>
      <c r="K2531" s="17"/>
      <c r="L2531" s="23">
        <f>IFERROR(VLOOKUP(F2526,STUDENT!$A$2:$BP$101,8,0),"")</f>
        <v>0</v>
      </c>
      <c r="M2531" s="23"/>
      <c r="N2531" s="23"/>
      <c r="O2531" s="23"/>
      <c r="P2531" s="23"/>
      <c r="Q2531" s="14"/>
      <c r="R2531" s="11"/>
    </row>
    <row r="2532" s="1" customFormat="1" ht="21.95" customHeight="1" spans="1:18">
      <c r="A2532" s="7"/>
      <c r="B2532" s="12"/>
      <c r="C2532" s="17" t="s">
        <v>712</v>
      </c>
      <c r="D2532" s="17"/>
      <c r="E2532" s="17"/>
      <c r="F2532" s="23">
        <f>IFERROR(VLOOKUP(F2526,STUDENT!$A$2:$BP$101,22,0),"")</f>
        <v>0</v>
      </c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14"/>
      <c r="R2532" s="11"/>
    </row>
    <row r="2533" s="1" customFormat="1" ht="9.95" customHeight="1" spans="1:18">
      <c r="A2533" s="7"/>
      <c r="B2533" s="12"/>
      <c r="C2533" s="29"/>
      <c r="D2533" s="29"/>
      <c r="E2533" s="29"/>
      <c r="F2533" s="29"/>
      <c r="G2533" s="29"/>
      <c r="H2533" s="29"/>
      <c r="I2533" s="29"/>
      <c r="J2533" s="29"/>
      <c r="K2533" s="29"/>
      <c r="L2533" s="29"/>
      <c r="M2533" s="29"/>
      <c r="N2533" s="29"/>
      <c r="O2533" s="29"/>
      <c r="P2533" s="29"/>
      <c r="Q2533" s="14"/>
      <c r="R2533" s="11"/>
    </row>
    <row r="2534" s="1" customFormat="1" ht="9.95" customHeight="1" spans="1:18">
      <c r="A2534" s="7"/>
      <c r="B2534" s="12"/>
      <c r="C2534" s="30"/>
      <c r="D2534" s="31"/>
      <c r="E2534" s="31"/>
      <c r="F2534" s="31"/>
      <c r="G2534" s="31"/>
      <c r="H2534" s="31"/>
      <c r="I2534" s="31"/>
      <c r="J2534" s="31"/>
      <c r="K2534" s="31"/>
      <c r="L2534" s="31"/>
      <c r="M2534" s="31"/>
      <c r="N2534" s="31"/>
      <c r="O2534" s="31"/>
      <c r="P2534" s="32"/>
      <c r="Q2534" s="14"/>
      <c r="R2534" s="11"/>
    </row>
    <row r="2535" s="1" customFormat="1" ht="21.95" customHeight="1" spans="1:18">
      <c r="A2535" s="7"/>
      <c r="B2535" s="12"/>
      <c r="C2535" s="33"/>
      <c r="D2535" s="34" t="s">
        <v>713</v>
      </c>
      <c r="E2535" s="20" t="s">
        <v>714</v>
      </c>
      <c r="F2535" s="35" t="str">
        <f>"Level - "&amp;IFERROR(VLOOKUP(F2526,FLN!$A$4:$K$103,9,0),"")</f>
        <v>Level - </v>
      </c>
      <c r="G2535" s="36"/>
      <c r="H2535" s="37" t="s">
        <v>715</v>
      </c>
      <c r="I2535" s="20"/>
      <c r="J2535" s="35" t="str">
        <f>"Level - "&amp;IFERROR(VLOOKUP(F2526,FLN!$A$4:$K$103,11,0),"")</f>
        <v>Level - </v>
      </c>
      <c r="K2535" s="36"/>
      <c r="L2535" s="37" t="s">
        <v>408</v>
      </c>
      <c r="M2535" s="20"/>
      <c r="N2535" s="35" t="str">
        <f>"Level - "&amp;IFERROR(VLOOKUP(F2526,FLN!$A$4:$K$103,10,0),"")</f>
        <v>Level - </v>
      </c>
      <c r="O2535" s="36"/>
      <c r="P2535" s="19"/>
      <c r="Q2535" s="14"/>
      <c r="R2535" s="11"/>
    </row>
    <row r="2536" s="1" customFormat="1" ht="21.95" customHeight="1" spans="1:18">
      <c r="A2536" s="7"/>
      <c r="B2536" s="12"/>
      <c r="C2536" s="33"/>
      <c r="D2536" s="38"/>
      <c r="E2536" s="20" t="s">
        <v>716</v>
      </c>
      <c r="F2536" s="18" t="str">
        <f>IF(L2550&gt;197,"PERFORMED WELL","")</f>
        <v/>
      </c>
      <c r="G2536" s="18"/>
      <c r="H2536" s="18"/>
      <c r="I2536" s="18"/>
      <c r="J2536" s="18"/>
      <c r="K2536" s="18"/>
      <c r="L2536" s="18"/>
      <c r="M2536" s="18"/>
      <c r="N2536" s="18"/>
      <c r="O2536" s="18"/>
      <c r="P2536" s="19"/>
      <c r="Q2536" s="14"/>
      <c r="R2536" s="11"/>
    </row>
    <row r="2537" s="1" customFormat="1" ht="9.95" customHeight="1" spans="1:18">
      <c r="A2537" s="7"/>
      <c r="B2537" s="12"/>
      <c r="C2537" s="39"/>
      <c r="D2537" s="40"/>
      <c r="E2537" s="40"/>
      <c r="F2537" s="40"/>
      <c r="G2537" s="40"/>
      <c r="H2537" s="40"/>
      <c r="I2537" s="40"/>
      <c r="J2537" s="40"/>
      <c r="K2537" s="40"/>
      <c r="L2537" s="40"/>
      <c r="M2537" s="40"/>
      <c r="N2537" s="40"/>
      <c r="O2537" s="40"/>
      <c r="P2537" s="41"/>
      <c r="Q2537" s="14"/>
      <c r="R2537" s="11"/>
    </row>
    <row r="2538" s="1" customFormat="1" ht="9.95" customHeight="1" spans="1:18">
      <c r="A2538" s="7"/>
      <c r="B2538" s="12"/>
      <c r="C2538" s="29"/>
      <c r="D2538" s="29"/>
      <c r="E2538" s="29"/>
      <c r="F2538" s="29"/>
      <c r="G2538" s="29"/>
      <c r="H2538" s="29"/>
      <c r="I2538" s="29"/>
      <c r="J2538" s="29"/>
      <c r="K2538" s="29"/>
      <c r="L2538" s="29"/>
      <c r="M2538" s="29"/>
      <c r="N2538" s="29"/>
      <c r="O2538" s="29"/>
      <c r="P2538" s="29"/>
      <c r="Q2538" s="14"/>
      <c r="R2538" s="11"/>
    </row>
    <row r="2539" s="1" customFormat="1" ht="9.95" customHeight="1" spans="1:18">
      <c r="A2539" s="7"/>
      <c r="B2539" s="12"/>
      <c r="C2539" s="30"/>
      <c r="D2539" s="31"/>
      <c r="E2539" s="31"/>
      <c r="F2539" s="31"/>
      <c r="G2539" s="31"/>
      <c r="H2539" s="31"/>
      <c r="I2539" s="31"/>
      <c r="J2539" s="31"/>
      <c r="K2539" s="31"/>
      <c r="L2539" s="31"/>
      <c r="M2539" s="31"/>
      <c r="N2539" s="31"/>
      <c r="O2539" s="31"/>
      <c r="P2539" s="32"/>
      <c r="Q2539" s="14"/>
      <c r="R2539" s="11"/>
    </row>
    <row r="2540" s="1" customFormat="1" ht="21.95" customHeight="1" spans="1:18">
      <c r="A2540" s="7"/>
      <c r="B2540" s="12"/>
      <c r="C2540" s="33"/>
      <c r="D2540" s="35"/>
      <c r="E2540" s="24"/>
      <c r="F2540" s="24"/>
      <c r="G2540" s="47" t="s">
        <v>717</v>
      </c>
      <c r="H2540" s="47"/>
      <c r="I2540" s="47"/>
      <c r="J2540" s="47"/>
      <c r="K2540" s="47"/>
      <c r="L2540" s="47"/>
      <c r="M2540" s="47"/>
      <c r="N2540" s="47"/>
      <c r="O2540" s="29"/>
      <c r="P2540" s="19"/>
      <c r="Q2540" s="14"/>
      <c r="R2540" s="11"/>
    </row>
    <row r="2541" s="1" customFormat="1" ht="21.95" customHeight="1" spans="1:18">
      <c r="A2541" s="7"/>
      <c r="B2541" s="12"/>
      <c r="C2541" s="33"/>
      <c r="D2541" s="47"/>
      <c r="E2541" s="47"/>
      <c r="F2541" s="47"/>
      <c r="G2541" s="47" t="s">
        <v>541</v>
      </c>
      <c r="H2541" s="47" t="s">
        <v>542</v>
      </c>
      <c r="I2541" s="47" t="s">
        <v>543</v>
      </c>
      <c r="J2541" s="47" t="s">
        <v>544</v>
      </c>
      <c r="K2541" s="47" t="s">
        <v>561</v>
      </c>
      <c r="L2541" s="47" t="s">
        <v>382</v>
      </c>
      <c r="M2541" s="49" t="s">
        <v>546</v>
      </c>
      <c r="N2541" s="49"/>
      <c r="O2541" s="29"/>
      <c r="P2541" s="19"/>
      <c r="Q2541" s="14"/>
      <c r="R2541" s="11"/>
    </row>
    <row r="2542" s="1" customFormat="1" ht="21.95" customHeight="1" spans="1:18">
      <c r="A2542" s="7"/>
      <c r="B2542" s="12"/>
      <c r="C2542" s="33"/>
      <c r="D2542" s="207" t="s">
        <v>652</v>
      </c>
      <c r="E2542" s="207"/>
      <c r="F2542" s="207"/>
      <c r="G2542" s="50">
        <v>10</v>
      </c>
      <c r="H2542" s="50">
        <v>10</v>
      </c>
      <c r="I2542" s="50">
        <v>10</v>
      </c>
      <c r="J2542" s="50">
        <v>10</v>
      </c>
      <c r="K2542" s="50">
        <v>60</v>
      </c>
      <c r="L2542" s="50">
        <v>100</v>
      </c>
      <c r="M2542" s="49"/>
      <c r="N2542" s="49"/>
      <c r="O2542" s="29"/>
      <c r="P2542" s="19"/>
      <c r="Q2542" s="14"/>
      <c r="R2542" s="11"/>
    </row>
    <row r="2543" s="1" customFormat="1" ht="21.95" customHeight="1" spans="1:18">
      <c r="A2543" s="7"/>
      <c r="B2543" s="12"/>
      <c r="C2543" s="33"/>
      <c r="D2543" s="117" t="s">
        <v>668</v>
      </c>
      <c r="E2543" s="117"/>
      <c r="F2543" s="117"/>
      <c r="G2543" s="54" t="str">
        <f>IFERROR(VLOOKUP(F2526,'1to4-2.1-RR'!$A$12:$BG$111,9,0),"")</f>
        <v/>
      </c>
      <c r="H2543" s="54" t="str">
        <f>IFERROR(VLOOKUP(F2526,'1to4-2.1-RR'!$A$12:$BG$111,10,0),"")</f>
        <v/>
      </c>
      <c r="I2543" s="54" t="str">
        <f>IFERROR(VLOOKUP(F2526,'1to4-2.1-RR'!$A$12:$BG$111,11,0),"")</f>
        <v/>
      </c>
      <c r="J2543" s="54" t="str">
        <f>IFERROR(VLOOKUP(F2526,'1to4-2.1-RR'!$A$12:$BG$111,12,0),"")</f>
        <v/>
      </c>
      <c r="K2543" s="54" t="str">
        <f>IFERROR(VLOOKUP(F2526,'1to4-2.1-RR'!$A$12:$BG$111,13,0),"")</f>
        <v/>
      </c>
      <c r="L2543" s="55">
        <f>SUM(G2543:K2543)</f>
        <v>0</v>
      </c>
      <c r="M2543" s="56" t="str">
        <f>IF(F2526&gt;ENTRY!$D$24,"",IF(L2543=0,"Ab",IF(L2543&gt;80,"A",IF(L2543&gt;60,"B",IF(L2543&gt;44,"C",IF(L2543&gt;=33,"D",IF(L2543&lt;=32,"E","")))))))</f>
        <v/>
      </c>
      <c r="N2543" s="56"/>
      <c r="O2543" s="29"/>
      <c r="P2543" s="19"/>
      <c r="Q2543" s="14"/>
      <c r="R2543" s="11"/>
    </row>
    <row r="2544" s="1" customFormat="1" ht="21.95" customHeight="1" spans="1:18">
      <c r="A2544" s="7"/>
      <c r="B2544" s="12"/>
      <c r="C2544" s="33"/>
      <c r="D2544" s="117" t="s">
        <v>513</v>
      </c>
      <c r="E2544" s="117"/>
      <c r="F2544" s="117"/>
      <c r="G2544" s="54" t="str">
        <f>IFERROR(VLOOKUP(F2526,'1to4-2.1-RR'!$A$12:$BG$111,16,0),"")</f>
        <v/>
      </c>
      <c r="H2544" s="54" t="str">
        <f>IFERROR(VLOOKUP(F2526,'1to4-2.1-RR'!$A$12:$BG$111,17,0),"")</f>
        <v/>
      </c>
      <c r="I2544" s="54" t="str">
        <f>IFERROR(VLOOKUP(F2526,'1to4-2.1-RR'!$A$12:$BG$111,18,0),"")</f>
        <v/>
      </c>
      <c r="J2544" s="54" t="str">
        <f>IFERROR(VLOOKUP(F2526,'1to4-2.1-RR'!$A$12:$BG$111,19,0),"")</f>
        <v/>
      </c>
      <c r="K2544" s="54" t="str">
        <f>IFERROR(VLOOKUP(F2526,'1to4-2.1-RR'!$A$12:$BG$111,20,0),"")</f>
        <v/>
      </c>
      <c r="L2544" s="55">
        <f t="shared" ref="L2544:L2549" si="90">SUM(G2544:K2544)</f>
        <v>0</v>
      </c>
      <c r="M2544" s="56" t="str">
        <f>IF(F2526&gt;ENTRY!$D$24,"",IF(L2544=0,"Ab",IF(L2544&gt;80,"A",IF(L2544&gt;60,"B",IF(L2544&gt;44,"C",IF(L2544&gt;=33,"D",IF(L2544&lt;=32,"E","")))))))</f>
        <v/>
      </c>
      <c r="N2544" s="56"/>
      <c r="O2544" s="29"/>
      <c r="P2544" s="19"/>
      <c r="Q2544" s="14"/>
      <c r="R2544" s="11"/>
    </row>
    <row r="2545" s="1" customFormat="1" ht="21.95" customHeight="1" spans="1:19">
      <c r="A2545" s="7"/>
      <c r="B2545" s="12"/>
      <c r="C2545" s="33"/>
      <c r="D2545" s="117" t="s">
        <v>718</v>
      </c>
      <c r="E2545" s="117"/>
      <c r="F2545" s="117"/>
      <c r="G2545" s="54" t="str">
        <f>IFERROR(VLOOKUP(F2526,'1to4-2.1-RR'!$A$12:$BG$111,23,0),"")</f>
        <v/>
      </c>
      <c r="H2545" s="54" t="str">
        <f>IFERROR(VLOOKUP(F2526,'1to4-2.1-RR'!$A$12:$BG$111,24,0),"")</f>
        <v/>
      </c>
      <c r="I2545" s="54" t="str">
        <f>IFERROR(VLOOKUP(F2526,'1to4-2.1-RR'!$A$12:$BG$111,25,0),"")</f>
        <v/>
      </c>
      <c r="J2545" s="54" t="str">
        <f>IFERROR(VLOOKUP(F2526,'1to4-2.1-RR'!$A$12:$BG$111,26,0),"")</f>
        <v/>
      </c>
      <c r="K2545" s="54" t="str">
        <f>IFERROR(VLOOKUP(F2526,'1to4-2.1-RR'!$A$12:$BG$111,27,0),"")</f>
        <v/>
      </c>
      <c r="L2545" s="55">
        <f t="shared" si="90"/>
        <v>0</v>
      </c>
      <c r="M2545" s="56" t="str">
        <f>IF(F2526&gt;ENTRY!$D$24,"",IF(L2545=0,"Ab",IF(L2545&gt;80,"A",IF(L2545&gt;60,"B",IF(L2545&gt;44,"C",IF(L2545&gt;=33,"D",IF(L2545&lt;=32,"E","")))))))</f>
        <v/>
      </c>
      <c r="N2545" s="56"/>
      <c r="O2545" s="29"/>
      <c r="P2545" s="19"/>
      <c r="Q2545" s="14"/>
      <c r="R2545" s="11"/>
    </row>
    <row r="2546" s="1" customFormat="1" ht="21.95" customHeight="1" spans="1:19">
      <c r="A2546" s="7"/>
      <c r="B2546" s="12"/>
      <c r="C2546" s="33"/>
      <c r="D2546" s="117" t="s">
        <v>719</v>
      </c>
      <c r="E2546" s="117"/>
      <c r="F2546" s="117"/>
      <c r="G2546" s="54" t="str">
        <f>IFERROR(VLOOKUP(F2526,'1to4-2.1-RR'!$A$12:$BG$111,30,0),"")</f>
        <v/>
      </c>
      <c r="H2546" s="54" t="str">
        <f>IFERROR(VLOOKUP(F2526,'1to4-2.1-RR'!$A$12:$BG$111,31,0),"")</f>
        <v/>
      </c>
      <c r="I2546" s="54" t="str">
        <f>IFERROR(VLOOKUP(F2526,'1to4-2.1-RR'!$A$12:$BG$111,32,0),"")</f>
        <v/>
      </c>
      <c r="J2546" s="54" t="str">
        <f>IFERROR(VLOOKUP(F2526,'1to4-2.1-RR'!$A$12:$BG$111,33,0),"")</f>
        <v/>
      </c>
      <c r="K2546" s="54" t="str">
        <f>IFERROR(VLOOKUP(F2526,'1to4-2.1-RR'!$A$12:$BG$111,34,0),"")</f>
        <v/>
      </c>
      <c r="L2546" s="55">
        <f t="shared" si="90"/>
        <v>0</v>
      </c>
      <c r="M2546" s="56" t="str">
        <f>IF(F2526&gt;ENTRY!$D$24,"",IF(L2546=0,"Ab",IF(L2546&gt;80,"A",IF(L2546&gt;60,"B",IF(L2546&gt;44,"C",IF(L2546&gt;=33,"D",IF(L2546&lt;=32,"E","")))))))</f>
        <v/>
      </c>
      <c r="N2546" s="56"/>
      <c r="O2546" s="29"/>
      <c r="P2546" s="19"/>
      <c r="Q2546" s="14"/>
      <c r="R2546" s="11"/>
    </row>
    <row r="2547" s="1" customFormat="1" ht="21.95" customHeight="1" spans="1:19">
      <c r="A2547" s="7"/>
      <c r="B2547" s="12"/>
      <c r="C2547" s="33"/>
      <c r="D2547" s="117" t="s">
        <v>548</v>
      </c>
      <c r="E2547" s="117"/>
      <c r="F2547" s="117"/>
      <c r="G2547" s="54" t="str">
        <f>IFERROR(VLOOKUP(F2526,'1to4-2.1-RR'!$A$12:$BG$111,37,0),"")</f>
        <v/>
      </c>
      <c r="H2547" s="54" t="str">
        <f>IFERROR(VLOOKUP(F2526,'1to4-2.1-RR'!$A$12:$BG$111,38,0),"")</f>
        <v/>
      </c>
      <c r="I2547" s="54" t="str">
        <f>IFERROR(VLOOKUP(F2526,'1to4-2.1-RR'!$A$12:$BG$111,39,0),"")</f>
        <v/>
      </c>
      <c r="J2547" s="54" t="str">
        <f>IFERROR(VLOOKUP(F2526,'1to4-2.1-RR'!$A$12:$BG$111,40,0),"")</f>
        <v/>
      </c>
      <c r="K2547" s="54" t="str">
        <f>IFERROR(VLOOKUP(F2526,'1to4-2.1-RR'!$A$12:$BG$111,41,0),"")</f>
        <v/>
      </c>
      <c r="L2547" s="55">
        <f t="shared" si="90"/>
        <v>0</v>
      </c>
      <c r="M2547" s="56" t="str">
        <f>IF(F2526&gt;ENTRY!$D$24,"",IF(L2547=0,"Ab",IF(L2547&gt;80,"A",IF(L2547&gt;60,"B",IF(L2547&gt;44,"C",IF(L2547&gt;=33,"D",IF(L2547&lt;=32,"E","")))))))</f>
        <v/>
      </c>
      <c r="N2547" s="56"/>
      <c r="O2547" s="29"/>
      <c r="P2547" s="19"/>
      <c r="Q2547" s="14"/>
      <c r="R2547" s="11"/>
    </row>
    <row r="2548" s="1" customFormat="1" ht="21.95" customHeight="1" spans="1:19">
      <c r="A2548" s="7"/>
      <c r="B2548" s="12"/>
      <c r="C2548" s="33"/>
      <c r="D2548" s="117" t="s">
        <v>549</v>
      </c>
      <c r="E2548" s="117"/>
      <c r="F2548" s="117"/>
      <c r="G2548" s="54" t="str">
        <f>IFERROR(VLOOKUP(F2526,'1to4-2.1-RR'!$A$12:$BG$111,44,0),"")</f>
        <v/>
      </c>
      <c r="H2548" s="54" t="str">
        <f>IFERROR(VLOOKUP(F2526,'1to4-2.1-RR'!$A$12:$BG$111,45,0),"")</f>
        <v/>
      </c>
      <c r="I2548" s="54" t="str">
        <f>IFERROR(VLOOKUP(F2526,'1to4-2.1-RR'!$A$12:$BG$111,46,0),"")</f>
        <v/>
      </c>
      <c r="J2548" s="54" t="str">
        <f>IFERROR(VLOOKUP(F2526,'1to4-2.1-RR'!$A$12:$BG$111,47,0),"")</f>
        <v/>
      </c>
      <c r="K2548" s="54" t="str">
        <f>IFERROR(VLOOKUP(F2526,'1to4-2.1-RR'!$A$12:$BG$111,48,0),"")</f>
        <v/>
      </c>
      <c r="L2548" s="55">
        <f t="shared" si="90"/>
        <v>0</v>
      </c>
      <c r="M2548" s="56" t="str">
        <f>IF(F2526&gt;ENTRY!$D$24,"",IF(L2548=0,"Ab",IF(L2548&gt;80,"A",IF(L2548&gt;60,"B",IF(L2548&gt;44,"C",IF(L2548&gt;=33,"D",IF(L2548&lt;=32,"E","")))))))</f>
        <v/>
      </c>
      <c r="N2548" s="56"/>
      <c r="O2548" s="29"/>
      <c r="P2548" s="19"/>
      <c r="Q2548" s="14"/>
      <c r="R2548" s="11"/>
    </row>
    <row r="2549" s="1" customFormat="1" ht="21.95" customHeight="1" spans="1:19">
      <c r="A2549" s="7"/>
      <c r="B2549" s="12"/>
      <c r="C2549" s="33"/>
      <c r="D2549" s="117" t="s">
        <v>720</v>
      </c>
      <c r="E2549" s="117"/>
      <c r="F2549" s="117"/>
      <c r="G2549" s="54"/>
      <c r="H2549" s="54"/>
      <c r="I2549" s="54"/>
      <c r="J2549" s="54"/>
      <c r="K2549" s="54"/>
      <c r="L2549" s="55">
        <f t="shared" si="90"/>
        <v>0</v>
      </c>
      <c r="M2549" s="56" t="str">
        <f>IF(F2526&gt;ENTRY!$D$24,"",IF(L2549=0,"",IF(L2549&gt;79,"A",IF(L2549&gt;59,"B",IF(L2549&gt;44,"C",IF(L2549&gt;=33,"D",IF(L2549&lt;=32,"E","")))))))</f>
        <v/>
      </c>
      <c r="N2549" s="56"/>
      <c r="O2549" s="29"/>
      <c r="P2549" s="19"/>
      <c r="Q2549" s="14"/>
      <c r="R2549" s="11"/>
    </row>
    <row r="2550" s="1" customFormat="1" ht="21.95" customHeight="1" spans="1:19">
      <c r="A2550" s="7"/>
      <c r="B2550" s="12"/>
      <c r="C2550" s="33"/>
      <c r="D2550" s="207" t="s">
        <v>382</v>
      </c>
      <c r="E2550" s="207"/>
      <c r="F2550" s="207"/>
      <c r="G2550" s="54">
        <f t="shared" ref="G2550:L2550" si="91">IFERROR(SUM(G2543:G2549),"")</f>
        <v>0</v>
      </c>
      <c r="H2550" s="54">
        <f t="shared" si="91"/>
        <v>0</v>
      </c>
      <c r="I2550" s="54">
        <f t="shared" si="91"/>
        <v>0</v>
      </c>
      <c r="J2550" s="54">
        <f t="shared" si="91"/>
        <v>0</v>
      </c>
      <c r="K2550" s="54">
        <f t="shared" si="91"/>
        <v>0</v>
      </c>
      <c r="L2550" s="55">
        <f t="shared" si="91"/>
        <v>0</v>
      </c>
      <c r="M2550" s="61" t="str">
        <f>IF(F2526&gt;ENTRY!$D$24,"",IF(N2551="Ab","Ab",IF(N2551&gt;79.5,"A",IF(N2551&gt;59.5,"B",IF(N2551&gt;44.5,"C",IF(N2551&gt;=33,"D",IF(N2551&lt;33,"E","")))))))</f>
        <v/>
      </c>
      <c r="N2550" s="61"/>
      <c r="O2550" s="29"/>
      <c r="P2550" s="19"/>
      <c r="Q2550" s="14"/>
      <c r="R2550" s="11"/>
    </row>
    <row r="2551" s="1" customFormat="1" ht="21.95" customHeight="1" spans="1:19">
      <c r="A2551" s="7"/>
      <c r="B2551" s="12"/>
      <c r="C2551" s="33"/>
      <c r="D2551" s="63" t="s">
        <v>721</v>
      </c>
      <c r="E2551" s="63"/>
      <c r="F2551" s="63"/>
      <c r="G2551" s="63"/>
      <c r="H2551" s="63"/>
      <c r="I2551" s="63"/>
      <c r="J2551" s="63"/>
      <c r="K2551" s="63"/>
      <c r="L2551" s="63"/>
      <c r="M2551" s="209"/>
      <c r="N2551" s="64">
        <f>IF(L2550="Ab","Ab",L2550/6)</f>
        <v>0</v>
      </c>
      <c r="O2551" s="65"/>
      <c r="P2551" s="19"/>
      <c r="Q2551" s="14"/>
      <c r="R2551" s="11"/>
    </row>
    <row r="2552" s="1" customFormat="1" ht="21.95" customHeight="1" spans="1:19">
      <c r="A2552" s="7"/>
      <c r="B2552" s="12"/>
      <c r="C2552" s="33"/>
      <c r="D2552" s="29" t="s">
        <v>716</v>
      </c>
      <c r="E2552" s="18" t="str">
        <f>IFERROR(VLOOKUP(F2526,'1to4-2.1-RR'!$A$12:$BG$111,57,0),"")</f>
        <v/>
      </c>
      <c r="F2552" s="18"/>
      <c r="G2552" s="18"/>
      <c r="H2552" s="18"/>
      <c r="I2552" s="18"/>
      <c r="J2552" s="18"/>
      <c r="K2552" s="18"/>
      <c r="L2552" s="18"/>
      <c r="M2552" s="18"/>
      <c r="N2552" s="29"/>
      <c r="O2552" s="29"/>
      <c r="P2552" s="19"/>
      <c r="Q2552" s="14"/>
      <c r="R2552" s="11"/>
    </row>
    <row r="2553" s="1" customFormat="1" ht="9.95" customHeight="1" spans="1:19">
      <c r="A2553" s="7"/>
      <c r="B2553" s="12"/>
      <c r="C2553" s="39"/>
      <c r="D2553" s="40"/>
      <c r="E2553" s="40"/>
      <c r="F2553" s="40"/>
      <c r="G2553" s="40"/>
      <c r="H2553" s="40"/>
      <c r="I2553" s="40"/>
      <c r="J2553" s="40"/>
      <c r="K2553" s="40"/>
      <c r="L2553" s="40"/>
      <c r="M2553" s="40"/>
      <c r="N2553" s="40"/>
      <c r="O2553" s="40"/>
      <c r="P2553" s="41"/>
      <c r="Q2553" s="14"/>
      <c r="R2553" s="11"/>
    </row>
    <row r="2554" s="1" customFormat="1" ht="9.95" customHeight="1" spans="1:19">
      <c r="A2554" s="7"/>
      <c r="B2554" s="12"/>
      <c r="C2554" s="30"/>
      <c r="D2554" s="31"/>
      <c r="E2554" s="31"/>
      <c r="F2554" s="29"/>
      <c r="G2554" s="31"/>
      <c r="H2554" s="31"/>
      <c r="I2554" s="31"/>
      <c r="J2554" s="31"/>
      <c r="K2554" s="31"/>
      <c r="L2554" s="31"/>
      <c r="M2554" s="31"/>
      <c r="N2554" s="31"/>
      <c r="O2554" s="31"/>
      <c r="P2554" s="32"/>
      <c r="Q2554" s="14"/>
      <c r="R2554" s="11"/>
    </row>
    <row r="2555" s="1" customFormat="1" ht="9.95" customHeight="1" spans="1:19">
      <c r="A2555" s="7"/>
      <c r="B2555" s="12"/>
      <c r="C2555" s="33"/>
      <c r="D2555" s="29"/>
      <c r="E2555" s="29"/>
      <c r="F2555" s="29"/>
      <c r="G2555" s="29"/>
      <c r="H2555" s="29"/>
      <c r="I2555" s="29"/>
      <c r="J2555" s="29"/>
      <c r="K2555" s="29"/>
      <c r="L2555" s="29"/>
      <c r="M2555" s="29"/>
      <c r="N2555" s="29"/>
      <c r="O2555" s="29"/>
      <c r="P2555" s="19"/>
      <c r="Q2555" s="14"/>
      <c r="R2555" s="11"/>
    </row>
    <row r="2556" s="1" customFormat="1" ht="9.95" customHeight="1" spans="1:19">
      <c r="A2556" s="7"/>
      <c r="B2556" s="12"/>
      <c r="C2556" s="33"/>
      <c r="D2556" s="29"/>
      <c r="E2556" s="29"/>
      <c r="F2556" s="29"/>
      <c r="G2556" s="29"/>
      <c r="H2556" s="29"/>
      <c r="I2556" s="29"/>
      <c r="J2556" s="29"/>
      <c r="K2556" s="29"/>
      <c r="L2556" s="29"/>
      <c r="M2556" s="29"/>
      <c r="N2556" s="29"/>
      <c r="O2556" s="29"/>
      <c r="P2556" s="19"/>
      <c r="Q2556" s="14"/>
      <c r="R2556" s="11"/>
    </row>
    <row r="2557" s="1" customFormat="1" ht="21.95" customHeight="1" spans="1:19">
      <c r="A2557" s="7"/>
      <c r="B2557" s="12"/>
      <c r="C2557" s="210"/>
      <c r="D2557" s="211"/>
      <c r="E2557" s="211"/>
      <c r="F2557" s="211"/>
      <c r="G2557" s="211"/>
      <c r="H2557" s="211"/>
      <c r="I2557" s="211"/>
      <c r="J2557" s="211"/>
      <c r="K2557" s="211"/>
      <c r="L2557" s="211"/>
      <c r="M2557" s="211"/>
      <c r="N2557" s="211"/>
      <c r="O2557" s="211"/>
      <c r="P2557" s="212"/>
      <c r="Q2557" s="14"/>
      <c r="R2557" s="11"/>
      <c r="S2557" s="2"/>
    </row>
    <row r="2558" s="1" customFormat="1" ht="21.95" customHeight="1" spans="1:19">
      <c r="A2558" s="7"/>
      <c r="B2558" s="12"/>
      <c r="C2558" s="33"/>
      <c r="D2558" s="207" t="s">
        <v>722</v>
      </c>
      <c r="E2558" s="207"/>
      <c r="F2558" s="207"/>
      <c r="G2558" s="207"/>
      <c r="H2558" s="54">
        <f>IFERROR(VLOOKUP(F2526,PASHEET!$A$4:$CJ$103,88,0),"")</f>
        <v>0</v>
      </c>
      <c r="I2558" s="54"/>
      <c r="J2558" s="29"/>
      <c r="K2558" s="29"/>
      <c r="L2558" s="29"/>
      <c r="M2558" s="29"/>
      <c r="N2558" s="29"/>
      <c r="O2558" s="29"/>
      <c r="P2558" s="19"/>
      <c r="Q2558" s="14"/>
      <c r="R2558" s="11"/>
    </row>
    <row r="2559" s="1" customFormat="1" ht="21.95" customHeight="1" spans="1:19">
      <c r="A2559" s="7"/>
      <c r="B2559" s="12"/>
      <c r="C2559" s="213"/>
      <c r="D2559" s="207" t="s">
        <v>723</v>
      </c>
      <c r="E2559" s="207"/>
      <c r="F2559" s="207"/>
      <c r="G2559" s="207"/>
      <c r="H2559" s="54">
        <f>IFERROR(VLOOKUP(F2526,PASHEET!$A$4:$CJ$103,87,0),"")</f>
        <v>0</v>
      </c>
      <c r="I2559" s="54"/>
      <c r="J2559" s="214"/>
      <c r="K2559" s="214"/>
      <c r="L2559" s="207" t="s">
        <v>724</v>
      </c>
      <c r="M2559" s="207"/>
      <c r="N2559" s="117" t="str">
        <f>IF(F2526&gt;ENTRY!$D$24,"",IF(F2526&gt;0,L2550&amp;" / "&amp;600,""))</f>
        <v/>
      </c>
      <c r="O2559" s="117"/>
      <c r="P2559" s="215"/>
      <c r="Q2559" s="14"/>
      <c r="R2559" s="11"/>
    </row>
    <row r="2560" s="1" customFormat="1" ht="18" customHeight="1" spans="1:19">
      <c r="A2560" s="7"/>
      <c r="B2560" s="12"/>
      <c r="C2560" s="33"/>
      <c r="D2560" s="207" t="s">
        <v>725</v>
      </c>
      <c r="E2560" s="207"/>
      <c r="F2560" s="207"/>
      <c r="G2560" s="207"/>
      <c r="H2560" s="69" t="str">
        <f>IFERROR(IF(F2526&gt;0,H2559/H2558*100),"")</f>
        <v/>
      </c>
      <c r="I2560" s="69"/>
      <c r="J2560" s="29"/>
      <c r="K2560" s="29"/>
      <c r="L2560" s="207" t="s">
        <v>726</v>
      </c>
      <c r="M2560" s="207"/>
      <c r="N2560" s="216" t="str">
        <f>IF(F2526&gt;ENTRY!$D$24,"",IF(F2526&gt;0,L2550/600*100,""))</f>
        <v/>
      </c>
      <c r="O2560" s="216"/>
      <c r="P2560" s="19"/>
      <c r="Q2560" s="14"/>
      <c r="R2560" s="11"/>
    </row>
    <row r="2561" s="1" customFormat="1" ht="21.95" customHeight="1" spans="1:18">
      <c r="A2561" s="7"/>
      <c r="B2561" s="12"/>
      <c r="C2561" s="33"/>
      <c r="D2561" s="80"/>
      <c r="E2561" s="80"/>
      <c r="F2561" s="217"/>
      <c r="G2561" s="217"/>
      <c r="H2561" s="217"/>
      <c r="I2561" s="217"/>
      <c r="J2561" s="217"/>
      <c r="K2561" s="217"/>
      <c r="L2561" s="217"/>
      <c r="M2561" s="217"/>
      <c r="N2561" s="80"/>
      <c r="O2561" s="80"/>
      <c r="P2561" s="19"/>
      <c r="Q2561" s="14"/>
      <c r="R2561" s="11"/>
    </row>
    <row r="2562" s="1" customFormat="1" ht="21.95" customHeight="1" spans="1:18">
      <c r="A2562" s="7"/>
      <c r="B2562" s="12"/>
      <c r="C2562" s="33"/>
      <c r="D2562" s="80"/>
      <c r="E2562" s="218"/>
      <c r="F2562" s="218"/>
      <c r="G2562" s="218"/>
      <c r="H2562" s="80"/>
      <c r="I2562" s="218"/>
      <c r="J2562" s="218"/>
      <c r="K2562" s="218"/>
      <c r="L2562" s="218"/>
      <c r="M2562" s="80"/>
      <c r="N2562" s="219"/>
      <c r="O2562" s="219"/>
      <c r="P2562" s="19"/>
      <c r="Q2562" s="14"/>
      <c r="R2562" s="11"/>
    </row>
    <row r="2563" s="1" customFormat="1" ht="21.95" customHeight="1" spans="1:18">
      <c r="A2563" s="7"/>
      <c r="B2563" s="12"/>
      <c r="C2563" s="33"/>
      <c r="D2563" s="80"/>
      <c r="E2563" s="80"/>
      <c r="F2563" s="80"/>
      <c r="G2563" s="80"/>
      <c r="H2563" s="80"/>
      <c r="I2563" s="80"/>
      <c r="J2563" s="80"/>
      <c r="K2563" s="80"/>
      <c r="L2563" s="80"/>
      <c r="M2563" s="80"/>
      <c r="N2563" s="80"/>
      <c r="O2563" s="80"/>
      <c r="P2563" s="19"/>
      <c r="Q2563" s="14"/>
      <c r="R2563" s="11"/>
    </row>
    <row r="2564" s="1" customFormat="1" ht="21.95" customHeight="1" spans="1:18">
      <c r="A2564" s="7"/>
      <c r="B2564" s="12"/>
      <c r="C2564" s="33"/>
      <c r="D2564" s="218"/>
      <c r="E2564" s="218"/>
      <c r="F2564" s="218"/>
      <c r="G2564" s="218"/>
      <c r="H2564" s="218"/>
      <c r="I2564" s="218"/>
      <c r="J2564" s="218"/>
      <c r="K2564" s="218"/>
      <c r="L2564" s="218"/>
      <c r="M2564" s="80"/>
      <c r="N2564" s="217"/>
      <c r="O2564" s="217"/>
      <c r="P2564" s="85" t="s">
        <v>727</v>
      </c>
      <c r="Q2564" s="14"/>
      <c r="R2564" s="11"/>
    </row>
    <row r="2565" s="1" customFormat="1" ht="21.95" customHeight="1" spans="1:18">
      <c r="A2565" s="7"/>
      <c r="B2565" s="12"/>
      <c r="C2565" s="33"/>
      <c r="D2565" s="29"/>
      <c r="E2565" s="29"/>
      <c r="F2565" s="29"/>
      <c r="G2565" s="29"/>
      <c r="H2565" s="29"/>
      <c r="I2565" s="29"/>
      <c r="J2565" s="29"/>
      <c r="K2565" s="29"/>
      <c r="L2565" s="29"/>
      <c r="M2565" s="29"/>
      <c r="N2565" s="29"/>
      <c r="O2565" s="29"/>
      <c r="P2565" s="19"/>
      <c r="Q2565" s="14"/>
      <c r="R2565" s="11"/>
    </row>
    <row r="2566" s="1" customFormat="1" ht="21.95" customHeight="1" spans="1:18">
      <c r="A2566" s="7"/>
      <c r="B2566" s="12"/>
      <c r="C2566" s="33"/>
      <c r="D2566" s="29"/>
      <c r="E2566" s="29"/>
      <c r="F2566" s="29"/>
      <c r="G2566" s="29"/>
      <c r="H2566" s="29"/>
      <c r="I2566" s="29"/>
      <c r="J2566" s="29"/>
      <c r="K2566" s="29"/>
      <c r="L2566" s="29"/>
      <c r="M2566" s="29"/>
      <c r="N2566" s="29"/>
      <c r="O2566" s="29"/>
      <c r="P2566" s="19"/>
      <c r="Q2566" s="14"/>
      <c r="R2566" s="11"/>
    </row>
    <row r="2567" s="1" customFormat="1" ht="21.95" customHeight="1" spans="1:18">
      <c r="A2567" s="7"/>
      <c r="B2567" s="12"/>
      <c r="C2567" s="33"/>
      <c r="D2567" s="29"/>
      <c r="E2567" s="29"/>
      <c r="F2567" s="29"/>
      <c r="G2567" s="29"/>
      <c r="H2567" s="29"/>
      <c r="I2567" s="29"/>
      <c r="J2567" s="29"/>
      <c r="K2567" s="29"/>
      <c r="L2567" s="29"/>
      <c r="M2567" s="29"/>
      <c r="N2567" s="29"/>
      <c r="O2567" s="29"/>
      <c r="P2567" s="19"/>
      <c r="Q2567" s="14"/>
      <c r="R2567" s="11"/>
    </row>
    <row r="2568" s="1" customFormat="1" ht="21.95" customHeight="1" spans="1:18">
      <c r="A2568" s="7"/>
      <c r="B2568" s="12"/>
      <c r="C2568" s="33"/>
      <c r="D2568" s="29"/>
      <c r="E2568" s="29"/>
      <c r="F2568" s="29"/>
      <c r="G2568" s="29"/>
      <c r="H2568" s="29"/>
      <c r="I2568" s="29"/>
      <c r="J2568" s="29"/>
      <c r="K2568" s="29"/>
      <c r="L2568" s="29"/>
      <c r="M2568" s="29"/>
      <c r="N2568" s="29"/>
      <c r="O2568" s="29"/>
      <c r="P2568" s="19"/>
      <c r="Q2568" s="14"/>
      <c r="R2568" s="11"/>
    </row>
    <row r="2569" s="1" customFormat="1" ht="21.95" customHeight="1" spans="1:18">
      <c r="A2569" s="7"/>
      <c r="B2569" s="12"/>
      <c r="C2569" s="33"/>
      <c r="D2569" s="29"/>
      <c r="E2569" s="29"/>
      <c r="F2569" s="29"/>
      <c r="G2569" s="29"/>
      <c r="H2569" s="29"/>
      <c r="I2569" s="29"/>
      <c r="J2569" s="29"/>
      <c r="K2569" s="29"/>
      <c r="L2569" s="29"/>
      <c r="M2569" s="29"/>
      <c r="N2569" s="29"/>
      <c r="O2569" s="29"/>
      <c r="P2569" s="19"/>
      <c r="Q2569" s="14"/>
      <c r="R2569" s="11"/>
    </row>
    <row r="2570" s="1" customFormat="1" ht="21.95" customHeight="1" spans="1:18">
      <c r="A2570" s="7"/>
      <c r="B2570" s="12"/>
      <c r="C2570" s="33"/>
      <c r="D2570" s="80" t="s">
        <v>728</v>
      </c>
      <c r="E2570" s="220">
        <f>ENTRY!$D$27</f>
        <v>46102</v>
      </c>
      <c r="F2570" s="220"/>
      <c r="G2570" s="29"/>
      <c r="H2570" s="29"/>
      <c r="I2570" s="221" t="s">
        <v>729</v>
      </c>
      <c r="J2570" s="153"/>
      <c r="K2570" s="29"/>
      <c r="L2570" s="29"/>
      <c r="M2570" s="87" t="s">
        <v>730</v>
      </c>
      <c r="N2570" s="87"/>
      <c r="O2570" s="87"/>
      <c r="P2570" s="19"/>
      <c r="Q2570" s="14"/>
      <c r="R2570" s="11"/>
    </row>
    <row r="2571" s="1" customFormat="1" ht="21.95" customHeight="1" spans="1:18">
      <c r="A2571" s="7"/>
      <c r="B2571" s="12"/>
      <c r="C2571" s="33"/>
      <c r="D2571" s="80" t="s">
        <v>731</v>
      </c>
      <c r="E2571" s="88" t="str">
        <f>PROPER(ENTRY!$D$28)</f>
        <v>New Delhi</v>
      </c>
      <c r="F2571" s="88"/>
      <c r="G2571" s="29"/>
      <c r="H2571" s="29"/>
      <c r="I2571" s="153"/>
      <c r="J2571" s="153"/>
      <c r="K2571" s="29"/>
      <c r="L2571" s="29"/>
      <c r="M2571" s="79" t="s">
        <v>732</v>
      </c>
      <c r="N2571" s="79"/>
      <c r="O2571" s="79"/>
      <c r="P2571" s="19"/>
      <c r="Q2571" s="14"/>
      <c r="R2571" s="11"/>
    </row>
    <row r="2572" s="1" customFormat="1" ht="21.95" customHeight="1" spans="1:18">
      <c r="A2572" s="7"/>
      <c r="B2572" s="12"/>
      <c r="C2572" s="90"/>
      <c r="D2572" s="91"/>
      <c r="E2572" s="91"/>
      <c r="F2572" s="91"/>
      <c r="G2572" s="91"/>
      <c r="H2572" s="91"/>
      <c r="I2572" s="91"/>
      <c r="J2572" s="91"/>
      <c r="K2572" s="91"/>
      <c r="L2572" s="91"/>
      <c r="M2572" s="91"/>
      <c r="N2572" s="91"/>
      <c r="O2572" s="91"/>
      <c r="P2572" s="92"/>
      <c r="Q2572" s="14"/>
      <c r="R2572" s="11"/>
    </row>
    <row r="2573" s="1" customFormat="1" ht="5.1" customHeight="1" spans="1:18">
      <c r="A2573" s="7"/>
      <c r="B2573" s="90"/>
      <c r="C2573" s="91"/>
      <c r="D2573" s="91"/>
      <c r="E2573" s="91"/>
      <c r="F2573" s="91"/>
      <c r="G2573" s="91"/>
      <c r="H2573" s="91"/>
      <c r="I2573" s="91"/>
      <c r="J2573" s="91"/>
      <c r="K2573" s="91"/>
      <c r="L2573" s="91"/>
      <c r="M2573" s="91"/>
      <c r="N2573" s="91"/>
      <c r="O2573" s="91"/>
      <c r="P2573" s="91"/>
      <c r="Q2573" s="92"/>
      <c r="R2573" s="11"/>
    </row>
    <row r="2574" s="1" customFormat="1" ht="5.1" customHeight="1" spans="1:18">
      <c r="A2574" s="93"/>
      <c r="B2574" s="94"/>
      <c r="C2574" s="94"/>
      <c r="D2574" s="94"/>
      <c r="E2574" s="94"/>
      <c r="F2574" s="94"/>
      <c r="G2574" s="94"/>
      <c r="H2574" s="94"/>
      <c r="I2574" s="94"/>
      <c r="J2574" s="94"/>
      <c r="K2574" s="94"/>
      <c r="L2574" s="94"/>
      <c r="M2574" s="94"/>
      <c r="N2574" s="94"/>
      <c r="O2574" s="94"/>
      <c r="P2574" s="94"/>
      <c r="Q2574" s="94"/>
      <c r="R2574" s="95"/>
    </row>
    <row r="2575" s="1" customFormat="1" ht="21.95" customHeight="1"/>
    <row r="2576" ht="15.15"/>
    <row r="2577" s="1" customFormat="1" ht="5.1" customHeight="1" spans="1:18">
      <c r="A2577" s="4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  <c r="O2577" s="5"/>
      <c r="P2577" s="5"/>
      <c r="Q2577" s="5"/>
      <c r="R2577" s="6"/>
    </row>
    <row r="2578" s="1" customFormat="1" ht="15" customHeight="1" spans="1:18">
      <c r="A2578" s="7"/>
      <c r="B2578" s="8"/>
      <c r="C2578" s="9"/>
      <c r="D2578" s="9"/>
      <c r="E2578" s="9"/>
      <c r="F2578" s="9"/>
      <c r="G2578" s="9"/>
      <c r="H2578" s="9"/>
      <c r="I2578" s="9"/>
      <c r="J2578" s="9"/>
      <c r="K2578" s="9"/>
      <c r="L2578" s="9"/>
      <c r="M2578" s="9"/>
      <c r="N2578" s="9"/>
      <c r="O2578" s="9"/>
      <c r="P2578" s="9"/>
      <c r="Q2578" s="10"/>
      <c r="R2578" s="11"/>
    </row>
    <row r="2579" s="1" customFormat="1" ht="21.95" customHeight="1" spans="1:18">
      <c r="A2579" s="7"/>
      <c r="B2579" s="12"/>
      <c r="C2579" s="13" t="s">
        <v>7</v>
      </c>
      <c r="D2579" s="13"/>
      <c r="E2579" s="13"/>
      <c r="F2579" s="13"/>
      <c r="G2579" s="13"/>
      <c r="H2579" s="13"/>
      <c r="I2579" s="13"/>
      <c r="J2579" s="13"/>
      <c r="K2579" s="13"/>
      <c r="L2579" s="13"/>
      <c r="M2579" s="13"/>
      <c r="N2579" s="13"/>
      <c r="O2579" s="13"/>
      <c r="P2579" s="13"/>
      <c r="Q2579" s="14"/>
      <c r="R2579" s="11"/>
    </row>
    <row r="2580" s="1" customFormat="1" ht="21.95" customHeight="1" spans="1:18">
      <c r="A2580" s="7"/>
      <c r="B2580" s="1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14"/>
      <c r="R2580" s="11"/>
    </row>
    <row r="2581" s="1" customFormat="1" ht="21.95" customHeight="1" spans="1:18">
      <c r="A2581" s="7"/>
      <c r="B2581" s="12"/>
      <c r="C2581" s="15" t="str">
        <f>"SESSION-"&amp;ENTRY!$D$11</f>
        <v>SESSION-2026-27</v>
      </c>
      <c r="D2581" s="15"/>
      <c r="E2581" s="15"/>
      <c r="F2581" s="15"/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4"/>
      <c r="R2581" s="11"/>
    </row>
    <row r="2582" s="1" customFormat="1" ht="21.95" customHeight="1" spans="1:18">
      <c r="A2582" s="7"/>
      <c r="B2582" s="12"/>
      <c r="C2582" s="2"/>
      <c r="D2582" s="2"/>
      <c r="E2582" s="2"/>
      <c r="F2582" s="16">
        <f>F2526+1</f>
        <v>47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14"/>
      <c r="R2582" s="11"/>
    </row>
    <row r="2583" s="1" customFormat="1" ht="21.95" customHeight="1" spans="1:18">
      <c r="A2583" s="7"/>
      <c r="B2583" s="12"/>
      <c r="C2583" s="17" t="s">
        <v>392</v>
      </c>
      <c r="D2583" s="17"/>
      <c r="E2583" s="17"/>
      <c r="F2583" s="18" t="str">
        <f>IF(F2582&gt;0,ENTRY!$D$6,"")</f>
        <v>MCP NITHARI NO 1 BOYS</v>
      </c>
      <c r="G2583" s="18"/>
      <c r="H2583" s="18"/>
      <c r="I2583" s="18"/>
      <c r="J2583" s="18"/>
      <c r="K2583" s="18"/>
      <c r="L2583" s="18"/>
      <c r="M2583" s="18"/>
      <c r="N2583" s="18"/>
      <c r="O2583" s="18"/>
      <c r="P2583" s="18"/>
      <c r="Q2583" s="14"/>
      <c r="R2583" s="11"/>
    </row>
    <row r="2584" s="1" customFormat="1" ht="21.95" customHeight="1" spans="1:18">
      <c r="A2584" s="7"/>
      <c r="B2584" s="12"/>
      <c r="C2584" s="17" t="s">
        <v>393</v>
      </c>
      <c r="D2584" s="17"/>
      <c r="E2584" s="17"/>
      <c r="F2584" s="18">
        <f>IF(F2582&gt;0,ENTRY!$D$7,"")</f>
        <v>0</v>
      </c>
      <c r="G2584" s="18"/>
      <c r="H2584" s="20" t="s">
        <v>702</v>
      </c>
      <c r="I2584" s="20"/>
      <c r="J2584" s="21">
        <f>IF(F2582&gt;0,ENTRY!$D$10,"")</f>
        <v>40</v>
      </c>
      <c r="K2584" s="20" t="s">
        <v>703</v>
      </c>
      <c r="L2584" s="22" t="str">
        <f>IF(F2582&gt;0,ENTRY!$D$5,"")</f>
        <v>ROHINI ZONE</v>
      </c>
      <c r="M2584" s="22"/>
      <c r="N2584" s="22"/>
      <c r="O2584" s="22"/>
      <c r="P2584" s="22"/>
      <c r="Q2584" s="14"/>
      <c r="R2584" s="11"/>
    </row>
    <row r="2585" s="1" customFormat="1" ht="21.95" customHeight="1" spans="1:18">
      <c r="A2585" s="7"/>
      <c r="B2585" s="12"/>
      <c r="C2585" s="17" t="s">
        <v>706</v>
      </c>
      <c r="D2585" s="17"/>
      <c r="E2585" s="17"/>
      <c r="F2585" s="23">
        <f>IFERROR(VLOOKUP(F2582,STUDENT!$A$2:$BP$101,5,0),"")</f>
        <v>0</v>
      </c>
      <c r="G2585" s="23"/>
      <c r="H2585" s="23"/>
      <c r="I2585" s="23"/>
      <c r="J2585" s="23"/>
      <c r="K2585" s="23"/>
      <c r="L2585" s="20" t="s">
        <v>707</v>
      </c>
      <c r="M2585" s="20"/>
      <c r="N2585" s="24" t="str">
        <f>IF(F2582&gt;0,ENTRY!$D$20&amp;"-"&amp;ENTRY!$D$21,"")</f>
        <v>III-A</v>
      </c>
      <c r="O2585" s="24"/>
      <c r="P2585" s="24"/>
      <c r="Q2585" s="14"/>
      <c r="R2585" s="11"/>
    </row>
    <row r="2586" s="1" customFormat="1" ht="21.95" customHeight="1" spans="1:18">
      <c r="A2586" s="7"/>
      <c r="B2586" s="12"/>
      <c r="C2586" s="17" t="s">
        <v>708</v>
      </c>
      <c r="D2586" s="17"/>
      <c r="E2586" s="17"/>
      <c r="F2586" s="25">
        <f>IFERROR(VLOOKUP(F2582,STUDENT!$A$2:$BP$101,6,0),"")</f>
        <v>0</v>
      </c>
      <c r="G2586" s="25"/>
      <c r="H2586" s="26" t="s">
        <v>709</v>
      </c>
      <c r="I2586" s="27" t="str">
        <f>IFERROR(VLOOKUP(F2582,STUDENT!$A$2:$BP$101,59,0),"")</f>
        <v/>
      </c>
      <c r="J2586" s="27"/>
      <c r="K2586" s="20" t="s">
        <v>710</v>
      </c>
      <c r="L2586" s="20"/>
      <c r="M2586" s="28">
        <f>IFERROR(VLOOKUP(F2582,STUDENT!$A$2:$BP$101,20,0),"")</f>
        <v>0</v>
      </c>
      <c r="N2586" s="28"/>
      <c r="O2586" s="28"/>
      <c r="P2586" s="28"/>
      <c r="Q2586" s="14"/>
      <c r="R2586" s="11"/>
    </row>
    <row r="2587" s="1" customFormat="1" ht="21.95" customHeight="1" spans="1:18">
      <c r="A2587" s="7"/>
      <c r="B2587" s="12"/>
      <c r="C2587" s="17" t="s">
        <v>711</v>
      </c>
      <c r="D2587" s="17"/>
      <c r="E2587" s="17"/>
      <c r="F2587" s="23">
        <f>IFERROR(VLOOKUP(F2582,STUDENT!$A$2:$BP$101,9,0),"")</f>
        <v>0</v>
      </c>
      <c r="G2587" s="23"/>
      <c r="H2587" s="23"/>
      <c r="I2587" s="23"/>
      <c r="J2587" s="17" t="s">
        <v>620</v>
      </c>
      <c r="K2587" s="17"/>
      <c r="L2587" s="23">
        <f>IFERROR(VLOOKUP(F2582,STUDENT!$A$2:$BP$101,8,0),"")</f>
        <v>0</v>
      </c>
      <c r="M2587" s="23"/>
      <c r="N2587" s="23"/>
      <c r="O2587" s="23"/>
      <c r="P2587" s="23"/>
      <c r="Q2587" s="14"/>
      <c r="R2587" s="11"/>
    </row>
    <row r="2588" s="1" customFormat="1" ht="21.95" customHeight="1" spans="1:18">
      <c r="A2588" s="7"/>
      <c r="B2588" s="12"/>
      <c r="C2588" s="17" t="s">
        <v>712</v>
      </c>
      <c r="D2588" s="17"/>
      <c r="E2588" s="17"/>
      <c r="F2588" s="23">
        <f>IFERROR(VLOOKUP(F2582,STUDENT!$A$2:$BP$101,22,0),"")</f>
        <v>0</v>
      </c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14"/>
      <c r="R2588" s="11"/>
    </row>
    <row r="2589" s="1" customFormat="1" ht="9.95" customHeight="1" spans="1:18">
      <c r="A2589" s="7"/>
      <c r="B2589" s="12"/>
      <c r="C2589" s="29"/>
      <c r="D2589" s="29"/>
      <c r="E2589" s="29"/>
      <c r="F2589" s="29"/>
      <c r="G2589" s="29"/>
      <c r="H2589" s="29"/>
      <c r="I2589" s="29"/>
      <c r="J2589" s="29"/>
      <c r="K2589" s="29"/>
      <c r="L2589" s="29"/>
      <c r="M2589" s="29"/>
      <c r="N2589" s="29"/>
      <c r="O2589" s="29"/>
      <c r="P2589" s="29"/>
      <c r="Q2589" s="14"/>
      <c r="R2589" s="11"/>
    </row>
    <row r="2590" s="1" customFormat="1" ht="9.95" customHeight="1" spans="1:18">
      <c r="A2590" s="7"/>
      <c r="B2590" s="12"/>
      <c r="C2590" s="30"/>
      <c r="D2590" s="31"/>
      <c r="E2590" s="31"/>
      <c r="F2590" s="31"/>
      <c r="G2590" s="31"/>
      <c r="H2590" s="31"/>
      <c r="I2590" s="31"/>
      <c r="J2590" s="31"/>
      <c r="K2590" s="31"/>
      <c r="L2590" s="31"/>
      <c r="M2590" s="31"/>
      <c r="N2590" s="31"/>
      <c r="O2590" s="31"/>
      <c r="P2590" s="32"/>
      <c r="Q2590" s="14"/>
      <c r="R2590" s="11"/>
    </row>
    <row r="2591" s="1" customFormat="1" ht="21.95" customHeight="1" spans="1:18">
      <c r="A2591" s="7"/>
      <c r="B2591" s="12"/>
      <c r="C2591" s="33"/>
      <c r="D2591" s="34" t="s">
        <v>713</v>
      </c>
      <c r="E2591" s="20" t="s">
        <v>714</v>
      </c>
      <c r="F2591" s="35" t="str">
        <f>"Level - "&amp;IFERROR(VLOOKUP(F2582,FLN!$A$4:$K$103,9,0),"")</f>
        <v>Level - </v>
      </c>
      <c r="G2591" s="36"/>
      <c r="H2591" s="37" t="s">
        <v>715</v>
      </c>
      <c r="I2591" s="20"/>
      <c r="J2591" s="35" t="str">
        <f>"Level - "&amp;IFERROR(VLOOKUP(F2582,FLN!$A$4:$K$103,11,0),"")</f>
        <v>Level - </v>
      </c>
      <c r="K2591" s="36"/>
      <c r="L2591" s="37" t="s">
        <v>408</v>
      </c>
      <c r="M2591" s="20"/>
      <c r="N2591" s="35" t="str">
        <f>"Level - "&amp;IFERROR(VLOOKUP(F2582,FLN!$A$4:$K$103,10,0),"")</f>
        <v>Level - </v>
      </c>
      <c r="O2591" s="36"/>
      <c r="P2591" s="19"/>
      <c r="Q2591" s="14"/>
      <c r="R2591" s="11"/>
    </row>
    <row r="2592" s="1" customFormat="1" ht="21.95" customHeight="1" spans="1:18">
      <c r="A2592" s="7"/>
      <c r="B2592" s="12"/>
      <c r="C2592" s="33"/>
      <c r="D2592" s="38"/>
      <c r="E2592" s="20" t="s">
        <v>716</v>
      </c>
      <c r="F2592" s="18" t="str">
        <f>IF(L2606&gt;197,"PERFORMED WELL","")</f>
        <v/>
      </c>
      <c r="G2592" s="18"/>
      <c r="H2592" s="18"/>
      <c r="I2592" s="18"/>
      <c r="J2592" s="18"/>
      <c r="K2592" s="18"/>
      <c r="L2592" s="18"/>
      <c r="M2592" s="18"/>
      <c r="N2592" s="18"/>
      <c r="O2592" s="18"/>
      <c r="P2592" s="19"/>
      <c r="Q2592" s="14"/>
      <c r="R2592" s="11"/>
    </row>
    <row r="2593" s="1" customFormat="1" ht="9.95" customHeight="1" spans="1:18">
      <c r="A2593" s="7"/>
      <c r="B2593" s="12"/>
      <c r="C2593" s="39"/>
      <c r="D2593" s="40"/>
      <c r="E2593" s="40"/>
      <c r="F2593" s="40"/>
      <c r="G2593" s="40"/>
      <c r="H2593" s="40"/>
      <c r="I2593" s="40"/>
      <c r="J2593" s="40"/>
      <c r="K2593" s="40"/>
      <c r="L2593" s="40"/>
      <c r="M2593" s="40"/>
      <c r="N2593" s="40"/>
      <c r="O2593" s="40"/>
      <c r="P2593" s="41"/>
      <c r="Q2593" s="14"/>
      <c r="R2593" s="11"/>
    </row>
    <row r="2594" s="1" customFormat="1" ht="9.95" customHeight="1" spans="1:18">
      <c r="A2594" s="7"/>
      <c r="B2594" s="12"/>
      <c r="C2594" s="29"/>
      <c r="D2594" s="29"/>
      <c r="E2594" s="29"/>
      <c r="F2594" s="29"/>
      <c r="G2594" s="29"/>
      <c r="H2594" s="29"/>
      <c r="I2594" s="29"/>
      <c r="J2594" s="29"/>
      <c r="K2594" s="29"/>
      <c r="L2594" s="29"/>
      <c r="M2594" s="29"/>
      <c r="N2594" s="29"/>
      <c r="O2594" s="29"/>
      <c r="P2594" s="29"/>
      <c r="Q2594" s="14"/>
      <c r="R2594" s="11"/>
    </row>
    <row r="2595" s="1" customFormat="1" ht="9.95" customHeight="1" spans="1:18">
      <c r="A2595" s="7"/>
      <c r="B2595" s="12"/>
      <c r="C2595" s="30"/>
      <c r="D2595" s="31"/>
      <c r="E2595" s="31"/>
      <c r="F2595" s="31"/>
      <c r="G2595" s="31"/>
      <c r="H2595" s="31"/>
      <c r="I2595" s="31"/>
      <c r="J2595" s="31"/>
      <c r="K2595" s="31"/>
      <c r="L2595" s="31"/>
      <c r="M2595" s="31"/>
      <c r="N2595" s="31"/>
      <c r="O2595" s="31"/>
      <c r="P2595" s="32"/>
      <c r="Q2595" s="14"/>
      <c r="R2595" s="11"/>
    </row>
    <row r="2596" s="1" customFormat="1" ht="21.95" customHeight="1" spans="1:18">
      <c r="A2596" s="7"/>
      <c r="B2596" s="12"/>
      <c r="C2596" s="33"/>
      <c r="D2596" s="35"/>
      <c r="E2596" s="24"/>
      <c r="F2596" s="24"/>
      <c r="G2596" s="47" t="s">
        <v>717</v>
      </c>
      <c r="H2596" s="47"/>
      <c r="I2596" s="47"/>
      <c r="J2596" s="47"/>
      <c r="K2596" s="47"/>
      <c r="L2596" s="47"/>
      <c r="M2596" s="47"/>
      <c r="N2596" s="47"/>
      <c r="O2596" s="29"/>
      <c r="P2596" s="19"/>
      <c r="Q2596" s="14"/>
      <c r="R2596" s="11"/>
    </row>
    <row r="2597" s="1" customFormat="1" ht="21.95" customHeight="1" spans="1:18">
      <c r="A2597" s="7"/>
      <c r="B2597" s="12"/>
      <c r="C2597" s="33"/>
      <c r="D2597" s="47"/>
      <c r="E2597" s="47"/>
      <c r="F2597" s="47"/>
      <c r="G2597" s="47" t="s">
        <v>541</v>
      </c>
      <c r="H2597" s="47" t="s">
        <v>542</v>
      </c>
      <c r="I2597" s="47" t="s">
        <v>543</v>
      </c>
      <c r="J2597" s="47" t="s">
        <v>544</v>
      </c>
      <c r="K2597" s="47" t="s">
        <v>561</v>
      </c>
      <c r="L2597" s="47" t="s">
        <v>382</v>
      </c>
      <c r="M2597" s="49" t="s">
        <v>546</v>
      </c>
      <c r="N2597" s="49"/>
      <c r="O2597" s="29"/>
      <c r="P2597" s="19"/>
      <c r="Q2597" s="14"/>
      <c r="R2597" s="11"/>
    </row>
    <row r="2598" s="1" customFormat="1" ht="21.95" customHeight="1" spans="1:18">
      <c r="A2598" s="7"/>
      <c r="B2598" s="12"/>
      <c r="C2598" s="33"/>
      <c r="D2598" s="207" t="s">
        <v>652</v>
      </c>
      <c r="E2598" s="207"/>
      <c r="F2598" s="207"/>
      <c r="G2598" s="50">
        <v>10</v>
      </c>
      <c r="H2598" s="50">
        <v>10</v>
      </c>
      <c r="I2598" s="50">
        <v>10</v>
      </c>
      <c r="J2598" s="50">
        <v>10</v>
      </c>
      <c r="K2598" s="50">
        <v>60</v>
      </c>
      <c r="L2598" s="50">
        <v>100</v>
      </c>
      <c r="M2598" s="49"/>
      <c r="N2598" s="49"/>
      <c r="O2598" s="29"/>
      <c r="P2598" s="19"/>
      <c r="Q2598" s="14"/>
      <c r="R2598" s="11"/>
    </row>
    <row r="2599" s="1" customFormat="1" ht="21.95" customHeight="1" spans="1:18">
      <c r="A2599" s="7"/>
      <c r="B2599" s="12"/>
      <c r="C2599" s="33"/>
      <c r="D2599" s="117" t="s">
        <v>668</v>
      </c>
      <c r="E2599" s="117"/>
      <c r="F2599" s="117"/>
      <c r="G2599" s="54" t="str">
        <f>IFERROR(VLOOKUP(F2582,'1to4-2.1-RR'!$A$12:$BG$111,9,0),"")</f>
        <v/>
      </c>
      <c r="H2599" s="54" t="str">
        <f>IFERROR(VLOOKUP(F2582,'1to4-2.1-RR'!$A$12:$BG$111,10,0),"")</f>
        <v/>
      </c>
      <c r="I2599" s="54" t="str">
        <f>IFERROR(VLOOKUP(F2582,'1to4-2.1-RR'!$A$12:$BG$111,11,0),"")</f>
        <v/>
      </c>
      <c r="J2599" s="54" t="str">
        <f>IFERROR(VLOOKUP(F2582,'1to4-2.1-RR'!$A$12:$BG$111,12,0),"")</f>
        <v/>
      </c>
      <c r="K2599" s="54" t="str">
        <f>IFERROR(VLOOKUP(F2582,'1to4-2.1-RR'!$A$12:$BG$111,13,0),"")</f>
        <v/>
      </c>
      <c r="L2599" s="55">
        <f>SUM(G2599:K2599)</f>
        <v>0</v>
      </c>
      <c r="M2599" s="56" t="str">
        <f>IF(F2582&gt;ENTRY!$D$24,"",IF(L2599=0,"Ab",IF(L2599&gt;80,"A",IF(L2599&gt;60,"B",IF(L2599&gt;44,"C",IF(L2599&gt;=33,"D",IF(L2599&lt;=32,"E","")))))))</f>
        <v/>
      </c>
      <c r="N2599" s="56"/>
      <c r="O2599" s="29"/>
      <c r="P2599" s="19"/>
      <c r="Q2599" s="14"/>
      <c r="R2599" s="11"/>
    </row>
    <row r="2600" s="1" customFormat="1" ht="21.95" customHeight="1" spans="1:18">
      <c r="A2600" s="7"/>
      <c r="B2600" s="12"/>
      <c r="C2600" s="33"/>
      <c r="D2600" s="117" t="s">
        <v>513</v>
      </c>
      <c r="E2600" s="117"/>
      <c r="F2600" s="117"/>
      <c r="G2600" s="54" t="str">
        <f>IFERROR(VLOOKUP(F2582,'1to4-2.1-RR'!$A$12:$BG$111,16,0),"")</f>
        <v/>
      </c>
      <c r="H2600" s="54" t="str">
        <f>IFERROR(VLOOKUP(F2582,'1to4-2.1-RR'!$A$12:$BG$111,17,0),"")</f>
        <v/>
      </c>
      <c r="I2600" s="54" t="str">
        <f>IFERROR(VLOOKUP(F2582,'1to4-2.1-RR'!$A$12:$BG$111,18,0),"")</f>
        <v/>
      </c>
      <c r="J2600" s="54" t="str">
        <f>IFERROR(VLOOKUP(F2582,'1to4-2.1-RR'!$A$12:$BG$111,19,0),"")</f>
        <v/>
      </c>
      <c r="K2600" s="54" t="str">
        <f>IFERROR(VLOOKUP(F2582,'1to4-2.1-RR'!$A$12:$BG$111,20,0),"")</f>
        <v/>
      </c>
      <c r="L2600" s="55">
        <f t="shared" ref="L2600:L2605" si="92">SUM(G2600:K2600)</f>
        <v>0</v>
      </c>
      <c r="M2600" s="56" t="str">
        <f>IF(F2582&gt;ENTRY!$D$24,"",IF(L2600=0,"Ab",IF(L2600&gt;80,"A",IF(L2600&gt;60,"B",IF(L2600&gt;44,"C",IF(L2600&gt;=33,"D",IF(L2600&lt;=32,"E","")))))))</f>
        <v/>
      </c>
      <c r="N2600" s="56"/>
      <c r="O2600" s="29"/>
      <c r="P2600" s="19"/>
      <c r="Q2600" s="14"/>
      <c r="R2600" s="11"/>
    </row>
    <row r="2601" s="1" customFormat="1" ht="21.95" customHeight="1" spans="1:18">
      <c r="A2601" s="7"/>
      <c r="B2601" s="12"/>
      <c r="C2601" s="33"/>
      <c r="D2601" s="117" t="s">
        <v>718</v>
      </c>
      <c r="E2601" s="117"/>
      <c r="F2601" s="117"/>
      <c r="G2601" s="54" t="str">
        <f>IFERROR(VLOOKUP(F2582,'1to4-2.1-RR'!$A$12:$BG$111,23,0),"")</f>
        <v/>
      </c>
      <c r="H2601" s="54" t="str">
        <f>IFERROR(VLOOKUP(F2582,'1to4-2.1-RR'!$A$12:$BG$111,24,0),"")</f>
        <v/>
      </c>
      <c r="I2601" s="54" t="str">
        <f>IFERROR(VLOOKUP(F2582,'1to4-2.1-RR'!$A$12:$BG$111,25,0),"")</f>
        <v/>
      </c>
      <c r="J2601" s="54" t="str">
        <f>IFERROR(VLOOKUP(F2582,'1to4-2.1-RR'!$A$12:$BG$111,26,0),"")</f>
        <v/>
      </c>
      <c r="K2601" s="54" t="str">
        <f>IFERROR(VLOOKUP(F2582,'1to4-2.1-RR'!$A$12:$BG$111,27,0),"")</f>
        <v/>
      </c>
      <c r="L2601" s="55">
        <f t="shared" si="92"/>
        <v>0</v>
      </c>
      <c r="M2601" s="56" t="str">
        <f>IF(F2582&gt;ENTRY!$D$24,"",IF(L2601=0,"Ab",IF(L2601&gt;80,"A",IF(L2601&gt;60,"B",IF(L2601&gt;44,"C",IF(L2601&gt;=33,"D",IF(L2601&lt;=32,"E","")))))))</f>
        <v/>
      </c>
      <c r="N2601" s="56"/>
      <c r="O2601" s="29"/>
      <c r="P2601" s="19"/>
      <c r="Q2601" s="14"/>
      <c r="R2601" s="11"/>
    </row>
    <row r="2602" s="1" customFormat="1" ht="21.95" customHeight="1" spans="1:18">
      <c r="A2602" s="7"/>
      <c r="B2602" s="12"/>
      <c r="C2602" s="33"/>
      <c r="D2602" s="117" t="s">
        <v>719</v>
      </c>
      <c r="E2602" s="117"/>
      <c r="F2602" s="117"/>
      <c r="G2602" s="54" t="str">
        <f>IFERROR(VLOOKUP(F2582,'1to4-2.1-RR'!$A$12:$BG$111,30,0),"")</f>
        <v/>
      </c>
      <c r="H2602" s="54" t="str">
        <f>IFERROR(VLOOKUP(F2582,'1to4-2.1-RR'!$A$12:$BG$111,31,0),"")</f>
        <v/>
      </c>
      <c r="I2602" s="54" t="str">
        <f>IFERROR(VLOOKUP(F2582,'1to4-2.1-RR'!$A$12:$BG$111,32,0),"")</f>
        <v/>
      </c>
      <c r="J2602" s="54" t="str">
        <f>IFERROR(VLOOKUP(F2582,'1to4-2.1-RR'!$A$12:$BG$111,33,0),"")</f>
        <v/>
      </c>
      <c r="K2602" s="54" t="str">
        <f>IFERROR(VLOOKUP(F2582,'1to4-2.1-RR'!$A$12:$BG$111,34,0),"")</f>
        <v/>
      </c>
      <c r="L2602" s="55">
        <f t="shared" si="92"/>
        <v>0</v>
      </c>
      <c r="M2602" s="56" t="str">
        <f>IF(F2582&gt;ENTRY!$D$24,"",IF(L2602=0,"Ab",IF(L2602&gt;80,"A",IF(L2602&gt;60,"B",IF(L2602&gt;44,"C",IF(L2602&gt;=33,"D",IF(L2602&lt;=32,"E","")))))))</f>
        <v/>
      </c>
      <c r="N2602" s="56"/>
      <c r="O2602" s="29"/>
      <c r="P2602" s="19"/>
      <c r="Q2602" s="14"/>
      <c r="R2602" s="11"/>
    </row>
    <row r="2603" s="1" customFormat="1" ht="21.95" customHeight="1" spans="1:18">
      <c r="A2603" s="7"/>
      <c r="B2603" s="12"/>
      <c r="C2603" s="33"/>
      <c r="D2603" s="117" t="s">
        <v>548</v>
      </c>
      <c r="E2603" s="117"/>
      <c r="F2603" s="117"/>
      <c r="G2603" s="54" t="str">
        <f>IFERROR(VLOOKUP(F2582,'1to4-2.1-RR'!$A$12:$BG$111,37,0),"")</f>
        <v/>
      </c>
      <c r="H2603" s="54" t="str">
        <f>IFERROR(VLOOKUP(F2582,'1to4-2.1-RR'!$A$12:$BG$111,38,0),"")</f>
        <v/>
      </c>
      <c r="I2603" s="54" t="str">
        <f>IFERROR(VLOOKUP(F2582,'1to4-2.1-RR'!$A$12:$BG$111,39,0),"")</f>
        <v/>
      </c>
      <c r="J2603" s="54" t="str">
        <f>IFERROR(VLOOKUP(F2582,'1to4-2.1-RR'!$A$12:$BG$111,40,0),"")</f>
        <v/>
      </c>
      <c r="K2603" s="54" t="str">
        <f>IFERROR(VLOOKUP(F2582,'1to4-2.1-RR'!$A$12:$BG$111,41,0),"")</f>
        <v/>
      </c>
      <c r="L2603" s="55">
        <f t="shared" si="92"/>
        <v>0</v>
      </c>
      <c r="M2603" s="56" t="str">
        <f>IF(F2582&gt;ENTRY!$D$24,"",IF(L2603=0,"Ab",IF(L2603&gt;80,"A",IF(L2603&gt;60,"B",IF(L2603&gt;44,"C",IF(L2603&gt;=33,"D",IF(L2603&lt;=32,"E","")))))))</f>
        <v/>
      </c>
      <c r="N2603" s="56"/>
      <c r="O2603" s="29"/>
      <c r="P2603" s="19"/>
      <c r="Q2603" s="14"/>
      <c r="R2603" s="11"/>
    </row>
    <row r="2604" s="1" customFormat="1" ht="21.95" customHeight="1" spans="1:18">
      <c r="A2604" s="7"/>
      <c r="B2604" s="12"/>
      <c r="C2604" s="33"/>
      <c r="D2604" s="117" t="s">
        <v>549</v>
      </c>
      <c r="E2604" s="117"/>
      <c r="F2604" s="117"/>
      <c r="G2604" s="54" t="str">
        <f>IFERROR(VLOOKUP(F2582,'1to4-2.1-RR'!$A$12:$BG$111,44,0),"")</f>
        <v/>
      </c>
      <c r="H2604" s="54" t="str">
        <f>IFERROR(VLOOKUP(F2582,'1to4-2.1-RR'!$A$12:$BG$111,45,0),"")</f>
        <v/>
      </c>
      <c r="I2604" s="54" t="str">
        <f>IFERROR(VLOOKUP(F2582,'1to4-2.1-RR'!$A$12:$BG$111,46,0),"")</f>
        <v/>
      </c>
      <c r="J2604" s="54" t="str">
        <f>IFERROR(VLOOKUP(F2582,'1to4-2.1-RR'!$A$12:$BG$111,47,0),"")</f>
        <v/>
      </c>
      <c r="K2604" s="54" t="str">
        <f>IFERROR(VLOOKUP(F2582,'1to4-2.1-RR'!$A$12:$BG$111,48,0),"")</f>
        <v/>
      </c>
      <c r="L2604" s="55">
        <f t="shared" si="92"/>
        <v>0</v>
      </c>
      <c r="M2604" s="56" t="str">
        <f>IF(F2582&gt;ENTRY!$D$24,"",IF(L2604=0,"Ab",IF(L2604&gt;80,"A",IF(L2604&gt;60,"B",IF(L2604&gt;44,"C",IF(L2604&gt;=33,"D",IF(L2604&lt;=32,"E","")))))))</f>
        <v/>
      </c>
      <c r="N2604" s="56"/>
      <c r="O2604" s="29"/>
      <c r="P2604" s="19"/>
      <c r="Q2604" s="14"/>
      <c r="R2604" s="11"/>
    </row>
    <row r="2605" s="1" customFormat="1" ht="21.95" customHeight="1" spans="1:18">
      <c r="A2605" s="7"/>
      <c r="B2605" s="12"/>
      <c r="C2605" s="33"/>
      <c r="D2605" s="117" t="s">
        <v>720</v>
      </c>
      <c r="E2605" s="117"/>
      <c r="F2605" s="117"/>
      <c r="G2605" s="54"/>
      <c r="H2605" s="54"/>
      <c r="I2605" s="54"/>
      <c r="J2605" s="54"/>
      <c r="K2605" s="54"/>
      <c r="L2605" s="55">
        <f t="shared" si="92"/>
        <v>0</v>
      </c>
      <c r="M2605" s="56" t="str">
        <f>IF(F2582&gt;ENTRY!$D$24,"",IF(L2605=0,"",IF(L2605&gt;79,"A",IF(L2605&gt;59,"B",IF(L2605&gt;44,"C",IF(L2605&gt;=33,"D",IF(L2605&lt;=32,"E","")))))))</f>
        <v/>
      </c>
      <c r="N2605" s="56"/>
      <c r="O2605" s="29"/>
      <c r="P2605" s="19"/>
      <c r="Q2605" s="14"/>
      <c r="R2605" s="11"/>
    </row>
    <row r="2606" s="1" customFormat="1" ht="21.95" customHeight="1" spans="1:18">
      <c r="A2606" s="7"/>
      <c r="B2606" s="12"/>
      <c r="C2606" s="33"/>
      <c r="D2606" s="207" t="s">
        <v>382</v>
      </c>
      <c r="E2606" s="207"/>
      <c r="F2606" s="207"/>
      <c r="G2606" s="54">
        <f t="shared" ref="G2606:L2606" si="93">IFERROR(SUM(G2599:G2605),"")</f>
        <v>0</v>
      </c>
      <c r="H2606" s="54">
        <f t="shared" si="93"/>
        <v>0</v>
      </c>
      <c r="I2606" s="54">
        <f t="shared" si="93"/>
        <v>0</v>
      </c>
      <c r="J2606" s="54">
        <f t="shared" si="93"/>
        <v>0</v>
      </c>
      <c r="K2606" s="54">
        <f t="shared" si="93"/>
        <v>0</v>
      </c>
      <c r="L2606" s="55">
        <f t="shared" si="93"/>
        <v>0</v>
      </c>
      <c r="M2606" s="61" t="str">
        <f>IF(F2582&gt;ENTRY!$D$24,"",IF(N2607="Ab","Ab",IF(N2607&gt;79.5,"A",IF(N2607&gt;59.5,"B",IF(N2607&gt;44.5,"C",IF(N2607&gt;=33,"D",IF(N2607&lt;33,"E","")))))))</f>
        <v/>
      </c>
      <c r="N2606" s="61"/>
      <c r="O2606" s="29"/>
      <c r="P2606" s="19"/>
      <c r="Q2606" s="14"/>
      <c r="R2606" s="11"/>
    </row>
    <row r="2607" s="1" customFormat="1" ht="21.95" customHeight="1" spans="1:18">
      <c r="A2607" s="7"/>
      <c r="B2607" s="12"/>
      <c r="C2607" s="33"/>
      <c r="D2607" s="63" t="s">
        <v>721</v>
      </c>
      <c r="E2607" s="63"/>
      <c r="F2607" s="63"/>
      <c r="G2607" s="63"/>
      <c r="H2607" s="63"/>
      <c r="I2607" s="63"/>
      <c r="J2607" s="63"/>
      <c r="K2607" s="63"/>
      <c r="L2607" s="63"/>
      <c r="M2607" s="209"/>
      <c r="N2607" s="64">
        <f>IF(L2606="Ab","Ab",L2606/6)</f>
        <v>0</v>
      </c>
      <c r="O2607" s="65"/>
      <c r="P2607" s="19"/>
      <c r="Q2607" s="14"/>
      <c r="R2607" s="11"/>
    </row>
    <row r="2608" s="1" customFormat="1" ht="21.95" customHeight="1" spans="1:18">
      <c r="A2608" s="7"/>
      <c r="B2608" s="12"/>
      <c r="C2608" s="33"/>
      <c r="D2608" s="29" t="s">
        <v>716</v>
      </c>
      <c r="E2608" s="18" t="str">
        <f>IFERROR(VLOOKUP(F2582,'1to4-2.1-RR'!$A$12:$BG$111,57,0),"")</f>
        <v/>
      </c>
      <c r="F2608" s="18"/>
      <c r="G2608" s="18"/>
      <c r="H2608" s="18"/>
      <c r="I2608" s="18"/>
      <c r="J2608" s="18"/>
      <c r="K2608" s="18"/>
      <c r="L2608" s="18"/>
      <c r="M2608" s="18"/>
      <c r="N2608" s="29"/>
      <c r="O2608" s="29"/>
      <c r="P2608" s="19"/>
      <c r="Q2608" s="14"/>
      <c r="R2608" s="11"/>
    </row>
    <row r="2609" s="1" customFormat="1" ht="9.95" customHeight="1" spans="1:19">
      <c r="A2609" s="7"/>
      <c r="B2609" s="12"/>
      <c r="C2609" s="39"/>
      <c r="D2609" s="40"/>
      <c r="E2609" s="40"/>
      <c r="F2609" s="40"/>
      <c r="G2609" s="40"/>
      <c r="H2609" s="40"/>
      <c r="I2609" s="40"/>
      <c r="J2609" s="40"/>
      <c r="K2609" s="40"/>
      <c r="L2609" s="40"/>
      <c r="M2609" s="40"/>
      <c r="N2609" s="40"/>
      <c r="O2609" s="40"/>
      <c r="P2609" s="41"/>
      <c r="Q2609" s="14"/>
      <c r="R2609" s="11"/>
    </row>
    <row r="2610" s="1" customFormat="1" ht="9.95" customHeight="1" spans="1:19">
      <c r="A2610" s="7"/>
      <c r="B2610" s="12"/>
      <c r="C2610" s="30"/>
      <c r="D2610" s="31"/>
      <c r="E2610" s="31"/>
      <c r="F2610" s="29"/>
      <c r="G2610" s="31"/>
      <c r="H2610" s="31"/>
      <c r="I2610" s="31"/>
      <c r="J2610" s="31"/>
      <c r="K2610" s="31"/>
      <c r="L2610" s="31"/>
      <c r="M2610" s="31"/>
      <c r="N2610" s="31"/>
      <c r="O2610" s="31"/>
      <c r="P2610" s="32"/>
      <c r="Q2610" s="14"/>
      <c r="R2610" s="11"/>
    </row>
    <row r="2611" s="1" customFormat="1" ht="9.95" customHeight="1" spans="1:19">
      <c r="A2611" s="7"/>
      <c r="B2611" s="12"/>
      <c r="C2611" s="33"/>
      <c r="D2611" s="29"/>
      <c r="E2611" s="29"/>
      <c r="F2611" s="29"/>
      <c r="G2611" s="29"/>
      <c r="H2611" s="29"/>
      <c r="I2611" s="29"/>
      <c r="J2611" s="29"/>
      <c r="K2611" s="29"/>
      <c r="L2611" s="29"/>
      <c r="M2611" s="29"/>
      <c r="N2611" s="29"/>
      <c r="O2611" s="29"/>
      <c r="P2611" s="19"/>
      <c r="Q2611" s="14"/>
      <c r="R2611" s="11"/>
    </row>
    <row r="2612" s="1" customFormat="1" ht="9.95" customHeight="1" spans="1:19">
      <c r="A2612" s="7"/>
      <c r="B2612" s="12"/>
      <c r="C2612" s="33"/>
      <c r="D2612" s="29"/>
      <c r="E2612" s="29"/>
      <c r="F2612" s="29"/>
      <c r="G2612" s="29"/>
      <c r="H2612" s="29"/>
      <c r="I2612" s="29"/>
      <c r="J2612" s="29"/>
      <c r="K2612" s="29"/>
      <c r="L2612" s="29"/>
      <c r="M2612" s="29"/>
      <c r="N2612" s="29"/>
      <c r="O2612" s="29"/>
      <c r="P2612" s="19"/>
      <c r="Q2612" s="14"/>
      <c r="R2612" s="11"/>
    </row>
    <row r="2613" s="1" customFormat="1" ht="21.95" customHeight="1" spans="1:19">
      <c r="A2613" s="7"/>
      <c r="B2613" s="12"/>
      <c r="C2613" s="210"/>
      <c r="D2613" s="211"/>
      <c r="E2613" s="211"/>
      <c r="F2613" s="211"/>
      <c r="G2613" s="211"/>
      <c r="H2613" s="211"/>
      <c r="I2613" s="211"/>
      <c r="J2613" s="211"/>
      <c r="K2613" s="211"/>
      <c r="L2613" s="211"/>
      <c r="M2613" s="211"/>
      <c r="N2613" s="211"/>
      <c r="O2613" s="211"/>
      <c r="P2613" s="212"/>
      <c r="Q2613" s="14"/>
      <c r="R2613" s="11"/>
      <c r="S2613" s="2"/>
    </row>
    <row r="2614" s="1" customFormat="1" ht="21.95" customHeight="1" spans="1:19">
      <c r="A2614" s="7"/>
      <c r="B2614" s="12"/>
      <c r="C2614" s="33"/>
      <c r="D2614" s="207" t="s">
        <v>722</v>
      </c>
      <c r="E2614" s="207"/>
      <c r="F2614" s="207"/>
      <c r="G2614" s="207"/>
      <c r="H2614" s="54">
        <f>IFERROR(VLOOKUP(F2582,PASHEET!$A$4:$CJ$103,88,0),"")</f>
        <v>0</v>
      </c>
      <c r="I2614" s="54"/>
      <c r="J2614" s="29"/>
      <c r="K2614" s="29"/>
      <c r="L2614" s="29"/>
      <c r="M2614" s="29"/>
      <c r="N2614" s="29"/>
      <c r="O2614" s="29"/>
      <c r="P2614" s="19"/>
      <c r="Q2614" s="14"/>
      <c r="R2614" s="11"/>
    </row>
    <row r="2615" s="1" customFormat="1" ht="21.95" customHeight="1" spans="1:19">
      <c r="A2615" s="7"/>
      <c r="B2615" s="12"/>
      <c r="C2615" s="213"/>
      <c r="D2615" s="207" t="s">
        <v>723</v>
      </c>
      <c r="E2615" s="207"/>
      <c r="F2615" s="207"/>
      <c r="G2615" s="207"/>
      <c r="H2615" s="54">
        <f>IFERROR(VLOOKUP(F2582,PASHEET!$A$4:$CJ$103,87,0),"")</f>
        <v>0</v>
      </c>
      <c r="I2615" s="54"/>
      <c r="J2615" s="214"/>
      <c r="K2615" s="214"/>
      <c r="L2615" s="207" t="s">
        <v>724</v>
      </c>
      <c r="M2615" s="207"/>
      <c r="N2615" s="117" t="str">
        <f>IF(F2582&gt;ENTRY!$D$24,"",IF(F2582&gt;0,L2606&amp;" / "&amp;600,""))</f>
        <v/>
      </c>
      <c r="O2615" s="117"/>
      <c r="P2615" s="215"/>
      <c r="Q2615" s="14"/>
      <c r="R2615" s="11"/>
    </row>
    <row r="2616" s="1" customFormat="1" ht="18" customHeight="1" spans="1:19">
      <c r="A2616" s="7"/>
      <c r="B2616" s="12"/>
      <c r="C2616" s="33"/>
      <c r="D2616" s="207" t="s">
        <v>725</v>
      </c>
      <c r="E2616" s="207"/>
      <c r="F2616" s="207"/>
      <c r="G2616" s="207"/>
      <c r="H2616" s="69" t="str">
        <f>IFERROR(IF(F2582&gt;0,H2615/H2614*100),"")</f>
        <v/>
      </c>
      <c r="I2616" s="69"/>
      <c r="J2616" s="29"/>
      <c r="K2616" s="29"/>
      <c r="L2616" s="207" t="s">
        <v>726</v>
      </c>
      <c r="M2616" s="207"/>
      <c r="N2616" s="216" t="str">
        <f>IF(F2582&gt;ENTRY!$D$24,"",IF(F2582&gt;0,L2606/600*100,""))</f>
        <v/>
      </c>
      <c r="O2616" s="216"/>
      <c r="P2616" s="19"/>
      <c r="Q2616" s="14"/>
      <c r="R2616" s="11"/>
    </row>
    <row r="2617" s="1" customFormat="1" ht="21.95" customHeight="1" spans="1:19">
      <c r="A2617" s="7"/>
      <c r="B2617" s="12"/>
      <c r="C2617" s="33"/>
      <c r="D2617" s="80"/>
      <c r="E2617" s="80"/>
      <c r="F2617" s="217"/>
      <c r="G2617" s="217"/>
      <c r="H2617" s="217"/>
      <c r="I2617" s="217"/>
      <c r="J2617" s="217"/>
      <c r="K2617" s="217"/>
      <c r="L2617" s="217"/>
      <c r="M2617" s="217"/>
      <c r="N2617" s="80"/>
      <c r="O2617" s="80"/>
      <c r="P2617" s="19"/>
      <c r="Q2617" s="14"/>
      <c r="R2617" s="11"/>
    </row>
    <row r="2618" s="1" customFormat="1" ht="21.95" customHeight="1" spans="1:19">
      <c r="A2618" s="7"/>
      <c r="B2618" s="12"/>
      <c r="C2618" s="33"/>
      <c r="D2618" s="80"/>
      <c r="E2618" s="218"/>
      <c r="F2618" s="218"/>
      <c r="G2618" s="218"/>
      <c r="H2618" s="80"/>
      <c r="I2618" s="218"/>
      <c r="J2618" s="218"/>
      <c r="K2618" s="218"/>
      <c r="L2618" s="218"/>
      <c r="M2618" s="80"/>
      <c r="N2618" s="219"/>
      <c r="O2618" s="219"/>
      <c r="P2618" s="19"/>
      <c r="Q2618" s="14"/>
      <c r="R2618" s="11"/>
    </row>
    <row r="2619" s="1" customFormat="1" ht="21.95" customHeight="1" spans="1:19">
      <c r="A2619" s="7"/>
      <c r="B2619" s="12"/>
      <c r="C2619" s="33"/>
      <c r="D2619" s="80"/>
      <c r="E2619" s="80"/>
      <c r="F2619" s="80"/>
      <c r="G2619" s="80"/>
      <c r="H2619" s="80"/>
      <c r="I2619" s="80"/>
      <c r="J2619" s="80"/>
      <c r="K2619" s="80"/>
      <c r="L2619" s="80"/>
      <c r="M2619" s="80"/>
      <c r="N2619" s="80"/>
      <c r="O2619" s="80"/>
      <c r="P2619" s="19"/>
      <c r="Q2619" s="14"/>
      <c r="R2619" s="11"/>
    </row>
    <row r="2620" s="1" customFormat="1" ht="21.95" customHeight="1" spans="1:19">
      <c r="A2620" s="7"/>
      <c r="B2620" s="12"/>
      <c r="C2620" s="33"/>
      <c r="D2620" s="218"/>
      <c r="E2620" s="218"/>
      <c r="F2620" s="218"/>
      <c r="G2620" s="218"/>
      <c r="H2620" s="218"/>
      <c r="I2620" s="218"/>
      <c r="J2620" s="218"/>
      <c r="K2620" s="218"/>
      <c r="L2620" s="218"/>
      <c r="M2620" s="80"/>
      <c r="N2620" s="217"/>
      <c r="O2620" s="217"/>
      <c r="P2620" s="85" t="s">
        <v>727</v>
      </c>
      <c r="Q2620" s="14"/>
      <c r="R2620" s="11"/>
    </row>
    <row r="2621" s="1" customFormat="1" ht="21.95" customHeight="1" spans="1:19">
      <c r="A2621" s="7"/>
      <c r="B2621" s="12"/>
      <c r="C2621" s="33"/>
      <c r="D2621" s="29"/>
      <c r="E2621" s="29"/>
      <c r="F2621" s="29"/>
      <c r="G2621" s="29"/>
      <c r="H2621" s="29"/>
      <c r="I2621" s="29"/>
      <c r="J2621" s="29"/>
      <c r="K2621" s="29"/>
      <c r="L2621" s="29"/>
      <c r="M2621" s="29"/>
      <c r="N2621" s="29"/>
      <c r="O2621" s="29"/>
      <c r="P2621" s="19"/>
      <c r="Q2621" s="14"/>
      <c r="R2621" s="11"/>
    </row>
    <row r="2622" s="1" customFormat="1" ht="21.95" customHeight="1" spans="1:19">
      <c r="A2622" s="7"/>
      <c r="B2622" s="12"/>
      <c r="C2622" s="33"/>
      <c r="D2622" s="29"/>
      <c r="E2622" s="29"/>
      <c r="F2622" s="29"/>
      <c r="G2622" s="29"/>
      <c r="H2622" s="29"/>
      <c r="I2622" s="29"/>
      <c r="J2622" s="29"/>
      <c r="K2622" s="29"/>
      <c r="L2622" s="29"/>
      <c r="M2622" s="29"/>
      <c r="N2622" s="29"/>
      <c r="O2622" s="29"/>
      <c r="P2622" s="19"/>
      <c r="Q2622" s="14"/>
      <c r="R2622" s="11"/>
    </row>
    <row r="2623" s="1" customFormat="1" ht="21.95" customHeight="1" spans="1:19">
      <c r="A2623" s="7"/>
      <c r="B2623" s="12"/>
      <c r="C2623" s="33"/>
      <c r="D2623" s="29"/>
      <c r="E2623" s="29"/>
      <c r="F2623" s="29"/>
      <c r="G2623" s="29"/>
      <c r="H2623" s="29"/>
      <c r="I2623" s="29"/>
      <c r="J2623" s="29"/>
      <c r="K2623" s="29"/>
      <c r="L2623" s="29"/>
      <c r="M2623" s="29"/>
      <c r="N2623" s="29"/>
      <c r="O2623" s="29"/>
      <c r="P2623" s="19"/>
      <c r="Q2623" s="14"/>
      <c r="R2623" s="11"/>
    </row>
    <row r="2624" s="1" customFormat="1" ht="21.95" customHeight="1" spans="1:19">
      <c r="A2624" s="7"/>
      <c r="B2624" s="12"/>
      <c r="C2624" s="33"/>
      <c r="D2624" s="29"/>
      <c r="E2624" s="29"/>
      <c r="F2624" s="29"/>
      <c r="G2624" s="29"/>
      <c r="H2624" s="29"/>
      <c r="I2624" s="29"/>
      <c r="J2624" s="29"/>
      <c r="K2624" s="29"/>
      <c r="L2624" s="29"/>
      <c r="M2624" s="29"/>
      <c r="N2624" s="29"/>
      <c r="O2624" s="29"/>
      <c r="P2624" s="19"/>
      <c r="Q2624" s="14"/>
      <c r="R2624" s="11"/>
    </row>
    <row r="2625" s="1" customFormat="1" ht="21.95" customHeight="1" spans="1:18">
      <c r="A2625" s="7"/>
      <c r="B2625" s="12"/>
      <c r="C2625" s="33"/>
      <c r="D2625" s="29"/>
      <c r="E2625" s="29"/>
      <c r="F2625" s="29"/>
      <c r="G2625" s="29"/>
      <c r="H2625" s="29"/>
      <c r="I2625" s="29"/>
      <c r="J2625" s="29"/>
      <c r="K2625" s="29"/>
      <c r="L2625" s="29"/>
      <c r="M2625" s="29"/>
      <c r="N2625" s="29"/>
      <c r="O2625" s="29"/>
      <c r="P2625" s="19"/>
      <c r="Q2625" s="14"/>
      <c r="R2625" s="11"/>
    </row>
    <row r="2626" s="1" customFormat="1" ht="21.95" customHeight="1" spans="1:18">
      <c r="A2626" s="7"/>
      <c r="B2626" s="12"/>
      <c r="C2626" s="33"/>
      <c r="D2626" s="80" t="s">
        <v>728</v>
      </c>
      <c r="E2626" s="220">
        <f>ENTRY!$D$27</f>
        <v>46102</v>
      </c>
      <c r="F2626" s="220"/>
      <c r="G2626" s="29"/>
      <c r="H2626" s="29"/>
      <c r="I2626" s="221" t="s">
        <v>729</v>
      </c>
      <c r="J2626" s="153"/>
      <c r="K2626" s="29"/>
      <c r="L2626" s="29"/>
      <c r="M2626" s="87" t="s">
        <v>730</v>
      </c>
      <c r="N2626" s="87"/>
      <c r="O2626" s="87"/>
      <c r="P2626" s="19"/>
      <c r="Q2626" s="14"/>
      <c r="R2626" s="11"/>
    </row>
    <row r="2627" s="1" customFormat="1" ht="21.95" customHeight="1" spans="1:18">
      <c r="A2627" s="7"/>
      <c r="B2627" s="12"/>
      <c r="C2627" s="33"/>
      <c r="D2627" s="80" t="s">
        <v>731</v>
      </c>
      <c r="E2627" s="88" t="str">
        <f>PROPER(ENTRY!$D$28)</f>
        <v>New Delhi</v>
      </c>
      <c r="F2627" s="88"/>
      <c r="G2627" s="29"/>
      <c r="H2627" s="29"/>
      <c r="I2627" s="153"/>
      <c r="J2627" s="153"/>
      <c r="K2627" s="29"/>
      <c r="L2627" s="29"/>
      <c r="M2627" s="79" t="s">
        <v>732</v>
      </c>
      <c r="N2627" s="79"/>
      <c r="O2627" s="79"/>
      <c r="P2627" s="19"/>
      <c r="Q2627" s="14"/>
      <c r="R2627" s="11"/>
    </row>
    <row r="2628" s="1" customFormat="1" ht="21.95" customHeight="1" spans="1:18">
      <c r="A2628" s="7"/>
      <c r="B2628" s="12"/>
      <c r="C2628" s="90"/>
      <c r="D2628" s="91"/>
      <c r="E2628" s="91"/>
      <c r="F2628" s="91"/>
      <c r="G2628" s="91"/>
      <c r="H2628" s="91"/>
      <c r="I2628" s="91"/>
      <c r="J2628" s="91"/>
      <c r="K2628" s="91"/>
      <c r="L2628" s="91"/>
      <c r="M2628" s="91"/>
      <c r="N2628" s="91"/>
      <c r="O2628" s="91"/>
      <c r="P2628" s="92"/>
      <c r="Q2628" s="14"/>
      <c r="R2628" s="11"/>
    </row>
    <row r="2629" s="1" customFormat="1" ht="5.1" customHeight="1" spans="1:18">
      <c r="A2629" s="7"/>
      <c r="B2629" s="90"/>
      <c r="C2629" s="91"/>
      <c r="D2629" s="91"/>
      <c r="E2629" s="91"/>
      <c r="F2629" s="91"/>
      <c r="G2629" s="91"/>
      <c r="H2629" s="91"/>
      <c r="I2629" s="91"/>
      <c r="J2629" s="91"/>
      <c r="K2629" s="91"/>
      <c r="L2629" s="91"/>
      <c r="M2629" s="91"/>
      <c r="N2629" s="91"/>
      <c r="O2629" s="91"/>
      <c r="P2629" s="91"/>
      <c r="Q2629" s="92"/>
      <c r="R2629" s="11"/>
    </row>
    <row r="2630" s="1" customFormat="1" ht="5.1" customHeight="1" spans="1:18">
      <c r="A2630" s="93"/>
      <c r="B2630" s="94"/>
      <c r="C2630" s="94"/>
      <c r="D2630" s="94"/>
      <c r="E2630" s="94"/>
      <c r="F2630" s="94"/>
      <c r="G2630" s="94"/>
      <c r="H2630" s="94"/>
      <c r="I2630" s="94"/>
      <c r="J2630" s="94"/>
      <c r="K2630" s="94"/>
      <c r="L2630" s="94"/>
      <c r="M2630" s="94"/>
      <c r="N2630" s="94"/>
      <c r="O2630" s="94"/>
      <c r="P2630" s="94"/>
      <c r="Q2630" s="94"/>
      <c r="R2630" s="95"/>
    </row>
    <row r="2631" s="1" customFormat="1" ht="21.95" customHeight="1"/>
    <row r="2632" ht="15.15"/>
    <row r="2633" s="1" customFormat="1" ht="5.1" customHeight="1" spans="1:18">
      <c r="A2633" s="4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  <c r="O2633" s="5"/>
      <c r="P2633" s="5"/>
      <c r="Q2633" s="5"/>
      <c r="R2633" s="6"/>
    </row>
    <row r="2634" s="1" customFormat="1" ht="15" customHeight="1" spans="1:18">
      <c r="A2634" s="7"/>
      <c r="B2634" s="8"/>
      <c r="C2634" s="9"/>
      <c r="D2634" s="9"/>
      <c r="E2634" s="9"/>
      <c r="F2634" s="9"/>
      <c r="G2634" s="9"/>
      <c r="H2634" s="9"/>
      <c r="I2634" s="9"/>
      <c r="J2634" s="9"/>
      <c r="K2634" s="9"/>
      <c r="L2634" s="9"/>
      <c r="M2634" s="9"/>
      <c r="N2634" s="9"/>
      <c r="O2634" s="9"/>
      <c r="P2634" s="9"/>
      <c r="Q2634" s="10"/>
      <c r="R2634" s="11"/>
    </row>
    <row r="2635" s="1" customFormat="1" ht="21.95" customHeight="1" spans="1:18">
      <c r="A2635" s="7"/>
      <c r="B2635" s="12"/>
      <c r="C2635" s="13" t="s">
        <v>7</v>
      </c>
      <c r="D2635" s="13"/>
      <c r="E2635" s="13"/>
      <c r="F2635" s="13"/>
      <c r="G2635" s="13"/>
      <c r="H2635" s="13"/>
      <c r="I2635" s="13"/>
      <c r="J2635" s="13"/>
      <c r="K2635" s="13"/>
      <c r="L2635" s="13"/>
      <c r="M2635" s="13"/>
      <c r="N2635" s="13"/>
      <c r="O2635" s="13"/>
      <c r="P2635" s="13"/>
      <c r="Q2635" s="14"/>
      <c r="R2635" s="11"/>
    </row>
    <row r="2636" s="1" customFormat="1" ht="21.95" customHeight="1" spans="1:18">
      <c r="A2636" s="7"/>
      <c r="B2636" s="1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14"/>
      <c r="R2636" s="11"/>
    </row>
    <row r="2637" s="1" customFormat="1" ht="21.95" customHeight="1" spans="1:18">
      <c r="A2637" s="7"/>
      <c r="B2637" s="12"/>
      <c r="C2637" s="15" t="str">
        <f>"SESSION-"&amp;ENTRY!$D$11</f>
        <v>SESSION-2026-27</v>
      </c>
      <c r="D2637" s="15"/>
      <c r="E2637" s="15"/>
      <c r="F2637" s="15"/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4"/>
      <c r="R2637" s="11"/>
    </row>
    <row r="2638" s="1" customFormat="1" ht="21.95" customHeight="1" spans="1:18">
      <c r="A2638" s="7"/>
      <c r="B2638" s="12"/>
      <c r="C2638" s="2"/>
      <c r="D2638" s="2"/>
      <c r="E2638" s="2"/>
      <c r="F2638" s="16">
        <f>F2582+1</f>
        <v>48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14"/>
      <c r="R2638" s="11"/>
    </row>
    <row r="2639" s="1" customFormat="1" ht="21.95" customHeight="1" spans="1:18">
      <c r="A2639" s="7"/>
      <c r="B2639" s="12"/>
      <c r="C2639" s="17" t="s">
        <v>392</v>
      </c>
      <c r="D2639" s="17"/>
      <c r="E2639" s="17"/>
      <c r="F2639" s="18" t="str">
        <f>IF(F2638&gt;0,ENTRY!$D$6,"")</f>
        <v>MCP NITHARI NO 1 BOYS</v>
      </c>
      <c r="G2639" s="18"/>
      <c r="H2639" s="18"/>
      <c r="I2639" s="18"/>
      <c r="J2639" s="18"/>
      <c r="K2639" s="18"/>
      <c r="L2639" s="18"/>
      <c r="M2639" s="18"/>
      <c r="N2639" s="18"/>
      <c r="O2639" s="18"/>
      <c r="P2639" s="18"/>
      <c r="Q2639" s="14"/>
      <c r="R2639" s="11"/>
    </row>
    <row r="2640" s="1" customFormat="1" ht="21.95" customHeight="1" spans="1:18">
      <c r="A2640" s="7"/>
      <c r="B2640" s="12"/>
      <c r="C2640" s="17" t="s">
        <v>393</v>
      </c>
      <c r="D2640" s="17"/>
      <c r="E2640" s="17"/>
      <c r="F2640" s="18">
        <f>IF(F2638&gt;0,ENTRY!$D$7,"")</f>
        <v>0</v>
      </c>
      <c r="G2640" s="18"/>
      <c r="H2640" s="20" t="s">
        <v>702</v>
      </c>
      <c r="I2640" s="20"/>
      <c r="J2640" s="21">
        <f>IF(F2638&gt;0,ENTRY!$D$10,"")</f>
        <v>40</v>
      </c>
      <c r="K2640" s="20" t="s">
        <v>703</v>
      </c>
      <c r="L2640" s="22" t="str">
        <f>IF(F2638&gt;0,ENTRY!$D$5,"")</f>
        <v>ROHINI ZONE</v>
      </c>
      <c r="M2640" s="22"/>
      <c r="N2640" s="22"/>
      <c r="O2640" s="22"/>
      <c r="P2640" s="22"/>
      <c r="Q2640" s="14"/>
      <c r="R2640" s="11"/>
    </row>
    <row r="2641" s="1" customFormat="1" ht="21.95" customHeight="1" spans="1:18">
      <c r="A2641" s="7"/>
      <c r="B2641" s="12"/>
      <c r="C2641" s="17" t="s">
        <v>706</v>
      </c>
      <c r="D2641" s="17"/>
      <c r="E2641" s="17"/>
      <c r="F2641" s="23">
        <f>IFERROR(VLOOKUP(F2638,STUDENT!$A$2:$BP$101,5,0),"")</f>
        <v>0</v>
      </c>
      <c r="G2641" s="23"/>
      <c r="H2641" s="23"/>
      <c r="I2641" s="23"/>
      <c r="J2641" s="23"/>
      <c r="K2641" s="23"/>
      <c r="L2641" s="20" t="s">
        <v>707</v>
      </c>
      <c r="M2641" s="20"/>
      <c r="N2641" s="24" t="str">
        <f>IF(F2638&gt;0,ENTRY!$D$20&amp;"-"&amp;ENTRY!$D$21,"")</f>
        <v>III-A</v>
      </c>
      <c r="O2641" s="24"/>
      <c r="P2641" s="24"/>
      <c r="Q2641" s="14"/>
      <c r="R2641" s="11"/>
    </row>
    <row r="2642" s="1" customFormat="1" ht="21.95" customHeight="1" spans="1:18">
      <c r="A2642" s="7"/>
      <c r="B2642" s="12"/>
      <c r="C2642" s="17" t="s">
        <v>708</v>
      </c>
      <c r="D2642" s="17"/>
      <c r="E2642" s="17"/>
      <c r="F2642" s="25">
        <f>IFERROR(VLOOKUP(F2638,STUDENT!$A$2:$BP$101,6,0),"")</f>
        <v>0</v>
      </c>
      <c r="G2642" s="25"/>
      <c r="H2642" s="26" t="s">
        <v>709</v>
      </c>
      <c r="I2642" s="27" t="str">
        <f>IFERROR(VLOOKUP(F2638,STUDENT!$A$2:$BP$101,59,0),"")</f>
        <v/>
      </c>
      <c r="J2642" s="27"/>
      <c r="K2642" s="20" t="s">
        <v>710</v>
      </c>
      <c r="L2642" s="20"/>
      <c r="M2642" s="28">
        <f>IFERROR(VLOOKUP(F2638,STUDENT!$A$2:$BP$101,20,0),"")</f>
        <v>0</v>
      </c>
      <c r="N2642" s="28"/>
      <c r="O2642" s="28"/>
      <c r="P2642" s="28"/>
      <c r="Q2642" s="14"/>
      <c r="R2642" s="11"/>
    </row>
    <row r="2643" s="1" customFormat="1" ht="21.95" customHeight="1" spans="1:18">
      <c r="A2643" s="7"/>
      <c r="B2643" s="12"/>
      <c r="C2643" s="17" t="s">
        <v>711</v>
      </c>
      <c r="D2643" s="17"/>
      <c r="E2643" s="17"/>
      <c r="F2643" s="23">
        <f>IFERROR(VLOOKUP(F2638,STUDENT!$A$2:$BP$101,9,0),"")</f>
        <v>0</v>
      </c>
      <c r="G2643" s="23"/>
      <c r="H2643" s="23"/>
      <c r="I2643" s="23"/>
      <c r="J2643" s="17" t="s">
        <v>620</v>
      </c>
      <c r="K2643" s="17"/>
      <c r="L2643" s="23">
        <f>IFERROR(VLOOKUP(F2638,STUDENT!$A$2:$BP$101,8,0),"")</f>
        <v>0</v>
      </c>
      <c r="M2643" s="23"/>
      <c r="N2643" s="23"/>
      <c r="O2643" s="23"/>
      <c r="P2643" s="23"/>
      <c r="Q2643" s="14"/>
      <c r="R2643" s="11"/>
    </row>
    <row r="2644" s="1" customFormat="1" ht="21.95" customHeight="1" spans="1:18">
      <c r="A2644" s="7"/>
      <c r="B2644" s="12"/>
      <c r="C2644" s="17" t="s">
        <v>712</v>
      </c>
      <c r="D2644" s="17"/>
      <c r="E2644" s="17"/>
      <c r="F2644" s="23">
        <f>IFERROR(VLOOKUP(F2638,STUDENT!$A$2:$BP$101,22,0),"")</f>
        <v>0</v>
      </c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14"/>
      <c r="R2644" s="11"/>
    </row>
    <row r="2645" s="1" customFormat="1" ht="9.95" customHeight="1" spans="1:18">
      <c r="A2645" s="7"/>
      <c r="B2645" s="12"/>
      <c r="C2645" s="29"/>
      <c r="D2645" s="29"/>
      <c r="E2645" s="29"/>
      <c r="F2645" s="29"/>
      <c r="G2645" s="29"/>
      <c r="H2645" s="29"/>
      <c r="I2645" s="29"/>
      <c r="J2645" s="29"/>
      <c r="K2645" s="29"/>
      <c r="L2645" s="29"/>
      <c r="M2645" s="29"/>
      <c r="N2645" s="29"/>
      <c r="O2645" s="29"/>
      <c r="P2645" s="29"/>
      <c r="Q2645" s="14"/>
      <c r="R2645" s="11"/>
    </row>
    <row r="2646" s="1" customFormat="1" ht="9.95" customHeight="1" spans="1:18">
      <c r="A2646" s="7"/>
      <c r="B2646" s="12"/>
      <c r="C2646" s="30"/>
      <c r="D2646" s="31"/>
      <c r="E2646" s="31"/>
      <c r="F2646" s="31"/>
      <c r="G2646" s="31"/>
      <c r="H2646" s="31"/>
      <c r="I2646" s="31"/>
      <c r="J2646" s="31"/>
      <c r="K2646" s="31"/>
      <c r="L2646" s="31"/>
      <c r="M2646" s="31"/>
      <c r="N2646" s="31"/>
      <c r="O2646" s="31"/>
      <c r="P2646" s="32"/>
      <c r="Q2646" s="14"/>
      <c r="R2646" s="11"/>
    </row>
    <row r="2647" s="1" customFormat="1" ht="21.95" customHeight="1" spans="1:18">
      <c r="A2647" s="7"/>
      <c r="B2647" s="12"/>
      <c r="C2647" s="33"/>
      <c r="D2647" s="34" t="s">
        <v>713</v>
      </c>
      <c r="E2647" s="20" t="s">
        <v>714</v>
      </c>
      <c r="F2647" s="35" t="str">
        <f>"Level - "&amp;IFERROR(VLOOKUP(F2638,FLN!$A$4:$K$103,9,0),"")</f>
        <v>Level - </v>
      </c>
      <c r="G2647" s="36"/>
      <c r="H2647" s="37" t="s">
        <v>715</v>
      </c>
      <c r="I2647" s="20"/>
      <c r="J2647" s="35" t="str">
        <f>"Level - "&amp;IFERROR(VLOOKUP(F2638,FLN!$A$4:$K$103,11,0),"")</f>
        <v>Level - </v>
      </c>
      <c r="K2647" s="36"/>
      <c r="L2647" s="37" t="s">
        <v>408</v>
      </c>
      <c r="M2647" s="20"/>
      <c r="N2647" s="35" t="str">
        <f>"Level - "&amp;IFERROR(VLOOKUP(F2638,FLN!$A$4:$K$103,10,0),"")</f>
        <v>Level - </v>
      </c>
      <c r="O2647" s="36"/>
      <c r="P2647" s="19"/>
      <c r="Q2647" s="14"/>
      <c r="R2647" s="11"/>
    </row>
    <row r="2648" s="1" customFormat="1" ht="21.95" customHeight="1" spans="1:18">
      <c r="A2648" s="7"/>
      <c r="B2648" s="12"/>
      <c r="C2648" s="33"/>
      <c r="D2648" s="38"/>
      <c r="E2648" s="20" t="s">
        <v>716</v>
      </c>
      <c r="F2648" s="18" t="str">
        <f>IF(L2662&gt;197,"PERFORMED WELL","")</f>
        <v/>
      </c>
      <c r="G2648" s="18"/>
      <c r="H2648" s="18"/>
      <c r="I2648" s="18"/>
      <c r="J2648" s="18"/>
      <c r="K2648" s="18"/>
      <c r="L2648" s="18"/>
      <c r="M2648" s="18"/>
      <c r="N2648" s="18"/>
      <c r="O2648" s="18"/>
      <c r="P2648" s="19"/>
      <c r="Q2648" s="14"/>
      <c r="R2648" s="11"/>
    </row>
    <row r="2649" s="1" customFormat="1" ht="9.95" customHeight="1" spans="1:18">
      <c r="A2649" s="7"/>
      <c r="B2649" s="12"/>
      <c r="C2649" s="39"/>
      <c r="D2649" s="40"/>
      <c r="E2649" s="40"/>
      <c r="F2649" s="40"/>
      <c r="G2649" s="40"/>
      <c r="H2649" s="40"/>
      <c r="I2649" s="40"/>
      <c r="J2649" s="40"/>
      <c r="K2649" s="40"/>
      <c r="L2649" s="40"/>
      <c r="M2649" s="40"/>
      <c r="N2649" s="40"/>
      <c r="O2649" s="40"/>
      <c r="P2649" s="41"/>
      <c r="Q2649" s="14"/>
      <c r="R2649" s="11"/>
    </row>
    <row r="2650" s="1" customFormat="1" ht="9.95" customHeight="1" spans="1:18">
      <c r="A2650" s="7"/>
      <c r="B2650" s="12"/>
      <c r="C2650" s="29"/>
      <c r="D2650" s="29"/>
      <c r="E2650" s="29"/>
      <c r="F2650" s="29"/>
      <c r="G2650" s="29"/>
      <c r="H2650" s="29"/>
      <c r="I2650" s="29"/>
      <c r="J2650" s="29"/>
      <c r="K2650" s="29"/>
      <c r="L2650" s="29"/>
      <c r="M2650" s="29"/>
      <c r="N2650" s="29"/>
      <c r="O2650" s="29"/>
      <c r="P2650" s="29"/>
      <c r="Q2650" s="14"/>
      <c r="R2650" s="11"/>
    </row>
    <row r="2651" s="1" customFormat="1" ht="9.95" customHeight="1" spans="1:18">
      <c r="A2651" s="7"/>
      <c r="B2651" s="12"/>
      <c r="C2651" s="30"/>
      <c r="D2651" s="31"/>
      <c r="E2651" s="31"/>
      <c r="F2651" s="31"/>
      <c r="G2651" s="31"/>
      <c r="H2651" s="31"/>
      <c r="I2651" s="31"/>
      <c r="J2651" s="31"/>
      <c r="K2651" s="31"/>
      <c r="L2651" s="31"/>
      <c r="M2651" s="31"/>
      <c r="N2651" s="31"/>
      <c r="O2651" s="31"/>
      <c r="P2651" s="32"/>
      <c r="Q2651" s="14"/>
      <c r="R2651" s="11"/>
    </row>
    <row r="2652" s="1" customFormat="1" ht="21.95" customHeight="1" spans="1:18">
      <c r="A2652" s="7"/>
      <c r="B2652" s="12"/>
      <c r="C2652" s="33"/>
      <c r="D2652" s="35"/>
      <c r="E2652" s="24"/>
      <c r="F2652" s="24"/>
      <c r="G2652" s="47" t="s">
        <v>717</v>
      </c>
      <c r="H2652" s="47"/>
      <c r="I2652" s="47"/>
      <c r="J2652" s="47"/>
      <c r="K2652" s="47"/>
      <c r="L2652" s="47"/>
      <c r="M2652" s="47"/>
      <c r="N2652" s="47"/>
      <c r="O2652" s="29"/>
      <c r="P2652" s="19"/>
      <c r="Q2652" s="14"/>
      <c r="R2652" s="11"/>
    </row>
    <row r="2653" s="1" customFormat="1" ht="21.95" customHeight="1" spans="1:18">
      <c r="A2653" s="7"/>
      <c r="B2653" s="12"/>
      <c r="C2653" s="33"/>
      <c r="D2653" s="47"/>
      <c r="E2653" s="47"/>
      <c r="F2653" s="47"/>
      <c r="G2653" s="47" t="s">
        <v>541</v>
      </c>
      <c r="H2653" s="47" t="s">
        <v>542</v>
      </c>
      <c r="I2653" s="47" t="s">
        <v>543</v>
      </c>
      <c r="J2653" s="47" t="s">
        <v>544</v>
      </c>
      <c r="K2653" s="47" t="s">
        <v>561</v>
      </c>
      <c r="L2653" s="47" t="s">
        <v>382</v>
      </c>
      <c r="M2653" s="49" t="s">
        <v>546</v>
      </c>
      <c r="N2653" s="49"/>
      <c r="O2653" s="29"/>
      <c r="P2653" s="19"/>
      <c r="Q2653" s="14"/>
      <c r="R2653" s="11"/>
    </row>
    <row r="2654" s="1" customFormat="1" ht="21.95" customHeight="1" spans="1:18">
      <c r="A2654" s="7"/>
      <c r="B2654" s="12"/>
      <c r="C2654" s="33"/>
      <c r="D2654" s="207" t="s">
        <v>652</v>
      </c>
      <c r="E2654" s="207"/>
      <c r="F2654" s="207"/>
      <c r="G2654" s="50">
        <v>10</v>
      </c>
      <c r="H2654" s="50">
        <v>10</v>
      </c>
      <c r="I2654" s="50">
        <v>10</v>
      </c>
      <c r="J2654" s="50">
        <v>10</v>
      </c>
      <c r="K2654" s="50">
        <v>60</v>
      </c>
      <c r="L2654" s="50">
        <v>100</v>
      </c>
      <c r="M2654" s="49"/>
      <c r="N2654" s="49"/>
      <c r="O2654" s="29"/>
      <c r="P2654" s="19"/>
      <c r="Q2654" s="14"/>
      <c r="R2654" s="11"/>
    </row>
    <row r="2655" s="1" customFormat="1" ht="21.95" customHeight="1" spans="1:18">
      <c r="A2655" s="7"/>
      <c r="B2655" s="12"/>
      <c r="C2655" s="33"/>
      <c r="D2655" s="117" t="s">
        <v>668</v>
      </c>
      <c r="E2655" s="117"/>
      <c r="F2655" s="117"/>
      <c r="G2655" s="54" t="str">
        <f>IFERROR(VLOOKUP(F2638,'1to4-2.1-RR'!$A$12:$BG$111,9,0),"")</f>
        <v/>
      </c>
      <c r="H2655" s="54" t="str">
        <f>IFERROR(VLOOKUP(F2638,'1to4-2.1-RR'!$A$12:$BG$111,10,0),"")</f>
        <v/>
      </c>
      <c r="I2655" s="54" t="str">
        <f>IFERROR(VLOOKUP(F2638,'1to4-2.1-RR'!$A$12:$BG$111,11,0),"")</f>
        <v/>
      </c>
      <c r="J2655" s="54" t="str">
        <f>IFERROR(VLOOKUP(F2638,'1to4-2.1-RR'!$A$12:$BG$111,12,0),"")</f>
        <v/>
      </c>
      <c r="K2655" s="54" t="str">
        <f>IFERROR(VLOOKUP(F2638,'1to4-2.1-RR'!$A$12:$BG$111,13,0),"")</f>
        <v/>
      </c>
      <c r="L2655" s="55">
        <f>SUM(G2655:K2655)</f>
        <v>0</v>
      </c>
      <c r="M2655" s="56" t="str">
        <f>IF(F2638&gt;ENTRY!$D$24,"",IF(L2655=0,"Ab",IF(L2655&gt;80,"A",IF(L2655&gt;60,"B",IF(L2655&gt;44,"C",IF(L2655&gt;=33,"D",IF(L2655&lt;=32,"E","")))))))</f>
        <v/>
      </c>
      <c r="N2655" s="56"/>
      <c r="O2655" s="29"/>
      <c r="P2655" s="19"/>
      <c r="Q2655" s="14"/>
      <c r="R2655" s="11"/>
    </row>
    <row r="2656" s="1" customFormat="1" ht="21.95" customHeight="1" spans="1:18">
      <c r="A2656" s="7"/>
      <c r="B2656" s="12"/>
      <c r="C2656" s="33"/>
      <c r="D2656" s="117" t="s">
        <v>513</v>
      </c>
      <c r="E2656" s="117"/>
      <c r="F2656" s="117"/>
      <c r="G2656" s="54" t="str">
        <f>IFERROR(VLOOKUP(F2638,'1to4-2.1-RR'!$A$12:$BG$111,16,0),"")</f>
        <v/>
      </c>
      <c r="H2656" s="54" t="str">
        <f>IFERROR(VLOOKUP(F2638,'1to4-2.1-RR'!$A$12:$BG$111,17,0),"")</f>
        <v/>
      </c>
      <c r="I2656" s="54" t="str">
        <f>IFERROR(VLOOKUP(F2638,'1to4-2.1-RR'!$A$12:$BG$111,18,0),"")</f>
        <v/>
      </c>
      <c r="J2656" s="54" t="str">
        <f>IFERROR(VLOOKUP(F2638,'1to4-2.1-RR'!$A$12:$BG$111,19,0),"")</f>
        <v/>
      </c>
      <c r="K2656" s="54" t="str">
        <f>IFERROR(VLOOKUP(F2638,'1to4-2.1-RR'!$A$12:$BG$111,20,0),"")</f>
        <v/>
      </c>
      <c r="L2656" s="55">
        <f t="shared" ref="L2656:L2661" si="94">SUM(G2656:K2656)</f>
        <v>0</v>
      </c>
      <c r="M2656" s="56" t="str">
        <f>IF(F2638&gt;ENTRY!$D$24,"",IF(L2656=0,"Ab",IF(L2656&gt;80,"A",IF(L2656&gt;60,"B",IF(L2656&gt;44,"C",IF(L2656&gt;=33,"D",IF(L2656&lt;=32,"E","")))))))</f>
        <v/>
      </c>
      <c r="N2656" s="56"/>
      <c r="O2656" s="29"/>
      <c r="P2656" s="19"/>
      <c r="Q2656" s="14"/>
      <c r="R2656" s="11"/>
    </row>
    <row r="2657" s="1" customFormat="1" ht="21.95" customHeight="1" spans="1:19">
      <c r="A2657" s="7"/>
      <c r="B2657" s="12"/>
      <c r="C2657" s="33"/>
      <c r="D2657" s="117" t="s">
        <v>718</v>
      </c>
      <c r="E2657" s="117"/>
      <c r="F2657" s="117"/>
      <c r="G2657" s="54" t="str">
        <f>IFERROR(VLOOKUP(F2638,'1to4-2.1-RR'!$A$12:$BG$111,23,0),"")</f>
        <v/>
      </c>
      <c r="H2657" s="54" t="str">
        <f>IFERROR(VLOOKUP(F2638,'1to4-2.1-RR'!$A$12:$BG$111,24,0),"")</f>
        <v/>
      </c>
      <c r="I2657" s="54" t="str">
        <f>IFERROR(VLOOKUP(F2638,'1to4-2.1-RR'!$A$12:$BG$111,25,0),"")</f>
        <v/>
      </c>
      <c r="J2657" s="54" t="str">
        <f>IFERROR(VLOOKUP(F2638,'1to4-2.1-RR'!$A$12:$BG$111,26,0),"")</f>
        <v/>
      </c>
      <c r="K2657" s="54" t="str">
        <f>IFERROR(VLOOKUP(F2638,'1to4-2.1-RR'!$A$12:$BG$111,27,0),"")</f>
        <v/>
      </c>
      <c r="L2657" s="55">
        <f t="shared" si="94"/>
        <v>0</v>
      </c>
      <c r="M2657" s="56" t="str">
        <f>IF(F2638&gt;ENTRY!$D$24,"",IF(L2657=0,"Ab",IF(L2657&gt;80,"A",IF(L2657&gt;60,"B",IF(L2657&gt;44,"C",IF(L2657&gt;=33,"D",IF(L2657&lt;=32,"E","")))))))</f>
        <v/>
      </c>
      <c r="N2657" s="56"/>
      <c r="O2657" s="29"/>
      <c r="P2657" s="19"/>
      <c r="Q2657" s="14"/>
      <c r="R2657" s="11"/>
    </row>
    <row r="2658" s="1" customFormat="1" ht="21.95" customHeight="1" spans="1:19">
      <c r="A2658" s="7"/>
      <c r="B2658" s="12"/>
      <c r="C2658" s="33"/>
      <c r="D2658" s="117" t="s">
        <v>719</v>
      </c>
      <c r="E2658" s="117"/>
      <c r="F2658" s="117"/>
      <c r="G2658" s="54" t="str">
        <f>IFERROR(VLOOKUP(F2638,'1to4-2.1-RR'!$A$12:$BG$111,30,0),"")</f>
        <v/>
      </c>
      <c r="H2658" s="54" t="str">
        <f>IFERROR(VLOOKUP(F2638,'1to4-2.1-RR'!$A$12:$BG$111,31,0),"")</f>
        <v/>
      </c>
      <c r="I2658" s="54" t="str">
        <f>IFERROR(VLOOKUP(F2638,'1to4-2.1-RR'!$A$12:$BG$111,32,0),"")</f>
        <v/>
      </c>
      <c r="J2658" s="54" t="str">
        <f>IFERROR(VLOOKUP(F2638,'1to4-2.1-RR'!$A$12:$BG$111,33,0),"")</f>
        <v/>
      </c>
      <c r="K2658" s="54" t="str">
        <f>IFERROR(VLOOKUP(F2638,'1to4-2.1-RR'!$A$12:$BG$111,34,0),"")</f>
        <v/>
      </c>
      <c r="L2658" s="55">
        <f t="shared" si="94"/>
        <v>0</v>
      </c>
      <c r="M2658" s="56" t="str">
        <f>IF(F2638&gt;ENTRY!$D$24,"",IF(L2658=0,"Ab",IF(L2658&gt;80,"A",IF(L2658&gt;60,"B",IF(L2658&gt;44,"C",IF(L2658&gt;=33,"D",IF(L2658&lt;=32,"E","")))))))</f>
        <v/>
      </c>
      <c r="N2658" s="56"/>
      <c r="O2658" s="29"/>
      <c r="P2658" s="19"/>
      <c r="Q2658" s="14"/>
      <c r="R2658" s="11"/>
    </row>
    <row r="2659" s="1" customFormat="1" ht="21.95" customHeight="1" spans="1:19">
      <c r="A2659" s="7"/>
      <c r="B2659" s="12"/>
      <c r="C2659" s="33"/>
      <c r="D2659" s="117" t="s">
        <v>548</v>
      </c>
      <c r="E2659" s="117"/>
      <c r="F2659" s="117"/>
      <c r="G2659" s="54" t="str">
        <f>IFERROR(VLOOKUP(F2638,'1to4-2.1-RR'!$A$12:$BG$111,37,0),"")</f>
        <v/>
      </c>
      <c r="H2659" s="54" t="str">
        <f>IFERROR(VLOOKUP(F2638,'1to4-2.1-RR'!$A$12:$BG$111,38,0),"")</f>
        <v/>
      </c>
      <c r="I2659" s="54" t="str">
        <f>IFERROR(VLOOKUP(F2638,'1to4-2.1-RR'!$A$12:$BG$111,39,0),"")</f>
        <v/>
      </c>
      <c r="J2659" s="54" t="str">
        <f>IFERROR(VLOOKUP(F2638,'1to4-2.1-RR'!$A$12:$BG$111,40,0),"")</f>
        <v/>
      </c>
      <c r="K2659" s="54" t="str">
        <f>IFERROR(VLOOKUP(F2638,'1to4-2.1-RR'!$A$12:$BG$111,41,0),"")</f>
        <v/>
      </c>
      <c r="L2659" s="55">
        <f t="shared" si="94"/>
        <v>0</v>
      </c>
      <c r="M2659" s="56" t="str">
        <f>IF(F2638&gt;ENTRY!$D$24,"",IF(L2659=0,"Ab",IF(L2659&gt;80,"A",IF(L2659&gt;60,"B",IF(L2659&gt;44,"C",IF(L2659&gt;=33,"D",IF(L2659&lt;=32,"E","")))))))</f>
        <v/>
      </c>
      <c r="N2659" s="56"/>
      <c r="O2659" s="29"/>
      <c r="P2659" s="19"/>
      <c r="Q2659" s="14"/>
      <c r="R2659" s="11"/>
    </row>
    <row r="2660" s="1" customFormat="1" ht="21.95" customHeight="1" spans="1:19">
      <c r="A2660" s="7"/>
      <c r="B2660" s="12"/>
      <c r="C2660" s="33"/>
      <c r="D2660" s="117" t="s">
        <v>549</v>
      </c>
      <c r="E2660" s="117"/>
      <c r="F2660" s="117"/>
      <c r="G2660" s="54" t="str">
        <f>IFERROR(VLOOKUP(F2638,'1to4-2.1-RR'!$A$12:$BG$111,44,0),"")</f>
        <v/>
      </c>
      <c r="H2660" s="54" t="str">
        <f>IFERROR(VLOOKUP(F2638,'1to4-2.1-RR'!$A$12:$BG$111,45,0),"")</f>
        <v/>
      </c>
      <c r="I2660" s="54" t="str">
        <f>IFERROR(VLOOKUP(F2638,'1to4-2.1-RR'!$A$12:$BG$111,46,0),"")</f>
        <v/>
      </c>
      <c r="J2660" s="54" t="str">
        <f>IFERROR(VLOOKUP(F2638,'1to4-2.1-RR'!$A$12:$BG$111,47,0),"")</f>
        <v/>
      </c>
      <c r="K2660" s="54" t="str">
        <f>IFERROR(VLOOKUP(F2638,'1to4-2.1-RR'!$A$12:$BG$111,48,0),"")</f>
        <v/>
      </c>
      <c r="L2660" s="55">
        <f t="shared" si="94"/>
        <v>0</v>
      </c>
      <c r="M2660" s="56" t="str">
        <f>IF(F2638&gt;ENTRY!$D$24,"",IF(L2660=0,"Ab",IF(L2660&gt;80,"A",IF(L2660&gt;60,"B",IF(L2660&gt;44,"C",IF(L2660&gt;=33,"D",IF(L2660&lt;=32,"E","")))))))</f>
        <v/>
      </c>
      <c r="N2660" s="56"/>
      <c r="O2660" s="29"/>
      <c r="P2660" s="19"/>
      <c r="Q2660" s="14"/>
      <c r="R2660" s="11"/>
    </row>
    <row r="2661" s="1" customFormat="1" ht="21.95" customHeight="1" spans="1:19">
      <c r="A2661" s="7"/>
      <c r="B2661" s="12"/>
      <c r="C2661" s="33"/>
      <c r="D2661" s="117" t="s">
        <v>720</v>
      </c>
      <c r="E2661" s="117"/>
      <c r="F2661" s="117"/>
      <c r="G2661" s="54"/>
      <c r="H2661" s="54"/>
      <c r="I2661" s="54"/>
      <c r="J2661" s="54"/>
      <c r="K2661" s="54"/>
      <c r="L2661" s="55">
        <f t="shared" si="94"/>
        <v>0</v>
      </c>
      <c r="M2661" s="56" t="str">
        <f>IF(F2638&gt;ENTRY!$D$24,"",IF(L2661=0,"",IF(L2661&gt;79,"A",IF(L2661&gt;59,"B",IF(L2661&gt;44,"C",IF(L2661&gt;=33,"D",IF(L2661&lt;=32,"E","")))))))</f>
        <v/>
      </c>
      <c r="N2661" s="56"/>
      <c r="O2661" s="29"/>
      <c r="P2661" s="19"/>
      <c r="Q2661" s="14"/>
      <c r="R2661" s="11"/>
    </row>
    <row r="2662" s="1" customFormat="1" ht="21.95" customHeight="1" spans="1:19">
      <c r="A2662" s="7"/>
      <c r="B2662" s="12"/>
      <c r="C2662" s="33"/>
      <c r="D2662" s="207" t="s">
        <v>382</v>
      </c>
      <c r="E2662" s="207"/>
      <c r="F2662" s="207"/>
      <c r="G2662" s="54">
        <f t="shared" ref="G2662:L2662" si="95">IFERROR(SUM(G2655:G2661),"")</f>
        <v>0</v>
      </c>
      <c r="H2662" s="54">
        <f t="shared" si="95"/>
        <v>0</v>
      </c>
      <c r="I2662" s="54">
        <f t="shared" si="95"/>
        <v>0</v>
      </c>
      <c r="J2662" s="54">
        <f t="shared" si="95"/>
        <v>0</v>
      </c>
      <c r="K2662" s="54">
        <f t="shared" si="95"/>
        <v>0</v>
      </c>
      <c r="L2662" s="55">
        <f t="shared" si="95"/>
        <v>0</v>
      </c>
      <c r="M2662" s="61" t="str">
        <f>IF(F2638&gt;ENTRY!$D$24,"",IF(N2663="Ab","Ab",IF(N2663&gt;79.5,"A",IF(N2663&gt;59.5,"B",IF(N2663&gt;44.5,"C",IF(N2663&gt;=33,"D",IF(N2663&lt;33,"E","")))))))</f>
        <v/>
      </c>
      <c r="N2662" s="61"/>
      <c r="O2662" s="29"/>
      <c r="P2662" s="19"/>
      <c r="Q2662" s="14"/>
      <c r="R2662" s="11"/>
    </row>
    <row r="2663" s="1" customFormat="1" ht="21.95" customHeight="1" spans="1:19">
      <c r="A2663" s="7"/>
      <c r="B2663" s="12"/>
      <c r="C2663" s="33"/>
      <c r="D2663" s="63" t="s">
        <v>721</v>
      </c>
      <c r="E2663" s="63"/>
      <c r="F2663" s="63"/>
      <c r="G2663" s="63"/>
      <c r="H2663" s="63"/>
      <c r="I2663" s="63"/>
      <c r="J2663" s="63"/>
      <c r="K2663" s="63"/>
      <c r="L2663" s="63"/>
      <c r="M2663" s="209"/>
      <c r="N2663" s="64">
        <f>IF(L2662="Ab","Ab",L2662/6)</f>
        <v>0</v>
      </c>
      <c r="O2663" s="65"/>
      <c r="P2663" s="19"/>
      <c r="Q2663" s="14"/>
      <c r="R2663" s="11"/>
    </row>
    <row r="2664" s="1" customFormat="1" ht="21.95" customHeight="1" spans="1:19">
      <c r="A2664" s="7"/>
      <c r="B2664" s="12"/>
      <c r="C2664" s="33"/>
      <c r="D2664" s="29" t="s">
        <v>716</v>
      </c>
      <c r="E2664" s="18" t="str">
        <f>IFERROR(VLOOKUP(F2638,'1to4-2.1-RR'!$A$12:$BG$111,57,0),"")</f>
        <v/>
      </c>
      <c r="F2664" s="18"/>
      <c r="G2664" s="18"/>
      <c r="H2664" s="18"/>
      <c r="I2664" s="18"/>
      <c r="J2664" s="18"/>
      <c r="K2664" s="18"/>
      <c r="L2664" s="18"/>
      <c r="M2664" s="18"/>
      <c r="N2664" s="29"/>
      <c r="O2664" s="29"/>
      <c r="P2664" s="19"/>
      <c r="Q2664" s="14"/>
      <c r="R2664" s="11"/>
    </row>
    <row r="2665" s="1" customFormat="1" ht="9.95" customHeight="1" spans="1:19">
      <c r="A2665" s="7"/>
      <c r="B2665" s="12"/>
      <c r="C2665" s="39"/>
      <c r="D2665" s="40"/>
      <c r="E2665" s="40"/>
      <c r="F2665" s="40"/>
      <c r="G2665" s="40"/>
      <c r="H2665" s="40"/>
      <c r="I2665" s="40"/>
      <c r="J2665" s="40"/>
      <c r="K2665" s="40"/>
      <c r="L2665" s="40"/>
      <c r="M2665" s="40"/>
      <c r="N2665" s="40"/>
      <c r="O2665" s="40"/>
      <c r="P2665" s="41"/>
      <c r="Q2665" s="14"/>
      <c r="R2665" s="11"/>
    </row>
    <row r="2666" s="1" customFormat="1" ht="9.95" customHeight="1" spans="1:19">
      <c r="A2666" s="7"/>
      <c r="B2666" s="12"/>
      <c r="C2666" s="30"/>
      <c r="D2666" s="31"/>
      <c r="E2666" s="31"/>
      <c r="F2666" s="29"/>
      <c r="G2666" s="31"/>
      <c r="H2666" s="31"/>
      <c r="I2666" s="31"/>
      <c r="J2666" s="31"/>
      <c r="K2666" s="31"/>
      <c r="L2666" s="31"/>
      <c r="M2666" s="31"/>
      <c r="N2666" s="31"/>
      <c r="O2666" s="31"/>
      <c r="P2666" s="32"/>
      <c r="Q2666" s="14"/>
      <c r="R2666" s="11"/>
    </row>
    <row r="2667" s="1" customFormat="1" ht="9.95" customHeight="1" spans="1:19">
      <c r="A2667" s="7"/>
      <c r="B2667" s="12"/>
      <c r="C2667" s="33"/>
      <c r="D2667" s="29"/>
      <c r="E2667" s="29"/>
      <c r="F2667" s="29"/>
      <c r="G2667" s="29"/>
      <c r="H2667" s="29"/>
      <c r="I2667" s="29"/>
      <c r="J2667" s="29"/>
      <c r="K2667" s="29"/>
      <c r="L2667" s="29"/>
      <c r="M2667" s="29"/>
      <c r="N2667" s="29"/>
      <c r="O2667" s="29"/>
      <c r="P2667" s="19"/>
      <c r="Q2667" s="14"/>
      <c r="R2667" s="11"/>
    </row>
    <row r="2668" s="1" customFormat="1" ht="9.95" customHeight="1" spans="1:19">
      <c r="A2668" s="7"/>
      <c r="B2668" s="12"/>
      <c r="C2668" s="33"/>
      <c r="D2668" s="29"/>
      <c r="E2668" s="29"/>
      <c r="F2668" s="29"/>
      <c r="G2668" s="29"/>
      <c r="H2668" s="29"/>
      <c r="I2668" s="29"/>
      <c r="J2668" s="29"/>
      <c r="K2668" s="29"/>
      <c r="L2668" s="29"/>
      <c r="M2668" s="29"/>
      <c r="N2668" s="29"/>
      <c r="O2668" s="29"/>
      <c r="P2668" s="19"/>
      <c r="Q2668" s="14"/>
      <c r="R2668" s="11"/>
    </row>
    <row r="2669" s="1" customFormat="1" ht="21.95" customHeight="1" spans="1:19">
      <c r="A2669" s="7"/>
      <c r="B2669" s="12"/>
      <c r="C2669" s="210"/>
      <c r="D2669" s="211"/>
      <c r="E2669" s="211"/>
      <c r="F2669" s="211"/>
      <c r="G2669" s="211"/>
      <c r="H2669" s="211"/>
      <c r="I2669" s="211"/>
      <c r="J2669" s="211"/>
      <c r="K2669" s="211"/>
      <c r="L2669" s="211"/>
      <c r="M2669" s="211"/>
      <c r="N2669" s="211"/>
      <c r="O2669" s="211"/>
      <c r="P2669" s="212"/>
      <c r="Q2669" s="14"/>
      <c r="R2669" s="11"/>
      <c r="S2669" s="2"/>
    </row>
    <row r="2670" s="1" customFormat="1" ht="21.95" customHeight="1" spans="1:19">
      <c r="A2670" s="7"/>
      <c r="B2670" s="12"/>
      <c r="C2670" s="33"/>
      <c r="D2670" s="207" t="s">
        <v>722</v>
      </c>
      <c r="E2670" s="207"/>
      <c r="F2670" s="207"/>
      <c r="G2670" s="207"/>
      <c r="H2670" s="54">
        <f>IFERROR(VLOOKUP(F2638,PASHEET!$A$4:$CJ$103,88,0),"")</f>
        <v>0</v>
      </c>
      <c r="I2670" s="54"/>
      <c r="J2670" s="29"/>
      <c r="K2670" s="29"/>
      <c r="L2670" s="29"/>
      <c r="M2670" s="29"/>
      <c r="N2670" s="29"/>
      <c r="O2670" s="29"/>
      <c r="P2670" s="19"/>
      <c r="Q2670" s="14"/>
      <c r="R2670" s="11"/>
    </row>
    <row r="2671" s="1" customFormat="1" ht="21.95" customHeight="1" spans="1:19">
      <c r="A2671" s="7"/>
      <c r="B2671" s="12"/>
      <c r="C2671" s="213"/>
      <c r="D2671" s="207" t="s">
        <v>723</v>
      </c>
      <c r="E2671" s="207"/>
      <c r="F2671" s="207"/>
      <c r="G2671" s="207"/>
      <c r="H2671" s="54">
        <f>IFERROR(VLOOKUP(F2638,PASHEET!$A$4:$CJ$103,87,0),"")</f>
        <v>0</v>
      </c>
      <c r="I2671" s="54"/>
      <c r="J2671" s="214"/>
      <c r="K2671" s="214"/>
      <c r="L2671" s="207" t="s">
        <v>724</v>
      </c>
      <c r="M2671" s="207"/>
      <c r="N2671" s="117" t="str">
        <f>IF(F2638&gt;ENTRY!$D$24,"",IF(F2638&gt;0,L2662&amp;" / "&amp;600,""))</f>
        <v/>
      </c>
      <c r="O2671" s="117"/>
      <c r="P2671" s="215"/>
      <c r="Q2671" s="14"/>
      <c r="R2671" s="11"/>
    </row>
    <row r="2672" s="1" customFormat="1" ht="18" customHeight="1" spans="1:19">
      <c r="A2672" s="7"/>
      <c r="B2672" s="12"/>
      <c r="C2672" s="33"/>
      <c r="D2672" s="207" t="s">
        <v>725</v>
      </c>
      <c r="E2672" s="207"/>
      <c r="F2672" s="207"/>
      <c r="G2672" s="207"/>
      <c r="H2672" s="69" t="str">
        <f>IFERROR(IF(F2638&gt;0,H2671/H2670*100),"")</f>
        <v/>
      </c>
      <c r="I2672" s="69"/>
      <c r="J2672" s="29"/>
      <c r="K2672" s="29"/>
      <c r="L2672" s="207" t="s">
        <v>726</v>
      </c>
      <c r="M2672" s="207"/>
      <c r="N2672" s="216" t="str">
        <f>IF(F2638&gt;ENTRY!$D$24,"",IF(F2638&gt;0,L2662/600*100,""))</f>
        <v/>
      </c>
      <c r="O2672" s="216"/>
      <c r="P2672" s="19"/>
      <c r="Q2672" s="14"/>
      <c r="R2672" s="11"/>
    </row>
    <row r="2673" s="1" customFormat="1" ht="21.95" customHeight="1" spans="1:18">
      <c r="A2673" s="7"/>
      <c r="B2673" s="12"/>
      <c r="C2673" s="33"/>
      <c r="D2673" s="80"/>
      <c r="E2673" s="80"/>
      <c r="F2673" s="217"/>
      <c r="G2673" s="217"/>
      <c r="H2673" s="217"/>
      <c r="I2673" s="217"/>
      <c r="J2673" s="217"/>
      <c r="K2673" s="217"/>
      <c r="L2673" s="217"/>
      <c r="M2673" s="217"/>
      <c r="N2673" s="80"/>
      <c r="O2673" s="80"/>
      <c r="P2673" s="19"/>
      <c r="Q2673" s="14"/>
      <c r="R2673" s="11"/>
    </row>
    <row r="2674" s="1" customFormat="1" ht="21.95" customHeight="1" spans="1:18">
      <c r="A2674" s="7"/>
      <c r="B2674" s="12"/>
      <c r="C2674" s="33"/>
      <c r="D2674" s="80"/>
      <c r="E2674" s="218"/>
      <c r="F2674" s="218"/>
      <c r="G2674" s="218"/>
      <c r="H2674" s="80"/>
      <c r="I2674" s="218"/>
      <c r="J2674" s="218"/>
      <c r="K2674" s="218"/>
      <c r="L2674" s="218"/>
      <c r="M2674" s="80"/>
      <c r="N2674" s="219"/>
      <c r="O2674" s="219"/>
      <c r="P2674" s="19"/>
      <c r="Q2674" s="14"/>
      <c r="R2674" s="11"/>
    </row>
    <row r="2675" s="1" customFormat="1" ht="21.95" customHeight="1" spans="1:18">
      <c r="A2675" s="7"/>
      <c r="B2675" s="12"/>
      <c r="C2675" s="33"/>
      <c r="D2675" s="80"/>
      <c r="E2675" s="80"/>
      <c r="F2675" s="80"/>
      <c r="G2675" s="80"/>
      <c r="H2675" s="80"/>
      <c r="I2675" s="80"/>
      <c r="J2675" s="80"/>
      <c r="K2675" s="80"/>
      <c r="L2675" s="80"/>
      <c r="M2675" s="80"/>
      <c r="N2675" s="80"/>
      <c r="O2675" s="80"/>
      <c r="P2675" s="19"/>
      <c r="Q2675" s="14"/>
      <c r="R2675" s="11"/>
    </row>
    <row r="2676" s="1" customFormat="1" ht="21.95" customHeight="1" spans="1:18">
      <c r="A2676" s="7"/>
      <c r="B2676" s="12"/>
      <c r="C2676" s="33"/>
      <c r="D2676" s="218"/>
      <c r="E2676" s="218"/>
      <c r="F2676" s="218"/>
      <c r="G2676" s="218"/>
      <c r="H2676" s="218"/>
      <c r="I2676" s="218"/>
      <c r="J2676" s="218"/>
      <c r="K2676" s="218"/>
      <c r="L2676" s="218"/>
      <c r="M2676" s="80"/>
      <c r="N2676" s="217"/>
      <c r="O2676" s="217"/>
      <c r="P2676" s="85" t="s">
        <v>727</v>
      </c>
      <c r="Q2676" s="14"/>
      <c r="R2676" s="11"/>
    </row>
    <row r="2677" s="1" customFormat="1" ht="21.95" customHeight="1" spans="1:18">
      <c r="A2677" s="7"/>
      <c r="B2677" s="12"/>
      <c r="C2677" s="33"/>
      <c r="D2677" s="29"/>
      <c r="E2677" s="29"/>
      <c r="F2677" s="29"/>
      <c r="G2677" s="29"/>
      <c r="H2677" s="29"/>
      <c r="I2677" s="29"/>
      <c r="J2677" s="29"/>
      <c r="K2677" s="29"/>
      <c r="L2677" s="29"/>
      <c r="M2677" s="29"/>
      <c r="N2677" s="29"/>
      <c r="O2677" s="29"/>
      <c r="P2677" s="19"/>
      <c r="Q2677" s="14"/>
      <c r="R2677" s="11"/>
    </row>
    <row r="2678" s="1" customFormat="1" ht="21.95" customHeight="1" spans="1:18">
      <c r="A2678" s="7"/>
      <c r="B2678" s="12"/>
      <c r="C2678" s="33"/>
      <c r="D2678" s="29"/>
      <c r="E2678" s="29"/>
      <c r="F2678" s="29"/>
      <c r="G2678" s="29"/>
      <c r="H2678" s="29"/>
      <c r="I2678" s="29"/>
      <c r="J2678" s="29"/>
      <c r="K2678" s="29"/>
      <c r="L2678" s="29"/>
      <c r="M2678" s="29"/>
      <c r="N2678" s="29"/>
      <c r="O2678" s="29"/>
      <c r="P2678" s="19"/>
      <c r="Q2678" s="14"/>
      <c r="R2678" s="11"/>
    </row>
    <row r="2679" s="1" customFormat="1" ht="21.95" customHeight="1" spans="1:18">
      <c r="A2679" s="7"/>
      <c r="B2679" s="12"/>
      <c r="C2679" s="33"/>
      <c r="D2679" s="29"/>
      <c r="E2679" s="29"/>
      <c r="F2679" s="29"/>
      <c r="G2679" s="29"/>
      <c r="H2679" s="29"/>
      <c r="I2679" s="29"/>
      <c r="J2679" s="29"/>
      <c r="K2679" s="29"/>
      <c r="L2679" s="29"/>
      <c r="M2679" s="29"/>
      <c r="N2679" s="29"/>
      <c r="O2679" s="29"/>
      <c r="P2679" s="19"/>
      <c r="Q2679" s="14"/>
      <c r="R2679" s="11"/>
    </row>
    <row r="2680" s="1" customFormat="1" ht="21.95" customHeight="1" spans="1:18">
      <c r="A2680" s="7"/>
      <c r="B2680" s="12"/>
      <c r="C2680" s="33"/>
      <c r="D2680" s="29"/>
      <c r="E2680" s="29"/>
      <c r="F2680" s="29"/>
      <c r="G2680" s="29"/>
      <c r="H2680" s="29"/>
      <c r="I2680" s="29"/>
      <c r="J2680" s="29"/>
      <c r="K2680" s="29"/>
      <c r="L2680" s="29"/>
      <c r="M2680" s="29"/>
      <c r="N2680" s="29"/>
      <c r="O2680" s="29"/>
      <c r="P2680" s="19"/>
      <c r="Q2680" s="14"/>
      <c r="R2680" s="11"/>
    </row>
    <row r="2681" s="1" customFormat="1" ht="21.95" customHeight="1" spans="1:18">
      <c r="A2681" s="7"/>
      <c r="B2681" s="12"/>
      <c r="C2681" s="33"/>
      <c r="D2681" s="29"/>
      <c r="E2681" s="29"/>
      <c r="F2681" s="29"/>
      <c r="G2681" s="29"/>
      <c r="H2681" s="29"/>
      <c r="I2681" s="29"/>
      <c r="J2681" s="29"/>
      <c r="K2681" s="29"/>
      <c r="L2681" s="29"/>
      <c r="M2681" s="29"/>
      <c r="N2681" s="29"/>
      <c r="O2681" s="29"/>
      <c r="P2681" s="19"/>
      <c r="Q2681" s="14"/>
      <c r="R2681" s="11"/>
    </row>
    <row r="2682" s="1" customFormat="1" ht="21.95" customHeight="1" spans="1:18">
      <c r="A2682" s="7"/>
      <c r="B2682" s="12"/>
      <c r="C2682" s="33"/>
      <c r="D2682" s="80" t="s">
        <v>728</v>
      </c>
      <c r="E2682" s="220">
        <f>ENTRY!$D$27</f>
        <v>46102</v>
      </c>
      <c r="F2682" s="220"/>
      <c r="G2682" s="29"/>
      <c r="H2682" s="29"/>
      <c r="I2682" s="221" t="s">
        <v>729</v>
      </c>
      <c r="J2682" s="153"/>
      <c r="K2682" s="29"/>
      <c r="L2682" s="29"/>
      <c r="M2682" s="87" t="s">
        <v>730</v>
      </c>
      <c r="N2682" s="87"/>
      <c r="O2682" s="87"/>
      <c r="P2682" s="19"/>
      <c r="Q2682" s="14"/>
      <c r="R2682" s="11"/>
    </row>
    <row r="2683" s="1" customFormat="1" ht="21.95" customHeight="1" spans="1:18">
      <c r="A2683" s="7"/>
      <c r="B2683" s="12"/>
      <c r="C2683" s="33"/>
      <c r="D2683" s="80" t="s">
        <v>731</v>
      </c>
      <c r="E2683" s="88" t="str">
        <f>PROPER(ENTRY!$D$28)</f>
        <v>New Delhi</v>
      </c>
      <c r="F2683" s="88"/>
      <c r="G2683" s="29"/>
      <c r="H2683" s="29"/>
      <c r="I2683" s="153"/>
      <c r="J2683" s="153"/>
      <c r="K2683" s="29"/>
      <c r="L2683" s="29"/>
      <c r="M2683" s="79" t="s">
        <v>732</v>
      </c>
      <c r="N2683" s="79"/>
      <c r="O2683" s="79"/>
      <c r="P2683" s="19"/>
      <c r="Q2683" s="14"/>
      <c r="R2683" s="11"/>
    </row>
    <row r="2684" s="1" customFormat="1" ht="21.95" customHeight="1" spans="1:18">
      <c r="A2684" s="7"/>
      <c r="B2684" s="12"/>
      <c r="C2684" s="90"/>
      <c r="D2684" s="91"/>
      <c r="E2684" s="91"/>
      <c r="F2684" s="91"/>
      <c r="G2684" s="91"/>
      <c r="H2684" s="91"/>
      <c r="I2684" s="91"/>
      <c r="J2684" s="91"/>
      <c r="K2684" s="91"/>
      <c r="L2684" s="91"/>
      <c r="M2684" s="91"/>
      <c r="N2684" s="91"/>
      <c r="O2684" s="91"/>
      <c r="P2684" s="92"/>
      <c r="Q2684" s="14"/>
      <c r="R2684" s="11"/>
    </row>
    <row r="2685" s="1" customFormat="1" ht="5.1" customHeight="1" spans="1:18">
      <c r="A2685" s="7"/>
      <c r="B2685" s="90"/>
      <c r="C2685" s="91"/>
      <c r="D2685" s="91"/>
      <c r="E2685" s="91"/>
      <c r="F2685" s="91"/>
      <c r="G2685" s="91"/>
      <c r="H2685" s="91"/>
      <c r="I2685" s="91"/>
      <c r="J2685" s="91"/>
      <c r="K2685" s="91"/>
      <c r="L2685" s="91"/>
      <c r="M2685" s="91"/>
      <c r="N2685" s="91"/>
      <c r="O2685" s="91"/>
      <c r="P2685" s="91"/>
      <c r="Q2685" s="92"/>
      <c r="R2685" s="11"/>
    </row>
    <row r="2686" s="1" customFormat="1" ht="5.1" customHeight="1" spans="1:18">
      <c r="A2686" s="93"/>
      <c r="B2686" s="94"/>
      <c r="C2686" s="94"/>
      <c r="D2686" s="94"/>
      <c r="E2686" s="94"/>
      <c r="F2686" s="94"/>
      <c r="G2686" s="94"/>
      <c r="H2686" s="94"/>
      <c r="I2686" s="94"/>
      <c r="J2686" s="94"/>
      <c r="K2686" s="94"/>
      <c r="L2686" s="94"/>
      <c r="M2686" s="94"/>
      <c r="N2686" s="94"/>
      <c r="O2686" s="94"/>
      <c r="P2686" s="94"/>
      <c r="Q2686" s="94"/>
      <c r="R2686" s="95"/>
    </row>
    <row r="2687" s="1" customFormat="1" ht="21.95" customHeight="1"/>
    <row r="2688" ht="15.15"/>
    <row r="2689" s="1" customFormat="1" ht="5.1" customHeight="1" spans="1:18">
      <c r="A2689" s="4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  <c r="O2689" s="5"/>
      <c r="P2689" s="5"/>
      <c r="Q2689" s="5"/>
      <c r="R2689" s="6"/>
    </row>
    <row r="2690" s="1" customFormat="1" ht="15" customHeight="1" spans="1:18">
      <c r="A2690" s="7"/>
      <c r="B2690" s="8"/>
      <c r="C2690" s="9"/>
      <c r="D2690" s="9"/>
      <c r="E2690" s="9"/>
      <c r="F2690" s="9"/>
      <c r="G2690" s="9"/>
      <c r="H2690" s="9"/>
      <c r="I2690" s="9"/>
      <c r="J2690" s="9"/>
      <c r="K2690" s="9"/>
      <c r="L2690" s="9"/>
      <c r="M2690" s="9"/>
      <c r="N2690" s="9"/>
      <c r="O2690" s="9"/>
      <c r="P2690" s="9"/>
      <c r="Q2690" s="10"/>
      <c r="R2690" s="11"/>
    </row>
    <row r="2691" s="1" customFormat="1" ht="21.95" customHeight="1" spans="1:18">
      <c r="A2691" s="7"/>
      <c r="B2691" s="12"/>
      <c r="C2691" s="13" t="s">
        <v>7</v>
      </c>
      <c r="D2691" s="13"/>
      <c r="E2691" s="13"/>
      <c r="F2691" s="13"/>
      <c r="G2691" s="13"/>
      <c r="H2691" s="13"/>
      <c r="I2691" s="13"/>
      <c r="J2691" s="13"/>
      <c r="K2691" s="13"/>
      <c r="L2691" s="13"/>
      <c r="M2691" s="13"/>
      <c r="N2691" s="13"/>
      <c r="O2691" s="13"/>
      <c r="P2691" s="13"/>
      <c r="Q2691" s="14"/>
      <c r="R2691" s="11"/>
    </row>
    <row r="2692" s="1" customFormat="1" ht="21.95" customHeight="1" spans="1:18">
      <c r="A2692" s="7"/>
      <c r="B2692" s="1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14"/>
      <c r="R2692" s="11"/>
    </row>
    <row r="2693" s="1" customFormat="1" ht="21.95" customHeight="1" spans="1:18">
      <c r="A2693" s="7"/>
      <c r="B2693" s="12"/>
      <c r="C2693" s="15" t="str">
        <f>"SESSION-"&amp;ENTRY!$D$11</f>
        <v>SESSION-2026-27</v>
      </c>
      <c r="D2693" s="15"/>
      <c r="E2693" s="15"/>
      <c r="F2693" s="15"/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4"/>
      <c r="R2693" s="11"/>
    </row>
    <row r="2694" s="1" customFormat="1" ht="21.95" customHeight="1" spans="1:18">
      <c r="A2694" s="7"/>
      <c r="B2694" s="12"/>
      <c r="C2694" s="2"/>
      <c r="D2694" s="2"/>
      <c r="E2694" s="2"/>
      <c r="F2694" s="16">
        <f>F2638+1</f>
        <v>49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14"/>
      <c r="R2694" s="11"/>
    </row>
    <row r="2695" s="1" customFormat="1" ht="21.95" customHeight="1" spans="1:18">
      <c r="A2695" s="7"/>
      <c r="B2695" s="12"/>
      <c r="C2695" s="17" t="s">
        <v>392</v>
      </c>
      <c r="D2695" s="17"/>
      <c r="E2695" s="17"/>
      <c r="F2695" s="18" t="str">
        <f>IF(F2694&gt;0,ENTRY!$D$6,"")</f>
        <v>MCP NITHARI NO 1 BOYS</v>
      </c>
      <c r="G2695" s="18"/>
      <c r="H2695" s="18"/>
      <c r="I2695" s="18"/>
      <c r="J2695" s="18"/>
      <c r="K2695" s="18"/>
      <c r="L2695" s="18"/>
      <c r="M2695" s="18"/>
      <c r="N2695" s="18"/>
      <c r="O2695" s="18"/>
      <c r="P2695" s="18"/>
      <c r="Q2695" s="14"/>
      <c r="R2695" s="11"/>
    </row>
    <row r="2696" s="1" customFormat="1" ht="21.95" customHeight="1" spans="1:18">
      <c r="A2696" s="7"/>
      <c r="B2696" s="12"/>
      <c r="C2696" s="17" t="s">
        <v>393</v>
      </c>
      <c r="D2696" s="17"/>
      <c r="E2696" s="17"/>
      <c r="F2696" s="18">
        <f>IF(F2694&gt;0,ENTRY!$D$7,"")</f>
        <v>0</v>
      </c>
      <c r="G2696" s="18"/>
      <c r="H2696" s="20" t="s">
        <v>702</v>
      </c>
      <c r="I2696" s="20"/>
      <c r="J2696" s="21">
        <f>IF(F2694&gt;0,ENTRY!$D$10,"")</f>
        <v>40</v>
      </c>
      <c r="K2696" s="20" t="s">
        <v>703</v>
      </c>
      <c r="L2696" s="22" t="str">
        <f>IF(F2694&gt;0,ENTRY!$D$5,"")</f>
        <v>ROHINI ZONE</v>
      </c>
      <c r="M2696" s="22"/>
      <c r="N2696" s="22"/>
      <c r="O2696" s="22"/>
      <c r="P2696" s="22"/>
      <c r="Q2696" s="14"/>
      <c r="R2696" s="11"/>
    </row>
    <row r="2697" s="1" customFormat="1" ht="21.95" customHeight="1" spans="1:18">
      <c r="A2697" s="7"/>
      <c r="B2697" s="12"/>
      <c r="C2697" s="17" t="s">
        <v>706</v>
      </c>
      <c r="D2697" s="17"/>
      <c r="E2697" s="17"/>
      <c r="F2697" s="23">
        <f>IFERROR(VLOOKUP(F2694,STUDENT!$A$2:$BP$101,5,0),"")</f>
        <v>0</v>
      </c>
      <c r="G2697" s="23"/>
      <c r="H2697" s="23"/>
      <c r="I2697" s="23"/>
      <c r="J2697" s="23"/>
      <c r="K2697" s="23"/>
      <c r="L2697" s="20" t="s">
        <v>707</v>
      </c>
      <c r="M2697" s="20"/>
      <c r="N2697" s="24" t="str">
        <f>IF(F2694&gt;0,ENTRY!$D$20&amp;"-"&amp;ENTRY!$D$21,"")</f>
        <v>III-A</v>
      </c>
      <c r="O2697" s="24"/>
      <c r="P2697" s="24"/>
      <c r="Q2697" s="14"/>
      <c r="R2697" s="11"/>
    </row>
    <row r="2698" s="1" customFormat="1" ht="21.95" customHeight="1" spans="1:18">
      <c r="A2698" s="7"/>
      <c r="B2698" s="12"/>
      <c r="C2698" s="17" t="s">
        <v>708</v>
      </c>
      <c r="D2698" s="17"/>
      <c r="E2698" s="17"/>
      <c r="F2698" s="25">
        <f>IFERROR(VLOOKUP(F2694,STUDENT!$A$2:$BP$101,6,0),"")</f>
        <v>0</v>
      </c>
      <c r="G2698" s="25"/>
      <c r="H2698" s="26" t="s">
        <v>709</v>
      </c>
      <c r="I2698" s="27" t="str">
        <f>IFERROR(VLOOKUP(F2694,STUDENT!$A$2:$BP$101,59,0),"")</f>
        <v/>
      </c>
      <c r="J2698" s="27"/>
      <c r="K2698" s="20" t="s">
        <v>710</v>
      </c>
      <c r="L2698" s="20"/>
      <c r="M2698" s="28">
        <f>IFERROR(VLOOKUP(F2694,STUDENT!$A$2:$BP$101,20,0),"")</f>
        <v>0</v>
      </c>
      <c r="N2698" s="28"/>
      <c r="O2698" s="28"/>
      <c r="P2698" s="28"/>
      <c r="Q2698" s="14"/>
      <c r="R2698" s="11"/>
    </row>
    <row r="2699" s="1" customFormat="1" ht="21.95" customHeight="1" spans="1:18">
      <c r="A2699" s="7"/>
      <c r="B2699" s="12"/>
      <c r="C2699" s="17" t="s">
        <v>711</v>
      </c>
      <c r="D2699" s="17"/>
      <c r="E2699" s="17"/>
      <c r="F2699" s="23">
        <f>IFERROR(VLOOKUP(F2694,STUDENT!$A$2:$BP$101,9,0),"")</f>
        <v>0</v>
      </c>
      <c r="G2699" s="23"/>
      <c r="H2699" s="23"/>
      <c r="I2699" s="23"/>
      <c r="J2699" s="17" t="s">
        <v>620</v>
      </c>
      <c r="K2699" s="17"/>
      <c r="L2699" s="23">
        <f>IFERROR(VLOOKUP(F2694,STUDENT!$A$2:$BP$101,8,0),"")</f>
        <v>0</v>
      </c>
      <c r="M2699" s="23"/>
      <c r="N2699" s="23"/>
      <c r="O2699" s="23"/>
      <c r="P2699" s="23"/>
      <c r="Q2699" s="14"/>
      <c r="R2699" s="11"/>
    </row>
    <row r="2700" s="1" customFormat="1" ht="21.95" customHeight="1" spans="1:18">
      <c r="A2700" s="7"/>
      <c r="B2700" s="12"/>
      <c r="C2700" s="17" t="s">
        <v>712</v>
      </c>
      <c r="D2700" s="17"/>
      <c r="E2700" s="17"/>
      <c r="F2700" s="23">
        <f>IFERROR(VLOOKUP(F2694,STUDENT!$A$2:$BP$101,22,0),"")</f>
        <v>0</v>
      </c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14"/>
      <c r="R2700" s="11"/>
    </row>
    <row r="2701" s="1" customFormat="1" ht="9.95" customHeight="1" spans="1:18">
      <c r="A2701" s="7"/>
      <c r="B2701" s="12"/>
      <c r="C2701" s="29"/>
      <c r="D2701" s="29"/>
      <c r="E2701" s="29"/>
      <c r="F2701" s="29"/>
      <c r="G2701" s="29"/>
      <c r="H2701" s="29"/>
      <c r="I2701" s="29"/>
      <c r="J2701" s="29"/>
      <c r="K2701" s="29"/>
      <c r="L2701" s="29"/>
      <c r="M2701" s="29"/>
      <c r="N2701" s="29"/>
      <c r="O2701" s="29"/>
      <c r="P2701" s="29"/>
      <c r="Q2701" s="14"/>
      <c r="R2701" s="11"/>
    </row>
    <row r="2702" s="1" customFormat="1" ht="9.95" customHeight="1" spans="1:18">
      <c r="A2702" s="7"/>
      <c r="B2702" s="12"/>
      <c r="C2702" s="30"/>
      <c r="D2702" s="31"/>
      <c r="E2702" s="31"/>
      <c r="F2702" s="31"/>
      <c r="G2702" s="31"/>
      <c r="H2702" s="31"/>
      <c r="I2702" s="31"/>
      <c r="J2702" s="31"/>
      <c r="K2702" s="31"/>
      <c r="L2702" s="31"/>
      <c r="M2702" s="31"/>
      <c r="N2702" s="31"/>
      <c r="O2702" s="31"/>
      <c r="P2702" s="32"/>
      <c r="Q2702" s="14"/>
      <c r="R2702" s="11"/>
    </row>
    <row r="2703" s="1" customFormat="1" ht="21.95" customHeight="1" spans="1:18">
      <c r="A2703" s="7"/>
      <c r="B2703" s="12"/>
      <c r="C2703" s="33"/>
      <c r="D2703" s="34" t="s">
        <v>713</v>
      </c>
      <c r="E2703" s="20" t="s">
        <v>714</v>
      </c>
      <c r="F2703" s="35" t="str">
        <f>"Level - "&amp;IFERROR(VLOOKUP(F2694,FLN!$A$4:$K$103,9,0),"")</f>
        <v>Level - </v>
      </c>
      <c r="G2703" s="36"/>
      <c r="H2703" s="37" t="s">
        <v>715</v>
      </c>
      <c r="I2703" s="20"/>
      <c r="J2703" s="35" t="str">
        <f>"Level - "&amp;IFERROR(VLOOKUP(F2694,FLN!$A$4:$K$103,11,0),"")</f>
        <v>Level - </v>
      </c>
      <c r="K2703" s="36"/>
      <c r="L2703" s="37" t="s">
        <v>408</v>
      </c>
      <c r="M2703" s="20"/>
      <c r="N2703" s="35" t="str">
        <f>"Level - "&amp;IFERROR(VLOOKUP(F2694,FLN!$A$4:$K$103,10,0),"")</f>
        <v>Level - </v>
      </c>
      <c r="O2703" s="36"/>
      <c r="P2703" s="19"/>
      <c r="Q2703" s="14"/>
      <c r="R2703" s="11"/>
    </row>
    <row r="2704" s="1" customFormat="1" ht="21.95" customHeight="1" spans="1:18">
      <c r="A2704" s="7"/>
      <c r="B2704" s="12"/>
      <c r="C2704" s="33"/>
      <c r="D2704" s="38"/>
      <c r="E2704" s="20" t="s">
        <v>716</v>
      </c>
      <c r="F2704" s="18" t="str">
        <f>IF(L2718&gt;197,"PERFORMED WELL","")</f>
        <v/>
      </c>
      <c r="G2704" s="18"/>
      <c r="H2704" s="18"/>
      <c r="I2704" s="18"/>
      <c r="J2704" s="18"/>
      <c r="K2704" s="18"/>
      <c r="L2704" s="18"/>
      <c r="M2704" s="18"/>
      <c r="N2704" s="18"/>
      <c r="O2704" s="18"/>
      <c r="P2704" s="19"/>
      <c r="Q2704" s="14"/>
      <c r="R2704" s="11"/>
    </row>
    <row r="2705" s="1" customFormat="1" ht="9.95" customHeight="1" spans="1:18">
      <c r="A2705" s="7"/>
      <c r="B2705" s="12"/>
      <c r="C2705" s="39"/>
      <c r="D2705" s="40"/>
      <c r="E2705" s="40"/>
      <c r="F2705" s="40"/>
      <c r="G2705" s="40"/>
      <c r="H2705" s="40"/>
      <c r="I2705" s="40"/>
      <c r="J2705" s="40"/>
      <c r="K2705" s="40"/>
      <c r="L2705" s="40"/>
      <c r="M2705" s="40"/>
      <c r="N2705" s="40"/>
      <c r="O2705" s="40"/>
      <c r="P2705" s="41"/>
      <c r="Q2705" s="14"/>
      <c r="R2705" s="11"/>
    </row>
    <row r="2706" s="1" customFormat="1" ht="9.95" customHeight="1" spans="1:18">
      <c r="A2706" s="7"/>
      <c r="B2706" s="12"/>
      <c r="C2706" s="29"/>
      <c r="D2706" s="29"/>
      <c r="E2706" s="29"/>
      <c r="F2706" s="29"/>
      <c r="G2706" s="29"/>
      <c r="H2706" s="29"/>
      <c r="I2706" s="29"/>
      <c r="J2706" s="29"/>
      <c r="K2706" s="29"/>
      <c r="L2706" s="29"/>
      <c r="M2706" s="29"/>
      <c r="N2706" s="29"/>
      <c r="O2706" s="29"/>
      <c r="P2706" s="29"/>
      <c r="Q2706" s="14"/>
      <c r="R2706" s="11"/>
    </row>
    <row r="2707" s="1" customFormat="1" ht="9.95" customHeight="1" spans="1:18">
      <c r="A2707" s="7"/>
      <c r="B2707" s="12"/>
      <c r="C2707" s="30"/>
      <c r="D2707" s="31"/>
      <c r="E2707" s="31"/>
      <c r="F2707" s="31"/>
      <c r="G2707" s="31"/>
      <c r="H2707" s="31"/>
      <c r="I2707" s="31"/>
      <c r="J2707" s="31"/>
      <c r="K2707" s="31"/>
      <c r="L2707" s="31"/>
      <c r="M2707" s="31"/>
      <c r="N2707" s="31"/>
      <c r="O2707" s="31"/>
      <c r="P2707" s="32"/>
      <c r="Q2707" s="14"/>
      <c r="R2707" s="11"/>
    </row>
    <row r="2708" s="1" customFormat="1" ht="21.95" customHeight="1" spans="1:18">
      <c r="A2708" s="7"/>
      <c r="B2708" s="12"/>
      <c r="C2708" s="33"/>
      <c r="D2708" s="35"/>
      <c r="E2708" s="24"/>
      <c r="F2708" s="24"/>
      <c r="G2708" s="47" t="s">
        <v>717</v>
      </c>
      <c r="H2708" s="47"/>
      <c r="I2708" s="47"/>
      <c r="J2708" s="47"/>
      <c r="K2708" s="47"/>
      <c r="L2708" s="47"/>
      <c r="M2708" s="47"/>
      <c r="N2708" s="47"/>
      <c r="O2708" s="29"/>
      <c r="P2708" s="19"/>
      <c r="Q2708" s="14"/>
      <c r="R2708" s="11"/>
    </row>
    <row r="2709" s="1" customFormat="1" ht="21.95" customHeight="1" spans="1:18">
      <c r="A2709" s="7"/>
      <c r="B2709" s="12"/>
      <c r="C2709" s="33"/>
      <c r="D2709" s="47"/>
      <c r="E2709" s="47"/>
      <c r="F2709" s="47"/>
      <c r="G2709" s="47" t="s">
        <v>541</v>
      </c>
      <c r="H2709" s="47" t="s">
        <v>542</v>
      </c>
      <c r="I2709" s="47" t="s">
        <v>543</v>
      </c>
      <c r="J2709" s="47" t="s">
        <v>544</v>
      </c>
      <c r="K2709" s="47" t="s">
        <v>561</v>
      </c>
      <c r="L2709" s="47" t="s">
        <v>382</v>
      </c>
      <c r="M2709" s="49" t="s">
        <v>546</v>
      </c>
      <c r="N2709" s="49"/>
      <c r="O2709" s="29"/>
      <c r="P2709" s="19"/>
      <c r="Q2709" s="14"/>
      <c r="R2709" s="11"/>
    </row>
    <row r="2710" s="1" customFormat="1" ht="21.95" customHeight="1" spans="1:18">
      <c r="A2710" s="7"/>
      <c r="B2710" s="12"/>
      <c r="C2710" s="33"/>
      <c r="D2710" s="207" t="s">
        <v>652</v>
      </c>
      <c r="E2710" s="207"/>
      <c r="F2710" s="207"/>
      <c r="G2710" s="50">
        <v>10</v>
      </c>
      <c r="H2710" s="50">
        <v>10</v>
      </c>
      <c r="I2710" s="50">
        <v>10</v>
      </c>
      <c r="J2710" s="50">
        <v>10</v>
      </c>
      <c r="K2710" s="50">
        <v>60</v>
      </c>
      <c r="L2710" s="50">
        <v>100</v>
      </c>
      <c r="M2710" s="49"/>
      <c r="N2710" s="49"/>
      <c r="O2710" s="29"/>
      <c r="P2710" s="19"/>
      <c r="Q2710" s="14"/>
      <c r="R2710" s="11"/>
    </row>
    <row r="2711" s="1" customFormat="1" ht="21.95" customHeight="1" spans="1:18">
      <c r="A2711" s="7"/>
      <c r="B2711" s="12"/>
      <c r="C2711" s="33"/>
      <c r="D2711" s="117" t="s">
        <v>668</v>
      </c>
      <c r="E2711" s="117"/>
      <c r="F2711" s="117"/>
      <c r="G2711" s="54" t="str">
        <f>IFERROR(VLOOKUP(F2694,'1to4-2.1-RR'!$A$12:$BG$111,9,0),"")</f>
        <v/>
      </c>
      <c r="H2711" s="54" t="str">
        <f>IFERROR(VLOOKUP(F2694,'1to4-2.1-RR'!$A$12:$BG$111,10,0),"")</f>
        <v/>
      </c>
      <c r="I2711" s="54" t="str">
        <f>IFERROR(VLOOKUP(F2694,'1to4-2.1-RR'!$A$12:$BG$111,11,0),"")</f>
        <v/>
      </c>
      <c r="J2711" s="54" t="str">
        <f>IFERROR(VLOOKUP(F2694,'1to4-2.1-RR'!$A$12:$BG$111,12,0),"")</f>
        <v/>
      </c>
      <c r="K2711" s="54" t="str">
        <f>IFERROR(VLOOKUP(F2694,'1to4-2.1-RR'!$A$12:$BG$111,13,0),"")</f>
        <v/>
      </c>
      <c r="L2711" s="55">
        <f>SUM(G2711:K2711)</f>
        <v>0</v>
      </c>
      <c r="M2711" s="56" t="str">
        <f>IF(F2694&gt;ENTRY!$D$24,"",IF(L2711=0,"Ab",IF(L2711&gt;80,"A",IF(L2711&gt;60,"B",IF(L2711&gt;44,"C",IF(L2711&gt;=33,"D",IF(L2711&lt;=32,"E","")))))))</f>
        <v/>
      </c>
      <c r="N2711" s="56"/>
      <c r="O2711" s="29"/>
      <c r="P2711" s="19"/>
      <c r="Q2711" s="14"/>
      <c r="R2711" s="11"/>
    </row>
    <row r="2712" s="1" customFormat="1" ht="21.95" customHeight="1" spans="1:18">
      <c r="A2712" s="7"/>
      <c r="B2712" s="12"/>
      <c r="C2712" s="33"/>
      <c r="D2712" s="117" t="s">
        <v>513</v>
      </c>
      <c r="E2712" s="117"/>
      <c r="F2712" s="117"/>
      <c r="G2712" s="54" t="str">
        <f>IFERROR(VLOOKUP(F2694,'1to4-2.1-RR'!$A$12:$BG$111,16,0),"")</f>
        <v/>
      </c>
      <c r="H2712" s="54" t="str">
        <f>IFERROR(VLOOKUP(F2694,'1to4-2.1-RR'!$A$12:$BG$111,17,0),"")</f>
        <v/>
      </c>
      <c r="I2712" s="54" t="str">
        <f>IFERROR(VLOOKUP(F2694,'1to4-2.1-RR'!$A$12:$BG$111,18,0),"")</f>
        <v/>
      </c>
      <c r="J2712" s="54" t="str">
        <f>IFERROR(VLOOKUP(F2694,'1to4-2.1-RR'!$A$12:$BG$111,19,0),"")</f>
        <v/>
      </c>
      <c r="K2712" s="54" t="str">
        <f>IFERROR(VLOOKUP(F2694,'1to4-2.1-RR'!$A$12:$BG$111,20,0),"")</f>
        <v/>
      </c>
      <c r="L2712" s="55">
        <f t="shared" ref="L2712:L2717" si="96">SUM(G2712:K2712)</f>
        <v>0</v>
      </c>
      <c r="M2712" s="56" t="str">
        <f>IF(F2694&gt;ENTRY!$D$24,"",IF(L2712=0,"Ab",IF(L2712&gt;80,"A",IF(L2712&gt;60,"B",IF(L2712&gt;44,"C",IF(L2712&gt;=33,"D",IF(L2712&lt;=32,"E","")))))))</f>
        <v/>
      </c>
      <c r="N2712" s="56"/>
      <c r="O2712" s="29"/>
      <c r="P2712" s="19"/>
      <c r="Q2712" s="14"/>
      <c r="R2712" s="11"/>
    </row>
    <row r="2713" s="1" customFormat="1" ht="21.95" customHeight="1" spans="1:18">
      <c r="A2713" s="7"/>
      <c r="B2713" s="12"/>
      <c r="C2713" s="33"/>
      <c r="D2713" s="117" t="s">
        <v>718</v>
      </c>
      <c r="E2713" s="117"/>
      <c r="F2713" s="117"/>
      <c r="G2713" s="54" t="str">
        <f>IFERROR(VLOOKUP(F2694,'1to4-2.1-RR'!$A$12:$BG$111,23,0),"")</f>
        <v/>
      </c>
      <c r="H2713" s="54" t="str">
        <f>IFERROR(VLOOKUP(F2694,'1to4-2.1-RR'!$A$12:$BG$111,24,0),"")</f>
        <v/>
      </c>
      <c r="I2713" s="54" t="str">
        <f>IFERROR(VLOOKUP(F2694,'1to4-2.1-RR'!$A$12:$BG$111,25,0),"")</f>
        <v/>
      </c>
      <c r="J2713" s="54" t="str">
        <f>IFERROR(VLOOKUP(F2694,'1to4-2.1-RR'!$A$12:$BG$111,26,0),"")</f>
        <v/>
      </c>
      <c r="K2713" s="54" t="str">
        <f>IFERROR(VLOOKUP(F2694,'1to4-2.1-RR'!$A$12:$BG$111,27,0),"")</f>
        <v/>
      </c>
      <c r="L2713" s="55">
        <f t="shared" si="96"/>
        <v>0</v>
      </c>
      <c r="M2713" s="56" t="str">
        <f>IF(F2694&gt;ENTRY!$D$24,"",IF(L2713=0,"Ab",IF(L2713&gt;80,"A",IF(L2713&gt;60,"B",IF(L2713&gt;44,"C",IF(L2713&gt;=33,"D",IF(L2713&lt;=32,"E","")))))))</f>
        <v/>
      </c>
      <c r="N2713" s="56"/>
      <c r="O2713" s="29"/>
      <c r="P2713" s="19"/>
      <c r="Q2713" s="14"/>
      <c r="R2713" s="11"/>
    </row>
    <row r="2714" s="1" customFormat="1" ht="21.95" customHeight="1" spans="1:18">
      <c r="A2714" s="7"/>
      <c r="B2714" s="12"/>
      <c r="C2714" s="33"/>
      <c r="D2714" s="117" t="s">
        <v>719</v>
      </c>
      <c r="E2714" s="117"/>
      <c r="F2714" s="117"/>
      <c r="G2714" s="54" t="str">
        <f>IFERROR(VLOOKUP(F2694,'1to4-2.1-RR'!$A$12:$BG$111,30,0),"")</f>
        <v/>
      </c>
      <c r="H2714" s="54" t="str">
        <f>IFERROR(VLOOKUP(F2694,'1to4-2.1-RR'!$A$12:$BG$111,31,0),"")</f>
        <v/>
      </c>
      <c r="I2714" s="54" t="str">
        <f>IFERROR(VLOOKUP(F2694,'1to4-2.1-RR'!$A$12:$BG$111,32,0),"")</f>
        <v/>
      </c>
      <c r="J2714" s="54" t="str">
        <f>IFERROR(VLOOKUP(F2694,'1to4-2.1-RR'!$A$12:$BG$111,33,0),"")</f>
        <v/>
      </c>
      <c r="K2714" s="54" t="str">
        <f>IFERROR(VLOOKUP(F2694,'1to4-2.1-RR'!$A$12:$BG$111,34,0),"")</f>
        <v/>
      </c>
      <c r="L2714" s="55">
        <f t="shared" si="96"/>
        <v>0</v>
      </c>
      <c r="M2714" s="56" t="str">
        <f>IF(F2694&gt;ENTRY!$D$24,"",IF(L2714=0,"Ab",IF(L2714&gt;80,"A",IF(L2714&gt;60,"B",IF(L2714&gt;44,"C",IF(L2714&gt;=33,"D",IF(L2714&lt;=32,"E","")))))))</f>
        <v/>
      </c>
      <c r="N2714" s="56"/>
      <c r="O2714" s="29"/>
      <c r="P2714" s="19"/>
      <c r="Q2714" s="14"/>
      <c r="R2714" s="11"/>
    </row>
    <row r="2715" s="1" customFormat="1" ht="21.95" customHeight="1" spans="1:18">
      <c r="A2715" s="7"/>
      <c r="B2715" s="12"/>
      <c r="C2715" s="33"/>
      <c r="D2715" s="117" t="s">
        <v>548</v>
      </c>
      <c r="E2715" s="117"/>
      <c r="F2715" s="117"/>
      <c r="G2715" s="54" t="str">
        <f>IFERROR(VLOOKUP(F2694,'1to4-2.1-RR'!$A$12:$BG$111,37,0),"")</f>
        <v/>
      </c>
      <c r="H2715" s="54" t="str">
        <f>IFERROR(VLOOKUP(F2694,'1to4-2.1-RR'!$A$12:$BG$111,38,0),"")</f>
        <v/>
      </c>
      <c r="I2715" s="54" t="str">
        <f>IFERROR(VLOOKUP(F2694,'1to4-2.1-RR'!$A$12:$BG$111,39,0),"")</f>
        <v/>
      </c>
      <c r="J2715" s="54" t="str">
        <f>IFERROR(VLOOKUP(F2694,'1to4-2.1-RR'!$A$12:$BG$111,40,0),"")</f>
        <v/>
      </c>
      <c r="K2715" s="54" t="str">
        <f>IFERROR(VLOOKUP(F2694,'1to4-2.1-RR'!$A$12:$BG$111,41,0),"")</f>
        <v/>
      </c>
      <c r="L2715" s="55">
        <f t="shared" si="96"/>
        <v>0</v>
      </c>
      <c r="M2715" s="56" t="str">
        <f>IF(F2694&gt;ENTRY!$D$24,"",IF(L2715=0,"Ab",IF(L2715&gt;80,"A",IF(L2715&gt;60,"B",IF(L2715&gt;44,"C",IF(L2715&gt;=33,"D",IF(L2715&lt;=32,"E","")))))))</f>
        <v/>
      </c>
      <c r="N2715" s="56"/>
      <c r="O2715" s="29"/>
      <c r="P2715" s="19"/>
      <c r="Q2715" s="14"/>
      <c r="R2715" s="11"/>
    </row>
    <row r="2716" s="1" customFormat="1" ht="21.95" customHeight="1" spans="1:18">
      <c r="A2716" s="7"/>
      <c r="B2716" s="12"/>
      <c r="C2716" s="33"/>
      <c r="D2716" s="117" t="s">
        <v>549</v>
      </c>
      <c r="E2716" s="117"/>
      <c r="F2716" s="117"/>
      <c r="G2716" s="54" t="str">
        <f>IFERROR(VLOOKUP(F2694,'1to4-2.1-RR'!$A$12:$BG$111,44,0),"")</f>
        <v/>
      </c>
      <c r="H2716" s="54" t="str">
        <f>IFERROR(VLOOKUP(F2694,'1to4-2.1-RR'!$A$12:$BG$111,45,0),"")</f>
        <v/>
      </c>
      <c r="I2716" s="54" t="str">
        <f>IFERROR(VLOOKUP(F2694,'1to4-2.1-RR'!$A$12:$BG$111,46,0),"")</f>
        <v/>
      </c>
      <c r="J2716" s="54" t="str">
        <f>IFERROR(VLOOKUP(F2694,'1to4-2.1-RR'!$A$12:$BG$111,47,0),"")</f>
        <v/>
      </c>
      <c r="K2716" s="54" t="str">
        <f>IFERROR(VLOOKUP(F2694,'1to4-2.1-RR'!$A$12:$BG$111,48,0),"")</f>
        <v/>
      </c>
      <c r="L2716" s="55">
        <f t="shared" si="96"/>
        <v>0</v>
      </c>
      <c r="M2716" s="56" t="str">
        <f>IF(F2694&gt;ENTRY!$D$24,"",IF(L2716=0,"Ab",IF(L2716&gt;80,"A",IF(L2716&gt;60,"B",IF(L2716&gt;44,"C",IF(L2716&gt;=33,"D",IF(L2716&lt;=32,"E","")))))))</f>
        <v/>
      </c>
      <c r="N2716" s="56"/>
      <c r="O2716" s="29"/>
      <c r="P2716" s="19"/>
      <c r="Q2716" s="14"/>
      <c r="R2716" s="11"/>
    </row>
    <row r="2717" s="1" customFormat="1" ht="21.95" customHeight="1" spans="1:18">
      <c r="A2717" s="7"/>
      <c r="B2717" s="12"/>
      <c r="C2717" s="33"/>
      <c r="D2717" s="117" t="s">
        <v>720</v>
      </c>
      <c r="E2717" s="117"/>
      <c r="F2717" s="117"/>
      <c r="G2717" s="54"/>
      <c r="H2717" s="54"/>
      <c r="I2717" s="54"/>
      <c r="J2717" s="54"/>
      <c r="K2717" s="54"/>
      <c r="L2717" s="55">
        <f t="shared" si="96"/>
        <v>0</v>
      </c>
      <c r="M2717" s="56" t="str">
        <f>IF(F2694&gt;ENTRY!$D$24,"",IF(L2717=0,"",IF(L2717&gt;79,"A",IF(L2717&gt;59,"B",IF(L2717&gt;44,"C",IF(L2717&gt;=33,"D",IF(L2717&lt;=32,"E","")))))))</f>
        <v/>
      </c>
      <c r="N2717" s="56"/>
      <c r="O2717" s="29"/>
      <c r="P2717" s="19"/>
      <c r="Q2717" s="14"/>
      <c r="R2717" s="11"/>
    </row>
    <row r="2718" s="1" customFormat="1" ht="21.95" customHeight="1" spans="1:18">
      <c r="A2718" s="7"/>
      <c r="B2718" s="12"/>
      <c r="C2718" s="33"/>
      <c r="D2718" s="207" t="s">
        <v>382</v>
      </c>
      <c r="E2718" s="207"/>
      <c r="F2718" s="207"/>
      <c r="G2718" s="54">
        <f t="shared" ref="G2718:L2718" si="97">IFERROR(SUM(G2711:G2717),"")</f>
        <v>0</v>
      </c>
      <c r="H2718" s="54">
        <f t="shared" si="97"/>
        <v>0</v>
      </c>
      <c r="I2718" s="54">
        <f t="shared" si="97"/>
        <v>0</v>
      </c>
      <c r="J2718" s="54">
        <f t="shared" si="97"/>
        <v>0</v>
      </c>
      <c r="K2718" s="54">
        <f t="shared" si="97"/>
        <v>0</v>
      </c>
      <c r="L2718" s="55">
        <f t="shared" si="97"/>
        <v>0</v>
      </c>
      <c r="M2718" s="61" t="str">
        <f>IF(F2694&gt;ENTRY!$D$24,"",IF(N2719="Ab","Ab",IF(N2719&gt;79.5,"A",IF(N2719&gt;59.5,"B",IF(N2719&gt;44.5,"C",IF(N2719&gt;=33,"D",IF(N2719&lt;33,"E","")))))))</f>
        <v/>
      </c>
      <c r="N2718" s="61"/>
      <c r="O2718" s="29"/>
      <c r="P2718" s="19"/>
      <c r="Q2718" s="14"/>
      <c r="R2718" s="11"/>
    </row>
    <row r="2719" s="1" customFormat="1" ht="21.95" customHeight="1" spans="1:18">
      <c r="A2719" s="7"/>
      <c r="B2719" s="12"/>
      <c r="C2719" s="33"/>
      <c r="D2719" s="63" t="s">
        <v>721</v>
      </c>
      <c r="E2719" s="63"/>
      <c r="F2719" s="63"/>
      <c r="G2719" s="63"/>
      <c r="H2719" s="63"/>
      <c r="I2719" s="63"/>
      <c r="J2719" s="63"/>
      <c r="K2719" s="63"/>
      <c r="L2719" s="63"/>
      <c r="M2719" s="209"/>
      <c r="N2719" s="64">
        <f>IF(L2718="Ab","Ab",L2718/6)</f>
        <v>0</v>
      </c>
      <c r="O2719" s="65"/>
      <c r="P2719" s="19"/>
      <c r="Q2719" s="14"/>
      <c r="R2719" s="11"/>
    </row>
    <row r="2720" s="1" customFormat="1" ht="21.95" customHeight="1" spans="1:18">
      <c r="A2720" s="7"/>
      <c r="B2720" s="12"/>
      <c r="C2720" s="33"/>
      <c r="D2720" s="29" t="s">
        <v>716</v>
      </c>
      <c r="E2720" s="18" t="str">
        <f>IFERROR(VLOOKUP(F2694,'1to4-2.1-RR'!$A$12:$BG$111,57,0),"")</f>
        <v/>
      </c>
      <c r="F2720" s="18"/>
      <c r="G2720" s="18"/>
      <c r="H2720" s="18"/>
      <c r="I2720" s="18"/>
      <c r="J2720" s="18"/>
      <c r="K2720" s="18"/>
      <c r="L2720" s="18"/>
      <c r="M2720" s="18"/>
      <c r="N2720" s="29"/>
      <c r="O2720" s="29"/>
      <c r="P2720" s="19"/>
      <c r="Q2720" s="14"/>
      <c r="R2720" s="11"/>
    </row>
    <row r="2721" s="1" customFormat="1" ht="9.95" customHeight="1" spans="1:19">
      <c r="A2721" s="7"/>
      <c r="B2721" s="12"/>
      <c r="C2721" s="39"/>
      <c r="D2721" s="40"/>
      <c r="E2721" s="40"/>
      <c r="F2721" s="40"/>
      <c r="G2721" s="40"/>
      <c r="H2721" s="40"/>
      <c r="I2721" s="40"/>
      <c r="J2721" s="40"/>
      <c r="K2721" s="40"/>
      <c r="L2721" s="40"/>
      <c r="M2721" s="40"/>
      <c r="N2721" s="40"/>
      <c r="O2721" s="40"/>
      <c r="P2721" s="41"/>
      <c r="Q2721" s="14"/>
      <c r="R2721" s="11"/>
    </row>
    <row r="2722" s="1" customFormat="1" ht="9.95" customHeight="1" spans="1:19">
      <c r="A2722" s="7"/>
      <c r="B2722" s="12"/>
      <c r="C2722" s="30"/>
      <c r="D2722" s="31"/>
      <c r="E2722" s="31"/>
      <c r="F2722" s="29"/>
      <c r="G2722" s="31"/>
      <c r="H2722" s="31"/>
      <c r="I2722" s="31"/>
      <c r="J2722" s="31"/>
      <c r="K2722" s="31"/>
      <c r="L2722" s="31"/>
      <c r="M2722" s="31"/>
      <c r="N2722" s="31"/>
      <c r="O2722" s="31"/>
      <c r="P2722" s="32"/>
      <c r="Q2722" s="14"/>
      <c r="R2722" s="11"/>
    </row>
    <row r="2723" s="1" customFormat="1" ht="9.95" customHeight="1" spans="1:19">
      <c r="A2723" s="7"/>
      <c r="B2723" s="12"/>
      <c r="C2723" s="33"/>
      <c r="D2723" s="29"/>
      <c r="E2723" s="29"/>
      <c r="F2723" s="29"/>
      <c r="G2723" s="29"/>
      <c r="H2723" s="29"/>
      <c r="I2723" s="29"/>
      <c r="J2723" s="29"/>
      <c r="K2723" s="29"/>
      <c r="L2723" s="29"/>
      <c r="M2723" s="29"/>
      <c r="N2723" s="29"/>
      <c r="O2723" s="29"/>
      <c r="P2723" s="19"/>
      <c r="Q2723" s="14"/>
      <c r="R2723" s="11"/>
    </row>
    <row r="2724" s="1" customFormat="1" ht="9.95" customHeight="1" spans="1:19">
      <c r="A2724" s="7"/>
      <c r="B2724" s="12"/>
      <c r="C2724" s="33"/>
      <c r="D2724" s="29"/>
      <c r="E2724" s="29"/>
      <c r="F2724" s="29"/>
      <c r="G2724" s="29"/>
      <c r="H2724" s="29"/>
      <c r="I2724" s="29"/>
      <c r="J2724" s="29"/>
      <c r="K2724" s="29"/>
      <c r="L2724" s="29"/>
      <c r="M2724" s="29"/>
      <c r="N2724" s="29"/>
      <c r="O2724" s="29"/>
      <c r="P2724" s="19"/>
      <c r="Q2724" s="14"/>
      <c r="R2724" s="11"/>
    </row>
    <row r="2725" s="1" customFormat="1" ht="21.95" customHeight="1" spans="1:19">
      <c r="A2725" s="7"/>
      <c r="B2725" s="12"/>
      <c r="C2725" s="210"/>
      <c r="D2725" s="211"/>
      <c r="E2725" s="211"/>
      <c r="F2725" s="211"/>
      <c r="G2725" s="211"/>
      <c r="H2725" s="211"/>
      <c r="I2725" s="211"/>
      <c r="J2725" s="211"/>
      <c r="K2725" s="211"/>
      <c r="L2725" s="211"/>
      <c r="M2725" s="211"/>
      <c r="N2725" s="211"/>
      <c r="O2725" s="211"/>
      <c r="P2725" s="212"/>
      <c r="Q2725" s="14"/>
      <c r="R2725" s="11"/>
      <c r="S2725" s="2"/>
    </row>
    <row r="2726" s="1" customFormat="1" ht="21.95" customHeight="1" spans="1:19">
      <c r="A2726" s="7"/>
      <c r="B2726" s="12"/>
      <c r="C2726" s="33"/>
      <c r="D2726" s="207" t="s">
        <v>722</v>
      </c>
      <c r="E2726" s="207"/>
      <c r="F2726" s="207"/>
      <c r="G2726" s="207"/>
      <c r="H2726" s="54">
        <f>IFERROR(VLOOKUP(F2694,PASHEET!$A$4:$CJ$103,88,0),"")</f>
        <v>0</v>
      </c>
      <c r="I2726" s="54"/>
      <c r="J2726" s="29"/>
      <c r="K2726" s="29"/>
      <c r="L2726" s="29"/>
      <c r="M2726" s="29"/>
      <c r="N2726" s="29"/>
      <c r="O2726" s="29"/>
      <c r="P2726" s="19"/>
      <c r="Q2726" s="14"/>
      <c r="R2726" s="11"/>
    </row>
    <row r="2727" s="1" customFormat="1" ht="21.95" customHeight="1" spans="1:19">
      <c r="A2727" s="7"/>
      <c r="B2727" s="12"/>
      <c r="C2727" s="213"/>
      <c r="D2727" s="207" t="s">
        <v>723</v>
      </c>
      <c r="E2727" s="207"/>
      <c r="F2727" s="207"/>
      <c r="G2727" s="207"/>
      <c r="H2727" s="54">
        <f>IFERROR(VLOOKUP(F2694,PASHEET!$A$4:$CJ$103,87,0),"")</f>
        <v>0</v>
      </c>
      <c r="I2727" s="54"/>
      <c r="J2727" s="214"/>
      <c r="K2727" s="214"/>
      <c r="L2727" s="207" t="s">
        <v>724</v>
      </c>
      <c r="M2727" s="207"/>
      <c r="N2727" s="117" t="str">
        <f>IF(F2694&gt;ENTRY!$D$24,"",IF(F2694&gt;0,L2718&amp;" / "&amp;600,""))</f>
        <v/>
      </c>
      <c r="O2727" s="117"/>
      <c r="P2727" s="215"/>
      <c r="Q2727" s="14"/>
      <c r="R2727" s="11"/>
    </row>
    <row r="2728" s="1" customFormat="1" ht="18" customHeight="1" spans="1:19">
      <c r="A2728" s="7"/>
      <c r="B2728" s="12"/>
      <c r="C2728" s="33"/>
      <c r="D2728" s="207" t="s">
        <v>725</v>
      </c>
      <c r="E2728" s="207"/>
      <c r="F2728" s="207"/>
      <c r="G2728" s="207"/>
      <c r="H2728" s="69" t="str">
        <f>IFERROR(IF(F2694&gt;0,H2727/H2726*100),"")</f>
        <v/>
      </c>
      <c r="I2728" s="69"/>
      <c r="J2728" s="29"/>
      <c r="K2728" s="29"/>
      <c r="L2728" s="207" t="s">
        <v>726</v>
      </c>
      <c r="M2728" s="207"/>
      <c r="N2728" s="216" t="str">
        <f>IF(F2694&gt;ENTRY!$D$24,"",IF(F2694&gt;0,L2718/600*100,""))</f>
        <v/>
      </c>
      <c r="O2728" s="216"/>
      <c r="P2728" s="19"/>
      <c r="Q2728" s="14"/>
      <c r="R2728" s="11"/>
    </row>
    <row r="2729" s="1" customFormat="1" ht="21.95" customHeight="1" spans="1:19">
      <c r="A2729" s="7"/>
      <c r="B2729" s="12"/>
      <c r="C2729" s="33"/>
      <c r="D2729" s="80"/>
      <c r="E2729" s="80"/>
      <c r="F2729" s="217"/>
      <c r="G2729" s="217"/>
      <c r="H2729" s="217"/>
      <c r="I2729" s="217"/>
      <c r="J2729" s="217"/>
      <c r="K2729" s="217"/>
      <c r="L2729" s="217"/>
      <c r="M2729" s="217"/>
      <c r="N2729" s="80"/>
      <c r="O2729" s="80"/>
      <c r="P2729" s="19"/>
      <c r="Q2729" s="14"/>
      <c r="R2729" s="11"/>
    </row>
    <row r="2730" s="1" customFormat="1" ht="21.95" customHeight="1" spans="1:19">
      <c r="A2730" s="7"/>
      <c r="B2730" s="12"/>
      <c r="C2730" s="33"/>
      <c r="D2730" s="80"/>
      <c r="E2730" s="218"/>
      <c r="F2730" s="218"/>
      <c r="G2730" s="218"/>
      <c r="H2730" s="80"/>
      <c r="I2730" s="218"/>
      <c r="J2730" s="218"/>
      <c r="K2730" s="218"/>
      <c r="L2730" s="218"/>
      <c r="M2730" s="80"/>
      <c r="N2730" s="219"/>
      <c r="O2730" s="219"/>
      <c r="P2730" s="19"/>
      <c r="Q2730" s="14"/>
      <c r="R2730" s="11"/>
    </row>
    <row r="2731" s="1" customFormat="1" ht="21.95" customHeight="1" spans="1:19">
      <c r="A2731" s="7"/>
      <c r="B2731" s="12"/>
      <c r="C2731" s="33"/>
      <c r="D2731" s="80"/>
      <c r="E2731" s="80"/>
      <c r="F2731" s="80"/>
      <c r="G2731" s="80"/>
      <c r="H2731" s="80"/>
      <c r="I2731" s="80"/>
      <c r="J2731" s="80"/>
      <c r="K2731" s="80"/>
      <c r="L2731" s="80"/>
      <c r="M2731" s="80"/>
      <c r="N2731" s="80"/>
      <c r="O2731" s="80"/>
      <c r="P2731" s="19"/>
      <c r="Q2731" s="14"/>
      <c r="R2731" s="11"/>
    </row>
    <row r="2732" s="1" customFormat="1" ht="21.95" customHeight="1" spans="1:19">
      <c r="A2732" s="7"/>
      <c r="B2732" s="12"/>
      <c r="C2732" s="33"/>
      <c r="D2732" s="218"/>
      <c r="E2732" s="218"/>
      <c r="F2732" s="218"/>
      <c r="G2732" s="218"/>
      <c r="H2732" s="218"/>
      <c r="I2732" s="218"/>
      <c r="J2732" s="218"/>
      <c r="K2732" s="218"/>
      <c r="L2732" s="218"/>
      <c r="M2732" s="80"/>
      <c r="N2732" s="217"/>
      <c r="O2732" s="217"/>
      <c r="P2732" s="85" t="s">
        <v>727</v>
      </c>
      <c r="Q2732" s="14"/>
      <c r="R2732" s="11"/>
    </row>
    <row r="2733" s="1" customFormat="1" ht="21.95" customHeight="1" spans="1:19">
      <c r="A2733" s="7"/>
      <c r="B2733" s="12"/>
      <c r="C2733" s="33"/>
      <c r="D2733" s="29"/>
      <c r="E2733" s="29"/>
      <c r="F2733" s="29"/>
      <c r="G2733" s="29"/>
      <c r="H2733" s="29"/>
      <c r="I2733" s="29"/>
      <c r="J2733" s="29"/>
      <c r="K2733" s="29"/>
      <c r="L2733" s="29"/>
      <c r="M2733" s="29"/>
      <c r="N2733" s="29"/>
      <c r="O2733" s="29"/>
      <c r="P2733" s="19"/>
      <c r="Q2733" s="14"/>
      <c r="R2733" s="11"/>
    </row>
    <row r="2734" s="1" customFormat="1" ht="21.95" customHeight="1" spans="1:19">
      <c r="A2734" s="7"/>
      <c r="B2734" s="12"/>
      <c r="C2734" s="33"/>
      <c r="D2734" s="29"/>
      <c r="E2734" s="29"/>
      <c r="F2734" s="29"/>
      <c r="G2734" s="29"/>
      <c r="H2734" s="29"/>
      <c r="I2734" s="29"/>
      <c r="J2734" s="29"/>
      <c r="K2734" s="29"/>
      <c r="L2734" s="29"/>
      <c r="M2734" s="29"/>
      <c r="N2734" s="29"/>
      <c r="O2734" s="29"/>
      <c r="P2734" s="19"/>
      <c r="Q2734" s="14"/>
      <c r="R2734" s="11"/>
    </row>
    <row r="2735" s="1" customFormat="1" ht="21.95" customHeight="1" spans="1:19">
      <c r="A2735" s="7"/>
      <c r="B2735" s="12"/>
      <c r="C2735" s="33"/>
      <c r="D2735" s="29"/>
      <c r="E2735" s="29"/>
      <c r="F2735" s="29"/>
      <c r="G2735" s="29"/>
      <c r="H2735" s="29"/>
      <c r="I2735" s="29"/>
      <c r="J2735" s="29"/>
      <c r="K2735" s="29"/>
      <c r="L2735" s="29"/>
      <c r="M2735" s="29"/>
      <c r="N2735" s="29"/>
      <c r="O2735" s="29"/>
      <c r="P2735" s="19"/>
      <c r="Q2735" s="14"/>
      <c r="R2735" s="11"/>
    </row>
    <row r="2736" s="1" customFormat="1" ht="21.95" customHeight="1" spans="1:19">
      <c r="A2736" s="7"/>
      <c r="B2736" s="12"/>
      <c r="C2736" s="33"/>
      <c r="D2736" s="29"/>
      <c r="E2736" s="29"/>
      <c r="F2736" s="29"/>
      <c r="G2736" s="29"/>
      <c r="H2736" s="29"/>
      <c r="I2736" s="29"/>
      <c r="J2736" s="29"/>
      <c r="K2736" s="29"/>
      <c r="L2736" s="29"/>
      <c r="M2736" s="29"/>
      <c r="N2736" s="29"/>
      <c r="O2736" s="29"/>
      <c r="P2736" s="19"/>
      <c r="Q2736" s="14"/>
      <c r="R2736" s="11"/>
    </row>
    <row r="2737" s="1" customFormat="1" ht="21.95" customHeight="1" spans="1:18">
      <c r="A2737" s="7"/>
      <c r="B2737" s="12"/>
      <c r="C2737" s="33"/>
      <c r="D2737" s="29"/>
      <c r="E2737" s="29"/>
      <c r="F2737" s="29"/>
      <c r="G2737" s="29"/>
      <c r="H2737" s="29"/>
      <c r="I2737" s="29"/>
      <c r="J2737" s="29"/>
      <c r="K2737" s="29"/>
      <c r="L2737" s="29"/>
      <c r="M2737" s="29"/>
      <c r="N2737" s="29"/>
      <c r="O2737" s="29"/>
      <c r="P2737" s="19"/>
      <c r="Q2737" s="14"/>
      <c r="R2737" s="11"/>
    </row>
    <row r="2738" s="1" customFormat="1" ht="21.95" customHeight="1" spans="1:18">
      <c r="A2738" s="7"/>
      <c r="B2738" s="12"/>
      <c r="C2738" s="33"/>
      <c r="D2738" s="80" t="s">
        <v>728</v>
      </c>
      <c r="E2738" s="220">
        <f>ENTRY!$D$27</f>
        <v>46102</v>
      </c>
      <c r="F2738" s="220"/>
      <c r="G2738" s="29"/>
      <c r="H2738" s="29"/>
      <c r="I2738" s="221" t="s">
        <v>729</v>
      </c>
      <c r="J2738" s="153"/>
      <c r="K2738" s="29"/>
      <c r="L2738" s="29"/>
      <c r="M2738" s="87" t="s">
        <v>730</v>
      </c>
      <c r="N2738" s="87"/>
      <c r="O2738" s="87"/>
      <c r="P2738" s="19"/>
      <c r="Q2738" s="14"/>
      <c r="R2738" s="11"/>
    </row>
    <row r="2739" s="1" customFormat="1" ht="21.95" customHeight="1" spans="1:18">
      <c r="A2739" s="7"/>
      <c r="B2739" s="12"/>
      <c r="C2739" s="33"/>
      <c r="D2739" s="80" t="s">
        <v>731</v>
      </c>
      <c r="E2739" s="88" t="str">
        <f>PROPER(ENTRY!$D$28)</f>
        <v>New Delhi</v>
      </c>
      <c r="F2739" s="88"/>
      <c r="G2739" s="29"/>
      <c r="H2739" s="29"/>
      <c r="I2739" s="153"/>
      <c r="J2739" s="153"/>
      <c r="K2739" s="29"/>
      <c r="L2739" s="29"/>
      <c r="M2739" s="79" t="s">
        <v>732</v>
      </c>
      <c r="N2739" s="79"/>
      <c r="O2739" s="79"/>
      <c r="P2739" s="19"/>
      <c r="Q2739" s="14"/>
      <c r="R2739" s="11"/>
    </row>
    <row r="2740" s="1" customFormat="1" ht="21.95" customHeight="1" spans="1:18">
      <c r="A2740" s="7"/>
      <c r="B2740" s="12"/>
      <c r="C2740" s="90"/>
      <c r="D2740" s="91"/>
      <c r="E2740" s="91"/>
      <c r="F2740" s="91"/>
      <c r="G2740" s="91"/>
      <c r="H2740" s="91"/>
      <c r="I2740" s="91"/>
      <c r="J2740" s="91"/>
      <c r="K2740" s="91"/>
      <c r="L2740" s="91"/>
      <c r="M2740" s="91"/>
      <c r="N2740" s="91"/>
      <c r="O2740" s="91"/>
      <c r="P2740" s="92"/>
      <c r="Q2740" s="14"/>
      <c r="R2740" s="11"/>
    </row>
    <row r="2741" s="1" customFormat="1" ht="5.1" customHeight="1" spans="1:18">
      <c r="A2741" s="7"/>
      <c r="B2741" s="90"/>
      <c r="C2741" s="91"/>
      <c r="D2741" s="91"/>
      <c r="E2741" s="91"/>
      <c r="F2741" s="91"/>
      <c r="G2741" s="91"/>
      <c r="H2741" s="91"/>
      <c r="I2741" s="91"/>
      <c r="J2741" s="91"/>
      <c r="K2741" s="91"/>
      <c r="L2741" s="91"/>
      <c r="M2741" s="91"/>
      <c r="N2741" s="91"/>
      <c r="O2741" s="91"/>
      <c r="P2741" s="91"/>
      <c r="Q2741" s="92"/>
      <c r="R2741" s="11"/>
    </row>
    <row r="2742" s="1" customFormat="1" ht="5.1" customHeight="1" spans="1:18">
      <c r="A2742" s="93"/>
      <c r="B2742" s="94"/>
      <c r="C2742" s="94"/>
      <c r="D2742" s="94"/>
      <c r="E2742" s="94"/>
      <c r="F2742" s="94"/>
      <c r="G2742" s="94"/>
      <c r="H2742" s="94"/>
      <c r="I2742" s="94"/>
      <c r="J2742" s="94"/>
      <c r="K2742" s="94"/>
      <c r="L2742" s="94"/>
      <c r="M2742" s="94"/>
      <c r="N2742" s="94"/>
      <c r="O2742" s="94"/>
      <c r="P2742" s="94"/>
      <c r="Q2742" s="94"/>
      <c r="R2742" s="95"/>
    </row>
    <row r="2743" s="1" customFormat="1" ht="21.95" customHeight="1"/>
    <row r="2744" ht="15.15"/>
    <row r="2745" s="1" customFormat="1" ht="5.1" customHeight="1" spans="1:18">
      <c r="A2745" s="4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  <c r="O2745" s="5"/>
      <c r="P2745" s="5"/>
      <c r="Q2745" s="5"/>
      <c r="R2745" s="6"/>
    </row>
    <row r="2746" s="1" customFormat="1" ht="15" customHeight="1" spans="1:18">
      <c r="A2746" s="7"/>
      <c r="B2746" s="8"/>
      <c r="C2746" s="9"/>
      <c r="D2746" s="9"/>
      <c r="E2746" s="9"/>
      <c r="F2746" s="9"/>
      <c r="G2746" s="9"/>
      <c r="H2746" s="9"/>
      <c r="I2746" s="9"/>
      <c r="J2746" s="9"/>
      <c r="K2746" s="9"/>
      <c r="L2746" s="9"/>
      <c r="M2746" s="9"/>
      <c r="N2746" s="9"/>
      <c r="O2746" s="9"/>
      <c r="P2746" s="9"/>
      <c r="Q2746" s="10"/>
      <c r="R2746" s="11"/>
    </row>
    <row r="2747" s="1" customFormat="1" ht="21.95" customHeight="1" spans="1:18">
      <c r="A2747" s="7"/>
      <c r="B2747" s="12"/>
      <c r="C2747" s="13" t="s">
        <v>7</v>
      </c>
      <c r="D2747" s="13"/>
      <c r="E2747" s="13"/>
      <c r="F2747" s="13"/>
      <c r="G2747" s="13"/>
      <c r="H2747" s="13"/>
      <c r="I2747" s="13"/>
      <c r="J2747" s="13"/>
      <c r="K2747" s="13"/>
      <c r="L2747" s="13"/>
      <c r="M2747" s="13"/>
      <c r="N2747" s="13"/>
      <c r="O2747" s="13"/>
      <c r="P2747" s="13"/>
      <c r="Q2747" s="14"/>
      <c r="R2747" s="11"/>
    </row>
    <row r="2748" s="1" customFormat="1" ht="21.95" customHeight="1" spans="1:18">
      <c r="A2748" s="7"/>
      <c r="B2748" s="1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14"/>
      <c r="R2748" s="11"/>
    </row>
    <row r="2749" s="1" customFormat="1" ht="21.95" customHeight="1" spans="1:18">
      <c r="A2749" s="7"/>
      <c r="B2749" s="12"/>
      <c r="C2749" s="15" t="str">
        <f>"SESSION-"&amp;ENTRY!$D$11</f>
        <v>SESSION-2026-27</v>
      </c>
      <c r="D2749" s="15"/>
      <c r="E2749" s="15"/>
      <c r="F2749" s="15"/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4"/>
      <c r="R2749" s="11"/>
    </row>
    <row r="2750" s="1" customFormat="1" ht="21.95" customHeight="1" spans="1:18">
      <c r="A2750" s="7"/>
      <c r="B2750" s="12"/>
      <c r="C2750" s="2"/>
      <c r="D2750" s="2"/>
      <c r="E2750" s="2"/>
      <c r="F2750" s="16">
        <f>F2694+1</f>
        <v>50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14"/>
      <c r="R2750" s="11"/>
    </row>
    <row r="2751" s="1" customFormat="1" ht="21.95" customHeight="1" spans="1:18">
      <c r="A2751" s="7"/>
      <c r="B2751" s="12"/>
      <c r="C2751" s="17" t="s">
        <v>392</v>
      </c>
      <c r="D2751" s="17"/>
      <c r="E2751" s="17"/>
      <c r="F2751" s="18" t="str">
        <f>IF(F2750&gt;0,ENTRY!$D$6,"")</f>
        <v>MCP NITHARI NO 1 BOYS</v>
      </c>
      <c r="G2751" s="18"/>
      <c r="H2751" s="18"/>
      <c r="I2751" s="18"/>
      <c r="J2751" s="18"/>
      <c r="K2751" s="18"/>
      <c r="L2751" s="18"/>
      <c r="M2751" s="18"/>
      <c r="N2751" s="18"/>
      <c r="O2751" s="18"/>
      <c r="P2751" s="18"/>
      <c r="Q2751" s="14"/>
      <c r="R2751" s="11"/>
    </row>
    <row r="2752" s="1" customFormat="1" ht="21.95" customHeight="1" spans="1:18">
      <c r="A2752" s="7"/>
      <c r="B2752" s="12"/>
      <c r="C2752" s="17" t="s">
        <v>393</v>
      </c>
      <c r="D2752" s="17"/>
      <c r="E2752" s="17"/>
      <c r="F2752" s="18">
        <f>IF(F2750&gt;0,ENTRY!$D$7,"")</f>
        <v>0</v>
      </c>
      <c r="G2752" s="18"/>
      <c r="H2752" s="20" t="s">
        <v>702</v>
      </c>
      <c r="I2752" s="20"/>
      <c r="J2752" s="21">
        <f>IF(F2750&gt;0,ENTRY!$D$10,"")</f>
        <v>40</v>
      </c>
      <c r="K2752" s="20" t="s">
        <v>703</v>
      </c>
      <c r="L2752" s="22" t="str">
        <f>IF(F2750&gt;0,ENTRY!$D$5,"")</f>
        <v>ROHINI ZONE</v>
      </c>
      <c r="M2752" s="22"/>
      <c r="N2752" s="22"/>
      <c r="O2752" s="22"/>
      <c r="P2752" s="22"/>
      <c r="Q2752" s="14"/>
      <c r="R2752" s="11"/>
    </row>
    <row r="2753" s="1" customFormat="1" ht="21.95" customHeight="1" spans="1:18">
      <c r="A2753" s="7"/>
      <c r="B2753" s="12"/>
      <c r="C2753" s="17" t="s">
        <v>706</v>
      </c>
      <c r="D2753" s="17"/>
      <c r="E2753" s="17"/>
      <c r="F2753" s="23">
        <f>IFERROR(VLOOKUP(F2750,STUDENT!$A$2:$BP$101,5,0),"")</f>
        <v>0</v>
      </c>
      <c r="G2753" s="23"/>
      <c r="H2753" s="23"/>
      <c r="I2753" s="23"/>
      <c r="J2753" s="23"/>
      <c r="K2753" s="23"/>
      <c r="L2753" s="20" t="s">
        <v>707</v>
      </c>
      <c r="M2753" s="20"/>
      <c r="N2753" s="24" t="str">
        <f>IF(F2750&gt;0,ENTRY!$D$20&amp;"-"&amp;ENTRY!$D$21,"")</f>
        <v>III-A</v>
      </c>
      <c r="O2753" s="24"/>
      <c r="P2753" s="24"/>
      <c r="Q2753" s="14"/>
      <c r="R2753" s="11"/>
    </row>
    <row r="2754" s="1" customFormat="1" ht="21.95" customHeight="1" spans="1:18">
      <c r="A2754" s="7"/>
      <c r="B2754" s="12"/>
      <c r="C2754" s="17" t="s">
        <v>708</v>
      </c>
      <c r="D2754" s="17"/>
      <c r="E2754" s="17"/>
      <c r="F2754" s="25">
        <f>IFERROR(VLOOKUP(F2750,STUDENT!$A$2:$BP$101,6,0),"")</f>
        <v>0</v>
      </c>
      <c r="G2754" s="25"/>
      <c r="H2754" s="26" t="s">
        <v>709</v>
      </c>
      <c r="I2754" s="27" t="str">
        <f>IFERROR(VLOOKUP(F2750,STUDENT!$A$2:$BP$101,59,0),"")</f>
        <v/>
      </c>
      <c r="J2754" s="27"/>
      <c r="K2754" s="20" t="s">
        <v>710</v>
      </c>
      <c r="L2754" s="20"/>
      <c r="M2754" s="28">
        <f>IFERROR(VLOOKUP(F2750,STUDENT!$A$2:$BP$101,20,0),"")</f>
        <v>0</v>
      </c>
      <c r="N2754" s="28"/>
      <c r="O2754" s="28"/>
      <c r="P2754" s="28"/>
      <c r="Q2754" s="14"/>
      <c r="R2754" s="11"/>
    </row>
    <row r="2755" s="1" customFormat="1" ht="21.95" customHeight="1" spans="1:18">
      <c r="A2755" s="7"/>
      <c r="B2755" s="12"/>
      <c r="C2755" s="17" t="s">
        <v>711</v>
      </c>
      <c r="D2755" s="17"/>
      <c r="E2755" s="17"/>
      <c r="F2755" s="23">
        <f>IFERROR(VLOOKUP(F2750,STUDENT!$A$2:$BP$101,9,0),"")</f>
        <v>0</v>
      </c>
      <c r="G2755" s="23"/>
      <c r="H2755" s="23"/>
      <c r="I2755" s="23"/>
      <c r="J2755" s="17" t="s">
        <v>620</v>
      </c>
      <c r="K2755" s="17"/>
      <c r="L2755" s="23">
        <f>IFERROR(VLOOKUP(F2750,STUDENT!$A$2:$BP$101,8,0),"")</f>
        <v>0</v>
      </c>
      <c r="M2755" s="23"/>
      <c r="N2755" s="23"/>
      <c r="O2755" s="23"/>
      <c r="P2755" s="23"/>
      <c r="Q2755" s="14"/>
      <c r="R2755" s="11"/>
    </row>
    <row r="2756" s="1" customFormat="1" ht="21.95" customHeight="1" spans="1:18">
      <c r="A2756" s="7"/>
      <c r="B2756" s="12"/>
      <c r="C2756" s="17" t="s">
        <v>712</v>
      </c>
      <c r="D2756" s="17"/>
      <c r="E2756" s="17"/>
      <c r="F2756" s="23">
        <f>IFERROR(VLOOKUP(F2750,STUDENT!$A$2:$BP$101,22,0),"")</f>
        <v>0</v>
      </c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14"/>
      <c r="R2756" s="11"/>
    </row>
    <row r="2757" s="1" customFormat="1" ht="9.95" customHeight="1" spans="1:18">
      <c r="A2757" s="7"/>
      <c r="B2757" s="12"/>
      <c r="C2757" s="29"/>
      <c r="D2757" s="29"/>
      <c r="E2757" s="29"/>
      <c r="F2757" s="29"/>
      <c r="G2757" s="29"/>
      <c r="H2757" s="29"/>
      <c r="I2757" s="29"/>
      <c r="J2757" s="29"/>
      <c r="K2757" s="29"/>
      <c r="L2757" s="29"/>
      <c r="M2757" s="29"/>
      <c r="N2757" s="29"/>
      <c r="O2757" s="29"/>
      <c r="P2757" s="29"/>
      <c r="Q2757" s="14"/>
      <c r="R2757" s="11"/>
    </row>
    <row r="2758" s="1" customFormat="1" ht="9.95" customHeight="1" spans="1:18">
      <c r="A2758" s="7"/>
      <c r="B2758" s="12"/>
      <c r="C2758" s="30"/>
      <c r="D2758" s="31"/>
      <c r="E2758" s="31"/>
      <c r="F2758" s="31"/>
      <c r="G2758" s="31"/>
      <c r="H2758" s="31"/>
      <c r="I2758" s="31"/>
      <c r="J2758" s="31"/>
      <c r="K2758" s="31"/>
      <c r="L2758" s="31"/>
      <c r="M2758" s="31"/>
      <c r="N2758" s="31"/>
      <c r="O2758" s="31"/>
      <c r="P2758" s="32"/>
      <c r="Q2758" s="14"/>
      <c r="R2758" s="11"/>
    </row>
    <row r="2759" s="1" customFormat="1" ht="21.95" customHeight="1" spans="1:18">
      <c r="A2759" s="7"/>
      <c r="B2759" s="12"/>
      <c r="C2759" s="33"/>
      <c r="D2759" s="34" t="s">
        <v>713</v>
      </c>
      <c r="E2759" s="20" t="s">
        <v>714</v>
      </c>
      <c r="F2759" s="35" t="str">
        <f>"Level - "&amp;IFERROR(VLOOKUP(F2750,FLN!$A$4:$K$103,9,0),"")</f>
        <v>Level - </v>
      </c>
      <c r="G2759" s="36"/>
      <c r="H2759" s="37" t="s">
        <v>715</v>
      </c>
      <c r="I2759" s="20"/>
      <c r="J2759" s="35" t="str">
        <f>"Level - "&amp;IFERROR(VLOOKUP(F2750,FLN!$A$4:$K$103,11,0),"")</f>
        <v>Level - </v>
      </c>
      <c r="K2759" s="36"/>
      <c r="L2759" s="37" t="s">
        <v>408</v>
      </c>
      <c r="M2759" s="20"/>
      <c r="N2759" s="35" t="str">
        <f>"Level - "&amp;IFERROR(VLOOKUP(F2750,FLN!$A$4:$K$103,10,0),"")</f>
        <v>Level - </v>
      </c>
      <c r="O2759" s="36"/>
      <c r="P2759" s="19"/>
      <c r="Q2759" s="14"/>
      <c r="R2759" s="11"/>
    </row>
    <row r="2760" s="1" customFormat="1" ht="21.95" customHeight="1" spans="1:18">
      <c r="A2760" s="7"/>
      <c r="B2760" s="12"/>
      <c r="C2760" s="33"/>
      <c r="D2760" s="38"/>
      <c r="E2760" s="20" t="s">
        <v>716</v>
      </c>
      <c r="F2760" s="18" t="str">
        <f>IF(L2774&gt;197,"PERFORMED WELL","")</f>
        <v/>
      </c>
      <c r="G2760" s="18"/>
      <c r="H2760" s="18"/>
      <c r="I2760" s="18"/>
      <c r="J2760" s="18"/>
      <c r="K2760" s="18"/>
      <c r="L2760" s="18"/>
      <c r="M2760" s="18"/>
      <c r="N2760" s="18"/>
      <c r="O2760" s="18"/>
      <c r="P2760" s="19"/>
      <c r="Q2760" s="14"/>
      <c r="R2760" s="11"/>
    </row>
    <row r="2761" s="1" customFormat="1" ht="9.95" customHeight="1" spans="1:18">
      <c r="A2761" s="7"/>
      <c r="B2761" s="12"/>
      <c r="C2761" s="39"/>
      <c r="D2761" s="40"/>
      <c r="E2761" s="40"/>
      <c r="F2761" s="40"/>
      <c r="G2761" s="40"/>
      <c r="H2761" s="40"/>
      <c r="I2761" s="40"/>
      <c r="J2761" s="40"/>
      <c r="K2761" s="40"/>
      <c r="L2761" s="40"/>
      <c r="M2761" s="40"/>
      <c r="N2761" s="40"/>
      <c r="O2761" s="40"/>
      <c r="P2761" s="41"/>
      <c r="Q2761" s="14"/>
      <c r="R2761" s="11"/>
    </row>
    <row r="2762" s="1" customFormat="1" ht="9.95" customHeight="1" spans="1:18">
      <c r="A2762" s="7"/>
      <c r="B2762" s="12"/>
      <c r="C2762" s="29"/>
      <c r="D2762" s="29"/>
      <c r="E2762" s="29"/>
      <c r="F2762" s="29"/>
      <c r="G2762" s="29"/>
      <c r="H2762" s="29"/>
      <c r="I2762" s="29"/>
      <c r="J2762" s="29"/>
      <c r="K2762" s="29"/>
      <c r="L2762" s="29"/>
      <c r="M2762" s="29"/>
      <c r="N2762" s="29"/>
      <c r="O2762" s="29"/>
      <c r="P2762" s="29"/>
      <c r="Q2762" s="14"/>
      <c r="R2762" s="11"/>
    </row>
    <row r="2763" s="1" customFormat="1" ht="9.95" customHeight="1" spans="1:18">
      <c r="A2763" s="7"/>
      <c r="B2763" s="12"/>
      <c r="C2763" s="30"/>
      <c r="D2763" s="31"/>
      <c r="E2763" s="31"/>
      <c r="F2763" s="31"/>
      <c r="G2763" s="31"/>
      <c r="H2763" s="31"/>
      <c r="I2763" s="31"/>
      <c r="J2763" s="31"/>
      <c r="K2763" s="31"/>
      <c r="L2763" s="31"/>
      <c r="M2763" s="31"/>
      <c r="N2763" s="31"/>
      <c r="O2763" s="31"/>
      <c r="P2763" s="32"/>
      <c r="Q2763" s="14"/>
      <c r="R2763" s="11"/>
    </row>
    <row r="2764" s="1" customFormat="1" ht="21.95" customHeight="1" spans="1:18">
      <c r="A2764" s="7"/>
      <c r="B2764" s="12"/>
      <c r="C2764" s="33"/>
      <c r="D2764" s="35"/>
      <c r="E2764" s="24"/>
      <c r="F2764" s="24"/>
      <c r="G2764" s="47" t="s">
        <v>717</v>
      </c>
      <c r="H2764" s="47"/>
      <c r="I2764" s="47"/>
      <c r="J2764" s="47"/>
      <c r="K2764" s="47"/>
      <c r="L2764" s="47"/>
      <c r="M2764" s="47"/>
      <c r="N2764" s="47"/>
      <c r="O2764" s="29"/>
      <c r="P2764" s="19"/>
      <c r="Q2764" s="14"/>
      <c r="R2764" s="11"/>
    </row>
    <row r="2765" s="1" customFormat="1" ht="21.95" customHeight="1" spans="1:18">
      <c r="A2765" s="7"/>
      <c r="B2765" s="12"/>
      <c r="C2765" s="33"/>
      <c r="D2765" s="47"/>
      <c r="E2765" s="47"/>
      <c r="F2765" s="47"/>
      <c r="G2765" s="47" t="s">
        <v>541</v>
      </c>
      <c r="H2765" s="47" t="s">
        <v>542</v>
      </c>
      <c r="I2765" s="47" t="s">
        <v>543</v>
      </c>
      <c r="J2765" s="47" t="s">
        <v>544</v>
      </c>
      <c r="K2765" s="47" t="s">
        <v>561</v>
      </c>
      <c r="L2765" s="47" t="s">
        <v>382</v>
      </c>
      <c r="M2765" s="49" t="s">
        <v>546</v>
      </c>
      <c r="N2765" s="49"/>
      <c r="O2765" s="29"/>
      <c r="P2765" s="19"/>
      <c r="Q2765" s="14"/>
      <c r="R2765" s="11"/>
    </row>
    <row r="2766" s="1" customFormat="1" ht="21.95" customHeight="1" spans="1:18">
      <c r="A2766" s="7"/>
      <c r="B2766" s="12"/>
      <c r="C2766" s="33"/>
      <c r="D2766" s="207" t="s">
        <v>652</v>
      </c>
      <c r="E2766" s="207"/>
      <c r="F2766" s="207"/>
      <c r="G2766" s="50">
        <v>10</v>
      </c>
      <c r="H2766" s="50">
        <v>10</v>
      </c>
      <c r="I2766" s="50">
        <v>10</v>
      </c>
      <c r="J2766" s="50">
        <v>10</v>
      </c>
      <c r="K2766" s="50">
        <v>60</v>
      </c>
      <c r="L2766" s="50">
        <v>100</v>
      </c>
      <c r="M2766" s="49"/>
      <c r="N2766" s="49"/>
      <c r="O2766" s="29"/>
      <c r="P2766" s="19"/>
      <c r="Q2766" s="14"/>
      <c r="R2766" s="11"/>
    </row>
    <row r="2767" s="1" customFormat="1" ht="21.95" customHeight="1" spans="1:18">
      <c r="A2767" s="7"/>
      <c r="B2767" s="12"/>
      <c r="C2767" s="33"/>
      <c r="D2767" s="117" t="s">
        <v>668</v>
      </c>
      <c r="E2767" s="117"/>
      <c r="F2767" s="117"/>
      <c r="G2767" s="54" t="str">
        <f>IFERROR(VLOOKUP(F2750,'1to4-2.1-RR'!$A$12:$BG$111,9,0),"")</f>
        <v/>
      </c>
      <c r="H2767" s="54" t="str">
        <f>IFERROR(VLOOKUP(F2750,'1to4-2.1-RR'!$A$12:$BG$111,10,0),"")</f>
        <v/>
      </c>
      <c r="I2767" s="54" t="str">
        <f>IFERROR(VLOOKUP(F2750,'1to4-2.1-RR'!$A$12:$BG$111,11,0),"")</f>
        <v/>
      </c>
      <c r="J2767" s="54" t="str">
        <f>IFERROR(VLOOKUP(F2750,'1to4-2.1-RR'!$A$12:$BG$111,12,0),"")</f>
        <v/>
      </c>
      <c r="K2767" s="54" t="str">
        <f>IFERROR(VLOOKUP(F2750,'1to4-2.1-RR'!$A$12:$BG$111,13,0),"")</f>
        <v/>
      </c>
      <c r="L2767" s="55">
        <f>SUM(G2767:K2767)</f>
        <v>0</v>
      </c>
      <c r="M2767" s="56" t="str">
        <f>IF(F2750&gt;ENTRY!$D$24,"",IF(L2767=0,"Ab",IF(L2767&gt;80,"A",IF(L2767&gt;60,"B",IF(L2767&gt;44,"C",IF(L2767&gt;=33,"D",IF(L2767&lt;=32,"E","")))))))</f>
        <v/>
      </c>
      <c r="N2767" s="56"/>
      <c r="O2767" s="29"/>
      <c r="P2767" s="19"/>
      <c r="Q2767" s="14"/>
      <c r="R2767" s="11"/>
    </row>
    <row r="2768" s="1" customFormat="1" ht="21.95" customHeight="1" spans="1:18">
      <c r="A2768" s="7"/>
      <c r="B2768" s="12"/>
      <c r="C2768" s="33"/>
      <c r="D2768" s="117" t="s">
        <v>513</v>
      </c>
      <c r="E2768" s="117"/>
      <c r="F2768" s="117"/>
      <c r="G2768" s="54" t="str">
        <f>IFERROR(VLOOKUP(F2750,'1to4-2.1-RR'!$A$12:$BG$111,16,0),"")</f>
        <v/>
      </c>
      <c r="H2768" s="54" t="str">
        <f>IFERROR(VLOOKUP(F2750,'1to4-2.1-RR'!$A$12:$BG$111,17,0),"")</f>
        <v/>
      </c>
      <c r="I2768" s="54" t="str">
        <f>IFERROR(VLOOKUP(F2750,'1to4-2.1-RR'!$A$12:$BG$111,18,0),"")</f>
        <v/>
      </c>
      <c r="J2768" s="54" t="str">
        <f>IFERROR(VLOOKUP(F2750,'1to4-2.1-RR'!$A$12:$BG$111,19,0),"")</f>
        <v/>
      </c>
      <c r="K2768" s="54" t="str">
        <f>IFERROR(VLOOKUP(F2750,'1to4-2.1-RR'!$A$12:$BG$111,20,0),"")</f>
        <v/>
      </c>
      <c r="L2768" s="55">
        <f t="shared" ref="L2768:L2773" si="98">SUM(G2768:K2768)</f>
        <v>0</v>
      </c>
      <c r="M2768" s="56" t="str">
        <f>IF(F2750&gt;ENTRY!$D$24,"",IF(L2768=0,"Ab",IF(L2768&gt;80,"A",IF(L2768&gt;60,"B",IF(L2768&gt;44,"C",IF(L2768&gt;=33,"D",IF(L2768&lt;=32,"E","")))))))</f>
        <v/>
      </c>
      <c r="N2768" s="56"/>
      <c r="O2768" s="29"/>
      <c r="P2768" s="19"/>
      <c r="Q2768" s="14"/>
      <c r="R2768" s="11"/>
    </row>
    <row r="2769" s="1" customFormat="1" ht="21.95" customHeight="1" spans="1:19">
      <c r="A2769" s="7"/>
      <c r="B2769" s="12"/>
      <c r="C2769" s="33"/>
      <c r="D2769" s="117" t="s">
        <v>718</v>
      </c>
      <c r="E2769" s="117"/>
      <c r="F2769" s="117"/>
      <c r="G2769" s="54" t="str">
        <f>IFERROR(VLOOKUP(F2750,'1to4-2.1-RR'!$A$12:$BG$111,23,0),"")</f>
        <v/>
      </c>
      <c r="H2769" s="54" t="str">
        <f>IFERROR(VLOOKUP(F2750,'1to4-2.1-RR'!$A$12:$BG$111,24,0),"")</f>
        <v/>
      </c>
      <c r="I2769" s="54" t="str">
        <f>IFERROR(VLOOKUP(F2750,'1to4-2.1-RR'!$A$12:$BG$111,25,0),"")</f>
        <v/>
      </c>
      <c r="J2769" s="54" t="str">
        <f>IFERROR(VLOOKUP(F2750,'1to4-2.1-RR'!$A$12:$BG$111,26,0),"")</f>
        <v/>
      </c>
      <c r="K2769" s="54" t="str">
        <f>IFERROR(VLOOKUP(F2750,'1to4-2.1-RR'!$A$12:$BG$111,27,0),"")</f>
        <v/>
      </c>
      <c r="L2769" s="55">
        <f t="shared" si="98"/>
        <v>0</v>
      </c>
      <c r="M2769" s="56" t="str">
        <f>IF(F2750&gt;ENTRY!$D$24,"",IF(L2769=0,"Ab",IF(L2769&gt;80,"A",IF(L2769&gt;60,"B",IF(L2769&gt;44,"C",IF(L2769&gt;=33,"D",IF(L2769&lt;=32,"E","")))))))</f>
        <v/>
      </c>
      <c r="N2769" s="56"/>
      <c r="O2769" s="29"/>
      <c r="P2769" s="19"/>
      <c r="Q2769" s="14"/>
      <c r="R2769" s="11"/>
    </row>
    <row r="2770" s="1" customFormat="1" ht="21.95" customHeight="1" spans="1:19">
      <c r="A2770" s="7"/>
      <c r="B2770" s="12"/>
      <c r="C2770" s="33"/>
      <c r="D2770" s="117" t="s">
        <v>719</v>
      </c>
      <c r="E2770" s="117"/>
      <c r="F2770" s="117"/>
      <c r="G2770" s="54" t="str">
        <f>IFERROR(VLOOKUP(F2750,'1to4-2.1-RR'!$A$12:$BG$111,30,0),"")</f>
        <v/>
      </c>
      <c r="H2770" s="54" t="str">
        <f>IFERROR(VLOOKUP(F2750,'1to4-2.1-RR'!$A$12:$BG$111,31,0),"")</f>
        <v/>
      </c>
      <c r="I2770" s="54" t="str">
        <f>IFERROR(VLOOKUP(F2750,'1to4-2.1-RR'!$A$12:$BG$111,32,0),"")</f>
        <v/>
      </c>
      <c r="J2770" s="54" t="str">
        <f>IFERROR(VLOOKUP(F2750,'1to4-2.1-RR'!$A$12:$BG$111,33,0),"")</f>
        <v/>
      </c>
      <c r="K2770" s="54" t="str">
        <f>IFERROR(VLOOKUP(F2750,'1to4-2.1-RR'!$A$12:$BG$111,34,0),"")</f>
        <v/>
      </c>
      <c r="L2770" s="55">
        <f t="shared" si="98"/>
        <v>0</v>
      </c>
      <c r="M2770" s="56" t="str">
        <f>IF(F2750&gt;ENTRY!$D$24,"",IF(L2770=0,"Ab",IF(L2770&gt;80,"A",IF(L2770&gt;60,"B",IF(L2770&gt;44,"C",IF(L2770&gt;=33,"D",IF(L2770&lt;=32,"E","")))))))</f>
        <v/>
      </c>
      <c r="N2770" s="56"/>
      <c r="O2770" s="29"/>
      <c r="P2770" s="19"/>
      <c r="Q2770" s="14"/>
      <c r="R2770" s="11"/>
    </row>
    <row r="2771" s="1" customFormat="1" ht="21.95" customHeight="1" spans="1:19">
      <c r="A2771" s="7"/>
      <c r="B2771" s="12"/>
      <c r="C2771" s="33"/>
      <c r="D2771" s="117" t="s">
        <v>548</v>
      </c>
      <c r="E2771" s="117"/>
      <c r="F2771" s="117"/>
      <c r="G2771" s="54" t="str">
        <f>IFERROR(VLOOKUP(F2750,'1to4-2.1-RR'!$A$12:$BG$111,37,0),"")</f>
        <v/>
      </c>
      <c r="H2771" s="54" t="str">
        <f>IFERROR(VLOOKUP(F2750,'1to4-2.1-RR'!$A$12:$BG$111,38,0),"")</f>
        <v/>
      </c>
      <c r="I2771" s="54" t="str">
        <f>IFERROR(VLOOKUP(F2750,'1to4-2.1-RR'!$A$12:$BG$111,39,0),"")</f>
        <v/>
      </c>
      <c r="J2771" s="54" t="str">
        <f>IFERROR(VLOOKUP(F2750,'1to4-2.1-RR'!$A$12:$BG$111,40,0),"")</f>
        <v/>
      </c>
      <c r="K2771" s="54" t="str">
        <f>IFERROR(VLOOKUP(F2750,'1to4-2.1-RR'!$A$12:$BG$111,41,0),"")</f>
        <v/>
      </c>
      <c r="L2771" s="55">
        <f t="shared" si="98"/>
        <v>0</v>
      </c>
      <c r="M2771" s="56" t="str">
        <f>IF(F2750&gt;ENTRY!$D$24,"",IF(L2771=0,"Ab",IF(L2771&gt;80,"A",IF(L2771&gt;60,"B",IF(L2771&gt;44,"C",IF(L2771&gt;=33,"D",IF(L2771&lt;=32,"E","")))))))</f>
        <v/>
      </c>
      <c r="N2771" s="56"/>
      <c r="O2771" s="29"/>
      <c r="P2771" s="19"/>
      <c r="Q2771" s="14"/>
      <c r="R2771" s="11"/>
    </row>
    <row r="2772" s="1" customFormat="1" ht="21.95" customHeight="1" spans="1:19">
      <c r="A2772" s="7"/>
      <c r="B2772" s="12"/>
      <c r="C2772" s="33"/>
      <c r="D2772" s="117" t="s">
        <v>549</v>
      </c>
      <c r="E2772" s="117"/>
      <c r="F2772" s="117"/>
      <c r="G2772" s="54" t="str">
        <f>IFERROR(VLOOKUP(F2750,'1to4-2.1-RR'!$A$12:$BG$111,44,0),"")</f>
        <v/>
      </c>
      <c r="H2772" s="54" t="str">
        <f>IFERROR(VLOOKUP(F2750,'1to4-2.1-RR'!$A$12:$BG$111,45,0),"")</f>
        <v/>
      </c>
      <c r="I2772" s="54" t="str">
        <f>IFERROR(VLOOKUP(F2750,'1to4-2.1-RR'!$A$12:$BG$111,46,0),"")</f>
        <v/>
      </c>
      <c r="J2772" s="54" t="str">
        <f>IFERROR(VLOOKUP(F2750,'1to4-2.1-RR'!$A$12:$BG$111,47,0),"")</f>
        <v/>
      </c>
      <c r="K2772" s="54" t="str">
        <f>IFERROR(VLOOKUP(F2750,'1to4-2.1-RR'!$A$12:$BG$111,48,0),"")</f>
        <v/>
      </c>
      <c r="L2772" s="55">
        <f t="shared" si="98"/>
        <v>0</v>
      </c>
      <c r="M2772" s="56" t="str">
        <f>IF(F2750&gt;ENTRY!$D$24,"",IF(L2772=0,"Ab",IF(L2772&gt;80,"A",IF(L2772&gt;60,"B",IF(L2772&gt;44,"C",IF(L2772&gt;=33,"D",IF(L2772&lt;=32,"E","")))))))</f>
        <v/>
      </c>
      <c r="N2772" s="56"/>
      <c r="O2772" s="29"/>
      <c r="P2772" s="19"/>
      <c r="Q2772" s="14"/>
      <c r="R2772" s="11"/>
    </row>
    <row r="2773" s="1" customFormat="1" ht="21.95" customHeight="1" spans="1:19">
      <c r="A2773" s="7"/>
      <c r="B2773" s="12"/>
      <c r="C2773" s="33"/>
      <c r="D2773" s="117" t="s">
        <v>720</v>
      </c>
      <c r="E2773" s="117"/>
      <c r="F2773" s="117"/>
      <c r="G2773" s="54"/>
      <c r="H2773" s="54"/>
      <c r="I2773" s="54"/>
      <c r="J2773" s="54"/>
      <c r="K2773" s="54"/>
      <c r="L2773" s="55">
        <f t="shared" si="98"/>
        <v>0</v>
      </c>
      <c r="M2773" s="56" t="str">
        <f>IF(F2750&gt;ENTRY!$D$24,"",IF(L2773=0,"",IF(L2773&gt;79,"A",IF(L2773&gt;59,"B",IF(L2773&gt;44,"C",IF(L2773&gt;=33,"D",IF(L2773&lt;=32,"E","")))))))</f>
        <v/>
      </c>
      <c r="N2773" s="56"/>
      <c r="O2773" s="29"/>
      <c r="P2773" s="19"/>
      <c r="Q2773" s="14"/>
      <c r="R2773" s="11"/>
    </row>
    <row r="2774" s="1" customFormat="1" ht="21.95" customHeight="1" spans="1:19">
      <c r="A2774" s="7"/>
      <c r="B2774" s="12"/>
      <c r="C2774" s="33"/>
      <c r="D2774" s="207" t="s">
        <v>382</v>
      </c>
      <c r="E2774" s="207"/>
      <c r="F2774" s="207"/>
      <c r="G2774" s="54">
        <f t="shared" ref="G2774:L2774" si="99">IFERROR(SUM(G2767:G2773),"")</f>
        <v>0</v>
      </c>
      <c r="H2774" s="54">
        <f t="shared" si="99"/>
        <v>0</v>
      </c>
      <c r="I2774" s="54">
        <f t="shared" si="99"/>
        <v>0</v>
      </c>
      <c r="J2774" s="54">
        <f t="shared" si="99"/>
        <v>0</v>
      </c>
      <c r="K2774" s="54">
        <f t="shared" si="99"/>
        <v>0</v>
      </c>
      <c r="L2774" s="55">
        <f t="shared" si="99"/>
        <v>0</v>
      </c>
      <c r="M2774" s="61" t="str">
        <f>IF(F2750&gt;ENTRY!$D$24,"",IF(N2775="Ab","Ab",IF(N2775&gt;79.5,"A",IF(N2775&gt;59.5,"B",IF(N2775&gt;44.5,"C",IF(N2775&gt;=33,"D",IF(N2775&lt;33,"E","")))))))</f>
        <v/>
      </c>
      <c r="N2774" s="61"/>
      <c r="O2774" s="29"/>
      <c r="P2774" s="19"/>
      <c r="Q2774" s="14"/>
      <c r="R2774" s="11"/>
    </row>
    <row r="2775" s="1" customFormat="1" ht="21.95" customHeight="1" spans="1:19">
      <c r="A2775" s="7"/>
      <c r="B2775" s="12"/>
      <c r="C2775" s="33"/>
      <c r="D2775" s="63" t="s">
        <v>721</v>
      </c>
      <c r="E2775" s="63"/>
      <c r="F2775" s="63"/>
      <c r="G2775" s="63"/>
      <c r="H2775" s="63"/>
      <c r="I2775" s="63"/>
      <c r="J2775" s="63"/>
      <c r="K2775" s="63"/>
      <c r="L2775" s="63"/>
      <c r="M2775" s="209"/>
      <c r="N2775" s="64">
        <f>IF(L2774="Ab","Ab",L2774/6)</f>
        <v>0</v>
      </c>
      <c r="O2775" s="65"/>
      <c r="P2775" s="19"/>
      <c r="Q2775" s="14"/>
      <c r="R2775" s="11"/>
    </row>
    <row r="2776" s="1" customFormat="1" ht="21.95" customHeight="1" spans="1:19">
      <c r="A2776" s="7"/>
      <c r="B2776" s="12"/>
      <c r="C2776" s="33"/>
      <c r="D2776" s="29" t="s">
        <v>716</v>
      </c>
      <c r="E2776" s="18" t="str">
        <f>IFERROR(VLOOKUP(F2750,'1to4-2.1-RR'!$A$12:$BG$111,57,0),"")</f>
        <v/>
      </c>
      <c r="F2776" s="18"/>
      <c r="G2776" s="18"/>
      <c r="H2776" s="18"/>
      <c r="I2776" s="18"/>
      <c r="J2776" s="18"/>
      <c r="K2776" s="18"/>
      <c r="L2776" s="18"/>
      <c r="M2776" s="18"/>
      <c r="N2776" s="29"/>
      <c r="O2776" s="29"/>
      <c r="P2776" s="19"/>
      <c r="Q2776" s="14"/>
      <c r="R2776" s="11"/>
    </row>
    <row r="2777" s="1" customFormat="1" ht="9.95" customHeight="1" spans="1:19">
      <c r="A2777" s="7"/>
      <c r="B2777" s="12"/>
      <c r="C2777" s="39"/>
      <c r="D2777" s="40"/>
      <c r="E2777" s="40"/>
      <c r="F2777" s="40"/>
      <c r="G2777" s="40"/>
      <c r="H2777" s="40"/>
      <c r="I2777" s="40"/>
      <c r="J2777" s="40"/>
      <c r="K2777" s="40"/>
      <c r="L2777" s="40"/>
      <c r="M2777" s="40"/>
      <c r="N2777" s="40"/>
      <c r="O2777" s="40"/>
      <c r="P2777" s="41"/>
      <c r="Q2777" s="14"/>
      <c r="R2777" s="11"/>
    </row>
    <row r="2778" s="1" customFormat="1" ht="9.95" customHeight="1" spans="1:19">
      <c r="A2778" s="7"/>
      <c r="B2778" s="12"/>
      <c r="C2778" s="30"/>
      <c r="D2778" s="31"/>
      <c r="E2778" s="31"/>
      <c r="F2778" s="29"/>
      <c r="G2778" s="31"/>
      <c r="H2778" s="31"/>
      <c r="I2778" s="31"/>
      <c r="J2778" s="31"/>
      <c r="K2778" s="31"/>
      <c r="L2778" s="31"/>
      <c r="M2778" s="31"/>
      <c r="N2778" s="31"/>
      <c r="O2778" s="31"/>
      <c r="P2778" s="32"/>
      <c r="Q2778" s="14"/>
      <c r="R2778" s="11"/>
    </row>
    <row r="2779" s="1" customFormat="1" ht="9.95" customHeight="1" spans="1:19">
      <c r="A2779" s="7"/>
      <c r="B2779" s="12"/>
      <c r="C2779" s="33"/>
      <c r="D2779" s="29"/>
      <c r="E2779" s="29"/>
      <c r="F2779" s="29"/>
      <c r="G2779" s="29"/>
      <c r="H2779" s="29"/>
      <c r="I2779" s="29"/>
      <c r="J2779" s="29"/>
      <c r="K2779" s="29"/>
      <c r="L2779" s="29"/>
      <c r="M2779" s="29"/>
      <c r="N2779" s="29"/>
      <c r="O2779" s="29"/>
      <c r="P2779" s="19"/>
      <c r="Q2779" s="14"/>
      <c r="R2779" s="11"/>
    </row>
    <row r="2780" s="1" customFormat="1" ht="9.95" customHeight="1" spans="1:19">
      <c r="A2780" s="7"/>
      <c r="B2780" s="12"/>
      <c r="C2780" s="33"/>
      <c r="D2780" s="29"/>
      <c r="E2780" s="29"/>
      <c r="F2780" s="29"/>
      <c r="G2780" s="29"/>
      <c r="H2780" s="29"/>
      <c r="I2780" s="29"/>
      <c r="J2780" s="29"/>
      <c r="K2780" s="29"/>
      <c r="L2780" s="29"/>
      <c r="M2780" s="29"/>
      <c r="N2780" s="29"/>
      <c r="O2780" s="29"/>
      <c r="P2780" s="19"/>
      <c r="Q2780" s="14"/>
      <c r="R2780" s="11"/>
    </row>
    <row r="2781" s="1" customFormat="1" ht="21.95" customHeight="1" spans="1:19">
      <c r="A2781" s="7"/>
      <c r="B2781" s="12"/>
      <c r="C2781" s="210"/>
      <c r="D2781" s="211"/>
      <c r="E2781" s="211"/>
      <c r="F2781" s="211"/>
      <c r="G2781" s="211"/>
      <c r="H2781" s="211"/>
      <c r="I2781" s="211"/>
      <c r="J2781" s="211"/>
      <c r="K2781" s="211"/>
      <c r="L2781" s="211"/>
      <c r="M2781" s="211"/>
      <c r="N2781" s="211"/>
      <c r="O2781" s="211"/>
      <c r="P2781" s="212"/>
      <c r="Q2781" s="14"/>
      <c r="R2781" s="11"/>
      <c r="S2781" s="2"/>
    </row>
    <row r="2782" s="1" customFormat="1" ht="21.95" customHeight="1" spans="1:19">
      <c r="A2782" s="7"/>
      <c r="B2782" s="12"/>
      <c r="C2782" s="33"/>
      <c r="D2782" s="207" t="s">
        <v>722</v>
      </c>
      <c r="E2782" s="207"/>
      <c r="F2782" s="207"/>
      <c r="G2782" s="207"/>
      <c r="H2782" s="54">
        <f>IFERROR(VLOOKUP(F2750,PASHEET!$A$4:$CJ$103,88,0),"")</f>
        <v>0</v>
      </c>
      <c r="I2782" s="54"/>
      <c r="J2782" s="29"/>
      <c r="K2782" s="29"/>
      <c r="L2782" s="29"/>
      <c r="M2782" s="29"/>
      <c r="N2782" s="29"/>
      <c r="O2782" s="29"/>
      <c r="P2782" s="19"/>
      <c r="Q2782" s="14"/>
      <c r="R2782" s="11"/>
    </row>
    <row r="2783" s="1" customFormat="1" ht="21.95" customHeight="1" spans="1:19">
      <c r="A2783" s="7"/>
      <c r="B2783" s="12"/>
      <c r="C2783" s="213"/>
      <c r="D2783" s="207" t="s">
        <v>723</v>
      </c>
      <c r="E2783" s="207"/>
      <c r="F2783" s="207"/>
      <c r="G2783" s="207"/>
      <c r="H2783" s="54">
        <f>IFERROR(VLOOKUP(F2750,PASHEET!$A$4:$CJ$103,87,0),"")</f>
        <v>0</v>
      </c>
      <c r="I2783" s="54"/>
      <c r="J2783" s="214"/>
      <c r="K2783" s="214"/>
      <c r="L2783" s="207" t="s">
        <v>724</v>
      </c>
      <c r="M2783" s="207"/>
      <c r="N2783" s="117" t="str">
        <f>IF(F2750&gt;ENTRY!$D$24,"",IF(F2750&gt;0,L2774&amp;" / "&amp;600,""))</f>
        <v/>
      </c>
      <c r="O2783" s="117"/>
      <c r="P2783" s="215"/>
      <c r="Q2783" s="14"/>
      <c r="R2783" s="11"/>
    </row>
    <row r="2784" s="1" customFormat="1" ht="18" customHeight="1" spans="1:19">
      <c r="A2784" s="7"/>
      <c r="B2784" s="12"/>
      <c r="C2784" s="33"/>
      <c r="D2784" s="207" t="s">
        <v>725</v>
      </c>
      <c r="E2784" s="207"/>
      <c r="F2784" s="207"/>
      <c r="G2784" s="207"/>
      <c r="H2784" s="69" t="str">
        <f>IFERROR(IF(F2750&gt;0,H2783/H2782*100),"")</f>
        <v/>
      </c>
      <c r="I2784" s="69"/>
      <c r="J2784" s="29"/>
      <c r="K2784" s="29"/>
      <c r="L2784" s="207" t="s">
        <v>726</v>
      </c>
      <c r="M2784" s="207"/>
      <c r="N2784" s="216" t="str">
        <f>IF(F2750&gt;ENTRY!$D$24,"",IF(F2750&gt;0,L2774/600*100,""))</f>
        <v/>
      </c>
      <c r="O2784" s="216"/>
      <c r="P2784" s="19"/>
      <c r="Q2784" s="14"/>
      <c r="R2784" s="11"/>
    </row>
    <row r="2785" s="1" customFormat="1" ht="21.95" customHeight="1" spans="1:18">
      <c r="A2785" s="7"/>
      <c r="B2785" s="12"/>
      <c r="C2785" s="33"/>
      <c r="D2785" s="80"/>
      <c r="E2785" s="80"/>
      <c r="F2785" s="217"/>
      <c r="G2785" s="217"/>
      <c r="H2785" s="217"/>
      <c r="I2785" s="217"/>
      <c r="J2785" s="217"/>
      <c r="K2785" s="217"/>
      <c r="L2785" s="217"/>
      <c r="M2785" s="217"/>
      <c r="N2785" s="80"/>
      <c r="O2785" s="80"/>
      <c r="P2785" s="19"/>
      <c r="Q2785" s="14"/>
      <c r="R2785" s="11"/>
    </row>
    <row r="2786" s="1" customFormat="1" ht="21.95" customHeight="1" spans="1:18">
      <c r="A2786" s="7"/>
      <c r="B2786" s="12"/>
      <c r="C2786" s="33"/>
      <c r="D2786" s="80"/>
      <c r="E2786" s="218"/>
      <c r="F2786" s="218"/>
      <c r="G2786" s="218"/>
      <c r="H2786" s="80"/>
      <c r="I2786" s="218"/>
      <c r="J2786" s="218"/>
      <c r="K2786" s="218"/>
      <c r="L2786" s="218"/>
      <c r="M2786" s="80"/>
      <c r="N2786" s="219"/>
      <c r="O2786" s="219"/>
      <c r="P2786" s="19"/>
      <c r="Q2786" s="14"/>
      <c r="R2786" s="11"/>
    </row>
    <row r="2787" s="1" customFormat="1" ht="21.95" customHeight="1" spans="1:18">
      <c r="A2787" s="7"/>
      <c r="B2787" s="12"/>
      <c r="C2787" s="33"/>
      <c r="D2787" s="80"/>
      <c r="E2787" s="80"/>
      <c r="F2787" s="80"/>
      <c r="G2787" s="80"/>
      <c r="H2787" s="80"/>
      <c r="I2787" s="80"/>
      <c r="J2787" s="80"/>
      <c r="K2787" s="80"/>
      <c r="L2787" s="80"/>
      <c r="M2787" s="80"/>
      <c r="N2787" s="80"/>
      <c r="O2787" s="80"/>
      <c r="P2787" s="19"/>
      <c r="Q2787" s="14"/>
      <c r="R2787" s="11"/>
    </row>
    <row r="2788" s="1" customFormat="1" ht="21.95" customHeight="1" spans="1:18">
      <c r="A2788" s="7"/>
      <c r="B2788" s="12"/>
      <c r="C2788" s="33"/>
      <c r="D2788" s="218"/>
      <c r="E2788" s="218"/>
      <c r="F2788" s="218"/>
      <c r="G2788" s="218"/>
      <c r="H2788" s="218"/>
      <c r="I2788" s="218"/>
      <c r="J2788" s="218"/>
      <c r="K2788" s="218"/>
      <c r="L2788" s="218"/>
      <c r="M2788" s="80"/>
      <c r="N2788" s="217"/>
      <c r="O2788" s="217"/>
      <c r="P2788" s="85" t="s">
        <v>727</v>
      </c>
      <c r="Q2788" s="14"/>
      <c r="R2788" s="11"/>
    </row>
    <row r="2789" s="1" customFormat="1" ht="21.95" customHeight="1" spans="1:18">
      <c r="A2789" s="7"/>
      <c r="B2789" s="12"/>
      <c r="C2789" s="33"/>
      <c r="D2789" s="29"/>
      <c r="E2789" s="29"/>
      <c r="F2789" s="29"/>
      <c r="G2789" s="29"/>
      <c r="H2789" s="29"/>
      <c r="I2789" s="29"/>
      <c r="J2789" s="29"/>
      <c r="K2789" s="29"/>
      <c r="L2789" s="29"/>
      <c r="M2789" s="29"/>
      <c r="N2789" s="29"/>
      <c r="O2789" s="29"/>
      <c r="P2789" s="19"/>
      <c r="Q2789" s="14"/>
      <c r="R2789" s="11"/>
    </row>
    <row r="2790" s="1" customFormat="1" ht="21.95" customHeight="1" spans="1:18">
      <c r="A2790" s="7"/>
      <c r="B2790" s="12"/>
      <c r="C2790" s="33"/>
      <c r="D2790" s="29"/>
      <c r="E2790" s="29"/>
      <c r="F2790" s="29"/>
      <c r="G2790" s="29"/>
      <c r="H2790" s="29"/>
      <c r="I2790" s="29"/>
      <c r="J2790" s="29"/>
      <c r="K2790" s="29"/>
      <c r="L2790" s="29"/>
      <c r="M2790" s="29"/>
      <c r="N2790" s="29"/>
      <c r="O2790" s="29"/>
      <c r="P2790" s="19"/>
      <c r="Q2790" s="14"/>
      <c r="R2790" s="11"/>
    </row>
    <row r="2791" s="1" customFormat="1" ht="21.95" customHeight="1" spans="1:18">
      <c r="A2791" s="7"/>
      <c r="B2791" s="12"/>
      <c r="C2791" s="33"/>
      <c r="D2791" s="29"/>
      <c r="E2791" s="29"/>
      <c r="F2791" s="29"/>
      <c r="G2791" s="29"/>
      <c r="H2791" s="29"/>
      <c r="I2791" s="29"/>
      <c r="J2791" s="29"/>
      <c r="K2791" s="29"/>
      <c r="L2791" s="29"/>
      <c r="M2791" s="29"/>
      <c r="N2791" s="29"/>
      <c r="O2791" s="29"/>
      <c r="P2791" s="19"/>
      <c r="Q2791" s="14"/>
      <c r="R2791" s="11"/>
    </row>
    <row r="2792" s="1" customFormat="1" ht="21.95" customHeight="1" spans="1:18">
      <c r="A2792" s="7"/>
      <c r="B2792" s="12"/>
      <c r="C2792" s="33"/>
      <c r="D2792" s="29"/>
      <c r="E2792" s="29"/>
      <c r="F2792" s="29"/>
      <c r="G2792" s="29"/>
      <c r="H2792" s="29"/>
      <c r="I2792" s="29"/>
      <c r="J2792" s="29"/>
      <c r="K2792" s="29"/>
      <c r="L2792" s="29"/>
      <c r="M2792" s="29"/>
      <c r="N2792" s="29"/>
      <c r="O2792" s="29"/>
      <c r="P2792" s="19"/>
      <c r="Q2792" s="14"/>
      <c r="R2792" s="11"/>
    </row>
    <row r="2793" s="1" customFormat="1" ht="21.95" customHeight="1" spans="1:18">
      <c r="A2793" s="7"/>
      <c r="B2793" s="12"/>
      <c r="C2793" s="33"/>
      <c r="D2793" s="29"/>
      <c r="E2793" s="29"/>
      <c r="F2793" s="29"/>
      <c r="G2793" s="29"/>
      <c r="H2793" s="29"/>
      <c r="I2793" s="29"/>
      <c r="J2793" s="29"/>
      <c r="K2793" s="29"/>
      <c r="L2793" s="29"/>
      <c r="M2793" s="29"/>
      <c r="N2793" s="29"/>
      <c r="O2793" s="29"/>
      <c r="P2793" s="19"/>
      <c r="Q2793" s="14"/>
      <c r="R2793" s="11"/>
    </row>
    <row r="2794" s="1" customFormat="1" ht="21.95" customHeight="1" spans="1:18">
      <c r="A2794" s="7"/>
      <c r="B2794" s="12"/>
      <c r="C2794" s="33"/>
      <c r="D2794" s="80" t="s">
        <v>728</v>
      </c>
      <c r="E2794" s="220">
        <f>ENTRY!$D$27</f>
        <v>46102</v>
      </c>
      <c r="F2794" s="220"/>
      <c r="G2794" s="29"/>
      <c r="H2794" s="29"/>
      <c r="I2794" s="221" t="s">
        <v>729</v>
      </c>
      <c r="J2794" s="153"/>
      <c r="K2794" s="29"/>
      <c r="L2794" s="29"/>
      <c r="M2794" s="87" t="s">
        <v>730</v>
      </c>
      <c r="N2794" s="87"/>
      <c r="O2794" s="87"/>
      <c r="P2794" s="19"/>
      <c r="Q2794" s="14"/>
      <c r="R2794" s="11"/>
    </row>
    <row r="2795" s="1" customFormat="1" ht="21.95" customHeight="1" spans="1:18">
      <c r="A2795" s="7"/>
      <c r="B2795" s="12"/>
      <c r="C2795" s="33"/>
      <c r="D2795" s="80" t="s">
        <v>731</v>
      </c>
      <c r="E2795" s="88" t="str">
        <f>PROPER(ENTRY!$D$28)</f>
        <v>New Delhi</v>
      </c>
      <c r="F2795" s="88"/>
      <c r="G2795" s="29"/>
      <c r="H2795" s="29"/>
      <c r="I2795" s="153"/>
      <c r="J2795" s="153"/>
      <c r="K2795" s="29"/>
      <c r="L2795" s="29"/>
      <c r="M2795" s="79" t="s">
        <v>732</v>
      </c>
      <c r="N2795" s="79"/>
      <c r="O2795" s="79"/>
      <c r="P2795" s="19"/>
      <c r="Q2795" s="14"/>
      <c r="R2795" s="11"/>
    </row>
    <row r="2796" s="1" customFormat="1" ht="21.95" customHeight="1" spans="1:18">
      <c r="A2796" s="7"/>
      <c r="B2796" s="12"/>
      <c r="C2796" s="90"/>
      <c r="D2796" s="91"/>
      <c r="E2796" s="91"/>
      <c r="F2796" s="91"/>
      <c r="G2796" s="91"/>
      <c r="H2796" s="91"/>
      <c r="I2796" s="91"/>
      <c r="J2796" s="91"/>
      <c r="K2796" s="91"/>
      <c r="L2796" s="91"/>
      <c r="M2796" s="91"/>
      <c r="N2796" s="91"/>
      <c r="O2796" s="91"/>
      <c r="P2796" s="92"/>
      <c r="Q2796" s="14"/>
      <c r="R2796" s="11"/>
    </row>
    <row r="2797" s="1" customFormat="1" ht="5.1" customHeight="1" spans="1:18">
      <c r="A2797" s="7"/>
      <c r="B2797" s="90"/>
      <c r="C2797" s="91"/>
      <c r="D2797" s="91"/>
      <c r="E2797" s="91"/>
      <c r="F2797" s="91"/>
      <c r="G2797" s="91"/>
      <c r="H2797" s="91"/>
      <c r="I2797" s="91"/>
      <c r="J2797" s="91"/>
      <c r="K2797" s="91"/>
      <c r="L2797" s="91"/>
      <c r="M2797" s="91"/>
      <c r="N2797" s="91"/>
      <c r="O2797" s="91"/>
      <c r="P2797" s="91"/>
      <c r="Q2797" s="92"/>
      <c r="R2797" s="11"/>
    </row>
    <row r="2798" s="1" customFormat="1" ht="5.1" customHeight="1" spans="1:18">
      <c r="A2798" s="93"/>
      <c r="B2798" s="94"/>
      <c r="C2798" s="94"/>
      <c r="D2798" s="94"/>
      <c r="E2798" s="94"/>
      <c r="F2798" s="94"/>
      <c r="G2798" s="94"/>
      <c r="H2798" s="94"/>
      <c r="I2798" s="94"/>
      <c r="J2798" s="94"/>
      <c r="K2798" s="94"/>
      <c r="L2798" s="94"/>
      <c r="M2798" s="94"/>
      <c r="N2798" s="94"/>
      <c r="O2798" s="94"/>
      <c r="P2798" s="94"/>
      <c r="Q2798" s="94"/>
      <c r="R2798" s="95"/>
    </row>
    <row r="2799" s="1" customFormat="1" ht="21.95" customHeight="1"/>
    <row r="2800" ht="15.15"/>
    <row r="2801" s="1" customFormat="1" ht="5.1" customHeight="1" spans="1:18">
      <c r="A2801" s="4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  <c r="O2801" s="5"/>
      <c r="P2801" s="5"/>
      <c r="Q2801" s="5"/>
      <c r="R2801" s="6"/>
    </row>
    <row r="2802" s="1" customFormat="1" ht="15" customHeight="1" spans="1:18">
      <c r="A2802" s="7"/>
      <c r="B2802" s="8"/>
      <c r="C2802" s="9"/>
      <c r="D2802" s="9"/>
      <c r="E2802" s="9"/>
      <c r="F2802" s="9"/>
      <c r="G2802" s="9"/>
      <c r="H2802" s="9"/>
      <c r="I2802" s="9"/>
      <c r="J2802" s="9"/>
      <c r="K2802" s="9"/>
      <c r="L2802" s="9"/>
      <c r="M2802" s="9"/>
      <c r="N2802" s="9"/>
      <c r="O2802" s="9"/>
      <c r="P2802" s="9"/>
      <c r="Q2802" s="10"/>
      <c r="R2802" s="11"/>
    </row>
    <row r="2803" s="1" customFormat="1" ht="21.95" customHeight="1" spans="1:18">
      <c r="A2803" s="7"/>
      <c r="B2803" s="12"/>
      <c r="C2803" s="13" t="s">
        <v>7</v>
      </c>
      <c r="D2803" s="13"/>
      <c r="E2803" s="13"/>
      <c r="F2803" s="13"/>
      <c r="G2803" s="13"/>
      <c r="H2803" s="13"/>
      <c r="I2803" s="13"/>
      <c r="J2803" s="13"/>
      <c r="K2803" s="13"/>
      <c r="L2803" s="13"/>
      <c r="M2803" s="13"/>
      <c r="N2803" s="13"/>
      <c r="O2803" s="13"/>
      <c r="P2803" s="13"/>
      <c r="Q2803" s="14"/>
      <c r="R2803" s="11"/>
    </row>
    <row r="2804" s="1" customFormat="1" ht="21.95" customHeight="1" spans="1:18">
      <c r="A2804" s="7"/>
      <c r="B2804" s="1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14"/>
      <c r="R2804" s="11"/>
    </row>
    <row r="2805" s="1" customFormat="1" ht="21.95" customHeight="1" spans="1:18">
      <c r="A2805" s="7"/>
      <c r="B2805" s="12"/>
      <c r="C2805" s="15" t="str">
        <f>"SESSION-"&amp;ENTRY!$D$11</f>
        <v>SESSION-2026-27</v>
      </c>
      <c r="D2805" s="15"/>
      <c r="E2805" s="15"/>
      <c r="F2805" s="15"/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4"/>
      <c r="R2805" s="11"/>
    </row>
    <row r="2806" s="1" customFormat="1" ht="21.95" customHeight="1" spans="1:18">
      <c r="A2806" s="7"/>
      <c r="B2806" s="12"/>
      <c r="C2806" s="2"/>
      <c r="D2806" s="2"/>
      <c r="E2806" s="2"/>
      <c r="F2806" s="16">
        <f>F2750+1</f>
        <v>51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14"/>
      <c r="R2806" s="11"/>
    </row>
    <row r="2807" s="1" customFormat="1" ht="21.95" customHeight="1" spans="1:18">
      <c r="A2807" s="7"/>
      <c r="B2807" s="12"/>
      <c r="C2807" s="17" t="s">
        <v>392</v>
      </c>
      <c r="D2807" s="17"/>
      <c r="E2807" s="17"/>
      <c r="F2807" s="18" t="str">
        <f>IF(F2806&gt;0,ENTRY!$D$6,"")</f>
        <v>MCP NITHARI NO 1 BOYS</v>
      </c>
      <c r="G2807" s="18"/>
      <c r="H2807" s="18"/>
      <c r="I2807" s="18"/>
      <c r="J2807" s="18"/>
      <c r="K2807" s="18"/>
      <c r="L2807" s="18"/>
      <c r="M2807" s="18"/>
      <c r="N2807" s="18"/>
      <c r="O2807" s="18"/>
      <c r="P2807" s="18"/>
      <c r="Q2807" s="14"/>
      <c r="R2807" s="11"/>
    </row>
    <row r="2808" s="1" customFormat="1" ht="21.95" customHeight="1" spans="1:18">
      <c r="A2808" s="7"/>
      <c r="B2808" s="12"/>
      <c r="C2808" s="17" t="s">
        <v>393</v>
      </c>
      <c r="D2808" s="17"/>
      <c r="E2808" s="17"/>
      <c r="F2808" s="18">
        <f>IF(F2806&gt;0,ENTRY!$D$7,"")</f>
        <v>0</v>
      </c>
      <c r="G2808" s="18"/>
      <c r="H2808" s="20" t="s">
        <v>702</v>
      </c>
      <c r="I2808" s="20"/>
      <c r="J2808" s="21">
        <f>IF(F2806&gt;0,ENTRY!$D$10,"")</f>
        <v>40</v>
      </c>
      <c r="K2808" s="20" t="s">
        <v>703</v>
      </c>
      <c r="L2808" s="22" t="str">
        <f>IF(F2806&gt;0,ENTRY!$D$5,"")</f>
        <v>ROHINI ZONE</v>
      </c>
      <c r="M2808" s="22"/>
      <c r="N2808" s="22"/>
      <c r="O2808" s="22"/>
      <c r="P2808" s="22"/>
      <c r="Q2808" s="14"/>
      <c r="R2808" s="11"/>
    </row>
    <row r="2809" s="1" customFormat="1" ht="21.95" customHeight="1" spans="1:18">
      <c r="A2809" s="7"/>
      <c r="B2809" s="12"/>
      <c r="C2809" s="17" t="s">
        <v>706</v>
      </c>
      <c r="D2809" s="17"/>
      <c r="E2809" s="17"/>
      <c r="F2809" s="23">
        <f>IFERROR(VLOOKUP(F2806,STUDENT!$A$2:$BP$101,5,0),"")</f>
        <v>0</v>
      </c>
      <c r="G2809" s="23"/>
      <c r="H2809" s="23"/>
      <c r="I2809" s="23"/>
      <c r="J2809" s="23"/>
      <c r="K2809" s="23"/>
      <c r="L2809" s="20" t="s">
        <v>707</v>
      </c>
      <c r="M2809" s="20"/>
      <c r="N2809" s="24" t="str">
        <f>IF(F2806&gt;0,ENTRY!$D$20&amp;"-"&amp;ENTRY!$D$21,"")</f>
        <v>III-A</v>
      </c>
      <c r="O2809" s="24"/>
      <c r="P2809" s="24"/>
      <c r="Q2809" s="14"/>
      <c r="R2809" s="11"/>
    </row>
    <row r="2810" s="1" customFormat="1" ht="21.95" customHeight="1" spans="1:18">
      <c r="A2810" s="7"/>
      <c r="B2810" s="12"/>
      <c r="C2810" s="17" t="s">
        <v>708</v>
      </c>
      <c r="D2810" s="17"/>
      <c r="E2810" s="17"/>
      <c r="F2810" s="25">
        <f>IFERROR(VLOOKUP(F2806,STUDENT!$A$2:$BP$101,6,0),"")</f>
        <v>0</v>
      </c>
      <c r="G2810" s="25"/>
      <c r="H2810" s="26" t="s">
        <v>709</v>
      </c>
      <c r="I2810" s="27" t="str">
        <f>IFERROR(VLOOKUP(F2806,STUDENT!$A$2:$BP$101,59,0),"")</f>
        <v/>
      </c>
      <c r="J2810" s="27"/>
      <c r="K2810" s="20" t="s">
        <v>710</v>
      </c>
      <c r="L2810" s="20"/>
      <c r="M2810" s="28">
        <f>IFERROR(VLOOKUP(F2806,STUDENT!$A$2:$BP$101,20,0),"")</f>
        <v>0</v>
      </c>
      <c r="N2810" s="28"/>
      <c r="O2810" s="28"/>
      <c r="P2810" s="28"/>
      <c r="Q2810" s="14"/>
      <c r="R2810" s="11"/>
    </row>
    <row r="2811" s="1" customFormat="1" ht="21.95" customHeight="1" spans="1:18">
      <c r="A2811" s="7"/>
      <c r="B2811" s="12"/>
      <c r="C2811" s="17" t="s">
        <v>711</v>
      </c>
      <c r="D2811" s="17"/>
      <c r="E2811" s="17"/>
      <c r="F2811" s="23">
        <f>IFERROR(VLOOKUP(F2806,STUDENT!$A$2:$BP$101,9,0),"")</f>
        <v>0</v>
      </c>
      <c r="G2811" s="23"/>
      <c r="H2811" s="23"/>
      <c r="I2811" s="23"/>
      <c r="J2811" s="17" t="s">
        <v>620</v>
      </c>
      <c r="K2811" s="17"/>
      <c r="L2811" s="23">
        <f>IFERROR(VLOOKUP(F2806,STUDENT!$A$2:$BP$101,8,0),"")</f>
        <v>0</v>
      </c>
      <c r="M2811" s="23"/>
      <c r="N2811" s="23"/>
      <c r="O2811" s="23"/>
      <c r="P2811" s="23"/>
      <c r="Q2811" s="14"/>
      <c r="R2811" s="11"/>
    </row>
    <row r="2812" s="1" customFormat="1" ht="21.95" customHeight="1" spans="1:18">
      <c r="A2812" s="7"/>
      <c r="B2812" s="12"/>
      <c r="C2812" s="17" t="s">
        <v>712</v>
      </c>
      <c r="D2812" s="17"/>
      <c r="E2812" s="17"/>
      <c r="F2812" s="23">
        <f>IFERROR(VLOOKUP(F2806,STUDENT!$A$2:$BP$101,22,0),"")</f>
        <v>0</v>
      </c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14"/>
      <c r="R2812" s="11"/>
    </row>
    <row r="2813" s="1" customFormat="1" ht="9.95" customHeight="1" spans="1:18">
      <c r="A2813" s="7"/>
      <c r="B2813" s="12"/>
      <c r="C2813" s="29"/>
      <c r="D2813" s="29"/>
      <c r="E2813" s="29"/>
      <c r="F2813" s="29"/>
      <c r="G2813" s="29"/>
      <c r="H2813" s="29"/>
      <c r="I2813" s="29"/>
      <c r="J2813" s="29"/>
      <c r="K2813" s="29"/>
      <c r="L2813" s="29"/>
      <c r="M2813" s="29"/>
      <c r="N2813" s="29"/>
      <c r="O2813" s="29"/>
      <c r="P2813" s="29"/>
      <c r="Q2813" s="14"/>
      <c r="R2813" s="11"/>
    </row>
    <row r="2814" s="1" customFormat="1" ht="9.95" customHeight="1" spans="1:18">
      <c r="A2814" s="7"/>
      <c r="B2814" s="12"/>
      <c r="C2814" s="30"/>
      <c r="D2814" s="31"/>
      <c r="E2814" s="31"/>
      <c r="F2814" s="31"/>
      <c r="G2814" s="31"/>
      <c r="H2814" s="31"/>
      <c r="I2814" s="31"/>
      <c r="J2814" s="31"/>
      <c r="K2814" s="31"/>
      <c r="L2814" s="31"/>
      <c r="M2814" s="31"/>
      <c r="N2814" s="31"/>
      <c r="O2814" s="31"/>
      <c r="P2814" s="32"/>
      <c r="Q2814" s="14"/>
      <c r="R2814" s="11"/>
    </row>
    <row r="2815" s="1" customFormat="1" ht="21.95" customHeight="1" spans="1:18">
      <c r="A2815" s="7"/>
      <c r="B2815" s="12"/>
      <c r="C2815" s="33"/>
      <c r="D2815" s="34" t="s">
        <v>713</v>
      </c>
      <c r="E2815" s="20" t="s">
        <v>714</v>
      </c>
      <c r="F2815" s="35" t="str">
        <f>"Level - "&amp;IFERROR(VLOOKUP(F2806,FLN!$A$4:$K$103,9,0),"")</f>
        <v>Level - </v>
      </c>
      <c r="G2815" s="36"/>
      <c r="H2815" s="37" t="s">
        <v>715</v>
      </c>
      <c r="I2815" s="20"/>
      <c r="J2815" s="35" t="str">
        <f>"Level - "&amp;IFERROR(VLOOKUP(F2806,FLN!$A$4:$K$103,11,0),"")</f>
        <v>Level - </v>
      </c>
      <c r="K2815" s="36"/>
      <c r="L2815" s="37" t="s">
        <v>408</v>
      </c>
      <c r="M2815" s="20"/>
      <c r="N2815" s="35" t="str">
        <f>"Level - "&amp;IFERROR(VLOOKUP(F2806,FLN!$A$4:$K$103,10,0),"")</f>
        <v>Level - </v>
      </c>
      <c r="O2815" s="36"/>
      <c r="P2815" s="19"/>
      <c r="Q2815" s="14"/>
      <c r="R2815" s="11"/>
    </row>
    <row r="2816" s="1" customFormat="1" ht="21.95" customHeight="1" spans="1:18">
      <c r="A2816" s="7"/>
      <c r="B2816" s="12"/>
      <c r="C2816" s="33"/>
      <c r="D2816" s="38"/>
      <c r="E2816" s="20" t="s">
        <v>716</v>
      </c>
      <c r="F2816" s="18" t="str">
        <f>IF(L2830&gt;197,"PERFORMED WELL","")</f>
        <v/>
      </c>
      <c r="G2816" s="18"/>
      <c r="H2816" s="18"/>
      <c r="I2816" s="18"/>
      <c r="J2816" s="18"/>
      <c r="K2816" s="18"/>
      <c r="L2816" s="18"/>
      <c r="M2816" s="18"/>
      <c r="N2816" s="18"/>
      <c r="O2816" s="18"/>
      <c r="P2816" s="19"/>
      <c r="Q2816" s="14"/>
      <c r="R2816" s="11"/>
    </row>
    <row r="2817" s="1" customFormat="1" ht="9.95" customHeight="1" spans="1:18">
      <c r="A2817" s="7"/>
      <c r="B2817" s="12"/>
      <c r="C2817" s="39"/>
      <c r="D2817" s="40"/>
      <c r="E2817" s="40"/>
      <c r="F2817" s="40"/>
      <c r="G2817" s="40"/>
      <c r="H2817" s="40"/>
      <c r="I2817" s="40"/>
      <c r="J2817" s="40"/>
      <c r="K2817" s="40"/>
      <c r="L2817" s="40"/>
      <c r="M2817" s="40"/>
      <c r="N2817" s="40"/>
      <c r="O2817" s="40"/>
      <c r="P2817" s="41"/>
      <c r="Q2817" s="14"/>
      <c r="R2817" s="11"/>
    </row>
    <row r="2818" s="1" customFormat="1" ht="9.95" customHeight="1" spans="1:18">
      <c r="A2818" s="7"/>
      <c r="B2818" s="12"/>
      <c r="C2818" s="29"/>
      <c r="D2818" s="29"/>
      <c r="E2818" s="29"/>
      <c r="F2818" s="29"/>
      <c r="G2818" s="29"/>
      <c r="H2818" s="29"/>
      <c r="I2818" s="29"/>
      <c r="J2818" s="29"/>
      <c r="K2818" s="29"/>
      <c r="L2818" s="29"/>
      <c r="M2818" s="29"/>
      <c r="N2818" s="29"/>
      <c r="O2818" s="29"/>
      <c r="P2818" s="29"/>
      <c r="Q2818" s="14"/>
      <c r="R2818" s="11"/>
    </row>
    <row r="2819" s="1" customFormat="1" ht="9.95" customHeight="1" spans="1:18">
      <c r="A2819" s="7"/>
      <c r="B2819" s="12"/>
      <c r="C2819" s="30"/>
      <c r="D2819" s="31"/>
      <c r="E2819" s="31"/>
      <c r="F2819" s="31"/>
      <c r="G2819" s="31"/>
      <c r="H2819" s="31"/>
      <c r="I2819" s="31"/>
      <c r="J2819" s="31"/>
      <c r="K2819" s="31"/>
      <c r="L2819" s="31"/>
      <c r="M2819" s="31"/>
      <c r="N2819" s="31"/>
      <c r="O2819" s="31"/>
      <c r="P2819" s="32"/>
      <c r="Q2819" s="14"/>
      <c r="R2819" s="11"/>
    </row>
    <row r="2820" s="1" customFormat="1" ht="21.95" customHeight="1" spans="1:18">
      <c r="A2820" s="7"/>
      <c r="B2820" s="12"/>
      <c r="C2820" s="33"/>
      <c r="D2820" s="35"/>
      <c r="E2820" s="24"/>
      <c r="F2820" s="24"/>
      <c r="G2820" s="47" t="s">
        <v>717</v>
      </c>
      <c r="H2820" s="47"/>
      <c r="I2820" s="47"/>
      <c r="J2820" s="47"/>
      <c r="K2820" s="47"/>
      <c r="L2820" s="47"/>
      <c r="M2820" s="47"/>
      <c r="N2820" s="47"/>
      <c r="O2820" s="29"/>
      <c r="P2820" s="19"/>
      <c r="Q2820" s="14"/>
      <c r="R2820" s="11"/>
    </row>
    <row r="2821" s="1" customFormat="1" ht="21.95" customHeight="1" spans="1:18">
      <c r="A2821" s="7"/>
      <c r="B2821" s="12"/>
      <c r="C2821" s="33"/>
      <c r="D2821" s="47"/>
      <c r="E2821" s="47"/>
      <c r="F2821" s="47"/>
      <c r="G2821" s="47" t="s">
        <v>541</v>
      </c>
      <c r="H2821" s="47" t="s">
        <v>542</v>
      </c>
      <c r="I2821" s="47" t="s">
        <v>543</v>
      </c>
      <c r="J2821" s="47" t="s">
        <v>544</v>
      </c>
      <c r="K2821" s="47" t="s">
        <v>561</v>
      </c>
      <c r="L2821" s="47" t="s">
        <v>382</v>
      </c>
      <c r="M2821" s="49" t="s">
        <v>546</v>
      </c>
      <c r="N2821" s="49"/>
      <c r="O2821" s="29"/>
      <c r="P2821" s="19"/>
      <c r="Q2821" s="14"/>
      <c r="R2821" s="11"/>
    </row>
    <row r="2822" s="1" customFormat="1" ht="21.95" customHeight="1" spans="1:18">
      <c r="A2822" s="7"/>
      <c r="B2822" s="12"/>
      <c r="C2822" s="33"/>
      <c r="D2822" s="207" t="s">
        <v>652</v>
      </c>
      <c r="E2822" s="207"/>
      <c r="F2822" s="207"/>
      <c r="G2822" s="50">
        <v>10</v>
      </c>
      <c r="H2822" s="50">
        <v>10</v>
      </c>
      <c r="I2822" s="50">
        <v>10</v>
      </c>
      <c r="J2822" s="50">
        <v>10</v>
      </c>
      <c r="K2822" s="50">
        <v>60</v>
      </c>
      <c r="L2822" s="50">
        <v>100</v>
      </c>
      <c r="M2822" s="49"/>
      <c r="N2822" s="49"/>
      <c r="O2822" s="29"/>
      <c r="P2822" s="19"/>
      <c r="Q2822" s="14"/>
      <c r="R2822" s="11"/>
    </row>
    <row r="2823" s="1" customFormat="1" ht="21.95" customHeight="1" spans="1:18">
      <c r="A2823" s="7"/>
      <c r="B2823" s="12"/>
      <c r="C2823" s="33"/>
      <c r="D2823" s="117" t="s">
        <v>668</v>
      </c>
      <c r="E2823" s="117"/>
      <c r="F2823" s="117"/>
      <c r="G2823" s="54" t="str">
        <f>IFERROR(VLOOKUP(F2806,'1to4-2.1-RR'!$A$12:$BG$111,9,0),"")</f>
        <v/>
      </c>
      <c r="H2823" s="54" t="str">
        <f>IFERROR(VLOOKUP(F2806,'1to4-2.1-RR'!$A$12:$BG$111,10,0),"")</f>
        <v/>
      </c>
      <c r="I2823" s="54" t="str">
        <f>IFERROR(VLOOKUP(F2806,'1to4-2.1-RR'!$A$12:$BG$111,11,0),"")</f>
        <v/>
      </c>
      <c r="J2823" s="54" t="str">
        <f>IFERROR(VLOOKUP(F2806,'1to4-2.1-RR'!$A$12:$BG$111,12,0),"")</f>
        <v/>
      </c>
      <c r="K2823" s="54" t="str">
        <f>IFERROR(VLOOKUP(F2806,'1to4-2.1-RR'!$A$12:$BG$111,13,0),"")</f>
        <v/>
      </c>
      <c r="L2823" s="55">
        <f>SUM(G2823:K2823)</f>
        <v>0</v>
      </c>
      <c r="M2823" s="56" t="str">
        <f>IF(F2806&gt;ENTRY!$D$24,"",IF(L2823=0,"Ab",IF(L2823&gt;80,"A",IF(L2823&gt;60,"B",IF(L2823&gt;44,"C",IF(L2823&gt;=33,"D",IF(L2823&lt;=32,"E","")))))))</f>
        <v/>
      </c>
      <c r="N2823" s="56"/>
      <c r="O2823" s="29"/>
      <c r="P2823" s="19"/>
      <c r="Q2823" s="14"/>
      <c r="R2823" s="11"/>
    </row>
    <row r="2824" s="1" customFormat="1" ht="21.95" customHeight="1" spans="1:18">
      <c r="A2824" s="7"/>
      <c r="B2824" s="12"/>
      <c r="C2824" s="33"/>
      <c r="D2824" s="117" t="s">
        <v>513</v>
      </c>
      <c r="E2824" s="117"/>
      <c r="F2824" s="117"/>
      <c r="G2824" s="54" t="str">
        <f>IFERROR(VLOOKUP(F2806,'1to4-2.1-RR'!$A$12:$BG$111,16,0),"")</f>
        <v/>
      </c>
      <c r="H2824" s="54" t="str">
        <f>IFERROR(VLOOKUP(F2806,'1to4-2.1-RR'!$A$12:$BG$111,17,0),"")</f>
        <v/>
      </c>
      <c r="I2824" s="54" t="str">
        <f>IFERROR(VLOOKUP(F2806,'1to4-2.1-RR'!$A$12:$BG$111,18,0),"")</f>
        <v/>
      </c>
      <c r="J2824" s="54" t="str">
        <f>IFERROR(VLOOKUP(F2806,'1to4-2.1-RR'!$A$12:$BG$111,19,0),"")</f>
        <v/>
      </c>
      <c r="K2824" s="54" t="str">
        <f>IFERROR(VLOOKUP(F2806,'1to4-2.1-RR'!$A$12:$BG$111,20,0),"")</f>
        <v/>
      </c>
      <c r="L2824" s="55">
        <f t="shared" ref="L2824:L2829" si="100">SUM(G2824:K2824)</f>
        <v>0</v>
      </c>
      <c r="M2824" s="56" t="str">
        <f>IF(F2806&gt;ENTRY!$D$24,"",IF(L2824=0,"Ab",IF(L2824&gt;80,"A",IF(L2824&gt;60,"B",IF(L2824&gt;44,"C",IF(L2824&gt;=33,"D",IF(L2824&lt;=32,"E","")))))))</f>
        <v/>
      </c>
      <c r="N2824" s="56"/>
      <c r="O2824" s="29"/>
      <c r="P2824" s="19"/>
      <c r="Q2824" s="14"/>
      <c r="R2824" s="11"/>
    </row>
    <row r="2825" s="1" customFormat="1" ht="21.95" customHeight="1" spans="1:18">
      <c r="A2825" s="7"/>
      <c r="B2825" s="12"/>
      <c r="C2825" s="33"/>
      <c r="D2825" s="117" t="s">
        <v>718</v>
      </c>
      <c r="E2825" s="117"/>
      <c r="F2825" s="117"/>
      <c r="G2825" s="54" t="str">
        <f>IFERROR(VLOOKUP(F2806,'1to4-2.1-RR'!$A$12:$BG$111,23,0),"")</f>
        <v/>
      </c>
      <c r="H2825" s="54" t="str">
        <f>IFERROR(VLOOKUP(F2806,'1to4-2.1-RR'!$A$12:$BG$111,24,0),"")</f>
        <v/>
      </c>
      <c r="I2825" s="54" t="str">
        <f>IFERROR(VLOOKUP(F2806,'1to4-2.1-RR'!$A$12:$BG$111,25,0),"")</f>
        <v/>
      </c>
      <c r="J2825" s="54" t="str">
        <f>IFERROR(VLOOKUP(F2806,'1to4-2.1-RR'!$A$12:$BG$111,26,0),"")</f>
        <v/>
      </c>
      <c r="K2825" s="54" t="str">
        <f>IFERROR(VLOOKUP(F2806,'1to4-2.1-RR'!$A$12:$BG$111,27,0),"")</f>
        <v/>
      </c>
      <c r="L2825" s="55">
        <f t="shared" si="100"/>
        <v>0</v>
      </c>
      <c r="M2825" s="56" t="str">
        <f>IF(F2806&gt;ENTRY!$D$24,"",IF(L2825=0,"Ab",IF(L2825&gt;80,"A",IF(L2825&gt;60,"B",IF(L2825&gt;44,"C",IF(L2825&gt;=33,"D",IF(L2825&lt;=32,"E","")))))))</f>
        <v/>
      </c>
      <c r="N2825" s="56"/>
      <c r="O2825" s="29"/>
      <c r="P2825" s="19"/>
      <c r="Q2825" s="14"/>
      <c r="R2825" s="11"/>
    </row>
    <row r="2826" s="1" customFormat="1" ht="21.95" customHeight="1" spans="1:18">
      <c r="A2826" s="7"/>
      <c r="B2826" s="12"/>
      <c r="C2826" s="33"/>
      <c r="D2826" s="117" t="s">
        <v>719</v>
      </c>
      <c r="E2826" s="117"/>
      <c r="F2826" s="117"/>
      <c r="G2826" s="54" t="str">
        <f>IFERROR(VLOOKUP(F2806,'1to4-2.1-RR'!$A$12:$BG$111,30,0),"")</f>
        <v/>
      </c>
      <c r="H2826" s="54" t="str">
        <f>IFERROR(VLOOKUP(F2806,'1to4-2.1-RR'!$A$12:$BG$111,31,0),"")</f>
        <v/>
      </c>
      <c r="I2826" s="54" t="str">
        <f>IFERROR(VLOOKUP(F2806,'1to4-2.1-RR'!$A$12:$BG$111,32,0),"")</f>
        <v/>
      </c>
      <c r="J2826" s="54" t="str">
        <f>IFERROR(VLOOKUP(F2806,'1to4-2.1-RR'!$A$12:$BG$111,33,0),"")</f>
        <v/>
      </c>
      <c r="K2826" s="54" t="str">
        <f>IFERROR(VLOOKUP(F2806,'1to4-2.1-RR'!$A$12:$BG$111,34,0),"")</f>
        <v/>
      </c>
      <c r="L2826" s="55">
        <f t="shared" si="100"/>
        <v>0</v>
      </c>
      <c r="M2826" s="56" t="str">
        <f>IF(F2806&gt;ENTRY!$D$24,"",IF(L2826=0,"Ab",IF(L2826&gt;80,"A",IF(L2826&gt;60,"B",IF(L2826&gt;44,"C",IF(L2826&gt;=33,"D",IF(L2826&lt;=32,"E","")))))))</f>
        <v/>
      </c>
      <c r="N2826" s="56"/>
      <c r="O2826" s="29"/>
      <c r="P2826" s="19"/>
      <c r="Q2826" s="14"/>
      <c r="R2826" s="11"/>
    </row>
    <row r="2827" s="1" customFormat="1" ht="21.95" customHeight="1" spans="1:18">
      <c r="A2827" s="7"/>
      <c r="B2827" s="12"/>
      <c r="C2827" s="33"/>
      <c r="D2827" s="117" t="s">
        <v>548</v>
      </c>
      <c r="E2827" s="117"/>
      <c r="F2827" s="117"/>
      <c r="G2827" s="54" t="str">
        <f>IFERROR(VLOOKUP(F2806,'1to4-2.1-RR'!$A$12:$BG$111,37,0),"")</f>
        <v/>
      </c>
      <c r="H2827" s="54" t="str">
        <f>IFERROR(VLOOKUP(F2806,'1to4-2.1-RR'!$A$12:$BG$111,38,0),"")</f>
        <v/>
      </c>
      <c r="I2827" s="54" t="str">
        <f>IFERROR(VLOOKUP(F2806,'1to4-2.1-RR'!$A$12:$BG$111,39,0),"")</f>
        <v/>
      </c>
      <c r="J2827" s="54" t="str">
        <f>IFERROR(VLOOKUP(F2806,'1to4-2.1-RR'!$A$12:$BG$111,40,0),"")</f>
        <v/>
      </c>
      <c r="K2827" s="54" t="str">
        <f>IFERROR(VLOOKUP(F2806,'1to4-2.1-RR'!$A$12:$BG$111,41,0),"")</f>
        <v/>
      </c>
      <c r="L2827" s="55">
        <f t="shared" si="100"/>
        <v>0</v>
      </c>
      <c r="M2827" s="56" t="str">
        <f>IF(F2806&gt;ENTRY!$D$24,"",IF(L2827=0,"Ab",IF(L2827&gt;80,"A",IF(L2827&gt;60,"B",IF(L2827&gt;44,"C",IF(L2827&gt;=33,"D",IF(L2827&lt;=32,"E","")))))))</f>
        <v/>
      </c>
      <c r="N2827" s="56"/>
      <c r="O2827" s="29"/>
      <c r="P2827" s="19"/>
      <c r="Q2827" s="14"/>
      <c r="R2827" s="11"/>
    </row>
    <row r="2828" s="1" customFormat="1" ht="21.95" customHeight="1" spans="1:18">
      <c r="A2828" s="7"/>
      <c r="B2828" s="12"/>
      <c r="C2828" s="33"/>
      <c r="D2828" s="117" t="s">
        <v>549</v>
      </c>
      <c r="E2828" s="117"/>
      <c r="F2828" s="117"/>
      <c r="G2828" s="54" t="str">
        <f>IFERROR(VLOOKUP(F2806,'1to4-2.1-RR'!$A$12:$BG$111,44,0),"")</f>
        <v/>
      </c>
      <c r="H2828" s="54" t="str">
        <f>IFERROR(VLOOKUP(F2806,'1to4-2.1-RR'!$A$12:$BG$111,45,0),"")</f>
        <v/>
      </c>
      <c r="I2828" s="54" t="str">
        <f>IFERROR(VLOOKUP(F2806,'1to4-2.1-RR'!$A$12:$BG$111,46,0),"")</f>
        <v/>
      </c>
      <c r="J2828" s="54" t="str">
        <f>IFERROR(VLOOKUP(F2806,'1to4-2.1-RR'!$A$12:$BG$111,47,0),"")</f>
        <v/>
      </c>
      <c r="K2828" s="54" t="str">
        <f>IFERROR(VLOOKUP(F2806,'1to4-2.1-RR'!$A$12:$BG$111,48,0),"")</f>
        <v/>
      </c>
      <c r="L2828" s="55">
        <f t="shared" si="100"/>
        <v>0</v>
      </c>
      <c r="M2828" s="56" t="str">
        <f>IF(F2806&gt;ENTRY!$D$24,"",IF(L2828=0,"Ab",IF(L2828&gt;80,"A",IF(L2828&gt;60,"B",IF(L2828&gt;44,"C",IF(L2828&gt;=33,"D",IF(L2828&lt;=32,"E","")))))))</f>
        <v/>
      </c>
      <c r="N2828" s="56"/>
      <c r="O2828" s="29"/>
      <c r="P2828" s="19"/>
      <c r="Q2828" s="14"/>
      <c r="R2828" s="11"/>
    </row>
    <row r="2829" s="1" customFormat="1" ht="21.95" customHeight="1" spans="1:18">
      <c r="A2829" s="7"/>
      <c r="B2829" s="12"/>
      <c r="C2829" s="33"/>
      <c r="D2829" s="117" t="s">
        <v>720</v>
      </c>
      <c r="E2829" s="117"/>
      <c r="F2829" s="117"/>
      <c r="G2829" s="54"/>
      <c r="H2829" s="54"/>
      <c r="I2829" s="54"/>
      <c r="J2829" s="54"/>
      <c r="K2829" s="54"/>
      <c r="L2829" s="55">
        <f t="shared" si="100"/>
        <v>0</v>
      </c>
      <c r="M2829" s="56" t="str">
        <f>IF(F2806&gt;ENTRY!$D$24,"",IF(L2829=0,"",IF(L2829&gt;79,"A",IF(L2829&gt;59,"B",IF(L2829&gt;44,"C",IF(L2829&gt;=33,"D",IF(L2829&lt;=32,"E","")))))))</f>
        <v/>
      </c>
      <c r="N2829" s="56"/>
      <c r="O2829" s="29"/>
      <c r="P2829" s="19"/>
      <c r="Q2829" s="14"/>
      <c r="R2829" s="11"/>
    </row>
    <row r="2830" s="1" customFormat="1" ht="21.95" customHeight="1" spans="1:18">
      <c r="A2830" s="7"/>
      <c r="B2830" s="12"/>
      <c r="C2830" s="33"/>
      <c r="D2830" s="207" t="s">
        <v>382</v>
      </c>
      <c r="E2830" s="207"/>
      <c r="F2830" s="207"/>
      <c r="G2830" s="54">
        <f t="shared" ref="G2830:L2830" si="101">IFERROR(SUM(G2823:G2829),"")</f>
        <v>0</v>
      </c>
      <c r="H2830" s="54">
        <f t="shared" si="101"/>
        <v>0</v>
      </c>
      <c r="I2830" s="54">
        <f t="shared" si="101"/>
        <v>0</v>
      </c>
      <c r="J2830" s="54">
        <f t="shared" si="101"/>
        <v>0</v>
      </c>
      <c r="K2830" s="54">
        <f t="shared" si="101"/>
        <v>0</v>
      </c>
      <c r="L2830" s="55">
        <f t="shared" si="101"/>
        <v>0</v>
      </c>
      <c r="M2830" s="61" t="str">
        <f>IF(F2806&gt;ENTRY!$D$24,"",IF(N2831="Ab","Ab",IF(N2831&gt;79.5,"A",IF(N2831&gt;59.5,"B",IF(N2831&gt;44.5,"C",IF(N2831&gt;=33,"D",IF(N2831&lt;33,"E","")))))))</f>
        <v/>
      </c>
      <c r="N2830" s="61"/>
      <c r="O2830" s="29"/>
      <c r="P2830" s="19"/>
      <c r="Q2830" s="14"/>
      <c r="R2830" s="11"/>
    </row>
    <row r="2831" s="1" customFormat="1" ht="21.95" customHeight="1" spans="1:18">
      <c r="A2831" s="7"/>
      <c r="B2831" s="12"/>
      <c r="C2831" s="33"/>
      <c r="D2831" s="63" t="s">
        <v>721</v>
      </c>
      <c r="E2831" s="63"/>
      <c r="F2831" s="63"/>
      <c r="G2831" s="63"/>
      <c r="H2831" s="63"/>
      <c r="I2831" s="63"/>
      <c r="J2831" s="63"/>
      <c r="K2831" s="63"/>
      <c r="L2831" s="63"/>
      <c r="M2831" s="209"/>
      <c r="N2831" s="64">
        <f>IF(L2830="Ab","Ab",L2830/6)</f>
        <v>0</v>
      </c>
      <c r="O2831" s="65"/>
      <c r="P2831" s="19"/>
      <c r="Q2831" s="14"/>
      <c r="R2831" s="11"/>
    </row>
    <row r="2832" s="1" customFormat="1" ht="21.95" customHeight="1" spans="1:18">
      <c r="A2832" s="7"/>
      <c r="B2832" s="12"/>
      <c r="C2832" s="33"/>
      <c r="D2832" s="29" t="s">
        <v>716</v>
      </c>
      <c r="E2832" s="18" t="str">
        <f>IFERROR(VLOOKUP(F2806,'1to4-2.1-RR'!$A$12:$BG$111,57,0),"")</f>
        <v/>
      </c>
      <c r="F2832" s="18"/>
      <c r="G2832" s="18"/>
      <c r="H2832" s="18"/>
      <c r="I2832" s="18"/>
      <c r="J2832" s="18"/>
      <c r="K2832" s="18"/>
      <c r="L2832" s="18"/>
      <c r="M2832" s="18"/>
      <c r="N2832" s="29"/>
      <c r="O2832" s="29"/>
      <c r="P2832" s="19"/>
      <c r="Q2832" s="14"/>
      <c r="R2832" s="11"/>
    </row>
    <row r="2833" s="1" customFormat="1" ht="9.95" customHeight="1" spans="1:19">
      <c r="A2833" s="7"/>
      <c r="B2833" s="12"/>
      <c r="C2833" s="39"/>
      <c r="D2833" s="40"/>
      <c r="E2833" s="40"/>
      <c r="F2833" s="40"/>
      <c r="G2833" s="40"/>
      <c r="H2833" s="40"/>
      <c r="I2833" s="40"/>
      <c r="J2833" s="40"/>
      <c r="K2833" s="40"/>
      <c r="L2833" s="40"/>
      <c r="M2833" s="40"/>
      <c r="N2833" s="40"/>
      <c r="O2833" s="40"/>
      <c r="P2833" s="41"/>
      <c r="Q2833" s="14"/>
      <c r="R2833" s="11"/>
    </row>
    <row r="2834" s="1" customFormat="1" ht="9.95" customHeight="1" spans="1:19">
      <c r="A2834" s="7"/>
      <c r="B2834" s="12"/>
      <c r="C2834" s="30"/>
      <c r="D2834" s="31"/>
      <c r="E2834" s="31"/>
      <c r="F2834" s="29"/>
      <c r="G2834" s="31"/>
      <c r="H2834" s="31"/>
      <c r="I2834" s="31"/>
      <c r="J2834" s="31"/>
      <c r="K2834" s="31"/>
      <c r="L2834" s="31"/>
      <c r="M2834" s="31"/>
      <c r="N2834" s="31"/>
      <c r="O2834" s="31"/>
      <c r="P2834" s="32"/>
      <c r="Q2834" s="14"/>
      <c r="R2834" s="11"/>
    </row>
    <row r="2835" s="1" customFormat="1" ht="9.95" customHeight="1" spans="1:19">
      <c r="A2835" s="7"/>
      <c r="B2835" s="12"/>
      <c r="C2835" s="33"/>
      <c r="D2835" s="29"/>
      <c r="E2835" s="29"/>
      <c r="F2835" s="29"/>
      <c r="G2835" s="29"/>
      <c r="H2835" s="29"/>
      <c r="I2835" s="29"/>
      <c r="J2835" s="29"/>
      <c r="K2835" s="29"/>
      <c r="L2835" s="29"/>
      <c r="M2835" s="29"/>
      <c r="N2835" s="29"/>
      <c r="O2835" s="29"/>
      <c r="P2835" s="19"/>
      <c r="Q2835" s="14"/>
      <c r="R2835" s="11"/>
    </row>
    <row r="2836" s="1" customFormat="1" ht="9.95" customHeight="1" spans="1:19">
      <c r="A2836" s="7"/>
      <c r="B2836" s="12"/>
      <c r="C2836" s="33"/>
      <c r="D2836" s="29"/>
      <c r="E2836" s="29"/>
      <c r="F2836" s="29"/>
      <c r="G2836" s="29"/>
      <c r="H2836" s="29"/>
      <c r="I2836" s="29"/>
      <c r="J2836" s="29"/>
      <c r="K2836" s="29"/>
      <c r="L2836" s="29"/>
      <c r="M2836" s="29"/>
      <c r="N2836" s="29"/>
      <c r="O2836" s="29"/>
      <c r="P2836" s="19"/>
      <c r="Q2836" s="14"/>
      <c r="R2836" s="11"/>
    </row>
    <row r="2837" s="1" customFormat="1" ht="21.95" customHeight="1" spans="1:19">
      <c r="A2837" s="7"/>
      <c r="B2837" s="12"/>
      <c r="C2837" s="210"/>
      <c r="D2837" s="211"/>
      <c r="E2837" s="211"/>
      <c r="F2837" s="211"/>
      <c r="G2837" s="211"/>
      <c r="H2837" s="211"/>
      <c r="I2837" s="211"/>
      <c r="J2837" s="211"/>
      <c r="K2837" s="211"/>
      <c r="L2837" s="211"/>
      <c r="M2837" s="211"/>
      <c r="N2837" s="211"/>
      <c r="O2837" s="211"/>
      <c r="P2837" s="212"/>
      <c r="Q2837" s="14"/>
      <c r="R2837" s="11"/>
      <c r="S2837" s="2"/>
    </row>
    <row r="2838" s="1" customFormat="1" ht="21.95" customHeight="1" spans="1:19">
      <c r="A2838" s="7"/>
      <c r="B2838" s="12"/>
      <c r="C2838" s="33"/>
      <c r="D2838" s="207" t="s">
        <v>722</v>
      </c>
      <c r="E2838" s="207"/>
      <c r="F2838" s="207"/>
      <c r="G2838" s="207"/>
      <c r="H2838" s="54">
        <f>IFERROR(VLOOKUP(F2806,PASHEET!$A$4:$CJ$103,88,0),"")</f>
        <v>0</v>
      </c>
      <c r="I2838" s="54"/>
      <c r="J2838" s="29"/>
      <c r="K2838" s="29"/>
      <c r="L2838" s="29"/>
      <c r="M2838" s="29"/>
      <c r="N2838" s="29"/>
      <c r="O2838" s="29"/>
      <c r="P2838" s="19"/>
      <c r="Q2838" s="14"/>
      <c r="R2838" s="11"/>
    </row>
    <row r="2839" s="1" customFormat="1" ht="21.95" customHeight="1" spans="1:19">
      <c r="A2839" s="7"/>
      <c r="B2839" s="12"/>
      <c r="C2839" s="213"/>
      <c r="D2839" s="207" t="s">
        <v>723</v>
      </c>
      <c r="E2839" s="207"/>
      <c r="F2839" s="207"/>
      <c r="G2839" s="207"/>
      <c r="H2839" s="54">
        <f>IFERROR(VLOOKUP(F2806,PASHEET!$A$4:$CJ$103,87,0),"")</f>
        <v>0</v>
      </c>
      <c r="I2839" s="54"/>
      <c r="J2839" s="214"/>
      <c r="K2839" s="214"/>
      <c r="L2839" s="207" t="s">
        <v>724</v>
      </c>
      <c r="M2839" s="207"/>
      <c r="N2839" s="117" t="str">
        <f>IF(F2806&gt;ENTRY!$D$24,"",IF(F2806&gt;0,L2830&amp;" / "&amp;600,""))</f>
        <v/>
      </c>
      <c r="O2839" s="117"/>
      <c r="P2839" s="215"/>
      <c r="Q2839" s="14"/>
      <c r="R2839" s="11"/>
    </row>
    <row r="2840" s="1" customFormat="1" ht="18" customHeight="1" spans="1:19">
      <c r="A2840" s="7"/>
      <c r="B2840" s="12"/>
      <c r="C2840" s="33"/>
      <c r="D2840" s="207" t="s">
        <v>725</v>
      </c>
      <c r="E2840" s="207"/>
      <c r="F2840" s="207"/>
      <c r="G2840" s="207"/>
      <c r="H2840" s="69" t="str">
        <f>IFERROR(IF(F2806&gt;0,H2839/H2838*100),"")</f>
        <v/>
      </c>
      <c r="I2840" s="69"/>
      <c r="J2840" s="29"/>
      <c r="K2840" s="29"/>
      <c r="L2840" s="207" t="s">
        <v>726</v>
      </c>
      <c r="M2840" s="207"/>
      <c r="N2840" s="216" t="str">
        <f>IF(F2806&gt;ENTRY!$D$24,"",IF(F2806&gt;0,L2830/600*100,""))</f>
        <v/>
      </c>
      <c r="O2840" s="216"/>
      <c r="P2840" s="19"/>
      <c r="Q2840" s="14"/>
      <c r="R2840" s="11"/>
    </row>
    <row r="2841" s="1" customFormat="1" ht="21.95" customHeight="1" spans="1:19">
      <c r="A2841" s="7"/>
      <c r="B2841" s="12"/>
      <c r="C2841" s="33"/>
      <c r="D2841" s="80"/>
      <c r="E2841" s="80"/>
      <c r="F2841" s="217"/>
      <c r="G2841" s="217"/>
      <c r="H2841" s="217"/>
      <c r="I2841" s="217"/>
      <c r="J2841" s="217"/>
      <c r="K2841" s="217"/>
      <c r="L2841" s="217"/>
      <c r="M2841" s="217"/>
      <c r="N2841" s="80"/>
      <c r="O2841" s="80"/>
      <c r="P2841" s="19"/>
      <c r="Q2841" s="14"/>
      <c r="R2841" s="11"/>
    </row>
    <row r="2842" s="1" customFormat="1" ht="21.95" customHeight="1" spans="1:19">
      <c r="A2842" s="7"/>
      <c r="B2842" s="12"/>
      <c r="C2842" s="33"/>
      <c r="D2842" s="80"/>
      <c r="E2842" s="218"/>
      <c r="F2842" s="218"/>
      <c r="G2842" s="218"/>
      <c r="H2842" s="80"/>
      <c r="I2842" s="218"/>
      <c r="J2842" s="218"/>
      <c r="K2842" s="218"/>
      <c r="L2842" s="218"/>
      <c r="M2842" s="80"/>
      <c r="N2842" s="219"/>
      <c r="O2842" s="219"/>
      <c r="P2842" s="19"/>
      <c r="Q2842" s="14"/>
      <c r="R2842" s="11"/>
    </row>
    <row r="2843" s="1" customFormat="1" ht="21.95" customHeight="1" spans="1:19">
      <c r="A2843" s="7"/>
      <c r="B2843" s="12"/>
      <c r="C2843" s="33"/>
      <c r="D2843" s="80"/>
      <c r="E2843" s="80"/>
      <c r="F2843" s="80"/>
      <c r="G2843" s="80"/>
      <c r="H2843" s="80"/>
      <c r="I2843" s="80"/>
      <c r="J2843" s="80"/>
      <c r="K2843" s="80"/>
      <c r="L2843" s="80"/>
      <c r="M2843" s="80"/>
      <c r="N2843" s="80"/>
      <c r="O2843" s="80"/>
      <c r="P2843" s="19"/>
      <c r="Q2843" s="14"/>
      <c r="R2843" s="11"/>
    </row>
    <row r="2844" s="1" customFormat="1" ht="21.95" customHeight="1" spans="1:19">
      <c r="A2844" s="7"/>
      <c r="B2844" s="12"/>
      <c r="C2844" s="33"/>
      <c r="D2844" s="218"/>
      <c r="E2844" s="218"/>
      <c r="F2844" s="218"/>
      <c r="G2844" s="218"/>
      <c r="H2844" s="218"/>
      <c r="I2844" s="218"/>
      <c r="J2844" s="218"/>
      <c r="K2844" s="218"/>
      <c r="L2844" s="218"/>
      <c r="M2844" s="80"/>
      <c r="N2844" s="217"/>
      <c r="O2844" s="217"/>
      <c r="P2844" s="85" t="s">
        <v>727</v>
      </c>
      <c r="Q2844" s="14"/>
      <c r="R2844" s="11"/>
    </row>
    <row r="2845" s="1" customFormat="1" ht="21.95" customHeight="1" spans="1:19">
      <c r="A2845" s="7"/>
      <c r="B2845" s="12"/>
      <c r="C2845" s="33"/>
      <c r="D2845" s="29"/>
      <c r="E2845" s="29"/>
      <c r="F2845" s="29"/>
      <c r="G2845" s="29"/>
      <c r="H2845" s="29"/>
      <c r="I2845" s="29"/>
      <c r="J2845" s="29"/>
      <c r="K2845" s="29"/>
      <c r="L2845" s="29"/>
      <c r="M2845" s="29"/>
      <c r="N2845" s="29"/>
      <c r="O2845" s="29"/>
      <c r="P2845" s="19"/>
      <c r="Q2845" s="14"/>
      <c r="R2845" s="11"/>
    </row>
    <row r="2846" s="1" customFormat="1" ht="21.95" customHeight="1" spans="1:19">
      <c r="A2846" s="7"/>
      <c r="B2846" s="12"/>
      <c r="C2846" s="33"/>
      <c r="D2846" s="29"/>
      <c r="E2846" s="29"/>
      <c r="F2846" s="29"/>
      <c r="G2846" s="29"/>
      <c r="H2846" s="29"/>
      <c r="I2846" s="29"/>
      <c r="J2846" s="29"/>
      <c r="K2846" s="29"/>
      <c r="L2846" s="29"/>
      <c r="M2846" s="29"/>
      <c r="N2846" s="29"/>
      <c r="O2846" s="29"/>
      <c r="P2846" s="19"/>
      <c r="Q2846" s="14"/>
      <c r="R2846" s="11"/>
    </row>
    <row r="2847" s="1" customFormat="1" ht="21.95" customHeight="1" spans="1:19">
      <c r="A2847" s="7"/>
      <c r="B2847" s="12"/>
      <c r="C2847" s="33"/>
      <c r="D2847" s="29"/>
      <c r="E2847" s="29"/>
      <c r="F2847" s="29"/>
      <c r="G2847" s="29"/>
      <c r="H2847" s="29"/>
      <c r="I2847" s="29"/>
      <c r="J2847" s="29"/>
      <c r="K2847" s="29"/>
      <c r="L2847" s="29"/>
      <c r="M2847" s="29"/>
      <c r="N2847" s="29"/>
      <c r="O2847" s="29"/>
      <c r="P2847" s="19"/>
      <c r="Q2847" s="14"/>
      <c r="R2847" s="11"/>
    </row>
    <row r="2848" s="1" customFormat="1" ht="21.95" customHeight="1" spans="1:19">
      <c r="A2848" s="7"/>
      <c r="B2848" s="12"/>
      <c r="C2848" s="33"/>
      <c r="D2848" s="29"/>
      <c r="E2848" s="29"/>
      <c r="F2848" s="29"/>
      <c r="G2848" s="29"/>
      <c r="H2848" s="29"/>
      <c r="I2848" s="29"/>
      <c r="J2848" s="29"/>
      <c r="K2848" s="29"/>
      <c r="L2848" s="29"/>
      <c r="M2848" s="29"/>
      <c r="N2848" s="29"/>
      <c r="O2848" s="29"/>
      <c r="P2848" s="19"/>
      <c r="Q2848" s="14"/>
      <c r="R2848" s="11"/>
    </row>
    <row r="2849" s="1" customFormat="1" ht="21.95" customHeight="1" spans="1:18">
      <c r="A2849" s="7"/>
      <c r="B2849" s="12"/>
      <c r="C2849" s="33"/>
      <c r="D2849" s="29"/>
      <c r="E2849" s="29"/>
      <c r="F2849" s="29"/>
      <c r="G2849" s="29"/>
      <c r="H2849" s="29"/>
      <c r="I2849" s="29"/>
      <c r="J2849" s="29"/>
      <c r="K2849" s="29"/>
      <c r="L2849" s="29"/>
      <c r="M2849" s="29"/>
      <c r="N2849" s="29"/>
      <c r="O2849" s="29"/>
      <c r="P2849" s="19"/>
      <c r="Q2849" s="14"/>
      <c r="R2849" s="11"/>
    </row>
    <row r="2850" s="1" customFormat="1" ht="21.95" customHeight="1" spans="1:18">
      <c r="A2850" s="7"/>
      <c r="B2850" s="12"/>
      <c r="C2850" s="33"/>
      <c r="D2850" s="80" t="s">
        <v>728</v>
      </c>
      <c r="E2850" s="220">
        <f>ENTRY!$D$27</f>
        <v>46102</v>
      </c>
      <c r="F2850" s="220"/>
      <c r="G2850" s="29"/>
      <c r="H2850" s="29"/>
      <c r="I2850" s="221" t="s">
        <v>729</v>
      </c>
      <c r="J2850" s="153"/>
      <c r="K2850" s="29"/>
      <c r="L2850" s="29"/>
      <c r="M2850" s="87" t="s">
        <v>730</v>
      </c>
      <c r="N2850" s="87"/>
      <c r="O2850" s="87"/>
      <c r="P2850" s="19"/>
      <c r="Q2850" s="14"/>
      <c r="R2850" s="11"/>
    </row>
    <row r="2851" s="1" customFormat="1" ht="21.95" customHeight="1" spans="1:18">
      <c r="A2851" s="7"/>
      <c r="B2851" s="12"/>
      <c r="C2851" s="33"/>
      <c r="D2851" s="80" t="s">
        <v>731</v>
      </c>
      <c r="E2851" s="88" t="str">
        <f>PROPER(ENTRY!$D$28)</f>
        <v>New Delhi</v>
      </c>
      <c r="F2851" s="88"/>
      <c r="G2851" s="29"/>
      <c r="H2851" s="29"/>
      <c r="I2851" s="153"/>
      <c r="J2851" s="153"/>
      <c r="K2851" s="29"/>
      <c r="L2851" s="29"/>
      <c r="M2851" s="79" t="s">
        <v>732</v>
      </c>
      <c r="N2851" s="79"/>
      <c r="O2851" s="79"/>
      <c r="P2851" s="19"/>
      <c r="Q2851" s="14"/>
      <c r="R2851" s="11"/>
    </row>
    <row r="2852" s="1" customFormat="1" ht="21.95" customHeight="1" spans="1:18">
      <c r="A2852" s="7"/>
      <c r="B2852" s="12"/>
      <c r="C2852" s="90"/>
      <c r="D2852" s="91"/>
      <c r="E2852" s="91"/>
      <c r="F2852" s="91"/>
      <c r="G2852" s="91"/>
      <c r="H2852" s="91"/>
      <c r="I2852" s="91"/>
      <c r="J2852" s="91"/>
      <c r="K2852" s="91"/>
      <c r="L2852" s="91"/>
      <c r="M2852" s="91"/>
      <c r="N2852" s="91"/>
      <c r="O2852" s="91"/>
      <c r="P2852" s="92"/>
      <c r="Q2852" s="14"/>
      <c r="R2852" s="11"/>
    </row>
    <row r="2853" s="1" customFormat="1" ht="5.1" customHeight="1" spans="1:18">
      <c r="A2853" s="7"/>
      <c r="B2853" s="90"/>
      <c r="C2853" s="91"/>
      <c r="D2853" s="91"/>
      <c r="E2853" s="91"/>
      <c r="F2853" s="91"/>
      <c r="G2853" s="91"/>
      <c r="H2853" s="91"/>
      <c r="I2853" s="91"/>
      <c r="J2853" s="91"/>
      <c r="K2853" s="91"/>
      <c r="L2853" s="91"/>
      <c r="M2853" s="91"/>
      <c r="N2853" s="91"/>
      <c r="O2853" s="91"/>
      <c r="P2853" s="91"/>
      <c r="Q2853" s="92"/>
      <c r="R2853" s="11"/>
    </row>
    <row r="2854" s="1" customFormat="1" ht="5.1" customHeight="1" spans="1:18">
      <c r="A2854" s="93"/>
      <c r="B2854" s="94"/>
      <c r="C2854" s="94"/>
      <c r="D2854" s="94"/>
      <c r="E2854" s="94"/>
      <c r="F2854" s="94"/>
      <c r="G2854" s="94"/>
      <c r="H2854" s="94"/>
      <c r="I2854" s="94"/>
      <c r="J2854" s="94"/>
      <c r="K2854" s="94"/>
      <c r="L2854" s="94"/>
      <c r="M2854" s="94"/>
      <c r="N2854" s="94"/>
      <c r="O2854" s="94"/>
      <c r="P2854" s="94"/>
      <c r="Q2854" s="94"/>
      <c r="R2854" s="95"/>
    </row>
    <row r="2855" s="1" customFormat="1" ht="21.95" customHeight="1"/>
    <row r="2856" ht="15.15"/>
    <row r="2857" s="1" customFormat="1" ht="5.1" customHeight="1" spans="1:18">
      <c r="A2857" s="4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  <c r="O2857" s="5"/>
      <c r="P2857" s="5"/>
      <c r="Q2857" s="5"/>
      <c r="R2857" s="6"/>
    </row>
    <row r="2858" s="1" customFormat="1" ht="15" customHeight="1" spans="1:18">
      <c r="A2858" s="7"/>
      <c r="B2858" s="8"/>
      <c r="C2858" s="9"/>
      <c r="D2858" s="9"/>
      <c r="E2858" s="9"/>
      <c r="F2858" s="9"/>
      <c r="G2858" s="9"/>
      <c r="H2858" s="9"/>
      <c r="I2858" s="9"/>
      <c r="J2858" s="9"/>
      <c r="K2858" s="9"/>
      <c r="L2858" s="9"/>
      <c r="M2858" s="9"/>
      <c r="N2858" s="9"/>
      <c r="O2858" s="9"/>
      <c r="P2858" s="9"/>
      <c r="Q2858" s="10"/>
      <c r="R2858" s="11"/>
    </row>
    <row r="2859" s="1" customFormat="1" ht="21.95" customHeight="1" spans="1:18">
      <c r="A2859" s="7"/>
      <c r="B2859" s="12"/>
      <c r="C2859" s="13" t="s">
        <v>7</v>
      </c>
      <c r="D2859" s="13"/>
      <c r="E2859" s="13"/>
      <c r="F2859" s="13"/>
      <c r="G2859" s="13"/>
      <c r="H2859" s="13"/>
      <c r="I2859" s="13"/>
      <c r="J2859" s="13"/>
      <c r="K2859" s="13"/>
      <c r="L2859" s="13"/>
      <c r="M2859" s="13"/>
      <c r="N2859" s="13"/>
      <c r="O2859" s="13"/>
      <c r="P2859" s="13"/>
      <c r="Q2859" s="14"/>
      <c r="R2859" s="11"/>
    </row>
    <row r="2860" s="1" customFormat="1" ht="21.95" customHeight="1" spans="1:18">
      <c r="A2860" s="7"/>
      <c r="B2860" s="1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14"/>
      <c r="R2860" s="11"/>
    </row>
    <row r="2861" s="1" customFormat="1" ht="21.95" customHeight="1" spans="1:18">
      <c r="A2861" s="7"/>
      <c r="B2861" s="12"/>
      <c r="C2861" s="15" t="str">
        <f>"SESSION-"&amp;ENTRY!$D$11</f>
        <v>SESSION-2026-27</v>
      </c>
      <c r="D2861" s="15"/>
      <c r="E2861" s="15"/>
      <c r="F2861" s="15"/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4"/>
      <c r="R2861" s="11"/>
    </row>
    <row r="2862" s="1" customFormat="1" ht="21.95" customHeight="1" spans="1:18">
      <c r="A2862" s="7"/>
      <c r="B2862" s="12"/>
      <c r="C2862" s="2"/>
      <c r="D2862" s="2"/>
      <c r="E2862" s="2"/>
      <c r="F2862" s="16">
        <f>F2806+1</f>
        <v>52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14"/>
      <c r="R2862" s="11"/>
    </row>
    <row r="2863" s="1" customFormat="1" ht="21.95" customHeight="1" spans="1:18">
      <c r="A2863" s="7"/>
      <c r="B2863" s="12"/>
      <c r="C2863" s="17" t="s">
        <v>392</v>
      </c>
      <c r="D2863" s="17"/>
      <c r="E2863" s="17"/>
      <c r="F2863" s="18" t="str">
        <f>IF(F2862&gt;0,ENTRY!$D$6,"")</f>
        <v>MCP NITHARI NO 1 BOYS</v>
      </c>
      <c r="G2863" s="18"/>
      <c r="H2863" s="18"/>
      <c r="I2863" s="18"/>
      <c r="J2863" s="18"/>
      <c r="K2863" s="18"/>
      <c r="L2863" s="18"/>
      <c r="M2863" s="18"/>
      <c r="N2863" s="18"/>
      <c r="O2863" s="18"/>
      <c r="P2863" s="18"/>
      <c r="Q2863" s="14"/>
      <c r="R2863" s="11"/>
    </row>
    <row r="2864" s="1" customFormat="1" ht="21.95" customHeight="1" spans="1:18">
      <c r="A2864" s="7"/>
      <c r="B2864" s="12"/>
      <c r="C2864" s="17" t="s">
        <v>393</v>
      </c>
      <c r="D2864" s="17"/>
      <c r="E2864" s="17"/>
      <c r="F2864" s="18">
        <f>IF(F2862&gt;0,ENTRY!$D$7,"")</f>
        <v>0</v>
      </c>
      <c r="G2864" s="18"/>
      <c r="H2864" s="20" t="s">
        <v>702</v>
      </c>
      <c r="I2864" s="20"/>
      <c r="J2864" s="21">
        <f>IF(F2862&gt;0,ENTRY!$D$10,"")</f>
        <v>40</v>
      </c>
      <c r="K2864" s="20" t="s">
        <v>703</v>
      </c>
      <c r="L2864" s="22" t="str">
        <f>IF(F2862&gt;0,ENTRY!$D$5,"")</f>
        <v>ROHINI ZONE</v>
      </c>
      <c r="M2864" s="22"/>
      <c r="N2864" s="22"/>
      <c r="O2864" s="22"/>
      <c r="P2864" s="22"/>
      <c r="Q2864" s="14"/>
      <c r="R2864" s="11"/>
    </row>
    <row r="2865" s="1" customFormat="1" ht="21.95" customHeight="1" spans="1:18">
      <c r="A2865" s="7"/>
      <c r="B2865" s="12"/>
      <c r="C2865" s="17" t="s">
        <v>706</v>
      </c>
      <c r="D2865" s="17"/>
      <c r="E2865" s="17"/>
      <c r="F2865" s="23">
        <f>IFERROR(VLOOKUP(F2862,STUDENT!$A$2:$BP$101,5,0),"")</f>
        <v>0</v>
      </c>
      <c r="G2865" s="23"/>
      <c r="H2865" s="23"/>
      <c r="I2865" s="23"/>
      <c r="J2865" s="23"/>
      <c r="K2865" s="23"/>
      <c r="L2865" s="20" t="s">
        <v>707</v>
      </c>
      <c r="M2865" s="20"/>
      <c r="N2865" s="24" t="str">
        <f>IF(F2862&gt;0,ENTRY!$D$20&amp;"-"&amp;ENTRY!$D$21,"")</f>
        <v>III-A</v>
      </c>
      <c r="O2865" s="24"/>
      <c r="P2865" s="24"/>
      <c r="Q2865" s="14"/>
      <c r="R2865" s="11"/>
    </row>
    <row r="2866" s="1" customFormat="1" ht="21.95" customHeight="1" spans="1:18">
      <c r="A2866" s="7"/>
      <c r="B2866" s="12"/>
      <c r="C2866" s="17" t="s">
        <v>708</v>
      </c>
      <c r="D2866" s="17"/>
      <c r="E2866" s="17"/>
      <c r="F2866" s="25">
        <f>IFERROR(VLOOKUP(F2862,STUDENT!$A$2:$BP$101,6,0),"")</f>
        <v>0</v>
      </c>
      <c r="G2866" s="25"/>
      <c r="H2866" s="26" t="s">
        <v>709</v>
      </c>
      <c r="I2866" s="27" t="str">
        <f>IFERROR(VLOOKUP(F2862,STUDENT!$A$2:$BP$101,59,0),"")</f>
        <v/>
      </c>
      <c r="J2866" s="27"/>
      <c r="K2866" s="20" t="s">
        <v>710</v>
      </c>
      <c r="L2866" s="20"/>
      <c r="M2866" s="28">
        <f>IFERROR(VLOOKUP(F2862,STUDENT!$A$2:$BP$101,20,0),"")</f>
        <v>0</v>
      </c>
      <c r="N2866" s="28"/>
      <c r="O2866" s="28"/>
      <c r="P2866" s="28"/>
      <c r="Q2866" s="14"/>
      <c r="R2866" s="11"/>
    </row>
    <row r="2867" s="1" customFormat="1" ht="21.95" customHeight="1" spans="1:18">
      <c r="A2867" s="7"/>
      <c r="B2867" s="12"/>
      <c r="C2867" s="17" t="s">
        <v>711</v>
      </c>
      <c r="D2867" s="17"/>
      <c r="E2867" s="17"/>
      <c r="F2867" s="23">
        <f>IFERROR(VLOOKUP(F2862,STUDENT!$A$2:$BP$101,9,0),"")</f>
        <v>0</v>
      </c>
      <c r="G2867" s="23"/>
      <c r="H2867" s="23"/>
      <c r="I2867" s="23"/>
      <c r="J2867" s="17" t="s">
        <v>620</v>
      </c>
      <c r="K2867" s="17"/>
      <c r="L2867" s="23">
        <f>IFERROR(VLOOKUP(F2862,STUDENT!$A$2:$BP$101,8,0),"")</f>
        <v>0</v>
      </c>
      <c r="M2867" s="23"/>
      <c r="N2867" s="23"/>
      <c r="O2867" s="23"/>
      <c r="P2867" s="23"/>
      <c r="Q2867" s="14"/>
      <c r="R2867" s="11"/>
    </row>
    <row r="2868" s="1" customFormat="1" ht="21.95" customHeight="1" spans="1:18">
      <c r="A2868" s="7"/>
      <c r="B2868" s="12"/>
      <c r="C2868" s="17" t="s">
        <v>712</v>
      </c>
      <c r="D2868" s="17"/>
      <c r="E2868" s="17"/>
      <c r="F2868" s="23">
        <f>IFERROR(VLOOKUP(F2862,STUDENT!$A$2:$BP$101,22,0),"")</f>
        <v>0</v>
      </c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14"/>
      <c r="R2868" s="11"/>
    </row>
    <row r="2869" s="1" customFormat="1" ht="9.95" customHeight="1" spans="1:18">
      <c r="A2869" s="7"/>
      <c r="B2869" s="12"/>
      <c r="C2869" s="29"/>
      <c r="D2869" s="29"/>
      <c r="E2869" s="29"/>
      <c r="F2869" s="29"/>
      <c r="G2869" s="29"/>
      <c r="H2869" s="29"/>
      <c r="I2869" s="29"/>
      <c r="J2869" s="29"/>
      <c r="K2869" s="29"/>
      <c r="L2869" s="29"/>
      <c r="M2869" s="29"/>
      <c r="N2869" s="29"/>
      <c r="O2869" s="29"/>
      <c r="P2869" s="29"/>
      <c r="Q2869" s="14"/>
      <c r="R2869" s="11"/>
    </row>
    <row r="2870" s="1" customFormat="1" ht="9.95" customHeight="1" spans="1:18">
      <c r="A2870" s="7"/>
      <c r="B2870" s="12"/>
      <c r="C2870" s="30"/>
      <c r="D2870" s="31"/>
      <c r="E2870" s="31"/>
      <c r="F2870" s="31"/>
      <c r="G2870" s="31"/>
      <c r="H2870" s="31"/>
      <c r="I2870" s="31"/>
      <c r="J2870" s="31"/>
      <c r="K2870" s="31"/>
      <c r="L2870" s="31"/>
      <c r="M2870" s="31"/>
      <c r="N2870" s="31"/>
      <c r="O2870" s="31"/>
      <c r="P2870" s="32"/>
      <c r="Q2870" s="14"/>
      <c r="R2870" s="11"/>
    </row>
    <row r="2871" s="1" customFormat="1" ht="21.95" customHeight="1" spans="1:18">
      <c r="A2871" s="7"/>
      <c r="B2871" s="12"/>
      <c r="C2871" s="33"/>
      <c r="D2871" s="34" t="s">
        <v>713</v>
      </c>
      <c r="E2871" s="20" t="s">
        <v>714</v>
      </c>
      <c r="F2871" s="35" t="str">
        <f>"Level - "&amp;IFERROR(VLOOKUP(F2862,FLN!$A$4:$K$103,9,0),"")</f>
        <v>Level - </v>
      </c>
      <c r="G2871" s="36"/>
      <c r="H2871" s="37" t="s">
        <v>715</v>
      </c>
      <c r="I2871" s="20"/>
      <c r="J2871" s="35" t="str">
        <f>"Level - "&amp;IFERROR(VLOOKUP(F2862,FLN!$A$4:$K$103,11,0),"")</f>
        <v>Level - </v>
      </c>
      <c r="K2871" s="36"/>
      <c r="L2871" s="37" t="s">
        <v>408</v>
      </c>
      <c r="M2871" s="20"/>
      <c r="N2871" s="35" t="str">
        <f>"Level - "&amp;IFERROR(VLOOKUP(F2862,FLN!$A$4:$K$103,10,0),"")</f>
        <v>Level - </v>
      </c>
      <c r="O2871" s="36"/>
      <c r="P2871" s="19"/>
      <c r="Q2871" s="14"/>
      <c r="R2871" s="11"/>
    </row>
    <row r="2872" s="1" customFormat="1" ht="21.95" customHeight="1" spans="1:18">
      <c r="A2872" s="7"/>
      <c r="B2872" s="12"/>
      <c r="C2872" s="33"/>
      <c r="D2872" s="38"/>
      <c r="E2872" s="20" t="s">
        <v>716</v>
      </c>
      <c r="F2872" s="18" t="str">
        <f>IF(L2886&gt;197,"PERFORMED WELL","")</f>
        <v/>
      </c>
      <c r="G2872" s="18"/>
      <c r="H2872" s="18"/>
      <c r="I2872" s="18"/>
      <c r="J2872" s="18"/>
      <c r="K2872" s="18"/>
      <c r="L2872" s="18"/>
      <c r="M2872" s="18"/>
      <c r="N2872" s="18"/>
      <c r="O2872" s="18"/>
      <c r="P2872" s="19"/>
      <c r="Q2872" s="14"/>
      <c r="R2872" s="11"/>
    </row>
    <row r="2873" s="1" customFormat="1" ht="9.95" customHeight="1" spans="1:18">
      <c r="A2873" s="7"/>
      <c r="B2873" s="12"/>
      <c r="C2873" s="39"/>
      <c r="D2873" s="40"/>
      <c r="E2873" s="40"/>
      <c r="F2873" s="40"/>
      <c r="G2873" s="40"/>
      <c r="H2873" s="40"/>
      <c r="I2873" s="40"/>
      <c r="J2873" s="40"/>
      <c r="K2873" s="40"/>
      <c r="L2873" s="40"/>
      <c r="M2873" s="40"/>
      <c r="N2873" s="40"/>
      <c r="O2873" s="40"/>
      <c r="P2873" s="41"/>
      <c r="Q2873" s="14"/>
      <c r="R2873" s="11"/>
    </row>
    <row r="2874" s="1" customFormat="1" ht="9.95" customHeight="1" spans="1:18">
      <c r="A2874" s="7"/>
      <c r="B2874" s="12"/>
      <c r="C2874" s="29"/>
      <c r="D2874" s="29"/>
      <c r="E2874" s="29"/>
      <c r="F2874" s="29"/>
      <c r="G2874" s="29"/>
      <c r="H2874" s="29"/>
      <c r="I2874" s="29"/>
      <c r="J2874" s="29"/>
      <c r="K2874" s="29"/>
      <c r="L2874" s="29"/>
      <c r="M2874" s="29"/>
      <c r="N2874" s="29"/>
      <c r="O2874" s="29"/>
      <c r="P2874" s="29"/>
      <c r="Q2874" s="14"/>
      <c r="R2874" s="11"/>
    </row>
    <row r="2875" s="1" customFormat="1" ht="9.95" customHeight="1" spans="1:18">
      <c r="A2875" s="7"/>
      <c r="B2875" s="12"/>
      <c r="C2875" s="30"/>
      <c r="D2875" s="31"/>
      <c r="E2875" s="31"/>
      <c r="F2875" s="31"/>
      <c r="G2875" s="31"/>
      <c r="H2875" s="31"/>
      <c r="I2875" s="31"/>
      <c r="J2875" s="31"/>
      <c r="K2875" s="31"/>
      <c r="L2875" s="31"/>
      <c r="M2875" s="31"/>
      <c r="N2875" s="31"/>
      <c r="O2875" s="31"/>
      <c r="P2875" s="32"/>
      <c r="Q2875" s="14"/>
      <c r="R2875" s="11"/>
    </row>
    <row r="2876" s="1" customFormat="1" ht="21.95" customHeight="1" spans="1:18">
      <c r="A2876" s="7"/>
      <c r="B2876" s="12"/>
      <c r="C2876" s="33"/>
      <c r="D2876" s="35"/>
      <c r="E2876" s="24"/>
      <c r="F2876" s="24"/>
      <c r="G2876" s="47" t="s">
        <v>717</v>
      </c>
      <c r="H2876" s="47"/>
      <c r="I2876" s="47"/>
      <c r="J2876" s="47"/>
      <c r="K2876" s="47"/>
      <c r="L2876" s="47"/>
      <c r="M2876" s="47"/>
      <c r="N2876" s="47"/>
      <c r="O2876" s="29"/>
      <c r="P2876" s="19"/>
      <c r="Q2876" s="14"/>
      <c r="R2876" s="11"/>
    </row>
    <row r="2877" s="1" customFormat="1" ht="21.95" customHeight="1" spans="1:18">
      <c r="A2877" s="7"/>
      <c r="B2877" s="12"/>
      <c r="C2877" s="33"/>
      <c r="D2877" s="47"/>
      <c r="E2877" s="47"/>
      <c r="F2877" s="47"/>
      <c r="G2877" s="47" t="s">
        <v>541</v>
      </c>
      <c r="H2877" s="47" t="s">
        <v>542</v>
      </c>
      <c r="I2877" s="47" t="s">
        <v>543</v>
      </c>
      <c r="J2877" s="47" t="s">
        <v>544</v>
      </c>
      <c r="K2877" s="47" t="s">
        <v>561</v>
      </c>
      <c r="L2877" s="47" t="s">
        <v>382</v>
      </c>
      <c r="M2877" s="49" t="s">
        <v>546</v>
      </c>
      <c r="N2877" s="49"/>
      <c r="O2877" s="29"/>
      <c r="P2877" s="19"/>
      <c r="Q2877" s="14"/>
      <c r="R2877" s="11"/>
    </row>
    <row r="2878" s="1" customFormat="1" ht="21.95" customHeight="1" spans="1:18">
      <c r="A2878" s="7"/>
      <c r="B2878" s="12"/>
      <c r="C2878" s="33"/>
      <c r="D2878" s="207" t="s">
        <v>652</v>
      </c>
      <c r="E2878" s="207"/>
      <c r="F2878" s="207"/>
      <c r="G2878" s="50">
        <v>10</v>
      </c>
      <c r="H2878" s="50">
        <v>10</v>
      </c>
      <c r="I2878" s="50">
        <v>10</v>
      </c>
      <c r="J2878" s="50">
        <v>10</v>
      </c>
      <c r="K2878" s="50">
        <v>60</v>
      </c>
      <c r="L2878" s="50">
        <v>100</v>
      </c>
      <c r="M2878" s="49"/>
      <c r="N2878" s="49"/>
      <c r="O2878" s="29"/>
      <c r="P2878" s="19"/>
      <c r="Q2878" s="14"/>
      <c r="R2878" s="11"/>
    </row>
    <row r="2879" s="1" customFormat="1" ht="21.95" customHeight="1" spans="1:18">
      <c r="A2879" s="7"/>
      <c r="B2879" s="12"/>
      <c r="C2879" s="33"/>
      <c r="D2879" s="117" t="s">
        <v>668</v>
      </c>
      <c r="E2879" s="117"/>
      <c r="F2879" s="117"/>
      <c r="G2879" s="54" t="str">
        <f>IFERROR(VLOOKUP(F2862,'1to4-2.1-RR'!$A$12:$BG$111,9,0),"")</f>
        <v/>
      </c>
      <c r="H2879" s="54" t="str">
        <f>IFERROR(VLOOKUP(F2862,'1to4-2.1-RR'!$A$12:$BG$111,10,0),"")</f>
        <v/>
      </c>
      <c r="I2879" s="54" t="str">
        <f>IFERROR(VLOOKUP(F2862,'1to4-2.1-RR'!$A$12:$BG$111,11,0),"")</f>
        <v/>
      </c>
      <c r="J2879" s="54" t="str">
        <f>IFERROR(VLOOKUP(F2862,'1to4-2.1-RR'!$A$12:$BG$111,12,0),"")</f>
        <v/>
      </c>
      <c r="K2879" s="54" t="str">
        <f>IFERROR(VLOOKUP(F2862,'1to4-2.1-RR'!$A$12:$BG$111,13,0),"")</f>
        <v/>
      </c>
      <c r="L2879" s="55">
        <f>SUM(G2879:K2879)</f>
        <v>0</v>
      </c>
      <c r="M2879" s="56" t="str">
        <f>IF(F2862&gt;ENTRY!$D$24,"",IF(L2879=0,"Ab",IF(L2879&gt;80,"A",IF(L2879&gt;60,"B",IF(L2879&gt;44,"C",IF(L2879&gt;=33,"D",IF(L2879&lt;=32,"E","")))))))</f>
        <v/>
      </c>
      <c r="N2879" s="56"/>
      <c r="O2879" s="29"/>
      <c r="P2879" s="19"/>
      <c r="Q2879" s="14"/>
      <c r="R2879" s="11"/>
    </row>
    <row r="2880" s="1" customFormat="1" ht="21.95" customHeight="1" spans="1:18">
      <c r="A2880" s="7"/>
      <c r="B2880" s="12"/>
      <c r="C2880" s="33"/>
      <c r="D2880" s="117" t="s">
        <v>513</v>
      </c>
      <c r="E2880" s="117"/>
      <c r="F2880" s="117"/>
      <c r="G2880" s="54" t="str">
        <f>IFERROR(VLOOKUP(F2862,'1to4-2.1-RR'!$A$12:$BG$111,16,0),"")</f>
        <v/>
      </c>
      <c r="H2880" s="54" t="str">
        <f>IFERROR(VLOOKUP(F2862,'1to4-2.1-RR'!$A$12:$BG$111,17,0),"")</f>
        <v/>
      </c>
      <c r="I2880" s="54" t="str">
        <f>IFERROR(VLOOKUP(F2862,'1to4-2.1-RR'!$A$12:$BG$111,18,0),"")</f>
        <v/>
      </c>
      <c r="J2880" s="54" t="str">
        <f>IFERROR(VLOOKUP(F2862,'1to4-2.1-RR'!$A$12:$BG$111,19,0),"")</f>
        <v/>
      </c>
      <c r="K2880" s="54" t="str">
        <f>IFERROR(VLOOKUP(F2862,'1to4-2.1-RR'!$A$12:$BG$111,20,0),"")</f>
        <v/>
      </c>
      <c r="L2880" s="55">
        <f t="shared" ref="L2880:L2885" si="102">SUM(G2880:K2880)</f>
        <v>0</v>
      </c>
      <c r="M2880" s="56" t="str">
        <f>IF(F2862&gt;ENTRY!$D$24,"",IF(L2880=0,"Ab",IF(L2880&gt;80,"A",IF(L2880&gt;60,"B",IF(L2880&gt;44,"C",IF(L2880&gt;=33,"D",IF(L2880&lt;=32,"E","")))))))</f>
        <v/>
      </c>
      <c r="N2880" s="56"/>
      <c r="O2880" s="29"/>
      <c r="P2880" s="19"/>
      <c r="Q2880" s="14"/>
      <c r="R2880" s="11"/>
    </row>
    <row r="2881" s="1" customFormat="1" ht="21.95" customHeight="1" spans="1:19">
      <c r="A2881" s="7"/>
      <c r="B2881" s="12"/>
      <c r="C2881" s="33"/>
      <c r="D2881" s="117" t="s">
        <v>718</v>
      </c>
      <c r="E2881" s="117"/>
      <c r="F2881" s="117"/>
      <c r="G2881" s="54" t="str">
        <f>IFERROR(VLOOKUP(F2862,'1to4-2.1-RR'!$A$12:$BG$111,23,0),"")</f>
        <v/>
      </c>
      <c r="H2881" s="54" t="str">
        <f>IFERROR(VLOOKUP(F2862,'1to4-2.1-RR'!$A$12:$BG$111,24,0),"")</f>
        <v/>
      </c>
      <c r="I2881" s="54" t="str">
        <f>IFERROR(VLOOKUP(F2862,'1to4-2.1-RR'!$A$12:$BG$111,25,0),"")</f>
        <v/>
      </c>
      <c r="J2881" s="54" t="str">
        <f>IFERROR(VLOOKUP(F2862,'1to4-2.1-RR'!$A$12:$BG$111,26,0),"")</f>
        <v/>
      </c>
      <c r="K2881" s="54" t="str">
        <f>IFERROR(VLOOKUP(F2862,'1to4-2.1-RR'!$A$12:$BG$111,27,0),"")</f>
        <v/>
      </c>
      <c r="L2881" s="55">
        <f t="shared" si="102"/>
        <v>0</v>
      </c>
      <c r="M2881" s="56" t="str">
        <f>IF(F2862&gt;ENTRY!$D$24,"",IF(L2881=0,"Ab",IF(L2881&gt;80,"A",IF(L2881&gt;60,"B",IF(L2881&gt;44,"C",IF(L2881&gt;=33,"D",IF(L2881&lt;=32,"E","")))))))</f>
        <v/>
      </c>
      <c r="N2881" s="56"/>
      <c r="O2881" s="29"/>
      <c r="P2881" s="19"/>
      <c r="Q2881" s="14"/>
      <c r="R2881" s="11"/>
    </row>
    <row r="2882" s="1" customFormat="1" ht="21.95" customHeight="1" spans="1:19">
      <c r="A2882" s="7"/>
      <c r="B2882" s="12"/>
      <c r="C2882" s="33"/>
      <c r="D2882" s="117" t="s">
        <v>719</v>
      </c>
      <c r="E2882" s="117"/>
      <c r="F2882" s="117"/>
      <c r="G2882" s="54" t="str">
        <f>IFERROR(VLOOKUP(F2862,'1to4-2.1-RR'!$A$12:$BG$111,30,0),"")</f>
        <v/>
      </c>
      <c r="H2882" s="54" t="str">
        <f>IFERROR(VLOOKUP(F2862,'1to4-2.1-RR'!$A$12:$BG$111,31,0),"")</f>
        <v/>
      </c>
      <c r="I2882" s="54" t="str">
        <f>IFERROR(VLOOKUP(F2862,'1to4-2.1-RR'!$A$12:$BG$111,32,0),"")</f>
        <v/>
      </c>
      <c r="J2882" s="54" t="str">
        <f>IFERROR(VLOOKUP(F2862,'1to4-2.1-RR'!$A$12:$BG$111,33,0),"")</f>
        <v/>
      </c>
      <c r="K2882" s="54" t="str">
        <f>IFERROR(VLOOKUP(F2862,'1to4-2.1-RR'!$A$12:$BG$111,34,0),"")</f>
        <v/>
      </c>
      <c r="L2882" s="55">
        <f t="shared" si="102"/>
        <v>0</v>
      </c>
      <c r="M2882" s="56" t="str">
        <f>IF(F2862&gt;ENTRY!$D$24,"",IF(L2882=0,"Ab",IF(L2882&gt;80,"A",IF(L2882&gt;60,"B",IF(L2882&gt;44,"C",IF(L2882&gt;=33,"D",IF(L2882&lt;=32,"E","")))))))</f>
        <v/>
      </c>
      <c r="N2882" s="56"/>
      <c r="O2882" s="29"/>
      <c r="P2882" s="19"/>
      <c r="Q2882" s="14"/>
      <c r="R2882" s="11"/>
    </row>
    <row r="2883" s="1" customFormat="1" ht="21.95" customHeight="1" spans="1:19">
      <c r="A2883" s="7"/>
      <c r="B2883" s="12"/>
      <c r="C2883" s="33"/>
      <c r="D2883" s="117" t="s">
        <v>548</v>
      </c>
      <c r="E2883" s="117"/>
      <c r="F2883" s="117"/>
      <c r="G2883" s="54" t="str">
        <f>IFERROR(VLOOKUP(F2862,'1to4-2.1-RR'!$A$12:$BG$111,37,0),"")</f>
        <v/>
      </c>
      <c r="H2883" s="54" t="str">
        <f>IFERROR(VLOOKUP(F2862,'1to4-2.1-RR'!$A$12:$BG$111,38,0),"")</f>
        <v/>
      </c>
      <c r="I2883" s="54" t="str">
        <f>IFERROR(VLOOKUP(F2862,'1to4-2.1-RR'!$A$12:$BG$111,39,0),"")</f>
        <v/>
      </c>
      <c r="J2883" s="54" t="str">
        <f>IFERROR(VLOOKUP(F2862,'1to4-2.1-RR'!$A$12:$BG$111,40,0),"")</f>
        <v/>
      </c>
      <c r="K2883" s="54" t="str">
        <f>IFERROR(VLOOKUP(F2862,'1to4-2.1-RR'!$A$12:$BG$111,41,0),"")</f>
        <v/>
      </c>
      <c r="L2883" s="55">
        <f t="shared" si="102"/>
        <v>0</v>
      </c>
      <c r="M2883" s="56" t="str">
        <f>IF(F2862&gt;ENTRY!$D$24,"",IF(L2883=0,"Ab",IF(L2883&gt;80,"A",IF(L2883&gt;60,"B",IF(L2883&gt;44,"C",IF(L2883&gt;=33,"D",IF(L2883&lt;=32,"E","")))))))</f>
        <v/>
      </c>
      <c r="N2883" s="56"/>
      <c r="O2883" s="29"/>
      <c r="P2883" s="19"/>
      <c r="Q2883" s="14"/>
      <c r="R2883" s="11"/>
    </row>
    <row r="2884" s="1" customFormat="1" ht="21.95" customHeight="1" spans="1:19">
      <c r="A2884" s="7"/>
      <c r="B2884" s="12"/>
      <c r="C2884" s="33"/>
      <c r="D2884" s="117" t="s">
        <v>549</v>
      </c>
      <c r="E2884" s="117"/>
      <c r="F2884" s="117"/>
      <c r="G2884" s="54" t="str">
        <f>IFERROR(VLOOKUP(F2862,'1to4-2.1-RR'!$A$12:$BG$111,44,0),"")</f>
        <v/>
      </c>
      <c r="H2884" s="54" t="str">
        <f>IFERROR(VLOOKUP(F2862,'1to4-2.1-RR'!$A$12:$BG$111,45,0),"")</f>
        <v/>
      </c>
      <c r="I2884" s="54" t="str">
        <f>IFERROR(VLOOKUP(F2862,'1to4-2.1-RR'!$A$12:$BG$111,46,0),"")</f>
        <v/>
      </c>
      <c r="J2884" s="54" t="str">
        <f>IFERROR(VLOOKUP(F2862,'1to4-2.1-RR'!$A$12:$BG$111,47,0),"")</f>
        <v/>
      </c>
      <c r="K2884" s="54" t="str">
        <f>IFERROR(VLOOKUP(F2862,'1to4-2.1-RR'!$A$12:$BG$111,48,0),"")</f>
        <v/>
      </c>
      <c r="L2884" s="55">
        <f t="shared" si="102"/>
        <v>0</v>
      </c>
      <c r="M2884" s="56" t="str">
        <f>IF(F2862&gt;ENTRY!$D$24,"",IF(L2884=0,"Ab",IF(L2884&gt;80,"A",IF(L2884&gt;60,"B",IF(L2884&gt;44,"C",IF(L2884&gt;=33,"D",IF(L2884&lt;=32,"E","")))))))</f>
        <v/>
      </c>
      <c r="N2884" s="56"/>
      <c r="O2884" s="29"/>
      <c r="P2884" s="19"/>
      <c r="Q2884" s="14"/>
      <c r="R2884" s="11"/>
    </row>
    <row r="2885" s="1" customFormat="1" ht="21.95" customHeight="1" spans="1:19">
      <c r="A2885" s="7"/>
      <c r="B2885" s="12"/>
      <c r="C2885" s="33"/>
      <c r="D2885" s="117" t="s">
        <v>720</v>
      </c>
      <c r="E2885" s="117"/>
      <c r="F2885" s="117"/>
      <c r="G2885" s="54"/>
      <c r="H2885" s="54"/>
      <c r="I2885" s="54"/>
      <c r="J2885" s="54"/>
      <c r="K2885" s="54"/>
      <c r="L2885" s="55">
        <f t="shared" si="102"/>
        <v>0</v>
      </c>
      <c r="M2885" s="56" t="str">
        <f>IF(F2862&gt;ENTRY!$D$24,"",IF(L2885=0,"",IF(L2885&gt;79,"A",IF(L2885&gt;59,"B",IF(L2885&gt;44,"C",IF(L2885&gt;=33,"D",IF(L2885&lt;=32,"E","")))))))</f>
        <v/>
      </c>
      <c r="N2885" s="56"/>
      <c r="O2885" s="29"/>
      <c r="P2885" s="19"/>
      <c r="Q2885" s="14"/>
      <c r="R2885" s="11"/>
    </row>
    <row r="2886" s="1" customFormat="1" ht="21.95" customHeight="1" spans="1:19">
      <c r="A2886" s="7"/>
      <c r="B2886" s="12"/>
      <c r="C2886" s="33"/>
      <c r="D2886" s="207" t="s">
        <v>382</v>
      </c>
      <c r="E2886" s="207"/>
      <c r="F2886" s="207"/>
      <c r="G2886" s="54">
        <f t="shared" ref="G2886:L2886" si="103">IFERROR(SUM(G2879:G2885),"")</f>
        <v>0</v>
      </c>
      <c r="H2886" s="54">
        <f t="shared" si="103"/>
        <v>0</v>
      </c>
      <c r="I2886" s="54">
        <f t="shared" si="103"/>
        <v>0</v>
      </c>
      <c r="J2886" s="54">
        <f t="shared" si="103"/>
        <v>0</v>
      </c>
      <c r="K2886" s="54">
        <f t="shared" si="103"/>
        <v>0</v>
      </c>
      <c r="L2886" s="55">
        <f t="shared" si="103"/>
        <v>0</v>
      </c>
      <c r="M2886" s="61" t="str">
        <f>IF(F2862&gt;ENTRY!$D$24,"",IF(N2887="Ab","Ab",IF(N2887&gt;79.5,"A",IF(N2887&gt;59.5,"B",IF(N2887&gt;44.5,"C",IF(N2887&gt;=33,"D",IF(N2887&lt;33,"E","")))))))</f>
        <v/>
      </c>
      <c r="N2886" s="61"/>
      <c r="O2886" s="29"/>
      <c r="P2886" s="19"/>
      <c r="Q2886" s="14"/>
      <c r="R2886" s="11"/>
    </row>
    <row r="2887" s="1" customFormat="1" ht="21.95" customHeight="1" spans="1:19">
      <c r="A2887" s="7"/>
      <c r="B2887" s="12"/>
      <c r="C2887" s="33"/>
      <c r="D2887" s="63" t="s">
        <v>721</v>
      </c>
      <c r="E2887" s="63"/>
      <c r="F2887" s="63"/>
      <c r="G2887" s="63"/>
      <c r="H2887" s="63"/>
      <c r="I2887" s="63"/>
      <c r="J2887" s="63"/>
      <c r="K2887" s="63"/>
      <c r="L2887" s="63"/>
      <c r="M2887" s="209"/>
      <c r="N2887" s="64">
        <f>IF(L2886="Ab","Ab",L2886/6)</f>
        <v>0</v>
      </c>
      <c r="O2887" s="65"/>
      <c r="P2887" s="19"/>
      <c r="Q2887" s="14"/>
      <c r="R2887" s="11"/>
    </row>
    <row r="2888" s="1" customFormat="1" ht="21.95" customHeight="1" spans="1:19">
      <c r="A2888" s="7"/>
      <c r="B2888" s="12"/>
      <c r="C2888" s="33"/>
      <c r="D2888" s="29" t="s">
        <v>716</v>
      </c>
      <c r="E2888" s="18" t="str">
        <f>IFERROR(VLOOKUP(F2862,'1to4-2.1-RR'!$A$12:$BG$111,57,0),"")</f>
        <v/>
      </c>
      <c r="F2888" s="18"/>
      <c r="G2888" s="18"/>
      <c r="H2888" s="18"/>
      <c r="I2888" s="18"/>
      <c r="J2888" s="18"/>
      <c r="K2888" s="18"/>
      <c r="L2888" s="18"/>
      <c r="M2888" s="18"/>
      <c r="N2888" s="29"/>
      <c r="O2888" s="29"/>
      <c r="P2888" s="19"/>
      <c r="Q2888" s="14"/>
      <c r="R2888" s="11"/>
    </row>
    <row r="2889" s="1" customFormat="1" ht="9.95" customHeight="1" spans="1:19">
      <c r="A2889" s="7"/>
      <c r="B2889" s="12"/>
      <c r="C2889" s="39"/>
      <c r="D2889" s="40"/>
      <c r="E2889" s="40"/>
      <c r="F2889" s="40"/>
      <c r="G2889" s="40"/>
      <c r="H2889" s="40"/>
      <c r="I2889" s="40"/>
      <c r="J2889" s="40"/>
      <c r="K2889" s="40"/>
      <c r="L2889" s="40"/>
      <c r="M2889" s="40"/>
      <c r="N2889" s="40"/>
      <c r="O2889" s="40"/>
      <c r="P2889" s="41"/>
      <c r="Q2889" s="14"/>
      <c r="R2889" s="11"/>
    </row>
    <row r="2890" s="1" customFormat="1" ht="9.95" customHeight="1" spans="1:19">
      <c r="A2890" s="7"/>
      <c r="B2890" s="12"/>
      <c r="C2890" s="30"/>
      <c r="D2890" s="31"/>
      <c r="E2890" s="31"/>
      <c r="F2890" s="29"/>
      <c r="G2890" s="31"/>
      <c r="H2890" s="31"/>
      <c r="I2890" s="31"/>
      <c r="J2890" s="31"/>
      <c r="K2890" s="31"/>
      <c r="L2890" s="31"/>
      <c r="M2890" s="31"/>
      <c r="N2890" s="31"/>
      <c r="O2890" s="31"/>
      <c r="P2890" s="32"/>
      <c r="Q2890" s="14"/>
      <c r="R2890" s="11"/>
    </row>
    <row r="2891" s="1" customFormat="1" ht="9.95" customHeight="1" spans="1:19">
      <c r="A2891" s="7"/>
      <c r="B2891" s="12"/>
      <c r="C2891" s="33"/>
      <c r="D2891" s="29"/>
      <c r="E2891" s="29"/>
      <c r="F2891" s="29"/>
      <c r="G2891" s="29"/>
      <c r="H2891" s="29"/>
      <c r="I2891" s="29"/>
      <c r="J2891" s="29"/>
      <c r="K2891" s="29"/>
      <c r="L2891" s="29"/>
      <c r="M2891" s="29"/>
      <c r="N2891" s="29"/>
      <c r="O2891" s="29"/>
      <c r="P2891" s="19"/>
      <c r="Q2891" s="14"/>
      <c r="R2891" s="11"/>
    </row>
    <row r="2892" s="1" customFormat="1" ht="9.95" customHeight="1" spans="1:19">
      <c r="A2892" s="7"/>
      <c r="B2892" s="12"/>
      <c r="C2892" s="33"/>
      <c r="D2892" s="29"/>
      <c r="E2892" s="29"/>
      <c r="F2892" s="29"/>
      <c r="G2892" s="29"/>
      <c r="H2892" s="29"/>
      <c r="I2892" s="29"/>
      <c r="J2892" s="29"/>
      <c r="K2892" s="29"/>
      <c r="L2892" s="29"/>
      <c r="M2892" s="29"/>
      <c r="N2892" s="29"/>
      <c r="O2892" s="29"/>
      <c r="P2892" s="19"/>
      <c r="Q2892" s="14"/>
      <c r="R2892" s="11"/>
    </row>
    <row r="2893" s="1" customFormat="1" ht="21.95" customHeight="1" spans="1:19">
      <c r="A2893" s="7"/>
      <c r="B2893" s="12"/>
      <c r="C2893" s="210"/>
      <c r="D2893" s="211"/>
      <c r="E2893" s="211"/>
      <c r="F2893" s="211"/>
      <c r="G2893" s="211"/>
      <c r="H2893" s="211"/>
      <c r="I2893" s="211"/>
      <c r="J2893" s="211"/>
      <c r="K2893" s="211"/>
      <c r="L2893" s="211"/>
      <c r="M2893" s="211"/>
      <c r="N2893" s="211"/>
      <c r="O2893" s="211"/>
      <c r="P2893" s="212"/>
      <c r="Q2893" s="14"/>
      <c r="R2893" s="11"/>
      <c r="S2893" s="2"/>
    </row>
    <row r="2894" s="1" customFormat="1" ht="21.95" customHeight="1" spans="1:19">
      <c r="A2894" s="7"/>
      <c r="B2894" s="12"/>
      <c r="C2894" s="33"/>
      <c r="D2894" s="207" t="s">
        <v>722</v>
      </c>
      <c r="E2894" s="207"/>
      <c r="F2894" s="207"/>
      <c r="G2894" s="207"/>
      <c r="H2894" s="54">
        <f>IFERROR(VLOOKUP(F2862,PASHEET!$A$4:$CJ$103,88,0),"")</f>
        <v>0</v>
      </c>
      <c r="I2894" s="54"/>
      <c r="J2894" s="29"/>
      <c r="K2894" s="29"/>
      <c r="L2894" s="29"/>
      <c r="M2894" s="29"/>
      <c r="N2894" s="29"/>
      <c r="O2894" s="29"/>
      <c r="P2894" s="19"/>
      <c r="Q2894" s="14"/>
      <c r="R2894" s="11"/>
    </row>
    <row r="2895" s="1" customFormat="1" ht="21.95" customHeight="1" spans="1:19">
      <c r="A2895" s="7"/>
      <c r="B2895" s="12"/>
      <c r="C2895" s="213"/>
      <c r="D2895" s="207" t="s">
        <v>723</v>
      </c>
      <c r="E2895" s="207"/>
      <c r="F2895" s="207"/>
      <c r="G2895" s="207"/>
      <c r="H2895" s="54">
        <f>IFERROR(VLOOKUP(F2862,PASHEET!$A$4:$CJ$103,87,0),"")</f>
        <v>0</v>
      </c>
      <c r="I2895" s="54"/>
      <c r="J2895" s="214"/>
      <c r="K2895" s="214"/>
      <c r="L2895" s="207" t="s">
        <v>724</v>
      </c>
      <c r="M2895" s="207"/>
      <c r="N2895" s="117" t="str">
        <f>IF(F2862&gt;ENTRY!$D$24,"",IF(F2862&gt;0,L2886&amp;" / "&amp;600,""))</f>
        <v/>
      </c>
      <c r="O2895" s="117"/>
      <c r="P2895" s="215"/>
      <c r="Q2895" s="14"/>
      <c r="R2895" s="11"/>
    </row>
    <row r="2896" s="1" customFormat="1" ht="18" customHeight="1" spans="1:19">
      <c r="A2896" s="7"/>
      <c r="B2896" s="12"/>
      <c r="C2896" s="33"/>
      <c r="D2896" s="207" t="s">
        <v>725</v>
      </c>
      <c r="E2896" s="207"/>
      <c r="F2896" s="207"/>
      <c r="G2896" s="207"/>
      <c r="H2896" s="69" t="str">
        <f>IFERROR(IF(F2862&gt;0,H2895/H2894*100),"")</f>
        <v/>
      </c>
      <c r="I2896" s="69"/>
      <c r="J2896" s="29"/>
      <c r="K2896" s="29"/>
      <c r="L2896" s="207" t="s">
        <v>726</v>
      </c>
      <c r="M2896" s="207"/>
      <c r="N2896" s="216" t="str">
        <f>IF(F2862&gt;ENTRY!$D$24,"",IF(F2862&gt;0,L2886/600*100,""))</f>
        <v/>
      </c>
      <c r="O2896" s="216"/>
      <c r="P2896" s="19"/>
      <c r="Q2896" s="14"/>
      <c r="R2896" s="11"/>
    </row>
    <row r="2897" s="1" customFormat="1" ht="21.95" customHeight="1" spans="1:18">
      <c r="A2897" s="7"/>
      <c r="B2897" s="12"/>
      <c r="C2897" s="33"/>
      <c r="D2897" s="80"/>
      <c r="E2897" s="80"/>
      <c r="F2897" s="217"/>
      <c r="G2897" s="217"/>
      <c r="H2897" s="217"/>
      <c r="I2897" s="217"/>
      <c r="J2897" s="217"/>
      <c r="K2897" s="217"/>
      <c r="L2897" s="217"/>
      <c r="M2897" s="217"/>
      <c r="N2897" s="80"/>
      <c r="O2897" s="80"/>
      <c r="P2897" s="19"/>
      <c r="Q2897" s="14"/>
      <c r="R2897" s="11"/>
    </row>
    <row r="2898" s="1" customFormat="1" ht="21.95" customHeight="1" spans="1:18">
      <c r="A2898" s="7"/>
      <c r="B2898" s="12"/>
      <c r="C2898" s="33"/>
      <c r="D2898" s="80"/>
      <c r="E2898" s="218"/>
      <c r="F2898" s="218"/>
      <c r="G2898" s="218"/>
      <c r="H2898" s="80"/>
      <c r="I2898" s="218"/>
      <c r="J2898" s="218"/>
      <c r="K2898" s="218"/>
      <c r="L2898" s="218"/>
      <c r="M2898" s="80"/>
      <c r="N2898" s="219"/>
      <c r="O2898" s="219"/>
      <c r="P2898" s="19"/>
      <c r="Q2898" s="14"/>
      <c r="R2898" s="11"/>
    </row>
    <row r="2899" s="1" customFormat="1" ht="21.95" customHeight="1" spans="1:18">
      <c r="A2899" s="7"/>
      <c r="B2899" s="12"/>
      <c r="C2899" s="33"/>
      <c r="D2899" s="80"/>
      <c r="E2899" s="80"/>
      <c r="F2899" s="80"/>
      <c r="G2899" s="80"/>
      <c r="H2899" s="80"/>
      <c r="I2899" s="80"/>
      <c r="J2899" s="80"/>
      <c r="K2899" s="80"/>
      <c r="L2899" s="80"/>
      <c r="M2899" s="80"/>
      <c r="N2899" s="80"/>
      <c r="O2899" s="80"/>
      <c r="P2899" s="19"/>
      <c r="Q2899" s="14"/>
      <c r="R2899" s="11"/>
    </row>
    <row r="2900" s="1" customFormat="1" ht="21.95" customHeight="1" spans="1:18">
      <c r="A2900" s="7"/>
      <c r="B2900" s="12"/>
      <c r="C2900" s="33"/>
      <c r="D2900" s="218"/>
      <c r="E2900" s="218"/>
      <c r="F2900" s="218"/>
      <c r="G2900" s="218"/>
      <c r="H2900" s="218"/>
      <c r="I2900" s="218"/>
      <c r="J2900" s="218"/>
      <c r="K2900" s="218"/>
      <c r="L2900" s="218"/>
      <c r="M2900" s="80"/>
      <c r="N2900" s="217"/>
      <c r="O2900" s="217"/>
      <c r="P2900" s="85" t="s">
        <v>727</v>
      </c>
      <c r="Q2900" s="14"/>
      <c r="R2900" s="11"/>
    </row>
    <row r="2901" s="1" customFormat="1" ht="21.95" customHeight="1" spans="1:18">
      <c r="A2901" s="7"/>
      <c r="B2901" s="12"/>
      <c r="C2901" s="33"/>
      <c r="D2901" s="29"/>
      <c r="E2901" s="29"/>
      <c r="F2901" s="29"/>
      <c r="G2901" s="29"/>
      <c r="H2901" s="29"/>
      <c r="I2901" s="29"/>
      <c r="J2901" s="29"/>
      <c r="K2901" s="29"/>
      <c r="L2901" s="29"/>
      <c r="M2901" s="29"/>
      <c r="N2901" s="29"/>
      <c r="O2901" s="29"/>
      <c r="P2901" s="19"/>
      <c r="Q2901" s="14"/>
      <c r="R2901" s="11"/>
    </row>
    <row r="2902" s="1" customFormat="1" ht="21.95" customHeight="1" spans="1:18">
      <c r="A2902" s="7"/>
      <c r="B2902" s="12"/>
      <c r="C2902" s="33"/>
      <c r="D2902" s="29"/>
      <c r="E2902" s="29"/>
      <c r="F2902" s="29"/>
      <c r="G2902" s="29"/>
      <c r="H2902" s="29"/>
      <c r="I2902" s="29"/>
      <c r="J2902" s="29"/>
      <c r="K2902" s="29"/>
      <c r="L2902" s="29"/>
      <c r="M2902" s="29"/>
      <c r="N2902" s="29"/>
      <c r="O2902" s="29"/>
      <c r="P2902" s="19"/>
      <c r="Q2902" s="14"/>
      <c r="R2902" s="11"/>
    </row>
    <row r="2903" s="1" customFormat="1" ht="21.95" customHeight="1" spans="1:18">
      <c r="A2903" s="7"/>
      <c r="B2903" s="12"/>
      <c r="C2903" s="33"/>
      <c r="D2903" s="29"/>
      <c r="E2903" s="29"/>
      <c r="F2903" s="29"/>
      <c r="G2903" s="29"/>
      <c r="H2903" s="29"/>
      <c r="I2903" s="29"/>
      <c r="J2903" s="29"/>
      <c r="K2903" s="29"/>
      <c r="L2903" s="29"/>
      <c r="M2903" s="29"/>
      <c r="N2903" s="29"/>
      <c r="O2903" s="29"/>
      <c r="P2903" s="19"/>
      <c r="Q2903" s="14"/>
      <c r="R2903" s="11"/>
    </row>
    <row r="2904" s="1" customFormat="1" ht="21.95" customHeight="1" spans="1:18">
      <c r="A2904" s="7"/>
      <c r="B2904" s="12"/>
      <c r="C2904" s="33"/>
      <c r="D2904" s="29"/>
      <c r="E2904" s="29"/>
      <c r="F2904" s="29"/>
      <c r="G2904" s="29"/>
      <c r="H2904" s="29"/>
      <c r="I2904" s="29"/>
      <c r="J2904" s="29"/>
      <c r="K2904" s="29"/>
      <c r="L2904" s="29"/>
      <c r="M2904" s="29"/>
      <c r="N2904" s="29"/>
      <c r="O2904" s="29"/>
      <c r="P2904" s="19"/>
      <c r="Q2904" s="14"/>
      <c r="R2904" s="11"/>
    </row>
    <row r="2905" s="1" customFormat="1" ht="21.95" customHeight="1" spans="1:18">
      <c r="A2905" s="7"/>
      <c r="B2905" s="12"/>
      <c r="C2905" s="33"/>
      <c r="D2905" s="29"/>
      <c r="E2905" s="29"/>
      <c r="F2905" s="29"/>
      <c r="G2905" s="29"/>
      <c r="H2905" s="29"/>
      <c r="I2905" s="29"/>
      <c r="J2905" s="29"/>
      <c r="K2905" s="29"/>
      <c r="L2905" s="29"/>
      <c r="M2905" s="29"/>
      <c r="N2905" s="29"/>
      <c r="O2905" s="29"/>
      <c r="P2905" s="19"/>
      <c r="Q2905" s="14"/>
      <c r="R2905" s="11"/>
    </row>
    <row r="2906" s="1" customFormat="1" ht="21.95" customHeight="1" spans="1:18">
      <c r="A2906" s="7"/>
      <c r="B2906" s="12"/>
      <c r="C2906" s="33"/>
      <c r="D2906" s="80" t="s">
        <v>728</v>
      </c>
      <c r="E2906" s="220">
        <f>ENTRY!$D$27</f>
        <v>46102</v>
      </c>
      <c r="F2906" s="220"/>
      <c r="G2906" s="29"/>
      <c r="H2906" s="29"/>
      <c r="I2906" s="221" t="s">
        <v>729</v>
      </c>
      <c r="J2906" s="153"/>
      <c r="K2906" s="29"/>
      <c r="L2906" s="29"/>
      <c r="M2906" s="87" t="s">
        <v>730</v>
      </c>
      <c r="N2906" s="87"/>
      <c r="O2906" s="87"/>
      <c r="P2906" s="19"/>
      <c r="Q2906" s="14"/>
      <c r="R2906" s="11"/>
    </row>
    <row r="2907" s="1" customFormat="1" ht="21.95" customHeight="1" spans="1:18">
      <c r="A2907" s="7"/>
      <c r="B2907" s="12"/>
      <c r="C2907" s="33"/>
      <c r="D2907" s="80" t="s">
        <v>731</v>
      </c>
      <c r="E2907" s="88" t="str">
        <f>PROPER(ENTRY!$D$28)</f>
        <v>New Delhi</v>
      </c>
      <c r="F2907" s="88"/>
      <c r="G2907" s="29"/>
      <c r="H2907" s="29"/>
      <c r="I2907" s="153"/>
      <c r="J2907" s="153"/>
      <c r="K2907" s="29"/>
      <c r="L2907" s="29"/>
      <c r="M2907" s="79" t="s">
        <v>732</v>
      </c>
      <c r="N2907" s="79"/>
      <c r="O2907" s="79"/>
      <c r="P2907" s="19"/>
      <c r="Q2907" s="14"/>
      <c r="R2907" s="11"/>
    </row>
    <row r="2908" s="1" customFormat="1" ht="21.95" customHeight="1" spans="1:18">
      <c r="A2908" s="7"/>
      <c r="B2908" s="12"/>
      <c r="C2908" s="90"/>
      <c r="D2908" s="91"/>
      <c r="E2908" s="91"/>
      <c r="F2908" s="91"/>
      <c r="G2908" s="91"/>
      <c r="H2908" s="91"/>
      <c r="I2908" s="91"/>
      <c r="J2908" s="91"/>
      <c r="K2908" s="91"/>
      <c r="L2908" s="91"/>
      <c r="M2908" s="91"/>
      <c r="N2908" s="91"/>
      <c r="O2908" s="91"/>
      <c r="P2908" s="92"/>
      <c r="Q2908" s="14"/>
      <c r="R2908" s="11"/>
    </row>
    <row r="2909" s="1" customFormat="1" ht="5.1" customHeight="1" spans="1:18">
      <c r="A2909" s="7"/>
      <c r="B2909" s="90"/>
      <c r="C2909" s="91"/>
      <c r="D2909" s="91"/>
      <c r="E2909" s="91"/>
      <c r="F2909" s="91"/>
      <c r="G2909" s="91"/>
      <c r="H2909" s="91"/>
      <c r="I2909" s="91"/>
      <c r="J2909" s="91"/>
      <c r="K2909" s="91"/>
      <c r="L2909" s="91"/>
      <c r="M2909" s="91"/>
      <c r="N2909" s="91"/>
      <c r="O2909" s="91"/>
      <c r="P2909" s="91"/>
      <c r="Q2909" s="92"/>
      <c r="R2909" s="11"/>
    </row>
    <row r="2910" s="1" customFormat="1" ht="5.1" customHeight="1" spans="1:18">
      <c r="A2910" s="93"/>
      <c r="B2910" s="94"/>
      <c r="C2910" s="94"/>
      <c r="D2910" s="94"/>
      <c r="E2910" s="94"/>
      <c r="F2910" s="94"/>
      <c r="G2910" s="94"/>
      <c r="H2910" s="94"/>
      <c r="I2910" s="94"/>
      <c r="J2910" s="94"/>
      <c r="K2910" s="94"/>
      <c r="L2910" s="94"/>
      <c r="M2910" s="94"/>
      <c r="N2910" s="94"/>
      <c r="O2910" s="94"/>
      <c r="P2910" s="94"/>
      <c r="Q2910" s="94"/>
      <c r="R2910" s="95"/>
    </row>
    <row r="2911" s="1" customFormat="1" ht="21.95" customHeight="1"/>
    <row r="2912" ht="15.15"/>
    <row r="2913" s="1" customFormat="1" ht="5.1" customHeight="1" spans="1:18">
      <c r="A2913" s="4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  <c r="O2913" s="5"/>
      <c r="P2913" s="5"/>
      <c r="Q2913" s="5"/>
      <c r="R2913" s="6"/>
    </row>
    <row r="2914" s="1" customFormat="1" ht="15" customHeight="1" spans="1:18">
      <c r="A2914" s="7"/>
      <c r="B2914" s="8"/>
      <c r="C2914" s="9"/>
      <c r="D2914" s="9"/>
      <c r="E2914" s="9"/>
      <c r="F2914" s="9"/>
      <c r="G2914" s="9"/>
      <c r="H2914" s="9"/>
      <c r="I2914" s="9"/>
      <c r="J2914" s="9"/>
      <c r="K2914" s="9"/>
      <c r="L2914" s="9"/>
      <c r="M2914" s="9"/>
      <c r="N2914" s="9"/>
      <c r="O2914" s="9"/>
      <c r="P2914" s="9"/>
      <c r="Q2914" s="10"/>
      <c r="R2914" s="11"/>
    </row>
    <row r="2915" s="1" customFormat="1" ht="21.95" customHeight="1" spans="1:18">
      <c r="A2915" s="7"/>
      <c r="B2915" s="12"/>
      <c r="C2915" s="13" t="s">
        <v>7</v>
      </c>
      <c r="D2915" s="13"/>
      <c r="E2915" s="13"/>
      <c r="F2915" s="13"/>
      <c r="G2915" s="13"/>
      <c r="H2915" s="13"/>
      <c r="I2915" s="13"/>
      <c r="J2915" s="13"/>
      <c r="K2915" s="13"/>
      <c r="L2915" s="13"/>
      <c r="M2915" s="13"/>
      <c r="N2915" s="13"/>
      <c r="O2915" s="13"/>
      <c r="P2915" s="13"/>
      <c r="Q2915" s="14"/>
      <c r="R2915" s="11"/>
    </row>
    <row r="2916" s="1" customFormat="1" ht="21.95" customHeight="1" spans="1:18">
      <c r="A2916" s="7"/>
      <c r="B2916" s="1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14"/>
      <c r="R2916" s="11"/>
    </row>
    <row r="2917" s="1" customFormat="1" ht="21.95" customHeight="1" spans="1:18">
      <c r="A2917" s="7"/>
      <c r="B2917" s="12"/>
      <c r="C2917" s="15" t="str">
        <f>"SESSION-"&amp;ENTRY!$D$11</f>
        <v>SESSION-2026-27</v>
      </c>
      <c r="D2917" s="15"/>
      <c r="E2917" s="15"/>
      <c r="F2917" s="15"/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4"/>
      <c r="R2917" s="11"/>
    </row>
    <row r="2918" s="1" customFormat="1" ht="21.95" customHeight="1" spans="1:18">
      <c r="A2918" s="7"/>
      <c r="B2918" s="12"/>
      <c r="C2918" s="2"/>
      <c r="D2918" s="2"/>
      <c r="E2918" s="2"/>
      <c r="F2918" s="16">
        <f>F2862+1</f>
        <v>53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14"/>
      <c r="R2918" s="11"/>
    </row>
    <row r="2919" s="1" customFormat="1" ht="21.95" customHeight="1" spans="1:18">
      <c r="A2919" s="7"/>
      <c r="B2919" s="12"/>
      <c r="C2919" s="17" t="s">
        <v>392</v>
      </c>
      <c r="D2919" s="17"/>
      <c r="E2919" s="17"/>
      <c r="F2919" s="18" t="str">
        <f>IF(F2918&gt;0,ENTRY!$D$6,"")</f>
        <v>MCP NITHARI NO 1 BOYS</v>
      </c>
      <c r="G2919" s="18"/>
      <c r="H2919" s="18"/>
      <c r="I2919" s="18"/>
      <c r="J2919" s="18"/>
      <c r="K2919" s="18"/>
      <c r="L2919" s="18"/>
      <c r="M2919" s="18"/>
      <c r="N2919" s="18"/>
      <c r="O2919" s="18"/>
      <c r="P2919" s="18"/>
      <c r="Q2919" s="14"/>
      <c r="R2919" s="11"/>
    </row>
    <row r="2920" s="1" customFormat="1" ht="21.95" customHeight="1" spans="1:18">
      <c r="A2920" s="7"/>
      <c r="B2920" s="12"/>
      <c r="C2920" s="17" t="s">
        <v>393</v>
      </c>
      <c r="D2920" s="17"/>
      <c r="E2920" s="17"/>
      <c r="F2920" s="18">
        <f>IF(F2918&gt;0,ENTRY!$D$7,"")</f>
        <v>0</v>
      </c>
      <c r="G2920" s="18"/>
      <c r="H2920" s="20" t="s">
        <v>702</v>
      </c>
      <c r="I2920" s="20"/>
      <c r="J2920" s="21">
        <f>IF(F2918&gt;0,ENTRY!$D$10,"")</f>
        <v>40</v>
      </c>
      <c r="K2920" s="20" t="s">
        <v>703</v>
      </c>
      <c r="L2920" s="22" t="str">
        <f>IF(F2918&gt;0,ENTRY!$D$5,"")</f>
        <v>ROHINI ZONE</v>
      </c>
      <c r="M2920" s="22"/>
      <c r="N2920" s="22"/>
      <c r="O2920" s="22"/>
      <c r="P2920" s="22"/>
      <c r="Q2920" s="14"/>
      <c r="R2920" s="11"/>
    </row>
    <row r="2921" s="1" customFormat="1" ht="21.95" customHeight="1" spans="1:18">
      <c r="A2921" s="7"/>
      <c r="B2921" s="12"/>
      <c r="C2921" s="17" t="s">
        <v>706</v>
      </c>
      <c r="D2921" s="17"/>
      <c r="E2921" s="17"/>
      <c r="F2921" s="23">
        <f>IFERROR(VLOOKUP(F2918,STUDENT!$A$2:$BP$101,5,0),"")</f>
        <v>0</v>
      </c>
      <c r="G2921" s="23"/>
      <c r="H2921" s="23"/>
      <c r="I2921" s="23"/>
      <c r="J2921" s="23"/>
      <c r="K2921" s="23"/>
      <c r="L2921" s="20" t="s">
        <v>707</v>
      </c>
      <c r="M2921" s="20"/>
      <c r="N2921" s="24" t="str">
        <f>IF(F2918&gt;0,ENTRY!$D$20&amp;"-"&amp;ENTRY!$D$21,"")</f>
        <v>III-A</v>
      </c>
      <c r="O2921" s="24"/>
      <c r="P2921" s="24"/>
      <c r="Q2921" s="14"/>
      <c r="R2921" s="11"/>
    </row>
    <row r="2922" s="1" customFormat="1" ht="21.95" customHeight="1" spans="1:18">
      <c r="A2922" s="7"/>
      <c r="B2922" s="12"/>
      <c r="C2922" s="17" t="s">
        <v>708</v>
      </c>
      <c r="D2922" s="17"/>
      <c r="E2922" s="17"/>
      <c r="F2922" s="25">
        <f>IFERROR(VLOOKUP(F2918,STUDENT!$A$2:$BP$101,6,0),"")</f>
        <v>0</v>
      </c>
      <c r="G2922" s="25"/>
      <c r="H2922" s="26" t="s">
        <v>709</v>
      </c>
      <c r="I2922" s="27" t="str">
        <f>IFERROR(VLOOKUP(F2918,STUDENT!$A$2:$BP$101,59,0),"")</f>
        <v/>
      </c>
      <c r="J2922" s="27"/>
      <c r="K2922" s="20" t="s">
        <v>710</v>
      </c>
      <c r="L2922" s="20"/>
      <c r="M2922" s="28">
        <f>IFERROR(VLOOKUP(F2918,STUDENT!$A$2:$BP$101,20,0),"")</f>
        <v>0</v>
      </c>
      <c r="N2922" s="28"/>
      <c r="O2922" s="28"/>
      <c r="P2922" s="28"/>
      <c r="Q2922" s="14"/>
      <c r="R2922" s="11"/>
    </row>
    <row r="2923" s="1" customFormat="1" ht="21.95" customHeight="1" spans="1:18">
      <c r="A2923" s="7"/>
      <c r="B2923" s="12"/>
      <c r="C2923" s="17" t="s">
        <v>711</v>
      </c>
      <c r="D2923" s="17"/>
      <c r="E2923" s="17"/>
      <c r="F2923" s="23">
        <f>IFERROR(VLOOKUP(F2918,STUDENT!$A$2:$BP$101,9,0),"")</f>
        <v>0</v>
      </c>
      <c r="G2923" s="23"/>
      <c r="H2923" s="23"/>
      <c r="I2923" s="23"/>
      <c r="J2923" s="17" t="s">
        <v>620</v>
      </c>
      <c r="K2923" s="17"/>
      <c r="L2923" s="23">
        <f>IFERROR(VLOOKUP(F2918,STUDENT!$A$2:$BP$101,8,0),"")</f>
        <v>0</v>
      </c>
      <c r="M2923" s="23"/>
      <c r="N2923" s="23"/>
      <c r="O2923" s="23"/>
      <c r="P2923" s="23"/>
      <c r="Q2923" s="14"/>
      <c r="R2923" s="11"/>
    </row>
    <row r="2924" s="1" customFormat="1" ht="21.95" customHeight="1" spans="1:18">
      <c r="A2924" s="7"/>
      <c r="B2924" s="12"/>
      <c r="C2924" s="17" t="s">
        <v>712</v>
      </c>
      <c r="D2924" s="17"/>
      <c r="E2924" s="17"/>
      <c r="F2924" s="23">
        <f>IFERROR(VLOOKUP(F2918,STUDENT!$A$2:$BP$101,22,0),"")</f>
        <v>0</v>
      </c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14"/>
      <c r="R2924" s="11"/>
    </row>
    <row r="2925" s="1" customFormat="1" ht="9.95" customHeight="1" spans="1:18">
      <c r="A2925" s="7"/>
      <c r="B2925" s="12"/>
      <c r="C2925" s="29"/>
      <c r="D2925" s="29"/>
      <c r="E2925" s="29"/>
      <c r="F2925" s="29"/>
      <c r="G2925" s="29"/>
      <c r="H2925" s="29"/>
      <c r="I2925" s="29"/>
      <c r="J2925" s="29"/>
      <c r="K2925" s="29"/>
      <c r="L2925" s="29"/>
      <c r="M2925" s="29"/>
      <c r="N2925" s="29"/>
      <c r="O2925" s="29"/>
      <c r="P2925" s="29"/>
      <c r="Q2925" s="14"/>
      <c r="R2925" s="11"/>
    </row>
    <row r="2926" s="1" customFormat="1" ht="9.95" customHeight="1" spans="1:18">
      <c r="A2926" s="7"/>
      <c r="B2926" s="12"/>
      <c r="C2926" s="30"/>
      <c r="D2926" s="31"/>
      <c r="E2926" s="31"/>
      <c r="F2926" s="31"/>
      <c r="G2926" s="31"/>
      <c r="H2926" s="31"/>
      <c r="I2926" s="31"/>
      <c r="J2926" s="31"/>
      <c r="K2926" s="31"/>
      <c r="L2926" s="31"/>
      <c r="M2926" s="31"/>
      <c r="N2926" s="31"/>
      <c r="O2926" s="31"/>
      <c r="P2926" s="32"/>
      <c r="Q2926" s="14"/>
      <c r="R2926" s="11"/>
    </row>
    <row r="2927" s="1" customFormat="1" ht="21.95" customHeight="1" spans="1:18">
      <c r="A2927" s="7"/>
      <c r="B2927" s="12"/>
      <c r="C2927" s="33"/>
      <c r="D2927" s="34" t="s">
        <v>713</v>
      </c>
      <c r="E2927" s="20" t="s">
        <v>714</v>
      </c>
      <c r="F2927" s="35" t="str">
        <f>"Level - "&amp;IFERROR(VLOOKUP(F2918,FLN!$A$4:$K$103,9,0),"")</f>
        <v>Level - </v>
      </c>
      <c r="G2927" s="36"/>
      <c r="H2927" s="37" t="s">
        <v>715</v>
      </c>
      <c r="I2927" s="20"/>
      <c r="J2927" s="35" t="str">
        <f>"Level - "&amp;IFERROR(VLOOKUP(F2918,FLN!$A$4:$K$103,11,0),"")</f>
        <v>Level - </v>
      </c>
      <c r="K2927" s="36"/>
      <c r="L2927" s="37" t="s">
        <v>408</v>
      </c>
      <c r="M2927" s="20"/>
      <c r="N2927" s="35" t="str">
        <f>"Level - "&amp;IFERROR(VLOOKUP(F2918,FLN!$A$4:$K$103,10,0),"")</f>
        <v>Level - </v>
      </c>
      <c r="O2927" s="36"/>
      <c r="P2927" s="19"/>
      <c r="Q2927" s="14"/>
      <c r="R2927" s="11"/>
    </row>
    <row r="2928" s="1" customFormat="1" ht="21.95" customHeight="1" spans="1:18">
      <c r="A2928" s="7"/>
      <c r="B2928" s="12"/>
      <c r="C2928" s="33"/>
      <c r="D2928" s="38"/>
      <c r="E2928" s="20" t="s">
        <v>716</v>
      </c>
      <c r="F2928" s="18" t="str">
        <f>IF(L2942&gt;197,"PERFORMED WELL","")</f>
        <v/>
      </c>
      <c r="G2928" s="18"/>
      <c r="H2928" s="18"/>
      <c r="I2928" s="18"/>
      <c r="J2928" s="18"/>
      <c r="K2928" s="18"/>
      <c r="L2928" s="18"/>
      <c r="M2928" s="18"/>
      <c r="N2928" s="18"/>
      <c r="O2928" s="18"/>
      <c r="P2928" s="19"/>
      <c r="Q2928" s="14"/>
      <c r="R2928" s="11"/>
    </row>
    <row r="2929" s="1" customFormat="1" ht="9.95" customHeight="1" spans="1:18">
      <c r="A2929" s="7"/>
      <c r="B2929" s="12"/>
      <c r="C2929" s="39"/>
      <c r="D2929" s="40"/>
      <c r="E2929" s="40"/>
      <c r="F2929" s="40"/>
      <c r="G2929" s="40"/>
      <c r="H2929" s="40"/>
      <c r="I2929" s="40"/>
      <c r="J2929" s="40"/>
      <c r="K2929" s="40"/>
      <c r="L2929" s="40"/>
      <c r="M2929" s="40"/>
      <c r="N2929" s="40"/>
      <c r="O2929" s="40"/>
      <c r="P2929" s="41"/>
      <c r="Q2929" s="14"/>
      <c r="R2929" s="11"/>
    </row>
    <row r="2930" s="1" customFormat="1" ht="9.95" customHeight="1" spans="1:18">
      <c r="A2930" s="7"/>
      <c r="B2930" s="12"/>
      <c r="C2930" s="29"/>
      <c r="D2930" s="29"/>
      <c r="E2930" s="29"/>
      <c r="F2930" s="29"/>
      <c r="G2930" s="29"/>
      <c r="H2930" s="29"/>
      <c r="I2930" s="29"/>
      <c r="J2930" s="29"/>
      <c r="K2930" s="29"/>
      <c r="L2930" s="29"/>
      <c r="M2930" s="29"/>
      <c r="N2930" s="29"/>
      <c r="O2930" s="29"/>
      <c r="P2930" s="29"/>
      <c r="Q2930" s="14"/>
      <c r="R2930" s="11"/>
    </row>
    <row r="2931" s="1" customFormat="1" ht="9.95" customHeight="1" spans="1:18">
      <c r="A2931" s="7"/>
      <c r="B2931" s="12"/>
      <c r="C2931" s="30"/>
      <c r="D2931" s="31"/>
      <c r="E2931" s="31"/>
      <c r="F2931" s="31"/>
      <c r="G2931" s="31"/>
      <c r="H2931" s="31"/>
      <c r="I2931" s="31"/>
      <c r="J2931" s="31"/>
      <c r="K2931" s="31"/>
      <c r="L2931" s="31"/>
      <c r="M2931" s="31"/>
      <c r="N2931" s="31"/>
      <c r="O2931" s="31"/>
      <c r="P2931" s="32"/>
      <c r="Q2931" s="14"/>
      <c r="R2931" s="11"/>
    </row>
    <row r="2932" s="1" customFormat="1" ht="21.95" customHeight="1" spans="1:18">
      <c r="A2932" s="7"/>
      <c r="B2932" s="12"/>
      <c r="C2932" s="33"/>
      <c r="D2932" s="35"/>
      <c r="E2932" s="24"/>
      <c r="F2932" s="24"/>
      <c r="G2932" s="47" t="s">
        <v>717</v>
      </c>
      <c r="H2932" s="47"/>
      <c r="I2932" s="47"/>
      <c r="J2932" s="47"/>
      <c r="K2932" s="47"/>
      <c r="L2932" s="47"/>
      <c r="M2932" s="47"/>
      <c r="N2932" s="47"/>
      <c r="O2932" s="29"/>
      <c r="P2932" s="19"/>
      <c r="Q2932" s="14"/>
      <c r="R2932" s="11"/>
    </row>
    <row r="2933" s="1" customFormat="1" ht="21.95" customHeight="1" spans="1:18">
      <c r="A2933" s="7"/>
      <c r="B2933" s="12"/>
      <c r="C2933" s="33"/>
      <c r="D2933" s="47"/>
      <c r="E2933" s="47"/>
      <c r="F2933" s="47"/>
      <c r="G2933" s="47" t="s">
        <v>541</v>
      </c>
      <c r="H2933" s="47" t="s">
        <v>542</v>
      </c>
      <c r="I2933" s="47" t="s">
        <v>543</v>
      </c>
      <c r="J2933" s="47" t="s">
        <v>544</v>
      </c>
      <c r="K2933" s="47" t="s">
        <v>561</v>
      </c>
      <c r="L2933" s="47" t="s">
        <v>382</v>
      </c>
      <c r="M2933" s="49" t="s">
        <v>546</v>
      </c>
      <c r="N2933" s="49"/>
      <c r="O2933" s="29"/>
      <c r="P2933" s="19"/>
      <c r="Q2933" s="14"/>
      <c r="R2933" s="11"/>
    </row>
    <row r="2934" s="1" customFormat="1" ht="21.95" customHeight="1" spans="1:18">
      <c r="A2934" s="7"/>
      <c r="B2934" s="12"/>
      <c r="C2934" s="33"/>
      <c r="D2934" s="207" t="s">
        <v>652</v>
      </c>
      <c r="E2934" s="207"/>
      <c r="F2934" s="207"/>
      <c r="G2934" s="50">
        <v>10</v>
      </c>
      <c r="H2934" s="50">
        <v>10</v>
      </c>
      <c r="I2934" s="50">
        <v>10</v>
      </c>
      <c r="J2934" s="50">
        <v>10</v>
      </c>
      <c r="K2934" s="50">
        <v>60</v>
      </c>
      <c r="L2934" s="50">
        <v>100</v>
      </c>
      <c r="M2934" s="49"/>
      <c r="N2934" s="49"/>
      <c r="O2934" s="29"/>
      <c r="P2934" s="19"/>
      <c r="Q2934" s="14"/>
      <c r="R2934" s="11"/>
    </row>
    <row r="2935" s="1" customFormat="1" ht="21.95" customHeight="1" spans="1:18">
      <c r="A2935" s="7"/>
      <c r="B2935" s="12"/>
      <c r="C2935" s="33"/>
      <c r="D2935" s="117" t="s">
        <v>668</v>
      </c>
      <c r="E2935" s="117"/>
      <c r="F2935" s="117"/>
      <c r="G2935" s="54" t="str">
        <f>IFERROR(VLOOKUP(F2918,'1to4-2.1-RR'!$A$12:$BG$111,9,0),"")</f>
        <v/>
      </c>
      <c r="H2935" s="54" t="str">
        <f>IFERROR(VLOOKUP(F2918,'1to4-2.1-RR'!$A$12:$BG$111,10,0),"")</f>
        <v/>
      </c>
      <c r="I2935" s="54" t="str">
        <f>IFERROR(VLOOKUP(F2918,'1to4-2.1-RR'!$A$12:$BG$111,11,0),"")</f>
        <v/>
      </c>
      <c r="J2935" s="54" t="str">
        <f>IFERROR(VLOOKUP(F2918,'1to4-2.1-RR'!$A$12:$BG$111,12,0),"")</f>
        <v/>
      </c>
      <c r="K2935" s="54" t="str">
        <f>IFERROR(VLOOKUP(F2918,'1to4-2.1-RR'!$A$12:$BG$111,13,0),"")</f>
        <v/>
      </c>
      <c r="L2935" s="55">
        <f>SUM(G2935:K2935)</f>
        <v>0</v>
      </c>
      <c r="M2935" s="56" t="str">
        <f>IF(F2918&gt;ENTRY!$D$24,"",IF(L2935=0,"Ab",IF(L2935&gt;80,"A",IF(L2935&gt;60,"B",IF(L2935&gt;44,"C",IF(L2935&gt;=33,"D",IF(L2935&lt;=32,"E","")))))))</f>
        <v/>
      </c>
      <c r="N2935" s="56"/>
      <c r="O2935" s="29"/>
      <c r="P2935" s="19"/>
      <c r="Q2935" s="14"/>
      <c r="R2935" s="11"/>
    </row>
    <row r="2936" s="1" customFormat="1" ht="21.95" customHeight="1" spans="1:18">
      <c r="A2936" s="7"/>
      <c r="B2936" s="12"/>
      <c r="C2936" s="33"/>
      <c r="D2936" s="117" t="s">
        <v>513</v>
      </c>
      <c r="E2936" s="117"/>
      <c r="F2936" s="117"/>
      <c r="G2936" s="54" t="str">
        <f>IFERROR(VLOOKUP(F2918,'1to4-2.1-RR'!$A$12:$BG$111,16,0),"")</f>
        <v/>
      </c>
      <c r="H2936" s="54" t="str">
        <f>IFERROR(VLOOKUP(F2918,'1to4-2.1-RR'!$A$12:$BG$111,17,0),"")</f>
        <v/>
      </c>
      <c r="I2936" s="54" t="str">
        <f>IFERROR(VLOOKUP(F2918,'1to4-2.1-RR'!$A$12:$BG$111,18,0),"")</f>
        <v/>
      </c>
      <c r="J2936" s="54" t="str">
        <f>IFERROR(VLOOKUP(F2918,'1to4-2.1-RR'!$A$12:$BG$111,19,0),"")</f>
        <v/>
      </c>
      <c r="K2936" s="54" t="str">
        <f>IFERROR(VLOOKUP(F2918,'1to4-2.1-RR'!$A$12:$BG$111,20,0),"")</f>
        <v/>
      </c>
      <c r="L2936" s="55">
        <f t="shared" ref="L2936:L2941" si="104">SUM(G2936:K2936)</f>
        <v>0</v>
      </c>
      <c r="M2936" s="56" t="str">
        <f>IF(F2918&gt;ENTRY!$D$24,"",IF(L2936=0,"Ab",IF(L2936&gt;80,"A",IF(L2936&gt;60,"B",IF(L2936&gt;44,"C",IF(L2936&gt;=33,"D",IF(L2936&lt;=32,"E","")))))))</f>
        <v/>
      </c>
      <c r="N2936" s="56"/>
      <c r="O2936" s="29"/>
      <c r="P2936" s="19"/>
      <c r="Q2936" s="14"/>
      <c r="R2936" s="11"/>
    </row>
    <row r="2937" s="1" customFormat="1" ht="21.95" customHeight="1" spans="1:18">
      <c r="A2937" s="7"/>
      <c r="B2937" s="12"/>
      <c r="C2937" s="33"/>
      <c r="D2937" s="117" t="s">
        <v>718</v>
      </c>
      <c r="E2937" s="117"/>
      <c r="F2937" s="117"/>
      <c r="G2937" s="54" t="str">
        <f>IFERROR(VLOOKUP(F2918,'1to4-2.1-RR'!$A$12:$BG$111,23,0),"")</f>
        <v/>
      </c>
      <c r="H2937" s="54" t="str">
        <f>IFERROR(VLOOKUP(F2918,'1to4-2.1-RR'!$A$12:$BG$111,24,0),"")</f>
        <v/>
      </c>
      <c r="I2937" s="54" t="str">
        <f>IFERROR(VLOOKUP(F2918,'1to4-2.1-RR'!$A$12:$BG$111,25,0),"")</f>
        <v/>
      </c>
      <c r="J2937" s="54" t="str">
        <f>IFERROR(VLOOKUP(F2918,'1to4-2.1-RR'!$A$12:$BG$111,26,0),"")</f>
        <v/>
      </c>
      <c r="K2937" s="54" t="str">
        <f>IFERROR(VLOOKUP(F2918,'1to4-2.1-RR'!$A$12:$BG$111,27,0),"")</f>
        <v/>
      </c>
      <c r="L2937" s="55">
        <f t="shared" si="104"/>
        <v>0</v>
      </c>
      <c r="M2937" s="56" t="str">
        <f>IF(F2918&gt;ENTRY!$D$24,"",IF(L2937=0,"Ab",IF(L2937&gt;80,"A",IF(L2937&gt;60,"B",IF(L2937&gt;44,"C",IF(L2937&gt;=33,"D",IF(L2937&lt;=32,"E","")))))))</f>
        <v/>
      </c>
      <c r="N2937" s="56"/>
      <c r="O2937" s="29"/>
      <c r="P2937" s="19"/>
      <c r="Q2937" s="14"/>
      <c r="R2937" s="11"/>
    </row>
    <row r="2938" s="1" customFormat="1" ht="21.95" customHeight="1" spans="1:18">
      <c r="A2938" s="7"/>
      <c r="B2938" s="12"/>
      <c r="C2938" s="33"/>
      <c r="D2938" s="117" t="s">
        <v>719</v>
      </c>
      <c r="E2938" s="117"/>
      <c r="F2938" s="117"/>
      <c r="G2938" s="54" t="str">
        <f>IFERROR(VLOOKUP(F2918,'1to4-2.1-RR'!$A$12:$BG$111,30,0),"")</f>
        <v/>
      </c>
      <c r="H2938" s="54" t="str">
        <f>IFERROR(VLOOKUP(F2918,'1to4-2.1-RR'!$A$12:$BG$111,31,0),"")</f>
        <v/>
      </c>
      <c r="I2938" s="54" t="str">
        <f>IFERROR(VLOOKUP(F2918,'1to4-2.1-RR'!$A$12:$BG$111,32,0),"")</f>
        <v/>
      </c>
      <c r="J2938" s="54" t="str">
        <f>IFERROR(VLOOKUP(F2918,'1to4-2.1-RR'!$A$12:$BG$111,33,0),"")</f>
        <v/>
      </c>
      <c r="K2938" s="54" t="str">
        <f>IFERROR(VLOOKUP(F2918,'1to4-2.1-RR'!$A$12:$BG$111,34,0),"")</f>
        <v/>
      </c>
      <c r="L2938" s="55">
        <f t="shared" si="104"/>
        <v>0</v>
      </c>
      <c r="M2938" s="56" t="str">
        <f>IF(F2918&gt;ENTRY!$D$24,"",IF(L2938=0,"Ab",IF(L2938&gt;80,"A",IF(L2938&gt;60,"B",IF(L2938&gt;44,"C",IF(L2938&gt;=33,"D",IF(L2938&lt;=32,"E","")))))))</f>
        <v/>
      </c>
      <c r="N2938" s="56"/>
      <c r="O2938" s="29"/>
      <c r="P2938" s="19"/>
      <c r="Q2938" s="14"/>
      <c r="R2938" s="11"/>
    </row>
    <row r="2939" s="1" customFormat="1" ht="21.95" customHeight="1" spans="1:18">
      <c r="A2939" s="7"/>
      <c r="B2939" s="12"/>
      <c r="C2939" s="33"/>
      <c r="D2939" s="117" t="s">
        <v>548</v>
      </c>
      <c r="E2939" s="117"/>
      <c r="F2939" s="117"/>
      <c r="G2939" s="54" t="str">
        <f>IFERROR(VLOOKUP(F2918,'1to4-2.1-RR'!$A$12:$BG$111,37,0),"")</f>
        <v/>
      </c>
      <c r="H2939" s="54" t="str">
        <f>IFERROR(VLOOKUP(F2918,'1to4-2.1-RR'!$A$12:$BG$111,38,0),"")</f>
        <v/>
      </c>
      <c r="I2939" s="54" t="str">
        <f>IFERROR(VLOOKUP(F2918,'1to4-2.1-RR'!$A$12:$BG$111,39,0),"")</f>
        <v/>
      </c>
      <c r="J2939" s="54" t="str">
        <f>IFERROR(VLOOKUP(F2918,'1to4-2.1-RR'!$A$12:$BG$111,40,0),"")</f>
        <v/>
      </c>
      <c r="K2939" s="54" t="str">
        <f>IFERROR(VLOOKUP(F2918,'1to4-2.1-RR'!$A$12:$BG$111,41,0),"")</f>
        <v/>
      </c>
      <c r="L2939" s="55">
        <f t="shared" si="104"/>
        <v>0</v>
      </c>
      <c r="M2939" s="56" t="str">
        <f>IF(F2918&gt;ENTRY!$D$24,"",IF(L2939=0,"Ab",IF(L2939&gt;80,"A",IF(L2939&gt;60,"B",IF(L2939&gt;44,"C",IF(L2939&gt;=33,"D",IF(L2939&lt;=32,"E","")))))))</f>
        <v/>
      </c>
      <c r="N2939" s="56"/>
      <c r="O2939" s="29"/>
      <c r="P2939" s="19"/>
      <c r="Q2939" s="14"/>
      <c r="R2939" s="11"/>
    </row>
    <row r="2940" s="1" customFormat="1" ht="21.95" customHeight="1" spans="1:18">
      <c r="A2940" s="7"/>
      <c r="B2940" s="12"/>
      <c r="C2940" s="33"/>
      <c r="D2940" s="117" t="s">
        <v>549</v>
      </c>
      <c r="E2940" s="117"/>
      <c r="F2940" s="117"/>
      <c r="G2940" s="54" t="str">
        <f>IFERROR(VLOOKUP(F2918,'1to4-2.1-RR'!$A$12:$BG$111,44,0),"")</f>
        <v/>
      </c>
      <c r="H2940" s="54" t="str">
        <f>IFERROR(VLOOKUP(F2918,'1to4-2.1-RR'!$A$12:$BG$111,45,0),"")</f>
        <v/>
      </c>
      <c r="I2940" s="54" t="str">
        <f>IFERROR(VLOOKUP(F2918,'1to4-2.1-RR'!$A$12:$BG$111,46,0),"")</f>
        <v/>
      </c>
      <c r="J2940" s="54" t="str">
        <f>IFERROR(VLOOKUP(F2918,'1to4-2.1-RR'!$A$12:$BG$111,47,0),"")</f>
        <v/>
      </c>
      <c r="K2940" s="54" t="str">
        <f>IFERROR(VLOOKUP(F2918,'1to4-2.1-RR'!$A$12:$BG$111,48,0),"")</f>
        <v/>
      </c>
      <c r="L2940" s="55">
        <f t="shared" si="104"/>
        <v>0</v>
      </c>
      <c r="M2940" s="56" t="str">
        <f>IF(F2918&gt;ENTRY!$D$24,"",IF(L2940=0,"Ab",IF(L2940&gt;80,"A",IF(L2940&gt;60,"B",IF(L2940&gt;44,"C",IF(L2940&gt;=33,"D",IF(L2940&lt;=32,"E","")))))))</f>
        <v/>
      </c>
      <c r="N2940" s="56"/>
      <c r="O2940" s="29"/>
      <c r="P2940" s="19"/>
      <c r="Q2940" s="14"/>
      <c r="R2940" s="11"/>
    </row>
    <row r="2941" s="1" customFormat="1" ht="21.95" customHeight="1" spans="1:18">
      <c r="A2941" s="7"/>
      <c r="B2941" s="12"/>
      <c r="C2941" s="33"/>
      <c r="D2941" s="117" t="s">
        <v>720</v>
      </c>
      <c r="E2941" s="117"/>
      <c r="F2941" s="117"/>
      <c r="G2941" s="54"/>
      <c r="H2941" s="54"/>
      <c r="I2941" s="54"/>
      <c r="J2941" s="54"/>
      <c r="K2941" s="54"/>
      <c r="L2941" s="55">
        <f t="shared" si="104"/>
        <v>0</v>
      </c>
      <c r="M2941" s="56" t="str">
        <f>IF(F2918&gt;ENTRY!$D$24,"",IF(L2941=0,"",IF(L2941&gt;79,"A",IF(L2941&gt;59,"B",IF(L2941&gt;44,"C",IF(L2941&gt;=33,"D",IF(L2941&lt;=32,"E","")))))))</f>
        <v/>
      </c>
      <c r="N2941" s="56"/>
      <c r="O2941" s="29"/>
      <c r="P2941" s="19"/>
      <c r="Q2941" s="14"/>
      <c r="R2941" s="11"/>
    </row>
    <row r="2942" s="1" customFormat="1" ht="21.95" customHeight="1" spans="1:18">
      <c r="A2942" s="7"/>
      <c r="B2942" s="12"/>
      <c r="C2942" s="33"/>
      <c r="D2942" s="207" t="s">
        <v>382</v>
      </c>
      <c r="E2942" s="207"/>
      <c r="F2942" s="207"/>
      <c r="G2942" s="54">
        <f t="shared" ref="G2942:L2942" si="105">IFERROR(SUM(G2935:G2941),"")</f>
        <v>0</v>
      </c>
      <c r="H2942" s="54">
        <f t="shared" si="105"/>
        <v>0</v>
      </c>
      <c r="I2942" s="54">
        <f t="shared" si="105"/>
        <v>0</v>
      </c>
      <c r="J2942" s="54">
        <f t="shared" si="105"/>
        <v>0</v>
      </c>
      <c r="K2942" s="54">
        <f t="shared" si="105"/>
        <v>0</v>
      </c>
      <c r="L2942" s="55">
        <f t="shared" si="105"/>
        <v>0</v>
      </c>
      <c r="M2942" s="61" t="str">
        <f>IF(F2918&gt;ENTRY!$D$24,"",IF(N2943="Ab","Ab",IF(N2943&gt;79.5,"A",IF(N2943&gt;59.5,"B",IF(N2943&gt;44.5,"C",IF(N2943&gt;=33,"D",IF(N2943&lt;33,"E","")))))))</f>
        <v/>
      </c>
      <c r="N2942" s="61"/>
      <c r="O2942" s="29"/>
      <c r="P2942" s="19"/>
      <c r="Q2942" s="14"/>
      <c r="R2942" s="11"/>
    </row>
    <row r="2943" s="1" customFormat="1" ht="21.95" customHeight="1" spans="1:18">
      <c r="A2943" s="7"/>
      <c r="B2943" s="12"/>
      <c r="C2943" s="33"/>
      <c r="D2943" s="63" t="s">
        <v>721</v>
      </c>
      <c r="E2943" s="63"/>
      <c r="F2943" s="63"/>
      <c r="G2943" s="63"/>
      <c r="H2943" s="63"/>
      <c r="I2943" s="63"/>
      <c r="J2943" s="63"/>
      <c r="K2943" s="63"/>
      <c r="L2943" s="63"/>
      <c r="M2943" s="209"/>
      <c r="N2943" s="64">
        <f>IF(L2942="Ab","Ab",L2942/6)</f>
        <v>0</v>
      </c>
      <c r="O2943" s="65"/>
      <c r="P2943" s="19"/>
      <c r="Q2943" s="14"/>
      <c r="R2943" s="11"/>
    </row>
    <row r="2944" s="1" customFormat="1" ht="21.95" customHeight="1" spans="1:18">
      <c r="A2944" s="7"/>
      <c r="B2944" s="12"/>
      <c r="C2944" s="33"/>
      <c r="D2944" s="29" t="s">
        <v>716</v>
      </c>
      <c r="E2944" s="18" t="str">
        <f>IFERROR(VLOOKUP(F2918,'1to4-2.1-RR'!$A$12:$BG$111,57,0),"")</f>
        <v/>
      </c>
      <c r="F2944" s="18"/>
      <c r="G2944" s="18"/>
      <c r="H2944" s="18"/>
      <c r="I2944" s="18"/>
      <c r="J2944" s="18"/>
      <c r="K2944" s="18"/>
      <c r="L2944" s="18"/>
      <c r="M2944" s="18"/>
      <c r="N2944" s="29"/>
      <c r="O2944" s="29"/>
      <c r="P2944" s="19"/>
      <c r="Q2944" s="14"/>
      <c r="R2944" s="11"/>
    </row>
    <row r="2945" s="1" customFormat="1" ht="9.95" customHeight="1" spans="1:19">
      <c r="A2945" s="7"/>
      <c r="B2945" s="12"/>
      <c r="C2945" s="39"/>
      <c r="D2945" s="40"/>
      <c r="E2945" s="40"/>
      <c r="F2945" s="40"/>
      <c r="G2945" s="40"/>
      <c r="H2945" s="40"/>
      <c r="I2945" s="40"/>
      <c r="J2945" s="40"/>
      <c r="K2945" s="40"/>
      <c r="L2945" s="40"/>
      <c r="M2945" s="40"/>
      <c r="N2945" s="40"/>
      <c r="O2945" s="40"/>
      <c r="P2945" s="41"/>
      <c r="Q2945" s="14"/>
      <c r="R2945" s="11"/>
    </row>
    <row r="2946" s="1" customFormat="1" ht="9.95" customHeight="1" spans="1:19">
      <c r="A2946" s="7"/>
      <c r="B2946" s="12"/>
      <c r="C2946" s="30"/>
      <c r="D2946" s="31"/>
      <c r="E2946" s="31"/>
      <c r="F2946" s="29"/>
      <c r="G2946" s="31"/>
      <c r="H2946" s="31"/>
      <c r="I2946" s="31"/>
      <c r="J2946" s="31"/>
      <c r="K2946" s="31"/>
      <c r="L2946" s="31"/>
      <c r="M2946" s="31"/>
      <c r="N2946" s="31"/>
      <c r="O2946" s="31"/>
      <c r="P2946" s="32"/>
      <c r="Q2946" s="14"/>
      <c r="R2946" s="11"/>
    </row>
    <row r="2947" s="1" customFormat="1" ht="9.95" customHeight="1" spans="1:19">
      <c r="A2947" s="7"/>
      <c r="B2947" s="12"/>
      <c r="C2947" s="33"/>
      <c r="D2947" s="29"/>
      <c r="E2947" s="29"/>
      <c r="F2947" s="29"/>
      <c r="G2947" s="29"/>
      <c r="H2947" s="29"/>
      <c r="I2947" s="29"/>
      <c r="J2947" s="29"/>
      <c r="K2947" s="29"/>
      <c r="L2947" s="29"/>
      <c r="M2947" s="29"/>
      <c r="N2947" s="29"/>
      <c r="O2947" s="29"/>
      <c r="P2947" s="19"/>
      <c r="Q2947" s="14"/>
      <c r="R2947" s="11"/>
    </row>
    <row r="2948" s="1" customFormat="1" ht="9.95" customHeight="1" spans="1:19">
      <c r="A2948" s="7"/>
      <c r="B2948" s="12"/>
      <c r="C2948" s="33"/>
      <c r="D2948" s="29"/>
      <c r="E2948" s="29"/>
      <c r="F2948" s="29"/>
      <c r="G2948" s="29"/>
      <c r="H2948" s="29"/>
      <c r="I2948" s="29"/>
      <c r="J2948" s="29"/>
      <c r="K2948" s="29"/>
      <c r="L2948" s="29"/>
      <c r="M2948" s="29"/>
      <c r="N2948" s="29"/>
      <c r="O2948" s="29"/>
      <c r="P2948" s="19"/>
      <c r="Q2948" s="14"/>
      <c r="R2948" s="11"/>
    </row>
    <row r="2949" s="1" customFormat="1" ht="21.95" customHeight="1" spans="1:19">
      <c r="A2949" s="7"/>
      <c r="B2949" s="12"/>
      <c r="C2949" s="210"/>
      <c r="D2949" s="211"/>
      <c r="E2949" s="211"/>
      <c r="F2949" s="211"/>
      <c r="G2949" s="211"/>
      <c r="H2949" s="211"/>
      <c r="I2949" s="211"/>
      <c r="J2949" s="211"/>
      <c r="K2949" s="211"/>
      <c r="L2949" s="211"/>
      <c r="M2949" s="211"/>
      <c r="N2949" s="211"/>
      <c r="O2949" s="211"/>
      <c r="P2949" s="212"/>
      <c r="Q2949" s="14"/>
      <c r="R2949" s="11"/>
      <c r="S2949" s="2"/>
    </row>
    <row r="2950" s="1" customFormat="1" ht="21.95" customHeight="1" spans="1:19">
      <c r="A2950" s="7"/>
      <c r="B2950" s="12"/>
      <c r="C2950" s="33"/>
      <c r="D2950" s="207" t="s">
        <v>722</v>
      </c>
      <c r="E2950" s="207"/>
      <c r="F2950" s="207"/>
      <c r="G2950" s="207"/>
      <c r="H2950" s="54">
        <f>IFERROR(VLOOKUP(F2918,PASHEET!$A$4:$CJ$103,88,0),"")</f>
        <v>0</v>
      </c>
      <c r="I2950" s="54"/>
      <c r="J2950" s="29"/>
      <c r="K2950" s="29"/>
      <c r="L2950" s="29"/>
      <c r="M2950" s="29"/>
      <c r="N2950" s="29"/>
      <c r="O2950" s="29"/>
      <c r="P2950" s="19"/>
      <c r="Q2950" s="14"/>
      <c r="R2950" s="11"/>
    </row>
    <row r="2951" s="1" customFormat="1" ht="21.95" customHeight="1" spans="1:19">
      <c r="A2951" s="7"/>
      <c r="B2951" s="12"/>
      <c r="C2951" s="213"/>
      <c r="D2951" s="207" t="s">
        <v>723</v>
      </c>
      <c r="E2951" s="207"/>
      <c r="F2951" s="207"/>
      <c r="G2951" s="207"/>
      <c r="H2951" s="54">
        <f>IFERROR(VLOOKUP(F2918,PASHEET!$A$4:$CJ$103,87,0),"")</f>
        <v>0</v>
      </c>
      <c r="I2951" s="54"/>
      <c r="J2951" s="214"/>
      <c r="K2951" s="214"/>
      <c r="L2951" s="207" t="s">
        <v>724</v>
      </c>
      <c r="M2951" s="207"/>
      <c r="N2951" s="117" t="str">
        <f>IF(F2918&gt;ENTRY!$D$24,"",IF(F2918&gt;0,L2942&amp;" / "&amp;600,""))</f>
        <v/>
      </c>
      <c r="O2951" s="117"/>
      <c r="P2951" s="215"/>
      <c r="Q2951" s="14"/>
      <c r="R2951" s="11"/>
    </row>
    <row r="2952" s="1" customFormat="1" ht="18" customHeight="1" spans="1:19">
      <c r="A2952" s="7"/>
      <c r="B2952" s="12"/>
      <c r="C2952" s="33"/>
      <c r="D2952" s="207" t="s">
        <v>725</v>
      </c>
      <c r="E2952" s="207"/>
      <c r="F2952" s="207"/>
      <c r="G2952" s="207"/>
      <c r="H2952" s="69" t="str">
        <f>IFERROR(IF(F2918&gt;0,H2951/H2950*100),"")</f>
        <v/>
      </c>
      <c r="I2952" s="69"/>
      <c r="J2952" s="29"/>
      <c r="K2952" s="29"/>
      <c r="L2952" s="207" t="s">
        <v>726</v>
      </c>
      <c r="M2952" s="207"/>
      <c r="N2952" s="216" t="str">
        <f>IF(F2918&gt;ENTRY!$D$24,"",IF(F2918&gt;0,L2942/600*100,""))</f>
        <v/>
      </c>
      <c r="O2952" s="216"/>
      <c r="P2952" s="19"/>
      <c r="Q2952" s="14"/>
      <c r="R2952" s="11"/>
    </row>
    <row r="2953" s="1" customFormat="1" ht="21.95" customHeight="1" spans="1:19">
      <c r="A2953" s="7"/>
      <c r="B2953" s="12"/>
      <c r="C2953" s="33"/>
      <c r="D2953" s="80"/>
      <c r="E2953" s="80"/>
      <c r="F2953" s="217"/>
      <c r="G2953" s="217"/>
      <c r="H2953" s="217"/>
      <c r="I2953" s="217"/>
      <c r="J2953" s="217"/>
      <c r="K2953" s="217"/>
      <c r="L2953" s="217"/>
      <c r="M2953" s="217"/>
      <c r="N2953" s="80"/>
      <c r="O2953" s="80"/>
      <c r="P2953" s="19"/>
      <c r="Q2953" s="14"/>
      <c r="R2953" s="11"/>
    </row>
    <row r="2954" s="1" customFormat="1" ht="21.95" customHeight="1" spans="1:19">
      <c r="A2954" s="7"/>
      <c r="B2954" s="12"/>
      <c r="C2954" s="33"/>
      <c r="D2954" s="80"/>
      <c r="E2954" s="218"/>
      <c r="F2954" s="218"/>
      <c r="G2954" s="218"/>
      <c r="H2954" s="80"/>
      <c r="I2954" s="218"/>
      <c r="J2954" s="218"/>
      <c r="K2954" s="218"/>
      <c r="L2954" s="218"/>
      <c r="M2954" s="80"/>
      <c r="N2954" s="219"/>
      <c r="O2954" s="219"/>
      <c r="P2954" s="19"/>
      <c r="Q2954" s="14"/>
      <c r="R2954" s="11"/>
    </row>
    <row r="2955" s="1" customFormat="1" ht="21.95" customHeight="1" spans="1:19">
      <c r="A2955" s="7"/>
      <c r="B2955" s="12"/>
      <c r="C2955" s="33"/>
      <c r="D2955" s="80"/>
      <c r="E2955" s="80"/>
      <c r="F2955" s="80"/>
      <c r="G2955" s="80"/>
      <c r="H2955" s="80"/>
      <c r="I2955" s="80"/>
      <c r="J2955" s="80"/>
      <c r="K2955" s="80"/>
      <c r="L2955" s="80"/>
      <c r="M2955" s="80"/>
      <c r="N2955" s="80"/>
      <c r="O2955" s="80"/>
      <c r="P2955" s="19"/>
      <c r="Q2955" s="14"/>
      <c r="R2955" s="11"/>
    </row>
    <row r="2956" s="1" customFormat="1" ht="21.95" customHeight="1" spans="1:19">
      <c r="A2956" s="7"/>
      <c r="B2956" s="12"/>
      <c r="C2956" s="33"/>
      <c r="D2956" s="218"/>
      <c r="E2956" s="218"/>
      <c r="F2956" s="218"/>
      <c r="G2956" s="218"/>
      <c r="H2956" s="218"/>
      <c r="I2956" s="218"/>
      <c r="J2956" s="218"/>
      <c r="K2956" s="218"/>
      <c r="L2956" s="218"/>
      <c r="M2956" s="80"/>
      <c r="N2956" s="217"/>
      <c r="O2956" s="217"/>
      <c r="P2956" s="85" t="s">
        <v>727</v>
      </c>
      <c r="Q2956" s="14"/>
      <c r="R2956" s="11"/>
    </row>
    <row r="2957" s="1" customFormat="1" ht="21.95" customHeight="1" spans="1:19">
      <c r="A2957" s="7"/>
      <c r="B2957" s="12"/>
      <c r="C2957" s="33"/>
      <c r="D2957" s="29"/>
      <c r="E2957" s="29"/>
      <c r="F2957" s="29"/>
      <c r="G2957" s="29"/>
      <c r="H2957" s="29"/>
      <c r="I2957" s="29"/>
      <c r="J2957" s="29"/>
      <c r="K2957" s="29"/>
      <c r="L2957" s="29"/>
      <c r="M2957" s="29"/>
      <c r="N2957" s="29"/>
      <c r="O2957" s="29"/>
      <c r="P2957" s="19"/>
      <c r="Q2957" s="14"/>
      <c r="R2957" s="11"/>
    </row>
    <row r="2958" s="1" customFormat="1" ht="21.95" customHeight="1" spans="1:19">
      <c r="A2958" s="7"/>
      <c r="B2958" s="12"/>
      <c r="C2958" s="33"/>
      <c r="D2958" s="29"/>
      <c r="E2958" s="29"/>
      <c r="F2958" s="29"/>
      <c r="G2958" s="29"/>
      <c r="H2958" s="29"/>
      <c r="I2958" s="29"/>
      <c r="J2958" s="29"/>
      <c r="K2958" s="29"/>
      <c r="L2958" s="29"/>
      <c r="M2958" s="29"/>
      <c r="N2958" s="29"/>
      <c r="O2958" s="29"/>
      <c r="P2958" s="19"/>
      <c r="Q2958" s="14"/>
      <c r="R2958" s="11"/>
    </row>
    <row r="2959" s="1" customFormat="1" ht="21.95" customHeight="1" spans="1:19">
      <c r="A2959" s="7"/>
      <c r="B2959" s="12"/>
      <c r="C2959" s="33"/>
      <c r="D2959" s="29"/>
      <c r="E2959" s="29"/>
      <c r="F2959" s="29"/>
      <c r="G2959" s="29"/>
      <c r="H2959" s="29"/>
      <c r="I2959" s="29"/>
      <c r="J2959" s="29"/>
      <c r="K2959" s="29"/>
      <c r="L2959" s="29"/>
      <c r="M2959" s="29"/>
      <c r="N2959" s="29"/>
      <c r="O2959" s="29"/>
      <c r="P2959" s="19"/>
      <c r="Q2959" s="14"/>
      <c r="R2959" s="11"/>
    </row>
    <row r="2960" s="1" customFormat="1" ht="21.95" customHeight="1" spans="1:19">
      <c r="A2960" s="7"/>
      <c r="B2960" s="12"/>
      <c r="C2960" s="33"/>
      <c r="D2960" s="29"/>
      <c r="E2960" s="29"/>
      <c r="F2960" s="29"/>
      <c r="G2960" s="29"/>
      <c r="H2960" s="29"/>
      <c r="I2960" s="29"/>
      <c r="J2960" s="29"/>
      <c r="K2960" s="29"/>
      <c r="L2960" s="29"/>
      <c r="M2960" s="29"/>
      <c r="N2960" s="29"/>
      <c r="O2960" s="29"/>
      <c r="P2960" s="19"/>
      <c r="Q2960" s="14"/>
      <c r="R2960" s="11"/>
    </row>
    <row r="2961" s="1" customFormat="1" ht="21.95" customHeight="1" spans="1:18">
      <c r="A2961" s="7"/>
      <c r="B2961" s="12"/>
      <c r="C2961" s="33"/>
      <c r="D2961" s="29"/>
      <c r="E2961" s="29"/>
      <c r="F2961" s="29"/>
      <c r="G2961" s="29"/>
      <c r="H2961" s="29"/>
      <c r="I2961" s="29"/>
      <c r="J2961" s="29"/>
      <c r="K2961" s="29"/>
      <c r="L2961" s="29"/>
      <c r="M2961" s="29"/>
      <c r="N2961" s="29"/>
      <c r="O2961" s="29"/>
      <c r="P2961" s="19"/>
      <c r="Q2961" s="14"/>
      <c r="R2961" s="11"/>
    </row>
    <row r="2962" s="1" customFormat="1" ht="21.95" customHeight="1" spans="1:18">
      <c r="A2962" s="7"/>
      <c r="B2962" s="12"/>
      <c r="C2962" s="33"/>
      <c r="D2962" s="80" t="s">
        <v>728</v>
      </c>
      <c r="E2962" s="220">
        <f>ENTRY!$D$27</f>
        <v>46102</v>
      </c>
      <c r="F2962" s="220"/>
      <c r="G2962" s="29"/>
      <c r="H2962" s="29"/>
      <c r="I2962" s="221" t="s">
        <v>729</v>
      </c>
      <c r="J2962" s="153"/>
      <c r="K2962" s="29"/>
      <c r="L2962" s="29"/>
      <c r="M2962" s="87" t="s">
        <v>730</v>
      </c>
      <c r="N2962" s="87"/>
      <c r="O2962" s="87"/>
      <c r="P2962" s="19"/>
      <c r="Q2962" s="14"/>
      <c r="R2962" s="11"/>
    </row>
    <row r="2963" s="1" customFormat="1" ht="21.95" customHeight="1" spans="1:18">
      <c r="A2963" s="7"/>
      <c r="B2963" s="12"/>
      <c r="C2963" s="33"/>
      <c r="D2963" s="80" t="s">
        <v>731</v>
      </c>
      <c r="E2963" s="88" t="str">
        <f>PROPER(ENTRY!$D$28)</f>
        <v>New Delhi</v>
      </c>
      <c r="F2963" s="88"/>
      <c r="G2963" s="29"/>
      <c r="H2963" s="29"/>
      <c r="I2963" s="153"/>
      <c r="J2963" s="153"/>
      <c r="K2963" s="29"/>
      <c r="L2963" s="29"/>
      <c r="M2963" s="79" t="s">
        <v>732</v>
      </c>
      <c r="N2963" s="79"/>
      <c r="O2963" s="79"/>
      <c r="P2963" s="19"/>
      <c r="Q2963" s="14"/>
      <c r="R2963" s="11"/>
    </row>
    <row r="2964" s="1" customFormat="1" ht="21.95" customHeight="1" spans="1:18">
      <c r="A2964" s="7"/>
      <c r="B2964" s="12"/>
      <c r="C2964" s="90"/>
      <c r="D2964" s="91"/>
      <c r="E2964" s="91"/>
      <c r="F2964" s="91"/>
      <c r="G2964" s="91"/>
      <c r="H2964" s="91"/>
      <c r="I2964" s="91"/>
      <c r="J2964" s="91"/>
      <c r="K2964" s="91"/>
      <c r="L2964" s="91"/>
      <c r="M2964" s="91"/>
      <c r="N2964" s="91"/>
      <c r="O2964" s="91"/>
      <c r="P2964" s="92"/>
      <c r="Q2964" s="14"/>
      <c r="R2964" s="11"/>
    </row>
    <row r="2965" s="1" customFormat="1" ht="5.1" customHeight="1" spans="1:18">
      <c r="A2965" s="7"/>
      <c r="B2965" s="90"/>
      <c r="C2965" s="91"/>
      <c r="D2965" s="91"/>
      <c r="E2965" s="91"/>
      <c r="F2965" s="91"/>
      <c r="G2965" s="91"/>
      <c r="H2965" s="91"/>
      <c r="I2965" s="91"/>
      <c r="J2965" s="91"/>
      <c r="K2965" s="91"/>
      <c r="L2965" s="91"/>
      <c r="M2965" s="91"/>
      <c r="N2965" s="91"/>
      <c r="O2965" s="91"/>
      <c r="P2965" s="91"/>
      <c r="Q2965" s="92"/>
      <c r="R2965" s="11"/>
    </row>
    <row r="2966" s="1" customFormat="1" ht="5.1" customHeight="1" spans="1:18">
      <c r="A2966" s="93"/>
      <c r="B2966" s="94"/>
      <c r="C2966" s="94"/>
      <c r="D2966" s="94"/>
      <c r="E2966" s="94"/>
      <c r="F2966" s="94"/>
      <c r="G2966" s="94"/>
      <c r="H2966" s="94"/>
      <c r="I2966" s="94"/>
      <c r="J2966" s="94"/>
      <c r="K2966" s="94"/>
      <c r="L2966" s="94"/>
      <c r="M2966" s="94"/>
      <c r="N2966" s="94"/>
      <c r="O2966" s="94"/>
      <c r="P2966" s="94"/>
      <c r="Q2966" s="94"/>
      <c r="R2966" s="95"/>
    </row>
    <row r="2967" s="1" customFormat="1" ht="21.95" customHeight="1"/>
    <row r="2968" ht="15.15"/>
    <row r="2969" s="1" customFormat="1" ht="5.1" customHeight="1" spans="1:18">
      <c r="A2969" s="4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  <c r="O2969" s="5"/>
      <c r="P2969" s="5"/>
      <c r="Q2969" s="5"/>
      <c r="R2969" s="6"/>
    </row>
    <row r="2970" s="1" customFormat="1" ht="15" customHeight="1" spans="1:18">
      <c r="A2970" s="7"/>
      <c r="B2970" s="8"/>
      <c r="C2970" s="9"/>
      <c r="D2970" s="9"/>
      <c r="E2970" s="9"/>
      <c r="F2970" s="9"/>
      <c r="G2970" s="9"/>
      <c r="H2970" s="9"/>
      <c r="I2970" s="9"/>
      <c r="J2970" s="9"/>
      <c r="K2970" s="9"/>
      <c r="L2970" s="9"/>
      <c r="M2970" s="9"/>
      <c r="N2970" s="9"/>
      <c r="O2970" s="9"/>
      <c r="P2970" s="9"/>
      <c r="Q2970" s="10"/>
      <c r="R2970" s="11"/>
    </row>
    <row r="2971" s="1" customFormat="1" ht="21.95" customHeight="1" spans="1:18">
      <c r="A2971" s="7"/>
      <c r="B2971" s="12"/>
      <c r="C2971" s="13" t="s">
        <v>7</v>
      </c>
      <c r="D2971" s="13"/>
      <c r="E2971" s="13"/>
      <c r="F2971" s="13"/>
      <c r="G2971" s="13"/>
      <c r="H2971" s="13"/>
      <c r="I2971" s="13"/>
      <c r="J2971" s="13"/>
      <c r="K2971" s="13"/>
      <c r="L2971" s="13"/>
      <c r="M2971" s="13"/>
      <c r="N2971" s="13"/>
      <c r="O2971" s="13"/>
      <c r="P2971" s="13"/>
      <c r="Q2971" s="14"/>
      <c r="R2971" s="11"/>
    </row>
    <row r="2972" s="1" customFormat="1" ht="21.95" customHeight="1" spans="1:18">
      <c r="A2972" s="7"/>
      <c r="B2972" s="1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14"/>
      <c r="R2972" s="11"/>
    </row>
    <row r="2973" s="1" customFormat="1" ht="21.95" customHeight="1" spans="1:18">
      <c r="A2973" s="7"/>
      <c r="B2973" s="12"/>
      <c r="C2973" s="15" t="str">
        <f>"SESSION-"&amp;ENTRY!$D$11</f>
        <v>SESSION-2026-27</v>
      </c>
      <c r="D2973" s="15"/>
      <c r="E2973" s="15"/>
      <c r="F2973" s="15"/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4"/>
      <c r="R2973" s="11"/>
    </row>
    <row r="2974" s="1" customFormat="1" ht="21.95" customHeight="1" spans="1:18">
      <c r="A2974" s="7"/>
      <c r="B2974" s="12"/>
      <c r="C2974" s="2"/>
      <c r="D2974" s="2"/>
      <c r="E2974" s="2"/>
      <c r="F2974" s="16">
        <f>F2918+1</f>
        <v>54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14"/>
      <c r="R2974" s="11"/>
    </row>
    <row r="2975" s="1" customFormat="1" ht="21.95" customHeight="1" spans="1:18">
      <c r="A2975" s="7"/>
      <c r="B2975" s="12"/>
      <c r="C2975" s="17" t="s">
        <v>392</v>
      </c>
      <c r="D2975" s="17"/>
      <c r="E2975" s="17"/>
      <c r="F2975" s="18" t="str">
        <f>IF(F2974&gt;0,ENTRY!$D$6,"")</f>
        <v>MCP NITHARI NO 1 BOYS</v>
      </c>
      <c r="G2975" s="18"/>
      <c r="H2975" s="18"/>
      <c r="I2975" s="18"/>
      <c r="J2975" s="18"/>
      <c r="K2975" s="18"/>
      <c r="L2975" s="18"/>
      <c r="M2975" s="18"/>
      <c r="N2975" s="18"/>
      <c r="O2975" s="18"/>
      <c r="P2975" s="18"/>
      <c r="Q2975" s="14"/>
      <c r="R2975" s="11"/>
    </row>
    <row r="2976" s="1" customFormat="1" ht="21.95" customHeight="1" spans="1:18">
      <c r="A2976" s="7"/>
      <c r="B2976" s="12"/>
      <c r="C2976" s="17" t="s">
        <v>393</v>
      </c>
      <c r="D2976" s="17"/>
      <c r="E2976" s="17"/>
      <c r="F2976" s="18">
        <f>IF(F2974&gt;0,ENTRY!$D$7,"")</f>
        <v>0</v>
      </c>
      <c r="G2976" s="18"/>
      <c r="H2976" s="20" t="s">
        <v>702</v>
      </c>
      <c r="I2976" s="20"/>
      <c r="J2976" s="21">
        <f>IF(F2974&gt;0,ENTRY!$D$10,"")</f>
        <v>40</v>
      </c>
      <c r="K2976" s="20" t="s">
        <v>703</v>
      </c>
      <c r="L2976" s="22" t="str">
        <f>IF(F2974&gt;0,ENTRY!$D$5,"")</f>
        <v>ROHINI ZONE</v>
      </c>
      <c r="M2976" s="22"/>
      <c r="N2976" s="22"/>
      <c r="O2976" s="22"/>
      <c r="P2976" s="22"/>
      <c r="Q2976" s="14"/>
      <c r="R2976" s="11"/>
    </row>
    <row r="2977" s="1" customFormat="1" ht="21.95" customHeight="1" spans="1:18">
      <c r="A2977" s="7"/>
      <c r="B2977" s="12"/>
      <c r="C2977" s="17" t="s">
        <v>706</v>
      </c>
      <c r="D2977" s="17"/>
      <c r="E2977" s="17"/>
      <c r="F2977" s="23">
        <f>IFERROR(VLOOKUP(F2974,STUDENT!$A$2:$BP$101,5,0),"")</f>
        <v>0</v>
      </c>
      <c r="G2977" s="23"/>
      <c r="H2977" s="23"/>
      <c r="I2977" s="23"/>
      <c r="J2977" s="23"/>
      <c r="K2977" s="23"/>
      <c r="L2977" s="20" t="s">
        <v>707</v>
      </c>
      <c r="M2977" s="20"/>
      <c r="N2977" s="24" t="str">
        <f>IF(F2974&gt;0,ENTRY!$D$20&amp;"-"&amp;ENTRY!$D$21,"")</f>
        <v>III-A</v>
      </c>
      <c r="O2977" s="24"/>
      <c r="P2977" s="24"/>
      <c r="Q2977" s="14"/>
      <c r="R2977" s="11"/>
    </row>
    <row r="2978" s="1" customFormat="1" ht="21.95" customHeight="1" spans="1:18">
      <c r="A2978" s="7"/>
      <c r="B2978" s="12"/>
      <c r="C2978" s="17" t="s">
        <v>708</v>
      </c>
      <c r="D2978" s="17"/>
      <c r="E2978" s="17"/>
      <c r="F2978" s="25">
        <f>IFERROR(VLOOKUP(F2974,STUDENT!$A$2:$BP$101,6,0),"")</f>
        <v>0</v>
      </c>
      <c r="G2978" s="25"/>
      <c r="H2978" s="26" t="s">
        <v>709</v>
      </c>
      <c r="I2978" s="27" t="str">
        <f>IFERROR(VLOOKUP(F2974,STUDENT!$A$2:$BP$101,59,0),"")</f>
        <v/>
      </c>
      <c r="J2978" s="27"/>
      <c r="K2978" s="20" t="s">
        <v>710</v>
      </c>
      <c r="L2978" s="20"/>
      <c r="M2978" s="28">
        <f>IFERROR(VLOOKUP(F2974,STUDENT!$A$2:$BP$101,20,0),"")</f>
        <v>0</v>
      </c>
      <c r="N2978" s="28"/>
      <c r="O2978" s="28"/>
      <c r="P2978" s="28"/>
      <c r="Q2978" s="14"/>
      <c r="R2978" s="11"/>
    </row>
    <row r="2979" s="1" customFormat="1" ht="21.95" customHeight="1" spans="1:18">
      <c r="A2979" s="7"/>
      <c r="B2979" s="12"/>
      <c r="C2979" s="17" t="s">
        <v>711</v>
      </c>
      <c r="D2979" s="17"/>
      <c r="E2979" s="17"/>
      <c r="F2979" s="23">
        <f>IFERROR(VLOOKUP(F2974,STUDENT!$A$2:$BP$101,9,0),"")</f>
        <v>0</v>
      </c>
      <c r="G2979" s="23"/>
      <c r="H2979" s="23"/>
      <c r="I2979" s="23"/>
      <c r="J2979" s="17" t="s">
        <v>620</v>
      </c>
      <c r="K2979" s="17"/>
      <c r="L2979" s="23">
        <f>IFERROR(VLOOKUP(F2974,STUDENT!$A$2:$BP$101,8,0),"")</f>
        <v>0</v>
      </c>
      <c r="M2979" s="23"/>
      <c r="N2979" s="23"/>
      <c r="O2979" s="23"/>
      <c r="P2979" s="23"/>
      <c r="Q2979" s="14"/>
      <c r="R2979" s="11"/>
    </row>
    <row r="2980" s="1" customFormat="1" ht="21.95" customHeight="1" spans="1:18">
      <c r="A2980" s="7"/>
      <c r="B2980" s="12"/>
      <c r="C2980" s="17" t="s">
        <v>712</v>
      </c>
      <c r="D2980" s="17"/>
      <c r="E2980" s="17"/>
      <c r="F2980" s="23">
        <f>IFERROR(VLOOKUP(F2974,STUDENT!$A$2:$BP$101,22,0),"")</f>
        <v>0</v>
      </c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14"/>
      <c r="R2980" s="11"/>
    </row>
    <row r="2981" s="1" customFormat="1" ht="9.95" customHeight="1" spans="1:18">
      <c r="A2981" s="7"/>
      <c r="B2981" s="12"/>
      <c r="C2981" s="29"/>
      <c r="D2981" s="29"/>
      <c r="E2981" s="29"/>
      <c r="F2981" s="29"/>
      <c r="G2981" s="29"/>
      <c r="H2981" s="29"/>
      <c r="I2981" s="29"/>
      <c r="J2981" s="29"/>
      <c r="K2981" s="29"/>
      <c r="L2981" s="29"/>
      <c r="M2981" s="29"/>
      <c r="N2981" s="29"/>
      <c r="O2981" s="29"/>
      <c r="P2981" s="29"/>
      <c r="Q2981" s="14"/>
      <c r="R2981" s="11"/>
    </row>
    <row r="2982" s="1" customFormat="1" ht="9.95" customHeight="1" spans="1:18">
      <c r="A2982" s="7"/>
      <c r="B2982" s="12"/>
      <c r="C2982" s="30"/>
      <c r="D2982" s="31"/>
      <c r="E2982" s="31"/>
      <c r="F2982" s="31"/>
      <c r="G2982" s="31"/>
      <c r="H2982" s="31"/>
      <c r="I2982" s="31"/>
      <c r="J2982" s="31"/>
      <c r="K2982" s="31"/>
      <c r="L2982" s="31"/>
      <c r="M2982" s="31"/>
      <c r="N2982" s="31"/>
      <c r="O2982" s="31"/>
      <c r="P2982" s="32"/>
      <c r="Q2982" s="14"/>
      <c r="R2982" s="11"/>
    </row>
    <row r="2983" s="1" customFormat="1" ht="21.95" customHeight="1" spans="1:18">
      <c r="A2983" s="7"/>
      <c r="B2983" s="12"/>
      <c r="C2983" s="33"/>
      <c r="D2983" s="34" t="s">
        <v>713</v>
      </c>
      <c r="E2983" s="20" t="s">
        <v>714</v>
      </c>
      <c r="F2983" s="35" t="str">
        <f>"Level - "&amp;IFERROR(VLOOKUP(F2974,FLN!$A$4:$K$103,9,0),"")</f>
        <v>Level - </v>
      </c>
      <c r="G2983" s="36"/>
      <c r="H2983" s="37" t="s">
        <v>715</v>
      </c>
      <c r="I2983" s="20"/>
      <c r="J2983" s="35" t="str">
        <f>"Level - "&amp;IFERROR(VLOOKUP(F2974,FLN!$A$4:$K$103,11,0),"")</f>
        <v>Level - </v>
      </c>
      <c r="K2983" s="36"/>
      <c r="L2983" s="37" t="s">
        <v>408</v>
      </c>
      <c r="M2983" s="20"/>
      <c r="N2983" s="35" t="str">
        <f>"Level - "&amp;IFERROR(VLOOKUP(F2974,FLN!$A$4:$K$103,10,0),"")</f>
        <v>Level - </v>
      </c>
      <c r="O2983" s="36"/>
      <c r="P2983" s="19"/>
      <c r="Q2983" s="14"/>
      <c r="R2983" s="11"/>
    </row>
    <row r="2984" s="1" customFormat="1" ht="21.95" customHeight="1" spans="1:18">
      <c r="A2984" s="7"/>
      <c r="B2984" s="12"/>
      <c r="C2984" s="33"/>
      <c r="D2984" s="38"/>
      <c r="E2984" s="20" t="s">
        <v>716</v>
      </c>
      <c r="F2984" s="18" t="str">
        <f>IF(L2998&gt;197,"PERFORMED WELL","")</f>
        <v/>
      </c>
      <c r="G2984" s="18"/>
      <c r="H2984" s="18"/>
      <c r="I2984" s="18"/>
      <c r="J2984" s="18"/>
      <c r="K2984" s="18"/>
      <c r="L2984" s="18"/>
      <c r="M2984" s="18"/>
      <c r="N2984" s="18"/>
      <c r="O2984" s="18"/>
      <c r="P2984" s="19"/>
      <c r="Q2984" s="14"/>
      <c r="R2984" s="11"/>
    </row>
    <row r="2985" s="1" customFormat="1" ht="9.95" customHeight="1" spans="1:18">
      <c r="A2985" s="7"/>
      <c r="B2985" s="12"/>
      <c r="C2985" s="39"/>
      <c r="D2985" s="40"/>
      <c r="E2985" s="40"/>
      <c r="F2985" s="40"/>
      <c r="G2985" s="40"/>
      <c r="H2985" s="40"/>
      <c r="I2985" s="40"/>
      <c r="J2985" s="40"/>
      <c r="K2985" s="40"/>
      <c r="L2985" s="40"/>
      <c r="M2985" s="40"/>
      <c r="N2985" s="40"/>
      <c r="O2985" s="40"/>
      <c r="P2985" s="41"/>
      <c r="Q2985" s="14"/>
      <c r="R2985" s="11"/>
    </row>
    <row r="2986" s="1" customFormat="1" ht="9.95" customHeight="1" spans="1:18">
      <c r="A2986" s="7"/>
      <c r="B2986" s="12"/>
      <c r="C2986" s="29"/>
      <c r="D2986" s="29"/>
      <c r="E2986" s="29"/>
      <c r="F2986" s="29"/>
      <c r="G2986" s="29"/>
      <c r="H2986" s="29"/>
      <c r="I2986" s="29"/>
      <c r="J2986" s="29"/>
      <c r="K2986" s="29"/>
      <c r="L2986" s="29"/>
      <c r="M2986" s="29"/>
      <c r="N2986" s="29"/>
      <c r="O2986" s="29"/>
      <c r="P2986" s="29"/>
      <c r="Q2986" s="14"/>
      <c r="R2986" s="11"/>
    </row>
    <row r="2987" s="1" customFormat="1" ht="9.95" customHeight="1" spans="1:18">
      <c r="A2987" s="7"/>
      <c r="B2987" s="12"/>
      <c r="C2987" s="30"/>
      <c r="D2987" s="31"/>
      <c r="E2987" s="31"/>
      <c r="F2987" s="31"/>
      <c r="G2987" s="31"/>
      <c r="H2987" s="31"/>
      <c r="I2987" s="31"/>
      <c r="J2987" s="31"/>
      <c r="K2987" s="31"/>
      <c r="L2987" s="31"/>
      <c r="M2987" s="31"/>
      <c r="N2987" s="31"/>
      <c r="O2987" s="31"/>
      <c r="P2987" s="32"/>
      <c r="Q2987" s="14"/>
      <c r="R2987" s="11"/>
    </row>
    <row r="2988" s="1" customFormat="1" ht="21.95" customHeight="1" spans="1:18">
      <c r="A2988" s="7"/>
      <c r="B2988" s="12"/>
      <c r="C2988" s="33"/>
      <c r="D2988" s="35"/>
      <c r="E2988" s="24"/>
      <c r="F2988" s="24"/>
      <c r="G2988" s="47" t="s">
        <v>717</v>
      </c>
      <c r="H2988" s="47"/>
      <c r="I2988" s="47"/>
      <c r="J2988" s="47"/>
      <c r="K2988" s="47"/>
      <c r="L2988" s="47"/>
      <c r="M2988" s="47"/>
      <c r="N2988" s="47"/>
      <c r="O2988" s="29"/>
      <c r="P2988" s="19"/>
      <c r="Q2988" s="14"/>
      <c r="R2988" s="11"/>
    </row>
    <row r="2989" s="1" customFormat="1" ht="21.95" customHeight="1" spans="1:18">
      <c r="A2989" s="7"/>
      <c r="B2989" s="12"/>
      <c r="C2989" s="33"/>
      <c r="D2989" s="47"/>
      <c r="E2989" s="47"/>
      <c r="F2989" s="47"/>
      <c r="G2989" s="47" t="s">
        <v>541</v>
      </c>
      <c r="H2989" s="47" t="s">
        <v>542</v>
      </c>
      <c r="I2989" s="47" t="s">
        <v>543</v>
      </c>
      <c r="J2989" s="47" t="s">
        <v>544</v>
      </c>
      <c r="K2989" s="47" t="s">
        <v>561</v>
      </c>
      <c r="L2989" s="47" t="s">
        <v>382</v>
      </c>
      <c r="M2989" s="49" t="s">
        <v>546</v>
      </c>
      <c r="N2989" s="49"/>
      <c r="O2989" s="29"/>
      <c r="P2989" s="19"/>
      <c r="Q2989" s="14"/>
      <c r="R2989" s="11"/>
    </row>
    <row r="2990" s="1" customFormat="1" ht="21.95" customHeight="1" spans="1:18">
      <c r="A2990" s="7"/>
      <c r="B2990" s="12"/>
      <c r="C2990" s="33"/>
      <c r="D2990" s="207" t="s">
        <v>652</v>
      </c>
      <c r="E2990" s="207"/>
      <c r="F2990" s="207"/>
      <c r="G2990" s="50">
        <v>10</v>
      </c>
      <c r="H2990" s="50">
        <v>10</v>
      </c>
      <c r="I2990" s="50">
        <v>10</v>
      </c>
      <c r="J2990" s="50">
        <v>10</v>
      </c>
      <c r="K2990" s="50">
        <v>60</v>
      </c>
      <c r="L2990" s="50">
        <v>100</v>
      </c>
      <c r="M2990" s="49"/>
      <c r="N2990" s="49"/>
      <c r="O2990" s="29"/>
      <c r="P2990" s="19"/>
      <c r="Q2990" s="14"/>
      <c r="R2990" s="11"/>
    </row>
    <row r="2991" s="1" customFormat="1" ht="21.95" customHeight="1" spans="1:18">
      <c r="A2991" s="7"/>
      <c r="B2991" s="12"/>
      <c r="C2991" s="33"/>
      <c r="D2991" s="117" t="s">
        <v>668</v>
      </c>
      <c r="E2991" s="117"/>
      <c r="F2991" s="117"/>
      <c r="G2991" s="54" t="str">
        <f>IFERROR(VLOOKUP(F2974,'1to4-2.1-RR'!$A$12:$BG$111,9,0),"")</f>
        <v/>
      </c>
      <c r="H2991" s="54" t="str">
        <f>IFERROR(VLOOKUP(F2974,'1to4-2.1-RR'!$A$12:$BG$111,10,0),"")</f>
        <v/>
      </c>
      <c r="I2991" s="54" t="str">
        <f>IFERROR(VLOOKUP(F2974,'1to4-2.1-RR'!$A$12:$BG$111,11,0),"")</f>
        <v/>
      </c>
      <c r="J2991" s="54" t="str">
        <f>IFERROR(VLOOKUP(F2974,'1to4-2.1-RR'!$A$12:$BG$111,12,0),"")</f>
        <v/>
      </c>
      <c r="K2991" s="54" t="str">
        <f>IFERROR(VLOOKUP(F2974,'1to4-2.1-RR'!$A$12:$BG$111,13,0),"")</f>
        <v/>
      </c>
      <c r="L2991" s="55">
        <f>SUM(G2991:K2991)</f>
        <v>0</v>
      </c>
      <c r="M2991" s="56" t="str">
        <f>IF(F2974&gt;ENTRY!$D$24,"",IF(L2991=0,"Ab",IF(L2991&gt;80,"A",IF(L2991&gt;60,"B",IF(L2991&gt;44,"C",IF(L2991&gt;=33,"D",IF(L2991&lt;=32,"E","")))))))</f>
        <v/>
      </c>
      <c r="N2991" s="56"/>
      <c r="O2991" s="29"/>
      <c r="P2991" s="19"/>
      <c r="Q2991" s="14"/>
      <c r="R2991" s="11"/>
    </row>
    <row r="2992" s="1" customFormat="1" ht="21.95" customHeight="1" spans="1:18">
      <c r="A2992" s="7"/>
      <c r="B2992" s="12"/>
      <c r="C2992" s="33"/>
      <c r="D2992" s="117" t="s">
        <v>513</v>
      </c>
      <c r="E2992" s="117"/>
      <c r="F2992" s="117"/>
      <c r="G2992" s="54" t="str">
        <f>IFERROR(VLOOKUP(F2974,'1to4-2.1-RR'!$A$12:$BG$111,16,0),"")</f>
        <v/>
      </c>
      <c r="H2992" s="54" t="str">
        <f>IFERROR(VLOOKUP(F2974,'1to4-2.1-RR'!$A$12:$BG$111,17,0),"")</f>
        <v/>
      </c>
      <c r="I2992" s="54" t="str">
        <f>IFERROR(VLOOKUP(F2974,'1to4-2.1-RR'!$A$12:$BG$111,18,0),"")</f>
        <v/>
      </c>
      <c r="J2992" s="54" t="str">
        <f>IFERROR(VLOOKUP(F2974,'1to4-2.1-RR'!$A$12:$BG$111,19,0),"")</f>
        <v/>
      </c>
      <c r="K2992" s="54" t="str">
        <f>IFERROR(VLOOKUP(F2974,'1to4-2.1-RR'!$A$12:$BG$111,20,0),"")</f>
        <v/>
      </c>
      <c r="L2992" s="55">
        <f t="shared" ref="L2992:L2997" si="106">SUM(G2992:K2992)</f>
        <v>0</v>
      </c>
      <c r="M2992" s="56" t="str">
        <f>IF(F2974&gt;ENTRY!$D$24,"",IF(L2992=0,"Ab",IF(L2992&gt;80,"A",IF(L2992&gt;60,"B",IF(L2992&gt;44,"C",IF(L2992&gt;=33,"D",IF(L2992&lt;=32,"E","")))))))</f>
        <v/>
      </c>
      <c r="N2992" s="56"/>
      <c r="O2992" s="29"/>
      <c r="P2992" s="19"/>
      <c r="Q2992" s="14"/>
      <c r="R2992" s="11"/>
    </row>
    <row r="2993" s="1" customFormat="1" ht="21.95" customHeight="1" spans="1:19">
      <c r="A2993" s="7"/>
      <c r="B2993" s="12"/>
      <c r="C2993" s="33"/>
      <c r="D2993" s="117" t="s">
        <v>718</v>
      </c>
      <c r="E2993" s="117"/>
      <c r="F2993" s="117"/>
      <c r="G2993" s="54" t="str">
        <f>IFERROR(VLOOKUP(F2974,'1to4-2.1-RR'!$A$12:$BG$111,23,0),"")</f>
        <v/>
      </c>
      <c r="H2993" s="54" t="str">
        <f>IFERROR(VLOOKUP(F2974,'1to4-2.1-RR'!$A$12:$BG$111,24,0),"")</f>
        <v/>
      </c>
      <c r="I2993" s="54" t="str">
        <f>IFERROR(VLOOKUP(F2974,'1to4-2.1-RR'!$A$12:$BG$111,25,0),"")</f>
        <v/>
      </c>
      <c r="J2993" s="54" t="str">
        <f>IFERROR(VLOOKUP(F2974,'1to4-2.1-RR'!$A$12:$BG$111,26,0),"")</f>
        <v/>
      </c>
      <c r="K2993" s="54" t="str">
        <f>IFERROR(VLOOKUP(F2974,'1to4-2.1-RR'!$A$12:$BG$111,27,0),"")</f>
        <v/>
      </c>
      <c r="L2993" s="55">
        <f t="shared" si="106"/>
        <v>0</v>
      </c>
      <c r="M2993" s="56" t="str">
        <f>IF(F2974&gt;ENTRY!$D$24,"",IF(L2993=0,"Ab",IF(L2993&gt;80,"A",IF(L2993&gt;60,"B",IF(L2993&gt;44,"C",IF(L2993&gt;=33,"D",IF(L2993&lt;=32,"E","")))))))</f>
        <v/>
      </c>
      <c r="N2993" s="56"/>
      <c r="O2993" s="29"/>
      <c r="P2993" s="19"/>
      <c r="Q2993" s="14"/>
      <c r="R2993" s="11"/>
    </row>
    <row r="2994" s="1" customFormat="1" ht="21.95" customHeight="1" spans="1:19">
      <c r="A2994" s="7"/>
      <c r="B2994" s="12"/>
      <c r="C2994" s="33"/>
      <c r="D2994" s="117" t="s">
        <v>719</v>
      </c>
      <c r="E2994" s="117"/>
      <c r="F2994" s="117"/>
      <c r="G2994" s="54" t="str">
        <f>IFERROR(VLOOKUP(F2974,'1to4-2.1-RR'!$A$12:$BG$111,30,0),"")</f>
        <v/>
      </c>
      <c r="H2994" s="54" t="str">
        <f>IFERROR(VLOOKUP(F2974,'1to4-2.1-RR'!$A$12:$BG$111,31,0),"")</f>
        <v/>
      </c>
      <c r="I2994" s="54" t="str">
        <f>IFERROR(VLOOKUP(F2974,'1to4-2.1-RR'!$A$12:$BG$111,32,0),"")</f>
        <v/>
      </c>
      <c r="J2994" s="54" t="str">
        <f>IFERROR(VLOOKUP(F2974,'1to4-2.1-RR'!$A$12:$BG$111,33,0),"")</f>
        <v/>
      </c>
      <c r="K2994" s="54" t="str">
        <f>IFERROR(VLOOKUP(F2974,'1to4-2.1-RR'!$A$12:$BG$111,34,0),"")</f>
        <v/>
      </c>
      <c r="L2994" s="55">
        <f t="shared" si="106"/>
        <v>0</v>
      </c>
      <c r="M2994" s="56" t="str">
        <f>IF(F2974&gt;ENTRY!$D$24,"",IF(L2994=0,"Ab",IF(L2994&gt;80,"A",IF(L2994&gt;60,"B",IF(L2994&gt;44,"C",IF(L2994&gt;=33,"D",IF(L2994&lt;=32,"E","")))))))</f>
        <v/>
      </c>
      <c r="N2994" s="56"/>
      <c r="O2994" s="29"/>
      <c r="P2994" s="19"/>
      <c r="Q2994" s="14"/>
      <c r="R2994" s="11"/>
    </row>
    <row r="2995" s="1" customFormat="1" ht="21.95" customHeight="1" spans="1:19">
      <c r="A2995" s="7"/>
      <c r="B2995" s="12"/>
      <c r="C2995" s="33"/>
      <c r="D2995" s="117" t="s">
        <v>548</v>
      </c>
      <c r="E2995" s="117"/>
      <c r="F2995" s="117"/>
      <c r="G2995" s="54" t="str">
        <f>IFERROR(VLOOKUP(F2974,'1to4-2.1-RR'!$A$12:$BG$111,37,0),"")</f>
        <v/>
      </c>
      <c r="H2995" s="54" t="str">
        <f>IFERROR(VLOOKUP(F2974,'1to4-2.1-RR'!$A$12:$BG$111,38,0),"")</f>
        <v/>
      </c>
      <c r="I2995" s="54" t="str">
        <f>IFERROR(VLOOKUP(F2974,'1to4-2.1-RR'!$A$12:$BG$111,39,0),"")</f>
        <v/>
      </c>
      <c r="J2995" s="54" t="str">
        <f>IFERROR(VLOOKUP(F2974,'1to4-2.1-RR'!$A$12:$BG$111,40,0),"")</f>
        <v/>
      </c>
      <c r="K2995" s="54" t="str">
        <f>IFERROR(VLOOKUP(F2974,'1to4-2.1-RR'!$A$12:$BG$111,41,0),"")</f>
        <v/>
      </c>
      <c r="L2995" s="55">
        <f t="shared" si="106"/>
        <v>0</v>
      </c>
      <c r="M2995" s="56" t="str">
        <f>IF(F2974&gt;ENTRY!$D$24,"",IF(L2995=0,"Ab",IF(L2995&gt;80,"A",IF(L2995&gt;60,"B",IF(L2995&gt;44,"C",IF(L2995&gt;=33,"D",IF(L2995&lt;=32,"E","")))))))</f>
        <v/>
      </c>
      <c r="N2995" s="56"/>
      <c r="O2995" s="29"/>
      <c r="P2995" s="19"/>
      <c r="Q2995" s="14"/>
      <c r="R2995" s="11"/>
    </row>
    <row r="2996" s="1" customFormat="1" ht="21.95" customHeight="1" spans="1:19">
      <c r="A2996" s="7"/>
      <c r="B2996" s="12"/>
      <c r="C2996" s="33"/>
      <c r="D2996" s="117" t="s">
        <v>549</v>
      </c>
      <c r="E2996" s="117"/>
      <c r="F2996" s="117"/>
      <c r="G2996" s="54" t="str">
        <f>IFERROR(VLOOKUP(F2974,'1to4-2.1-RR'!$A$12:$BG$111,44,0),"")</f>
        <v/>
      </c>
      <c r="H2996" s="54" t="str">
        <f>IFERROR(VLOOKUP(F2974,'1to4-2.1-RR'!$A$12:$BG$111,45,0),"")</f>
        <v/>
      </c>
      <c r="I2996" s="54" t="str">
        <f>IFERROR(VLOOKUP(F2974,'1to4-2.1-RR'!$A$12:$BG$111,46,0),"")</f>
        <v/>
      </c>
      <c r="J2996" s="54" t="str">
        <f>IFERROR(VLOOKUP(F2974,'1to4-2.1-RR'!$A$12:$BG$111,47,0),"")</f>
        <v/>
      </c>
      <c r="K2996" s="54" t="str">
        <f>IFERROR(VLOOKUP(F2974,'1to4-2.1-RR'!$A$12:$BG$111,48,0),"")</f>
        <v/>
      </c>
      <c r="L2996" s="55">
        <f t="shared" si="106"/>
        <v>0</v>
      </c>
      <c r="M2996" s="56" t="str">
        <f>IF(F2974&gt;ENTRY!$D$24,"",IF(L2996=0,"Ab",IF(L2996&gt;80,"A",IF(L2996&gt;60,"B",IF(L2996&gt;44,"C",IF(L2996&gt;=33,"D",IF(L2996&lt;=32,"E","")))))))</f>
        <v/>
      </c>
      <c r="N2996" s="56"/>
      <c r="O2996" s="29"/>
      <c r="P2996" s="19"/>
      <c r="Q2996" s="14"/>
      <c r="R2996" s="11"/>
    </row>
    <row r="2997" s="1" customFormat="1" ht="21.95" customHeight="1" spans="1:19">
      <c r="A2997" s="7"/>
      <c r="B2997" s="12"/>
      <c r="C2997" s="33"/>
      <c r="D2997" s="117" t="s">
        <v>720</v>
      </c>
      <c r="E2997" s="117"/>
      <c r="F2997" s="117"/>
      <c r="G2997" s="54"/>
      <c r="H2997" s="54"/>
      <c r="I2997" s="54"/>
      <c r="J2997" s="54"/>
      <c r="K2997" s="54"/>
      <c r="L2997" s="55">
        <f t="shared" si="106"/>
        <v>0</v>
      </c>
      <c r="M2997" s="56" t="str">
        <f>IF(F2974&gt;ENTRY!$D$24,"",IF(L2997=0,"",IF(L2997&gt;79,"A",IF(L2997&gt;59,"B",IF(L2997&gt;44,"C",IF(L2997&gt;=33,"D",IF(L2997&lt;=32,"E","")))))))</f>
        <v/>
      </c>
      <c r="N2997" s="56"/>
      <c r="O2997" s="29"/>
      <c r="P2997" s="19"/>
      <c r="Q2997" s="14"/>
      <c r="R2997" s="11"/>
    </row>
    <row r="2998" s="1" customFormat="1" ht="21.95" customHeight="1" spans="1:19">
      <c r="A2998" s="7"/>
      <c r="B2998" s="12"/>
      <c r="C2998" s="33"/>
      <c r="D2998" s="207" t="s">
        <v>382</v>
      </c>
      <c r="E2998" s="207"/>
      <c r="F2998" s="207"/>
      <c r="G2998" s="54">
        <f t="shared" ref="G2998:L2998" si="107">IFERROR(SUM(G2991:G2997),"")</f>
        <v>0</v>
      </c>
      <c r="H2998" s="54">
        <f t="shared" si="107"/>
        <v>0</v>
      </c>
      <c r="I2998" s="54">
        <f t="shared" si="107"/>
        <v>0</v>
      </c>
      <c r="J2998" s="54">
        <f t="shared" si="107"/>
        <v>0</v>
      </c>
      <c r="K2998" s="54">
        <f t="shared" si="107"/>
        <v>0</v>
      </c>
      <c r="L2998" s="55">
        <f t="shared" si="107"/>
        <v>0</v>
      </c>
      <c r="M2998" s="61" t="str">
        <f>IF(F2974&gt;ENTRY!$D$24,"",IF(N2999="Ab","Ab",IF(N2999&gt;79.5,"A",IF(N2999&gt;59.5,"B",IF(N2999&gt;44.5,"C",IF(N2999&gt;=33,"D",IF(N2999&lt;33,"E","")))))))</f>
        <v/>
      </c>
      <c r="N2998" s="61"/>
      <c r="O2998" s="29"/>
      <c r="P2998" s="19"/>
      <c r="Q2998" s="14"/>
      <c r="R2998" s="11"/>
    </row>
    <row r="2999" s="1" customFormat="1" ht="21.95" customHeight="1" spans="1:19">
      <c r="A2999" s="7"/>
      <c r="B2999" s="12"/>
      <c r="C2999" s="33"/>
      <c r="D2999" s="63" t="s">
        <v>721</v>
      </c>
      <c r="E2999" s="63"/>
      <c r="F2999" s="63"/>
      <c r="G2999" s="63"/>
      <c r="H2999" s="63"/>
      <c r="I2999" s="63"/>
      <c r="J2999" s="63"/>
      <c r="K2999" s="63"/>
      <c r="L2999" s="63"/>
      <c r="M2999" s="209"/>
      <c r="N2999" s="64">
        <f>IF(L2998="Ab","Ab",L2998/6)</f>
        <v>0</v>
      </c>
      <c r="O2999" s="65"/>
      <c r="P2999" s="19"/>
      <c r="Q2999" s="14"/>
      <c r="R2999" s="11"/>
    </row>
    <row r="3000" s="1" customFormat="1" ht="21.95" customHeight="1" spans="1:19">
      <c r="A3000" s="7"/>
      <c r="B3000" s="12"/>
      <c r="C3000" s="33"/>
      <c r="D3000" s="29" t="s">
        <v>716</v>
      </c>
      <c r="E3000" s="18" t="str">
        <f>IFERROR(VLOOKUP(F2974,'1to4-2.1-RR'!$A$12:$BG$111,57,0),"")</f>
        <v/>
      </c>
      <c r="F3000" s="18"/>
      <c r="G3000" s="18"/>
      <c r="H3000" s="18"/>
      <c r="I3000" s="18"/>
      <c r="J3000" s="18"/>
      <c r="K3000" s="18"/>
      <c r="L3000" s="18"/>
      <c r="M3000" s="18"/>
      <c r="N3000" s="29"/>
      <c r="O3000" s="29"/>
      <c r="P3000" s="19"/>
      <c r="Q3000" s="14"/>
      <c r="R3000" s="11"/>
    </row>
    <row r="3001" s="1" customFormat="1" ht="9.95" customHeight="1" spans="1:19">
      <c r="A3001" s="7"/>
      <c r="B3001" s="12"/>
      <c r="C3001" s="39"/>
      <c r="D3001" s="40"/>
      <c r="E3001" s="40"/>
      <c r="F3001" s="40"/>
      <c r="G3001" s="40"/>
      <c r="H3001" s="40"/>
      <c r="I3001" s="40"/>
      <c r="J3001" s="40"/>
      <c r="K3001" s="40"/>
      <c r="L3001" s="40"/>
      <c r="M3001" s="40"/>
      <c r="N3001" s="40"/>
      <c r="O3001" s="40"/>
      <c r="P3001" s="41"/>
      <c r="Q3001" s="14"/>
      <c r="R3001" s="11"/>
    </row>
    <row r="3002" s="1" customFormat="1" ht="9.95" customHeight="1" spans="1:19">
      <c r="A3002" s="7"/>
      <c r="B3002" s="12"/>
      <c r="C3002" s="30"/>
      <c r="D3002" s="31"/>
      <c r="E3002" s="31"/>
      <c r="F3002" s="29"/>
      <c r="G3002" s="31"/>
      <c r="H3002" s="31"/>
      <c r="I3002" s="31"/>
      <c r="J3002" s="31"/>
      <c r="K3002" s="31"/>
      <c r="L3002" s="31"/>
      <c r="M3002" s="31"/>
      <c r="N3002" s="31"/>
      <c r="O3002" s="31"/>
      <c r="P3002" s="32"/>
      <c r="Q3002" s="14"/>
      <c r="R3002" s="11"/>
    </row>
    <row r="3003" s="1" customFormat="1" ht="9.95" customHeight="1" spans="1:19">
      <c r="A3003" s="7"/>
      <c r="B3003" s="12"/>
      <c r="C3003" s="33"/>
      <c r="D3003" s="29"/>
      <c r="E3003" s="29"/>
      <c r="F3003" s="29"/>
      <c r="G3003" s="29"/>
      <c r="H3003" s="29"/>
      <c r="I3003" s="29"/>
      <c r="J3003" s="29"/>
      <c r="K3003" s="29"/>
      <c r="L3003" s="29"/>
      <c r="M3003" s="29"/>
      <c r="N3003" s="29"/>
      <c r="O3003" s="29"/>
      <c r="P3003" s="19"/>
      <c r="Q3003" s="14"/>
      <c r="R3003" s="11"/>
    </row>
    <row r="3004" s="1" customFormat="1" ht="9.95" customHeight="1" spans="1:19">
      <c r="A3004" s="7"/>
      <c r="B3004" s="12"/>
      <c r="C3004" s="33"/>
      <c r="D3004" s="29"/>
      <c r="E3004" s="29"/>
      <c r="F3004" s="29"/>
      <c r="G3004" s="29"/>
      <c r="H3004" s="29"/>
      <c r="I3004" s="29"/>
      <c r="J3004" s="29"/>
      <c r="K3004" s="29"/>
      <c r="L3004" s="29"/>
      <c r="M3004" s="29"/>
      <c r="N3004" s="29"/>
      <c r="O3004" s="29"/>
      <c r="P3004" s="19"/>
      <c r="Q3004" s="14"/>
      <c r="R3004" s="11"/>
    </row>
    <row r="3005" s="1" customFormat="1" ht="21.95" customHeight="1" spans="1:19">
      <c r="A3005" s="7"/>
      <c r="B3005" s="12"/>
      <c r="C3005" s="210"/>
      <c r="D3005" s="211"/>
      <c r="E3005" s="211"/>
      <c r="F3005" s="211"/>
      <c r="G3005" s="211"/>
      <c r="H3005" s="211"/>
      <c r="I3005" s="211"/>
      <c r="J3005" s="211"/>
      <c r="K3005" s="211"/>
      <c r="L3005" s="211"/>
      <c r="M3005" s="211"/>
      <c r="N3005" s="211"/>
      <c r="O3005" s="211"/>
      <c r="P3005" s="212"/>
      <c r="Q3005" s="14"/>
      <c r="R3005" s="11"/>
      <c r="S3005" s="2"/>
    </row>
    <row r="3006" s="1" customFormat="1" ht="21.95" customHeight="1" spans="1:19">
      <c r="A3006" s="7"/>
      <c r="B3006" s="12"/>
      <c r="C3006" s="33"/>
      <c r="D3006" s="207" t="s">
        <v>722</v>
      </c>
      <c r="E3006" s="207"/>
      <c r="F3006" s="207"/>
      <c r="G3006" s="207"/>
      <c r="H3006" s="54">
        <f>IFERROR(VLOOKUP(F2974,PASHEET!$A$4:$CJ$103,88,0),"")</f>
        <v>0</v>
      </c>
      <c r="I3006" s="54"/>
      <c r="J3006" s="29"/>
      <c r="K3006" s="29"/>
      <c r="L3006" s="29"/>
      <c r="M3006" s="29"/>
      <c r="N3006" s="29"/>
      <c r="O3006" s="29"/>
      <c r="P3006" s="19"/>
      <c r="Q3006" s="14"/>
      <c r="R3006" s="11"/>
    </row>
    <row r="3007" s="1" customFormat="1" ht="21.95" customHeight="1" spans="1:19">
      <c r="A3007" s="7"/>
      <c r="B3007" s="12"/>
      <c r="C3007" s="213"/>
      <c r="D3007" s="207" t="s">
        <v>723</v>
      </c>
      <c r="E3007" s="207"/>
      <c r="F3007" s="207"/>
      <c r="G3007" s="207"/>
      <c r="H3007" s="54">
        <f>IFERROR(VLOOKUP(F2974,PASHEET!$A$4:$CJ$103,87,0),"")</f>
        <v>0</v>
      </c>
      <c r="I3007" s="54"/>
      <c r="J3007" s="214"/>
      <c r="K3007" s="214"/>
      <c r="L3007" s="207" t="s">
        <v>724</v>
      </c>
      <c r="M3007" s="207"/>
      <c r="N3007" s="117" t="str">
        <f>IF(F2974&gt;ENTRY!$D$24,"",IF(F2974&gt;0,L2998&amp;" / "&amp;600,""))</f>
        <v/>
      </c>
      <c r="O3007" s="117"/>
      <c r="P3007" s="215"/>
      <c r="Q3007" s="14"/>
      <c r="R3007" s="11"/>
    </row>
    <row r="3008" s="1" customFormat="1" ht="18" customHeight="1" spans="1:19">
      <c r="A3008" s="7"/>
      <c r="B3008" s="12"/>
      <c r="C3008" s="33"/>
      <c r="D3008" s="207" t="s">
        <v>725</v>
      </c>
      <c r="E3008" s="207"/>
      <c r="F3008" s="207"/>
      <c r="G3008" s="207"/>
      <c r="H3008" s="69" t="str">
        <f>IFERROR(IF(F2974&gt;0,H3007/H3006*100),"")</f>
        <v/>
      </c>
      <c r="I3008" s="69"/>
      <c r="J3008" s="29"/>
      <c r="K3008" s="29"/>
      <c r="L3008" s="207" t="s">
        <v>726</v>
      </c>
      <c r="M3008" s="207"/>
      <c r="N3008" s="216" t="str">
        <f>IF(F2974&gt;ENTRY!$D$24,"",IF(F2974&gt;0,L2998/600*100,""))</f>
        <v/>
      </c>
      <c r="O3008" s="216"/>
      <c r="P3008" s="19"/>
      <c r="Q3008" s="14"/>
      <c r="R3008" s="11"/>
    </row>
    <row r="3009" s="1" customFormat="1" ht="21.95" customHeight="1" spans="1:18">
      <c r="A3009" s="7"/>
      <c r="B3009" s="12"/>
      <c r="C3009" s="33"/>
      <c r="D3009" s="80"/>
      <c r="E3009" s="80"/>
      <c r="F3009" s="217"/>
      <c r="G3009" s="217"/>
      <c r="H3009" s="217"/>
      <c r="I3009" s="217"/>
      <c r="J3009" s="217"/>
      <c r="K3009" s="217"/>
      <c r="L3009" s="217"/>
      <c r="M3009" s="217"/>
      <c r="N3009" s="80"/>
      <c r="O3009" s="80"/>
      <c r="P3009" s="19"/>
      <c r="Q3009" s="14"/>
      <c r="R3009" s="11"/>
    </row>
    <row r="3010" s="1" customFormat="1" ht="21.95" customHeight="1" spans="1:18">
      <c r="A3010" s="7"/>
      <c r="B3010" s="12"/>
      <c r="C3010" s="33"/>
      <c r="D3010" s="80"/>
      <c r="E3010" s="218"/>
      <c r="F3010" s="218"/>
      <c r="G3010" s="218"/>
      <c r="H3010" s="80"/>
      <c r="I3010" s="218"/>
      <c r="J3010" s="218"/>
      <c r="K3010" s="218"/>
      <c r="L3010" s="218"/>
      <c r="M3010" s="80"/>
      <c r="N3010" s="219"/>
      <c r="O3010" s="219"/>
      <c r="P3010" s="19"/>
      <c r="Q3010" s="14"/>
      <c r="R3010" s="11"/>
    </row>
    <row r="3011" s="1" customFormat="1" ht="21.95" customHeight="1" spans="1:18">
      <c r="A3011" s="7"/>
      <c r="B3011" s="12"/>
      <c r="C3011" s="33"/>
      <c r="D3011" s="80"/>
      <c r="E3011" s="80"/>
      <c r="F3011" s="80"/>
      <c r="G3011" s="80"/>
      <c r="H3011" s="80"/>
      <c r="I3011" s="80"/>
      <c r="J3011" s="80"/>
      <c r="K3011" s="80"/>
      <c r="L3011" s="80"/>
      <c r="M3011" s="80"/>
      <c r="N3011" s="80"/>
      <c r="O3011" s="80"/>
      <c r="P3011" s="19"/>
      <c r="Q3011" s="14"/>
      <c r="R3011" s="11"/>
    </row>
    <row r="3012" s="1" customFormat="1" ht="21.95" customHeight="1" spans="1:18">
      <c r="A3012" s="7"/>
      <c r="B3012" s="12"/>
      <c r="C3012" s="33"/>
      <c r="D3012" s="218"/>
      <c r="E3012" s="218"/>
      <c r="F3012" s="218"/>
      <c r="G3012" s="218"/>
      <c r="H3012" s="218"/>
      <c r="I3012" s="218"/>
      <c r="J3012" s="218"/>
      <c r="K3012" s="218"/>
      <c r="L3012" s="218"/>
      <c r="M3012" s="80"/>
      <c r="N3012" s="217"/>
      <c r="O3012" s="217"/>
      <c r="P3012" s="85" t="s">
        <v>727</v>
      </c>
      <c r="Q3012" s="14"/>
      <c r="R3012" s="11"/>
    </row>
    <row r="3013" s="1" customFormat="1" ht="21.95" customHeight="1" spans="1:18">
      <c r="A3013" s="7"/>
      <c r="B3013" s="12"/>
      <c r="C3013" s="33"/>
      <c r="D3013" s="29"/>
      <c r="E3013" s="29"/>
      <c r="F3013" s="29"/>
      <c r="G3013" s="29"/>
      <c r="H3013" s="29"/>
      <c r="I3013" s="29"/>
      <c r="J3013" s="29"/>
      <c r="K3013" s="29"/>
      <c r="L3013" s="29"/>
      <c r="M3013" s="29"/>
      <c r="N3013" s="29"/>
      <c r="O3013" s="29"/>
      <c r="P3013" s="19"/>
      <c r="Q3013" s="14"/>
      <c r="R3013" s="11"/>
    </row>
    <row r="3014" s="1" customFormat="1" ht="21.95" customHeight="1" spans="1:18">
      <c r="A3014" s="7"/>
      <c r="B3014" s="12"/>
      <c r="C3014" s="33"/>
      <c r="D3014" s="29"/>
      <c r="E3014" s="29"/>
      <c r="F3014" s="29"/>
      <c r="G3014" s="29"/>
      <c r="H3014" s="29"/>
      <c r="I3014" s="29"/>
      <c r="J3014" s="29"/>
      <c r="K3014" s="29"/>
      <c r="L3014" s="29"/>
      <c r="M3014" s="29"/>
      <c r="N3014" s="29"/>
      <c r="O3014" s="29"/>
      <c r="P3014" s="19"/>
      <c r="Q3014" s="14"/>
      <c r="R3014" s="11"/>
    </row>
    <row r="3015" s="1" customFormat="1" ht="21.95" customHeight="1" spans="1:18">
      <c r="A3015" s="7"/>
      <c r="B3015" s="12"/>
      <c r="C3015" s="33"/>
      <c r="D3015" s="29"/>
      <c r="E3015" s="29"/>
      <c r="F3015" s="29"/>
      <c r="G3015" s="29"/>
      <c r="H3015" s="29"/>
      <c r="I3015" s="29"/>
      <c r="J3015" s="29"/>
      <c r="K3015" s="29"/>
      <c r="L3015" s="29"/>
      <c r="M3015" s="29"/>
      <c r="N3015" s="29"/>
      <c r="O3015" s="29"/>
      <c r="P3015" s="19"/>
      <c r="Q3015" s="14"/>
      <c r="R3015" s="11"/>
    </row>
    <row r="3016" s="1" customFormat="1" ht="21.95" customHeight="1" spans="1:18">
      <c r="A3016" s="7"/>
      <c r="B3016" s="12"/>
      <c r="C3016" s="33"/>
      <c r="D3016" s="29"/>
      <c r="E3016" s="29"/>
      <c r="F3016" s="29"/>
      <c r="G3016" s="29"/>
      <c r="H3016" s="29"/>
      <c r="I3016" s="29"/>
      <c r="J3016" s="29"/>
      <c r="K3016" s="29"/>
      <c r="L3016" s="29"/>
      <c r="M3016" s="29"/>
      <c r="N3016" s="29"/>
      <c r="O3016" s="29"/>
      <c r="P3016" s="19"/>
      <c r="Q3016" s="14"/>
      <c r="R3016" s="11"/>
    </row>
    <row r="3017" s="1" customFormat="1" ht="21.95" customHeight="1" spans="1:18">
      <c r="A3017" s="7"/>
      <c r="B3017" s="12"/>
      <c r="C3017" s="33"/>
      <c r="D3017" s="29"/>
      <c r="E3017" s="29"/>
      <c r="F3017" s="29"/>
      <c r="G3017" s="29"/>
      <c r="H3017" s="29"/>
      <c r="I3017" s="29"/>
      <c r="J3017" s="29"/>
      <c r="K3017" s="29"/>
      <c r="L3017" s="29"/>
      <c r="M3017" s="29"/>
      <c r="N3017" s="29"/>
      <c r="O3017" s="29"/>
      <c r="P3017" s="19"/>
      <c r="Q3017" s="14"/>
      <c r="R3017" s="11"/>
    </row>
    <row r="3018" s="1" customFormat="1" ht="21.95" customHeight="1" spans="1:18">
      <c r="A3018" s="7"/>
      <c r="B3018" s="12"/>
      <c r="C3018" s="33"/>
      <c r="D3018" s="80" t="s">
        <v>728</v>
      </c>
      <c r="E3018" s="220">
        <f>ENTRY!$D$27</f>
        <v>46102</v>
      </c>
      <c r="F3018" s="220"/>
      <c r="G3018" s="29"/>
      <c r="H3018" s="29"/>
      <c r="I3018" s="221" t="s">
        <v>729</v>
      </c>
      <c r="J3018" s="153"/>
      <c r="K3018" s="29"/>
      <c r="L3018" s="29"/>
      <c r="M3018" s="87" t="s">
        <v>730</v>
      </c>
      <c r="N3018" s="87"/>
      <c r="O3018" s="87"/>
      <c r="P3018" s="19"/>
      <c r="Q3018" s="14"/>
      <c r="R3018" s="11"/>
    </row>
    <row r="3019" s="1" customFormat="1" ht="21.95" customHeight="1" spans="1:18">
      <c r="A3019" s="7"/>
      <c r="B3019" s="12"/>
      <c r="C3019" s="33"/>
      <c r="D3019" s="80" t="s">
        <v>731</v>
      </c>
      <c r="E3019" s="88" t="str">
        <f>PROPER(ENTRY!$D$28)</f>
        <v>New Delhi</v>
      </c>
      <c r="F3019" s="88"/>
      <c r="G3019" s="29"/>
      <c r="H3019" s="29"/>
      <c r="I3019" s="153"/>
      <c r="J3019" s="153"/>
      <c r="K3019" s="29"/>
      <c r="L3019" s="29"/>
      <c r="M3019" s="79" t="s">
        <v>732</v>
      </c>
      <c r="N3019" s="79"/>
      <c r="O3019" s="79"/>
      <c r="P3019" s="19"/>
      <c r="Q3019" s="14"/>
      <c r="R3019" s="11"/>
    </row>
    <row r="3020" s="1" customFormat="1" ht="21.95" customHeight="1" spans="1:18">
      <c r="A3020" s="7"/>
      <c r="B3020" s="12"/>
      <c r="C3020" s="90"/>
      <c r="D3020" s="91"/>
      <c r="E3020" s="91"/>
      <c r="F3020" s="91"/>
      <c r="G3020" s="91"/>
      <c r="H3020" s="91"/>
      <c r="I3020" s="91"/>
      <c r="J3020" s="91"/>
      <c r="K3020" s="91"/>
      <c r="L3020" s="91"/>
      <c r="M3020" s="91"/>
      <c r="N3020" s="91"/>
      <c r="O3020" s="91"/>
      <c r="P3020" s="92"/>
      <c r="Q3020" s="14"/>
      <c r="R3020" s="11"/>
    </row>
    <row r="3021" s="1" customFormat="1" ht="5.1" customHeight="1" spans="1:18">
      <c r="A3021" s="7"/>
      <c r="B3021" s="90"/>
      <c r="C3021" s="91"/>
      <c r="D3021" s="91"/>
      <c r="E3021" s="91"/>
      <c r="F3021" s="91"/>
      <c r="G3021" s="91"/>
      <c r="H3021" s="91"/>
      <c r="I3021" s="91"/>
      <c r="J3021" s="91"/>
      <c r="K3021" s="91"/>
      <c r="L3021" s="91"/>
      <c r="M3021" s="91"/>
      <c r="N3021" s="91"/>
      <c r="O3021" s="91"/>
      <c r="P3021" s="91"/>
      <c r="Q3021" s="92"/>
      <c r="R3021" s="11"/>
    </row>
    <row r="3022" s="1" customFormat="1" ht="5.1" customHeight="1" spans="1:18">
      <c r="A3022" s="93"/>
      <c r="B3022" s="94"/>
      <c r="C3022" s="94"/>
      <c r="D3022" s="94"/>
      <c r="E3022" s="94"/>
      <c r="F3022" s="94"/>
      <c r="G3022" s="94"/>
      <c r="H3022" s="94"/>
      <c r="I3022" s="94"/>
      <c r="J3022" s="94"/>
      <c r="K3022" s="94"/>
      <c r="L3022" s="94"/>
      <c r="M3022" s="94"/>
      <c r="N3022" s="94"/>
      <c r="O3022" s="94"/>
      <c r="P3022" s="94"/>
      <c r="Q3022" s="94"/>
      <c r="R3022" s="95"/>
    </row>
    <row r="3023" s="1" customFormat="1" ht="21.95" customHeight="1"/>
    <row r="3024" ht="15.15"/>
    <row r="3025" s="1" customFormat="1" ht="5.1" customHeight="1" spans="1:18">
      <c r="A3025" s="4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  <c r="O3025" s="5"/>
      <c r="P3025" s="5"/>
      <c r="Q3025" s="5"/>
      <c r="R3025" s="6"/>
    </row>
    <row r="3026" s="1" customFormat="1" ht="15" customHeight="1" spans="1:18">
      <c r="A3026" s="7"/>
      <c r="B3026" s="8"/>
      <c r="C3026" s="9"/>
      <c r="D3026" s="9"/>
      <c r="E3026" s="9"/>
      <c r="F3026" s="9"/>
      <c r="G3026" s="9"/>
      <c r="H3026" s="9"/>
      <c r="I3026" s="9"/>
      <c r="J3026" s="9"/>
      <c r="K3026" s="9"/>
      <c r="L3026" s="9"/>
      <c r="M3026" s="9"/>
      <c r="N3026" s="9"/>
      <c r="O3026" s="9"/>
      <c r="P3026" s="9"/>
      <c r="Q3026" s="10"/>
      <c r="R3026" s="11"/>
    </row>
    <row r="3027" s="1" customFormat="1" ht="21.95" customHeight="1" spans="1:18">
      <c r="A3027" s="7"/>
      <c r="B3027" s="12"/>
      <c r="C3027" s="13" t="s">
        <v>7</v>
      </c>
      <c r="D3027" s="13"/>
      <c r="E3027" s="13"/>
      <c r="F3027" s="13"/>
      <c r="G3027" s="13"/>
      <c r="H3027" s="13"/>
      <c r="I3027" s="13"/>
      <c r="J3027" s="13"/>
      <c r="K3027" s="13"/>
      <c r="L3027" s="13"/>
      <c r="M3027" s="13"/>
      <c r="N3027" s="13"/>
      <c r="O3027" s="13"/>
      <c r="P3027" s="13"/>
      <c r="Q3027" s="14"/>
      <c r="R3027" s="11"/>
    </row>
    <row r="3028" s="1" customFormat="1" ht="21.95" customHeight="1" spans="1:18">
      <c r="A3028" s="7"/>
      <c r="B3028" s="1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14"/>
      <c r="R3028" s="11"/>
    </row>
    <row r="3029" s="1" customFormat="1" ht="21.95" customHeight="1" spans="1:18">
      <c r="A3029" s="7"/>
      <c r="B3029" s="12"/>
      <c r="C3029" s="15" t="str">
        <f>"SESSION-"&amp;ENTRY!$D$11</f>
        <v>SESSION-2026-27</v>
      </c>
      <c r="D3029" s="15"/>
      <c r="E3029" s="15"/>
      <c r="F3029" s="15"/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4"/>
      <c r="R3029" s="11"/>
    </row>
    <row r="3030" s="1" customFormat="1" ht="21.95" customHeight="1" spans="1:18">
      <c r="A3030" s="7"/>
      <c r="B3030" s="12"/>
      <c r="C3030" s="2"/>
      <c r="D3030" s="2"/>
      <c r="E3030" s="2"/>
      <c r="F3030" s="16">
        <f>F2974+1</f>
        <v>55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14"/>
      <c r="R3030" s="11"/>
    </row>
    <row r="3031" s="1" customFormat="1" ht="21.95" customHeight="1" spans="1:18">
      <c r="A3031" s="7"/>
      <c r="B3031" s="12"/>
      <c r="C3031" s="17" t="s">
        <v>392</v>
      </c>
      <c r="D3031" s="17"/>
      <c r="E3031" s="17"/>
      <c r="F3031" s="18" t="str">
        <f>IF(F3030&gt;0,ENTRY!$D$6,"")</f>
        <v>MCP NITHARI NO 1 BOYS</v>
      </c>
      <c r="G3031" s="18"/>
      <c r="H3031" s="18"/>
      <c r="I3031" s="18"/>
      <c r="J3031" s="18"/>
      <c r="K3031" s="18"/>
      <c r="L3031" s="18"/>
      <c r="M3031" s="18"/>
      <c r="N3031" s="18"/>
      <c r="O3031" s="18"/>
      <c r="P3031" s="18"/>
      <c r="Q3031" s="14"/>
      <c r="R3031" s="11"/>
    </row>
    <row r="3032" s="1" customFormat="1" ht="21.95" customHeight="1" spans="1:18">
      <c r="A3032" s="7"/>
      <c r="B3032" s="12"/>
      <c r="C3032" s="17" t="s">
        <v>393</v>
      </c>
      <c r="D3032" s="17"/>
      <c r="E3032" s="17"/>
      <c r="F3032" s="18">
        <f>IF(F3030&gt;0,ENTRY!$D$7,"")</f>
        <v>0</v>
      </c>
      <c r="G3032" s="18"/>
      <c r="H3032" s="20" t="s">
        <v>702</v>
      </c>
      <c r="I3032" s="20"/>
      <c r="J3032" s="21">
        <f>IF(F3030&gt;0,ENTRY!$D$10,"")</f>
        <v>40</v>
      </c>
      <c r="K3032" s="20" t="s">
        <v>703</v>
      </c>
      <c r="L3032" s="22" t="str">
        <f>IF(F3030&gt;0,ENTRY!$D$5,"")</f>
        <v>ROHINI ZONE</v>
      </c>
      <c r="M3032" s="22"/>
      <c r="N3032" s="22"/>
      <c r="O3032" s="22"/>
      <c r="P3032" s="22"/>
      <c r="Q3032" s="14"/>
      <c r="R3032" s="11"/>
    </row>
    <row r="3033" s="1" customFormat="1" ht="21.95" customHeight="1" spans="1:18">
      <c r="A3033" s="7"/>
      <c r="B3033" s="12"/>
      <c r="C3033" s="17" t="s">
        <v>706</v>
      </c>
      <c r="D3033" s="17"/>
      <c r="E3033" s="17"/>
      <c r="F3033" s="23">
        <f>IFERROR(VLOOKUP(F3030,STUDENT!$A$2:$BP$101,5,0),"")</f>
        <v>0</v>
      </c>
      <c r="G3033" s="23"/>
      <c r="H3033" s="23"/>
      <c r="I3033" s="23"/>
      <c r="J3033" s="23"/>
      <c r="K3033" s="23"/>
      <c r="L3033" s="20" t="s">
        <v>707</v>
      </c>
      <c r="M3033" s="20"/>
      <c r="N3033" s="24" t="str">
        <f>IF(F3030&gt;0,ENTRY!$D$20&amp;"-"&amp;ENTRY!$D$21,"")</f>
        <v>III-A</v>
      </c>
      <c r="O3033" s="24"/>
      <c r="P3033" s="24"/>
      <c r="Q3033" s="14"/>
      <c r="R3033" s="11"/>
    </row>
    <row r="3034" s="1" customFormat="1" ht="21.95" customHeight="1" spans="1:18">
      <c r="A3034" s="7"/>
      <c r="B3034" s="12"/>
      <c r="C3034" s="17" t="s">
        <v>708</v>
      </c>
      <c r="D3034" s="17"/>
      <c r="E3034" s="17"/>
      <c r="F3034" s="25">
        <f>IFERROR(VLOOKUP(F3030,STUDENT!$A$2:$BP$101,6,0),"")</f>
        <v>0</v>
      </c>
      <c r="G3034" s="25"/>
      <c r="H3034" s="26" t="s">
        <v>709</v>
      </c>
      <c r="I3034" s="27" t="str">
        <f>IFERROR(VLOOKUP(F3030,STUDENT!$A$2:$BP$101,59,0),"")</f>
        <v/>
      </c>
      <c r="J3034" s="27"/>
      <c r="K3034" s="20" t="s">
        <v>710</v>
      </c>
      <c r="L3034" s="20"/>
      <c r="M3034" s="28">
        <f>IFERROR(VLOOKUP(F3030,STUDENT!$A$2:$BP$101,20,0),"")</f>
        <v>0</v>
      </c>
      <c r="N3034" s="28"/>
      <c r="O3034" s="28"/>
      <c r="P3034" s="28"/>
      <c r="Q3034" s="14"/>
      <c r="R3034" s="11"/>
    </row>
    <row r="3035" s="1" customFormat="1" ht="21.95" customHeight="1" spans="1:18">
      <c r="A3035" s="7"/>
      <c r="B3035" s="12"/>
      <c r="C3035" s="17" t="s">
        <v>711</v>
      </c>
      <c r="D3035" s="17"/>
      <c r="E3035" s="17"/>
      <c r="F3035" s="23">
        <f>IFERROR(VLOOKUP(F3030,STUDENT!$A$2:$BP$101,9,0),"")</f>
        <v>0</v>
      </c>
      <c r="G3035" s="23"/>
      <c r="H3035" s="23"/>
      <c r="I3035" s="23"/>
      <c r="J3035" s="17" t="s">
        <v>620</v>
      </c>
      <c r="K3035" s="17"/>
      <c r="L3035" s="23">
        <f>IFERROR(VLOOKUP(F3030,STUDENT!$A$2:$BP$101,8,0),"")</f>
        <v>0</v>
      </c>
      <c r="M3035" s="23"/>
      <c r="N3035" s="23"/>
      <c r="O3035" s="23"/>
      <c r="P3035" s="23"/>
      <c r="Q3035" s="14"/>
      <c r="R3035" s="11"/>
    </row>
    <row r="3036" s="1" customFormat="1" ht="21.95" customHeight="1" spans="1:18">
      <c r="A3036" s="7"/>
      <c r="B3036" s="12"/>
      <c r="C3036" s="17" t="s">
        <v>712</v>
      </c>
      <c r="D3036" s="17"/>
      <c r="E3036" s="17"/>
      <c r="F3036" s="23">
        <f>IFERROR(VLOOKUP(F3030,STUDENT!$A$2:$BP$101,22,0),"")</f>
        <v>0</v>
      </c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14"/>
      <c r="R3036" s="11"/>
    </row>
    <row r="3037" s="1" customFormat="1" ht="9.95" customHeight="1" spans="1:18">
      <c r="A3037" s="7"/>
      <c r="B3037" s="12"/>
      <c r="C3037" s="29"/>
      <c r="D3037" s="29"/>
      <c r="E3037" s="29"/>
      <c r="F3037" s="29"/>
      <c r="G3037" s="29"/>
      <c r="H3037" s="29"/>
      <c r="I3037" s="29"/>
      <c r="J3037" s="29"/>
      <c r="K3037" s="29"/>
      <c r="L3037" s="29"/>
      <c r="M3037" s="29"/>
      <c r="N3037" s="29"/>
      <c r="O3037" s="29"/>
      <c r="P3037" s="29"/>
      <c r="Q3037" s="14"/>
      <c r="R3037" s="11"/>
    </row>
    <row r="3038" s="1" customFormat="1" ht="9.95" customHeight="1" spans="1:18">
      <c r="A3038" s="7"/>
      <c r="B3038" s="12"/>
      <c r="C3038" s="30"/>
      <c r="D3038" s="31"/>
      <c r="E3038" s="31"/>
      <c r="F3038" s="31"/>
      <c r="G3038" s="31"/>
      <c r="H3038" s="31"/>
      <c r="I3038" s="31"/>
      <c r="J3038" s="31"/>
      <c r="K3038" s="31"/>
      <c r="L3038" s="31"/>
      <c r="M3038" s="31"/>
      <c r="N3038" s="31"/>
      <c r="O3038" s="31"/>
      <c r="P3038" s="32"/>
      <c r="Q3038" s="14"/>
      <c r="R3038" s="11"/>
    </row>
    <row r="3039" s="1" customFormat="1" ht="21.95" customHeight="1" spans="1:18">
      <c r="A3039" s="7"/>
      <c r="B3039" s="12"/>
      <c r="C3039" s="33"/>
      <c r="D3039" s="34" t="s">
        <v>713</v>
      </c>
      <c r="E3039" s="20" t="s">
        <v>714</v>
      </c>
      <c r="F3039" s="35" t="str">
        <f>"Level - "&amp;IFERROR(VLOOKUP(F3030,FLN!$A$4:$K$103,9,0),"")</f>
        <v>Level - </v>
      </c>
      <c r="G3039" s="36"/>
      <c r="H3039" s="37" t="s">
        <v>715</v>
      </c>
      <c r="I3039" s="20"/>
      <c r="J3039" s="35" t="str">
        <f>"Level - "&amp;IFERROR(VLOOKUP(F3030,FLN!$A$4:$K$103,11,0),"")</f>
        <v>Level - </v>
      </c>
      <c r="K3039" s="36"/>
      <c r="L3039" s="37" t="s">
        <v>408</v>
      </c>
      <c r="M3039" s="20"/>
      <c r="N3039" s="35" t="str">
        <f>"Level - "&amp;IFERROR(VLOOKUP(F3030,FLN!$A$4:$K$103,10,0),"")</f>
        <v>Level - </v>
      </c>
      <c r="O3039" s="36"/>
      <c r="P3039" s="19"/>
      <c r="Q3039" s="14"/>
      <c r="R3039" s="11"/>
    </row>
    <row r="3040" s="1" customFormat="1" ht="21.95" customHeight="1" spans="1:18">
      <c r="A3040" s="7"/>
      <c r="B3040" s="12"/>
      <c r="C3040" s="33"/>
      <c r="D3040" s="38"/>
      <c r="E3040" s="20" t="s">
        <v>716</v>
      </c>
      <c r="F3040" s="18" t="str">
        <f>IF(L3054&gt;197,"PERFORMED WELL","")</f>
        <v/>
      </c>
      <c r="G3040" s="18"/>
      <c r="H3040" s="18"/>
      <c r="I3040" s="18"/>
      <c r="J3040" s="18"/>
      <c r="K3040" s="18"/>
      <c r="L3040" s="18"/>
      <c r="M3040" s="18"/>
      <c r="N3040" s="18"/>
      <c r="O3040" s="18"/>
      <c r="P3040" s="19"/>
      <c r="Q3040" s="14"/>
      <c r="R3040" s="11"/>
    </row>
    <row r="3041" s="1" customFormat="1" ht="9.95" customHeight="1" spans="1:18">
      <c r="A3041" s="7"/>
      <c r="B3041" s="12"/>
      <c r="C3041" s="39"/>
      <c r="D3041" s="40"/>
      <c r="E3041" s="40"/>
      <c r="F3041" s="40"/>
      <c r="G3041" s="40"/>
      <c r="H3041" s="40"/>
      <c r="I3041" s="40"/>
      <c r="J3041" s="40"/>
      <c r="K3041" s="40"/>
      <c r="L3041" s="40"/>
      <c r="M3041" s="40"/>
      <c r="N3041" s="40"/>
      <c r="O3041" s="40"/>
      <c r="P3041" s="41"/>
      <c r="Q3041" s="14"/>
      <c r="R3041" s="11"/>
    </row>
    <row r="3042" s="1" customFormat="1" ht="9.95" customHeight="1" spans="1:18">
      <c r="A3042" s="7"/>
      <c r="B3042" s="12"/>
      <c r="C3042" s="29"/>
      <c r="D3042" s="29"/>
      <c r="E3042" s="29"/>
      <c r="F3042" s="29"/>
      <c r="G3042" s="29"/>
      <c r="H3042" s="29"/>
      <c r="I3042" s="29"/>
      <c r="J3042" s="29"/>
      <c r="K3042" s="29"/>
      <c r="L3042" s="29"/>
      <c r="M3042" s="29"/>
      <c r="N3042" s="29"/>
      <c r="O3042" s="29"/>
      <c r="P3042" s="29"/>
      <c r="Q3042" s="14"/>
      <c r="R3042" s="11"/>
    </row>
    <row r="3043" s="1" customFormat="1" ht="9.95" customHeight="1" spans="1:18">
      <c r="A3043" s="7"/>
      <c r="B3043" s="12"/>
      <c r="C3043" s="30"/>
      <c r="D3043" s="31"/>
      <c r="E3043" s="31"/>
      <c r="F3043" s="31"/>
      <c r="G3043" s="31"/>
      <c r="H3043" s="31"/>
      <c r="I3043" s="31"/>
      <c r="J3043" s="31"/>
      <c r="K3043" s="31"/>
      <c r="L3043" s="31"/>
      <c r="M3043" s="31"/>
      <c r="N3043" s="31"/>
      <c r="O3043" s="31"/>
      <c r="P3043" s="32"/>
      <c r="Q3043" s="14"/>
      <c r="R3043" s="11"/>
    </row>
    <row r="3044" s="1" customFormat="1" ht="21.95" customHeight="1" spans="1:18">
      <c r="A3044" s="7"/>
      <c r="B3044" s="12"/>
      <c r="C3044" s="33"/>
      <c r="D3044" s="35"/>
      <c r="E3044" s="24"/>
      <c r="F3044" s="24"/>
      <c r="G3044" s="47" t="s">
        <v>717</v>
      </c>
      <c r="H3044" s="47"/>
      <c r="I3044" s="47"/>
      <c r="J3044" s="47"/>
      <c r="K3044" s="47"/>
      <c r="L3044" s="47"/>
      <c r="M3044" s="47"/>
      <c r="N3044" s="47"/>
      <c r="O3044" s="29"/>
      <c r="P3044" s="19"/>
      <c r="Q3044" s="14"/>
      <c r="R3044" s="11"/>
    </row>
    <row r="3045" s="1" customFormat="1" ht="21.95" customHeight="1" spans="1:18">
      <c r="A3045" s="7"/>
      <c r="B3045" s="12"/>
      <c r="C3045" s="33"/>
      <c r="D3045" s="47"/>
      <c r="E3045" s="47"/>
      <c r="F3045" s="47"/>
      <c r="G3045" s="47" t="s">
        <v>541</v>
      </c>
      <c r="H3045" s="47" t="s">
        <v>542</v>
      </c>
      <c r="I3045" s="47" t="s">
        <v>543</v>
      </c>
      <c r="J3045" s="47" t="s">
        <v>544</v>
      </c>
      <c r="K3045" s="47" t="s">
        <v>561</v>
      </c>
      <c r="L3045" s="47" t="s">
        <v>382</v>
      </c>
      <c r="M3045" s="49" t="s">
        <v>546</v>
      </c>
      <c r="N3045" s="49"/>
      <c r="O3045" s="29"/>
      <c r="P3045" s="19"/>
      <c r="Q3045" s="14"/>
      <c r="R3045" s="11"/>
    </row>
    <row r="3046" s="1" customFormat="1" ht="21.95" customHeight="1" spans="1:18">
      <c r="A3046" s="7"/>
      <c r="B3046" s="12"/>
      <c r="C3046" s="33"/>
      <c r="D3046" s="207" t="s">
        <v>652</v>
      </c>
      <c r="E3046" s="207"/>
      <c r="F3046" s="207"/>
      <c r="G3046" s="50">
        <v>10</v>
      </c>
      <c r="H3046" s="50">
        <v>10</v>
      </c>
      <c r="I3046" s="50">
        <v>10</v>
      </c>
      <c r="J3046" s="50">
        <v>10</v>
      </c>
      <c r="K3046" s="50">
        <v>60</v>
      </c>
      <c r="L3046" s="50">
        <v>100</v>
      </c>
      <c r="M3046" s="49"/>
      <c r="N3046" s="49"/>
      <c r="O3046" s="29"/>
      <c r="P3046" s="19"/>
      <c r="Q3046" s="14"/>
      <c r="R3046" s="11"/>
    </row>
    <row r="3047" s="1" customFormat="1" ht="21.95" customHeight="1" spans="1:18">
      <c r="A3047" s="7"/>
      <c r="B3047" s="12"/>
      <c r="C3047" s="33"/>
      <c r="D3047" s="117" t="s">
        <v>668</v>
      </c>
      <c r="E3047" s="117"/>
      <c r="F3047" s="117"/>
      <c r="G3047" s="54" t="str">
        <f>IFERROR(VLOOKUP(F3030,'1to4-2.1-RR'!$A$12:$BG$111,9,0),"")</f>
        <v/>
      </c>
      <c r="H3047" s="54" t="str">
        <f>IFERROR(VLOOKUP(F3030,'1to4-2.1-RR'!$A$12:$BG$111,10,0),"")</f>
        <v/>
      </c>
      <c r="I3047" s="54" t="str">
        <f>IFERROR(VLOOKUP(F3030,'1to4-2.1-RR'!$A$12:$BG$111,11,0),"")</f>
        <v/>
      </c>
      <c r="J3047" s="54" t="str">
        <f>IFERROR(VLOOKUP(F3030,'1to4-2.1-RR'!$A$12:$BG$111,12,0),"")</f>
        <v/>
      </c>
      <c r="K3047" s="54" t="str">
        <f>IFERROR(VLOOKUP(F3030,'1to4-2.1-RR'!$A$12:$BG$111,13,0),"")</f>
        <v/>
      </c>
      <c r="L3047" s="55">
        <f>SUM(G3047:K3047)</f>
        <v>0</v>
      </c>
      <c r="M3047" s="56" t="str">
        <f>IF(F3030&gt;ENTRY!$D$24,"",IF(L3047=0,"Ab",IF(L3047&gt;80,"A",IF(L3047&gt;60,"B",IF(L3047&gt;44,"C",IF(L3047&gt;=33,"D",IF(L3047&lt;=32,"E","")))))))</f>
        <v/>
      </c>
      <c r="N3047" s="56"/>
      <c r="O3047" s="29"/>
      <c r="P3047" s="19"/>
      <c r="Q3047" s="14"/>
      <c r="R3047" s="11"/>
    </row>
    <row r="3048" s="1" customFormat="1" ht="21.95" customHeight="1" spans="1:18">
      <c r="A3048" s="7"/>
      <c r="B3048" s="12"/>
      <c r="C3048" s="33"/>
      <c r="D3048" s="117" t="s">
        <v>513</v>
      </c>
      <c r="E3048" s="117"/>
      <c r="F3048" s="117"/>
      <c r="G3048" s="54" t="str">
        <f>IFERROR(VLOOKUP(F3030,'1to4-2.1-RR'!$A$12:$BG$111,16,0),"")</f>
        <v/>
      </c>
      <c r="H3048" s="54" t="str">
        <f>IFERROR(VLOOKUP(F3030,'1to4-2.1-RR'!$A$12:$BG$111,17,0),"")</f>
        <v/>
      </c>
      <c r="I3048" s="54" t="str">
        <f>IFERROR(VLOOKUP(F3030,'1to4-2.1-RR'!$A$12:$BG$111,18,0),"")</f>
        <v/>
      </c>
      <c r="J3048" s="54" t="str">
        <f>IFERROR(VLOOKUP(F3030,'1to4-2.1-RR'!$A$12:$BG$111,19,0),"")</f>
        <v/>
      </c>
      <c r="K3048" s="54" t="str">
        <f>IFERROR(VLOOKUP(F3030,'1to4-2.1-RR'!$A$12:$BG$111,20,0),"")</f>
        <v/>
      </c>
      <c r="L3048" s="55">
        <f t="shared" ref="L3048:L3053" si="108">SUM(G3048:K3048)</f>
        <v>0</v>
      </c>
      <c r="M3048" s="56" t="str">
        <f>IF(F3030&gt;ENTRY!$D$24,"",IF(L3048=0,"Ab",IF(L3048&gt;80,"A",IF(L3048&gt;60,"B",IF(L3048&gt;44,"C",IF(L3048&gt;=33,"D",IF(L3048&lt;=32,"E","")))))))</f>
        <v/>
      </c>
      <c r="N3048" s="56"/>
      <c r="O3048" s="29"/>
      <c r="P3048" s="19"/>
      <c r="Q3048" s="14"/>
      <c r="R3048" s="11"/>
    </row>
    <row r="3049" s="1" customFormat="1" ht="21.95" customHeight="1" spans="1:18">
      <c r="A3049" s="7"/>
      <c r="B3049" s="12"/>
      <c r="C3049" s="33"/>
      <c r="D3049" s="117" t="s">
        <v>718</v>
      </c>
      <c r="E3049" s="117"/>
      <c r="F3049" s="117"/>
      <c r="G3049" s="54" t="str">
        <f>IFERROR(VLOOKUP(F3030,'1to4-2.1-RR'!$A$12:$BG$111,23,0),"")</f>
        <v/>
      </c>
      <c r="H3049" s="54" t="str">
        <f>IFERROR(VLOOKUP(F3030,'1to4-2.1-RR'!$A$12:$BG$111,24,0),"")</f>
        <v/>
      </c>
      <c r="I3049" s="54" t="str">
        <f>IFERROR(VLOOKUP(F3030,'1to4-2.1-RR'!$A$12:$BG$111,25,0),"")</f>
        <v/>
      </c>
      <c r="J3049" s="54" t="str">
        <f>IFERROR(VLOOKUP(F3030,'1to4-2.1-RR'!$A$12:$BG$111,26,0),"")</f>
        <v/>
      </c>
      <c r="K3049" s="54" t="str">
        <f>IFERROR(VLOOKUP(F3030,'1to4-2.1-RR'!$A$12:$BG$111,27,0),"")</f>
        <v/>
      </c>
      <c r="L3049" s="55">
        <f t="shared" si="108"/>
        <v>0</v>
      </c>
      <c r="M3049" s="56" t="str">
        <f>IF(F3030&gt;ENTRY!$D$24,"",IF(L3049=0,"Ab",IF(L3049&gt;80,"A",IF(L3049&gt;60,"B",IF(L3049&gt;44,"C",IF(L3049&gt;=33,"D",IF(L3049&lt;=32,"E","")))))))</f>
        <v/>
      </c>
      <c r="N3049" s="56"/>
      <c r="O3049" s="29"/>
      <c r="P3049" s="19"/>
      <c r="Q3049" s="14"/>
      <c r="R3049" s="11"/>
    </row>
    <row r="3050" s="1" customFormat="1" ht="21.95" customHeight="1" spans="1:18">
      <c r="A3050" s="7"/>
      <c r="B3050" s="12"/>
      <c r="C3050" s="33"/>
      <c r="D3050" s="117" t="s">
        <v>719</v>
      </c>
      <c r="E3050" s="117"/>
      <c r="F3050" s="117"/>
      <c r="G3050" s="54" t="str">
        <f>IFERROR(VLOOKUP(F3030,'1to4-2.1-RR'!$A$12:$BG$111,30,0),"")</f>
        <v/>
      </c>
      <c r="H3050" s="54" t="str">
        <f>IFERROR(VLOOKUP(F3030,'1to4-2.1-RR'!$A$12:$BG$111,31,0),"")</f>
        <v/>
      </c>
      <c r="I3050" s="54" t="str">
        <f>IFERROR(VLOOKUP(F3030,'1to4-2.1-RR'!$A$12:$BG$111,32,0),"")</f>
        <v/>
      </c>
      <c r="J3050" s="54" t="str">
        <f>IFERROR(VLOOKUP(F3030,'1to4-2.1-RR'!$A$12:$BG$111,33,0),"")</f>
        <v/>
      </c>
      <c r="K3050" s="54" t="str">
        <f>IFERROR(VLOOKUP(F3030,'1to4-2.1-RR'!$A$12:$BG$111,34,0),"")</f>
        <v/>
      </c>
      <c r="L3050" s="55">
        <f t="shared" si="108"/>
        <v>0</v>
      </c>
      <c r="M3050" s="56" t="str">
        <f>IF(F3030&gt;ENTRY!$D$24,"",IF(L3050=0,"Ab",IF(L3050&gt;80,"A",IF(L3050&gt;60,"B",IF(L3050&gt;44,"C",IF(L3050&gt;=33,"D",IF(L3050&lt;=32,"E","")))))))</f>
        <v/>
      </c>
      <c r="N3050" s="56"/>
      <c r="O3050" s="29"/>
      <c r="P3050" s="19"/>
      <c r="Q3050" s="14"/>
      <c r="R3050" s="11"/>
    </row>
    <row r="3051" s="1" customFormat="1" ht="21.95" customHeight="1" spans="1:18">
      <c r="A3051" s="7"/>
      <c r="B3051" s="12"/>
      <c r="C3051" s="33"/>
      <c r="D3051" s="117" t="s">
        <v>548</v>
      </c>
      <c r="E3051" s="117"/>
      <c r="F3051" s="117"/>
      <c r="G3051" s="54" t="str">
        <f>IFERROR(VLOOKUP(F3030,'1to4-2.1-RR'!$A$12:$BG$111,37,0),"")</f>
        <v/>
      </c>
      <c r="H3051" s="54" t="str">
        <f>IFERROR(VLOOKUP(F3030,'1to4-2.1-RR'!$A$12:$BG$111,38,0),"")</f>
        <v/>
      </c>
      <c r="I3051" s="54" t="str">
        <f>IFERROR(VLOOKUP(F3030,'1to4-2.1-RR'!$A$12:$BG$111,39,0),"")</f>
        <v/>
      </c>
      <c r="J3051" s="54" t="str">
        <f>IFERROR(VLOOKUP(F3030,'1to4-2.1-RR'!$A$12:$BG$111,40,0),"")</f>
        <v/>
      </c>
      <c r="K3051" s="54" t="str">
        <f>IFERROR(VLOOKUP(F3030,'1to4-2.1-RR'!$A$12:$BG$111,41,0),"")</f>
        <v/>
      </c>
      <c r="L3051" s="55">
        <f t="shared" si="108"/>
        <v>0</v>
      </c>
      <c r="M3051" s="56" t="str">
        <f>IF(F3030&gt;ENTRY!$D$24,"",IF(L3051=0,"Ab",IF(L3051&gt;80,"A",IF(L3051&gt;60,"B",IF(L3051&gt;44,"C",IF(L3051&gt;=33,"D",IF(L3051&lt;=32,"E","")))))))</f>
        <v/>
      </c>
      <c r="N3051" s="56"/>
      <c r="O3051" s="29"/>
      <c r="P3051" s="19"/>
      <c r="Q3051" s="14"/>
      <c r="R3051" s="11"/>
    </row>
    <row r="3052" s="1" customFormat="1" ht="21.95" customHeight="1" spans="1:18">
      <c r="A3052" s="7"/>
      <c r="B3052" s="12"/>
      <c r="C3052" s="33"/>
      <c r="D3052" s="117" t="s">
        <v>549</v>
      </c>
      <c r="E3052" s="117"/>
      <c r="F3052" s="117"/>
      <c r="G3052" s="54" t="str">
        <f>IFERROR(VLOOKUP(F3030,'1to4-2.1-RR'!$A$12:$BG$111,44,0),"")</f>
        <v/>
      </c>
      <c r="H3052" s="54" t="str">
        <f>IFERROR(VLOOKUP(F3030,'1to4-2.1-RR'!$A$12:$BG$111,45,0),"")</f>
        <v/>
      </c>
      <c r="I3052" s="54" t="str">
        <f>IFERROR(VLOOKUP(F3030,'1to4-2.1-RR'!$A$12:$BG$111,46,0),"")</f>
        <v/>
      </c>
      <c r="J3052" s="54" t="str">
        <f>IFERROR(VLOOKUP(F3030,'1to4-2.1-RR'!$A$12:$BG$111,47,0),"")</f>
        <v/>
      </c>
      <c r="K3052" s="54" t="str">
        <f>IFERROR(VLOOKUP(F3030,'1to4-2.1-RR'!$A$12:$BG$111,48,0),"")</f>
        <v/>
      </c>
      <c r="L3052" s="55">
        <f t="shared" si="108"/>
        <v>0</v>
      </c>
      <c r="M3052" s="56" t="str">
        <f>IF(F3030&gt;ENTRY!$D$24,"",IF(L3052=0,"Ab",IF(L3052&gt;80,"A",IF(L3052&gt;60,"B",IF(L3052&gt;44,"C",IF(L3052&gt;=33,"D",IF(L3052&lt;=32,"E","")))))))</f>
        <v/>
      </c>
      <c r="N3052" s="56"/>
      <c r="O3052" s="29"/>
      <c r="P3052" s="19"/>
      <c r="Q3052" s="14"/>
      <c r="R3052" s="11"/>
    </row>
    <row r="3053" s="1" customFormat="1" ht="21.95" customHeight="1" spans="1:18">
      <c r="A3053" s="7"/>
      <c r="B3053" s="12"/>
      <c r="C3053" s="33"/>
      <c r="D3053" s="117" t="s">
        <v>720</v>
      </c>
      <c r="E3053" s="117"/>
      <c r="F3053" s="117"/>
      <c r="G3053" s="54"/>
      <c r="H3053" s="54"/>
      <c r="I3053" s="54"/>
      <c r="J3053" s="54"/>
      <c r="K3053" s="54"/>
      <c r="L3053" s="55">
        <f t="shared" si="108"/>
        <v>0</v>
      </c>
      <c r="M3053" s="56" t="str">
        <f>IF(F3030&gt;ENTRY!$D$24,"",IF(L3053=0,"",IF(L3053&gt;79,"A",IF(L3053&gt;59,"B",IF(L3053&gt;44,"C",IF(L3053&gt;=33,"D",IF(L3053&lt;=32,"E","")))))))</f>
        <v/>
      </c>
      <c r="N3053" s="56"/>
      <c r="O3053" s="29"/>
      <c r="P3053" s="19"/>
      <c r="Q3053" s="14"/>
      <c r="R3053" s="11"/>
    </row>
    <row r="3054" s="1" customFormat="1" ht="21.95" customHeight="1" spans="1:18">
      <c r="A3054" s="7"/>
      <c r="B3054" s="12"/>
      <c r="C3054" s="33"/>
      <c r="D3054" s="207" t="s">
        <v>382</v>
      </c>
      <c r="E3054" s="207"/>
      <c r="F3054" s="207"/>
      <c r="G3054" s="54">
        <f t="shared" ref="G3054:L3054" si="109">IFERROR(SUM(G3047:G3053),"")</f>
        <v>0</v>
      </c>
      <c r="H3054" s="54">
        <f t="shared" si="109"/>
        <v>0</v>
      </c>
      <c r="I3054" s="54">
        <f t="shared" si="109"/>
        <v>0</v>
      </c>
      <c r="J3054" s="54">
        <f t="shared" si="109"/>
        <v>0</v>
      </c>
      <c r="K3054" s="54">
        <f t="shared" si="109"/>
        <v>0</v>
      </c>
      <c r="L3054" s="55">
        <f t="shared" si="109"/>
        <v>0</v>
      </c>
      <c r="M3054" s="61" t="str">
        <f>IF(F3030&gt;ENTRY!$D$24,"",IF(N3055="Ab","Ab",IF(N3055&gt;79.5,"A",IF(N3055&gt;59.5,"B",IF(N3055&gt;44.5,"C",IF(N3055&gt;=33,"D",IF(N3055&lt;33,"E","")))))))</f>
        <v/>
      </c>
      <c r="N3054" s="61"/>
      <c r="O3054" s="29"/>
      <c r="P3054" s="19"/>
      <c r="Q3054" s="14"/>
      <c r="R3054" s="11"/>
    </row>
    <row r="3055" s="1" customFormat="1" ht="21.95" customHeight="1" spans="1:18">
      <c r="A3055" s="7"/>
      <c r="B3055" s="12"/>
      <c r="C3055" s="33"/>
      <c r="D3055" s="63" t="s">
        <v>721</v>
      </c>
      <c r="E3055" s="63"/>
      <c r="F3055" s="63"/>
      <c r="G3055" s="63"/>
      <c r="H3055" s="63"/>
      <c r="I3055" s="63"/>
      <c r="J3055" s="63"/>
      <c r="K3055" s="63"/>
      <c r="L3055" s="63"/>
      <c r="M3055" s="209"/>
      <c r="N3055" s="64">
        <f>IF(L3054="Ab","Ab",L3054/6)</f>
        <v>0</v>
      </c>
      <c r="O3055" s="65"/>
      <c r="P3055" s="19"/>
      <c r="Q3055" s="14"/>
      <c r="R3055" s="11"/>
    </row>
    <row r="3056" s="1" customFormat="1" ht="21.95" customHeight="1" spans="1:18">
      <c r="A3056" s="7"/>
      <c r="B3056" s="12"/>
      <c r="C3056" s="33"/>
      <c r="D3056" s="29" t="s">
        <v>716</v>
      </c>
      <c r="E3056" s="18" t="str">
        <f>IFERROR(VLOOKUP(F3030,'1to4-2.1-RR'!$A$12:$BG$111,57,0),"")</f>
        <v/>
      </c>
      <c r="F3056" s="18"/>
      <c r="G3056" s="18"/>
      <c r="H3056" s="18"/>
      <c r="I3056" s="18"/>
      <c r="J3056" s="18"/>
      <c r="K3056" s="18"/>
      <c r="L3056" s="18"/>
      <c r="M3056" s="18"/>
      <c r="N3056" s="29"/>
      <c r="O3056" s="29"/>
      <c r="P3056" s="19"/>
      <c r="Q3056" s="14"/>
      <c r="R3056" s="11"/>
    </row>
    <row r="3057" s="1" customFormat="1" ht="9.95" customHeight="1" spans="1:19">
      <c r="A3057" s="7"/>
      <c r="B3057" s="12"/>
      <c r="C3057" s="39"/>
      <c r="D3057" s="40"/>
      <c r="E3057" s="40"/>
      <c r="F3057" s="40"/>
      <c r="G3057" s="40"/>
      <c r="H3057" s="40"/>
      <c r="I3057" s="40"/>
      <c r="J3057" s="40"/>
      <c r="K3057" s="40"/>
      <c r="L3057" s="40"/>
      <c r="M3057" s="40"/>
      <c r="N3057" s="40"/>
      <c r="O3057" s="40"/>
      <c r="P3057" s="41"/>
      <c r="Q3057" s="14"/>
      <c r="R3057" s="11"/>
    </row>
    <row r="3058" s="1" customFormat="1" ht="9.95" customHeight="1" spans="1:19">
      <c r="A3058" s="7"/>
      <c r="B3058" s="12"/>
      <c r="C3058" s="30"/>
      <c r="D3058" s="31"/>
      <c r="E3058" s="31"/>
      <c r="F3058" s="29"/>
      <c r="G3058" s="31"/>
      <c r="H3058" s="31"/>
      <c r="I3058" s="31"/>
      <c r="J3058" s="31"/>
      <c r="K3058" s="31"/>
      <c r="L3058" s="31"/>
      <c r="M3058" s="31"/>
      <c r="N3058" s="31"/>
      <c r="O3058" s="31"/>
      <c r="P3058" s="32"/>
      <c r="Q3058" s="14"/>
      <c r="R3058" s="11"/>
    </row>
    <row r="3059" s="1" customFormat="1" ht="9.95" customHeight="1" spans="1:19">
      <c r="A3059" s="7"/>
      <c r="B3059" s="12"/>
      <c r="C3059" s="33"/>
      <c r="D3059" s="29"/>
      <c r="E3059" s="29"/>
      <c r="F3059" s="29"/>
      <c r="G3059" s="29"/>
      <c r="H3059" s="29"/>
      <c r="I3059" s="29"/>
      <c r="J3059" s="29"/>
      <c r="K3059" s="29"/>
      <c r="L3059" s="29"/>
      <c r="M3059" s="29"/>
      <c r="N3059" s="29"/>
      <c r="O3059" s="29"/>
      <c r="P3059" s="19"/>
      <c r="Q3059" s="14"/>
      <c r="R3059" s="11"/>
    </row>
    <row r="3060" s="1" customFormat="1" ht="9.95" customHeight="1" spans="1:19">
      <c r="A3060" s="7"/>
      <c r="B3060" s="12"/>
      <c r="C3060" s="33"/>
      <c r="D3060" s="29"/>
      <c r="E3060" s="29"/>
      <c r="F3060" s="29"/>
      <c r="G3060" s="29"/>
      <c r="H3060" s="29"/>
      <c r="I3060" s="29"/>
      <c r="J3060" s="29"/>
      <c r="K3060" s="29"/>
      <c r="L3060" s="29"/>
      <c r="M3060" s="29"/>
      <c r="N3060" s="29"/>
      <c r="O3060" s="29"/>
      <c r="P3060" s="19"/>
      <c r="Q3060" s="14"/>
      <c r="R3060" s="11"/>
    </row>
    <row r="3061" s="1" customFormat="1" ht="21.95" customHeight="1" spans="1:19">
      <c r="A3061" s="7"/>
      <c r="B3061" s="12"/>
      <c r="C3061" s="210"/>
      <c r="D3061" s="211"/>
      <c r="E3061" s="211"/>
      <c r="F3061" s="211"/>
      <c r="G3061" s="211"/>
      <c r="H3061" s="211"/>
      <c r="I3061" s="211"/>
      <c r="J3061" s="211"/>
      <c r="K3061" s="211"/>
      <c r="L3061" s="211"/>
      <c r="M3061" s="211"/>
      <c r="N3061" s="211"/>
      <c r="O3061" s="211"/>
      <c r="P3061" s="212"/>
      <c r="Q3061" s="14"/>
      <c r="R3061" s="11"/>
      <c r="S3061" s="2"/>
    </row>
    <row r="3062" s="1" customFormat="1" ht="21.95" customHeight="1" spans="1:19">
      <c r="A3062" s="7"/>
      <c r="B3062" s="12"/>
      <c r="C3062" s="33"/>
      <c r="D3062" s="207" t="s">
        <v>722</v>
      </c>
      <c r="E3062" s="207"/>
      <c r="F3062" s="207"/>
      <c r="G3062" s="207"/>
      <c r="H3062" s="54">
        <f>IFERROR(VLOOKUP(F3030,PASHEET!$A$4:$CJ$103,88,0),"")</f>
        <v>0</v>
      </c>
      <c r="I3062" s="54"/>
      <c r="J3062" s="29"/>
      <c r="K3062" s="29"/>
      <c r="L3062" s="29"/>
      <c r="M3062" s="29"/>
      <c r="N3062" s="29"/>
      <c r="O3062" s="29"/>
      <c r="P3062" s="19"/>
      <c r="Q3062" s="14"/>
      <c r="R3062" s="11"/>
    </row>
    <row r="3063" s="1" customFormat="1" ht="21.95" customHeight="1" spans="1:19">
      <c r="A3063" s="7"/>
      <c r="B3063" s="12"/>
      <c r="C3063" s="213"/>
      <c r="D3063" s="207" t="s">
        <v>723</v>
      </c>
      <c r="E3063" s="207"/>
      <c r="F3063" s="207"/>
      <c r="G3063" s="207"/>
      <c r="H3063" s="54">
        <f>IFERROR(VLOOKUP(F3030,PASHEET!$A$4:$CJ$103,87,0),"")</f>
        <v>0</v>
      </c>
      <c r="I3063" s="54"/>
      <c r="J3063" s="214"/>
      <c r="K3063" s="214"/>
      <c r="L3063" s="207" t="s">
        <v>724</v>
      </c>
      <c r="M3063" s="207"/>
      <c r="N3063" s="117" t="str">
        <f>IF(F3030&gt;ENTRY!$D$24,"",IF(F3030&gt;0,L3054&amp;" / "&amp;600,""))</f>
        <v/>
      </c>
      <c r="O3063" s="117"/>
      <c r="P3063" s="215"/>
      <c r="Q3063" s="14"/>
      <c r="R3063" s="11"/>
    </row>
    <row r="3064" s="1" customFormat="1" ht="18" customHeight="1" spans="1:19">
      <c r="A3064" s="7"/>
      <c r="B3064" s="12"/>
      <c r="C3064" s="33"/>
      <c r="D3064" s="207" t="s">
        <v>725</v>
      </c>
      <c r="E3064" s="207"/>
      <c r="F3064" s="207"/>
      <c r="G3064" s="207"/>
      <c r="H3064" s="69" t="str">
        <f>IFERROR(IF(F3030&gt;0,H3063/H3062*100),"")</f>
        <v/>
      </c>
      <c r="I3064" s="69"/>
      <c r="J3064" s="29"/>
      <c r="K3064" s="29"/>
      <c r="L3064" s="207" t="s">
        <v>726</v>
      </c>
      <c r="M3064" s="207"/>
      <c r="N3064" s="216" t="str">
        <f>IF(F3030&gt;ENTRY!$D$24,"",IF(F3030&gt;0,L3054/600*100,""))</f>
        <v/>
      </c>
      <c r="O3064" s="216"/>
      <c r="P3064" s="19"/>
      <c r="Q3064" s="14"/>
      <c r="R3064" s="11"/>
    </row>
    <row r="3065" s="1" customFormat="1" ht="21.95" customHeight="1" spans="1:19">
      <c r="A3065" s="7"/>
      <c r="B3065" s="12"/>
      <c r="C3065" s="33"/>
      <c r="D3065" s="80"/>
      <c r="E3065" s="80"/>
      <c r="F3065" s="217"/>
      <c r="G3065" s="217"/>
      <c r="H3065" s="217"/>
      <c r="I3065" s="217"/>
      <c r="J3065" s="217"/>
      <c r="K3065" s="217"/>
      <c r="L3065" s="217"/>
      <c r="M3065" s="217"/>
      <c r="N3065" s="80"/>
      <c r="O3065" s="80"/>
      <c r="P3065" s="19"/>
      <c r="Q3065" s="14"/>
      <c r="R3065" s="11"/>
    </row>
    <row r="3066" s="1" customFormat="1" ht="21.95" customHeight="1" spans="1:19">
      <c r="A3066" s="7"/>
      <c r="B3066" s="12"/>
      <c r="C3066" s="33"/>
      <c r="D3066" s="80"/>
      <c r="E3066" s="218"/>
      <c r="F3066" s="218"/>
      <c r="G3066" s="218"/>
      <c r="H3066" s="80"/>
      <c r="I3066" s="218"/>
      <c r="J3066" s="218"/>
      <c r="K3066" s="218"/>
      <c r="L3066" s="218"/>
      <c r="M3066" s="80"/>
      <c r="N3066" s="219"/>
      <c r="O3066" s="219"/>
      <c r="P3066" s="19"/>
      <c r="Q3066" s="14"/>
      <c r="R3066" s="11"/>
    </row>
    <row r="3067" s="1" customFormat="1" ht="21.95" customHeight="1" spans="1:19">
      <c r="A3067" s="7"/>
      <c r="B3067" s="12"/>
      <c r="C3067" s="33"/>
      <c r="D3067" s="80"/>
      <c r="E3067" s="80"/>
      <c r="F3067" s="80"/>
      <c r="G3067" s="80"/>
      <c r="H3067" s="80"/>
      <c r="I3067" s="80"/>
      <c r="J3067" s="80"/>
      <c r="K3067" s="80"/>
      <c r="L3067" s="80"/>
      <c r="M3067" s="80"/>
      <c r="N3067" s="80"/>
      <c r="O3067" s="80"/>
      <c r="P3067" s="19"/>
      <c r="Q3067" s="14"/>
      <c r="R3067" s="11"/>
    </row>
    <row r="3068" s="1" customFormat="1" ht="21.95" customHeight="1" spans="1:19">
      <c r="A3068" s="7"/>
      <c r="B3068" s="12"/>
      <c r="C3068" s="33"/>
      <c r="D3068" s="218"/>
      <c r="E3068" s="218"/>
      <c r="F3068" s="218"/>
      <c r="G3068" s="218"/>
      <c r="H3068" s="218"/>
      <c r="I3068" s="218"/>
      <c r="J3068" s="218"/>
      <c r="K3068" s="218"/>
      <c r="L3068" s="218"/>
      <c r="M3068" s="80"/>
      <c r="N3068" s="217"/>
      <c r="O3068" s="217"/>
      <c r="P3068" s="85" t="s">
        <v>727</v>
      </c>
      <c r="Q3068" s="14"/>
      <c r="R3068" s="11"/>
    </row>
    <row r="3069" s="1" customFormat="1" ht="21.95" customHeight="1" spans="1:19">
      <c r="A3069" s="7"/>
      <c r="B3069" s="12"/>
      <c r="C3069" s="33"/>
      <c r="D3069" s="29"/>
      <c r="E3069" s="29"/>
      <c r="F3069" s="29"/>
      <c r="G3069" s="29"/>
      <c r="H3069" s="29"/>
      <c r="I3069" s="29"/>
      <c r="J3069" s="29"/>
      <c r="K3069" s="29"/>
      <c r="L3069" s="29"/>
      <c r="M3069" s="29"/>
      <c r="N3069" s="29"/>
      <c r="O3069" s="29"/>
      <c r="P3069" s="19"/>
      <c r="Q3069" s="14"/>
      <c r="R3069" s="11"/>
    </row>
    <row r="3070" s="1" customFormat="1" ht="21.95" customHeight="1" spans="1:19">
      <c r="A3070" s="7"/>
      <c r="B3070" s="12"/>
      <c r="C3070" s="33"/>
      <c r="D3070" s="29"/>
      <c r="E3070" s="29"/>
      <c r="F3070" s="29"/>
      <c r="G3070" s="29"/>
      <c r="H3070" s="29"/>
      <c r="I3070" s="29"/>
      <c r="J3070" s="29"/>
      <c r="K3070" s="29"/>
      <c r="L3070" s="29"/>
      <c r="M3070" s="29"/>
      <c r="N3070" s="29"/>
      <c r="O3070" s="29"/>
      <c r="P3070" s="19"/>
      <c r="Q3070" s="14"/>
      <c r="R3070" s="11"/>
    </row>
    <row r="3071" s="1" customFormat="1" ht="21.95" customHeight="1" spans="1:19">
      <c r="A3071" s="7"/>
      <c r="B3071" s="12"/>
      <c r="C3071" s="33"/>
      <c r="D3071" s="29"/>
      <c r="E3071" s="29"/>
      <c r="F3071" s="29"/>
      <c r="G3071" s="29"/>
      <c r="H3071" s="29"/>
      <c r="I3071" s="29"/>
      <c r="J3071" s="29"/>
      <c r="K3071" s="29"/>
      <c r="L3071" s="29"/>
      <c r="M3071" s="29"/>
      <c r="N3071" s="29"/>
      <c r="O3071" s="29"/>
      <c r="P3071" s="19"/>
      <c r="Q3071" s="14"/>
      <c r="R3071" s="11"/>
    </row>
    <row r="3072" s="1" customFormat="1" ht="21.95" customHeight="1" spans="1:19">
      <c r="A3072" s="7"/>
      <c r="B3072" s="12"/>
      <c r="C3072" s="33"/>
      <c r="D3072" s="29"/>
      <c r="E3072" s="29"/>
      <c r="F3072" s="29"/>
      <c r="G3072" s="29"/>
      <c r="H3072" s="29"/>
      <c r="I3072" s="29"/>
      <c r="J3072" s="29"/>
      <c r="K3072" s="29"/>
      <c r="L3072" s="29"/>
      <c r="M3072" s="29"/>
      <c r="N3072" s="29"/>
      <c r="O3072" s="29"/>
      <c r="P3072" s="19"/>
      <c r="Q3072" s="14"/>
      <c r="R3072" s="11"/>
    </row>
    <row r="3073" s="1" customFormat="1" ht="21.95" customHeight="1" spans="1:18">
      <c r="A3073" s="7"/>
      <c r="B3073" s="12"/>
      <c r="C3073" s="33"/>
      <c r="D3073" s="29"/>
      <c r="E3073" s="29"/>
      <c r="F3073" s="29"/>
      <c r="G3073" s="29"/>
      <c r="H3073" s="29"/>
      <c r="I3073" s="29"/>
      <c r="J3073" s="29"/>
      <c r="K3073" s="29"/>
      <c r="L3073" s="29"/>
      <c r="M3073" s="29"/>
      <c r="N3073" s="29"/>
      <c r="O3073" s="29"/>
      <c r="P3073" s="19"/>
      <c r="Q3073" s="14"/>
      <c r="R3073" s="11"/>
    </row>
    <row r="3074" s="1" customFormat="1" ht="21.95" customHeight="1" spans="1:18">
      <c r="A3074" s="7"/>
      <c r="B3074" s="12"/>
      <c r="C3074" s="33"/>
      <c r="D3074" s="80" t="s">
        <v>728</v>
      </c>
      <c r="E3074" s="220">
        <f>ENTRY!$D$27</f>
        <v>46102</v>
      </c>
      <c r="F3074" s="220"/>
      <c r="G3074" s="29"/>
      <c r="H3074" s="29"/>
      <c r="I3074" s="221" t="s">
        <v>729</v>
      </c>
      <c r="J3074" s="153"/>
      <c r="K3074" s="29"/>
      <c r="L3074" s="29"/>
      <c r="M3074" s="87" t="s">
        <v>730</v>
      </c>
      <c r="N3074" s="87"/>
      <c r="O3074" s="87"/>
      <c r="P3074" s="19"/>
      <c r="Q3074" s="14"/>
      <c r="R3074" s="11"/>
    </row>
    <row r="3075" s="1" customFormat="1" ht="21.95" customHeight="1" spans="1:18">
      <c r="A3075" s="7"/>
      <c r="B3075" s="12"/>
      <c r="C3075" s="33"/>
      <c r="D3075" s="80" t="s">
        <v>731</v>
      </c>
      <c r="E3075" s="88" t="str">
        <f>PROPER(ENTRY!$D$28)</f>
        <v>New Delhi</v>
      </c>
      <c r="F3075" s="88"/>
      <c r="G3075" s="29"/>
      <c r="H3075" s="29"/>
      <c r="I3075" s="153"/>
      <c r="J3075" s="153"/>
      <c r="K3075" s="29"/>
      <c r="L3075" s="29"/>
      <c r="M3075" s="79" t="s">
        <v>732</v>
      </c>
      <c r="N3075" s="79"/>
      <c r="O3075" s="79"/>
      <c r="P3075" s="19"/>
      <c r="Q3075" s="14"/>
      <c r="R3075" s="11"/>
    </row>
    <row r="3076" s="1" customFormat="1" ht="21.95" customHeight="1" spans="1:18">
      <c r="A3076" s="7"/>
      <c r="B3076" s="12"/>
      <c r="C3076" s="90"/>
      <c r="D3076" s="91"/>
      <c r="E3076" s="91"/>
      <c r="F3076" s="91"/>
      <c r="G3076" s="91"/>
      <c r="H3076" s="91"/>
      <c r="I3076" s="91"/>
      <c r="J3076" s="91"/>
      <c r="K3076" s="91"/>
      <c r="L3076" s="91"/>
      <c r="M3076" s="91"/>
      <c r="N3076" s="91"/>
      <c r="O3076" s="91"/>
      <c r="P3076" s="92"/>
      <c r="Q3076" s="14"/>
      <c r="R3076" s="11"/>
    </row>
    <row r="3077" s="1" customFormat="1" ht="5.1" customHeight="1" spans="1:18">
      <c r="A3077" s="7"/>
      <c r="B3077" s="90"/>
      <c r="C3077" s="91"/>
      <c r="D3077" s="91"/>
      <c r="E3077" s="91"/>
      <c r="F3077" s="91"/>
      <c r="G3077" s="91"/>
      <c r="H3077" s="91"/>
      <c r="I3077" s="91"/>
      <c r="J3077" s="91"/>
      <c r="K3077" s="91"/>
      <c r="L3077" s="91"/>
      <c r="M3077" s="91"/>
      <c r="N3077" s="91"/>
      <c r="O3077" s="91"/>
      <c r="P3077" s="91"/>
      <c r="Q3077" s="92"/>
      <c r="R3077" s="11"/>
    </row>
    <row r="3078" s="1" customFormat="1" ht="5.1" customHeight="1" spans="1:18">
      <c r="A3078" s="93"/>
      <c r="B3078" s="94"/>
      <c r="C3078" s="94"/>
      <c r="D3078" s="94"/>
      <c r="E3078" s="94"/>
      <c r="F3078" s="94"/>
      <c r="G3078" s="94"/>
      <c r="H3078" s="94"/>
      <c r="I3078" s="94"/>
      <c r="J3078" s="94"/>
      <c r="K3078" s="94"/>
      <c r="L3078" s="94"/>
      <c r="M3078" s="94"/>
      <c r="N3078" s="94"/>
      <c r="O3078" s="94"/>
      <c r="P3078" s="94"/>
      <c r="Q3078" s="94"/>
      <c r="R3078" s="95"/>
    </row>
    <row r="3079" s="1" customFormat="1" ht="21.95" customHeight="1"/>
    <row r="3080" ht="15.15"/>
    <row r="3081" s="1" customFormat="1" ht="5.1" customHeight="1" spans="1:18">
      <c r="A3081" s="4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  <c r="O3081" s="5"/>
      <c r="P3081" s="5"/>
      <c r="Q3081" s="5"/>
      <c r="R3081" s="6"/>
    </row>
    <row r="3082" s="1" customFormat="1" ht="15" customHeight="1" spans="1:18">
      <c r="A3082" s="7"/>
      <c r="B3082" s="8"/>
      <c r="C3082" s="9"/>
      <c r="D3082" s="9"/>
      <c r="E3082" s="9"/>
      <c r="F3082" s="9"/>
      <c r="G3082" s="9"/>
      <c r="H3082" s="9"/>
      <c r="I3082" s="9"/>
      <c r="J3082" s="9"/>
      <c r="K3082" s="9"/>
      <c r="L3082" s="9"/>
      <c r="M3082" s="9"/>
      <c r="N3082" s="9"/>
      <c r="O3082" s="9"/>
      <c r="P3082" s="9"/>
      <c r="Q3082" s="10"/>
      <c r="R3082" s="11"/>
    </row>
    <row r="3083" s="1" customFormat="1" ht="21.95" customHeight="1" spans="1:18">
      <c r="A3083" s="7"/>
      <c r="B3083" s="12"/>
      <c r="C3083" s="13" t="s">
        <v>7</v>
      </c>
      <c r="D3083" s="13"/>
      <c r="E3083" s="13"/>
      <c r="F3083" s="13"/>
      <c r="G3083" s="13"/>
      <c r="H3083" s="13"/>
      <c r="I3083" s="13"/>
      <c r="J3083" s="13"/>
      <c r="K3083" s="13"/>
      <c r="L3083" s="13"/>
      <c r="M3083" s="13"/>
      <c r="N3083" s="13"/>
      <c r="O3083" s="13"/>
      <c r="P3083" s="13"/>
      <c r="Q3083" s="14"/>
      <c r="R3083" s="11"/>
    </row>
    <row r="3084" s="1" customFormat="1" ht="21.95" customHeight="1" spans="1:18">
      <c r="A3084" s="7"/>
      <c r="B3084" s="1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14"/>
      <c r="R3084" s="11"/>
    </row>
    <row r="3085" s="1" customFormat="1" ht="21.95" customHeight="1" spans="1:18">
      <c r="A3085" s="7"/>
      <c r="B3085" s="12"/>
      <c r="C3085" s="15" t="str">
        <f>"SESSION-"&amp;ENTRY!$D$11</f>
        <v>SESSION-2026-27</v>
      </c>
      <c r="D3085" s="15"/>
      <c r="E3085" s="15"/>
      <c r="F3085" s="15"/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4"/>
      <c r="R3085" s="11"/>
    </row>
    <row r="3086" s="1" customFormat="1" ht="21.95" customHeight="1" spans="1:18">
      <c r="A3086" s="7"/>
      <c r="B3086" s="12"/>
      <c r="C3086" s="2"/>
      <c r="D3086" s="2"/>
      <c r="E3086" s="2"/>
      <c r="F3086" s="16">
        <f>F3030+1</f>
        <v>56</v>
      </c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14"/>
      <c r="R3086" s="11"/>
    </row>
    <row r="3087" s="1" customFormat="1" ht="21.95" customHeight="1" spans="1:18">
      <c r="A3087" s="7"/>
      <c r="B3087" s="12"/>
      <c r="C3087" s="17" t="s">
        <v>392</v>
      </c>
      <c r="D3087" s="17"/>
      <c r="E3087" s="17"/>
      <c r="F3087" s="18" t="str">
        <f>IF(F3086&gt;0,ENTRY!$D$6,"")</f>
        <v>MCP NITHARI NO 1 BOYS</v>
      </c>
      <c r="G3087" s="18"/>
      <c r="H3087" s="18"/>
      <c r="I3087" s="18"/>
      <c r="J3087" s="18"/>
      <c r="K3087" s="18"/>
      <c r="L3087" s="18"/>
      <c r="M3087" s="18"/>
      <c r="N3087" s="18"/>
      <c r="O3087" s="18"/>
      <c r="P3087" s="18"/>
      <c r="Q3087" s="14"/>
      <c r="R3087" s="11"/>
    </row>
    <row r="3088" s="1" customFormat="1" ht="21.95" customHeight="1" spans="1:18">
      <c r="A3088" s="7"/>
      <c r="B3088" s="12"/>
      <c r="C3088" s="17" t="s">
        <v>393</v>
      </c>
      <c r="D3088" s="17"/>
      <c r="E3088" s="17"/>
      <c r="F3088" s="18">
        <f>IF(F3086&gt;0,ENTRY!$D$7,"")</f>
        <v>0</v>
      </c>
      <c r="G3088" s="18"/>
      <c r="H3088" s="20" t="s">
        <v>702</v>
      </c>
      <c r="I3088" s="20"/>
      <c r="J3088" s="21">
        <f>IF(F3086&gt;0,ENTRY!$D$10,"")</f>
        <v>40</v>
      </c>
      <c r="K3088" s="20" t="s">
        <v>703</v>
      </c>
      <c r="L3088" s="22" t="str">
        <f>IF(F3086&gt;0,ENTRY!$D$5,"")</f>
        <v>ROHINI ZONE</v>
      </c>
      <c r="M3088" s="22"/>
      <c r="N3088" s="22"/>
      <c r="O3088" s="22"/>
      <c r="P3088" s="22"/>
      <c r="Q3088" s="14"/>
      <c r="R3088" s="11"/>
    </row>
    <row r="3089" s="1" customFormat="1" ht="21.95" customHeight="1" spans="1:18">
      <c r="A3089" s="7"/>
      <c r="B3089" s="12"/>
      <c r="C3089" s="17" t="s">
        <v>706</v>
      </c>
      <c r="D3089" s="17"/>
      <c r="E3089" s="17"/>
      <c r="F3089" s="23">
        <f>IFERROR(VLOOKUP(F3086,STUDENT!$A$2:$BP$101,5,0),"")</f>
        <v>0</v>
      </c>
      <c r="G3089" s="23"/>
      <c r="H3089" s="23"/>
      <c r="I3089" s="23"/>
      <c r="J3089" s="23"/>
      <c r="K3089" s="23"/>
      <c r="L3089" s="20" t="s">
        <v>707</v>
      </c>
      <c r="M3089" s="20"/>
      <c r="N3089" s="24" t="str">
        <f>IF(F3086&gt;0,ENTRY!$D$20&amp;"-"&amp;ENTRY!$D$21,"")</f>
        <v>III-A</v>
      </c>
      <c r="O3089" s="24"/>
      <c r="P3089" s="24"/>
      <c r="Q3089" s="14"/>
      <c r="R3089" s="11"/>
    </row>
    <row r="3090" s="1" customFormat="1" ht="21.95" customHeight="1" spans="1:18">
      <c r="A3090" s="7"/>
      <c r="B3090" s="12"/>
      <c r="C3090" s="17" t="s">
        <v>708</v>
      </c>
      <c r="D3090" s="17"/>
      <c r="E3090" s="17"/>
      <c r="F3090" s="25">
        <f>IFERROR(VLOOKUP(F3086,STUDENT!$A$2:$BP$101,6,0),"")</f>
        <v>0</v>
      </c>
      <c r="G3090" s="25"/>
      <c r="H3090" s="26" t="s">
        <v>709</v>
      </c>
      <c r="I3090" s="27" t="str">
        <f>IFERROR(VLOOKUP(F3086,STUDENT!$A$2:$BP$101,59,0),"")</f>
        <v/>
      </c>
      <c r="J3090" s="27"/>
      <c r="K3090" s="20" t="s">
        <v>710</v>
      </c>
      <c r="L3090" s="20"/>
      <c r="M3090" s="28">
        <f>IFERROR(VLOOKUP(F3086,STUDENT!$A$2:$BP$101,20,0),"")</f>
        <v>0</v>
      </c>
      <c r="N3090" s="28"/>
      <c r="O3090" s="28"/>
      <c r="P3090" s="28"/>
      <c r="Q3090" s="14"/>
      <c r="R3090" s="11"/>
    </row>
    <row r="3091" s="1" customFormat="1" ht="21.95" customHeight="1" spans="1:18">
      <c r="A3091" s="7"/>
      <c r="B3091" s="12"/>
      <c r="C3091" s="17" t="s">
        <v>711</v>
      </c>
      <c r="D3091" s="17"/>
      <c r="E3091" s="17"/>
      <c r="F3091" s="23">
        <f>IFERROR(VLOOKUP(F3086,STUDENT!$A$2:$BP$101,9,0),"")</f>
        <v>0</v>
      </c>
      <c r="G3091" s="23"/>
      <c r="H3091" s="23"/>
      <c r="I3091" s="23"/>
      <c r="J3091" s="17" t="s">
        <v>620</v>
      </c>
      <c r="K3091" s="17"/>
      <c r="L3091" s="23">
        <f>IFERROR(VLOOKUP(F3086,STUDENT!$A$2:$BP$101,8,0),"")</f>
        <v>0</v>
      </c>
      <c r="M3091" s="23"/>
      <c r="N3091" s="23"/>
      <c r="O3091" s="23"/>
      <c r="P3091" s="23"/>
      <c r="Q3091" s="14"/>
      <c r="R3091" s="11"/>
    </row>
    <row r="3092" s="1" customFormat="1" ht="21.95" customHeight="1" spans="1:18">
      <c r="A3092" s="7"/>
      <c r="B3092" s="12"/>
      <c r="C3092" s="17" t="s">
        <v>712</v>
      </c>
      <c r="D3092" s="17"/>
      <c r="E3092" s="17"/>
      <c r="F3092" s="23">
        <f>IFERROR(VLOOKUP(F3086,STUDENT!$A$2:$BP$101,22,0),"")</f>
        <v>0</v>
      </c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14"/>
      <c r="R3092" s="11"/>
    </row>
    <row r="3093" s="1" customFormat="1" ht="9.95" customHeight="1" spans="1:18">
      <c r="A3093" s="7"/>
      <c r="B3093" s="12"/>
      <c r="C3093" s="29"/>
      <c r="D3093" s="29"/>
      <c r="E3093" s="29"/>
      <c r="F3093" s="29"/>
      <c r="G3093" s="29"/>
      <c r="H3093" s="29"/>
      <c r="I3093" s="29"/>
      <c r="J3093" s="29"/>
      <c r="K3093" s="29"/>
      <c r="L3093" s="29"/>
      <c r="M3093" s="29"/>
      <c r="N3093" s="29"/>
      <c r="O3093" s="29"/>
      <c r="P3093" s="29"/>
      <c r="Q3093" s="14"/>
      <c r="R3093" s="11"/>
    </row>
    <row r="3094" s="1" customFormat="1" ht="9.95" customHeight="1" spans="1:18">
      <c r="A3094" s="7"/>
      <c r="B3094" s="12"/>
      <c r="C3094" s="30"/>
      <c r="D3094" s="31"/>
      <c r="E3094" s="31"/>
      <c r="F3094" s="31"/>
      <c r="G3094" s="31"/>
      <c r="H3094" s="31"/>
      <c r="I3094" s="31"/>
      <c r="J3094" s="31"/>
      <c r="K3094" s="31"/>
      <c r="L3094" s="31"/>
      <c r="M3094" s="31"/>
      <c r="N3094" s="31"/>
      <c r="O3094" s="31"/>
      <c r="P3094" s="32"/>
      <c r="Q3094" s="14"/>
      <c r="R3094" s="11"/>
    </row>
    <row r="3095" s="1" customFormat="1" ht="21.95" customHeight="1" spans="1:18">
      <c r="A3095" s="7"/>
      <c r="B3095" s="12"/>
      <c r="C3095" s="33"/>
      <c r="D3095" s="34" t="s">
        <v>713</v>
      </c>
      <c r="E3095" s="20" t="s">
        <v>714</v>
      </c>
      <c r="F3095" s="35" t="str">
        <f>"Level - "&amp;IFERROR(VLOOKUP(F3086,FLN!$A$4:$K$103,9,0),"")</f>
        <v>Level - </v>
      </c>
      <c r="G3095" s="36"/>
      <c r="H3095" s="37" t="s">
        <v>715</v>
      </c>
      <c r="I3095" s="20"/>
      <c r="J3095" s="35" t="str">
        <f>"Level - "&amp;IFERROR(VLOOKUP(F3086,FLN!$A$4:$K$103,11,0),"")</f>
        <v>Level - </v>
      </c>
      <c r="K3095" s="36"/>
      <c r="L3095" s="37" t="s">
        <v>408</v>
      </c>
      <c r="M3095" s="20"/>
      <c r="N3095" s="35" t="str">
        <f>"Level - "&amp;IFERROR(VLOOKUP(F3086,FLN!$A$4:$K$103,10,0),"")</f>
        <v>Level - </v>
      </c>
      <c r="O3095" s="36"/>
      <c r="P3095" s="19"/>
      <c r="Q3095" s="14"/>
      <c r="R3095" s="11"/>
    </row>
    <row r="3096" s="1" customFormat="1" ht="21.95" customHeight="1" spans="1:18">
      <c r="A3096" s="7"/>
      <c r="B3096" s="12"/>
      <c r="C3096" s="33"/>
      <c r="D3096" s="38"/>
      <c r="E3096" s="20" t="s">
        <v>716</v>
      </c>
      <c r="F3096" s="18" t="str">
        <f>IF(L3110&gt;197,"PERFORMED WELL","")</f>
        <v/>
      </c>
      <c r="G3096" s="18"/>
      <c r="H3096" s="18"/>
      <c r="I3096" s="18"/>
      <c r="J3096" s="18"/>
      <c r="K3096" s="18"/>
      <c r="L3096" s="18"/>
      <c r="M3096" s="18"/>
      <c r="N3096" s="18"/>
      <c r="O3096" s="18"/>
      <c r="P3096" s="19"/>
      <c r="Q3096" s="14"/>
      <c r="R3096" s="11"/>
    </row>
    <row r="3097" s="1" customFormat="1" ht="9.95" customHeight="1" spans="1:18">
      <c r="A3097" s="7"/>
      <c r="B3097" s="12"/>
      <c r="C3097" s="39"/>
      <c r="D3097" s="40"/>
      <c r="E3097" s="40"/>
      <c r="F3097" s="40"/>
      <c r="G3097" s="40"/>
      <c r="H3097" s="40"/>
      <c r="I3097" s="40"/>
      <c r="J3097" s="40"/>
      <c r="K3097" s="40"/>
      <c r="L3097" s="40"/>
      <c r="M3097" s="40"/>
      <c r="N3097" s="40"/>
      <c r="O3097" s="40"/>
      <c r="P3097" s="41"/>
      <c r="Q3097" s="14"/>
      <c r="R3097" s="11"/>
    </row>
    <row r="3098" s="1" customFormat="1" ht="9.95" customHeight="1" spans="1:18">
      <c r="A3098" s="7"/>
      <c r="B3098" s="12"/>
      <c r="C3098" s="29"/>
      <c r="D3098" s="29"/>
      <c r="E3098" s="29"/>
      <c r="F3098" s="29"/>
      <c r="G3098" s="29"/>
      <c r="H3098" s="29"/>
      <c r="I3098" s="29"/>
      <c r="J3098" s="29"/>
      <c r="K3098" s="29"/>
      <c r="L3098" s="29"/>
      <c r="M3098" s="29"/>
      <c r="N3098" s="29"/>
      <c r="O3098" s="29"/>
      <c r="P3098" s="29"/>
      <c r="Q3098" s="14"/>
      <c r="R3098" s="11"/>
    </row>
    <row r="3099" s="1" customFormat="1" ht="9.95" customHeight="1" spans="1:18">
      <c r="A3099" s="7"/>
      <c r="B3099" s="12"/>
      <c r="C3099" s="30"/>
      <c r="D3099" s="31"/>
      <c r="E3099" s="31"/>
      <c r="F3099" s="31"/>
      <c r="G3099" s="31"/>
      <c r="H3099" s="31"/>
      <c r="I3099" s="31"/>
      <c r="J3099" s="31"/>
      <c r="K3099" s="31"/>
      <c r="L3099" s="31"/>
      <c r="M3099" s="31"/>
      <c r="N3099" s="31"/>
      <c r="O3099" s="31"/>
      <c r="P3099" s="32"/>
      <c r="Q3099" s="14"/>
      <c r="R3099" s="11"/>
    </row>
    <row r="3100" s="1" customFormat="1" ht="21.95" customHeight="1" spans="1:18">
      <c r="A3100" s="7"/>
      <c r="B3100" s="12"/>
      <c r="C3100" s="33"/>
      <c r="D3100" s="35"/>
      <c r="E3100" s="24"/>
      <c r="F3100" s="24"/>
      <c r="G3100" s="47" t="s">
        <v>717</v>
      </c>
      <c r="H3100" s="47"/>
      <c r="I3100" s="47"/>
      <c r="J3100" s="47"/>
      <c r="K3100" s="47"/>
      <c r="L3100" s="47"/>
      <c r="M3100" s="47"/>
      <c r="N3100" s="47"/>
      <c r="O3100" s="29"/>
      <c r="P3100" s="19"/>
      <c r="Q3100" s="14"/>
      <c r="R3100" s="11"/>
    </row>
    <row r="3101" s="1" customFormat="1" ht="21.95" customHeight="1" spans="1:18">
      <c r="A3101" s="7"/>
      <c r="B3101" s="12"/>
      <c r="C3101" s="33"/>
      <c r="D3101" s="47"/>
      <c r="E3101" s="47"/>
      <c r="F3101" s="47"/>
      <c r="G3101" s="47" t="s">
        <v>541</v>
      </c>
      <c r="H3101" s="47" t="s">
        <v>542</v>
      </c>
      <c r="I3101" s="47" t="s">
        <v>543</v>
      </c>
      <c r="J3101" s="47" t="s">
        <v>544</v>
      </c>
      <c r="K3101" s="47" t="s">
        <v>561</v>
      </c>
      <c r="L3101" s="47" t="s">
        <v>382</v>
      </c>
      <c r="M3101" s="49" t="s">
        <v>546</v>
      </c>
      <c r="N3101" s="49"/>
      <c r="O3101" s="29"/>
      <c r="P3101" s="19"/>
      <c r="Q3101" s="14"/>
      <c r="R3101" s="11"/>
    </row>
    <row r="3102" s="1" customFormat="1" ht="21.95" customHeight="1" spans="1:18">
      <c r="A3102" s="7"/>
      <c r="B3102" s="12"/>
      <c r="C3102" s="33"/>
      <c r="D3102" s="207" t="s">
        <v>652</v>
      </c>
      <c r="E3102" s="207"/>
      <c r="F3102" s="207"/>
      <c r="G3102" s="50">
        <v>10</v>
      </c>
      <c r="H3102" s="50">
        <v>10</v>
      </c>
      <c r="I3102" s="50">
        <v>10</v>
      </c>
      <c r="J3102" s="50">
        <v>10</v>
      </c>
      <c r="K3102" s="50">
        <v>60</v>
      </c>
      <c r="L3102" s="50">
        <v>100</v>
      </c>
      <c r="M3102" s="49"/>
      <c r="N3102" s="49"/>
      <c r="O3102" s="29"/>
      <c r="P3102" s="19"/>
      <c r="Q3102" s="14"/>
      <c r="R3102" s="11"/>
    </row>
    <row r="3103" s="1" customFormat="1" ht="21.95" customHeight="1" spans="1:18">
      <c r="A3103" s="7"/>
      <c r="B3103" s="12"/>
      <c r="C3103" s="33"/>
      <c r="D3103" s="117" t="s">
        <v>668</v>
      </c>
      <c r="E3103" s="117"/>
      <c r="F3103" s="117"/>
      <c r="G3103" s="54" t="str">
        <f>IFERROR(VLOOKUP(F3086,'1to4-2.1-RR'!$A$12:$BG$111,9,0),"")</f>
        <v/>
      </c>
      <c r="H3103" s="54" t="str">
        <f>IFERROR(VLOOKUP(F3086,'1to4-2.1-RR'!$A$12:$BG$111,10,0),"")</f>
        <v/>
      </c>
      <c r="I3103" s="54" t="str">
        <f>IFERROR(VLOOKUP(F3086,'1to4-2.1-RR'!$A$12:$BG$111,11,0),"")</f>
        <v/>
      </c>
      <c r="J3103" s="54" t="str">
        <f>IFERROR(VLOOKUP(F3086,'1to4-2.1-RR'!$A$12:$BG$111,12,0),"")</f>
        <v/>
      </c>
      <c r="K3103" s="54" t="str">
        <f>IFERROR(VLOOKUP(F3086,'1to4-2.1-RR'!$A$12:$BG$111,13,0),"")</f>
        <v/>
      </c>
      <c r="L3103" s="55">
        <f>SUM(G3103:K3103)</f>
        <v>0</v>
      </c>
      <c r="M3103" s="56" t="str">
        <f>IF(F3086&gt;ENTRY!$D$24,"",IF(L3103=0,"Ab",IF(L3103&gt;80,"A",IF(L3103&gt;60,"B",IF(L3103&gt;44,"C",IF(L3103&gt;=33,"D",IF(L3103&lt;=32,"E","")))))))</f>
        <v/>
      </c>
      <c r="N3103" s="56"/>
      <c r="O3103" s="29"/>
      <c r="P3103" s="19"/>
      <c r="Q3103" s="14"/>
      <c r="R3103" s="11"/>
    </row>
    <row r="3104" s="1" customFormat="1" ht="21.95" customHeight="1" spans="1:18">
      <c r="A3104" s="7"/>
      <c r="B3104" s="12"/>
      <c r="C3104" s="33"/>
      <c r="D3104" s="117" t="s">
        <v>513</v>
      </c>
      <c r="E3104" s="117"/>
      <c r="F3104" s="117"/>
      <c r="G3104" s="54" t="str">
        <f>IFERROR(VLOOKUP(F3086,'1to4-2.1-RR'!$A$12:$BG$111,16,0),"")</f>
        <v/>
      </c>
      <c r="H3104" s="54" t="str">
        <f>IFERROR(VLOOKUP(F3086,'1to4-2.1-RR'!$A$12:$BG$111,17,0),"")</f>
        <v/>
      </c>
      <c r="I3104" s="54" t="str">
        <f>IFERROR(VLOOKUP(F3086,'1to4-2.1-RR'!$A$12:$BG$111,18,0),"")</f>
        <v/>
      </c>
      <c r="J3104" s="54" t="str">
        <f>IFERROR(VLOOKUP(F3086,'1to4-2.1-RR'!$A$12:$BG$111,19,0),"")</f>
        <v/>
      </c>
      <c r="K3104" s="54" t="str">
        <f>IFERROR(VLOOKUP(F3086,'1to4-2.1-RR'!$A$12:$BG$111,20,0),"")</f>
        <v/>
      </c>
      <c r="L3104" s="55">
        <f t="shared" ref="L3104:L3109" si="110">SUM(G3104:K3104)</f>
        <v>0</v>
      </c>
      <c r="M3104" s="56" t="str">
        <f>IF(F3086&gt;ENTRY!$D$24,"",IF(L3104=0,"Ab",IF(L3104&gt;80,"A",IF(L3104&gt;60,"B",IF(L3104&gt;44,"C",IF(L3104&gt;=33,"D",IF(L3104&lt;=32,"E","")))))))</f>
        <v/>
      </c>
      <c r="N3104" s="56"/>
      <c r="O3104" s="29"/>
      <c r="P3104" s="19"/>
      <c r="Q3104" s="14"/>
      <c r="R3104" s="11"/>
    </row>
    <row r="3105" s="1" customFormat="1" ht="21.95" customHeight="1" spans="1:19">
      <c r="A3105" s="7"/>
      <c r="B3105" s="12"/>
      <c r="C3105" s="33"/>
      <c r="D3105" s="117" t="s">
        <v>718</v>
      </c>
      <c r="E3105" s="117"/>
      <c r="F3105" s="117"/>
      <c r="G3105" s="54" t="str">
        <f>IFERROR(VLOOKUP(F3086,'1to4-2.1-RR'!$A$12:$BG$111,23,0),"")</f>
        <v/>
      </c>
      <c r="H3105" s="54" t="str">
        <f>IFERROR(VLOOKUP(F3086,'1to4-2.1-RR'!$A$12:$BG$111,24,0),"")</f>
        <v/>
      </c>
      <c r="I3105" s="54" t="str">
        <f>IFERROR(VLOOKUP(F3086,'1to4-2.1-RR'!$A$12:$BG$111,25,0),"")</f>
        <v/>
      </c>
      <c r="J3105" s="54" t="str">
        <f>IFERROR(VLOOKUP(F3086,'1to4-2.1-RR'!$A$12:$BG$111,26,0),"")</f>
        <v/>
      </c>
      <c r="K3105" s="54" t="str">
        <f>IFERROR(VLOOKUP(F3086,'1to4-2.1-RR'!$A$12:$BG$111,27,0),"")</f>
        <v/>
      </c>
      <c r="L3105" s="55">
        <f t="shared" si="110"/>
        <v>0</v>
      </c>
      <c r="M3105" s="56" t="str">
        <f>IF(F3086&gt;ENTRY!$D$24,"",IF(L3105=0,"Ab",IF(L3105&gt;80,"A",IF(L3105&gt;60,"B",IF(L3105&gt;44,"C",IF(L3105&gt;=33,"D",IF(L3105&lt;=32,"E","")))))))</f>
        <v/>
      </c>
      <c r="N3105" s="56"/>
      <c r="O3105" s="29"/>
      <c r="P3105" s="19"/>
      <c r="Q3105" s="14"/>
      <c r="R3105" s="11"/>
    </row>
    <row r="3106" s="1" customFormat="1" ht="21.95" customHeight="1" spans="1:19">
      <c r="A3106" s="7"/>
      <c r="B3106" s="12"/>
      <c r="C3106" s="33"/>
      <c r="D3106" s="117" t="s">
        <v>719</v>
      </c>
      <c r="E3106" s="117"/>
      <c r="F3106" s="117"/>
      <c r="G3106" s="54" t="str">
        <f>IFERROR(VLOOKUP(F3086,'1to4-2.1-RR'!$A$12:$BG$111,30,0),"")</f>
        <v/>
      </c>
      <c r="H3106" s="54" t="str">
        <f>IFERROR(VLOOKUP(F3086,'1to4-2.1-RR'!$A$12:$BG$111,31,0),"")</f>
        <v/>
      </c>
      <c r="I3106" s="54" t="str">
        <f>IFERROR(VLOOKUP(F3086,'1to4-2.1-RR'!$A$12:$BG$111,32,0),"")</f>
        <v/>
      </c>
      <c r="J3106" s="54" t="str">
        <f>IFERROR(VLOOKUP(F3086,'1to4-2.1-RR'!$A$12:$BG$111,33,0),"")</f>
        <v/>
      </c>
      <c r="K3106" s="54" t="str">
        <f>IFERROR(VLOOKUP(F3086,'1to4-2.1-RR'!$A$12:$BG$111,34,0),"")</f>
        <v/>
      </c>
      <c r="L3106" s="55">
        <f t="shared" si="110"/>
        <v>0</v>
      </c>
      <c r="M3106" s="56" t="str">
        <f>IF(F3086&gt;ENTRY!$D$24,"",IF(L3106=0,"Ab",IF(L3106&gt;80,"A",IF(L3106&gt;60,"B",IF(L3106&gt;44,"C",IF(L3106&gt;=33,"D",IF(L3106&lt;=32,"E","")))))))</f>
        <v/>
      </c>
      <c r="N3106" s="56"/>
      <c r="O3106" s="29"/>
      <c r="P3106" s="19"/>
      <c r="Q3106" s="14"/>
      <c r="R3106" s="11"/>
    </row>
    <row r="3107" s="1" customFormat="1" ht="21.95" customHeight="1" spans="1:19">
      <c r="A3107" s="7"/>
      <c r="B3107" s="12"/>
      <c r="C3107" s="33"/>
      <c r="D3107" s="117" t="s">
        <v>548</v>
      </c>
      <c r="E3107" s="117"/>
      <c r="F3107" s="117"/>
      <c r="G3107" s="54" t="str">
        <f>IFERROR(VLOOKUP(F3086,'1to4-2.1-RR'!$A$12:$BG$111,37,0),"")</f>
        <v/>
      </c>
      <c r="H3107" s="54" t="str">
        <f>IFERROR(VLOOKUP(F3086,'1to4-2.1-RR'!$A$12:$BG$111,38,0),"")</f>
        <v/>
      </c>
      <c r="I3107" s="54" t="str">
        <f>IFERROR(VLOOKUP(F3086,'1to4-2.1-RR'!$A$12:$BG$111,39,0),"")</f>
        <v/>
      </c>
      <c r="J3107" s="54" t="str">
        <f>IFERROR(VLOOKUP(F3086,'1to4-2.1-RR'!$A$12:$BG$111,40,0),"")</f>
        <v/>
      </c>
      <c r="K3107" s="54" t="str">
        <f>IFERROR(VLOOKUP(F3086,'1to4-2.1-RR'!$A$12:$BG$111,41,0),"")</f>
        <v/>
      </c>
      <c r="L3107" s="55">
        <f t="shared" si="110"/>
        <v>0</v>
      </c>
      <c r="M3107" s="56" t="str">
        <f>IF(F3086&gt;ENTRY!$D$24,"",IF(L3107=0,"Ab",IF(L3107&gt;80,"A",IF(L3107&gt;60,"B",IF(L3107&gt;44,"C",IF(L3107&gt;=33,"D",IF(L3107&lt;=32,"E","")))))))</f>
        <v/>
      </c>
      <c r="N3107" s="56"/>
      <c r="O3107" s="29"/>
      <c r="P3107" s="19"/>
      <c r="Q3107" s="14"/>
      <c r="R3107" s="11"/>
    </row>
    <row r="3108" s="1" customFormat="1" ht="21.95" customHeight="1" spans="1:19">
      <c r="A3108" s="7"/>
      <c r="B3108" s="12"/>
      <c r="C3108" s="33"/>
      <c r="D3108" s="117" t="s">
        <v>549</v>
      </c>
      <c r="E3108" s="117"/>
      <c r="F3108" s="117"/>
      <c r="G3108" s="54" t="str">
        <f>IFERROR(VLOOKUP(F3086,'1to4-2.1-RR'!$A$12:$BG$111,44,0),"")</f>
        <v/>
      </c>
      <c r="H3108" s="54" t="str">
        <f>IFERROR(VLOOKUP(F3086,'1to4-2.1-RR'!$A$12:$BG$111,45,0),"")</f>
        <v/>
      </c>
      <c r="I3108" s="54" t="str">
        <f>IFERROR(VLOOKUP(F3086,'1to4-2.1-RR'!$A$12:$BG$111,46,0),"")</f>
        <v/>
      </c>
      <c r="J3108" s="54" t="str">
        <f>IFERROR(VLOOKUP(F3086,'1to4-2.1-RR'!$A$12:$BG$111,47,0),"")</f>
        <v/>
      </c>
      <c r="K3108" s="54" t="str">
        <f>IFERROR(VLOOKUP(F3086,'1to4-2.1-RR'!$A$12:$BG$111,48,0),"")</f>
        <v/>
      </c>
      <c r="L3108" s="55">
        <f t="shared" si="110"/>
        <v>0</v>
      </c>
      <c r="M3108" s="56" t="str">
        <f>IF(F3086&gt;ENTRY!$D$24,"",IF(L3108=0,"Ab",IF(L3108&gt;80,"A",IF(L3108&gt;60,"B",IF(L3108&gt;44,"C",IF(L3108&gt;=33,"D",IF(L3108&lt;=32,"E","")))))))</f>
        <v/>
      </c>
      <c r="N3108" s="56"/>
      <c r="O3108" s="29"/>
      <c r="P3108" s="19"/>
      <c r="Q3108" s="14"/>
      <c r="R3108" s="11"/>
    </row>
    <row r="3109" s="1" customFormat="1" ht="21.95" customHeight="1" spans="1:19">
      <c r="A3109" s="7"/>
      <c r="B3109" s="12"/>
      <c r="C3109" s="33"/>
      <c r="D3109" s="117" t="s">
        <v>720</v>
      </c>
      <c r="E3109" s="117"/>
      <c r="F3109" s="117"/>
      <c r="G3109" s="54"/>
      <c r="H3109" s="54"/>
      <c r="I3109" s="54"/>
      <c r="J3109" s="54"/>
      <c r="K3109" s="54"/>
      <c r="L3109" s="55">
        <f t="shared" si="110"/>
        <v>0</v>
      </c>
      <c r="M3109" s="56" t="str">
        <f>IF(F3086&gt;ENTRY!$D$24,"",IF(L3109=0,"",IF(L3109&gt;79,"A",IF(L3109&gt;59,"B",IF(L3109&gt;44,"C",IF(L3109&gt;=33,"D",IF(L3109&lt;=32,"E","")))))))</f>
        <v/>
      </c>
      <c r="N3109" s="56"/>
      <c r="O3109" s="29"/>
      <c r="P3109" s="19"/>
      <c r="Q3109" s="14"/>
      <c r="R3109" s="11"/>
    </row>
    <row r="3110" s="1" customFormat="1" ht="21.95" customHeight="1" spans="1:19">
      <c r="A3110" s="7"/>
      <c r="B3110" s="12"/>
      <c r="C3110" s="33"/>
      <c r="D3110" s="207" t="s">
        <v>382</v>
      </c>
      <c r="E3110" s="207"/>
      <c r="F3110" s="207"/>
      <c r="G3110" s="54">
        <f t="shared" ref="G3110:L3110" si="111">IFERROR(SUM(G3103:G3109),"")</f>
        <v>0</v>
      </c>
      <c r="H3110" s="54">
        <f t="shared" si="111"/>
        <v>0</v>
      </c>
      <c r="I3110" s="54">
        <f t="shared" si="111"/>
        <v>0</v>
      </c>
      <c r="J3110" s="54">
        <f t="shared" si="111"/>
        <v>0</v>
      </c>
      <c r="K3110" s="54">
        <f t="shared" si="111"/>
        <v>0</v>
      </c>
      <c r="L3110" s="55">
        <f t="shared" si="111"/>
        <v>0</v>
      </c>
      <c r="M3110" s="61" t="str">
        <f>IF(F3086&gt;ENTRY!$D$24,"",IF(N3111="Ab","Ab",IF(N3111&gt;79.5,"A",IF(N3111&gt;59.5,"B",IF(N3111&gt;44.5,"C",IF(N3111&gt;=33,"D",IF(N3111&lt;33,"E","")))))))</f>
        <v/>
      </c>
      <c r="N3110" s="61"/>
      <c r="O3110" s="29"/>
      <c r="P3110" s="19"/>
      <c r="Q3110" s="14"/>
      <c r="R3110" s="11"/>
    </row>
    <row r="3111" s="1" customFormat="1" ht="21.95" customHeight="1" spans="1:19">
      <c r="A3111" s="7"/>
      <c r="B3111" s="12"/>
      <c r="C3111" s="33"/>
      <c r="D3111" s="63" t="s">
        <v>721</v>
      </c>
      <c r="E3111" s="63"/>
      <c r="F3111" s="63"/>
      <c r="G3111" s="63"/>
      <c r="H3111" s="63"/>
      <c r="I3111" s="63"/>
      <c r="J3111" s="63"/>
      <c r="K3111" s="63"/>
      <c r="L3111" s="63"/>
      <c r="M3111" s="209"/>
      <c r="N3111" s="64">
        <f>IF(L3110="Ab","Ab",L3110/6)</f>
        <v>0</v>
      </c>
      <c r="O3111" s="65"/>
      <c r="P3111" s="19"/>
      <c r="Q3111" s="14"/>
      <c r="R3111" s="11"/>
    </row>
    <row r="3112" s="1" customFormat="1" ht="21.95" customHeight="1" spans="1:19">
      <c r="A3112" s="7"/>
      <c r="B3112" s="12"/>
      <c r="C3112" s="33"/>
      <c r="D3112" s="29" t="s">
        <v>716</v>
      </c>
      <c r="E3112" s="18" t="str">
        <f>IFERROR(VLOOKUP(F3086,'1to4-2.1-RR'!$A$12:$BG$111,57,0),"")</f>
        <v/>
      </c>
      <c r="F3112" s="18"/>
      <c r="G3112" s="18"/>
      <c r="H3112" s="18"/>
      <c r="I3112" s="18"/>
      <c r="J3112" s="18"/>
      <c r="K3112" s="18"/>
      <c r="L3112" s="18"/>
      <c r="M3112" s="18"/>
      <c r="N3112" s="29"/>
      <c r="O3112" s="29"/>
      <c r="P3112" s="19"/>
      <c r="Q3112" s="14"/>
      <c r="R3112" s="11"/>
    </row>
    <row r="3113" s="1" customFormat="1" ht="9.95" customHeight="1" spans="1:19">
      <c r="A3113" s="7"/>
      <c r="B3113" s="12"/>
      <c r="C3113" s="39"/>
      <c r="D3113" s="40"/>
      <c r="E3113" s="40"/>
      <c r="F3113" s="40"/>
      <c r="G3113" s="40"/>
      <c r="H3113" s="40"/>
      <c r="I3113" s="40"/>
      <c r="J3113" s="40"/>
      <c r="K3113" s="40"/>
      <c r="L3113" s="40"/>
      <c r="M3113" s="40"/>
      <c r="N3113" s="40"/>
      <c r="O3113" s="40"/>
      <c r="P3113" s="41"/>
      <c r="Q3113" s="14"/>
      <c r="R3113" s="11"/>
    </row>
    <row r="3114" s="1" customFormat="1" ht="9.95" customHeight="1" spans="1:19">
      <c r="A3114" s="7"/>
      <c r="B3114" s="12"/>
      <c r="C3114" s="30"/>
      <c r="D3114" s="31"/>
      <c r="E3114" s="31"/>
      <c r="F3114" s="29"/>
      <c r="G3114" s="31"/>
      <c r="H3114" s="31"/>
      <c r="I3114" s="31"/>
      <c r="J3114" s="31"/>
      <c r="K3114" s="31"/>
      <c r="L3114" s="31"/>
      <c r="M3114" s="31"/>
      <c r="N3114" s="31"/>
      <c r="O3114" s="31"/>
      <c r="P3114" s="32"/>
      <c r="Q3114" s="14"/>
      <c r="R3114" s="11"/>
    </row>
    <row r="3115" s="1" customFormat="1" ht="9.95" customHeight="1" spans="1:19">
      <c r="A3115" s="7"/>
      <c r="B3115" s="12"/>
      <c r="C3115" s="33"/>
      <c r="D3115" s="29"/>
      <c r="E3115" s="29"/>
      <c r="F3115" s="29"/>
      <c r="G3115" s="29"/>
      <c r="H3115" s="29"/>
      <c r="I3115" s="29"/>
      <c r="J3115" s="29"/>
      <c r="K3115" s="29"/>
      <c r="L3115" s="29"/>
      <c r="M3115" s="29"/>
      <c r="N3115" s="29"/>
      <c r="O3115" s="29"/>
      <c r="P3115" s="19"/>
      <c r="Q3115" s="14"/>
      <c r="R3115" s="11"/>
    </row>
    <row r="3116" s="1" customFormat="1" ht="9.95" customHeight="1" spans="1:19">
      <c r="A3116" s="7"/>
      <c r="B3116" s="12"/>
      <c r="C3116" s="33"/>
      <c r="D3116" s="29"/>
      <c r="E3116" s="29"/>
      <c r="F3116" s="29"/>
      <c r="G3116" s="29"/>
      <c r="H3116" s="29"/>
      <c r="I3116" s="29"/>
      <c r="J3116" s="29"/>
      <c r="K3116" s="29"/>
      <c r="L3116" s="29"/>
      <c r="M3116" s="29"/>
      <c r="N3116" s="29"/>
      <c r="O3116" s="29"/>
      <c r="P3116" s="19"/>
      <c r="Q3116" s="14"/>
      <c r="R3116" s="11"/>
    </row>
    <row r="3117" s="1" customFormat="1" ht="21.95" customHeight="1" spans="1:19">
      <c r="A3117" s="7"/>
      <c r="B3117" s="12"/>
      <c r="C3117" s="210"/>
      <c r="D3117" s="211"/>
      <c r="E3117" s="211"/>
      <c r="F3117" s="211"/>
      <c r="G3117" s="211"/>
      <c r="H3117" s="211"/>
      <c r="I3117" s="211"/>
      <c r="J3117" s="211"/>
      <c r="K3117" s="211"/>
      <c r="L3117" s="211"/>
      <c r="M3117" s="211"/>
      <c r="N3117" s="211"/>
      <c r="O3117" s="211"/>
      <c r="P3117" s="212"/>
      <c r="Q3117" s="14"/>
      <c r="R3117" s="11"/>
      <c r="S3117" s="2"/>
    </row>
    <row r="3118" s="1" customFormat="1" ht="21.95" customHeight="1" spans="1:19">
      <c r="A3118" s="7"/>
      <c r="B3118" s="12"/>
      <c r="C3118" s="33"/>
      <c r="D3118" s="207" t="s">
        <v>722</v>
      </c>
      <c r="E3118" s="207"/>
      <c r="F3118" s="207"/>
      <c r="G3118" s="207"/>
      <c r="H3118" s="54">
        <f>IFERROR(VLOOKUP(F3086,PASHEET!$A$4:$CJ$103,88,0),"")</f>
        <v>0</v>
      </c>
      <c r="I3118" s="54"/>
      <c r="J3118" s="29"/>
      <c r="K3118" s="29"/>
      <c r="L3118" s="29"/>
      <c r="M3118" s="29"/>
      <c r="N3118" s="29"/>
      <c r="O3118" s="29"/>
      <c r="P3118" s="19"/>
      <c r="Q3118" s="14"/>
      <c r="R3118" s="11"/>
    </row>
    <row r="3119" s="1" customFormat="1" ht="21.95" customHeight="1" spans="1:19">
      <c r="A3119" s="7"/>
      <c r="B3119" s="12"/>
      <c r="C3119" s="213"/>
      <c r="D3119" s="207" t="s">
        <v>723</v>
      </c>
      <c r="E3119" s="207"/>
      <c r="F3119" s="207"/>
      <c r="G3119" s="207"/>
      <c r="H3119" s="54">
        <f>IFERROR(VLOOKUP(F3086,PASHEET!$A$4:$CJ$103,87,0),"")</f>
        <v>0</v>
      </c>
      <c r="I3119" s="54"/>
      <c r="J3119" s="214"/>
      <c r="K3119" s="214"/>
      <c r="L3119" s="207" t="s">
        <v>724</v>
      </c>
      <c r="M3119" s="207"/>
      <c r="N3119" s="117" t="str">
        <f>IF(F3086&gt;ENTRY!$D$24,"",IF(F3086&gt;0,L3110&amp;" / "&amp;600,""))</f>
        <v/>
      </c>
      <c r="O3119" s="117"/>
      <c r="P3119" s="215"/>
      <c r="Q3119" s="14"/>
      <c r="R3119" s="11"/>
    </row>
    <row r="3120" s="1" customFormat="1" ht="18" customHeight="1" spans="1:19">
      <c r="A3120" s="7"/>
      <c r="B3120" s="12"/>
      <c r="C3120" s="33"/>
      <c r="D3120" s="207" t="s">
        <v>725</v>
      </c>
      <c r="E3120" s="207"/>
      <c r="F3120" s="207"/>
      <c r="G3120" s="207"/>
      <c r="H3120" s="69" t="str">
        <f>IFERROR(IF(F3086&gt;0,H3119/H3118*100),"")</f>
        <v/>
      </c>
      <c r="I3120" s="69"/>
      <c r="J3120" s="29"/>
      <c r="K3120" s="29"/>
      <c r="L3120" s="207" t="s">
        <v>726</v>
      </c>
      <c r="M3120" s="207"/>
      <c r="N3120" s="216" t="str">
        <f>IF(F3086&gt;ENTRY!$D$24,"",IF(F3086&gt;0,L3110/600*100,""))</f>
        <v/>
      </c>
      <c r="O3120" s="216"/>
      <c r="P3120" s="19"/>
      <c r="Q3120" s="14"/>
      <c r="R3120" s="11"/>
    </row>
    <row r="3121" s="1" customFormat="1" ht="21.95" customHeight="1" spans="1:18">
      <c r="A3121" s="7"/>
      <c r="B3121" s="12"/>
      <c r="C3121" s="33"/>
      <c r="D3121" s="80"/>
      <c r="E3121" s="80"/>
      <c r="F3121" s="217"/>
      <c r="G3121" s="217"/>
      <c r="H3121" s="217"/>
      <c r="I3121" s="217"/>
      <c r="J3121" s="217"/>
      <c r="K3121" s="217"/>
      <c r="L3121" s="217"/>
      <c r="M3121" s="217"/>
      <c r="N3121" s="80"/>
      <c r="O3121" s="80"/>
      <c r="P3121" s="19"/>
      <c r="Q3121" s="14"/>
      <c r="R3121" s="11"/>
    </row>
    <row r="3122" s="1" customFormat="1" ht="21.95" customHeight="1" spans="1:18">
      <c r="A3122" s="7"/>
      <c r="B3122" s="12"/>
      <c r="C3122" s="33"/>
      <c r="D3122" s="80"/>
      <c r="E3122" s="218"/>
      <c r="F3122" s="218"/>
      <c r="G3122" s="218"/>
      <c r="H3122" s="80"/>
      <c r="I3122" s="218"/>
      <c r="J3122" s="218"/>
      <c r="K3122" s="218"/>
      <c r="L3122" s="218"/>
      <c r="M3122" s="80"/>
      <c r="N3122" s="219"/>
      <c r="O3122" s="219"/>
      <c r="P3122" s="19"/>
      <c r="Q3122" s="14"/>
      <c r="R3122" s="11"/>
    </row>
    <row r="3123" s="1" customFormat="1" ht="21.95" customHeight="1" spans="1:18">
      <c r="A3123" s="7"/>
      <c r="B3123" s="12"/>
      <c r="C3123" s="33"/>
      <c r="D3123" s="80"/>
      <c r="E3123" s="80"/>
      <c r="F3123" s="80"/>
      <c r="G3123" s="80"/>
      <c r="H3123" s="80"/>
      <c r="I3123" s="80"/>
      <c r="J3123" s="80"/>
      <c r="K3123" s="80"/>
      <c r="L3123" s="80"/>
      <c r="M3123" s="80"/>
      <c r="N3123" s="80"/>
      <c r="O3123" s="80"/>
      <c r="P3123" s="19"/>
      <c r="Q3123" s="14"/>
      <c r="R3123" s="11"/>
    </row>
    <row r="3124" s="1" customFormat="1" ht="21.95" customHeight="1" spans="1:18">
      <c r="A3124" s="7"/>
      <c r="B3124" s="12"/>
      <c r="C3124" s="33"/>
      <c r="D3124" s="218"/>
      <c r="E3124" s="218"/>
      <c r="F3124" s="218"/>
      <c r="G3124" s="218"/>
      <c r="H3124" s="218"/>
      <c r="I3124" s="218"/>
      <c r="J3124" s="218"/>
      <c r="K3124" s="218"/>
      <c r="L3124" s="218"/>
      <c r="M3124" s="80"/>
      <c r="N3124" s="217"/>
      <c r="O3124" s="217"/>
      <c r="P3124" s="85" t="s">
        <v>727</v>
      </c>
      <c r="Q3124" s="14"/>
      <c r="R3124" s="11"/>
    </row>
    <row r="3125" s="1" customFormat="1" ht="21.95" customHeight="1" spans="1:18">
      <c r="A3125" s="7"/>
      <c r="B3125" s="12"/>
      <c r="C3125" s="33"/>
      <c r="D3125" s="29"/>
      <c r="E3125" s="29"/>
      <c r="F3125" s="29"/>
      <c r="G3125" s="29"/>
      <c r="H3125" s="29"/>
      <c r="I3125" s="29"/>
      <c r="J3125" s="29"/>
      <c r="K3125" s="29"/>
      <c r="L3125" s="29"/>
      <c r="M3125" s="29"/>
      <c r="N3125" s="29"/>
      <c r="O3125" s="29"/>
      <c r="P3125" s="19"/>
      <c r="Q3125" s="14"/>
      <c r="R3125" s="11"/>
    </row>
    <row r="3126" s="1" customFormat="1" ht="21.95" customHeight="1" spans="1:18">
      <c r="A3126" s="7"/>
      <c r="B3126" s="12"/>
      <c r="C3126" s="33"/>
      <c r="D3126" s="29"/>
      <c r="E3126" s="29"/>
      <c r="F3126" s="29"/>
      <c r="G3126" s="29"/>
      <c r="H3126" s="29"/>
      <c r="I3126" s="29"/>
      <c r="J3126" s="29"/>
      <c r="K3126" s="29"/>
      <c r="L3126" s="29"/>
      <c r="M3126" s="29"/>
      <c r="N3126" s="29"/>
      <c r="O3126" s="29"/>
      <c r="P3126" s="19"/>
      <c r="Q3126" s="14"/>
      <c r="R3126" s="11"/>
    </row>
    <row r="3127" s="1" customFormat="1" ht="21.95" customHeight="1" spans="1:18">
      <c r="A3127" s="7"/>
      <c r="B3127" s="12"/>
      <c r="C3127" s="33"/>
      <c r="D3127" s="29"/>
      <c r="E3127" s="29"/>
      <c r="F3127" s="29"/>
      <c r="G3127" s="29"/>
      <c r="H3127" s="29"/>
      <c r="I3127" s="29"/>
      <c r="J3127" s="29"/>
      <c r="K3127" s="29"/>
      <c r="L3127" s="29"/>
      <c r="M3127" s="29"/>
      <c r="N3127" s="29"/>
      <c r="O3127" s="29"/>
      <c r="P3127" s="19"/>
      <c r="Q3127" s="14"/>
      <c r="R3127" s="11"/>
    </row>
    <row r="3128" s="1" customFormat="1" ht="21.95" customHeight="1" spans="1:18">
      <c r="A3128" s="7"/>
      <c r="B3128" s="12"/>
      <c r="C3128" s="33"/>
      <c r="D3128" s="29"/>
      <c r="E3128" s="29"/>
      <c r="F3128" s="29"/>
      <c r="G3128" s="29"/>
      <c r="H3128" s="29"/>
      <c r="I3128" s="29"/>
      <c r="J3128" s="29"/>
      <c r="K3128" s="29"/>
      <c r="L3128" s="29"/>
      <c r="M3128" s="29"/>
      <c r="N3128" s="29"/>
      <c r="O3128" s="29"/>
      <c r="P3128" s="19"/>
      <c r="Q3128" s="14"/>
      <c r="R3128" s="11"/>
    </row>
    <row r="3129" s="1" customFormat="1" ht="21.95" customHeight="1" spans="1:18">
      <c r="A3129" s="7"/>
      <c r="B3129" s="12"/>
      <c r="C3129" s="33"/>
      <c r="D3129" s="29"/>
      <c r="E3129" s="29"/>
      <c r="F3129" s="29"/>
      <c r="G3129" s="29"/>
      <c r="H3129" s="29"/>
      <c r="I3129" s="29"/>
      <c r="J3129" s="29"/>
      <c r="K3129" s="29"/>
      <c r="L3129" s="29"/>
      <c r="M3129" s="29"/>
      <c r="N3129" s="29"/>
      <c r="O3129" s="29"/>
      <c r="P3129" s="19"/>
      <c r="Q3129" s="14"/>
      <c r="R3129" s="11"/>
    </row>
    <row r="3130" s="1" customFormat="1" ht="21.95" customHeight="1" spans="1:18">
      <c r="A3130" s="7"/>
      <c r="B3130" s="12"/>
      <c r="C3130" s="33"/>
      <c r="D3130" s="80" t="s">
        <v>728</v>
      </c>
      <c r="E3130" s="220">
        <f>ENTRY!$D$27</f>
        <v>46102</v>
      </c>
      <c r="F3130" s="220"/>
      <c r="G3130" s="29"/>
      <c r="H3130" s="29"/>
      <c r="I3130" s="221" t="s">
        <v>729</v>
      </c>
      <c r="J3130" s="153"/>
      <c r="K3130" s="29"/>
      <c r="L3130" s="29"/>
      <c r="M3130" s="87" t="s">
        <v>730</v>
      </c>
      <c r="N3130" s="87"/>
      <c r="O3130" s="87"/>
      <c r="P3130" s="19"/>
      <c r="Q3130" s="14"/>
      <c r="R3130" s="11"/>
    </row>
    <row r="3131" s="1" customFormat="1" ht="21.95" customHeight="1" spans="1:18">
      <c r="A3131" s="7"/>
      <c r="B3131" s="12"/>
      <c r="C3131" s="33"/>
      <c r="D3131" s="80" t="s">
        <v>731</v>
      </c>
      <c r="E3131" s="88" t="str">
        <f>PROPER(ENTRY!$D$28)</f>
        <v>New Delhi</v>
      </c>
      <c r="F3131" s="88"/>
      <c r="G3131" s="29"/>
      <c r="H3131" s="29"/>
      <c r="I3131" s="153"/>
      <c r="J3131" s="153"/>
      <c r="K3131" s="29"/>
      <c r="L3131" s="29"/>
      <c r="M3131" s="79" t="s">
        <v>732</v>
      </c>
      <c r="N3131" s="79"/>
      <c r="O3131" s="79"/>
      <c r="P3131" s="19"/>
      <c r="Q3131" s="14"/>
      <c r="R3131" s="11"/>
    </row>
    <row r="3132" s="1" customFormat="1" ht="21.95" customHeight="1" spans="1:18">
      <c r="A3132" s="7"/>
      <c r="B3132" s="12"/>
      <c r="C3132" s="90"/>
      <c r="D3132" s="91"/>
      <c r="E3132" s="91"/>
      <c r="F3132" s="91"/>
      <c r="G3132" s="91"/>
      <c r="H3132" s="91"/>
      <c r="I3132" s="91"/>
      <c r="J3132" s="91"/>
      <c r="K3132" s="91"/>
      <c r="L3132" s="91"/>
      <c r="M3132" s="91"/>
      <c r="N3132" s="91"/>
      <c r="O3132" s="91"/>
      <c r="P3132" s="92"/>
      <c r="Q3132" s="14"/>
      <c r="R3132" s="11"/>
    </row>
    <row r="3133" s="1" customFormat="1" ht="5.1" customHeight="1" spans="1:18">
      <c r="A3133" s="7"/>
      <c r="B3133" s="90"/>
      <c r="C3133" s="91"/>
      <c r="D3133" s="91"/>
      <c r="E3133" s="91"/>
      <c r="F3133" s="91"/>
      <c r="G3133" s="91"/>
      <c r="H3133" s="91"/>
      <c r="I3133" s="91"/>
      <c r="J3133" s="91"/>
      <c r="K3133" s="91"/>
      <c r="L3133" s="91"/>
      <c r="M3133" s="91"/>
      <c r="N3133" s="91"/>
      <c r="O3133" s="91"/>
      <c r="P3133" s="91"/>
      <c r="Q3133" s="92"/>
      <c r="R3133" s="11"/>
    </row>
    <row r="3134" s="1" customFormat="1" ht="5.1" customHeight="1" spans="1:18">
      <c r="A3134" s="93"/>
      <c r="B3134" s="94"/>
      <c r="C3134" s="94"/>
      <c r="D3134" s="94"/>
      <c r="E3134" s="94"/>
      <c r="F3134" s="94"/>
      <c r="G3134" s="94"/>
      <c r="H3134" s="94"/>
      <c r="I3134" s="94"/>
      <c r="J3134" s="94"/>
      <c r="K3134" s="94"/>
      <c r="L3134" s="94"/>
      <c r="M3134" s="94"/>
      <c r="N3134" s="94"/>
      <c r="O3134" s="94"/>
      <c r="P3134" s="94"/>
      <c r="Q3134" s="94"/>
      <c r="R3134" s="95"/>
    </row>
    <row r="3135" s="1" customFormat="1" ht="21.95" customHeight="1"/>
    <row r="3136" ht="15.15"/>
    <row r="3137" s="1" customFormat="1" ht="5.1" customHeight="1" spans="1:18">
      <c r="A3137" s="4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  <c r="O3137" s="5"/>
      <c r="P3137" s="5"/>
      <c r="Q3137" s="5"/>
      <c r="R3137" s="6"/>
    </row>
    <row r="3138" s="1" customFormat="1" ht="15" customHeight="1" spans="1:18">
      <c r="A3138" s="7"/>
      <c r="B3138" s="8"/>
      <c r="C3138" s="9"/>
      <c r="D3138" s="9"/>
      <c r="E3138" s="9"/>
      <c r="F3138" s="9"/>
      <c r="G3138" s="9"/>
      <c r="H3138" s="9"/>
      <c r="I3138" s="9"/>
      <c r="J3138" s="9"/>
      <c r="K3138" s="9"/>
      <c r="L3138" s="9"/>
      <c r="M3138" s="9"/>
      <c r="N3138" s="9"/>
      <c r="O3138" s="9"/>
      <c r="P3138" s="9"/>
      <c r="Q3138" s="10"/>
      <c r="R3138" s="11"/>
    </row>
    <row r="3139" s="1" customFormat="1" ht="21.95" customHeight="1" spans="1:18">
      <c r="A3139" s="7"/>
      <c r="B3139" s="12"/>
      <c r="C3139" s="13" t="s">
        <v>7</v>
      </c>
      <c r="D3139" s="13"/>
      <c r="E3139" s="13"/>
      <c r="F3139" s="13"/>
      <c r="G3139" s="13"/>
      <c r="H3139" s="13"/>
      <c r="I3139" s="13"/>
      <c r="J3139" s="13"/>
      <c r="K3139" s="13"/>
      <c r="L3139" s="13"/>
      <c r="M3139" s="13"/>
      <c r="N3139" s="13"/>
      <c r="O3139" s="13"/>
      <c r="P3139" s="13"/>
      <c r="Q3139" s="14"/>
      <c r="R3139" s="11"/>
    </row>
    <row r="3140" s="1" customFormat="1" ht="21.95" customHeight="1" spans="1:18">
      <c r="A3140" s="7"/>
      <c r="B3140" s="1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14"/>
      <c r="R3140" s="11"/>
    </row>
    <row r="3141" s="1" customFormat="1" ht="21.95" customHeight="1" spans="1:18">
      <c r="A3141" s="7"/>
      <c r="B3141" s="12"/>
      <c r="C3141" s="15" t="str">
        <f>"SESSION-"&amp;ENTRY!$D$11</f>
        <v>SESSION-2026-27</v>
      </c>
      <c r="D3141" s="15"/>
      <c r="E3141" s="15"/>
      <c r="F3141" s="15"/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4"/>
      <c r="R3141" s="11"/>
    </row>
    <row r="3142" s="1" customFormat="1" ht="21.95" customHeight="1" spans="1:18">
      <c r="A3142" s="7"/>
      <c r="B3142" s="12"/>
      <c r="C3142" s="2"/>
      <c r="D3142" s="2"/>
      <c r="E3142" s="2"/>
      <c r="F3142" s="16">
        <f>F3086+1</f>
        <v>57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14"/>
      <c r="R3142" s="11"/>
    </row>
    <row r="3143" s="1" customFormat="1" ht="21.95" customHeight="1" spans="1:18">
      <c r="A3143" s="7"/>
      <c r="B3143" s="12"/>
      <c r="C3143" s="17" t="s">
        <v>392</v>
      </c>
      <c r="D3143" s="17"/>
      <c r="E3143" s="17"/>
      <c r="F3143" s="18" t="str">
        <f>IF(F3142&gt;0,ENTRY!$D$6,"")</f>
        <v>MCP NITHARI NO 1 BOYS</v>
      </c>
      <c r="G3143" s="18"/>
      <c r="H3143" s="18"/>
      <c r="I3143" s="18"/>
      <c r="J3143" s="18"/>
      <c r="K3143" s="18"/>
      <c r="L3143" s="18"/>
      <c r="M3143" s="18"/>
      <c r="N3143" s="18"/>
      <c r="O3143" s="18"/>
      <c r="P3143" s="18"/>
      <c r="Q3143" s="14"/>
      <c r="R3143" s="11"/>
    </row>
    <row r="3144" s="1" customFormat="1" ht="21.95" customHeight="1" spans="1:18">
      <c r="A3144" s="7"/>
      <c r="B3144" s="12"/>
      <c r="C3144" s="17" t="s">
        <v>393</v>
      </c>
      <c r="D3144" s="17"/>
      <c r="E3144" s="17"/>
      <c r="F3144" s="18">
        <f>IF(F3142&gt;0,ENTRY!$D$7,"")</f>
        <v>0</v>
      </c>
      <c r="G3144" s="18"/>
      <c r="H3144" s="20" t="s">
        <v>702</v>
      </c>
      <c r="I3144" s="20"/>
      <c r="J3144" s="21">
        <f>IF(F3142&gt;0,ENTRY!$D$10,"")</f>
        <v>40</v>
      </c>
      <c r="K3144" s="20" t="s">
        <v>703</v>
      </c>
      <c r="L3144" s="22" t="str">
        <f>IF(F3142&gt;0,ENTRY!$D$5,"")</f>
        <v>ROHINI ZONE</v>
      </c>
      <c r="M3144" s="22"/>
      <c r="N3144" s="22"/>
      <c r="O3144" s="22"/>
      <c r="P3144" s="22"/>
      <c r="Q3144" s="14"/>
      <c r="R3144" s="11"/>
    </row>
    <row r="3145" s="1" customFormat="1" ht="21.95" customHeight="1" spans="1:18">
      <c r="A3145" s="7"/>
      <c r="B3145" s="12"/>
      <c r="C3145" s="17" t="s">
        <v>706</v>
      </c>
      <c r="D3145" s="17"/>
      <c r="E3145" s="17"/>
      <c r="F3145" s="23">
        <f>IFERROR(VLOOKUP(F3142,STUDENT!$A$2:$BP$101,5,0),"")</f>
        <v>0</v>
      </c>
      <c r="G3145" s="23"/>
      <c r="H3145" s="23"/>
      <c r="I3145" s="23"/>
      <c r="J3145" s="23"/>
      <c r="K3145" s="23"/>
      <c r="L3145" s="20" t="s">
        <v>707</v>
      </c>
      <c r="M3145" s="20"/>
      <c r="N3145" s="24" t="str">
        <f>IF(F3142&gt;0,ENTRY!$D$20&amp;"-"&amp;ENTRY!$D$21,"")</f>
        <v>III-A</v>
      </c>
      <c r="O3145" s="24"/>
      <c r="P3145" s="24"/>
      <c r="Q3145" s="14"/>
      <c r="R3145" s="11"/>
    </row>
    <row r="3146" s="1" customFormat="1" ht="21.95" customHeight="1" spans="1:18">
      <c r="A3146" s="7"/>
      <c r="B3146" s="12"/>
      <c r="C3146" s="17" t="s">
        <v>708</v>
      </c>
      <c r="D3146" s="17"/>
      <c r="E3146" s="17"/>
      <c r="F3146" s="25">
        <f>IFERROR(VLOOKUP(F3142,STUDENT!$A$2:$BP$101,6,0),"")</f>
        <v>0</v>
      </c>
      <c r="G3146" s="25"/>
      <c r="H3146" s="26" t="s">
        <v>709</v>
      </c>
      <c r="I3146" s="27" t="str">
        <f>IFERROR(VLOOKUP(F3142,STUDENT!$A$2:$BP$101,59,0),"")</f>
        <v/>
      </c>
      <c r="J3146" s="27"/>
      <c r="K3146" s="20" t="s">
        <v>710</v>
      </c>
      <c r="L3146" s="20"/>
      <c r="M3146" s="28">
        <f>IFERROR(VLOOKUP(F3142,STUDENT!$A$2:$BP$101,20,0),"")</f>
        <v>0</v>
      </c>
      <c r="N3146" s="28"/>
      <c r="O3146" s="28"/>
      <c r="P3146" s="28"/>
      <c r="Q3146" s="14"/>
      <c r="R3146" s="11"/>
    </row>
    <row r="3147" s="1" customFormat="1" ht="21.95" customHeight="1" spans="1:18">
      <c r="A3147" s="7"/>
      <c r="B3147" s="12"/>
      <c r="C3147" s="17" t="s">
        <v>711</v>
      </c>
      <c r="D3147" s="17"/>
      <c r="E3147" s="17"/>
      <c r="F3147" s="23">
        <f>IFERROR(VLOOKUP(F3142,STUDENT!$A$2:$BP$101,9,0),"")</f>
        <v>0</v>
      </c>
      <c r="G3147" s="23"/>
      <c r="H3147" s="23"/>
      <c r="I3147" s="23"/>
      <c r="J3147" s="17" t="s">
        <v>620</v>
      </c>
      <c r="K3147" s="17"/>
      <c r="L3147" s="23">
        <f>IFERROR(VLOOKUP(F3142,STUDENT!$A$2:$BP$101,8,0),"")</f>
        <v>0</v>
      </c>
      <c r="M3147" s="23"/>
      <c r="N3147" s="23"/>
      <c r="O3147" s="23"/>
      <c r="P3147" s="23"/>
      <c r="Q3147" s="14"/>
      <c r="R3147" s="11"/>
    </row>
    <row r="3148" s="1" customFormat="1" ht="21.95" customHeight="1" spans="1:18">
      <c r="A3148" s="7"/>
      <c r="B3148" s="12"/>
      <c r="C3148" s="17" t="s">
        <v>712</v>
      </c>
      <c r="D3148" s="17"/>
      <c r="E3148" s="17"/>
      <c r="F3148" s="23">
        <f>IFERROR(VLOOKUP(F3142,STUDENT!$A$2:$BP$101,22,0),"")</f>
        <v>0</v>
      </c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14"/>
      <c r="R3148" s="11"/>
    </row>
    <row r="3149" s="1" customFormat="1" ht="9.95" customHeight="1" spans="1:18">
      <c r="A3149" s="7"/>
      <c r="B3149" s="12"/>
      <c r="C3149" s="29"/>
      <c r="D3149" s="29"/>
      <c r="E3149" s="29"/>
      <c r="F3149" s="29"/>
      <c r="G3149" s="29"/>
      <c r="H3149" s="29"/>
      <c r="I3149" s="29"/>
      <c r="J3149" s="29"/>
      <c r="K3149" s="29"/>
      <c r="L3149" s="29"/>
      <c r="M3149" s="29"/>
      <c r="N3149" s="29"/>
      <c r="O3149" s="29"/>
      <c r="P3149" s="29"/>
      <c r="Q3149" s="14"/>
      <c r="R3149" s="11"/>
    </row>
    <row r="3150" s="1" customFormat="1" ht="9.95" customHeight="1" spans="1:18">
      <c r="A3150" s="7"/>
      <c r="B3150" s="12"/>
      <c r="C3150" s="30"/>
      <c r="D3150" s="31"/>
      <c r="E3150" s="31"/>
      <c r="F3150" s="31"/>
      <c r="G3150" s="31"/>
      <c r="H3150" s="31"/>
      <c r="I3150" s="31"/>
      <c r="J3150" s="31"/>
      <c r="K3150" s="31"/>
      <c r="L3150" s="31"/>
      <c r="M3150" s="31"/>
      <c r="N3150" s="31"/>
      <c r="O3150" s="31"/>
      <c r="P3150" s="32"/>
      <c r="Q3150" s="14"/>
      <c r="R3150" s="11"/>
    </row>
    <row r="3151" s="1" customFormat="1" ht="21.95" customHeight="1" spans="1:18">
      <c r="A3151" s="7"/>
      <c r="B3151" s="12"/>
      <c r="C3151" s="33"/>
      <c r="D3151" s="34" t="s">
        <v>713</v>
      </c>
      <c r="E3151" s="20" t="s">
        <v>714</v>
      </c>
      <c r="F3151" s="35" t="str">
        <f>"Level - "&amp;IFERROR(VLOOKUP(F3142,FLN!$A$4:$K$103,9,0),"")</f>
        <v>Level - </v>
      </c>
      <c r="G3151" s="36"/>
      <c r="H3151" s="37" t="s">
        <v>715</v>
      </c>
      <c r="I3151" s="20"/>
      <c r="J3151" s="35" t="str">
        <f>"Level - "&amp;IFERROR(VLOOKUP(F3142,FLN!$A$4:$K$103,11,0),"")</f>
        <v>Level - </v>
      </c>
      <c r="K3151" s="36"/>
      <c r="L3151" s="37" t="s">
        <v>408</v>
      </c>
      <c r="M3151" s="20"/>
      <c r="N3151" s="35" t="str">
        <f>"Level - "&amp;IFERROR(VLOOKUP(F3142,FLN!$A$4:$K$103,10,0),"")</f>
        <v>Level - </v>
      </c>
      <c r="O3151" s="36"/>
      <c r="P3151" s="19"/>
      <c r="Q3151" s="14"/>
      <c r="R3151" s="11"/>
    </row>
    <row r="3152" s="1" customFormat="1" ht="21.95" customHeight="1" spans="1:18">
      <c r="A3152" s="7"/>
      <c r="B3152" s="12"/>
      <c r="C3152" s="33"/>
      <c r="D3152" s="38"/>
      <c r="E3152" s="20" t="s">
        <v>716</v>
      </c>
      <c r="F3152" s="18" t="str">
        <f>IF(L3166&gt;197,"PERFORMED WELL","")</f>
        <v/>
      </c>
      <c r="G3152" s="18"/>
      <c r="H3152" s="18"/>
      <c r="I3152" s="18"/>
      <c r="J3152" s="18"/>
      <c r="K3152" s="18"/>
      <c r="L3152" s="18"/>
      <c r="M3152" s="18"/>
      <c r="N3152" s="18"/>
      <c r="O3152" s="18"/>
      <c r="P3152" s="19"/>
      <c r="Q3152" s="14"/>
      <c r="R3152" s="11"/>
    </row>
    <row r="3153" s="1" customFormat="1" ht="9.95" customHeight="1" spans="1:18">
      <c r="A3153" s="7"/>
      <c r="B3153" s="12"/>
      <c r="C3153" s="39"/>
      <c r="D3153" s="40"/>
      <c r="E3153" s="40"/>
      <c r="F3153" s="40"/>
      <c r="G3153" s="40"/>
      <c r="H3153" s="40"/>
      <c r="I3153" s="40"/>
      <c r="J3153" s="40"/>
      <c r="K3153" s="40"/>
      <c r="L3153" s="40"/>
      <c r="M3153" s="40"/>
      <c r="N3153" s="40"/>
      <c r="O3153" s="40"/>
      <c r="P3153" s="41"/>
      <c r="Q3153" s="14"/>
      <c r="R3153" s="11"/>
    </row>
    <row r="3154" s="1" customFormat="1" ht="9.95" customHeight="1" spans="1:18">
      <c r="A3154" s="7"/>
      <c r="B3154" s="12"/>
      <c r="C3154" s="29"/>
      <c r="D3154" s="29"/>
      <c r="E3154" s="29"/>
      <c r="F3154" s="29"/>
      <c r="G3154" s="29"/>
      <c r="H3154" s="29"/>
      <c r="I3154" s="29"/>
      <c r="J3154" s="29"/>
      <c r="K3154" s="29"/>
      <c r="L3154" s="29"/>
      <c r="M3154" s="29"/>
      <c r="N3154" s="29"/>
      <c r="O3154" s="29"/>
      <c r="P3154" s="29"/>
      <c r="Q3154" s="14"/>
      <c r="R3154" s="11"/>
    </row>
    <row r="3155" s="1" customFormat="1" ht="9.95" customHeight="1" spans="1:18">
      <c r="A3155" s="7"/>
      <c r="B3155" s="12"/>
      <c r="C3155" s="30"/>
      <c r="D3155" s="31"/>
      <c r="E3155" s="31"/>
      <c r="F3155" s="31"/>
      <c r="G3155" s="31"/>
      <c r="H3155" s="31"/>
      <c r="I3155" s="31"/>
      <c r="J3155" s="31"/>
      <c r="K3155" s="31"/>
      <c r="L3155" s="31"/>
      <c r="M3155" s="31"/>
      <c r="N3155" s="31"/>
      <c r="O3155" s="31"/>
      <c r="P3155" s="32"/>
      <c r="Q3155" s="14"/>
      <c r="R3155" s="11"/>
    </row>
    <row r="3156" s="1" customFormat="1" ht="21.95" customHeight="1" spans="1:18">
      <c r="A3156" s="7"/>
      <c r="B3156" s="12"/>
      <c r="C3156" s="33"/>
      <c r="D3156" s="35"/>
      <c r="E3156" s="24"/>
      <c r="F3156" s="24"/>
      <c r="G3156" s="47" t="s">
        <v>717</v>
      </c>
      <c r="H3156" s="47"/>
      <c r="I3156" s="47"/>
      <c r="J3156" s="47"/>
      <c r="K3156" s="47"/>
      <c r="L3156" s="47"/>
      <c r="M3156" s="47"/>
      <c r="N3156" s="47"/>
      <c r="O3156" s="29"/>
      <c r="P3156" s="19"/>
      <c r="Q3156" s="14"/>
      <c r="R3156" s="11"/>
    </row>
    <row r="3157" s="1" customFormat="1" ht="21.95" customHeight="1" spans="1:18">
      <c r="A3157" s="7"/>
      <c r="B3157" s="12"/>
      <c r="C3157" s="33"/>
      <c r="D3157" s="47"/>
      <c r="E3157" s="47"/>
      <c r="F3157" s="47"/>
      <c r="G3157" s="47" t="s">
        <v>541</v>
      </c>
      <c r="H3157" s="47" t="s">
        <v>542</v>
      </c>
      <c r="I3157" s="47" t="s">
        <v>543</v>
      </c>
      <c r="J3157" s="47" t="s">
        <v>544</v>
      </c>
      <c r="K3157" s="47" t="s">
        <v>561</v>
      </c>
      <c r="L3157" s="47" t="s">
        <v>382</v>
      </c>
      <c r="M3157" s="49" t="s">
        <v>546</v>
      </c>
      <c r="N3157" s="49"/>
      <c r="O3157" s="29"/>
      <c r="P3157" s="19"/>
      <c r="Q3157" s="14"/>
      <c r="R3157" s="11"/>
    </row>
    <row r="3158" s="1" customFormat="1" ht="21.95" customHeight="1" spans="1:18">
      <c r="A3158" s="7"/>
      <c r="B3158" s="12"/>
      <c r="C3158" s="33"/>
      <c r="D3158" s="207" t="s">
        <v>652</v>
      </c>
      <c r="E3158" s="207"/>
      <c r="F3158" s="207"/>
      <c r="G3158" s="50">
        <v>10</v>
      </c>
      <c r="H3158" s="50">
        <v>10</v>
      </c>
      <c r="I3158" s="50">
        <v>10</v>
      </c>
      <c r="J3158" s="50">
        <v>10</v>
      </c>
      <c r="K3158" s="50">
        <v>60</v>
      </c>
      <c r="L3158" s="50">
        <v>100</v>
      </c>
      <c r="M3158" s="49"/>
      <c r="N3158" s="49"/>
      <c r="O3158" s="29"/>
      <c r="P3158" s="19"/>
      <c r="Q3158" s="14"/>
      <c r="R3158" s="11"/>
    </row>
    <row r="3159" s="1" customFormat="1" ht="21.95" customHeight="1" spans="1:18">
      <c r="A3159" s="7"/>
      <c r="B3159" s="12"/>
      <c r="C3159" s="33"/>
      <c r="D3159" s="117" t="s">
        <v>668</v>
      </c>
      <c r="E3159" s="117"/>
      <c r="F3159" s="117"/>
      <c r="G3159" s="54" t="str">
        <f>IFERROR(VLOOKUP(F3142,'1to4-2.1-RR'!$A$12:$BG$111,9,0),"")</f>
        <v/>
      </c>
      <c r="H3159" s="54" t="str">
        <f>IFERROR(VLOOKUP(F3142,'1to4-2.1-RR'!$A$12:$BG$111,10,0),"")</f>
        <v/>
      </c>
      <c r="I3159" s="54" t="str">
        <f>IFERROR(VLOOKUP(F3142,'1to4-2.1-RR'!$A$12:$BG$111,11,0),"")</f>
        <v/>
      </c>
      <c r="J3159" s="54" t="str">
        <f>IFERROR(VLOOKUP(F3142,'1to4-2.1-RR'!$A$12:$BG$111,12,0),"")</f>
        <v/>
      </c>
      <c r="K3159" s="54" t="str">
        <f>IFERROR(VLOOKUP(F3142,'1to4-2.1-RR'!$A$12:$BG$111,13,0),"")</f>
        <v/>
      </c>
      <c r="L3159" s="55">
        <f>SUM(G3159:K3159)</f>
        <v>0</v>
      </c>
      <c r="M3159" s="56" t="str">
        <f>IF(F3142&gt;ENTRY!$D$24,"",IF(L3159=0,"Ab",IF(L3159&gt;80,"A",IF(L3159&gt;60,"B",IF(L3159&gt;44,"C",IF(L3159&gt;=33,"D",IF(L3159&lt;=32,"E","")))))))</f>
        <v/>
      </c>
      <c r="N3159" s="56"/>
      <c r="O3159" s="29"/>
      <c r="P3159" s="19"/>
      <c r="Q3159" s="14"/>
      <c r="R3159" s="11"/>
    </row>
    <row r="3160" s="1" customFormat="1" ht="21.95" customHeight="1" spans="1:18">
      <c r="A3160" s="7"/>
      <c r="B3160" s="12"/>
      <c r="C3160" s="33"/>
      <c r="D3160" s="117" t="s">
        <v>513</v>
      </c>
      <c r="E3160" s="117"/>
      <c r="F3160" s="117"/>
      <c r="G3160" s="54" t="str">
        <f>IFERROR(VLOOKUP(F3142,'1to4-2.1-RR'!$A$12:$BG$111,16,0),"")</f>
        <v/>
      </c>
      <c r="H3160" s="54" t="str">
        <f>IFERROR(VLOOKUP(F3142,'1to4-2.1-RR'!$A$12:$BG$111,17,0),"")</f>
        <v/>
      </c>
      <c r="I3160" s="54" t="str">
        <f>IFERROR(VLOOKUP(F3142,'1to4-2.1-RR'!$A$12:$BG$111,18,0),"")</f>
        <v/>
      </c>
      <c r="J3160" s="54" t="str">
        <f>IFERROR(VLOOKUP(F3142,'1to4-2.1-RR'!$A$12:$BG$111,19,0),"")</f>
        <v/>
      </c>
      <c r="K3160" s="54" t="str">
        <f>IFERROR(VLOOKUP(F3142,'1to4-2.1-RR'!$A$12:$BG$111,20,0),"")</f>
        <v/>
      </c>
      <c r="L3160" s="55">
        <f t="shared" ref="L3160:L3165" si="112">SUM(G3160:K3160)</f>
        <v>0</v>
      </c>
      <c r="M3160" s="56" t="str">
        <f>IF(F3142&gt;ENTRY!$D$24,"",IF(L3160=0,"Ab",IF(L3160&gt;80,"A",IF(L3160&gt;60,"B",IF(L3160&gt;44,"C",IF(L3160&gt;=33,"D",IF(L3160&lt;=32,"E","")))))))</f>
        <v/>
      </c>
      <c r="N3160" s="56"/>
      <c r="O3160" s="29"/>
      <c r="P3160" s="19"/>
      <c r="Q3160" s="14"/>
      <c r="R3160" s="11"/>
    </row>
    <row r="3161" s="1" customFormat="1" ht="21.95" customHeight="1" spans="1:18">
      <c r="A3161" s="7"/>
      <c r="B3161" s="12"/>
      <c r="C3161" s="33"/>
      <c r="D3161" s="117" t="s">
        <v>718</v>
      </c>
      <c r="E3161" s="117"/>
      <c r="F3161" s="117"/>
      <c r="G3161" s="54" t="str">
        <f>IFERROR(VLOOKUP(F3142,'1to4-2.1-RR'!$A$12:$BG$111,23,0),"")</f>
        <v/>
      </c>
      <c r="H3161" s="54" t="str">
        <f>IFERROR(VLOOKUP(F3142,'1to4-2.1-RR'!$A$12:$BG$111,24,0),"")</f>
        <v/>
      </c>
      <c r="I3161" s="54" t="str">
        <f>IFERROR(VLOOKUP(F3142,'1to4-2.1-RR'!$A$12:$BG$111,25,0),"")</f>
        <v/>
      </c>
      <c r="J3161" s="54" t="str">
        <f>IFERROR(VLOOKUP(F3142,'1to4-2.1-RR'!$A$12:$BG$111,26,0),"")</f>
        <v/>
      </c>
      <c r="K3161" s="54" t="str">
        <f>IFERROR(VLOOKUP(F3142,'1to4-2.1-RR'!$A$12:$BG$111,27,0),"")</f>
        <v/>
      </c>
      <c r="L3161" s="55">
        <f t="shared" si="112"/>
        <v>0</v>
      </c>
      <c r="M3161" s="56" t="str">
        <f>IF(F3142&gt;ENTRY!$D$24,"",IF(L3161=0,"Ab",IF(L3161&gt;80,"A",IF(L3161&gt;60,"B",IF(L3161&gt;44,"C",IF(L3161&gt;=33,"D",IF(L3161&lt;=32,"E","")))))))</f>
        <v/>
      </c>
      <c r="N3161" s="56"/>
      <c r="O3161" s="29"/>
      <c r="P3161" s="19"/>
      <c r="Q3161" s="14"/>
      <c r="R3161" s="11"/>
    </row>
    <row r="3162" s="1" customFormat="1" ht="21.95" customHeight="1" spans="1:18">
      <c r="A3162" s="7"/>
      <c r="B3162" s="12"/>
      <c r="C3162" s="33"/>
      <c r="D3162" s="117" t="s">
        <v>719</v>
      </c>
      <c r="E3162" s="117"/>
      <c r="F3162" s="117"/>
      <c r="G3162" s="54" t="str">
        <f>IFERROR(VLOOKUP(F3142,'1to4-2.1-RR'!$A$12:$BG$111,30,0),"")</f>
        <v/>
      </c>
      <c r="H3162" s="54" t="str">
        <f>IFERROR(VLOOKUP(F3142,'1to4-2.1-RR'!$A$12:$BG$111,31,0),"")</f>
        <v/>
      </c>
      <c r="I3162" s="54" t="str">
        <f>IFERROR(VLOOKUP(F3142,'1to4-2.1-RR'!$A$12:$BG$111,32,0),"")</f>
        <v/>
      </c>
      <c r="J3162" s="54" t="str">
        <f>IFERROR(VLOOKUP(F3142,'1to4-2.1-RR'!$A$12:$BG$111,33,0),"")</f>
        <v/>
      </c>
      <c r="K3162" s="54" t="str">
        <f>IFERROR(VLOOKUP(F3142,'1to4-2.1-RR'!$A$12:$BG$111,34,0),"")</f>
        <v/>
      </c>
      <c r="L3162" s="55">
        <f t="shared" si="112"/>
        <v>0</v>
      </c>
      <c r="M3162" s="56" t="str">
        <f>IF(F3142&gt;ENTRY!$D$24,"",IF(L3162=0,"Ab",IF(L3162&gt;80,"A",IF(L3162&gt;60,"B",IF(L3162&gt;44,"C",IF(L3162&gt;=33,"D",IF(L3162&lt;=32,"E","")))))))</f>
        <v/>
      </c>
      <c r="N3162" s="56"/>
      <c r="O3162" s="29"/>
      <c r="P3162" s="19"/>
      <c r="Q3162" s="14"/>
      <c r="R3162" s="11"/>
    </row>
    <row r="3163" s="1" customFormat="1" ht="21.95" customHeight="1" spans="1:18">
      <c r="A3163" s="7"/>
      <c r="B3163" s="12"/>
      <c r="C3163" s="33"/>
      <c r="D3163" s="117" t="s">
        <v>548</v>
      </c>
      <c r="E3163" s="117"/>
      <c r="F3163" s="117"/>
      <c r="G3163" s="54" t="str">
        <f>IFERROR(VLOOKUP(F3142,'1to4-2.1-RR'!$A$12:$BG$111,37,0),"")</f>
        <v/>
      </c>
      <c r="H3163" s="54" t="str">
        <f>IFERROR(VLOOKUP(F3142,'1to4-2.1-RR'!$A$12:$BG$111,38,0),"")</f>
        <v/>
      </c>
      <c r="I3163" s="54" t="str">
        <f>IFERROR(VLOOKUP(F3142,'1to4-2.1-RR'!$A$12:$BG$111,39,0),"")</f>
        <v/>
      </c>
      <c r="J3163" s="54" t="str">
        <f>IFERROR(VLOOKUP(F3142,'1to4-2.1-RR'!$A$12:$BG$111,40,0),"")</f>
        <v/>
      </c>
      <c r="K3163" s="54" t="str">
        <f>IFERROR(VLOOKUP(F3142,'1to4-2.1-RR'!$A$12:$BG$111,41,0),"")</f>
        <v/>
      </c>
      <c r="L3163" s="55">
        <f t="shared" si="112"/>
        <v>0</v>
      </c>
      <c r="M3163" s="56" t="str">
        <f>IF(F3142&gt;ENTRY!$D$24,"",IF(L3163=0,"Ab",IF(L3163&gt;80,"A",IF(L3163&gt;60,"B",IF(L3163&gt;44,"C",IF(L3163&gt;=33,"D",IF(L3163&lt;=32,"E","")))))))</f>
        <v/>
      </c>
      <c r="N3163" s="56"/>
      <c r="O3163" s="29"/>
      <c r="P3163" s="19"/>
      <c r="Q3163" s="14"/>
      <c r="R3163" s="11"/>
    </row>
    <row r="3164" s="1" customFormat="1" ht="21.95" customHeight="1" spans="1:18">
      <c r="A3164" s="7"/>
      <c r="B3164" s="12"/>
      <c r="C3164" s="33"/>
      <c r="D3164" s="117" t="s">
        <v>549</v>
      </c>
      <c r="E3164" s="117"/>
      <c r="F3164" s="117"/>
      <c r="G3164" s="54" t="str">
        <f>IFERROR(VLOOKUP(F3142,'1to4-2.1-RR'!$A$12:$BG$111,44,0),"")</f>
        <v/>
      </c>
      <c r="H3164" s="54" t="str">
        <f>IFERROR(VLOOKUP(F3142,'1to4-2.1-RR'!$A$12:$BG$111,45,0),"")</f>
        <v/>
      </c>
      <c r="I3164" s="54" t="str">
        <f>IFERROR(VLOOKUP(F3142,'1to4-2.1-RR'!$A$12:$BG$111,46,0),"")</f>
        <v/>
      </c>
      <c r="J3164" s="54" t="str">
        <f>IFERROR(VLOOKUP(F3142,'1to4-2.1-RR'!$A$12:$BG$111,47,0),"")</f>
        <v/>
      </c>
      <c r="K3164" s="54" t="str">
        <f>IFERROR(VLOOKUP(F3142,'1to4-2.1-RR'!$A$12:$BG$111,48,0),"")</f>
        <v/>
      </c>
      <c r="L3164" s="55">
        <f t="shared" si="112"/>
        <v>0</v>
      </c>
      <c r="M3164" s="56" t="str">
        <f>IF(F3142&gt;ENTRY!$D$24,"",IF(L3164=0,"Ab",IF(L3164&gt;80,"A",IF(L3164&gt;60,"B",IF(L3164&gt;44,"C",IF(L3164&gt;=33,"D",IF(L3164&lt;=32,"E","")))))))</f>
        <v/>
      </c>
      <c r="N3164" s="56"/>
      <c r="O3164" s="29"/>
      <c r="P3164" s="19"/>
      <c r="Q3164" s="14"/>
      <c r="R3164" s="11"/>
    </row>
    <row r="3165" s="1" customFormat="1" ht="21.95" customHeight="1" spans="1:18">
      <c r="A3165" s="7"/>
      <c r="B3165" s="12"/>
      <c r="C3165" s="33"/>
      <c r="D3165" s="117" t="s">
        <v>720</v>
      </c>
      <c r="E3165" s="117"/>
      <c r="F3165" s="117"/>
      <c r="G3165" s="54"/>
      <c r="H3165" s="54"/>
      <c r="I3165" s="54"/>
      <c r="J3165" s="54"/>
      <c r="K3165" s="54"/>
      <c r="L3165" s="55">
        <f t="shared" si="112"/>
        <v>0</v>
      </c>
      <c r="M3165" s="56" t="str">
        <f>IF(F3142&gt;ENTRY!$D$24,"",IF(L3165=0,"",IF(L3165&gt;79,"A",IF(L3165&gt;59,"B",IF(L3165&gt;44,"C",IF(L3165&gt;=33,"D",IF(L3165&lt;=32,"E","")))))))</f>
        <v/>
      </c>
      <c r="N3165" s="56"/>
      <c r="O3165" s="29"/>
      <c r="P3165" s="19"/>
      <c r="Q3165" s="14"/>
      <c r="R3165" s="11"/>
    </row>
    <row r="3166" s="1" customFormat="1" ht="21.95" customHeight="1" spans="1:18">
      <c r="A3166" s="7"/>
      <c r="B3166" s="12"/>
      <c r="C3166" s="33"/>
      <c r="D3166" s="207" t="s">
        <v>382</v>
      </c>
      <c r="E3166" s="207"/>
      <c r="F3166" s="207"/>
      <c r="G3166" s="54">
        <f t="shared" ref="G3166:L3166" si="113">IFERROR(SUM(G3159:G3165),"")</f>
        <v>0</v>
      </c>
      <c r="H3166" s="54">
        <f t="shared" si="113"/>
        <v>0</v>
      </c>
      <c r="I3166" s="54">
        <f t="shared" si="113"/>
        <v>0</v>
      </c>
      <c r="J3166" s="54">
        <f t="shared" si="113"/>
        <v>0</v>
      </c>
      <c r="K3166" s="54">
        <f t="shared" si="113"/>
        <v>0</v>
      </c>
      <c r="L3166" s="55">
        <f t="shared" si="113"/>
        <v>0</v>
      </c>
      <c r="M3166" s="61" t="str">
        <f>IF(F3142&gt;ENTRY!$D$24,"",IF(N3167="Ab","Ab",IF(N3167&gt;79.5,"A",IF(N3167&gt;59.5,"B",IF(N3167&gt;44.5,"C",IF(N3167&gt;=33,"D",IF(N3167&lt;33,"E","")))))))</f>
        <v/>
      </c>
      <c r="N3166" s="61"/>
      <c r="O3166" s="29"/>
      <c r="P3166" s="19"/>
      <c r="Q3166" s="14"/>
      <c r="R3166" s="11"/>
    </row>
    <row r="3167" s="1" customFormat="1" ht="21.95" customHeight="1" spans="1:18">
      <c r="A3167" s="7"/>
      <c r="B3167" s="12"/>
      <c r="C3167" s="33"/>
      <c r="D3167" s="63" t="s">
        <v>721</v>
      </c>
      <c r="E3167" s="63"/>
      <c r="F3167" s="63"/>
      <c r="G3167" s="63"/>
      <c r="H3167" s="63"/>
      <c r="I3167" s="63"/>
      <c r="J3167" s="63"/>
      <c r="K3167" s="63"/>
      <c r="L3167" s="63"/>
      <c r="M3167" s="209"/>
      <c r="N3167" s="64">
        <f>IF(L3166="Ab","Ab",L3166/6)</f>
        <v>0</v>
      </c>
      <c r="O3167" s="65"/>
      <c r="P3167" s="19"/>
      <c r="Q3167" s="14"/>
      <c r="R3167" s="11"/>
    </row>
    <row r="3168" s="1" customFormat="1" ht="21.95" customHeight="1" spans="1:18">
      <c r="A3168" s="7"/>
      <c r="B3168" s="12"/>
      <c r="C3168" s="33"/>
      <c r="D3168" s="29" t="s">
        <v>716</v>
      </c>
      <c r="E3168" s="18" t="str">
        <f>IFERROR(VLOOKUP(F3142,'1to4-2.1-RR'!$A$12:$BG$111,57,0),"")</f>
        <v/>
      </c>
      <c r="F3168" s="18"/>
      <c r="G3168" s="18"/>
      <c r="H3168" s="18"/>
      <c r="I3168" s="18"/>
      <c r="J3168" s="18"/>
      <c r="K3168" s="18"/>
      <c r="L3168" s="18"/>
      <c r="M3168" s="18"/>
      <c r="N3168" s="29"/>
      <c r="O3168" s="29"/>
      <c r="P3168" s="19"/>
      <c r="Q3168" s="14"/>
      <c r="R3168" s="11"/>
    </row>
    <row r="3169" s="1" customFormat="1" ht="9.95" customHeight="1" spans="1:19">
      <c r="A3169" s="7"/>
      <c r="B3169" s="12"/>
      <c r="C3169" s="39"/>
      <c r="D3169" s="40"/>
      <c r="E3169" s="40"/>
      <c r="F3169" s="40"/>
      <c r="G3169" s="40"/>
      <c r="H3169" s="40"/>
      <c r="I3169" s="40"/>
      <c r="J3169" s="40"/>
      <c r="K3169" s="40"/>
      <c r="L3169" s="40"/>
      <c r="M3169" s="40"/>
      <c r="N3169" s="40"/>
      <c r="O3169" s="40"/>
      <c r="P3169" s="41"/>
      <c r="Q3169" s="14"/>
      <c r="R3169" s="11"/>
    </row>
    <row r="3170" s="1" customFormat="1" ht="9.95" customHeight="1" spans="1:19">
      <c r="A3170" s="7"/>
      <c r="B3170" s="12"/>
      <c r="C3170" s="30"/>
      <c r="D3170" s="31"/>
      <c r="E3170" s="31"/>
      <c r="F3170" s="29"/>
      <c r="G3170" s="31"/>
      <c r="H3170" s="31"/>
      <c r="I3170" s="31"/>
      <c r="J3170" s="31"/>
      <c r="K3170" s="31"/>
      <c r="L3170" s="31"/>
      <c r="M3170" s="31"/>
      <c r="N3170" s="31"/>
      <c r="O3170" s="31"/>
      <c r="P3170" s="32"/>
      <c r="Q3170" s="14"/>
      <c r="R3170" s="11"/>
    </row>
    <row r="3171" s="1" customFormat="1" ht="9.95" customHeight="1" spans="1:19">
      <c r="A3171" s="7"/>
      <c r="B3171" s="12"/>
      <c r="C3171" s="33"/>
      <c r="D3171" s="29"/>
      <c r="E3171" s="29"/>
      <c r="F3171" s="29"/>
      <c r="G3171" s="29"/>
      <c r="H3171" s="29"/>
      <c r="I3171" s="29"/>
      <c r="J3171" s="29"/>
      <c r="K3171" s="29"/>
      <c r="L3171" s="29"/>
      <c r="M3171" s="29"/>
      <c r="N3171" s="29"/>
      <c r="O3171" s="29"/>
      <c r="P3171" s="19"/>
      <c r="Q3171" s="14"/>
      <c r="R3171" s="11"/>
    </row>
    <row r="3172" s="1" customFormat="1" ht="9.95" customHeight="1" spans="1:19">
      <c r="A3172" s="7"/>
      <c r="B3172" s="12"/>
      <c r="C3172" s="33"/>
      <c r="D3172" s="29"/>
      <c r="E3172" s="29"/>
      <c r="F3172" s="29"/>
      <c r="G3172" s="29"/>
      <c r="H3172" s="29"/>
      <c r="I3172" s="29"/>
      <c r="J3172" s="29"/>
      <c r="K3172" s="29"/>
      <c r="L3172" s="29"/>
      <c r="M3172" s="29"/>
      <c r="N3172" s="29"/>
      <c r="O3172" s="29"/>
      <c r="P3172" s="19"/>
      <c r="Q3172" s="14"/>
      <c r="R3172" s="11"/>
    </row>
    <row r="3173" s="1" customFormat="1" ht="21.95" customHeight="1" spans="1:19">
      <c r="A3173" s="7"/>
      <c r="B3173" s="12"/>
      <c r="C3173" s="210"/>
      <c r="D3173" s="211"/>
      <c r="E3173" s="211"/>
      <c r="F3173" s="211"/>
      <c r="G3173" s="211"/>
      <c r="H3173" s="211"/>
      <c r="I3173" s="211"/>
      <c r="J3173" s="211"/>
      <c r="K3173" s="211"/>
      <c r="L3173" s="211"/>
      <c r="M3173" s="211"/>
      <c r="N3173" s="211"/>
      <c r="O3173" s="211"/>
      <c r="P3173" s="212"/>
      <c r="Q3173" s="14"/>
      <c r="R3173" s="11"/>
      <c r="S3173" s="2"/>
    </row>
    <row r="3174" s="1" customFormat="1" ht="21.95" customHeight="1" spans="1:19">
      <c r="A3174" s="7"/>
      <c r="B3174" s="12"/>
      <c r="C3174" s="33"/>
      <c r="D3174" s="207" t="s">
        <v>722</v>
      </c>
      <c r="E3174" s="207"/>
      <c r="F3174" s="207"/>
      <c r="G3174" s="207"/>
      <c r="H3174" s="54">
        <f>IFERROR(VLOOKUP(F3142,PASHEET!$A$4:$CJ$103,88,0),"")</f>
        <v>0</v>
      </c>
      <c r="I3174" s="54"/>
      <c r="J3174" s="29"/>
      <c r="K3174" s="29"/>
      <c r="L3174" s="29"/>
      <c r="M3174" s="29"/>
      <c r="N3174" s="29"/>
      <c r="O3174" s="29"/>
      <c r="P3174" s="19"/>
      <c r="Q3174" s="14"/>
      <c r="R3174" s="11"/>
    </row>
    <row r="3175" s="1" customFormat="1" ht="21.95" customHeight="1" spans="1:19">
      <c r="A3175" s="7"/>
      <c r="B3175" s="12"/>
      <c r="C3175" s="213"/>
      <c r="D3175" s="207" t="s">
        <v>723</v>
      </c>
      <c r="E3175" s="207"/>
      <c r="F3175" s="207"/>
      <c r="G3175" s="207"/>
      <c r="H3175" s="54">
        <f>IFERROR(VLOOKUP(F3142,PASHEET!$A$4:$CJ$103,87,0),"")</f>
        <v>0</v>
      </c>
      <c r="I3175" s="54"/>
      <c r="J3175" s="214"/>
      <c r="K3175" s="214"/>
      <c r="L3175" s="207" t="s">
        <v>724</v>
      </c>
      <c r="M3175" s="207"/>
      <c r="N3175" s="117" t="str">
        <f>IF(F3142&gt;ENTRY!$D$24,"",IF(F3142&gt;0,L3166&amp;" / "&amp;600,""))</f>
        <v/>
      </c>
      <c r="O3175" s="117"/>
      <c r="P3175" s="215"/>
      <c r="Q3175" s="14"/>
      <c r="R3175" s="11"/>
    </row>
    <row r="3176" s="1" customFormat="1" ht="18" customHeight="1" spans="1:19">
      <c r="A3176" s="7"/>
      <c r="B3176" s="12"/>
      <c r="C3176" s="33"/>
      <c r="D3176" s="207" t="s">
        <v>725</v>
      </c>
      <c r="E3176" s="207"/>
      <c r="F3176" s="207"/>
      <c r="G3176" s="207"/>
      <c r="H3176" s="69" t="str">
        <f>IFERROR(IF(F3142&gt;0,H3175/H3174*100),"")</f>
        <v/>
      </c>
      <c r="I3176" s="69"/>
      <c r="J3176" s="29"/>
      <c r="K3176" s="29"/>
      <c r="L3176" s="207" t="s">
        <v>726</v>
      </c>
      <c r="M3176" s="207"/>
      <c r="N3176" s="216" t="str">
        <f>IF(F3142&gt;ENTRY!$D$24,"",IF(F3142&gt;0,L3166/600*100,""))</f>
        <v/>
      </c>
      <c r="O3176" s="216"/>
      <c r="P3176" s="19"/>
      <c r="Q3176" s="14"/>
      <c r="R3176" s="11"/>
    </row>
    <row r="3177" s="1" customFormat="1" ht="21.95" customHeight="1" spans="1:19">
      <c r="A3177" s="7"/>
      <c r="B3177" s="12"/>
      <c r="C3177" s="33"/>
      <c r="D3177" s="80"/>
      <c r="E3177" s="80"/>
      <c r="F3177" s="217"/>
      <c r="G3177" s="217"/>
      <c r="H3177" s="217"/>
      <c r="I3177" s="217"/>
      <c r="J3177" s="217"/>
      <c r="K3177" s="217"/>
      <c r="L3177" s="217"/>
      <c r="M3177" s="217"/>
      <c r="N3177" s="80"/>
      <c r="O3177" s="80"/>
      <c r="P3177" s="19"/>
      <c r="Q3177" s="14"/>
      <c r="R3177" s="11"/>
    </row>
    <row r="3178" s="1" customFormat="1" ht="21.95" customHeight="1" spans="1:19">
      <c r="A3178" s="7"/>
      <c r="B3178" s="12"/>
      <c r="C3178" s="33"/>
      <c r="D3178" s="80"/>
      <c r="E3178" s="218"/>
      <c r="F3178" s="218"/>
      <c r="G3178" s="218"/>
      <c r="H3178" s="80"/>
      <c r="I3178" s="218"/>
      <c r="J3178" s="218"/>
      <c r="K3178" s="218"/>
      <c r="L3178" s="218"/>
      <c r="M3178" s="80"/>
      <c r="N3178" s="219"/>
      <c r="O3178" s="219"/>
      <c r="P3178" s="19"/>
      <c r="Q3178" s="14"/>
      <c r="R3178" s="11"/>
    </row>
    <row r="3179" s="1" customFormat="1" ht="21.95" customHeight="1" spans="1:19">
      <c r="A3179" s="7"/>
      <c r="B3179" s="12"/>
      <c r="C3179" s="33"/>
      <c r="D3179" s="80"/>
      <c r="E3179" s="80"/>
      <c r="F3179" s="80"/>
      <c r="G3179" s="80"/>
      <c r="H3179" s="80"/>
      <c r="I3179" s="80"/>
      <c r="J3179" s="80"/>
      <c r="K3179" s="80"/>
      <c r="L3179" s="80"/>
      <c r="M3179" s="80"/>
      <c r="N3179" s="80"/>
      <c r="O3179" s="80"/>
      <c r="P3179" s="19"/>
      <c r="Q3179" s="14"/>
      <c r="R3179" s="11"/>
    </row>
    <row r="3180" s="1" customFormat="1" ht="21.95" customHeight="1" spans="1:19">
      <c r="A3180" s="7"/>
      <c r="B3180" s="12"/>
      <c r="C3180" s="33"/>
      <c r="D3180" s="218"/>
      <c r="E3180" s="218"/>
      <c r="F3180" s="218"/>
      <c r="G3180" s="218"/>
      <c r="H3180" s="218"/>
      <c r="I3180" s="218"/>
      <c r="J3180" s="218"/>
      <c r="K3180" s="218"/>
      <c r="L3180" s="218"/>
      <c r="M3180" s="80"/>
      <c r="N3180" s="217"/>
      <c r="O3180" s="217"/>
      <c r="P3180" s="85" t="s">
        <v>727</v>
      </c>
      <c r="Q3180" s="14"/>
      <c r="R3180" s="11"/>
    </row>
    <row r="3181" s="1" customFormat="1" ht="21.95" customHeight="1" spans="1:19">
      <c r="A3181" s="7"/>
      <c r="B3181" s="12"/>
      <c r="C3181" s="33"/>
      <c r="D3181" s="29"/>
      <c r="E3181" s="29"/>
      <c r="F3181" s="29"/>
      <c r="G3181" s="29"/>
      <c r="H3181" s="29"/>
      <c r="I3181" s="29"/>
      <c r="J3181" s="29"/>
      <c r="K3181" s="29"/>
      <c r="L3181" s="29"/>
      <c r="M3181" s="29"/>
      <c r="N3181" s="29"/>
      <c r="O3181" s="29"/>
      <c r="P3181" s="19"/>
      <c r="Q3181" s="14"/>
      <c r="R3181" s="11"/>
    </row>
    <row r="3182" s="1" customFormat="1" ht="21.95" customHeight="1" spans="1:19">
      <c r="A3182" s="7"/>
      <c r="B3182" s="12"/>
      <c r="C3182" s="33"/>
      <c r="D3182" s="29"/>
      <c r="E3182" s="29"/>
      <c r="F3182" s="29"/>
      <c r="G3182" s="29"/>
      <c r="H3182" s="29"/>
      <c r="I3182" s="29"/>
      <c r="J3182" s="29"/>
      <c r="K3182" s="29"/>
      <c r="L3182" s="29"/>
      <c r="M3182" s="29"/>
      <c r="N3182" s="29"/>
      <c r="O3182" s="29"/>
      <c r="P3182" s="19"/>
      <c r="Q3182" s="14"/>
      <c r="R3182" s="11"/>
    </row>
    <row r="3183" s="1" customFormat="1" ht="21.95" customHeight="1" spans="1:19">
      <c r="A3183" s="7"/>
      <c r="B3183" s="12"/>
      <c r="C3183" s="33"/>
      <c r="D3183" s="29"/>
      <c r="E3183" s="29"/>
      <c r="F3183" s="29"/>
      <c r="G3183" s="29"/>
      <c r="H3183" s="29"/>
      <c r="I3183" s="29"/>
      <c r="J3183" s="29"/>
      <c r="K3183" s="29"/>
      <c r="L3183" s="29"/>
      <c r="M3183" s="29"/>
      <c r="N3183" s="29"/>
      <c r="O3183" s="29"/>
      <c r="P3183" s="19"/>
      <c r="Q3183" s="14"/>
      <c r="R3183" s="11"/>
    </row>
    <row r="3184" s="1" customFormat="1" ht="21.95" customHeight="1" spans="1:19">
      <c r="A3184" s="7"/>
      <c r="B3184" s="12"/>
      <c r="C3184" s="33"/>
      <c r="D3184" s="29"/>
      <c r="E3184" s="29"/>
      <c r="F3184" s="29"/>
      <c r="G3184" s="29"/>
      <c r="H3184" s="29"/>
      <c r="I3184" s="29"/>
      <c r="J3184" s="29"/>
      <c r="K3184" s="29"/>
      <c r="L3184" s="29"/>
      <c r="M3184" s="29"/>
      <c r="N3184" s="29"/>
      <c r="O3184" s="29"/>
      <c r="P3184" s="19"/>
      <c r="Q3184" s="14"/>
      <c r="R3184" s="11"/>
    </row>
    <row r="3185" s="1" customFormat="1" ht="21.95" customHeight="1" spans="1:18">
      <c r="A3185" s="7"/>
      <c r="B3185" s="12"/>
      <c r="C3185" s="33"/>
      <c r="D3185" s="29"/>
      <c r="E3185" s="29"/>
      <c r="F3185" s="29"/>
      <c r="G3185" s="29"/>
      <c r="H3185" s="29"/>
      <c r="I3185" s="29"/>
      <c r="J3185" s="29"/>
      <c r="K3185" s="29"/>
      <c r="L3185" s="29"/>
      <c r="M3185" s="29"/>
      <c r="N3185" s="29"/>
      <c r="O3185" s="29"/>
      <c r="P3185" s="19"/>
      <c r="Q3185" s="14"/>
      <c r="R3185" s="11"/>
    </row>
    <row r="3186" s="1" customFormat="1" ht="21.95" customHeight="1" spans="1:18">
      <c r="A3186" s="7"/>
      <c r="B3186" s="12"/>
      <c r="C3186" s="33"/>
      <c r="D3186" s="80" t="s">
        <v>728</v>
      </c>
      <c r="E3186" s="220">
        <f>ENTRY!$D$27</f>
        <v>46102</v>
      </c>
      <c r="F3186" s="220"/>
      <c r="G3186" s="29"/>
      <c r="H3186" s="29"/>
      <c r="I3186" s="221" t="s">
        <v>729</v>
      </c>
      <c r="J3186" s="153"/>
      <c r="K3186" s="29"/>
      <c r="L3186" s="29"/>
      <c r="M3186" s="87" t="s">
        <v>730</v>
      </c>
      <c r="N3186" s="87"/>
      <c r="O3186" s="87"/>
      <c r="P3186" s="19"/>
      <c r="Q3186" s="14"/>
      <c r="R3186" s="11"/>
    </row>
    <row r="3187" s="1" customFormat="1" ht="21.95" customHeight="1" spans="1:18">
      <c r="A3187" s="7"/>
      <c r="B3187" s="12"/>
      <c r="C3187" s="33"/>
      <c r="D3187" s="80" t="s">
        <v>731</v>
      </c>
      <c r="E3187" s="88" t="str">
        <f>PROPER(ENTRY!$D$28)</f>
        <v>New Delhi</v>
      </c>
      <c r="F3187" s="88"/>
      <c r="G3187" s="29"/>
      <c r="H3187" s="29"/>
      <c r="I3187" s="153"/>
      <c r="J3187" s="153"/>
      <c r="K3187" s="29"/>
      <c r="L3187" s="29"/>
      <c r="M3187" s="79" t="s">
        <v>732</v>
      </c>
      <c r="N3187" s="79"/>
      <c r="O3187" s="79"/>
      <c r="P3187" s="19"/>
      <c r="Q3187" s="14"/>
      <c r="R3187" s="11"/>
    </row>
    <row r="3188" s="1" customFormat="1" ht="21.95" customHeight="1" spans="1:18">
      <c r="A3188" s="7"/>
      <c r="B3188" s="12"/>
      <c r="C3188" s="90"/>
      <c r="D3188" s="91"/>
      <c r="E3188" s="91"/>
      <c r="F3188" s="91"/>
      <c r="G3188" s="91"/>
      <c r="H3188" s="91"/>
      <c r="I3188" s="91"/>
      <c r="J3188" s="91"/>
      <c r="K3188" s="91"/>
      <c r="L3188" s="91"/>
      <c r="M3188" s="91"/>
      <c r="N3188" s="91"/>
      <c r="O3188" s="91"/>
      <c r="P3188" s="92"/>
      <c r="Q3188" s="14"/>
      <c r="R3188" s="11"/>
    </row>
    <row r="3189" s="1" customFormat="1" ht="5.1" customHeight="1" spans="1:18">
      <c r="A3189" s="7"/>
      <c r="B3189" s="90"/>
      <c r="C3189" s="91"/>
      <c r="D3189" s="91"/>
      <c r="E3189" s="91"/>
      <c r="F3189" s="91"/>
      <c r="G3189" s="91"/>
      <c r="H3189" s="91"/>
      <c r="I3189" s="91"/>
      <c r="J3189" s="91"/>
      <c r="K3189" s="91"/>
      <c r="L3189" s="91"/>
      <c r="M3189" s="91"/>
      <c r="N3189" s="91"/>
      <c r="O3189" s="91"/>
      <c r="P3189" s="91"/>
      <c r="Q3189" s="92"/>
      <c r="R3189" s="11"/>
    </row>
    <row r="3190" s="1" customFormat="1" ht="5.1" customHeight="1" spans="1:18">
      <c r="A3190" s="93"/>
      <c r="B3190" s="94"/>
      <c r="C3190" s="94"/>
      <c r="D3190" s="94"/>
      <c r="E3190" s="94"/>
      <c r="F3190" s="94"/>
      <c r="G3190" s="94"/>
      <c r="H3190" s="94"/>
      <c r="I3190" s="94"/>
      <c r="J3190" s="94"/>
      <c r="K3190" s="94"/>
      <c r="L3190" s="94"/>
      <c r="M3190" s="94"/>
      <c r="N3190" s="94"/>
      <c r="O3190" s="94"/>
      <c r="P3190" s="94"/>
      <c r="Q3190" s="94"/>
      <c r="R3190" s="95"/>
    </row>
    <row r="3191" s="1" customFormat="1" ht="21.95" customHeight="1"/>
    <row r="3192" ht="15.15"/>
    <row r="3193" s="1" customFormat="1" ht="5.1" customHeight="1" spans="1:18">
      <c r="A3193" s="4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6"/>
    </row>
    <row r="3194" s="1" customFormat="1" ht="15" customHeight="1" spans="1:18">
      <c r="A3194" s="7"/>
      <c r="B3194" s="8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10"/>
      <c r="R3194" s="11"/>
    </row>
    <row r="3195" s="1" customFormat="1" ht="21.95" customHeight="1" spans="1:18">
      <c r="A3195" s="7"/>
      <c r="B3195" s="12"/>
      <c r="C3195" s="13" t="s">
        <v>7</v>
      </c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4"/>
      <c r="R3195" s="11"/>
    </row>
    <row r="3196" s="1" customFormat="1" ht="21.95" customHeight="1" spans="1:18">
      <c r="A3196" s="7"/>
      <c r="B3196" s="1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14"/>
      <c r="R3196" s="11"/>
    </row>
    <row r="3197" s="1" customFormat="1" ht="21.95" customHeight="1" spans="1:18">
      <c r="A3197" s="7"/>
      <c r="B3197" s="12"/>
      <c r="C3197" s="15" t="str">
        <f>"SESSION-"&amp;ENTRY!$D$11</f>
        <v>SESSION-2026-27</v>
      </c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4"/>
      <c r="R3197" s="11"/>
    </row>
    <row r="3198" s="1" customFormat="1" ht="21.95" customHeight="1" spans="1:18">
      <c r="A3198" s="7"/>
      <c r="B3198" s="12"/>
      <c r="C3198" s="2"/>
      <c r="D3198" s="2"/>
      <c r="E3198" s="2"/>
      <c r="F3198" s="16">
        <f>F3142+1</f>
        <v>58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14"/>
      <c r="R3198" s="11"/>
    </row>
    <row r="3199" s="1" customFormat="1" ht="21.95" customHeight="1" spans="1:18">
      <c r="A3199" s="7"/>
      <c r="B3199" s="12"/>
      <c r="C3199" s="17" t="s">
        <v>392</v>
      </c>
      <c r="D3199" s="17"/>
      <c r="E3199" s="17"/>
      <c r="F3199" s="18" t="str">
        <f>IF(F3198&gt;0,ENTRY!$D$6,"")</f>
        <v>MCP NITHARI NO 1 BOYS</v>
      </c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4"/>
      <c r="R3199" s="11"/>
    </row>
    <row r="3200" s="1" customFormat="1" ht="21.95" customHeight="1" spans="1:18">
      <c r="A3200" s="7"/>
      <c r="B3200" s="12"/>
      <c r="C3200" s="17" t="s">
        <v>393</v>
      </c>
      <c r="D3200" s="17"/>
      <c r="E3200" s="17"/>
      <c r="F3200" s="18">
        <f>IF(F3198&gt;0,ENTRY!$D$7,"")</f>
        <v>0</v>
      </c>
      <c r="G3200" s="18"/>
      <c r="H3200" s="20" t="s">
        <v>702</v>
      </c>
      <c r="I3200" s="20"/>
      <c r="J3200" s="21">
        <f>IF(F3198&gt;0,ENTRY!$D$10,"")</f>
        <v>40</v>
      </c>
      <c r="K3200" s="20" t="s">
        <v>703</v>
      </c>
      <c r="L3200" s="22" t="str">
        <f>IF(F3198&gt;0,ENTRY!$D$5,"")</f>
        <v>ROHINI ZONE</v>
      </c>
      <c r="M3200" s="22"/>
      <c r="N3200" s="22"/>
      <c r="O3200" s="22"/>
      <c r="P3200" s="22"/>
      <c r="Q3200" s="14"/>
      <c r="R3200" s="11"/>
    </row>
    <row r="3201" s="1" customFormat="1" ht="21.95" customHeight="1" spans="1:18">
      <c r="A3201" s="7"/>
      <c r="B3201" s="12"/>
      <c r="C3201" s="17" t="s">
        <v>706</v>
      </c>
      <c r="D3201" s="17"/>
      <c r="E3201" s="17"/>
      <c r="F3201" s="23">
        <f>IFERROR(VLOOKUP(F3198,STUDENT!$A$2:$BP$101,5,0),"")</f>
        <v>0</v>
      </c>
      <c r="G3201" s="23"/>
      <c r="H3201" s="23"/>
      <c r="I3201" s="23"/>
      <c r="J3201" s="23"/>
      <c r="K3201" s="23"/>
      <c r="L3201" s="20" t="s">
        <v>707</v>
      </c>
      <c r="M3201" s="20"/>
      <c r="N3201" s="24" t="str">
        <f>IF(F3198&gt;0,ENTRY!$D$20&amp;"-"&amp;ENTRY!$D$21,"")</f>
        <v>III-A</v>
      </c>
      <c r="O3201" s="24"/>
      <c r="P3201" s="24"/>
      <c r="Q3201" s="14"/>
      <c r="R3201" s="11"/>
    </row>
    <row r="3202" s="1" customFormat="1" ht="21.95" customHeight="1" spans="1:18">
      <c r="A3202" s="7"/>
      <c r="B3202" s="12"/>
      <c r="C3202" s="17" t="s">
        <v>708</v>
      </c>
      <c r="D3202" s="17"/>
      <c r="E3202" s="17"/>
      <c r="F3202" s="25">
        <f>IFERROR(VLOOKUP(F3198,STUDENT!$A$2:$BP$101,6,0),"")</f>
        <v>0</v>
      </c>
      <c r="G3202" s="25"/>
      <c r="H3202" s="26" t="s">
        <v>709</v>
      </c>
      <c r="I3202" s="27" t="str">
        <f>IFERROR(VLOOKUP(F3198,STUDENT!$A$2:$BP$101,59,0),"")</f>
        <v/>
      </c>
      <c r="J3202" s="27"/>
      <c r="K3202" s="20" t="s">
        <v>710</v>
      </c>
      <c r="L3202" s="20"/>
      <c r="M3202" s="28">
        <f>IFERROR(VLOOKUP(F3198,STUDENT!$A$2:$BP$101,20,0),"")</f>
        <v>0</v>
      </c>
      <c r="N3202" s="28"/>
      <c r="O3202" s="28"/>
      <c r="P3202" s="28"/>
      <c r="Q3202" s="14"/>
      <c r="R3202" s="11"/>
    </row>
    <row r="3203" s="1" customFormat="1" ht="21.95" customHeight="1" spans="1:18">
      <c r="A3203" s="7"/>
      <c r="B3203" s="12"/>
      <c r="C3203" s="17" t="s">
        <v>711</v>
      </c>
      <c r="D3203" s="17"/>
      <c r="E3203" s="17"/>
      <c r="F3203" s="23">
        <f>IFERROR(VLOOKUP(F3198,STUDENT!$A$2:$BP$101,9,0),"")</f>
        <v>0</v>
      </c>
      <c r="G3203" s="23"/>
      <c r="H3203" s="23"/>
      <c r="I3203" s="23"/>
      <c r="J3203" s="17" t="s">
        <v>620</v>
      </c>
      <c r="K3203" s="17"/>
      <c r="L3203" s="23">
        <f>IFERROR(VLOOKUP(F3198,STUDENT!$A$2:$BP$101,8,0),"")</f>
        <v>0</v>
      </c>
      <c r="M3203" s="23"/>
      <c r="N3203" s="23"/>
      <c r="O3203" s="23"/>
      <c r="P3203" s="23"/>
      <c r="Q3203" s="14"/>
      <c r="R3203" s="11"/>
    </row>
    <row r="3204" s="1" customFormat="1" ht="21.95" customHeight="1" spans="1:18">
      <c r="A3204" s="7"/>
      <c r="B3204" s="12"/>
      <c r="C3204" s="17" t="s">
        <v>712</v>
      </c>
      <c r="D3204" s="17"/>
      <c r="E3204" s="17"/>
      <c r="F3204" s="23">
        <f>IFERROR(VLOOKUP(F3198,STUDENT!$A$2:$BP$101,22,0),"")</f>
        <v>0</v>
      </c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14"/>
      <c r="R3204" s="11"/>
    </row>
    <row r="3205" s="1" customFormat="1" ht="9.95" customHeight="1" spans="1:18">
      <c r="A3205" s="7"/>
      <c r="B3205" s="12"/>
      <c r="C3205" s="29"/>
      <c r="D3205" s="29"/>
      <c r="E3205" s="29"/>
      <c r="F3205" s="29"/>
      <c r="G3205" s="29"/>
      <c r="H3205" s="29"/>
      <c r="I3205" s="29"/>
      <c r="J3205" s="29"/>
      <c r="K3205" s="29"/>
      <c r="L3205" s="29"/>
      <c r="M3205" s="29"/>
      <c r="N3205" s="29"/>
      <c r="O3205" s="29"/>
      <c r="P3205" s="29"/>
      <c r="Q3205" s="14"/>
      <c r="R3205" s="11"/>
    </row>
    <row r="3206" s="1" customFormat="1" ht="9.95" customHeight="1" spans="1:18">
      <c r="A3206" s="7"/>
      <c r="B3206" s="12"/>
      <c r="C3206" s="30"/>
      <c r="D3206" s="31"/>
      <c r="E3206" s="31"/>
      <c r="F3206" s="31"/>
      <c r="G3206" s="31"/>
      <c r="H3206" s="31"/>
      <c r="I3206" s="31"/>
      <c r="J3206" s="31"/>
      <c r="K3206" s="31"/>
      <c r="L3206" s="31"/>
      <c r="M3206" s="31"/>
      <c r="N3206" s="31"/>
      <c r="O3206" s="31"/>
      <c r="P3206" s="32"/>
      <c r="Q3206" s="14"/>
      <c r="R3206" s="11"/>
    </row>
    <row r="3207" s="1" customFormat="1" ht="21.95" customHeight="1" spans="1:18">
      <c r="A3207" s="7"/>
      <c r="B3207" s="12"/>
      <c r="C3207" s="33"/>
      <c r="D3207" s="34" t="s">
        <v>713</v>
      </c>
      <c r="E3207" s="20" t="s">
        <v>714</v>
      </c>
      <c r="F3207" s="35" t="str">
        <f>"Level - "&amp;IFERROR(VLOOKUP(F3198,FLN!$A$4:$K$103,9,0),"")</f>
        <v>Level - </v>
      </c>
      <c r="G3207" s="36"/>
      <c r="H3207" s="37" t="s">
        <v>715</v>
      </c>
      <c r="I3207" s="20"/>
      <c r="J3207" s="35" t="str">
        <f>"Level - "&amp;IFERROR(VLOOKUP(F3198,FLN!$A$4:$K$103,11,0),"")</f>
        <v>Level - </v>
      </c>
      <c r="K3207" s="36"/>
      <c r="L3207" s="37" t="s">
        <v>408</v>
      </c>
      <c r="M3207" s="20"/>
      <c r="N3207" s="35" t="str">
        <f>"Level - "&amp;IFERROR(VLOOKUP(F3198,FLN!$A$4:$K$103,10,0),"")</f>
        <v>Level - </v>
      </c>
      <c r="O3207" s="36"/>
      <c r="P3207" s="19"/>
      <c r="Q3207" s="14"/>
      <c r="R3207" s="11"/>
    </row>
    <row r="3208" s="1" customFormat="1" ht="21.95" customHeight="1" spans="1:18">
      <c r="A3208" s="7"/>
      <c r="B3208" s="12"/>
      <c r="C3208" s="33"/>
      <c r="D3208" s="38"/>
      <c r="E3208" s="20" t="s">
        <v>716</v>
      </c>
      <c r="F3208" s="18" t="str">
        <f>IF(L3222&gt;197,"PERFORMED WELL","")</f>
        <v/>
      </c>
      <c r="G3208" s="18"/>
      <c r="H3208" s="18"/>
      <c r="I3208" s="18"/>
      <c r="J3208" s="18"/>
      <c r="K3208" s="18"/>
      <c r="L3208" s="18"/>
      <c r="M3208" s="18"/>
      <c r="N3208" s="18"/>
      <c r="O3208" s="18"/>
      <c r="P3208" s="19"/>
      <c r="Q3208" s="14"/>
      <c r="R3208" s="11"/>
    </row>
    <row r="3209" s="1" customFormat="1" ht="9.95" customHeight="1" spans="1:18">
      <c r="A3209" s="7"/>
      <c r="B3209" s="12"/>
      <c r="C3209" s="39"/>
      <c r="D3209" s="40"/>
      <c r="E3209" s="40"/>
      <c r="F3209" s="40"/>
      <c r="G3209" s="40"/>
      <c r="H3209" s="40"/>
      <c r="I3209" s="40"/>
      <c r="J3209" s="40"/>
      <c r="K3209" s="40"/>
      <c r="L3209" s="40"/>
      <c r="M3209" s="40"/>
      <c r="N3209" s="40"/>
      <c r="O3209" s="40"/>
      <c r="P3209" s="41"/>
      <c r="Q3209" s="14"/>
      <c r="R3209" s="11"/>
    </row>
    <row r="3210" s="1" customFormat="1" ht="9.95" customHeight="1" spans="1:18">
      <c r="A3210" s="7"/>
      <c r="B3210" s="12"/>
      <c r="C3210" s="29"/>
      <c r="D3210" s="29"/>
      <c r="E3210" s="29"/>
      <c r="F3210" s="29"/>
      <c r="G3210" s="29"/>
      <c r="H3210" s="29"/>
      <c r="I3210" s="29"/>
      <c r="J3210" s="29"/>
      <c r="K3210" s="29"/>
      <c r="L3210" s="29"/>
      <c r="M3210" s="29"/>
      <c r="N3210" s="29"/>
      <c r="O3210" s="29"/>
      <c r="P3210" s="29"/>
      <c r="Q3210" s="14"/>
      <c r="R3210" s="11"/>
    </row>
    <row r="3211" s="1" customFormat="1" ht="9.95" customHeight="1" spans="1:18">
      <c r="A3211" s="7"/>
      <c r="B3211" s="12"/>
      <c r="C3211" s="30"/>
      <c r="D3211" s="31"/>
      <c r="E3211" s="31"/>
      <c r="F3211" s="31"/>
      <c r="G3211" s="31"/>
      <c r="H3211" s="31"/>
      <c r="I3211" s="31"/>
      <c r="J3211" s="31"/>
      <c r="K3211" s="31"/>
      <c r="L3211" s="31"/>
      <c r="M3211" s="31"/>
      <c r="N3211" s="31"/>
      <c r="O3211" s="31"/>
      <c r="P3211" s="32"/>
      <c r="Q3211" s="14"/>
      <c r="R3211" s="11"/>
    </row>
    <row r="3212" s="1" customFormat="1" ht="21.95" customHeight="1" spans="1:18">
      <c r="A3212" s="7"/>
      <c r="B3212" s="12"/>
      <c r="C3212" s="33"/>
      <c r="D3212" s="35"/>
      <c r="E3212" s="24"/>
      <c r="F3212" s="24"/>
      <c r="G3212" s="47" t="s">
        <v>717</v>
      </c>
      <c r="H3212" s="47"/>
      <c r="I3212" s="47"/>
      <c r="J3212" s="47"/>
      <c r="K3212" s="47"/>
      <c r="L3212" s="47"/>
      <c r="M3212" s="47"/>
      <c r="N3212" s="47"/>
      <c r="O3212" s="29"/>
      <c r="P3212" s="19"/>
      <c r="Q3212" s="14"/>
      <c r="R3212" s="11"/>
    </row>
    <row r="3213" s="1" customFormat="1" ht="21.95" customHeight="1" spans="1:18">
      <c r="A3213" s="7"/>
      <c r="B3213" s="12"/>
      <c r="C3213" s="33"/>
      <c r="D3213" s="47"/>
      <c r="E3213" s="47"/>
      <c r="F3213" s="47"/>
      <c r="G3213" s="47" t="s">
        <v>541</v>
      </c>
      <c r="H3213" s="47" t="s">
        <v>542</v>
      </c>
      <c r="I3213" s="47" t="s">
        <v>543</v>
      </c>
      <c r="J3213" s="47" t="s">
        <v>544</v>
      </c>
      <c r="K3213" s="47" t="s">
        <v>561</v>
      </c>
      <c r="L3213" s="47" t="s">
        <v>382</v>
      </c>
      <c r="M3213" s="49" t="s">
        <v>546</v>
      </c>
      <c r="N3213" s="49"/>
      <c r="O3213" s="29"/>
      <c r="P3213" s="19"/>
      <c r="Q3213" s="14"/>
      <c r="R3213" s="11"/>
    </row>
    <row r="3214" s="1" customFormat="1" ht="21.95" customHeight="1" spans="1:18">
      <c r="A3214" s="7"/>
      <c r="B3214" s="12"/>
      <c r="C3214" s="33"/>
      <c r="D3214" s="207" t="s">
        <v>652</v>
      </c>
      <c r="E3214" s="207"/>
      <c r="F3214" s="207"/>
      <c r="G3214" s="50">
        <v>10</v>
      </c>
      <c r="H3214" s="50">
        <v>10</v>
      </c>
      <c r="I3214" s="50">
        <v>10</v>
      </c>
      <c r="J3214" s="50">
        <v>10</v>
      </c>
      <c r="K3214" s="50">
        <v>60</v>
      </c>
      <c r="L3214" s="50">
        <v>100</v>
      </c>
      <c r="M3214" s="49"/>
      <c r="N3214" s="49"/>
      <c r="O3214" s="29"/>
      <c r="P3214" s="19"/>
      <c r="Q3214" s="14"/>
      <c r="R3214" s="11"/>
    </row>
    <row r="3215" s="1" customFormat="1" ht="21.95" customHeight="1" spans="1:18">
      <c r="A3215" s="7"/>
      <c r="B3215" s="12"/>
      <c r="C3215" s="33"/>
      <c r="D3215" s="117" t="s">
        <v>668</v>
      </c>
      <c r="E3215" s="117"/>
      <c r="F3215" s="117"/>
      <c r="G3215" s="54" t="str">
        <f>IFERROR(VLOOKUP(F3198,'1to4-2.1-RR'!$A$12:$BG$111,9,0),"")</f>
        <v/>
      </c>
      <c r="H3215" s="54" t="str">
        <f>IFERROR(VLOOKUP(F3198,'1to4-2.1-RR'!$A$12:$BG$111,10,0),"")</f>
        <v/>
      </c>
      <c r="I3215" s="54" t="str">
        <f>IFERROR(VLOOKUP(F3198,'1to4-2.1-RR'!$A$12:$BG$111,11,0),"")</f>
        <v/>
      </c>
      <c r="J3215" s="54" t="str">
        <f>IFERROR(VLOOKUP(F3198,'1to4-2.1-RR'!$A$12:$BG$111,12,0),"")</f>
        <v/>
      </c>
      <c r="K3215" s="54" t="str">
        <f>IFERROR(VLOOKUP(F3198,'1to4-2.1-RR'!$A$12:$BG$111,13,0),"")</f>
        <v/>
      </c>
      <c r="L3215" s="55">
        <f>SUM(G3215:K3215)</f>
        <v>0</v>
      </c>
      <c r="M3215" s="56" t="str">
        <f>IF(F3198&gt;ENTRY!$D$24,"",IF(L3215=0,"Ab",IF(L3215&gt;80,"A",IF(L3215&gt;60,"B",IF(L3215&gt;44,"C",IF(L3215&gt;=33,"D",IF(L3215&lt;=32,"E","")))))))</f>
        <v/>
      </c>
      <c r="N3215" s="56"/>
      <c r="O3215" s="29"/>
      <c r="P3215" s="19"/>
      <c r="Q3215" s="14"/>
      <c r="R3215" s="11"/>
    </row>
    <row r="3216" s="1" customFormat="1" ht="21.95" customHeight="1" spans="1:18">
      <c r="A3216" s="7"/>
      <c r="B3216" s="12"/>
      <c r="C3216" s="33"/>
      <c r="D3216" s="117" t="s">
        <v>513</v>
      </c>
      <c r="E3216" s="117"/>
      <c r="F3216" s="117"/>
      <c r="G3216" s="54" t="str">
        <f>IFERROR(VLOOKUP(F3198,'1to4-2.1-RR'!$A$12:$BG$111,16,0),"")</f>
        <v/>
      </c>
      <c r="H3216" s="54" t="str">
        <f>IFERROR(VLOOKUP(F3198,'1to4-2.1-RR'!$A$12:$BG$111,17,0),"")</f>
        <v/>
      </c>
      <c r="I3216" s="54" t="str">
        <f>IFERROR(VLOOKUP(F3198,'1to4-2.1-RR'!$A$12:$BG$111,18,0),"")</f>
        <v/>
      </c>
      <c r="J3216" s="54" t="str">
        <f>IFERROR(VLOOKUP(F3198,'1to4-2.1-RR'!$A$12:$BG$111,19,0),"")</f>
        <v/>
      </c>
      <c r="K3216" s="54" t="str">
        <f>IFERROR(VLOOKUP(F3198,'1to4-2.1-RR'!$A$12:$BG$111,20,0),"")</f>
        <v/>
      </c>
      <c r="L3216" s="55">
        <f t="shared" ref="L3216:L3221" si="114">SUM(G3216:K3216)</f>
        <v>0</v>
      </c>
      <c r="M3216" s="56" t="str">
        <f>IF(F3198&gt;ENTRY!$D$24,"",IF(L3216=0,"Ab",IF(L3216&gt;80,"A",IF(L3216&gt;60,"B",IF(L3216&gt;44,"C",IF(L3216&gt;=33,"D",IF(L3216&lt;=32,"E","")))))))</f>
        <v/>
      </c>
      <c r="N3216" s="56"/>
      <c r="O3216" s="29"/>
      <c r="P3216" s="19"/>
      <c r="Q3216" s="14"/>
      <c r="R3216" s="11"/>
    </row>
    <row r="3217" s="1" customFormat="1" ht="21.95" customHeight="1" spans="1:19">
      <c r="A3217" s="7"/>
      <c r="B3217" s="12"/>
      <c r="C3217" s="33"/>
      <c r="D3217" s="117" t="s">
        <v>718</v>
      </c>
      <c r="E3217" s="117"/>
      <c r="F3217" s="117"/>
      <c r="G3217" s="54" t="str">
        <f>IFERROR(VLOOKUP(F3198,'1to4-2.1-RR'!$A$12:$BG$111,23,0),"")</f>
        <v/>
      </c>
      <c r="H3217" s="54" t="str">
        <f>IFERROR(VLOOKUP(F3198,'1to4-2.1-RR'!$A$12:$BG$111,24,0),"")</f>
        <v/>
      </c>
      <c r="I3217" s="54" t="str">
        <f>IFERROR(VLOOKUP(F3198,'1to4-2.1-RR'!$A$12:$BG$111,25,0),"")</f>
        <v/>
      </c>
      <c r="J3217" s="54" t="str">
        <f>IFERROR(VLOOKUP(F3198,'1to4-2.1-RR'!$A$12:$BG$111,26,0),"")</f>
        <v/>
      </c>
      <c r="K3217" s="54" t="str">
        <f>IFERROR(VLOOKUP(F3198,'1to4-2.1-RR'!$A$12:$BG$111,27,0),"")</f>
        <v/>
      </c>
      <c r="L3217" s="55">
        <f t="shared" si="114"/>
        <v>0</v>
      </c>
      <c r="M3217" s="56" t="str">
        <f>IF(F3198&gt;ENTRY!$D$24,"",IF(L3217=0,"Ab",IF(L3217&gt;80,"A",IF(L3217&gt;60,"B",IF(L3217&gt;44,"C",IF(L3217&gt;=33,"D",IF(L3217&lt;=32,"E","")))))))</f>
        <v/>
      </c>
      <c r="N3217" s="56"/>
      <c r="O3217" s="29"/>
      <c r="P3217" s="19"/>
      <c r="Q3217" s="14"/>
      <c r="R3217" s="11"/>
    </row>
    <row r="3218" s="1" customFormat="1" ht="21.95" customHeight="1" spans="1:19">
      <c r="A3218" s="7"/>
      <c r="B3218" s="12"/>
      <c r="C3218" s="33"/>
      <c r="D3218" s="117" t="s">
        <v>719</v>
      </c>
      <c r="E3218" s="117"/>
      <c r="F3218" s="117"/>
      <c r="G3218" s="54" t="str">
        <f>IFERROR(VLOOKUP(F3198,'1to4-2.1-RR'!$A$12:$BG$111,30,0),"")</f>
        <v/>
      </c>
      <c r="H3218" s="54" t="str">
        <f>IFERROR(VLOOKUP(F3198,'1to4-2.1-RR'!$A$12:$BG$111,31,0),"")</f>
        <v/>
      </c>
      <c r="I3218" s="54" t="str">
        <f>IFERROR(VLOOKUP(F3198,'1to4-2.1-RR'!$A$12:$BG$111,32,0),"")</f>
        <v/>
      </c>
      <c r="J3218" s="54" t="str">
        <f>IFERROR(VLOOKUP(F3198,'1to4-2.1-RR'!$A$12:$BG$111,33,0),"")</f>
        <v/>
      </c>
      <c r="K3218" s="54" t="str">
        <f>IFERROR(VLOOKUP(F3198,'1to4-2.1-RR'!$A$12:$BG$111,34,0),"")</f>
        <v/>
      </c>
      <c r="L3218" s="55">
        <f t="shared" si="114"/>
        <v>0</v>
      </c>
      <c r="M3218" s="56" t="str">
        <f>IF(F3198&gt;ENTRY!$D$24,"",IF(L3218=0,"Ab",IF(L3218&gt;80,"A",IF(L3218&gt;60,"B",IF(L3218&gt;44,"C",IF(L3218&gt;=33,"D",IF(L3218&lt;=32,"E","")))))))</f>
        <v/>
      </c>
      <c r="N3218" s="56"/>
      <c r="O3218" s="29"/>
      <c r="P3218" s="19"/>
      <c r="Q3218" s="14"/>
      <c r="R3218" s="11"/>
    </row>
    <row r="3219" s="1" customFormat="1" ht="21.95" customHeight="1" spans="1:19">
      <c r="A3219" s="7"/>
      <c r="B3219" s="12"/>
      <c r="C3219" s="33"/>
      <c r="D3219" s="117" t="s">
        <v>548</v>
      </c>
      <c r="E3219" s="117"/>
      <c r="F3219" s="117"/>
      <c r="G3219" s="54" t="str">
        <f>IFERROR(VLOOKUP(F3198,'1to4-2.1-RR'!$A$12:$BG$111,37,0),"")</f>
        <v/>
      </c>
      <c r="H3219" s="54" t="str">
        <f>IFERROR(VLOOKUP(F3198,'1to4-2.1-RR'!$A$12:$BG$111,38,0),"")</f>
        <v/>
      </c>
      <c r="I3219" s="54" t="str">
        <f>IFERROR(VLOOKUP(F3198,'1to4-2.1-RR'!$A$12:$BG$111,39,0),"")</f>
        <v/>
      </c>
      <c r="J3219" s="54" t="str">
        <f>IFERROR(VLOOKUP(F3198,'1to4-2.1-RR'!$A$12:$BG$111,40,0),"")</f>
        <v/>
      </c>
      <c r="K3219" s="54" t="str">
        <f>IFERROR(VLOOKUP(F3198,'1to4-2.1-RR'!$A$12:$BG$111,41,0),"")</f>
        <v/>
      </c>
      <c r="L3219" s="55">
        <f t="shared" si="114"/>
        <v>0</v>
      </c>
      <c r="M3219" s="56" t="str">
        <f>IF(F3198&gt;ENTRY!$D$24,"",IF(L3219=0,"Ab",IF(L3219&gt;80,"A",IF(L3219&gt;60,"B",IF(L3219&gt;44,"C",IF(L3219&gt;=33,"D",IF(L3219&lt;=32,"E","")))))))</f>
        <v/>
      </c>
      <c r="N3219" s="56"/>
      <c r="O3219" s="29"/>
      <c r="P3219" s="19"/>
      <c r="Q3219" s="14"/>
      <c r="R3219" s="11"/>
    </row>
    <row r="3220" s="1" customFormat="1" ht="21.95" customHeight="1" spans="1:19">
      <c r="A3220" s="7"/>
      <c r="B3220" s="12"/>
      <c r="C3220" s="33"/>
      <c r="D3220" s="117" t="s">
        <v>549</v>
      </c>
      <c r="E3220" s="117"/>
      <c r="F3220" s="117"/>
      <c r="G3220" s="54" t="str">
        <f>IFERROR(VLOOKUP(F3198,'1to4-2.1-RR'!$A$12:$BG$111,44,0),"")</f>
        <v/>
      </c>
      <c r="H3220" s="54" t="str">
        <f>IFERROR(VLOOKUP(F3198,'1to4-2.1-RR'!$A$12:$BG$111,45,0),"")</f>
        <v/>
      </c>
      <c r="I3220" s="54" t="str">
        <f>IFERROR(VLOOKUP(F3198,'1to4-2.1-RR'!$A$12:$BG$111,46,0),"")</f>
        <v/>
      </c>
      <c r="J3220" s="54" t="str">
        <f>IFERROR(VLOOKUP(F3198,'1to4-2.1-RR'!$A$12:$BG$111,47,0),"")</f>
        <v/>
      </c>
      <c r="K3220" s="54" t="str">
        <f>IFERROR(VLOOKUP(F3198,'1to4-2.1-RR'!$A$12:$BG$111,48,0),"")</f>
        <v/>
      </c>
      <c r="L3220" s="55">
        <f t="shared" si="114"/>
        <v>0</v>
      </c>
      <c r="M3220" s="56" t="str">
        <f>IF(F3198&gt;ENTRY!$D$24,"",IF(L3220=0,"Ab",IF(L3220&gt;80,"A",IF(L3220&gt;60,"B",IF(L3220&gt;44,"C",IF(L3220&gt;=33,"D",IF(L3220&lt;=32,"E","")))))))</f>
        <v/>
      </c>
      <c r="N3220" s="56"/>
      <c r="O3220" s="29"/>
      <c r="P3220" s="19"/>
      <c r="Q3220" s="14"/>
      <c r="R3220" s="11"/>
    </row>
    <row r="3221" s="1" customFormat="1" ht="21.95" customHeight="1" spans="1:19">
      <c r="A3221" s="7"/>
      <c r="B3221" s="12"/>
      <c r="C3221" s="33"/>
      <c r="D3221" s="117" t="s">
        <v>720</v>
      </c>
      <c r="E3221" s="117"/>
      <c r="F3221" s="117"/>
      <c r="G3221" s="54"/>
      <c r="H3221" s="54"/>
      <c r="I3221" s="54"/>
      <c r="J3221" s="54"/>
      <c r="K3221" s="54"/>
      <c r="L3221" s="55">
        <f t="shared" si="114"/>
        <v>0</v>
      </c>
      <c r="M3221" s="56" t="str">
        <f>IF(F3198&gt;ENTRY!$D$24,"",IF(L3221=0,"",IF(L3221&gt;79,"A",IF(L3221&gt;59,"B",IF(L3221&gt;44,"C",IF(L3221&gt;=33,"D",IF(L3221&lt;=32,"E","")))))))</f>
        <v/>
      </c>
      <c r="N3221" s="56"/>
      <c r="O3221" s="29"/>
      <c r="P3221" s="19"/>
      <c r="Q3221" s="14"/>
      <c r="R3221" s="11"/>
    </row>
    <row r="3222" s="1" customFormat="1" ht="21.95" customHeight="1" spans="1:19">
      <c r="A3222" s="7"/>
      <c r="B3222" s="12"/>
      <c r="C3222" s="33"/>
      <c r="D3222" s="207" t="s">
        <v>382</v>
      </c>
      <c r="E3222" s="207"/>
      <c r="F3222" s="207"/>
      <c r="G3222" s="54">
        <f t="shared" ref="G3222:L3222" si="115">IFERROR(SUM(G3215:G3221),"")</f>
        <v>0</v>
      </c>
      <c r="H3222" s="54">
        <f t="shared" si="115"/>
        <v>0</v>
      </c>
      <c r="I3222" s="54">
        <f t="shared" si="115"/>
        <v>0</v>
      </c>
      <c r="J3222" s="54">
        <f t="shared" si="115"/>
        <v>0</v>
      </c>
      <c r="K3222" s="54">
        <f t="shared" si="115"/>
        <v>0</v>
      </c>
      <c r="L3222" s="55">
        <f t="shared" si="115"/>
        <v>0</v>
      </c>
      <c r="M3222" s="61" t="str">
        <f>IF(F3198&gt;ENTRY!$D$24,"",IF(N3223="Ab","Ab",IF(N3223&gt;79.5,"A",IF(N3223&gt;59.5,"B",IF(N3223&gt;44.5,"C",IF(N3223&gt;=33,"D",IF(N3223&lt;33,"E","")))))))</f>
        <v/>
      </c>
      <c r="N3222" s="61"/>
      <c r="O3222" s="29"/>
      <c r="P3222" s="19"/>
      <c r="Q3222" s="14"/>
      <c r="R3222" s="11"/>
    </row>
    <row r="3223" s="1" customFormat="1" ht="21.95" customHeight="1" spans="1:19">
      <c r="A3223" s="7"/>
      <c r="B3223" s="12"/>
      <c r="C3223" s="33"/>
      <c r="D3223" s="63" t="s">
        <v>721</v>
      </c>
      <c r="E3223" s="63"/>
      <c r="F3223" s="63"/>
      <c r="G3223" s="63"/>
      <c r="H3223" s="63"/>
      <c r="I3223" s="63"/>
      <c r="J3223" s="63"/>
      <c r="K3223" s="63"/>
      <c r="L3223" s="63"/>
      <c r="M3223" s="209"/>
      <c r="N3223" s="64">
        <f>IF(L3222="Ab","Ab",L3222/6)</f>
        <v>0</v>
      </c>
      <c r="O3223" s="65"/>
      <c r="P3223" s="19"/>
      <c r="Q3223" s="14"/>
      <c r="R3223" s="11"/>
    </row>
    <row r="3224" s="1" customFormat="1" ht="21.95" customHeight="1" spans="1:19">
      <c r="A3224" s="7"/>
      <c r="B3224" s="12"/>
      <c r="C3224" s="33"/>
      <c r="D3224" s="29" t="s">
        <v>716</v>
      </c>
      <c r="E3224" s="18" t="str">
        <f>IFERROR(VLOOKUP(F3198,'1to4-2.1-RR'!$A$12:$BG$111,57,0),"")</f>
        <v/>
      </c>
      <c r="F3224" s="18"/>
      <c r="G3224" s="18"/>
      <c r="H3224" s="18"/>
      <c r="I3224" s="18"/>
      <c r="J3224" s="18"/>
      <c r="K3224" s="18"/>
      <c r="L3224" s="18"/>
      <c r="M3224" s="18"/>
      <c r="N3224" s="29"/>
      <c r="O3224" s="29"/>
      <c r="P3224" s="19"/>
      <c r="Q3224" s="14"/>
      <c r="R3224" s="11"/>
    </row>
    <row r="3225" s="1" customFormat="1" ht="9.95" customHeight="1" spans="1:19">
      <c r="A3225" s="7"/>
      <c r="B3225" s="12"/>
      <c r="C3225" s="39"/>
      <c r="D3225" s="40"/>
      <c r="E3225" s="40"/>
      <c r="F3225" s="40"/>
      <c r="G3225" s="40"/>
      <c r="H3225" s="40"/>
      <c r="I3225" s="40"/>
      <c r="J3225" s="40"/>
      <c r="K3225" s="40"/>
      <c r="L3225" s="40"/>
      <c r="M3225" s="40"/>
      <c r="N3225" s="40"/>
      <c r="O3225" s="40"/>
      <c r="P3225" s="41"/>
      <c r="Q3225" s="14"/>
      <c r="R3225" s="11"/>
    </row>
    <row r="3226" s="1" customFormat="1" ht="9.95" customHeight="1" spans="1:19">
      <c r="A3226" s="7"/>
      <c r="B3226" s="12"/>
      <c r="C3226" s="30"/>
      <c r="D3226" s="31"/>
      <c r="E3226" s="31"/>
      <c r="F3226" s="29"/>
      <c r="G3226" s="31"/>
      <c r="H3226" s="31"/>
      <c r="I3226" s="31"/>
      <c r="J3226" s="31"/>
      <c r="K3226" s="31"/>
      <c r="L3226" s="31"/>
      <c r="M3226" s="31"/>
      <c r="N3226" s="31"/>
      <c r="O3226" s="31"/>
      <c r="P3226" s="32"/>
      <c r="Q3226" s="14"/>
      <c r="R3226" s="11"/>
    </row>
    <row r="3227" s="1" customFormat="1" ht="9.95" customHeight="1" spans="1:19">
      <c r="A3227" s="7"/>
      <c r="B3227" s="12"/>
      <c r="C3227" s="33"/>
      <c r="D3227" s="29"/>
      <c r="E3227" s="29"/>
      <c r="F3227" s="29"/>
      <c r="G3227" s="29"/>
      <c r="H3227" s="29"/>
      <c r="I3227" s="29"/>
      <c r="J3227" s="29"/>
      <c r="K3227" s="29"/>
      <c r="L3227" s="29"/>
      <c r="M3227" s="29"/>
      <c r="N3227" s="29"/>
      <c r="O3227" s="29"/>
      <c r="P3227" s="19"/>
      <c r="Q3227" s="14"/>
      <c r="R3227" s="11"/>
    </row>
    <row r="3228" s="1" customFormat="1" ht="9.95" customHeight="1" spans="1:19">
      <c r="A3228" s="7"/>
      <c r="B3228" s="12"/>
      <c r="C3228" s="33"/>
      <c r="D3228" s="29"/>
      <c r="E3228" s="29"/>
      <c r="F3228" s="29"/>
      <c r="G3228" s="29"/>
      <c r="H3228" s="29"/>
      <c r="I3228" s="29"/>
      <c r="J3228" s="29"/>
      <c r="K3228" s="29"/>
      <c r="L3228" s="29"/>
      <c r="M3228" s="29"/>
      <c r="N3228" s="29"/>
      <c r="O3228" s="29"/>
      <c r="P3228" s="19"/>
      <c r="Q3228" s="14"/>
      <c r="R3228" s="11"/>
    </row>
    <row r="3229" s="1" customFormat="1" ht="21.95" customHeight="1" spans="1:19">
      <c r="A3229" s="7"/>
      <c r="B3229" s="12"/>
      <c r="C3229" s="210"/>
      <c r="D3229" s="211"/>
      <c r="E3229" s="211"/>
      <c r="F3229" s="211"/>
      <c r="G3229" s="211"/>
      <c r="H3229" s="211"/>
      <c r="I3229" s="211"/>
      <c r="J3229" s="211"/>
      <c r="K3229" s="211"/>
      <c r="L3229" s="211"/>
      <c r="M3229" s="211"/>
      <c r="N3229" s="211"/>
      <c r="O3229" s="211"/>
      <c r="P3229" s="212"/>
      <c r="Q3229" s="14"/>
      <c r="R3229" s="11"/>
      <c r="S3229" s="2"/>
    </row>
    <row r="3230" s="1" customFormat="1" ht="21.95" customHeight="1" spans="1:19">
      <c r="A3230" s="7"/>
      <c r="B3230" s="12"/>
      <c r="C3230" s="33"/>
      <c r="D3230" s="207" t="s">
        <v>722</v>
      </c>
      <c r="E3230" s="207"/>
      <c r="F3230" s="207"/>
      <c r="G3230" s="207"/>
      <c r="H3230" s="54">
        <f>IFERROR(VLOOKUP(F3198,PASHEET!$A$4:$CJ$103,88,0),"")</f>
        <v>0</v>
      </c>
      <c r="I3230" s="54"/>
      <c r="J3230" s="29"/>
      <c r="K3230" s="29"/>
      <c r="L3230" s="29"/>
      <c r="M3230" s="29"/>
      <c r="N3230" s="29"/>
      <c r="O3230" s="29"/>
      <c r="P3230" s="19"/>
      <c r="Q3230" s="14"/>
      <c r="R3230" s="11"/>
    </row>
    <row r="3231" s="1" customFormat="1" ht="21.95" customHeight="1" spans="1:19">
      <c r="A3231" s="7"/>
      <c r="B3231" s="12"/>
      <c r="C3231" s="213"/>
      <c r="D3231" s="207" t="s">
        <v>723</v>
      </c>
      <c r="E3231" s="207"/>
      <c r="F3231" s="207"/>
      <c r="G3231" s="207"/>
      <c r="H3231" s="54">
        <f>IFERROR(VLOOKUP(F3198,PASHEET!$A$4:$CJ$103,87,0),"")</f>
        <v>0</v>
      </c>
      <c r="I3231" s="54"/>
      <c r="J3231" s="214"/>
      <c r="K3231" s="214"/>
      <c r="L3231" s="207" t="s">
        <v>724</v>
      </c>
      <c r="M3231" s="207"/>
      <c r="N3231" s="117" t="str">
        <f>IF(F3198&gt;ENTRY!$D$24,"",IF(F3198&gt;0,L3222&amp;" / "&amp;600,""))</f>
        <v/>
      </c>
      <c r="O3231" s="117"/>
      <c r="P3231" s="215"/>
      <c r="Q3231" s="14"/>
      <c r="R3231" s="11"/>
    </row>
    <row r="3232" s="1" customFormat="1" ht="18" customHeight="1" spans="1:19">
      <c r="A3232" s="7"/>
      <c r="B3232" s="12"/>
      <c r="C3232" s="33"/>
      <c r="D3232" s="207" t="s">
        <v>725</v>
      </c>
      <c r="E3232" s="207"/>
      <c r="F3232" s="207"/>
      <c r="G3232" s="207"/>
      <c r="H3232" s="69" t="str">
        <f>IFERROR(IF(F3198&gt;0,H3231/H3230*100),"")</f>
        <v/>
      </c>
      <c r="I3232" s="69"/>
      <c r="J3232" s="29"/>
      <c r="K3232" s="29"/>
      <c r="L3232" s="207" t="s">
        <v>726</v>
      </c>
      <c r="M3232" s="207"/>
      <c r="N3232" s="216" t="str">
        <f>IF(F3198&gt;ENTRY!$D$24,"",IF(F3198&gt;0,L3222/600*100,""))</f>
        <v/>
      </c>
      <c r="O3232" s="216"/>
      <c r="P3232" s="19"/>
      <c r="Q3232" s="14"/>
      <c r="R3232" s="11"/>
    </row>
    <row r="3233" s="1" customFormat="1" ht="21.95" customHeight="1" spans="1:18">
      <c r="A3233" s="7"/>
      <c r="B3233" s="12"/>
      <c r="C3233" s="33"/>
      <c r="D3233" s="80"/>
      <c r="E3233" s="80"/>
      <c r="F3233" s="217"/>
      <c r="G3233" s="217"/>
      <c r="H3233" s="217"/>
      <c r="I3233" s="217"/>
      <c r="J3233" s="217"/>
      <c r="K3233" s="217"/>
      <c r="L3233" s="217"/>
      <c r="M3233" s="217"/>
      <c r="N3233" s="80"/>
      <c r="O3233" s="80"/>
      <c r="P3233" s="19"/>
      <c r="Q3233" s="14"/>
      <c r="R3233" s="11"/>
    </row>
    <row r="3234" s="1" customFormat="1" ht="21.95" customHeight="1" spans="1:18">
      <c r="A3234" s="7"/>
      <c r="B3234" s="12"/>
      <c r="C3234" s="33"/>
      <c r="D3234" s="80"/>
      <c r="E3234" s="218"/>
      <c r="F3234" s="218"/>
      <c r="G3234" s="218"/>
      <c r="H3234" s="80"/>
      <c r="I3234" s="218"/>
      <c r="J3234" s="218"/>
      <c r="K3234" s="218"/>
      <c r="L3234" s="218"/>
      <c r="M3234" s="80"/>
      <c r="N3234" s="219"/>
      <c r="O3234" s="219"/>
      <c r="P3234" s="19"/>
      <c r="Q3234" s="14"/>
      <c r="R3234" s="11"/>
    </row>
    <row r="3235" s="1" customFormat="1" ht="21.95" customHeight="1" spans="1:18">
      <c r="A3235" s="7"/>
      <c r="B3235" s="12"/>
      <c r="C3235" s="33"/>
      <c r="D3235" s="80"/>
      <c r="E3235" s="80"/>
      <c r="F3235" s="80"/>
      <c r="G3235" s="80"/>
      <c r="H3235" s="80"/>
      <c r="I3235" s="80"/>
      <c r="J3235" s="80"/>
      <c r="K3235" s="80"/>
      <c r="L3235" s="80"/>
      <c r="M3235" s="80"/>
      <c r="N3235" s="80"/>
      <c r="O3235" s="80"/>
      <c r="P3235" s="19"/>
      <c r="Q3235" s="14"/>
      <c r="R3235" s="11"/>
    </row>
    <row r="3236" s="1" customFormat="1" ht="21.95" customHeight="1" spans="1:18">
      <c r="A3236" s="7"/>
      <c r="B3236" s="12"/>
      <c r="C3236" s="33"/>
      <c r="D3236" s="218"/>
      <c r="E3236" s="218"/>
      <c r="F3236" s="218"/>
      <c r="G3236" s="218"/>
      <c r="H3236" s="218"/>
      <c r="I3236" s="218"/>
      <c r="J3236" s="218"/>
      <c r="K3236" s="218"/>
      <c r="L3236" s="218"/>
      <c r="M3236" s="80"/>
      <c r="N3236" s="217"/>
      <c r="O3236" s="217"/>
      <c r="P3236" s="85" t="s">
        <v>727</v>
      </c>
      <c r="Q3236" s="14"/>
      <c r="R3236" s="11"/>
    </row>
    <row r="3237" s="1" customFormat="1" ht="21.95" customHeight="1" spans="1:18">
      <c r="A3237" s="7"/>
      <c r="B3237" s="12"/>
      <c r="C3237" s="33"/>
      <c r="D3237" s="29"/>
      <c r="E3237" s="29"/>
      <c r="F3237" s="29"/>
      <c r="G3237" s="29"/>
      <c r="H3237" s="29"/>
      <c r="I3237" s="29"/>
      <c r="J3237" s="29"/>
      <c r="K3237" s="29"/>
      <c r="L3237" s="29"/>
      <c r="M3237" s="29"/>
      <c r="N3237" s="29"/>
      <c r="O3237" s="29"/>
      <c r="P3237" s="19"/>
      <c r="Q3237" s="14"/>
      <c r="R3237" s="11"/>
    </row>
    <row r="3238" s="1" customFormat="1" ht="21.95" customHeight="1" spans="1:18">
      <c r="A3238" s="7"/>
      <c r="B3238" s="12"/>
      <c r="C3238" s="33"/>
      <c r="D3238" s="29"/>
      <c r="E3238" s="29"/>
      <c r="F3238" s="29"/>
      <c r="G3238" s="29"/>
      <c r="H3238" s="29"/>
      <c r="I3238" s="29"/>
      <c r="J3238" s="29"/>
      <c r="K3238" s="29"/>
      <c r="L3238" s="29"/>
      <c r="M3238" s="29"/>
      <c r="N3238" s="29"/>
      <c r="O3238" s="29"/>
      <c r="P3238" s="19"/>
      <c r="Q3238" s="14"/>
      <c r="R3238" s="11"/>
    </row>
    <row r="3239" s="1" customFormat="1" ht="21.95" customHeight="1" spans="1:18">
      <c r="A3239" s="7"/>
      <c r="B3239" s="12"/>
      <c r="C3239" s="33"/>
      <c r="D3239" s="29"/>
      <c r="E3239" s="29"/>
      <c r="F3239" s="29"/>
      <c r="G3239" s="29"/>
      <c r="H3239" s="29"/>
      <c r="I3239" s="29"/>
      <c r="J3239" s="29"/>
      <c r="K3239" s="29"/>
      <c r="L3239" s="29"/>
      <c r="M3239" s="29"/>
      <c r="N3239" s="29"/>
      <c r="O3239" s="29"/>
      <c r="P3239" s="19"/>
      <c r="Q3239" s="14"/>
      <c r="R3239" s="11"/>
    </row>
    <row r="3240" s="1" customFormat="1" ht="21.95" customHeight="1" spans="1:18">
      <c r="A3240" s="7"/>
      <c r="B3240" s="12"/>
      <c r="C3240" s="33"/>
      <c r="D3240" s="29"/>
      <c r="E3240" s="29"/>
      <c r="F3240" s="29"/>
      <c r="G3240" s="29"/>
      <c r="H3240" s="29"/>
      <c r="I3240" s="29"/>
      <c r="J3240" s="29"/>
      <c r="K3240" s="29"/>
      <c r="L3240" s="29"/>
      <c r="M3240" s="29"/>
      <c r="N3240" s="29"/>
      <c r="O3240" s="29"/>
      <c r="P3240" s="19"/>
      <c r="Q3240" s="14"/>
      <c r="R3240" s="11"/>
    </row>
    <row r="3241" s="1" customFormat="1" ht="21.95" customHeight="1" spans="1:18">
      <c r="A3241" s="7"/>
      <c r="B3241" s="12"/>
      <c r="C3241" s="33"/>
      <c r="D3241" s="29"/>
      <c r="E3241" s="29"/>
      <c r="F3241" s="29"/>
      <c r="G3241" s="29"/>
      <c r="H3241" s="29"/>
      <c r="I3241" s="29"/>
      <c r="J3241" s="29"/>
      <c r="K3241" s="29"/>
      <c r="L3241" s="29"/>
      <c r="M3241" s="29"/>
      <c r="N3241" s="29"/>
      <c r="O3241" s="29"/>
      <c r="P3241" s="19"/>
      <c r="Q3241" s="14"/>
      <c r="R3241" s="11"/>
    </row>
    <row r="3242" s="1" customFormat="1" ht="21.95" customHeight="1" spans="1:18">
      <c r="A3242" s="7"/>
      <c r="B3242" s="12"/>
      <c r="C3242" s="33"/>
      <c r="D3242" s="80" t="s">
        <v>728</v>
      </c>
      <c r="E3242" s="220">
        <f>ENTRY!$D$27</f>
        <v>46102</v>
      </c>
      <c r="F3242" s="220"/>
      <c r="G3242" s="29"/>
      <c r="H3242" s="29"/>
      <c r="I3242" s="221" t="s">
        <v>729</v>
      </c>
      <c r="J3242" s="153"/>
      <c r="K3242" s="29"/>
      <c r="L3242" s="29"/>
      <c r="M3242" s="87" t="s">
        <v>730</v>
      </c>
      <c r="N3242" s="87"/>
      <c r="O3242" s="87"/>
      <c r="P3242" s="19"/>
      <c r="Q3242" s="14"/>
      <c r="R3242" s="11"/>
    </row>
    <row r="3243" s="1" customFormat="1" ht="21.95" customHeight="1" spans="1:18">
      <c r="A3243" s="7"/>
      <c r="B3243" s="12"/>
      <c r="C3243" s="33"/>
      <c r="D3243" s="80" t="s">
        <v>731</v>
      </c>
      <c r="E3243" s="88" t="str">
        <f>PROPER(ENTRY!$D$28)</f>
        <v>New Delhi</v>
      </c>
      <c r="F3243" s="88"/>
      <c r="G3243" s="29"/>
      <c r="H3243" s="29"/>
      <c r="I3243" s="153"/>
      <c r="J3243" s="153"/>
      <c r="K3243" s="29"/>
      <c r="L3243" s="29"/>
      <c r="M3243" s="79" t="s">
        <v>732</v>
      </c>
      <c r="N3243" s="79"/>
      <c r="O3243" s="79"/>
      <c r="P3243" s="19"/>
      <c r="Q3243" s="14"/>
      <c r="R3243" s="11"/>
    </row>
    <row r="3244" s="1" customFormat="1" ht="21.95" customHeight="1" spans="1:18">
      <c r="A3244" s="7"/>
      <c r="B3244" s="12"/>
      <c r="C3244" s="90"/>
      <c r="D3244" s="91"/>
      <c r="E3244" s="91"/>
      <c r="F3244" s="91"/>
      <c r="G3244" s="91"/>
      <c r="H3244" s="91"/>
      <c r="I3244" s="91"/>
      <c r="J3244" s="91"/>
      <c r="K3244" s="91"/>
      <c r="L3244" s="91"/>
      <c r="M3244" s="91"/>
      <c r="N3244" s="91"/>
      <c r="O3244" s="91"/>
      <c r="P3244" s="92"/>
      <c r="Q3244" s="14"/>
      <c r="R3244" s="11"/>
    </row>
    <row r="3245" s="1" customFormat="1" ht="5.1" customHeight="1" spans="1:18">
      <c r="A3245" s="7"/>
      <c r="B3245" s="90"/>
      <c r="C3245" s="91"/>
      <c r="D3245" s="91"/>
      <c r="E3245" s="91"/>
      <c r="F3245" s="91"/>
      <c r="G3245" s="91"/>
      <c r="H3245" s="91"/>
      <c r="I3245" s="91"/>
      <c r="J3245" s="91"/>
      <c r="K3245" s="91"/>
      <c r="L3245" s="91"/>
      <c r="M3245" s="91"/>
      <c r="N3245" s="91"/>
      <c r="O3245" s="91"/>
      <c r="P3245" s="91"/>
      <c r="Q3245" s="92"/>
      <c r="R3245" s="11"/>
    </row>
    <row r="3246" s="1" customFormat="1" ht="5.1" customHeight="1" spans="1:18">
      <c r="A3246" s="93"/>
      <c r="B3246" s="94"/>
      <c r="C3246" s="94"/>
      <c r="D3246" s="94"/>
      <c r="E3246" s="94"/>
      <c r="F3246" s="94"/>
      <c r="G3246" s="94"/>
      <c r="H3246" s="94"/>
      <c r="I3246" s="94"/>
      <c r="J3246" s="94"/>
      <c r="K3246" s="94"/>
      <c r="L3246" s="94"/>
      <c r="M3246" s="94"/>
      <c r="N3246" s="94"/>
      <c r="O3246" s="94"/>
      <c r="P3246" s="94"/>
      <c r="Q3246" s="94"/>
      <c r="R3246" s="95"/>
    </row>
    <row r="3247" s="1" customFormat="1" ht="21.95" customHeight="1"/>
    <row r="3248" ht="15.15"/>
    <row r="3249" s="1" customFormat="1" ht="5.1" customHeight="1" spans="1:18">
      <c r="A3249" s="4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  <c r="O3249" s="5"/>
      <c r="P3249" s="5"/>
      <c r="Q3249" s="5"/>
      <c r="R3249" s="6"/>
    </row>
    <row r="3250" s="1" customFormat="1" ht="15" customHeight="1" spans="1:18">
      <c r="A3250" s="7"/>
      <c r="B3250" s="8"/>
      <c r="C3250" s="9"/>
      <c r="D3250" s="9"/>
      <c r="E3250" s="9"/>
      <c r="F3250" s="9"/>
      <c r="G3250" s="9"/>
      <c r="H3250" s="9"/>
      <c r="I3250" s="9"/>
      <c r="J3250" s="9"/>
      <c r="K3250" s="9"/>
      <c r="L3250" s="9"/>
      <c r="M3250" s="9"/>
      <c r="N3250" s="9"/>
      <c r="O3250" s="9"/>
      <c r="P3250" s="9"/>
      <c r="Q3250" s="10"/>
      <c r="R3250" s="11"/>
    </row>
    <row r="3251" s="1" customFormat="1" ht="21.95" customHeight="1" spans="1:18">
      <c r="A3251" s="7"/>
      <c r="B3251" s="12"/>
      <c r="C3251" s="13" t="s">
        <v>7</v>
      </c>
      <c r="D3251" s="13"/>
      <c r="E3251" s="13"/>
      <c r="F3251" s="13"/>
      <c r="G3251" s="13"/>
      <c r="H3251" s="13"/>
      <c r="I3251" s="13"/>
      <c r="J3251" s="13"/>
      <c r="K3251" s="13"/>
      <c r="L3251" s="13"/>
      <c r="M3251" s="13"/>
      <c r="N3251" s="13"/>
      <c r="O3251" s="13"/>
      <c r="P3251" s="13"/>
      <c r="Q3251" s="14"/>
      <c r="R3251" s="11"/>
    </row>
    <row r="3252" s="1" customFormat="1" ht="21.95" customHeight="1" spans="1:18">
      <c r="A3252" s="7"/>
      <c r="B3252" s="1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14"/>
      <c r="R3252" s="11"/>
    </row>
    <row r="3253" s="1" customFormat="1" ht="21.95" customHeight="1" spans="1:18">
      <c r="A3253" s="7"/>
      <c r="B3253" s="12"/>
      <c r="C3253" s="15" t="str">
        <f>"SESSION-"&amp;ENTRY!$D$11</f>
        <v>SESSION-2026-27</v>
      </c>
      <c r="D3253" s="15"/>
      <c r="E3253" s="15"/>
      <c r="F3253" s="15"/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4"/>
      <c r="R3253" s="11"/>
    </row>
    <row r="3254" s="1" customFormat="1" ht="21.95" customHeight="1" spans="1:18">
      <c r="A3254" s="7"/>
      <c r="B3254" s="12"/>
      <c r="C3254" s="2"/>
      <c r="D3254" s="2"/>
      <c r="E3254" s="2"/>
      <c r="F3254" s="16">
        <f>F3198+1</f>
        <v>59</v>
      </c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14"/>
      <c r="R3254" s="11"/>
    </row>
    <row r="3255" s="1" customFormat="1" ht="21.95" customHeight="1" spans="1:18">
      <c r="A3255" s="7"/>
      <c r="B3255" s="12"/>
      <c r="C3255" s="17" t="s">
        <v>392</v>
      </c>
      <c r="D3255" s="17"/>
      <c r="E3255" s="17"/>
      <c r="F3255" s="18" t="str">
        <f>IF(F3254&gt;0,ENTRY!$D$6,"")</f>
        <v>MCP NITHARI NO 1 BOYS</v>
      </c>
      <c r="G3255" s="18"/>
      <c r="H3255" s="18"/>
      <c r="I3255" s="18"/>
      <c r="J3255" s="18"/>
      <c r="K3255" s="18"/>
      <c r="L3255" s="18"/>
      <c r="M3255" s="18"/>
      <c r="N3255" s="18"/>
      <c r="O3255" s="18"/>
      <c r="P3255" s="18"/>
      <c r="Q3255" s="14"/>
      <c r="R3255" s="11"/>
    </row>
    <row r="3256" s="1" customFormat="1" ht="21.95" customHeight="1" spans="1:18">
      <c r="A3256" s="7"/>
      <c r="B3256" s="12"/>
      <c r="C3256" s="17" t="s">
        <v>393</v>
      </c>
      <c r="D3256" s="17"/>
      <c r="E3256" s="17"/>
      <c r="F3256" s="18">
        <f>IF(F3254&gt;0,ENTRY!$D$7,"")</f>
        <v>0</v>
      </c>
      <c r="G3256" s="18"/>
      <c r="H3256" s="20" t="s">
        <v>702</v>
      </c>
      <c r="I3256" s="20"/>
      <c r="J3256" s="21">
        <f>IF(F3254&gt;0,ENTRY!$D$10,"")</f>
        <v>40</v>
      </c>
      <c r="K3256" s="20" t="s">
        <v>703</v>
      </c>
      <c r="L3256" s="22" t="str">
        <f>IF(F3254&gt;0,ENTRY!$D$5,"")</f>
        <v>ROHINI ZONE</v>
      </c>
      <c r="M3256" s="22"/>
      <c r="N3256" s="22"/>
      <c r="O3256" s="22"/>
      <c r="P3256" s="22"/>
      <c r="Q3256" s="14"/>
      <c r="R3256" s="11"/>
    </row>
    <row r="3257" s="1" customFormat="1" ht="21.95" customHeight="1" spans="1:18">
      <c r="A3257" s="7"/>
      <c r="B3257" s="12"/>
      <c r="C3257" s="17" t="s">
        <v>706</v>
      </c>
      <c r="D3257" s="17"/>
      <c r="E3257" s="17"/>
      <c r="F3257" s="23">
        <f>IFERROR(VLOOKUP(F3254,STUDENT!$A$2:$BP$101,5,0),"")</f>
        <v>0</v>
      </c>
      <c r="G3257" s="23"/>
      <c r="H3257" s="23"/>
      <c r="I3257" s="23"/>
      <c r="J3257" s="23"/>
      <c r="K3257" s="23"/>
      <c r="L3257" s="20" t="s">
        <v>707</v>
      </c>
      <c r="M3257" s="20"/>
      <c r="N3257" s="24" t="str">
        <f>IF(F3254&gt;0,ENTRY!$D$20&amp;"-"&amp;ENTRY!$D$21,"")</f>
        <v>III-A</v>
      </c>
      <c r="O3257" s="24"/>
      <c r="P3257" s="24"/>
      <c r="Q3257" s="14"/>
      <c r="R3257" s="11"/>
    </row>
    <row r="3258" s="1" customFormat="1" ht="21.95" customHeight="1" spans="1:18">
      <c r="A3258" s="7"/>
      <c r="B3258" s="12"/>
      <c r="C3258" s="17" t="s">
        <v>708</v>
      </c>
      <c r="D3258" s="17"/>
      <c r="E3258" s="17"/>
      <c r="F3258" s="25">
        <f>IFERROR(VLOOKUP(F3254,STUDENT!$A$2:$BP$101,6,0),"")</f>
        <v>0</v>
      </c>
      <c r="G3258" s="25"/>
      <c r="H3258" s="26" t="s">
        <v>709</v>
      </c>
      <c r="I3258" s="27" t="str">
        <f>IFERROR(VLOOKUP(F3254,STUDENT!$A$2:$BP$101,59,0),"")</f>
        <v/>
      </c>
      <c r="J3258" s="27"/>
      <c r="K3258" s="20" t="s">
        <v>710</v>
      </c>
      <c r="L3258" s="20"/>
      <c r="M3258" s="28">
        <f>IFERROR(VLOOKUP(F3254,STUDENT!$A$2:$BP$101,20,0),"")</f>
        <v>0</v>
      </c>
      <c r="N3258" s="28"/>
      <c r="O3258" s="28"/>
      <c r="P3258" s="28"/>
      <c r="Q3258" s="14"/>
      <c r="R3258" s="11"/>
    </row>
    <row r="3259" s="1" customFormat="1" ht="21.95" customHeight="1" spans="1:18">
      <c r="A3259" s="7"/>
      <c r="B3259" s="12"/>
      <c r="C3259" s="17" t="s">
        <v>711</v>
      </c>
      <c r="D3259" s="17"/>
      <c r="E3259" s="17"/>
      <c r="F3259" s="23">
        <f>IFERROR(VLOOKUP(F3254,STUDENT!$A$2:$BP$101,9,0),"")</f>
        <v>0</v>
      </c>
      <c r="G3259" s="23"/>
      <c r="H3259" s="23"/>
      <c r="I3259" s="23"/>
      <c r="J3259" s="17" t="s">
        <v>620</v>
      </c>
      <c r="K3259" s="17"/>
      <c r="L3259" s="23">
        <f>IFERROR(VLOOKUP(F3254,STUDENT!$A$2:$BP$101,8,0),"")</f>
        <v>0</v>
      </c>
      <c r="M3259" s="23"/>
      <c r="N3259" s="23"/>
      <c r="O3259" s="23"/>
      <c r="P3259" s="23"/>
      <c r="Q3259" s="14"/>
      <c r="R3259" s="11"/>
    </row>
    <row r="3260" s="1" customFormat="1" ht="21.95" customHeight="1" spans="1:18">
      <c r="A3260" s="7"/>
      <c r="B3260" s="12"/>
      <c r="C3260" s="17" t="s">
        <v>712</v>
      </c>
      <c r="D3260" s="17"/>
      <c r="E3260" s="17"/>
      <c r="F3260" s="23">
        <f>IFERROR(VLOOKUP(F3254,STUDENT!$A$2:$BP$101,22,0),"")</f>
        <v>0</v>
      </c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14"/>
      <c r="R3260" s="11"/>
    </row>
    <row r="3261" s="1" customFormat="1" ht="9.95" customHeight="1" spans="1:18">
      <c r="A3261" s="7"/>
      <c r="B3261" s="12"/>
      <c r="C3261" s="29"/>
      <c r="D3261" s="29"/>
      <c r="E3261" s="29"/>
      <c r="F3261" s="29"/>
      <c r="G3261" s="29"/>
      <c r="H3261" s="29"/>
      <c r="I3261" s="29"/>
      <c r="J3261" s="29"/>
      <c r="K3261" s="29"/>
      <c r="L3261" s="29"/>
      <c r="M3261" s="29"/>
      <c r="N3261" s="29"/>
      <c r="O3261" s="29"/>
      <c r="P3261" s="29"/>
      <c r="Q3261" s="14"/>
      <c r="R3261" s="11"/>
    </row>
    <row r="3262" s="1" customFormat="1" ht="9.95" customHeight="1" spans="1:18">
      <c r="A3262" s="7"/>
      <c r="B3262" s="12"/>
      <c r="C3262" s="30"/>
      <c r="D3262" s="31"/>
      <c r="E3262" s="31"/>
      <c r="F3262" s="31"/>
      <c r="G3262" s="31"/>
      <c r="H3262" s="31"/>
      <c r="I3262" s="31"/>
      <c r="J3262" s="31"/>
      <c r="K3262" s="31"/>
      <c r="L3262" s="31"/>
      <c r="M3262" s="31"/>
      <c r="N3262" s="31"/>
      <c r="O3262" s="31"/>
      <c r="P3262" s="32"/>
      <c r="Q3262" s="14"/>
      <c r="R3262" s="11"/>
    </row>
    <row r="3263" s="1" customFormat="1" ht="21.95" customHeight="1" spans="1:18">
      <c r="A3263" s="7"/>
      <c r="B3263" s="12"/>
      <c r="C3263" s="33"/>
      <c r="D3263" s="34" t="s">
        <v>713</v>
      </c>
      <c r="E3263" s="20" t="s">
        <v>714</v>
      </c>
      <c r="F3263" s="35" t="str">
        <f>"Level - "&amp;IFERROR(VLOOKUP(F3254,FLN!$A$4:$K$103,9,0),"")</f>
        <v>Level - </v>
      </c>
      <c r="G3263" s="36"/>
      <c r="H3263" s="37" t="s">
        <v>715</v>
      </c>
      <c r="I3263" s="20"/>
      <c r="J3263" s="35" t="str">
        <f>"Level - "&amp;IFERROR(VLOOKUP(F3254,FLN!$A$4:$K$103,11,0),"")</f>
        <v>Level - </v>
      </c>
      <c r="K3263" s="36"/>
      <c r="L3263" s="37" t="s">
        <v>408</v>
      </c>
      <c r="M3263" s="20"/>
      <c r="N3263" s="35" t="str">
        <f>"Level - "&amp;IFERROR(VLOOKUP(F3254,FLN!$A$4:$K$103,10,0),"")</f>
        <v>Level - </v>
      </c>
      <c r="O3263" s="36"/>
      <c r="P3263" s="19"/>
      <c r="Q3263" s="14"/>
      <c r="R3263" s="11"/>
    </row>
    <row r="3264" s="1" customFormat="1" ht="21.95" customHeight="1" spans="1:18">
      <c r="A3264" s="7"/>
      <c r="B3264" s="12"/>
      <c r="C3264" s="33"/>
      <c r="D3264" s="38"/>
      <c r="E3264" s="20" t="s">
        <v>716</v>
      </c>
      <c r="F3264" s="18" t="str">
        <f>IF(L3278&gt;197,"PERFORMED WELL","")</f>
        <v/>
      </c>
      <c r="G3264" s="18"/>
      <c r="H3264" s="18"/>
      <c r="I3264" s="18"/>
      <c r="J3264" s="18"/>
      <c r="K3264" s="18"/>
      <c r="L3264" s="18"/>
      <c r="M3264" s="18"/>
      <c r="N3264" s="18"/>
      <c r="O3264" s="18"/>
      <c r="P3264" s="19"/>
      <c r="Q3264" s="14"/>
      <c r="R3264" s="11"/>
    </row>
    <row r="3265" s="1" customFormat="1" ht="9.95" customHeight="1" spans="1:18">
      <c r="A3265" s="7"/>
      <c r="B3265" s="12"/>
      <c r="C3265" s="39"/>
      <c r="D3265" s="40"/>
      <c r="E3265" s="40"/>
      <c r="F3265" s="40"/>
      <c r="G3265" s="40"/>
      <c r="H3265" s="40"/>
      <c r="I3265" s="40"/>
      <c r="J3265" s="40"/>
      <c r="K3265" s="40"/>
      <c r="L3265" s="40"/>
      <c r="M3265" s="40"/>
      <c r="N3265" s="40"/>
      <c r="O3265" s="40"/>
      <c r="P3265" s="41"/>
      <c r="Q3265" s="14"/>
      <c r="R3265" s="11"/>
    </row>
    <row r="3266" s="1" customFormat="1" ht="9.95" customHeight="1" spans="1:18">
      <c r="A3266" s="7"/>
      <c r="B3266" s="12"/>
      <c r="C3266" s="29"/>
      <c r="D3266" s="29"/>
      <c r="E3266" s="29"/>
      <c r="F3266" s="29"/>
      <c r="G3266" s="29"/>
      <c r="H3266" s="29"/>
      <c r="I3266" s="29"/>
      <c r="J3266" s="29"/>
      <c r="K3266" s="29"/>
      <c r="L3266" s="29"/>
      <c r="M3266" s="29"/>
      <c r="N3266" s="29"/>
      <c r="O3266" s="29"/>
      <c r="P3266" s="29"/>
      <c r="Q3266" s="14"/>
      <c r="R3266" s="11"/>
    </row>
    <row r="3267" s="1" customFormat="1" ht="9.95" customHeight="1" spans="1:18">
      <c r="A3267" s="7"/>
      <c r="B3267" s="12"/>
      <c r="C3267" s="30"/>
      <c r="D3267" s="31"/>
      <c r="E3267" s="31"/>
      <c r="F3267" s="31"/>
      <c r="G3267" s="31"/>
      <c r="H3267" s="31"/>
      <c r="I3267" s="31"/>
      <c r="J3267" s="31"/>
      <c r="K3267" s="31"/>
      <c r="L3267" s="31"/>
      <c r="M3267" s="31"/>
      <c r="N3267" s="31"/>
      <c r="O3267" s="31"/>
      <c r="P3267" s="32"/>
      <c r="Q3267" s="14"/>
      <c r="R3267" s="11"/>
    </row>
    <row r="3268" s="1" customFormat="1" ht="21.95" customHeight="1" spans="1:18">
      <c r="A3268" s="7"/>
      <c r="B3268" s="12"/>
      <c r="C3268" s="33"/>
      <c r="D3268" s="35"/>
      <c r="E3268" s="24"/>
      <c r="F3268" s="24"/>
      <c r="G3268" s="47" t="s">
        <v>717</v>
      </c>
      <c r="H3268" s="47"/>
      <c r="I3268" s="47"/>
      <c r="J3268" s="47"/>
      <c r="K3268" s="47"/>
      <c r="L3268" s="47"/>
      <c r="M3268" s="47"/>
      <c r="N3268" s="47"/>
      <c r="O3268" s="29"/>
      <c r="P3268" s="19"/>
      <c r="Q3268" s="14"/>
      <c r="R3268" s="11"/>
    </row>
    <row r="3269" s="1" customFormat="1" ht="21.95" customHeight="1" spans="1:18">
      <c r="A3269" s="7"/>
      <c r="B3269" s="12"/>
      <c r="C3269" s="33"/>
      <c r="D3269" s="47"/>
      <c r="E3269" s="47"/>
      <c r="F3269" s="47"/>
      <c r="G3269" s="47" t="s">
        <v>541</v>
      </c>
      <c r="H3269" s="47" t="s">
        <v>542</v>
      </c>
      <c r="I3269" s="47" t="s">
        <v>543</v>
      </c>
      <c r="J3269" s="47" t="s">
        <v>544</v>
      </c>
      <c r="K3269" s="47" t="s">
        <v>561</v>
      </c>
      <c r="L3269" s="47" t="s">
        <v>382</v>
      </c>
      <c r="M3269" s="49" t="s">
        <v>546</v>
      </c>
      <c r="N3269" s="49"/>
      <c r="O3269" s="29"/>
      <c r="P3269" s="19"/>
      <c r="Q3269" s="14"/>
      <c r="R3269" s="11"/>
    </row>
    <row r="3270" s="1" customFormat="1" ht="21.95" customHeight="1" spans="1:18">
      <c r="A3270" s="7"/>
      <c r="B3270" s="12"/>
      <c r="C3270" s="33"/>
      <c r="D3270" s="207" t="s">
        <v>652</v>
      </c>
      <c r="E3270" s="207"/>
      <c r="F3270" s="207"/>
      <c r="G3270" s="50">
        <v>10</v>
      </c>
      <c r="H3270" s="50">
        <v>10</v>
      </c>
      <c r="I3270" s="50">
        <v>10</v>
      </c>
      <c r="J3270" s="50">
        <v>10</v>
      </c>
      <c r="K3270" s="50">
        <v>60</v>
      </c>
      <c r="L3270" s="50">
        <v>100</v>
      </c>
      <c r="M3270" s="49"/>
      <c r="N3270" s="49"/>
      <c r="O3270" s="29"/>
      <c r="P3270" s="19"/>
      <c r="Q3270" s="14"/>
      <c r="R3270" s="11"/>
    </row>
    <row r="3271" s="1" customFormat="1" ht="21.95" customHeight="1" spans="1:18">
      <c r="A3271" s="7"/>
      <c r="B3271" s="12"/>
      <c r="C3271" s="33"/>
      <c r="D3271" s="117" t="s">
        <v>668</v>
      </c>
      <c r="E3271" s="117"/>
      <c r="F3271" s="117"/>
      <c r="G3271" s="54" t="str">
        <f>IFERROR(VLOOKUP(F3254,'1to4-2.1-RR'!$A$12:$BG$111,9,0),"")</f>
        <v/>
      </c>
      <c r="H3271" s="54" t="str">
        <f>IFERROR(VLOOKUP(F3254,'1to4-2.1-RR'!$A$12:$BG$111,10,0),"")</f>
        <v/>
      </c>
      <c r="I3271" s="54" t="str">
        <f>IFERROR(VLOOKUP(F3254,'1to4-2.1-RR'!$A$12:$BG$111,11,0),"")</f>
        <v/>
      </c>
      <c r="J3271" s="54" t="str">
        <f>IFERROR(VLOOKUP(F3254,'1to4-2.1-RR'!$A$12:$BG$111,12,0),"")</f>
        <v/>
      </c>
      <c r="K3271" s="54" t="str">
        <f>IFERROR(VLOOKUP(F3254,'1to4-2.1-RR'!$A$12:$BG$111,13,0),"")</f>
        <v/>
      </c>
      <c r="L3271" s="55">
        <f>SUM(G3271:K3271)</f>
        <v>0</v>
      </c>
      <c r="M3271" s="56" t="str">
        <f>IF(F3254&gt;ENTRY!$D$24,"",IF(L3271=0,"Ab",IF(L3271&gt;80,"A",IF(L3271&gt;60,"B",IF(L3271&gt;44,"C",IF(L3271&gt;=33,"D",IF(L3271&lt;=32,"E","")))))))</f>
        <v/>
      </c>
      <c r="N3271" s="56"/>
      <c r="O3271" s="29"/>
      <c r="P3271" s="19"/>
      <c r="Q3271" s="14"/>
      <c r="R3271" s="11"/>
    </row>
    <row r="3272" s="1" customFormat="1" ht="21.95" customHeight="1" spans="1:18">
      <c r="A3272" s="7"/>
      <c r="B3272" s="12"/>
      <c r="C3272" s="33"/>
      <c r="D3272" s="117" t="s">
        <v>513</v>
      </c>
      <c r="E3272" s="117"/>
      <c r="F3272" s="117"/>
      <c r="G3272" s="54" t="str">
        <f>IFERROR(VLOOKUP(F3254,'1to4-2.1-RR'!$A$12:$BG$111,16,0),"")</f>
        <v/>
      </c>
      <c r="H3272" s="54" t="str">
        <f>IFERROR(VLOOKUP(F3254,'1to4-2.1-RR'!$A$12:$BG$111,17,0),"")</f>
        <v/>
      </c>
      <c r="I3272" s="54" t="str">
        <f>IFERROR(VLOOKUP(F3254,'1to4-2.1-RR'!$A$12:$BG$111,18,0),"")</f>
        <v/>
      </c>
      <c r="J3272" s="54" t="str">
        <f>IFERROR(VLOOKUP(F3254,'1to4-2.1-RR'!$A$12:$BG$111,19,0),"")</f>
        <v/>
      </c>
      <c r="K3272" s="54" t="str">
        <f>IFERROR(VLOOKUP(F3254,'1to4-2.1-RR'!$A$12:$BG$111,20,0),"")</f>
        <v/>
      </c>
      <c r="L3272" s="55">
        <f t="shared" ref="L3272:L3277" si="116">SUM(G3272:K3272)</f>
        <v>0</v>
      </c>
      <c r="M3272" s="56" t="str">
        <f>IF(F3254&gt;ENTRY!$D$24,"",IF(L3272=0,"Ab",IF(L3272&gt;80,"A",IF(L3272&gt;60,"B",IF(L3272&gt;44,"C",IF(L3272&gt;=33,"D",IF(L3272&lt;=32,"E","")))))))</f>
        <v/>
      </c>
      <c r="N3272" s="56"/>
      <c r="O3272" s="29"/>
      <c r="P3272" s="19"/>
      <c r="Q3272" s="14"/>
      <c r="R3272" s="11"/>
    </row>
    <row r="3273" s="1" customFormat="1" ht="21.95" customHeight="1" spans="1:18">
      <c r="A3273" s="7"/>
      <c r="B3273" s="12"/>
      <c r="C3273" s="33"/>
      <c r="D3273" s="117" t="s">
        <v>718</v>
      </c>
      <c r="E3273" s="117"/>
      <c r="F3273" s="117"/>
      <c r="G3273" s="54" t="str">
        <f>IFERROR(VLOOKUP(F3254,'1to4-2.1-RR'!$A$12:$BG$111,23,0),"")</f>
        <v/>
      </c>
      <c r="H3273" s="54" t="str">
        <f>IFERROR(VLOOKUP(F3254,'1to4-2.1-RR'!$A$12:$BG$111,24,0),"")</f>
        <v/>
      </c>
      <c r="I3273" s="54" t="str">
        <f>IFERROR(VLOOKUP(F3254,'1to4-2.1-RR'!$A$12:$BG$111,25,0),"")</f>
        <v/>
      </c>
      <c r="J3273" s="54" t="str">
        <f>IFERROR(VLOOKUP(F3254,'1to4-2.1-RR'!$A$12:$BG$111,26,0),"")</f>
        <v/>
      </c>
      <c r="K3273" s="54" t="str">
        <f>IFERROR(VLOOKUP(F3254,'1to4-2.1-RR'!$A$12:$BG$111,27,0),"")</f>
        <v/>
      </c>
      <c r="L3273" s="55">
        <f t="shared" si="116"/>
        <v>0</v>
      </c>
      <c r="M3273" s="56" t="str">
        <f>IF(F3254&gt;ENTRY!$D$24,"",IF(L3273=0,"Ab",IF(L3273&gt;80,"A",IF(L3273&gt;60,"B",IF(L3273&gt;44,"C",IF(L3273&gt;=33,"D",IF(L3273&lt;=32,"E","")))))))</f>
        <v/>
      </c>
      <c r="N3273" s="56"/>
      <c r="O3273" s="29"/>
      <c r="P3273" s="19"/>
      <c r="Q3273" s="14"/>
      <c r="R3273" s="11"/>
    </row>
    <row r="3274" s="1" customFormat="1" ht="21.95" customHeight="1" spans="1:18">
      <c r="A3274" s="7"/>
      <c r="B3274" s="12"/>
      <c r="C3274" s="33"/>
      <c r="D3274" s="117" t="s">
        <v>719</v>
      </c>
      <c r="E3274" s="117"/>
      <c r="F3274" s="117"/>
      <c r="G3274" s="54" t="str">
        <f>IFERROR(VLOOKUP(F3254,'1to4-2.1-RR'!$A$12:$BG$111,30,0),"")</f>
        <v/>
      </c>
      <c r="H3274" s="54" t="str">
        <f>IFERROR(VLOOKUP(F3254,'1to4-2.1-RR'!$A$12:$BG$111,31,0),"")</f>
        <v/>
      </c>
      <c r="I3274" s="54" t="str">
        <f>IFERROR(VLOOKUP(F3254,'1to4-2.1-RR'!$A$12:$BG$111,32,0),"")</f>
        <v/>
      </c>
      <c r="J3274" s="54" t="str">
        <f>IFERROR(VLOOKUP(F3254,'1to4-2.1-RR'!$A$12:$BG$111,33,0),"")</f>
        <v/>
      </c>
      <c r="K3274" s="54" t="str">
        <f>IFERROR(VLOOKUP(F3254,'1to4-2.1-RR'!$A$12:$BG$111,34,0),"")</f>
        <v/>
      </c>
      <c r="L3274" s="55">
        <f t="shared" si="116"/>
        <v>0</v>
      </c>
      <c r="M3274" s="56" t="str">
        <f>IF(F3254&gt;ENTRY!$D$24,"",IF(L3274=0,"Ab",IF(L3274&gt;80,"A",IF(L3274&gt;60,"B",IF(L3274&gt;44,"C",IF(L3274&gt;=33,"D",IF(L3274&lt;=32,"E","")))))))</f>
        <v/>
      </c>
      <c r="N3274" s="56"/>
      <c r="O3274" s="29"/>
      <c r="P3274" s="19"/>
      <c r="Q3274" s="14"/>
      <c r="R3274" s="11"/>
    </row>
    <row r="3275" s="1" customFormat="1" ht="21.95" customHeight="1" spans="1:18">
      <c r="A3275" s="7"/>
      <c r="B3275" s="12"/>
      <c r="C3275" s="33"/>
      <c r="D3275" s="117" t="s">
        <v>548</v>
      </c>
      <c r="E3275" s="117"/>
      <c r="F3275" s="117"/>
      <c r="G3275" s="54" t="str">
        <f>IFERROR(VLOOKUP(F3254,'1to4-2.1-RR'!$A$12:$BG$111,37,0),"")</f>
        <v/>
      </c>
      <c r="H3275" s="54" t="str">
        <f>IFERROR(VLOOKUP(F3254,'1to4-2.1-RR'!$A$12:$BG$111,38,0),"")</f>
        <v/>
      </c>
      <c r="I3275" s="54" t="str">
        <f>IFERROR(VLOOKUP(F3254,'1to4-2.1-RR'!$A$12:$BG$111,39,0),"")</f>
        <v/>
      </c>
      <c r="J3275" s="54" t="str">
        <f>IFERROR(VLOOKUP(F3254,'1to4-2.1-RR'!$A$12:$BG$111,40,0),"")</f>
        <v/>
      </c>
      <c r="K3275" s="54" t="str">
        <f>IFERROR(VLOOKUP(F3254,'1to4-2.1-RR'!$A$12:$BG$111,41,0),"")</f>
        <v/>
      </c>
      <c r="L3275" s="55">
        <f t="shared" si="116"/>
        <v>0</v>
      </c>
      <c r="M3275" s="56" t="str">
        <f>IF(F3254&gt;ENTRY!$D$24,"",IF(L3275=0,"Ab",IF(L3275&gt;80,"A",IF(L3275&gt;60,"B",IF(L3275&gt;44,"C",IF(L3275&gt;=33,"D",IF(L3275&lt;=32,"E","")))))))</f>
        <v/>
      </c>
      <c r="N3275" s="56"/>
      <c r="O3275" s="29"/>
      <c r="P3275" s="19"/>
      <c r="Q3275" s="14"/>
      <c r="R3275" s="11"/>
    </row>
    <row r="3276" s="1" customFormat="1" ht="21.95" customHeight="1" spans="1:18">
      <c r="A3276" s="7"/>
      <c r="B3276" s="12"/>
      <c r="C3276" s="33"/>
      <c r="D3276" s="117" t="s">
        <v>549</v>
      </c>
      <c r="E3276" s="117"/>
      <c r="F3276" s="117"/>
      <c r="G3276" s="54" t="str">
        <f>IFERROR(VLOOKUP(F3254,'1to4-2.1-RR'!$A$12:$BG$111,44,0),"")</f>
        <v/>
      </c>
      <c r="H3276" s="54" t="str">
        <f>IFERROR(VLOOKUP(F3254,'1to4-2.1-RR'!$A$12:$BG$111,45,0),"")</f>
        <v/>
      </c>
      <c r="I3276" s="54" t="str">
        <f>IFERROR(VLOOKUP(F3254,'1to4-2.1-RR'!$A$12:$BG$111,46,0),"")</f>
        <v/>
      </c>
      <c r="J3276" s="54" t="str">
        <f>IFERROR(VLOOKUP(F3254,'1to4-2.1-RR'!$A$12:$BG$111,47,0),"")</f>
        <v/>
      </c>
      <c r="K3276" s="54" t="str">
        <f>IFERROR(VLOOKUP(F3254,'1to4-2.1-RR'!$A$12:$BG$111,48,0),"")</f>
        <v/>
      </c>
      <c r="L3276" s="55">
        <f t="shared" si="116"/>
        <v>0</v>
      </c>
      <c r="M3276" s="56" t="str">
        <f>IF(F3254&gt;ENTRY!$D$24,"",IF(L3276=0,"Ab",IF(L3276&gt;80,"A",IF(L3276&gt;60,"B",IF(L3276&gt;44,"C",IF(L3276&gt;=33,"D",IF(L3276&lt;=32,"E","")))))))</f>
        <v/>
      </c>
      <c r="N3276" s="56"/>
      <c r="O3276" s="29"/>
      <c r="P3276" s="19"/>
      <c r="Q3276" s="14"/>
      <c r="R3276" s="11"/>
    </row>
    <row r="3277" s="1" customFormat="1" ht="21.95" customHeight="1" spans="1:18">
      <c r="A3277" s="7"/>
      <c r="B3277" s="12"/>
      <c r="C3277" s="33"/>
      <c r="D3277" s="117" t="s">
        <v>720</v>
      </c>
      <c r="E3277" s="117"/>
      <c r="F3277" s="117"/>
      <c r="G3277" s="54"/>
      <c r="H3277" s="54"/>
      <c r="I3277" s="54"/>
      <c r="J3277" s="54"/>
      <c r="K3277" s="54"/>
      <c r="L3277" s="55">
        <f t="shared" si="116"/>
        <v>0</v>
      </c>
      <c r="M3277" s="56" t="str">
        <f>IF(F3254&gt;ENTRY!$D$24,"",IF(L3277=0,"",IF(L3277&gt;79,"A",IF(L3277&gt;59,"B",IF(L3277&gt;44,"C",IF(L3277&gt;=33,"D",IF(L3277&lt;=32,"E","")))))))</f>
        <v/>
      </c>
      <c r="N3277" s="56"/>
      <c r="O3277" s="29"/>
      <c r="P3277" s="19"/>
      <c r="Q3277" s="14"/>
      <c r="R3277" s="11"/>
    </row>
    <row r="3278" s="1" customFormat="1" ht="21.95" customHeight="1" spans="1:18">
      <c r="A3278" s="7"/>
      <c r="B3278" s="12"/>
      <c r="C3278" s="33"/>
      <c r="D3278" s="207" t="s">
        <v>382</v>
      </c>
      <c r="E3278" s="207"/>
      <c r="F3278" s="207"/>
      <c r="G3278" s="54">
        <f t="shared" ref="G3278:L3278" si="117">IFERROR(SUM(G3271:G3277),"")</f>
        <v>0</v>
      </c>
      <c r="H3278" s="54">
        <f t="shared" si="117"/>
        <v>0</v>
      </c>
      <c r="I3278" s="54">
        <f t="shared" si="117"/>
        <v>0</v>
      </c>
      <c r="J3278" s="54">
        <f t="shared" si="117"/>
        <v>0</v>
      </c>
      <c r="K3278" s="54">
        <f t="shared" si="117"/>
        <v>0</v>
      </c>
      <c r="L3278" s="55">
        <f t="shared" si="117"/>
        <v>0</v>
      </c>
      <c r="M3278" s="61" t="str">
        <f>IF(F3254&gt;ENTRY!$D$24,"",IF(N3279="Ab","Ab",IF(N3279&gt;79.5,"A",IF(N3279&gt;59.5,"B",IF(N3279&gt;44.5,"C",IF(N3279&gt;=33,"D",IF(N3279&lt;33,"E","")))))))</f>
        <v/>
      </c>
      <c r="N3278" s="61"/>
      <c r="O3278" s="29"/>
      <c r="P3278" s="19"/>
      <c r="Q3278" s="14"/>
      <c r="R3278" s="11"/>
    </row>
    <row r="3279" s="1" customFormat="1" ht="21.95" customHeight="1" spans="1:18">
      <c r="A3279" s="7"/>
      <c r="B3279" s="12"/>
      <c r="C3279" s="33"/>
      <c r="D3279" s="63" t="s">
        <v>721</v>
      </c>
      <c r="E3279" s="63"/>
      <c r="F3279" s="63"/>
      <c r="G3279" s="63"/>
      <c r="H3279" s="63"/>
      <c r="I3279" s="63"/>
      <c r="J3279" s="63"/>
      <c r="K3279" s="63"/>
      <c r="L3279" s="63"/>
      <c r="M3279" s="209"/>
      <c r="N3279" s="64">
        <f>IF(L3278="Ab","Ab",L3278/6)</f>
        <v>0</v>
      </c>
      <c r="O3279" s="65"/>
      <c r="P3279" s="19"/>
      <c r="Q3279" s="14"/>
      <c r="R3279" s="11"/>
    </row>
    <row r="3280" s="1" customFormat="1" ht="21.95" customHeight="1" spans="1:18">
      <c r="A3280" s="7"/>
      <c r="B3280" s="12"/>
      <c r="C3280" s="33"/>
      <c r="D3280" s="29" t="s">
        <v>716</v>
      </c>
      <c r="E3280" s="18" t="str">
        <f>IFERROR(VLOOKUP(F3254,'1to4-2.1-RR'!$A$12:$BG$111,57,0),"")</f>
        <v/>
      </c>
      <c r="F3280" s="18"/>
      <c r="G3280" s="18"/>
      <c r="H3280" s="18"/>
      <c r="I3280" s="18"/>
      <c r="J3280" s="18"/>
      <c r="K3280" s="18"/>
      <c r="L3280" s="18"/>
      <c r="M3280" s="18"/>
      <c r="N3280" s="29"/>
      <c r="O3280" s="29"/>
      <c r="P3280" s="19"/>
      <c r="Q3280" s="14"/>
      <c r="R3280" s="11"/>
    </row>
    <row r="3281" s="1" customFormat="1" ht="9.95" customHeight="1" spans="1:19">
      <c r="A3281" s="7"/>
      <c r="B3281" s="12"/>
      <c r="C3281" s="39"/>
      <c r="D3281" s="40"/>
      <c r="E3281" s="40"/>
      <c r="F3281" s="40"/>
      <c r="G3281" s="40"/>
      <c r="H3281" s="40"/>
      <c r="I3281" s="40"/>
      <c r="J3281" s="40"/>
      <c r="K3281" s="40"/>
      <c r="L3281" s="40"/>
      <c r="M3281" s="40"/>
      <c r="N3281" s="40"/>
      <c r="O3281" s="40"/>
      <c r="P3281" s="41"/>
      <c r="Q3281" s="14"/>
      <c r="R3281" s="11"/>
    </row>
    <row r="3282" s="1" customFormat="1" ht="9.95" customHeight="1" spans="1:19">
      <c r="A3282" s="7"/>
      <c r="B3282" s="12"/>
      <c r="C3282" s="30"/>
      <c r="D3282" s="31"/>
      <c r="E3282" s="31"/>
      <c r="F3282" s="29"/>
      <c r="G3282" s="31"/>
      <c r="H3282" s="31"/>
      <c r="I3282" s="31"/>
      <c r="J3282" s="31"/>
      <c r="K3282" s="31"/>
      <c r="L3282" s="31"/>
      <c r="M3282" s="31"/>
      <c r="N3282" s="31"/>
      <c r="O3282" s="31"/>
      <c r="P3282" s="32"/>
      <c r="Q3282" s="14"/>
      <c r="R3282" s="11"/>
    </row>
    <row r="3283" s="1" customFormat="1" ht="9.95" customHeight="1" spans="1:19">
      <c r="A3283" s="7"/>
      <c r="B3283" s="12"/>
      <c r="C3283" s="33"/>
      <c r="D3283" s="29"/>
      <c r="E3283" s="29"/>
      <c r="F3283" s="29"/>
      <c r="G3283" s="29"/>
      <c r="H3283" s="29"/>
      <c r="I3283" s="29"/>
      <c r="J3283" s="29"/>
      <c r="K3283" s="29"/>
      <c r="L3283" s="29"/>
      <c r="M3283" s="29"/>
      <c r="N3283" s="29"/>
      <c r="O3283" s="29"/>
      <c r="P3283" s="19"/>
      <c r="Q3283" s="14"/>
      <c r="R3283" s="11"/>
    </row>
    <row r="3284" s="1" customFormat="1" ht="9.95" customHeight="1" spans="1:19">
      <c r="A3284" s="7"/>
      <c r="B3284" s="12"/>
      <c r="C3284" s="33"/>
      <c r="D3284" s="29"/>
      <c r="E3284" s="29"/>
      <c r="F3284" s="29"/>
      <c r="G3284" s="29"/>
      <c r="H3284" s="29"/>
      <c r="I3284" s="29"/>
      <c r="J3284" s="29"/>
      <c r="K3284" s="29"/>
      <c r="L3284" s="29"/>
      <c r="M3284" s="29"/>
      <c r="N3284" s="29"/>
      <c r="O3284" s="29"/>
      <c r="P3284" s="19"/>
      <c r="Q3284" s="14"/>
      <c r="R3284" s="11"/>
    </row>
    <row r="3285" s="1" customFormat="1" ht="21.95" customHeight="1" spans="1:19">
      <c r="A3285" s="7"/>
      <c r="B3285" s="12"/>
      <c r="C3285" s="210"/>
      <c r="D3285" s="211"/>
      <c r="E3285" s="211"/>
      <c r="F3285" s="211"/>
      <c r="G3285" s="211"/>
      <c r="H3285" s="211"/>
      <c r="I3285" s="211"/>
      <c r="J3285" s="211"/>
      <c r="K3285" s="211"/>
      <c r="L3285" s="211"/>
      <c r="M3285" s="211"/>
      <c r="N3285" s="211"/>
      <c r="O3285" s="211"/>
      <c r="P3285" s="212"/>
      <c r="Q3285" s="14"/>
      <c r="R3285" s="11"/>
      <c r="S3285" s="2"/>
    </row>
    <row r="3286" s="1" customFormat="1" ht="21.95" customHeight="1" spans="1:19">
      <c r="A3286" s="7"/>
      <c r="B3286" s="12"/>
      <c r="C3286" s="33"/>
      <c r="D3286" s="207" t="s">
        <v>722</v>
      </c>
      <c r="E3286" s="207"/>
      <c r="F3286" s="207"/>
      <c r="G3286" s="207"/>
      <c r="H3286" s="54">
        <f>IFERROR(VLOOKUP(F3254,PASHEET!$A$4:$CJ$103,88,0),"")</f>
        <v>0</v>
      </c>
      <c r="I3286" s="54"/>
      <c r="J3286" s="29"/>
      <c r="K3286" s="29"/>
      <c r="L3286" s="29"/>
      <c r="M3286" s="29"/>
      <c r="N3286" s="29"/>
      <c r="O3286" s="29"/>
      <c r="P3286" s="19"/>
      <c r="Q3286" s="14"/>
      <c r="R3286" s="11"/>
    </row>
    <row r="3287" s="1" customFormat="1" ht="21.95" customHeight="1" spans="1:19">
      <c r="A3287" s="7"/>
      <c r="B3287" s="12"/>
      <c r="C3287" s="213"/>
      <c r="D3287" s="207" t="s">
        <v>723</v>
      </c>
      <c r="E3287" s="207"/>
      <c r="F3287" s="207"/>
      <c r="G3287" s="207"/>
      <c r="H3287" s="54">
        <f>IFERROR(VLOOKUP(F3254,PASHEET!$A$4:$CJ$103,87,0),"")</f>
        <v>0</v>
      </c>
      <c r="I3287" s="54"/>
      <c r="J3287" s="214"/>
      <c r="K3287" s="214"/>
      <c r="L3287" s="207" t="s">
        <v>724</v>
      </c>
      <c r="M3287" s="207"/>
      <c r="N3287" s="117" t="str">
        <f>IF(F3254&gt;ENTRY!$D$24,"",IF(F3254&gt;0,L3278&amp;" / "&amp;600,""))</f>
        <v/>
      </c>
      <c r="O3287" s="117"/>
      <c r="P3287" s="215"/>
      <c r="Q3287" s="14"/>
      <c r="R3287" s="11"/>
    </row>
    <row r="3288" s="1" customFormat="1" ht="18" customHeight="1" spans="1:19">
      <c r="A3288" s="7"/>
      <c r="B3288" s="12"/>
      <c r="C3288" s="33"/>
      <c r="D3288" s="207" t="s">
        <v>725</v>
      </c>
      <c r="E3288" s="207"/>
      <c r="F3288" s="207"/>
      <c r="G3288" s="207"/>
      <c r="H3288" s="69" t="str">
        <f>IFERROR(IF(F3254&gt;0,H3287/H3286*100),"")</f>
        <v/>
      </c>
      <c r="I3288" s="69"/>
      <c r="J3288" s="29"/>
      <c r="K3288" s="29"/>
      <c r="L3288" s="207" t="s">
        <v>726</v>
      </c>
      <c r="M3288" s="207"/>
      <c r="N3288" s="216" t="str">
        <f>IF(F3254&gt;ENTRY!$D$24,"",IF(F3254&gt;0,L3278/600*100,""))</f>
        <v/>
      </c>
      <c r="O3288" s="216"/>
      <c r="P3288" s="19"/>
      <c r="Q3288" s="14"/>
      <c r="R3288" s="11"/>
    </row>
    <row r="3289" s="1" customFormat="1" ht="21.95" customHeight="1" spans="1:19">
      <c r="A3289" s="7"/>
      <c r="B3289" s="12"/>
      <c r="C3289" s="33"/>
      <c r="D3289" s="80"/>
      <c r="E3289" s="80"/>
      <c r="F3289" s="217"/>
      <c r="G3289" s="217"/>
      <c r="H3289" s="217"/>
      <c r="I3289" s="217"/>
      <c r="J3289" s="217"/>
      <c r="K3289" s="217"/>
      <c r="L3289" s="217"/>
      <c r="M3289" s="217"/>
      <c r="N3289" s="80"/>
      <c r="O3289" s="80"/>
      <c r="P3289" s="19"/>
      <c r="Q3289" s="14"/>
      <c r="R3289" s="11"/>
    </row>
    <row r="3290" s="1" customFormat="1" ht="21.95" customHeight="1" spans="1:19">
      <c r="A3290" s="7"/>
      <c r="B3290" s="12"/>
      <c r="C3290" s="33"/>
      <c r="D3290" s="80"/>
      <c r="E3290" s="218"/>
      <c r="F3290" s="218"/>
      <c r="G3290" s="218"/>
      <c r="H3290" s="80"/>
      <c r="I3290" s="218"/>
      <c r="J3290" s="218"/>
      <c r="K3290" s="218"/>
      <c r="L3290" s="218"/>
      <c r="M3290" s="80"/>
      <c r="N3290" s="219"/>
      <c r="O3290" s="219"/>
      <c r="P3290" s="19"/>
      <c r="Q3290" s="14"/>
      <c r="R3290" s="11"/>
    </row>
    <row r="3291" s="1" customFormat="1" ht="21.95" customHeight="1" spans="1:19">
      <c r="A3291" s="7"/>
      <c r="B3291" s="12"/>
      <c r="C3291" s="33"/>
      <c r="D3291" s="80"/>
      <c r="E3291" s="80"/>
      <c r="F3291" s="80"/>
      <c r="G3291" s="80"/>
      <c r="H3291" s="80"/>
      <c r="I3291" s="80"/>
      <c r="J3291" s="80"/>
      <c r="K3291" s="80"/>
      <c r="L3291" s="80"/>
      <c r="M3291" s="80"/>
      <c r="N3291" s="80"/>
      <c r="O3291" s="80"/>
      <c r="P3291" s="19"/>
      <c r="Q3291" s="14"/>
      <c r="R3291" s="11"/>
    </row>
    <row r="3292" s="1" customFormat="1" ht="21.95" customHeight="1" spans="1:19">
      <c r="A3292" s="7"/>
      <c r="B3292" s="12"/>
      <c r="C3292" s="33"/>
      <c r="D3292" s="218"/>
      <c r="E3292" s="218"/>
      <c r="F3292" s="218"/>
      <c r="G3292" s="218"/>
      <c r="H3292" s="218"/>
      <c r="I3292" s="218"/>
      <c r="J3292" s="218"/>
      <c r="K3292" s="218"/>
      <c r="L3292" s="218"/>
      <c r="M3292" s="80"/>
      <c r="N3292" s="217"/>
      <c r="O3292" s="217"/>
      <c r="P3292" s="85" t="s">
        <v>727</v>
      </c>
      <c r="Q3292" s="14"/>
      <c r="R3292" s="11"/>
    </row>
    <row r="3293" s="1" customFormat="1" ht="21.95" customHeight="1" spans="1:19">
      <c r="A3293" s="7"/>
      <c r="B3293" s="12"/>
      <c r="C3293" s="33"/>
      <c r="D3293" s="29"/>
      <c r="E3293" s="29"/>
      <c r="F3293" s="29"/>
      <c r="G3293" s="29"/>
      <c r="H3293" s="29"/>
      <c r="I3293" s="29"/>
      <c r="J3293" s="29"/>
      <c r="K3293" s="29"/>
      <c r="L3293" s="29"/>
      <c r="M3293" s="29"/>
      <c r="N3293" s="29"/>
      <c r="O3293" s="29"/>
      <c r="P3293" s="19"/>
      <c r="Q3293" s="14"/>
      <c r="R3293" s="11"/>
    </row>
    <row r="3294" s="1" customFormat="1" ht="21.95" customHeight="1" spans="1:19">
      <c r="A3294" s="7"/>
      <c r="B3294" s="12"/>
      <c r="C3294" s="33"/>
      <c r="D3294" s="29"/>
      <c r="E3294" s="29"/>
      <c r="F3294" s="29"/>
      <c r="G3294" s="29"/>
      <c r="H3294" s="29"/>
      <c r="I3294" s="29"/>
      <c r="J3294" s="29"/>
      <c r="K3294" s="29"/>
      <c r="L3294" s="29"/>
      <c r="M3294" s="29"/>
      <c r="N3294" s="29"/>
      <c r="O3294" s="29"/>
      <c r="P3294" s="19"/>
      <c r="Q3294" s="14"/>
      <c r="R3294" s="11"/>
    </row>
    <row r="3295" s="1" customFormat="1" ht="21.95" customHeight="1" spans="1:19">
      <c r="A3295" s="7"/>
      <c r="B3295" s="12"/>
      <c r="C3295" s="33"/>
      <c r="D3295" s="29"/>
      <c r="E3295" s="29"/>
      <c r="F3295" s="29"/>
      <c r="G3295" s="29"/>
      <c r="H3295" s="29"/>
      <c r="I3295" s="29"/>
      <c r="J3295" s="29"/>
      <c r="K3295" s="29"/>
      <c r="L3295" s="29"/>
      <c r="M3295" s="29"/>
      <c r="N3295" s="29"/>
      <c r="O3295" s="29"/>
      <c r="P3295" s="19"/>
      <c r="Q3295" s="14"/>
      <c r="R3295" s="11"/>
    </row>
    <row r="3296" s="1" customFormat="1" ht="21.95" customHeight="1" spans="1:19">
      <c r="A3296" s="7"/>
      <c r="B3296" s="12"/>
      <c r="C3296" s="33"/>
      <c r="D3296" s="29"/>
      <c r="E3296" s="29"/>
      <c r="F3296" s="29"/>
      <c r="G3296" s="29"/>
      <c r="H3296" s="29"/>
      <c r="I3296" s="29"/>
      <c r="J3296" s="29"/>
      <c r="K3296" s="29"/>
      <c r="L3296" s="29"/>
      <c r="M3296" s="29"/>
      <c r="N3296" s="29"/>
      <c r="O3296" s="29"/>
      <c r="P3296" s="19"/>
      <c r="Q3296" s="14"/>
      <c r="R3296" s="11"/>
    </row>
    <row r="3297" s="1" customFormat="1" ht="21.95" customHeight="1" spans="1:18">
      <c r="A3297" s="7"/>
      <c r="B3297" s="12"/>
      <c r="C3297" s="33"/>
      <c r="D3297" s="29"/>
      <c r="E3297" s="29"/>
      <c r="F3297" s="29"/>
      <c r="G3297" s="29"/>
      <c r="H3297" s="29"/>
      <c r="I3297" s="29"/>
      <c r="J3297" s="29"/>
      <c r="K3297" s="29"/>
      <c r="L3297" s="29"/>
      <c r="M3297" s="29"/>
      <c r="N3297" s="29"/>
      <c r="O3297" s="29"/>
      <c r="P3297" s="19"/>
      <c r="Q3297" s="14"/>
      <c r="R3297" s="11"/>
    </row>
    <row r="3298" s="1" customFormat="1" ht="21.95" customHeight="1" spans="1:18">
      <c r="A3298" s="7"/>
      <c r="B3298" s="12"/>
      <c r="C3298" s="33"/>
      <c r="D3298" s="80" t="s">
        <v>728</v>
      </c>
      <c r="E3298" s="220">
        <f>ENTRY!$D$27</f>
        <v>46102</v>
      </c>
      <c r="F3298" s="220"/>
      <c r="G3298" s="29"/>
      <c r="H3298" s="29"/>
      <c r="I3298" s="221" t="s">
        <v>729</v>
      </c>
      <c r="J3298" s="153"/>
      <c r="K3298" s="29"/>
      <c r="L3298" s="29"/>
      <c r="M3298" s="87" t="s">
        <v>730</v>
      </c>
      <c r="N3298" s="87"/>
      <c r="O3298" s="87"/>
      <c r="P3298" s="19"/>
      <c r="Q3298" s="14"/>
      <c r="R3298" s="11"/>
    </row>
    <row r="3299" s="1" customFormat="1" ht="21.95" customHeight="1" spans="1:18">
      <c r="A3299" s="7"/>
      <c r="B3299" s="12"/>
      <c r="C3299" s="33"/>
      <c r="D3299" s="80" t="s">
        <v>731</v>
      </c>
      <c r="E3299" s="88" t="str">
        <f>PROPER(ENTRY!$D$28)</f>
        <v>New Delhi</v>
      </c>
      <c r="F3299" s="88"/>
      <c r="G3299" s="29"/>
      <c r="H3299" s="29"/>
      <c r="I3299" s="153"/>
      <c r="J3299" s="153"/>
      <c r="K3299" s="29"/>
      <c r="L3299" s="29"/>
      <c r="M3299" s="79" t="s">
        <v>732</v>
      </c>
      <c r="N3299" s="79"/>
      <c r="O3299" s="79"/>
      <c r="P3299" s="19"/>
      <c r="Q3299" s="14"/>
      <c r="R3299" s="11"/>
    </row>
    <row r="3300" s="1" customFormat="1" ht="21.95" customHeight="1" spans="1:18">
      <c r="A3300" s="7"/>
      <c r="B3300" s="12"/>
      <c r="C3300" s="90"/>
      <c r="D3300" s="91"/>
      <c r="E3300" s="91"/>
      <c r="F3300" s="91"/>
      <c r="G3300" s="91"/>
      <c r="H3300" s="91"/>
      <c r="I3300" s="91"/>
      <c r="J3300" s="91"/>
      <c r="K3300" s="91"/>
      <c r="L3300" s="91"/>
      <c r="M3300" s="91"/>
      <c r="N3300" s="91"/>
      <c r="O3300" s="91"/>
      <c r="P3300" s="92"/>
      <c r="Q3300" s="14"/>
      <c r="R3300" s="11"/>
    </row>
    <row r="3301" s="1" customFormat="1" ht="5.1" customHeight="1" spans="1:18">
      <c r="A3301" s="7"/>
      <c r="B3301" s="90"/>
      <c r="C3301" s="91"/>
      <c r="D3301" s="91"/>
      <c r="E3301" s="91"/>
      <c r="F3301" s="91"/>
      <c r="G3301" s="91"/>
      <c r="H3301" s="91"/>
      <c r="I3301" s="91"/>
      <c r="J3301" s="91"/>
      <c r="K3301" s="91"/>
      <c r="L3301" s="91"/>
      <c r="M3301" s="91"/>
      <c r="N3301" s="91"/>
      <c r="O3301" s="91"/>
      <c r="P3301" s="91"/>
      <c r="Q3301" s="92"/>
      <c r="R3301" s="11"/>
    </row>
    <row r="3302" s="1" customFormat="1" ht="5.1" customHeight="1" spans="1:18">
      <c r="A3302" s="93"/>
      <c r="B3302" s="94"/>
      <c r="C3302" s="94"/>
      <c r="D3302" s="94"/>
      <c r="E3302" s="94"/>
      <c r="F3302" s="94"/>
      <c r="G3302" s="94"/>
      <c r="H3302" s="94"/>
      <c r="I3302" s="94"/>
      <c r="J3302" s="94"/>
      <c r="K3302" s="94"/>
      <c r="L3302" s="94"/>
      <c r="M3302" s="94"/>
      <c r="N3302" s="94"/>
      <c r="O3302" s="94"/>
      <c r="P3302" s="94"/>
      <c r="Q3302" s="94"/>
      <c r="R3302" s="95"/>
    </row>
    <row r="3303" s="1" customFormat="1" ht="21.95" customHeight="1"/>
    <row r="3304" ht="15.15"/>
    <row r="3305" s="1" customFormat="1" ht="5.1" customHeight="1" spans="1:18">
      <c r="A3305" s="4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  <c r="O3305" s="5"/>
      <c r="P3305" s="5"/>
      <c r="Q3305" s="5"/>
      <c r="R3305" s="6"/>
    </row>
    <row r="3306" s="1" customFormat="1" ht="15" customHeight="1" spans="1:18">
      <c r="A3306" s="7"/>
      <c r="B3306" s="8"/>
      <c r="C3306" s="9"/>
      <c r="D3306" s="9"/>
      <c r="E3306" s="9"/>
      <c r="F3306" s="9"/>
      <c r="G3306" s="9"/>
      <c r="H3306" s="9"/>
      <c r="I3306" s="9"/>
      <c r="J3306" s="9"/>
      <c r="K3306" s="9"/>
      <c r="L3306" s="9"/>
      <c r="M3306" s="9"/>
      <c r="N3306" s="9"/>
      <c r="O3306" s="9"/>
      <c r="P3306" s="9"/>
      <c r="Q3306" s="10"/>
      <c r="R3306" s="11"/>
    </row>
    <row r="3307" s="1" customFormat="1" ht="21.95" customHeight="1" spans="1:18">
      <c r="A3307" s="7"/>
      <c r="B3307" s="12"/>
      <c r="C3307" s="13" t="s">
        <v>7</v>
      </c>
      <c r="D3307" s="13"/>
      <c r="E3307" s="13"/>
      <c r="F3307" s="13"/>
      <c r="G3307" s="13"/>
      <c r="H3307" s="13"/>
      <c r="I3307" s="13"/>
      <c r="J3307" s="13"/>
      <c r="K3307" s="13"/>
      <c r="L3307" s="13"/>
      <c r="M3307" s="13"/>
      <c r="N3307" s="13"/>
      <c r="O3307" s="13"/>
      <c r="P3307" s="13"/>
      <c r="Q3307" s="14"/>
      <c r="R3307" s="11"/>
    </row>
    <row r="3308" s="1" customFormat="1" ht="21.95" customHeight="1" spans="1:18">
      <c r="A3308" s="7"/>
      <c r="B3308" s="1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14"/>
      <c r="R3308" s="11"/>
    </row>
    <row r="3309" s="1" customFormat="1" ht="21.95" customHeight="1" spans="1:18">
      <c r="A3309" s="7"/>
      <c r="B3309" s="12"/>
      <c r="C3309" s="15" t="str">
        <f>"SESSION-"&amp;ENTRY!$D$11</f>
        <v>SESSION-2026-27</v>
      </c>
      <c r="D3309" s="15"/>
      <c r="E3309" s="15"/>
      <c r="F3309" s="15"/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4"/>
      <c r="R3309" s="11"/>
    </row>
    <row r="3310" s="1" customFormat="1" ht="21.95" customHeight="1" spans="1:18">
      <c r="A3310" s="7"/>
      <c r="B3310" s="12"/>
      <c r="C3310" s="2"/>
      <c r="D3310" s="2"/>
      <c r="E3310" s="2"/>
      <c r="F3310" s="16">
        <f>F3254+1</f>
        <v>60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14"/>
      <c r="R3310" s="11"/>
    </row>
    <row r="3311" s="1" customFormat="1" ht="21.95" customHeight="1" spans="1:18">
      <c r="A3311" s="7"/>
      <c r="B3311" s="12"/>
      <c r="C3311" s="17" t="s">
        <v>392</v>
      </c>
      <c r="D3311" s="17"/>
      <c r="E3311" s="17"/>
      <c r="F3311" s="18" t="str">
        <f>IF(F3310&gt;0,ENTRY!$D$6,"")</f>
        <v>MCP NITHARI NO 1 BOYS</v>
      </c>
      <c r="G3311" s="18"/>
      <c r="H3311" s="18"/>
      <c r="I3311" s="18"/>
      <c r="J3311" s="18"/>
      <c r="K3311" s="18"/>
      <c r="L3311" s="18"/>
      <c r="M3311" s="18"/>
      <c r="N3311" s="18"/>
      <c r="O3311" s="18"/>
      <c r="P3311" s="18"/>
      <c r="Q3311" s="14"/>
      <c r="R3311" s="11"/>
    </row>
    <row r="3312" s="1" customFormat="1" ht="21.95" customHeight="1" spans="1:18">
      <c r="A3312" s="7"/>
      <c r="B3312" s="12"/>
      <c r="C3312" s="17" t="s">
        <v>393</v>
      </c>
      <c r="D3312" s="17"/>
      <c r="E3312" s="17"/>
      <c r="F3312" s="18">
        <f>IF(F3310&gt;0,ENTRY!$D$7,"")</f>
        <v>0</v>
      </c>
      <c r="G3312" s="18"/>
      <c r="H3312" s="20" t="s">
        <v>702</v>
      </c>
      <c r="I3312" s="20"/>
      <c r="J3312" s="21">
        <f>IF(F3310&gt;0,ENTRY!$D$10,"")</f>
        <v>40</v>
      </c>
      <c r="K3312" s="20" t="s">
        <v>703</v>
      </c>
      <c r="L3312" s="22" t="str">
        <f>IF(F3310&gt;0,ENTRY!$D$5,"")</f>
        <v>ROHINI ZONE</v>
      </c>
      <c r="M3312" s="22"/>
      <c r="N3312" s="22"/>
      <c r="O3312" s="22"/>
      <c r="P3312" s="22"/>
      <c r="Q3312" s="14"/>
      <c r="R3312" s="11"/>
    </row>
    <row r="3313" s="1" customFormat="1" ht="21.95" customHeight="1" spans="1:18">
      <c r="A3313" s="7"/>
      <c r="B3313" s="12"/>
      <c r="C3313" s="17" t="s">
        <v>706</v>
      </c>
      <c r="D3313" s="17"/>
      <c r="E3313" s="17"/>
      <c r="F3313" s="23">
        <f>IFERROR(VLOOKUP(F3310,STUDENT!$A$2:$BP$101,5,0),"")</f>
        <v>0</v>
      </c>
      <c r="G3313" s="23"/>
      <c r="H3313" s="23"/>
      <c r="I3313" s="23"/>
      <c r="J3313" s="23"/>
      <c r="K3313" s="23"/>
      <c r="L3313" s="20" t="s">
        <v>707</v>
      </c>
      <c r="M3313" s="20"/>
      <c r="N3313" s="24" t="str">
        <f>IF(F3310&gt;0,ENTRY!$D$20&amp;"-"&amp;ENTRY!$D$21,"")</f>
        <v>III-A</v>
      </c>
      <c r="O3313" s="24"/>
      <c r="P3313" s="24"/>
      <c r="Q3313" s="14"/>
      <c r="R3313" s="11"/>
    </row>
    <row r="3314" s="1" customFormat="1" ht="21.95" customHeight="1" spans="1:18">
      <c r="A3314" s="7"/>
      <c r="B3314" s="12"/>
      <c r="C3314" s="17" t="s">
        <v>708</v>
      </c>
      <c r="D3314" s="17"/>
      <c r="E3314" s="17"/>
      <c r="F3314" s="25">
        <f>IFERROR(VLOOKUP(F3310,STUDENT!$A$2:$BP$101,6,0),"")</f>
        <v>0</v>
      </c>
      <c r="G3314" s="25"/>
      <c r="H3314" s="26" t="s">
        <v>709</v>
      </c>
      <c r="I3314" s="27" t="str">
        <f>IFERROR(VLOOKUP(F3310,STUDENT!$A$2:$BP$101,59,0),"")</f>
        <v/>
      </c>
      <c r="J3314" s="27"/>
      <c r="K3314" s="20" t="s">
        <v>710</v>
      </c>
      <c r="L3314" s="20"/>
      <c r="M3314" s="28">
        <f>IFERROR(VLOOKUP(F3310,STUDENT!$A$2:$BP$101,20,0),"")</f>
        <v>0</v>
      </c>
      <c r="N3314" s="28"/>
      <c r="O3314" s="28"/>
      <c r="P3314" s="28"/>
      <c r="Q3314" s="14"/>
      <c r="R3314" s="11"/>
    </row>
    <row r="3315" s="1" customFormat="1" ht="21.95" customHeight="1" spans="1:18">
      <c r="A3315" s="7"/>
      <c r="B3315" s="12"/>
      <c r="C3315" s="17" t="s">
        <v>711</v>
      </c>
      <c r="D3315" s="17"/>
      <c r="E3315" s="17"/>
      <c r="F3315" s="23">
        <f>IFERROR(VLOOKUP(F3310,STUDENT!$A$2:$BP$101,9,0),"")</f>
        <v>0</v>
      </c>
      <c r="G3315" s="23"/>
      <c r="H3315" s="23"/>
      <c r="I3315" s="23"/>
      <c r="J3315" s="17" t="s">
        <v>620</v>
      </c>
      <c r="K3315" s="17"/>
      <c r="L3315" s="23">
        <f>IFERROR(VLOOKUP(F3310,STUDENT!$A$2:$BP$101,8,0),"")</f>
        <v>0</v>
      </c>
      <c r="M3315" s="23"/>
      <c r="N3315" s="23"/>
      <c r="O3315" s="23"/>
      <c r="P3315" s="23"/>
      <c r="Q3315" s="14"/>
      <c r="R3315" s="11"/>
    </row>
    <row r="3316" s="1" customFormat="1" ht="21.95" customHeight="1" spans="1:18">
      <c r="A3316" s="7"/>
      <c r="B3316" s="12"/>
      <c r="C3316" s="17" t="s">
        <v>712</v>
      </c>
      <c r="D3316" s="17"/>
      <c r="E3316" s="17"/>
      <c r="F3316" s="23">
        <f>IFERROR(VLOOKUP(F3310,STUDENT!$A$2:$BP$101,22,0),"")</f>
        <v>0</v>
      </c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14"/>
      <c r="R3316" s="11"/>
    </row>
    <row r="3317" s="1" customFormat="1" ht="9.95" customHeight="1" spans="1:18">
      <c r="A3317" s="7"/>
      <c r="B3317" s="12"/>
      <c r="C3317" s="29"/>
      <c r="D3317" s="29"/>
      <c r="E3317" s="29"/>
      <c r="F3317" s="29"/>
      <c r="G3317" s="29"/>
      <c r="H3317" s="29"/>
      <c r="I3317" s="29"/>
      <c r="J3317" s="29"/>
      <c r="K3317" s="29"/>
      <c r="L3317" s="29"/>
      <c r="M3317" s="29"/>
      <c r="N3317" s="29"/>
      <c r="O3317" s="29"/>
      <c r="P3317" s="29"/>
      <c r="Q3317" s="14"/>
      <c r="R3317" s="11"/>
    </row>
    <row r="3318" s="1" customFormat="1" ht="9.95" customHeight="1" spans="1:18">
      <c r="A3318" s="7"/>
      <c r="B3318" s="12"/>
      <c r="C3318" s="30"/>
      <c r="D3318" s="31"/>
      <c r="E3318" s="31"/>
      <c r="F3318" s="31"/>
      <c r="G3318" s="31"/>
      <c r="H3318" s="31"/>
      <c r="I3318" s="31"/>
      <c r="J3318" s="31"/>
      <c r="K3318" s="31"/>
      <c r="L3318" s="31"/>
      <c r="M3318" s="31"/>
      <c r="N3318" s="31"/>
      <c r="O3318" s="31"/>
      <c r="P3318" s="32"/>
      <c r="Q3318" s="14"/>
      <c r="R3318" s="11"/>
    </row>
    <row r="3319" s="1" customFormat="1" ht="21.95" customHeight="1" spans="1:18">
      <c r="A3319" s="7"/>
      <c r="B3319" s="12"/>
      <c r="C3319" s="33"/>
      <c r="D3319" s="34" t="s">
        <v>713</v>
      </c>
      <c r="E3319" s="20" t="s">
        <v>714</v>
      </c>
      <c r="F3319" s="35" t="str">
        <f>"Level - "&amp;IFERROR(VLOOKUP(F3310,FLN!$A$4:$K$103,9,0),"")</f>
        <v>Level - </v>
      </c>
      <c r="G3319" s="36"/>
      <c r="H3319" s="37" t="s">
        <v>715</v>
      </c>
      <c r="I3319" s="20"/>
      <c r="J3319" s="35" t="str">
        <f>"Level - "&amp;IFERROR(VLOOKUP(F3310,FLN!$A$4:$K$103,11,0),"")</f>
        <v>Level - </v>
      </c>
      <c r="K3319" s="36"/>
      <c r="L3319" s="37" t="s">
        <v>408</v>
      </c>
      <c r="M3319" s="20"/>
      <c r="N3319" s="35" t="str">
        <f>"Level - "&amp;IFERROR(VLOOKUP(F3310,FLN!$A$4:$K$103,10,0),"")</f>
        <v>Level - </v>
      </c>
      <c r="O3319" s="36"/>
      <c r="P3319" s="19"/>
      <c r="Q3319" s="14"/>
      <c r="R3319" s="11"/>
    </row>
    <row r="3320" s="1" customFormat="1" ht="21.95" customHeight="1" spans="1:18">
      <c r="A3320" s="7"/>
      <c r="B3320" s="12"/>
      <c r="C3320" s="33"/>
      <c r="D3320" s="38"/>
      <c r="E3320" s="20" t="s">
        <v>716</v>
      </c>
      <c r="F3320" s="18" t="str">
        <f>IF(L3334&gt;197,"PERFORMED WELL","")</f>
        <v/>
      </c>
      <c r="G3320" s="18"/>
      <c r="H3320" s="18"/>
      <c r="I3320" s="18"/>
      <c r="J3320" s="18"/>
      <c r="K3320" s="18"/>
      <c r="L3320" s="18"/>
      <c r="M3320" s="18"/>
      <c r="N3320" s="18"/>
      <c r="O3320" s="18"/>
      <c r="P3320" s="19"/>
      <c r="Q3320" s="14"/>
      <c r="R3320" s="11"/>
    </row>
    <row r="3321" s="1" customFormat="1" ht="9.95" customHeight="1" spans="1:18">
      <c r="A3321" s="7"/>
      <c r="B3321" s="12"/>
      <c r="C3321" s="39"/>
      <c r="D3321" s="40"/>
      <c r="E3321" s="40"/>
      <c r="F3321" s="40"/>
      <c r="G3321" s="40"/>
      <c r="H3321" s="40"/>
      <c r="I3321" s="40"/>
      <c r="J3321" s="40"/>
      <c r="K3321" s="40"/>
      <c r="L3321" s="40"/>
      <c r="M3321" s="40"/>
      <c r="N3321" s="40"/>
      <c r="O3321" s="40"/>
      <c r="P3321" s="41"/>
      <c r="Q3321" s="14"/>
      <c r="R3321" s="11"/>
    </row>
    <row r="3322" s="1" customFormat="1" ht="9.95" customHeight="1" spans="1:18">
      <c r="A3322" s="7"/>
      <c r="B3322" s="12"/>
      <c r="C3322" s="29"/>
      <c r="D3322" s="29"/>
      <c r="E3322" s="29"/>
      <c r="F3322" s="29"/>
      <c r="G3322" s="29"/>
      <c r="H3322" s="29"/>
      <c r="I3322" s="29"/>
      <c r="J3322" s="29"/>
      <c r="K3322" s="29"/>
      <c r="L3322" s="29"/>
      <c r="M3322" s="29"/>
      <c r="N3322" s="29"/>
      <c r="O3322" s="29"/>
      <c r="P3322" s="29"/>
      <c r="Q3322" s="14"/>
      <c r="R3322" s="11"/>
    </row>
    <row r="3323" s="1" customFormat="1" ht="9.95" customHeight="1" spans="1:18">
      <c r="A3323" s="7"/>
      <c r="B3323" s="12"/>
      <c r="C3323" s="30"/>
      <c r="D3323" s="31"/>
      <c r="E3323" s="31"/>
      <c r="F3323" s="31"/>
      <c r="G3323" s="31"/>
      <c r="H3323" s="31"/>
      <c r="I3323" s="31"/>
      <c r="J3323" s="31"/>
      <c r="K3323" s="31"/>
      <c r="L3323" s="31"/>
      <c r="M3323" s="31"/>
      <c r="N3323" s="31"/>
      <c r="O3323" s="31"/>
      <c r="P3323" s="32"/>
      <c r="Q3323" s="14"/>
      <c r="R3323" s="11"/>
    </row>
    <row r="3324" s="1" customFormat="1" ht="21.95" customHeight="1" spans="1:18">
      <c r="A3324" s="7"/>
      <c r="B3324" s="12"/>
      <c r="C3324" s="33"/>
      <c r="D3324" s="35"/>
      <c r="E3324" s="24"/>
      <c r="F3324" s="24"/>
      <c r="G3324" s="47" t="s">
        <v>717</v>
      </c>
      <c r="H3324" s="47"/>
      <c r="I3324" s="47"/>
      <c r="J3324" s="47"/>
      <c r="K3324" s="47"/>
      <c r="L3324" s="47"/>
      <c r="M3324" s="47"/>
      <c r="N3324" s="47"/>
      <c r="O3324" s="29"/>
      <c r="P3324" s="19"/>
      <c r="Q3324" s="14"/>
      <c r="R3324" s="11"/>
    </row>
    <row r="3325" s="1" customFormat="1" ht="21.95" customHeight="1" spans="1:18">
      <c r="A3325" s="7"/>
      <c r="B3325" s="12"/>
      <c r="C3325" s="33"/>
      <c r="D3325" s="47"/>
      <c r="E3325" s="47"/>
      <c r="F3325" s="47"/>
      <c r="G3325" s="47" t="s">
        <v>541</v>
      </c>
      <c r="H3325" s="47" t="s">
        <v>542</v>
      </c>
      <c r="I3325" s="47" t="s">
        <v>543</v>
      </c>
      <c r="J3325" s="47" t="s">
        <v>544</v>
      </c>
      <c r="K3325" s="47" t="s">
        <v>561</v>
      </c>
      <c r="L3325" s="47" t="s">
        <v>382</v>
      </c>
      <c r="M3325" s="49" t="s">
        <v>546</v>
      </c>
      <c r="N3325" s="49"/>
      <c r="O3325" s="29"/>
      <c r="P3325" s="19"/>
      <c r="Q3325" s="14"/>
      <c r="R3325" s="11"/>
    </row>
    <row r="3326" s="1" customFormat="1" ht="21.95" customHeight="1" spans="1:18">
      <c r="A3326" s="7"/>
      <c r="B3326" s="12"/>
      <c r="C3326" s="33"/>
      <c r="D3326" s="207" t="s">
        <v>652</v>
      </c>
      <c r="E3326" s="207"/>
      <c r="F3326" s="207"/>
      <c r="G3326" s="50">
        <v>10</v>
      </c>
      <c r="H3326" s="50">
        <v>10</v>
      </c>
      <c r="I3326" s="50">
        <v>10</v>
      </c>
      <c r="J3326" s="50">
        <v>10</v>
      </c>
      <c r="K3326" s="50">
        <v>60</v>
      </c>
      <c r="L3326" s="50">
        <v>100</v>
      </c>
      <c r="M3326" s="49"/>
      <c r="N3326" s="49"/>
      <c r="O3326" s="29"/>
      <c r="P3326" s="19"/>
      <c r="Q3326" s="14"/>
      <c r="R3326" s="11"/>
    </row>
    <row r="3327" s="1" customFormat="1" ht="21.95" customHeight="1" spans="1:18">
      <c r="A3327" s="7"/>
      <c r="B3327" s="12"/>
      <c r="C3327" s="33"/>
      <c r="D3327" s="117" t="s">
        <v>668</v>
      </c>
      <c r="E3327" s="117"/>
      <c r="F3327" s="117"/>
      <c r="G3327" s="54" t="str">
        <f>IFERROR(VLOOKUP(F3310,'1to4-2.1-RR'!$A$12:$BG$111,9,0),"")</f>
        <v/>
      </c>
      <c r="H3327" s="54" t="str">
        <f>IFERROR(VLOOKUP(F3310,'1to4-2.1-RR'!$A$12:$BG$111,10,0),"")</f>
        <v/>
      </c>
      <c r="I3327" s="54" t="str">
        <f>IFERROR(VLOOKUP(F3310,'1to4-2.1-RR'!$A$12:$BG$111,11,0),"")</f>
        <v/>
      </c>
      <c r="J3327" s="54" t="str">
        <f>IFERROR(VLOOKUP(F3310,'1to4-2.1-RR'!$A$12:$BG$111,12,0),"")</f>
        <v/>
      </c>
      <c r="K3327" s="54" t="str">
        <f>IFERROR(VLOOKUP(F3310,'1to4-2.1-RR'!$A$12:$BG$111,13,0),"")</f>
        <v/>
      </c>
      <c r="L3327" s="55">
        <f>SUM(G3327:K3327)</f>
        <v>0</v>
      </c>
      <c r="M3327" s="56" t="str">
        <f>IF(F3310&gt;ENTRY!$D$24,"",IF(L3327=0,"Ab",IF(L3327&gt;80,"A",IF(L3327&gt;60,"B",IF(L3327&gt;44,"C",IF(L3327&gt;=33,"D",IF(L3327&lt;=32,"E","")))))))</f>
        <v/>
      </c>
      <c r="N3327" s="56"/>
      <c r="O3327" s="29"/>
      <c r="P3327" s="19"/>
      <c r="Q3327" s="14"/>
      <c r="R3327" s="11"/>
    </row>
    <row r="3328" s="1" customFormat="1" ht="21.95" customHeight="1" spans="1:18">
      <c r="A3328" s="7"/>
      <c r="B3328" s="12"/>
      <c r="C3328" s="33"/>
      <c r="D3328" s="117" t="s">
        <v>513</v>
      </c>
      <c r="E3328" s="117"/>
      <c r="F3328" s="117"/>
      <c r="G3328" s="54" t="str">
        <f>IFERROR(VLOOKUP(F3310,'1to4-2.1-RR'!$A$12:$BG$111,16,0),"")</f>
        <v/>
      </c>
      <c r="H3328" s="54" t="str">
        <f>IFERROR(VLOOKUP(F3310,'1to4-2.1-RR'!$A$12:$BG$111,17,0),"")</f>
        <v/>
      </c>
      <c r="I3328" s="54" t="str">
        <f>IFERROR(VLOOKUP(F3310,'1to4-2.1-RR'!$A$12:$BG$111,18,0),"")</f>
        <v/>
      </c>
      <c r="J3328" s="54" t="str">
        <f>IFERROR(VLOOKUP(F3310,'1to4-2.1-RR'!$A$12:$BG$111,19,0),"")</f>
        <v/>
      </c>
      <c r="K3328" s="54" t="str">
        <f>IFERROR(VLOOKUP(F3310,'1to4-2.1-RR'!$A$12:$BG$111,20,0),"")</f>
        <v/>
      </c>
      <c r="L3328" s="55">
        <f t="shared" ref="L3328:L3333" si="118">SUM(G3328:K3328)</f>
        <v>0</v>
      </c>
      <c r="M3328" s="56" t="str">
        <f>IF(F3310&gt;ENTRY!$D$24,"",IF(L3328=0,"Ab",IF(L3328&gt;80,"A",IF(L3328&gt;60,"B",IF(L3328&gt;44,"C",IF(L3328&gt;=33,"D",IF(L3328&lt;=32,"E","")))))))</f>
        <v/>
      </c>
      <c r="N3328" s="56"/>
      <c r="O3328" s="29"/>
      <c r="P3328" s="19"/>
      <c r="Q3328" s="14"/>
      <c r="R3328" s="11"/>
    </row>
    <row r="3329" s="1" customFormat="1" ht="21.95" customHeight="1" spans="1:19">
      <c r="A3329" s="7"/>
      <c r="B3329" s="12"/>
      <c r="C3329" s="33"/>
      <c r="D3329" s="117" t="s">
        <v>718</v>
      </c>
      <c r="E3329" s="117"/>
      <c r="F3329" s="117"/>
      <c r="G3329" s="54" t="str">
        <f>IFERROR(VLOOKUP(F3310,'1to4-2.1-RR'!$A$12:$BG$111,23,0),"")</f>
        <v/>
      </c>
      <c r="H3329" s="54" t="str">
        <f>IFERROR(VLOOKUP(F3310,'1to4-2.1-RR'!$A$12:$BG$111,24,0),"")</f>
        <v/>
      </c>
      <c r="I3329" s="54" t="str">
        <f>IFERROR(VLOOKUP(F3310,'1to4-2.1-RR'!$A$12:$BG$111,25,0),"")</f>
        <v/>
      </c>
      <c r="J3329" s="54" t="str">
        <f>IFERROR(VLOOKUP(F3310,'1to4-2.1-RR'!$A$12:$BG$111,26,0),"")</f>
        <v/>
      </c>
      <c r="K3329" s="54" t="str">
        <f>IFERROR(VLOOKUP(F3310,'1to4-2.1-RR'!$A$12:$BG$111,27,0),"")</f>
        <v/>
      </c>
      <c r="L3329" s="55">
        <f t="shared" si="118"/>
        <v>0</v>
      </c>
      <c r="M3329" s="56" t="str">
        <f>IF(F3310&gt;ENTRY!$D$24,"",IF(L3329=0,"Ab",IF(L3329&gt;80,"A",IF(L3329&gt;60,"B",IF(L3329&gt;44,"C",IF(L3329&gt;=33,"D",IF(L3329&lt;=32,"E","")))))))</f>
        <v/>
      </c>
      <c r="N3329" s="56"/>
      <c r="O3329" s="29"/>
      <c r="P3329" s="19"/>
      <c r="Q3329" s="14"/>
      <c r="R3329" s="11"/>
    </row>
    <row r="3330" s="1" customFormat="1" ht="21.95" customHeight="1" spans="1:19">
      <c r="A3330" s="7"/>
      <c r="B3330" s="12"/>
      <c r="C3330" s="33"/>
      <c r="D3330" s="117" t="s">
        <v>719</v>
      </c>
      <c r="E3330" s="117"/>
      <c r="F3330" s="117"/>
      <c r="G3330" s="54" t="str">
        <f>IFERROR(VLOOKUP(F3310,'1to4-2.1-RR'!$A$12:$BG$111,30,0),"")</f>
        <v/>
      </c>
      <c r="H3330" s="54" t="str">
        <f>IFERROR(VLOOKUP(F3310,'1to4-2.1-RR'!$A$12:$BG$111,31,0),"")</f>
        <v/>
      </c>
      <c r="I3330" s="54" t="str">
        <f>IFERROR(VLOOKUP(F3310,'1to4-2.1-RR'!$A$12:$BG$111,32,0),"")</f>
        <v/>
      </c>
      <c r="J3330" s="54" t="str">
        <f>IFERROR(VLOOKUP(F3310,'1to4-2.1-RR'!$A$12:$BG$111,33,0),"")</f>
        <v/>
      </c>
      <c r="K3330" s="54" t="str">
        <f>IFERROR(VLOOKUP(F3310,'1to4-2.1-RR'!$A$12:$BG$111,34,0),"")</f>
        <v/>
      </c>
      <c r="L3330" s="55">
        <f t="shared" si="118"/>
        <v>0</v>
      </c>
      <c r="M3330" s="56" t="str">
        <f>IF(F3310&gt;ENTRY!$D$24,"",IF(L3330=0,"Ab",IF(L3330&gt;80,"A",IF(L3330&gt;60,"B",IF(L3330&gt;44,"C",IF(L3330&gt;=33,"D",IF(L3330&lt;=32,"E","")))))))</f>
        <v/>
      </c>
      <c r="N3330" s="56"/>
      <c r="O3330" s="29"/>
      <c r="P3330" s="19"/>
      <c r="Q3330" s="14"/>
      <c r="R3330" s="11"/>
    </row>
    <row r="3331" s="1" customFormat="1" ht="21.95" customHeight="1" spans="1:19">
      <c r="A3331" s="7"/>
      <c r="B3331" s="12"/>
      <c r="C3331" s="33"/>
      <c r="D3331" s="117" t="s">
        <v>548</v>
      </c>
      <c r="E3331" s="117"/>
      <c r="F3331" s="117"/>
      <c r="G3331" s="54" t="str">
        <f>IFERROR(VLOOKUP(F3310,'1to4-2.1-RR'!$A$12:$BG$111,37,0),"")</f>
        <v/>
      </c>
      <c r="H3331" s="54" t="str">
        <f>IFERROR(VLOOKUP(F3310,'1to4-2.1-RR'!$A$12:$BG$111,38,0),"")</f>
        <v/>
      </c>
      <c r="I3331" s="54" t="str">
        <f>IFERROR(VLOOKUP(F3310,'1to4-2.1-RR'!$A$12:$BG$111,39,0),"")</f>
        <v/>
      </c>
      <c r="J3331" s="54" t="str">
        <f>IFERROR(VLOOKUP(F3310,'1to4-2.1-RR'!$A$12:$BG$111,40,0),"")</f>
        <v/>
      </c>
      <c r="K3331" s="54" t="str">
        <f>IFERROR(VLOOKUP(F3310,'1to4-2.1-RR'!$A$12:$BG$111,41,0),"")</f>
        <v/>
      </c>
      <c r="L3331" s="55">
        <f t="shared" si="118"/>
        <v>0</v>
      </c>
      <c r="M3331" s="56" t="str">
        <f>IF(F3310&gt;ENTRY!$D$24,"",IF(L3331=0,"Ab",IF(L3331&gt;80,"A",IF(L3331&gt;60,"B",IF(L3331&gt;44,"C",IF(L3331&gt;=33,"D",IF(L3331&lt;=32,"E","")))))))</f>
        <v/>
      </c>
      <c r="N3331" s="56"/>
      <c r="O3331" s="29"/>
      <c r="P3331" s="19"/>
      <c r="Q3331" s="14"/>
      <c r="R3331" s="11"/>
    </row>
    <row r="3332" s="1" customFormat="1" ht="21.95" customHeight="1" spans="1:19">
      <c r="A3332" s="7"/>
      <c r="B3332" s="12"/>
      <c r="C3332" s="33"/>
      <c r="D3332" s="117" t="s">
        <v>549</v>
      </c>
      <c r="E3332" s="117"/>
      <c r="F3332" s="117"/>
      <c r="G3332" s="54" t="str">
        <f>IFERROR(VLOOKUP(F3310,'1to4-2.1-RR'!$A$12:$BG$111,44,0),"")</f>
        <v/>
      </c>
      <c r="H3332" s="54" t="str">
        <f>IFERROR(VLOOKUP(F3310,'1to4-2.1-RR'!$A$12:$BG$111,45,0),"")</f>
        <v/>
      </c>
      <c r="I3332" s="54" t="str">
        <f>IFERROR(VLOOKUP(F3310,'1to4-2.1-RR'!$A$12:$BG$111,46,0),"")</f>
        <v/>
      </c>
      <c r="J3332" s="54" t="str">
        <f>IFERROR(VLOOKUP(F3310,'1to4-2.1-RR'!$A$12:$BG$111,47,0),"")</f>
        <v/>
      </c>
      <c r="K3332" s="54" t="str">
        <f>IFERROR(VLOOKUP(F3310,'1to4-2.1-RR'!$A$12:$BG$111,48,0),"")</f>
        <v/>
      </c>
      <c r="L3332" s="55">
        <f t="shared" si="118"/>
        <v>0</v>
      </c>
      <c r="M3332" s="56" t="str">
        <f>IF(F3310&gt;ENTRY!$D$24,"",IF(L3332=0,"Ab",IF(L3332&gt;80,"A",IF(L3332&gt;60,"B",IF(L3332&gt;44,"C",IF(L3332&gt;=33,"D",IF(L3332&lt;=32,"E","")))))))</f>
        <v/>
      </c>
      <c r="N3332" s="56"/>
      <c r="O3332" s="29"/>
      <c r="P3332" s="19"/>
      <c r="Q3332" s="14"/>
      <c r="R3332" s="11"/>
    </row>
    <row r="3333" s="1" customFormat="1" ht="21.95" customHeight="1" spans="1:19">
      <c r="A3333" s="7"/>
      <c r="B3333" s="12"/>
      <c r="C3333" s="33"/>
      <c r="D3333" s="117" t="s">
        <v>720</v>
      </c>
      <c r="E3333" s="117"/>
      <c r="F3333" s="117"/>
      <c r="G3333" s="54"/>
      <c r="H3333" s="54"/>
      <c r="I3333" s="54"/>
      <c r="J3333" s="54"/>
      <c r="K3333" s="54"/>
      <c r="L3333" s="55">
        <f t="shared" si="118"/>
        <v>0</v>
      </c>
      <c r="M3333" s="56" t="str">
        <f>IF(F3310&gt;ENTRY!$D$24,"",IF(L3333=0,"",IF(L3333&gt;79,"A",IF(L3333&gt;59,"B",IF(L3333&gt;44,"C",IF(L3333&gt;=33,"D",IF(L3333&lt;=32,"E","")))))))</f>
        <v/>
      </c>
      <c r="N3333" s="56"/>
      <c r="O3333" s="29"/>
      <c r="P3333" s="19"/>
      <c r="Q3333" s="14"/>
      <c r="R3333" s="11"/>
    </row>
    <row r="3334" s="1" customFormat="1" ht="21.95" customHeight="1" spans="1:19">
      <c r="A3334" s="7"/>
      <c r="B3334" s="12"/>
      <c r="C3334" s="33"/>
      <c r="D3334" s="207" t="s">
        <v>382</v>
      </c>
      <c r="E3334" s="207"/>
      <c r="F3334" s="207"/>
      <c r="G3334" s="54">
        <f t="shared" ref="G3334:L3334" si="119">IFERROR(SUM(G3327:G3333),"")</f>
        <v>0</v>
      </c>
      <c r="H3334" s="54">
        <f t="shared" si="119"/>
        <v>0</v>
      </c>
      <c r="I3334" s="54">
        <f t="shared" si="119"/>
        <v>0</v>
      </c>
      <c r="J3334" s="54">
        <f t="shared" si="119"/>
        <v>0</v>
      </c>
      <c r="K3334" s="54">
        <f t="shared" si="119"/>
        <v>0</v>
      </c>
      <c r="L3334" s="55">
        <f t="shared" si="119"/>
        <v>0</v>
      </c>
      <c r="M3334" s="61" t="str">
        <f>IF(F3310&gt;ENTRY!$D$24,"",IF(N3335="Ab","Ab",IF(N3335&gt;79.5,"A",IF(N3335&gt;59.5,"B",IF(N3335&gt;44.5,"C",IF(N3335&gt;=33,"D",IF(N3335&lt;33,"E","")))))))</f>
        <v/>
      </c>
      <c r="N3334" s="61"/>
      <c r="O3334" s="29"/>
      <c r="P3334" s="19"/>
      <c r="Q3334" s="14"/>
      <c r="R3334" s="11"/>
    </row>
    <row r="3335" s="1" customFormat="1" ht="21.95" customHeight="1" spans="1:19">
      <c r="A3335" s="7"/>
      <c r="B3335" s="12"/>
      <c r="C3335" s="33"/>
      <c r="D3335" s="63" t="s">
        <v>721</v>
      </c>
      <c r="E3335" s="63"/>
      <c r="F3335" s="63"/>
      <c r="G3335" s="63"/>
      <c r="H3335" s="63"/>
      <c r="I3335" s="63"/>
      <c r="J3335" s="63"/>
      <c r="K3335" s="63"/>
      <c r="L3335" s="63"/>
      <c r="M3335" s="209"/>
      <c r="N3335" s="64">
        <f>IF(L3334="Ab","Ab",L3334/6)</f>
        <v>0</v>
      </c>
      <c r="O3335" s="65"/>
      <c r="P3335" s="19"/>
      <c r="Q3335" s="14"/>
      <c r="R3335" s="11"/>
    </row>
    <row r="3336" s="1" customFormat="1" ht="21.95" customHeight="1" spans="1:19">
      <c r="A3336" s="7"/>
      <c r="B3336" s="12"/>
      <c r="C3336" s="33"/>
      <c r="D3336" s="29" t="s">
        <v>716</v>
      </c>
      <c r="E3336" s="18" t="str">
        <f>IFERROR(VLOOKUP(F3310,'1to4-2.1-RR'!$A$12:$BG$111,57,0),"")</f>
        <v/>
      </c>
      <c r="F3336" s="18"/>
      <c r="G3336" s="18"/>
      <c r="H3336" s="18"/>
      <c r="I3336" s="18"/>
      <c r="J3336" s="18"/>
      <c r="K3336" s="18"/>
      <c r="L3336" s="18"/>
      <c r="M3336" s="18"/>
      <c r="N3336" s="29"/>
      <c r="O3336" s="29"/>
      <c r="P3336" s="19"/>
      <c r="Q3336" s="14"/>
      <c r="R3336" s="11"/>
    </row>
    <row r="3337" s="1" customFormat="1" ht="9.95" customHeight="1" spans="1:19">
      <c r="A3337" s="7"/>
      <c r="B3337" s="12"/>
      <c r="C3337" s="39"/>
      <c r="D3337" s="40"/>
      <c r="E3337" s="40"/>
      <c r="F3337" s="40"/>
      <c r="G3337" s="40"/>
      <c r="H3337" s="40"/>
      <c r="I3337" s="40"/>
      <c r="J3337" s="40"/>
      <c r="K3337" s="40"/>
      <c r="L3337" s="40"/>
      <c r="M3337" s="40"/>
      <c r="N3337" s="40"/>
      <c r="O3337" s="40"/>
      <c r="P3337" s="41"/>
      <c r="Q3337" s="14"/>
      <c r="R3337" s="11"/>
    </row>
    <row r="3338" s="1" customFormat="1" ht="9.95" customHeight="1" spans="1:19">
      <c r="A3338" s="7"/>
      <c r="B3338" s="12"/>
      <c r="C3338" s="30"/>
      <c r="D3338" s="31"/>
      <c r="E3338" s="31"/>
      <c r="F3338" s="29"/>
      <c r="G3338" s="31"/>
      <c r="H3338" s="31"/>
      <c r="I3338" s="31"/>
      <c r="J3338" s="31"/>
      <c r="K3338" s="31"/>
      <c r="L3338" s="31"/>
      <c r="M3338" s="31"/>
      <c r="N3338" s="31"/>
      <c r="O3338" s="31"/>
      <c r="P3338" s="32"/>
      <c r="Q3338" s="14"/>
      <c r="R3338" s="11"/>
    </row>
    <row r="3339" s="1" customFormat="1" ht="9.95" customHeight="1" spans="1:19">
      <c r="A3339" s="7"/>
      <c r="B3339" s="12"/>
      <c r="C3339" s="33"/>
      <c r="D3339" s="29"/>
      <c r="E3339" s="29"/>
      <c r="F3339" s="29"/>
      <c r="G3339" s="29"/>
      <c r="H3339" s="29"/>
      <c r="I3339" s="29"/>
      <c r="J3339" s="29"/>
      <c r="K3339" s="29"/>
      <c r="L3339" s="29"/>
      <c r="M3339" s="29"/>
      <c r="N3339" s="29"/>
      <c r="O3339" s="29"/>
      <c r="P3339" s="19"/>
      <c r="Q3339" s="14"/>
      <c r="R3339" s="11"/>
    </row>
    <row r="3340" s="1" customFormat="1" ht="9.95" customHeight="1" spans="1:19">
      <c r="A3340" s="7"/>
      <c r="B3340" s="12"/>
      <c r="C3340" s="33"/>
      <c r="D3340" s="29"/>
      <c r="E3340" s="29"/>
      <c r="F3340" s="29"/>
      <c r="G3340" s="29"/>
      <c r="H3340" s="29"/>
      <c r="I3340" s="29"/>
      <c r="J3340" s="29"/>
      <c r="K3340" s="29"/>
      <c r="L3340" s="29"/>
      <c r="M3340" s="29"/>
      <c r="N3340" s="29"/>
      <c r="O3340" s="29"/>
      <c r="P3340" s="19"/>
      <c r="Q3340" s="14"/>
      <c r="R3340" s="11"/>
    </row>
    <row r="3341" s="1" customFormat="1" ht="21.95" customHeight="1" spans="1:19">
      <c r="A3341" s="7"/>
      <c r="B3341" s="12"/>
      <c r="C3341" s="210"/>
      <c r="D3341" s="211"/>
      <c r="E3341" s="211"/>
      <c r="F3341" s="211"/>
      <c r="G3341" s="211"/>
      <c r="H3341" s="211"/>
      <c r="I3341" s="211"/>
      <c r="J3341" s="211"/>
      <c r="K3341" s="211"/>
      <c r="L3341" s="211"/>
      <c r="M3341" s="211"/>
      <c r="N3341" s="211"/>
      <c r="O3341" s="211"/>
      <c r="P3341" s="212"/>
      <c r="Q3341" s="14"/>
      <c r="R3341" s="11"/>
      <c r="S3341" s="2"/>
    </row>
    <row r="3342" s="1" customFormat="1" ht="21.95" customHeight="1" spans="1:19">
      <c r="A3342" s="7"/>
      <c r="B3342" s="12"/>
      <c r="C3342" s="33"/>
      <c r="D3342" s="207" t="s">
        <v>722</v>
      </c>
      <c r="E3342" s="207"/>
      <c r="F3342" s="207"/>
      <c r="G3342" s="207"/>
      <c r="H3342" s="54">
        <f>IFERROR(VLOOKUP(F3310,PASHEET!$A$4:$CJ$103,88,0),"")</f>
        <v>0</v>
      </c>
      <c r="I3342" s="54"/>
      <c r="J3342" s="29"/>
      <c r="K3342" s="29"/>
      <c r="L3342" s="29"/>
      <c r="M3342" s="29"/>
      <c r="N3342" s="29"/>
      <c r="O3342" s="29"/>
      <c r="P3342" s="19"/>
      <c r="Q3342" s="14"/>
      <c r="R3342" s="11"/>
    </row>
    <row r="3343" s="1" customFormat="1" ht="21.95" customHeight="1" spans="1:19">
      <c r="A3343" s="7"/>
      <c r="B3343" s="12"/>
      <c r="C3343" s="213"/>
      <c r="D3343" s="207" t="s">
        <v>723</v>
      </c>
      <c r="E3343" s="207"/>
      <c r="F3343" s="207"/>
      <c r="G3343" s="207"/>
      <c r="H3343" s="54">
        <f>IFERROR(VLOOKUP(F3310,PASHEET!$A$4:$CJ$103,87,0),"")</f>
        <v>0</v>
      </c>
      <c r="I3343" s="54"/>
      <c r="J3343" s="214"/>
      <c r="K3343" s="214"/>
      <c r="L3343" s="207" t="s">
        <v>724</v>
      </c>
      <c r="M3343" s="207"/>
      <c r="N3343" s="117" t="str">
        <f>IF(F3310&gt;ENTRY!$D$24,"",IF(F3310&gt;0,L3334&amp;" / "&amp;600,""))</f>
        <v/>
      </c>
      <c r="O3343" s="117"/>
      <c r="P3343" s="215"/>
      <c r="Q3343" s="14"/>
      <c r="R3343" s="11"/>
    </row>
    <row r="3344" s="1" customFormat="1" ht="18" customHeight="1" spans="1:19">
      <c r="A3344" s="7"/>
      <c r="B3344" s="12"/>
      <c r="C3344" s="33"/>
      <c r="D3344" s="207" t="s">
        <v>725</v>
      </c>
      <c r="E3344" s="207"/>
      <c r="F3344" s="207"/>
      <c r="G3344" s="207"/>
      <c r="H3344" s="69" t="str">
        <f>IFERROR(IF(F3310&gt;0,H3343/H3342*100),"")</f>
        <v/>
      </c>
      <c r="I3344" s="69"/>
      <c r="J3344" s="29"/>
      <c r="K3344" s="29"/>
      <c r="L3344" s="207" t="s">
        <v>726</v>
      </c>
      <c r="M3344" s="207"/>
      <c r="N3344" s="216" t="str">
        <f>IF(F3310&gt;ENTRY!$D$24,"",IF(F3310&gt;0,L3334/600*100,""))</f>
        <v/>
      </c>
      <c r="O3344" s="216"/>
      <c r="P3344" s="19"/>
      <c r="Q3344" s="14"/>
      <c r="R3344" s="11"/>
    </row>
    <row r="3345" s="1" customFormat="1" ht="21.95" customHeight="1" spans="1:18">
      <c r="A3345" s="7"/>
      <c r="B3345" s="12"/>
      <c r="C3345" s="33"/>
      <c r="D3345" s="80"/>
      <c r="E3345" s="80"/>
      <c r="F3345" s="217"/>
      <c r="G3345" s="217"/>
      <c r="H3345" s="217"/>
      <c r="I3345" s="217"/>
      <c r="J3345" s="217"/>
      <c r="K3345" s="217"/>
      <c r="L3345" s="217"/>
      <c r="M3345" s="217"/>
      <c r="N3345" s="80"/>
      <c r="O3345" s="80"/>
      <c r="P3345" s="19"/>
      <c r="Q3345" s="14"/>
      <c r="R3345" s="11"/>
    </row>
    <row r="3346" s="1" customFormat="1" ht="21.95" customHeight="1" spans="1:18">
      <c r="A3346" s="7"/>
      <c r="B3346" s="12"/>
      <c r="C3346" s="33"/>
      <c r="D3346" s="80"/>
      <c r="E3346" s="218"/>
      <c r="F3346" s="218"/>
      <c r="G3346" s="218"/>
      <c r="H3346" s="80"/>
      <c r="I3346" s="218"/>
      <c r="J3346" s="218"/>
      <c r="K3346" s="218"/>
      <c r="L3346" s="218"/>
      <c r="M3346" s="80"/>
      <c r="N3346" s="219"/>
      <c r="O3346" s="219"/>
      <c r="P3346" s="19"/>
      <c r="Q3346" s="14"/>
      <c r="R3346" s="11"/>
    </row>
    <row r="3347" s="1" customFormat="1" ht="21.95" customHeight="1" spans="1:18">
      <c r="A3347" s="7"/>
      <c r="B3347" s="12"/>
      <c r="C3347" s="33"/>
      <c r="D3347" s="80"/>
      <c r="E3347" s="80"/>
      <c r="F3347" s="80"/>
      <c r="G3347" s="80"/>
      <c r="H3347" s="80"/>
      <c r="I3347" s="80"/>
      <c r="J3347" s="80"/>
      <c r="K3347" s="80"/>
      <c r="L3347" s="80"/>
      <c r="M3347" s="80"/>
      <c r="N3347" s="80"/>
      <c r="O3347" s="80"/>
      <c r="P3347" s="19"/>
      <c r="Q3347" s="14"/>
      <c r="R3347" s="11"/>
    </row>
    <row r="3348" s="1" customFormat="1" ht="21.95" customHeight="1" spans="1:18">
      <c r="A3348" s="7"/>
      <c r="B3348" s="12"/>
      <c r="C3348" s="33"/>
      <c r="D3348" s="218"/>
      <c r="E3348" s="218"/>
      <c r="F3348" s="218"/>
      <c r="G3348" s="218"/>
      <c r="H3348" s="218"/>
      <c r="I3348" s="218"/>
      <c r="J3348" s="218"/>
      <c r="K3348" s="218"/>
      <c r="L3348" s="218"/>
      <c r="M3348" s="80"/>
      <c r="N3348" s="217"/>
      <c r="O3348" s="217"/>
      <c r="P3348" s="85" t="s">
        <v>727</v>
      </c>
      <c r="Q3348" s="14"/>
      <c r="R3348" s="11"/>
    </row>
    <row r="3349" s="1" customFormat="1" ht="21.95" customHeight="1" spans="1:18">
      <c r="A3349" s="7"/>
      <c r="B3349" s="12"/>
      <c r="C3349" s="33"/>
      <c r="D3349" s="29"/>
      <c r="E3349" s="29"/>
      <c r="F3349" s="29"/>
      <c r="G3349" s="29"/>
      <c r="H3349" s="29"/>
      <c r="I3349" s="29"/>
      <c r="J3349" s="29"/>
      <c r="K3349" s="29"/>
      <c r="L3349" s="29"/>
      <c r="M3349" s="29"/>
      <c r="N3349" s="29"/>
      <c r="O3349" s="29"/>
      <c r="P3349" s="19"/>
      <c r="Q3349" s="14"/>
      <c r="R3349" s="11"/>
    </row>
    <row r="3350" s="1" customFormat="1" ht="21.95" customHeight="1" spans="1:18">
      <c r="A3350" s="7"/>
      <c r="B3350" s="12"/>
      <c r="C3350" s="33"/>
      <c r="D3350" s="29"/>
      <c r="E3350" s="29"/>
      <c r="F3350" s="29"/>
      <c r="G3350" s="29"/>
      <c r="H3350" s="29"/>
      <c r="I3350" s="29"/>
      <c r="J3350" s="29"/>
      <c r="K3350" s="29"/>
      <c r="L3350" s="29"/>
      <c r="M3350" s="29"/>
      <c r="N3350" s="29"/>
      <c r="O3350" s="29"/>
      <c r="P3350" s="19"/>
      <c r="Q3350" s="14"/>
      <c r="R3350" s="11"/>
    </row>
    <row r="3351" s="1" customFormat="1" ht="21.95" customHeight="1" spans="1:18">
      <c r="A3351" s="7"/>
      <c r="B3351" s="12"/>
      <c r="C3351" s="33"/>
      <c r="D3351" s="29"/>
      <c r="E3351" s="29"/>
      <c r="F3351" s="29"/>
      <c r="G3351" s="29"/>
      <c r="H3351" s="29"/>
      <c r="I3351" s="29"/>
      <c r="J3351" s="29"/>
      <c r="K3351" s="29"/>
      <c r="L3351" s="29"/>
      <c r="M3351" s="29"/>
      <c r="N3351" s="29"/>
      <c r="O3351" s="29"/>
      <c r="P3351" s="19"/>
      <c r="Q3351" s="14"/>
      <c r="R3351" s="11"/>
    </row>
    <row r="3352" s="1" customFormat="1" ht="21.95" customHeight="1" spans="1:18">
      <c r="A3352" s="7"/>
      <c r="B3352" s="12"/>
      <c r="C3352" s="33"/>
      <c r="D3352" s="29"/>
      <c r="E3352" s="29"/>
      <c r="F3352" s="29"/>
      <c r="G3352" s="29"/>
      <c r="H3352" s="29"/>
      <c r="I3352" s="29"/>
      <c r="J3352" s="29"/>
      <c r="K3352" s="29"/>
      <c r="L3352" s="29"/>
      <c r="M3352" s="29"/>
      <c r="N3352" s="29"/>
      <c r="O3352" s="29"/>
      <c r="P3352" s="19"/>
      <c r="Q3352" s="14"/>
      <c r="R3352" s="11"/>
    </row>
    <row r="3353" s="1" customFormat="1" ht="21.95" customHeight="1" spans="1:18">
      <c r="A3353" s="7"/>
      <c r="B3353" s="12"/>
      <c r="C3353" s="33"/>
      <c r="D3353" s="29"/>
      <c r="E3353" s="29"/>
      <c r="F3353" s="29"/>
      <c r="G3353" s="29"/>
      <c r="H3353" s="29"/>
      <c r="I3353" s="29"/>
      <c r="J3353" s="29"/>
      <c r="K3353" s="29"/>
      <c r="L3353" s="29"/>
      <c r="M3353" s="29"/>
      <c r="N3353" s="29"/>
      <c r="O3353" s="29"/>
      <c r="P3353" s="19"/>
      <c r="Q3353" s="14"/>
      <c r="R3353" s="11"/>
    </row>
    <row r="3354" s="1" customFormat="1" ht="21.95" customHeight="1" spans="1:18">
      <c r="A3354" s="7"/>
      <c r="B3354" s="12"/>
      <c r="C3354" s="33"/>
      <c r="D3354" s="80" t="s">
        <v>728</v>
      </c>
      <c r="E3354" s="220">
        <f>ENTRY!$D$27</f>
        <v>46102</v>
      </c>
      <c r="F3354" s="220"/>
      <c r="G3354" s="29"/>
      <c r="H3354" s="29"/>
      <c r="I3354" s="221" t="s">
        <v>729</v>
      </c>
      <c r="J3354" s="153"/>
      <c r="K3354" s="29"/>
      <c r="L3354" s="29"/>
      <c r="M3354" s="87" t="s">
        <v>730</v>
      </c>
      <c r="N3354" s="87"/>
      <c r="O3354" s="87"/>
      <c r="P3354" s="19"/>
      <c r="Q3354" s="14"/>
      <c r="R3354" s="11"/>
    </row>
    <row r="3355" s="1" customFormat="1" ht="21.95" customHeight="1" spans="1:18">
      <c r="A3355" s="7"/>
      <c r="B3355" s="12"/>
      <c r="C3355" s="33"/>
      <c r="D3355" s="80" t="s">
        <v>731</v>
      </c>
      <c r="E3355" s="88" t="str">
        <f>PROPER(ENTRY!$D$28)</f>
        <v>New Delhi</v>
      </c>
      <c r="F3355" s="88"/>
      <c r="G3355" s="29"/>
      <c r="H3355" s="29"/>
      <c r="I3355" s="153"/>
      <c r="J3355" s="153"/>
      <c r="K3355" s="29"/>
      <c r="L3355" s="29"/>
      <c r="M3355" s="79" t="s">
        <v>732</v>
      </c>
      <c r="N3355" s="79"/>
      <c r="O3355" s="79"/>
      <c r="P3355" s="19"/>
      <c r="Q3355" s="14"/>
      <c r="R3355" s="11"/>
    </row>
    <row r="3356" s="1" customFormat="1" ht="21.95" customHeight="1" spans="1:18">
      <c r="A3356" s="7"/>
      <c r="B3356" s="12"/>
      <c r="C3356" s="90"/>
      <c r="D3356" s="91"/>
      <c r="E3356" s="91"/>
      <c r="F3356" s="91"/>
      <c r="G3356" s="91"/>
      <c r="H3356" s="91"/>
      <c r="I3356" s="91"/>
      <c r="J3356" s="91"/>
      <c r="K3356" s="91"/>
      <c r="L3356" s="91"/>
      <c r="M3356" s="91"/>
      <c r="N3356" s="91"/>
      <c r="O3356" s="91"/>
      <c r="P3356" s="92"/>
      <c r="Q3356" s="14"/>
      <c r="R3356" s="11"/>
    </row>
    <row r="3357" s="1" customFormat="1" ht="5.1" customHeight="1" spans="1:18">
      <c r="A3357" s="7"/>
      <c r="B3357" s="90"/>
      <c r="C3357" s="91"/>
      <c r="D3357" s="91"/>
      <c r="E3357" s="91"/>
      <c r="F3357" s="91"/>
      <c r="G3357" s="91"/>
      <c r="H3357" s="91"/>
      <c r="I3357" s="91"/>
      <c r="J3357" s="91"/>
      <c r="K3357" s="91"/>
      <c r="L3357" s="91"/>
      <c r="M3357" s="91"/>
      <c r="N3357" s="91"/>
      <c r="O3357" s="91"/>
      <c r="P3357" s="91"/>
      <c r="Q3357" s="92"/>
      <c r="R3357" s="11"/>
    </row>
    <row r="3358" s="1" customFormat="1" ht="5.1" customHeight="1" spans="1:18">
      <c r="A3358" s="93"/>
      <c r="B3358" s="94"/>
      <c r="C3358" s="94"/>
      <c r="D3358" s="94"/>
      <c r="E3358" s="94"/>
      <c r="F3358" s="94"/>
      <c r="G3358" s="94"/>
      <c r="H3358" s="94"/>
      <c r="I3358" s="94"/>
      <c r="J3358" s="94"/>
      <c r="K3358" s="94"/>
      <c r="L3358" s="94"/>
      <c r="M3358" s="94"/>
      <c r="N3358" s="94"/>
      <c r="O3358" s="94"/>
      <c r="P3358" s="94"/>
      <c r="Q3358" s="94"/>
      <c r="R3358" s="95"/>
    </row>
    <row r="3359" s="1" customFormat="1" ht="21.95" customHeight="1"/>
    <row r="3360" ht="15.15"/>
    <row r="3361" s="1" customFormat="1" ht="5.1" customHeight="1" spans="1:18">
      <c r="A3361" s="4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  <c r="O3361" s="5"/>
      <c r="P3361" s="5"/>
      <c r="Q3361" s="5"/>
      <c r="R3361" s="6"/>
    </row>
    <row r="3362" s="1" customFormat="1" ht="15" customHeight="1" spans="1:18">
      <c r="A3362" s="7"/>
      <c r="B3362" s="8"/>
      <c r="C3362" s="9"/>
      <c r="D3362" s="9"/>
      <c r="E3362" s="9"/>
      <c r="F3362" s="9"/>
      <c r="G3362" s="9"/>
      <c r="H3362" s="9"/>
      <c r="I3362" s="9"/>
      <c r="J3362" s="9"/>
      <c r="K3362" s="9"/>
      <c r="L3362" s="9"/>
      <c r="M3362" s="9"/>
      <c r="N3362" s="9"/>
      <c r="O3362" s="9"/>
      <c r="P3362" s="9"/>
      <c r="Q3362" s="10"/>
      <c r="R3362" s="11"/>
    </row>
    <row r="3363" s="1" customFormat="1" ht="21.95" customHeight="1" spans="1:18">
      <c r="A3363" s="7"/>
      <c r="B3363" s="12"/>
      <c r="C3363" s="13" t="s">
        <v>7</v>
      </c>
      <c r="D3363" s="13"/>
      <c r="E3363" s="13"/>
      <c r="F3363" s="13"/>
      <c r="G3363" s="13"/>
      <c r="H3363" s="13"/>
      <c r="I3363" s="13"/>
      <c r="J3363" s="13"/>
      <c r="K3363" s="13"/>
      <c r="L3363" s="13"/>
      <c r="M3363" s="13"/>
      <c r="N3363" s="13"/>
      <c r="O3363" s="13"/>
      <c r="P3363" s="13"/>
      <c r="Q3363" s="14"/>
      <c r="R3363" s="11"/>
    </row>
    <row r="3364" s="1" customFormat="1" ht="21.95" customHeight="1" spans="1:18">
      <c r="A3364" s="7"/>
      <c r="B3364" s="1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14"/>
      <c r="R3364" s="11"/>
    </row>
    <row r="3365" s="1" customFormat="1" ht="21.95" customHeight="1" spans="1:18">
      <c r="A3365" s="7"/>
      <c r="B3365" s="12"/>
      <c r="C3365" s="15" t="str">
        <f>"SESSION-"&amp;ENTRY!$D$11</f>
        <v>SESSION-2026-27</v>
      </c>
      <c r="D3365" s="15"/>
      <c r="E3365" s="15"/>
      <c r="F3365" s="15"/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4"/>
      <c r="R3365" s="11"/>
    </row>
    <row r="3366" s="1" customFormat="1" ht="21.95" customHeight="1" spans="1:18">
      <c r="A3366" s="7"/>
      <c r="B3366" s="12"/>
      <c r="C3366" s="2"/>
      <c r="D3366" s="2"/>
      <c r="E3366" s="2"/>
      <c r="F3366" s="16">
        <f>F3310+1</f>
        <v>61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14"/>
      <c r="R3366" s="11"/>
    </row>
    <row r="3367" s="1" customFormat="1" ht="21.95" customHeight="1" spans="1:18">
      <c r="A3367" s="7"/>
      <c r="B3367" s="12"/>
      <c r="C3367" s="17" t="s">
        <v>392</v>
      </c>
      <c r="D3367" s="17"/>
      <c r="E3367" s="17"/>
      <c r="F3367" s="18" t="str">
        <f>IF(F3366&gt;0,ENTRY!$D$6,"")</f>
        <v>MCP NITHARI NO 1 BOYS</v>
      </c>
      <c r="G3367" s="18"/>
      <c r="H3367" s="18"/>
      <c r="I3367" s="18"/>
      <c r="J3367" s="18"/>
      <c r="K3367" s="18"/>
      <c r="L3367" s="18"/>
      <c r="M3367" s="18"/>
      <c r="N3367" s="18"/>
      <c r="O3367" s="18"/>
      <c r="P3367" s="18"/>
      <c r="Q3367" s="14"/>
      <c r="R3367" s="11"/>
    </row>
    <row r="3368" s="1" customFormat="1" ht="21.95" customHeight="1" spans="1:18">
      <c r="A3368" s="7"/>
      <c r="B3368" s="12"/>
      <c r="C3368" s="17" t="s">
        <v>393</v>
      </c>
      <c r="D3368" s="17"/>
      <c r="E3368" s="17"/>
      <c r="F3368" s="18">
        <f>IF(F3366&gt;0,ENTRY!$D$7,"")</f>
        <v>0</v>
      </c>
      <c r="G3368" s="18"/>
      <c r="H3368" s="20" t="s">
        <v>702</v>
      </c>
      <c r="I3368" s="20"/>
      <c r="J3368" s="21">
        <f>IF(F3366&gt;0,ENTRY!$D$10,"")</f>
        <v>40</v>
      </c>
      <c r="K3368" s="20" t="s">
        <v>703</v>
      </c>
      <c r="L3368" s="22" t="str">
        <f>IF(F3366&gt;0,ENTRY!$D$5,"")</f>
        <v>ROHINI ZONE</v>
      </c>
      <c r="M3368" s="22"/>
      <c r="N3368" s="22"/>
      <c r="O3368" s="22"/>
      <c r="P3368" s="22"/>
      <c r="Q3368" s="14"/>
      <c r="R3368" s="11"/>
    </row>
    <row r="3369" s="1" customFormat="1" ht="21.95" customHeight="1" spans="1:18">
      <c r="A3369" s="7"/>
      <c r="B3369" s="12"/>
      <c r="C3369" s="17" t="s">
        <v>706</v>
      </c>
      <c r="D3369" s="17"/>
      <c r="E3369" s="17"/>
      <c r="F3369" s="23">
        <f>IFERROR(VLOOKUP(F3366,STUDENT!$A$2:$BP$101,5,0),"")</f>
        <v>0</v>
      </c>
      <c r="G3369" s="23"/>
      <c r="H3369" s="23"/>
      <c r="I3369" s="23"/>
      <c r="J3369" s="23"/>
      <c r="K3369" s="23"/>
      <c r="L3369" s="20" t="s">
        <v>707</v>
      </c>
      <c r="M3369" s="20"/>
      <c r="N3369" s="24" t="str">
        <f>IF(F3366&gt;0,ENTRY!$D$20&amp;"-"&amp;ENTRY!$D$21,"")</f>
        <v>III-A</v>
      </c>
      <c r="O3369" s="24"/>
      <c r="P3369" s="24"/>
      <c r="Q3369" s="14"/>
      <c r="R3369" s="11"/>
    </row>
    <row r="3370" s="1" customFormat="1" ht="21.95" customHeight="1" spans="1:18">
      <c r="A3370" s="7"/>
      <c r="B3370" s="12"/>
      <c r="C3370" s="17" t="s">
        <v>708</v>
      </c>
      <c r="D3370" s="17"/>
      <c r="E3370" s="17"/>
      <c r="F3370" s="25">
        <f>IFERROR(VLOOKUP(F3366,STUDENT!$A$2:$BP$101,6,0),"")</f>
        <v>0</v>
      </c>
      <c r="G3370" s="25"/>
      <c r="H3370" s="26" t="s">
        <v>709</v>
      </c>
      <c r="I3370" s="27" t="str">
        <f>IFERROR(VLOOKUP(F3366,STUDENT!$A$2:$BP$101,59,0),"")</f>
        <v/>
      </c>
      <c r="J3370" s="27"/>
      <c r="K3370" s="20" t="s">
        <v>710</v>
      </c>
      <c r="L3370" s="20"/>
      <c r="M3370" s="28">
        <f>IFERROR(VLOOKUP(F3366,STUDENT!$A$2:$BP$101,20,0),"")</f>
        <v>0</v>
      </c>
      <c r="N3370" s="28"/>
      <c r="O3370" s="28"/>
      <c r="P3370" s="28"/>
      <c r="Q3370" s="14"/>
      <c r="R3370" s="11"/>
    </row>
    <row r="3371" s="1" customFormat="1" ht="21.95" customHeight="1" spans="1:18">
      <c r="A3371" s="7"/>
      <c r="B3371" s="12"/>
      <c r="C3371" s="17" t="s">
        <v>711</v>
      </c>
      <c r="D3371" s="17"/>
      <c r="E3371" s="17"/>
      <c r="F3371" s="23">
        <f>IFERROR(VLOOKUP(F3366,STUDENT!$A$2:$BP$101,9,0),"")</f>
        <v>0</v>
      </c>
      <c r="G3371" s="23"/>
      <c r="H3371" s="23"/>
      <c r="I3371" s="23"/>
      <c r="J3371" s="17" t="s">
        <v>620</v>
      </c>
      <c r="K3371" s="17"/>
      <c r="L3371" s="23">
        <f>IFERROR(VLOOKUP(F3366,STUDENT!$A$2:$BP$101,8,0),"")</f>
        <v>0</v>
      </c>
      <c r="M3371" s="23"/>
      <c r="N3371" s="23"/>
      <c r="O3371" s="23"/>
      <c r="P3371" s="23"/>
      <c r="Q3371" s="14"/>
      <c r="R3371" s="11"/>
    </row>
    <row r="3372" s="1" customFormat="1" ht="21.95" customHeight="1" spans="1:18">
      <c r="A3372" s="7"/>
      <c r="B3372" s="12"/>
      <c r="C3372" s="17" t="s">
        <v>712</v>
      </c>
      <c r="D3372" s="17"/>
      <c r="E3372" s="17"/>
      <c r="F3372" s="23">
        <f>IFERROR(VLOOKUP(F3366,STUDENT!$A$2:$BP$101,22,0),"")</f>
        <v>0</v>
      </c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14"/>
      <c r="R3372" s="11"/>
    </row>
    <row r="3373" s="1" customFormat="1" ht="9.95" customHeight="1" spans="1:18">
      <c r="A3373" s="7"/>
      <c r="B3373" s="12"/>
      <c r="C3373" s="29"/>
      <c r="D3373" s="29"/>
      <c r="E3373" s="29"/>
      <c r="F3373" s="29"/>
      <c r="G3373" s="29"/>
      <c r="H3373" s="29"/>
      <c r="I3373" s="29"/>
      <c r="J3373" s="29"/>
      <c r="K3373" s="29"/>
      <c r="L3373" s="29"/>
      <c r="M3373" s="29"/>
      <c r="N3373" s="29"/>
      <c r="O3373" s="29"/>
      <c r="P3373" s="29"/>
      <c r="Q3373" s="14"/>
      <c r="R3373" s="11"/>
    </row>
    <row r="3374" s="1" customFormat="1" ht="9.95" customHeight="1" spans="1:18">
      <c r="A3374" s="7"/>
      <c r="B3374" s="12"/>
      <c r="C3374" s="30"/>
      <c r="D3374" s="31"/>
      <c r="E3374" s="31"/>
      <c r="F3374" s="31"/>
      <c r="G3374" s="31"/>
      <c r="H3374" s="31"/>
      <c r="I3374" s="31"/>
      <c r="J3374" s="31"/>
      <c r="K3374" s="31"/>
      <c r="L3374" s="31"/>
      <c r="M3374" s="31"/>
      <c r="N3374" s="31"/>
      <c r="O3374" s="31"/>
      <c r="P3374" s="32"/>
      <c r="Q3374" s="14"/>
      <c r="R3374" s="11"/>
    </row>
    <row r="3375" s="1" customFormat="1" ht="21.95" customHeight="1" spans="1:18">
      <c r="A3375" s="7"/>
      <c r="B3375" s="12"/>
      <c r="C3375" s="33"/>
      <c r="D3375" s="34" t="s">
        <v>713</v>
      </c>
      <c r="E3375" s="20" t="s">
        <v>714</v>
      </c>
      <c r="F3375" s="35" t="str">
        <f>"Level - "&amp;IFERROR(VLOOKUP(F3366,FLN!$A$4:$K$103,9,0),"")</f>
        <v>Level - </v>
      </c>
      <c r="G3375" s="36"/>
      <c r="H3375" s="37" t="s">
        <v>715</v>
      </c>
      <c r="I3375" s="20"/>
      <c r="J3375" s="35" t="str">
        <f>"Level - "&amp;IFERROR(VLOOKUP(F3366,FLN!$A$4:$K$103,11,0),"")</f>
        <v>Level - </v>
      </c>
      <c r="K3375" s="36"/>
      <c r="L3375" s="37" t="s">
        <v>408</v>
      </c>
      <c r="M3375" s="20"/>
      <c r="N3375" s="35" t="str">
        <f>"Level - "&amp;IFERROR(VLOOKUP(F3366,FLN!$A$4:$K$103,10,0),"")</f>
        <v>Level - </v>
      </c>
      <c r="O3375" s="36"/>
      <c r="P3375" s="19"/>
      <c r="Q3375" s="14"/>
      <c r="R3375" s="11"/>
    </row>
    <row r="3376" s="1" customFormat="1" ht="21.95" customHeight="1" spans="1:18">
      <c r="A3376" s="7"/>
      <c r="B3376" s="12"/>
      <c r="C3376" s="33"/>
      <c r="D3376" s="38"/>
      <c r="E3376" s="20" t="s">
        <v>716</v>
      </c>
      <c r="F3376" s="18" t="str">
        <f>IF(L3390&gt;197,"PERFORMED WELL","")</f>
        <v/>
      </c>
      <c r="G3376" s="18"/>
      <c r="H3376" s="18"/>
      <c r="I3376" s="18"/>
      <c r="J3376" s="18"/>
      <c r="K3376" s="18"/>
      <c r="L3376" s="18"/>
      <c r="M3376" s="18"/>
      <c r="N3376" s="18"/>
      <c r="O3376" s="18"/>
      <c r="P3376" s="19"/>
      <c r="Q3376" s="14"/>
      <c r="R3376" s="11"/>
    </row>
    <row r="3377" s="1" customFormat="1" ht="9.95" customHeight="1" spans="1:18">
      <c r="A3377" s="7"/>
      <c r="B3377" s="12"/>
      <c r="C3377" s="39"/>
      <c r="D3377" s="40"/>
      <c r="E3377" s="40"/>
      <c r="F3377" s="40"/>
      <c r="G3377" s="40"/>
      <c r="H3377" s="40"/>
      <c r="I3377" s="40"/>
      <c r="J3377" s="40"/>
      <c r="K3377" s="40"/>
      <c r="L3377" s="40"/>
      <c r="M3377" s="40"/>
      <c r="N3377" s="40"/>
      <c r="O3377" s="40"/>
      <c r="P3377" s="41"/>
      <c r="Q3377" s="14"/>
      <c r="R3377" s="11"/>
    </row>
    <row r="3378" s="1" customFormat="1" ht="9.95" customHeight="1" spans="1:18">
      <c r="A3378" s="7"/>
      <c r="B3378" s="12"/>
      <c r="C3378" s="29"/>
      <c r="D3378" s="29"/>
      <c r="E3378" s="29"/>
      <c r="F3378" s="29"/>
      <c r="G3378" s="29"/>
      <c r="H3378" s="29"/>
      <c r="I3378" s="29"/>
      <c r="J3378" s="29"/>
      <c r="K3378" s="29"/>
      <c r="L3378" s="29"/>
      <c r="M3378" s="29"/>
      <c r="N3378" s="29"/>
      <c r="O3378" s="29"/>
      <c r="P3378" s="29"/>
      <c r="Q3378" s="14"/>
      <c r="R3378" s="11"/>
    </row>
    <row r="3379" s="1" customFormat="1" ht="9.95" customHeight="1" spans="1:18">
      <c r="A3379" s="7"/>
      <c r="B3379" s="12"/>
      <c r="C3379" s="30"/>
      <c r="D3379" s="31"/>
      <c r="E3379" s="31"/>
      <c r="F3379" s="31"/>
      <c r="G3379" s="31"/>
      <c r="H3379" s="31"/>
      <c r="I3379" s="31"/>
      <c r="J3379" s="31"/>
      <c r="K3379" s="31"/>
      <c r="L3379" s="31"/>
      <c r="M3379" s="31"/>
      <c r="N3379" s="31"/>
      <c r="O3379" s="31"/>
      <c r="P3379" s="32"/>
      <c r="Q3379" s="14"/>
      <c r="R3379" s="11"/>
    </row>
    <row r="3380" s="1" customFormat="1" ht="21.95" customHeight="1" spans="1:18">
      <c r="A3380" s="7"/>
      <c r="B3380" s="12"/>
      <c r="C3380" s="33"/>
      <c r="D3380" s="35"/>
      <c r="E3380" s="24"/>
      <c r="F3380" s="24"/>
      <c r="G3380" s="47" t="s">
        <v>717</v>
      </c>
      <c r="H3380" s="47"/>
      <c r="I3380" s="47"/>
      <c r="J3380" s="47"/>
      <c r="K3380" s="47"/>
      <c r="L3380" s="47"/>
      <c r="M3380" s="47"/>
      <c r="N3380" s="47"/>
      <c r="O3380" s="29"/>
      <c r="P3380" s="19"/>
      <c r="Q3380" s="14"/>
      <c r="R3380" s="11"/>
    </row>
    <row r="3381" s="1" customFormat="1" ht="21.95" customHeight="1" spans="1:18">
      <c r="A3381" s="7"/>
      <c r="B3381" s="12"/>
      <c r="C3381" s="33"/>
      <c r="D3381" s="47"/>
      <c r="E3381" s="47"/>
      <c r="F3381" s="47"/>
      <c r="G3381" s="47" t="s">
        <v>541</v>
      </c>
      <c r="H3381" s="47" t="s">
        <v>542</v>
      </c>
      <c r="I3381" s="47" t="s">
        <v>543</v>
      </c>
      <c r="J3381" s="47" t="s">
        <v>544</v>
      </c>
      <c r="K3381" s="47" t="s">
        <v>561</v>
      </c>
      <c r="L3381" s="47" t="s">
        <v>382</v>
      </c>
      <c r="M3381" s="49" t="s">
        <v>546</v>
      </c>
      <c r="N3381" s="49"/>
      <c r="O3381" s="29"/>
      <c r="P3381" s="19"/>
      <c r="Q3381" s="14"/>
      <c r="R3381" s="11"/>
    </row>
    <row r="3382" s="1" customFormat="1" ht="21.95" customHeight="1" spans="1:18">
      <c r="A3382" s="7"/>
      <c r="B3382" s="12"/>
      <c r="C3382" s="33"/>
      <c r="D3382" s="207" t="s">
        <v>652</v>
      </c>
      <c r="E3382" s="207"/>
      <c r="F3382" s="207"/>
      <c r="G3382" s="50">
        <v>10</v>
      </c>
      <c r="H3382" s="50">
        <v>10</v>
      </c>
      <c r="I3382" s="50">
        <v>10</v>
      </c>
      <c r="J3382" s="50">
        <v>10</v>
      </c>
      <c r="K3382" s="50">
        <v>60</v>
      </c>
      <c r="L3382" s="50">
        <v>100</v>
      </c>
      <c r="M3382" s="49"/>
      <c r="N3382" s="49"/>
      <c r="O3382" s="29"/>
      <c r="P3382" s="19"/>
      <c r="Q3382" s="14"/>
      <c r="R3382" s="11"/>
    </row>
    <row r="3383" s="1" customFormat="1" ht="21.95" customHeight="1" spans="1:18">
      <c r="A3383" s="7"/>
      <c r="B3383" s="12"/>
      <c r="C3383" s="33"/>
      <c r="D3383" s="117" t="s">
        <v>668</v>
      </c>
      <c r="E3383" s="117"/>
      <c r="F3383" s="117"/>
      <c r="G3383" s="54" t="str">
        <f>IFERROR(VLOOKUP(F3366,'1to4-2.1-RR'!$A$12:$BG$111,9,0),"")</f>
        <v/>
      </c>
      <c r="H3383" s="54" t="str">
        <f>IFERROR(VLOOKUP(F3366,'1to4-2.1-RR'!$A$12:$BG$111,10,0),"")</f>
        <v/>
      </c>
      <c r="I3383" s="54" t="str">
        <f>IFERROR(VLOOKUP(F3366,'1to4-2.1-RR'!$A$12:$BG$111,11,0),"")</f>
        <v/>
      </c>
      <c r="J3383" s="54" t="str">
        <f>IFERROR(VLOOKUP(F3366,'1to4-2.1-RR'!$A$12:$BG$111,12,0),"")</f>
        <v/>
      </c>
      <c r="K3383" s="54" t="str">
        <f>IFERROR(VLOOKUP(F3366,'1to4-2.1-RR'!$A$12:$BG$111,13,0),"")</f>
        <v/>
      </c>
      <c r="L3383" s="55">
        <f>SUM(G3383:K3383)</f>
        <v>0</v>
      </c>
      <c r="M3383" s="56" t="str">
        <f>IF(F3366&gt;ENTRY!$D$24,"",IF(L3383=0,"Ab",IF(L3383&gt;80,"A",IF(L3383&gt;60,"B",IF(L3383&gt;44,"C",IF(L3383&gt;=33,"D",IF(L3383&lt;=32,"E","")))))))</f>
        <v/>
      </c>
      <c r="N3383" s="56"/>
      <c r="O3383" s="29"/>
      <c r="P3383" s="19"/>
      <c r="Q3383" s="14"/>
      <c r="R3383" s="11"/>
    </row>
    <row r="3384" s="1" customFormat="1" ht="21.95" customHeight="1" spans="1:18">
      <c r="A3384" s="7"/>
      <c r="B3384" s="12"/>
      <c r="C3384" s="33"/>
      <c r="D3384" s="117" t="s">
        <v>513</v>
      </c>
      <c r="E3384" s="117"/>
      <c r="F3384" s="117"/>
      <c r="G3384" s="54" t="str">
        <f>IFERROR(VLOOKUP(F3366,'1to4-2.1-RR'!$A$12:$BG$111,16,0),"")</f>
        <v/>
      </c>
      <c r="H3384" s="54" t="str">
        <f>IFERROR(VLOOKUP(F3366,'1to4-2.1-RR'!$A$12:$BG$111,17,0),"")</f>
        <v/>
      </c>
      <c r="I3384" s="54" t="str">
        <f>IFERROR(VLOOKUP(F3366,'1to4-2.1-RR'!$A$12:$BG$111,18,0),"")</f>
        <v/>
      </c>
      <c r="J3384" s="54" t="str">
        <f>IFERROR(VLOOKUP(F3366,'1to4-2.1-RR'!$A$12:$BG$111,19,0),"")</f>
        <v/>
      </c>
      <c r="K3384" s="54" t="str">
        <f>IFERROR(VLOOKUP(F3366,'1to4-2.1-RR'!$A$12:$BG$111,20,0),"")</f>
        <v/>
      </c>
      <c r="L3384" s="55">
        <f t="shared" ref="L3384:L3389" si="120">SUM(G3384:K3384)</f>
        <v>0</v>
      </c>
      <c r="M3384" s="56" t="str">
        <f>IF(F3366&gt;ENTRY!$D$24,"",IF(L3384=0,"Ab",IF(L3384&gt;80,"A",IF(L3384&gt;60,"B",IF(L3384&gt;44,"C",IF(L3384&gt;=33,"D",IF(L3384&lt;=32,"E","")))))))</f>
        <v/>
      </c>
      <c r="N3384" s="56"/>
      <c r="O3384" s="29"/>
      <c r="P3384" s="19"/>
      <c r="Q3384" s="14"/>
      <c r="R3384" s="11"/>
    </row>
    <row r="3385" s="1" customFormat="1" ht="21.95" customHeight="1" spans="1:18">
      <c r="A3385" s="7"/>
      <c r="B3385" s="12"/>
      <c r="C3385" s="33"/>
      <c r="D3385" s="117" t="s">
        <v>718</v>
      </c>
      <c r="E3385" s="117"/>
      <c r="F3385" s="117"/>
      <c r="G3385" s="54" t="str">
        <f>IFERROR(VLOOKUP(F3366,'1to4-2.1-RR'!$A$12:$BG$111,23,0),"")</f>
        <v/>
      </c>
      <c r="H3385" s="54" t="str">
        <f>IFERROR(VLOOKUP(F3366,'1to4-2.1-RR'!$A$12:$BG$111,24,0),"")</f>
        <v/>
      </c>
      <c r="I3385" s="54" t="str">
        <f>IFERROR(VLOOKUP(F3366,'1to4-2.1-RR'!$A$12:$BG$111,25,0),"")</f>
        <v/>
      </c>
      <c r="J3385" s="54" t="str">
        <f>IFERROR(VLOOKUP(F3366,'1to4-2.1-RR'!$A$12:$BG$111,26,0),"")</f>
        <v/>
      </c>
      <c r="K3385" s="54" t="str">
        <f>IFERROR(VLOOKUP(F3366,'1to4-2.1-RR'!$A$12:$BG$111,27,0),"")</f>
        <v/>
      </c>
      <c r="L3385" s="55">
        <f t="shared" si="120"/>
        <v>0</v>
      </c>
      <c r="M3385" s="56" t="str">
        <f>IF(F3366&gt;ENTRY!$D$24,"",IF(L3385=0,"Ab",IF(L3385&gt;80,"A",IF(L3385&gt;60,"B",IF(L3385&gt;44,"C",IF(L3385&gt;=33,"D",IF(L3385&lt;=32,"E","")))))))</f>
        <v/>
      </c>
      <c r="N3385" s="56"/>
      <c r="O3385" s="29"/>
      <c r="P3385" s="19"/>
      <c r="Q3385" s="14"/>
      <c r="R3385" s="11"/>
    </row>
    <row r="3386" s="1" customFormat="1" ht="21.95" customHeight="1" spans="1:18">
      <c r="A3386" s="7"/>
      <c r="B3386" s="12"/>
      <c r="C3386" s="33"/>
      <c r="D3386" s="117" t="s">
        <v>719</v>
      </c>
      <c r="E3386" s="117"/>
      <c r="F3386" s="117"/>
      <c r="G3386" s="54" t="str">
        <f>IFERROR(VLOOKUP(F3366,'1to4-2.1-RR'!$A$12:$BG$111,30,0),"")</f>
        <v/>
      </c>
      <c r="H3386" s="54" t="str">
        <f>IFERROR(VLOOKUP(F3366,'1to4-2.1-RR'!$A$12:$BG$111,31,0),"")</f>
        <v/>
      </c>
      <c r="I3386" s="54" t="str">
        <f>IFERROR(VLOOKUP(F3366,'1to4-2.1-RR'!$A$12:$BG$111,32,0),"")</f>
        <v/>
      </c>
      <c r="J3386" s="54" t="str">
        <f>IFERROR(VLOOKUP(F3366,'1to4-2.1-RR'!$A$12:$BG$111,33,0),"")</f>
        <v/>
      </c>
      <c r="K3386" s="54" t="str">
        <f>IFERROR(VLOOKUP(F3366,'1to4-2.1-RR'!$A$12:$BG$111,34,0),"")</f>
        <v/>
      </c>
      <c r="L3386" s="55">
        <f t="shared" si="120"/>
        <v>0</v>
      </c>
      <c r="M3386" s="56" t="str">
        <f>IF(F3366&gt;ENTRY!$D$24,"",IF(L3386=0,"Ab",IF(L3386&gt;80,"A",IF(L3386&gt;60,"B",IF(L3386&gt;44,"C",IF(L3386&gt;=33,"D",IF(L3386&lt;=32,"E","")))))))</f>
        <v/>
      </c>
      <c r="N3386" s="56"/>
      <c r="O3386" s="29"/>
      <c r="P3386" s="19"/>
      <c r="Q3386" s="14"/>
      <c r="R3386" s="11"/>
    </row>
    <row r="3387" s="1" customFormat="1" ht="21.95" customHeight="1" spans="1:18">
      <c r="A3387" s="7"/>
      <c r="B3387" s="12"/>
      <c r="C3387" s="33"/>
      <c r="D3387" s="117" t="s">
        <v>548</v>
      </c>
      <c r="E3387" s="117"/>
      <c r="F3387" s="117"/>
      <c r="G3387" s="54" t="str">
        <f>IFERROR(VLOOKUP(F3366,'1to4-2.1-RR'!$A$12:$BG$111,37,0),"")</f>
        <v/>
      </c>
      <c r="H3387" s="54" t="str">
        <f>IFERROR(VLOOKUP(F3366,'1to4-2.1-RR'!$A$12:$BG$111,38,0),"")</f>
        <v/>
      </c>
      <c r="I3387" s="54" t="str">
        <f>IFERROR(VLOOKUP(F3366,'1to4-2.1-RR'!$A$12:$BG$111,39,0),"")</f>
        <v/>
      </c>
      <c r="J3387" s="54" t="str">
        <f>IFERROR(VLOOKUP(F3366,'1to4-2.1-RR'!$A$12:$BG$111,40,0),"")</f>
        <v/>
      </c>
      <c r="K3387" s="54" t="str">
        <f>IFERROR(VLOOKUP(F3366,'1to4-2.1-RR'!$A$12:$BG$111,41,0),"")</f>
        <v/>
      </c>
      <c r="L3387" s="55">
        <f t="shared" si="120"/>
        <v>0</v>
      </c>
      <c r="M3387" s="56" t="str">
        <f>IF(F3366&gt;ENTRY!$D$24,"",IF(L3387=0,"Ab",IF(L3387&gt;80,"A",IF(L3387&gt;60,"B",IF(L3387&gt;44,"C",IF(L3387&gt;=33,"D",IF(L3387&lt;=32,"E","")))))))</f>
        <v/>
      </c>
      <c r="N3387" s="56"/>
      <c r="O3387" s="29"/>
      <c r="P3387" s="19"/>
      <c r="Q3387" s="14"/>
      <c r="R3387" s="11"/>
    </row>
    <row r="3388" s="1" customFormat="1" ht="21.95" customHeight="1" spans="1:18">
      <c r="A3388" s="7"/>
      <c r="B3388" s="12"/>
      <c r="C3388" s="33"/>
      <c r="D3388" s="117" t="s">
        <v>549</v>
      </c>
      <c r="E3388" s="117"/>
      <c r="F3388" s="117"/>
      <c r="G3388" s="54" t="str">
        <f>IFERROR(VLOOKUP(F3366,'1to4-2.1-RR'!$A$12:$BG$111,44,0),"")</f>
        <v/>
      </c>
      <c r="H3388" s="54" t="str">
        <f>IFERROR(VLOOKUP(F3366,'1to4-2.1-RR'!$A$12:$BG$111,45,0),"")</f>
        <v/>
      </c>
      <c r="I3388" s="54" t="str">
        <f>IFERROR(VLOOKUP(F3366,'1to4-2.1-RR'!$A$12:$BG$111,46,0),"")</f>
        <v/>
      </c>
      <c r="J3388" s="54" t="str">
        <f>IFERROR(VLOOKUP(F3366,'1to4-2.1-RR'!$A$12:$BG$111,47,0),"")</f>
        <v/>
      </c>
      <c r="K3388" s="54" t="str">
        <f>IFERROR(VLOOKUP(F3366,'1to4-2.1-RR'!$A$12:$BG$111,48,0),"")</f>
        <v/>
      </c>
      <c r="L3388" s="55">
        <f t="shared" si="120"/>
        <v>0</v>
      </c>
      <c r="M3388" s="56" t="str">
        <f>IF(F3366&gt;ENTRY!$D$24,"",IF(L3388=0,"Ab",IF(L3388&gt;80,"A",IF(L3388&gt;60,"B",IF(L3388&gt;44,"C",IF(L3388&gt;=33,"D",IF(L3388&lt;=32,"E","")))))))</f>
        <v/>
      </c>
      <c r="N3388" s="56"/>
      <c r="O3388" s="29"/>
      <c r="P3388" s="19"/>
      <c r="Q3388" s="14"/>
      <c r="R3388" s="11"/>
    </row>
    <row r="3389" s="1" customFormat="1" ht="21.95" customHeight="1" spans="1:18">
      <c r="A3389" s="7"/>
      <c r="B3389" s="12"/>
      <c r="C3389" s="33"/>
      <c r="D3389" s="117" t="s">
        <v>720</v>
      </c>
      <c r="E3389" s="117"/>
      <c r="F3389" s="117"/>
      <c r="G3389" s="54"/>
      <c r="H3389" s="54"/>
      <c r="I3389" s="54"/>
      <c r="J3389" s="54"/>
      <c r="K3389" s="54"/>
      <c r="L3389" s="55">
        <f t="shared" si="120"/>
        <v>0</v>
      </c>
      <c r="M3389" s="56" t="str">
        <f>IF(F3366&gt;ENTRY!$D$24,"",IF(L3389=0,"",IF(L3389&gt;79,"A",IF(L3389&gt;59,"B",IF(L3389&gt;44,"C",IF(L3389&gt;=33,"D",IF(L3389&lt;=32,"E","")))))))</f>
        <v/>
      </c>
      <c r="N3389" s="56"/>
      <c r="O3389" s="29"/>
      <c r="P3389" s="19"/>
      <c r="Q3389" s="14"/>
      <c r="R3389" s="11"/>
    </row>
    <row r="3390" s="1" customFormat="1" ht="21.95" customHeight="1" spans="1:18">
      <c r="A3390" s="7"/>
      <c r="B3390" s="12"/>
      <c r="C3390" s="33"/>
      <c r="D3390" s="207" t="s">
        <v>382</v>
      </c>
      <c r="E3390" s="207"/>
      <c r="F3390" s="207"/>
      <c r="G3390" s="54">
        <f t="shared" ref="G3390:L3390" si="121">IFERROR(SUM(G3383:G3389),"")</f>
        <v>0</v>
      </c>
      <c r="H3390" s="54">
        <f t="shared" si="121"/>
        <v>0</v>
      </c>
      <c r="I3390" s="54">
        <f t="shared" si="121"/>
        <v>0</v>
      </c>
      <c r="J3390" s="54">
        <f t="shared" si="121"/>
        <v>0</v>
      </c>
      <c r="K3390" s="54">
        <f t="shared" si="121"/>
        <v>0</v>
      </c>
      <c r="L3390" s="55">
        <f t="shared" si="121"/>
        <v>0</v>
      </c>
      <c r="M3390" s="61" t="str">
        <f>IF(F3366&gt;ENTRY!$D$24,"",IF(N3391="Ab","Ab",IF(N3391&gt;79.5,"A",IF(N3391&gt;59.5,"B",IF(N3391&gt;44.5,"C",IF(N3391&gt;=33,"D",IF(N3391&lt;33,"E","")))))))</f>
        <v/>
      </c>
      <c r="N3390" s="61"/>
      <c r="O3390" s="29"/>
      <c r="P3390" s="19"/>
      <c r="Q3390" s="14"/>
      <c r="R3390" s="11"/>
    </row>
    <row r="3391" s="1" customFormat="1" ht="21.95" customHeight="1" spans="1:18">
      <c r="A3391" s="7"/>
      <c r="B3391" s="12"/>
      <c r="C3391" s="33"/>
      <c r="D3391" s="63" t="s">
        <v>721</v>
      </c>
      <c r="E3391" s="63"/>
      <c r="F3391" s="63"/>
      <c r="G3391" s="63"/>
      <c r="H3391" s="63"/>
      <c r="I3391" s="63"/>
      <c r="J3391" s="63"/>
      <c r="K3391" s="63"/>
      <c r="L3391" s="63"/>
      <c r="M3391" s="209"/>
      <c r="N3391" s="64">
        <f>IF(L3390="Ab","Ab",L3390/6)</f>
        <v>0</v>
      </c>
      <c r="O3391" s="65"/>
      <c r="P3391" s="19"/>
      <c r="Q3391" s="14"/>
      <c r="R3391" s="11"/>
    </row>
    <row r="3392" s="1" customFormat="1" ht="21.95" customHeight="1" spans="1:18">
      <c r="A3392" s="7"/>
      <c r="B3392" s="12"/>
      <c r="C3392" s="33"/>
      <c r="D3392" s="29" t="s">
        <v>716</v>
      </c>
      <c r="E3392" s="18" t="str">
        <f>IFERROR(VLOOKUP(F3366,'1to4-2.1-RR'!$A$12:$BG$111,57,0),"")</f>
        <v/>
      </c>
      <c r="F3392" s="18"/>
      <c r="G3392" s="18"/>
      <c r="H3392" s="18"/>
      <c r="I3392" s="18"/>
      <c r="J3392" s="18"/>
      <c r="K3392" s="18"/>
      <c r="L3392" s="18"/>
      <c r="M3392" s="18"/>
      <c r="N3392" s="29"/>
      <c r="O3392" s="29"/>
      <c r="P3392" s="19"/>
      <c r="Q3392" s="14"/>
      <c r="R3392" s="11"/>
    </row>
    <row r="3393" s="1" customFormat="1" ht="9.95" customHeight="1" spans="1:19">
      <c r="A3393" s="7"/>
      <c r="B3393" s="12"/>
      <c r="C3393" s="39"/>
      <c r="D3393" s="40"/>
      <c r="E3393" s="40"/>
      <c r="F3393" s="40"/>
      <c r="G3393" s="40"/>
      <c r="H3393" s="40"/>
      <c r="I3393" s="40"/>
      <c r="J3393" s="40"/>
      <c r="K3393" s="40"/>
      <c r="L3393" s="40"/>
      <c r="M3393" s="40"/>
      <c r="N3393" s="40"/>
      <c r="O3393" s="40"/>
      <c r="P3393" s="41"/>
      <c r="Q3393" s="14"/>
      <c r="R3393" s="11"/>
    </row>
    <row r="3394" s="1" customFormat="1" ht="9.95" customHeight="1" spans="1:19">
      <c r="A3394" s="7"/>
      <c r="B3394" s="12"/>
      <c r="C3394" s="30"/>
      <c r="D3394" s="31"/>
      <c r="E3394" s="31"/>
      <c r="F3394" s="29"/>
      <c r="G3394" s="31"/>
      <c r="H3394" s="31"/>
      <c r="I3394" s="31"/>
      <c r="J3394" s="31"/>
      <c r="K3394" s="31"/>
      <c r="L3394" s="31"/>
      <c r="M3394" s="31"/>
      <c r="N3394" s="31"/>
      <c r="O3394" s="31"/>
      <c r="P3394" s="32"/>
      <c r="Q3394" s="14"/>
      <c r="R3394" s="11"/>
    </row>
    <row r="3395" s="1" customFormat="1" ht="9.95" customHeight="1" spans="1:19">
      <c r="A3395" s="7"/>
      <c r="B3395" s="12"/>
      <c r="C3395" s="33"/>
      <c r="D3395" s="29"/>
      <c r="E3395" s="29"/>
      <c r="F3395" s="29"/>
      <c r="G3395" s="29"/>
      <c r="H3395" s="29"/>
      <c r="I3395" s="29"/>
      <c r="J3395" s="29"/>
      <c r="K3395" s="29"/>
      <c r="L3395" s="29"/>
      <c r="M3395" s="29"/>
      <c r="N3395" s="29"/>
      <c r="O3395" s="29"/>
      <c r="P3395" s="19"/>
      <c r="Q3395" s="14"/>
      <c r="R3395" s="11"/>
    </row>
    <row r="3396" s="1" customFormat="1" ht="9.95" customHeight="1" spans="1:19">
      <c r="A3396" s="7"/>
      <c r="B3396" s="12"/>
      <c r="C3396" s="33"/>
      <c r="D3396" s="29"/>
      <c r="E3396" s="29"/>
      <c r="F3396" s="29"/>
      <c r="G3396" s="29"/>
      <c r="H3396" s="29"/>
      <c r="I3396" s="29"/>
      <c r="J3396" s="29"/>
      <c r="K3396" s="29"/>
      <c r="L3396" s="29"/>
      <c r="M3396" s="29"/>
      <c r="N3396" s="29"/>
      <c r="O3396" s="29"/>
      <c r="P3396" s="19"/>
      <c r="Q3396" s="14"/>
      <c r="R3396" s="11"/>
    </row>
    <row r="3397" s="1" customFormat="1" ht="21.95" customHeight="1" spans="1:19">
      <c r="A3397" s="7"/>
      <c r="B3397" s="12"/>
      <c r="C3397" s="210"/>
      <c r="D3397" s="211"/>
      <c r="E3397" s="211"/>
      <c r="F3397" s="211"/>
      <c r="G3397" s="211"/>
      <c r="H3397" s="211"/>
      <c r="I3397" s="211"/>
      <c r="J3397" s="211"/>
      <c r="K3397" s="211"/>
      <c r="L3397" s="211"/>
      <c r="M3397" s="211"/>
      <c r="N3397" s="211"/>
      <c r="O3397" s="211"/>
      <c r="P3397" s="212"/>
      <c r="Q3397" s="14"/>
      <c r="R3397" s="11"/>
      <c r="S3397" s="2"/>
    </row>
    <row r="3398" s="1" customFormat="1" ht="21.95" customHeight="1" spans="1:19">
      <c r="A3398" s="7"/>
      <c r="B3398" s="12"/>
      <c r="C3398" s="33"/>
      <c r="D3398" s="207" t="s">
        <v>722</v>
      </c>
      <c r="E3398" s="207"/>
      <c r="F3398" s="207"/>
      <c r="G3398" s="207"/>
      <c r="H3398" s="54">
        <f>IFERROR(VLOOKUP(F3366,PASHEET!$A$4:$CJ$103,88,0),"")</f>
        <v>0</v>
      </c>
      <c r="I3398" s="54"/>
      <c r="J3398" s="29"/>
      <c r="K3398" s="29"/>
      <c r="L3398" s="29"/>
      <c r="M3398" s="29"/>
      <c r="N3398" s="29"/>
      <c r="O3398" s="29"/>
      <c r="P3398" s="19"/>
      <c r="Q3398" s="14"/>
      <c r="R3398" s="11"/>
    </row>
    <row r="3399" s="1" customFormat="1" ht="21.95" customHeight="1" spans="1:19">
      <c r="A3399" s="7"/>
      <c r="B3399" s="12"/>
      <c r="C3399" s="213"/>
      <c r="D3399" s="207" t="s">
        <v>723</v>
      </c>
      <c r="E3399" s="207"/>
      <c r="F3399" s="207"/>
      <c r="G3399" s="207"/>
      <c r="H3399" s="54">
        <f>IFERROR(VLOOKUP(F3366,PASHEET!$A$4:$CJ$103,87,0),"")</f>
        <v>0</v>
      </c>
      <c r="I3399" s="54"/>
      <c r="J3399" s="214"/>
      <c r="K3399" s="214"/>
      <c r="L3399" s="207" t="s">
        <v>724</v>
      </c>
      <c r="M3399" s="207"/>
      <c r="N3399" s="117" t="str">
        <f>IF(F3366&gt;ENTRY!$D$24,"",IF(F3366&gt;0,L3390&amp;" / "&amp;600,""))</f>
        <v/>
      </c>
      <c r="O3399" s="117"/>
      <c r="P3399" s="215"/>
      <c r="Q3399" s="14"/>
      <c r="R3399" s="11"/>
    </row>
    <row r="3400" s="1" customFormat="1" ht="18" customHeight="1" spans="1:19">
      <c r="A3400" s="7"/>
      <c r="B3400" s="12"/>
      <c r="C3400" s="33"/>
      <c r="D3400" s="207" t="s">
        <v>725</v>
      </c>
      <c r="E3400" s="207"/>
      <c r="F3400" s="207"/>
      <c r="G3400" s="207"/>
      <c r="H3400" s="69" t="str">
        <f>IFERROR(IF(F3366&gt;0,H3399/H3398*100),"")</f>
        <v/>
      </c>
      <c r="I3400" s="69"/>
      <c r="J3400" s="29"/>
      <c r="K3400" s="29"/>
      <c r="L3400" s="207" t="s">
        <v>726</v>
      </c>
      <c r="M3400" s="207"/>
      <c r="N3400" s="216" t="str">
        <f>IF(F3366&gt;ENTRY!$D$24,"",IF(F3366&gt;0,L3390/600*100,""))</f>
        <v/>
      </c>
      <c r="O3400" s="216"/>
      <c r="P3400" s="19"/>
      <c r="Q3400" s="14"/>
      <c r="R3400" s="11"/>
    </row>
    <row r="3401" s="1" customFormat="1" ht="21.95" customHeight="1" spans="1:19">
      <c r="A3401" s="7"/>
      <c r="B3401" s="12"/>
      <c r="C3401" s="33"/>
      <c r="D3401" s="80"/>
      <c r="E3401" s="80"/>
      <c r="F3401" s="217"/>
      <c r="G3401" s="217"/>
      <c r="H3401" s="217"/>
      <c r="I3401" s="217"/>
      <c r="J3401" s="217"/>
      <c r="K3401" s="217"/>
      <c r="L3401" s="217"/>
      <c r="M3401" s="217"/>
      <c r="N3401" s="80"/>
      <c r="O3401" s="80"/>
      <c r="P3401" s="19"/>
      <c r="Q3401" s="14"/>
      <c r="R3401" s="11"/>
    </row>
    <row r="3402" s="1" customFormat="1" ht="21.95" customHeight="1" spans="1:19">
      <c r="A3402" s="7"/>
      <c r="B3402" s="12"/>
      <c r="C3402" s="33"/>
      <c r="D3402" s="80"/>
      <c r="E3402" s="218"/>
      <c r="F3402" s="218"/>
      <c r="G3402" s="218"/>
      <c r="H3402" s="80"/>
      <c r="I3402" s="218"/>
      <c r="J3402" s="218"/>
      <c r="K3402" s="218"/>
      <c r="L3402" s="218"/>
      <c r="M3402" s="80"/>
      <c r="N3402" s="219"/>
      <c r="O3402" s="219"/>
      <c r="P3402" s="19"/>
      <c r="Q3402" s="14"/>
      <c r="R3402" s="11"/>
    </row>
    <row r="3403" s="1" customFormat="1" ht="21.95" customHeight="1" spans="1:19">
      <c r="A3403" s="7"/>
      <c r="B3403" s="12"/>
      <c r="C3403" s="33"/>
      <c r="D3403" s="80"/>
      <c r="E3403" s="80"/>
      <c r="F3403" s="80"/>
      <c r="G3403" s="80"/>
      <c r="H3403" s="80"/>
      <c r="I3403" s="80"/>
      <c r="J3403" s="80"/>
      <c r="K3403" s="80"/>
      <c r="L3403" s="80"/>
      <c r="M3403" s="80"/>
      <c r="N3403" s="80"/>
      <c r="O3403" s="80"/>
      <c r="P3403" s="19"/>
      <c r="Q3403" s="14"/>
      <c r="R3403" s="11"/>
    </row>
    <row r="3404" s="1" customFormat="1" ht="21.95" customHeight="1" spans="1:19">
      <c r="A3404" s="7"/>
      <c r="B3404" s="12"/>
      <c r="C3404" s="33"/>
      <c r="D3404" s="218"/>
      <c r="E3404" s="218"/>
      <c r="F3404" s="218"/>
      <c r="G3404" s="218"/>
      <c r="H3404" s="218"/>
      <c r="I3404" s="218"/>
      <c r="J3404" s="218"/>
      <c r="K3404" s="218"/>
      <c r="L3404" s="218"/>
      <c r="M3404" s="80"/>
      <c r="N3404" s="217"/>
      <c r="O3404" s="217"/>
      <c r="P3404" s="85" t="s">
        <v>727</v>
      </c>
      <c r="Q3404" s="14"/>
      <c r="R3404" s="11"/>
    </row>
    <row r="3405" s="1" customFormat="1" ht="21.95" customHeight="1" spans="1:19">
      <c r="A3405" s="7"/>
      <c r="B3405" s="12"/>
      <c r="C3405" s="33"/>
      <c r="D3405" s="29"/>
      <c r="E3405" s="29"/>
      <c r="F3405" s="29"/>
      <c r="G3405" s="29"/>
      <c r="H3405" s="29"/>
      <c r="I3405" s="29"/>
      <c r="J3405" s="29"/>
      <c r="K3405" s="29"/>
      <c r="L3405" s="29"/>
      <c r="M3405" s="29"/>
      <c r="N3405" s="29"/>
      <c r="O3405" s="29"/>
      <c r="P3405" s="19"/>
      <c r="Q3405" s="14"/>
      <c r="R3405" s="11"/>
    </row>
    <row r="3406" s="1" customFormat="1" ht="21.95" customHeight="1" spans="1:19">
      <c r="A3406" s="7"/>
      <c r="B3406" s="12"/>
      <c r="C3406" s="33"/>
      <c r="D3406" s="29"/>
      <c r="E3406" s="29"/>
      <c r="F3406" s="29"/>
      <c r="G3406" s="29"/>
      <c r="H3406" s="29"/>
      <c r="I3406" s="29"/>
      <c r="J3406" s="29"/>
      <c r="K3406" s="29"/>
      <c r="L3406" s="29"/>
      <c r="M3406" s="29"/>
      <c r="N3406" s="29"/>
      <c r="O3406" s="29"/>
      <c r="P3406" s="19"/>
      <c r="Q3406" s="14"/>
      <c r="R3406" s="11"/>
    </row>
    <row r="3407" s="1" customFormat="1" ht="21.95" customHeight="1" spans="1:19">
      <c r="A3407" s="7"/>
      <c r="B3407" s="12"/>
      <c r="C3407" s="33"/>
      <c r="D3407" s="29"/>
      <c r="E3407" s="29"/>
      <c r="F3407" s="29"/>
      <c r="G3407" s="29"/>
      <c r="H3407" s="29"/>
      <c r="I3407" s="29"/>
      <c r="J3407" s="29"/>
      <c r="K3407" s="29"/>
      <c r="L3407" s="29"/>
      <c r="M3407" s="29"/>
      <c r="N3407" s="29"/>
      <c r="O3407" s="29"/>
      <c r="P3407" s="19"/>
      <c r="Q3407" s="14"/>
      <c r="R3407" s="11"/>
    </row>
    <row r="3408" s="1" customFormat="1" ht="21.95" customHeight="1" spans="1:19">
      <c r="A3408" s="7"/>
      <c r="B3408" s="12"/>
      <c r="C3408" s="33"/>
      <c r="D3408" s="29"/>
      <c r="E3408" s="29"/>
      <c r="F3408" s="29"/>
      <c r="G3408" s="29"/>
      <c r="H3408" s="29"/>
      <c r="I3408" s="29"/>
      <c r="J3408" s="29"/>
      <c r="K3408" s="29"/>
      <c r="L3408" s="29"/>
      <c r="M3408" s="29"/>
      <c r="N3408" s="29"/>
      <c r="O3408" s="29"/>
      <c r="P3408" s="19"/>
      <c r="Q3408" s="14"/>
      <c r="R3408" s="11"/>
    </row>
    <row r="3409" s="1" customFormat="1" ht="21.95" customHeight="1" spans="1:18">
      <c r="A3409" s="7"/>
      <c r="B3409" s="12"/>
      <c r="C3409" s="33"/>
      <c r="D3409" s="29"/>
      <c r="E3409" s="29"/>
      <c r="F3409" s="29"/>
      <c r="G3409" s="29"/>
      <c r="H3409" s="29"/>
      <c r="I3409" s="29"/>
      <c r="J3409" s="29"/>
      <c r="K3409" s="29"/>
      <c r="L3409" s="29"/>
      <c r="M3409" s="29"/>
      <c r="N3409" s="29"/>
      <c r="O3409" s="29"/>
      <c r="P3409" s="19"/>
      <c r="Q3409" s="14"/>
      <c r="R3409" s="11"/>
    </row>
    <row r="3410" s="1" customFormat="1" ht="21.95" customHeight="1" spans="1:18">
      <c r="A3410" s="7"/>
      <c r="B3410" s="12"/>
      <c r="C3410" s="33"/>
      <c r="D3410" s="80" t="s">
        <v>728</v>
      </c>
      <c r="E3410" s="220">
        <f>ENTRY!$D$27</f>
        <v>46102</v>
      </c>
      <c r="F3410" s="220"/>
      <c r="G3410" s="29"/>
      <c r="H3410" s="29"/>
      <c r="I3410" s="221" t="s">
        <v>729</v>
      </c>
      <c r="J3410" s="153"/>
      <c r="K3410" s="29"/>
      <c r="L3410" s="29"/>
      <c r="M3410" s="87" t="s">
        <v>730</v>
      </c>
      <c r="N3410" s="87"/>
      <c r="O3410" s="87"/>
      <c r="P3410" s="19"/>
      <c r="Q3410" s="14"/>
      <c r="R3410" s="11"/>
    </row>
    <row r="3411" s="1" customFormat="1" ht="21.95" customHeight="1" spans="1:18">
      <c r="A3411" s="7"/>
      <c r="B3411" s="12"/>
      <c r="C3411" s="33"/>
      <c r="D3411" s="80" t="s">
        <v>731</v>
      </c>
      <c r="E3411" s="88" t="str">
        <f>PROPER(ENTRY!$D$28)</f>
        <v>New Delhi</v>
      </c>
      <c r="F3411" s="88"/>
      <c r="G3411" s="29"/>
      <c r="H3411" s="29"/>
      <c r="I3411" s="153"/>
      <c r="J3411" s="153"/>
      <c r="K3411" s="29"/>
      <c r="L3411" s="29"/>
      <c r="M3411" s="79" t="s">
        <v>732</v>
      </c>
      <c r="N3411" s="79"/>
      <c r="O3411" s="79"/>
      <c r="P3411" s="19"/>
      <c r="Q3411" s="14"/>
      <c r="R3411" s="11"/>
    </row>
    <row r="3412" s="1" customFormat="1" ht="21.95" customHeight="1" spans="1:18">
      <c r="A3412" s="7"/>
      <c r="B3412" s="12"/>
      <c r="C3412" s="90"/>
      <c r="D3412" s="91"/>
      <c r="E3412" s="91"/>
      <c r="F3412" s="91"/>
      <c r="G3412" s="91"/>
      <c r="H3412" s="91"/>
      <c r="I3412" s="91"/>
      <c r="J3412" s="91"/>
      <c r="K3412" s="91"/>
      <c r="L3412" s="91"/>
      <c r="M3412" s="91"/>
      <c r="N3412" s="91"/>
      <c r="O3412" s="91"/>
      <c r="P3412" s="92"/>
      <c r="Q3412" s="14"/>
      <c r="R3412" s="11"/>
    </row>
    <row r="3413" s="1" customFormat="1" ht="5.1" customHeight="1" spans="1:18">
      <c r="A3413" s="7"/>
      <c r="B3413" s="90"/>
      <c r="C3413" s="91"/>
      <c r="D3413" s="91"/>
      <c r="E3413" s="91"/>
      <c r="F3413" s="91"/>
      <c r="G3413" s="91"/>
      <c r="H3413" s="91"/>
      <c r="I3413" s="91"/>
      <c r="J3413" s="91"/>
      <c r="K3413" s="91"/>
      <c r="L3413" s="91"/>
      <c r="M3413" s="91"/>
      <c r="N3413" s="91"/>
      <c r="O3413" s="91"/>
      <c r="P3413" s="91"/>
      <c r="Q3413" s="92"/>
      <c r="R3413" s="11"/>
    </row>
    <row r="3414" s="1" customFormat="1" ht="5.1" customHeight="1" spans="1:18">
      <c r="A3414" s="93"/>
      <c r="B3414" s="94"/>
      <c r="C3414" s="94"/>
      <c r="D3414" s="94"/>
      <c r="E3414" s="94"/>
      <c r="F3414" s="94"/>
      <c r="G3414" s="94"/>
      <c r="H3414" s="94"/>
      <c r="I3414" s="94"/>
      <c r="J3414" s="94"/>
      <c r="K3414" s="94"/>
      <c r="L3414" s="94"/>
      <c r="M3414" s="94"/>
      <c r="N3414" s="94"/>
      <c r="O3414" s="94"/>
      <c r="P3414" s="94"/>
      <c r="Q3414" s="94"/>
      <c r="R3414" s="95"/>
    </row>
    <row r="3415" s="1" customFormat="1" ht="21.95" customHeight="1"/>
    <row r="3416" ht="15.15"/>
    <row r="3417" s="1" customFormat="1" ht="5.1" customHeight="1" spans="1:18">
      <c r="A3417" s="4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  <c r="O3417" s="5"/>
      <c r="P3417" s="5"/>
      <c r="Q3417" s="5"/>
      <c r="R3417" s="6"/>
    </row>
    <row r="3418" s="1" customFormat="1" ht="15" customHeight="1" spans="1:18">
      <c r="A3418" s="7"/>
      <c r="B3418" s="8"/>
      <c r="C3418" s="9"/>
      <c r="D3418" s="9"/>
      <c r="E3418" s="9"/>
      <c r="F3418" s="9"/>
      <c r="G3418" s="9"/>
      <c r="H3418" s="9"/>
      <c r="I3418" s="9"/>
      <c r="J3418" s="9"/>
      <c r="K3418" s="9"/>
      <c r="L3418" s="9"/>
      <c r="M3418" s="9"/>
      <c r="N3418" s="9"/>
      <c r="O3418" s="9"/>
      <c r="P3418" s="9"/>
      <c r="Q3418" s="10"/>
      <c r="R3418" s="11"/>
    </row>
    <row r="3419" s="1" customFormat="1" ht="21.95" customHeight="1" spans="1:18">
      <c r="A3419" s="7"/>
      <c r="B3419" s="12"/>
      <c r="C3419" s="13" t="s">
        <v>7</v>
      </c>
      <c r="D3419" s="13"/>
      <c r="E3419" s="13"/>
      <c r="F3419" s="13"/>
      <c r="G3419" s="13"/>
      <c r="H3419" s="13"/>
      <c r="I3419" s="13"/>
      <c r="J3419" s="13"/>
      <c r="K3419" s="13"/>
      <c r="L3419" s="13"/>
      <c r="M3419" s="13"/>
      <c r="N3419" s="13"/>
      <c r="O3419" s="13"/>
      <c r="P3419" s="13"/>
      <c r="Q3419" s="14"/>
      <c r="R3419" s="11"/>
    </row>
    <row r="3420" s="1" customFormat="1" ht="21.95" customHeight="1" spans="1:18">
      <c r="A3420" s="7"/>
      <c r="B3420" s="1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14"/>
      <c r="R3420" s="11"/>
    </row>
    <row r="3421" s="1" customFormat="1" ht="21.95" customHeight="1" spans="1:18">
      <c r="A3421" s="7"/>
      <c r="B3421" s="12"/>
      <c r="C3421" s="15" t="str">
        <f>"SESSION-"&amp;ENTRY!$D$11</f>
        <v>SESSION-2026-27</v>
      </c>
      <c r="D3421" s="15"/>
      <c r="E3421" s="15"/>
      <c r="F3421" s="15"/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4"/>
      <c r="R3421" s="11"/>
    </row>
    <row r="3422" s="1" customFormat="1" ht="21.95" customHeight="1" spans="1:18">
      <c r="A3422" s="7"/>
      <c r="B3422" s="12"/>
      <c r="C3422" s="2"/>
      <c r="D3422" s="2"/>
      <c r="E3422" s="2"/>
      <c r="F3422" s="16">
        <f>F3366+1</f>
        <v>62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14"/>
      <c r="R3422" s="11"/>
    </row>
    <row r="3423" s="1" customFormat="1" ht="21.95" customHeight="1" spans="1:18">
      <c r="A3423" s="7"/>
      <c r="B3423" s="12"/>
      <c r="C3423" s="17" t="s">
        <v>392</v>
      </c>
      <c r="D3423" s="17"/>
      <c r="E3423" s="17"/>
      <c r="F3423" s="18" t="str">
        <f>IF(F3422&gt;0,ENTRY!$D$6,"")</f>
        <v>MCP NITHARI NO 1 BOYS</v>
      </c>
      <c r="G3423" s="18"/>
      <c r="H3423" s="18"/>
      <c r="I3423" s="18"/>
      <c r="J3423" s="18"/>
      <c r="K3423" s="18"/>
      <c r="L3423" s="18"/>
      <c r="M3423" s="18"/>
      <c r="N3423" s="18"/>
      <c r="O3423" s="18"/>
      <c r="P3423" s="18"/>
      <c r="Q3423" s="14"/>
      <c r="R3423" s="11"/>
    </row>
    <row r="3424" s="1" customFormat="1" ht="21.95" customHeight="1" spans="1:18">
      <c r="A3424" s="7"/>
      <c r="B3424" s="12"/>
      <c r="C3424" s="17" t="s">
        <v>393</v>
      </c>
      <c r="D3424" s="17"/>
      <c r="E3424" s="17"/>
      <c r="F3424" s="18">
        <f>IF(F3422&gt;0,ENTRY!$D$7,"")</f>
        <v>0</v>
      </c>
      <c r="G3424" s="18"/>
      <c r="H3424" s="20" t="s">
        <v>702</v>
      </c>
      <c r="I3424" s="20"/>
      <c r="J3424" s="21">
        <f>IF(F3422&gt;0,ENTRY!$D$10,"")</f>
        <v>40</v>
      </c>
      <c r="K3424" s="20" t="s">
        <v>703</v>
      </c>
      <c r="L3424" s="22" t="str">
        <f>IF(F3422&gt;0,ENTRY!$D$5,"")</f>
        <v>ROHINI ZONE</v>
      </c>
      <c r="M3424" s="22"/>
      <c r="N3424" s="22"/>
      <c r="O3424" s="22"/>
      <c r="P3424" s="22"/>
      <c r="Q3424" s="14"/>
      <c r="R3424" s="11"/>
    </row>
    <row r="3425" s="1" customFormat="1" ht="21.95" customHeight="1" spans="1:18">
      <c r="A3425" s="7"/>
      <c r="B3425" s="12"/>
      <c r="C3425" s="17" t="s">
        <v>706</v>
      </c>
      <c r="D3425" s="17"/>
      <c r="E3425" s="17"/>
      <c r="F3425" s="23">
        <f>IFERROR(VLOOKUP(F3422,STUDENT!$A$2:$BP$101,5,0),"")</f>
        <v>0</v>
      </c>
      <c r="G3425" s="23"/>
      <c r="H3425" s="23"/>
      <c r="I3425" s="23"/>
      <c r="J3425" s="23"/>
      <c r="K3425" s="23"/>
      <c r="L3425" s="20" t="s">
        <v>707</v>
      </c>
      <c r="M3425" s="20"/>
      <c r="N3425" s="24" t="str">
        <f>IF(F3422&gt;0,ENTRY!$D$20&amp;"-"&amp;ENTRY!$D$21,"")</f>
        <v>III-A</v>
      </c>
      <c r="O3425" s="24"/>
      <c r="P3425" s="24"/>
      <c r="Q3425" s="14"/>
      <c r="R3425" s="11"/>
    </row>
    <row r="3426" s="1" customFormat="1" ht="21.95" customHeight="1" spans="1:18">
      <c r="A3426" s="7"/>
      <c r="B3426" s="12"/>
      <c r="C3426" s="17" t="s">
        <v>708</v>
      </c>
      <c r="D3426" s="17"/>
      <c r="E3426" s="17"/>
      <c r="F3426" s="25">
        <f>IFERROR(VLOOKUP(F3422,STUDENT!$A$2:$BP$101,6,0),"")</f>
        <v>0</v>
      </c>
      <c r="G3426" s="25"/>
      <c r="H3426" s="26" t="s">
        <v>709</v>
      </c>
      <c r="I3426" s="27" t="str">
        <f>IFERROR(VLOOKUP(F3422,STUDENT!$A$2:$BP$101,59,0),"")</f>
        <v/>
      </c>
      <c r="J3426" s="27"/>
      <c r="K3426" s="20" t="s">
        <v>710</v>
      </c>
      <c r="L3426" s="20"/>
      <c r="M3426" s="28">
        <f>IFERROR(VLOOKUP(F3422,STUDENT!$A$2:$BP$101,20,0),"")</f>
        <v>0</v>
      </c>
      <c r="N3426" s="28"/>
      <c r="O3426" s="28"/>
      <c r="P3426" s="28"/>
      <c r="Q3426" s="14"/>
      <c r="R3426" s="11"/>
    </row>
    <row r="3427" s="1" customFormat="1" ht="21.95" customHeight="1" spans="1:18">
      <c r="A3427" s="7"/>
      <c r="B3427" s="12"/>
      <c r="C3427" s="17" t="s">
        <v>711</v>
      </c>
      <c r="D3427" s="17"/>
      <c r="E3427" s="17"/>
      <c r="F3427" s="23">
        <f>IFERROR(VLOOKUP(F3422,STUDENT!$A$2:$BP$101,9,0),"")</f>
        <v>0</v>
      </c>
      <c r="G3427" s="23"/>
      <c r="H3427" s="23"/>
      <c r="I3427" s="23"/>
      <c r="J3427" s="17" t="s">
        <v>620</v>
      </c>
      <c r="K3427" s="17"/>
      <c r="L3427" s="23">
        <f>IFERROR(VLOOKUP(F3422,STUDENT!$A$2:$BP$101,8,0),"")</f>
        <v>0</v>
      </c>
      <c r="M3427" s="23"/>
      <c r="N3427" s="23"/>
      <c r="O3427" s="23"/>
      <c r="P3427" s="23"/>
      <c r="Q3427" s="14"/>
      <c r="R3427" s="11"/>
    </row>
    <row r="3428" s="1" customFormat="1" ht="21.95" customHeight="1" spans="1:18">
      <c r="A3428" s="7"/>
      <c r="B3428" s="12"/>
      <c r="C3428" s="17" t="s">
        <v>712</v>
      </c>
      <c r="D3428" s="17"/>
      <c r="E3428" s="17"/>
      <c r="F3428" s="23">
        <f>IFERROR(VLOOKUP(F3422,STUDENT!$A$2:$BP$101,22,0),"")</f>
        <v>0</v>
      </c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14"/>
      <c r="R3428" s="11"/>
    </row>
    <row r="3429" s="1" customFormat="1" ht="9.95" customHeight="1" spans="1:18">
      <c r="A3429" s="7"/>
      <c r="B3429" s="12"/>
      <c r="C3429" s="29"/>
      <c r="D3429" s="29"/>
      <c r="E3429" s="29"/>
      <c r="F3429" s="29"/>
      <c r="G3429" s="29"/>
      <c r="H3429" s="29"/>
      <c r="I3429" s="29"/>
      <c r="J3429" s="29"/>
      <c r="K3429" s="29"/>
      <c r="L3429" s="29"/>
      <c r="M3429" s="29"/>
      <c r="N3429" s="29"/>
      <c r="O3429" s="29"/>
      <c r="P3429" s="29"/>
      <c r="Q3429" s="14"/>
      <c r="R3429" s="11"/>
    </row>
    <row r="3430" s="1" customFormat="1" ht="9.95" customHeight="1" spans="1:18">
      <c r="A3430" s="7"/>
      <c r="B3430" s="12"/>
      <c r="C3430" s="30"/>
      <c r="D3430" s="31"/>
      <c r="E3430" s="31"/>
      <c r="F3430" s="31"/>
      <c r="G3430" s="31"/>
      <c r="H3430" s="31"/>
      <c r="I3430" s="31"/>
      <c r="J3430" s="31"/>
      <c r="K3430" s="31"/>
      <c r="L3430" s="31"/>
      <c r="M3430" s="31"/>
      <c r="N3430" s="31"/>
      <c r="O3430" s="31"/>
      <c r="P3430" s="32"/>
      <c r="Q3430" s="14"/>
      <c r="R3430" s="11"/>
    </row>
    <row r="3431" s="1" customFormat="1" ht="21.95" customHeight="1" spans="1:18">
      <c r="A3431" s="7"/>
      <c r="B3431" s="12"/>
      <c r="C3431" s="33"/>
      <c r="D3431" s="34" t="s">
        <v>713</v>
      </c>
      <c r="E3431" s="20" t="s">
        <v>714</v>
      </c>
      <c r="F3431" s="35" t="str">
        <f>"Level - "&amp;IFERROR(VLOOKUP(F3422,FLN!$A$4:$K$103,9,0),"")</f>
        <v>Level - </v>
      </c>
      <c r="G3431" s="36"/>
      <c r="H3431" s="37" t="s">
        <v>715</v>
      </c>
      <c r="I3431" s="20"/>
      <c r="J3431" s="35" t="str">
        <f>"Level - "&amp;IFERROR(VLOOKUP(F3422,FLN!$A$4:$K$103,11,0),"")</f>
        <v>Level - </v>
      </c>
      <c r="K3431" s="36"/>
      <c r="L3431" s="37" t="s">
        <v>408</v>
      </c>
      <c r="M3431" s="20"/>
      <c r="N3431" s="35" t="str">
        <f>"Level - "&amp;IFERROR(VLOOKUP(F3422,FLN!$A$4:$K$103,10,0),"")</f>
        <v>Level - </v>
      </c>
      <c r="O3431" s="36"/>
      <c r="P3431" s="19"/>
      <c r="Q3431" s="14"/>
      <c r="R3431" s="11"/>
    </row>
    <row r="3432" s="1" customFormat="1" ht="21.95" customHeight="1" spans="1:18">
      <c r="A3432" s="7"/>
      <c r="B3432" s="12"/>
      <c r="C3432" s="33"/>
      <c r="D3432" s="38"/>
      <c r="E3432" s="20" t="s">
        <v>716</v>
      </c>
      <c r="F3432" s="18" t="str">
        <f>IF(L3446&gt;197,"PERFORMED WELL","")</f>
        <v/>
      </c>
      <c r="G3432" s="18"/>
      <c r="H3432" s="18"/>
      <c r="I3432" s="18"/>
      <c r="J3432" s="18"/>
      <c r="K3432" s="18"/>
      <c r="L3432" s="18"/>
      <c r="M3432" s="18"/>
      <c r="N3432" s="18"/>
      <c r="O3432" s="18"/>
      <c r="P3432" s="19"/>
      <c r="Q3432" s="14"/>
      <c r="R3432" s="11"/>
    </row>
    <row r="3433" s="1" customFormat="1" ht="9.95" customHeight="1" spans="1:18">
      <c r="A3433" s="7"/>
      <c r="B3433" s="12"/>
      <c r="C3433" s="39"/>
      <c r="D3433" s="40"/>
      <c r="E3433" s="40"/>
      <c r="F3433" s="40"/>
      <c r="G3433" s="40"/>
      <c r="H3433" s="40"/>
      <c r="I3433" s="40"/>
      <c r="J3433" s="40"/>
      <c r="K3433" s="40"/>
      <c r="L3433" s="40"/>
      <c r="M3433" s="40"/>
      <c r="N3433" s="40"/>
      <c r="O3433" s="40"/>
      <c r="P3433" s="41"/>
      <c r="Q3433" s="14"/>
      <c r="R3433" s="11"/>
    </row>
    <row r="3434" s="1" customFormat="1" ht="9.95" customHeight="1" spans="1:18">
      <c r="A3434" s="7"/>
      <c r="B3434" s="12"/>
      <c r="C3434" s="29"/>
      <c r="D3434" s="29"/>
      <c r="E3434" s="29"/>
      <c r="F3434" s="29"/>
      <c r="G3434" s="29"/>
      <c r="H3434" s="29"/>
      <c r="I3434" s="29"/>
      <c r="J3434" s="29"/>
      <c r="K3434" s="29"/>
      <c r="L3434" s="29"/>
      <c r="M3434" s="29"/>
      <c r="N3434" s="29"/>
      <c r="O3434" s="29"/>
      <c r="P3434" s="29"/>
      <c r="Q3434" s="14"/>
      <c r="R3434" s="11"/>
    </row>
    <row r="3435" s="1" customFormat="1" ht="9.95" customHeight="1" spans="1:18">
      <c r="A3435" s="7"/>
      <c r="B3435" s="12"/>
      <c r="C3435" s="30"/>
      <c r="D3435" s="31"/>
      <c r="E3435" s="31"/>
      <c r="F3435" s="31"/>
      <c r="G3435" s="31"/>
      <c r="H3435" s="31"/>
      <c r="I3435" s="31"/>
      <c r="J3435" s="31"/>
      <c r="K3435" s="31"/>
      <c r="L3435" s="31"/>
      <c r="M3435" s="31"/>
      <c r="N3435" s="31"/>
      <c r="O3435" s="31"/>
      <c r="P3435" s="32"/>
      <c r="Q3435" s="14"/>
      <c r="R3435" s="11"/>
    </row>
    <row r="3436" s="1" customFormat="1" ht="21.95" customHeight="1" spans="1:18">
      <c r="A3436" s="7"/>
      <c r="B3436" s="12"/>
      <c r="C3436" s="33"/>
      <c r="D3436" s="35"/>
      <c r="E3436" s="24"/>
      <c r="F3436" s="24"/>
      <c r="G3436" s="47" t="s">
        <v>717</v>
      </c>
      <c r="H3436" s="47"/>
      <c r="I3436" s="47"/>
      <c r="J3436" s="47"/>
      <c r="K3436" s="47"/>
      <c r="L3436" s="47"/>
      <c r="M3436" s="47"/>
      <c r="N3436" s="47"/>
      <c r="O3436" s="29"/>
      <c r="P3436" s="19"/>
      <c r="Q3436" s="14"/>
      <c r="R3436" s="11"/>
    </row>
    <row r="3437" s="1" customFormat="1" ht="21.95" customHeight="1" spans="1:18">
      <c r="A3437" s="7"/>
      <c r="B3437" s="12"/>
      <c r="C3437" s="33"/>
      <c r="D3437" s="47"/>
      <c r="E3437" s="47"/>
      <c r="F3437" s="47"/>
      <c r="G3437" s="47" t="s">
        <v>541</v>
      </c>
      <c r="H3437" s="47" t="s">
        <v>542</v>
      </c>
      <c r="I3437" s="47" t="s">
        <v>543</v>
      </c>
      <c r="J3437" s="47" t="s">
        <v>544</v>
      </c>
      <c r="K3437" s="47" t="s">
        <v>561</v>
      </c>
      <c r="L3437" s="47" t="s">
        <v>382</v>
      </c>
      <c r="M3437" s="49" t="s">
        <v>546</v>
      </c>
      <c r="N3437" s="49"/>
      <c r="O3437" s="29"/>
      <c r="P3437" s="19"/>
      <c r="Q3437" s="14"/>
      <c r="R3437" s="11"/>
    </row>
    <row r="3438" s="1" customFormat="1" ht="21.95" customHeight="1" spans="1:18">
      <c r="A3438" s="7"/>
      <c r="B3438" s="12"/>
      <c r="C3438" s="33"/>
      <c r="D3438" s="207" t="s">
        <v>652</v>
      </c>
      <c r="E3438" s="207"/>
      <c r="F3438" s="207"/>
      <c r="G3438" s="50">
        <v>10</v>
      </c>
      <c r="H3438" s="50">
        <v>10</v>
      </c>
      <c r="I3438" s="50">
        <v>10</v>
      </c>
      <c r="J3438" s="50">
        <v>10</v>
      </c>
      <c r="K3438" s="50">
        <v>60</v>
      </c>
      <c r="L3438" s="50">
        <v>100</v>
      </c>
      <c r="M3438" s="49"/>
      <c r="N3438" s="49"/>
      <c r="O3438" s="29"/>
      <c r="P3438" s="19"/>
      <c r="Q3438" s="14"/>
      <c r="R3438" s="11"/>
    </row>
    <row r="3439" s="1" customFormat="1" ht="21.95" customHeight="1" spans="1:18">
      <c r="A3439" s="7"/>
      <c r="B3439" s="12"/>
      <c r="C3439" s="33"/>
      <c r="D3439" s="117" t="s">
        <v>668</v>
      </c>
      <c r="E3439" s="117"/>
      <c r="F3439" s="117"/>
      <c r="G3439" s="54" t="str">
        <f>IFERROR(VLOOKUP(F3422,'1to4-2.1-RR'!$A$12:$BG$111,9,0),"")</f>
        <v/>
      </c>
      <c r="H3439" s="54" t="str">
        <f>IFERROR(VLOOKUP(F3422,'1to4-2.1-RR'!$A$12:$BG$111,10,0),"")</f>
        <v/>
      </c>
      <c r="I3439" s="54" t="str">
        <f>IFERROR(VLOOKUP(F3422,'1to4-2.1-RR'!$A$12:$BG$111,11,0),"")</f>
        <v/>
      </c>
      <c r="J3439" s="54" t="str">
        <f>IFERROR(VLOOKUP(F3422,'1to4-2.1-RR'!$A$12:$BG$111,12,0),"")</f>
        <v/>
      </c>
      <c r="K3439" s="54" t="str">
        <f>IFERROR(VLOOKUP(F3422,'1to4-2.1-RR'!$A$12:$BG$111,13,0),"")</f>
        <v/>
      </c>
      <c r="L3439" s="55">
        <f>SUM(G3439:K3439)</f>
        <v>0</v>
      </c>
      <c r="M3439" s="56" t="str">
        <f>IF(F3422&gt;ENTRY!$D$24,"",IF(L3439=0,"Ab",IF(L3439&gt;80,"A",IF(L3439&gt;60,"B",IF(L3439&gt;44,"C",IF(L3439&gt;=33,"D",IF(L3439&lt;=32,"E","")))))))</f>
        <v/>
      </c>
      <c r="N3439" s="56"/>
      <c r="O3439" s="29"/>
      <c r="P3439" s="19"/>
      <c r="Q3439" s="14"/>
      <c r="R3439" s="11"/>
    </row>
    <row r="3440" s="1" customFormat="1" ht="21.95" customHeight="1" spans="1:18">
      <c r="A3440" s="7"/>
      <c r="B3440" s="12"/>
      <c r="C3440" s="33"/>
      <c r="D3440" s="117" t="s">
        <v>513</v>
      </c>
      <c r="E3440" s="117"/>
      <c r="F3440" s="117"/>
      <c r="G3440" s="54" t="str">
        <f>IFERROR(VLOOKUP(F3422,'1to4-2.1-RR'!$A$12:$BG$111,16,0),"")</f>
        <v/>
      </c>
      <c r="H3440" s="54" t="str">
        <f>IFERROR(VLOOKUP(F3422,'1to4-2.1-RR'!$A$12:$BG$111,17,0),"")</f>
        <v/>
      </c>
      <c r="I3440" s="54" t="str">
        <f>IFERROR(VLOOKUP(F3422,'1to4-2.1-RR'!$A$12:$BG$111,18,0),"")</f>
        <v/>
      </c>
      <c r="J3440" s="54" t="str">
        <f>IFERROR(VLOOKUP(F3422,'1to4-2.1-RR'!$A$12:$BG$111,19,0),"")</f>
        <v/>
      </c>
      <c r="K3440" s="54" t="str">
        <f>IFERROR(VLOOKUP(F3422,'1to4-2.1-RR'!$A$12:$BG$111,20,0),"")</f>
        <v/>
      </c>
      <c r="L3440" s="55">
        <f t="shared" ref="L3440:L3445" si="122">SUM(G3440:K3440)</f>
        <v>0</v>
      </c>
      <c r="M3440" s="56" t="str">
        <f>IF(F3422&gt;ENTRY!$D$24,"",IF(L3440=0,"Ab",IF(L3440&gt;80,"A",IF(L3440&gt;60,"B",IF(L3440&gt;44,"C",IF(L3440&gt;=33,"D",IF(L3440&lt;=32,"E","")))))))</f>
        <v/>
      </c>
      <c r="N3440" s="56"/>
      <c r="O3440" s="29"/>
      <c r="P3440" s="19"/>
      <c r="Q3440" s="14"/>
      <c r="R3440" s="11"/>
    </row>
    <row r="3441" s="1" customFormat="1" ht="21.95" customHeight="1" spans="1:19">
      <c r="A3441" s="7"/>
      <c r="B3441" s="12"/>
      <c r="C3441" s="33"/>
      <c r="D3441" s="117" t="s">
        <v>718</v>
      </c>
      <c r="E3441" s="117"/>
      <c r="F3441" s="117"/>
      <c r="G3441" s="54" t="str">
        <f>IFERROR(VLOOKUP(F3422,'1to4-2.1-RR'!$A$12:$BG$111,23,0),"")</f>
        <v/>
      </c>
      <c r="H3441" s="54" t="str">
        <f>IFERROR(VLOOKUP(F3422,'1to4-2.1-RR'!$A$12:$BG$111,24,0),"")</f>
        <v/>
      </c>
      <c r="I3441" s="54" t="str">
        <f>IFERROR(VLOOKUP(F3422,'1to4-2.1-RR'!$A$12:$BG$111,25,0),"")</f>
        <v/>
      </c>
      <c r="J3441" s="54" t="str">
        <f>IFERROR(VLOOKUP(F3422,'1to4-2.1-RR'!$A$12:$BG$111,26,0),"")</f>
        <v/>
      </c>
      <c r="K3441" s="54" t="str">
        <f>IFERROR(VLOOKUP(F3422,'1to4-2.1-RR'!$A$12:$BG$111,27,0),"")</f>
        <v/>
      </c>
      <c r="L3441" s="55">
        <f t="shared" si="122"/>
        <v>0</v>
      </c>
      <c r="M3441" s="56" t="str">
        <f>IF(F3422&gt;ENTRY!$D$24,"",IF(L3441=0,"Ab",IF(L3441&gt;80,"A",IF(L3441&gt;60,"B",IF(L3441&gt;44,"C",IF(L3441&gt;=33,"D",IF(L3441&lt;=32,"E","")))))))</f>
        <v/>
      </c>
      <c r="N3441" s="56"/>
      <c r="O3441" s="29"/>
      <c r="P3441" s="19"/>
      <c r="Q3441" s="14"/>
      <c r="R3441" s="11"/>
    </row>
    <row r="3442" s="1" customFormat="1" ht="21.95" customHeight="1" spans="1:19">
      <c r="A3442" s="7"/>
      <c r="B3442" s="12"/>
      <c r="C3442" s="33"/>
      <c r="D3442" s="117" t="s">
        <v>719</v>
      </c>
      <c r="E3442" s="117"/>
      <c r="F3442" s="117"/>
      <c r="G3442" s="54" t="str">
        <f>IFERROR(VLOOKUP(F3422,'1to4-2.1-RR'!$A$12:$BG$111,30,0),"")</f>
        <v/>
      </c>
      <c r="H3442" s="54" t="str">
        <f>IFERROR(VLOOKUP(F3422,'1to4-2.1-RR'!$A$12:$BG$111,31,0),"")</f>
        <v/>
      </c>
      <c r="I3442" s="54" t="str">
        <f>IFERROR(VLOOKUP(F3422,'1to4-2.1-RR'!$A$12:$BG$111,32,0),"")</f>
        <v/>
      </c>
      <c r="J3442" s="54" t="str">
        <f>IFERROR(VLOOKUP(F3422,'1to4-2.1-RR'!$A$12:$BG$111,33,0),"")</f>
        <v/>
      </c>
      <c r="K3442" s="54" t="str">
        <f>IFERROR(VLOOKUP(F3422,'1to4-2.1-RR'!$A$12:$BG$111,34,0),"")</f>
        <v/>
      </c>
      <c r="L3442" s="55">
        <f t="shared" si="122"/>
        <v>0</v>
      </c>
      <c r="M3442" s="56" t="str">
        <f>IF(F3422&gt;ENTRY!$D$24,"",IF(L3442=0,"Ab",IF(L3442&gt;80,"A",IF(L3442&gt;60,"B",IF(L3442&gt;44,"C",IF(L3442&gt;=33,"D",IF(L3442&lt;=32,"E","")))))))</f>
        <v/>
      </c>
      <c r="N3442" s="56"/>
      <c r="O3442" s="29"/>
      <c r="P3442" s="19"/>
      <c r="Q3442" s="14"/>
      <c r="R3442" s="11"/>
    </row>
    <row r="3443" s="1" customFormat="1" ht="21.95" customHeight="1" spans="1:19">
      <c r="A3443" s="7"/>
      <c r="B3443" s="12"/>
      <c r="C3443" s="33"/>
      <c r="D3443" s="117" t="s">
        <v>548</v>
      </c>
      <c r="E3443" s="117"/>
      <c r="F3443" s="117"/>
      <c r="G3443" s="54" t="str">
        <f>IFERROR(VLOOKUP(F3422,'1to4-2.1-RR'!$A$12:$BG$111,37,0),"")</f>
        <v/>
      </c>
      <c r="H3443" s="54" t="str">
        <f>IFERROR(VLOOKUP(F3422,'1to4-2.1-RR'!$A$12:$BG$111,38,0),"")</f>
        <v/>
      </c>
      <c r="I3443" s="54" t="str">
        <f>IFERROR(VLOOKUP(F3422,'1to4-2.1-RR'!$A$12:$BG$111,39,0),"")</f>
        <v/>
      </c>
      <c r="J3443" s="54" t="str">
        <f>IFERROR(VLOOKUP(F3422,'1to4-2.1-RR'!$A$12:$BG$111,40,0),"")</f>
        <v/>
      </c>
      <c r="K3443" s="54" t="str">
        <f>IFERROR(VLOOKUP(F3422,'1to4-2.1-RR'!$A$12:$BG$111,41,0),"")</f>
        <v/>
      </c>
      <c r="L3443" s="55">
        <f t="shared" si="122"/>
        <v>0</v>
      </c>
      <c r="M3443" s="56" t="str">
        <f>IF(F3422&gt;ENTRY!$D$24,"",IF(L3443=0,"Ab",IF(L3443&gt;80,"A",IF(L3443&gt;60,"B",IF(L3443&gt;44,"C",IF(L3443&gt;=33,"D",IF(L3443&lt;=32,"E","")))))))</f>
        <v/>
      </c>
      <c r="N3443" s="56"/>
      <c r="O3443" s="29"/>
      <c r="P3443" s="19"/>
      <c r="Q3443" s="14"/>
      <c r="R3443" s="11"/>
    </row>
    <row r="3444" s="1" customFormat="1" ht="21.95" customHeight="1" spans="1:19">
      <c r="A3444" s="7"/>
      <c r="B3444" s="12"/>
      <c r="C3444" s="33"/>
      <c r="D3444" s="117" t="s">
        <v>549</v>
      </c>
      <c r="E3444" s="117"/>
      <c r="F3444" s="117"/>
      <c r="G3444" s="54" t="str">
        <f>IFERROR(VLOOKUP(F3422,'1to4-2.1-RR'!$A$12:$BG$111,44,0),"")</f>
        <v/>
      </c>
      <c r="H3444" s="54" t="str">
        <f>IFERROR(VLOOKUP(F3422,'1to4-2.1-RR'!$A$12:$BG$111,45,0),"")</f>
        <v/>
      </c>
      <c r="I3444" s="54" t="str">
        <f>IFERROR(VLOOKUP(F3422,'1to4-2.1-RR'!$A$12:$BG$111,46,0),"")</f>
        <v/>
      </c>
      <c r="J3444" s="54" t="str">
        <f>IFERROR(VLOOKUP(F3422,'1to4-2.1-RR'!$A$12:$BG$111,47,0),"")</f>
        <v/>
      </c>
      <c r="K3444" s="54" t="str">
        <f>IFERROR(VLOOKUP(F3422,'1to4-2.1-RR'!$A$12:$BG$111,48,0),"")</f>
        <v/>
      </c>
      <c r="L3444" s="55">
        <f t="shared" si="122"/>
        <v>0</v>
      </c>
      <c r="M3444" s="56" t="str">
        <f>IF(F3422&gt;ENTRY!$D$24,"",IF(L3444=0,"Ab",IF(L3444&gt;80,"A",IF(L3444&gt;60,"B",IF(L3444&gt;44,"C",IF(L3444&gt;=33,"D",IF(L3444&lt;=32,"E","")))))))</f>
        <v/>
      </c>
      <c r="N3444" s="56"/>
      <c r="O3444" s="29"/>
      <c r="P3444" s="19"/>
      <c r="Q3444" s="14"/>
      <c r="R3444" s="11"/>
    </row>
    <row r="3445" s="1" customFormat="1" ht="21.95" customHeight="1" spans="1:19">
      <c r="A3445" s="7"/>
      <c r="B3445" s="12"/>
      <c r="C3445" s="33"/>
      <c r="D3445" s="117" t="s">
        <v>720</v>
      </c>
      <c r="E3445" s="117"/>
      <c r="F3445" s="117"/>
      <c r="G3445" s="54"/>
      <c r="H3445" s="54"/>
      <c r="I3445" s="54"/>
      <c r="J3445" s="54"/>
      <c r="K3445" s="54"/>
      <c r="L3445" s="55">
        <f t="shared" si="122"/>
        <v>0</v>
      </c>
      <c r="M3445" s="56" t="str">
        <f>IF(F3422&gt;ENTRY!$D$24,"",IF(L3445=0,"",IF(L3445&gt;79,"A",IF(L3445&gt;59,"B",IF(L3445&gt;44,"C",IF(L3445&gt;=33,"D",IF(L3445&lt;=32,"E","")))))))</f>
        <v/>
      </c>
      <c r="N3445" s="56"/>
      <c r="O3445" s="29"/>
      <c r="P3445" s="19"/>
      <c r="Q3445" s="14"/>
      <c r="R3445" s="11"/>
    </row>
    <row r="3446" s="1" customFormat="1" ht="21.95" customHeight="1" spans="1:19">
      <c r="A3446" s="7"/>
      <c r="B3446" s="12"/>
      <c r="C3446" s="33"/>
      <c r="D3446" s="207" t="s">
        <v>382</v>
      </c>
      <c r="E3446" s="207"/>
      <c r="F3446" s="207"/>
      <c r="G3446" s="54">
        <f t="shared" ref="G3446:L3446" si="123">IFERROR(SUM(G3439:G3445),"")</f>
        <v>0</v>
      </c>
      <c r="H3446" s="54">
        <f t="shared" si="123"/>
        <v>0</v>
      </c>
      <c r="I3446" s="54">
        <f t="shared" si="123"/>
        <v>0</v>
      </c>
      <c r="J3446" s="54">
        <f t="shared" si="123"/>
        <v>0</v>
      </c>
      <c r="K3446" s="54">
        <f t="shared" si="123"/>
        <v>0</v>
      </c>
      <c r="L3446" s="55">
        <f t="shared" si="123"/>
        <v>0</v>
      </c>
      <c r="M3446" s="61" t="str">
        <f>IF(F3422&gt;ENTRY!$D$24,"",IF(N3447="Ab","Ab",IF(N3447&gt;79.5,"A",IF(N3447&gt;59.5,"B",IF(N3447&gt;44.5,"C",IF(N3447&gt;=33,"D",IF(N3447&lt;33,"E","")))))))</f>
        <v/>
      </c>
      <c r="N3446" s="61"/>
      <c r="O3446" s="29"/>
      <c r="P3446" s="19"/>
      <c r="Q3446" s="14"/>
      <c r="R3446" s="11"/>
    </row>
    <row r="3447" s="1" customFormat="1" ht="21.95" customHeight="1" spans="1:19">
      <c r="A3447" s="7"/>
      <c r="B3447" s="12"/>
      <c r="C3447" s="33"/>
      <c r="D3447" s="63" t="s">
        <v>721</v>
      </c>
      <c r="E3447" s="63"/>
      <c r="F3447" s="63"/>
      <c r="G3447" s="63"/>
      <c r="H3447" s="63"/>
      <c r="I3447" s="63"/>
      <c r="J3447" s="63"/>
      <c r="K3447" s="63"/>
      <c r="L3447" s="63"/>
      <c r="M3447" s="209"/>
      <c r="N3447" s="64">
        <f>IF(L3446="Ab","Ab",L3446/6)</f>
        <v>0</v>
      </c>
      <c r="O3447" s="65"/>
      <c r="P3447" s="19"/>
      <c r="Q3447" s="14"/>
      <c r="R3447" s="11"/>
    </row>
    <row r="3448" s="1" customFormat="1" ht="21.95" customHeight="1" spans="1:19">
      <c r="A3448" s="7"/>
      <c r="B3448" s="12"/>
      <c r="C3448" s="33"/>
      <c r="D3448" s="29" t="s">
        <v>716</v>
      </c>
      <c r="E3448" s="18" t="str">
        <f>IFERROR(VLOOKUP(F3422,'1to4-2.1-RR'!$A$12:$BG$111,57,0),"")</f>
        <v/>
      </c>
      <c r="F3448" s="18"/>
      <c r="G3448" s="18"/>
      <c r="H3448" s="18"/>
      <c r="I3448" s="18"/>
      <c r="J3448" s="18"/>
      <c r="K3448" s="18"/>
      <c r="L3448" s="18"/>
      <c r="M3448" s="18"/>
      <c r="N3448" s="29"/>
      <c r="O3448" s="29"/>
      <c r="P3448" s="19"/>
      <c r="Q3448" s="14"/>
      <c r="R3448" s="11"/>
    </row>
    <row r="3449" s="1" customFormat="1" ht="9.95" customHeight="1" spans="1:19">
      <c r="A3449" s="7"/>
      <c r="B3449" s="12"/>
      <c r="C3449" s="39"/>
      <c r="D3449" s="40"/>
      <c r="E3449" s="40"/>
      <c r="F3449" s="40"/>
      <c r="G3449" s="40"/>
      <c r="H3449" s="40"/>
      <c r="I3449" s="40"/>
      <c r="J3449" s="40"/>
      <c r="K3449" s="40"/>
      <c r="L3449" s="40"/>
      <c r="M3449" s="40"/>
      <c r="N3449" s="40"/>
      <c r="O3449" s="40"/>
      <c r="P3449" s="41"/>
      <c r="Q3449" s="14"/>
      <c r="R3449" s="11"/>
    </row>
    <row r="3450" s="1" customFormat="1" ht="9.95" customHeight="1" spans="1:19">
      <c r="A3450" s="7"/>
      <c r="B3450" s="12"/>
      <c r="C3450" s="30"/>
      <c r="D3450" s="31"/>
      <c r="E3450" s="31"/>
      <c r="F3450" s="29"/>
      <c r="G3450" s="31"/>
      <c r="H3450" s="31"/>
      <c r="I3450" s="31"/>
      <c r="J3450" s="31"/>
      <c r="K3450" s="31"/>
      <c r="L3450" s="31"/>
      <c r="M3450" s="31"/>
      <c r="N3450" s="31"/>
      <c r="O3450" s="31"/>
      <c r="P3450" s="32"/>
      <c r="Q3450" s="14"/>
      <c r="R3450" s="11"/>
    </row>
    <row r="3451" s="1" customFormat="1" ht="9.95" customHeight="1" spans="1:19">
      <c r="A3451" s="7"/>
      <c r="B3451" s="12"/>
      <c r="C3451" s="33"/>
      <c r="D3451" s="29"/>
      <c r="E3451" s="29"/>
      <c r="F3451" s="29"/>
      <c r="G3451" s="29"/>
      <c r="H3451" s="29"/>
      <c r="I3451" s="29"/>
      <c r="J3451" s="29"/>
      <c r="K3451" s="29"/>
      <c r="L3451" s="29"/>
      <c r="M3451" s="29"/>
      <c r="N3451" s="29"/>
      <c r="O3451" s="29"/>
      <c r="P3451" s="19"/>
      <c r="Q3451" s="14"/>
      <c r="R3451" s="11"/>
    </row>
    <row r="3452" s="1" customFormat="1" ht="9.95" customHeight="1" spans="1:19">
      <c r="A3452" s="7"/>
      <c r="B3452" s="12"/>
      <c r="C3452" s="33"/>
      <c r="D3452" s="29"/>
      <c r="E3452" s="29"/>
      <c r="F3452" s="29"/>
      <c r="G3452" s="29"/>
      <c r="H3452" s="29"/>
      <c r="I3452" s="29"/>
      <c r="J3452" s="29"/>
      <c r="K3452" s="29"/>
      <c r="L3452" s="29"/>
      <c r="M3452" s="29"/>
      <c r="N3452" s="29"/>
      <c r="O3452" s="29"/>
      <c r="P3452" s="19"/>
      <c r="Q3452" s="14"/>
      <c r="R3452" s="11"/>
    </row>
    <row r="3453" s="1" customFormat="1" ht="21.95" customHeight="1" spans="1:19">
      <c r="A3453" s="7"/>
      <c r="B3453" s="12"/>
      <c r="C3453" s="210"/>
      <c r="D3453" s="211"/>
      <c r="E3453" s="211"/>
      <c r="F3453" s="211"/>
      <c r="G3453" s="211"/>
      <c r="H3453" s="211"/>
      <c r="I3453" s="211"/>
      <c r="J3453" s="211"/>
      <c r="K3453" s="211"/>
      <c r="L3453" s="211"/>
      <c r="M3453" s="211"/>
      <c r="N3453" s="211"/>
      <c r="O3453" s="211"/>
      <c r="P3453" s="212"/>
      <c r="Q3453" s="14"/>
      <c r="R3453" s="11"/>
      <c r="S3453" s="2"/>
    </row>
    <row r="3454" s="1" customFormat="1" ht="21.95" customHeight="1" spans="1:19">
      <c r="A3454" s="7"/>
      <c r="B3454" s="12"/>
      <c r="C3454" s="33"/>
      <c r="D3454" s="207" t="s">
        <v>722</v>
      </c>
      <c r="E3454" s="207"/>
      <c r="F3454" s="207"/>
      <c r="G3454" s="207"/>
      <c r="H3454" s="54">
        <f>IFERROR(VLOOKUP(F3422,PASHEET!$A$4:$CJ$103,88,0),"")</f>
        <v>0</v>
      </c>
      <c r="I3454" s="54"/>
      <c r="J3454" s="29"/>
      <c r="K3454" s="29"/>
      <c r="L3454" s="29"/>
      <c r="M3454" s="29"/>
      <c r="N3454" s="29"/>
      <c r="O3454" s="29"/>
      <c r="P3454" s="19"/>
      <c r="Q3454" s="14"/>
      <c r="R3454" s="11"/>
    </row>
    <row r="3455" s="1" customFormat="1" ht="21.95" customHeight="1" spans="1:19">
      <c r="A3455" s="7"/>
      <c r="B3455" s="12"/>
      <c r="C3455" s="213"/>
      <c r="D3455" s="207" t="s">
        <v>723</v>
      </c>
      <c r="E3455" s="207"/>
      <c r="F3455" s="207"/>
      <c r="G3455" s="207"/>
      <c r="H3455" s="54">
        <f>IFERROR(VLOOKUP(F3422,PASHEET!$A$4:$CJ$103,87,0),"")</f>
        <v>0</v>
      </c>
      <c r="I3455" s="54"/>
      <c r="J3455" s="214"/>
      <c r="K3455" s="214"/>
      <c r="L3455" s="207" t="s">
        <v>724</v>
      </c>
      <c r="M3455" s="207"/>
      <c r="N3455" s="117" t="str">
        <f>IF(F3422&gt;ENTRY!$D$24,"",IF(F3422&gt;0,L3446&amp;" / "&amp;600,""))</f>
        <v/>
      </c>
      <c r="O3455" s="117"/>
      <c r="P3455" s="215"/>
      <c r="Q3455" s="14"/>
      <c r="R3455" s="11"/>
    </row>
    <row r="3456" s="1" customFormat="1" ht="18" customHeight="1" spans="1:19">
      <c r="A3456" s="7"/>
      <c r="B3456" s="12"/>
      <c r="C3456" s="33"/>
      <c r="D3456" s="207" t="s">
        <v>725</v>
      </c>
      <c r="E3456" s="207"/>
      <c r="F3456" s="207"/>
      <c r="G3456" s="207"/>
      <c r="H3456" s="69" t="str">
        <f>IFERROR(IF(F3422&gt;0,H3455/H3454*100),"")</f>
        <v/>
      </c>
      <c r="I3456" s="69"/>
      <c r="J3456" s="29"/>
      <c r="K3456" s="29"/>
      <c r="L3456" s="207" t="s">
        <v>726</v>
      </c>
      <c r="M3456" s="207"/>
      <c r="N3456" s="216" t="str">
        <f>IF(F3422&gt;ENTRY!$D$24,"",IF(F3422&gt;0,L3446/600*100,""))</f>
        <v/>
      </c>
      <c r="O3456" s="216"/>
      <c r="P3456" s="19"/>
      <c r="Q3456" s="14"/>
      <c r="R3456" s="11"/>
    </row>
    <row r="3457" s="1" customFormat="1" ht="21.95" customHeight="1" spans="1:18">
      <c r="A3457" s="7"/>
      <c r="B3457" s="12"/>
      <c r="C3457" s="33"/>
      <c r="D3457" s="80"/>
      <c r="E3457" s="80"/>
      <c r="F3457" s="217"/>
      <c r="G3457" s="217"/>
      <c r="H3457" s="217"/>
      <c r="I3457" s="217"/>
      <c r="J3457" s="217"/>
      <c r="K3457" s="217"/>
      <c r="L3457" s="217"/>
      <c r="M3457" s="217"/>
      <c r="N3457" s="80"/>
      <c r="O3457" s="80"/>
      <c r="P3457" s="19"/>
      <c r="Q3457" s="14"/>
      <c r="R3457" s="11"/>
    </row>
    <row r="3458" s="1" customFormat="1" ht="21.95" customHeight="1" spans="1:18">
      <c r="A3458" s="7"/>
      <c r="B3458" s="12"/>
      <c r="C3458" s="33"/>
      <c r="D3458" s="80"/>
      <c r="E3458" s="218"/>
      <c r="F3458" s="218"/>
      <c r="G3458" s="218"/>
      <c r="H3458" s="80"/>
      <c r="I3458" s="218"/>
      <c r="J3458" s="218"/>
      <c r="K3458" s="218"/>
      <c r="L3458" s="218"/>
      <c r="M3458" s="80"/>
      <c r="N3458" s="219"/>
      <c r="O3458" s="219"/>
      <c r="P3458" s="19"/>
      <c r="Q3458" s="14"/>
      <c r="R3458" s="11"/>
    </row>
    <row r="3459" s="1" customFormat="1" ht="21.95" customHeight="1" spans="1:18">
      <c r="A3459" s="7"/>
      <c r="B3459" s="12"/>
      <c r="C3459" s="33"/>
      <c r="D3459" s="80"/>
      <c r="E3459" s="80"/>
      <c r="F3459" s="80"/>
      <c r="G3459" s="80"/>
      <c r="H3459" s="80"/>
      <c r="I3459" s="80"/>
      <c r="J3459" s="80"/>
      <c r="K3459" s="80"/>
      <c r="L3459" s="80"/>
      <c r="M3459" s="80"/>
      <c r="N3459" s="80"/>
      <c r="O3459" s="80"/>
      <c r="P3459" s="19"/>
      <c r="Q3459" s="14"/>
      <c r="R3459" s="11"/>
    </row>
    <row r="3460" s="1" customFormat="1" ht="21.95" customHeight="1" spans="1:18">
      <c r="A3460" s="7"/>
      <c r="B3460" s="12"/>
      <c r="C3460" s="33"/>
      <c r="D3460" s="218"/>
      <c r="E3460" s="218"/>
      <c r="F3460" s="218"/>
      <c r="G3460" s="218"/>
      <c r="H3460" s="218"/>
      <c r="I3460" s="218"/>
      <c r="J3460" s="218"/>
      <c r="K3460" s="218"/>
      <c r="L3460" s="218"/>
      <c r="M3460" s="80"/>
      <c r="N3460" s="217"/>
      <c r="O3460" s="217"/>
      <c r="P3460" s="85" t="s">
        <v>727</v>
      </c>
      <c r="Q3460" s="14"/>
      <c r="R3460" s="11"/>
    </row>
    <row r="3461" s="1" customFormat="1" ht="21.95" customHeight="1" spans="1:18">
      <c r="A3461" s="7"/>
      <c r="B3461" s="12"/>
      <c r="C3461" s="33"/>
      <c r="D3461" s="29"/>
      <c r="E3461" s="29"/>
      <c r="F3461" s="29"/>
      <c r="G3461" s="29"/>
      <c r="H3461" s="29"/>
      <c r="I3461" s="29"/>
      <c r="J3461" s="29"/>
      <c r="K3461" s="29"/>
      <c r="L3461" s="29"/>
      <c r="M3461" s="29"/>
      <c r="N3461" s="29"/>
      <c r="O3461" s="29"/>
      <c r="P3461" s="19"/>
      <c r="Q3461" s="14"/>
      <c r="R3461" s="11"/>
    </row>
    <row r="3462" s="1" customFormat="1" ht="21.95" customHeight="1" spans="1:18">
      <c r="A3462" s="7"/>
      <c r="B3462" s="12"/>
      <c r="C3462" s="33"/>
      <c r="D3462" s="29"/>
      <c r="E3462" s="29"/>
      <c r="F3462" s="29"/>
      <c r="G3462" s="29"/>
      <c r="H3462" s="29"/>
      <c r="I3462" s="29"/>
      <c r="J3462" s="29"/>
      <c r="K3462" s="29"/>
      <c r="L3462" s="29"/>
      <c r="M3462" s="29"/>
      <c r="N3462" s="29"/>
      <c r="O3462" s="29"/>
      <c r="P3462" s="19"/>
      <c r="Q3462" s="14"/>
      <c r="R3462" s="11"/>
    </row>
    <row r="3463" s="1" customFormat="1" ht="21.95" customHeight="1" spans="1:18">
      <c r="A3463" s="7"/>
      <c r="B3463" s="12"/>
      <c r="C3463" s="33"/>
      <c r="D3463" s="29"/>
      <c r="E3463" s="29"/>
      <c r="F3463" s="29"/>
      <c r="G3463" s="29"/>
      <c r="H3463" s="29"/>
      <c r="I3463" s="29"/>
      <c r="J3463" s="29"/>
      <c r="K3463" s="29"/>
      <c r="L3463" s="29"/>
      <c r="M3463" s="29"/>
      <c r="N3463" s="29"/>
      <c r="O3463" s="29"/>
      <c r="P3463" s="19"/>
      <c r="Q3463" s="14"/>
      <c r="R3463" s="11"/>
    </row>
    <row r="3464" s="1" customFormat="1" ht="21.95" customHeight="1" spans="1:18">
      <c r="A3464" s="7"/>
      <c r="B3464" s="12"/>
      <c r="C3464" s="33"/>
      <c r="D3464" s="29"/>
      <c r="E3464" s="29"/>
      <c r="F3464" s="29"/>
      <c r="G3464" s="29"/>
      <c r="H3464" s="29"/>
      <c r="I3464" s="29"/>
      <c r="J3464" s="29"/>
      <c r="K3464" s="29"/>
      <c r="L3464" s="29"/>
      <c r="M3464" s="29"/>
      <c r="N3464" s="29"/>
      <c r="O3464" s="29"/>
      <c r="P3464" s="19"/>
      <c r="Q3464" s="14"/>
      <c r="R3464" s="11"/>
    </row>
    <row r="3465" s="1" customFormat="1" ht="21.95" customHeight="1" spans="1:18">
      <c r="A3465" s="7"/>
      <c r="B3465" s="12"/>
      <c r="C3465" s="33"/>
      <c r="D3465" s="29"/>
      <c r="E3465" s="29"/>
      <c r="F3465" s="29"/>
      <c r="G3465" s="29"/>
      <c r="H3465" s="29"/>
      <c r="I3465" s="29"/>
      <c r="J3465" s="29"/>
      <c r="K3465" s="29"/>
      <c r="L3465" s="29"/>
      <c r="M3465" s="29"/>
      <c r="N3465" s="29"/>
      <c r="O3465" s="29"/>
      <c r="P3465" s="19"/>
      <c r="Q3465" s="14"/>
      <c r="R3465" s="11"/>
    </row>
    <row r="3466" s="1" customFormat="1" ht="21.95" customHeight="1" spans="1:18">
      <c r="A3466" s="7"/>
      <c r="B3466" s="12"/>
      <c r="C3466" s="33"/>
      <c r="D3466" s="80" t="s">
        <v>728</v>
      </c>
      <c r="E3466" s="220">
        <f>ENTRY!$D$27</f>
        <v>46102</v>
      </c>
      <c r="F3466" s="220"/>
      <c r="G3466" s="29"/>
      <c r="H3466" s="29"/>
      <c r="I3466" s="221" t="s">
        <v>729</v>
      </c>
      <c r="J3466" s="153"/>
      <c r="K3466" s="29"/>
      <c r="L3466" s="29"/>
      <c r="M3466" s="87" t="s">
        <v>730</v>
      </c>
      <c r="N3466" s="87"/>
      <c r="O3466" s="87"/>
      <c r="P3466" s="19"/>
      <c r="Q3466" s="14"/>
      <c r="R3466" s="11"/>
    </row>
    <row r="3467" s="1" customFormat="1" ht="21.95" customHeight="1" spans="1:18">
      <c r="A3467" s="7"/>
      <c r="B3467" s="12"/>
      <c r="C3467" s="33"/>
      <c r="D3467" s="80" t="s">
        <v>731</v>
      </c>
      <c r="E3467" s="88" t="str">
        <f>PROPER(ENTRY!$D$28)</f>
        <v>New Delhi</v>
      </c>
      <c r="F3467" s="88"/>
      <c r="G3467" s="29"/>
      <c r="H3467" s="29"/>
      <c r="I3467" s="153"/>
      <c r="J3467" s="153"/>
      <c r="K3467" s="29"/>
      <c r="L3467" s="29"/>
      <c r="M3467" s="79" t="s">
        <v>732</v>
      </c>
      <c r="N3467" s="79"/>
      <c r="O3467" s="79"/>
      <c r="P3467" s="19"/>
      <c r="Q3467" s="14"/>
      <c r="R3467" s="11"/>
    </row>
    <row r="3468" s="1" customFormat="1" ht="21.95" customHeight="1" spans="1:18">
      <c r="A3468" s="7"/>
      <c r="B3468" s="12"/>
      <c r="C3468" s="90"/>
      <c r="D3468" s="91"/>
      <c r="E3468" s="91"/>
      <c r="F3468" s="91"/>
      <c r="G3468" s="91"/>
      <c r="H3468" s="91"/>
      <c r="I3468" s="91"/>
      <c r="J3468" s="91"/>
      <c r="K3468" s="91"/>
      <c r="L3468" s="91"/>
      <c r="M3468" s="91"/>
      <c r="N3468" s="91"/>
      <c r="O3468" s="91"/>
      <c r="P3468" s="92"/>
      <c r="Q3468" s="14"/>
      <c r="R3468" s="11"/>
    </row>
    <row r="3469" s="1" customFormat="1" ht="5.1" customHeight="1" spans="1:18">
      <c r="A3469" s="7"/>
      <c r="B3469" s="90"/>
      <c r="C3469" s="91"/>
      <c r="D3469" s="91"/>
      <c r="E3469" s="91"/>
      <c r="F3469" s="91"/>
      <c r="G3469" s="91"/>
      <c r="H3469" s="91"/>
      <c r="I3469" s="91"/>
      <c r="J3469" s="91"/>
      <c r="K3469" s="91"/>
      <c r="L3469" s="91"/>
      <c r="M3469" s="91"/>
      <c r="N3469" s="91"/>
      <c r="O3469" s="91"/>
      <c r="P3469" s="91"/>
      <c r="Q3469" s="92"/>
      <c r="R3469" s="11"/>
    </row>
    <row r="3470" s="1" customFormat="1" ht="5.1" customHeight="1" spans="1:18">
      <c r="A3470" s="93"/>
      <c r="B3470" s="94"/>
      <c r="C3470" s="94"/>
      <c r="D3470" s="94"/>
      <c r="E3470" s="94"/>
      <c r="F3470" s="94"/>
      <c r="G3470" s="94"/>
      <c r="H3470" s="94"/>
      <c r="I3470" s="94"/>
      <c r="J3470" s="94"/>
      <c r="K3470" s="94"/>
      <c r="L3470" s="94"/>
      <c r="M3470" s="94"/>
      <c r="N3470" s="94"/>
      <c r="O3470" s="94"/>
      <c r="P3470" s="94"/>
      <c r="Q3470" s="94"/>
      <c r="R3470" s="95"/>
    </row>
    <row r="3471" s="1" customFormat="1" ht="21.95" customHeight="1"/>
    <row r="3472" ht="15.15"/>
    <row r="3473" s="1" customFormat="1" ht="5.1" customHeight="1" spans="1:18">
      <c r="A3473" s="4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  <c r="O3473" s="5"/>
      <c r="P3473" s="5"/>
      <c r="Q3473" s="5"/>
      <c r="R3473" s="6"/>
    </row>
    <row r="3474" s="1" customFormat="1" ht="15" customHeight="1" spans="1:18">
      <c r="A3474" s="7"/>
      <c r="B3474" s="8"/>
      <c r="C3474" s="9"/>
      <c r="D3474" s="9"/>
      <c r="E3474" s="9"/>
      <c r="F3474" s="9"/>
      <c r="G3474" s="9"/>
      <c r="H3474" s="9"/>
      <c r="I3474" s="9"/>
      <c r="J3474" s="9"/>
      <c r="K3474" s="9"/>
      <c r="L3474" s="9"/>
      <c r="M3474" s="9"/>
      <c r="N3474" s="9"/>
      <c r="O3474" s="9"/>
      <c r="P3474" s="9"/>
      <c r="Q3474" s="10"/>
      <c r="R3474" s="11"/>
    </row>
    <row r="3475" s="1" customFormat="1" ht="21.95" customHeight="1" spans="1:18">
      <c r="A3475" s="7"/>
      <c r="B3475" s="12"/>
      <c r="C3475" s="13" t="s">
        <v>7</v>
      </c>
      <c r="D3475" s="13"/>
      <c r="E3475" s="13"/>
      <c r="F3475" s="13"/>
      <c r="G3475" s="13"/>
      <c r="H3475" s="13"/>
      <c r="I3475" s="13"/>
      <c r="J3475" s="13"/>
      <c r="K3475" s="13"/>
      <c r="L3475" s="13"/>
      <c r="M3475" s="13"/>
      <c r="N3475" s="13"/>
      <c r="O3475" s="13"/>
      <c r="P3475" s="13"/>
      <c r="Q3475" s="14"/>
      <c r="R3475" s="11"/>
    </row>
    <row r="3476" s="1" customFormat="1" ht="21.95" customHeight="1" spans="1:18">
      <c r="A3476" s="7"/>
      <c r="B3476" s="1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14"/>
      <c r="R3476" s="11"/>
    </row>
    <row r="3477" s="1" customFormat="1" ht="21.95" customHeight="1" spans="1:18">
      <c r="A3477" s="7"/>
      <c r="B3477" s="12"/>
      <c r="C3477" s="15" t="str">
        <f>"SESSION-"&amp;ENTRY!$D$11</f>
        <v>SESSION-2026-27</v>
      </c>
      <c r="D3477" s="15"/>
      <c r="E3477" s="15"/>
      <c r="F3477" s="15"/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4"/>
      <c r="R3477" s="11"/>
    </row>
    <row r="3478" s="1" customFormat="1" ht="21.95" customHeight="1" spans="1:18">
      <c r="A3478" s="7"/>
      <c r="B3478" s="12"/>
      <c r="C3478" s="2"/>
      <c r="D3478" s="2"/>
      <c r="E3478" s="2"/>
      <c r="F3478" s="16">
        <f>F3422+1</f>
        <v>63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14"/>
      <c r="R3478" s="11"/>
    </row>
    <row r="3479" s="1" customFormat="1" ht="21.95" customHeight="1" spans="1:18">
      <c r="A3479" s="7"/>
      <c r="B3479" s="12"/>
      <c r="C3479" s="17" t="s">
        <v>392</v>
      </c>
      <c r="D3479" s="17"/>
      <c r="E3479" s="17"/>
      <c r="F3479" s="18" t="str">
        <f>IF(F3478&gt;0,ENTRY!$D$6,"")</f>
        <v>MCP NITHARI NO 1 BOYS</v>
      </c>
      <c r="G3479" s="18"/>
      <c r="H3479" s="18"/>
      <c r="I3479" s="18"/>
      <c r="J3479" s="18"/>
      <c r="K3479" s="18"/>
      <c r="L3479" s="18"/>
      <c r="M3479" s="18"/>
      <c r="N3479" s="18"/>
      <c r="O3479" s="18"/>
      <c r="P3479" s="18"/>
      <c r="Q3479" s="14"/>
      <c r="R3479" s="11"/>
    </row>
    <row r="3480" s="1" customFormat="1" ht="21.95" customHeight="1" spans="1:18">
      <c r="A3480" s="7"/>
      <c r="B3480" s="12"/>
      <c r="C3480" s="17" t="s">
        <v>393</v>
      </c>
      <c r="D3480" s="17"/>
      <c r="E3480" s="17"/>
      <c r="F3480" s="18">
        <f>IF(F3478&gt;0,ENTRY!$D$7,"")</f>
        <v>0</v>
      </c>
      <c r="G3480" s="18"/>
      <c r="H3480" s="20" t="s">
        <v>702</v>
      </c>
      <c r="I3480" s="20"/>
      <c r="J3480" s="21">
        <f>IF(F3478&gt;0,ENTRY!$D$10,"")</f>
        <v>40</v>
      </c>
      <c r="K3480" s="20" t="s">
        <v>703</v>
      </c>
      <c r="L3480" s="22" t="str">
        <f>IF(F3478&gt;0,ENTRY!$D$5,"")</f>
        <v>ROHINI ZONE</v>
      </c>
      <c r="M3480" s="22"/>
      <c r="N3480" s="22"/>
      <c r="O3480" s="22"/>
      <c r="P3480" s="22"/>
      <c r="Q3480" s="14"/>
      <c r="R3480" s="11"/>
    </row>
    <row r="3481" s="1" customFormat="1" ht="21.95" customHeight="1" spans="1:18">
      <c r="A3481" s="7"/>
      <c r="B3481" s="12"/>
      <c r="C3481" s="17" t="s">
        <v>706</v>
      </c>
      <c r="D3481" s="17"/>
      <c r="E3481" s="17"/>
      <c r="F3481" s="23">
        <f>IFERROR(VLOOKUP(F3478,STUDENT!$A$2:$BP$101,5,0),"")</f>
        <v>0</v>
      </c>
      <c r="G3481" s="23"/>
      <c r="H3481" s="23"/>
      <c r="I3481" s="23"/>
      <c r="J3481" s="23"/>
      <c r="K3481" s="23"/>
      <c r="L3481" s="20" t="s">
        <v>707</v>
      </c>
      <c r="M3481" s="20"/>
      <c r="N3481" s="24" t="str">
        <f>IF(F3478&gt;0,ENTRY!$D$20&amp;"-"&amp;ENTRY!$D$21,"")</f>
        <v>III-A</v>
      </c>
      <c r="O3481" s="24"/>
      <c r="P3481" s="24"/>
      <c r="Q3481" s="14"/>
      <c r="R3481" s="11"/>
    </row>
    <row r="3482" s="1" customFormat="1" ht="21.95" customHeight="1" spans="1:18">
      <c r="A3482" s="7"/>
      <c r="B3482" s="12"/>
      <c r="C3482" s="17" t="s">
        <v>708</v>
      </c>
      <c r="D3482" s="17"/>
      <c r="E3482" s="17"/>
      <c r="F3482" s="25">
        <f>IFERROR(VLOOKUP(F3478,STUDENT!$A$2:$BP$101,6,0),"")</f>
        <v>0</v>
      </c>
      <c r="G3482" s="25"/>
      <c r="H3482" s="26" t="s">
        <v>709</v>
      </c>
      <c r="I3482" s="27" t="str">
        <f>IFERROR(VLOOKUP(F3478,STUDENT!$A$2:$BP$101,59,0),"")</f>
        <v/>
      </c>
      <c r="J3482" s="27"/>
      <c r="K3482" s="20" t="s">
        <v>710</v>
      </c>
      <c r="L3482" s="20"/>
      <c r="M3482" s="28">
        <f>IFERROR(VLOOKUP(F3478,STUDENT!$A$2:$BP$101,20,0),"")</f>
        <v>0</v>
      </c>
      <c r="N3482" s="28"/>
      <c r="O3482" s="28"/>
      <c r="P3482" s="28"/>
      <c r="Q3482" s="14"/>
      <c r="R3482" s="11"/>
    </row>
    <row r="3483" s="1" customFormat="1" ht="21.95" customHeight="1" spans="1:18">
      <c r="A3483" s="7"/>
      <c r="B3483" s="12"/>
      <c r="C3483" s="17" t="s">
        <v>711</v>
      </c>
      <c r="D3483" s="17"/>
      <c r="E3483" s="17"/>
      <c r="F3483" s="23">
        <f>IFERROR(VLOOKUP(F3478,STUDENT!$A$2:$BP$101,9,0),"")</f>
        <v>0</v>
      </c>
      <c r="G3483" s="23"/>
      <c r="H3483" s="23"/>
      <c r="I3483" s="23"/>
      <c r="J3483" s="17" t="s">
        <v>620</v>
      </c>
      <c r="K3483" s="17"/>
      <c r="L3483" s="23">
        <f>IFERROR(VLOOKUP(F3478,STUDENT!$A$2:$BP$101,8,0),"")</f>
        <v>0</v>
      </c>
      <c r="M3483" s="23"/>
      <c r="N3483" s="23"/>
      <c r="O3483" s="23"/>
      <c r="P3483" s="23"/>
      <c r="Q3483" s="14"/>
      <c r="R3483" s="11"/>
    </row>
    <row r="3484" s="1" customFormat="1" ht="21.95" customHeight="1" spans="1:18">
      <c r="A3484" s="7"/>
      <c r="B3484" s="12"/>
      <c r="C3484" s="17" t="s">
        <v>712</v>
      </c>
      <c r="D3484" s="17"/>
      <c r="E3484" s="17"/>
      <c r="F3484" s="23">
        <f>IFERROR(VLOOKUP(F3478,STUDENT!$A$2:$BP$101,22,0),"")</f>
        <v>0</v>
      </c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14"/>
      <c r="R3484" s="11"/>
    </row>
    <row r="3485" s="1" customFormat="1" ht="9.95" customHeight="1" spans="1:18">
      <c r="A3485" s="7"/>
      <c r="B3485" s="12"/>
      <c r="C3485" s="29"/>
      <c r="D3485" s="29"/>
      <c r="E3485" s="29"/>
      <c r="F3485" s="29"/>
      <c r="G3485" s="29"/>
      <c r="H3485" s="29"/>
      <c r="I3485" s="29"/>
      <c r="J3485" s="29"/>
      <c r="K3485" s="29"/>
      <c r="L3485" s="29"/>
      <c r="M3485" s="29"/>
      <c r="N3485" s="29"/>
      <c r="O3485" s="29"/>
      <c r="P3485" s="29"/>
      <c r="Q3485" s="14"/>
      <c r="R3485" s="11"/>
    </row>
    <row r="3486" s="1" customFormat="1" ht="9.95" customHeight="1" spans="1:18">
      <c r="A3486" s="7"/>
      <c r="B3486" s="12"/>
      <c r="C3486" s="30"/>
      <c r="D3486" s="31"/>
      <c r="E3486" s="31"/>
      <c r="F3486" s="31"/>
      <c r="G3486" s="31"/>
      <c r="H3486" s="31"/>
      <c r="I3486" s="31"/>
      <c r="J3486" s="31"/>
      <c r="K3486" s="31"/>
      <c r="L3486" s="31"/>
      <c r="M3486" s="31"/>
      <c r="N3486" s="31"/>
      <c r="O3486" s="31"/>
      <c r="P3486" s="32"/>
      <c r="Q3486" s="14"/>
      <c r="R3486" s="11"/>
    </row>
    <row r="3487" s="1" customFormat="1" ht="21.95" customHeight="1" spans="1:18">
      <c r="A3487" s="7"/>
      <c r="B3487" s="12"/>
      <c r="C3487" s="33"/>
      <c r="D3487" s="34" t="s">
        <v>713</v>
      </c>
      <c r="E3487" s="20" t="s">
        <v>714</v>
      </c>
      <c r="F3487" s="35" t="str">
        <f>"Level - "&amp;IFERROR(VLOOKUP(F3478,FLN!$A$4:$K$103,9,0),"")</f>
        <v>Level - </v>
      </c>
      <c r="G3487" s="36"/>
      <c r="H3487" s="37" t="s">
        <v>715</v>
      </c>
      <c r="I3487" s="20"/>
      <c r="J3487" s="35" t="str">
        <f>"Level - "&amp;IFERROR(VLOOKUP(F3478,FLN!$A$4:$K$103,11,0),"")</f>
        <v>Level - </v>
      </c>
      <c r="K3487" s="36"/>
      <c r="L3487" s="37" t="s">
        <v>408</v>
      </c>
      <c r="M3487" s="20"/>
      <c r="N3487" s="35" t="str">
        <f>"Level - "&amp;IFERROR(VLOOKUP(F3478,FLN!$A$4:$K$103,10,0),"")</f>
        <v>Level - </v>
      </c>
      <c r="O3487" s="36"/>
      <c r="P3487" s="19"/>
      <c r="Q3487" s="14"/>
      <c r="R3487" s="11"/>
    </row>
    <row r="3488" s="1" customFormat="1" ht="21.95" customHeight="1" spans="1:18">
      <c r="A3488" s="7"/>
      <c r="B3488" s="12"/>
      <c r="C3488" s="33"/>
      <c r="D3488" s="38"/>
      <c r="E3488" s="20" t="s">
        <v>716</v>
      </c>
      <c r="F3488" s="18" t="str">
        <f>IF(L3502&gt;197,"PERFORMED WELL","")</f>
        <v/>
      </c>
      <c r="G3488" s="18"/>
      <c r="H3488" s="18"/>
      <c r="I3488" s="18"/>
      <c r="J3488" s="18"/>
      <c r="K3488" s="18"/>
      <c r="L3488" s="18"/>
      <c r="M3488" s="18"/>
      <c r="N3488" s="18"/>
      <c r="O3488" s="18"/>
      <c r="P3488" s="19"/>
      <c r="Q3488" s="14"/>
      <c r="R3488" s="11"/>
    </row>
    <row r="3489" s="1" customFormat="1" ht="9.95" customHeight="1" spans="1:18">
      <c r="A3489" s="7"/>
      <c r="B3489" s="12"/>
      <c r="C3489" s="39"/>
      <c r="D3489" s="40"/>
      <c r="E3489" s="40"/>
      <c r="F3489" s="40"/>
      <c r="G3489" s="40"/>
      <c r="H3489" s="40"/>
      <c r="I3489" s="40"/>
      <c r="J3489" s="40"/>
      <c r="K3489" s="40"/>
      <c r="L3489" s="40"/>
      <c r="M3489" s="40"/>
      <c r="N3489" s="40"/>
      <c r="O3489" s="40"/>
      <c r="P3489" s="41"/>
      <c r="Q3489" s="14"/>
      <c r="R3489" s="11"/>
    </row>
    <row r="3490" s="1" customFormat="1" ht="9.95" customHeight="1" spans="1:18">
      <c r="A3490" s="7"/>
      <c r="B3490" s="12"/>
      <c r="C3490" s="29"/>
      <c r="D3490" s="29"/>
      <c r="E3490" s="29"/>
      <c r="F3490" s="29"/>
      <c r="G3490" s="29"/>
      <c r="H3490" s="29"/>
      <c r="I3490" s="29"/>
      <c r="J3490" s="29"/>
      <c r="K3490" s="29"/>
      <c r="L3490" s="29"/>
      <c r="M3490" s="29"/>
      <c r="N3490" s="29"/>
      <c r="O3490" s="29"/>
      <c r="P3490" s="29"/>
      <c r="Q3490" s="14"/>
      <c r="R3490" s="11"/>
    </row>
    <row r="3491" s="1" customFormat="1" ht="9.95" customHeight="1" spans="1:18">
      <c r="A3491" s="7"/>
      <c r="B3491" s="12"/>
      <c r="C3491" s="30"/>
      <c r="D3491" s="31"/>
      <c r="E3491" s="31"/>
      <c r="F3491" s="31"/>
      <c r="G3491" s="31"/>
      <c r="H3491" s="31"/>
      <c r="I3491" s="31"/>
      <c r="J3491" s="31"/>
      <c r="K3491" s="31"/>
      <c r="L3491" s="31"/>
      <c r="M3491" s="31"/>
      <c r="N3491" s="31"/>
      <c r="O3491" s="31"/>
      <c r="P3491" s="32"/>
      <c r="Q3491" s="14"/>
      <c r="R3491" s="11"/>
    </row>
    <row r="3492" s="1" customFormat="1" ht="21.95" customHeight="1" spans="1:18">
      <c r="A3492" s="7"/>
      <c r="B3492" s="12"/>
      <c r="C3492" s="33"/>
      <c r="D3492" s="35"/>
      <c r="E3492" s="24"/>
      <c r="F3492" s="24"/>
      <c r="G3492" s="47" t="s">
        <v>717</v>
      </c>
      <c r="H3492" s="47"/>
      <c r="I3492" s="47"/>
      <c r="J3492" s="47"/>
      <c r="K3492" s="47"/>
      <c r="L3492" s="47"/>
      <c r="M3492" s="47"/>
      <c r="N3492" s="47"/>
      <c r="O3492" s="29"/>
      <c r="P3492" s="19"/>
      <c r="Q3492" s="14"/>
      <c r="R3492" s="11"/>
    </row>
    <row r="3493" s="1" customFormat="1" ht="21.95" customHeight="1" spans="1:18">
      <c r="A3493" s="7"/>
      <c r="B3493" s="12"/>
      <c r="C3493" s="33"/>
      <c r="D3493" s="47"/>
      <c r="E3493" s="47"/>
      <c r="F3493" s="47"/>
      <c r="G3493" s="47" t="s">
        <v>541</v>
      </c>
      <c r="H3493" s="47" t="s">
        <v>542</v>
      </c>
      <c r="I3493" s="47" t="s">
        <v>543</v>
      </c>
      <c r="J3493" s="47" t="s">
        <v>544</v>
      </c>
      <c r="K3493" s="47" t="s">
        <v>561</v>
      </c>
      <c r="L3493" s="47" t="s">
        <v>382</v>
      </c>
      <c r="M3493" s="49" t="s">
        <v>546</v>
      </c>
      <c r="N3493" s="49"/>
      <c r="O3493" s="29"/>
      <c r="P3493" s="19"/>
      <c r="Q3493" s="14"/>
      <c r="R3493" s="11"/>
    </row>
    <row r="3494" s="1" customFormat="1" ht="21.95" customHeight="1" spans="1:18">
      <c r="A3494" s="7"/>
      <c r="B3494" s="12"/>
      <c r="C3494" s="33"/>
      <c r="D3494" s="207" t="s">
        <v>652</v>
      </c>
      <c r="E3494" s="207"/>
      <c r="F3494" s="207"/>
      <c r="G3494" s="50">
        <v>10</v>
      </c>
      <c r="H3494" s="50">
        <v>10</v>
      </c>
      <c r="I3494" s="50">
        <v>10</v>
      </c>
      <c r="J3494" s="50">
        <v>10</v>
      </c>
      <c r="K3494" s="50">
        <v>60</v>
      </c>
      <c r="L3494" s="50">
        <v>100</v>
      </c>
      <c r="M3494" s="49"/>
      <c r="N3494" s="49"/>
      <c r="O3494" s="29"/>
      <c r="P3494" s="19"/>
      <c r="Q3494" s="14"/>
      <c r="R3494" s="11"/>
    </row>
    <row r="3495" s="1" customFormat="1" ht="21.95" customHeight="1" spans="1:18">
      <c r="A3495" s="7"/>
      <c r="B3495" s="12"/>
      <c r="C3495" s="33"/>
      <c r="D3495" s="117" t="s">
        <v>668</v>
      </c>
      <c r="E3495" s="117"/>
      <c r="F3495" s="117"/>
      <c r="G3495" s="54" t="str">
        <f>IFERROR(VLOOKUP(F3478,'1to4-2.1-RR'!$A$12:$BG$111,9,0),"")</f>
        <v/>
      </c>
      <c r="H3495" s="54" t="str">
        <f>IFERROR(VLOOKUP(F3478,'1to4-2.1-RR'!$A$12:$BG$111,10,0),"")</f>
        <v/>
      </c>
      <c r="I3495" s="54" t="str">
        <f>IFERROR(VLOOKUP(F3478,'1to4-2.1-RR'!$A$12:$BG$111,11,0),"")</f>
        <v/>
      </c>
      <c r="J3495" s="54" t="str">
        <f>IFERROR(VLOOKUP(F3478,'1to4-2.1-RR'!$A$12:$BG$111,12,0),"")</f>
        <v/>
      </c>
      <c r="K3495" s="54" t="str">
        <f>IFERROR(VLOOKUP(F3478,'1to4-2.1-RR'!$A$12:$BG$111,13,0),"")</f>
        <v/>
      </c>
      <c r="L3495" s="55">
        <f>SUM(G3495:K3495)</f>
        <v>0</v>
      </c>
      <c r="M3495" s="56" t="str">
        <f>IF(F3478&gt;ENTRY!$D$24,"",IF(L3495=0,"Ab",IF(L3495&gt;80,"A",IF(L3495&gt;60,"B",IF(L3495&gt;44,"C",IF(L3495&gt;=33,"D",IF(L3495&lt;=32,"E","")))))))</f>
        <v/>
      </c>
      <c r="N3495" s="56"/>
      <c r="O3495" s="29"/>
      <c r="P3495" s="19"/>
      <c r="Q3495" s="14"/>
      <c r="R3495" s="11"/>
    </row>
    <row r="3496" s="1" customFormat="1" ht="21.95" customHeight="1" spans="1:18">
      <c r="A3496" s="7"/>
      <c r="B3496" s="12"/>
      <c r="C3496" s="33"/>
      <c r="D3496" s="117" t="s">
        <v>513</v>
      </c>
      <c r="E3496" s="117"/>
      <c r="F3496" s="117"/>
      <c r="G3496" s="54" t="str">
        <f>IFERROR(VLOOKUP(F3478,'1to4-2.1-RR'!$A$12:$BG$111,16,0),"")</f>
        <v/>
      </c>
      <c r="H3496" s="54" t="str">
        <f>IFERROR(VLOOKUP(F3478,'1to4-2.1-RR'!$A$12:$BG$111,17,0),"")</f>
        <v/>
      </c>
      <c r="I3496" s="54" t="str">
        <f>IFERROR(VLOOKUP(F3478,'1to4-2.1-RR'!$A$12:$BG$111,18,0),"")</f>
        <v/>
      </c>
      <c r="J3496" s="54" t="str">
        <f>IFERROR(VLOOKUP(F3478,'1to4-2.1-RR'!$A$12:$BG$111,19,0),"")</f>
        <v/>
      </c>
      <c r="K3496" s="54" t="str">
        <f>IFERROR(VLOOKUP(F3478,'1to4-2.1-RR'!$A$12:$BG$111,20,0),"")</f>
        <v/>
      </c>
      <c r="L3496" s="55">
        <f t="shared" ref="L3496:L3501" si="124">SUM(G3496:K3496)</f>
        <v>0</v>
      </c>
      <c r="M3496" s="56" t="str">
        <f>IF(F3478&gt;ENTRY!$D$24,"",IF(L3496=0,"Ab",IF(L3496&gt;80,"A",IF(L3496&gt;60,"B",IF(L3496&gt;44,"C",IF(L3496&gt;=33,"D",IF(L3496&lt;=32,"E","")))))))</f>
        <v/>
      </c>
      <c r="N3496" s="56"/>
      <c r="O3496" s="29"/>
      <c r="P3496" s="19"/>
      <c r="Q3496" s="14"/>
      <c r="R3496" s="11"/>
    </row>
    <row r="3497" s="1" customFormat="1" ht="21.95" customHeight="1" spans="1:18">
      <c r="A3497" s="7"/>
      <c r="B3497" s="12"/>
      <c r="C3497" s="33"/>
      <c r="D3497" s="117" t="s">
        <v>718</v>
      </c>
      <c r="E3497" s="117"/>
      <c r="F3497" s="117"/>
      <c r="G3497" s="54" t="str">
        <f>IFERROR(VLOOKUP(F3478,'1to4-2.1-RR'!$A$12:$BG$111,23,0),"")</f>
        <v/>
      </c>
      <c r="H3497" s="54" t="str">
        <f>IFERROR(VLOOKUP(F3478,'1to4-2.1-RR'!$A$12:$BG$111,24,0),"")</f>
        <v/>
      </c>
      <c r="I3497" s="54" t="str">
        <f>IFERROR(VLOOKUP(F3478,'1to4-2.1-RR'!$A$12:$BG$111,25,0),"")</f>
        <v/>
      </c>
      <c r="J3497" s="54" t="str">
        <f>IFERROR(VLOOKUP(F3478,'1to4-2.1-RR'!$A$12:$BG$111,26,0),"")</f>
        <v/>
      </c>
      <c r="K3497" s="54" t="str">
        <f>IFERROR(VLOOKUP(F3478,'1to4-2.1-RR'!$A$12:$BG$111,27,0),"")</f>
        <v/>
      </c>
      <c r="L3497" s="55">
        <f t="shared" si="124"/>
        <v>0</v>
      </c>
      <c r="M3497" s="56" t="str">
        <f>IF(F3478&gt;ENTRY!$D$24,"",IF(L3497=0,"Ab",IF(L3497&gt;80,"A",IF(L3497&gt;60,"B",IF(L3497&gt;44,"C",IF(L3497&gt;=33,"D",IF(L3497&lt;=32,"E","")))))))</f>
        <v/>
      </c>
      <c r="N3497" s="56"/>
      <c r="O3497" s="29"/>
      <c r="P3497" s="19"/>
      <c r="Q3497" s="14"/>
      <c r="R3497" s="11"/>
    </row>
    <row r="3498" s="1" customFormat="1" ht="21.95" customHeight="1" spans="1:18">
      <c r="A3498" s="7"/>
      <c r="B3498" s="12"/>
      <c r="C3498" s="33"/>
      <c r="D3498" s="117" t="s">
        <v>719</v>
      </c>
      <c r="E3498" s="117"/>
      <c r="F3498" s="117"/>
      <c r="G3498" s="54" t="str">
        <f>IFERROR(VLOOKUP(F3478,'1to4-2.1-RR'!$A$12:$BG$111,30,0),"")</f>
        <v/>
      </c>
      <c r="H3498" s="54" t="str">
        <f>IFERROR(VLOOKUP(F3478,'1to4-2.1-RR'!$A$12:$BG$111,31,0),"")</f>
        <v/>
      </c>
      <c r="I3498" s="54" t="str">
        <f>IFERROR(VLOOKUP(F3478,'1to4-2.1-RR'!$A$12:$BG$111,32,0),"")</f>
        <v/>
      </c>
      <c r="J3498" s="54" t="str">
        <f>IFERROR(VLOOKUP(F3478,'1to4-2.1-RR'!$A$12:$BG$111,33,0),"")</f>
        <v/>
      </c>
      <c r="K3498" s="54" t="str">
        <f>IFERROR(VLOOKUP(F3478,'1to4-2.1-RR'!$A$12:$BG$111,34,0),"")</f>
        <v/>
      </c>
      <c r="L3498" s="55">
        <f t="shared" si="124"/>
        <v>0</v>
      </c>
      <c r="M3498" s="56" t="str">
        <f>IF(F3478&gt;ENTRY!$D$24,"",IF(L3498=0,"Ab",IF(L3498&gt;80,"A",IF(L3498&gt;60,"B",IF(L3498&gt;44,"C",IF(L3498&gt;=33,"D",IF(L3498&lt;=32,"E","")))))))</f>
        <v/>
      </c>
      <c r="N3498" s="56"/>
      <c r="O3498" s="29"/>
      <c r="P3498" s="19"/>
      <c r="Q3498" s="14"/>
      <c r="R3498" s="11"/>
    </row>
    <row r="3499" s="1" customFormat="1" ht="21.95" customHeight="1" spans="1:18">
      <c r="A3499" s="7"/>
      <c r="B3499" s="12"/>
      <c r="C3499" s="33"/>
      <c r="D3499" s="117" t="s">
        <v>548</v>
      </c>
      <c r="E3499" s="117"/>
      <c r="F3499" s="117"/>
      <c r="G3499" s="54" t="str">
        <f>IFERROR(VLOOKUP(F3478,'1to4-2.1-RR'!$A$12:$BG$111,37,0),"")</f>
        <v/>
      </c>
      <c r="H3499" s="54" t="str">
        <f>IFERROR(VLOOKUP(F3478,'1to4-2.1-RR'!$A$12:$BG$111,38,0),"")</f>
        <v/>
      </c>
      <c r="I3499" s="54" t="str">
        <f>IFERROR(VLOOKUP(F3478,'1to4-2.1-RR'!$A$12:$BG$111,39,0),"")</f>
        <v/>
      </c>
      <c r="J3499" s="54" t="str">
        <f>IFERROR(VLOOKUP(F3478,'1to4-2.1-RR'!$A$12:$BG$111,40,0),"")</f>
        <v/>
      </c>
      <c r="K3499" s="54" t="str">
        <f>IFERROR(VLOOKUP(F3478,'1to4-2.1-RR'!$A$12:$BG$111,41,0),"")</f>
        <v/>
      </c>
      <c r="L3499" s="55">
        <f t="shared" si="124"/>
        <v>0</v>
      </c>
      <c r="M3499" s="56" t="str">
        <f>IF(F3478&gt;ENTRY!$D$24,"",IF(L3499=0,"Ab",IF(L3499&gt;80,"A",IF(L3499&gt;60,"B",IF(L3499&gt;44,"C",IF(L3499&gt;=33,"D",IF(L3499&lt;=32,"E","")))))))</f>
        <v/>
      </c>
      <c r="N3499" s="56"/>
      <c r="O3499" s="29"/>
      <c r="P3499" s="19"/>
      <c r="Q3499" s="14"/>
      <c r="R3499" s="11"/>
    </row>
    <row r="3500" s="1" customFormat="1" ht="21.95" customHeight="1" spans="1:18">
      <c r="A3500" s="7"/>
      <c r="B3500" s="12"/>
      <c r="C3500" s="33"/>
      <c r="D3500" s="117" t="s">
        <v>549</v>
      </c>
      <c r="E3500" s="117"/>
      <c r="F3500" s="117"/>
      <c r="G3500" s="54" t="str">
        <f>IFERROR(VLOOKUP(F3478,'1to4-2.1-RR'!$A$12:$BG$111,44,0),"")</f>
        <v/>
      </c>
      <c r="H3500" s="54" t="str">
        <f>IFERROR(VLOOKUP(F3478,'1to4-2.1-RR'!$A$12:$BG$111,45,0),"")</f>
        <v/>
      </c>
      <c r="I3500" s="54" t="str">
        <f>IFERROR(VLOOKUP(F3478,'1to4-2.1-RR'!$A$12:$BG$111,46,0),"")</f>
        <v/>
      </c>
      <c r="J3500" s="54" t="str">
        <f>IFERROR(VLOOKUP(F3478,'1to4-2.1-RR'!$A$12:$BG$111,47,0),"")</f>
        <v/>
      </c>
      <c r="K3500" s="54" t="str">
        <f>IFERROR(VLOOKUP(F3478,'1to4-2.1-RR'!$A$12:$BG$111,48,0),"")</f>
        <v/>
      </c>
      <c r="L3500" s="55">
        <f t="shared" si="124"/>
        <v>0</v>
      </c>
      <c r="M3500" s="56" t="str">
        <f>IF(F3478&gt;ENTRY!$D$24,"",IF(L3500=0,"Ab",IF(L3500&gt;80,"A",IF(L3500&gt;60,"B",IF(L3500&gt;44,"C",IF(L3500&gt;=33,"D",IF(L3500&lt;=32,"E","")))))))</f>
        <v/>
      </c>
      <c r="N3500" s="56"/>
      <c r="O3500" s="29"/>
      <c r="P3500" s="19"/>
      <c r="Q3500" s="14"/>
      <c r="R3500" s="11"/>
    </row>
    <row r="3501" s="1" customFormat="1" ht="21.95" customHeight="1" spans="1:18">
      <c r="A3501" s="7"/>
      <c r="B3501" s="12"/>
      <c r="C3501" s="33"/>
      <c r="D3501" s="117" t="s">
        <v>720</v>
      </c>
      <c r="E3501" s="117"/>
      <c r="F3501" s="117"/>
      <c r="G3501" s="54"/>
      <c r="H3501" s="54"/>
      <c r="I3501" s="54"/>
      <c r="J3501" s="54"/>
      <c r="K3501" s="54"/>
      <c r="L3501" s="55">
        <f t="shared" si="124"/>
        <v>0</v>
      </c>
      <c r="M3501" s="56" t="str">
        <f>IF(F3478&gt;ENTRY!$D$24,"",IF(L3501=0,"",IF(L3501&gt;79,"A",IF(L3501&gt;59,"B",IF(L3501&gt;44,"C",IF(L3501&gt;=33,"D",IF(L3501&lt;=32,"E","")))))))</f>
        <v/>
      </c>
      <c r="N3501" s="56"/>
      <c r="O3501" s="29"/>
      <c r="P3501" s="19"/>
      <c r="Q3501" s="14"/>
      <c r="R3501" s="11"/>
    </row>
    <row r="3502" s="1" customFormat="1" ht="21.95" customHeight="1" spans="1:18">
      <c r="A3502" s="7"/>
      <c r="B3502" s="12"/>
      <c r="C3502" s="33"/>
      <c r="D3502" s="207" t="s">
        <v>382</v>
      </c>
      <c r="E3502" s="207"/>
      <c r="F3502" s="207"/>
      <c r="G3502" s="54">
        <f t="shared" ref="G3502:L3502" si="125">IFERROR(SUM(G3495:G3501),"")</f>
        <v>0</v>
      </c>
      <c r="H3502" s="54">
        <f t="shared" si="125"/>
        <v>0</v>
      </c>
      <c r="I3502" s="54">
        <f t="shared" si="125"/>
        <v>0</v>
      </c>
      <c r="J3502" s="54">
        <f t="shared" si="125"/>
        <v>0</v>
      </c>
      <c r="K3502" s="54">
        <f t="shared" si="125"/>
        <v>0</v>
      </c>
      <c r="L3502" s="55">
        <f t="shared" si="125"/>
        <v>0</v>
      </c>
      <c r="M3502" s="61" t="str">
        <f>IF(F3478&gt;ENTRY!$D$24,"",IF(N3503="Ab","Ab",IF(N3503&gt;79.5,"A",IF(N3503&gt;59.5,"B",IF(N3503&gt;44.5,"C",IF(N3503&gt;=33,"D",IF(N3503&lt;33,"E","")))))))</f>
        <v/>
      </c>
      <c r="N3502" s="61"/>
      <c r="O3502" s="29"/>
      <c r="P3502" s="19"/>
      <c r="Q3502" s="14"/>
      <c r="R3502" s="11"/>
    </row>
    <row r="3503" s="1" customFormat="1" ht="21.95" customHeight="1" spans="1:18">
      <c r="A3503" s="7"/>
      <c r="B3503" s="12"/>
      <c r="C3503" s="33"/>
      <c r="D3503" s="63" t="s">
        <v>721</v>
      </c>
      <c r="E3503" s="63"/>
      <c r="F3503" s="63"/>
      <c r="G3503" s="63"/>
      <c r="H3503" s="63"/>
      <c r="I3503" s="63"/>
      <c r="J3503" s="63"/>
      <c r="K3503" s="63"/>
      <c r="L3503" s="63"/>
      <c r="M3503" s="209"/>
      <c r="N3503" s="64">
        <f>IF(L3502="Ab","Ab",L3502/6)</f>
        <v>0</v>
      </c>
      <c r="O3503" s="65"/>
      <c r="P3503" s="19"/>
      <c r="Q3503" s="14"/>
      <c r="R3503" s="11"/>
    </row>
    <row r="3504" s="1" customFormat="1" ht="21.95" customHeight="1" spans="1:18">
      <c r="A3504" s="7"/>
      <c r="B3504" s="12"/>
      <c r="C3504" s="33"/>
      <c r="D3504" s="29" t="s">
        <v>716</v>
      </c>
      <c r="E3504" s="18" t="str">
        <f>IFERROR(VLOOKUP(F3478,'1to4-2.1-RR'!$A$12:$BG$111,57,0),"")</f>
        <v/>
      </c>
      <c r="F3504" s="18"/>
      <c r="G3504" s="18"/>
      <c r="H3504" s="18"/>
      <c r="I3504" s="18"/>
      <c r="J3504" s="18"/>
      <c r="K3504" s="18"/>
      <c r="L3504" s="18"/>
      <c r="M3504" s="18"/>
      <c r="N3504" s="29"/>
      <c r="O3504" s="29"/>
      <c r="P3504" s="19"/>
      <c r="Q3504" s="14"/>
      <c r="R3504" s="11"/>
    </row>
    <row r="3505" s="1" customFormat="1" ht="9.95" customHeight="1" spans="1:19">
      <c r="A3505" s="7"/>
      <c r="B3505" s="12"/>
      <c r="C3505" s="39"/>
      <c r="D3505" s="40"/>
      <c r="E3505" s="40"/>
      <c r="F3505" s="40"/>
      <c r="G3505" s="40"/>
      <c r="H3505" s="40"/>
      <c r="I3505" s="40"/>
      <c r="J3505" s="40"/>
      <c r="K3505" s="40"/>
      <c r="L3505" s="40"/>
      <c r="M3505" s="40"/>
      <c r="N3505" s="40"/>
      <c r="O3505" s="40"/>
      <c r="P3505" s="41"/>
      <c r="Q3505" s="14"/>
      <c r="R3505" s="11"/>
    </row>
    <row r="3506" s="1" customFormat="1" ht="9.95" customHeight="1" spans="1:19">
      <c r="A3506" s="7"/>
      <c r="B3506" s="12"/>
      <c r="C3506" s="30"/>
      <c r="D3506" s="31"/>
      <c r="E3506" s="31"/>
      <c r="F3506" s="29"/>
      <c r="G3506" s="31"/>
      <c r="H3506" s="31"/>
      <c r="I3506" s="31"/>
      <c r="J3506" s="31"/>
      <c r="K3506" s="31"/>
      <c r="L3506" s="31"/>
      <c r="M3506" s="31"/>
      <c r="N3506" s="31"/>
      <c r="O3506" s="31"/>
      <c r="P3506" s="32"/>
      <c r="Q3506" s="14"/>
      <c r="R3506" s="11"/>
    </row>
    <row r="3507" s="1" customFormat="1" ht="9.95" customHeight="1" spans="1:19">
      <c r="A3507" s="7"/>
      <c r="B3507" s="12"/>
      <c r="C3507" s="33"/>
      <c r="D3507" s="29"/>
      <c r="E3507" s="29"/>
      <c r="F3507" s="29"/>
      <c r="G3507" s="29"/>
      <c r="H3507" s="29"/>
      <c r="I3507" s="29"/>
      <c r="J3507" s="29"/>
      <c r="K3507" s="29"/>
      <c r="L3507" s="29"/>
      <c r="M3507" s="29"/>
      <c r="N3507" s="29"/>
      <c r="O3507" s="29"/>
      <c r="P3507" s="19"/>
      <c r="Q3507" s="14"/>
      <c r="R3507" s="11"/>
    </row>
    <row r="3508" s="1" customFormat="1" ht="9.95" customHeight="1" spans="1:19">
      <c r="A3508" s="7"/>
      <c r="B3508" s="12"/>
      <c r="C3508" s="33"/>
      <c r="D3508" s="29"/>
      <c r="E3508" s="29"/>
      <c r="F3508" s="29"/>
      <c r="G3508" s="29"/>
      <c r="H3508" s="29"/>
      <c r="I3508" s="29"/>
      <c r="J3508" s="29"/>
      <c r="K3508" s="29"/>
      <c r="L3508" s="29"/>
      <c r="M3508" s="29"/>
      <c r="N3508" s="29"/>
      <c r="O3508" s="29"/>
      <c r="P3508" s="19"/>
      <c r="Q3508" s="14"/>
      <c r="R3508" s="11"/>
    </row>
    <row r="3509" s="1" customFormat="1" ht="21.95" customHeight="1" spans="1:19">
      <c r="A3509" s="7"/>
      <c r="B3509" s="12"/>
      <c r="C3509" s="210"/>
      <c r="D3509" s="211"/>
      <c r="E3509" s="211"/>
      <c r="F3509" s="211"/>
      <c r="G3509" s="211"/>
      <c r="H3509" s="211"/>
      <c r="I3509" s="211"/>
      <c r="J3509" s="211"/>
      <c r="K3509" s="211"/>
      <c r="L3509" s="211"/>
      <c r="M3509" s="211"/>
      <c r="N3509" s="211"/>
      <c r="O3509" s="211"/>
      <c r="P3509" s="212"/>
      <c r="Q3509" s="14"/>
      <c r="R3509" s="11"/>
      <c r="S3509" s="2"/>
    </row>
    <row r="3510" s="1" customFormat="1" ht="21.95" customHeight="1" spans="1:19">
      <c r="A3510" s="7"/>
      <c r="B3510" s="12"/>
      <c r="C3510" s="33"/>
      <c r="D3510" s="207" t="s">
        <v>722</v>
      </c>
      <c r="E3510" s="207"/>
      <c r="F3510" s="207"/>
      <c r="G3510" s="207"/>
      <c r="H3510" s="54">
        <f>IFERROR(VLOOKUP(F3478,PASHEET!$A$4:$CJ$103,88,0),"")</f>
        <v>0</v>
      </c>
      <c r="I3510" s="54"/>
      <c r="J3510" s="29"/>
      <c r="K3510" s="29"/>
      <c r="L3510" s="29"/>
      <c r="M3510" s="29"/>
      <c r="N3510" s="29"/>
      <c r="O3510" s="29"/>
      <c r="P3510" s="19"/>
      <c r="Q3510" s="14"/>
      <c r="R3510" s="11"/>
    </row>
    <row r="3511" s="1" customFormat="1" ht="21.95" customHeight="1" spans="1:19">
      <c r="A3511" s="7"/>
      <c r="B3511" s="12"/>
      <c r="C3511" s="213"/>
      <c r="D3511" s="207" t="s">
        <v>723</v>
      </c>
      <c r="E3511" s="207"/>
      <c r="F3511" s="207"/>
      <c r="G3511" s="207"/>
      <c r="H3511" s="54">
        <f>IFERROR(VLOOKUP(F3478,PASHEET!$A$4:$CJ$103,87,0),"")</f>
        <v>0</v>
      </c>
      <c r="I3511" s="54"/>
      <c r="J3511" s="214"/>
      <c r="K3511" s="214"/>
      <c r="L3511" s="207" t="s">
        <v>724</v>
      </c>
      <c r="M3511" s="207"/>
      <c r="N3511" s="117" t="str">
        <f>IF(F3478&gt;ENTRY!$D$24,"",IF(F3478&gt;0,L3502&amp;" / "&amp;600,""))</f>
        <v/>
      </c>
      <c r="O3511" s="117"/>
      <c r="P3511" s="215"/>
      <c r="Q3511" s="14"/>
      <c r="R3511" s="11"/>
    </row>
    <row r="3512" s="1" customFormat="1" ht="18" customHeight="1" spans="1:19">
      <c r="A3512" s="7"/>
      <c r="B3512" s="12"/>
      <c r="C3512" s="33"/>
      <c r="D3512" s="207" t="s">
        <v>725</v>
      </c>
      <c r="E3512" s="207"/>
      <c r="F3512" s="207"/>
      <c r="G3512" s="207"/>
      <c r="H3512" s="69" t="str">
        <f>IFERROR(IF(F3478&gt;0,H3511/H3510*100),"")</f>
        <v/>
      </c>
      <c r="I3512" s="69"/>
      <c r="J3512" s="29"/>
      <c r="K3512" s="29"/>
      <c r="L3512" s="207" t="s">
        <v>726</v>
      </c>
      <c r="M3512" s="207"/>
      <c r="N3512" s="216" t="str">
        <f>IF(F3478&gt;ENTRY!$D$24,"",IF(F3478&gt;0,L3502/600*100,""))</f>
        <v/>
      </c>
      <c r="O3512" s="216"/>
      <c r="P3512" s="19"/>
      <c r="Q3512" s="14"/>
      <c r="R3512" s="11"/>
    </row>
    <row r="3513" s="1" customFormat="1" ht="21.95" customHeight="1" spans="1:19">
      <c r="A3513" s="7"/>
      <c r="B3513" s="12"/>
      <c r="C3513" s="33"/>
      <c r="D3513" s="80"/>
      <c r="E3513" s="80"/>
      <c r="F3513" s="217"/>
      <c r="G3513" s="217"/>
      <c r="H3513" s="217"/>
      <c r="I3513" s="217"/>
      <c r="J3513" s="217"/>
      <c r="K3513" s="217"/>
      <c r="L3513" s="217"/>
      <c r="M3513" s="217"/>
      <c r="N3513" s="80"/>
      <c r="O3513" s="80"/>
      <c r="P3513" s="19"/>
      <c r="Q3513" s="14"/>
      <c r="R3513" s="11"/>
    </row>
    <row r="3514" s="1" customFormat="1" ht="21.95" customHeight="1" spans="1:19">
      <c r="A3514" s="7"/>
      <c r="B3514" s="12"/>
      <c r="C3514" s="33"/>
      <c r="D3514" s="80"/>
      <c r="E3514" s="218"/>
      <c r="F3514" s="218"/>
      <c r="G3514" s="218"/>
      <c r="H3514" s="80"/>
      <c r="I3514" s="218"/>
      <c r="J3514" s="218"/>
      <c r="K3514" s="218"/>
      <c r="L3514" s="218"/>
      <c r="M3514" s="80"/>
      <c r="N3514" s="219"/>
      <c r="O3514" s="219"/>
      <c r="P3514" s="19"/>
      <c r="Q3514" s="14"/>
      <c r="R3514" s="11"/>
    </row>
    <row r="3515" s="1" customFormat="1" ht="21.95" customHeight="1" spans="1:19">
      <c r="A3515" s="7"/>
      <c r="B3515" s="12"/>
      <c r="C3515" s="33"/>
      <c r="D3515" s="80"/>
      <c r="E3515" s="80"/>
      <c r="F3515" s="80"/>
      <c r="G3515" s="80"/>
      <c r="H3515" s="80"/>
      <c r="I3515" s="80"/>
      <c r="J3515" s="80"/>
      <c r="K3515" s="80"/>
      <c r="L3515" s="80"/>
      <c r="M3515" s="80"/>
      <c r="N3515" s="80"/>
      <c r="O3515" s="80"/>
      <c r="P3515" s="19"/>
      <c r="Q3515" s="14"/>
      <c r="R3515" s="11"/>
    </row>
    <row r="3516" s="1" customFormat="1" ht="21.95" customHeight="1" spans="1:19">
      <c r="A3516" s="7"/>
      <c r="B3516" s="12"/>
      <c r="C3516" s="33"/>
      <c r="D3516" s="218"/>
      <c r="E3516" s="218"/>
      <c r="F3516" s="218"/>
      <c r="G3516" s="218"/>
      <c r="H3516" s="218"/>
      <c r="I3516" s="218"/>
      <c r="J3516" s="218"/>
      <c r="K3516" s="218"/>
      <c r="L3516" s="218"/>
      <c r="M3516" s="80"/>
      <c r="N3516" s="217"/>
      <c r="O3516" s="217"/>
      <c r="P3516" s="85" t="s">
        <v>727</v>
      </c>
      <c r="Q3516" s="14"/>
      <c r="R3516" s="11"/>
    </row>
    <row r="3517" s="1" customFormat="1" ht="21.95" customHeight="1" spans="1:19">
      <c r="A3517" s="7"/>
      <c r="B3517" s="12"/>
      <c r="C3517" s="33"/>
      <c r="D3517" s="29"/>
      <c r="E3517" s="29"/>
      <c r="F3517" s="29"/>
      <c r="G3517" s="29"/>
      <c r="H3517" s="29"/>
      <c r="I3517" s="29"/>
      <c r="J3517" s="29"/>
      <c r="K3517" s="29"/>
      <c r="L3517" s="29"/>
      <c r="M3517" s="29"/>
      <c r="N3517" s="29"/>
      <c r="O3517" s="29"/>
      <c r="P3517" s="19"/>
      <c r="Q3517" s="14"/>
      <c r="R3517" s="11"/>
    </row>
    <row r="3518" s="1" customFormat="1" ht="21.95" customHeight="1" spans="1:19">
      <c r="A3518" s="7"/>
      <c r="B3518" s="12"/>
      <c r="C3518" s="33"/>
      <c r="D3518" s="29"/>
      <c r="E3518" s="29"/>
      <c r="F3518" s="29"/>
      <c r="G3518" s="29"/>
      <c r="H3518" s="29"/>
      <c r="I3518" s="29"/>
      <c r="J3518" s="29"/>
      <c r="K3518" s="29"/>
      <c r="L3518" s="29"/>
      <c r="M3518" s="29"/>
      <c r="N3518" s="29"/>
      <c r="O3518" s="29"/>
      <c r="P3518" s="19"/>
      <c r="Q3518" s="14"/>
      <c r="R3518" s="11"/>
    </row>
    <row r="3519" s="1" customFormat="1" ht="21.95" customHeight="1" spans="1:19">
      <c r="A3519" s="7"/>
      <c r="B3519" s="12"/>
      <c r="C3519" s="33"/>
      <c r="D3519" s="29"/>
      <c r="E3519" s="29"/>
      <c r="F3519" s="29"/>
      <c r="G3519" s="29"/>
      <c r="H3519" s="29"/>
      <c r="I3519" s="29"/>
      <c r="J3519" s="29"/>
      <c r="K3519" s="29"/>
      <c r="L3519" s="29"/>
      <c r="M3519" s="29"/>
      <c r="N3519" s="29"/>
      <c r="O3519" s="29"/>
      <c r="P3519" s="19"/>
      <c r="Q3519" s="14"/>
      <c r="R3519" s="11"/>
    </row>
    <row r="3520" s="1" customFormat="1" ht="21.95" customHeight="1" spans="1:19">
      <c r="A3520" s="7"/>
      <c r="B3520" s="12"/>
      <c r="C3520" s="33"/>
      <c r="D3520" s="29"/>
      <c r="E3520" s="29"/>
      <c r="F3520" s="29"/>
      <c r="G3520" s="29"/>
      <c r="H3520" s="29"/>
      <c r="I3520" s="29"/>
      <c r="J3520" s="29"/>
      <c r="K3520" s="29"/>
      <c r="L3520" s="29"/>
      <c r="M3520" s="29"/>
      <c r="N3520" s="29"/>
      <c r="O3520" s="29"/>
      <c r="P3520" s="19"/>
      <c r="Q3520" s="14"/>
      <c r="R3520" s="11"/>
    </row>
    <row r="3521" s="1" customFormat="1" ht="21.95" customHeight="1" spans="1:18">
      <c r="A3521" s="7"/>
      <c r="B3521" s="12"/>
      <c r="C3521" s="33"/>
      <c r="D3521" s="29"/>
      <c r="E3521" s="29"/>
      <c r="F3521" s="29"/>
      <c r="G3521" s="29"/>
      <c r="H3521" s="29"/>
      <c r="I3521" s="29"/>
      <c r="J3521" s="29"/>
      <c r="K3521" s="29"/>
      <c r="L3521" s="29"/>
      <c r="M3521" s="29"/>
      <c r="N3521" s="29"/>
      <c r="O3521" s="29"/>
      <c r="P3521" s="19"/>
      <c r="Q3521" s="14"/>
      <c r="R3521" s="11"/>
    </row>
    <row r="3522" s="1" customFormat="1" ht="21.95" customHeight="1" spans="1:18">
      <c r="A3522" s="7"/>
      <c r="B3522" s="12"/>
      <c r="C3522" s="33"/>
      <c r="D3522" s="80" t="s">
        <v>728</v>
      </c>
      <c r="E3522" s="220">
        <f>ENTRY!$D$27</f>
        <v>46102</v>
      </c>
      <c r="F3522" s="220"/>
      <c r="G3522" s="29"/>
      <c r="H3522" s="29"/>
      <c r="I3522" s="221" t="s">
        <v>729</v>
      </c>
      <c r="J3522" s="153"/>
      <c r="K3522" s="29"/>
      <c r="L3522" s="29"/>
      <c r="M3522" s="87" t="s">
        <v>730</v>
      </c>
      <c r="N3522" s="87"/>
      <c r="O3522" s="87"/>
      <c r="P3522" s="19"/>
      <c r="Q3522" s="14"/>
      <c r="R3522" s="11"/>
    </row>
    <row r="3523" s="1" customFormat="1" ht="21.95" customHeight="1" spans="1:18">
      <c r="A3523" s="7"/>
      <c r="B3523" s="12"/>
      <c r="C3523" s="33"/>
      <c r="D3523" s="80" t="s">
        <v>731</v>
      </c>
      <c r="E3523" s="88" t="str">
        <f>PROPER(ENTRY!$D$28)</f>
        <v>New Delhi</v>
      </c>
      <c r="F3523" s="88"/>
      <c r="G3523" s="29"/>
      <c r="H3523" s="29"/>
      <c r="I3523" s="153"/>
      <c r="J3523" s="153"/>
      <c r="K3523" s="29"/>
      <c r="L3523" s="29"/>
      <c r="M3523" s="79" t="s">
        <v>732</v>
      </c>
      <c r="N3523" s="79"/>
      <c r="O3523" s="79"/>
      <c r="P3523" s="19"/>
      <c r="Q3523" s="14"/>
      <c r="R3523" s="11"/>
    </row>
    <row r="3524" s="1" customFormat="1" ht="21.95" customHeight="1" spans="1:18">
      <c r="A3524" s="7"/>
      <c r="B3524" s="12"/>
      <c r="C3524" s="90"/>
      <c r="D3524" s="91"/>
      <c r="E3524" s="91"/>
      <c r="F3524" s="91"/>
      <c r="G3524" s="91"/>
      <c r="H3524" s="91"/>
      <c r="I3524" s="91"/>
      <c r="J3524" s="91"/>
      <c r="K3524" s="91"/>
      <c r="L3524" s="91"/>
      <c r="M3524" s="91"/>
      <c r="N3524" s="91"/>
      <c r="O3524" s="91"/>
      <c r="P3524" s="92"/>
      <c r="Q3524" s="14"/>
      <c r="R3524" s="11"/>
    </row>
    <row r="3525" s="1" customFormat="1" ht="5.1" customHeight="1" spans="1:18">
      <c r="A3525" s="7"/>
      <c r="B3525" s="90"/>
      <c r="C3525" s="91"/>
      <c r="D3525" s="91"/>
      <c r="E3525" s="91"/>
      <c r="F3525" s="91"/>
      <c r="G3525" s="91"/>
      <c r="H3525" s="91"/>
      <c r="I3525" s="91"/>
      <c r="J3525" s="91"/>
      <c r="K3525" s="91"/>
      <c r="L3525" s="91"/>
      <c r="M3525" s="91"/>
      <c r="N3525" s="91"/>
      <c r="O3525" s="91"/>
      <c r="P3525" s="91"/>
      <c r="Q3525" s="92"/>
      <c r="R3525" s="11"/>
    </row>
    <row r="3526" s="1" customFormat="1" ht="5.1" customHeight="1" spans="1:18">
      <c r="A3526" s="93"/>
      <c r="B3526" s="94"/>
      <c r="C3526" s="94"/>
      <c r="D3526" s="94"/>
      <c r="E3526" s="94"/>
      <c r="F3526" s="94"/>
      <c r="G3526" s="94"/>
      <c r="H3526" s="94"/>
      <c r="I3526" s="94"/>
      <c r="J3526" s="94"/>
      <c r="K3526" s="94"/>
      <c r="L3526" s="94"/>
      <c r="M3526" s="94"/>
      <c r="N3526" s="94"/>
      <c r="O3526" s="94"/>
      <c r="P3526" s="94"/>
      <c r="Q3526" s="94"/>
      <c r="R3526" s="95"/>
    </row>
    <row r="3527" s="1" customFormat="1" ht="21.95" customHeight="1"/>
    <row r="3528" ht="15.15"/>
    <row r="3529" s="1" customFormat="1" ht="5.1" customHeight="1" spans="1:18">
      <c r="A3529" s="4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  <c r="O3529" s="5"/>
      <c r="P3529" s="5"/>
      <c r="Q3529" s="5"/>
      <c r="R3529" s="6"/>
    </row>
    <row r="3530" s="1" customFormat="1" ht="15" customHeight="1" spans="1:18">
      <c r="A3530" s="7"/>
      <c r="B3530" s="8"/>
      <c r="C3530" s="9"/>
      <c r="D3530" s="9"/>
      <c r="E3530" s="9"/>
      <c r="F3530" s="9"/>
      <c r="G3530" s="9"/>
      <c r="H3530" s="9"/>
      <c r="I3530" s="9"/>
      <c r="J3530" s="9"/>
      <c r="K3530" s="9"/>
      <c r="L3530" s="9"/>
      <c r="M3530" s="9"/>
      <c r="N3530" s="9"/>
      <c r="O3530" s="9"/>
      <c r="P3530" s="9"/>
      <c r="Q3530" s="10"/>
      <c r="R3530" s="11"/>
    </row>
    <row r="3531" s="1" customFormat="1" ht="21.95" customHeight="1" spans="1:18">
      <c r="A3531" s="7"/>
      <c r="B3531" s="12"/>
      <c r="C3531" s="13" t="s">
        <v>7</v>
      </c>
      <c r="D3531" s="13"/>
      <c r="E3531" s="13"/>
      <c r="F3531" s="13"/>
      <c r="G3531" s="13"/>
      <c r="H3531" s="13"/>
      <c r="I3531" s="13"/>
      <c r="J3531" s="13"/>
      <c r="K3531" s="13"/>
      <c r="L3531" s="13"/>
      <c r="M3531" s="13"/>
      <c r="N3531" s="13"/>
      <c r="O3531" s="13"/>
      <c r="P3531" s="13"/>
      <c r="Q3531" s="14"/>
      <c r="R3531" s="11"/>
    </row>
    <row r="3532" s="1" customFormat="1" ht="21.95" customHeight="1" spans="1:18">
      <c r="A3532" s="7"/>
      <c r="B3532" s="1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14"/>
      <c r="R3532" s="11"/>
    </row>
    <row r="3533" s="1" customFormat="1" ht="21.95" customHeight="1" spans="1:18">
      <c r="A3533" s="7"/>
      <c r="B3533" s="12"/>
      <c r="C3533" s="15" t="str">
        <f>"SESSION-"&amp;ENTRY!$D$11</f>
        <v>SESSION-2026-27</v>
      </c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4"/>
      <c r="R3533" s="11"/>
    </row>
    <row r="3534" s="1" customFormat="1" ht="21.95" customHeight="1" spans="1:18">
      <c r="A3534" s="7"/>
      <c r="B3534" s="12"/>
      <c r="C3534" s="2"/>
      <c r="D3534" s="2"/>
      <c r="E3534" s="2"/>
      <c r="F3534" s="16">
        <f>F3478+1</f>
        <v>64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14"/>
      <c r="R3534" s="11"/>
    </row>
    <row r="3535" s="1" customFormat="1" ht="21.95" customHeight="1" spans="1:18">
      <c r="A3535" s="7"/>
      <c r="B3535" s="12"/>
      <c r="C3535" s="17" t="s">
        <v>392</v>
      </c>
      <c r="D3535" s="17"/>
      <c r="E3535" s="17"/>
      <c r="F3535" s="18" t="str">
        <f>IF(F3534&gt;0,ENTRY!$D$6,"")</f>
        <v>MCP NITHARI NO 1 BOYS</v>
      </c>
      <c r="G3535" s="18"/>
      <c r="H3535" s="18"/>
      <c r="I3535" s="18"/>
      <c r="J3535" s="18"/>
      <c r="K3535" s="18"/>
      <c r="L3535" s="18"/>
      <c r="M3535" s="18"/>
      <c r="N3535" s="18"/>
      <c r="O3535" s="18"/>
      <c r="P3535" s="18"/>
      <c r="Q3535" s="14"/>
      <c r="R3535" s="11"/>
    </row>
    <row r="3536" s="1" customFormat="1" ht="21.95" customHeight="1" spans="1:18">
      <c r="A3536" s="7"/>
      <c r="B3536" s="12"/>
      <c r="C3536" s="17" t="s">
        <v>393</v>
      </c>
      <c r="D3536" s="17"/>
      <c r="E3536" s="17"/>
      <c r="F3536" s="18">
        <f>IF(F3534&gt;0,ENTRY!$D$7,"")</f>
        <v>0</v>
      </c>
      <c r="G3536" s="18"/>
      <c r="H3536" s="20" t="s">
        <v>702</v>
      </c>
      <c r="I3536" s="20"/>
      <c r="J3536" s="21">
        <f>IF(F3534&gt;0,ENTRY!$D$10,"")</f>
        <v>40</v>
      </c>
      <c r="K3536" s="20" t="s">
        <v>703</v>
      </c>
      <c r="L3536" s="22" t="str">
        <f>IF(F3534&gt;0,ENTRY!$D$5,"")</f>
        <v>ROHINI ZONE</v>
      </c>
      <c r="M3536" s="22"/>
      <c r="N3536" s="22"/>
      <c r="O3536" s="22"/>
      <c r="P3536" s="22"/>
      <c r="Q3536" s="14"/>
      <c r="R3536" s="11"/>
    </row>
    <row r="3537" s="1" customFormat="1" ht="21.95" customHeight="1" spans="1:18">
      <c r="A3537" s="7"/>
      <c r="B3537" s="12"/>
      <c r="C3537" s="17" t="s">
        <v>706</v>
      </c>
      <c r="D3537" s="17"/>
      <c r="E3537" s="17"/>
      <c r="F3537" s="23">
        <f>IFERROR(VLOOKUP(F3534,STUDENT!$A$2:$BP$101,5,0),"")</f>
        <v>0</v>
      </c>
      <c r="G3537" s="23"/>
      <c r="H3537" s="23"/>
      <c r="I3537" s="23"/>
      <c r="J3537" s="23"/>
      <c r="K3537" s="23"/>
      <c r="L3537" s="20" t="s">
        <v>707</v>
      </c>
      <c r="M3537" s="20"/>
      <c r="N3537" s="24" t="str">
        <f>IF(F3534&gt;0,ENTRY!$D$20&amp;"-"&amp;ENTRY!$D$21,"")</f>
        <v>III-A</v>
      </c>
      <c r="O3537" s="24"/>
      <c r="P3537" s="24"/>
      <c r="Q3537" s="14"/>
      <c r="R3537" s="11"/>
    </row>
    <row r="3538" s="1" customFormat="1" ht="21.95" customHeight="1" spans="1:18">
      <c r="A3538" s="7"/>
      <c r="B3538" s="12"/>
      <c r="C3538" s="17" t="s">
        <v>708</v>
      </c>
      <c r="D3538" s="17"/>
      <c r="E3538" s="17"/>
      <c r="F3538" s="25">
        <f>IFERROR(VLOOKUP(F3534,STUDENT!$A$2:$BP$101,6,0),"")</f>
        <v>0</v>
      </c>
      <c r="G3538" s="25"/>
      <c r="H3538" s="26" t="s">
        <v>709</v>
      </c>
      <c r="I3538" s="27" t="str">
        <f>IFERROR(VLOOKUP(F3534,STUDENT!$A$2:$BP$101,59,0),"")</f>
        <v/>
      </c>
      <c r="J3538" s="27"/>
      <c r="K3538" s="20" t="s">
        <v>710</v>
      </c>
      <c r="L3538" s="20"/>
      <c r="M3538" s="28">
        <f>IFERROR(VLOOKUP(F3534,STUDENT!$A$2:$BP$101,20,0),"")</f>
        <v>0</v>
      </c>
      <c r="N3538" s="28"/>
      <c r="O3538" s="28"/>
      <c r="P3538" s="28"/>
      <c r="Q3538" s="14"/>
      <c r="R3538" s="11"/>
    </row>
    <row r="3539" s="1" customFormat="1" ht="21.95" customHeight="1" spans="1:18">
      <c r="A3539" s="7"/>
      <c r="B3539" s="12"/>
      <c r="C3539" s="17" t="s">
        <v>711</v>
      </c>
      <c r="D3539" s="17"/>
      <c r="E3539" s="17"/>
      <c r="F3539" s="23">
        <f>IFERROR(VLOOKUP(F3534,STUDENT!$A$2:$BP$101,9,0),"")</f>
        <v>0</v>
      </c>
      <c r="G3539" s="23"/>
      <c r="H3539" s="23"/>
      <c r="I3539" s="23"/>
      <c r="J3539" s="17" t="s">
        <v>620</v>
      </c>
      <c r="K3539" s="17"/>
      <c r="L3539" s="23">
        <f>IFERROR(VLOOKUP(F3534,STUDENT!$A$2:$BP$101,8,0),"")</f>
        <v>0</v>
      </c>
      <c r="M3539" s="23"/>
      <c r="N3539" s="23"/>
      <c r="O3539" s="23"/>
      <c r="P3539" s="23"/>
      <c r="Q3539" s="14"/>
      <c r="R3539" s="11"/>
    </row>
    <row r="3540" s="1" customFormat="1" ht="21.95" customHeight="1" spans="1:18">
      <c r="A3540" s="7"/>
      <c r="B3540" s="12"/>
      <c r="C3540" s="17" t="s">
        <v>712</v>
      </c>
      <c r="D3540" s="17"/>
      <c r="E3540" s="17"/>
      <c r="F3540" s="23">
        <f>IFERROR(VLOOKUP(F3534,STUDENT!$A$2:$BP$101,22,0),"")</f>
        <v>0</v>
      </c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14"/>
      <c r="R3540" s="11"/>
    </row>
    <row r="3541" s="1" customFormat="1" ht="9.95" customHeight="1" spans="1:18">
      <c r="A3541" s="7"/>
      <c r="B3541" s="12"/>
      <c r="C3541" s="29"/>
      <c r="D3541" s="29"/>
      <c r="E3541" s="29"/>
      <c r="F3541" s="29"/>
      <c r="G3541" s="29"/>
      <c r="H3541" s="29"/>
      <c r="I3541" s="29"/>
      <c r="J3541" s="29"/>
      <c r="K3541" s="29"/>
      <c r="L3541" s="29"/>
      <c r="M3541" s="29"/>
      <c r="N3541" s="29"/>
      <c r="O3541" s="29"/>
      <c r="P3541" s="29"/>
      <c r="Q3541" s="14"/>
      <c r="R3541" s="11"/>
    </row>
    <row r="3542" s="1" customFormat="1" ht="9.95" customHeight="1" spans="1:18">
      <c r="A3542" s="7"/>
      <c r="B3542" s="12"/>
      <c r="C3542" s="30"/>
      <c r="D3542" s="31"/>
      <c r="E3542" s="31"/>
      <c r="F3542" s="31"/>
      <c r="G3542" s="31"/>
      <c r="H3542" s="31"/>
      <c r="I3542" s="31"/>
      <c r="J3542" s="31"/>
      <c r="K3542" s="31"/>
      <c r="L3542" s="31"/>
      <c r="M3542" s="31"/>
      <c r="N3542" s="31"/>
      <c r="O3542" s="31"/>
      <c r="P3542" s="32"/>
      <c r="Q3542" s="14"/>
      <c r="R3542" s="11"/>
    </row>
    <row r="3543" s="1" customFormat="1" ht="21.95" customHeight="1" spans="1:18">
      <c r="A3543" s="7"/>
      <c r="B3543" s="12"/>
      <c r="C3543" s="33"/>
      <c r="D3543" s="34" t="s">
        <v>713</v>
      </c>
      <c r="E3543" s="20" t="s">
        <v>714</v>
      </c>
      <c r="F3543" s="35" t="str">
        <f>"Level - "&amp;IFERROR(VLOOKUP(F3534,FLN!$A$4:$K$103,9,0),"")</f>
        <v>Level - </v>
      </c>
      <c r="G3543" s="36"/>
      <c r="H3543" s="37" t="s">
        <v>715</v>
      </c>
      <c r="I3543" s="20"/>
      <c r="J3543" s="35" t="str">
        <f>"Level - "&amp;IFERROR(VLOOKUP(F3534,FLN!$A$4:$K$103,11,0),"")</f>
        <v>Level - </v>
      </c>
      <c r="K3543" s="36"/>
      <c r="L3543" s="37" t="s">
        <v>408</v>
      </c>
      <c r="M3543" s="20"/>
      <c r="N3543" s="35" t="str">
        <f>"Level - "&amp;IFERROR(VLOOKUP(F3534,FLN!$A$4:$K$103,10,0),"")</f>
        <v>Level - </v>
      </c>
      <c r="O3543" s="36"/>
      <c r="P3543" s="19"/>
      <c r="Q3543" s="14"/>
      <c r="R3543" s="11"/>
    </row>
    <row r="3544" s="1" customFormat="1" ht="21.95" customHeight="1" spans="1:18">
      <c r="A3544" s="7"/>
      <c r="B3544" s="12"/>
      <c r="C3544" s="33"/>
      <c r="D3544" s="38"/>
      <c r="E3544" s="20" t="s">
        <v>716</v>
      </c>
      <c r="F3544" s="18" t="str">
        <f>IF(L3558&gt;197,"PERFORMED WELL","")</f>
        <v/>
      </c>
      <c r="G3544" s="18"/>
      <c r="H3544" s="18"/>
      <c r="I3544" s="18"/>
      <c r="J3544" s="18"/>
      <c r="K3544" s="18"/>
      <c r="L3544" s="18"/>
      <c r="M3544" s="18"/>
      <c r="N3544" s="18"/>
      <c r="O3544" s="18"/>
      <c r="P3544" s="19"/>
      <c r="Q3544" s="14"/>
      <c r="R3544" s="11"/>
    </row>
    <row r="3545" s="1" customFormat="1" ht="9.95" customHeight="1" spans="1:18">
      <c r="A3545" s="7"/>
      <c r="B3545" s="12"/>
      <c r="C3545" s="39"/>
      <c r="D3545" s="40"/>
      <c r="E3545" s="40"/>
      <c r="F3545" s="40"/>
      <c r="G3545" s="40"/>
      <c r="H3545" s="40"/>
      <c r="I3545" s="40"/>
      <c r="J3545" s="40"/>
      <c r="K3545" s="40"/>
      <c r="L3545" s="40"/>
      <c r="M3545" s="40"/>
      <c r="N3545" s="40"/>
      <c r="O3545" s="40"/>
      <c r="P3545" s="41"/>
      <c r="Q3545" s="14"/>
      <c r="R3545" s="11"/>
    </row>
    <row r="3546" s="1" customFormat="1" ht="9.95" customHeight="1" spans="1:18">
      <c r="A3546" s="7"/>
      <c r="B3546" s="12"/>
      <c r="C3546" s="29"/>
      <c r="D3546" s="29"/>
      <c r="E3546" s="29"/>
      <c r="F3546" s="29"/>
      <c r="G3546" s="29"/>
      <c r="H3546" s="29"/>
      <c r="I3546" s="29"/>
      <c r="J3546" s="29"/>
      <c r="K3546" s="29"/>
      <c r="L3546" s="29"/>
      <c r="M3546" s="29"/>
      <c r="N3546" s="29"/>
      <c r="O3546" s="29"/>
      <c r="P3546" s="29"/>
      <c r="Q3546" s="14"/>
      <c r="R3546" s="11"/>
    </row>
    <row r="3547" s="1" customFormat="1" ht="9.95" customHeight="1" spans="1:18">
      <c r="A3547" s="7"/>
      <c r="B3547" s="12"/>
      <c r="C3547" s="30"/>
      <c r="D3547" s="31"/>
      <c r="E3547" s="31"/>
      <c r="F3547" s="31"/>
      <c r="G3547" s="31"/>
      <c r="H3547" s="31"/>
      <c r="I3547" s="31"/>
      <c r="J3547" s="31"/>
      <c r="K3547" s="31"/>
      <c r="L3547" s="31"/>
      <c r="M3547" s="31"/>
      <c r="N3547" s="31"/>
      <c r="O3547" s="31"/>
      <c r="P3547" s="32"/>
      <c r="Q3547" s="14"/>
      <c r="R3547" s="11"/>
    </row>
    <row r="3548" s="1" customFormat="1" ht="21.95" customHeight="1" spans="1:18">
      <c r="A3548" s="7"/>
      <c r="B3548" s="12"/>
      <c r="C3548" s="33"/>
      <c r="D3548" s="35"/>
      <c r="E3548" s="24"/>
      <c r="F3548" s="24"/>
      <c r="G3548" s="47" t="s">
        <v>717</v>
      </c>
      <c r="H3548" s="47"/>
      <c r="I3548" s="47"/>
      <c r="J3548" s="47"/>
      <c r="K3548" s="47"/>
      <c r="L3548" s="47"/>
      <c r="M3548" s="47"/>
      <c r="N3548" s="47"/>
      <c r="O3548" s="29"/>
      <c r="P3548" s="19"/>
      <c r="Q3548" s="14"/>
      <c r="R3548" s="11"/>
    </row>
    <row r="3549" s="1" customFormat="1" ht="21.95" customHeight="1" spans="1:18">
      <c r="A3549" s="7"/>
      <c r="B3549" s="12"/>
      <c r="C3549" s="33"/>
      <c r="D3549" s="47"/>
      <c r="E3549" s="47"/>
      <c r="F3549" s="47"/>
      <c r="G3549" s="47" t="s">
        <v>541</v>
      </c>
      <c r="H3549" s="47" t="s">
        <v>542</v>
      </c>
      <c r="I3549" s="47" t="s">
        <v>543</v>
      </c>
      <c r="J3549" s="47" t="s">
        <v>544</v>
      </c>
      <c r="K3549" s="47" t="s">
        <v>561</v>
      </c>
      <c r="L3549" s="47" t="s">
        <v>382</v>
      </c>
      <c r="M3549" s="49" t="s">
        <v>546</v>
      </c>
      <c r="N3549" s="49"/>
      <c r="O3549" s="29"/>
      <c r="P3549" s="19"/>
      <c r="Q3549" s="14"/>
      <c r="R3549" s="11"/>
    </row>
    <row r="3550" s="1" customFormat="1" ht="21.95" customHeight="1" spans="1:18">
      <c r="A3550" s="7"/>
      <c r="B3550" s="12"/>
      <c r="C3550" s="33"/>
      <c r="D3550" s="207" t="s">
        <v>652</v>
      </c>
      <c r="E3550" s="207"/>
      <c r="F3550" s="207"/>
      <c r="G3550" s="50">
        <v>10</v>
      </c>
      <c r="H3550" s="50">
        <v>10</v>
      </c>
      <c r="I3550" s="50">
        <v>10</v>
      </c>
      <c r="J3550" s="50">
        <v>10</v>
      </c>
      <c r="K3550" s="50">
        <v>60</v>
      </c>
      <c r="L3550" s="50">
        <v>100</v>
      </c>
      <c r="M3550" s="49"/>
      <c r="N3550" s="49"/>
      <c r="O3550" s="29"/>
      <c r="P3550" s="19"/>
      <c r="Q3550" s="14"/>
      <c r="R3550" s="11"/>
    </row>
    <row r="3551" s="1" customFormat="1" ht="21.95" customHeight="1" spans="1:18">
      <c r="A3551" s="7"/>
      <c r="B3551" s="12"/>
      <c r="C3551" s="33"/>
      <c r="D3551" s="117" t="s">
        <v>668</v>
      </c>
      <c r="E3551" s="117"/>
      <c r="F3551" s="117"/>
      <c r="G3551" s="54" t="str">
        <f>IFERROR(VLOOKUP(F3534,'1to4-2.1-RR'!$A$12:$BG$111,9,0),"")</f>
        <v/>
      </c>
      <c r="H3551" s="54" t="str">
        <f>IFERROR(VLOOKUP(F3534,'1to4-2.1-RR'!$A$12:$BG$111,10,0),"")</f>
        <v/>
      </c>
      <c r="I3551" s="54" t="str">
        <f>IFERROR(VLOOKUP(F3534,'1to4-2.1-RR'!$A$12:$BG$111,11,0),"")</f>
        <v/>
      </c>
      <c r="J3551" s="54" t="str">
        <f>IFERROR(VLOOKUP(F3534,'1to4-2.1-RR'!$A$12:$BG$111,12,0),"")</f>
        <v/>
      </c>
      <c r="K3551" s="54" t="str">
        <f>IFERROR(VLOOKUP(F3534,'1to4-2.1-RR'!$A$12:$BG$111,13,0),"")</f>
        <v/>
      </c>
      <c r="L3551" s="55">
        <f>SUM(G3551:K3551)</f>
        <v>0</v>
      </c>
      <c r="M3551" s="56" t="str">
        <f>IF(F3534&gt;ENTRY!$D$24,"",IF(L3551=0,"Ab",IF(L3551&gt;80,"A",IF(L3551&gt;60,"B",IF(L3551&gt;44,"C",IF(L3551&gt;=33,"D",IF(L3551&lt;=32,"E","")))))))</f>
        <v/>
      </c>
      <c r="N3551" s="56"/>
      <c r="O3551" s="29"/>
      <c r="P3551" s="19"/>
      <c r="Q3551" s="14"/>
      <c r="R3551" s="11"/>
    </row>
    <row r="3552" s="1" customFormat="1" ht="21.95" customHeight="1" spans="1:18">
      <c r="A3552" s="7"/>
      <c r="B3552" s="12"/>
      <c r="C3552" s="33"/>
      <c r="D3552" s="117" t="s">
        <v>513</v>
      </c>
      <c r="E3552" s="117"/>
      <c r="F3552" s="117"/>
      <c r="G3552" s="54" t="str">
        <f>IFERROR(VLOOKUP(F3534,'1to4-2.1-RR'!$A$12:$BG$111,16,0),"")</f>
        <v/>
      </c>
      <c r="H3552" s="54" t="str">
        <f>IFERROR(VLOOKUP(F3534,'1to4-2.1-RR'!$A$12:$BG$111,17,0),"")</f>
        <v/>
      </c>
      <c r="I3552" s="54" t="str">
        <f>IFERROR(VLOOKUP(F3534,'1to4-2.1-RR'!$A$12:$BG$111,18,0),"")</f>
        <v/>
      </c>
      <c r="J3552" s="54" t="str">
        <f>IFERROR(VLOOKUP(F3534,'1to4-2.1-RR'!$A$12:$BG$111,19,0),"")</f>
        <v/>
      </c>
      <c r="K3552" s="54" t="str">
        <f>IFERROR(VLOOKUP(F3534,'1to4-2.1-RR'!$A$12:$BG$111,20,0),"")</f>
        <v/>
      </c>
      <c r="L3552" s="55">
        <f t="shared" ref="L3552:L3557" si="126">SUM(G3552:K3552)</f>
        <v>0</v>
      </c>
      <c r="M3552" s="56" t="str">
        <f>IF(F3534&gt;ENTRY!$D$24,"",IF(L3552=0,"Ab",IF(L3552&gt;80,"A",IF(L3552&gt;60,"B",IF(L3552&gt;44,"C",IF(L3552&gt;=33,"D",IF(L3552&lt;=32,"E","")))))))</f>
        <v/>
      </c>
      <c r="N3552" s="56"/>
      <c r="O3552" s="29"/>
      <c r="P3552" s="19"/>
      <c r="Q3552" s="14"/>
      <c r="R3552" s="11"/>
    </row>
    <row r="3553" s="1" customFormat="1" ht="21.95" customHeight="1" spans="1:19">
      <c r="A3553" s="7"/>
      <c r="B3553" s="12"/>
      <c r="C3553" s="33"/>
      <c r="D3553" s="117" t="s">
        <v>718</v>
      </c>
      <c r="E3553" s="117"/>
      <c r="F3553" s="117"/>
      <c r="G3553" s="54" t="str">
        <f>IFERROR(VLOOKUP(F3534,'1to4-2.1-RR'!$A$12:$BG$111,23,0),"")</f>
        <v/>
      </c>
      <c r="H3553" s="54" t="str">
        <f>IFERROR(VLOOKUP(F3534,'1to4-2.1-RR'!$A$12:$BG$111,24,0),"")</f>
        <v/>
      </c>
      <c r="I3553" s="54" t="str">
        <f>IFERROR(VLOOKUP(F3534,'1to4-2.1-RR'!$A$12:$BG$111,25,0),"")</f>
        <v/>
      </c>
      <c r="J3553" s="54" t="str">
        <f>IFERROR(VLOOKUP(F3534,'1to4-2.1-RR'!$A$12:$BG$111,26,0),"")</f>
        <v/>
      </c>
      <c r="K3553" s="54" t="str">
        <f>IFERROR(VLOOKUP(F3534,'1to4-2.1-RR'!$A$12:$BG$111,27,0),"")</f>
        <v/>
      </c>
      <c r="L3553" s="55">
        <f t="shared" si="126"/>
        <v>0</v>
      </c>
      <c r="M3553" s="56" t="str">
        <f>IF(F3534&gt;ENTRY!$D$24,"",IF(L3553=0,"Ab",IF(L3553&gt;80,"A",IF(L3553&gt;60,"B",IF(L3553&gt;44,"C",IF(L3553&gt;=33,"D",IF(L3553&lt;=32,"E","")))))))</f>
        <v/>
      </c>
      <c r="N3553" s="56"/>
      <c r="O3553" s="29"/>
      <c r="P3553" s="19"/>
      <c r="Q3553" s="14"/>
      <c r="R3553" s="11"/>
    </row>
    <row r="3554" s="1" customFormat="1" ht="21.95" customHeight="1" spans="1:19">
      <c r="A3554" s="7"/>
      <c r="B3554" s="12"/>
      <c r="C3554" s="33"/>
      <c r="D3554" s="117" t="s">
        <v>719</v>
      </c>
      <c r="E3554" s="117"/>
      <c r="F3554" s="117"/>
      <c r="G3554" s="54" t="str">
        <f>IFERROR(VLOOKUP(F3534,'1to4-2.1-RR'!$A$12:$BG$111,30,0),"")</f>
        <v/>
      </c>
      <c r="H3554" s="54" t="str">
        <f>IFERROR(VLOOKUP(F3534,'1to4-2.1-RR'!$A$12:$BG$111,31,0),"")</f>
        <v/>
      </c>
      <c r="I3554" s="54" t="str">
        <f>IFERROR(VLOOKUP(F3534,'1to4-2.1-RR'!$A$12:$BG$111,32,0),"")</f>
        <v/>
      </c>
      <c r="J3554" s="54" t="str">
        <f>IFERROR(VLOOKUP(F3534,'1to4-2.1-RR'!$A$12:$BG$111,33,0),"")</f>
        <v/>
      </c>
      <c r="K3554" s="54" t="str">
        <f>IFERROR(VLOOKUP(F3534,'1to4-2.1-RR'!$A$12:$BG$111,34,0),"")</f>
        <v/>
      </c>
      <c r="L3554" s="55">
        <f t="shared" si="126"/>
        <v>0</v>
      </c>
      <c r="M3554" s="56" t="str">
        <f>IF(F3534&gt;ENTRY!$D$24,"",IF(L3554=0,"Ab",IF(L3554&gt;80,"A",IF(L3554&gt;60,"B",IF(L3554&gt;44,"C",IF(L3554&gt;=33,"D",IF(L3554&lt;=32,"E","")))))))</f>
        <v/>
      </c>
      <c r="N3554" s="56"/>
      <c r="O3554" s="29"/>
      <c r="P3554" s="19"/>
      <c r="Q3554" s="14"/>
      <c r="R3554" s="11"/>
    </row>
    <row r="3555" s="1" customFormat="1" ht="21.95" customHeight="1" spans="1:19">
      <c r="A3555" s="7"/>
      <c r="B3555" s="12"/>
      <c r="C3555" s="33"/>
      <c r="D3555" s="117" t="s">
        <v>548</v>
      </c>
      <c r="E3555" s="117"/>
      <c r="F3555" s="117"/>
      <c r="G3555" s="54" t="str">
        <f>IFERROR(VLOOKUP(F3534,'1to4-2.1-RR'!$A$12:$BG$111,37,0),"")</f>
        <v/>
      </c>
      <c r="H3555" s="54" t="str">
        <f>IFERROR(VLOOKUP(F3534,'1to4-2.1-RR'!$A$12:$BG$111,38,0),"")</f>
        <v/>
      </c>
      <c r="I3555" s="54" t="str">
        <f>IFERROR(VLOOKUP(F3534,'1to4-2.1-RR'!$A$12:$BG$111,39,0),"")</f>
        <v/>
      </c>
      <c r="J3555" s="54" t="str">
        <f>IFERROR(VLOOKUP(F3534,'1to4-2.1-RR'!$A$12:$BG$111,40,0),"")</f>
        <v/>
      </c>
      <c r="K3555" s="54" t="str">
        <f>IFERROR(VLOOKUP(F3534,'1to4-2.1-RR'!$A$12:$BG$111,41,0),"")</f>
        <v/>
      </c>
      <c r="L3555" s="55">
        <f t="shared" si="126"/>
        <v>0</v>
      </c>
      <c r="M3555" s="56" t="str">
        <f>IF(F3534&gt;ENTRY!$D$24,"",IF(L3555=0,"Ab",IF(L3555&gt;80,"A",IF(L3555&gt;60,"B",IF(L3555&gt;44,"C",IF(L3555&gt;=33,"D",IF(L3555&lt;=32,"E","")))))))</f>
        <v/>
      </c>
      <c r="N3555" s="56"/>
      <c r="O3555" s="29"/>
      <c r="P3555" s="19"/>
      <c r="Q3555" s="14"/>
      <c r="R3555" s="11"/>
    </row>
    <row r="3556" s="1" customFormat="1" ht="21.95" customHeight="1" spans="1:19">
      <c r="A3556" s="7"/>
      <c r="B3556" s="12"/>
      <c r="C3556" s="33"/>
      <c r="D3556" s="117" t="s">
        <v>549</v>
      </c>
      <c r="E3556" s="117"/>
      <c r="F3556" s="117"/>
      <c r="G3556" s="54" t="str">
        <f>IFERROR(VLOOKUP(F3534,'1to4-2.1-RR'!$A$12:$BG$111,44,0),"")</f>
        <v/>
      </c>
      <c r="H3556" s="54" t="str">
        <f>IFERROR(VLOOKUP(F3534,'1to4-2.1-RR'!$A$12:$BG$111,45,0),"")</f>
        <v/>
      </c>
      <c r="I3556" s="54" t="str">
        <f>IFERROR(VLOOKUP(F3534,'1to4-2.1-RR'!$A$12:$BG$111,46,0),"")</f>
        <v/>
      </c>
      <c r="J3556" s="54" t="str">
        <f>IFERROR(VLOOKUP(F3534,'1to4-2.1-RR'!$A$12:$BG$111,47,0),"")</f>
        <v/>
      </c>
      <c r="K3556" s="54" t="str">
        <f>IFERROR(VLOOKUP(F3534,'1to4-2.1-RR'!$A$12:$BG$111,48,0),"")</f>
        <v/>
      </c>
      <c r="L3556" s="55">
        <f t="shared" si="126"/>
        <v>0</v>
      </c>
      <c r="M3556" s="56" t="str">
        <f>IF(F3534&gt;ENTRY!$D$24,"",IF(L3556=0,"Ab",IF(L3556&gt;80,"A",IF(L3556&gt;60,"B",IF(L3556&gt;44,"C",IF(L3556&gt;=33,"D",IF(L3556&lt;=32,"E","")))))))</f>
        <v/>
      </c>
      <c r="N3556" s="56"/>
      <c r="O3556" s="29"/>
      <c r="P3556" s="19"/>
      <c r="Q3556" s="14"/>
      <c r="R3556" s="11"/>
    </row>
    <row r="3557" s="1" customFormat="1" ht="21.95" customHeight="1" spans="1:19">
      <c r="A3557" s="7"/>
      <c r="B3557" s="12"/>
      <c r="C3557" s="33"/>
      <c r="D3557" s="117" t="s">
        <v>720</v>
      </c>
      <c r="E3557" s="117"/>
      <c r="F3557" s="117"/>
      <c r="G3557" s="54"/>
      <c r="H3557" s="54"/>
      <c r="I3557" s="54"/>
      <c r="J3557" s="54"/>
      <c r="K3557" s="54"/>
      <c r="L3557" s="55">
        <f t="shared" si="126"/>
        <v>0</v>
      </c>
      <c r="M3557" s="56" t="str">
        <f>IF(F3534&gt;ENTRY!$D$24,"",IF(L3557=0,"",IF(L3557&gt;79,"A",IF(L3557&gt;59,"B",IF(L3557&gt;44,"C",IF(L3557&gt;=33,"D",IF(L3557&lt;=32,"E","")))))))</f>
        <v/>
      </c>
      <c r="N3557" s="56"/>
      <c r="O3557" s="29"/>
      <c r="P3557" s="19"/>
      <c r="Q3557" s="14"/>
      <c r="R3557" s="11"/>
    </row>
    <row r="3558" s="1" customFormat="1" ht="21.95" customHeight="1" spans="1:19">
      <c r="A3558" s="7"/>
      <c r="B3558" s="12"/>
      <c r="C3558" s="33"/>
      <c r="D3558" s="207" t="s">
        <v>382</v>
      </c>
      <c r="E3558" s="207"/>
      <c r="F3558" s="207"/>
      <c r="G3558" s="54">
        <f t="shared" ref="G3558:L3558" si="127">IFERROR(SUM(G3551:G3557),"")</f>
        <v>0</v>
      </c>
      <c r="H3558" s="54">
        <f t="shared" si="127"/>
        <v>0</v>
      </c>
      <c r="I3558" s="54">
        <f t="shared" si="127"/>
        <v>0</v>
      </c>
      <c r="J3558" s="54">
        <f t="shared" si="127"/>
        <v>0</v>
      </c>
      <c r="K3558" s="54">
        <f t="shared" si="127"/>
        <v>0</v>
      </c>
      <c r="L3558" s="55">
        <f t="shared" si="127"/>
        <v>0</v>
      </c>
      <c r="M3558" s="61" t="str">
        <f>IF(F3534&gt;ENTRY!$D$24,"",IF(N3559="Ab","Ab",IF(N3559&gt;79.5,"A",IF(N3559&gt;59.5,"B",IF(N3559&gt;44.5,"C",IF(N3559&gt;=33,"D",IF(N3559&lt;33,"E","")))))))</f>
        <v/>
      </c>
      <c r="N3558" s="61"/>
      <c r="O3558" s="29"/>
      <c r="P3558" s="19"/>
      <c r="Q3558" s="14"/>
      <c r="R3558" s="11"/>
    </row>
    <row r="3559" s="1" customFormat="1" ht="21.95" customHeight="1" spans="1:19">
      <c r="A3559" s="7"/>
      <c r="B3559" s="12"/>
      <c r="C3559" s="33"/>
      <c r="D3559" s="63" t="s">
        <v>721</v>
      </c>
      <c r="E3559" s="63"/>
      <c r="F3559" s="63"/>
      <c r="G3559" s="63"/>
      <c r="H3559" s="63"/>
      <c r="I3559" s="63"/>
      <c r="J3559" s="63"/>
      <c r="K3559" s="63"/>
      <c r="L3559" s="63"/>
      <c r="M3559" s="209"/>
      <c r="N3559" s="64">
        <f>IF(L3558="Ab","Ab",L3558/6)</f>
        <v>0</v>
      </c>
      <c r="O3559" s="65"/>
      <c r="P3559" s="19"/>
      <c r="Q3559" s="14"/>
      <c r="R3559" s="11"/>
    </row>
    <row r="3560" s="1" customFormat="1" ht="21.95" customHeight="1" spans="1:19">
      <c r="A3560" s="7"/>
      <c r="B3560" s="12"/>
      <c r="C3560" s="33"/>
      <c r="D3560" s="29" t="s">
        <v>716</v>
      </c>
      <c r="E3560" s="18" t="str">
        <f>IFERROR(VLOOKUP(F3534,'1to4-2.1-RR'!$A$12:$BG$111,57,0),"")</f>
        <v/>
      </c>
      <c r="F3560" s="18"/>
      <c r="G3560" s="18"/>
      <c r="H3560" s="18"/>
      <c r="I3560" s="18"/>
      <c r="J3560" s="18"/>
      <c r="K3560" s="18"/>
      <c r="L3560" s="18"/>
      <c r="M3560" s="18"/>
      <c r="N3560" s="29"/>
      <c r="O3560" s="29"/>
      <c r="P3560" s="19"/>
      <c r="Q3560" s="14"/>
      <c r="R3560" s="11"/>
    </row>
    <row r="3561" s="1" customFormat="1" ht="9.95" customHeight="1" spans="1:19">
      <c r="A3561" s="7"/>
      <c r="B3561" s="12"/>
      <c r="C3561" s="39"/>
      <c r="D3561" s="40"/>
      <c r="E3561" s="40"/>
      <c r="F3561" s="40"/>
      <c r="G3561" s="40"/>
      <c r="H3561" s="40"/>
      <c r="I3561" s="40"/>
      <c r="J3561" s="40"/>
      <c r="K3561" s="40"/>
      <c r="L3561" s="40"/>
      <c r="M3561" s="40"/>
      <c r="N3561" s="40"/>
      <c r="O3561" s="40"/>
      <c r="P3561" s="41"/>
      <c r="Q3561" s="14"/>
      <c r="R3561" s="11"/>
    </row>
    <row r="3562" s="1" customFormat="1" ht="9.95" customHeight="1" spans="1:19">
      <c r="A3562" s="7"/>
      <c r="B3562" s="12"/>
      <c r="C3562" s="30"/>
      <c r="D3562" s="31"/>
      <c r="E3562" s="31"/>
      <c r="F3562" s="29"/>
      <c r="G3562" s="31"/>
      <c r="H3562" s="31"/>
      <c r="I3562" s="31"/>
      <c r="J3562" s="31"/>
      <c r="K3562" s="31"/>
      <c r="L3562" s="31"/>
      <c r="M3562" s="31"/>
      <c r="N3562" s="31"/>
      <c r="O3562" s="31"/>
      <c r="P3562" s="32"/>
      <c r="Q3562" s="14"/>
      <c r="R3562" s="11"/>
    </row>
    <row r="3563" s="1" customFormat="1" ht="9.95" customHeight="1" spans="1:19">
      <c r="A3563" s="7"/>
      <c r="B3563" s="12"/>
      <c r="C3563" s="33"/>
      <c r="D3563" s="29"/>
      <c r="E3563" s="29"/>
      <c r="F3563" s="29"/>
      <c r="G3563" s="29"/>
      <c r="H3563" s="29"/>
      <c r="I3563" s="29"/>
      <c r="J3563" s="29"/>
      <c r="K3563" s="29"/>
      <c r="L3563" s="29"/>
      <c r="M3563" s="29"/>
      <c r="N3563" s="29"/>
      <c r="O3563" s="29"/>
      <c r="P3563" s="19"/>
      <c r="Q3563" s="14"/>
      <c r="R3563" s="11"/>
    </row>
    <row r="3564" s="1" customFormat="1" ht="9.95" customHeight="1" spans="1:19">
      <c r="A3564" s="7"/>
      <c r="B3564" s="12"/>
      <c r="C3564" s="33"/>
      <c r="D3564" s="29"/>
      <c r="E3564" s="29"/>
      <c r="F3564" s="29"/>
      <c r="G3564" s="29"/>
      <c r="H3564" s="29"/>
      <c r="I3564" s="29"/>
      <c r="J3564" s="29"/>
      <c r="K3564" s="29"/>
      <c r="L3564" s="29"/>
      <c r="M3564" s="29"/>
      <c r="N3564" s="29"/>
      <c r="O3564" s="29"/>
      <c r="P3564" s="19"/>
      <c r="Q3564" s="14"/>
      <c r="R3564" s="11"/>
    </row>
    <row r="3565" s="1" customFormat="1" ht="21.95" customHeight="1" spans="1:19">
      <c r="A3565" s="7"/>
      <c r="B3565" s="12"/>
      <c r="C3565" s="210"/>
      <c r="D3565" s="211"/>
      <c r="E3565" s="211"/>
      <c r="F3565" s="211"/>
      <c r="G3565" s="211"/>
      <c r="H3565" s="211"/>
      <c r="I3565" s="211"/>
      <c r="J3565" s="211"/>
      <c r="K3565" s="211"/>
      <c r="L3565" s="211"/>
      <c r="M3565" s="211"/>
      <c r="N3565" s="211"/>
      <c r="O3565" s="211"/>
      <c r="P3565" s="212"/>
      <c r="Q3565" s="14"/>
      <c r="R3565" s="11"/>
      <c r="S3565" s="2"/>
    </row>
    <row r="3566" s="1" customFormat="1" ht="21.95" customHeight="1" spans="1:19">
      <c r="A3566" s="7"/>
      <c r="B3566" s="12"/>
      <c r="C3566" s="33"/>
      <c r="D3566" s="207" t="s">
        <v>722</v>
      </c>
      <c r="E3566" s="207"/>
      <c r="F3566" s="207"/>
      <c r="G3566" s="207"/>
      <c r="H3566" s="54">
        <f>IFERROR(VLOOKUP(F3534,PASHEET!$A$4:$CJ$103,88,0),"")</f>
        <v>0</v>
      </c>
      <c r="I3566" s="54"/>
      <c r="J3566" s="29"/>
      <c r="K3566" s="29"/>
      <c r="L3566" s="29"/>
      <c r="M3566" s="29"/>
      <c r="N3566" s="29"/>
      <c r="O3566" s="29"/>
      <c r="P3566" s="19"/>
      <c r="Q3566" s="14"/>
      <c r="R3566" s="11"/>
    </row>
    <row r="3567" s="1" customFormat="1" ht="21.95" customHeight="1" spans="1:19">
      <c r="A3567" s="7"/>
      <c r="B3567" s="12"/>
      <c r="C3567" s="213"/>
      <c r="D3567" s="207" t="s">
        <v>723</v>
      </c>
      <c r="E3567" s="207"/>
      <c r="F3567" s="207"/>
      <c r="G3567" s="207"/>
      <c r="H3567" s="54">
        <f>IFERROR(VLOOKUP(F3534,PASHEET!$A$4:$CJ$103,87,0),"")</f>
        <v>0</v>
      </c>
      <c r="I3567" s="54"/>
      <c r="J3567" s="214"/>
      <c r="K3567" s="214"/>
      <c r="L3567" s="207" t="s">
        <v>724</v>
      </c>
      <c r="M3567" s="207"/>
      <c r="N3567" s="117" t="str">
        <f>IF(F3534&gt;ENTRY!$D$24,"",IF(F3534&gt;0,L3558&amp;" / "&amp;600,""))</f>
        <v/>
      </c>
      <c r="O3567" s="117"/>
      <c r="P3567" s="215"/>
      <c r="Q3567" s="14"/>
      <c r="R3567" s="11"/>
    </row>
    <row r="3568" s="1" customFormat="1" ht="18" customHeight="1" spans="1:19">
      <c r="A3568" s="7"/>
      <c r="B3568" s="12"/>
      <c r="C3568" s="33"/>
      <c r="D3568" s="207" t="s">
        <v>725</v>
      </c>
      <c r="E3568" s="207"/>
      <c r="F3568" s="207"/>
      <c r="G3568" s="207"/>
      <c r="H3568" s="69" t="str">
        <f>IFERROR(IF(F3534&gt;0,H3567/H3566*100),"")</f>
        <v/>
      </c>
      <c r="I3568" s="69"/>
      <c r="J3568" s="29"/>
      <c r="K3568" s="29"/>
      <c r="L3568" s="207" t="s">
        <v>726</v>
      </c>
      <c r="M3568" s="207"/>
      <c r="N3568" s="216" t="str">
        <f>IF(F3534&gt;ENTRY!$D$24,"",IF(F3534&gt;0,L3558/600*100,""))</f>
        <v/>
      </c>
      <c r="O3568" s="216"/>
      <c r="P3568" s="19"/>
      <c r="Q3568" s="14"/>
      <c r="R3568" s="11"/>
    </row>
    <row r="3569" s="1" customFormat="1" ht="21.95" customHeight="1" spans="1:18">
      <c r="A3569" s="7"/>
      <c r="B3569" s="12"/>
      <c r="C3569" s="33"/>
      <c r="D3569" s="80"/>
      <c r="E3569" s="80"/>
      <c r="F3569" s="217"/>
      <c r="G3569" s="217"/>
      <c r="H3569" s="217"/>
      <c r="I3569" s="217"/>
      <c r="J3569" s="217"/>
      <c r="K3569" s="217"/>
      <c r="L3569" s="217"/>
      <c r="M3569" s="217"/>
      <c r="N3569" s="80"/>
      <c r="O3569" s="80"/>
      <c r="P3569" s="19"/>
      <c r="Q3569" s="14"/>
      <c r="R3569" s="11"/>
    </row>
    <row r="3570" s="1" customFormat="1" ht="21.95" customHeight="1" spans="1:18">
      <c r="A3570" s="7"/>
      <c r="B3570" s="12"/>
      <c r="C3570" s="33"/>
      <c r="D3570" s="80"/>
      <c r="E3570" s="218"/>
      <c r="F3570" s="218"/>
      <c r="G3570" s="218"/>
      <c r="H3570" s="80"/>
      <c r="I3570" s="218"/>
      <c r="J3570" s="218"/>
      <c r="K3570" s="218"/>
      <c r="L3570" s="218"/>
      <c r="M3570" s="80"/>
      <c r="N3570" s="219"/>
      <c r="O3570" s="219"/>
      <c r="P3570" s="19"/>
      <c r="Q3570" s="14"/>
      <c r="R3570" s="11"/>
    </row>
    <row r="3571" s="1" customFormat="1" ht="21.95" customHeight="1" spans="1:18">
      <c r="A3571" s="7"/>
      <c r="B3571" s="12"/>
      <c r="C3571" s="33"/>
      <c r="D3571" s="80"/>
      <c r="E3571" s="80"/>
      <c r="F3571" s="80"/>
      <c r="G3571" s="80"/>
      <c r="H3571" s="80"/>
      <c r="I3571" s="80"/>
      <c r="J3571" s="80"/>
      <c r="K3571" s="80"/>
      <c r="L3571" s="80"/>
      <c r="M3571" s="80"/>
      <c r="N3571" s="80"/>
      <c r="O3571" s="80"/>
      <c r="P3571" s="19"/>
      <c r="Q3571" s="14"/>
      <c r="R3571" s="11"/>
    </row>
    <row r="3572" s="1" customFormat="1" ht="21.95" customHeight="1" spans="1:18">
      <c r="A3572" s="7"/>
      <c r="B3572" s="12"/>
      <c r="C3572" s="33"/>
      <c r="D3572" s="218"/>
      <c r="E3572" s="218"/>
      <c r="F3572" s="218"/>
      <c r="G3572" s="218"/>
      <c r="H3572" s="218"/>
      <c r="I3572" s="218"/>
      <c r="J3572" s="218"/>
      <c r="K3572" s="218"/>
      <c r="L3572" s="218"/>
      <c r="M3572" s="80"/>
      <c r="N3572" s="217"/>
      <c r="O3572" s="217"/>
      <c r="P3572" s="85" t="s">
        <v>727</v>
      </c>
      <c r="Q3572" s="14"/>
      <c r="R3572" s="11"/>
    </row>
    <row r="3573" s="1" customFormat="1" ht="21.95" customHeight="1" spans="1:18">
      <c r="A3573" s="7"/>
      <c r="B3573" s="12"/>
      <c r="C3573" s="33"/>
      <c r="D3573" s="29"/>
      <c r="E3573" s="29"/>
      <c r="F3573" s="29"/>
      <c r="G3573" s="29"/>
      <c r="H3573" s="29"/>
      <c r="I3573" s="29"/>
      <c r="J3573" s="29"/>
      <c r="K3573" s="29"/>
      <c r="L3573" s="29"/>
      <c r="M3573" s="29"/>
      <c r="N3573" s="29"/>
      <c r="O3573" s="29"/>
      <c r="P3573" s="19"/>
      <c r="Q3573" s="14"/>
      <c r="R3573" s="11"/>
    </row>
    <row r="3574" s="1" customFormat="1" ht="21.95" customHeight="1" spans="1:18">
      <c r="A3574" s="7"/>
      <c r="B3574" s="12"/>
      <c r="C3574" s="33"/>
      <c r="D3574" s="29"/>
      <c r="E3574" s="29"/>
      <c r="F3574" s="29"/>
      <c r="G3574" s="29"/>
      <c r="H3574" s="29"/>
      <c r="I3574" s="29"/>
      <c r="J3574" s="29"/>
      <c r="K3574" s="29"/>
      <c r="L3574" s="29"/>
      <c r="M3574" s="29"/>
      <c r="N3574" s="29"/>
      <c r="O3574" s="29"/>
      <c r="P3574" s="19"/>
      <c r="Q3574" s="14"/>
      <c r="R3574" s="11"/>
    </row>
    <row r="3575" s="1" customFormat="1" ht="21.95" customHeight="1" spans="1:18">
      <c r="A3575" s="7"/>
      <c r="B3575" s="12"/>
      <c r="C3575" s="33"/>
      <c r="D3575" s="29"/>
      <c r="E3575" s="29"/>
      <c r="F3575" s="29"/>
      <c r="G3575" s="29"/>
      <c r="H3575" s="29"/>
      <c r="I3575" s="29"/>
      <c r="J3575" s="29"/>
      <c r="K3575" s="29"/>
      <c r="L3575" s="29"/>
      <c r="M3575" s="29"/>
      <c r="N3575" s="29"/>
      <c r="O3575" s="29"/>
      <c r="P3575" s="19"/>
      <c r="Q3575" s="14"/>
      <c r="R3575" s="11"/>
    </row>
    <row r="3576" s="1" customFormat="1" ht="21.95" customHeight="1" spans="1:18">
      <c r="A3576" s="7"/>
      <c r="B3576" s="12"/>
      <c r="C3576" s="33"/>
      <c r="D3576" s="29"/>
      <c r="E3576" s="29"/>
      <c r="F3576" s="29"/>
      <c r="G3576" s="29"/>
      <c r="H3576" s="29"/>
      <c r="I3576" s="29"/>
      <c r="J3576" s="29"/>
      <c r="K3576" s="29"/>
      <c r="L3576" s="29"/>
      <c r="M3576" s="29"/>
      <c r="N3576" s="29"/>
      <c r="O3576" s="29"/>
      <c r="P3576" s="19"/>
      <c r="Q3576" s="14"/>
      <c r="R3576" s="11"/>
    </row>
    <row r="3577" s="1" customFormat="1" ht="21.95" customHeight="1" spans="1:18">
      <c r="A3577" s="7"/>
      <c r="B3577" s="12"/>
      <c r="C3577" s="33"/>
      <c r="D3577" s="29"/>
      <c r="E3577" s="29"/>
      <c r="F3577" s="29"/>
      <c r="G3577" s="29"/>
      <c r="H3577" s="29"/>
      <c r="I3577" s="29"/>
      <c r="J3577" s="29"/>
      <c r="K3577" s="29"/>
      <c r="L3577" s="29"/>
      <c r="M3577" s="29"/>
      <c r="N3577" s="29"/>
      <c r="O3577" s="29"/>
      <c r="P3577" s="19"/>
      <c r="Q3577" s="14"/>
      <c r="R3577" s="11"/>
    </row>
    <row r="3578" s="1" customFormat="1" ht="21.95" customHeight="1" spans="1:18">
      <c r="A3578" s="7"/>
      <c r="B3578" s="12"/>
      <c r="C3578" s="33"/>
      <c r="D3578" s="80" t="s">
        <v>728</v>
      </c>
      <c r="E3578" s="220">
        <f>ENTRY!$D$27</f>
        <v>46102</v>
      </c>
      <c r="F3578" s="220"/>
      <c r="G3578" s="29"/>
      <c r="H3578" s="29"/>
      <c r="I3578" s="221" t="s">
        <v>729</v>
      </c>
      <c r="J3578" s="153"/>
      <c r="K3578" s="29"/>
      <c r="L3578" s="29"/>
      <c r="M3578" s="87" t="s">
        <v>730</v>
      </c>
      <c r="N3578" s="87"/>
      <c r="O3578" s="87"/>
      <c r="P3578" s="19"/>
      <c r="Q3578" s="14"/>
      <c r="R3578" s="11"/>
    </row>
    <row r="3579" s="1" customFormat="1" ht="21.95" customHeight="1" spans="1:18">
      <c r="A3579" s="7"/>
      <c r="B3579" s="12"/>
      <c r="C3579" s="33"/>
      <c r="D3579" s="80" t="s">
        <v>731</v>
      </c>
      <c r="E3579" s="88" t="str">
        <f>PROPER(ENTRY!$D$28)</f>
        <v>New Delhi</v>
      </c>
      <c r="F3579" s="88"/>
      <c r="G3579" s="29"/>
      <c r="H3579" s="29"/>
      <c r="I3579" s="153"/>
      <c r="J3579" s="153"/>
      <c r="K3579" s="29"/>
      <c r="L3579" s="29"/>
      <c r="M3579" s="79" t="s">
        <v>732</v>
      </c>
      <c r="N3579" s="79"/>
      <c r="O3579" s="79"/>
      <c r="P3579" s="19"/>
      <c r="Q3579" s="14"/>
      <c r="R3579" s="11"/>
    </row>
    <row r="3580" s="1" customFormat="1" ht="21.95" customHeight="1" spans="1:18">
      <c r="A3580" s="7"/>
      <c r="B3580" s="12"/>
      <c r="C3580" s="90"/>
      <c r="D3580" s="91"/>
      <c r="E3580" s="91"/>
      <c r="F3580" s="91"/>
      <c r="G3580" s="91"/>
      <c r="H3580" s="91"/>
      <c r="I3580" s="91"/>
      <c r="J3580" s="91"/>
      <c r="K3580" s="91"/>
      <c r="L3580" s="91"/>
      <c r="M3580" s="91"/>
      <c r="N3580" s="91"/>
      <c r="O3580" s="91"/>
      <c r="P3580" s="92"/>
      <c r="Q3580" s="14"/>
      <c r="R3580" s="11"/>
    </row>
    <row r="3581" s="1" customFormat="1" ht="5.1" customHeight="1" spans="1:18">
      <c r="A3581" s="7"/>
      <c r="B3581" s="90"/>
      <c r="C3581" s="91"/>
      <c r="D3581" s="91"/>
      <c r="E3581" s="91"/>
      <c r="F3581" s="91"/>
      <c r="G3581" s="91"/>
      <c r="H3581" s="91"/>
      <c r="I3581" s="91"/>
      <c r="J3581" s="91"/>
      <c r="K3581" s="91"/>
      <c r="L3581" s="91"/>
      <c r="M3581" s="91"/>
      <c r="N3581" s="91"/>
      <c r="O3581" s="91"/>
      <c r="P3581" s="91"/>
      <c r="Q3581" s="92"/>
      <c r="R3581" s="11"/>
    </row>
    <row r="3582" s="1" customFormat="1" ht="5.1" customHeight="1" spans="1:18">
      <c r="A3582" s="93"/>
      <c r="B3582" s="94"/>
      <c r="C3582" s="94"/>
      <c r="D3582" s="94"/>
      <c r="E3582" s="94"/>
      <c r="F3582" s="94"/>
      <c r="G3582" s="94"/>
      <c r="H3582" s="94"/>
      <c r="I3582" s="94"/>
      <c r="J3582" s="94"/>
      <c r="K3582" s="94"/>
      <c r="L3582" s="94"/>
      <c r="M3582" s="94"/>
      <c r="N3582" s="94"/>
      <c r="O3582" s="94"/>
      <c r="P3582" s="94"/>
      <c r="Q3582" s="94"/>
      <c r="R3582" s="95"/>
    </row>
    <row r="3583" s="1" customFormat="1" ht="21.95" customHeight="1"/>
    <row r="3584" ht="15.15"/>
    <row r="3585" s="1" customFormat="1" ht="5.1" customHeight="1" spans="1:18">
      <c r="A3585" s="4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  <c r="O3585" s="5"/>
      <c r="P3585" s="5"/>
      <c r="Q3585" s="5"/>
      <c r="R3585" s="6"/>
    </row>
    <row r="3586" s="1" customFormat="1" ht="15" customHeight="1" spans="1:18">
      <c r="A3586" s="7"/>
      <c r="B3586" s="8"/>
      <c r="C3586" s="9"/>
      <c r="D3586" s="9"/>
      <c r="E3586" s="9"/>
      <c r="F3586" s="9"/>
      <c r="G3586" s="9"/>
      <c r="H3586" s="9"/>
      <c r="I3586" s="9"/>
      <c r="J3586" s="9"/>
      <c r="K3586" s="9"/>
      <c r="L3586" s="9"/>
      <c r="M3586" s="9"/>
      <c r="N3586" s="9"/>
      <c r="O3586" s="9"/>
      <c r="P3586" s="9"/>
      <c r="Q3586" s="10"/>
      <c r="R3586" s="11"/>
    </row>
    <row r="3587" s="1" customFormat="1" ht="21.95" customHeight="1" spans="1:18">
      <c r="A3587" s="7"/>
      <c r="B3587" s="12"/>
      <c r="C3587" s="13" t="s">
        <v>7</v>
      </c>
      <c r="D3587" s="13"/>
      <c r="E3587" s="13"/>
      <c r="F3587" s="13"/>
      <c r="G3587" s="13"/>
      <c r="H3587" s="13"/>
      <c r="I3587" s="13"/>
      <c r="J3587" s="13"/>
      <c r="K3587" s="13"/>
      <c r="L3587" s="13"/>
      <c r="M3587" s="13"/>
      <c r="N3587" s="13"/>
      <c r="O3587" s="13"/>
      <c r="P3587" s="13"/>
      <c r="Q3587" s="14"/>
      <c r="R3587" s="11"/>
    </row>
    <row r="3588" s="1" customFormat="1" ht="21.95" customHeight="1" spans="1:18">
      <c r="A3588" s="7"/>
      <c r="B3588" s="1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14"/>
      <c r="R3588" s="11"/>
    </row>
    <row r="3589" s="1" customFormat="1" ht="21.95" customHeight="1" spans="1:18">
      <c r="A3589" s="7"/>
      <c r="B3589" s="12"/>
      <c r="C3589" s="15" t="str">
        <f>"SESSION-"&amp;ENTRY!$D$11</f>
        <v>SESSION-2026-27</v>
      </c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4"/>
      <c r="R3589" s="11"/>
    </row>
    <row r="3590" s="1" customFormat="1" ht="21.95" customHeight="1" spans="1:18">
      <c r="A3590" s="7"/>
      <c r="B3590" s="12"/>
      <c r="C3590" s="2"/>
      <c r="D3590" s="2"/>
      <c r="E3590" s="2"/>
      <c r="F3590" s="16">
        <f>F3534+1</f>
        <v>65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14"/>
      <c r="R3590" s="11"/>
    </row>
    <row r="3591" s="1" customFormat="1" ht="21.95" customHeight="1" spans="1:18">
      <c r="A3591" s="7"/>
      <c r="B3591" s="12"/>
      <c r="C3591" s="17" t="s">
        <v>392</v>
      </c>
      <c r="D3591" s="17"/>
      <c r="E3591" s="17"/>
      <c r="F3591" s="18" t="str">
        <f>IF(F3590&gt;0,ENTRY!$D$6,"")</f>
        <v>MCP NITHARI NO 1 BOYS</v>
      </c>
      <c r="G3591" s="18"/>
      <c r="H3591" s="18"/>
      <c r="I3591" s="18"/>
      <c r="J3591" s="18"/>
      <c r="K3591" s="18"/>
      <c r="L3591" s="18"/>
      <c r="M3591" s="18"/>
      <c r="N3591" s="18"/>
      <c r="O3591" s="18"/>
      <c r="P3591" s="18"/>
      <c r="Q3591" s="14"/>
      <c r="R3591" s="11"/>
    </row>
    <row r="3592" s="1" customFormat="1" ht="21.95" customHeight="1" spans="1:18">
      <c r="A3592" s="7"/>
      <c r="B3592" s="12"/>
      <c r="C3592" s="17" t="s">
        <v>393</v>
      </c>
      <c r="D3592" s="17"/>
      <c r="E3592" s="17"/>
      <c r="F3592" s="18">
        <f>IF(F3590&gt;0,ENTRY!$D$7,"")</f>
        <v>0</v>
      </c>
      <c r="G3592" s="18"/>
      <c r="H3592" s="20" t="s">
        <v>702</v>
      </c>
      <c r="I3592" s="20"/>
      <c r="J3592" s="21">
        <f>IF(F3590&gt;0,ENTRY!$D$10,"")</f>
        <v>40</v>
      </c>
      <c r="K3592" s="20" t="s">
        <v>703</v>
      </c>
      <c r="L3592" s="22" t="str">
        <f>IF(F3590&gt;0,ENTRY!$D$5,"")</f>
        <v>ROHINI ZONE</v>
      </c>
      <c r="M3592" s="22"/>
      <c r="N3592" s="22"/>
      <c r="O3592" s="22"/>
      <c r="P3592" s="22"/>
      <c r="Q3592" s="14"/>
      <c r="R3592" s="11"/>
    </row>
    <row r="3593" s="1" customFormat="1" ht="21.95" customHeight="1" spans="1:18">
      <c r="A3593" s="7"/>
      <c r="B3593" s="12"/>
      <c r="C3593" s="17" t="s">
        <v>706</v>
      </c>
      <c r="D3593" s="17"/>
      <c r="E3593" s="17"/>
      <c r="F3593" s="23">
        <f>IFERROR(VLOOKUP(F3590,STUDENT!$A$2:$BP$101,5,0),"")</f>
        <v>0</v>
      </c>
      <c r="G3593" s="23"/>
      <c r="H3593" s="23"/>
      <c r="I3593" s="23"/>
      <c r="J3593" s="23"/>
      <c r="K3593" s="23"/>
      <c r="L3593" s="20" t="s">
        <v>707</v>
      </c>
      <c r="M3593" s="20"/>
      <c r="N3593" s="24" t="str">
        <f>IF(F3590&gt;0,ENTRY!$D$20&amp;"-"&amp;ENTRY!$D$21,"")</f>
        <v>III-A</v>
      </c>
      <c r="O3593" s="24"/>
      <c r="P3593" s="24"/>
      <c r="Q3593" s="14"/>
      <c r="R3593" s="11"/>
    </row>
    <row r="3594" s="1" customFormat="1" ht="21.95" customHeight="1" spans="1:18">
      <c r="A3594" s="7"/>
      <c r="B3594" s="12"/>
      <c r="C3594" s="17" t="s">
        <v>708</v>
      </c>
      <c r="D3594" s="17"/>
      <c r="E3594" s="17"/>
      <c r="F3594" s="25">
        <f>IFERROR(VLOOKUP(F3590,STUDENT!$A$2:$BP$101,6,0),"")</f>
        <v>0</v>
      </c>
      <c r="G3594" s="25"/>
      <c r="H3594" s="26" t="s">
        <v>709</v>
      </c>
      <c r="I3594" s="27" t="str">
        <f>IFERROR(VLOOKUP(F3590,STUDENT!$A$2:$BP$101,59,0),"")</f>
        <v/>
      </c>
      <c r="J3594" s="27"/>
      <c r="K3594" s="20" t="s">
        <v>710</v>
      </c>
      <c r="L3594" s="20"/>
      <c r="M3594" s="28">
        <f>IFERROR(VLOOKUP(F3590,STUDENT!$A$2:$BP$101,20,0),"")</f>
        <v>0</v>
      </c>
      <c r="N3594" s="28"/>
      <c r="O3594" s="28"/>
      <c r="P3594" s="28"/>
      <c r="Q3594" s="14"/>
      <c r="R3594" s="11"/>
    </row>
    <row r="3595" s="1" customFormat="1" ht="21.95" customHeight="1" spans="1:18">
      <c r="A3595" s="7"/>
      <c r="B3595" s="12"/>
      <c r="C3595" s="17" t="s">
        <v>711</v>
      </c>
      <c r="D3595" s="17"/>
      <c r="E3595" s="17"/>
      <c r="F3595" s="23">
        <f>IFERROR(VLOOKUP(F3590,STUDENT!$A$2:$BP$101,9,0),"")</f>
        <v>0</v>
      </c>
      <c r="G3595" s="23"/>
      <c r="H3595" s="23"/>
      <c r="I3595" s="23"/>
      <c r="J3595" s="17" t="s">
        <v>620</v>
      </c>
      <c r="K3595" s="17"/>
      <c r="L3595" s="23">
        <f>IFERROR(VLOOKUP(F3590,STUDENT!$A$2:$BP$101,8,0),"")</f>
        <v>0</v>
      </c>
      <c r="M3595" s="23"/>
      <c r="N3595" s="23"/>
      <c r="O3595" s="23"/>
      <c r="P3595" s="23"/>
      <c r="Q3595" s="14"/>
      <c r="R3595" s="11"/>
    </row>
    <row r="3596" s="1" customFormat="1" ht="21.95" customHeight="1" spans="1:18">
      <c r="A3596" s="7"/>
      <c r="B3596" s="12"/>
      <c r="C3596" s="17" t="s">
        <v>712</v>
      </c>
      <c r="D3596" s="17"/>
      <c r="E3596" s="17"/>
      <c r="F3596" s="23">
        <f>IFERROR(VLOOKUP(F3590,STUDENT!$A$2:$BP$101,22,0),"")</f>
        <v>0</v>
      </c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14"/>
      <c r="R3596" s="11"/>
    </row>
    <row r="3597" s="1" customFormat="1" ht="9.95" customHeight="1" spans="1:18">
      <c r="A3597" s="7"/>
      <c r="B3597" s="12"/>
      <c r="C3597" s="29"/>
      <c r="D3597" s="29"/>
      <c r="E3597" s="29"/>
      <c r="F3597" s="29"/>
      <c r="G3597" s="29"/>
      <c r="H3597" s="29"/>
      <c r="I3597" s="29"/>
      <c r="J3597" s="29"/>
      <c r="K3597" s="29"/>
      <c r="L3597" s="29"/>
      <c r="M3597" s="29"/>
      <c r="N3597" s="29"/>
      <c r="O3597" s="29"/>
      <c r="P3597" s="29"/>
      <c r="Q3597" s="14"/>
      <c r="R3597" s="11"/>
    </row>
    <row r="3598" s="1" customFormat="1" ht="9.95" customHeight="1" spans="1:18">
      <c r="A3598" s="7"/>
      <c r="B3598" s="12"/>
      <c r="C3598" s="30"/>
      <c r="D3598" s="31"/>
      <c r="E3598" s="31"/>
      <c r="F3598" s="31"/>
      <c r="G3598" s="31"/>
      <c r="H3598" s="31"/>
      <c r="I3598" s="31"/>
      <c r="J3598" s="31"/>
      <c r="K3598" s="31"/>
      <c r="L3598" s="31"/>
      <c r="M3598" s="31"/>
      <c r="N3598" s="31"/>
      <c r="O3598" s="31"/>
      <c r="P3598" s="32"/>
      <c r="Q3598" s="14"/>
      <c r="R3598" s="11"/>
    </row>
    <row r="3599" s="1" customFormat="1" ht="21.95" customHeight="1" spans="1:18">
      <c r="A3599" s="7"/>
      <c r="B3599" s="12"/>
      <c r="C3599" s="33"/>
      <c r="D3599" s="34" t="s">
        <v>713</v>
      </c>
      <c r="E3599" s="20" t="s">
        <v>714</v>
      </c>
      <c r="F3599" s="35" t="str">
        <f>"Level - "&amp;IFERROR(VLOOKUP(F3590,FLN!$A$4:$K$103,9,0),"")</f>
        <v>Level - </v>
      </c>
      <c r="G3599" s="36"/>
      <c r="H3599" s="37" t="s">
        <v>715</v>
      </c>
      <c r="I3599" s="20"/>
      <c r="J3599" s="35" t="str">
        <f>"Level - "&amp;IFERROR(VLOOKUP(F3590,FLN!$A$4:$K$103,11,0),"")</f>
        <v>Level - </v>
      </c>
      <c r="K3599" s="36"/>
      <c r="L3599" s="37" t="s">
        <v>408</v>
      </c>
      <c r="M3599" s="20"/>
      <c r="N3599" s="35" t="str">
        <f>"Level - "&amp;IFERROR(VLOOKUP(F3590,FLN!$A$4:$K$103,10,0),"")</f>
        <v>Level - </v>
      </c>
      <c r="O3599" s="36"/>
      <c r="P3599" s="19"/>
      <c r="Q3599" s="14"/>
      <c r="R3599" s="11"/>
    </row>
    <row r="3600" s="1" customFormat="1" ht="21.95" customHeight="1" spans="1:18">
      <c r="A3600" s="7"/>
      <c r="B3600" s="12"/>
      <c r="C3600" s="33"/>
      <c r="D3600" s="38"/>
      <c r="E3600" s="20" t="s">
        <v>716</v>
      </c>
      <c r="F3600" s="18" t="str">
        <f>IF(L3614&gt;197,"PERFORMED WELL","")</f>
        <v/>
      </c>
      <c r="G3600" s="18"/>
      <c r="H3600" s="18"/>
      <c r="I3600" s="18"/>
      <c r="J3600" s="18"/>
      <c r="K3600" s="18"/>
      <c r="L3600" s="18"/>
      <c r="M3600" s="18"/>
      <c r="N3600" s="18"/>
      <c r="O3600" s="18"/>
      <c r="P3600" s="19"/>
      <c r="Q3600" s="14"/>
      <c r="R3600" s="11"/>
    </row>
    <row r="3601" s="1" customFormat="1" ht="9.95" customHeight="1" spans="1:18">
      <c r="A3601" s="7"/>
      <c r="B3601" s="12"/>
      <c r="C3601" s="39"/>
      <c r="D3601" s="40"/>
      <c r="E3601" s="40"/>
      <c r="F3601" s="40"/>
      <c r="G3601" s="40"/>
      <c r="H3601" s="40"/>
      <c r="I3601" s="40"/>
      <c r="J3601" s="40"/>
      <c r="K3601" s="40"/>
      <c r="L3601" s="40"/>
      <c r="M3601" s="40"/>
      <c r="N3601" s="40"/>
      <c r="O3601" s="40"/>
      <c r="P3601" s="41"/>
      <c r="Q3601" s="14"/>
      <c r="R3601" s="11"/>
    </row>
    <row r="3602" s="1" customFormat="1" ht="9.95" customHeight="1" spans="1:18">
      <c r="A3602" s="7"/>
      <c r="B3602" s="12"/>
      <c r="C3602" s="29"/>
      <c r="D3602" s="29"/>
      <c r="E3602" s="29"/>
      <c r="F3602" s="29"/>
      <c r="G3602" s="29"/>
      <c r="H3602" s="29"/>
      <c r="I3602" s="29"/>
      <c r="J3602" s="29"/>
      <c r="K3602" s="29"/>
      <c r="L3602" s="29"/>
      <c r="M3602" s="29"/>
      <c r="N3602" s="29"/>
      <c r="O3602" s="29"/>
      <c r="P3602" s="29"/>
      <c r="Q3602" s="14"/>
      <c r="R3602" s="11"/>
    </row>
    <row r="3603" s="1" customFormat="1" ht="9.95" customHeight="1" spans="1:18">
      <c r="A3603" s="7"/>
      <c r="B3603" s="12"/>
      <c r="C3603" s="30"/>
      <c r="D3603" s="31"/>
      <c r="E3603" s="31"/>
      <c r="F3603" s="31"/>
      <c r="G3603" s="31"/>
      <c r="H3603" s="31"/>
      <c r="I3603" s="31"/>
      <c r="J3603" s="31"/>
      <c r="K3603" s="31"/>
      <c r="L3603" s="31"/>
      <c r="M3603" s="31"/>
      <c r="N3603" s="31"/>
      <c r="O3603" s="31"/>
      <c r="P3603" s="32"/>
      <c r="Q3603" s="14"/>
      <c r="R3603" s="11"/>
    </row>
    <row r="3604" s="1" customFormat="1" ht="21.95" customHeight="1" spans="1:18">
      <c r="A3604" s="7"/>
      <c r="B3604" s="12"/>
      <c r="C3604" s="33"/>
      <c r="D3604" s="35"/>
      <c r="E3604" s="24"/>
      <c r="F3604" s="24"/>
      <c r="G3604" s="47" t="s">
        <v>717</v>
      </c>
      <c r="H3604" s="47"/>
      <c r="I3604" s="47"/>
      <c r="J3604" s="47"/>
      <c r="K3604" s="47"/>
      <c r="L3604" s="47"/>
      <c r="M3604" s="47"/>
      <c r="N3604" s="47"/>
      <c r="O3604" s="29"/>
      <c r="P3604" s="19"/>
      <c r="Q3604" s="14"/>
      <c r="R3604" s="11"/>
    </row>
    <row r="3605" s="1" customFormat="1" ht="21.95" customHeight="1" spans="1:18">
      <c r="A3605" s="7"/>
      <c r="B3605" s="12"/>
      <c r="C3605" s="33"/>
      <c r="D3605" s="47"/>
      <c r="E3605" s="47"/>
      <c r="F3605" s="47"/>
      <c r="G3605" s="47" t="s">
        <v>541</v>
      </c>
      <c r="H3605" s="47" t="s">
        <v>542</v>
      </c>
      <c r="I3605" s="47" t="s">
        <v>543</v>
      </c>
      <c r="J3605" s="47" t="s">
        <v>544</v>
      </c>
      <c r="K3605" s="47" t="s">
        <v>561</v>
      </c>
      <c r="L3605" s="47" t="s">
        <v>382</v>
      </c>
      <c r="M3605" s="49" t="s">
        <v>546</v>
      </c>
      <c r="N3605" s="49"/>
      <c r="O3605" s="29"/>
      <c r="P3605" s="19"/>
      <c r="Q3605" s="14"/>
      <c r="R3605" s="11"/>
    </row>
    <row r="3606" s="1" customFormat="1" ht="21.95" customHeight="1" spans="1:18">
      <c r="A3606" s="7"/>
      <c r="B3606" s="12"/>
      <c r="C3606" s="33"/>
      <c r="D3606" s="207" t="s">
        <v>652</v>
      </c>
      <c r="E3606" s="207"/>
      <c r="F3606" s="207"/>
      <c r="G3606" s="50">
        <v>10</v>
      </c>
      <c r="H3606" s="50">
        <v>10</v>
      </c>
      <c r="I3606" s="50">
        <v>10</v>
      </c>
      <c r="J3606" s="50">
        <v>10</v>
      </c>
      <c r="K3606" s="50">
        <v>60</v>
      </c>
      <c r="L3606" s="50">
        <v>100</v>
      </c>
      <c r="M3606" s="49"/>
      <c r="N3606" s="49"/>
      <c r="O3606" s="29"/>
      <c r="P3606" s="19"/>
      <c r="Q3606" s="14"/>
      <c r="R3606" s="11"/>
    </row>
    <row r="3607" s="1" customFormat="1" ht="21.95" customHeight="1" spans="1:18">
      <c r="A3607" s="7"/>
      <c r="B3607" s="12"/>
      <c r="C3607" s="33"/>
      <c r="D3607" s="117" t="s">
        <v>668</v>
      </c>
      <c r="E3607" s="117"/>
      <c r="F3607" s="117"/>
      <c r="G3607" s="54" t="str">
        <f>IFERROR(VLOOKUP(F3590,'1to4-2.1-RR'!$A$12:$BG$111,9,0),"")</f>
        <v/>
      </c>
      <c r="H3607" s="54" t="str">
        <f>IFERROR(VLOOKUP(F3590,'1to4-2.1-RR'!$A$12:$BG$111,10,0),"")</f>
        <v/>
      </c>
      <c r="I3607" s="54" t="str">
        <f>IFERROR(VLOOKUP(F3590,'1to4-2.1-RR'!$A$12:$BG$111,11,0),"")</f>
        <v/>
      </c>
      <c r="J3607" s="54" t="str">
        <f>IFERROR(VLOOKUP(F3590,'1to4-2.1-RR'!$A$12:$BG$111,12,0),"")</f>
        <v/>
      </c>
      <c r="K3607" s="54" t="str">
        <f>IFERROR(VLOOKUP(F3590,'1to4-2.1-RR'!$A$12:$BG$111,13,0),"")</f>
        <v/>
      </c>
      <c r="L3607" s="55">
        <f>SUM(G3607:K3607)</f>
        <v>0</v>
      </c>
      <c r="M3607" s="56" t="str">
        <f>IF(F3590&gt;ENTRY!$D$24,"",IF(L3607=0,"Ab",IF(L3607&gt;80,"A",IF(L3607&gt;60,"B",IF(L3607&gt;44,"C",IF(L3607&gt;=33,"D",IF(L3607&lt;=32,"E","")))))))</f>
        <v/>
      </c>
      <c r="N3607" s="56"/>
      <c r="O3607" s="29"/>
      <c r="P3607" s="19"/>
      <c r="Q3607" s="14"/>
      <c r="R3607" s="11"/>
    </row>
    <row r="3608" s="1" customFormat="1" ht="21.95" customHeight="1" spans="1:18">
      <c r="A3608" s="7"/>
      <c r="B3608" s="12"/>
      <c r="C3608" s="33"/>
      <c r="D3608" s="117" t="s">
        <v>513</v>
      </c>
      <c r="E3608" s="117"/>
      <c r="F3608" s="117"/>
      <c r="G3608" s="54" t="str">
        <f>IFERROR(VLOOKUP(F3590,'1to4-2.1-RR'!$A$12:$BG$111,16,0),"")</f>
        <v/>
      </c>
      <c r="H3608" s="54" t="str">
        <f>IFERROR(VLOOKUP(F3590,'1to4-2.1-RR'!$A$12:$BG$111,17,0),"")</f>
        <v/>
      </c>
      <c r="I3608" s="54" t="str">
        <f>IFERROR(VLOOKUP(F3590,'1to4-2.1-RR'!$A$12:$BG$111,18,0),"")</f>
        <v/>
      </c>
      <c r="J3608" s="54" t="str">
        <f>IFERROR(VLOOKUP(F3590,'1to4-2.1-RR'!$A$12:$BG$111,19,0),"")</f>
        <v/>
      </c>
      <c r="K3608" s="54" t="str">
        <f>IFERROR(VLOOKUP(F3590,'1to4-2.1-RR'!$A$12:$BG$111,20,0),"")</f>
        <v/>
      </c>
      <c r="L3608" s="55">
        <f t="shared" ref="L3608:L3613" si="128">SUM(G3608:K3608)</f>
        <v>0</v>
      </c>
      <c r="M3608" s="56" t="str">
        <f>IF(F3590&gt;ENTRY!$D$24,"",IF(L3608=0,"Ab",IF(L3608&gt;80,"A",IF(L3608&gt;60,"B",IF(L3608&gt;44,"C",IF(L3608&gt;=33,"D",IF(L3608&lt;=32,"E","")))))))</f>
        <v/>
      </c>
      <c r="N3608" s="56"/>
      <c r="O3608" s="29"/>
      <c r="P3608" s="19"/>
      <c r="Q3608" s="14"/>
      <c r="R3608" s="11"/>
    </row>
    <row r="3609" s="1" customFormat="1" ht="21.95" customHeight="1" spans="1:18">
      <c r="A3609" s="7"/>
      <c r="B3609" s="12"/>
      <c r="C3609" s="33"/>
      <c r="D3609" s="117" t="s">
        <v>718</v>
      </c>
      <c r="E3609" s="117"/>
      <c r="F3609" s="117"/>
      <c r="G3609" s="54" t="str">
        <f>IFERROR(VLOOKUP(F3590,'1to4-2.1-RR'!$A$12:$BG$111,23,0),"")</f>
        <v/>
      </c>
      <c r="H3609" s="54" t="str">
        <f>IFERROR(VLOOKUP(F3590,'1to4-2.1-RR'!$A$12:$BG$111,24,0),"")</f>
        <v/>
      </c>
      <c r="I3609" s="54" t="str">
        <f>IFERROR(VLOOKUP(F3590,'1to4-2.1-RR'!$A$12:$BG$111,25,0),"")</f>
        <v/>
      </c>
      <c r="J3609" s="54" t="str">
        <f>IFERROR(VLOOKUP(F3590,'1to4-2.1-RR'!$A$12:$BG$111,26,0),"")</f>
        <v/>
      </c>
      <c r="K3609" s="54" t="str">
        <f>IFERROR(VLOOKUP(F3590,'1to4-2.1-RR'!$A$12:$BG$111,27,0),"")</f>
        <v/>
      </c>
      <c r="L3609" s="55">
        <f t="shared" si="128"/>
        <v>0</v>
      </c>
      <c r="M3609" s="56" t="str">
        <f>IF(F3590&gt;ENTRY!$D$24,"",IF(L3609=0,"Ab",IF(L3609&gt;80,"A",IF(L3609&gt;60,"B",IF(L3609&gt;44,"C",IF(L3609&gt;=33,"D",IF(L3609&lt;=32,"E","")))))))</f>
        <v/>
      </c>
      <c r="N3609" s="56"/>
      <c r="O3609" s="29"/>
      <c r="P3609" s="19"/>
      <c r="Q3609" s="14"/>
      <c r="R3609" s="11"/>
    </row>
    <row r="3610" s="1" customFormat="1" ht="21.95" customHeight="1" spans="1:18">
      <c r="A3610" s="7"/>
      <c r="B3610" s="12"/>
      <c r="C3610" s="33"/>
      <c r="D3610" s="117" t="s">
        <v>719</v>
      </c>
      <c r="E3610" s="117"/>
      <c r="F3610" s="117"/>
      <c r="G3610" s="54" t="str">
        <f>IFERROR(VLOOKUP(F3590,'1to4-2.1-RR'!$A$12:$BG$111,30,0),"")</f>
        <v/>
      </c>
      <c r="H3610" s="54" t="str">
        <f>IFERROR(VLOOKUP(F3590,'1to4-2.1-RR'!$A$12:$BG$111,31,0),"")</f>
        <v/>
      </c>
      <c r="I3610" s="54" t="str">
        <f>IFERROR(VLOOKUP(F3590,'1to4-2.1-RR'!$A$12:$BG$111,32,0),"")</f>
        <v/>
      </c>
      <c r="J3610" s="54" t="str">
        <f>IFERROR(VLOOKUP(F3590,'1to4-2.1-RR'!$A$12:$BG$111,33,0),"")</f>
        <v/>
      </c>
      <c r="K3610" s="54" t="str">
        <f>IFERROR(VLOOKUP(F3590,'1to4-2.1-RR'!$A$12:$BG$111,34,0),"")</f>
        <v/>
      </c>
      <c r="L3610" s="55">
        <f t="shared" si="128"/>
        <v>0</v>
      </c>
      <c r="M3610" s="56" t="str">
        <f>IF(F3590&gt;ENTRY!$D$24,"",IF(L3610=0,"Ab",IF(L3610&gt;80,"A",IF(L3610&gt;60,"B",IF(L3610&gt;44,"C",IF(L3610&gt;=33,"D",IF(L3610&lt;=32,"E","")))))))</f>
        <v/>
      </c>
      <c r="N3610" s="56"/>
      <c r="O3610" s="29"/>
      <c r="P3610" s="19"/>
      <c r="Q3610" s="14"/>
      <c r="R3610" s="11"/>
    </row>
    <row r="3611" s="1" customFormat="1" ht="21.95" customHeight="1" spans="1:18">
      <c r="A3611" s="7"/>
      <c r="B3611" s="12"/>
      <c r="C3611" s="33"/>
      <c r="D3611" s="117" t="s">
        <v>548</v>
      </c>
      <c r="E3611" s="117"/>
      <c r="F3611" s="117"/>
      <c r="G3611" s="54" t="str">
        <f>IFERROR(VLOOKUP(F3590,'1to4-2.1-RR'!$A$12:$BG$111,37,0),"")</f>
        <v/>
      </c>
      <c r="H3611" s="54" t="str">
        <f>IFERROR(VLOOKUP(F3590,'1to4-2.1-RR'!$A$12:$BG$111,38,0),"")</f>
        <v/>
      </c>
      <c r="I3611" s="54" t="str">
        <f>IFERROR(VLOOKUP(F3590,'1to4-2.1-RR'!$A$12:$BG$111,39,0),"")</f>
        <v/>
      </c>
      <c r="J3611" s="54" t="str">
        <f>IFERROR(VLOOKUP(F3590,'1to4-2.1-RR'!$A$12:$BG$111,40,0),"")</f>
        <v/>
      </c>
      <c r="K3611" s="54" t="str">
        <f>IFERROR(VLOOKUP(F3590,'1to4-2.1-RR'!$A$12:$BG$111,41,0),"")</f>
        <v/>
      </c>
      <c r="L3611" s="55">
        <f t="shared" si="128"/>
        <v>0</v>
      </c>
      <c r="M3611" s="56" t="str">
        <f>IF(F3590&gt;ENTRY!$D$24,"",IF(L3611=0,"Ab",IF(L3611&gt;80,"A",IF(L3611&gt;60,"B",IF(L3611&gt;44,"C",IF(L3611&gt;=33,"D",IF(L3611&lt;=32,"E","")))))))</f>
        <v/>
      </c>
      <c r="N3611" s="56"/>
      <c r="O3611" s="29"/>
      <c r="P3611" s="19"/>
      <c r="Q3611" s="14"/>
      <c r="R3611" s="11"/>
    </row>
    <row r="3612" s="1" customFormat="1" ht="21.95" customHeight="1" spans="1:18">
      <c r="A3612" s="7"/>
      <c r="B3612" s="12"/>
      <c r="C3612" s="33"/>
      <c r="D3612" s="117" t="s">
        <v>549</v>
      </c>
      <c r="E3612" s="117"/>
      <c r="F3612" s="117"/>
      <c r="G3612" s="54" t="str">
        <f>IFERROR(VLOOKUP(F3590,'1to4-2.1-RR'!$A$12:$BG$111,44,0),"")</f>
        <v/>
      </c>
      <c r="H3612" s="54" t="str">
        <f>IFERROR(VLOOKUP(F3590,'1to4-2.1-RR'!$A$12:$BG$111,45,0),"")</f>
        <v/>
      </c>
      <c r="I3612" s="54" t="str">
        <f>IFERROR(VLOOKUP(F3590,'1to4-2.1-RR'!$A$12:$BG$111,46,0),"")</f>
        <v/>
      </c>
      <c r="J3612" s="54" t="str">
        <f>IFERROR(VLOOKUP(F3590,'1to4-2.1-RR'!$A$12:$BG$111,47,0),"")</f>
        <v/>
      </c>
      <c r="K3612" s="54" t="str">
        <f>IFERROR(VLOOKUP(F3590,'1to4-2.1-RR'!$A$12:$BG$111,48,0),"")</f>
        <v/>
      </c>
      <c r="L3612" s="55">
        <f t="shared" si="128"/>
        <v>0</v>
      </c>
      <c r="M3612" s="56" t="str">
        <f>IF(F3590&gt;ENTRY!$D$24,"",IF(L3612=0,"Ab",IF(L3612&gt;80,"A",IF(L3612&gt;60,"B",IF(L3612&gt;44,"C",IF(L3612&gt;=33,"D",IF(L3612&lt;=32,"E","")))))))</f>
        <v/>
      </c>
      <c r="N3612" s="56"/>
      <c r="O3612" s="29"/>
      <c r="P3612" s="19"/>
      <c r="Q3612" s="14"/>
      <c r="R3612" s="11"/>
    </row>
    <row r="3613" s="1" customFormat="1" ht="21.95" customHeight="1" spans="1:18">
      <c r="A3613" s="7"/>
      <c r="B3613" s="12"/>
      <c r="C3613" s="33"/>
      <c r="D3613" s="117" t="s">
        <v>720</v>
      </c>
      <c r="E3613" s="117"/>
      <c r="F3613" s="117"/>
      <c r="G3613" s="54"/>
      <c r="H3613" s="54"/>
      <c r="I3613" s="54"/>
      <c r="J3613" s="54"/>
      <c r="K3613" s="54"/>
      <c r="L3613" s="55">
        <f t="shared" si="128"/>
        <v>0</v>
      </c>
      <c r="M3613" s="56" t="str">
        <f>IF(F3590&gt;ENTRY!$D$24,"",IF(L3613=0,"",IF(L3613&gt;79,"A",IF(L3613&gt;59,"B",IF(L3613&gt;44,"C",IF(L3613&gt;=33,"D",IF(L3613&lt;=32,"E","")))))))</f>
        <v/>
      </c>
      <c r="N3613" s="56"/>
      <c r="O3613" s="29"/>
      <c r="P3613" s="19"/>
      <c r="Q3613" s="14"/>
      <c r="R3613" s="11"/>
    </row>
    <row r="3614" s="1" customFormat="1" ht="21.95" customHeight="1" spans="1:18">
      <c r="A3614" s="7"/>
      <c r="B3614" s="12"/>
      <c r="C3614" s="33"/>
      <c r="D3614" s="207" t="s">
        <v>382</v>
      </c>
      <c r="E3614" s="207"/>
      <c r="F3614" s="207"/>
      <c r="G3614" s="54">
        <f t="shared" ref="G3614:L3614" si="129">IFERROR(SUM(G3607:G3613),"")</f>
        <v>0</v>
      </c>
      <c r="H3614" s="54">
        <f t="shared" si="129"/>
        <v>0</v>
      </c>
      <c r="I3614" s="54">
        <f t="shared" si="129"/>
        <v>0</v>
      </c>
      <c r="J3614" s="54">
        <f t="shared" si="129"/>
        <v>0</v>
      </c>
      <c r="K3614" s="54">
        <f t="shared" si="129"/>
        <v>0</v>
      </c>
      <c r="L3614" s="55">
        <f t="shared" si="129"/>
        <v>0</v>
      </c>
      <c r="M3614" s="61" t="str">
        <f>IF(F3590&gt;ENTRY!$D$24,"",IF(N3615="Ab","Ab",IF(N3615&gt;79.5,"A",IF(N3615&gt;59.5,"B",IF(N3615&gt;44.5,"C",IF(N3615&gt;=33,"D",IF(N3615&lt;33,"E","")))))))</f>
        <v/>
      </c>
      <c r="N3614" s="61"/>
      <c r="O3614" s="29"/>
      <c r="P3614" s="19"/>
      <c r="Q3614" s="14"/>
      <c r="R3614" s="11"/>
    </row>
    <row r="3615" s="1" customFormat="1" ht="21.95" customHeight="1" spans="1:18">
      <c r="A3615" s="7"/>
      <c r="B3615" s="12"/>
      <c r="C3615" s="33"/>
      <c r="D3615" s="63" t="s">
        <v>721</v>
      </c>
      <c r="E3615" s="63"/>
      <c r="F3615" s="63"/>
      <c r="G3615" s="63"/>
      <c r="H3615" s="63"/>
      <c r="I3615" s="63"/>
      <c r="J3615" s="63"/>
      <c r="K3615" s="63"/>
      <c r="L3615" s="63"/>
      <c r="M3615" s="209"/>
      <c r="N3615" s="64">
        <f>IF(L3614="Ab","Ab",L3614/6)</f>
        <v>0</v>
      </c>
      <c r="O3615" s="65"/>
      <c r="P3615" s="19"/>
      <c r="Q3615" s="14"/>
      <c r="R3615" s="11"/>
    </row>
    <row r="3616" s="1" customFormat="1" ht="21.95" customHeight="1" spans="1:18">
      <c r="A3616" s="7"/>
      <c r="B3616" s="12"/>
      <c r="C3616" s="33"/>
      <c r="D3616" s="29" t="s">
        <v>716</v>
      </c>
      <c r="E3616" s="18" t="str">
        <f>IFERROR(VLOOKUP(F3590,'1to4-2.1-RR'!$A$12:$BG$111,57,0),"")</f>
        <v/>
      </c>
      <c r="F3616" s="18"/>
      <c r="G3616" s="18"/>
      <c r="H3616" s="18"/>
      <c r="I3616" s="18"/>
      <c r="J3616" s="18"/>
      <c r="K3616" s="18"/>
      <c r="L3616" s="18"/>
      <c r="M3616" s="18"/>
      <c r="N3616" s="29"/>
      <c r="O3616" s="29"/>
      <c r="P3616" s="19"/>
      <c r="Q3616" s="14"/>
      <c r="R3616" s="11"/>
    </row>
    <row r="3617" s="1" customFormat="1" ht="9.95" customHeight="1" spans="1:19">
      <c r="A3617" s="7"/>
      <c r="B3617" s="12"/>
      <c r="C3617" s="39"/>
      <c r="D3617" s="40"/>
      <c r="E3617" s="40"/>
      <c r="F3617" s="40"/>
      <c r="G3617" s="40"/>
      <c r="H3617" s="40"/>
      <c r="I3617" s="40"/>
      <c r="J3617" s="40"/>
      <c r="K3617" s="40"/>
      <c r="L3617" s="40"/>
      <c r="M3617" s="40"/>
      <c r="N3617" s="40"/>
      <c r="O3617" s="40"/>
      <c r="P3617" s="41"/>
      <c r="Q3617" s="14"/>
      <c r="R3617" s="11"/>
    </row>
    <row r="3618" s="1" customFormat="1" ht="9.95" customHeight="1" spans="1:19">
      <c r="A3618" s="7"/>
      <c r="B3618" s="12"/>
      <c r="C3618" s="30"/>
      <c r="D3618" s="31"/>
      <c r="E3618" s="31"/>
      <c r="F3618" s="29"/>
      <c r="G3618" s="31"/>
      <c r="H3618" s="31"/>
      <c r="I3618" s="31"/>
      <c r="J3618" s="31"/>
      <c r="K3618" s="31"/>
      <c r="L3618" s="31"/>
      <c r="M3618" s="31"/>
      <c r="N3618" s="31"/>
      <c r="O3618" s="31"/>
      <c r="P3618" s="32"/>
      <c r="Q3618" s="14"/>
      <c r="R3618" s="11"/>
    </row>
    <row r="3619" s="1" customFormat="1" ht="9.95" customHeight="1" spans="1:19">
      <c r="A3619" s="7"/>
      <c r="B3619" s="12"/>
      <c r="C3619" s="33"/>
      <c r="D3619" s="29"/>
      <c r="E3619" s="29"/>
      <c r="F3619" s="29"/>
      <c r="G3619" s="29"/>
      <c r="H3619" s="29"/>
      <c r="I3619" s="29"/>
      <c r="J3619" s="29"/>
      <c r="K3619" s="29"/>
      <c r="L3619" s="29"/>
      <c r="M3619" s="29"/>
      <c r="N3619" s="29"/>
      <c r="O3619" s="29"/>
      <c r="P3619" s="19"/>
      <c r="Q3619" s="14"/>
      <c r="R3619" s="11"/>
    </row>
    <row r="3620" s="1" customFormat="1" ht="9.95" customHeight="1" spans="1:19">
      <c r="A3620" s="7"/>
      <c r="B3620" s="12"/>
      <c r="C3620" s="33"/>
      <c r="D3620" s="29"/>
      <c r="E3620" s="29"/>
      <c r="F3620" s="29"/>
      <c r="G3620" s="29"/>
      <c r="H3620" s="29"/>
      <c r="I3620" s="29"/>
      <c r="J3620" s="29"/>
      <c r="K3620" s="29"/>
      <c r="L3620" s="29"/>
      <c r="M3620" s="29"/>
      <c r="N3620" s="29"/>
      <c r="O3620" s="29"/>
      <c r="P3620" s="19"/>
      <c r="Q3620" s="14"/>
      <c r="R3620" s="11"/>
    </row>
    <row r="3621" s="1" customFormat="1" ht="21.95" customHeight="1" spans="1:19">
      <c r="A3621" s="7"/>
      <c r="B3621" s="12"/>
      <c r="C3621" s="210"/>
      <c r="D3621" s="211"/>
      <c r="E3621" s="211"/>
      <c r="F3621" s="211"/>
      <c r="G3621" s="211"/>
      <c r="H3621" s="211"/>
      <c r="I3621" s="211"/>
      <c r="J3621" s="211"/>
      <c r="K3621" s="211"/>
      <c r="L3621" s="211"/>
      <c r="M3621" s="211"/>
      <c r="N3621" s="211"/>
      <c r="O3621" s="211"/>
      <c r="P3621" s="212"/>
      <c r="Q3621" s="14"/>
      <c r="R3621" s="11"/>
      <c r="S3621" s="2"/>
    </row>
    <row r="3622" s="1" customFormat="1" ht="21.95" customHeight="1" spans="1:19">
      <c r="A3622" s="7"/>
      <c r="B3622" s="12"/>
      <c r="C3622" s="33"/>
      <c r="D3622" s="207" t="s">
        <v>722</v>
      </c>
      <c r="E3622" s="207"/>
      <c r="F3622" s="207"/>
      <c r="G3622" s="207"/>
      <c r="H3622" s="54">
        <f>IFERROR(VLOOKUP(F3590,PASHEET!$A$4:$CJ$103,88,0),"")</f>
        <v>0</v>
      </c>
      <c r="I3622" s="54"/>
      <c r="J3622" s="29"/>
      <c r="K3622" s="29"/>
      <c r="L3622" s="29"/>
      <c r="M3622" s="29"/>
      <c r="N3622" s="29"/>
      <c r="O3622" s="29"/>
      <c r="P3622" s="19"/>
      <c r="Q3622" s="14"/>
      <c r="R3622" s="11"/>
    </row>
    <row r="3623" s="1" customFormat="1" ht="21.95" customHeight="1" spans="1:19">
      <c r="A3623" s="7"/>
      <c r="B3623" s="12"/>
      <c r="C3623" s="213"/>
      <c r="D3623" s="207" t="s">
        <v>723</v>
      </c>
      <c r="E3623" s="207"/>
      <c r="F3623" s="207"/>
      <c r="G3623" s="207"/>
      <c r="H3623" s="54">
        <f>IFERROR(VLOOKUP(F3590,PASHEET!$A$4:$CJ$103,87,0),"")</f>
        <v>0</v>
      </c>
      <c r="I3623" s="54"/>
      <c r="J3623" s="214"/>
      <c r="K3623" s="214"/>
      <c r="L3623" s="207" t="s">
        <v>724</v>
      </c>
      <c r="M3623" s="207"/>
      <c r="N3623" s="117" t="str">
        <f>IF(F3590&gt;ENTRY!$D$24,"",IF(F3590&gt;0,L3614&amp;" / "&amp;600,""))</f>
        <v/>
      </c>
      <c r="O3623" s="117"/>
      <c r="P3623" s="215"/>
      <c r="Q3623" s="14"/>
      <c r="R3623" s="11"/>
    </row>
    <row r="3624" s="1" customFormat="1" ht="18" customHeight="1" spans="1:19">
      <c r="A3624" s="7"/>
      <c r="B3624" s="12"/>
      <c r="C3624" s="33"/>
      <c r="D3624" s="207" t="s">
        <v>725</v>
      </c>
      <c r="E3624" s="207"/>
      <c r="F3624" s="207"/>
      <c r="G3624" s="207"/>
      <c r="H3624" s="69" t="str">
        <f>IFERROR(IF(F3590&gt;0,H3623/H3622*100),"")</f>
        <v/>
      </c>
      <c r="I3624" s="69"/>
      <c r="J3624" s="29"/>
      <c r="K3624" s="29"/>
      <c r="L3624" s="207" t="s">
        <v>726</v>
      </c>
      <c r="M3624" s="207"/>
      <c r="N3624" s="216" t="str">
        <f>IF(F3590&gt;ENTRY!$D$24,"",IF(F3590&gt;0,L3614/600*100,""))</f>
        <v/>
      </c>
      <c r="O3624" s="216"/>
      <c r="P3624" s="19"/>
      <c r="Q3624" s="14"/>
      <c r="R3624" s="11"/>
    </row>
    <row r="3625" s="1" customFormat="1" ht="21.95" customHeight="1" spans="1:19">
      <c r="A3625" s="7"/>
      <c r="B3625" s="12"/>
      <c r="C3625" s="33"/>
      <c r="D3625" s="80"/>
      <c r="E3625" s="80"/>
      <c r="F3625" s="217"/>
      <c r="G3625" s="217"/>
      <c r="H3625" s="217"/>
      <c r="I3625" s="217"/>
      <c r="J3625" s="217"/>
      <c r="K3625" s="217"/>
      <c r="L3625" s="217"/>
      <c r="M3625" s="217"/>
      <c r="N3625" s="80"/>
      <c r="O3625" s="80"/>
      <c r="P3625" s="19"/>
      <c r="Q3625" s="14"/>
      <c r="R3625" s="11"/>
    </row>
    <row r="3626" s="1" customFormat="1" ht="21.95" customHeight="1" spans="1:19">
      <c r="A3626" s="7"/>
      <c r="B3626" s="12"/>
      <c r="C3626" s="33"/>
      <c r="D3626" s="80"/>
      <c r="E3626" s="218"/>
      <c r="F3626" s="218"/>
      <c r="G3626" s="218"/>
      <c r="H3626" s="80"/>
      <c r="I3626" s="218"/>
      <c r="J3626" s="218"/>
      <c r="K3626" s="218"/>
      <c r="L3626" s="218"/>
      <c r="M3626" s="80"/>
      <c r="N3626" s="219"/>
      <c r="O3626" s="219"/>
      <c r="P3626" s="19"/>
      <c r="Q3626" s="14"/>
      <c r="R3626" s="11"/>
    </row>
    <row r="3627" s="1" customFormat="1" ht="21.95" customHeight="1" spans="1:19">
      <c r="A3627" s="7"/>
      <c r="B3627" s="12"/>
      <c r="C3627" s="33"/>
      <c r="D3627" s="80"/>
      <c r="E3627" s="80"/>
      <c r="F3627" s="80"/>
      <c r="G3627" s="80"/>
      <c r="H3627" s="80"/>
      <c r="I3627" s="80"/>
      <c r="J3627" s="80"/>
      <c r="K3627" s="80"/>
      <c r="L3627" s="80"/>
      <c r="M3627" s="80"/>
      <c r="N3627" s="80"/>
      <c r="O3627" s="80"/>
      <c r="P3627" s="19"/>
      <c r="Q3627" s="14"/>
      <c r="R3627" s="11"/>
    </row>
    <row r="3628" s="1" customFormat="1" ht="21.95" customHeight="1" spans="1:19">
      <c r="A3628" s="7"/>
      <c r="B3628" s="12"/>
      <c r="C3628" s="33"/>
      <c r="D3628" s="218"/>
      <c r="E3628" s="218"/>
      <c r="F3628" s="218"/>
      <c r="G3628" s="218"/>
      <c r="H3628" s="218"/>
      <c r="I3628" s="218"/>
      <c r="J3628" s="218"/>
      <c r="K3628" s="218"/>
      <c r="L3628" s="218"/>
      <c r="M3628" s="80"/>
      <c r="N3628" s="217"/>
      <c r="O3628" s="217"/>
      <c r="P3628" s="85" t="s">
        <v>727</v>
      </c>
      <c r="Q3628" s="14"/>
      <c r="R3628" s="11"/>
    </row>
    <row r="3629" s="1" customFormat="1" ht="21.95" customHeight="1" spans="1:19">
      <c r="A3629" s="7"/>
      <c r="B3629" s="12"/>
      <c r="C3629" s="33"/>
      <c r="D3629" s="29"/>
      <c r="E3629" s="29"/>
      <c r="F3629" s="29"/>
      <c r="G3629" s="29"/>
      <c r="H3629" s="29"/>
      <c r="I3629" s="29"/>
      <c r="J3629" s="29"/>
      <c r="K3629" s="29"/>
      <c r="L3629" s="29"/>
      <c r="M3629" s="29"/>
      <c r="N3629" s="29"/>
      <c r="O3629" s="29"/>
      <c r="P3629" s="19"/>
      <c r="Q3629" s="14"/>
      <c r="R3629" s="11"/>
    </row>
    <row r="3630" s="1" customFormat="1" ht="21.95" customHeight="1" spans="1:19">
      <c r="A3630" s="7"/>
      <c r="B3630" s="12"/>
      <c r="C3630" s="33"/>
      <c r="D3630" s="29"/>
      <c r="E3630" s="29"/>
      <c r="F3630" s="29"/>
      <c r="G3630" s="29"/>
      <c r="H3630" s="29"/>
      <c r="I3630" s="29"/>
      <c r="J3630" s="29"/>
      <c r="K3630" s="29"/>
      <c r="L3630" s="29"/>
      <c r="M3630" s="29"/>
      <c r="N3630" s="29"/>
      <c r="O3630" s="29"/>
      <c r="P3630" s="19"/>
      <c r="Q3630" s="14"/>
      <c r="R3630" s="11"/>
    </row>
    <row r="3631" s="1" customFormat="1" ht="21.95" customHeight="1" spans="1:19">
      <c r="A3631" s="7"/>
      <c r="B3631" s="12"/>
      <c r="C3631" s="33"/>
      <c r="D3631" s="29"/>
      <c r="E3631" s="29"/>
      <c r="F3631" s="29"/>
      <c r="G3631" s="29"/>
      <c r="H3631" s="29"/>
      <c r="I3631" s="29"/>
      <c r="J3631" s="29"/>
      <c r="K3631" s="29"/>
      <c r="L3631" s="29"/>
      <c r="M3631" s="29"/>
      <c r="N3631" s="29"/>
      <c r="O3631" s="29"/>
      <c r="P3631" s="19"/>
      <c r="Q3631" s="14"/>
      <c r="R3631" s="11"/>
    </row>
    <row r="3632" s="1" customFormat="1" ht="21.95" customHeight="1" spans="1:19">
      <c r="A3632" s="7"/>
      <c r="B3632" s="12"/>
      <c r="C3632" s="33"/>
      <c r="D3632" s="29"/>
      <c r="E3632" s="29"/>
      <c r="F3632" s="29"/>
      <c r="G3632" s="29"/>
      <c r="H3632" s="29"/>
      <c r="I3632" s="29"/>
      <c r="J3632" s="29"/>
      <c r="K3632" s="29"/>
      <c r="L3632" s="29"/>
      <c r="M3632" s="29"/>
      <c r="N3632" s="29"/>
      <c r="O3632" s="29"/>
      <c r="P3632" s="19"/>
      <c r="Q3632" s="14"/>
      <c r="R3632" s="11"/>
    </row>
    <row r="3633" s="1" customFormat="1" ht="21.95" customHeight="1" spans="1:18">
      <c r="A3633" s="7"/>
      <c r="B3633" s="12"/>
      <c r="C3633" s="33"/>
      <c r="D3633" s="29"/>
      <c r="E3633" s="29"/>
      <c r="F3633" s="29"/>
      <c r="G3633" s="29"/>
      <c r="H3633" s="29"/>
      <c r="I3633" s="29"/>
      <c r="J3633" s="29"/>
      <c r="K3633" s="29"/>
      <c r="L3633" s="29"/>
      <c r="M3633" s="29"/>
      <c r="N3633" s="29"/>
      <c r="O3633" s="29"/>
      <c r="P3633" s="19"/>
      <c r="Q3633" s="14"/>
      <c r="R3633" s="11"/>
    </row>
    <row r="3634" s="1" customFormat="1" ht="21.95" customHeight="1" spans="1:18">
      <c r="A3634" s="7"/>
      <c r="B3634" s="12"/>
      <c r="C3634" s="33"/>
      <c r="D3634" s="80" t="s">
        <v>728</v>
      </c>
      <c r="E3634" s="220">
        <f>ENTRY!$D$27</f>
        <v>46102</v>
      </c>
      <c r="F3634" s="220"/>
      <c r="G3634" s="29"/>
      <c r="H3634" s="29"/>
      <c r="I3634" s="221" t="s">
        <v>729</v>
      </c>
      <c r="J3634" s="153"/>
      <c r="K3634" s="29"/>
      <c r="L3634" s="29"/>
      <c r="M3634" s="87" t="s">
        <v>730</v>
      </c>
      <c r="N3634" s="87"/>
      <c r="O3634" s="87"/>
      <c r="P3634" s="19"/>
      <c r="Q3634" s="14"/>
      <c r="R3634" s="11"/>
    </row>
    <row r="3635" s="1" customFormat="1" ht="21.95" customHeight="1" spans="1:18">
      <c r="A3635" s="7"/>
      <c r="B3635" s="12"/>
      <c r="C3635" s="33"/>
      <c r="D3635" s="80" t="s">
        <v>731</v>
      </c>
      <c r="E3635" s="88" t="str">
        <f>PROPER(ENTRY!$D$28)</f>
        <v>New Delhi</v>
      </c>
      <c r="F3635" s="88"/>
      <c r="G3635" s="29"/>
      <c r="H3635" s="29"/>
      <c r="I3635" s="153"/>
      <c r="J3635" s="153"/>
      <c r="K3635" s="29"/>
      <c r="L3635" s="29"/>
      <c r="M3635" s="79" t="s">
        <v>732</v>
      </c>
      <c r="N3635" s="79"/>
      <c r="O3635" s="79"/>
      <c r="P3635" s="19"/>
      <c r="Q3635" s="14"/>
      <c r="R3635" s="11"/>
    </row>
    <row r="3636" s="1" customFormat="1" ht="21.95" customHeight="1" spans="1:18">
      <c r="A3636" s="7"/>
      <c r="B3636" s="12"/>
      <c r="C3636" s="90"/>
      <c r="D3636" s="91"/>
      <c r="E3636" s="91"/>
      <c r="F3636" s="91"/>
      <c r="G3636" s="91"/>
      <c r="H3636" s="91"/>
      <c r="I3636" s="91"/>
      <c r="J3636" s="91"/>
      <c r="K3636" s="91"/>
      <c r="L3636" s="91"/>
      <c r="M3636" s="91"/>
      <c r="N3636" s="91"/>
      <c r="O3636" s="91"/>
      <c r="P3636" s="92"/>
      <c r="Q3636" s="14"/>
      <c r="R3636" s="11"/>
    </row>
    <row r="3637" s="1" customFormat="1" ht="5.1" customHeight="1" spans="1:18">
      <c r="A3637" s="7"/>
      <c r="B3637" s="90"/>
      <c r="C3637" s="91"/>
      <c r="D3637" s="91"/>
      <c r="E3637" s="91"/>
      <c r="F3637" s="91"/>
      <c r="G3637" s="91"/>
      <c r="H3637" s="91"/>
      <c r="I3637" s="91"/>
      <c r="J3637" s="91"/>
      <c r="K3637" s="91"/>
      <c r="L3637" s="91"/>
      <c r="M3637" s="91"/>
      <c r="N3637" s="91"/>
      <c r="O3637" s="91"/>
      <c r="P3637" s="91"/>
      <c r="Q3637" s="92"/>
      <c r="R3637" s="11"/>
    </row>
    <row r="3638" s="1" customFormat="1" ht="5.1" customHeight="1" spans="1:18">
      <c r="A3638" s="93"/>
      <c r="B3638" s="94"/>
      <c r="C3638" s="94"/>
      <c r="D3638" s="94"/>
      <c r="E3638" s="94"/>
      <c r="F3638" s="94"/>
      <c r="G3638" s="94"/>
      <c r="H3638" s="94"/>
      <c r="I3638" s="94"/>
      <c r="J3638" s="94"/>
      <c r="K3638" s="94"/>
      <c r="L3638" s="94"/>
      <c r="M3638" s="94"/>
      <c r="N3638" s="94"/>
      <c r="O3638" s="94"/>
      <c r="P3638" s="94"/>
      <c r="Q3638" s="94"/>
      <c r="R3638" s="95"/>
    </row>
    <row r="3639" s="1" customFormat="1" ht="21.95" customHeight="1"/>
    <row r="3640" ht="15.15"/>
    <row r="3641" s="1" customFormat="1" ht="5.1" customHeight="1" spans="1:18">
      <c r="A3641" s="4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  <c r="O3641" s="5"/>
      <c r="P3641" s="5"/>
      <c r="Q3641" s="5"/>
      <c r="R3641" s="6"/>
    </row>
    <row r="3642" s="1" customFormat="1" ht="15" customHeight="1" spans="1:18">
      <c r="A3642" s="7"/>
      <c r="B3642" s="8"/>
      <c r="C3642" s="9"/>
      <c r="D3642" s="9"/>
      <c r="E3642" s="9"/>
      <c r="F3642" s="9"/>
      <c r="G3642" s="9"/>
      <c r="H3642" s="9"/>
      <c r="I3642" s="9"/>
      <c r="J3642" s="9"/>
      <c r="K3642" s="9"/>
      <c r="L3642" s="9"/>
      <c r="M3642" s="9"/>
      <c r="N3642" s="9"/>
      <c r="O3642" s="9"/>
      <c r="P3642" s="9"/>
      <c r="Q3642" s="10"/>
      <c r="R3642" s="11"/>
    </row>
    <row r="3643" s="1" customFormat="1" ht="21.95" customHeight="1" spans="1:18">
      <c r="A3643" s="7"/>
      <c r="B3643" s="12"/>
      <c r="C3643" s="13" t="s">
        <v>7</v>
      </c>
      <c r="D3643" s="13"/>
      <c r="E3643" s="13"/>
      <c r="F3643" s="13"/>
      <c r="G3643" s="13"/>
      <c r="H3643" s="13"/>
      <c r="I3643" s="13"/>
      <c r="J3643" s="13"/>
      <c r="K3643" s="13"/>
      <c r="L3643" s="13"/>
      <c r="M3643" s="13"/>
      <c r="N3643" s="13"/>
      <c r="O3643" s="13"/>
      <c r="P3643" s="13"/>
      <c r="Q3643" s="14"/>
      <c r="R3643" s="11"/>
    </row>
    <row r="3644" s="1" customFormat="1" ht="21.95" customHeight="1" spans="1:18">
      <c r="A3644" s="7"/>
      <c r="B3644" s="1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14"/>
      <c r="R3644" s="11"/>
    </row>
    <row r="3645" s="1" customFormat="1" ht="21.95" customHeight="1" spans="1:18">
      <c r="A3645" s="7"/>
      <c r="B3645" s="12"/>
      <c r="C3645" s="15" t="str">
        <f>"SESSION-"&amp;ENTRY!$D$11</f>
        <v>SESSION-2026-27</v>
      </c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4"/>
      <c r="R3645" s="11"/>
    </row>
    <row r="3646" s="1" customFormat="1" ht="21.95" customHeight="1" spans="1:18">
      <c r="A3646" s="7"/>
      <c r="B3646" s="12"/>
      <c r="C3646" s="2"/>
      <c r="D3646" s="2"/>
      <c r="E3646" s="2"/>
      <c r="F3646" s="16">
        <f>F3590+1</f>
        <v>66</v>
      </c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14"/>
      <c r="R3646" s="11"/>
    </row>
    <row r="3647" s="1" customFormat="1" ht="21.95" customHeight="1" spans="1:18">
      <c r="A3647" s="7"/>
      <c r="B3647" s="12"/>
      <c r="C3647" s="17" t="s">
        <v>392</v>
      </c>
      <c r="D3647" s="17"/>
      <c r="E3647" s="17"/>
      <c r="F3647" s="18" t="str">
        <f>IF(F3646&gt;0,ENTRY!$D$6,"")</f>
        <v>MCP NITHARI NO 1 BOYS</v>
      </c>
      <c r="G3647" s="18"/>
      <c r="H3647" s="18"/>
      <c r="I3647" s="18"/>
      <c r="J3647" s="18"/>
      <c r="K3647" s="18"/>
      <c r="L3647" s="18"/>
      <c r="M3647" s="18"/>
      <c r="N3647" s="18"/>
      <c r="O3647" s="18"/>
      <c r="P3647" s="18"/>
      <c r="Q3647" s="14"/>
      <c r="R3647" s="11"/>
    </row>
    <row r="3648" s="1" customFormat="1" ht="21.95" customHeight="1" spans="1:18">
      <c r="A3648" s="7"/>
      <c r="B3648" s="12"/>
      <c r="C3648" s="17" t="s">
        <v>393</v>
      </c>
      <c r="D3648" s="17"/>
      <c r="E3648" s="17"/>
      <c r="F3648" s="18">
        <f>IF(F3646&gt;0,ENTRY!$D$7,"")</f>
        <v>0</v>
      </c>
      <c r="G3648" s="18"/>
      <c r="H3648" s="20" t="s">
        <v>702</v>
      </c>
      <c r="I3648" s="20"/>
      <c r="J3648" s="21">
        <f>IF(F3646&gt;0,ENTRY!$D$10,"")</f>
        <v>40</v>
      </c>
      <c r="K3648" s="20" t="s">
        <v>703</v>
      </c>
      <c r="L3648" s="22" t="str">
        <f>IF(F3646&gt;0,ENTRY!$D$5,"")</f>
        <v>ROHINI ZONE</v>
      </c>
      <c r="M3648" s="22"/>
      <c r="N3648" s="22"/>
      <c r="O3648" s="22"/>
      <c r="P3648" s="22"/>
      <c r="Q3648" s="14"/>
      <c r="R3648" s="11"/>
    </row>
    <row r="3649" s="1" customFormat="1" ht="21.95" customHeight="1" spans="1:18">
      <c r="A3649" s="7"/>
      <c r="B3649" s="12"/>
      <c r="C3649" s="17" t="s">
        <v>706</v>
      </c>
      <c r="D3649" s="17"/>
      <c r="E3649" s="17"/>
      <c r="F3649" s="23">
        <f>IFERROR(VLOOKUP(F3646,STUDENT!$A$2:$BP$101,5,0),"")</f>
        <v>0</v>
      </c>
      <c r="G3649" s="23"/>
      <c r="H3649" s="23"/>
      <c r="I3649" s="23"/>
      <c r="J3649" s="23"/>
      <c r="K3649" s="23"/>
      <c r="L3649" s="20" t="s">
        <v>707</v>
      </c>
      <c r="M3649" s="20"/>
      <c r="N3649" s="24" t="str">
        <f>IF(F3646&gt;0,ENTRY!$D$20&amp;"-"&amp;ENTRY!$D$21,"")</f>
        <v>III-A</v>
      </c>
      <c r="O3649" s="24"/>
      <c r="P3649" s="24"/>
      <c r="Q3649" s="14"/>
      <c r="R3649" s="11"/>
    </row>
    <row r="3650" s="1" customFormat="1" ht="21.95" customHeight="1" spans="1:18">
      <c r="A3650" s="7"/>
      <c r="B3650" s="12"/>
      <c r="C3650" s="17" t="s">
        <v>708</v>
      </c>
      <c r="D3650" s="17"/>
      <c r="E3650" s="17"/>
      <c r="F3650" s="25">
        <f>IFERROR(VLOOKUP(F3646,STUDENT!$A$2:$BP$101,6,0),"")</f>
        <v>0</v>
      </c>
      <c r="G3650" s="25"/>
      <c r="H3650" s="26" t="s">
        <v>709</v>
      </c>
      <c r="I3650" s="27" t="str">
        <f>IFERROR(VLOOKUP(F3646,STUDENT!$A$2:$BP$101,59,0),"")</f>
        <v/>
      </c>
      <c r="J3650" s="27"/>
      <c r="K3650" s="20" t="s">
        <v>710</v>
      </c>
      <c r="L3650" s="20"/>
      <c r="M3650" s="28">
        <f>IFERROR(VLOOKUP(F3646,STUDENT!$A$2:$BP$101,20,0),"")</f>
        <v>0</v>
      </c>
      <c r="N3650" s="28"/>
      <c r="O3650" s="28"/>
      <c r="P3650" s="28"/>
      <c r="Q3650" s="14"/>
      <c r="R3650" s="11"/>
    </row>
    <row r="3651" s="1" customFormat="1" ht="21.95" customHeight="1" spans="1:18">
      <c r="A3651" s="7"/>
      <c r="B3651" s="12"/>
      <c r="C3651" s="17" t="s">
        <v>711</v>
      </c>
      <c r="D3651" s="17"/>
      <c r="E3651" s="17"/>
      <c r="F3651" s="23">
        <f>IFERROR(VLOOKUP(F3646,STUDENT!$A$2:$BP$101,9,0),"")</f>
        <v>0</v>
      </c>
      <c r="G3651" s="23"/>
      <c r="H3651" s="23"/>
      <c r="I3651" s="23"/>
      <c r="J3651" s="17" t="s">
        <v>620</v>
      </c>
      <c r="K3651" s="17"/>
      <c r="L3651" s="23">
        <f>IFERROR(VLOOKUP(F3646,STUDENT!$A$2:$BP$101,8,0),"")</f>
        <v>0</v>
      </c>
      <c r="M3651" s="23"/>
      <c r="N3651" s="23"/>
      <c r="O3651" s="23"/>
      <c r="P3651" s="23"/>
      <c r="Q3651" s="14"/>
      <c r="R3651" s="11"/>
    </row>
    <row r="3652" s="1" customFormat="1" ht="21.95" customHeight="1" spans="1:18">
      <c r="A3652" s="7"/>
      <c r="B3652" s="12"/>
      <c r="C3652" s="17" t="s">
        <v>712</v>
      </c>
      <c r="D3652" s="17"/>
      <c r="E3652" s="17"/>
      <c r="F3652" s="23">
        <f>IFERROR(VLOOKUP(F3646,STUDENT!$A$2:$BP$101,22,0),"")</f>
        <v>0</v>
      </c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14"/>
      <c r="R3652" s="11"/>
    </row>
    <row r="3653" s="1" customFormat="1" ht="9.95" customHeight="1" spans="1:18">
      <c r="A3653" s="7"/>
      <c r="B3653" s="12"/>
      <c r="C3653" s="29"/>
      <c r="D3653" s="29"/>
      <c r="E3653" s="29"/>
      <c r="F3653" s="29"/>
      <c r="G3653" s="29"/>
      <c r="H3653" s="29"/>
      <c r="I3653" s="29"/>
      <c r="J3653" s="29"/>
      <c r="K3653" s="29"/>
      <c r="L3653" s="29"/>
      <c r="M3653" s="29"/>
      <c r="N3653" s="29"/>
      <c r="O3653" s="29"/>
      <c r="P3653" s="29"/>
      <c r="Q3653" s="14"/>
      <c r="R3653" s="11"/>
    </row>
    <row r="3654" s="1" customFormat="1" ht="9.95" customHeight="1" spans="1:18">
      <c r="A3654" s="7"/>
      <c r="B3654" s="12"/>
      <c r="C3654" s="30"/>
      <c r="D3654" s="31"/>
      <c r="E3654" s="31"/>
      <c r="F3654" s="31"/>
      <c r="G3654" s="31"/>
      <c r="H3654" s="31"/>
      <c r="I3654" s="31"/>
      <c r="J3654" s="31"/>
      <c r="K3654" s="31"/>
      <c r="L3654" s="31"/>
      <c r="M3654" s="31"/>
      <c r="N3654" s="31"/>
      <c r="O3654" s="31"/>
      <c r="P3654" s="32"/>
      <c r="Q3654" s="14"/>
      <c r="R3654" s="11"/>
    </row>
    <row r="3655" s="1" customFormat="1" ht="21.95" customHeight="1" spans="1:18">
      <c r="A3655" s="7"/>
      <c r="B3655" s="12"/>
      <c r="C3655" s="33"/>
      <c r="D3655" s="34" t="s">
        <v>713</v>
      </c>
      <c r="E3655" s="20" t="s">
        <v>714</v>
      </c>
      <c r="F3655" s="35" t="str">
        <f>"Level - "&amp;IFERROR(VLOOKUP(F3646,FLN!$A$4:$K$103,9,0),"")</f>
        <v>Level - </v>
      </c>
      <c r="G3655" s="36"/>
      <c r="H3655" s="37" t="s">
        <v>715</v>
      </c>
      <c r="I3655" s="20"/>
      <c r="J3655" s="35" t="str">
        <f>"Level - "&amp;IFERROR(VLOOKUP(F3646,FLN!$A$4:$K$103,11,0),"")</f>
        <v>Level - </v>
      </c>
      <c r="K3655" s="36"/>
      <c r="L3655" s="37" t="s">
        <v>408</v>
      </c>
      <c r="M3655" s="20"/>
      <c r="N3655" s="35" t="str">
        <f>"Level - "&amp;IFERROR(VLOOKUP(F3646,FLN!$A$4:$K$103,10,0),"")</f>
        <v>Level - </v>
      </c>
      <c r="O3655" s="36"/>
      <c r="P3655" s="19"/>
      <c r="Q3655" s="14"/>
      <c r="R3655" s="11"/>
    </row>
    <row r="3656" s="1" customFormat="1" ht="21.95" customHeight="1" spans="1:18">
      <c r="A3656" s="7"/>
      <c r="B3656" s="12"/>
      <c r="C3656" s="33"/>
      <c r="D3656" s="38"/>
      <c r="E3656" s="20" t="s">
        <v>716</v>
      </c>
      <c r="F3656" s="18" t="str">
        <f>IF(L3670&gt;197,"PERFORMED WELL","")</f>
        <v/>
      </c>
      <c r="G3656" s="18"/>
      <c r="H3656" s="18"/>
      <c r="I3656" s="18"/>
      <c r="J3656" s="18"/>
      <c r="K3656" s="18"/>
      <c r="L3656" s="18"/>
      <c r="M3656" s="18"/>
      <c r="N3656" s="18"/>
      <c r="O3656" s="18"/>
      <c r="P3656" s="19"/>
      <c r="Q3656" s="14"/>
      <c r="R3656" s="11"/>
    </row>
    <row r="3657" s="1" customFormat="1" ht="9.95" customHeight="1" spans="1:18">
      <c r="A3657" s="7"/>
      <c r="B3657" s="12"/>
      <c r="C3657" s="39"/>
      <c r="D3657" s="40"/>
      <c r="E3657" s="40"/>
      <c r="F3657" s="40"/>
      <c r="G3657" s="40"/>
      <c r="H3657" s="40"/>
      <c r="I3657" s="40"/>
      <c r="J3657" s="40"/>
      <c r="K3657" s="40"/>
      <c r="L3657" s="40"/>
      <c r="M3657" s="40"/>
      <c r="N3657" s="40"/>
      <c r="O3657" s="40"/>
      <c r="P3657" s="41"/>
      <c r="Q3657" s="14"/>
      <c r="R3657" s="11"/>
    </row>
    <row r="3658" s="1" customFormat="1" ht="9.95" customHeight="1" spans="1:18">
      <c r="A3658" s="7"/>
      <c r="B3658" s="12"/>
      <c r="C3658" s="29"/>
      <c r="D3658" s="29"/>
      <c r="E3658" s="29"/>
      <c r="F3658" s="29"/>
      <c r="G3658" s="29"/>
      <c r="H3658" s="29"/>
      <c r="I3658" s="29"/>
      <c r="J3658" s="29"/>
      <c r="K3658" s="29"/>
      <c r="L3658" s="29"/>
      <c r="M3658" s="29"/>
      <c r="N3658" s="29"/>
      <c r="O3658" s="29"/>
      <c r="P3658" s="29"/>
      <c r="Q3658" s="14"/>
      <c r="R3658" s="11"/>
    </row>
    <row r="3659" s="1" customFormat="1" ht="9.95" customHeight="1" spans="1:18">
      <c r="A3659" s="7"/>
      <c r="B3659" s="12"/>
      <c r="C3659" s="30"/>
      <c r="D3659" s="31"/>
      <c r="E3659" s="31"/>
      <c r="F3659" s="31"/>
      <c r="G3659" s="31"/>
      <c r="H3659" s="31"/>
      <c r="I3659" s="31"/>
      <c r="J3659" s="31"/>
      <c r="K3659" s="31"/>
      <c r="L3659" s="31"/>
      <c r="M3659" s="31"/>
      <c r="N3659" s="31"/>
      <c r="O3659" s="31"/>
      <c r="P3659" s="32"/>
      <c r="Q3659" s="14"/>
      <c r="R3659" s="11"/>
    </row>
    <row r="3660" s="1" customFormat="1" ht="21.95" customHeight="1" spans="1:18">
      <c r="A3660" s="7"/>
      <c r="B3660" s="12"/>
      <c r="C3660" s="33"/>
      <c r="D3660" s="35"/>
      <c r="E3660" s="24"/>
      <c r="F3660" s="24"/>
      <c r="G3660" s="47" t="s">
        <v>717</v>
      </c>
      <c r="H3660" s="47"/>
      <c r="I3660" s="47"/>
      <c r="J3660" s="47"/>
      <c r="K3660" s="47"/>
      <c r="L3660" s="47"/>
      <c r="M3660" s="47"/>
      <c r="N3660" s="47"/>
      <c r="O3660" s="29"/>
      <c r="P3660" s="19"/>
      <c r="Q3660" s="14"/>
      <c r="R3660" s="11"/>
    </row>
    <row r="3661" s="1" customFormat="1" ht="21.95" customHeight="1" spans="1:18">
      <c r="A3661" s="7"/>
      <c r="B3661" s="12"/>
      <c r="C3661" s="33"/>
      <c r="D3661" s="47"/>
      <c r="E3661" s="47"/>
      <c r="F3661" s="47"/>
      <c r="G3661" s="47" t="s">
        <v>541</v>
      </c>
      <c r="H3661" s="47" t="s">
        <v>542</v>
      </c>
      <c r="I3661" s="47" t="s">
        <v>543</v>
      </c>
      <c r="J3661" s="47" t="s">
        <v>544</v>
      </c>
      <c r="K3661" s="47" t="s">
        <v>561</v>
      </c>
      <c r="L3661" s="47" t="s">
        <v>382</v>
      </c>
      <c r="M3661" s="49" t="s">
        <v>546</v>
      </c>
      <c r="N3661" s="49"/>
      <c r="O3661" s="29"/>
      <c r="P3661" s="19"/>
      <c r="Q3661" s="14"/>
      <c r="R3661" s="11"/>
    </row>
    <row r="3662" s="1" customFormat="1" ht="21.95" customHeight="1" spans="1:18">
      <c r="A3662" s="7"/>
      <c r="B3662" s="12"/>
      <c r="C3662" s="33"/>
      <c r="D3662" s="207" t="s">
        <v>652</v>
      </c>
      <c r="E3662" s="207"/>
      <c r="F3662" s="207"/>
      <c r="G3662" s="50">
        <v>10</v>
      </c>
      <c r="H3662" s="50">
        <v>10</v>
      </c>
      <c r="I3662" s="50">
        <v>10</v>
      </c>
      <c r="J3662" s="50">
        <v>10</v>
      </c>
      <c r="K3662" s="50">
        <v>60</v>
      </c>
      <c r="L3662" s="50">
        <v>100</v>
      </c>
      <c r="M3662" s="49"/>
      <c r="N3662" s="49"/>
      <c r="O3662" s="29"/>
      <c r="P3662" s="19"/>
      <c r="Q3662" s="14"/>
      <c r="R3662" s="11"/>
    </row>
    <row r="3663" s="1" customFormat="1" ht="21.95" customHeight="1" spans="1:18">
      <c r="A3663" s="7"/>
      <c r="B3663" s="12"/>
      <c r="C3663" s="33"/>
      <c r="D3663" s="117" t="s">
        <v>668</v>
      </c>
      <c r="E3663" s="117"/>
      <c r="F3663" s="117"/>
      <c r="G3663" s="54" t="str">
        <f>IFERROR(VLOOKUP(F3646,'1to4-2.1-RR'!$A$12:$BG$111,9,0),"")</f>
        <v/>
      </c>
      <c r="H3663" s="54" t="str">
        <f>IFERROR(VLOOKUP(F3646,'1to4-2.1-RR'!$A$12:$BG$111,10,0),"")</f>
        <v/>
      </c>
      <c r="I3663" s="54" t="str">
        <f>IFERROR(VLOOKUP(F3646,'1to4-2.1-RR'!$A$12:$BG$111,11,0),"")</f>
        <v/>
      </c>
      <c r="J3663" s="54" t="str">
        <f>IFERROR(VLOOKUP(F3646,'1to4-2.1-RR'!$A$12:$BG$111,12,0),"")</f>
        <v/>
      </c>
      <c r="K3663" s="54" t="str">
        <f>IFERROR(VLOOKUP(F3646,'1to4-2.1-RR'!$A$12:$BG$111,13,0),"")</f>
        <v/>
      </c>
      <c r="L3663" s="55">
        <f>SUM(G3663:K3663)</f>
        <v>0</v>
      </c>
      <c r="M3663" s="56" t="str">
        <f>IF(F3646&gt;ENTRY!$D$24,"",IF(L3663=0,"Ab",IF(L3663&gt;80,"A",IF(L3663&gt;60,"B",IF(L3663&gt;44,"C",IF(L3663&gt;=33,"D",IF(L3663&lt;=32,"E","")))))))</f>
        <v/>
      </c>
      <c r="N3663" s="56"/>
      <c r="O3663" s="29"/>
      <c r="P3663" s="19"/>
      <c r="Q3663" s="14"/>
      <c r="R3663" s="11"/>
    </row>
    <row r="3664" s="1" customFormat="1" ht="21.95" customHeight="1" spans="1:18">
      <c r="A3664" s="7"/>
      <c r="B3664" s="12"/>
      <c r="C3664" s="33"/>
      <c r="D3664" s="117" t="s">
        <v>513</v>
      </c>
      <c r="E3664" s="117"/>
      <c r="F3664" s="117"/>
      <c r="G3664" s="54" t="str">
        <f>IFERROR(VLOOKUP(F3646,'1to4-2.1-RR'!$A$12:$BG$111,16,0),"")</f>
        <v/>
      </c>
      <c r="H3664" s="54" t="str">
        <f>IFERROR(VLOOKUP(F3646,'1to4-2.1-RR'!$A$12:$BG$111,17,0),"")</f>
        <v/>
      </c>
      <c r="I3664" s="54" t="str">
        <f>IFERROR(VLOOKUP(F3646,'1to4-2.1-RR'!$A$12:$BG$111,18,0),"")</f>
        <v/>
      </c>
      <c r="J3664" s="54" t="str">
        <f>IFERROR(VLOOKUP(F3646,'1to4-2.1-RR'!$A$12:$BG$111,19,0),"")</f>
        <v/>
      </c>
      <c r="K3664" s="54" t="str">
        <f>IFERROR(VLOOKUP(F3646,'1to4-2.1-RR'!$A$12:$BG$111,20,0),"")</f>
        <v/>
      </c>
      <c r="L3664" s="55">
        <f t="shared" ref="L3664:L3669" si="130">SUM(G3664:K3664)</f>
        <v>0</v>
      </c>
      <c r="M3664" s="56" t="str">
        <f>IF(F3646&gt;ENTRY!$D$24,"",IF(L3664=0,"Ab",IF(L3664&gt;80,"A",IF(L3664&gt;60,"B",IF(L3664&gt;44,"C",IF(L3664&gt;=33,"D",IF(L3664&lt;=32,"E","")))))))</f>
        <v/>
      </c>
      <c r="N3664" s="56"/>
      <c r="O3664" s="29"/>
      <c r="P3664" s="19"/>
      <c r="Q3664" s="14"/>
      <c r="R3664" s="11"/>
    </row>
    <row r="3665" s="1" customFormat="1" ht="21.95" customHeight="1" spans="1:19">
      <c r="A3665" s="7"/>
      <c r="B3665" s="12"/>
      <c r="C3665" s="33"/>
      <c r="D3665" s="117" t="s">
        <v>718</v>
      </c>
      <c r="E3665" s="117"/>
      <c r="F3665" s="117"/>
      <c r="G3665" s="54" t="str">
        <f>IFERROR(VLOOKUP(F3646,'1to4-2.1-RR'!$A$12:$BG$111,23,0),"")</f>
        <v/>
      </c>
      <c r="H3665" s="54" t="str">
        <f>IFERROR(VLOOKUP(F3646,'1to4-2.1-RR'!$A$12:$BG$111,24,0),"")</f>
        <v/>
      </c>
      <c r="I3665" s="54" t="str">
        <f>IFERROR(VLOOKUP(F3646,'1to4-2.1-RR'!$A$12:$BG$111,25,0),"")</f>
        <v/>
      </c>
      <c r="J3665" s="54" t="str">
        <f>IFERROR(VLOOKUP(F3646,'1to4-2.1-RR'!$A$12:$BG$111,26,0),"")</f>
        <v/>
      </c>
      <c r="K3665" s="54" t="str">
        <f>IFERROR(VLOOKUP(F3646,'1to4-2.1-RR'!$A$12:$BG$111,27,0),"")</f>
        <v/>
      </c>
      <c r="L3665" s="55">
        <f t="shared" si="130"/>
        <v>0</v>
      </c>
      <c r="M3665" s="56" t="str">
        <f>IF(F3646&gt;ENTRY!$D$24,"",IF(L3665=0,"Ab",IF(L3665&gt;80,"A",IF(L3665&gt;60,"B",IF(L3665&gt;44,"C",IF(L3665&gt;=33,"D",IF(L3665&lt;=32,"E","")))))))</f>
        <v/>
      </c>
      <c r="N3665" s="56"/>
      <c r="O3665" s="29"/>
      <c r="P3665" s="19"/>
      <c r="Q3665" s="14"/>
      <c r="R3665" s="11"/>
    </row>
    <row r="3666" s="1" customFormat="1" ht="21.95" customHeight="1" spans="1:19">
      <c r="A3666" s="7"/>
      <c r="B3666" s="12"/>
      <c r="C3666" s="33"/>
      <c r="D3666" s="117" t="s">
        <v>719</v>
      </c>
      <c r="E3666" s="117"/>
      <c r="F3666" s="117"/>
      <c r="G3666" s="54" t="str">
        <f>IFERROR(VLOOKUP(F3646,'1to4-2.1-RR'!$A$12:$BG$111,30,0),"")</f>
        <v/>
      </c>
      <c r="H3666" s="54" t="str">
        <f>IFERROR(VLOOKUP(F3646,'1to4-2.1-RR'!$A$12:$BG$111,31,0),"")</f>
        <v/>
      </c>
      <c r="I3666" s="54" t="str">
        <f>IFERROR(VLOOKUP(F3646,'1to4-2.1-RR'!$A$12:$BG$111,32,0),"")</f>
        <v/>
      </c>
      <c r="J3666" s="54" t="str">
        <f>IFERROR(VLOOKUP(F3646,'1to4-2.1-RR'!$A$12:$BG$111,33,0),"")</f>
        <v/>
      </c>
      <c r="K3666" s="54" t="str">
        <f>IFERROR(VLOOKUP(F3646,'1to4-2.1-RR'!$A$12:$BG$111,34,0),"")</f>
        <v/>
      </c>
      <c r="L3666" s="55">
        <f t="shared" si="130"/>
        <v>0</v>
      </c>
      <c r="M3666" s="56" t="str">
        <f>IF(F3646&gt;ENTRY!$D$24,"",IF(L3666=0,"Ab",IF(L3666&gt;80,"A",IF(L3666&gt;60,"B",IF(L3666&gt;44,"C",IF(L3666&gt;=33,"D",IF(L3666&lt;=32,"E","")))))))</f>
        <v/>
      </c>
      <c r="N3666" s="56"/>
      <c r="O3666" s="29"/>
      <c r="P3666" s="19"/>
      <c r="Q3666" s="14"/>
      <c r="R3666" s="11"/>
    </row>
    <row r="3667" s="1" customFormat="1" ht="21.95" customHeight="1" spans="1:19">
      <c r="A3667" s="7"/>
      <c r="B3667" s="12"/>
      <c r="C3667" s="33"/>
      <c r="D3667" s="117" t="s">
        <v>548</v>
      </c>
      <c r="E3667" s="117"/>
      <c r="F3667" s="117"/>
      <c r="G3667" s="54" t="str">
        <f>IFERROR(VLOOKUP(F3646,'1to4-2.1-RR'!$A$12:$BG$111,37,0),"")</f>
        <v/>
      </c>
      <c r="H3667" s="54" t="str">
        <f>IFERROR(VLOOKUP(F3646,'1to4-2.1-RR'!$A$12:$BG$111,38,0),"")</f>
        <v/>
      </c>
      <c r="I3667" s="54" t="str">
        <f>IFERROR(VLOOKUP(F3646,'1to4-2.1-RR'!$A$12:$BG$111,39,0),"")</f>
        <v/>
      </c>
      <c r="J3667" s="54" t="str">
        <f>IFERROR(VLOOKUP(F3646,'1to4-2.1-RR'!$A$12:$BG$111,40,0),"")</f>
        <v/>
      </c>
      <c r="K3667" s="54" t="str">
        <f>IFERROR(VLOOKUP(F3646,'1to4-2.1-RR'!$A$12:$BG$111,41,0),"")</f>
        <v/>
      </c>
      <c r="L3667" s="55">
        <f t="shared" si="130"/>
        <v>0</v>
      </c>
      <c r="M3667" s="56" t="str">
        <f>IF(F3646&gt;ENTRY!$D$24,"",IF(L3667=0,"Ab",IF(L3667&gt;80,"A",IF(L3667&gt;60,"B",IF(L3667&gt;44,"C",IF(L3667&gt;=33,"D",IF(L3667&lt;=32,"E","")))))))</f>
        <v/>
      </c>
      <c r="N3667" s="56"/>
      <c r="O3667" s="29"/>
      <c r="P3667" s="19"/>
      <c r="Q3667" s="14"/>
      <c r="R3667" s="11"/>
    </row>
    <row r="3668" s="1" customFormat="1" ht="21.95" customHeight="1" spans="1:19">
      <c r="A3668" s="7"/>
      <c r="B3668" s="12"/>
      <c r="C3668" s="33"/>
      <c r="D3668" s="117" t="s">
        <v>549</v>
      </c>
      <c r="E3668" s="117"/>
      <c r="F3668" s="117"/>
      <c r="G3668" s="54" t="str">
        <f>IFERROR(VLOOKUP(F3646,'1to4-2.1-RR'!$A$12:$BG$111,44,0),"")</f>
        <v/>
      </c>
      <c r="H3668" s="54" t="str">
        <f>IFERROR(VLOOKUP(F3646,'1to4-2.1-RR'!$A$12:$BG$111,45,0),"")</f>
        <v/>
      </c>
      <c r="I3668" s="54" t="str">
        <f>IFERROR(VLOOKUP(F3646,'1to4-2.1-RR'!$A$12:$BG$111,46,0),"")</f>
        <v/>
      </c>
      <c r="J3668" s="54" t="str">
        <f>IFERROR(VLOOKUP(F3646,'1to4-2.1-RR'!$A$12:$BG$111,47,0),"")</f>
        <v/>
      </c>
      <c r="K3668" s="54" t="str">
        <f>IFERROR(VLOOKUP(F3646,'1to4-2.1-RR'!$A$12:$BG$111,48,0),"")</f>
        <v/>
      </c>
      <c r="L3668" s="55">
        <f t="shared" si="130"/>
        <v>0</v>
      </c>
      <c r="M3668" s="56" t="str">
        <f>IF(F3646&gt;ENTRY!$D$24,"",IF(L3668=0,"Ab",IF(L3668&gt;80,"A",IF(L3668&gt;60,"B",IF(L3668&gt;44,"C",IF(L3668&gt;=33,"D",IF(L3668&lt;=32,"E","")))))))</f>
        <v/>
      </c>
      <c r="N3668" s="56"/>
      <c r="O3668" s="29"/>
      <c r="P3668" s="19"/>
      <c r="Q3668" s="14"/>
      <c r="R3668" s="11"/>
    </row>
    <row r="3669" s="1" customFormat="1" ht="21.95" customHeight="1" spans="1:19">
      <c r="A3669" s="7"/>
      <c r="B3669" s="12"/>
      <c r="C3669" s="33"/>
      <c r="D3669" s="117" t="s">
        <v>720</v>
      </c>
      <c r="E3669" s="117"/>
      <c r="F3669" s="117"/>
      <c r="G3669" s="54"/>
      <c r="H3669" s="54"/>
      <c r="I3669" s="54"/>
      <c r="J3669" s="54"/>
      <c r="K3669" s="54"/>
      <c r="L3669" s="55">
        <f t="shared" si="130"/>
        <v>0</v>
      </c>
      <c r="M3669" s="56" t="str">
        <f>IF(F3646&gt;ENTRY!$D$24,"",IF(L3669=0,"",IF(L3669&gt;79,"A",IF(L3669&gt;59,"B",IF(L3669&gt;44,"C",IF(L3669&gt;=33,"D",IF(L3669&lt;=32,"E","")))))))</f>
        <v/>
      </c>
      <c r="N3669" s="56"/>
      <c r="O3669" s="29"/>
      <c r="P3669" s="19"/>
      <c r="Q3669" s="14"/>
      <c r="R3669" s="11"/>
    </row>
    <row r="3670" s="1" customFormat="1" ht="21.95" customHeight="1" spans="1:19">
      <c r="A3670" s="7"/>
      <c r="B3670" s="12"/>
      <c r="C3670" s="33"/>
      <c r="D3670" s="207" t="s">
        <v>382</v>
      </c>
      <c r="E3670" s="207"/>
      <c r="F3670" s="207"/>
      <c r="G3670" s="54">
        <f t="shared" ref="G3670:L3670" si="131">IFERROR(SUM(G3663:G3669),"")</f>
        <v>0</v>
      </c>
      <c r="H3670" s="54">
        <f t="shared" si="131"/>
        <v>0</v>
      </c>
      <c r="I3670" s="54">
        <f t="shared" si="131"/>
        <v>0</v>
      </c>
      <c r="J3670" s="54">
        <f t="shared" si="131"/>
        <v>0</v>
      </c>
      <c r="K3670" s="54">
        <f t="shared" si="131"/>
        <v>0</v>
      </c>
      <c r="L3670" s="55">
        <f t="shared" si="131"/>
        <v>0</v>
      </c>
      <c r="M3670" s="61" t="str">
        <f>IF(F3646&gt;ENTRY!$D$24,"",IF(N3671="Ab","Ab",IF(N3671&gt;79.5,"A",IF(N3671&gt;59.5,"B",IF(N3671&gt;44.5,"C",IF(N3671&gt;=33,"D",IF(N3671&lt;33,"E","")))))))</f>
        <v/>
      </c>
      <c r="N3670" s="61"/>
      <c r="O3670" s="29"/>
      <c r="P3670" s="19"/>
      <c r="Q3670" s="14"/>
      <c r="R3670" s="11"/>
    </row>
    <row r="3671" s="1" customFormat="1" ht="21.95" customHeight="1" spans="1:19">
      <c r="A3671" s="7"/>
      <c r="B3671" s="12"/>
      <c r="C3671" s="33"/>
      <c r="D3671" s="63" t="s">
        <v>721</v>
      </c>
      <c r="E3671" s="63"/>
      <c r="F3671" s="63"/>
      <c r="G3671" s="63"/>
      <c r="H3671" s="63"/>
      <c r="I3671" s="63"/>
      <c r="J3671" s="63"/>
      <c r="K3671" s="63"/>
      <c r="L3671" s="63"/>
      <c r="M3671" s="209"/>
      <c r="N3671" s="64">
        <f>IF(L3670="Ab","Ab",L3670/6)</f>
        <v>0</v>
      </c>
      <c r="O3671" s="65"/>
      <c r="P3671" s="19"/>
      <c r="Q3671" s="14"/>
      <c r="R3671" s="11"/>
    </row>
    <row r="3672" s="1" customFormat="1" ht="21.95" customHeight="1" spans="1:19">
      <c r="A3672" s="7"/>
      <c r="B3672" s="12"/>
      <c r="C3672" s="33"/>
      <c r="D3672" s="29" t="s">
        <v>716</v>
      </c>
      <c r="E3672" s="18" t="str">
        <f>IFERROR(VLOOKUP(F3646,'1to4-2.1-RR'!$A$12:$BG$111,57,0),"")</f>
        <v/>
      </c>
      <c r="F3672" s="18"/>
      <c r="G3672" s="18"/>
      <c r="H3672" s="18"/>
      <c r="I3672" s="18"/>
      <c r="J3672" s="18"/>
      <c r="K3672" s="18"/>
      <c r="L3672" s="18"/>
      <c r="M3672" s="18"/>
      <c r="N3672" s="29"/>
      <c r="O3672" s="29"/>
      <c r="P3672" s="19"/>
      <c r="Q3672" s="14"/>
      <c r="R3672" s="11"/>
    </row>
    <row r="3673" s="1" customFormat="1" ht="9.95" customHeight="1" spans="1:19">
      <c r="A3673" s="7"/>
      <c r="B3673" s="12"/>
      <c r="C3673" s="39"/>
      <c r="D3673" s="40"/>
      <c r="E3673" s="40"/>
      <c r="F3673" s="40"/>
      <c r="G3673" s="40"/>
      <c r="H3673" s="40"/>
      <c r="I3673" s="40"/>
      <c r="J3673" s="40"/>
      <c r="K3673" s="40"/>
      <c r="L3673" s="40"/>
      <c r="M3673" s="40"/>
      <c r="N3673" s="40"/>
      <c r="O3673" s="40"/>
      <c r="P3673" s="41"/>
      <c r="Q3673" s="14"/>
      <c r="R3673" s="11"/>
    </row>
    <row r="3674" s="1" customFormat="1" ht="9.95" customHeight="1" spans="1:19">
      <c r="A3674" s="7"/>
      <c r="B3674" s="12"/>
      <c r="C3674" s="30"/>
      <c r="D3674" s="31"/>
      <c r="E3674" s="31"/>
      <c r="F3674" s="29"/>
      <c r="G3674" s="31"/>
      <c r="H3674" s="31"/>
      <c r="I3674" s="31"/>
      <c r="J3674" s="31"/>
      <c r="K3674" s="31"/>
      <c r="L3674" s="31"/>
      <c r="M3674" s="31"/>
      <c r="N3674" s="31"/>
      <c r="O3674" s="31"/>
      <c r="P3674" s="32"/>
      <c r="Q3674" s="14"/>
      <c r="R3674" s="11"/>
    </row>
    <row r="3675" s="1" customFormat="1" ht="9.95" customHeight="1" spans="1:19">
      <c r="A3675" s="7"/>
      <c r="B3675" s="12"/>
      <c r="C3675" s="33"/>
      <c r="D3675" s="29"/>
      <c r="E3675" s="29"/>
      <c r="F3675" s="29"/>
      <c r="G3675" s="29"/>
      <c r="H3675" s="29"/>
      <c r="I3675" s="29"/>
      <c r="J3675" s="29"/>
      <c r="K3675" s="29"/>
      <c r="L3675" s="29"/>
      <c r="M3675" s="29"/>
      <c r="N3675" s="29"/>
      <c r="O3675" s="29"/>
      <c r="P3675" s="19"/>
      <c r="Q3675" s="14"/>
      <c r="R3675" s="11"/>
    </row>
    <row r="3676" s="1" customFormat="1" ht="9.95" customHeight="1" spans="1:19">
      <c r="A3676" s="7"/>
      <c r="B3676" s="12"/>
      <c r="C3676" s="33"/>
      <c r="D3676" s="29"/>
      <c r="E3676" s="29"/>
      <c r="F3676" s="29"/>
      <c r="G3676" s="29"/>
      <c r="H3676" s="29"/>
      <c r="I3676" s="29"/>
      <c r="J3676" s="29"/>
      <c r="K3676" s="29"/>
      <c r="L3676" s="29"/>
      <c r="M3676" s="29"/>
      <c r="N3676" s="29"/>
      <c r="O3676" s="29"/>
      <c r="P3676" s="19"/>
      <c r="Q3676" s="14"/>
      <c r="R3676" s="11"/>
    </row>
    <row r="3677" s="1" customFormat="1" ht="21.95" customHeight="1" spans="1:19">
      <c r="A3677" s="7"/>
      <c r="B3677" s="12"/>
      <c r="C3677" s="210"/>
      <c r="D3677" s="211"/>
      <c r="E3677" s="211"/>
      <c r="F3677" s="211"/>
      <c r="G3677" s="211"/>
      <c r="H3677" s="211"/>
      <c r="I3677" s="211"/>
      <c r="J3677" s="211"/>
      <c r="K3677" s="211"/>
      <c r="L3677" s="211"/>
      <c r="M3677" s="211"/>
      <c r="N3677" s="211"/>
      <c r="O3677" s="211"/>
      <c r="P3677" s="212"/>
      <c r="Q3677" s="14"/>
      <c r="R3677" s="11"/>
      <c r="S3677" s="2"/>
    </row>
    <row r="3678" s="1" customFormat="1" ht="21.95" customHeight="1" spans="1:19">
      <c r="A3678" s="7"/>
      <c r="B3678" s="12"/>
      <c r="C3678" s="33"/>
      <c r="D3678" s="207" t="s">
        <v>722</v>
      </c>
      <c r="E3678" s="207"/>
      <c r="F3678" s="207"/>
      <c r="G3678" s="207"/>
      <c r="H3678" s="54">
        <f>IFERROR(VLOOKUP(F3646,PASHEET!$A$4:$CJ$103,88,0),"")</f>
        <v>0</v>
      </c>
      <c r="I3678" s="54"/>
      <c r="J3678" s="29"/>
      <c r="K3678" s="29"/>
      <c r="L3678" s="29"/>
      <c r="M3678" s="29"/>
      <c r="N3678" s="29"/>
      <c r="O3678" s="29"/>
      <c r="P3678" s="19"/>
      <c r="Q3678" s="14"/>
      <c r="R3678" s="11"/>
    </row>
    <row r="3679" s="1" customFormat="1" ht="21.95" customHeight="1" spans="1:19">
      <c r="A3679" s="7"/>
      <c r="B3679" s="12"/>
      <c r="C3679" s="213"/>
      <c r="D3679" s="207" t="s">
        <v>723</v>
      </c>
      <c r="E3679" s="207"/>
      <c r="F3679" s="207"/>
      <c r="G3679" s="207"/>
      <c r="H3679" s="54">
        <f>IFERROR(VLOOKUP(F3646,PASHEET!$A$4:$CJ$103,87,0),"")</f>
        <v>0</v>
      </c>
      <c r="I3679" s="54"/>
      <c r="J3679" s="214"/>
      <c r="K3679" s="214"/>
      <c r="L3679" s="207" t="s">
        <v>724</v>
      </c>
      <c r="M3679" s="207"/>
      <c r="N3679" s="117" t="str">
        <f>IF(F3646&gt;ENTRY!$D$24,"",IF(F3646&gt;0,L3670&amp;" / "&amp;600,""))</f>
        <v/>
      </c>
      <c r="O3679" s="117"/>
      <c r="P3679" s="215"/>
      <c r="Q3679" s="14"/>
      <c r="R3679" s="11"/>
    </row>
    <row r="3680" s="1" customFormat="1" ht="18" customHeight="1" spans="1:19">
      <c r="A3680" s="7"/>
      <c r="B3680" s="12"/>
      <c r="C3680" s="33"/>
      <c r="D3680" s="207" t="s">
        <v>725</v>
      </c>
      <c r="E3680" s="207"/>
      <c r="F3680" s="207"/>
      <c r="G3680" s="207"/>
      <c r="H3680" s="69" t="str">
        <f>IFERROR(IF(F3646&gt;0,H3679/H3678*100),"")</f>
        <v/>
      </c>
      <c r="I3680" s="69"/>
      <c r="J3680" s="29"/>
      <c r="K3680" s="29"/>
      <c r="L3680" s="207" t="s">
        <v>726</v>
      </c>
      <c r="M3680" s="207"/>
      <c r="N3680" s="216" t="str">
        <f>IF(F3646&gt;ENTRY!$D$24,"",IF(F3646&gt;0,L3670/600*100,""))</f>
        <v/>
      </c>
      <c r="O3680" s="216"/>
      <c r="P3680" s="19"/>
      <c r="Q3680" s="14"/>
      <c r="R3680" s="11"/>
    </row>
    <row r="3681" s="1" customFormat="1" ht="21.95" customHeight="1" spans="1:18">
      <c r="A3681" s="7"/>
      <c r="B3681" s="12"/>
      <c r="C3681" s="33"/>
      <c r="D3681" s="80"/>
      <c r="E3681" s="80"/>
      <c r="F3681" s="217"/>
      <c r="G3681" s="217"/>
      <c r="H3681" s="217"/>
      <c r="I3681" s="217"/>
      <c r="J3681" s="217"/>
      <c r="K3681" s="217"/>
      <c r="L3681" s="217"/>
      <c r="M3681" s="217"/>
      <c r="N3681" s="80"/>
      <c r="O3681" s="80"/>
      <c r="P3681" s="19"/>
      <c r="Q3681" s="14"/>
      <c r="R3681" s="11"/>
    </row>
    <row r="3682" s="1" customFormat="1" ht="21.95" customHeight="1" spans="1:18">
      <c r="A3682" s="7"/>
      <c r="B3682" s="12"/>
      <c r="C3682" s="33"/>
      <c r="D3682" s="80"/>
      <c r="E3682" s="218"/>
      <c r="F3682" s="218"/>
      <c r="G3682" s="218"/>
      <c r="H3682" s="80"/>
      <c r="I3682" s="218"/>
      <c r="J3682" s="218"/>
      <c r="K3682" s="218"/>
      <c r="L3682" s="218"/>
      <c r="M3682" s="80"/>
      <c r="N3682" s="219"/>
      <c r="O3682" s="219"/>
      <c r="P3682" s="19"/>
      <c r="Q3682" s="14"/>
      <c r="R3682" s="11"/>
    </row>
    <row r="3683" s="1" customFormat="1" ht="21.95" customHeight="1" spans="1:18">
      <c r="A3683" s="7"/>
      <c r="B3683" s="12"/>
      <c r="C3683" s="33"/>
      <c r="D3683" s="80"/>
      <c r="E3683" s="80"/>
      <c r="F3683" s="80"/>
      <c r="G3683" s="80"/>
      <c r="H3683" s="80"/>
      <c r="I3683" s="80"/>
      <c r="J3683" s="80"/>
      <c r="K3683" s="80"/>
      <c r="L3683" s="80"/>
      <c r="M3683" s="80"/>
      <c r="N3683" s="80"/>
      <c r="O3683" s="80"/>
      <c r="P3683" s="19"/>
      <c r="Q3683" s="14"/>
      <c r="R3683" s="11"/>
    </row>
    <row r="3684" s="1" customFormat="1" ht="21.95" customHeight="1" spans="1:18">
      <c r="A3684" s="7"/>
      <c r="B3684" s="12"/>
      <c r="C3684" s="33"/>
      <c r="D3684" s="218"/>
      <c r="E3684" s="218"/>
      <c r="F3684" s="218"/>
      <c r="G3684" s="218"/>
      <c r="H3684" s="218"/>
      <c r="I3684" s="218"/>
      <c r="J3684" s="218"/>
      <c r="K3684" s="218"/>
      <c r="L3684" s="218"/>
      <c r="M3684" s="80"/>
      <c r="N3684" s="217"/>
      <c r="O3684" s="217"/>
      <c r="P3684" s="85" t="s">
        <v>727</v>
      </c>
      <c r="Q3684" s="14"/>
      <c r="R3684" s="11"/>
    </row>
    <row r="3685" s="1" customFormat="1" ht="21.95" customHeight="1" spans="1:18">
      <c r="A3685" s="7"/>
      <c r="B3685" s="12"/>
      <c r="C3685" s="33"/>
      <c r="D3685" s="29"/>
      <c r="E3685" s="29"/>
      <c r="F3685" s="29"/>
      <c r="G3685" s="29"/>
      <c r="H3685" s="29"/>
      <c r="I3685" s="29"/>
      <c r="J3685" s="29"/>
      <c r="K3685" s="29"/>
      <c r="L3685" s="29"/>
      <c r="M3685" s="29"/>
      <c r="N3685" s="29"/>
      <c r="O3685" s="29"/>
      <c r="P3685" s="19"/>
      <c r="Q3685" s="14"/>
      <c r="R3685" s="11"/>
    </row>
    <row r="3686" s="1" customFormat="1" ht="21.95" customHeight="1" spans="1:18">
      <c r="A3686" s="7"/>
      <c r="B3686" s="12"/>
      <c r="C3686" s="33"/>
      <c r="D3686" s="29"/>
      <c r="E3686" s="29"/>
      <c r="F3686" s="29"/>
      <c r="G3686" s="29"/>
      <c r="H3686" s="29"/>
      <c r="I3686" s="29"/>
      <c r="J3686" s="29"/>
      <c r="K3686" s="29"/>
      <c r="L3686" s="29"/>
      <c r="M3686" s="29"/>
      <c r="N3686" s="29"/>
      <c r="O3686" s="29"/>
      <c r="P3686" s="19"/>
      <c r="Q3686" s="14"/>
      <c r="R3686" s="11"/>
    </row>
    <row r="3687" s="1" customFormat="1" ht="21.95" customHeight="1" spans="1:18">
      <c r="A3687" s="7"/>
      <c r="B3687" s="12"/>
      <c r="C3687" s="33"/>
      <c r="D3687" s="29"/>
      <c r="E3687" s="29"/>
      <c r="F3687" s="29"/>
      <c r="G3687" s="29"/>
      <c r="H3687" s="29"/>
      <c r="I3687" s="29"/>
      <c r="J3687" s="29"/>
      <c r="K3687" s="29"/>
      <c r="L3687" s="29"/>
      <c r="M3687" s="29"/>
      <c r="N3687" s="29"/>
      <c r="O3687" s="29"/>
      <c r="P3687" s="19"/>
      <c r="Q3687" s="14"/>
      <c r="R3687" s="11"/>
    </row>
    <row r="3688" s="1" customFormat="1" ht="21.95" customHeight="1" spans="1:18">
      <c r="A3688" s="7"/>
      <c r="B3688" s="12"/>
      <c r="C3688" s="33"/>
      <c r="D3688" s="29"/>
      <c r="E3688" s="29"/>
      <c r="F3688" s="29"/>
      <c r="G3688" s="29"/>
      <c r="H3688" s="29"/>
      <c r="I3688" s="29"/>
      <c r="J3688" s="29"/>
      <c r="K3688" s="29"/>
      <c r="L3688" s="29"/>
      <c r="M3688" s="29"/>
      <c r="N3688" s="29"/>
      <c r="O3688" s="29"/>
      <c r="P3688" s="19"/>
      <c r="Q3688" s="14"/>
      <c r="R3688" s="11"/>
    </row>
    <row r="3689" s="1" customFormat="1" ht="21.95" customHeight="1" spans="1:18">
      <c r="A3689" s="7"/>
      <c r="B3689" s="12"/>
      <c r="C3689" s="33"/>
      <c r="D3689" s="29"/>
      <c r="E3689" s="29"/>
      <c r="F3689" s="29"/>
      <c r="G3689" s="29"/>
      <c r="H3689" s="29"/>
      <c r="I3689" s="29"/>
      <c r="J3689" s="29"/>
      <c r="K3689" s="29"/>
      <c r="L3689" s="29"/>
      <c r="M3689" s="29"/>
      <c r="N3689" s="29"/>
      <c r="O3689" s="29"/>
      <c r="P3689" s="19"/>
      <c r="Q3689" s="14"/>
      <c r="R3689" s="11"/>
    </row>
    <row r="3690" s="1" customFormat="1" ht="21.95" customHeight="1" spans="1:18">
      <c r="A3690" s="7"/>
      <c r="B3690" s="12"/>
      <c r="C3690" s="33"/>
      <c r="D3690" s="80" t="s">
        <v>728</v>
      </c>
      <c r="E3690" s="220">
        <f>ENTRY!$D$27</f>
        <v>46102</v>
      </c>
      <c r="F3690" s="220"/>
      <c r="G3690" s="29"/>
      <c r="H3690" s="29"/>
      <c r="I3690" s="221" t="s">
        <v>729</v>
      </c>
      <c r="J3690" s="153"/>
      <c r="K3690" s="29"/>
      <c r="L3690" s="29"/>
      <c r="M3690" s="87" t="s">
        <v>730</v>
      </c>
      <c r="N3690" s="87"/>
      <c r="O3690" s="87"/>
      <c r="P3690" s="19"/>
      <c r="Q3690" s="14"/>
      <c r="R3690" s="11"/>
    </row>
    <row r="3691" s="1" customFormat="1" ht="21.95" customHeight="1" spans="1:18">
      <c r="A3691" s="7"/>
      <c r="B3691" s="12"/>
      <c r="C3691" s="33"/>
      <c r="D3691" s="80" t="s">
        <v>731</v>
      </c>
      <c r="E3691" s="88" t="str">
        <f>PROPER(ENTRY!$D$28)</f>
        <v>New Delhi</v>
      </c>
      <c r="F3691" s="88"/>
      <c r="G3691" s="29"/>
      <c r="H3691" s="29"/>
      <c r="I3691" s="153"/>
      <c r="J3691" s="153"/>
      <c r="K3691" s="29"/>
      <c r="L3691" s="29"/>
      <c r="M3691" s="79" t="s">
        <v>732</v>
      </c>
      <c r="N3691" s="79"/>
      <c r="O3691" s="79"/>
      <c r="P3691" s="19"/>
      <c r="Q3691" s="14"/>
      <c r="R3691" s="11"/>
    </row>
    <row r="3692" s="1" customFormat="1" ht="21.95" customHeight="1" spans="1:18">
      <c r="A3692" s="7"/>
      <c r="B3692" s="12"/>
      <c r="C3692" s="90"/>
      <c r="D3692" s="91"/>
      <c r="E3692" s="91"/>
      <c r="F3692" s="91"/>
      <c r="G3692" s="91"/>
      <c r="H3692" s="91"/>
      <c r="I3692" s="91"/>
      <c r="J3692" s="91"/>
      <c r="K3692" s="91"/>
      <c r="L3692" s="91"/>
      <c r="M3692" s="91"/>
      <c r="N3692" s="91"/>
      <c r="O3692" s="91"/>
      <c r="P3692" s="92"/>
      <c r="Q3692" s="14"/>
      <c r="R3692" s="11"/>
    </row>
    <row r="3693" s="1" customFormat="1" ht="5.1" customHeight="1" spans="1:18">
      <c r="A3693" s="7"/>
      <c r="B3693" s="90"/>
      <c r="C3693" s="91"/>
      <c r="D3693" s="91"/>
      <c r="E3693" s="91"/>
      <c r="F3693" s="91"/>
      <c r="G3693" s="91"/>
      <c r="H3693" s="91"/>
      <c r="I3693" s="91"/>
      <c r="J3693" s="91"/>
      <c r="K3693" s="91"/>
      <c r="L3693" s="91"/>
      <c r="M3693" s="91"/>
      <c r="N3693" s="91"/>
      <c r="O3693" s="91"/>
      <c r="P3693" s="91"/>
      <c r="Q3693" s="92"/>
      <c r="R3693" s="11"/>
    </row>
    <row r="3694" s="1" customFormat="1" ht="5.1" customHeight="1" spans="1:18">
      <c r="A3694" s="93"/>
      <c r="B3694" s="94"/>
      <c r="C3694" s="94"/>
      <c r="D3694" s="94"/>
      <c r="E3694" s="94"/>
      <c r="F3694" s="94"/>
      <c r="G3694" s="94"/>
      <c r="H3694" s="94"/>
      <c r="I3694" s="94"/>
      <c r="J3694" s="94"/>
      <c r="K3694" s="94"/>
      <c r="L3694" s="94"/>
      <c r="M3694" s="94"/>
      <c r="N3694" s="94"/>
      <c r="O3694" s="94"/>
      <c r="P3694" s="94"/>
      <c r="Q3694" s="94"/>
      <c r="R3694" s="95"/>
    </row>
    <row r="3695" s="1" customFormat="1" ht="21.95" customHeight="1"/>
    <row r="3696" ht="15.15"/>
    <row r="3697" s="1" customFormat="1" ht="5.1" customHeight="1" spans="1:18">
      <c r="A3697" s="4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  <c r="O3697" s="5"/>
      <c r="P3697" s="5"/>
      <c r="Q3697" s="5"/>
      <c r="R3697" s="6"/>
    </row>
    <row r="3698" s="1" customFormat="1" ht="15" customHeight="1" spans="1:18">
      <c r="A3698" s="7"/>
      <c r="B3698" s="8"/>
      <c r="C3698" s="9"/>
      <c r="D3698" s="9"/>
      <c r="E3698" s="9"/>
      <c r="F3698" s="9"/>
      <c r="G3698" s="9"/>
      <c r="H3698" s="9"/>
      <c r="I3698" s="9"/>
      <c r="J3698" s="9"/>
      <c r="K3698" s="9"/>
      <c r="L3698" s="9"/>
      <c r="M3698" s="9"/>
      <c r="N3698" s="9"/>
      <c r="O3698" s="9"/>
      <c r="P3698" s="9"/>
      <c r="Q3698" s="10"/>
      <c r="R3698" s="11"/>
    </row>
    <row r="3699" s="1" customFormat="1" ht="21.95" customHeight="1" spans="1:18">
      <c r="A3699" s="7"/>
      <c r="B3699" s="12"/>
      <c r="C3699" s="13" t="s">
        <v>7</v>
      </c>
      <c r="D3699" s="13"/>
      <c r="E3699" s="13"/>
      <c r="F3699" s="13"/>
      <c r="G3699" s="13"/>
      <c r="H3699" s="13"/>
      <c r="I3699" s="13"/>
      <c r="J3699" s="13"/>
      <c r="K3699" s="13"/>
      <c r="L3699" s="13"/>
      <c r="M3699" s="13"/>
      <c r="N3699" s="13"/>
      <c r="O3699" s="13"/>
      <c r="P3699" s="13"/>
      <c r="Q3699" s="14"/>
      <c r="R3699" s="11"/>
    </row>
    <row r="3700" s="1" customFormat="1" ht="21.95" customHeight="1" spans="1:18">
      <c r="A3700" s="7"/>
      <c r="B3700" s="1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14"/>
      <c r="R3700" s="11"/>
    </row>
    <row r="3701" s="1" customFormat="1" ht="21.95" customHeight="1" spans="1:18">
      <c r="A3701" s="7"/>
      <c r="B3701" s="12"/>
      <c r="C3701" s="15" t="str">
        <f>"SESSION-"&amp;ENTRY!$D$11</f>
        <v>SESSION-2026-27</v>
      </c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4"/>
      <c r="R3701" s="11"/>
    </row>
    <row r="3702" s="1" customFormat="1" ht="21.95" customHeight="1" spans="1:18">
      <c r="A3702" s="7"/>
      <c r="B3702" s="12"/>
      <c r="C3702" s="2"/>
      <c r="D3702" s="2"/>
      <c r="E3702" s="2"/>
      <c r="F3702" s="16">
        <f>F3646+1</f>
        <v>67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14"/>
      <c r="R3702" s="11"/>
    </row>
    <row r="3703" s="1" customFormat="1" ht="21.95" customHeight="1" spans="1:18">
      <c r="A3703" s="7"/>
      <c r="B3703" s="12"/>
      <c r="C3703" s="17" t="s">
        <v>392</v>
      </c>
      <c r="D3703" s="17"/>
      <c r="E3703" s="17"/>
      <c r="F3703" s="18" t="str">
        <f>IF(F3702&gt;0,ENTRY!$D$6,"")</f>
        <v>MCP NITHARI NO 1 BOYS</v>
      </c>
      <c r="G3703" s="18"/>
      <c r="H3703" s="18"/>
      <c r="I3703" s="18"/>
      <c r="J3703" s="18"/>
      <c r="K3703" s="18"/>
      <c r="L3703" s="18"/>
      <c r="M3703" s="18"/>
      <c r="N3703" s="18"/>
      <c r="O3703" s="18"/>
      <c r="P3703" s="18"/>
      <c r="Q3703" s="14"/>
      <c r="R3703" s="11"/>
    </row>
    <row r="3704" s="1" customFormat="1" ht="21.95" customHeight="1" spans="1:18">
      <c r="A3704" s="7"/>
      <c r="B3704" s="12"/>
      <c r="C3704" s="17" t="s">
        <v>393</v>
      </c>
      <c r="D3704" s="17"/>
      <c r="E3704" s="17"/>
      <c r="F3704" s="18">
        <f>IF(F3702&gt;0,ENTRY!$D$7,"")</f>
        <v>0</v>
      </c>
      <c r="G3704" s="18"/>
      <c r="H3704" s="20" t="s">
        <v>702</v>
      </c>
      <c r="I3704" s="20"/>
      <c r="J3704" s="21">
        <f>IF(F3702&gt;0,ENTRY!$D$10,"")</f>
        <v>40</v>
      </c>
      <c r="K3704" s="20" t="s">
        <v>703</v>
      </c>
      <c r="L3704" s="22" t="str">
        <f>IF(F3702&gt;0,ENTRY!$D$5,"")</f>
        <v>ROHINI ZONE</v>
      </c>
      <c r="M3704" s="22"/>
      <c r="N3704" s="22"/>
      <c r="O3704" s="22"/>
      <c r="P3704" s="22"/>
      <c r="Q3704" s="14"/>
      <c r="R3704" s="11"/>
    </row>
    <row r="3705" s="1" customFormat="1" ht="21.95" customHeight="1" spans="1:18">
      <c r="A3705" s="7"/>
      <c r="B3705" s="12"/>
      <c r="C3705" s="17" t="s">
        <v>706</v>
      </c>
      <c r="D3705" s="17"/>
      <c r="E3705" s="17"/>
      <c r="F3705" s="23">
        <f>IFERROR(VLOOKUP(F3702,STUDENT!$A$2:$BP$101,5,0),"")</f>
        <v>0</v>
      </c>
      <c r="G3705" s="23"/>
      <c r="H3705" s="23"/>
      <c r="I3705" s="23"/>
      <c r="J3705" s="23"/>
      <c r="K3705" s="23"/>
      <c r="L3705" s="20" t="s">
        <v>707</v>
      </c>
      <c r="M3705" s="20"/>
      <c r="N3705" s="24" t="str">
        <f>IF(F3702&gt;0,ENTRY!$D$20&amp;"-"&amp;ENTRY!$D$21,"")</f>
        <v>III-A</v>
      </c>
      <c r="O3705" s="24"/>
      <c r="P3705" s="24"/>
      <c r="Q3705" s="14"/>
      <c r="R3705" s="11"/>
    </row>
    <row r="3706" s="1" customFormat="1" ht="21.95" customHeight="1" spans="1:18">
      <c r="A3706" s="7"/>
      <c r="B3706" s="12"/>
      <c r="C3706" s="17" t="s">
        <v>708</v>
      </c>
      <c r="D3706" s="17"/>
      <c r="E3706" s="17"/>
      <c r="F3706" s="25">
        <f>IFERROR(VLOOKUP(F3702,STUDENT!$A$2:$BP$101,6,0),"")</f>
        <v>0</v>
      </c>
      <c r="G3706" s="25"/>
      <c r="H3706" s="26" t="s">
        <v>709</v>
      </c>
      <c r="I3706" s="27" t="str">
        <f>IFERROR(VLOOKUP(F3702,STUDENT!$A$2:$BP$101,59,0),"")</f>
        <v/>
      </c>
      <c r="J3706" s="27"/>
      <c r="K3706" s="20" t="s">
        <v>710</v>
      </c>
      <c r="L3706" s="20"/>
      <c r="M3706" s="28">
        <f>IFERROR(VLOOKUP(F3702,STUDENT!$A$2:$BP$101,20,0),"")</f>
        <v>0</v>
      </c>
      <c r="N3706" s="28"/>
      <c r="O3706" s="28"/>
      <c r="P3706" s="28"/>
      <c r="Q3706" s="14"/>
      <c r="R3706" s="11"/>
    </row>
    <row r="3707" s="1" customFormat="1" ht="21.95" customHeight="1" spans="1:18">
      <c r="A3707" s="7"/>
      <c r="B3707" s="12"/>
      <c r="C3707" s="17" t="s">
        <v>711</v>
      </c>
      <c r="D3707" s="17"/>
      <c r="E3707" s="17"/>
      <c r="F3707" s="23">
        <f>IFERROR(VLOOKUP(F3702,STUDENT!$A$2:$BP$101,9,0),"")</f>
        <v>0</v>
      </c>
      <c r="G3707" s="23"/>
      <c r="H3707" s="23"/>
      <c r="I3707" s="23"/>
      <c r="J3707" s="17" t="s">
        <v>620</v>
      </c>
      <c r="K3707" s="17"/>
      <c r="L3707" s="23">
        <f>IFERROR(VLOOKUP(F3702,STUDENT!$A$2:$BP$101,8,0),"")</f>
        <v>0</v>
      </c>
      <c r="M3707" s="23"/>
      <c r="N3707" s="23"/>
      <c r="O3707" s="23"/>
      <c r="P3707" s="23"/>
      <c r="Q3707" s="14"/>
      <c r="R3707" s="11"/>
    </row>
    <row r="3708" s="1" customFormat="1" ht="21.95" customHeight="1" spans="1:18">
      <c r="A3708" s="7"/>
      <c r="B3708" s="12"/>
      <c r="C3708" s="17" t="s">
        <v>712</v>
      </c>
      <c r="D3708" s="17"/>
      <c r="E3708" s="17"/>
      <c r="F3708" s="23">
        <f>IFERROR(VLOOKUP(F3702,STUDENT!$A$2:$BP$101,22,0),"")</f>
        <v>0</v>
      </c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14"/>
      <c r="R3708" s="11"/>
    </row>
    <row r="3709" s="1" customFormat="1" ht="9.95" customHeight="1" spans="1:18">
      <c r="A3709" s="7"/>
      <c r="B3709" s="12"/>
      <c r="C3709" s="29"/>
      <c r="D3709" s="29"/>
      <c r="E3709" s="29"/>
      <c r="F3709" s="29"/>
      <c r="G3709" s="29"/>
      <c r="H3709" s="29"/>
      <c r="I3709" s="29"/>
      <c r="J3709" s="29"/>
      <c r="K3709" s="29"/>
      <c r="L3709" s="29"/>
      <c r="M3709" s="29"/>
      <c r="N3709" s="29"/>
      <c r="O3709" s="29"/>
      <c r="P3709" s="29"/>
      <c r="Q3709" s="14"/>
      <c r="R3709" s="11"/>
    </row>
    <row r="3710" s="1" customFormat="1" ht="9.95" customHeight="1" spans="1:18">
      <c r="A3710" s="7"/>
      <c r="B3710" s="12"/>
      <c r="C3710" s="30"/>
      <c r="D3710" s="31"/>
      <c r="E3710" s="31"/>
      <c r="F3710" s="31"/>
      <c r="G3710" s="31"/>
      <c r="H3710" s="31"/>
      <c r="I3710" s="31"/>
      <c r="J3710" s="31"/>
      <c r="K3710" s="31"/>
      <c r="L3710" s="31"/>
      <c r="M3710" s="31"/>
      <c r="N3710" s="31"/>
      <c r="O3710" s="31"/>
      <c r="P3710" s="32"/>
      <c r="Q3710" s="14"/>
      <c r="R3710" s="11"/>
    </row>
    <row r="3711" s="1" customFormat="1" ht="21.95" customHeight="1" spans="1:18">
      <c r="A3711" s="7"/>
      <c r="B3711" s="12"/>
      <c r="C3711" s="33"/>
      <c r="D3711" s="34" t="s">
        <v>713</v>
      </c>
      <c r="E3711" s="20" t="s">
        <v>714</v>
      </c>
      <c r="F3711" s="35" t="str">
        <f>"Level - "&amp;IFERROR(VLOOKUP(F3702,FLN!$A$4:$K$103,9,0),"")</f>
        <v>Level - </v>
      </c>
      <c r="G3711" s="36"/>
      <c r="H3711" s="37" t="s">
        <v>715</v>
      </c>
      <c r="I3711" s="20"/>
      <c r="J3711" s="35" t="str">
        <f>"Level - "&amp;IFERROR(VLOOKUP(F3702,FLN!$A$4:$K$103,11,0),"")</f>
        <v>Level - </v>
      </c>
      <c r="K3711" s="36"/>
      <c r="L3711" s="37" t="s">
        <v>408</v>
      </c>
      <c r="M3711" s="20"/>
      <c r="N3711" s="35" t="str">
        <f>"Level - "&amp;IFERROR(VLOOKUP(F3702,FLN!$A$4:$K$103,10,0),"")</f>
        <v>Level - </v>
      </c>
      <c r="O3711" s="36"/>
      <c r="P3711" s="19"/>
      <c r="Q3711" s="14"/>
      <c r="R3711" s="11"/>
    </row>
    <row r="3712" s="1" customFormat="1" ht="21.95" customHeight="1" spans="1:18">
      <c r="A3712" s="7"/>
      <c r="B3712" s="12"/>
      <c r="C3712" s="33"/>
      <c r="D3712" s="38"/>
      <c r="E3712" s="20" t="s">
        <v>716</v>
      </c>
      <c r="F3712" s="18" t="str">
        <f>IF(L3726&gt;197,"PERFORMED WELL","")</f>
        <v/>
      </c>
      <c r="G3712" s="18"/>
      <c r="H3712" s="18"/>
      <c r="I3712" s="18"/>
      <c r="J3712" s="18"/>
      <c r="K3712" s="18"/>
      <c r="L3712" s="18"/>
      <c r="M3712" s="18"/>
      <c r="N3712" s="18"/>
      <c r="O3712" s="18"/>
      <c r="P3712" s="19"/>
      <c r="Q3712" s="14"/>
      <c r="R3712" s="11"/>
    </row>
    <row r="3713" s="1" customFormat="1" ht="9.95" customHeight="1" spans="1:18">
      <c r="A3713" s="7"/>
      <c r="B3713" s="12"/>
      <c r="C3713" s="39"/>
      <c r="D3713" s="40"/>
      <c r="E3713" s="40"/>
      <c r="F3713" s="40"/>
      <c r="G3713" s="40"/>
      <c r="H3713" s="40"/>
      <c r="I3713" s="40"/>
      <c r="J3713" s="40"/>
      <c r="K3713" s="40"/>
      <c r="L3713" s="40"/>
      <c r="M3713" s="40"/>
      <c r="N3713" s="40"/>
      <c r="O3713" s="40"/>
      <c r="P3713" s="41"/>
      <c r="Q3713" s="14"/>
      <c r="R3713" s="11"/>
    </row>
    <row r="3714" s="1" customFormat="1" ht="9.95" customHeight="1" spans="1:18">
      <c r="A3714" s="7"/>
      <c r="B3714" s="12"/>
      <c r="C3714" s="29"/>
      <c r="D3714" s="29"/>
      <c r="E3714" s="29"/>
      <c r="F3714" s="29"/>
      <c r="G3714" s="29"/>
      <c r="H3714" s="29"/>
      <c r="I3714" s="29"/>
      <c r="J3714" s="29"/>
      <c r="K3714" s="29"/>
      <c r="L3714" s="29"/>
      <c r="M3714" s="29"/>
      <c r="N3714" s="29"/>
      <c r="O3714" s="29"/>
      <c r="P3714" s="29"/>
      <c r="Q3714" s="14"/>
      <c r="R3714" s="11"/>
    </row>
    <row r="3715" s="1" customFormat="1" ht="9.95" customHeight="1" spans="1:18">
      <c r="A3715" s="7"/>
      <c r="B3715" s="12"/>
      <c r="C3715" s="30"/>
      <c r="D3715" s="31"/>
      <c r="E3715" s="31"/>
      <c r="F3715" s="31"/>
      <c r="G3715" s="31"/>
      <c r="H3715" s="31"/>
      <c r="I3715" s="31"/>
      <c r="J3715" s="31"/>
      <c r="K3715" s="31"/>
      <c r="L3715" s="31"/>
      <c r="M3715" s="31"/>
      <c r="N3715" s="31"/>
      <c r="O3715" s="31"/>
      <c r="P3715" s="32"/>
      <c r="Q3715" s="14"/>
      <c r="R3715" s="11"/>
    </row>
    <row r="3716" s="1" customFormat="1" ht="21.95" customHeight="1" spans="1:18">
      <c r="A3716" s="7"/>
      <c r="B3716" s="12"/>
      <c r="C3716" s="33"/>
      <c r="D3716" s="35"/>
      <c r="E3716" s="24"/>
      <c r="F3716" s="24"/>
      <c r="G3716" s="47" t="s">
        <v>717</v>
      </c>
      <c r="H3716" s="47"/>
      <c r="I3716" s="47"/>
      <c r="J3716" s="47"/>
      <c r="K3716" s="47"/>
      <c r="L3716" s="47"/>
      <c r="M3716" s="47"/>
      <c r="N3716" s="47"/>
      <c r="O3716" s="29"/>
      <c r="P3716" s="19"/>
      <c r="Q3716" s="14"/>
      <c r="R3716" s="11"/>
    </row>
    <row r="3717" s="1" customFormat="1" ht="21.95" customHeight="1" spans="1:18">
      <c r="A3717" s="7"/>
      <c r="B3717" s="12"/>
      <c r="C3717" s="33"/>
      <c r="D3717" s="47"/>
      <c r="E3717" s="47"/>
      <c r="F3717" s="47"/>
      <c r="G3717" s="47" t="s">
        <v>541</v>
      </c>
      <c r="H3717" s="47" t="s">
        <v>542</v>
      </c>
      <c r="I3717" s="47" t="s">
        <v>543</v>
      </c>
      <c r="J3717" s="47" t="s">
        <v>544</v>
      </c>
      <c r="K3717" s="47" t="s">
        <v>561</v>
      </c>
      <c r="L3717" s="47" t="s">
        <v>382</v>
      </c>
      <c r="M3717" s="49" t="s">
        <v>546</v>
      </c>
      <c r="N3717" s="49"/>
      <c r="O3717" s="29"/>
      <c r="P3717" s="19"/>
      <c r="Q3717" s="14"/>
      <c r="R3717" s="11"/>
    </row>
    <row r="3718" s="1" customFormat="1" ht="21.95" customHeight="1" spans="1:18">
      <c r="A3718" s="7"/>
      <c r="B3718" s="12"/>
      <c r="C3718" s="33"/>
      <c r="D3718" s="207" t="s">
        <v>652</v>
      </c>
      <c r="E3718" s="207"/>
      <c r="F3718" s="207"/>
      <c r="G3718" s="50">
        <v>10</v>
      </c>
      <c r="H3718" s="50">
        <v>10</v>
      </c>
      <c r="I3718" s="50">
        <v>10</v>
      </c>
      <c r="J3718" s="50">
        <v>10</v>
      </c>
      <c r="K3718" s="50">
        <v>60</v>
      </c>
      <c r="L3718" s="50">
        <v>100</v>
      </c>
      <c r="M3718" s="49"/>
      <c r="N3718" s="49"/>
      <c r="O3718" s="29"/>
      <c r="P3718" s="19"/>
      <c r="Q3718" s="14"/>
      <c r="R3718" s="11"/>
    </row>
    <row r="3719" s="1" customFormat="1" ht="21.95" customHeight="1" spans="1:18">
      <c r="A3719" s="7"/>
      <c r="B3719" s="12"/>
      <c r="C3719" s="33"/>
      <c r="D3719" s="117" t="s">
        <v>668</v>
      </c>
      <c r="E3719" s="117"/>
      <c r="F3719" s="117"/>
      <c r="G3719" s="54" t="str">
        <f>IFERROR(VLOOKUP(F3702,'1to4-2.1-RR'!$A$12:$BG$111,9,0),"")</f>
        <v/>
      </c>
      <c r="H3719" s="54" t="str">
        <f>IFERROR(VLOOKUP(F3702,'1to4-2.1-RR'!$A$12:$BG$111,10,0),"")</f>
        <v/>
      </c>
      <c r="I3719" s="54" t="str">
        <f>IFERROR(VLOOKUP(F3702,'1to4-2.1-RR'!$A$12:$BG$111,11,0),"")</f>
        <v/>
      </c>
      <c r="J3719" s="54" t="str">
        <f>IFERROR(VLOOKUP(F3702,'1to4-2.1-RR'!$A$12:$BG$111,12,0),"")</f>
        <v/>
      </c>
      <c r="K3719" s="54" t="str">
        <f>IFERROR(VLOOKUP(F3702,'1to4-2.1-RR'!$A$12:$BG$111,13,0),"")</f>
        <v/>
      </c>
      <c r="L3719" s="55">
        <f>SUM(G3719:K3719)</f>
        <v>0</v>
      </c>
      <c r="M3719" s="56" t="str">
        <f>IF(F3702&gt;ENTRY!$D$24,"",IF(L3719=0,"Ab",IF(L3719&gt;80,"A",IF(L3719&gt;60,"B",IF(L3719&gt;44,"C",IF(L3719&gt;=33,"D",IF(L3719&lt;=32,"E","")))))))</f>
        <v/>
      </c>
      <c r="N3719" s="56"/>
      <c r="O3719" s="29"/>
      <c r="P3719" s="19"/>
      <c r="Q3719" s="14"/>
      <c r="R3719" s="11"/>
    </row>
    <row r="3720" s="1" customFormat="1" ht="21.95" customHeight="1" spans="1:18">
      <c r="A3720" s="7"/>
      <c r="B3720" s="12"/>
      <c r="C3720" s="33"/>
      <c r="D3720" s="117" t="s">
        <v>513</v>
      </c>
      <c r="E3720" s="117"/>
      <c r="F3720" s="117"/>
      <c r="G3720" s="54" t="str">
        <f>IFERROR(VLOOKUP(F3702,'1to4-2.1-RR'!$A$12:$BG$111,16,0),"")</f>
        <v/>
      </c>
      <c r="H3720" s="54" t="str">
        <f>IFERROR(VLOOKUP(F3702,'1to4-2.1-RR'!$A$12:$BG$111,17,0),"")</f>
        <v/>
      </c>
      <c r="I3720" s="54" t="str">
        <f>IFERROR(VLOOKUP(F3702,'1to4-2.1-RR'!$A$12:$BG$111,18,0),"")</f>
        <v/>
      </c>
      <c r="J3720" s="54" t="str">
        <f>IFERROR(VLOOKUP(F3702,'1to4-2.1-RR'!$A$12:$BG$111,19,0),"")</f>
        <v/>
      </c>
      <c r="K3720" s="54" t="str">
        <f>IFERROR(VLOOKUP(F3702,'1to4-2.1-RR'!$A$12:$BG$111,20,0),"")</f>
        <v/>
      </c>
      <c r="L3720" s="55">
        <f t="shared" ref="L3720:L3725" si="132">SUM(G3720:K3720)</f>
        <v>0</v>
      </c>
      <c r="M3720" s="56" t="str">
        <f>IF(F3702&gt;ENTRY!$D$24,"",IF(L3720=0,"Ab",IF(L3720&gt;80,"A",IF(L3720&gt;60,"B",IF(L3720&gt;44,"C",IF(L3720&gt;=33,"D",IF(L3720&lt;=32,"E","")))))))</f>
        <v/>
      </c>
      <c r="N3720" s="56"/>
      <c r="O3720" s="29"/>
      <c r="P3720" s="19"/>
      <c r="Q3720" s="14"/>
      <c r="R3720" s="11"/>
    </row>
    <row r="3721" s="1" customFormat="1" ht="21.95" customHeight="1" spans="1:18">
      <c r="A3721" s="7"/>
      <c r="B3721" s="12"/>
      <c r="C3721" s="33"/>
      <c r="D3721" s="117" t="s">
        <v>718</v>
      </c>
      <c r="E3721" s="117"/>
      <c r="F3721" s="117"/>
      <c r="G3721" s="54" t="str">
        <f>IFERROR(VLOOKUP(F3702,'1to4-2.1-RR'!$A$12:$BG$111,23,0),"")</f>
        <v/>
      </c>
      <c r="H3721" s="54" t="str">
        <f>IFERROR(VLOOKUP(F3702,'1to4-2.1-RR'!$A$12:$BG$111,24,0),"")</f>
        <v/>
      </c>
      <c r="I3721" s="54" t="str">
        <f>IFERROR(VLOOKUP(F3702,'1to4-2.1-RR'!$A$12:$BG$111,25,0),"")</f>
        <v/>
      </c>
      <c r="J3721" s="54" t="str">
        <f>IFERROR(VLOOKUP(F3702,'1to4-2.1-RR'!$A$12:$BG$111,26,0),"")</f>
        <v/>
      </c>
      <c r="K3721" s="54" t="str">
        <f>IFERROR(VLOOKUP(F3702,'1to4-2.1-RR'!$A$12:$BG$111,27,0),"")</f>
        <v/>
      </c>
      <c r="L3721" s="55">
        <f t="shared" si="132"/>
        <v>0</v>
      </c>
      <c r="M3721" s="56" t="str">
        <f>IF(F3702&gt;ENTRY!$D$24,"",IF(L3721=0,"Ab",IF(L3721&gt;80,"A",IF(L3721&gt;60,"B",IF(L3721&gt;44,"C",IF(L3721&gt;=33,"D",IF(L3721&lt;=32,"E","")))))))</f>
        <v/>
      </c>
      <c r="N3721" s="56"/>
      <c r="O3721" s="29"/>
      <c r="P3721" s="19"/>
      <c r="Q3721" s="14"/>
      <c r="R3721" s="11"/>
    </row>
    <row r="3722" s="1" customFormat="1" ht="21.95" customHeight="1" spans="1:18">
      <c r="A3722" s="7"/>
      <c r="B3722" s="12"/>
      <c r="C3722" s="33"/>
      <c r="D3722" s="117" t="s">
        <v>719</v>
      </c>
      <c r="E3722" s="117"/>
      <c r="F3722" s="117"/>
      <c r="G3722" s="54" t="str">
        <f>IFERROR(VLOOKUP(F3702,'1to4-2.1-RR'!$A$12:$BG$111,30,0),"")</f>
        <v/>
      </c>
      <c r="H3722" s="54" t="str">
        <f>IFERROR(VLOOKUP(F3702,'1to4-2.1-RR'!$A$12:$BG$111,31,0),"")</f>
        <v/>
      </c>
      <c r="I3722" s="54" t="str">
        <f>IFERROR(VLOOKUP(F3702,'1to4-2.1-RR'!$A$12:$BG$111,32,0),"")</f>
        <v/>
      </c>
      <c r="J3722" s="54" t="str">
        <f>IFERROR(VLOOKUP(F3702,'1to4-2.1-RR'!$A$12:$BG$111,33,0),"")</f>
        <v/>
      </c>
      <c r="K3722" s="54" t="str">
        <f>IFERROR(VLOOKUP(F3702,'1to4-2.1-RR'!$A$12:$BG$111,34,0),"")</f>
        <v/>
      </c>
      <c r="L3722" s="55">
        <f t="shared" si="132"/>
        <v>0</v>
      </c>
      <c r="M3722" s="56" t="str">
        <f>IF(F3702&gt;ENTRY!$D$24,"",IF(L3722=0,"Ab",IF(L3722&gt;80,"A",IF(L3722&gt;60,"B",IF(L3722&gt;44,"C",IF(L3722&gt;=33,"D",IF(L3722&lt;=32,"E","")))))))</f>
        <v/>
      </c>
      <c r="N3722" s="56"/>
      <c r="O3722" s="29"/>
      <c r="P3722" s="19"/>
      <c r="Q3722" s="14"/>
      <c r="R3722" s="11"/>
    </row>
    <row r="3723" s="1" customFormat="1" ht="21.95" customHeight="1" spans="1:18">
      <c r="A3723" s="7"/>
      <c r="B3723" s="12"/>
      <c r="C3723" s="33"/>
      <c r="D3723" s="117" t="s">
        <v>548</v>
      </c>
      <c r="E3723" s="117"/>
      <c r="F3723" s="117"/>
      <c r="G3723" s="54" t="str">
        <f>IFERROR(VLOOKUP(F3702,'1to4-2.1-RR'!$A$12:$BG$111,37,0),"")</f>
        <v/>
      </c>
      <c r="H3723" s="54" t="str">
        <f>IFERROR(VLOOKUP(F3702,'1to4-2.1-RR'!$A$12:$BG$111,38,0),"")</f>
        <v/>
      </c>
      <c r="I3723" s="54" t="str">
        <f>IFERROR(VLOOKUP(F3702,'1to4-2.1-RR'!$A$12:$BG$111,39,0),"")</f>
        <v/>
      </c>
      <c r="J3723" s="54" t="str">
        <f>IFERROR(VLOOKUP(F3702,'1to4-2.1-RR'!$A$12:$BG$111,40,0),"")</f>
        <v/>
      </c>
      <c r="K3723" s="54" t="str">
        <f>IFERROR(VLOOKUP(F3702,'1to4-2.1-RR'!$A$12:$BG$111,41,0),"")</f>
        <v/>
      </c>
      <c r="L3723" s="55">
        <f t="shared" si="132"/>
        <v>0</v>
      </c>
      <c r="M3723" s="56" t="str">
        <f>IF(F3702&gt;ENTRY!$D$24,"",IF(L3723=0,"Ab",IF(L3723&gt;80,"A",IF(L3723&gt;60,"B",IF(L3723&gt;44,"C",IF(L3723&gt;=33,"D",IF(L3723&lt;=32,"E","")))))))</f>
        <v/>
      </c>
      <c r="N3723" s="56"/>
      <c r="O3723" s="29"/>
      <c r="P3723" s="19"/>
      <c r="Q3723" s="14"/>
      <c r="R3723" s="11"/>
    </row>
    <row r="3724" s="1" customFormat="1" ht="21.95" customHeight="1" spans="1:18">
      <c r="A3724" s="7"/>
      <c r="B3724" s="12"/>
      <c r="C3724" s="33"/>
      <c r="D3724" s="117" t="s">
        <v>549</v>
      </c>
      <c r="E3724" s="117"/>
      <c r="F3724" s="117"/>
      <c r="G3724" s="54" t="str">
        <f>IFERROR(VLOOKUP(F3702,'1to4-2.1-RR'!$A$12:$BG$111,44,0),"")</f>
        <v/>
      </c>
      <c r="H3724" s="54" t="str">
        <f>IFERROR(VLOOKUP(F3702,'1to4-2.1-RR'!$A$12:$BG$111,45,0),"")</f>
        <v/>
      </c>
      <c r="I3724" s="54" t="str">
        <f>IFERROR(VLOOKUP(F3702,'1to4-2.1-RR'!$A$12:$BG$111,46,0),"")</f>
        <v/>
      </c>
      <c r="J3724" s="54" t="str">
        <f>IFERROR(VLOOKUP(F3702,'1to4-2.1-RR'!$A$12:$BG$111,47,0),"")</f>
        <v/>
      </c>
      <c r="K3724" s="54" t="str">
        <f>IFERROR(VLOOKUP(F3702,'1to4-2.1-RR'!$A$12:$BG$111,48,0),"")</f>
        <v/>
      </c>
      <c r="L3724" s="55">
        <f t="shared" si="132"/>
        <v>0</v>
      </c>
      <c r="M3724" s="56" t="str">
        <f>IF(F3702&gt;ENTRY!$D$24,"",IF(L3724=0,"Ab",IF(L3724&gt;80,"A",IF(L3724&gt;60,"B",IF(L3724&gt;44,"C",IF(L3724&gt;=33,"D",IF(L3724&lt;=32,"E","")))))))</f>
        <v/>
      </c>
      <c r="N3724" s="56"/>
      <c r="O3724" s="29"/>
      <c r="P3724" s="19"/>
      <c r="Q3724" s="14"/>
      <c r="R3724" s="11"/>
    </row>
    <row r="3725" s="1" customFormat="1" ht="21.95" customHeight="1" spans="1:18">
      <c r="A3725" s="7"/>
      <c r="B3725" s="12"/>
      <c r="C3725" s="33"/>
      <c r="D3725" s="117" t="s">
        <v>720</v>
      </c>
      <c r="E3725" s="117"/>
      <c r="F3725" s="117"/>
      <c r="G3725" s="54"/>
      <c r="H3725" s="54"/>
      <c r="I3725" s="54"/>
      <c r="J3725" s="54"/>
      <c r="K3725" s="54"/>
      <c r="L3725" s="55">
        <f t="shared" si="132"/>
        <v>0</v>
      </c>
      <c r="M3725" s="56" t="str">
        <f>IF(F3702&gt;ENTRY!$D$24,"",IF(L3725=0,"",IF(L3725&gt;79,"A",IF(L3725&gt;59,"B",IF(L3725&gt;44,"C",IF(L3725&gt;=33,"D",IF(L3725&lt;=32,"E","")))))))</f>
        <v/>
      </c>
      <c r="N3725" s="56"/>
      <c r="O3725" s="29"/>
      <c r="P3725" s="19"/>
      <c r="Q3725" s="14"/>
      <c r="R3725" s="11"/>
    </row>
    <row r="3726" s="1" customFormat="1" ht="21.95" customHeight="1" spans="1:18">
      <c r="A3726" s="7"/>
      <c r="B3726" s="12"/>
      <c r="C3726" s="33"/>
      <c r="D3726" s="207" t="s">
        <v>382</v>
      </c>
      <c r="E3726" s="207"/>
      <c r="F3726" s="207"/>
      <c r="G3726" s="54">
        <f t="shared" ref="G3726:L3726" si="133">IFERROR(SUM(G3719:G3725),"")</f>
        <v>0</v>
      </c>
      <c r="H3726" s="54">
        <f t="shared" si="133"/>
        <v>0</v>
      </c>
      <c r="I3726" s="54">
        <f t="shared" si="133"/>
        <v>0</v>
      </c>
      <c r="J3726" s="54">
        <f t="shared" si="133"/>
        <v>0</v>
      </c>
      <c r="K3726" s="54">
        <f t="shared" si="133"/>
        <v>0</v>
      </c>
      <c r="L3726" s="55">
        <f t="shared" si="133"/>
        <v>0</v>
      </c>
      <c r="M3726" s="61" t="str">
        <f>IF(F3702&gt;ENTRY!$D$24,"",IF(N3727="Ab","Ab",IF(N3727&gt;79.5,"A",IF(N3727&gt;59.5,"B",IF(N3727&gt;44.5,"C",IF(N3727&gt;=33,"D",IF(N3727&lt;33,"E","")))))))</f>
        <v/>
      </c>
      <c r="N3726" s="61"/>
      <c r="O3726" s="29"/>
      <c r="P3726" s="19"/>
      <c r="Q3726" s="14"/>
      <c r="R3726" s="11"/>
    </row>
    <row r="3727" s="1" customFormat="1" ht="21.95" customHeight="1" spans="1:18">
      <c r="A3727" s="7"/>
      <c r="B3727" s="12"/>
      <c r="C3727" s="33"/>
      <c r="D3727" s="63" t="s">
        <v>721</v>
      </c>
      <c r="E3727" s="63"/>
      <c r="F3727" s="63"/>
      <c r="G3727" s="63"/>
      <c r="H3727" s="63"/>
      <c r="I3727" s="63"/>
      <c r="J3727" s="63"/>
      <c r="K3727" s="63"/>
      <c r="L3727" s="63"/>
      <c r="M3727" s="209"/>
      <c r="N3727" s="64">
        <f>IF(L3726="Ab","Ab",L3726/6)</f>
        <v>0</v>
      </c>
      <c r="O3727" s="65"/>
      <c r="P3727" s="19"/>
      <c r="Q3727" s="14"/>
      <c r="R3727" s="11"/>
    </row>
    <row r="3728" s="1" customFormat="1" ht="21.95" customHeight="1" spans="1:18">
      <c r="A3728" s="7"/>
      <c r="B3728" s="12"/>
      <c r="C3728" s="33"/>
      <c r="D3728" s="29" t="s">
        <v>716</v>
      </c>
      <c r="E3728" s="18" t="str">
        <f>IFERROR(VLOOKUP(F3702,'1to4-2.1-RR'!$A$12:$BG$111,57,0),"")</f>
        <v/>
      </c>
      <c r="F3728" s="18"/>
      <c r="G3728" s="18"/>
      <c r="H3728" s="18"/>
      <c r="I3728" s="18"/>
      <c r="J3728" s="18"/>
      <c r="K3728" s="18"/>
      <c r="L3728" s="18"/>
      <c r="M3728" s="18"/>
      <c r="N3728" s="29"/>
      <c r="O3728" s="29"/>
      <c r="P3728" s="19"/>
      <c r="Q3728" s="14"/>
      <c r="R3728" s="11"/>
    </row>
    <row r="3729" s="1" customFormat="1" ht="9.95" customHeight="1" spans="1:19">
      <c r="A3729" s="7"/>
      <c r="B3729" s="12"/>
      <c r="C3729" s="39"/>
      <c r="D3729" s="40"/>
      <c r="E3729" s="40"/>
      <c r="F3729" s="40"/>
      <c r="G3729" s="40"/>
      <c r="H3729" s="40"/>
      <c r="I3729" s="40"/>
      <c r="J3729" s="40"/>
      <c r="K3729" s="40"/>
      <c r="L3729" s="40"/>
      <c r="M3729" s="40"/>
      <c r="N3729" s="40"/>
      <c r="O3729" s="40"/>
      <c r="P3729" s="41"/>
      <c r="Q3729" s="14"/>
      <c r="R3729" s="11"/>
    </row>
    <row r="3730" s="1" customFormat="1" ht="9.95" customHeight="1" spans="1:19">
      <c r="A3730" s="7"/>
      <c r="B3730" s="12"/>
      <c r="C3730" s="30"/>
      <c r="D3730" s="31"/>
      <c r="E3730" s="31"/>
      <c r="F3730" s="29"/>
      <c r="G3730" s="31"/>
      <c r="H3730" s="31"/>
      <c r="I3730" s="31"/>
      <c r="J3730" s="31"/>
      <c r="K3730" s="31"/>
      <c r="L3730" s="31"/>
      <c r="M3730" s="31"/>
      <c r="N3730" s="31"/>
      <c r="O3730" s="31"/>
      <c r="P3730" s="32"/>
      <c r="Q3730" s="14"/>
      <c r="R3730" s="11"/>
    </row>
    <row r="3731" s="1" customFormat="1" ht="9.95" customHeight="1" spans="1:19">
      <c r="A3731" s="7"/>
      <c r="B3731" s="12"/>
      <c r="C3731" s="33"/>
      <c r="D3731" s="29"/>
      <c r="E3731" s="29"/>
      <c r="F3731" s="29"/>
      <c r="G3731" s="29"/>
      <c r="H3731" s="29"/>
      <c r="I3731" s="29"/>
      <c r="J3731" s="29"/>
      <c r="K3731" s="29"/>
      <c r="L3731" s="29"/>
      <c r="M3731" s="29"/>
      <c r="N3731" s="29"/>
      <c r="O3731" s="29"/>
      <c r="P3731" s="19"/>
      <c r="Q3731" s="14"/>
      <c r="R3731" s="11"/>
    </row>
    <row r="3732" s="1" customFormat="1" ht="9.95" customHeight="1" spans="1:19">
      <c r="A3732" s="7"/>
      <c r="B3732" s="12"/>
      <c r="C3732" s="33"/>
      <c r="D3732" s="29"/>
      <c r="E3732" s="29"/>
      <c r="F3732" s="29"/>
      <c r="G3732" s="29"/>
      <c r="H3732" s="29"/>
      <c r="I3732" s="29"/>
      <c r="J3732" s="29"/>
      <c r="K3732" s="29"/>
      <c r="L3732" s="29"/>
      <c r="M3732" s="29"/>
      <c r="N3732" s="29"/>
      <c r="O3732" s="29"/>
      <c r="P3732" s="19"/>
      <c r="Q3732" s="14"/>
      <c r="R3732" s="11"/>
    </row>
    <row r="3733" s="1" customFormat="1" ht="21.95" customHeight="1" spans="1:19">
      <c r="A3733" s="7"/>
      <c r="B3733" s="12"/>
      <c r="C3733" s="210"/>
      <c r="D3733" s="211"/>
      <c r="E3733" s="211"/>
      <c r="F3733" s="211"/>
      <c r="G3733" s="211"/>
      <c r="H3733" s="211"/>
      <c r="I3733" s="211"/>
      <c r="J3733" s="211"/>
      <c r="K3733" s="211"/>
      <c r="L3733" s="211"/>
      <c r="M3733" s="211"/>
      <c r="N3733" s="211"/>
      <c r="O3733" s="211"/>
      <c r="P3733" s="212"/>
      <c r="Q3733" s="14"/>
      <c r="R3733" s="11"/>
      <c r="S3733" s="2"/>
    </row>
    <row r="3734" s="1" customFormat="1" ht="21.95" customHeight="1" spans="1:19">
      <c r="A3734" s="7"/>
      <c r="B3734" s="12"/>
      <c r="C3734" s="33"/>
      <c r="D3734" s="207" t="s">
        <v>722</v>
      </c>
      <c r="E3734" s="207"/>
      <c r="F3734" s="207"/>
      <c r="G3734" s="207"/>
      <c r="H3734" s="54">
        <f>IFERROR(VLOOKUP(F3702,PASHEET!$A$4:$CJ$103,88,0),"")</f>
        <v>0</v>
      </c>
      <c r="I3734" s="54"/>
      <c r="J3734" s="29"/>
      <c r="K3734" s="29"/>
      <c r="L3734" s="29"/>
      <c r="M3734" s="29"/>
      <c r="N3734" s="29"/>
      <c r="O3734" s="29"/>
      <c r="P3734" s="19"/>
      <c r="Q3734" s="14"/>
      <c r="R3734" s="11"/>
    </row>
    <row r="3735" s="1" customFormat="1" ht="21.95" customHeight="1" spans="1:19">
      <c r="A3735" s="7"/>
      <c r="B3735" s="12"/>
      <c r="C3735" s="213"/>
      <c r="D3735" s="207" t="s">
        <v>723</v>
      </c>
      <c r="E3735" s="207"/>
      <c r="F3735" s="207"/>
      <c r="G3735" s="207"/>
      <c r="H3735" s="54">
        <f>IFERROR(VLOOKUP(F3702,PASHEET!$A$4:$CJ$103,87,0),"")</f>
        <v>0</v>
      </c>
      <c r="I3735" s="54"/>
      <c r="J3735" s="214"/>
      <c r="K3735" s="214"/>
      <c r="L3735" s="207" t="s">
        <v>724</v>
      </c>
      <c r="M3735" s="207"/>
      <c r="N3735" s="117" t="str">
        <f>IF(F3702&gt;ENTRY!$D$24,"",IF(F3702&gt;0,L3726&amp;" / "&amp;600,""))</f>
        <v/>
      </c>
      <c r="O3735" s="117"/>
      <c r="P3735" s="215"/>
      <c r="Q3735" s="14"/>
      <c r="R3735" s="11"/>
    </row>
    <row r="3736" s="1" customFormat="1" ht="18" customHeight="1" spans="1:19">
      <c r="A3736" s="7"/>
      <c r="B3736" s="12"/>
      <c r="C3736" s="33"/>
      <c r="D3736" s="207" t="s">
        <v>725</v>
      </c>
      <c r="E3736" s="207"/>
      <c r="F3736" s="207"/>
      <c r="G3736" s="207"/>
      <c r="H3736" s="69" t="str">
        <f>IFERROR(IF(F3702&gt;0,H3735/H3734*100),"")</f>
        <v/>
      </c>
      <c r="I3736" s="69"/>
      <c r="J3736" s="29"/>
      <c r="K3736" s="29"/>
      <c r="L3736" s="207" t="s">
        <v>726</v>
      </c>
      <c r="M3736" s="207"/>
      <c r="N3736" s="216" t="str">
        <f>IF(F3702&gt;ENTRY!$D$24,"",IF(F3702&gt;0,L3726/600*100,""))</f>
        <v/>
      </c>
      <c r="O3736" s="216"/>
      <c r="P3736" s="19"/>
      <c r="Q3736" s="14"/>
      <c r="R3736" s="11"/>
    </row>
    <row r="3737" s="1" customFormat="1" ht="21.95" customHeight="1" spans="1:19">
      <c r="A3737" s="7"/>
      <c r="B3737" s="12"/>
      <c r="C3737" s="33"/>
      <c r="D3737" s="80"/>
      <c r="E3737" s="80"/>
      <c r="F3737" s="217"/>
      <c r="G3737" s="217"/>
      <c r="H3737" s="217"/>
      <c r="I3737" s="217"/>
      <c r="J3737" s="217"/>
      <c r="K3737" s="217"/>
      <c r="L3737" s="217"/>
      <c r="M3737" s="217"/>
      <c r="N3737" s="80"/>
      <c r="O3737" s="80"/>
      <c r="P3737" s="19"/>
      <c r="Q3737" s="14"/>
      <c r="R3737" s="11"/>
    </row>
    <row r="3738" s="1" customFormat="1" ht="21.95" customHeight="1" spans="1:19">
      <c r="A3738" s="7"/>
      <c r="B3738" s="12"/>
      <c r="C3738" s="33"/>
      <c r="D3738" s="80"/>
      <c r="E3738" s="218"/>
      <c r="F3738" s="218"/>
      <c r="G3738" s="218"/>
      <c r="H3738" s="80"/>
      <c r="I3738" s="218"/>
      <c r="J3738" s="218"/>
      <c r="K3738" s="218"/>
      <c r="L3738" s="218"/>
      <c r="M3738" s="80"/>
      <c r="N3738" s="219"/>
      <c r="O3738" s="219"/>
      <c r="P3738" s="19"/>
      <c r="Q3738" s="14"/>
      <c r="R3738" s="11"/>
    </row>
    <row r="3739" s="1" customFormat="1" ht="21.95" customHeight="1" spans="1:19">
      <c r="A3739" s="7"/>
      <c r="B3739" s="12"/>
      <c r="C3739" s="33"/>
      <c r="D3739" s="80"/>
      <c r="E3739" s="80"/>
      <c r="F3739" s="80"/>
      <c r="G3739" s="80"/>
      <c r="H3739" s="80"/>
      <c r="I3739" s="80"/>
      <c r="J3739" s="80"/>
      <c r="K3739" s="80"/>
      <c r="L3739" s="80"/>
      <c r="M3739" s="80"/>
      <c r="N3739" s="80"/>
      <c r="O3739" s="80"/>
      <c r="P3739" s="19"/>
      <c r="Q3739" s="14"/>
      <c r="R3739" s="11"/>
    </row>
    <row r="3740" s="1" customFormat="1" ht="21.95" customHeight="1" spans="1:19">
      <c r="A3740" s="7"/>
      <c r="B3740" s="12"/>
      <c r="C3740" s="33"/>
      <c r="D3740" s="218"/>
      <c r="E3740" s="218"/>
      <c r="F3740" s="218"/>
      <c r="G3740" s="218"/>
      <c r="H3740" s="218"/>
      <c r="I3740" s="218"/>
      <c r="J3740" s="218"/>
      <c r="K3740" s="218"/>
      <c r="L3740" s="218"/>
      <c r="M3740" s="80"/>
      <c r="N3740" s="217"/>
      <c r="O3740" s="217"/>
      <c r="P3740" s="85" t="s">
        <v>727</v>
      </c>
      <c r="Q3740" s="14"/>
      <c r="R3740" s="11"/>
    </row>
    <row r="3741" s="1" customFormat="1" ht="21.95" customHeight="1" spans="1:19">
      <c r="A3741" s="7"/>
      <c r="B3741" s="12"/>
      <c r="C3741" s="33"/>
      <c r="D3741" s="29"/>
      <c r="E3741" s="29"/>
      <c r="F3741" s="29"/>
      <c r="G3741" s="29"/>
      <c r="H3741" s="29"/>
      <c r="I3741" s="29"/>
      <c r="J3741" s="29"/>
      <c r="K3741" s="29"/>
      <c r="L3741" s="29"/>
      <c r="M3741" s="29"/>
      <c r="N3741" s="29"/>
      <c r="O3741" s="29"/>
      <c r="P3741" s="19"/>
      <c r="Q3741" s="14"/>
      <c r="R3741" s="11"/>
    </row>
    <row r="3742" s="1" customFormat="1" ht="21.95" customHeight="1" spans="1:19">
      <c r="A3742" s="7"/>
      <c r="B3742" s="12"/>
      <c r="C3742" s="33"/>
      <c r="D3742" s="29"/>
      <c r="E3742" s="29"/>
      <c r="F3742" s="29"/>
      <c r="G3742" s="29"/>
      <c r="H3742" s="29"/>
      <c r="I3742" s="29"/>
      <c r="J3742" s="29"/>
      <c r="K3742" s="29"/>
      <c r="L3742" s="29"/>
      <c r="M3742" s="29"/>
      <c r="N3742" s="29"/>
      <c r="O3742" s="29"/>
      <c r="P3742" s="19"/>
      <c r="Q3742" s="14"/>
      <c r="R3742" s="11"/>
    </row>
    <row r="3743" s="1" customFormat="1" ht="21.95" customHeight="1" spans="1:19">
      <c r="A3743" s="7"/>
      <c r="B3743" s="12"/>
      <c r="C3743" s="33"/>
      <c r="D3743" s="29"/>
      <c r="E3743" s="29"/>
      <c r="F3743" s="29"/>
      <c r="G3743" s="29"/>
      <c r="H3743" s="29"/>
      <c r="I3743" s="29"/>
      <c r="J3743" s="29"/>
      <c r="K3743" s="29"/>
      <c r="L3743" s="29"/>
      <c r="M3743" s="29"/>
      <c r="N3743" s="29"/>
      <c r="O3743" s="29"/>
      <c r="P3743" s="19"/>
      <c r="Q3743" s="14"/>
      <c r="R3743" s="11"/>
    </row>
    <row r="3744" s="1" customFormat="1" ht="21.95" customHeight="1" spans="1:19">
      <c r="A3744" s="7"/>
      <c r="B3744" s="12"/>
      <c r="C3744" s="33"/>
      <c r="D3744" s="29"/>
      <c r="E3744" s="29"/>
      <c r="F3744" s="29"/>
      <c r="G3744" s="29"/>
      <c r="H3744" s="29"/>
      <c r="I3744" s="29"/>
      <c r="J3744" s="29"/>
      <c r="K3744" s="29"/>
      <c r="L3744" s="29"/>
      <c r="M3744" s="29"/>
      <c r="N3744" s="29"/>
      <c r="O3744" s="29"/>
      <c r="P3744" s="19"/>
      <c r="Q3744" s="14"/>
      <c r="R3744" s="11"/>
    </row>
    <row r="3745" s="1" customFormat="1" ht="21.95" customHeight="1" spans="1:18">
      <c r="A3745" s="7"/>
      <c r="B3745" s="12"/>
      <c r="C3745" s="33"/>
      <c r="D3745" s="29"/>
      <c r="E3745" s="29"/>
      <c r="F3745" s="29"/>
      <c r="G3745" s="29"/>
      <c r="H3745" s="29"/>
      <c r="I3745" s="29"/>
      <c r="J3745" s="29"/>
      <c r="K3745" s="29"/>
      <c r="L3745" s="29"/>
      <c r="M3745" s="29"/>
      <c r="N3745" s="29"/>
      <c r="O3745" s="29"/>
      <c r="P3745" s="19"/>
      <c r="Q3745" s="14"/>
      <c r="R3745" s="11"/>
    </row>
    <row r="3746" s="1" customFormat="1" ht="21.95" customHeight="1" spans="1:18">
      <c r="A3746" s="7"/>
      <c r="B3746" s="12"/>
      <c r="C3746" s="33"/>
      <c r="D3746" s="80" t="s">
        <v>728</v>
      </c>
      <c r="E3746" s="220">
        <f>ENTRY!$D$27</f>
        <v>46102</v>
      </c>
      <c r="F3746" s="220"/>
      <c r="G3746" s="29"/>
      <c r="H3746" s="29"/>
      <c r="I3746" s="221" t="s">
        <v>729</v>
      </c>
      <c r="J3746" s="153"/>
      <c r="K3746" s="29"/>
      <c r="L3746" s="29"/>
      <c r="M3746" s="87" t="s">
        <v>730</v>
      </c>
      <c r="N3746" s="87"/>
      <c r="O3746" s="87"/>
      <c r="P3746" s="19"/>
      <c r="Q3746" s="14"/>
      <c r="R3746" s="11"/>
    </row>
    <row r="3747" s="1" customFormat="1" ht="21.95" customHeight="1" spans="1:18">
      <c r="A3747" s="7"/>
      <c r="B3747" s="12"/>
      <c r="C3747" s="33"/>
      <c r="D3747" s="80" t="s">
        <v>731</v>
      </c>
      <c r="E3747" s="88" t="str">
        <f>PROPER(ENTRY!$D$28)</f>
        <v>New Delhi</v>
      </c>
      <c r="F3747" s="88"/>
      <c r="G3747" s="29"/>
      <c r="H3747" s="29"/>
      <c r="I3747" s="153"/>
      <c r="J3747" s="153"/>
      <c r="K3747" s="29"/>
      <c r="L3747" s="29"/>
      <c r="M3747" s="79" t="s">
        <v>732</v>
      </c>
      <c r="N3747" s="79"/>
      <c r="O3747" s="79"/>
      <c r="P3747" s="19"/>
      <c r="Q3747" s="14"/>
      <c r="R3747" s="11"/>
    </row>
    <row r="3748" s="1" customFormat="1" ht="21.95" customHeight="1" spans="1:18">
      <c r="A3748" s="7"/>
      <c r="B3748" s="12"/>
      <c r="C3748" s="90"/>
      <c r="D3748" s="91"/>
      <c r="E3748" s="91"/>
      <c r="F3748" s="91"/>
      <c r="G3748" s="91"/>
      <c r="H3748" s="91"/>
      <c r="I3748" s="91"/>
      <c r="J3748" s="91"/>
      <c r="K3748" s="91"/>
      <c r="L3748" s="91"/>
      <c r="M3748" s="91"/>
      <c r="N3748" s="91"/>
      <c r="O3748" s="91"/>
      <c r="P3748" s="92"/>
      <c r="Q3748" s="14"/>
      <c r="R3748" s="11"/>
    </row>
    <row r="3749" s="1" customFormat="1" ht="5.1" customHeight="1" spans="1:18">
      <c r="A3749" s="7"/>
      <c r="B3749" s="90"/>
      <c r="C3749" s="91"/>
      <c r="D3749" s="91"/>
      <c r="E3749" s="91"/>
      <c r="F3749" s="91"/>
      <c r="G3749" s="91"/>
      <c r="H3749" s="91"/>
      <c r="I3749" s="91"/>
      <c r="J3749" s="91"/>
      <c r="K3749" s="91"/>
      <c r="L3749" s="91"/>
      <c r="M3749" s="91"/>
      <c r="N3749" s="91"/>
      <c r="O3749" s="91"/>
      <c r="P3749" s="91"/>
      <c r="Q3749" s="92"/>
      <c r="R3749" s="11"/>
    </row>
    <row r="3750" s="1" customFormat="1" ht="5.1" customHeight="1" spans="1:18">
      <c r="A3750" s="93"/>
      <c r="B3750" s="94"/>
      <c r="C3750" s="94"/>
      <c r="D3750" s="94"/>
      <c r="E3750" s="94"/>
      <c r="F3750" s="94"/>
      <c r="G3750" s="94"/>
      <c r="H3750" s="94"/>
      <c r="I3750" s="94"/>
      <c r="J3750" s="94"/>
      <c r="K3750" s="94"/>
      <c r="L3750" s="94"/>
      <c r="M3750" s="94"/>
      <c r="N3750" s="94"/>
      <c r="O3750" s="94"/>
      <c r="P3750" s="94"/>
      <c r="Q3750" s="94"/>
      <c r="R3750" s="95"/>
    </row>
    <row r="3751" s="1" customFormat="1" ht="21.95" customHeight="1"/>
    <row r="3752" ht="15.15"/>
    <row r="3753" s="1" customFormat="1" ht="5.1" customHeight="1" spans="1:18">
      <c r="A3753" s="4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  <c r="O3753" s="5"/>
      <c r="P3753" s="5"/>
      <c r="Q3753" s="5"/>
      <c r="R3753" s="6"/>
    </row>
    <row r="3754" s="1" customFormat="1" ht="15" customHeight="1" spans="1:18">
      <c r="A3754" s="7"/>
      <c r="B3754" s="8"/>
      <c r="C3754" s="9"/>
      <c r="D3754" s="9"/>
      <c r="E3754" s="9"/>
      <c r="F3754" s="9"/>
      <c r="G3754" s="9"/>
      <c r="H3754" s="9"/>
      <c r="I3754" s="9"/>
      <c r="J3754" s="9"/>
      <c r="K3754" s="9"/>
      <c r="L3754" s="9"/>
      <c r="M3754" s="9"/>
      <c r="N3754" s="9"/>
      <c r="O3754" s="9"/>
      <c r="P3754" s="9"/>
      <c r="Q3754" s="10"/>
      <c r="R3754" s="11"/>
    </row>
    <row r="3755" s="1" customFormat="1" ht="21.95" customHeight="1" spans="1:18">
      <c r="A3755" s="7"/>
      <c r="B3755" s="12"/>
      <c r="C3755" s="13" t="s">
        <v>7</v>
      </c>
      <c r="D3755" s="13"/>
      <c r="E3755" s="13"/>
      <c r="F3755" s="13"/>
      <c r="G3755" s="13"/>
      <c r="H3755" s="13"/>
      <c r="I3755" s="13"/>
      <c r="J3755" s="13"/>
      <c r="K3755" s="13"/>
      <c r="L3755" s="13"/>
      <c r="M3755" s="13"/>
      <c r="N3755" s="13"/>
      <c r="O3755" s="13"/>
      <c r="P3755" s="13"/>
      <c r="Q3755" s="14"/>
      <c r="R3755" s="11"/>
    </row>
    <row r="3756" s="1" customFormat="1" ht="21.95" customHeight="1" spans="1:18">
      <c r="A3756" s="7"/>
      <c r="B3756" s="1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14"/>
      <c r="R3756" s="11"/>
    </row>
    <row r="3757" s="1" customFormat="1" ht="21.95" customHeight="1" spans="1:18">
      <c r="A3757" s="7"/>
      <c r="B3757" s="12"/>
      <c r="C3757" s="15" t="str">
        <f>"SESSION-"&amp;ENTRY!$D$11</f>
        <v>SESSION-2026-27</v>
      </c>
      <c r="D3757" s="15"/>
      <c r="E3757" s="15"/>
      <c r="F3757" s="15"/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  <c r="Q3757" s="14"/>
      <c r="R3757" s="11"/>
    </row>
    <row r="3758" s="1" customFormat="1" ht="21.95" customHeight="1" spans="1:18">
      <c r="A3758" s="7"/>
      <c r="B3758" s="12"/>
      <c r="C3758" s="2"/>
      <c r="D3758" s="2"/>
      <c r="E3758" s="2"/>
      <c r="F3758" s="16">
        <f>F3702+1</f>
        <v>68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14"/>
      <c r="R3758" s="11"/>
    </row>
    <row r="3759" s="1" customFormat="1" ht="21.95" customHeight="1" spans="1:18">
      <c r="A3759" s="7"/>
      <c r="B3759" s="12"/>
      <c r="C3759" s="17" t="s">
        <v>392</v>
      </c>
      <c r="D3759" s="17"/>
      <c r="E3759" s="17"/>
      <c r="F3759" s="18" t="str">
        <f>IF(F3758&gt;0,ENTRY!$D$6,"")</f>
        <v>MCP NITHARI NO 1 BOYS</v>
      </c>
      <c r="G3759" s="18"/>
      <c r="H3759" s="18"/>
      <c r="I3759" s="18"/>
      <c r="J3759" s="18"/>
      <c r="K3759" s="18"/>
      <c r="L3759" s="18"/>
      <c r="M3759" s="18"/>
      <c r="N3759" s="18"/>
      <c r="O3759" s="18"/>
      <c r="P3759" s="18"/>
      <c r="Q3759" s="14"/>
      <c r="R3759" s="11"/>
    </row>
    <row r="3760" s="1" customFormat="1" ht="21.95" customHeight="1" spans="1:18">
      <c r="A3760" s="7"/>
      <c r="B3760" s="12"/>
      <c r="C3760" s="17" t="s">
        <v>393</v>
      </c>
      <c r="D3760" s="17"/>
      <c r="E3760" s="17"/>
      <c r="F3760" s="18">
        <f>IF(F3758&gt;0,ENTRY!$D$7,"")</f>
        <v>0</v>
      </c>
      <c r="G3760" s="18"/>
      <c r="H3760" s="20" t="s">
        <v>702</v>
      </c>
      <c r="I3760" s="20"/>
      <c r="J3760" s="21">
        <f>IF(F3758&gt;0,ENTRY!$D$10,"")</f>
        <v>40</v>
      </c>
      <c r="K3760" s="20" t="s">
        <v>703</v>
      </c>
      <c r="L3760" s="22" t="str">
        <f>IF(F3758&gt;0,ENTRY!$D$5,"")</f>
        <v>ROHINI ZONE</v>
      </c>
      <c r="M3760" s="22"/>
      <c r="N3760" s="22"/>
      <c r="O3760" s="22"/>
      <c r="P3760" s="22"/>
      <c r="Q3760" s="14"/>
      <c r="R3760" s="11"/>
    </row>
    <row r="3761" s="1" customFormat="1" ht="21.95" customHeight="1" spans="1:18">
      <c r="A3761" s="7"/>
      <c r="B3761" s="12"/>
      <c r="C3761" s="17" t="s">
        <v>706</v>
      </c>
      <c r="D3761" s="17"/>
      <c r="E3761" s="17"/>
      <c r="F3761" s="23">
        <f>IFERROR(VLOOKUP(F3758,STUDENT!$A$2:$BP$101,5,0),"")</f>
        <v>0</v>
      </c>
      <c r="G3761" s="23"/>
      <c r="H3761" s="23"/>
      <c r="I3761" s="23"/>
      <c r="J3761" s="23"/>
      <c r="K3761" s="23"/>
      <c r="L3761" s="20" t="s">
        <v>707</v>
      </c>
      <c r="M3761" s="20"/>
      <c r="N3761" s="24" t="str">
        <f>IF(F3758&gt;0,ENTRY!$D$20&amp;"-"&amp;ENTRY!$D$21,"")</f>
        <v>III-A</v>
      </c>
      <c r="O3761" s="24"/>
      <c r="P3761" s="24"/>
      <c r="Q3761" s="14"/>
      <c r="R3761" s="11"/>
    </row>
    <row r="3762" s="1" customFormat="1" ht="21.95" customHeight="1" spans="1:18">
      <c r="A3762" s="7"/>
      <c r="B3762" s="12"/>
      <c r="C3762" s="17" t="s">
        <v>708</v>
      </c>
      <c r="D3762" s="17"/>
      <c r="E3762" s="17"/>
      <c r="F3762" s="25">
        <f>IFERROR(VLOOKUP(F3758,STUDENT!$A$2:$BP$101,6,0),"")</f>
        <v>0</v>
      </c>
      <c r="G3762" s="25"/>
      <c r="H3762" s="26" t="s">
        <v>709</v>
      </c>
      <c r="I3762" s="27" t="str">
        <f>IFERROR(VLOOKUP(F3758,STUDENT!$A$2:$BP$101,59,0),"")</f>
        <v/>
      </c>
      <c r="J3762" s="27"/>
      <c r="K3762" s="20" t="s">
        <v>710</v>
      </c>
      <c r="L3762" s="20"/>
      <c r="M3762" s="28">
        <f>IFERROR(VLOOKUP(F3758,STUDENT!$A$2:$BP$101,20,0),"")</f>
        <v>0</v>
      </c>
      <c r="N3762" s="28"/>
      <c r="O3762" s="28"/>
      <c r="P3762" s="28"/>
      <c r="Q3762" s="14"/>
      <c r="R3762" s="11"/>
    </row>
    <row r="3763" s="1" customFormat="1" ht="21.95" customHeight="1" spans="1:18">
      <c r="A3763" s="7"/>
      <c r="B3763" s="12"/>
      <c r="C3763" s="17" t="s">
        <v>711</v>
      </c>
      <c r="D3763" s="17"/>
      <c r="E3763" s="17"/>
      <c r="F3763" s="23">
        <f>IFERROR(VLOOKUP(F3758,STUDENT!$A$2:$BP$101,9,0),"")</f>
        <v>0</v>
      </c>
      <c r="G3763" s="23"/>
      <c r="H3763" s="23"/>
      <c r="I3763" s="23"/>
      <c r="J3763" s="17" t="s">
        <v>620</v>
      </c>
      <c r="K3763" s="17"/>
      <c r="L3763" s="23">
        <f>IFERROR(VLOOKUP(F3758,STUDENT!$A$2:$BP$101,8,0),"")</f>
        <v>0</v>
      </c>
      <c r="M3763" s="23"/>
      <c r="N3763" s="23"/>
      <c r="O3763" s="23"/>
      <c r="P3763" s="23"/>
      <c r="Q3763" s="14"/>
      <c r="R3763" s="11"/>
    </row>
    <row r="3764" s="1" customFormat="1" ht="21.95" customHeight="1" spans="1:18">
      <c r="A3764" s="7"/>
      <c r="B3764" s="12"/>
      <c r="C3764" s="17" t="s">
        <v>712</v>
      </c>
      <c r="D3764" s="17"/>
      <c r="E3764" s="17"/>
      <c r="F3764" s="23">
        <f>IFERROR(VLOOKUP(F3758,STUDENT!$A$2:$BP$101,22,0),"")</f>
        <v>0</v>
      </c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14"/>
      <c r="R3764" s="11"/>
    </row>
    <row r="3765" s="1" customFormat="1" ht="9.95" customHeight="1" spans="1:18">
      <c r="A3765" s="7"/>
      <c r="B3765" s="12"/>
      <c r="C3765" s="29"/>
      <c r="D3765" s="29"/>
      <c r="E3765" s="29"/>
      <c r="F3765" s="29"/>
      <c r="G3765" s="29"/>
      <c r="H3765" s="29"/>
      <c r="I3765" s="29"/>
      <c r="J3765" s="29"/>
      <c r="K3765" s="29"/>
      <c r="L3765" s="29"/>
      <c r="M3765" s="29"/>
      <c r="N3765" s="29"/>
      <c r="O3765" s="29"/>
      <c r="P3765" s="29"/>
      <c r="Q3765" s="14"/>
      <c r="R3765" s="11"/>
    </row>
    <row r="3766" s="1" customFormat="1" ht="9.95" customHeight="1" spans="1:18">
      <c r="A3766" s="7"/>
      <c r="B3766" s="12"/>
      <c r="C3766" s="30"/>
      <c r="D3766" s="31"/>
      <c r="E3766" s="31"/>
      <c r="F3766" s="31"/>
      <c r="G3766" s="31"/>
      <c r="H3766" s="31"/>
      <c r="I3766" s="31"/>
      <c r="J3766" s="31"/>
      <c r="K3766" s="31"/>
      <c r="L3766" s="31"/>
      <c r="M3766" s="31"/>
      <c r="N3766" s="31"/>
      <c r="O3766" s="31"/>
      <c r="P3766" s="32"/>
      <c r="Q3766" s="14"/>
      <c r="R3766" s="11"/>
    </row>
    <row r="3767" s="1" customFormat="1" ht="21.95" customHeight="1" spans="1:18">
      <c r="A3767" s="7"/>
      <c r="B3767" s="12"/>
      <c r="C3767" s="33"/>
      <c r="D3767" s="34" t="s">
        <v>713</v>
      </c>
      <c r="E3767" s="20" t="s">
        <v>714</v>
      </c>
      <c r="F3767" s="35" t="str">
        <f>"Level - "&amp;IFERROR(VLOOKUP(F3758,FLN!$A$4:$K$103,9,0),"")</f>
        <v>Level - </v>
      </c>
      <c r="G3767" s="36"/>
      <c r="H3767" s="37" t="s">
        <v>715</v>
      </c>
      <c r="I3767" s="20"/>
      <c r="J3767" s="35" t="str">
        <f>"Level - "&amp;IFERROR(VLOOKUP(F3758,FLN!$A$4:$K$103,11,0),"")</f>
        <v>Level - </v>
      </c>
      <c r="K3767" s="36"/>
      <c r="L3767" s="37" t="s">
        <v>408</v>
      </c>
      <c r="M3767" s="20"/>
      <c r="N3767" s="35" t="str">
        <f>"Level - "&amp;IFERROR(VLOOKUP(F3758,FLN!$A$4:$K$103,10,0),"")</f>
        <v>Level - </v>
      </c>
      <c r="O3767" s="36"/>
      <c r="P3767" s="19"/>
      <c r="Q3767" s="14"/>
      <c r="R3767" s="11"/>
    </row>
    <row r="3768" s="1" customFormat="1" ht="21.95" customHeight="1" spans="1:18">
      <c r="A3768" s="7"/>
      <c r="B3768" s="12"/>
      <c r="C3768" s="33"/>
      <c r="D3768" s="38"/>
      <c r="E3768" s="20" t="s">
        <v>716</v>
      </c>
      <c r="F3768" s="18" t="str">
        <f>IF(L3782&gt;197,"PERFORMED WELL","")</f>
        <v/>
      </c>
      <c r="G3768" s="18"/>
      <c r="H3768" s="18"/>
      <c r="I3768" s="18"/>
      <c r="J3768" s="18"/>
      <c r="K3768" s="18"/>
      <c r="L3768" s="18"/>
      <c r="M3768" s="18"/>
      <c r="N3768" s="18"/>
      <c r="O3768" s="18"/>
      <c r="P3768" s="19"/>
      <c r="Q3768" s="14"/>
      <c r="R3768" s="11"/>
    </row>
    <row r="3769" s="1" customFormat="1" ht="9.95" customHeight="1" spans="1:18">
      <c r="A3769" s="7"/>
      <c r="B3769" s="12"/>
      <c r="C3769" s="39"/>
      <c r="D3769" s="40"/>
      <c r="E3769" s="40"/>
      <c r="F3769" s="40"/>
      <c r="G3769" s="40"/>
      <c r="H3769" s="40"/>
      <c r="I3769" s="40"/>
      <c r="J3769" s="40"/>
      <c r="K3769" s="40"/>
      <c r="L3769" s="40"/>
      <c r="M3769" s="40"/>
      <c r="N3769" s="40"/>
      <c r="O3769" s="40"/>
      <c r="P3769" s="41"/>
      <c r="Q3769" s="14"/>
      <c r="R3769" s="11"/>
    </row>
    <row r="3770" s="1" customFormat="1" ht="9.95" customHeight="1" spans="1:18">
      <c r="A3770" s="7"/>
      <c r="B3770" s="12"/>
      <c r="C3770" s="29"/>
      <c r="D3770" s="29"/>
      <c r="E3770" s="29"/>
      <c r="F3770" s="29"/>
      <c r="G3770" s="29"/>
      <c r="H3770" s="29"/>
      <c r="I3770" s="29"/>
      <c r="J3770" s="29"/>
      <c r="K3770" s="29"/>
      <c r="L3770" s="29"/>
      <c r="M3770" s="29"/>
      <c r="N3770" s="29"/>
      <c r="O3770" s="29"/>
      <c r="P3770" s="29"/>
      <c r="Q3770" s="14"/>
      <c r="R3770" s="11"/>
    </row>
    <row r="3771" s="1" customFormat="1" ht="9.95" customHeight="1" spans="1:18">
      <c r="A3771" s="7"/>
      <c r="B3771" s="12"/>
      <c r="C3771" s="30"/>
      <c r="D3771" s="31"/>
      <c r="E3771" s="31"/>
      <c r="F3771" s="31"/>
      <c r="G3771" s="31"/>
      <c r="H3771" s="31"/>
      <c r="I3771" s="31"/>
      <c r="J3771" s="31"/>
      <c r="K3771" s="31"/>
      <c r="L3771" s="31"/>
      <c r="M3771" s="31"/>
      <c r="N3771" s="31"/>
      <c r="O3771" s="31"/>
      <c r="P3771" s="32"/>
      <c r="Q3771" s="14"/>
      <c r="R3771" s="11"/>
    </row>
    <row r="3772" s="1" customFormat="1" ht="21.95" customHeight="1" spans="1:18">
      <c r="A3772" s="7"/>
      <c r="B3772" s="12"/>
      <c r="C3772" s="33"/>
      <c r="D3772" s="35"/>
      <c r="E3772" s="24"/>
      <c r="F3772" s="24"/>
      <c r="G3772" s="47" t="s">
        <v>717</v>
      </c>
      <c r="H3772" s="47"/>
      <c r="I3772" s="47"/>
      <c r="J3772" s="47"/>
      <c r="K3772" s="47"/>
      <c r="L3772" s="47"/>
      <c r="M3772" s="47"/>
      <c r="N3772" s="47"/>
      <c r="O3772" s="29"/>
      <c r="P3772" s="19"/>
      <c r="Q3772" s="14"/>
      <c r="R3772" s="11"/>
    </row>
    <row r="3773" s="1" customFormat="1" ht="21.95" customHeight="1" spans="1:18">
      <c r="A3773" s="7"/>
      <c r="B3773" s="12"/>
      <c r="C3773" s="33"/>
      <c r="D3773" s="47"/>
      <c r="E3773" s="47"/>
      <c r="F3773" s="47"/>
      <c r="G3773" s="47" t="s">
        <v>541</v>
      </c>
      <c r="H3773" s="47" t="s">
        <v>542</v>
      </c>
      <c r="I3773" s="47" t="s">
        <v>543</v>
      </c>
      <c r="J3773" s="47" t="s">
        <v>544</v>
      </c>
      <c r="K3773" s="47" t="s">
        <v>561</v>
      </c>
      <c r="L3773" s="47" t="s">
        <v>382</v>
      </c>
      <c r="M3773" s="49" t="s">
        <v>546</v>
      </c>
      <c r="N3773" s="49"/>
      <c r="O3773" s="29"/>
      <c r="P3773" s="19"/>
      <c r="Q3773" s="14"/>
      <c r="R3773" s="11"/>
    </row>
    <row r="3774" s="1" customFormat="1" ht="21.95" customHeight="1" spans="1:18">
      <c r="A3774" s="7"/>
      <c r="B3774" s="12"/>
      <c r="C3774" s="33"/>
      <c r="D3774" s="207" t="s">
        <v>652</v>
      </c>
      <c r="E3774" s="207"/>
      <c r="F3774" s="207"/>
      <c r="G3774" s="50">
        <v>10</v>
      </c>
      <c r="H3774" s="50">
        <v>10</v>
      </c>
      <c r="I3774" s="50">
        <v>10</v>
      </c>
      <c r="J3774" s="50">
        <v>10</v>
      </c>
      <c r="K3774" s="50">
        <v>60</v>
      </c>
      <c r="L3774" s="50">
        <v>100</v>
      </c>
      <c r="M3774" s="49"/>
      <c r="N3774" s="49"/>
      <c r="O3774" s="29"/>
      <c r="P3774" s="19"/>
      <c r="Q3774" s="14"/>
      <c r="R3774" s="11"/>
    </row>
    <row r="3775" s="1" customFormat="1" ht="21.95" customHeight="1" spans="1:18">
      <c r="A3775" s="7"/>
      <c r="B3775" s="12"/>
      <c r="C3775" s="33"/>
      <c r="D3775" s="117" t="s">
        <v>668</v>
      </c>
      <c r="E3775" s="117"/>
      <c r="F3775" s="117"/>
      <c r="G3775" s="54" t="str">
        <f>IFERROR(VLOOKUP(F3758,'1to4-2.1-RR'!$A$12:$BG$111,9,0),"")</f>
        <v/>
      </c>
      <c r="H3775" s="54" t="str">
        <f>IFERROR(VLOOKUP(F3758,'1to4-2.1-RR'!$A$12:$BG$111,10,0),"")</f>
        <v/>
      </c>
      <c r="I3775" s="54" t="str">
        <f>IFERROR(VLOOKUP(F3758,'1to4-2.1-RR'!$A$12:$BG$111,11,0),"")</f>
        <v/>
      </c>
      <c r="J3775" s="54" t="str">
        <f>IFERROR(VLOOKUP(F3758,'1to4-2.1-RR'!$A$12:$BG$111,12,0),"")</f>
        <v/>
      </c>
      <c r="K3775" s="54" t="str">
        <f>IFERROR(VLOOKUP(F3758,'1to4-2.1-RR'!$A$12:$BG$111,13,0),"")</f>
        <v/>
      </c>
      <c r="L3775" s="55">
        <f>SUM(G3775:K3775)</f>
        <v>0</v>
      </c>
      <c r="M3775" s="56" t="str">
        <f>IF(F3758&gt;ENTRY!$D$24,"",IF(L3775=0,"Ab",IF(L3775&gt;80,"A",IF(L3775&gt;60,"B",IF(L3775&gt;44,"C",IF(L3775&gt;=33,"D",IF(L3775&lt;=32,"E","")))))))</f>
        <v/>
      </c>
      <c r="N3775" s="56"/>
      <c r="O3775" s="29"/>
      <c r="P3775" s="19"/>
      <c r="Q3775" s="14"/>
      <c r="R3775" s="11"/>
    </row>
    <row r="3776" s="1" customFormat="1" ht="21.95" customHeight="1" spans="1:18">
      <c r="A3776" s="7"/>
      <c r="B3776" s="12"/>
      <c r="C3776" s="33"/>
      <c r="D3776" s="117" t="s">
        <v>513</v>
      </c>
      <c r="E3776" s="117"/>
      <c r="F3776" s="117"/>
      <c r="G3776" s="54" t="str">
        <f>IFERROR(VLOOKUP(F3758,'1to4-2.1-RR'!$A$12:$BG$111,16,0),"")</f>
        <v/>
      </c>
      <c r="H3776" s="54" t="str">
        <f>IFERROR(VLOOKUP(F3758,'1to4-2.1-RR'!$A$12:$BG$111,17,0),"")</f>
        <v/>
      </c>
      <c r="I3776" s="54" t="str">
        <f>IFERROR(VLOOKUP(F3758,'1to4-2.1-RR'!$A$12:$BG$111,18,0),"")</f>
        <v/>
      </c>
      <c r="J3776" s="54" t="str">
        <f>IFERROR(VLOOKUP(F3758,'1to4-2.1-RR'!$A$12:$BG$111,19,0),"")</f>
        <v/>
      </c>
      <c r="K3776" s="54" t="str">
        <f>IFERROR(VLOOKUP(F3758,'1to4-2.1-RR'!$A$12:$BG$111,20,0),"")</f>
        <v/>
      </c>
      <c r="L3776" s="55">
        <f t="shared" ref="L3776:L3781" si="134">SUM(G3776:K3776)</f>
        <v>0</v>
      </c>
      <c r="M3776" s="56" t="str">
        <f>IF(F3758&gt;ENTRY!$D$24,"",IF(L3776=0,"Ab",IF(L3776&gt;80,"A",IF(L3776&gt;60,"B",IF(L3776&gt;44,"C",IF(L3776&gt;=33,"D",IF(L3776&lt;=32,"E","")))))))</f>
        <v/>
      </c>
      <c r="N3776" s="56"/>
      <c r="O3776" s="29"/>
      <c r="P3776" s="19"/>
      <c r="Q3776" s="14"/>
      <c r="R3776" s="11"/>
    </row>
    <row r="3777" s="1" customFormat="1" ht="21.95" customHeight="1" spans="1:19">
      <c r="A3777" s="7"/>
      <c r="B3777" s="12"/>
      <c r="C3777" s="33"/>
      <c r="D3777" s="117" t="s">
        <v>718</v>
      </c>
      <c r="E3777" s="117"/>
      <c r="F3777" s="117"/>
      <c r="G3777" s="54" t="str">
        <f>IFERROR(VLOOKUP(F3758,'1to4-2.1-RR'!$A$12:$BG$111,23,0),"")</f>
        <v/>
      </c>
      <c r="H3777" s="54" t="str">
        <f>IFERROR(VLOOKUP(F3758,'1to4-2.1-RR'!$A$12:$BG$111,24,0),"")</f>
        <v/>
      </c>
      <c r="I3777" s="54" t="str">
        <f>IFERROR(VLOOKUP(F3758,'1to4-2.1-RR'!$A$12:$BG$111,25,0),"")</f>
        <v/>
      </c>
      <c r="J3777" s="54" t="str">
        <f>IFERROR(VLOOKUP(F3758,'1to4-2.1-RR'!$A$12:$BG$111,26,0),"")</f>
        <v/>
      </c>
      <c r="K3777" s="54" t="str">
        <f>IFERROR(VLOOKUP(F3758,'1to4-2.1-RR'!$A$12:$BG$111,27,0),"")</f>
        <v/>
      </c>
      <c r="L3777" s="55">
        <f t="shared" si="134"/>
        <v>0</v>
      </c>
      <c r="M3777" s="56" t="str">
        <f>IF(F3758&gt;ENTRY!$D$24,"",IF(L3777=0,"Ab",IF(L3777&gt;80,"A",IF(L3777&gt;60,"B",IF(L3777&gt;44,"C",IF(L3777&gt;=33,"D",IF(L3777&lt;=32,"E","")))))))</f>
        <v/>
      </c>
      <c r="N3777" s="56"/>
      <c r="O3777" s="29"/>
      <c r="P3777" s="19"/>
      <c r="Q3777" s="14"/>
      <c r="R3777" s="11"/>
    </row>
    <row r="3778" s="1" customFormat="1" ht="21.95" customHeight="1" spans="1:19">
      <c r="A3778" s="7"/>
      <c r="B3778" s="12"/>
      <c r="C3778" s="33"/>
      <c r="D3778" s="117" t="s">
        <v>719</v>
      </c>
      <c r="E3778" s="117"/>
      <c r="F3778" s="117"/>
      <c r="G3778" s="54" t="str">
        <f>IFERROR(VLOOKUP(F3758,'1to4-2.1-RR'!$A$12:$BG$111,30,0),"")</f>
        <v/>
      </c>
      <c r="H3778" s="54" t="str">
        <f>IFERROR(VLOOKUP(F3758,'1to4-2.1-RR'!$A$12:$BG$111,31,0),"")</f>
        <v/>
      </c>
      <c r="I3778" s="54" t="str">
        <f>IFERROR(VLOOKUP(F3758,'1to4-2.1-RR'!$A$12:$BG$111,32,0),"")</f>
        <v/>
      </c>
      <c r="J3778" s="54" t="str">
        <f>IFERROR(VLOOKUP(F3758,'1to4-2.1-RR'!$A$12:$BG$111,33,0),"")</f>
        <v/>
      </c>
      <c r="K3778" s="54" t="str">
        <f>IFERROR(VLOOKUP(F3758,'1to4-2.1-RR'!$A$12:$BG$111,34,0),"")</f>
        <v/>
      </c>
      <c r="L3778" s="55">
        <f t="shared" si="134"/>
        <v>0</v>
      </c>
      <c r="M3778" s="56" t="str">
        <f>IF(F3758&gt;ENTRY!$D$24,"",IF(L3778=0,"Ab",IF(L3778&gt;80,"A",IF(L3778&gt;60,"B",IF(L3778&gt;44,"C",IF(L3778&gt;=33,"D",IF(L3778&lt;=32,"E","")))))))</f>
        <v/>
      </c>
      <c r="N3778" s="56"/>
      <c r="O3778" s="29"/>
      <c r="P3778" s="19"/>
      <c r="Q3778" s="14"/>
      <c r="R3778" s="11"/>
    </row>
    <row r="3779" s="1" customFormat="1" ht="21.95" customHeight="1" spans="1:19">
      <c r="A3779" s="7"/>
      <c r="B3779" s="12"/>
      <c r="C3779" s="33"/>
      <c r="D3779" s="117" t="s">
        <v>548</v>
      </c>
      <c r="E3779" s="117"/>
      <c r="F3779" s="117"/>
      <c r="G3779" s="54" t="str">
        <f>IFERROR(VLOOKUP(F3758,'1to4-2.1-RR'!$A$12:$BG$111,37,0),"")</f>
        <v/>
      </c>
      <c r="H3779" s="54" t="str">
        <f>IFERROR(VLOOKUP(F3758,'1to4-2.1-RR'!$A$12:$BG$111,38,0),"")</f>
        <v/>
      </c>
      <c r="I3779" s="54" t="str">
        <f>IFERROR(VLOOKUP(F3758,'1to4-2.1-RR'!$A$12:$BG$111,39,0),"")</f>
        <v/>
      </c>
      <c r="J3779" s="54" t="str">
        <f>IFERROR(VLOOKUP(F3758,'1to4-2.1-RR'!$A$12:$BG$111,40,0),"")</f>
        <v/>
      </c>
      <c r="K3779" s="54" t="str">
        <f>IFERROR(VLOOKUP(F3758,'1to4-2.1-RR'!$A$12:$BG$111,41,0),"")</f>
        <v/>
      </c>
      <c r="L3779" s="55">
        <f t="shared" si="134"/>
        <v>0</v>
      </c>
      <c r="M3779" s="56" t="str">
        <f>IF(F3758&gt;ENTRY!$D$24,"",IF(L3779=0,"Ab",IF(L3779&gt;80,"A",IF(L3779&gt;60,"B",IF(L3779&gt;44,"C",IF(L3779&gt;=33,"D",IF(L3779&lt;=32,"E","")))))))</f>
        <v/>
      </c>
      <c r="N3779" s="56"/>
      <c r="O3779" s="29"/>
      <c r="P3779" s="19"/>
      <c r="Q3779" s="14"/>
      <c r="R3779" s="11"/>
    </row>
    <row r="3780" s="1" customFormat="1" ht="21.95" customHeight="1" spans="1:19">
      <c r="A3780" s="7"/>
      <c r="B3780" s="12"/>
      <c r="C3780" s="33"/>
      <c r="D3780" s="117" t="s">
        <v>549</v>
      </c>
      <c r="E3780" s="117"/>
      <c r="F3780" s="117"/>
      <c r="G3780" s="54" t="str">
        <f>IFERROR(VLOOKUP(F3758,'1to4-2.1-RR'!$A$12:$BG$111,44,0),"")</f>
        <v/>
      </c>
      <c r="H3780" s="54" t="str">
        <f>IFERROR(VLOOKUP(F3758,'1to4-2.1-RR'!$A$12:$BG$111,45,0),"")</f>
        <v/>
      </c>
      <c r="I3780" s="54" t="str">
        <f>IFERROR(VLOOKUP(F3758,'1to4-2.1-RR'!$A$12:$BG$111,46,0),"")</f>
        <v/>
      </c>
      <c r="J3780" s="54" t="str">
        <f>IFERROR(VLOOKUP(F3758,'1to4-2.1-RR'!$A$12:$BG$111,47,0),"")</f>
        <v/>
      </c>
      <c r="K3780" s="54" t="str">
        <f>IFERROR(VLOOKUP(F3758,'1to4-2.1-RR'!$A$12:$BG$111,48,0),"")</f>
        <v/>
      </c>
      <c r="L3780" s="55">
        <f t="shared" si="134"/>
        <v>0</v>
      </c>
      <c r="M3780" s="56" t="str">
        <f>IF(F3758&gt;ENTRY!$D$24,"",IF(L3780=0,"Ab",IF(L3780&gt;80,"A",IF(L3780&gt;60,"B",IF(L3780&gt;44,"C",IF(L3780&gt;=33,"D",IF(L3780&lt;=32,"E","")))))))</f>
        <v/>
      </c>
      <c r="N3780" s="56"/>
      <c r="O3780" s="29"/>
      <c r="P3780" s="19"/>
      <c r="Q3780" s="14"/>
      <c r="R3780" s="11"/>
    </row>
    <row r="3781" s="1" customFormat="1" ht="21.95" customHeight="1" spans="1:19">
      <c r="A3781" s="7"/>
      <c r="B3781" s="12"/>
      <c r="C3781" s="33"/>
      <c r="D3781" s="117" t="s">
        <v>720</v>
      </c>
      <c r="E3781" s="117"/>
      <c r="F3781" s="117"/>
      <c r="G3781" s="54"/>
      <c r="H3781" s="54"/>
      <c r="I3781" s="54"/>
      <c r="J3781" s="54"/>
      <c r="K3781" s="54"/>
      <c r="L3781" s="55">
        <f t="shared" si="134"/>
        <v>0</v>
      </c>
      <c r="M3781" s="56" t="str">
        <f>IF(F3758&gt;ENTRY!$D$24,"",IF(L3781=0,"",IF(L3781&gt;79,"A",IF(L3781&gt;59,"B",IF(L3781&gt;44,"C",IF(L3781&gt;=33,"D",IF(L3781&lt;=32,"E","")))))))</f>
        <v/>
      </c>
      <c r="N3781" s="56"/>
      <c r="O3781" s="29"/>
      <c r="P3781" s="19"/>
      <c r="Q3781" s="14"/>
      <c r="R3781" s="11"/>
    </row>
    <row r="3782" s="1" customFormat="1" ht="21.95" customHeight="1" spans="1:19">
      <c r="A3782" s="7"/>
      <c r="B3782" s="12"/>
      <c r="C3782" s="33"/>
      <c r="D3782" s="207" t="s">
        <v>382</v>
      </c>
      <c r="E3782" s="207"/>
      <c r="F3782" s="207"/>
      <c r="G3782" s="54">
        <f t="shared" ref="G3782:L3782" si="135">IFERROR(SUM(G3775:G3781),"")</f>
        <v>0</v>
      </c>
      <c r="H3782" s="54">
        <f t="shared" si="135"/>
        <v>0</v>
      </c>
      <c r="I3782" s="54">
        <f t="shared" si="135"/>
        <v>0</v>
      </c>
      <c r="J3782" s="54">
        <f t="shared" si="135"/>
        <v>0</v>
      </c>
      <c r="K3782" s="54">
        <f t="shared" si="135"/>
        <v>0</v>
      </c>
      <c r="L3782" s="55">
        <f t="shared" si="135"/>
        <v>0</v>
      </c>
      <c r="M3782" s="61" t="str">
        <f>IF(F3758&gt;ENTRY!$D$24,"",IF(N3783="Ab","Ab",IF(N3783&gt;79.5,"A",IF(N3783&gt;59.5,"B",IF(N3783&gt;44.5,"C",IF(N3783&gt;=33,"D",IF(N3783&lt;33,"E","")))))))</f>
        <v/>
      </c>
      <c r="N3782" s="61"/>
      <c r="O3782" s="29"/>
      <c r="P3782" s="19"/>
      <c r="Q3782" s="14"/>
      <c r="R3782" s="11"/>
    </row>
    <row r="3783" s="1" customFormat="1" ht="21.95" customHeight="1" spans="1:19">
      <c r="A3783" s="7"/>
      <c r="B3783" s="12"/>
      <c r="C3783" s="33"/>
      <c r="D3783" s="63" t="s">
        <v>721</v>
      </c>
      <c r="E3783" s="63"/>
      <c r="F3783" s="63"/>
      <c r="G3783" s="63"/>
      <c r="H3783" s="63"/>
      <c r="I3783" s="63"/>
      <c r="J3783" s="63"/>
      <c r="K3783" s="63"/>
      <c r="L3783" s="63"/>
      <c r="M3783" s="209"/>
      <c r="N3783" s="64">
        <f>IF(L3782="Ab","Ab",L3782/6)</f>
        <v>0</v>
      </c>
      <c r="O3783" s="65"/>
      <c r="P3783" s="19"/>
      <c r="Q3783" s="14"/>
      <c r="R3783" s="11"/>
    </row>
    <row r="3784" s="1" customFormat="1" ht="21.95" customHeight="1" spans="1:19">
      <c r="A3784" s="7"/>
      <c r="B3784" s="12"/>
      <c r="C3784" s="33"/>
      <c r="D3784" s="29" t="s">
        <v>716</v>
      </c>
      <c r="E3784" s="18" t="str">
        <f>IFERROR(VLOOKUP(F3758,'1to4-2.1-RR'!$A$12:$BG$111,57,0),"")</f>
        <v/>
      </c>
      <c r="F3784" s="18"/>
      <c r="G3784" s="18"/>
      <c r="H3784" s="18"/>
      <c r="I3784" s="18"/>
      <c r="J3784" s="18"/>
      <c r="K3784" s="18"/>
      <c r="L3784" s="18"/>
      <c r="M3784" s="18"/>
      <c r="N3784" s="29"/>
      <c r="O3784" s="29"/>
      <c r="P3784" s="19"/>
      <c r="Q3784" s="14"/>
      <c r="R3784" s="11"/>
    </row>
    <row r="3785" s="1" customFormat="1" ht="9.95" customHeight="1" spans="1:19">
      <c r="A3785" s="7"/>
      <c r="B3785" s="12"/>
      <c r="C3785" s="39"/>
      <c r="D3785" s="40"/>
      <c r="E3785" s="40"/>
      <c r="F3785" s="40"/>
      <c r="G3785" s="40"/>
      <c r="H3785" s="40"/>
      <c r="I3785" s="40"/>
      <c r="J3785" s="40"/>
      <c r="K3785" s="40"/>
      <c r="L3785" s="40"/>
      <c r="M3785" s="40"/>
      <c r="N3785" s="40"/>
      <c r="O3785" s="40"/>
      <c r="P3785" s="41"/>
      <c r="Q3785" s="14"/>
      <c r="R3785" s="11"/>
    </row>
    <row r="3786" s="1" customFormat="1" ht="9.95" customHeight="1" spans="1:19">
      <c r="A3786" s="7"/>
      <c r="B3786" s="12"/>
      <c r="C3786" s="30"/>
      <c r="D3786" s="31"/>
      <c r="E3786" s="31"/>
      <c r="F3786" s="29"/>
      <c r="G3786" s="31"/>
      <c r="H3786" s="31"/>
      <c r="I3786" s="31"/>
      <c r="J3786" s="31"/>
      <c r="K3786" s="31"/>
      <c r="L3786" s="31"/>
      <c r="M3786" s="31"/>
      <c r="N3786" s="31"/>
      <c r="O3786" s="31"/>
      <c r="P3786" s="32"/>
      <c r="Q3786" s="14"/>
      <c r="R3786" s="11"/>
    </row>
    <row r="3787" s="1" customFormat="1" ht="9.95" customHeight="1" spans="1:19">
      <c r="A3787" s="7"/>
      <c r="B3787" s="12"/>
      <c r="C3787" s="33"/>
      <c r="D3787" s="29"/>
      <c r="E3787" s="29"/>
      <c r="F3787" s="29"/>
      <c r="G3787" s="29"/>
      <c r="H3787" s="29"/>
      <c r="I3787" s="29"/>
      <c r="J3787" s="29"/>
      <c r="K3787" s="29"/>
      <c r="L3787" s="29"/>
      <c r="M3787" s="29"/>
      <c r="N3787" s="29"/>
      <c r="O3787" s="29"/>
      <c r="P3787" s="19"/>
      <c r="Q3787" s="14"/>
      <c r="R3787" s="11"/>
    </row>
    <row r="3788" s="1" customFormat="1" ht="9.95" customHeight="1" spans="1:19">
      <c r="A3788" s="7"/>
      <c r="B3788" s="12"/>
      <c r="C3788" s="33"/>
      <c r="D3788" s="29"/>
      <c r="E3788" s="29"/>
      <c r="F3788" s="29"/>
      <c r="G3788" s="29"/>
      <c r="H3788" s="29"/>
      <c r="I3788" s="29"/>
      <c r="J3788" s="29"/>
      <c r="K3788" s="29"/>
      <c r="L3788" s="29"/>
      <c r="M3788" s="29"/>
      <c r="N3788" s="29"/>
      <c r="O3788" s="29"/>
      <c r="P3788" s="19"/>
      <c r="Q3788" s="14"/>
      <c r="R3788" s="11"/>
    </row>
    <row r="3789" s="1" customFormat="1" ht="21.95" customHeight="1" spans="1:19">
      <c r="A3789" s="7"/>
      <c r="B3789" s="12"/>
      <c r="C3789" s="210"/>
      <c r="D3789" s="211"/>
      <c r="E3789" s="211"/>
      <c r="F3789" s="211"/>
      <c r="G3789" s="211"/>
      <c r="H3789" s="211"/>
      <c r="I3789" s="211"/>
      <c r="J3789" s="211"/>
      <c r="K3789" s="211"/>
      <c r="L3789" s="211"/>
      <c r="M3789" s="211"/>
      <c r="N3789" s="211"/>
      <c r="O3789" s="211"/>
      <c r="P3789" s="212"/>
      <c r="Q3789" s="14"/>
      <c r="R3789" s="11"/>
      <c r="S3789" s="2"/>
    </row>
    <row r="3790" s="1" customFormat="1" ht="21.95" customHeight="1" spans="1:19">
      <c r="A3790" s="7"/>
      <c r="B3790" s="12"/>
      <c r="C3790" s="33"/>
      <c r="D3790" s="207" t="s">
        <v>722</v>
      </c>
      <c r="E3790" s="207"/>
      <c r="F3790" s="207"/>
      <c r="G3790" s="207"/>
      <c r="H3790" s="54">
        <f>IFERROR(VLOOKUP(F3758,PASHEET!$A$4:$CJ$103,88,0),"")</f>
        <v>0</v>
      </c>
      <c r="I3790" s="54"/>
      <c r="J3790" s="29"/>
      <c r="K3790" s="29"/>
      <c r="L3790" s="29"/>
      <c r="M3790" s="29"/>
      <c r="N3790" s="29"/>
      <c r="O3790" s="29"/>
      <c r="P3790" s="19"/>
      <c r="Q3790" s="14"/>
      <c r="R3790" s="11"/>
    </row>
    <row r="3791" s="1" customFormat="1" ht="21.95" customHeight="1" spans="1:19">
      <c r="A3791" s="7"/>
      <c r="B3791" s="12"/>
      <c r="C3791" s="213"/>
      <c r="D3791" s="207" t="s">
        <v>723</v>
      </c>
      <c r="E3791" s="207"/>
      <c r="F3791" s="207"/>
      <c r="G3791" s="207"/>
      <c r="H3791" s="54">
        <f>IFERROR(VLOOKUP(F3758,PASHEET!$A$4:$CJ$103,87,0),"")</f>
        <v>0</v>
      </c>
      <c r="I3791" s="54"/>
      <c r="J3791" s="214"/>
      <c r="K3791" s="214"/>
      <c r="L3791" s="207" t="s">
        <v>724</v>
      </c>
      <c r="M3791" s="207"/>
      <c r="N3791" s="117" t="str">
        <f>IF(F3758&gt;ENTRY!$D$24,"",IF(F3758&gt;0,L3782&amp;" / "&amp;600,""))</f>
        <v/>
      </c>
      <c r="O3791" s="117"/>
      <c r="P3791" s="215"/>
      <c r="Q3791" s="14"/>
      <c r="R3791" s="11"/>
    </row>
    <row r="3792" s="1" customFormat="1" ht="18" customHeight="1" spans="1:19">
      <c r="A3792" s="7"/>
      <c r="B3792" s="12"/>
      <c r="C3792" s="33"/>
      <c r="D3792" s="207" t="s">
        <v>725</v>
      </c>
      <c r="E3792" s="207"/>
      <c r="F3792" s="207"/>
      <c r="G3792" s="207"/>
      <c r="H3792" s="69" t="str">
        <f>IFERROR(IF(F3758&gt;0,H3791/H3790*100),"")</f>
        <v/>
      </c>
      <c r="I3792" s="69"/>
      <c r="J3792" s="29"/>
      <c r="K3792" s="29"/>
      <c r="L3792" s="207" t="s">
        <v>726</v>
      </c>
      <c r="M3792" s="207"/>
      <c r="N3792" s="216" t="str">
        <f>IF(F3758&gt;ENTRY!$D$24,"",IF(F3758&gt;0,L3782/600*100,""))</f>
        <v/>
      </c>
      <c r="O3792" s="216"/>
      <c r="P3792" s="19"/>
      <c r="Q3792" s="14"/>
      <c r="R3792" s="11"/>
    </row>
    <row r="3793" s="1" customFormat="1" ht="21.95" customHeight="1" spans="1:18">
      <c r="A3793" s="7"/>
      <c r="B3793" s="12"/>
      <c r="C3793" s="33"/>
      <c r="D3793" s="80"/>
      <c r="E3793" s="80"/>
      <c r="F3793" s="217"/>
      <c r="G3793" s="217"/>
      <c r="H3793" s="217"/>
      <c r="I3793" s="217"/>
      <c r="J3793" s="217"/>
      <c r="K3793" s="217"/>
      <c r="L3793" s="217"/>
      <c r="M3793" s="217"/>
      <c r="N3793" s="80"/>
      <c r="O3793" s="80"/>
      <c r="P3793" s="19"/>
      <c r="Q3793" s="14"/>
      <c r="R3793" s="11"/>
    </row>
    <row r="3794" s="1" customFormat="1" ht="21.95" customHeight="1" spans="1:18">
      <c r="A3794" s="7"/>
      <c r="B3794" s="12"/>
      <c r="C3794" s="33"/>
      <c r="D3794" s="80"/>
      <c r="E3794" s="218"/>
      <c r="F3794" s="218"/>
      <c r="G3794" s="218"/>
      <c r="H3794" s="80"/>
      <c r="I3794" s="218"/>
      <c r="J3794" s="218"/>
      <c r="K3794" s="218"/>
      <c r="L3794" s="218"/>
      <c r="M3794" s="80"/>
      <c r="N3794" s="219"/>
      <c r="O3794" s="219"/>
      <c r="P3794" s="19"/>
      <c r="Q3794" s="14"/>
      <c r="R3794" s="11"/>
    </row>
    <row r="3795" s="1" customFormat="1" ht="21.95" customHeight="1" spans="1:18">
      <c r="A3795" s="7"/>
      <c r="B3795" s="12"/>
      <c r="C3795" s="33"/>
      <c r="D3795" s="80"/>
      <c r="E3795" s="80"/>
      <c r="F3795" s="80"/>
      <c r="G3795" s="80"/>
      <c r="H3795" s="80"/>
      <c r="I3795" s="80"/>
      <c r="J3795" s="80"/>
      <c r="K3795" s="80"/>
      <c r="L3795" s="80"/>
      <c r="M3795" s="80"/>
      <c r="N3795" s="80"/>
      <c r="O3795" s="80"/>
      <c r="P3795" s="19"/>
      <c r="Q3795" s="14"/>
      <c r="R3795" s="11"/>
    </row>
    <row r="3796" s="1" customFormat="1" ht="21.95" customHeight="1" spans="1:18">
      <c r="A3796" s="7"/>
      <c r="B3796" s="12"/>
      <c r="C3796" s="33"/>
      <c r="D3796" s="218"/>
      <c r="E3796" s="218"/>
      <c r="F3796" s="218"/>
      <c r="G3796" s="218"/>
      <c r="H3796" s="218"/>
      <c r="I3796" s="218"/>
      <c r="J3796" s="218"/>
      <c r="K3796" s="218"/>
      <c r="L3796" s="218"/>
      <c r="M3796" s="80"/>
      <c r="N3796" s="217"/>
      <c r="O3796" s="217"/>
      <c r="P3796" s="85" t="s">
        <v>727</v>
      </c>
      <c r="Q3796" s="14"/>
      <c r="R3796" s="11"/>
    </row>
    <row r="3797" s="1" customFormat="1" ht="21.95" customHeight="1" spans="1:18">
      <c r="A3797" s="7"/>
      <c r="B3797" s="12"/>
      <c r="C3797" s="33"/>
      <c r="D3797" s="29"/>
      <c r="E3797" s="29"/>
      <c r="F3797" s="29"/>
      <c r="G3797" s="29"/>
      <c r="H3797" s="29"/>
      <c r="I3797" s="29"/>
      <c r="J3797" s="29"/>
      <c r="K3797" s="29"/>
      <c r="L3797" s="29"/>
      <c r="M3797" s="29"/>
      <c r="N3797" s="29"/>
      <c r="O3797" s="29"/>
      <c r="P3797" s="19"/>
      <c r="Q3797" s="14"/>
      <c r="R3797" s="11"/>
    </row>
    <row r="3798" s="1" customFormat="1" ht="21.95" customHeight="1" spans="1:18">
      <c r="A3798" s="7"/>
      <c r="B3798" s="12"/>
      <c r="C3798" s="33"/>
      <c r="D3798" s="29"/>
      <c r="E3798" s="29"/>
      <c r="F3798" s="29"/>
      <c r="G3798" s="29"/>
      <c r="H3798" s="29"/>
      <c r="I3798" s="29"/>
      <c r="J3798" s="29"/>
      <c r="K3798" s="29"/>
      <c r="L3798" s="29"/>
      <c r="M3798" s="29"/>
      <c r="N3798" s="29"/>
      <c r="O3798" s="29"/>
      <c r="P3798" s="19"/>
      <c r="Q3798" s="14"/>
      <c r="R3798" s="11"/>
    </row>
    <row r="3799" s="1" customFormat="1" ht="21.95" customHeight="1" spans="1:18">
      <c r="A3799" s="7"/>
      <c r="B3799" s="12"/>
      <c r="C3799" s="33"/>
      <c r="D3799" s="29"/>
      <c r="E3799" s="29"/>
      <c r="F3799" s="29"/>
      <c r="G3799" s="29"/>
      <c r="H3799" s="29"/>
      <c r="I3799" s="29"/>
      <c r="J3799" s="29"/>
      <c r="K3799" s="29"/>
      <c r="L3799" s="29"/>
      <c r="M3799" s="29"/>
      <c r="N3799" s="29"/>
      <c r="O3799" s="29"/>
      <c r="P3799" s="19"/>
      <c r="Q3799" s="14"/>
      <c r="R3799" s="11"/>
    </row>
    <row r="3800" s="1" customFormat="1" ht="21.95" customHeight="1" spans="1:18">
      <c r="A3800" s="7"/>
      <c r="B3800" s="12"/>
      <c r="C3800" s="33"/>
      <c r="D3800" s="29"/>
      <c r="E3800" s="29"/>
      <c r="F3800" s="29"/>
      <c r="G3800" s="29"/>
      <c r="H3800" s="29"/>
      <c r="I3800" s="29"/>
      <c r="J3800" s="29"/>
      <c r="K3800" s="29"/>
      <c r="L3800" s="29"/>
      <c r="M3800" s="29"/>
      <c r="N3800" s="29"/>
      <c r="O3800" s="29"/>
      <c r="P3800" s="19"/>
      <c r="Q3800" s="14"/>
      <c r="R3800" s="11"/>
    </row>
    <row r="3801" s="1" customFormat="1" ht="21.95" customHeight="1" spans="1:18">
      <c r="A3801" s="7"/>
      <c r="B3801" s="12"/>
      <c r="C3801" s="33"/>
      <c r="D3801" s="29"/>
      <c r="E3801" s="29"/>
      <c r="F3801" s="29"/>
      <c r="G3801" s="29"/>
      <c r="H3801" s="29"/>
      <c r="I3801" s="29"/>
      <c r="J3801" s="29"/>
      <c r="K3801" s="29"/>
      <c r="L3801" s="29"/>
      <c r="M3801" s="29"/>
      <c r="N3801" s="29"/>
      <c r="O3801" s="29"/>
      <c r="P3801" s="19"/>
      <c r="Q3801" s="14"/>
      <c r="R3801" s="11"/>
    </row>
    <row r="3802" s="1" customFormat="1" ht="21.95" customHeight="1" spans="1:18">
      <c r="A3802" s="7"/>
      <c r="B3802" s="12"/>
      <c r="C3802" s="33"/>
      <c r="D3802" s="80" t="s">
        <v>728</v>
      </c>
      <c r="E3802" s="220">
        <f>ENTRY!$D$27</f>
        <v>46102</v>
      </c>
      <c r="F3802" s="220"/>
      <c r="G3802" s="29"/>
      <c r="H3802" s="29"/>
      <c r="I3802" s="221" t="s">
        <v>729</v>
      </c>
      <c r="J3802" s="153"/>
      <c r="K3802" s="29"/>
      <c r="L3802" s="29"/>
      <c r="M3802" s="87" t="s">
        <v>730</v>
      </c>
      <c r="N3802" s="87"/>
      <c r="O3802" s="87"/>
      <c r="P3802" s="19"/>
      <c r="Q3802" s="14"/>
      <c r="R3802" s="11"/>
    </row>
    <row r="3803" s="1" customFormat="1" ht="21.95" customHeight="1" spans="1:18">
      <c r="A3803" s="7"/>
      <c r="B3803" s="12"/>
      <c r="C3803" s="33"/>
      <c r="D3803" s="80" t="s">
        <v>731</v>
      </c>
      <c r="E3803" s="88" t="str">
        <f>PROPER(ENTRY!$D$28)</f>
        <v>New Delhi</v>
      </c>
      <c r="F3803" s="88"/>
      <c r="G3803" s="29"/>
      <c r="H3803" s="29"/>
      <c r="I3803" s="153"/>
      <c r="J3803" s="153"/>
      <c r="K3803" s="29"/>
      <c r="L3803" s="29"/>
      <c r="M3803" s="79" t="s">
        <v>732</v>
      </c>
      <c r="N3803" s="79"/>
      <c r="O3803" s="79"/>
      <c r="P3803" s="19"/>
      <c r="Q3803" s="14"/>
      <c r="R3803" s="11"/>
    </row>
    <row r="3804" s="1" customFormat="1" ht="21.95" customHeight="1" spans="1:18">
      <c r="A3804" s="7"/>
      <c r="B3804" s="12"/>
      <c r="C3804" s="90"/>
      <c r="D3804" s="91"/>
      <c r="E3804" s="91"/>
      <c r="F3804" s="91"/>
      <c r="G3804" s="91"/>
      <c r="H3804" s="91"/>
      <c r="I3804" s="91"/>
      <c r="J3804" s="91"/>
      <c r="K3804" s="91"/>
      <c r="L3804" s="91"/>
      <c r="M3804" s="91"/>
      <c r="N3804" s="91"/>
      <c r="O3804" s="91"/>
      <c r="P3804" s="92"/>
      <c r="Q3804" s="14"/>
      <c r="R3804" s="11"/>
    </row>
    <row r="3805" s="1" customFormat="1" ht="5.1" customHeight="1" spans="1:18">
      <c r="A3805" s="7"/>
      <c r="B3805" s="90"/>
      <c r="C3805" s="91"/>
      <c r="D3805" s="91"/>
      <c r="E3805" s="91"/>
      <c r="F3805" s="91"/>
      <c r="G3805" s="91"/>
      <c r="H3805" s="91"/>
      <c r="I3805" s="91"/>
      <c r="J3805" s="91"/>
      <c r="K3805" s="91"/>
      <c r="L3805" s="91"/>
      <c r="M3805" s="91"/>
      <c r="N3805" s="91"/>
      <c r="O3805" s="91"/>
      <c r="P3805" s="91"/>
      <c r="Q3805" s="92"/>
      <c r="R3805" s="11"/>
    </row>
    <row r="3806" s="1" customFormat="1" ht="5.1" customHeight="1" spans="1:18">
      <c r="A3806" s="93"/>
      <c r="B3806" s="94"/>
      <c r="C3806" s="94"/>
      <c r="D3806" s="94"/>
      <c r="E3806" s="94"/>
      <c r="F3806" s="94"/>
      <c r="G3806" s="94"/>
      <c r="H3806" s="94"/>
      <c r="I3806" s="94"/>
      <c r="J3806" s="94"/>
      <c r="K3806" s="94"/>
      <c r="L3806" s="94"/>
      <c r="M3806" s="94"/>
      <c r="N3806" s="94"/>
      <c r="O3806" s="94"/>
      <c r="P3806" s="94"/>
      <c r="Q3806" s="94"/>
      <c r="R3806" s="95"/>
    </row>
    <row r="3807" s="1" customFormat="1" ht="21.95" customHeight="1"/>
    <row r="3808" ht="15.15"/>
    <row r="3809" s="1" customFormat="1" ht="5.1" customHeight="1" spans="1:18">
      <c r="A3809" s="4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  <c r="O3809" s="5"/>
      <c r="P3809" s="5"/>
      <c r="Q3809" s="5"/>
      <c r="R3809" s="6"/>
    </row>
    <row r="3810" s="1" customFormat="1" ht="15" customHeight="1" spans="1:18">
      <c r="A3810" s="7"/>
      <c r="B3810" s="8"/>
      <c r="C3810" s="9"/>
      <c r="D3810" s="9"/>
      <c r="E3810" s="9"/>
      <c r="F3810" s="9"/>
      <c r="G3810" s="9"/>
      <c r="H3810" s="9"/>
      <c r="I3810" s="9"/>
      <c r="J3810" s="9"/>
      <c r="K3810" s="9"/>
      <c r="L3810" s="9"/>
      <c r="M3810" s="9"/>
      <c r="N3810" s="9"/>
      <c r="O3810" s="9"/>
      <c r="P3810" s="9"/>
      <c r="Q3810" s="10"/>
      <c r="R3810" s="11"/>
    </row>
    <row r="3811" s="1" customFormat="1" ht="21.95" customHeight="1" spans="1:18">
      <c r="A3811" s="7"/>
      <c r="B3811" s="12"/>
      <c r="C3811" s="13" t="s">
        <v>7</v>
      </c>
      <c r="D3811" s="13"/>
      <c r="E3811" s="13"/>
      <c r="F3811" s="13"/>
      <c r="G3811" s="13"/>
      <c r="H3811" s="13"/>
      <c r="I3811" s="13"/>
      <c r="J3811" s="13"/>
      <c r="K3811" s="13"/>
      <c r="L3811" s="13"/>
      <c r="M3811" s="13"/>
      <c r="N3811" s="13"/>
      <c r="O3811" s="13"/>
      <c r="P3811" s="13"/>
      <c r="Q3811" s="14"/>
      <c r="R3811" s="11"/>
    </row>
    <row r="3812" s="1" customFormat="1" ht="21.95" customHeight="1" spans="1:18">
      <c r="A3812" s="7"/>
      <c r="B3812" s="1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14"/>
      <c r="R3812" s="11"/>
    </row>
    <row r="3813" s="1" customFormat="1" ht="21.95" customHeight="1" spans="1:18">
      <c r="A3813" s="7"/>
      <c r="B3813" s="12"/>
      <c r="C3813" s="15" t="str">
        <f>"SESSION-"&amp;ENTRY!$D$11</f>
        <v>SESSION-2026-27</v>
      </c>
      <c r="D3813" s="15"/>
      <c r="E3813" s="15"/>
      <c r="F3813" s="15"/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  <c r="Q3813" s="14"/>
      <c r="R3813" s="11"/>
    </row>
    <row r="3814" s="1" customFormat="1" ht="21.95" customHeight="1" spans="1:18">
      <c r="A3814" s="7"/>
      <c r="B3814" s="12"/>
      <c r="C3814" s="2"/>
      <c r="D3814" s="2"/>
      <c r="E3814" s="2"/>
      <c r="F3814" s="16">
        <f>F3758+1</f>
        <v>69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14"/>
      <c r="R3814" s="11"/>
    </row>
    <row r="3815" s="1" customFormat="1" ht="21.95" customHeight="1" spans="1:18">
      <c r="A3815" s="7"/>
      <c r="B3815" s="12"/>
      <c r="C3815" s="17" t="s">
        <v>392</v>
      </c>
      <c r="D3815" s="17"/>
      <c r="E3815" s="17"/>
      <c r="F3815" s="18" t="str">
        <f>IF(F3814&gt;0,ENTRY!$D$6,"")</f>
        <v>MCP NITHARI NO 1 BOYS</v>
      </c>
      <c r="G3815" s="18"/>
      <c r="H3815" s="18"/>
      <c r="I3815" s="18"/>
      <c r="J3815" s="18"/>
      <c r="K3815" s="18"/>
      <c r="L3815" s="18"/>
      <c r="M3815" s="18"/>
      <c r="N3815" s="18"/>
      <c r="O3815" s="18"/>
      <c r="P3815" s="18"/>
      <c r="Q3815" s="14"/>
      <c r="R3815" s="11"/>
    </row>
    <row r="3816" s="1" customFormat="1" ht="21.95" customHeight="1" spans="1:18">
      <c r="A3816" s="7"/>
      <c r="B3816" s="12"/>
      <c r="C3816" s="17" t="s">
        <v>393</v>
      </c>
      <c r="D3816" s="17"/>
      <c r="E3816" s="17"/>
      <c r="F3816" s="18">
        <f>IF(F3814&gt;0,ENTRY!$D$7,"")</f>
        <v>0</v>
      </c>
      <c r="G3816" s="18"/>
      <c r="H3816" s="20" t="s">
        <v>702</v>
      </c>
      <c r="I3816" s="20"/>
      <c r="J3816" s="21">
        <f>IF(F3814&gt;0,ENTRY!$D$10,"")</f>
        <v>40</v>
      </c>
      <c r="K3816" s="20" t="s">
        <v>703</v>
      </c>
      <c r="L3816" s="22" t="str">
        <f>IF(F3814&gt;0,ENTRY!$D$5,"")</f>
        <v>ROHINI ZONE</v>
      </c>
      <c r="M3816" s="22"/>
      <c r="N3816" s="22"/>
      <c r="O3816" s="22"/>
      <c r="P3816" s="22"/>
      <c r="Q3816" s="14"/>
      <c r="R3816" s="11"/>
    </row>
    <row r="3817" s="1" customFormat="1" ht="21.95" customHeight="1" spans="1:18">
      <c r="A3817" s="7"/>
      <c r="B3817" s="12"/>
      <c r="C3817" s="17" t="s">
        <v>706</v>
      </c>
      <c r="D3817" s="17"/>
      <c r="E3817" s="17"/>
      <c r="F3817" s="23">
        <f>IFERROR(VLOOKUP(F3814,STUDENT!$A$2:$BP$101,5,0),"")</f>
        <v>0</v>
      </c>
      <c r="G3817" s="23"/>
      <c r="H3817" s="23"/>
      <c r="I3817" s="23"/>
      <c r="J3817" s="23"/>
      <c r="K3817" s="23"/>
      <c r="L3817" s="20" t="s">
        <v>707</v>
      </c>
      <c r="M3817" s="20"/>
      <c r="N3817" s="24" t="str">
        <f>IF(F3814&gt;0,ENTRY!$D$20&amp;"-"&amp;ENTRY!$D$21,"")</f>
        <v>III-A</v>
      </c>
      <c r="O3817" s="24"/>
      <c r="P3817" s="24"/>
      <c r="Q3817" s="14"/>
      <c r="R3817" s="11"/>
    </row>
    <row r="3818" s="1" customFormat="1" ht="21.95" customHeight="1" spans="1:18">
      <c r="A3818" s="7"/>
      <c r="B3818" s="12"/>
      <c r="C3818" s="17" t="s">
        <v>708</v>
      </c>
      <c r="D3818" s="17"/>
      <c r="E3818" s="17"/>
      <c r="F3818" s="25">
        <f>IFERROR(VLOOKUP(F3814,STUDENT!$A$2:$BP$101,6,0),"")</f>
        <v>0</v>
      </c>
      <c r="G3818" s="25"/>
      <c r="H3818" s="26" t="s">
        <v>709</v>
      </c>
      <c r="I3818" s="27" t="str">
        <f>IFERROR(VLOOKUP(F3814,STUDENT!$A$2:$BP$101,59,0),"")</f>
        <v/>
      </c>
      <c r="J3818" s="27"/>
      <c r="K3818" s="20" t="s">
        <v>710</v>
      </c>
      <c r="L3818" s="20"/>
      <c r="M3818" s="28">
        <f>IFERROR(VLOOKUP(F3814,STUDENT!$A$2:$BP$101,20,0),"")</f>
        <v>0</v>
      </c>
      <c r="N3818" s="28"/>
      <c r="O3818" s="28"/>
      <c r="P3818" s="28"/>
      <c r="Q3818" s="14"/>
      <c r="R3818" s="11"/>
    </row>
    <row r="3819" s="1" customFormat="1" ht="21.95" customHeight="1" spans="1:18">
      <c r="A3819" s="7"/>
      <c r="B3819" s="12"/>
      <c r="C3819" s="17" t="s">
        <v>711</v>
      </c>
      <c r="D3819" s="17"/>
      <c r="E3819" s="17"/>
      <c r="F3819" s="23">
        <f>IFERROR(VLOOKUP(F3814,STUDENT!$A$2:$BP$101,9,0),"")</f>
        <v>0</v>
      </c>
      <c r="G3819" s="23"/>
      <c r="H3819" s="23"/>
      <c r="I3819" s="23"/>
      <c r="J3819" s="17" t="s">
        <v>620</v>
      </c>
      <c r="K3819" s="17"/>
      <c r="L3819" s="23">
        <f>IFERROR(VLOOKUP(F3814,STUDENT!$A$2:$BP$101,8,0),"")</f>
        <v>0</v>
      </c>
      <c r="M3819" s="23"/>
      <c r="N3819" s="23"/>
      <c r="O3819" s="23"/>
      <c r="P3819" s="23"/>
      <c r="Q3819" s="14"/>
      <c r="R3819" s="11"/>
    </row>
    <row r="3820" s="1" customFormat="1" ht="21.95" customHeight="1" spans="1:18">
      <c r="A3820" s="7"/>
      <c r="B3820" s="12"/>
      <c r="C3820" s="17" t="s">
        <v>712</v>
      </c>
      <c r="D3820" s="17"/>
      <c r="E3820" s="17"/>
      <c r="F3820" s="23">
        <f>IFERROR(VLOOKUP(F3814,STUDENT!$A$2:$BP$101,22,0),"")</f>
        <v>0</v>
      </c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14"/>
      <c r="R3820" s="11"/>
    </row>
    <row r="3821" s="1" customFormat="1" ht="9.95" customHeight="1" spans="1:18">
      <c r="A3821" s="7"/>
      <c r="B3821" s="12"/>
      <c r="C3821" s="29"/>
      <c r="D3821" s="29"/>
      <c r="E3821" s="29"/>
      <c r="F3821" s="29"/>
      <c r="G3821" s="29"/>
      <c r="H3821" s="29"/>
      <c r="I3821" s="29"/>
      <c r="J3821" s="29"/>
      <c r="K3821" s="29"/>
      <c r="L3821" s="29"/>
      <c r="M3821" s="29"/>
      <c r="N3821" s="29"/>
      <c r="O3821" s="29"/>
      <c r="P3821" s="29"/>
      <c r="Q3821" s="14"/>
      <c r="R3821" s="11"/>
    </row>
    <row r="3822" s="1" customFormat="1" ht="9.95" customHeight="1" spans="1:18">
      <c r="A3822" s="7"/>
      <c r="B3822" s="12"/>
      <c r="C3822" s="30"/>
      <c r="D3822" s="31"/>
      <c r="E3822" s="31"/>
      <c r="F3822" s="31"/>
      <c r="G3822" s="31"/>
      <c r="H3822" s="31"/>
      <c r="I3822" s="31"/>
      <c r="J3822" s="31"/>
      <c r="K3822" s="31"/>
      <c r="L3822" s="31"/>
      <c r="M3822" s="31"/>
      <c r="N3822" s="31"/>
      <c r="O3822" s="31"/>
      <c r="P3822" s="32"/>
      <c r="Q3822" s="14"/>
      <c r="R3822" s="11"/>
    </row>
    <row r="3823" s="1" customFormat="1" ht="21.95" customHeight="1" spans="1:18">
      <c r="A3823" s="7"/>
      <c r="B3823" s="12"/>
      <c r="C3823" s="33"/>
      <c r="D3823" s="34" t="s">
        <v>713</v>
      </c>
      <c r="E3823" s="20" t="s">
        <v>714</v>
      </c>
      <c r="F3823" s="35" t="str">
        <f>"Level - "&amp;IFERROR(VLOOKUP(F3814,FLN!$A$4:$K$103,9,0),"")</f>
        <v>Level - </v>
      </c>
      <c r="G3823" s="36"/>
      <c r="H3823" s="37" t="s">
        <v>715</v>
      </c>
      <c r="I3823" s="20"/>
      <c r="J3823" s="35" t="str">
        <f>"Level - "&amp;IFERROR(VLOOKUP(F3814,FLN!$A$4:$K$103,11,0),"")</f>
        <v>Level - </v>
      </c>
      <c r="K3823" s="36"/>
      <c r="L3823" s="37" t="s">
        <v>408</v>
      </c>
      <c r="M3823" s="20"/>
      <c r="N3823" s="35" t="str">
        <f>"Level - "&amp;IFERROR(VLOOKUP(F3814,FLN!$A$4:$K$103,10,0),"")</f>
        <v>Level - </v>
      </c>
      <c r="O3823" s="36"/>
      <c r="P3823" s="19"/>
      <c r="Q3823" s="14"/>
      <c r="R3823" s="11"/>
    </row>
    <row r="3824" s="1" customFormat="1" ht="21.95" customHeight="1" spans="1:18">
      <c r="A3824" s="7"/>
      <c r="B3824" s="12"/>
      <c r="C3824" s="33"/>
      <c r="D3824" s="38"/>
      <c r="E3824" s="20" t="s">
        <v>716</v>
      </c>
      <c r="F3824" s="18" t="str">
        <f>IF(L3838&gt;197,"PERFORMED WELL","")</f>
        <v/>
      </c>
      <c r="G3824" s="18"/>
      <c r="H3824" s="18"/>
      <c r="I3824" s="18"/>
      <c r="J3824" s="18"/>
      <c r="K3824" s="18"/>
      <c r="L3824" s="18"/>
      <c r="M3824" s="18"/>
      <c r="N3824" s="18"/>
      <c r="O3824" s="18"/>
      <c r="P3824" s="19"/>
      <c r="Q3824" s="14"/>
      <c r="R3824" s="11"/>
    </row>
    <row r="3825" s="1" customFormat="1" ht="9.95" customHeight="1" spans="1:18">
      <c r="A3825" s="7"/>
      <c r="B3825" s="12"/>
      <c r="C3825" s="39"/>
      <c r="D3825" s="40"/>
      <c r="E3825" s="40"/>
      <c r="F3825" s="40"/>
      <c r="G3825" s="40"/>
      <c r="H3825" s="40"/>
      <c r="I3825" s="40"/>
      <c r="J3825" s="40"/>
      <c r="K3825" s="40"/>
      <c r="L3825" s="40"/>
      <c r="M3825" s="40"/>
      <c r="N3825" s="40"/>
      <c r="O3825" s="40"/>
      <c r="P3825" s="41"/>
      <c r="Q3825" s="14"/>
      <c r="R3825" s="11"/>
    </row>
    <row r="3826" s="1" customFormat="1" ht="9.95" customHeight="1" spans="1:18">
      <c r="A3826" s="7"/>
      <c r="B3826" s="12"/>
      <c r="C3826" s="29"/>
      <c r="D3826" s="29"/>
      <c r="E3826" s="29"/>
      <c r="F3826" s="29"/>
      <c r="G3826" s="29"/>
      <c r="H3826" s="29"/>
      <c r="I3826" s="29"/>
      <c r="J3826" s="29"/>
      <c r="K3826" s="29"/>
      <c r="L3826" s="29"/>
      <c r="M3826" s="29"/>
      <c r="N3826" s="29"/>
      <c r="O3826" s="29"/>
      <c r="P3826" s="29"/>
      <c r="Q3826" s="14"/>
      <c r="R3826" s="11"/>
    </row>
    <row r="3827" s="1" customFormat="1" ht="9.95" customHeight="1" spans="1:18">
      <c r="A3827" s="7"/>
      <c r="B3827" s="12"/>
      <c r="C3827" s="30"/>
      <c r="D3827" s="31"/>
      <c r="E3827" s="31"/>
      <c r="F3827" s="31"/>
      <c r="G3827" s="31"/>
      <c r="H3827" s="31"/>
      <c r="I3827" s="31"/>
      <c r="J3827" s="31"/>
      <c r="K3827" s="31"/>
      <c r="L3827" s="31"/>
      <c r="M3827" s="31"/>
      <c r="N3827" s="31"/>
      <c r="O3827" s="31"/>
      <c r="P3827" s="32"/>
      <c r="Q3827" s="14"/>
      <c r="R3827" s="11"/>
    </row>
    <row r="3828" s="1" customFormat="1" ht="21.95" customHeight="1" spans="1:18">
      <c r="A3828" s="7"/>
      <c r="B3828" s="12"/>
      <c r="C3828" s="33"/>
      <c r="D3828" s="35"/>
      <c r="E3828" s="24"/>
      <c r="F3828" s="24"/>
      <c r="G3828" s="47" t="s">
        <v>717</v>
      </c>
      <c r="H3828" s="47"/>
      <c r="I3828" s="47"/>
      <c r="J3828" s="47"/>
      <c r="K3828" s="47"/>
      <c r="L3828" s="47"/>
      <c r="M3828" s="47"/>
      <c r="N3828" s="47"/>
      <c r="O3828" s="29"/>
      <c r="P3828" s="19"/>
      <c r="Q3828" s="14"/>
      <c r="R3828" s="11"/>
    </row>
    <row r="3829" s="1" customFormat="1" ht="21.95" customHeight="1" spans="1:18">
      <c r="A3829" s="7"/>
      <c r="B3829" s="12"/>
      <c r="C3829" s="33"/>
      <c r="D3829" s="47"/>
      <c r="E3829" s="47"/>
      <c r="F3829" s="47"/>
      <c r="G3829" s="47" t="s">
        <v>541</v>
      </c>
      <c r="H3829" s="47" t="s">
        <v>542</v>
      </c>
      <c r="I3829" s="47" t="s">
        <v>543</v>
      </c>
      <c r="J3829" s="47" t="s">
        <v>544</v>
      </c>
      <c r="K3829" s="47" t="s">
        <v>561</v>
      </c>
      <c r="L3829" s="47" t="s">
        <v>382</v>
      </c>
      <c r="M3829" s="49" t="s">
        <v>546</v>
      </c>
      <c r="N3829" s="49"/>
      <c r="O3829" s="29"/>
      <c r="P3829" s="19"/>
      <c r="Q3829" s="14"/>
      <c r="R3829" s="11"/>
    </row>
    <row r="3830" s="1" customFormat="1" ht="21.95" customHeight="1" spans="1:18">
      <c r="A3830" s="7"/>
      <c r="B3830" s="12"/>
      <c r="C3830" s="33"/>
      <c r="D3830" s="207" t="s">
        <v>652</v>
      </c>
      <c r="E3830" s="207"/>
      <c r="F3830" s="207"/>
      <c r="G3830" s="50">
        <v>10</v>
      </c>
      <c r="H3830" s="50">
        <v>10</v>
      </c>
      <c r="I3830" s="50">
        <v>10</v>
      </c>
      <c r="J3830" s="50">
        <v>10</v>
      </c>
      <c r="K3830" s="50">
        <v>60</v>
      </c>
      <c r="L3830" s="50">
        <v>100</v>
      </c>
      <c r="M3830" s="49"/>
      <c r="N3830" s="49"/>
      <c r="O3830" s="29"/>
      <c r="P3830" s="19"/>
      <c r="Q3830" s="14"/>
      <c r="R3830" s="11"/>
    </row>
    <row r="3831" s="1" customFormat="1" ht="21.95" customHeight="1" spans="1:18">
      <c r="A3831" s="7"/>
      <c r="B3831" s="12"/>
      <c r="C3831" s="33"/>
      <c r="D3831" s="117" t="s">
        <v>668</v>
      </c>
      <c r="E3831" s="117"/>
      <c r="F3831" s="117"/>
      <c r="G3831" s="54" t="str">
        <f>IFERROR(VLOOKUP(F3814,'1to4-2.1-RR'!$A$12:$BG$111,9,0),"")</f>
        <v/>
      </c>
      <c r="H3831" s="54" t="str">
        <f>IFERROR(VLOOKUP(F3814,'1to4-2.1-RR'!$A$12:$BG$111,10,0),"")</f>
        <v/>
      </c>
      <c r="I3831" s="54" t="str">
        <f>IFERROR(VLOOKUP(F3814,'1to4-2.1-RR'!$A$12:$BG$111,11,0),"")</f>
        <v/>
      </c>
      <c r="J3831" s="54" t="str">
        <f>IFERROR(VLOOKUP(F3814,'1to4-2.1-RR'!$A$12:$BG$111,12,0),"")</f>
        <v/>
      </c>
      <c r="K3831" s="54" t="str">
        <f>IFERROR(VLOOKUP(F3814,'1to4-2.1-RR'!$A$12:$BG$111,13,0),"")</f>
        <v/>
      </c>
      <c r="L3831" s="55">
        <f>SUM(G3831:K3831)</f>
        <v>0</v>
      </c>
      <c r="M3831" s="56" t="str">
        <f>IF(F3814&gt;ENTRY!$D$24,"",IF(L3831=0,"Ab",IF(L3831&gt;80,"A",IF(L3831&gt;60,"B",IF(L3831&gt;44,"C",IF(L3831&gt;=33,"D",IF(L3831&lt;=32,"E","")))))))</f>
        <v/>
      </c>
      <c r="N3831" s="56"/>
      <c r="O3831" s="29"/>
      <c r="P3831" s="19"/>
      <c r="Q3831" s="14"/>
      <c r="R3831" s="11"/>
    </row>
    <row r="3832" s="1" customFormat="1" ht="21.95" customHeight="1" spans="1:18">
      <c r="A3832" s="7"/>
      <c r="B3832" s="12"/>
      <c r="C3832" s="33"/>
      <c r="D3832" s="117" t="s">
        <v>513</v>
      </c>
      <c r="E3832" s="117"/>
      <c r="F3832" s="117"/>
      <c r="G3832" s="54" t="str">
        <f>IFERROR(VLOOKUP(F3814,'1to4-2.1-RR'!$A$12:$BG$111,16,0),"")</f>
        <v/>
      </c>
      <c r="H3832" s="54" t="str">
        <f>IFERROR(VLOOKUP(F3814,'1to4-2.1-RR'!$A$12:$BG$111,17,0),"")</f>
        <v/>
      </c>
      <c r="I3832" s="54" t="str">
        <f>IFERROR(VLOOKUP(F3814,'1to4-2.1-RR'!$A$12:$BG$111,18,0),"")</f>
        <v/>
      </c>
      <c r="J3832" s="54" t="str">
        <f>IFERROR(VLOOKUP(F3814,'1to4-2.1-RR'!$A$12:$BG$111,19,0),"")</f>
        <v/>
      </c>
      <c r="K3832" s="54" t="str">
        <f>IFERROR(VLOOKUP(F3814,'1to4-2.1-RR'!$A$12:$BG$111,20,0),"")</f>
        <v/>
      </c>
      <c r="L3832" s="55">
        <f t="shared" ref="L3832:L3837" si="136">SUM(G3832:K3832)</f>
        <v>0</v>
      </c>
      <c r="M3832" s="56" t="str">
        <f>IF(F3814&gt;ENTRY!$D$24,"",IF(L3832=0,"Ab",IF(L3832&gt;80,"A",IF(L3832&gt;60,"B",IF(L3832&gt;44,"C",IF(L3832&gt;=33,"D",IF(L3832&lt;=32,"E","")))))))</f>
        <v/>
      </c>
      <c r="N3832" s="56"/>
      <c r="O3832" s="29"/>
      <c r="P3832" s="19"/>
      <c r="Q3832" s="14"/>
      <c r="R3832" s="11"/>
    </row>
    <row r="3833" s="1" customFormat="1" ht="21.95" customHeight="1" spans="1:18">
      <c r="A3833" s="7"/>
      <c r="B3833" s="12"/>
      <c r="C3833" s="33"/>
      <c r="D3833" s="117" t="s">
        <v>718</v>
      </c>
      <c r="E3833" s="117"/>
      <c r="F3833" s="117"/>
      <c r="G3833" s="54" t="str">
        <f>IFERROR(VLOOKUP(F3814,'1to4-2.1-RR'!$A$12:$BG$111,23,0),"")</f>
        <v/>
      </c>
      <c r="H3833" s="54" t="str">
        <f>IFERROR(VLOOKUP(F3814,'1to4-2.1-RR'!$A$12:$BG$111,24,0),"")</f>
        <v/>
      </c>
      <c r="I3833" s="54" t="str">
        <f>IFERROR(VLOOKUP(F3814,'1to4-2.1-RR'!$A$12:$BG$111,25,0),"")</f>
        <v/>
      </c>
      <c r="J3833" s="54" t="str">
        <f>IFERROR(VLOOKUP(F3814,'1to4-2.1-RR'!$A$12:$BG$111,26,0),"")</f>
        <v/>
      </c>
      <c r="K3833" s="54" t="str">
        <f>IFERROR(VLOOKUP(F3814,'1to4-2.1-RR'!$A$12:$BG$111,27,0),"")</f>
        <v/>
      </c>
      <c r="L3833" s="55">
        <f t="shared" si="136"/>
        <v>0</v>
      </c>
      <c r="M3833" s="56" t="str">
        <f>IF(F3814&gt;ENTRY!$D$24,"",IF(L3833=0,"Ab",IF(L3833&gt;80,"A",IF(L3833&gt;60,"B",IF(L3833&gt;44,"C",IF(L3833&gt;=33,"D",IF(L3833&lt;=32,"E","")))))))</f>
        <v/>
      </c>
      <c r="N3833" s="56"/>
      <c r="O3833" s="29"/>
      <c r="P3833" s="19"/>
      <c r="Q3833" s="14"/>
      <c r="R3833" s="11"/>
    </row>
    <row r="3834" s="1" customFormat="1" ht="21.95" customHeight="1" spans="1:18">
      <c r="A3834" s="7"/>
      <c r="B3834" s="12"/>
      <c r="C3834" s="33"/>
      <c r="D3834" s="117" t="s">
        <v>719</v>
      </c>
      <c r="E3834" s="117"/>
      <c r="F3834" s="117"/>
      <c r="G3834" s="54" t="str">
        <f>IFERROR(VLOOKUP(F3814,'1to4-2.1-RR'!$A$12:$BG$111,30,0),"")</f>
        <v/>
      </c>
      <c r="H3834" s="54" t="str">
        <f>IFERROR(VLOOKUP(F3814,'1to4-2.1-RR'!$A$12:$BG$111,31,0),"")</f>
        <v/>
      </c>
      <c r="I3834" s="54" t="str">
        <f>IFERROR(VLOOKUP(F3814,'1to4-2.1-RR'!$A$12:$BG$111,32,0),"")</f>
        <v/>
      </c>
      <c r="J3834" s="54" t="str">
        <f>IFERROR(VLOOKUP(F3814,'1to4-2.1-RR'!$A$12:$BG$111,33,0),"")</f>
        <v/>
      </c>
      <c r="K3834" s="54" t="str">
        <f>IFERROR(VLOOKUP(F3814,'1to4-2.1-RR'!$A$12:$BG$111,34,0),"")</f>
        <v/>
      </c>
      <c r="L3834" s="55">
        <f t="shared" si="136"/>
        <v>0</v>
      </c>
      <c r="M3834" s="56" t="str">
        <f>IF(F3814&gt;ENTRY!$D$24,"",IF(L3834=0,"Ab",IF(L3834&gt;80,"A",IF(L3834&gt;60,"B",IF(L3834&gt;44,"C",IF(L3834&gt;=33,"D",IF(L3834&lt;=32,"E","")))))))</f>
        <v/>
      </c>
      <c r="N3834" s="56"/>
      <c r="O3834" s="29"/>
      <c r="P3834" s="19"/>
      <c r="Q3834" s="14"/>
      <c r="R3834" s="11"/>
    </row>
    <row r="3835" s="1" customFormat="1" ht="21.95" customHeight="1" spans="1:18">
      <c r="A3835" s="7"/>
      <c r="B3835" s="12"/>
      <c r="C3835" s="33"/>
      <c r="D3835" s="117" t="s">
        <v>548</v>
      </c>
      <c r="E3835" s="117"/>
      <c r="F3835" s="117"/>
      <c r="G3835" s="54" t="str">
        <f>IFERROR(VLOOKUP(F3814,'1to4-2.1-RR'!$A$12:$BG$111,37,0),"")</f>
        <v/>
      </c>
      <c r="H3835" s="54" t="str">
        <f>IFERROR(VLOOKUP(F3814,'1to4-2.1-RR'!$A$12:$BG$111,38,0),"")</f>
        <v/>
      </c>
      <c r="I3835" s="54" t="str">
        <f>IFERROR(VLOOKUP(F3814,'1to4-2.1-RR'!$A$12:$BG$111,39,0),"")</f>
        <v/>
      </c>
      <c r="J3835" s="54" t="str">
        <f>IFERROR(VLOOKUP(F3814,'1to4-2.1-RR'!$A$12:$BG$111,40,0),"")</f>
        <v/>
      </c>
      <c r="K3835" s="54" t="str">
        <f>IFERROR(VLOOKUP(F3814,'1to4-2.1-RR'!$A$12:$BG$111,41,0),"")</f>
        <v/>
      </c>
      <c r="L3835" s="55">
        <f t="shared" si="136"/>
        <v>0</v>
      </c>
      <c r="M3835" s="56" t="str">
        <f>IF(F3814&gt;ENTRY!$D$24,"",IF(L3835=0,"Ab",IF(L3835&gt;80,"A",IF(L3835&gt;60,"B",IF(L3835&gt;44,"C",IF(L3835&gt;=33,"D",IF(L3835&lt;=32,"E","")))))))</f>
        <v/>
      </c>
      <c r="N3835" s="56"/>
      <c r="O3835" s="29"/>
      <c r="P3835" s="19"/>
      <c r="Q3835" s="14"/>
      <c r="R3835" s="11"/>
    </row>
    <row r="3836" s="1" customFormat="1" ht="21.95" customHeight="1" spans="1:18">
      <c r="A3836" s="7"/>
      <c r="B3836" s="12"/>
      <c r="C3836" s="33"/>
      <c r="D3836" s="117" t="s">
        <v>549</v>
      </c>
      <c r="E3836" s="117"/>
      <c r="F3836" s="117"/>
      <c r="G3836" s="54" t="str">
        <f>IFERROR(VLOOKUP(F3814,'1to4-2.1-RR'!$A$12:$BG$111,44,0),"")</f>
        <v/>
      </c>
      <c r="H3836" s="54" t="str">
        <f>IFERROR(VLOOKUP(F3814,'1to4-2.1-RR'!$A$12:$BG$111,45,0),"")</f>
        <v/>
      </c>
      <c r="I3836" s="54" t="str">
        <f>IFERROR(VLOOKUP(F3814,'1to4-2.1-RR'!$A$12:$BG$111,46,0),"")</f>
        <v/>
      </c>
      <c r="J3836" s="54" t="str">
        <f>IFERROR(VLOOKUP(F3814,'1to4-2.1-RR'!$A$12:$BG$111,47,0),"")</f>
        <v/>
      </c>
      <c r="K3836" s="54" t="str">
        <f>IFERROR(VLOOKUP(F3814,'1to4-2.1-RR'!$A$12:$BG$111,48,0),"")</f>
        <v/>
      </c>
      <c r="L3836" s="55">
        <f t="shared" si="136"/>
        <v>0</v>
      </c>
      <c r="M3836" s="56" t="str">
        <f>IF(F3814&gt;ENTRY!$D$24,"",IF(L3836=0,"Ab",IF(L3836&gt;80,"A",IF(L3836&gt;60,"B",IF(L3836&gt;44,"C",IF(L3836&gt;=33,"D",IF(L3836&lt;=32,"E","")))))))</f>
        <v/>
      </c>
      <c r="N3836" s="56"/>
      <c r="O3836" s="29"/>
      <c r="P3836" s="19"/>
      <c r="Q3836" s="14"/>
      <c r="R3836" s="11"/>
    </row>
    <row r="3837" s="1" customFormat="1" ht="21.95" customHeight="1" spans="1:18">
      <c r="A3837" s="7"/>
      <c r="B3837" s="12"/>
      <c r="C3837" s="33"/>
      <c r="D3837" s="117" t="s">
        <v>720</v>
      </c>
      <c r="E3837" s="117"/>
      <c r="F3837" s="117"/>
      <c r="G3837" s="54"/>
      <c r="H3837" s="54"/>
      <c r="I3837" s="54"/>
      <c r="J3837" s="54"/>
      <c r="K3837" s="54"/>
      <c r="L3837" s="55">
        <f t="shared" si="136"/>
        <v>0</v>
      </c>
      <c r="M3837" s="56" t="str">
        <f>IF(F3814&gt;ENTRY!$D$24,"",IF(L3837=0,"",IF(L3837&gt;79,"A",IF(L3837&gt;59,"B",IF(L3837&gt;44,"C",IF(L3837&gt;=33,"D",IF(L3837&lt;=32,"E","")))))))</f>
        <v/>
      </c>
      <c r="N3837" s="56"/>
      <c r="O3837" s="29"/>
      <c r="P3837" s="19"/>
      <c r="Q3837" s="14"/>
      <c r="R3837" s="11"/>
    </row>
    <row r="3838" s="1" customFormat="1" ht="21.95" customHeight="1" spans="1:18">
      <c r="A3838" s="7"/>
      <c r="B3838" s="12"/>
      <c r="C3838" s="33"/>
      <c r="D3838" s="207" t="s">
        <v>382</v>
      </c>
      <c r="E3838" s="207"/>
      <c r="F3838" s="207"/>
      <c r="G3838" s="54">
        <f t="shared" ref="G3838:L3838" si="137">IFERROR(SUM(G3831:G3837),"")</f>
        <v>0</v>
      </c>
      <c r="H3838" s="54">
        <f t="shared" si="137"/>
        <v>0</v>
      </c>
      <c r="I3838" s="54">
        <f t="shared" si="137"/>
        <v>0</v>
      </c>
      <c r="J3838" s="54">
        <f t="shared" si="137"/>
        <v>0</v>
      </c>
      <c r="K3838" s="54">
        <f t="shared" si="137"/>
        <v>0</v>
      </c>
      <c r="L3838" s="55">
        <f t="shared" si="137"/>
        <v>0</v>
      </c>
      <c r="M3838" s="61" t="str">
        <f>IF(F3814&gt;ENTRY!$D$24,"",IF(N3839="Ab","Ab",IF(N3839&gt;79.5,"A",IF(N3839&gt;59.5,"B",IF(N3839&gt;44.5,"C",IF(N3839&gt;=33,"D",IF(N3839&lt;33,"E","")))))))</f>
        <v/>
      </c>
      <c r="N3838" s="61"/>
      <c r="O3838" s="29"/>
      <c r="P3838" s="19"/>
      <c r="Q3838" s="14"/>
      <c r="R3838" s="11"/>
    </row>
    <row r="3839" s="1" customFormat="1" ht="21.95" customHeight="1" spans="1:18">
      <c r="A3839" s="7"/>
      <c r="B3839" s="12"/>
      <c r="C3839" s="33"/>
      <c r="D3839" s="63" t="s">
        <v>721</v>
      </c>
      <c r="E3839" s="63"/>
      <c r="F3839" s="63"/>
      <c r="G3839" s="63"/>
      <c r="H3839" s="63"/>
      <c r="I3839" s="63"/>
      <c r="J3839" s="63"/>
      <c r="K3839" s="63"/>
      <c r="L3839" s="63"/>
      <c r="M3839" s="209"/>
      <c r="N3839" s="64">
        <f>IF(L3838="Ab","Ab",L3838/6)</f>
        <v>0</v>
      </c>
      <c r="O3839" s="65"/>
      <c r="P3839" s="19"/>
      <c r="Q3839" s="14"/>
      <c r="R3839" s="11"/>
    </row>
    <row r="3840" s="1" customFormat="1" ht="21.95" customHeight="1" spans="1:18">
      <c r="A3840" s="7"/>
      <c r="B3840" s="12"/>
      <c r="C3840" s="33"/>
      <c r="D3840" s="29" t="s">
        <v>716</v>
      </c>
      <c r="E3840" s="18" t="str">
        <f>IFERROR(VLOOKUP(F3814,'1to4-2.1-RR'!$A$12:$BG$111,57,0),"")</f>
        <v/>
      </c>
      <c r="F3840" s="18"/>
      <c r="G3840" s="18"/>
      <c r="H3840" s="18"/>
      <c r="I3840" s="18"/>
      <c r="J3840" s="18"/>
      <c r="K3840" s="18"/>
      <c r="L3840" s="18"/>
      <c r="M3840" s="18"/>
      <c r="N3840" s="29"/>
      <c r="O3840" s="29"/>
      <c r="P3840" s="19"/>
      <c r="Q3840" s="14"/>
      <c r="R3840" s="11"/>
    </row>
    <row r="3841" s="1" customFormat="1" ht="9.95" customHeight="1" spans="1:19">
      <c r="A3841" s="7"/>
      <c r="B3841" s="12"/>
      <c r="C3841" s="39"/>
      <c r="D3841" s="40"/>
      <c r="E3841" s="40"/>
      <c r="F3841" s="40"/>
      <c r="G3841" s="40"/>
      <c r="H3841" s="40"/>
      <c r="I3841" s="40"/>
      <c r="J3841" s="40"/>
      <c r="K3841" s="40"/>
      <c r="L3841" s="40"/>
      <c r="M3841" s="40"/>
      <c r="N3841" s="40"/>
      <c r="O3841" s="40"/>
      <c r="P3841" s="41"/>
      <c r="Q3841" s="14"/>
      <c r="R3841" s="11"/>
    </row>
    <row r="3842" s="1" customFormat="1" ht="9.95" customHeight="1" spans="1:19">
      <c r="A3842" s="7"/>
      <c r="B3842" s="12"/>
      <c r="C3842" s="30"/>
      <c r="D3842" s="31"/>
      <c r="E3842" s="31"/>
      <c r="F3842" s="29"/>
      <c r="G3842" s="31"/>
      <c r="H3842" s="31"/>
      <c r="I3842" s="31"/>
      <c r="J3842" s="31"/>
      <c r="K3842" s="31"/>
      <c r="L3842" s="31"/>
      <c r="M3842" s="31"/>
      <c r="N3842" s="31"/>
      <c r="O3842" s="31"/>
      <c r="P3842" s="32"/>
      <c r="Q3842" s="14"/>
      <c r="R3842" s="11"/>
    </row>
    <row r="3843" s="1" customFormat="1" ht="9.95" customHeight="1" spans="1:19">
      <c r="A3843" s="7"/>
      <c r="B3843" s="12"/>
      <c r="C3843" s="33"/>
      <c r="D3843" s="29"/>
      <c r="E3843" s="29"/>
      <c r="F3843" s="29"/>
      <c r="G3843" s="29"/>
      <c r="H3843" s="29"/>
      <c r="I3843" s="29"/>
      <c r="J3843" s="29"/>
      <c r="K3843" s="29"/>
      <c r="L3843" s="29"/>
      <c r="M3843" s="29"/>
      <c r="N3843" s="29"/>
      <c r="O3843" s="29"/>
      <c r="P3843" s="19"/>
      <c r="Q3843" s="14"/>
      <c r="R3843" s="11"/>
    </row>
    <row r="3844" s="1" customFormat="1" ht="9.95" customHeight="1" spans="1:19">
      <c r="A3844" s="7"/>
      <c r="B3844" s="12"/>
      <c r="C3844" s="33"/>
      <c r="D3844" s="29"/>
      <c r="E3844" s="29"/>
      <c r="F3844" s="29"/>
      <c r="G3844" s="29"/>
      <c r="H3844" s="29"/>
      <c r="I3844" s="29"/>
      <c r="J3844" s="29"/>
      <c r="K3844" s="29"/>
      <c r="L3844" s="29"/>
      <c r="M3844" s="29"/>
      <c r="N3844" s="29"/>
      <c r="O3844" s="29"/>
      <c r="P3844" s="19"/>
      <c r="Q3844" s="14"/>
      <c r="R3844" s="11"/>
    </row>
    <row r="3845" s="1" customFormat="1" ht="21.95" customHeight="1" spans="1:19">
      <c r="A3845" s="7"/>
      <c r="B3845" s="12"/>
      <c r="C3845" s="210"/>
      <c r="D3845" s="211"/>
      <c r="E3845" s="211"/>
      <c r="F3845" s="211"/>
      <c r="G3845" s="211"/>
      <c r="H3845" s="211"/>
      <c r="I3845" s="211"/>
      <c r="J3845" s="211"/>
      <c r="K3845" s="211"/>
      <c r="L3845" s="211"/>
      <c r="M3845" s="211"/>
      <c r="N3845" s="211"/>
      <c r="O3845" s="211"/>
      <c r="P3845" s="212"/>
      <c r="Q3845" s="14"/>
      <c r="R3845" s="11"/>
      <c r="S3845" s="2"/>
    </row>
    <row r="3846" s="1" customFormat="1" ht="21.95" customHeight="1" spans="1:19">
      <c r="A3846" s="7"/>
      <c r="B3846" s="12"/>
      <c r="C3846" s="33"/>
      <c r="D3846" s="207" t="s">
        <v>722</v>
      </c>
      <c r="E3846" s="207"/>
      <c r="F3846" s="207"/>
      <c r="G3846" s="207"/>
      <c r="H3846" s="54">
        <f>IFERROR(VLOOKUP(F3814,PASHEET!$A$4:$CJ$103,88,0),"")</f>
        <v>0</v>
      </c>
      <c r="I3846" s="54"/>
      <c r="J3846" s="29"/>
      <c r="K3846" s="29"/>
      <c r="L3846" s="29"/>
      <c r="M3846" s="29"/>
      <c r="N3846" s="29"/>
      <c r="O3846" s="29"/>
      <c r="P3846" s="19"/>
      <c r="Q3846" s="14"/>
      <c r="R3846" s="11"/>
    </row>
    <row r="3847" s="1" customFormat="1" ht="21.95" customHeight="1" spans="1:19">
      <c r="A3847" s="7"/>
      <c r="B3847" s="12"/>
      <c r="C3847" s="213"/>
      <c r="D3847" s="207" t="s">
        <v>723</v>
      </c>
      <c r="E3847" s="207"/>
      <c r="F3847" s="207"/>
      <c r="G3847" s="207"/>
      <c r="H3847" s="54">
        <f>IFERROR(VLOOKUP(F3814,PASHEET!$A$4:$CJ$103,87,0),"")</f>
        <v>0</v>
      </c>
      <c r="I3847" s="54"/>
      <c r="J3847" s="214"/>
      <c r="K3847" s="214"/>
      <c r="L3847" s="207" t="s">
        <v>724</v>
      </c>
      <c r="M3847" s="207"/>
      <c r="N3847" s="117" t="str">
        <f>IF(F3814&gt;ENTRY!$D$24,"",IF(F3814&gt;0,L3838&amp;" / "&amp;600,""))</f>
        <v/>
      </c>
      <c r="O3847" s="117"/>
      <c r="P3847" s="215"/>
      <c r="Q3847" s="14"/>
      <c r="R3847" s="11"/>
    </row>
    <row r="3848" s="1" customFormat="1" ht="18" customHeight="1" spans="1:19">
      <c r="A3848" s="7"/>
      <c r="B3848" s="12"/>
      <c r="C3848" s="33"/>
      <c r="D3848" s="207" t="s">
        <v>725</v>
      </c>
      <c r="E3848" s="207"/>
      <c r="F3848" s="207"/>
      <c r="G3848" s="207"/>
      <c r="H3848" s="69" t="str">
        <f>IFERROR(IF(F3814&gt;0,H3847/H3846*100),"")</f>
        <v/>
      </c>
      <c r="I3848" s="69"/>
      <c r="J3848" s="29"/>
      <c r="K3848" s="29"/>
      <c r="L3848" s="207" t="s">
        <v>726</v>
      </c>
      <c r="M3848" s="207"/>
      <c r="N3848" s="216" t="str">
        <f>IF(F3814&gt;ENTRY!$D$24,"",IF(F3814&gt;0,L3838/600*100,""))</f>
        <v/>
      </c>
      <c r="O3848" s="216"/>
      <c r="P3848" s="19"/>
      <c r="Q3848" s="14"/>
      <c r="R3848" s="11"/>
    </row>
    <row r="3849" s="1" customFormat="1" ht="21.95" customHeight="1" spans="1:19">
      <c r="A3849" s="7"/>
      <c r="B3849" s="12"/>
      <c r="C3849" s="33"/>
      <c r="D3849" s="80"/>
      <c r="E3849" s="80"/>
      <c r="F3849" s="217"/>
      <c r="G3849" s="217"/>
      <c r="H3849" s="217"/>
      <c r="I3849" s="217"/>
      <c r="J3849" s="217"/>
      <c r="K3849" s="217"/>
      <c r="L3849" s="217"/>
      <c r="M3849" s="217"/>
      <c r="N3849" s="80"/>
      <c r="O3849" s="80"/>
      <c r="P3849" s="19"/>
      <c r="Q3849" s="14"/>
      <c r="R3849" s="11"/>
    </row>
    <row r="3850" s="1" customFormat="1" ht="21.95" customHeight="1" spans="1:19">
      <c r="A3850" s="7"/>
      <c r="B3850" s="12"/>
      <c r="C3850" s="33"/>
      <c r="D3850" s="80"/>
      <c r="E3850" s="218"/>
      <c r="F3850" s="218"/>
      <c r="G3850" s="218"/>
      <c r="H3850" s="80"/>
      <c r="I3850" s="218"/>
      <c r="J3850" s="218"/>
      <c r="K3850" s="218"/>
      <c r="L3850" s="218"/>
      <c r="M3850" s="80"/>
      <c r="N3850" s="219"/>
      <c r="O3850" s="219"/>
      <c r="P3850" s="19"/>
      <c r="Q3850" s="14"/>
      <c r="R3850" s="11"/>
    </row>
    <row r="3851" s="1" customFormat="1" ht="21.95" customHeight="1" spans="1:19">
      <c r="A3851" s="7"/>
      <c r="B3851" s="12"/>
      <c r="C3851" s="33"/>
      <c r="D3851" s="80"/>
      <c r="E3851" s="80"/>
      <c r="F3851" s="80"/>
      <c r="G3851" s="80"/>
      <c r="H3851" s="80"/>
      <c r="I3851" s="80"/>
      <c r="J3851" s="80"/>
      <c r="K3851" s="80"/>
      <c r="L3851" s="80"/>
      <c r="M3851" s="80"/>
      <c r="N3851" s="80"/>
      <c r="O3851" s="80"/>
      <c r="P3851" s="19"/>
      <c r="Q3851" s="14"/>
      <c r="R3851" s="11"/>
    </row>
    <row r="3852" s="1" customFormat="1" ht="21.95" customHeight="1" spans="1:19">
      <c r="A3852" s="7"/>
      <c r="B3852" s="12"/>
      <c r="C3852" s="33"/>
      <c r="D3852" s="218"/>
      <c r="E3852" s="218"/>
      <c r="F3852" s="218"/>
      <c r="G3852" s="218"/>
      <c r="H3852" s="218"/>
      <c r="I3852" s="218"/>
      <c r="J3852" s="218"/>
      <c r="K3852" s="218"/>
      <c r="L3852" s="218"/>
      <c r="M3852" s="80"/>
      <c r="N3852" s="217"/>
      <c r="O3852" s="217"/>
      <c r="P3852" s="85" t="s">
        <v>727</v>
      </c>
      <c r="Q3852" s="14"/>
      <c r="R3852" s="11"/>
    </row>
    <row r="3853" s="1" customFormat="1" ht="21.95" customHeight="1" spans="1:19">
      <c r="A3853" s="7"/>
      <c r="B3853" s="12"/>
      <c r="C3853" s="33"/>
      <c r="D3853" s="29"/>
      <c r="E3853" s="29"/>
      <c r="F3853" s="29"/>
      <c r="G3853" s="29"/>
      <c r="H3853" s="29"/>
      <c r="I3853" s="29"/>
      <c r="J3853" s="29"/>
      <c r="K3853" s="29"/>
      <c r="L3853" s="29"/>
      <c r="M3853" s="29"/>
      <c r="N3853" s="29"/>
      <c r="O3853" s="29"/>
      <c r="P3853" s="19"/>
      <c r="Q3853" s="14"/>
      <c r="R3853" s="11"/>
    </row>
    <row r="3854" s="1" customFormat="1" ht="21.95" customHeight="1" spans="1:19">
      <c r="A3854" s="7"/>
      <c r="B3854" s="12"/>
      <c r="C3854" s="33"/>
      <c r="D3854" s="29"/>
      <c r="E3854" s="29"/>
      <c r="F3854" s="29"/>
      <c r="G3854" s="29"/>
      <c r="H3854" s="29"/>
      <c r="I3854" s="29"/>
      <c r="J3854" s="29"/>
      <c r="K3854" s="29"/>
      <c r="L3854" s="29"/>
      <c r="M3854" s="29"/>
      <c r="N3854" s="29"/>
      <c r="O3854" s="29"/>
      <c r="P3854" s="19"/>
      <c r="Q3854" s="14"/>
      <c r="R3854" s="11"/>
    </row>
    <row r="3855" s="1" customFormat="1" ht="21.95" customHeight="1" spans="1:19">
      <c r="A3855" s="7"/>
      <c r="B3855" s="12"/>
      <c r="C3855" s="33"/>
      <c r="D3855" s="29"/>
      <c r="E3855" s="29"/>
      <c r="F3855" s="29"/>
      <c r="G3855" s="29"/>
      <c r="H3855" s="29"/>
      <c r="I3855" s="29"/>
      <c r="J3855" s="29"/>
      <c r="K3855" s="29"/>
      <c r="L3855" s="29"/>
      <c r="M3855" s="29"/>
      <c r="N3855" s="29"/>
      <c r="O3855" s="29"/>
      <c r="P3855" s="19"/>
      <c r="Q3855" s="14"/>
      <c r="R3855" s="11"/>
    </row>
    <row r="3856" s="1" customFormat="1" ht="21.95" customHeight="1" spans="1:19">
      <c r="A3856" s="7"/>
      <c r="B3856" s="12"/>
      <c r="C3856" s="33"/>
      <c r="D3856" s="29"/>
      <c r="E3856" s="29"/>
      <c r="F3856" s="29"/>
      <c r="G3856" s="29"/>
      <c r="H3856" s="29"/>
      <c r="I3856" s="29"/>
      <c r="J3856" s="29"/>
      <c r="K3856" s="29"/>
      <c r="L3856" s="29"/>
      <c r="M3856" s="29"/>
      <c r="N3856" s="29"/>
      <c r="O3856" s="29"/>
      <c r="P3856" s="19"/>
      <c r="Q3856" s="14"/>
      <c r="R3856" s="11"/>
    </row>
    <row r="3857" s="1" customFormat="1" ht="21.95" customHeight="1" spans="1:18">
      <c r="A3857" s="7"/>
      <c r="B3857" s="12"/>
      <c r="C3857" s="33"/>
      <c r="D3857" s="29"/>
      <c r="E3857" s="29"/>
      <c r="F3857" s="29"/>
      <c r="G3857" s="29"/>
      <c r="H3857" s="29"/>
      <c r="I3857" s="29"/>
      <c r="J3857" s="29"/>
      <c r="K3857" s="29"/>
      <c r="L3857" s="29"/>
      <c r="M3857" s="29"/>
      <c r="N3857" s="29"/>
      <c r="O3857" s="29"/>
      <c r="P3857" s="19"/>
      <c r="Q3857" s="14"/>
      <c r="R3857" s="11"/>
    </row>
    <row r="3858" s="1" customFormat="1" ht="21.95" customHeight="1" spans="1:18">
      <c r="A3858" s="7"/>
      <c r="B3858" s="12"/>
      <c r="C3858" s="33"/>
      <c r="D3858" s="80" t="s">
        <v>728</v>
      </c>
      <c r="E3858" s="220">
        <f>ENTRY!$D$27</f>
        <v>46102</v>
      </c>
      <c r="F3858" s="220"/>
      <c r="G3858" s="29"/>
      <c r="H3858" s="29"/>
      <c r="I3858" s="221" t="s">
        <v>729</v>
      </c>
      <c r="J3858" s="153"/>
      <c r="K3858" s="29"/>
      <c r="L3858" s="29"/>
      <c r="M3858" s="87" t="s">
        <v>730</v>
      </c>
      <c r="N3858" s="87"/>
      <c r="O3858" s="87"/>
      <c r="P3858" s="19"/>
      <c r="Q3858" s="14"/>
      <c r="R3858" s="11"/>
    </row>
    <row r="3859" s="1" customFormat="1" ht="21.95" customHeight="1" spans="1:18">
      <c r="A3859" s="7"/>
      <c r="B3859" s="12"/>
      <c r="C3859" s="33"/>
      <c r="D3859" s="80" t="s">
        <v>731</v>
      </c>
      <c r="E3859" s="88" t="str">
        <f>PROPER(ENTRY!$D$28)</f>
        <v>New Delhi</v>
      </c>
      <c r="F3859" s="88"/>
      <c r="G3859" s="29"/>
      <c r="H3859" s="29"/>
      <c r="I3859" s="153"/>
      <c r="J3859" s="153"/>
      <c r="K3859" s="29"/>
      <c r="L3859" s="29"/>
      <c r="M3859" s="79" t="s">
        <v>732</v>
      </c>
      <c r="N3859" s="79"/>
      <c r="O3859" s="79"/>
      <c r="P3859" s="19"/>
      <c r="Q3859" s="14"/>
      <c r="R3859" s="11"/>
    </row>
    <row r="3860" s="1" customFormat="1" ht="21.95" customHeight="1" spans="1:18">
      <c r="A3860" s="7"/>
      <c r="B3860" s="12"/>
      <c r="C3860" s="90"/>
      <c r="D3860" s="91"/>
      <c r="E3860" s="91"/>
      <c r="F3860" s="91"/>
      <c r="G3860" s="91"/>
      <c r="H3860" s="91"/>
      <c r="I3860" s="91"/>
      <c r="J3860" s="91"/>
      <c r="K3860" s="91"/>
      <c r="L3860" s="91"/>
      <c r="M3860" s="91"/>
      <c r="N3860" s="91"/>
      <c r="O3860" s="91"/>
      <c r="P3860" s="92"/>
      <c r="Q3860" s="14"/>
      <c r="R3860" s="11"/>
    </row>
    <row r="3861" s="1" customFormat="1" ht="5.1" customHeight="1" spans="1:18">
      <c r="A3861" s="7"/>
      <c r="B3861" s="90"/>
      <c r="C3861" s="91"/>
      <c r="D3861" s="91"/>
      <c r="E3861" s="91"/>
      <c r="F3861" s="91"/>
      <c r="G3861" s="91"/>
      <c r="H3861" s="91"/>
      <c r="I3861" s="91"/>
      <c r="J3861" s="91"/>
      <c r="K3861" s="91"/>
      <c r="L3861" s="91"/>
      <c r="M3861" s="91"/>
      <c r="N3861" s="91"/>
      <c r="O3861" s="91"/>
      <c r="P3861" s="91"/>
      <c r="Q3861" s="92"/>
      <c r="R3861" s="11"/>
    </row>
    <row r="3862" s="1" customFormat="1" ht="5.1" customHeight="1" spans="1:18">
      <c r="A3862" s="93"/>
      <c r="B3862" s="94"/>
      <c r="C3862" s="94"/>
      <c r="D3862" s="94"/>
      <c r="E3862" s="94"/>
      <c r="F3862" s="94"/>
      <c r="G3862" s="94"/>
      <c r="H3862" s="94"/>
      <c r="I3862" s="94"/>
      <c r="J3862" s="94"/>
      <c r="K3862" s="94"/>
      <c r="L3862" s="94"/>
      <c r="M3862" s="94"/>
      <c r="N3862" s="94"/>
      <c r="O3862" s="94"/>
      <c r="P3862" s="94"/>
      <c r="Q3862" s="94"/>
      <c r="R3862" s="95"/>
    </row>
    <row r="3863" s="1" customFormat="1" ht="21.95" customHeight="1"/>
    <row r="3864" ht="15.15"/>
    <row r="3865" s="1" customFormat="1" ht="5.1" customHeight="1" spans="1:18">
      <c r="A3865" s="4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  <c r="O3865" s="5"/>
      <c r="P3865" s="5"/>
      <c r="Q3865" s="5"/>
      <c r="R3865" s="6"/>
    </row>
    <row r="3866" s="1" customFormat="1" ht="15" customHeight="1" spans="1:18">
      <c r="A3866" s="7"/>
      <c r="B3866" s="8"/>
      <c r="C3866" s="9"/>
      <c r="D3866" s="9"/>
      <c r="E3866" s="9"/>
      <c r="F3866" s="9"/>
      <c r="G3866" s="9"/>
      <c r="H3866" s="9"/>
      <c r="I3866" s="9"/>
      <c r="J3866" s="9"/>
      <c r="K3866" s="9"/>
      <c r="L3866" s="9"/>
      <c r="M3866" s="9"/>
      <c r="N3866" s="9"/>
      <c r="O3866" s="9"/>
      <c r="P3866" s="9"/>
      <c r="Q3866" s="10"/>
      <c r="R3866" s="11"/>
    </row>
    <row r="3867" s="1" customFormat="1" ht="21.95" customHeight="1" spans="1:18">
      <c r="A3867" s="7"/>
      <c r="B3867" s="12"/>
      <c r="C3867" s="13" t="s">
        <v>7</v>
      </c>
      <c r="D3867" s="13"/>
      <c r="E3867" s="13"/>
      <c r="F3867" s="13"/>
      <c r="G3867" s="13"/>
      <c r="H3867" s="13"/>
      <c r="I3867" s="13"/>
      <c r="J3867" s="13"/>
      <c r="K3867" s="13"/>
      <c r="L3867" s="13"/>
      <c r="M3867" s="13"/>
      <c r="N3867" s="13"/>
      <c r="O3867" s="13"/>
      <c r="P3867" s="13"/>
      <c r="Q3867" s="14"/>
      <c r="R3867" s="11"/>
    </row>
    <row r="3868" s="1" customFormat="1" ht="21.95" customHeight="1" spans="1:18">
      <c r="A3868" s="7"/>
      <c r="B3868" s="1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14"/>
      <c r="R3868" s="11"/>
    </row>
    <row r="3869" s="1" customFormat="1" ht="21.95" customHeight="1" spans="1:18">
      <c r="A3869" s="7"/>
      <c r="B3869" s="12"/>
      <c r="C3869" s="15" t="str">
        <f>"SESSION-"&amp;ENTRY!$D$11</f>
        <v>SESSION-2026-27</v>
      </c>
      <c r="D3869" s="15"/>
      <c r="E3869" s="15"/>
      <c r="F3869" s="15"/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  <c r="Q3869" s="14"/>
      <c r="R3869" s="11"/>
    </row>
    <row r="3870" s="1" customFormat="1" ht="21.95" customHeight="1" spans="1:18">
      <c r="A3870" s="7"/>
      <c r="B3870" s="12"/>
      <c r="C3870" s="2"/>
      <c r="D3870" s="2"/>
      <c r="E3870" s="2"/>
      <c r="F3870" s="16">
        <f>F3814+1</f>
        <v>70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14"/>
      <c r="R3870" s="11"/>
    </row>
    <row r="3871" s="1" customFormat="1" ht="21.95" customHeight="1" spans="1:18">
      <c r="A3871" s="7"/>
      <c r="B3871" s="12"/>
      <c r="C3871" s="17" t="s">
        <v>392</v>
      </c>
      <c r="D3871" s="17"/>
      <c r="E3871" s="17"/>
      <c r="F3871" s="18" t="str">
        <f>IF(F3870&gt;0,ENTRY!$D$6,"")</f>
        <v>MCP NITHARI NO 1 BOYS</v>
      </c>
      <c r="G3871" s="18"/>
      <c r="H3871" s="18"/>
      <c r="I3871" s="18"/>
      <c r="J3871" s="18"/>
      <c r="K3871" s="18"/>
      <c r="L3871" s="18"/>
      <c r="M3871" s="18"/>
      <c r="N3871" s="18"/>
      <c r="O3871" s="18"/>
      <c r="P3871" s="18"/>
      <c r="Q3871" s="14"/>
      <c r="R3871" s="11"/>
    </row>
    <row r="3872" s="1" customFormat="1" ht="21.95" customHeight="1" spans="1:18">
      <c r="A3872" s="7"/>
      <c r="B3872" s="12"/>
      <c r="C3872" s="17" t="s">
        <v>393</v>
      </c>
      <c r="D3872" s="17"/>
      <c r="E3872" s="17"/>
      <c r="F3872" s="18">
        <f>IF(F3870&gt;0,ENTRY!$D$7,"")</f>
        <v>0</v>
      </c>
      <c r="G3872" s="18"/>
      <c r="H3872" s="20" t="s">
        <v>702</v>
      </c>
      <c r="I3872" s="20"/>
      <c r="J3872" s="21">
        <f>IF(F3870&gt;0,ENTRY!$D$10,"")</f>
        <v>40</v>
      </c>
      <c r="K3872" s="20" t="s">
        <v>703</v>
      </c>
      <c r="L3872" s="22" t="str">
        <f>IF(F3870&gt;0,ENTRY!$D$5,"")</f>
        <v>ROHINI ZONE</v>
      </c>
      <c r="M3872" s="22"/>
      <c r="N3872" s="22"/>
      <c r="O3872" s="22"/>
      <c r="P3872" s="22"/>
      <c r="Q3872" s="14"/>
      <c r="R3872" s="11"/>
    </row>
    <row r="3873" s="1" customFormat="1" ht="21.95" customHeight="1" spans="1:18">
      <c r="A3873" s="7"/>
      <c r="B3873" s="12"/>
      <c r="C3873" s="17" t="s">
        <v>706</v>
      </c>
      <c r="D3873" s="17"/>
      <c r="E3873" s="17"/>
      <c r="F3873" s="23">
        <f>IFERROR(VLOOKUP(F3870,STUDENT!$A$2:$BP$101,5,0),"")</f>
        <v>0</v>
      </c>
      <c r="G3873" s="23"/>
      <c r="H3873" s="23"/>
      <c r="I3873" s="23"/>
      <c r="J3873" s="23"/>
      <c r="K3873" s="23"/>
      <c r="L3873" s="20" t="s">
        <v>707</v>
      </c>
      <c r="M3873" s="20"/>
      <c r="N3873" s="24" t="str">
        <f>IF(F3870&gt;0,ENTRY!$D$20&amp;"-"&amp;ENTRY!$D$21,"")</f>
        <v>III-A</v>
      </c>
      <c r="O3873" s="24"/>
      <c r="P3873" s="24"/>
      <c r="Q3873" s="14"/>
      <c r="R3873" s="11"/>
    </row>
    <row r="3874" s="1" customFormat="1" ht="21.95" customHeight="1" spans="1:18">
      <c r="A3874" s="7"/>
      <c r="B3874" s="12"/>
      <c r="C3874" s="17" t="s">
        <v>708</v>
      </c>
      <c r="D3874" s="17"/>
      <c r="E3874" s="17"/>
      <c r="F3874" s="25">
        <f>IFERROR(VLOOKUP(F3870,STUDENT!$A$2:$BP$101,6,0),"")</f>
        <v>0</v>
      </c>
      <c r="G3874" s="25"/>
      <c r="H3874" s="26" t="s">
        <v>709</v>
      </c>
      <c r="I3874" s="27" t="str">
        <f>IFERROR(VLOOKUP(F3870,STUDENT!$A$2:$BP$101,59,0),"")</f>
        <v/>
      </c>
      <c r="J3874" s="27"/>
      <c r="K3874" s="20" t="s">
        <v>710</v>
      </c>
      <c r="L3874" s="20"/>
      <c r="M3874" s="28">
        <f>IFERROR(VLOOKUP(F3870,STUDENT!$A$2:$BP$101,20,0),"")</f>
        <v>0</v>
      </c>
      <c r="N3874" s="28"/>
      <c r="O3874" s="28"/>
      <c r="P3874" s="28"/>
      <c r="Q3874" s="14"/>
      <c r="R3874" s="11"/>
    </row>
    <row r="3875" s="1" customFormat="1" ht="21.95" customHeight="1" spans="1:18">
      <c r="A3875" s="7"/>
      <c r="B3875" s="12"/>
      <c r="C3875" s="17" t="s">
        <v>711</v>
      </c>
      <c r="D3875" s="17"/>
      <c r="E3875" s="17"/>
      <c r="F3875" s="23">
        <f>IFERROR(VLOOKUP(F3870,STUDENT!$A$2:$BP$101,9,0),"")</f>
        <v>0</v>
      </c>
      <c r="G3875" s="23"/>
      <c r="H3875" s="23"/>
      <c r="I3875" s="23"/>
      <c r="J3875" s="17" t="s">
        <v>620</v>
      </c>
      <c r="K3875" s="17"/>
      <c r="L3875" s="23">
        <f>IFERROR(VLOOKUP(F3870,STUDENT!$A$2:$BP$101,8,0),"")</f>
        <v>0</v>
      </c>
      <c r="M3875" s="23"/>
      <c r="N3875" s="23"/>
      <c r="O3875" s="23"/>
      <c r="P3875" s="23"/>
      <c r="Q3875" s="14"/>
      <c r="R3875" s="11"/>
    </row>
    <row r="3876" s="1" customFormat="1" ht="21.95" customHeight="1" spans="1:18">
      <c r="A3876" s="7"/>
      <c r="B3876" s="12"/>
      <c r="C3876" s="17" t="s">
        <v>712</v>
      </c>
      <c r="D3876" s="17"/>
      <c r="E3876" s="17"/>
      <c r="F3876" s="23">
        <f>IFERROR(VLOOKUP(F3870,STUDENT!$A$2:$BP$101,22,0),"")</f>
        <v>0</v>
      </c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14"/>
      <c r="R3876" s="11"/>
    </row>
    <row r="3877" s="1" customFormat="1" ht="9.95" customHeight="1" spans="1:18">
      <c r="A3877" s="7"/>
      <c r="B3877" s="12"/>
      <c r="C3877" s="29"/>
      <c r="D3877" s="29"/>
      <c r="E3877" s="29"/>
      <c r="F3877" s="29"/>
      <c r="G3877" s="29"/>
      <c r="H3877" s="29"/>
      <c r="I3877" s="29"/>
      <c r="J3877" s="29"/>
      <c r="K3877" s="29"/>
      <c r="L3877" s="29"/>
      <c r="M3877" s="29"/>
      <c r="N3877" s="29"/>
      <c r="O3877" s="29"/>
      <c r="P3877" s="29"/>
      <c r="Q3877" s="14"/>
      <c r="R3877" s="11"/>
    </row>
    <row r="3878" s="1" customFormat="1" ht="9.95" customHeight="1" spans="1:18">
      <c r="A3878" s="7"/>
      <c r="B3878" s="12"/>
      <c r="C3878" s="30"/>
      <c r="D3878" s="31"/>
      <c r="E3878" s="31"/>
      <c r="F3878" s="31"/>
      <c r="G3878" s="31"/>
      <c r="H3878" s="31"/>
      <c r="I3878" s="31"/>
      <c r="J3878" s="31"/>
      <c r="K3878" s="31"/>
      <c r="L3878" s="31"/>
      <c r="M3878" s="31"/>
      <c r="N3878" s="31"/>
      <c r="O3878" s="31"/>
      <c r="P3878" s="32"/>
      <c r="Q3878" s="14"/>
      <c r="R3878" s="11"/>
    </row>
    <row r="3879" s="1" customFormat="1" ht="21.95" customHeight="1" spans="1:18">
      <c r="A3879" s="7"/>
      <c r="B3879" s="12"/>
      <c r="C3879" s="33"/>
      <c r="D3879" s="34" t="s">
        <v>713</v>
      </c>
      <c r="E3879" s="20" t="s">
        <v>714</v>
      </c>
      <c r="F3879" s="35" t="str">
        <f>"Level - "&amp;IFERROR(VLOOKUP(F3870,FLN!$A$4:$K$103,9,0),"")</f>
        <v>Level - </v>
      </c>
      <c r="G3879" s="36"/>
      <c r="H3879" s="37" t="s">
        <v>715</v>
      </c>
      <c r="I3879" s="20"/>
      <c r="J3879" s="35" t="str">
        <f>"Level - "&amp;IFERROR(VLOOKUP(F3870,FLN!$A$4:$K$103,11,0),"")</f>
        <v>Level - </v>
      </c>
      <c r="K3879" s="36"/>
      <c r="L3879" s="37" t="s">
        <v>408</v>
      </c>
      <c r="M3879" s="20"/>
      <c r="N3879" s="35" t="str">
        <f>"Level - "&amp;IFERROR(VLOOKUP(F3870,FLN!$A$4:$K$103,10,0),"")</f>
        <v>Level - </v>
      </c>
      <c r="O3879" s="36"/>
      <c r="P3879" s="19"/>
      <c r="Q3879" s="14"/>
      <c r="R3879" s="11"/>
    </row>
    <row r="3880" s="1" customFormat="1" ht="21.95" customHeight="1" spans="1:18">
      <c r="A3880" s="7"/>
      <c r="B3880" s="12"/>
      <c r="C3880" s="33"/>
      <c r="D3880" s="38"/>
      <c r="E3880" s="20" t="s">
        <v>716</v>
      </c>
      <c r="F3880" s="18" t="str">
        <f>IF(L3894&gt;197,"PERFORMED WELL","")</f>
        <v/>
      </c>
      <c r="G3880" s="18"/>
      <c r="H3880" s="18"/>
      <c r="I3880" s="18"/>
      <c r="J3880" s="18"/>
      <c r="K3880" s="18"/>
      <c r="L3880" s="18"/>
      <c r="M3880" s="18"/>
      <c r="N3880" s="18"/>
      <c r="O3880" s="18"/>
      <c r="P3880" s="19"/>
      <c r="Q3880" s="14"/>
      <c r="R3880" s="11"/>
    </row>
    <row r="3881" s="1" customFormat="1" ht="9.95" customHeight="1" spans="1:18">
      <c r="A3881" s="7"/>
      <c r="B3881" s="12"/>
      <c r="C3881" s="39"/>
      <c r="D3881" s="40"/>
      <c r="E3881" s="40"/>
      <c r="F3881" s="40"/>
      <c r="G3881" s="40"/>
      <c r="H3881" s="40"/>
      <c r="I3881" s="40"/>
      <c r="J3881" s="40"/>
      <c r="K3881" s="40"/>
      <c r="L3881" s="40"/>
      <c r="M3881" s="40"/>
      <c r="N3881" s="40"/>
      <c r="O3881" s="40"/>
      <c r="P3881" s="41"/>
      <c r="Q3881" s="14"/>
      <c r="R3881" s="11"/>
    </row>
    <row r="3882" s="1" customFormat="1" ht="9.95" customHeight="1" spans="1:18">
      <c r="A3882" s="7"/>
      <c r="B3882" s="12"/>
      <c r="C3882" s="29"/>
      <c r="D3882" s="29"/>
      <c r="E3882" s="29"/>
      <c r="F3882" s="29"/>
      <c r="G3882" s="29"/>
      <c r="H3882" s="29"/>
      <c r="I3882" s="29"/>
      <c r="J3882" s="29"/>
      <c r="K3882" s="29"/>
      <c r="L3882" s="29"/>
      <c r="M3882" s="29"/>
      <c r="N3882" s="29"/>
      <c r="O3882" s="29"/>
      <c r="P3882" s="29"/>
      <c r="Q3882" s="14"/>
      <c r="R3882" s="11"/>
    </row>
    <row r="3883" s="1" customFormat="1" ht="9.95" customHeight="1" spans="1:18">
      <c r="A3883" s="7"/>
      <c r="B3883" s="12"/>
      <c r="C3883" s="30"/>
      <c r="D3883" s="31"/>
      <c r="E3883" s="31"/>
      <c r="F3883" s="31"/>
      <c r="G3883" s="31"/>
      <c r="H3883" s="31"/>
      <c r="I3883" s="31"/>
      <c r="J3883" s="31"/>
      <c r="K3883" s="31"/>
      <c r="L3883" s="31"/>
      <c r="M3883" s="31"/>
      <c r="N3883" s="31"/>
      <c r="O3883" s="31"/>
      <c r="P3883" s="32"/>
      <c r="Q3883" s="14"/>
      <c r="R3883" s="11"/>
    </row>
    <row r="3884" s="1" customFormat="1" ht="21.95" customHeight="1" spans="1:18">
      <c r="A3884" s="7"/>
      <c r="B3884" s="12"/>
      <c r="C3884" s="33"/>
      <c r="D3884" s="35"/>
      <c r="E3884" s="24"/>
      <c r="F3884" s="24"/>
      <c r="G3884" s="47" t="s">
        <v>717</v>
      </c>
      <c r="H3884" s="47"/>
      <c r="I3884" s="47"/>
      <c r="J3884" s="47"/>
      <c r="K3884" s="47"/>
      <c r="L3884" s="47"/>
      <c r="M3884" s="47"/>
      <c r="N3884" s="47"/>
      <c r="O3884" s="29"/>
      <c r="P3884" s="19"/>
      <c r="Q3884" s="14"/>
      <c r="R3884" s="11"/>
    </row>
    <row r="3885" s="1" customFormat="1" ht="21.95" customHeight="1" spans="1:18">
      <c r="A3885" s="7"/>
      <c r="B3885" s="12"/>
      <c r="C3885" s="33"/>
      <c r="D3885" s="47"/>
      <c r="E3885" s="47"/>
      <c r="F3885" s="47"/>
      <c r="G3885" s="47" t="s">
        <v>541</v>
      </c>
      <c r="H3885" s="47" t="s">
        <v>542</v>
      </c>
      <c r="I3885" s="47" t="s">
        <v>543</v>
      </c>
      <c r="J3885" s="47" t="s">
        <v>544</v>
      </c>
      <c r="K3885" s="47" t="s">
        <v>561</v>
      </c>
      <c r="L3885" s="47" t="s">
        <v>382</v>
      </c>
      <c r="M3885" s="49" t="s">
        <v>546</v>
      </c>
      <c r="N3885" s="49"/>
      <c r="O3885" s="29"/>
      <c r="P3885" s="19"/>
      <c r="Q3885" s="14"/>
      <c r="R3885" s="11"/>
    </row>
    <row r="3886" s="1" customFormat="1" ht="21.95" customHeight="1" spans="1:18">
      <c r="A3886" s="7"/>
      <c r="B3886" s="12"/>
      <c r="C3886" s="33"/>
      <c r="D3886" s="207" t="s">
        <v>652</v>
      </c>
      <c r="E3886" s="207"/>
      <c r="F3886" s="207"/>
      <c r="G3886" s="50">
        <v>10</v>
      </c>
      <c r="H3886" s="50">
        <v>10</v>
      </c>
      <c r="I3886" s="50">
        <v>10</v>
      </c>
      <c r="J3886" s="50">
        <v>10</v>
      </c>
      <c r="K3886" s="50">
        <v>60</v>
      </c>
      <c r="L3886" s="50">
        <v>100</v>
      </c>
      <c r="M3886" s="49"/>
      <c r="N3886" s="49"/>
      <c r="O3886" s="29"/>
      <c r="P3886" s="19"/>
      <c r="Q3886" s="14"/>
      <c r="R3886" s="11"/>
    </row>
    <row r="3887" s="1" customFormat="1" ht="21.95" customHeight="1" spans="1:18">
      <c r="A3887" s="7"/>
      <c r="B3887" s="12"/>
      <c r="C3887" s="33"/>
      <c r="D3887" s="117" t="s">
        <v>668</v>
      </c>
      <c r="E3887" s="117"/>
      <c r="F3887" s="117"/>
      <c r="G3887" s="54" t="str">
        <f>IFERROR(VLOOKUP(F3870,'1to4-2.1-RR'!$A$12:$BG$111,9,0),"")</f>
        <v/>
      </c>
      <c r="H3887" s="54" t="str">
        <f>IFERROR(VLOOKUP(F3870,'1to4-2.1-RR'!$A$12:$BG$111,10,0),"")</f>
        <v/>
      </c>
      <c r="I3887" s="54" t="str">
        <f>IFERROR(VLOOKUP(F3870,'1to4-2.1-RR'!$A$12:$BG$111,11,0),"")</f>
        <v/>
      </c>
      <c r="J3887" s="54" t="str">
        <f>IFERROR(VLOOKUP(F3870,'1to4-2.1-RR'!$A$12:$BG$111,12,0),"")</f>
        <v/>
      </c>
      <c r="K3887" s="54" t="str">
        <f>IFERROR(VLOOKUP(F3870,'1to4-2.1-RR'!$A$12:$BG$111,13,0),"")</f>
        <v/>
      </c>
      <c r="L3887" s="55">
        <f>SUM(G3887:K3887)</f>
        <v>0</v>
      </c>
      <c r="M3887" s="56" t="str">
        <f>IF(F3870&gt;ENTRY!$D$24,"",IF(L3887=0,"Ab",IF(L3887&gt;80,"A",IF(L3887&gt;60,"B",IF(L3887&gt;44,"C",IF(L3887&gt;=33,"D",IF(L3887&lt;=32,"E","")))))))</f>
        <v/>
      </c>
      <c r="N3887" s="56"/>
      <c r="O3887" s="29"/>
      <c r="P3887" s="19"/>
      <c r="Q3887" s="14"/>
      <c r="R3887" s="11"/>
    </row>
    <row r="3888" s="1" customFormat="1" ht="21.95" customHeight="1" spans="1:18">
      <c r="A3888" s="7"/>
      <c r="B3888" s="12"/>
      <c r="C3888" s="33"/>
      <c r="D3888" s="117" t="s">
        <v>513</v>
      </c>
      <c r="E3888" s="117"/>
      <c r="F3888" s="117"/>
      <c r="G3888" s="54" t="str">
        <f>IFERROR(VLOOKUP(F3870,'1to4-2.1-RR'!$A$12:$BG$111,16,0),"")</f>
        <v/>
      </c>
      <c r="H3888" s="54" t="str">
        <f>IFERROR(VLOOKUP(F3870,'1to4-2.1-RR'!$A$12:$BG$111,17,0),"")</f>
        <v/>
      </c>
      <c r="I3888" s="54" t="str">
        <f>IFERROR(VLOOKUP(F3870,'1to4-2.1-RR'!$A$12:$BG$111,18,0),"")</f>
        <v/>
      </c>
      <c r="J3888" s="54" t="str">
        <f>IFERROR(VLOOKUP(F3870,'1to4-2.1-RR'!$A$12:$BG$111,19,0),"")</f>
        <v/>
      </c>
      <c r="K3888" s="54" t="str">
        <f>IFERROR(VLOOKUP(F3870,'1to4-2.1-RR'!$A$12:$BG$111,20,0),"")</f>
        <v/>
      </c>
      <c r="L3888" s="55">
        <f t="shared" ref="L3888:L3893" si="138">SUM(G3888:K3888)</f>
        <v>0</v>
      </c>
      <c r="M3888" s="56" t="str">
        <f>IF(F3870&gt;ENTRY!$D$24,"",IF(L3888=0,"Ab",IF(L3888&gt;80,"A",IF(L3888&gt;60,"B",IF(L3888&gt;44,"C",IF(L3888&gt;=33,"D",IF(L3888&lt;=32,"E","")))))))</f>
        <v/>
      </c>
      <c r="N3888" s="56"/>
      <c r="O3888" s="29"/>
      <c r="P3888" s="19"/>
      <c r="Q3888" s="14"/>
      <c r="R3888" s="11"/>
    </row>
    <row r="3889" s="1" customFormat="1" ht="21.95" customHeight="1" spans="1:19">
      <c r="A3889" s="7"/>
      <c r="B3889" s="12"/>
      <c r="C3889" s="33"/>
      <c r="D3889" s="117" t="s">
        <v>718</v>
      </c>
      <c r="E3889" s="117"/>
      <c r="F3889" s="117"/>
      <c r="G3889" s="54" t="str">
        <f>IFERROR(VLOOKUP(F3870,'1to4-2.1-RR'!$A$12:$BG$111,23,0),"")</f>
        <v/>
      </c>
      <c r="H3889" s="54" t="str">
        <f>IFERROR(VLOOKUP(F3870,'1to4-2.1-RR'!$A$12:$BG$111,24,0),"")</f>
        <v/>
      </c>
      <c r="I3889" s="54" t="str">
        <f>IFERROR(VLOOKUP(F3870,'1to4-2.1-RR'!$A$12:$BG$111,25,0),"")</f>
        <v/>
      </c>
      <c r="J3889" s="54" t="str">
        <f>IFERROR(VLOOKUP(F3870,'1to4-2.1-RR'!$A$12:$BG$111,26,0),"")</f>
        <v/>
      </c>
      <c r="K3889" s="54" t="str">
        <f>IFERROR(VLOOKUP(F3870,'1to4-2.1-RR'!$A$12:$BG$111,27,0),"")</f>
        <v/>
      </c>
      <c r="L3889" s="55">
        <f t="shared" si="138"/>
        <v>0</v>
      </c>
      <c r="M3889" s="56" t="str">
        <f>IF(F3870&gt;ENTRY!$D$24,"",IF(L3889=0,"Ab",IF(L3889&gt;80,"A",IF(L3889&gt;60,"B",IF(L3889&gt;44,"C",IF(L3889&gt;=33,"D",IF(L3889&lt;=32,"E","")))))))</f>
        <v/>
      </c>
      <c r="N3889" s="56"/>
      <c r="O3889" s="29"/>
      <c r="P3889" s="19"/>
      <c r="Q3889" s="14"/>
      <c r="R3889" s="11"/>
    </row>
    <row r="3890" s="1" customFormat="1" ht="21.95" customHeight="1" spans="1:19">
      <c r="A3890" s="7"/>
      <c r="B3890" s="12"/>
      <c r="C3890" s="33"/>
      <c r="D3890" s="117" t="s">
        <v>719</v>
      </c>
      <c r="E3890" s="117"/>
      <c r="F3890" s="117"/>
      <c r="G3890" s="54" t="str">
        <f>IFERROR(VLOOKUP(F3870,'1to4-2.1-RR'!$A$12:$BG$111,30,0),"")</f>
        <v/>
      </c>
      <c r="H3890" s="54" t="str">
        <f>IFERROR(VLOOKUP(F3870,'1to4-2.1-RR'!$A$12:$BG$111,31,0),"")</f>
        <v/>
      </c>
      <c r="I3890" s="54" t="str">
        <f>IFERROR(VLOOKUP(F3870,'1to4-2.1-RR'!$A$12:$BG$111,32,0),"")</f>
        <v/>
      </c>
      <c r="J3890" s="54" t="str">
        <f>IFERROR(VLOOKUP(F3870,'1to4-2.1-RR'!$A$12:$BG$111,33,0),"")</f>
        <v/>
      </c>
      <c r="K3890" s="54" t="str">
        <f>IFERROR(VLOOKUP(F3870,'1to4-2.1-RR'!$A$12:$BG$111,34,0),"")</f>
        <v/>
      </c>
      <c r="L3890" s="55">
        <f t="shared" si="138"/>
        <v>0</v>
      </c>
      <c r="M3890" s="56" t="str">
        <f>IF(F3870&gt;ENTRY!$D$24,"",IF(L3890=0,"Ab",IF(L3890&gt;80,"A",IF(L3890&gt;60,"B",IF(L3890&gt;44,"C",IF(L3890&gt;=33,"D",IF(L3890&lt;=32,"E","")))))))</f>
        <v/>
      </c>
      <c r="N3890" s="56"/>
      <c r="O3890" s="29"/>
      <c r="P3890" s="19"/>
      <c r="Q3890" s="14"/>
      <c r="R3890" s="11"/>
    </row>
    <row r="3891" s="1" customFormat="1" ht="21.95" customHeight="1" spans="1:19">
      <c r="A3891" s="7"/>
      <c r="B3891" s="12"/>
      <c r="C3891" s="33"/>
      <c r="D3891" s="117" t="s">
        <v>548</v>
      </c>
      <c r="E3891" s="117"/>
      <c r="F3891" s="117"/>
      <c r="G3891" s="54" t="str">
        <f>IFERROR(VLOOKUP(F3870,'1to4-2.1-RR'!$A$12:$BG$111,37,0),"")</f>
        <v/>
      </c>
      <c r="H3891" s="54" t="str">
        <f>IFERROR(VLOOKUP(F3870,'1to4-2.1-RR'!$A$12:$BG$111,38,0),"")</f>
        <v/>
      </c>
      <c r="I3891" s="54" t="str">
        <f>IFERROR(VLOOKUP(F3870,'1to4-2.1-RR'!$A$12:$BG$111,39,0),"")</f>
        <v/>
      </c>
      <c r="J3891" s="54" t="str">
        <f>IFERROR(VLOOKUP(F3870,'1to4-2.1-RR'!$A$12:$BG$111,40,0),"")</f>
        <v/>
      </c>
      <c r="K3891" s="54" t="str">
        <f>IFERROR(VLOOKUP(F3870,'1to4-2.1-RR'!$A$12:$BG$111,41,0),"")</f>
        <v/>
      </c>
      <c r="L3891" s="55">
        <f t="shared" si="138"/>
        <v>0</v>
      </c>
      <c r="M3891" s="56" t="str">
        <f>IF(F3870&gt;ENTRY!$D$24,"",IF(L3891=0,"Ab",IF(L3891&gt;80,"A",IF(L3891&gt;60,"B",IF(L3891&gt;44,"C",IF(L3891&gt;=33,"D",IF(L3891&lt;=32,"E","")))))))</f>
        <v/>
      </c>
      <c r="N3891" s="56"/>
      <c r="O3891" s="29"/>
      <c r="P3891" s="19"/>
      <c r="Q3891" s="14"/>
      <c r="R3891" s="11"/>
    </row>
    <row r="3892" s="1" customFormat="1" ht="21.95" customHeight="1" spans="1:19">
      <c r="A3892" s="7"/>
      <c r="B3892" s="12"/>
      <c r="C3892" s="33"/>
      <c r="D3892" s="117" t="s">
        <v>549</v>
      </c>
      <c r="E3892" s="117"/>
      <c r="F3892" s="117"/>
      <c r="G3892" s="54" t="str">
        <f>IFERROR(VLOOKUP(F3870,'1to4-2.1-RR'!$A$12:$BG$111,44,0),"")</f>
        <v/>
      </c>
      <c r="H3892" s="54" t="str">
        <f>IFERROR(VLOOKUP(F3870,'1to4-2.1-RR'!$A$12:$BG$111,45,0),"")</f>
        <v/>
      </c>
      <c r="I3892" s="54" t="str">
        <f>IFERROR(VLOOKUP(F3870,'1to4-2.1-RR'!$A$12:$BG$111,46,0),"")</f>
        <v/>
      </c>
      <c r="J3892" s="54" t="str">
        <f>IFERROR(VLOOKUP(F3870,'1to4-2.1-RR'!$A$12:$BG$111,47,0),"")</f>
        <v/>
      </c>
      <c r="K3892" s="54" t="str">
        <f>IFERROR(VLOOKUP(F3870,'1to4-2.1-RR'!$A$12:$BG$111,48,0),"")</f>
        <v/>
      </c>
      <c r="L3892" s="55">
        <f t="shared" si="138"/>
        <v>0</v>
      </c>
      <c r="M3892" s="56" t="str">
        <f>IF(F3870&gt;ENTRY!$D$24,"",IF(L3892=0,"Ab",IF(L3892&gt;80,"A",IF(L3892&gt;60,"B",IF(L3892&gt;44,"C",IF(L3892&gt;=33,"D",IF(L3892&lt;=32,"E","")))))))</f>
        <v/>
      </c>
      <c r="N3892" s="56"/>
      <c r="O3892" s="29"/>
      <c r="P3892" s="19"/>
      <c r="Q3892" s="14"/>
      <c r="R3892" s="11"/>
    </row>
    <row r="3893" s="1" customFormat="1" ht="21.95" customHeight="1" spans="1:19">
      <c r="A3893" s="7"/>
      <c r="B3893" s="12"/>
      <c r="C3893" s="33"/>
      <c r="D3893" s="117" t="s">
        <v>720</v>
      </c>
      <c r="E3893" s="117"/>
      <c r="F3893" s="117"/>
      <c r="G3893" s="54"/>
      <c r="H3893" s="54"/>
      <c r="I3893" s="54"/>
      <c r="J3893" s="54"/>
      <c r="K3893" s="54"/>
      <c r="L3893" s="55">
        <f t="shared" si="138"/>
        <v>0</v>
      </c>
      <c r="M3893" s="56" t="str">
        <f>IF(F3870&gt;ENTRY!$D$24,"",IF(L3893=0,"",IF(L3893&gt;79,"A",IF(L3893&gt;59,"B",IF(L3893&gt;44,"C",IF(L3893&gt;=33,"D",IF(L3893&lt;=32,"E","")))))))</f>
        <v/>
      </c>
      <c r="N3893" s="56"/>
      <c r="O3893" s="29"/>
      <c r="P3893" s="19"/>
      <c r="Q3893" s="14"/>
      <c r="R3893" s="11"/>
    </row>
    <row r="3894" s="1" customFormat="1" ht="21.95" customHeight="1" spans="1:19">
      <c r="A3894" s="7"/>
      <c r="B3894" s="12"/>
      <c r="C3894" s="33"/>
      <c r="D3894" s="207" t="s">
        <v>382</v>
      </c>
      <c r="E3894" s="207"/>
      <c r="F3894" s="207"/>
      <c r="G3894" s="54">
        <f t="shared" ref="G3894:L3894" si="139">IFERROR(SUM(G3887:G3893),"")</f>
        <v>0</v>
      </c>
      <c r="H3894" s="54">
        <f t="shared" si="139"/>
        <v>0</v>
      </c>
      <c r="I3894" s="54">
        <f t="shared" si="139"/>
        <v>0</v>
      </c>
      <c r="J3894" s="54">
        <f t="shared" si="139"/>
        <v>0</v>
      </c>
      <c r="K3894" s="54">
        <f t="shared" si="139"/>
        <v>0</v>
      </c>
      <c r="L3894" s="55">
        <f t="shared" si="139"/>
        <v>0</v>
      </c>
      <c r="M3894" s="61" t="str">
        <f>IF(F3870&gt;ENTRY!$D$24,"",IF(N3895="Ab","Ab",IF(N3895&gt;79.5,"A",IF(N3895&gt;59.5,"B",IF(N3895&gt;44.5,"C",IF(N3895&gt;=33,"D",IF(N3895&lt;33,"E","")))))))</f>
        <v/>
      </c>
      <c r="N3894" s="61"/>
      <c r="O3894" s="29"/>
      <c r="P3894" s="19"/>
      <c r="Q3894" s="14"/>
      <c r="R3894" s="11"/>
    </row>
    <row r="3895" s="1" customFormat="1" ht="21.95" customHeight="1" spans="1:19">
      <c r="A3895" s="7"/>
      <c r="B3895" s="12"/>
      <c r="C3895" s="33"/>
      <c r="D3895" s="63" t="s">
        <v>721</v>
      </c>
      <c r="E3895" s="63"/>
      <c r="F3895" s="63"/>
      <c r="G3895" s="63"/>
      <c r="H3895" s="63"/>
      <c r="I3895" s="63"/>
      <c r="J3895" s="63"/>
      <c r="K3895" s="63"/>
      <c r="L3895" s="63"/>
      <c r="M3895" s="209"/>
      <c r="N3895" s="64">
        <f>IF(L3894="Ab","Ab",L3894/6)</f>
        <v>0</v>
      </c>
      <c r="O3895" s="65"/>
      <c r="P3895" s="19"/>
      <c r="Q3895" s="14"/>
      <c r="R3895" s="11"/>
    </row>
    <row r="3896" s="1" customFormat="1" ht="21.95" customHeight="1" spans="1:19">
      <c r="A3896" s="7"/>
      <c r="B3896" s="12"/>
      <c r="C3896" s="33"/>
      <c r="D3896" s="29" t="s">
        <v>716</v>
      </c>
      <c r="E3896" s="18" t="str">
        <f>IFERROR(VLOOKUP(F3870,'1to4-2.1-RR'!$A$12:$BG$111,57,0),"")</f>
        <v/>
      </c>
      <c r="F3896" s="18"/>
      <c r="G3896" s="18"/>
      <c r="H3896" s="18"/>
      <c r="I3896" s="18"/>
      <c r="J3896" s="18"/>
      <c r="K3896" s="18"/>
      <c r="L3896" s="18"/>
      <c r="M3896" s="18"/>
      <c r="N3896" s="29"/>
      <c r="O3896" s="29"/>
      <c r="P3896" s="19"/>
      <c r="Q3896" s="14"/>
      <c r="R3896" s="11"/>
    </row>
    <row r="3897" s="1" customFormat="1" ht="9.95" customHeight="1" spans="1:19">
      <c r="A3897" s="7"/>
      <c r="B3897" s="12"/>
      <c r="C3897" s="39"/>
      <c r="D3897" s="40"/>
      <c r="E3897" s="40"/>
      <c r="F3897" s="40"/>
      <c r="G3897" s="40"/>
      <c r="H3897" s="40"/>
      <c r="I3897" s="40"/>
      <c r="J3897" s="40"/>
      <c r="K3897" s="40"/>
      <c r="L3897" s="40"/>
      <c r="M3897" s="40"/>
      <c r="N3897" s="40"/>
      <c r="O3897" s="40"/>
      <c r="P3897" s="41"/>
      <c r="Q3897" s="14"/>
      <c r="R3897" s="11"/>
    </row>
    <row r="3898" s="1" customFormat="1" ht="9.95" customHeight="1" spans="1:19">
      <c r="A3898" s="7"/>
      <c r="B3898" s="12"/>
      <c r="C3898" s="30"/>
      <c r="D3898" s="31"/>
      <c r="E3898" s="31"/>
      <c r="F3898" s="29"/>
      <c r="G3898" s="31"/>
      <c r="H3898" s="31"/>
      <c r="I3898" s="31"/>
      <c r="J3898" s="31"/>
      <c r="K3898" s="31"/>
      <c r="L3898" s="31"/>
      <c r="M3898" s="31"/>
      <c r="N3898" s="31"/>
      <c r="O3898" s="31"/>
      <c r="P3898" s="32"/>
      <c r="Q3898" s="14"/>
      <c r="R3898" s="11"/>
    </row>
    <row r="3899" s="1" customFormat="1" ht="9.95" customHeight="1" spans="1:19">
      <c r="A3899" s="7"/>
      <c r="B3899" s="12"/>
      <c r="C3899" s="33"/>
      <c r="D3899" s="29"/>
      <c r="E3899" s="29"/>
      <c r="F3899" s="29"/>
      <c r="G3899" s="29"/>
      <c r="H3899" s="29"/>
      <c r="I3899" s="29"/>
      <c r="J3899" s="29"/>
      <c r="K3899" s="29"/>
      <c r="L3899" s="29"/>
      <c r="M3899" s="29"/>
      <c r="N3899" s="29"/>
      <c r="O3899" s="29"/>
      <c r="P3899" s="19"/>
      <c r="Q3899" s="14"/>
      <c r="R3899" s="11"/>
    </row>
    <row r="3900" s="1" customFormat="1" ht="9.95" customHeight="1" spans="1:19">
      <c r="A3900" s="7"/>
      <c r="B3900" s="12"/>
      <c r="C3900" s="33"/>
      <c r="D3900" s="29"/>
      <c r="E3900" s="29"/>
      <c r="F3900" s="29"/>
      <c r="G3900" s="29"/>
      <c r="H3900" s="29"/>
      <c r="I3900" s="29"/>
      <c r="J3900" s="29"/>
      <c r="K3900" s="29"/>
      <c r="L3900" s="29"/>
      <c r="M3900" s="29"/>
      <c r="N3900" s="29"/>
      <c r="O3900" s="29"/>
      <c r="P3900" s="19"/>
      <c r="Q3900" s="14"/>
      <c r="R3900" s="11"/>
    </row>
    <row r="3901" s="1" customFormat="1" ht="21.95" customHeight="1" spans="1:19">
      <c r="A3901" s="7"/>
      <c r="B3901" s="12"/>
      <c r="C3901" s="210"/>
      <c r="D3901" s="211"/>
      <c r="E3901" s="211"/>
      <c r="F3901" s="211"/>
      <c r="G3901" s="211"/>
      <c r="H3901" s="211"/>
      <c r="I3901" s="211"/>
      <c r="J3901" s="211"/>
      <c r="K3901" s="211"/>
      <c r="L3901" s="211"/>
      <c r="M3901" s="211"/>
      <c r="N3901" s="211"/>
      <c r="O3901" s="211"/>
      <c r="P3901" s="212"/>
      <c r="Q3901" s="14"/>
      <c r="R3901" s="11"/>
      <c r="S3901" s="2"/>
    </row>
    <row r="3902" s="1" customFormat="1" ht="21.95" customHeight="1" spans="1:19">
      <c r="A3902" s="7"/>
      <c r="B3902" s="12"/>
      <c r="C3902" s="33"/>
      <c r="D3902" s="207" t="s">
        <v>722</v>
      </c>
      <c r="E3902" s="207"/>
      <c r="F3902" s="207"/>
      <c r="G3902" s="207"/>
      <c r="H3902" s="54">
        <f>IFERROR(VLOOKUP(F3870,PASHEET!$A$4:$CJ$103,88,0),"")</f>
        <v>0</v>
      </c>
      <c r="I3902" s="54"/>
      <c r="J3902" s="29"/>
      <c r="K3902" s="29"/>
      <c r="L3902" s="29"/>
      <c r="M3902" s="29"/>
      <c r="N3902" s="29"/>
      <c r="O3902" s="29"/>
      <c r="P3902" s="19"/>
      <c r="Q3902" s="14"/>
      <c r="R3902" s="11"/>
    </row>
    <row r="3903" s="1" customFormat="1" ht="21.95" customHeight="1" spans="1:19">
      <c r="A3903" s="7"/>
      <c r="B3903" s="12"/>
      <c r="C3903" s="213"/>
      <c r="D3903" s="207" t="s">
        <v>723</v>
      </c>
      <c r="E3903" s="207"/>
      <c r="F3903" s="207"/>
      <c r="G3903" s="207"/>
      <c r="H3903" s="54">
        <f>IFERROR(VLOOKUP(F3870,PASHEET!$A$4:$CJ$103,87,0),"")</f>
        <v>0</v>
      </c>
      <c r="I3903" s="54"/>
      <c r="J3903" s="214"/>
      <c r="K3903" s="214"/>
      <c r="L3903" s="207" t="s">
        <v>724</v>
      </c>
      <c r="M3903" s="207"/>
      <c r="N3903" s="117" t="str">
        <f>IF(F3870&gt;ENTRY!$D$24,"",IF(F3870&gt;0,L3894&amp;" / "&amp;600,""))</f>
        <v/>
      </c>
      <c r="O3903" s="117"/>
      <c r="P3903" s="215"/>
      <c r="Q3903" s="14"/>
      <c r="R3903" s="11"/>
    </row>
    <row r="3904" s="1" customFormat="1" ht="18" customHeight="1" spans="1:19">
      <c r="A3904" s="7"/>
      <c r="B3904" s="12"/>
      <c r="C3904" s="33"/>
      <c r="D3904" s="207" t="s">
        <v>725</v>
      </c>
      <c r="E3904" s="207"/>
      <c r="F3904" s="207"/>
      <c r="G3904" s="207"/>
      <c r="H3904" s="69" t="str">
        <f>IFERROR(IF(F3870&gt;0,H3903/H3902*100),"")</f>
        <v/>
      </c>
      <c r="I3904" s="69"/>
      <c r="J3904" s="29"/>
      <c r="K3904" s="29"/>
      <c r="L3904" s="207" t="s">
        <v>726</v>
      </c>
      <c r="M3904" s="207"/>
      <c r="N3904" s="216" t="str">
        <f>IF(F3870&gt;ENTRY!$D$24,"",IF(F3870&gt;0,L3894/600*100,""))</f>
        <v/>
      </c>
      <c r="O3904" s="216"/>
      <c r="P3904" s="19"/>
      <c r="Q3904" s="14"/>
      <c r="R3904" s="11"/>
    </row>
    <row r="3905" s="1" customFormat="1" ht="21.95" customHeight="1" spans="1:18">
      <c r="A3905" s="7"/>
      <c r="B3905" s="12"/>
      <c r="C3905" s="33"/>
      <c r="D3905" s="80"/>
      <c r="E3905" s="80"/>
      <c r="F3905" s="217"/>
      <c r="G3905" s="217"/>
      <c r="H3905" s="217"/>
      <c r="I3905" s="217"/>
      <c r="J3905" s="217"/>
      <c r="K3905" s="217"/>
      <c r="L3905" s="217"/>
      <c r="M3905" s="217"/>
      <c r="N3905" s="80"/>
      <c r="O3905" s="80"/>
      <c r="P3905" s="19"/>
      <c r="Q3905" s="14"/>
      <c r="R3905" s="11"/>
    </row>
    <row r="3906" s="1" customFormat="1" ht="21.95" customHeight="1" spans="1:18">
      <c r="A3906" s="7"/>
      <c r="B3906" s="12"/>
      <c r="C3906" s="33"/>
      <c r="D3906" s="80"/>
      <c r="E3906" s="218"/>
      <c r="F3906" s="218"/>
      <c r="G3906" s="218"/>
      <c r="H3906" s="80"/>
      <c r="I3906" s="218"/>
      <c r="J3906" s="218"/>
      <c r="K3906" s="218"/>
      <c r="L3906" s="218"/>
      <c r="M3906" s="80"/>
      <c r="N3906" s="219"/>
      <c r="O3906" s="219"/>
      <c r="P3906" s="19"/>
      <c r="Q3906" s="14"/>
      <c r="R3906" s="11"/>
    </row>
    <row r="3907" s="1" customFormat="1" ht="21.95" customHeight="1" spans="1:18">
      <c r="A3907" s="7"/>
      <c r="B3907" s="12"/>
      <c r="C3907" s="33"/>
      <c r="D3907" s="80"/>
      <c r="E3907" s="80"/>
      <c r="F3907" s="80"/>
      <c r="G3907" s="80"/>
      <c r="H3907" s="80"/>
      <c r="I3907" s="80"/>
      <c r="J3907" s="80"/>
      <c r="K3907" s="80"/>
      <c r="L3907" s="80"/>
      <c r="M3907" s="80"/>
      <c r="N3907" s="80"/>
      <c r="O3907" s="80"/>
      <c r="P3907" s="19"/>
      <c r="Q3907" s="14"/>
      <c r="R3907" s="11"/>
    </row>
    <row r="3908" s="1" customFormat="1" ht="21.95" customHeight="1" spans="1:18">
      <c r="A3908" s="7"/>
      <c r="B3908" s="12"/>
      <c r="C3908" s="33"/>
      <c r="D3908" s="218"/>
      <c r="E3908" s="218"/>
      <c r="F3908" s="218"/>
      <c r="G3908" s="218"/>
      <c r="H3908" s="218"/>
      <c r="I3908" s="218"/>
      <c r="J3908" s="218"/>
      <c r="K3908" s="218"/>
      <c r="L3908" s="218"/>
      <c r="M3908" s="80"/>
      <c r="N3908" s="217"/>
      <c r="O3908" s="217"/>
      <c r="P3908" s="85" t="s">
        <v>727</v>
      </c>
      <c r="Q3908" s="14"/>
      <c r="R3908" s="11"/>
    </row>
    <row r="3909" s="1" customFormat="1" ht="21.95" customHeight="1" spans="1:18">
      <c r="A3909" s="7"/>
      <c r="B3909" s="12"/>
      <c r="C3909" s="33"/>
      <c r="D3909" s="29"/>
      <c r="E3909" s="29"/>
      <c r="F3909" s="29"/>
      <c r="G3909" s="29"/>
      <c r="H3909" s="29"/>
      <c r="I3909" s="29"/>
      <c r="J3909" s="29"/>
      <c r="K3909" s="29"/>
      <c r="L3909" s="29"/>
      <c r="M3909" s="29"/>
      <c r="N3909" s="29"/>
      <c r="O3909" s="29"/>
      <c r="P3909" s="19"/>
      <c r="Q3909" s="14"/>
      <c r="R3909" s="11"/>
    </row>
    <row r="3910" s="1" customFormat="1" ht="21.95" customHeight="1" spans="1:18">
      <c r="A3910" s="7"/>
      <c r="B3910" s="12"/>
      <c r="C3910" s="33"/>
      <c r="D3910" s="29"/>
      <c r="E3910" s="29"/>
      <c r="F3910" s="29"/>
      <c r="G3910" s="29"/>
      <c r="H3910" s="29"/>
      <c r="I3910" s="29"/>
      <c r="J3910" s="29"/>
      <c r="K3910" s="29"/>
      <c r="L3910" s="29"/>
      <c r="M3910" s="29"/>
      <c r="N3910" s="29"/>
      <c r="O3910" s="29"/>
      <c r="P3910" s="19"/>
      <c r="Q3910" s="14"/>
      <c r="R3910" s="11"/>
    </row>
    <row r="3911" s="1" customFormat="1" ht="21.95" customHeight="1" spans="1:18">
      <c r="A3911" s="7"/>
      <c r="B3911" s="12"/>
      <c r="C3911" s="33"/>
      <c r="D3911" s="29"/>
      <c r="E3911" s="29"/>
      <c r="F3911" s="29"/>
      <c r="G3911" s="29"/>
      <c r="H3911" s="29"/>
      <c r="I3911" s="29"/>
      <c r="J3911" s="29"/>
      <c r="K3911" s="29"/>
      <c r="L3911" s="29"/>
      <c r="M3911" s="29"/>
      <c r="N3911" s="29"/>
      <c r="O3911" s="29"/>
      <c r="P3911" s="19"/>
      <c r="Q3911" s="14"/>
      <c r="R3911" s="11"/>
    </row>
    <row r="3912" s="1" customFormat="1" ht="21.95" customHeight="1" spans="1:18">
      <c r="A3912" s="7"/>
      <c r="B3912" s="12"/>
      <c r="C3912" s="33"/>
      <c r="D3912" s="29"/>
      <c r="E3912" s="29"/>
      <c r="F3912" s="29"/>
      <c r="G3912" s="29"/>
      <c r="H3912" s="29"/>
      <c r="I3912" s="29"/>
      <c r="J3912" s="29"/>
      <c r="K3912" s="29"/>
      <c r="L3912" s="29"/>
      <c r="M3912" s="29"/>
      <c r="N3912" s="29"/>
      <c r="O3912" s="29"/>
      <c r="P3912" s="19"/>
      <c r="Q3912" s="14"/>
      <c r="R3912" s="11"/>
    </row>
    <row r="3913" s="1" customFormat="1" ht="21.95" customHeight="1" spans="1:18">
      <c r="A3913" s="7"/>
      <c r="B3913" s="12"/>
      <c r="C3913" s="33"/>
      <c r="D3913" s="29"/>
      <c r="E3913" s="29"/>
      <c r="F3913" s="29"/>
      <c r="G3913" s="29"/>
      <c r="H3913" s="29"/>
      <c r="I3913" s="29"/>
      <c r="J3913" s="29"/>
      <c r="K3913" s="29"/>
      <c r="L3913" s="29"/>
      <c r="M3913" s="29"/>
      <c r="N3913" s="29"/>
      <c r="O3913" s="29"/>
      <c r="P3913" s="19"/>
      <c r="Q3913" s="14"/>
      <c r="R3913" s="11"/>
    </row>
    <row r="3914" s="1" customFormat="1" ht="21.95" customHeight="1" spans="1:18">
      <c r="A3914" s="7"/>
      <c r="B3914" s="12"/>
      <c r="C3914" s="33"/>
      <c r="D3914" s="80" t="s">
        <v>728</v>
      </c>
      <c r="E3914" s="220">
        <f>ENTRY!$D$27</f>
        <v>46102</v>
      </c>
      <c r="F3914" s="220"/>
      <c r="G3914" s="29"/>
      <c r="H3914" s="29"/>
      <c r="I3914" s="221" t="s">
        <v>729</v>
      </c>
      <c r="J3914" s="153"/>
      <c r="K3914" s="29"/>
      <c r="L3914" s="29"/>
      <c r="M3914" s="87" t="s">
        <v>730</v>
      </c>
      <c r="N3914" s="87"/>
      <c r="O3914" s="87"/>
      <c r="P3914" s="19"/>
      <c r="Q3914" s="14"/>
      <c r="R3914" s="11"/>
    </row>
    <row r="3915" s="1" customFormat="1" ht="21.95" customHeight="1" spans="1:18">
      <c r="A3915" s="7"/>
      <c r="B3915" s="12"/>
      <c r="C3915" s="33"/>
      <c r="D3915" s="80" t="s">
        <v>731</v>
      </c>
      <c r="E3915" s="88" t="str">
        <f>PROPER(ENTRY!$D$28)</f>
        <v>New Delhi</v>
      </c>
      <c r="F3915" s="88"/>
      <c r="G3915" s="29"/>
      <c r="H3915" s="29"/>
      <c r="I3915" s="153"/>
      <c r="J3915" s="153"/>
      <c r="K3915" s="29"/>
      <c r="L3915" s="29"/>
      <c r="M3915" s="79" t="s">
        <v>732</v>
      </c>
      <c r="N3915" s="79"/>
      <c r="O3915" s="79"/>
      <c r="P3915" s="19"/>
      <c r="Q3915" s="14"/>
      <c r="R3915" s="11"/>
    </row>
    <row r="3916" s="1" customFormat="1" ht="21.95" customHeight="1" spans="1:18">
      <c r="A3916" s="7"/>
      <c r="B3916" s="12"/>
      <c r="C3916" s="90"/>
      <c r="D3916" s="91"/>
      <c r="E3916" s="91"/>
      <c r="F3916" s="91"/>
      <c r="G3916" s="91"/>
      <c r="H3916" s="91"/>
      <c r="I3916" s="91"/>
      <c r="J3916" s="91"/>
      <c r="K3916" s="91"/>
      <c r="L3916" s="91"/>
      <c r="M3916" s="91"/>
      <c r="N3916" s="91"/>
      <c r="O3916" s="91"/>
      <c r="P3916" s="92"/>
      <c r="Q3916" s="14"/>
      <c r="R3916" s="11"/>
    </row>
    <row r="3917" s="1" customFormat="1" ht="5.1" customHeight="1" spans="1:18">
      <c r="A3917" s="7"/>
      <c r="B3917" s="90"/>
      <c r="C3917" s="91"/>
      <c r="D3917" s="91"/>
      <c r="E3917" s="91"/>
      <c r="F3917" s="91"/>
      <c r="G3917" s="91"/>
      <c r="H3917" s="91"/>
      <c r="I3917" s="91"/>
      <c r="J3917" s="91"/>
      <c r="K3917" s="91"/>
      <c r="L3917" s="91"/>
      <c r="M3917" s="91"/>
      <c r="N3917" s="91"/>
      <c r="O3917" s="91"/>
      <c r="P3917" s="91"/>
      <c r="Q3917" s="92"/>
      <c r="R3917" s="11"/>
    </row>
    <row r="3918" s="1" customFormat="1" ht="5.1" customHeight="1" spans="1:18">
      <c r="A3918" s="93"/>
      <c r="B3918" s="94"/>
      <c r="C3918" s="94"/>
      <c r="D3918" s="94"/>
      <c r="E3918" s="94"/>
      <c r="F3918" s="94"/>
      <c r="G3918" s="94"/>
      <c r="H3918" s="94"/>
      <c r="I3918" s="94"/>
      <c r="J3918" s="94"/>
      <c r="K3918" s="94"/>
      <c r="L3918" s="94"/>
      <c r="M3918" s="94"/>
      <c r="N3918" s="94"/>
      <c r="O3918" s="94"/>
      <c r="P3918" s="94"/>
      <c r="Q3918" s="94"/>
      <c r="R3918" s="95"/>
    </row>
    <row r="3919" s="1" customFormat="1" ht="21.95" customHeight="1"/>
    <row r="3920" ht="15.15"/>
    <row r="3921" s="1" customFormat="1" ht="5.1" customHeight="1" spans="1:18">
      <c r="A3921" s="4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  <c r="O3921" s="5"/>
      <c r="P3921" s="5"/>
      <c r="Q3921" s="5"/>
      <c r="R3921" s="6"/>
    </row>
    <row r="3922" s="1" customFormat="1" ht="15" customHeight="1" spans="1:18">
      <c r="A3922" s="7"/>
      <c r="B3922" s="8"/>
      <c r="C3922" s="9"/>
      <c r="D3922" s="9"/>
      <c r="E3922" s="9"/>
      <c r="F3922" s="9"/>
      <c r="G3922" s="9"/>
      <c r="H3922" s="9"/>
      <c r="I3922" s="9"/>
      <c r="J3922" s="9"/>
      <c r="K3922" s="9"/>
      <c r="L3922" s="9"/>
      <c r="M3922" s="9"/>
      <c r="N3922" s="9"/>
      <c r="O3922" s="9"/>
      <c r="P3922" s="9"/>
      <c r="Q3922" s="10"/>
      <c r="R3922" s="11"/>
    </row>
    <row r="3923" s="1" customFormat="1" ht="21.95" customHeight="1" spans="1:18">
      <c r="A3923" s="7"/>
      <c r="B3923" s="12"/>
      <c r="C3923" s="13" t="s">
        <v>7</v>
      </c>
      <c r="D3923" s="13"/>
      <c r="E3923" s="13"/>
      <c r="F3923" s="13"/>
      <c r="G3923" s="13"/>
      <c r="H3923" s="13"/>
      <c r="I3923" s="13"/>
      <c r="J3923" s="13"/>
      <c r="K3923" s="13"/>
      <c r="L3923" s="13"/>
      <c r="M3923" s="13"/>
      <c r="N3923" s="13"/>
      <c r="O3923" s="13"/>
      <c r="P3923" s="13"/>
      <c r="Q3923" s="14"/>
      <c r="R3923" s="11"/>
    </row>
    <row r="3924" s="1" customFormat="1" ht="21.95" customHeight="1" spans="1:18">
      <c r="A3924" s="7"/>
      <c r="B3924" s="1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14"/>
      <c r="R3924" s="11"/>
    </row>
    <row r="3925" s="1" customFormat="1" ht="21.95" customHeight="1" spans="1:18">
      <c r="A3925" s="7"/>
      <c r="B3925" s="12"/>
      <c r="C3925" s="15" t="str">
        <f>"SESSION-"&amp;ENTRY!$D$11</f>
        <v>SESSION-2026-27</v>
      </c>
      <c r="D3925" s="15"/>
      <c r="E3925" s="15"/>
      <c r="F3925" s="15"/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  <c r="Q3925" s="14"/>
      <c r="R3925" s="11"/>
    </row>
    <row r="3926" s="1" customFormat="1" ht="21.95" customHeight="1" spans="1:18">
      <c r="A3926" s="7"/>
      <c r="B3926" s="12"/>
      <c r="C3926" s="2"/>
      <c r="D3926" s="2"/>
      <c r="E3926" s="2"/>
      <c r="F3926" s="16">
        <f>F3870+1</f>
        <v>71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14"/>
      <c r="R3926" s="11"/>
    </row>
    <row r="3927" s="1" customFormat="1" ht="21.95" customHeight="1" spans="1:18">
      <c r="A3927" s="7"/>
      <c r="B3927" s="12"/>
      <c r="C3927" s="17" t="s">
        <v>392</v>
      </c>
      <c r="D3927" s="17"/>
      <c r="E3927" s="17"/>
      <c r="F3927" s="18" t="str">
        <f>IF(F3926&gt;0,ENTRY!$D$6,"")</f>
        <v>MCP NITHARI NO 1 BOYS</v>
      </c>
      <c r="G3927" s="18"/>
      <c r="H3927" s="18"/>
      <c r="I3927" s="18"/>
      <c r="J3927" s="18"/>
      <c r="K3927" s="18"/>
      <c r="L3927" s="18"/>
      <c r="M3927" s="18"/>
      <c r="N3927" s="18"/>
      <c r="O3927" s="18"/>
      <c r="P3927" s="18"/>
      <c r="Q3927" s="14"/>
      <c r="R3927" s="11"/>
    </row>
    <row r="3928" s="1" customFormat="1" ht="21.95" customHeight="1" spans="1:18">
      <c r="A3928" s="7"/>
      <c r="B3928" s="12"/>
      <c r="C3928" s="17" t="s">
        <v>393</v>
      </c>
      <c r="D3928" s="17"/>
      <c r="E3928" s="17"/>
      <c r="F3928" s="18">
        <f>IF(F3926&gt;0,ENTRY!$D$7,"")</f>
        <v>0</v>
      </c>
      <c r="G3928" s="18"/>
      <c r="H3928" s="20" t="s">
        <v>702</v>
      </c>
      <c r="I3928" s="20"/>
      <c r="J3928" s="21">
        <f>IF(F3926&gt;0,ENTRY!$D$10,"")</f>
        <v>40</v>
      </c>
      <c r="K3928" s="20" t="s">
        <v>703</v>
      </c>
      <c r="L3928" s="22" t="str">
        <f>IF(F3926&gt;0,ENTRY!$D$5,"")</f>
        <v>ROHINI ZONE</v>
      </c>
      <c r="M3928" s="22"/>
      <c r="N3928" s="22"/>
      <c r="O3928" s="22"/>
      <c r="P3928" s="22"/>
      <c r="Q3928" s="14"/>
      <c r="R3928" s="11"/>
    </row>
    <row r="3929" s="1" customFormat="1" ht="21.95" customHeight="1" spans="1:18">
      <c r="A3929" s="7"/>
      <c r="B3929" s="12"/>
      <c r="C3929" s="17" t="s">
        <v>706</v>
      </c>
      <c r="D3929" s="17"/>
      <c r="E3929" s="17"/>
      <c r="F3929" s="23">
        <f>IFERROR(VLOOKUP(F3926,STUDENT!$A$2:$BP$101,5,0),"")</f>
        <v>0</v>
      </c>
      <c r="G3929" s="23"/>
      <c r="H3929" s="23"/>
      <c r="I3929" s="23"/>
      <c r="J3929" s="23"/>
      <c r="K3929" s="23"/>
      <c r="L3929" s="20" t="s">
        <v>707</v>
      </c>
      <c r="M3929" s="20"/>
      <c r="N3929" s="24" t="str">
        <f>IF(F3926&gt;0,ENTRY!$D$20&amp;"-"&amp;ENTRY!$D$21,"")</f>
        <v>III-A</v>
      </c>
      <c r="O3929" s="24"/>
      <c r="P3929" s="24"/>
      <c r="Q3929" s="14"/>
      <c r="R3929" s="11"/>
    </row>
    <row r="3930" s="1" customFormat="1" ht="21.95" customHeight="1" spans="1:18">
      <c r="A3930" s="7"/>
      <c r="B3930" s="12"/>
      <c r="C3930" s="17" t="s">
        <v>708</v>
      </c>
      <c r="D3930" s="17"/>
      <c r="E3930" s="17"/>
      <c r="F3930" s="25">
        <f>IFERROR(VLOOKUP(F3926,STUDENT!$A$2:$BP$101,6,0),"")</f>
        <v>0</v>
      </c>
      <c r="G3930" s="25"/>
      <c r="H3930" s="26" t="s">
        <v>709</v>
      </c>
      <c r="I3930" s="27" t="str">
        <f>IFERROR(VLOOKUP(F3926,STUDENT!$A$2:$BP$101,59,0),"")</f>
        <v/>
      </c>
      <c r="J3930" s="27"/>
      <c r="K3930" s="20" t="s">
        <v>710</v>
      </c>
      <c r="L3930" s="20"/>
      <c r="M3930" s="28">
        <f>IFERROR(VLOOKUP(F3926,STUDENT!$A$2:$BP$101,20,0),"")</f>
        <v>0</v>
      </c>
      <c r="N3930" s="28"/>
      <c r="O3930" s="28"/>
      <c r="P3930" s="28"/>
      <c r="Q3930" s="14"/>
      <c r="R3930" s="11"/>
    </row>
    <row r="3931" s="1" customFormat="1" ht="21.95" customHeight="1" spans="1:18">
      <c r="A3931" s="7"/>
      <c r="B3931" s="12"/>
      <c r="C3931" s="17" t="s">
        <v>711</v>
      </c>
      <c r="D3931" s="17"/>
      <c r="E3931" s="17"/>
      <c r="F3931" s="23">
        <f>IFERROR(VLOOKUP(F3926,STUDENT!$A$2:$BP$101,9,0),"")</f>
        <v>0</v>
      </c>
      <c r="G3931" s="23"/>
      <c r="H3931" s="23"/>
      <c r="I3931" s="23"/>
      <c r="J3931" s="17" t="s">
        <v>620</v>
      </c>
      <c r="K3931" s="17"/>
      <c r="L3931" s="23">
        <f>IFERROR(VLOOKUP(F3926,STUDENT!$A$2:$BP$101,8,0),"")</f>
        <v>0</v>
      </c>
      <c r="M3931" s="23"/>
      <c r="N3931" s="23"/>
      <c r="O3931" s="23"/>
      <c r="P3931" s="23"/>
      <c r="Q3931" s="14"/>
      <c r="R3931" s="11"/>
    </row>
    <row r="3932" s="1" customFormat="1" ht="21.95" customHeight="1" spans="1:18">
      <c r="A3932" s="7"/>
      <c r="B3932" s="12"/>
      <c r="C3932" s="17" t="s">
        <v>712</v>
      </c>
      <c r="D3932" s="17"/>
      <c r="E3932" s="17"/>
      <c r="F3932" s="23">
        <f>IFERROR(VLOOKUP(F3926,STUDENT!$A$2:$BP$101,22,0),"")</f>
        <v>0</v>
      </c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14"/>
      <c r="R3932" s="11"/>
    </row>
    <row r="3933" s="1" customFormat="1" ht="9.95" customHeight="1" spans="1:18">
      <c r="A3933" s="7"/>
      <c r="B3933" s="12"/>
      <c r="C3933" s="29"/>
      <c r="D3933" s="29"/>
      <c r="E3933" s="29"/>
      <c r="F3933" s="29"/>
      <c r="G3933" s="29"/>
      <c r="H3933" s="29"/>
      <c r="I3933" s="29"/>
      <c r="J3933" s="29"/>
      <c r="K3933" s="29"/>
      <c r="L3933" s="29"/>
      <c r="M3933" s="29"/>
      <c r="N3933" s="29"/>
      <c r="O3933" s="29"/>
      <c r="P3933" s="29"/>
      <c r="Q3933" s="14"/>
      <c r="R3933" s="11"/>
    </row>
    <row r="3934" s="1" customFormat="1" ht="9.95" customHeight="1" spans="1:18">
      <c r="A3934" s="7"/>
      <c r="B3934" s="12"/>
      <c r="C3934" s="30"/>
      <c r="D3934" s="31"/>
      <c r="E3934" s="31"/>
      <c r="F3934" s="31"/>
      <c r="G3934" s="31"/>
      <c r="H3934" s="31"/>
      <c r="I3934" s="31"/>
      <c r="J3934" s="31"/>
      <c r="K3934" s="31"/>
      <c r="L3934" s="31"/>
      <c r="M3934" s="31"/>
      <c r="N3934" s="31"/>
      <c r="O3934" s="31"/>
      <c r="P3934" s="32"/>
      <c r="Q3934" s="14"/>
      <c r="R3934" s="11"/>
    </row>
    <row r="3935" s="1" customFormat="1" ht="21.95" customHeight="1" spans="1:18">
      <c r="A3935" s="7"/>
      <c r="B3935" s="12"/>
      <c r="C3935" s="33"/>
      <c r="D3935" s="34" t="s">
        <v>713</v>
      </c>
      <c r="E3935" s="20" t="s">
        <v>714</v>
      </c>
      <c r="F3935" s="35" t="str">
        <f>"Level - "&amp;IFERROR(VLOOKUP(F3926,FLN!$A$4:$K$103,9,0),"")</f>
        <v>Level - </v>
      </c>
      <c r="G3935" s="36"/>
      <c r="H3935" s="37" t="s">
        <v>715</v>
      </c>
      <c r="I3935" s="20"/>
      <c r="J3935" s="35" t="str">
        <f>"Level - "&amp;IFERROR(VLOOKUP(F3926,FLN!$A$4:$K$103,11,0),"")</f>
        <v>Level - </v>
      </c>
      <c r="K3935" s="36"/>
      <c r="L3935" s="37" t="s">
        <v>408</v>
      </c>
      <c r="M3935" s="20"/>
      <c r="N3935" s="35" t="str">
        <f>"Level - "&amp;IFERROR(VLOOKUP(F3926,FLN!$A$4:$K$103,10,0),"")</f>
        <v>Level - </v>
      </c>
      <c r="O3935" s="36"/>
      <c r="P3935" s="19"/>
      <c r="Q3935" s="14"/>
      <c r="R3935" s="11"/>
    </row>
    <row r="3936" s="1" customFormat="1" ht="21.95" customHeight="1" spans="1:18">
      <c r="A3936" s="7"/>
      <c r="B3936" s="12"/>
      <c r="C3936" s="33"/>
      <c r="D3936" s="38"/>
      <c r="E3936" s="20" t="s">
        <v>716</v>
      </c>
      <c r="F3936" s="18" t="str">
        <f>IF(L3950&gt;197,"PERFORMED WELL","")</f>
        <v/>
      </c>
      <c r="G3936" s="18"/>
      <c r="H3936" s="18"/>
      <c r="I3936" s="18"/>
      <c r="J3936" s="18"/>
      <c r="K3936" s="18"/>
      <c r="L3936" s="18"/>
      <c r="M3936" s="18"/>
      <c r="N3936" s="18"/>
      <c r="O3936" s="18"/>
      <c r="P3936" s="19"/>
      <c r="Q3936" s="14"/>
      <c r="R3936" s="11"/>
    </row>
    <row r="3937" s="1" customFormat="1" ht="9.95" customHeight="1" spans="1:18">
      <c r="A3937" s="7"/>
      <c r="B3937" s="12"/>
      <c r="C3937" s="39"/>
      <c r="D3937" s="40"/>
      <c r="E3937" s="40"/>
      <c r="F3937" s="40"/>
      <c r="G3937" s="40"/>
      <c r="H3937" s="40"/>
      <c r="I3937" s="40"/>
      <c r="J3937" s="40"/>
      <c r="K3937" s="40"/>
      <c r="L3937" s="40"/>
      <c r="M3937" s="40"/>
      <c r="N3937" s="40"/>
      <c r="O3937" s="40"/>
      <c r="P3937" s="41"/>
      <c r="Q3937" s="14"/>
      <c r="R3937" s="11"/>
    </row>
    <row r="3938" s="1" customFormat="1" ht="9.95" customHeight="1" spans="1:18">
      <c r="A3938" s="7"/>
      <c r="B3938" s="12"/>
      <c r="C3938" s="29"/>
      <c r="D3938" s="29"/>
      <c r="E3938" s="29"/>
      <c r="F3938" s="29"/>
      <c r="G3938" s="29"/>
      <c r="H3938" s="29"/>
      <c r="I3938" s="29"/>
      <c r="J3938" s="29"/>
      <c r="K3938" s="29"/>
      <c r="L3938" s="29"/>
      <c r="M3938" s="29"/>
      <c r="N3938" s="29"/>
      <c r="O3938" s="29"/>
      <c r="P3938" s="29"/>
      <c r="Q3938" s="14"/>
      <c r="R3938" s="11"/>
    </row>
    <row r="3939" s="1" customFormat="1" ht="9.95" customHeight="1" spans="1:18">
      <c r="A3939" s="7"/>
      <c r="B3939" s="12"/>
      <c r="C3939" s="30"/>
      <c r="D3939" s="31"/>
      <c r="E3939" s="31"/>
      <c r="F3939" s="31"/>
      <c r="G3939" s="31"/>
      <c r="H3939" s="31"/>
      <c r="I3939" s="31"/>
      <c r="J3939" s="31"/>
      <c r="K3939" s="31"/>
      <c r="L3939" s="31"/>
      <c r="M3939" s="31"/>
      <c r="N3939" s="31"/>
      <c r="O3939" s="31"/>
      <c r="P3939" s="32"/>
      <c r="Q3939" s="14"/>
      <c r="R3939" s="11"/>
    </row>
    <row r="3940" s="1" customFormat="1" ht="21.95" customHeight="1" spans="1:18">
      <c r="A3940" s="7"/>
      <c r="B3940" s="12"/>
      <c r="C3940" s="33"/>
      <c r="D3940" s="35"/>
      <c r="E3940" s="24"/>
      <c r="F3940" s="24"/>
      <c r="G3940" s="47" t="s">
        <v>717</v>
      </c>
      <c r="H3940" s="47"/>
      <c r="I3940" s="47"/>
      <c r="J3940" s="47"/>
      <c r="K3940" s="47"/>
      <c r="L3940" s="47"/>
      <c r="M3940" s="47"/>
      <c r="N3940" s="47"/>
      <c r="O3940" s="29"/>
      <c r="P3940" s="19"/>
      <c r="Q3940" s="14"/>
      <c r="R3940" s="11"/>
    </row>
    <row r="3941" s="1" customFormat="1" ht="21.95" customHeight="1" spans="1:18">
      <c r="A3941" s="7"/>
      <c r="B3941" s="12"/>
      <c r="C3941" s="33"/>
      <c r="D3941" s="47"/>
      <c r="E3941" s="47"/>
      <c r="F3941" s="47"/>
      <c r="G3941" s="47" t="s">
        <v>541</v>
      </c>
      <c r="H3941" s="47" t="s">
        <v>542</v>
      </c>
      <c r="I3941" s="47" t="s">
        <v>543</v>
      </c>
      <c r="J3941" s="47" t="s">
        <v>544</v>
      </c>
      <c r="K3941" s="47" t="s">
        <v>561</v>
      </c>
      <c r="L3941" s="47" t="s">
        <v>382</v>
      </c>
      <c r="M3941" s="49" t="s">
        <v>546</v>
      </c>
      <c r="N3941" s="49"/>
      <c r="O3941" s="29"/>
      <c r="P3941" s="19"/>
      <c r="Q3941" s="14"/>
      <c r="R3941" s="11"/>
    </row>
    <row r="3942" s="1" customFormat="1" ht="21.95" customHeight="1" spans="1:18">
      <c r="A3942" s="7"/>
      <c r="B3942" s="12"/>
      <c r="C3942" s="33"/>
      <c r="D3942" s="207" t="s">
        <v>652</v>
      </c>
      <c r="E3942" s="207"/>
      <c r="F3942" s="207"/>
      <c r="G3942" s="50">
        <v>10</v>
      </c>
      <c r="H3942" s="50">
        <v>10</v>
      </c>
      <c r="I3942" s="50">
        <v>10</v>
      </c>
      <c r="J3942" s="50">
        <v>10</v>
      </c>
      <c r="K3942" s="50">
        <v>60</v>
      </c>
      <c r="L3942" s="50">
        <v>100</v>
      </c>
      <c r="M3942" s="49"/>
      <c r="N3942" s="49"/>
      <c r="O3942" s="29"/>
      <c r="P3942" s="19"/>
      <c r="Q3942" s="14"/>
      <c r="R3942" s="11"/>
    </row>
    <row r="3943" s="1" customFormat="1" ht="21.95" customHeight="1" spans="1:18">
      <c r="A3943" s="7"/>
      <c r="B3943" s="12"/>
      <c r="C3943" s="33"/>
      <c r="D3943" s="117" t="s">
        <v>668</v>
      </c>
      <c r="E3943" s="117"/>
      <c r="F3943" s="117"/>
      <c r="G3943" s="54" t="str">
        <f>IFERROR(VLOOKUP(F3926,'1to4-2.1-RR'!$A$12:$BG$111,9,0),"")</f>
        <v/>
      </c>
      <c r="H3943" s="54" t="str">
        <f>IFERROR(VLOOKUP(F3926,'1to4-2.1-RR'!$A$12:$BG$111,10,0),"")</f>
        <v/>
      </c>
      <c r="I3943" s="54" t="str">
        <f>IFERROR(VLOOKUP(F3926,'1to4-2.1-RR'!$A$12:$BG$111,11,0),"")</f>
        <v/>
      </c>
      <c r="J3943" s="54" t="str">
        <f>IFERROR(VLOOKUP(F3926,'1to4-2.1-RR'!$A$12:$BG$111,12,0),"")</f>
        <v/>
      </c>
      <c r="K3943" s="54" t="str">
        <f>IFERROR(VLOOKUP(F3926,'1to4-2.1-RR'!$A$12:$BG$111,13,0),"")</f>
        <v/>
      </c>
      <c r="L3943" s="55">
        <f>SUM(G3943:K3943)</f>
        <v>0</v>
      </c>
      <c r="M3943" s="56" t="str">
        <f>IF(F3926&gt;ENTRY!$D$24,"",IF(L3943=0,"Ab",IF(L3943&gt;80,"A",IF(L3943&gt;60,"B",IF(L3943&gt;44,"C",IF(L3943&gt;=33,"D",IF(L3943&lt;=32,"E","")))))))</f>
        <v/>
      </c>
      <c r="N3943" s="56"/>
      <c r="O3943" s="29"/>
      <c r="P3943" s="19"/>
      <c r="Q3943" s="14"/>
      <c r="R3943" s="11"/>
    </row>
    <row r="3944" s="1" customFormat="1" ht="21.95" customHeight="1" spans="1:18">
      <c r="A3944" s="7"/>
      <c r="B3944" s="12"/>
      <c r="C3944" s="33"/>
      <c r="D3944" s="117" t="s">
        <v>513</v>
      </c>
      <c r="E3944" s="117"/>
      <c r="F3944" s="117"/>
      <c r="G3944" s="54" t="str">
        <f>IFERROR(VLOOKUP(F3926,'1to4-2.1-RR'!$A$12:$BG$111,16,0),"")</f>
        <v/>
      </c>
      <c r="H3944" s="54" t="str">
        <f>IFERROR(VLOOKUP(F3926,'1to4-2.1-RR'!$A$12:$BG$111,17,0),"")</f>
        <v/>
      </c>
      <c r="I3944" s="54" t="str">
        <f>IFERROR(VLOOKUP(F3926,'1to4-2.1-RR'!$A$12:$BG$111,18,0),"")</f>
        <v/>
      </c>
      <c r="J3944" s="54" t="str">
        <f>IFERROR(VLOOKUP(F3926,'1to4-2.1-RR'!$A$12:$BG$111,19,0),"")</f>
        <v/>
      </c>
      <c r="K3944" s="54" t="str">
        <f>IFERROR(VLOOKUP(F3926,'1to4-2.1-RR'!$A$12:$BG$111,20,0),"")</f>
        <v/>
      </c>
      <c r="L3944" s="55">
        <f t="shared" ref="L3944:L3949" si="140">SUM(G3944:K3944)</f>
        <v>0</v>
      </c>
      <c r="M3944" s="56" t="str">
        <f>IF(F3926&gt;ENTRY!$D$24,"",IF(L3944=0,"Ab",IF(L3944&gt;80,"A",IF(L3944&gt;60,"B",IF(L3944&gt;44,"C",IF(L3944&gt;=33,"D",IF(L3944&lt;=32,"E","")))))))</f>
        <v/>
      </c>
      <c r="N3944" s="56"/>
      <c r="O3944" s="29"/>
      <c r="P3944" s="19"/>
      <c r="Q3944" s="14"/>
      <c r="R3944" s="11"/>
    </row>
    <row r="3945" s="1" customFormat="1" ht="21.95" customHeight="1" spans="1:18">
      <c r="A3945" s="7"/>
      <c r="B3945" s="12"/>
      <c r="C3945" s="33"/>
      <c r="D3945" s="117" t="s">
        <v>718</v>
      </c>
      <c r="E3945" s="117"/>
      <c r="F3945" s="117"/>
      <c r="G3945" s="54" t="str">
        <f>IFERROR(VLOOKUP(F3926,'1to4-2.1-RR'!$A$12:$BG$111,23,0),"")</f>
        <v/>
      </c>
      <c r="H3945" s="54" t="str">
        <f>IFERROR(VLOOKUP(F3926,'1to4-2.1-RR'!$A$12:$BG$111,24,0),"")</f>
        <v/>
      </c>
      <c r="I3945" s="54" t="str">
        <f>IFERROR(VLOOKUP(F3926,'1to4-2.1-RR'!$A$12:$BG$111,25,0),"")</f>
        <v/>
      </c>
      <c r="J3945" s="54" t="str">
        <f>IFERROR(VLOOKUP(F3926,'1to4-2.1-RR'!$A$12:$BG$111,26,0),"")</f>
        <v/>
      </c>
      <c r="K3945" s="54" t="str">
        <f>IFERROR(VLOOKUP(F3926,'1to4-2.1-RR'!$A$12:$BG$111,27,0),"")</f>
        <v/>
      </c>
      <c r="L3945" s="55">
        <f t="shared" si="140"/>
        <v>0</v>
      </c>
      <c r="M3945" s="56" t="str">
        <f>IF(F3926&gt;ENTRY!$D$24,"",IF(L3945=0,"Ab",IF(L3945&gt;80,"A",IF(L3945&gt;60,"B",IF(L3945&gt;44,"C",IF(L3945&gt;=33,"D",IF(L3945&lt;=32,"E","")))))))</f>
        <v/>
      </c>
      <c r="N3945" s="56"/>
      <c r="O3945" s="29"/>
      <c r="P3945" s="19"/>
      <c r="Q3945" s="14"/>
      <c r="R3945" s="11"/>
    </row>
    <row r="3946" s="1" customFormat="1" ht="21.95" customHeight="1" spans="1:18">
      <c r="A3946" s="7"/>
      <c r="B3946" s="12"/>
      <c r="C3946" s="33"/>
      <c r="D3946" s="117" t="s">
        <v>719</v>
      </c>
      <c r="E3946" s="117"/>
      <c r="F3946" s="117"/>
      <c r="G3946" s="54" t="str">
        <f>IFERROR(VLOOKUP(F3926,'1to4-2.1-RR'!$A$12:$BG$111,30,0),"")</f>
        <v/>
      </c>
      <c r="H3946" s="54" t="str">
        <f>IFERROR(VLOOKUP(F3926,'1to4-2.1-RR'!$A$12:$BG$111,31,0),"")</f>
        <v/>
      </c>
      <c r="I3946" s="54" t="str">
        <f>IFERROR(VLOOKUP(F3926,'1to4-2.1-RR'!$A$12:$BG$111,32,0),"")</f>
        <v/>
      </c>
      <c r="J3946" s="54" t="str">
        <f>IFERROR(VLOOKUP(F3926,'1to4-2.1-RR'!$A$12:$BG$111,33,0),"")</f>
        <v/>
      </c>
      <c r="K3946" s="54" t="str">
        <f>IFERROR(VLOOKUP(F3926,'1to4-2.1-RR'!$A$12:$BG$111,34,0),"")</f>
        <v/>
      </c>
      <c r="L3946" s="55">
        <f t="shared" si="140"/>
        <v>0</v>
      </c>
      <c r="M3946" s="56" t="str">
        <f>IF(F3926&gt;ENTRY!$D$24,"",IF(L3946=0,"Ab",IF(L3946&gt;80,"A",IF(L3946&gt;60,"B",IF(L3946&gt;44,"C",IF(L3946&gt;=33,"D",IF(L3946&lt;=32,"E","")))))))</f>
        <v/>
      </c>
      <c r="N3946" s="56"/>
      <c r="O3946" s="29"/>
      <c r="P3946" s="19"/>
      <c r="Q3946" s="14"/>
      <c r="R3946" s="11"/>
    </row>
    <row r="3947" s="1" customFormat="1" ht="21.95" customHeight="1" spans="1:18">
      <c r="A3947" s="7"/>
      <c r="B3947" s="12"/>
      <c r="C3947" s="33"/>
      <c r="D3947" s="117" t="s">
        <v>548</v>
      </c>
      <c r="E3947" s="117"/>
      <c r="F3947" s="117"/>
      <c r="G3947" s="54" t="str">
        <f>IFERROR(VLOOKUP(F3926,'1to4-2.1-RR'!$A$12:$BG$111,37,0),"")</f>
        <v/>
      </c>
      <c r="H3947" s="54" t="str">
        <f>IFERROR(VLOOKUP(F3926,'1to4-2.1-RR'!$A$12:$BG$111,38,0),"")</f>
        <v/>
      </c>
      <c r="I3947" s="54" t="str">
        <f>IFERROR(VLOOKUP(F3926,'1to4-2.1-RR'!$A$12:$BG$111,39,0),"")</f>
        <v/>
      </c>
      <c r="J3947" s="54" t="str">
        <f>IFERROR(VLOOKUP(F3926,'1to4-2.1-RR'!$A$12:$BG$111,40,0),"")</f>
        <v/>
      </c>
      <c r="K3947" s="54" t="str">
        <f>IFERROR(VLOOKUP(F3926,'1to4-2.1-RR'!$A$12:$BG$111,41,0),"")</f>
        <v/>
      </c>
      <c r="L3947" s="55">
        <f t="shared" si="140"/>
        <v>0</v>
      </c>
      <c r="M3947" s="56" t="str">
        <f>IF(F3926&gt;ENTRY!$D$24,"",IF(L3947=0,"Ab",IF(L3947&gt;80,"A",IF(L3947&gt;60,"B",IF(L3947&gt;44,"C",IF(L3947&gt;=33,"D",IF(L3947&lt;=32,"E","")))))))</f>
        <v/>
      </c>
      <c r="N3947" s="56"/>
      <c r="O3947" s="29"/>
      <c r="P3947" s="19"/>
      <c r="Q3947" s="14"/>
      <c r="R3947" s="11"/>
    </row>
    <row r="3948" s="1" customFormat="1" ht="21.95" customHeight="1" spans="1:18">
      <c r="A3948" s="7"/>
      <c r="B3948" s="12"/>
      <c r="C3948" s="33"/>
      <c r="D3948" s="117" t="s">
        <v>549</v>
      </c>
      <c r="E3948" s="117"/>
      <c r="F3948" s="117"/>
      <c r="G3948" s="54" t="str">
        <f>IFERROR(VLOOKUP(F3926,'1to4-2.1-RR'!$A$12:$BG$111,44,0),"")</f>
        <v/>
      </c>
      <c r="H3948" s="54" t="str">
        <f>IFERROR(VLOOKUP(F3926,'1to4-2.1-RR'!$A$12:$BG$111,45,0),"")</f>
        <v/>
      </c>
      <c r="I3948" s="54" t="str">
        <f>IFERROR(VLOOKUP(F3926,'1to4-2.1-RR'!$A$12:$BG$111,46,0),"")</f>
        <v/>
      </c>
      <c r="J3948" s="54" t="str">
        <f>IFERROR(VLOOKUP(F3926,'1to4-2.1-RR'!$A$12:$BG$111,47,0),"")</f>
        <v/>
      </c>
      <c r="K3948" s="54" t="str">
        <f>IFERROR(VLOOKUP(F3926,'1to4-2.1-RR'!$A$12:$BG$111,48,0),"")</f>
        <v/>
      </c>
      <c r="L3948" s="55">
        <f t="shared" si="140"/>
        <v>0</v>
      </c>
      <c r="M3948" s="56" t="str">
        <f>IF(F3926&gt;ENTRY!$D$24,"",IF(L3948=0,"Ab",IF(L3948&gt;80,"A",IF(L3948&gt;60,"B",IF(L3948&gt;44,"C",IF(L3948&gt;=33,"D",IF(L3948&lt;=32,"E","")))))))</f>
        <v/>
      </c>
      <c r="N3948" s="56"/>
      <c r="O3948" s="29"/>
      <c r="P3948" s="19"/>
      <c r="Q3948" s="14"/>
      <c r="R3948" s="11"/>
    </row>
    <row r="3949" s="1" customFormat="1" ht="21.95" customHeight="1" spans="1:18">
      <c r="A3949" s="7"/>
      <c r="B3949" s="12"/>
      <c r="C3949" s="33"/>
      <c r="D3949" s="117" t="s">
        <v>720</v>
      </c>
      <c r="E3949" s="117"/>
      <c r="F3949" s="117"/>
      <c r="G3949" s="54"/>
      <c r="H3949" s="54"/>
      <c r="I3949" s="54"/>
      <c r="J3949" s="54"/>
      <c r="K3949" s="54"/>
      <c r="L3949" s="55">
        <f t="shared" si="140"/>
        <v>0</v>
      </c>
      <c r="M3949" s="56" t="str">
        <f>IF(F3926&gt;ENTRY!$D$24,"",IF(L3949=0,"",IF(L3949&gt;79,"A",IF(L3949&gt;59,"B",IF(L3949&gt;44,"C",IF(L3949&gt;=33,"D",IF(L3949&lt;=32,"E","")))))))</f>
        <v/>
      </c>
      <c r="N3949" s="56"/>
      <c r="O3949" s="29"/>
      <c r="P3949" s="19"/>
      <c r="Q3949" s="14"/>
      <c r="R3949" s="11"/>
    </row>
    <row r="3950" s="1" customFormat="1" ht="21.95" customHeight="1" spans="1:18">
      <c r="A3950" s="7"/>
      <c r="B3950" s="12"/>
      <c r="C3950" s="33"/>
      <c r="D3950" s="207" t="s">
        <v>382</v>
      </c>
      <c r="E3950" s="207"/>
      <c r="F3950" s="207"/>
      <c r="G3950" s="54">
        <f t="shared" ref="G3950:L3950" si="141">IFERROR(SUM(G3943:G3949),"")</f>
        <v>0</v>
      </c>
      <c r="H3950" s="54">
        <f t="shared" si="141"/>
        <v>0</v>
      </c>
      <c r="I3950" s="54">
        <f t="shared" si="141"/>
        <v>0</v>
      </c>
      <c r="J3950" s="54">
        <f t="shared" si="141"/>
        <v>0</v>
      </c>
      <c r="K3950" s="54">
        <f t="shared" si="141"/>
        <v>0</v>
      </c>
      <c r="L3950" s="55">
        <f t="shared" si="141"/>
        <v>0</v>
      </c>
      <c r="M3950" s="61" t="str">
        <f>IF(F3926&gt;ENTRY!$D$24,"",IF(N3951="Ab","Ab",IF(N3951&gt;79.5,"A",IF(N3951&gt;59.5,"B",IF(N3951&gt;44.5,"C",IF(N3951&gt;=33,"D",IF(N3951&lt;33,"E","")))))))</f>
        <v/>
      </c>
      <c r="N3950" s="61"/>
      <c r="O3950" s="29"/>
      <c r="P3950" s="19"/>
      <c r="Q3950" s="14"/>
      <c r="R3950" s="11"/>
    </row>
    <row r="3951" s="1" customFormat="1" ht="21.95" customHeight="1" spans="1:18">
      <c r="A3951" s="7"/>
      <c r="B3951" s="12"/>
      <c r="C3951" s="33"/>
      <c r="D3951" s="63" t="s">
        <v>721</v>
      </c>
      <c r="E3951" s="63"/>
      <c r="F3951" s="63"/>
      <c r="G3951" s="63"/>
      <c r="H3951" s="63"/>
      <c r="I3951" s="63"/>
      <c r="J3951" s="63"/>
      <c r="K3951" s="63"/>
      <c r="L3951" s="63"/>
      <c r="M3951" s="209"/>
      <c r="N3951" s="64">
        <f>IF(L3950="Ab","Ab",L3950/6)</f>
        <v>0</v>
      </c>
      <c r="O3951" s="65"/>
      <c r="P3951" s="19"/>
      <c r="Q3951" s="14"/>
      <c r="R3951" s="11"/>
    </row>
    <row r="3952" s="1" customFormat="1" ht="21.95" customHeight="1" spans="1:18">
      <c r="A3952" s="7"/>
      <c r="B3952" s="12"/>
      <c r="C3952" s="33"/>
      <c r="D3952" s="29" t="s">
        <v>716</v>
      </c>
      <c r="E3952" s="18" t="str">
        <f>IFERROR(VLOOKUP(F3926,'1to4-2.1-RR'!$A$12:$BG$111,57,0),"")</f>
        <v/>
      </c>
      <c r="F3952" s="18"/>
      <c r="G3952" s="18"/>
      <c r="H3952" s="18"/>
      <c r="I3952" s="18"/>
      <c r="J3952" s="18"/>
      <c r="K3952" s="18"/>
      <c r="L3952" s="18"/>
      <c r="M3952" s="18"/>
      <c r="N3952" s="29"/>
      <c r="O3952" s="29"/>
      <c r="P3952" s="19"/>
      <c r="Q3952" s="14"/>
      <c r="R3952" s="11"/>
    </row>
    <row r="3953" s="1" customFormat="1" ht="9.95" customHeight="1" spans="1:19">
      <c r="A3953" s="7"/>
      <c r="B3953" s="12"/>
      <c r="C3953" s="39"/>
      <c r="D3953" s="40"/>
      <c r="E3953" s="40"/>
      <c r="F3953" s="40"/>
      <c r="G3953" s="40"/>
      <c r="H3953" s="40"/>
      <c r="I3953" s="40"/>
      <c r="J3953" s="40"/>
      <c r="K3953" s="40"/>
      <c r="L3953" s="40"/>
      <c r="M3953" s="40"/>
      <c r="N3953" s="40"/>
      <c r="O3953" s="40"/>
      <c r="P3953" s="41"/>
      <c r="Q3953" s="14"/>
      <c r="R3953" s="11"/>
    </row>
    <row r="3954" s="1" customFormat="1" ht="9.95" customHeight="1" spans="1:19">
      <c r="A3954" s="7"/>
      <c r="B3954" s="12"/>
      <c r="C3954" s="30"/>
      <c r="D3954" s="31"/>
      <c r="E3954" s="31"/>
      <c r="F3954" s="29"/>
      <c r="G3954" s="31"/>
      <c r="H3954" s="31"/>
      <c r="I3954" s="31"/>
      <c r="J3954" s="31"/>
      <c r="K3954" s="31"/>
      <c r="L3954" s="31"/>
      <c r="M3954" s="31"/>
      <c r="N3954" s="31"/>
      <c r="O3954" s="31"/>
      <c r="P3954" s="32"/>
      <c r="Q3954" s="14"/>
      <c r="R3954" s="11"/>
    </row>
    <row r="3955" s="1" customFormat="1" ht="9.95" customHeight="1" spans="1:19">
      <c r="A3955" s="7"/>
      <c r="B3955" s="12"/>
      <c r="C3955" s="33"/>
      <c r="D3955" s="29"/>
      <c r="E3955" s="29"/>
      <c r="F3955" s="29"/>
      <c r="G3955" s="29"/>
      <c r="H3955" s="29"/>
      <c r="I3955" s="29"/>
      <c r="J3955" s="29"/>
      <c r="K3955" s="29"/>
      <c r="L3955" s="29"/>
      <c r="M3955" s="29"/>
      <c r="N3955" s="29"/>
      <c r="O3955" s="29"/>
      <c r="P3955" s="19"/>
      <c r="Q3955" s="14"/>
      <c r="R3955" s="11"/>
    </row>
    <row r="3956" s="1" customFormat="1" ht="9.95" customHeight="1" spans="1:19">
      <c r="A3956" s="7"/>
      <c r="B3956" s="12"/>
      <c r="C3956" s="33"/>
      <c r="D3956" s="29"/>
      <c r="E3956" s="29"/>
      <c r="F3956" s="29"/>
      <c r="G3956" s="29"/>
      <c r="H3956" s="29"/>
      <c r="I3956" s="29"/>
      <c r="J3956" s="29"/>
      <c r="K3956" s="29"/>
      <c r="L3956" s="29"/>
      <c r="M3956" s="29"/>
      <c r="N3956" s="29"/>
      <c r="O3956" s="29"/>
      <c r="P3956" s="19"/>
      <c r="Q3956" s="14"/>
      <c r="R3956" s="11"/>
    </row>
    <row r="3957" s="1" customFormat="1" ht="21.95" customHeight="1" spans="1:19">
      <c r="A3957" s="7"/>
      <c r="B3957" s="12"/>
      <c r="C3957" s="210"/>
      <c r="D3957" s="211"/>
      <c r="E3957" s="211"/>
      <c r="F3957" s="211"/>
      <c r="G3957" s="211"/>
      <c r="H3957" s="211"/>
      <c r="I3957" s="211"/>
      <c r="J3957" s="211"/>
      <c r="K3957" s="211"/>
      <c r="L3957" s="211"/>
      <c r="M3957" s="211"/>
      <c r="N3957" s="211"/>
      <c r="O3957" s="211"/>
      <c r="P3957" s="212"/>
      <c r="Q3957" s="14"/>
      <c r="R3957" s="11"/>
      <c r="S3957" s="2"/>
    </row>
    <row r="3958" s="1" customFormat="1" ht="21.95" customHeight="1" spans="1:19">
      <c r="A3958" s="7"/>
      <c r="B3958" s="12"/>
      <c r="C3958" s="33"/>
      <c r="D3958" s="207" t="s">
        <v>722</v>
      </c>
      <c r="E3958" s="207"/>
      <c r="F3958" s="207"/>
      <c r="G3958" s="207"/>
      <c r="H3958" s="54">
        <f>IFERROR(VLOOKUP(F3926,PASHEET!$A$4:$CJ$103,88,0),"")</f>
        <v>0</v>
      </c>
      <c r="I3958" s="54"/>
      <c r="J3958" s="29"/>
      <c r="K3958" s="29"/>
      <c r="L3958" s="29"/>
      <c r="M3958" s="29"/>
      <c r="N3958" s="29"/>
      <c r="O3958" s="29"/>
      <c r="P3958" s="19"/>
      <c r="Q3958" s="14"/>
      <c r="R3958" s="11"/>
    </row>
    <row r="3959" s="1" customFormat="1" ht="21.95" customHeight="1" spans="1:19">
      <c r="A3959" s="7"/>
      <c r="B3959" s="12"/>
      <c r="C3959" s="213"/>
      <c r="D3959" s="207" t="s">
        <v>723</v>
      </c>
      <c r="E3959" s="207"/>
      <c r="F3959" s="207"/>
      <c r="G3959" s="207"/>
      <c r="H3959" s="54">
        <f>IFERROR(VLOOKUP(F3926,PASHEET!$A$4:$CJ$103,87,0),"")</f>
        <v>0</v>
      </c>
      <c r="I3959" s="54"/>
      <c r="J3959" s="214"/>
      <c r="K3959" s="214"/>
      <c r="L3959" s="207" t="s">
        <v>724</v>
      </c>
      <c r="M3959" s="207"/>
      <c r="N3959" s="117" t="str">
        <f>IF(F3926&gt;ENTRY!$D$24,"",IF(F3926&gt;0,L3950&amp;" / "&amp;600,""))</f>
        <v/>
      </c>
      <c r="O3959" s="117"/>
      <c r="P3959" s="215"/>
      <c r="Q3959" s="14"/>
      <c r="R3959" s="11"/>
    </row>
    <row r="3960" s="1" customFormat="1" ht="18" customHeight="1" spans="1:19">
      <c r="A3960" s="7"/>
      <c r="B3960" s="12"/>
      <c r="C3960" s="33"/>
      <c r="D3960" s="207" t="s">
        <v>725</v>
      </c>
      <c r="E3960" s="207"/>
      <c r="F3960" s="207"/>
      <c r="G3960" s="207"/>
      <c r="H3960" s="69" t="str">
        <f>IFERROR(IF(F3926&gt;0,H3959/H3958*100),"")</f>
        <v/>
      </c>
      <c r="I3960" s="69"/>
      <c r="J3960" s="29"/>
      <c r="K3960" s="29"/>
      <c r="L3960" s="207" t="s">
        <v>726</v>
      </c>
      <c r="M3960" s="207"/>
      <c r="N3960" s="216" t="str">
        <f>IF(F3926&gt;ENTRY!$D$24,"",IF(F3926&gt;0,L3950/600*100,""))</f>
        <v/>
      </c>
      <c r="O3960" s="216"/>
      <c r="P3960" s="19"/>
      <c r="Q3960" s="14"/>
      <c r="R3960" s="11"/>
    </row>
    <row r="3961" s="1" customFormat="1" ht="21.95" customHeight="1" spans="1:19">
      <c r="A3961" s="7"/>
      <c r="B3961" s="12"/>
      <c r="C3961" s="33"/>
      <c r="D3961" s="80"/>
      <c r="E3961" s="80"/>
      <c r="F3961" s="217"/>
      <c r="G3961" s="217"/>
      <c r="H3961" s="217"/>
      <c r="I3961" s="217"/>
      <c r="J3961" s="217"/>
      <c r="K3961" s="217"/>
      <c r="L3961" s="217"/>
      <c r="M3961" s="217"/>
      <c r="N3961" s="80"/>
      <c r="O3961" s="80"/>
      <c r="P3961" s="19"/>
      <c r="Q3961" s="14"/>
      <c r="R3961" s="11"/>
    </row>
    <row r="3962" s="1" customFormat="1" ht="21.95" customHeight="1" spans="1:19">
      <c r="A3962" s="7"/>
      <c r="B3962" s="12"/>
      <c r="C3962" s="33"/>
      <c r="D3962" s="80"/>
      <c r="E3962" s="218"/>
      <c r="F3962" s="218"/>
      <c r="G3962" s="218"/>
      <c r="H3962" s="80"/>
      <c r="I3962" s="218"/>
      <c r="J3962" s="218"/>
      <c r="K3962" s="218"/>
      <c r="L3962" s="218"/>
      <c r="M3962" s="80"/>
      <c r="N3962" s="219"/>
      <c r="O3962" s="219"/>
      <c r="P3962" s="19"/>
      <c r="Q3962" s="14"/>
      <c r="R3962" s="11"/>
    </row>
    <row r="3963" s="1" customFormat="1" ht="21.95" customHeight="1" spans="1:19">
      <c r="A3963" s="7"/>
      <c r="B3963" s="12"/>
      <c r="C3963" s="33"/>
      <c r="D3963" s="80"/>
      <c r="E3963" s="80"/>
      <c r="F3963" s="80"/>
      <c r="G3963" s="80"/>
      <c r="H3963" s="80"/>
      <c r="I3963" s="80"/>
      <c r="J3963" s="80"/>
      <c r="K3963" s="80"/>
      <c r="L3963" s="80"/>
      <c r="M3963" s="80"/>
      <c r="N3963" s="80"/>
      <c r="O3963" s="80"/>
      <c r="P3963" s="19"/>
      <c r="Q3963" s="14"/>
      <c r="R3963" s="11"/>
    </row>
    <row r="3964" s="1" customFormat="1" ht="21.95" customHeight="1" spans="1:19">
      <c r="A3964" s="7"/>
      <c r="B3964" s="12"/>
      <c r="C3964" s="33"/>
      <c r="D3964" s="218"/>
      <c r="E3964" s="218"/>
      <c r="F3964" s="218"/>
      <c r="G3964" s="218"/>
      <c r="H3964" s="218"/>
      <c r="I3964" s="218"/>
      <c r="J3964" s="218"/>
      <c r="K3964" s="218"/>
      <c r="L3964" s="218"/>
      <c r="M3964" s="80"/>
      <c r="N3964" s="217"/>
      <c r="O3964" s="217"/>
      <c r="P3964" s="85" t="s">
        <v>727</v>
      </c>
      <c r="Q3964" s="14"/>
      <c r="R3964" s="11"/>
    </row>
    <row r="3965" s="1" customFormat="1" ht="21.95" customHeight="1" spans="1:19">
      <c r="A3965" s="7"/>
      <c r="B3965" s="12"/>
      <c r="C3965" s="33"/>
      <c r="D3965" s="29"/>
      <c r="E3965" s="29"/>
      <c r="F3965" s="29"/>
      <c r="G3965" s="29"/>
      <c r="H3965" s="29"/>
      <c r="I3965" s="29"/>
      <c r="J3965" s="29"/>
      <c r="K3965" s="29"/>
      <c r="L3965" s="29"/>
      <c r="M3965" s="29"/>
      <c r="N3965" s="29"/>
      <c r="O3965" s="29"/>
      <c r="P3965" s="19"/>
      <c r="Q3965" s="14"/>
      <c r="R3965" s="11"/>
    </row>
    <row r="3966" s="1" customFormat="1" ht="21.95" customHeight="1" spans="1:19">
      <c r="A3966" s="7"/>
      <c r="B3966" s="12"/>
      <c r="C3966" s="33"/>
      <c r="D3966" s="29"/>
      <c r="E3966" s="29"/>
      <c r="F3966" s="29"/>
      <c r="G3966" s="29"/>
      <c r="H3966" s="29"/>
      <c r="I3966" s="29"/>
      <c r="J3966" s="29"/>
      <c r="K3966" s="29"/>
      <c r="L3966" s="29"/>
      <c r="M3966" s="29"/>
      <c r="N3966" s="29"/>
      <c r="O3966" s="29"/>
      <c r="P3966" s="19"/>
      <c r="Q3966" s="14"/>
      <c r="R3966" s="11"/>
    </row>
    <row r="3967" s="1" customFormat="1" ht="21.95" customHeight="1" spans="1:19">
      <c r="A3967" s="7"/>
      <c r="B3967" s="12"/>
      <c r="C3967" s="33"/>
      <c r="D3967" s="29"/>
      <c r="E3967" s="29"/>
      <c r="F3967" s="29"/>
      <c r="G3967" s="29"/>
      <c r="H3967" s="29"/>
      <c r="I3967" s="29"/>
      <c r="J3967" s="29"/>
      <c r="K3967" s="29"/>
      <c r="L3967" s="29"/>
      <c r="M3967" s="29"/>
      <c r="N3967" s="29"/>
      <c r="O3967" s="29"/>
      <c r="P3967" s="19"/>
      <c r="Q3967" s="14"/>
      <c r="R3967" s="11"/>
    </row>
    <row r="3968" s="1" customFormat="1" ht="21.95" customHeight="1" spans="1:19">
      <c r="A3968" s="7"/>
      <c r="B3968" s="12"/>
      <c r="C3968" s="33"/>
      <c r="D3968" s="29"/>
      <c r="E3968" s="29"/>
      <c r="F3968" s="29"/>
      <c r="G3968" s="29"/>
      <c r="H3968" s="29"/>
      <c r="I3968" s="29"/>
      <c r="J3968" s="29"/>
      <c r="K3968" s="29"/>
      <c r="L3968" s="29"/>
      <c r="M3968" s="29"/>
      <c r="N3968" s="29"/>
      <c r="O3968" s="29"/>
      <c r="P3968" s="19"/>
      <c r="Q3968" s="14"/>
      <c r="R3968" s="11"/>
    </row>
    <row r="3969" s="1" customFormat="1" ht="21.95" customHeight="1" spans="1:18">
      <c r="A3969" s="7"/>
      <c r="B3969" s="12"/>
      <c r="C3969" s="33"/>
      <c r="D3969" s="29"/>
      <c r="E3969" s="29"/>
      <c r="F3969" s="29"/>
      <c r="G3969" s="29"/>
      <c r="H3969" s="29"/>
      <c r="I3969" s="29"/>
      <c r="J3969" s="29"/>
      <c r="K3969" s="29"/>
      <c r="L3969" s="29"/>
      <c r="M3969" s="29"/>
      <c r="N3969" s="29"/>
      <c r="O3969" s="29"/>
      <c r="P3969" s="19"/>
      <c r="Q3969" s="14"/>
      <c r="R3969" s="11"/>
    </row>
    <row r="3970" s="1" customFormat="1" ht="21.95" customHeight="1" spans="1:18">
      <c r="A3970" s="7"/>
      <c r="B3970" s="12"/>
      <c r="C3970" s="33"/>
      <c r="D3970" s="80" t="s">
        <v>728</v>
      </c>
      <c r="E3970" s="220">
        <f>ENTRY!$D$27</f>
        <v>46102</v>
      </c>
      <c r="F3970" s="220"/>
      <c r="G3970" s="29"/>
      <c r="H3970" s="29"/>
      <c r="I3970" s="221" t="s">
        <v>729</v>
      </c>
      <c r="J3970" s="153"/>
      <c r="K3970" s="29"/>
      <c r="L3970" s="29"/>
      <c r="M3970" s="87" t="s">
        <v>730</v>
      </c>
      <c r="N3970" s="87"/>
      <c r="O3970" s="87"/>
      <c r="P3970" s="19"/>
      <c r="Q3970" s="14"/>
      <c r="R3970" s="11"/>
    </row>
    <row r="3971" s="1" customFormat="1" ht="21.95" customHeight="1" spans="1:18">
      <c r="A3971" s="7"/>
      <c r="B3971" s="12"/>
      <c r="C3971" s="33"/>
      <c r="D3971" s="80" t="s">
        <v>731</v>
      </c>
      <c r="E3971" s="88" t="str">
        <f>PROPER(ENTRY!$D$28)</f>
        <v>New Delhi</v>
      </c>
      <c r="F3971" s="88"/>
      <c r="G3971" s="29"/>
      <c r="H3971" s="29"/>
      <c r="I3971" s="153"/>
      <c r="J3971" s="153"/>
      <c r="K3971" s="29"/>
      <c r="L3971" s="29"/>
      <c r="M3971" s="79" t="s">
        <v>732</v>
      </c>
      <c r="N3971" s="79"/>
      <c r="O3971" s="79"/>
      <c r="P3971" s="19"/>
      <c r="Q3971" s="14"/>
      <c r="R3971" s="11"/>
    </row>
    <row r="3972" s="1" customFormat="1" ht="21.95" customHeight="1" spans="1:18">
      <c r="A3972" s="7"/>
      <c r="B3972" s="12"/>
      <c r="C3972" s="90"/>
      <c r="D3972" s="91"/>
      <c r="E3972" s="91"/>
      <c r="F3972" s="91"/>
      <c r="G3972" s="91"/>
      <c r="H3972" s="91"/>
      <c r="I3972" s="91"/>
      <c r="J3972" s="91"/>
      <c r="K3972" s="91"/>
      <c r="L3972" s="91"/>
      <c r="M3972" s="91"/>
      <c r="N3972" s="91"/>
      <c r="O3972" s="91"/>
      <c r="P3972" s="92"/>
      <c r="Q3972" s="14"/>
      <c r="R3972" s="11"/>
    </row>
    <row r="3973" s="1" customFormat="1" ht="5.1" customHeight="1" spans="1:18">
      <c r="A3973" s="7"/>
      <c r="B3973" s="90"/>
      <c r="C3973" s="91"/>
      <c r="D3973" s="91"/>
      <c r="E3973" s="91"/>
      <c r="F3973" s="91"/>
      <c r="G3973" s="91"/>
      <c r="H3973" s="91"/>
      <c r="I3973" s="91"/>
      <c r="J3973" s="91"/>
      <c r="K3973" s="91"/>
      <c r="L3973" s="91"/>
      <c r="M3973" s="91"/>
      <c r="N3973" s="91"/>
      <c r="O3973" s="91"/>
      <c r="P3973" s="91"/>
      <c r="Q3973" s="92"/>
      <c r="R3973" s="11"/>
    </row>
    <row r="3974" s="1" customFormat="1" ht="5.1" customHeight="1" spans="1:18">
      <c r="A3974" s="93"/>
      <c r="B3974" s="94"/>
      <c r="C3974" s="94"/>
      <c r="D3974" s="94"/>
      <c r="E3974" s="94"/>
      <c r="F3974" s="94"/>
      <c r="G3974" s="94"/>
      <c r="H3974" s="94"/>
      <c r="I3974" s="94"/>
      <c r="J3974" s="94"/>
      <c r="K3974" s="94"/>
      <c r="L3974" s="94"/>
      <c r="M3974" s="94"/>
      <c r="N3974" s="94"/>
      <c r="O3974" s="94"/>
      <c r="P3974" s="94"/>
      <c r="Q3974" s="94"/>
      <c r="R3974" s="95"/>
    </row>
    <row r="3975" s="1" customFormat="1" ht="21.95" customHeight="1"/>
    <row r="3976" ht="15.15"/>
    <row r="3977" s="1" customFormat="1" ht="5.1" customHeight="1" spans="1:18">
      <c r="A3977" s="4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  <c r="O3977" s="5"/>
      <c r="P3977" s="5"/>
      <c r="Q3977" s="5"/>
      <c r="R3977" s="6"/>
    </row>
    <row r="3978" s="1" customFormat="1" ht="15" customHeight="1" spans="1:18">
      <c r="A3978" s="7"/>
      <c r="B3978" s="8"/>
      <c r="C3978" s="9"/>
      <c r="D3978" s="9"/>
      <c r="E3978" s="9"/>
      <c r="F3978" s="9"/>
      <c r="G3978" s="9"/>
      <c r="H3978" s="9"/>
      <c r="I3978" s="9"/>
      <c r="J3978" s="9"/>
      <c r="K3978" s="9"/>
      <c r="L3978" s="9"/>
      <c r="M3978" s="9"/>
      <c r="N3978" s="9"/>
      <c r="O3978" s="9"/>
      <c r="P3978" s="9"/>
      <c r="Q3978" s="10"/>
      <c r="R3978" s="11"/>
    </row>
    <row r="3979" s="1" customFormat="1" ht="21.95" customHeight="1" spans="1:18">
      <c r="A3979" s="7"/>
      <c r="B3979" s="12"/>
      <c r="C3979" s="13" t="s">
        <v>7</v>
      </c>
      <c r="D3979" s="13"/>
      <c r="E3979" s="13"/>
      <c r="F3979" s="13"/>
      <c r="G3979" s="13"/>
      <c r="H3979" s="13"/>
      <c r="I3979" s="13"/>
      <c r="J3979" s="13"/>
      <c r="K3979" s="13"/>
      <c r="L3979" s="13"/>
      <c r="M3979" s="13"/>
      <c r="N3979" s="13"/>
      <c r="O3979" s="13"/>
      <c r="P3979" s="13"/>
      <c r="Q3979" s="14"/>
      <c r="R3979" s="11"/>
    </row>
    <row r="3980" s="1" customFormat="1" ht="21.95" customHeight="1" spans="1:18">
      <c r="A3980" s="7"/>
      <c r="B3980" s="1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14"/>
      <c r="R3980" s="11"/>
    </row>
    <row r="3981" s="1" customFormat="1" ht="21.95" customHeight="1" spans="1:18">
      <c r="A3981" s="7"/>
      <c r="B3981" s="12"/>
      <c r="C3981" s="15" t="str">
        <f>"SESSION-"&amp;ENTRY!$D$11</f>
        <v>SESSION-2026-27</v>
      </c>
      <c r="D3981" s="15"/>
      <c r="E3981" s="15"/>
      <c r="F3981" s="15"/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  <c r="Q3981" s="14"/>
      <c r="R3981" s="11"/>
    </row>
    <row r="3982" s="1" customFormat="1" ht="21.95" customHeight="1" spans="1:18">
      <c r="A3982" s="7"/>
      <c r="B3982" s="12"/>
      <c r="C3982" s="2"/>
      <c r="D3982" s="2"/>
      <c r="E3982" s="2"/>
      <c r="F3982" s="16">
        <f>F3926+1</f>
        <v>72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14"/>
      <c r="R3982" s="11"/>
    </row>
    <row r="3983" s="1" customFormat="1" ht="21.95" customHeight="1" spans="1:18">
      <c r="A3983" s="7"/>
      <c r="B3983" s="12"/>
      <c r="C3983" s="17" t="s">
        <v>392</v>
      </c>
      <c r="D3983" s="17"/>
      <c r="E3983" s="17"/>
      <c r="F3983" s="18" t="str">
        <f>IF(F3982&gt;0,ENTRY!$D$6,"")</f>
        <v>MCP NITHARI NO 1 BOYS</v>
      </c>
      <c r="G3983" s="18"/>
      <c r="H3983" s="18"/>
      <c r="I3983" s="18"/>
      <c r="J3983" s="18"/>
      <c r="K3983" s="18"/>
      <c r="L3983" s="18"/>
      <c r="M3983" s="18"/>
      <c r="N3983" s="18"/>
      <c r="O3983" s="18"/>
      <c r="P3983" s="18"/>
      <c r="Q3983" s="14"/>
      <c r="R3983" s="11"/>
    </row>
    <row r="3984" s="1" customFormat="1" ht="21.95" customHeight="1" spans="1:18">
      <c r="A3984" s="7"/>
      <c r="B3984" s="12"/>
      <c r="C3984" s="17" t="s">
        <v>393</v>
      </c>
      <c r="D3984" s="17"/>
      <c r="E3984" s="17"/>
      <c r="F3984" s="18">
        <f>IF(F3982&gt;0,ENTRY!$D$7,"")</f>
        <v>0</v>
      </c>
      <c r="G3984" s="18"/>
      <c r="H3984" s="20" t="s">
        <v>702</v>
      </c>
      <c r="I3984" s="20"/>
      <c r="J3984" s="21">
        <f>IF(F3982&gt;0,ENTRY!$D$10,"")</f>
        <v>40</v>
      </c>
      <c r="K3984" s="20" t="s">
        <v>703</v>
      </c>
      <c r="L3984" s="22" t="str">
        <f>IF(F3982&gt;0,ENTRY!$D$5,"")</f>
        <v>ROHINI ZONE</v>
      </c>
      <c r="M3984" s="22"/>
      <c r="N3984" s="22"/>
      <c r="O3984" s="22"/>
      <c r="P3984" s="22"/>
      <c r="Q3984" s="14"/>
      <c r="R3984" s="11"/>
    </row>
    <row r="3985" s="1" customFormat="1" ht="21.95" customHeight="1" spans="1:18">
      <c r="A3985" s="7"/>
      <c r="B3985" s="12"/>
      <c r="C3985" s="17" t="s">
        <v>706</v>
      </c>
      <c r="D3985" s="17"/>
      <c r="E3985" s="17"/>
      <c r="F3985" s="23">
        <f>IFERROR(VLOOKUP(F3982,STUDENT!$A$2:$BP$101,5,0),"")</f>
        <v>0</v>
      </c>
      <c r="G3985" s="23"/>
      <c r="H3985" s="23"/>
      <c r="I3985" s="23"/>
      <c r="J3985" s="23"/>
      <c r="K3985" s="23"/>
      <c r="L3985" s="20" t="s">
        <v>707</v>
      </c>
      <c r="M3985" s="20"/>
      <c r="N3985" s="24" t="str">
        <f>IF(F3982&gt;0,ENTRY!$D$20&amp;"-"&amp;ENTRY!$D$21,"")</f>
        <v>III-A</v>
      </c>
      <c r="O3985" s="24"/>
      <c r="P3985" s="24"/>
      <c r="Q3985" s="14"/>
      <c r="R3985" s="11"/>
    </row>
    <row r="3986" s="1" customFormat="1" ht="21.95" customHeight="1" spans="1:18">
      <c r="A3986" s="7"/>
      <c r="B3986" s="12"/>
      <c r="C3986" s="17" t="s">
        <v>708</v>
      </c>
      <c r="D3986" s="17"/>
      <c r="E3986" s="17"/>
      <c r="F3986" s="25">
        <f>IFERROR(VLOOKUP(F3982,STUDENT!$A$2:$BP$101,6,0),"")</f>
        <v>0</v>
      </c>
      <c r="G3986" s="25"/>
      <c r="H3986" s="26" t="s">
        <v>709</v>
      </c>
      <c r="I3986" s="27" t="str">
        <f>IFERROR(VLOOKUP(F3982,STUDENT!$A$2:$BP$101,59,0),"")</f>
        <v/>
      </c>
      <c r="J3986" s="27"/>
      <c r="K3986" s="20" t="s">
        <v>710</v>
      </c>
      <c r="L3986" s="20"/>
      <c r="M3986" s="28">
        <f>IFERROR(VLOOKUP(F3982,STUDENT!$A$2:$BP$101,20,0),"")</f>
        <v>0</v>
      </c>
      <c r="N3986" s="28"/>
      <c r="O3986" s="28"/>
      <c r="P3986" s="28"/>
      <c r="Q3986" s="14"/>
      <c r="R3986" s="11"/>
    </row>
    <row r="3987" s="1" customFormat="1" ht="21.95" customHeight="1" spans="1:18">
      <c r="A3987" s="7"/>
      <c r="B3987" s="12"/>
      <c r="C3987" s="17" t="s">
        <v>711</v>
      </c>
      <c r="D3987" s="17"/>
      <c r="E3987" s="17"/>
      <c r="F3987" s="23">
        <f>IFERROR(VLOOKUP(F3982,STUDENT!$A$2:$BP$101,9,0),"")</f>
        <v>0</v>
      </c>
      <c r="G3987" s="23"/>
      <c r="H3987" s="23"/>
      <c r="I3987" s="23"/>
      <c r="J3987" s="17" t="s">
        <v>620</v>
      </c>
      <c r="K3987" s="17"/>
      <c r="L3987" s="23">
        <f>IFERROR(VLOOKUP(F3982,STUDENT!$A$2:$BP$101,8,0),"")</f>
        <v>0</v>
      </c>
      <c r="M3987" s="23"/>
      <c r="N3987" s="23"/>
      <c r="O3987" s="23"/>
      <c r="P3987" s="23"/>
      <c r="Q3987" s="14"/>
      <c r="R3987" s="11"/>
    </row>
    <row r="3988" s="1" customFormat="1" ht="21.95" customHeight="1" spans="1:18">
      <c r="A3988" s="7"/>
      <c r="B3988" s="12"/>
      <c r="C3988" s="17" t="s">
        <v>712</v>
      </c>
      <c r="D3988" s="17"/>
      <c r="E3988" s="17"/>
      <c r="F3988" s="23">
        <f>IFERROR(VLOOKUP(F3982,STUDENT!$A$2:$BP$101,22,0),"")</f>
        <v>0</v>
      </c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14"/>
      <c r="R3988" s="11"/>
    </row>
    <row r="3989" s="1" customFormat="1" ht="9.95" customHeight="1" spans="1:18">
      <c r="A3989" s="7"/>
      <c r="B3989" s="12"/>
      <c r="C3989" s="29"/>
      <c r="D3989" s="29"/>
      <c r="E3989" s="29"/>
      <c r="F3989" s="29"/>
      <c r="G3989" s="29"/>
      <c r="H3989" s="29"/>
      <c r="I3989" s="29"/>
      <c r="J3989" s="29"/>
      <c r="K3989" s="29"/>
      <c r="L3989" s="29"/>
      <c r="M3989" s="29"/>
      <c r="N3989" s="29"/>
      <c r="O3989" s="29"/>
      <c r="P3989" s="29"/>
      <c r="Q3989" s="14"/>
      <c r="R3989" s="11"/>
    </row>
    <row r="3990" s="1" customFormat="1" ht="9.95" customHeight="1" spans="1:18">
      <c r="A3990" s="7"/>
      <c r="B3990" s="12"/>
      <c r="C3990" s="30"/>
      <c r="D3990" s="31"/>
      <c r="E3990" s="31"/>
      <c r="F3990" s="31"/>
      <c r="G3990" s="31"/>
      <c r="H3990" s="31"/>
      <c r="I3990" s="31"/>
      <c r="J3990" s="31"/>
      <c r="K3990" s="31"/>
      <c r="L3990" s="31"/>
      <c r="M3990" s="31"/>
      <c r="N3990" s="31"/>
      <c r="O3990" s="31"/>
      <c r="P3990" s="32"/>
      <c r="Q3990" s="14"/>
      <c r="R3990" s="11"/>
    </row>
    <row r="3991" s="1" customFormat="1" ht="21.95" customHeight="1" spans="1:18">
      <c r="A3991" s="7"/>
      <c r="B3991" s="12"/>
      <c r="C3991" s="33"/>
      <c r="D3991" s="34" t="s">
        <v>713</v>
      </c>
      <c r="E3991" s="20" t="s">
        <v>714</v>
      </c>
      <c r="F3991" s="35" t="str">
        <f>"Level - "&amp;IFERROR(VLOOKUP(F3982,FLN!$A$4:$K$103,9,0),"")</f>
        <v>Level - </v>
      </c>
      <c r="G3991" s="36"/>
      <c r="H3991" s="37" t="s">
        <v>715</v>
      </c>
      <c r="I3991" s="20"/>
      <c r="J3991" s="35" t="str">
        <f>"Level - "&amp;IFERROR(VLOOKUP(F3982,FLN!$A$4:$K$103,11,0),"")</f>
        <v>Level - </v>
      </c>
      <c r="K3991" s="36"/>
      <c r="L3991" s="37" t="s">
        <v>408</v>
      </c>
      <c r="M3991" s="20"/>
      <c r="N3991" s="35" t="str">
        <f>"Level - "&amp;IFERROR(VLOOKUP(F3982,FLN!$A$4:$K$103,10,0),"")</f>
        <v>Level - </v>
      </c>
      <c r="O3991" s="36"/>
      <c r="P3991" s="19"/>
      <c r="Q3991" s="14"/>
      <c r="R3991" s="11"/>
    </row>
    <row r="3992" s="1" customFormat="1" ht="21.95" customHeight="1" spans="1:18">
      <c r="A3992" s="7"/>
      <c r="B3992" s="12"/>
      <c r="C3992" s="33"/>
      <c r="D3992" s="38"/>
      <c r="E3992" s="20" t="s">
        <v>716</v>
      </c>
      <c r="F3992" s="18" t="str">
        <f>IF(L4006&gt;197,"PERFORMED WELL","")</f>
        <v/>
      </c>
      <c r="G3992" s="18"/>
      <c r="H3992" s="18"/>
      <c r="I3992" s="18"/>
      <c r="J3992" s="18"/>
      <c r="K3992" s="18"/>
      <c r="L3992" s="18"/>
      <c r="M3992" s="18"/>
      <c r="N3992" s="18"/>
      <c r="O3992" s="18"/>
      <c r="P3992" s="19"/>
      <c r="Q3992" s="14"/>
      <c r="R3992" s="11"/>
    </row>
    <row r="3993" s="1" customFormat="1" ht="9.95" customHeight="1" spans="1:18">
      <c r="A3993" s="7"/>
      <c r="B3993" s="12"/>
      <c r="C3993" s="39"/>
      <c r="D3993" s="40"/>
      <c r="E3993" s="40"/>
      <c r="F3993" s="40"/>
      <c r="G3993" s="40"/>
      <c r="H3993" s="40"/>
      <c r="I3993" s="40"/>
      <c r="J3993" s="40"/>
      <c r="K3993" s="40"/>
      <c r="L3993" s="40"/>
      <c r="M3993" s="40"/>
      <c r="N3993" s="40"/>
      <c r="O3993" s="40"/>
      <c r="P3993" s="41"/>
      <c r="Q3993" s="14"/>
      <c r="R3993" s="11"/>
    </row>
    <row r="3994" s="1" customFormat="1" ht="9.95" customHeight="1" spans="1:18">
      <c r="A3994" s="7"/>
      <c r="B3994" s="12"/>
      <c r="C3994" s="29"/>
      <c r="D3994" s="29"/>
      <c r="E3994" s="29"/>
      <c r="F3994" s="29"/>
      <c r="G3994" s="29"/>
      <c r="H3994" s="29"/>
      <c r="I3994" s="29"/>
      <c r="J3994" s="29"/>
      <c r="K3994" s="29"/>
      <c r="L3994" s="29"/>
      <c r="M3994" s="29"/>
      <c r="N3994" s="29"/>
      <c r="O3994" s="29"/>
      <c r="P3994" s="29"/>
      <c r="Q3994" s="14"/>
      <c r="R3994" s="11"/>
    </row>
    <row r="3995" s="1" customFormat="1" ht="9.95" customHeight="1" spans="1:18">
      <c r="A3995" s="7"/>
      <c r="B3995" s="12"/>
      <c r="C3995" s="30"/>
      <c r="D3995" s="31"/>
      <c r="E3995" s="31"/>
      <c r="F3995" s="31"/>
      <c r="G3995" s="31"/>
      <c r="H3995" s="31"/>
      <c r="I3995" s="31"/>
      <c r="J3995" s="31"/>
      <c r="K3995" s="31"/>
      <c r="L3995" s="31"/>
      <c r="M3995" s="31"/>
      <c r="N3995" s="31"/>
      <c r="O3995" s="31"/>
      <c r="P3995" s="32"/>
      <c r="Q3995" s="14"/>
      <c r="R3995" s="11"/>
    </row>
    <row r="3996" s="1" customFormat="1" ht="21.95" customHeight="1" spans="1:18">
      <c r="A3996" s="7"/>
      <c r="B3996" s="12"/>
      <c r="C3996" s="33"/>
      <c r="D3996" s="35"/>
      <c r="E3996" s="24"/>
      <c r="F3996" s="24"/>
      <c r="G3996" s="47" t="s">
        <v>717</v>
      </c>
      <c r="H3996" s="47"/>
      <c r="I3996" s="47"/>
      <c r="J3996" s="47"/>
      <c r="K3996" s="47"/>
      <c r="L3996" s="47"/>
      <c r="M3996" s="47"/>
      <c r="N3996" s="47"/>
      <c r="O3996" s="29"/>
      <c r="P3996" s="19"/>
      <c r="Q3996" s="14"/>
      <c r="R3996" s="11"/>
    </row>
    <row r="3997" s="1" customFormat="1" ht="21.95" customHeight="1" spans="1:18">
      <c r="A3997" s="7"/>
      <c r="B3997" s="12"/>
      <c r="C3997" s="33"/>
      <c r="D3997" s="47"/>
      <c r="E3997" s="47"/>
      <c r="F3997" s="47"/>
      <c r="G3997" s="47" t="s">
        <v>541</v>
      </c>
      <c r="H3997" s="47" t="s">
        <v>542</v>
      </c>
      <c r="I3997" s="47" t="s">
        <v>543</v>
      </c>
      <c r="J3997" s="47" t="s">
        <v>544</v>
      </c>
      <c r="K3997" s="47" t="s">
        <v>561</v>
      </c>
      <c r="L3997" s="47" t="s">
        <v>382</v>
      </c>
      <c r="M3997" s="49" t="s">
        <v>546</v>
      </c>
      <c r="N3997" s="49"/>
      <c r="O3997" s="29"/>
      <c r="P3997" s="19"/>
      <c r="Q3997" s="14"/>
      <c r="R3997" s="11"/>
    </row>
    <row r="3998" s="1" customFormat="1" ht="21.95" customHeight="1" spans="1:18">
      <c r="A3998" s="7"/>
      <c r="B3998" s="12"/>
      <c r="C3998" s="33"/>
      <c r="D3998" s="207" t="s">
        <v>652</v>
      </c>
      <c r="E3998" s="207"/>
      <c r="F3998" s="207"/>
      <c r="G3998" s="50">
        <v>10</v>
      </c>
      <c r="H3998" s="50">
        <v>10</v>
      </c>
      <c r="I3998" s="50">
        <v>10</v>
      </c>
      <c r="J3998" s="50">
        <v>10</v>
      </c>
      <c r="K3998" s="50">
        <v>60</v>
      </c>
      <c r="L3998" s="50">
        <v>100</v>
      </c>
      <c r="M3998" s="49"/>
      <c r="N3998" s="49"/>
      <c r="O3998" s="29"/>
      <c r="P3998" s="19"/>
      <c r="Q3998" s="14"/>
      <c r="R3998" s="11"/>
    </row>
    <row r="3999" s="1" customFormat="1" ht="21.95" customHeight="1" spans="1:18">
      <c r="A3999" s="7"/>
      <c r="B3999" s="12"/>
      <c r="C3999" s="33"/>
      <c r="D3999" s="117" t="s">
        <v>668</v>
      </c>
      <c r="E3999" s="117"/>
      <c r="F3999" s="117"/>
      <c r="G3999" s="54" t="str">
        <f>IFERROR(VLOOKUP(F3982,'1to4-2.1-RR'!$A$12:$BG$111,9,0),"")</f>
        <v/>
      </c>
      <c r="H3999" s="54" t="str">
        <f>IFERROR(VLOOKUP(F3982,'1to4-2.1-RR'!$A$12:$BG$111,10,0),"")</f>
        <v/>
      </c>
      <c r="I3999" s="54" t="str">
        <f>IFERROR(VLOOKUP(F3982,'1to4-2.1-RR'!$A$12:$BG$111,11,0),"")</f>
        <v/>
      </c>
      <c r="J3999" s="54" t="str">
        <f>IFERROR(VLOOKUP(F3982,'1to4-2.1-RR'!$A$12:$BG$111,12,0),"")</f>
        <v/>
      </c>
      <c r="K3999" s="54" t="str">
        <f>IFERROR(VLOOKUP(F3982,'1to4-2.1-RR'!$A$12:$BG$111,13,0),"")</f>
        <v/>
      </c>
      <c r="L3999" s="55">
        <f>SUM(G3999:K3999)</f>
        <v>0</v>
      </c>
      <c r="M3999" s="56" t="str">
        <f>IF(F3982&gt;ENTRY!$D$24,"",IF(L3999=0,"Ab",IF(L3999&gt;80,"A",IF(L3999&gt;60,"B",IF(L3999&gt;44,"C",IF(L3999&gt;=33,"D",IF(L3999&lt;=32,"E","")))))))</f>
        <v/>
      </c>
      <c r="N3999" s="56"/>
      <c r="O3999" s="29"/>
      <c r="P3999" s="19"/>
      <c r="Q3999" s="14"/>
      <c r="R3999" s="11"/>
    </row>
    <row r="4000" s="1" customFormat="1" ht="21.95" customHeight="1" spans="1:18">
      <c r="A4000" s="7"/>
      <c r="B4000" s="12"/>
      <c r="C4000" s="33"/>
      <c r="D4000" s="117" t="s">
        <v>513</v>
      </c>
      <c r="E4000" s="117"/>
      <c r="F4000" s="117"/>
      <c r="G4000" s="54" t="str">
        <f>IFERROR(VLOOKUP(F3982,'1to4-2.1-RR'!$A$12:$BG$111,16,0),"")</f>
        <v/>
      </c>
      <c r="H4000" s="54" t="str">
        <f>IFERROR(VLOOKUP(F3982,'1to4-2.1-RR'!$A$12:$BG$111,17,0),"")</f>
        <v/>
      </c>
      <c r="I4000" s="54" t="str">
        <f>IFERROR(VLOOKUP(F3982,'1to4-2.1-RR'!$A$12:$BG$111,18,0),"")</f>
        <v/>
      </c>
      <c r="J4000" s="54" t="str">
        <f>IFERROR(VLOOKUP(F3982,'1to4-2.1-RR'!$A$12:$BG$111,19,0),"")</f>
        <v/>
      </c>
      <c r="K4000" s="54" t="str">
        <f>IFERROR(VLOOKUP(F3982,'1to4-2.1-RR'!$A$12:$BG$111,20,0),"")</f>
        <v/>
      </c>
      <c r="L4000" s="55">
        <f t="shared" ref="L4000:L4005" si="142">SUM(G4000:K4000)</f>
        <v>0</v>
      </c>
      <c r="M4000" s="56" t="str">
        <f>IF(F3982&gt;ENTRY!$D$24,"",IF(L4000=0,"Ab",IF(L4000&gt;80,"A",IF(L4000&gt;60,"B",IF(L4000&gt;44,"C",IF(L4000&gt;=33,"D",IF(L4000&lt;=32,"E","")))))))</f>
        <v/>
      </c>
      <c r="N4000" s="56"/>
      <c r="O4000" s="29"/>
      <c r="P4000" s="19"/>
      <c r="Q4000" s="14"/>
      <c r="R4000" s="11"/>
    </row>
    <row r="4001" s="1" customFormat="1" ht="21.95" customHeight="1" spans="1:19">
      <c r="A4001" s="7"/>
      <c r="B4001" s="12"/>
      <c r="C4001" s="33"/>
      <c r="D4001" s="117" t="s">
        <v>718</v>
      </c>
      <c r="E4001" s="117"/>
      <c r="F4001" s="117"/>
      <c r="G4001" s="54" t="str">
        <f>IFERROR(VLOOKUP(F3982,'1to4-2.1-RR'!$A$12:$BG$111,23,0),"")</f>
        <v/>
      </c>
      <c r="H4001" s="54" t="str">
        <f>IFERROR(VLOOKUP(F3982,'1to4-2.1-RR'!$A$12:$BG$111,24,0),"")</f>
        <v/>
      </c>
      <c r="I4001" s="54" t="str">
        <f>IFERROR(VLOOKUP(F3982,'1to4-2.1-RR'!$A$12:$BG$111,25,0),"")</f>
        <v/>
      </c>
      <c r="J4001" s="54" t="str">
        <f>IFERROR(VLOOKUP(F3982,'1to4-2.1-RR'!$A$12:$BG$111,26,0),"")</f>
        <v/>
      </c>
      <c r="K4001" s="54" t="str">
        <f>IFERROR(VLOOKUP(F3982,'1to4-2.1-RR'!$A$12:$BG$111,27,0),"")</f>
        <v/>
      </c>
      <c r="L4001" s="55">
        <f t="shared" si="142"/>
        <v>0</v>
      </c>
      <c r="M4001" s="56" t="str">
        <f>IF(F3982&gt;ENTRY!$D$24,"",IF(L4001=0,"Ab",IF(L4001&gt;80,"A",IF(L4001&gt;60,"B",IF(L4001&gt;44,"C",IF(L4001&gt;=33,"D",IF(L4001&lt;=32,"E","")))))))</f>
        <v/>
      </c>
      <c r="N4001" s="56"/>
      <c r="O4001" s="29"/>
      <c r="P4001" s="19"/>
      <c r="Q4001" s="14"/>
      <c r="R4001" s="11"/>
    </row>
    <row r="4002" s="1" customFormat="1" ht="21.95" customHeight="1" spans="1:19">
      <c r="A4002" s="7"/>
      <c r="B4002" s="12"/>
      <c r="C4002" s="33"/>
      <c r="D4002" s="117" t="s">
        <v>719</v>
      </c>
      <c r="E4002" s="117"/>
      <c r="F4002" s="117"/>
      <c r="G4002" s="54" t="str">
        <f>IFERROR(VLOOKUP(F3982,'1to4-2.1-RR'!$A$12:$BG$111,30,0),"")</f>
        <v/>
      </c>
      <c r="H4002" s="54" t="str">
        <f>IFERROR(VLOOKUP(F3982,'1to4-2.1-RR'!$A$12:$BG$111,31,0),"")</f>
        <v/>
      </c>
      <c r="I4002" s="54" t="str">
        <f>IFERROR(VLOOKUP(F3982,'1to4-2.1-RR'!$A$12:$BG$111,32,0),"")</f>
        <v/>
      </c>
      <c r="J4002" s="54" t="str">
        <f>IFERROR(VLOOKUP(F3982,'1to4-2.1-RR'!$A$12:$BG$111,33,0),"")</f>
        <v/>
      </c>
      <c r="K4002" s="54" t="str">
        <f>IFERROR(VLOOKUP(F3982,'1to4-2.1-RR'!$A$12:$BG$111,34,0),"")</f>
        <v/>
      </c>
      <c r="L4002" s="55">
        <f t="shared" si="142"/>
        <v>0</v>
      </c>
      <c r="M4002" s="56" t="str">
        <f>IF(F3982&gt;ENTRY!$D$24,"",IF(L4002=0,"Ab",IF(L4002&gt;80,"A",IF(L4002&gt;60,"B",IF(L4002&gt;44,"C",IF(L4002&gt;=33,"D",IF(L4002&lt;=32,"E","")))))))</f>
        <v/>
      </c>
      <c r="N4002" s="56"/>
      <c r="O4002" s="29"/>
      <c r="P4002" s="19"/>
      <c r="Q4002" s="14"/>
      <c r="R4002" s="11"/>
    </row>
    <row r="4003" s="1" customFormat="1" ht="21.95" customHeight="1" spans="1:19">
      <c r="A4003" s="7"/>
      <c r="B4003" s="12"/>
      <c r="C4003" s="33"/>
      <c r="D4003" s="117" t="s">
        <v>548</v>
      </c>
      <c r="E4003" s="117"/>
      <c r="F4003" s="117"/>
      <c r="G4003" s="54" t="str">
        <f>IFERROR(VLOOKUP(F3982,'1to4-2.1-RR'!$A$12:$BG$111,37,0),"")</f>
        <v/>
      </c>
      <c r="H4003" s="54" t="str">
        <f>IFERROR(VLOOKUP(F3982,'1to4-2.1-RR'!$A$12:$BG$111,38,0),"")</f>
        <v/>
      </c>
      <c r="I4003" s="54" t="str">
        <f>IFERROR(VLOOKUP(F3982,'1to4-2.1-RR'!$A$12:$BG$111,39,0),"")</f>
        <v/>
      </c>
      <c r="J4003" s="54" t="str">
        <f>IFERROR(VLOOKUP(F3982,'1to4-2.1-RR'!$A$12:$BG$111,40,0),"")</f>
        <v/>
      </c>
      <c r="K4003" s="54" t="str">
        <f>IFERROR(VLOOKUP(F3982,'1to4-2.1-RR'!$A$12:$BG$111,41,0),"")</f>
        <v/>
      </c>
      <c r="L4003" s="55">
        <f t="shared" si="142"/>
        <v>0</v>
      </c>
      <c r="M4003" s="56" t="str">
        <f>IF(F3982&gt;ENTRY!$D$24,"",IF(L4003=0,"Ab",IF(L4003&gt;80,"A",IF(L4003&gt;60,"B",IF(L4003&gt;44,"C",IF(L4003&gt;=33,"D",IF(L4003&lt;=32,"E","")))))))</f>
        <v/>
      </c>
      <c r="N4003" s="56"/>
      <c r="O4003" s="29"/>
      <c r="P4003" s="19"/>
      <c r="Q4003" s="14"/>
      <c r="R4003" s="11"/>
    </row>
    <row r="4004" s="1" customFormat="1" ht="21.95" customHeight="1" spans="1:19">
      <c r="A4004" s="7"/>
      <c r="B4004" s="12"/>
      <c r="C4004" s="33"/>
      <c r="D4004" s="117" t="s">
        <v>549</v>
      </c>
      <c r="E4004" s="117"/>
      <c r="F4004" s="117"/>
      <c r="G4004" s="54" t="str">
        <f>IFERROR(VLOOKUP(F3982,'1to4-2.1-RR'!$A$12:$BG$111,44,0),"")</f>
        <v/>
      </c>
      <c r="H4004" s="54" t="str">
        <f>IFERROR(VLOOKUP(F3982,'1to4-2.1-RR'!$A$12:$BG$111,45,0),"")</f>
        <v/>
      </c>
      <c r="I4004" s="54" t="str">
        <f>IFERROR(VLOOKUP(F3982,'1to4-2.1-RR'!$A$12:$BG$111,46,0),"")</f>
        <v/>
      </c>
      <c r="J4004" s="54" t="str">
        <f>IFERROR(VLOOKUP(F3982,'1to4-2.1-RR'!$A$12:$BG$111,47,0),"")</f>
        <v/>
      </c>
      <c r="K4004" s="54" t="str">
        <f>IFERROR(VLOOKUP(F3982,'1to4-2.1-RR'!$A$12:$BG$111,48,0),"")</f>
        <v/>
      </c>
      <c r="L4004" s="55">
        <f t="shared" si="142"/>
        <v>0</v>
      </c>
      <c r="M4004" s="56" t="str">
        <f>IF(F3982&gt;ENTRY!$D$24,"",IF(L4004=0,"Ab",IF(L4004&gt;80,"A",IF(L4004&gt;60,"B",IF(L4004&gt;44,"C",IF(L4004&gt;=33,"D",IF(L4004&lt;=32,"E","")))))))</f>
        <v/>
      </c>
      <c r="N4004" s="56"/>
      <c r="O4004" s="29"/>
      <c r="P4004" s="19"/>
      <c r="Q4004" s="14"/>
      <c r="R4004" s="11"/>
    </row>
    <row r="4005" s="1" customFormat="1" ht="21.95" customHeight="1" spans="1:19">
      <c r="A4005" s="7"/>
      <c r="B4005" s="12"/>
      <c r="C4005" s="33"/>
      <c r="D4005" s="117" t="s">
        <v>720</v>
      </c>
      <c r="E4005" s="117"/>
      <c r="F4005" s="117"/>
      <c r="G4005" s="54"/>
      <c r="H4005" s="54"/>
      <c r="I4005" s="54"/>
      <c r="J4005" s="54"/>
      <c r="K4005" s="54"/>
      <c r="L4005" s="55">
        <f t="shared" si="142"/>
        <v>0</v>
      </c>
      <c r="M4005" s="56" t="str">
        <f>IF(F3982&gt;ENTRY!$D$24,"",IF(L4005=0,"",IF(L4005&gt;79,"A",IF(L4005&gt;59,"B",IF(L4005&gt;44,"C",IF(L4005&gt;=33,"D",IF(L4005&lt;=32,"E","")))))))</f>
        <v/>
      </c>
      <c r="N4005" s="56"/>
      <c r="O4005" s="29"/>
      <c r="P4005" s="19"/>
      <c r="Q4005" s="14"/>
      <c r="R4005" s="11"/>
    </row>
    <row r="4006" s="1" customFormat="1" ht="21.95" customHeight="1" spans="1:19">
      <c r="A4006" s="7"/>
      <c r="B4006" s="12"/>
      <c r="C4006" s="33"/>
      <c r="D4006" s="207" t="s">
        <v>382</v>
      </c>
      <c r="E4006" s="207"/>
      <c r="F4006" s="207"/>
      <c r="G4006" s="54">
        <f t="shared" ref="G4006:L4006" si="143">IFERROR(SUM(G3999:G4005),"")</f>
        <v>0</v>
      </c>
      <c r="H4006" s="54">
        <f t="shared" si="143"/>
        <v>0</v>
      </c>
      <c r="I4006" s="54">
        <f t="shared" si="143"/>
        <v>0</v>
      </c>
      <c r="J4006" s="54">
        <f t="shared" si="143"/>
        <v>0</v>
      </c>
      <c r="K4006" s="54">
        <f t="shared" si="143"/>
        <v>0</v>
      </c>
      <c r="L4006" s="55">
        <f t="shared" si="143"/>
        <v>0</v>
      </c>
      <c r="M4006" s="61" t="str">
        <f>IF(F3982&gt;ENTRY!$D$24,"",IF(N4007="Ab","Ab",IF(N4007&gt;79.5,"A",IF(N4007&gt;59.5,"B",IF(N4007&gt;44.5,"C",IF(N4007&gt;=33,"D",IF(N4007&lt;33,"E","")))))))</f>
        <v/>
      </c>
      <c r="N4006" s="61"/>
      <c r="O4006" s="29"/>
      <c r="P4006" s="19"/>
      <c r="Q4006" s="14"/>
      <c r="R4006" s="11"/>
    </row>
    <row r="4007" s="1" customFormat="1" ht="21.95" customHeight="1" spans="1:19">
      <c r="A4007" s="7"/>
      <c r="B4007" s="12"/>
      <c r="C4007" s="33"/>
      <c r="D4007" s="63" t="s">
        <v>721</v>
      </c>
      <c r="E4007" s="63"/>
      <c r="F4007" s="63"/>
      <c r="G4007" s="63"/>
      <c r="H4007" s="63"/>
      <c r="I4007" s="63"/>
      <c r="J4007" s="63"/>
      <c r="K4007" s="63"/>
      <c r="L4007" s="63"/>
      <c r="M4007" s="209"/>
      <c r="N4007" s="64">
        <f>IF(L4006="Ab","Ab",L4006/6)</f>
        <v>0</v>
      </c>
      <c r="O4007" s="65"/>
      <c r="P4007" s="19"/>
      <c r="Q4007" s="14"/>
      <c r="R4007" s="11"/>
    </row>
    <row r="4008" s="1" customFormat="1" ht="21.95" customHeight="1" spans="1:19">
      <c r="A4008" s="7"/>
      <c r="B4008" s="12"/>
      <c r="C4008" s="33"/>
      <c r="D4008" s="29" t="s">
        <v>716</v>
      </c>
      <c r="E4008" s="18" t="str">
        <f>IFERROR(VLOOKUP(F3982,'1to4-2.1-RR'!$A$12:$BG$111,57,0),"")</f>
        <v/>
      </c>
      <c r="F4008" s="18"/>
      <c r="G4008" s="18"/>
      <c r="H4008" s="18"/>
      <c r="I4008" s="18"/>
      <c r="J4008" s="18"/>
      <c r="K4008" s="18"/>
      <c r="L4008" s="18"/>
      <c r="M4008" s="18"/>
      <c r="N4008" s="29"/>
      <c r="O4008" s="29"/>
      <c r="P4008" s="19"/>
      <c r="Q4008" s="14"/>
      <c r="R4008" s="11"/>
    </row>
    <row r="4009" s="1" customFormat="1" ht="9.95" customHeight="1" spans="1:19">
      <c r="A4009" s="7"/>
      <c r="B4009" s="12"/>
      <c r="C4009" s="39"/>
      <c r="D4009" s="40"/>
      <c r="E4009" s="40"/>
      <c r="F4009" s="40"/>
      <c r="G4009" s="40"/>
      <c r="H4009" s="40"/>
      <c r="I4009" s="40"/>
      <c r="J4009" s="40"/>
      <c r="K4009" s="40"/>
      <c r="L4009" s="40"/>
      <c r="M4009" s="40"/>
      <c r="N4009" s="40"/>
      <c r="O4009" s="40"/>
      <c r="P4009" s="41"/>
      <c r="Q4009" s="14"/>
      <c r="R4009" s="11"/>
    </row>
    <row r="4010" s="1" customFormat="1" ht="9.95" customHeight="1" spans="1:19">
      <c r="A4010" s="7"/>
      <c r="B4010" s="12"/>
      <c r="C4010" s="30"/>
      <c r="D4010" s="31"/>
      <c r="E4010" s="31"/>
      <c r="F4010" s="29"/>
      <c r="G4010" s="31"/>
      <c r="H4010" s="31"/>
      <c r="I4010" s="31"/>
      <c r="J4010" s="31"/>
      <c r="K4010" s="31"/>
      <c r="L4010" s="31"/>
      <c r="M4010" s="31"/>
      <c r="N4010" s="31"/>
      <c r="O4010" s="31"/>
      <c r="P4010" s="32"/>
      <c r="Q4010" s="14"/>
      <c r="R4010" s="11"/>
    </row>
    <row r="4011" s="1" customFormat="1" ht="9.95" customHeight="1" spans="1:19">
      <c r="A4011" s="7"/>
      <c r="B4011" s="12"/>
      <c r="C4011" s="33"/>
      <c r="D4011" s="29"/>
      <c r="E4011" s="29"/>
      <c r="F4011" s="29"/>
      <c r="G4011" s="29"/>
      <c r="H4011" s="29"/>
      <c r="I4011" s="29"/>
      <c r="J4011" s="29"/>
      <c r="K4011" s="29"/>
      <c r="L4011" s="29"/>
      <c r="M4011" s="29"/>
      <c r="N4011" s="29"/>
      <c r="O4011" s="29"/>
      <c r="P4011" s="19"/>
      <c r="Q4011" s="14"/>
      <c r="R4011" s="11"/>
    </row>
    <row r="4012" s="1" customFormat="1" ht="9.95" customHeight="1" spans="1:19">
      <c r="A4012" s="7"/>
      <c r="B4012" s="12"/>
      <c r="C4012" s="33"/>
      <c r="D4012" s="29"/>
      <c r="E4012" s="29"/>
      <c r="F4012" s="29"/>
      <c r="G4012" s="29"/>
      <c r="H4012" s="29"/>
      <c r="I4012" s="29"/>
      <c r="J4012" s="29"/>
      <c r="K4012" s="29"/>
      <c r="L4012" s="29"/>
      <c r="M4012" s="29"/>
      <c r="N4012" s="29"/>
      <c r="O4012" s="29"/>
      <c r="P4012" s="19"/>
      <c r="Q4012" s="14"/>
      <c r="R4012" s="11"/>
    </row>
    <row r="4013" s="1" customFormat="1" ht="21.95" customHeight="1" spans="1:19">
      <c r="A4013" s="7"/>
      <c r="B4013" s="12"/>
      <c r="C4013" s="210"/>
      <c r="D4013" s="211"/>
      <c r="E4013" s="211"/>
      <c r="F4013" s="211"/>
      <c r="G4013" s="211"/>
      <c r="H4013" s="211"/>
      <c r="I4013" s="211"/>
      <c r="J4013" s="211"/>
      <c r="K4013" s="211"/>
      <c r="L4013" s="211"/>
      <c r="M4013" s="211"/>
      <c r="N4013" s="211"/>
      <c r="O4013" s="211"/>
      <c r="P4013" s="212"/>
      <c r="Q4013" s="14"/>
      <c r="R4013" s="11"/>
      <c r="S4013" s="2"/>
    </row>
    <row r="4014" s="1" customFormat="1" ht="21.95" customHeight="1" spans="1:19">
      <c r="A4014" s="7"/>
      <c r="B4014" s="12"/>
      <c r="C4014" s="33"/>
      <c r="D4014" s="207" t="s">
        <v>722</v>
      </c>
      <c r="E4014" s="207"/>
      <c r="F4014" s="207"/>
      <c r="G4014" s="207"/>
      <c r="H4014" s="54">
        <f>IFERROR(VLOOKUP(F3982,PASHEET!$A$4:$CJ$103,88,0),"")</f>
        <v>0</v>
      </c>
      <c r="I4014" s="54"/>
      <c r="J4014" s="29"/>
      <c r="K4014" s="29"/>
      <c r="L4014" s="29"/>
      <c r="M4014" s="29"/>
      <c r="N4014" s="29"/>
      <c r="O4014" s="29"/>
      <c r="P4014" s="19"/>
      <c r="Q4014" s="14"/>
      <c r="R4014" s="11"/>
    </row>
    <row r="4015" s="1" customFormat="1" ht="21.95" customHeight="1" spans="1:19">
      <c r="A4015" s="7"/>
      <c r="B4015" s="12"/>
      <c r="C4015" s="213"/>
      <c r="D4015" s="207" t="s">
        <v>723</v>
      </c>
      <c r="E4015" s="207"/>
      <c r="F4015" s="207"/>
      <c r="G4015" s="207"/>
      <c r="H4015" s="54">
        <f>IFERROR(VLOOKUP(F3982,PASHEET!$A$4:$CJ$103,87,0),"")</f>
        <v>0</v>
      </c>
      <c r="I4015" s="54"/>
      <c r="J4015" s="214"/>
      <c r="K4015" s="214"/>
      <c r="L4015" s="207" t="s">
        <v>724</v>
      </c>
      <c r="M4015" s="207"/>
      <c r="N4015" s="117" t="str">
        <f>IF(F3982&gt;ENTRY!$D$24,"",IF(F3982&gt;0,L4006&amp;" / "&amp;600,""))</f>
        <v/>
      </c>
      <c r="O4015" s="117"/>
      <c r="P4015" s="215"/>
      <c r="Q4015" s="14"/>
      <c r="R4015" s="11"/>
    </row>
    <row r="4016" s="1" customFormat="1" ht="18" customHeight="1" spans="1:19">
      <c r="A4016" s="7"/>
      <c r="B4016" s="12"/>
      <c r="C4016" s="33"/>
      <c r="D4016" s="207" t="s">
        <v>725</v>
      </c>
      <c r="E4016" s="207"/>
      <c r="F4016" s="207"/>
      <c r="G4016" s="207"/>
      <c r="H4016" s="69" t="str">
        <f>IFERROR(IF(F3982&gt;0,H4015/H4014*100),"")</f>
        <v/>
      </c>
      <c r="I4016" s="69"/>
      <c r="J4016" s="29"/>
      <c r="K4016" s="29"/>
      <c r="L4016" s="207" t="s">
        <v>726</v>
      </c>
      <c r="M4016" s="207"/>
      <c r="N4016" s="216" t="str">
        <f>IF(F3982&gt;ENTRY!$D$24,"",IF(F3982&gt;0,L4006/600*100,""))</f>
        <v/>
      </c>
      <c r="O4016" s="216"/>
      <c r="P4016" s="19"/>
      <c r="Q4016" s="14"/>
      <c r="R4016" s="11"/>
    </row>
    <row r="4017" s="1" customFormat="1" ht="21.95" customHeight="1" spans="1:18">
      <c r="A4017" s="7"/>
      <c r="B4017" s="12"/>
      <c r="C4017" s="33"/>
      <c r="D4017" s="80"/>
      <c r="E4017" s="80"/>
      <c r="F4017" s="217"/>
      <c r="G4017" s="217"/>
      <c r="H4017" s="217"/>
      <c r="I4017" s="217"/>
      <c r="J4017" s="217"/>
      <c r="K4017" s="217"/>
      <c r="L4017" s="217"/>
      <c r="M4017" s="217"/>
      <c r="N4017" s="80"/>
      <c r="O4017" s="80"/>
      <c r="P4017" s="19"/>
      <c r="Q4017" s="14"/>
      <c r="R4017" s="11"/>
    </row>
    <row r="4018" s="1" customFormat="1" ht="21.95" customHeight="1" spans="1:18">
      <c r="A4018" s="7"/>
      <c r="B4018" s="12"/>
      <c r="C4018" s="33"/>
      <c r="D4018" s="80"/>
      <c r="E4018" s="218"/>
      <c r="F4018" s="218"/>
      <c r="G4018" s="218"/>
      <c r="H4018" s="80"/>
      <c r="I4018" s="218"/>
      <c r="J4018" s="218"/>
      <c r="K4018" s="218"/>
      <c r="L4018" s="218"/>
      <c r="M4018" s="80"/>
      <c r="N4018" s="219"/>
      <c r="O4018" s="219"/>
      <c r="P4018" s="19"/>
      <c r="Q4018" s="14"/>
      <c r="R4018" s="11"/>
    </row>
    <row r="4019" s="1" customFormat="1" ht="21.95" customHeight="1" spans="1:18">
      <c r="A4019" s="7"/>
      <c r="B4019" s="12"/>
      <c r="C4019" s="33"/>
      <c r="D4019" s="80"/>
      <c r="E4019" s="80"/>
      <c r="F4019" s="80"/>
      <c r="G4019" s="80"/>
      <c r="H4019" s="80"/>
      <c r="I4019" s="80"/>
      <c r="J4019" s="80"/>
      <c r="K4019" s="80"/>
      <c r="L4019" s="80"/>
      <c r="M4019" s="80"/>
      <c r="N4019" s="80"/>
      <c r="O4019" s="80"/>
      <c r="P4019" s="19"/>
      <c r="Q4019" s="14"/>
      <c r="R4019" s="11"/>
    </row>
    <row r="4020" s="1" customFormat="1" ht="21.95" customHeight="1" spans="1:18">
      <c r="A4020" s="7"/>
      <c r="B4020" s="12"/>
      <c r="C4020" s="33"/>
      <c r="D4020" s="218"/>
      <c r="E4020" s="218"/>
      <c r="F4020" s="218"/>
      <c r="G4020" s="218"/>
      <c r="H4020" s="218"/>
      <c r="I4020" s="218"/>
      <c r="J4020" s="218"/>
      <c r="K4020" s="218"/>
      <c r="L4020" s="218"/>
      <c r="M4020" s="80"/>
      <c r="N4020" s="217"/>
      <c r="O4020" s="217"/>
      <c r="P4020" s="85" t="s">
        <v>727</v>
      </c>
      <c r="Q4020" s="14"/>
      <c r="R4020" s="11"/>
    </row>
    <row r="4021" s="1" customFormat="1" ht="21.95" customHeight="1" spans="1:18">
      <c r="A4021" s="7"/>
      <c r="B4021" s="12"/>
      <c r="C4021" s="33"/>
      <c r="D4021" s="29"/>
      <c r="E4021" s="29"/>
      <c r="F4021" s="29"/>
      <c r="G4021" s="29"/>
      <c r="H4021" s="29"/>
      <c r="I4021" s="29"/>
      <c r="J4021" s="29"/>
      <c r="K4021" s="29"/>
      <c r="L4021" s="29"/>
      <c r="M4021" s="29"/>
      <c r="N4021" s="29"/>
      <c r="O4021" s="29"/>
      <c r="P4021" s="19"/>
      <c r="Q4021" s="14"/>
      <c r="R4021" s="11"/>
    </row>
    <row r="4022" s="1" customFormat="1" ht="21.95" customHeight="1" spans="1:18">
      <c r="A4022" s="7"/>
      <c r="B4022" s="12"/>
      <c r="C4022" s="33"/>
      <c r="D4022" s="29"/>
      <c r="E4022" s="29"/>
      <c r="F4022" s="29"/>
      <c r="G4022" s="29"/>
      <c r="H4022" s="29"/>
      <c r="I4022" s="29"/>
      <c r="J4022" s="29"/>
      <c r="K4022" s="29"/>
      <c r="L4022" s="29"/>
      <c r="M4022" s="29"/>
      <c r="N4022" s="29"/>
      <c r="O4022" s="29"/>
      <c r="P4022" s="19"/>
      <c r="Q4022" s="14"/>
      <c r="R4022" s="11"/>
    </row>
    <row r="4023" s="1" customFormat="1" ht="21.95" customHeight="1" spans="1:18">
      <c r="A4023" s="7"/>
      <c r="B4023" s="12"/>
      <c r="C4023" s="33"/>
      <c r="D4023" s="29"/>
      <c r="E4023" s="29"/>
      <c r="F4023" s="29"/>
      <c r="G4023" s="29"/>
      <c r="H4023" s="29"/>
      <c r="I4023" s="29"/>
      <c r="J4023" s="29"/>
      <c r="K4023" s="29"/>
      <c r="L4023" s="29"/>
      <c r="M4023" s="29"/>
      <c r="N4023" s="29"/>
      <c r="O4023" s="29"/>
      <c r="P4023" s="19"/>
      <c r="Q4023" s="14"/>
      <c r="R4023" s="11"/>
    </row>
    <row r="4024" s="1" customFormat="1" ht="21.95" customHeight="1" spans="1:18">
      <c r="A4024" s="7"/>
      <c r="B4024" s="12"/>
      <c r="C4024" s="33"/>
      <c r="D4024" s="29"/>
      <c r="E4024" s="29"/>
      <c r="F4024" s="29"/>
      <c r="G4024" s="29"/>
      <c r="H4024" s="29"/>
      <c r="I4024" s="29"/>
      <c r="J4024" s="29"/>
      <c r="K4024" s="29"/>
      <c r="L4024" s="29"/>
      <c r="M4024" s="29"/>
      <c r="N4024" s="29"/>
      <c r="O4024" s="29"/>
      <c r="P4024" s="19"/>
      <c r="Q4024" s="14"/>
      <c r="R4024" s="11"/>
    </row>
    <row r="4025" s="1" customFormat="1" ht="21.95" customHeight="1" spans="1:18">
      <c r="A4025" s="7"/>
      <c r="B4025" s="12"/>
      <c r="C4025" s="33"/>
      <c r="D4025" s="29"/>
      <c r="E4025" s="29"/>
      <c r="F4025" s="29"/>
      <c r="G4025" s="29"/>
      <c r="H4025" s="29"/>
      <c r="I4025" s="29"/>
      <c r="J4025" s="29"/>
      <c r="K4025" s="29"/>
      <c r="L4025" s="29"/>
      <c r="M4025" s="29"/>
      <c r="N4025" s="29"/>
      <c r="O4025" s="29"/>
      <c r="P4025" s="19"/>
      <c r="Q4025" s="14"/>
      <c r="R4025" s="11"/>
    </row>
    <row r="4026" s="1" customFormat="1" ht="21.95" customHeight="1" spans="1:18">
      <c r="A4026" s="7"/>
      <c r="B4026" s="12"/>
      <c r="C4026" s="33"/>
      <c r="D4026" s="80" t="s">
        <v>728</v>
      </c>
      <c r="E4026" s="220">
        <f>ENTRY!$D$27</f>
        <v>46102</v>
      </c>
      <c r="F4026" s="220"/>
      <c r="G4026" s="29"/>
      <c r="H4026" s="29"/>
      <c r="I4026" s="221" t="s">
        <v>729</v>
      </c>
      <c r="J4026" s="153"/>
      <c r="K4026" s="29"/>
      <c r="L4026" s="29"/>
      <c r="M4026" s="87" t="s">
        <v>730</v>
      </c>
      <c r="N4026" s="87"/>
      <c r="O4026" s="87"/>
      <c r="P4026" s="19"/>
      <c r="Q4026" s="14"/>
      <c r="R4026" s="11"/>
    </row>
    <row r="4027" s="1" customFormat="1" ht="21.95" customHeight="1" spans="1:18">
      <c r="A4027" s="7"/>
      <c r="B4027" s="12"/>
      <c r="C4027" s="33"/>
      <c r="D4027" s="80" t="s">
        <v>731</v>
      </c>
      <c r="E4027" s="88" t="str">
        <f>PROPER(ENTRY!$D$28)</f>
        <v>New Delhi</v>
      </c>
      <c r="F4027" s="88"/>
      <c r="G4027" s="29"/>
      <c r="H4027" s="29"/>
      <c r="I4027" s="153"/>
      <c r="J4027" s="153"/>
      <c r="K4027" s="29"/>
      <c r="L4027" s="29"/>
      <c r="M4027" s="79" t="s">
        <v>732</v>
      </c>
      <c r="N4027" s="79"/>
      <c r="O4027" s="79"/>
      <c r="P4027" s="19"/>
      <c r="Q4027" s="14"/>
      <c r="R4027" s="11"/>
    </row>
    <row r="4028" s="1" customFormat="1" ht="21.95" customHeight="1" spans="1:18">
      <c r="A4028" s="7"/>
      <c r="B4028" s="12"/>
      <c r="C4028" s="90"/>
      <c r="D4028" s="91"/>
      <c r="E4028" s="91"/>
      <c r="F4028" s="91"/>
      <c r="G4028" s="91"/>
      <c r="H4028" s="91"/>
      <c r="I4028" s="91"/>
      <c r="J4028" s="91"/>
      <c r="K4028" s="91"/>
      <c r="L4028" s="91"/>
      <c r="M4028" s="91"/>
      <c r="N4028" s="91"/>
      <c r="O4028" s="91"/>
      <c r="P4028" s="92"/>
      <c r="Q4028" s="14"/>
      <c r="R4028" s="11"/>
    </row>
    <row r="4029" s="1" customFormat="1" ht="5.1" customHeight="1" spans="1:18">
      <c r="A4029" s="7"/>
      <c r="B4029" s="90"/>
      <c r="C4029" s="91"/>
      <c r="D4029" s="91"/>
      <c r="E4029" s="91"/>
      <c r="F4029" s="91"/>
      <c r="G4029" s="91"/>
      <c r="H4029" s="91"/>
      <c r="I4029" s="91"/>
      <c r="J4029" s="91"/>
      <c r="K4029" s="91"/>
      <c r="L4029" s="91"/>
      <c r="M4029" s="91"/>
      <c r="N4029" s="91"/>
      <c r="O4029" s="91"/>
      <c r="P4029" s="91"/>
      <c r="Q4029" s="92"/>
      <c r="R4029" s="11"/>
    </row>
    <row r="4030" s="1" customFormat="1" ht="5.1" customHeight="1" spans="1:18">
      <c r="A4030" s="93"/>
      <c r="B4030" s="94"/>
      <c r="C4030" s="94"/>
      <c r="D4030" s="94"/>
      <c r="E4030" s="94"/>
      <c r="F4030" s="94"/>
      <c r="G4030" s="94"/>
      <c r="H4030" s="94"/>
      <c r="I4030" s="94"/>
      <c r="J4030" s="94"/>
      <c r="K4030" s="94"/>
      <c r="L4030" s="94"/>
      <c r="M4030" s="94"/>
      <c r="N4030" s="94"/>
      <c r="O4030" s="94"/>
      <c r="P4030" s="94"/>
      <c r="Q4030" s="94"/>
      <c r="R4030" s="95"/>
    </row>
    <row r="4031" s="1" customFormat="1" ht="21.95" customHeight="1"/>
    <row r="4032" ht="15.15"/>
    <row r="4033" s="1" customFormat="1" ht="5.1" customHeight="1" spans="1:18">
      <c r="A4033" s="4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  <c r="O4033" s="5"/>
      <c r="P4033" s="5"/>
      <c r="Q4033" s="5"/>
      <c r="R4033" s="6"/>
    </row>
    <row r="4034" s="1" customFormat="1" ht="15" customHeight="1" spans="1:18">
      <c r="A4034" s="7"/>
      <c r="B4034" s="8"/>
      <c r="C4034" s="9"/>
      <c r="D4034" s="9"/>
      <c r="E4034" s="9"/>
      <c r="F4034" s="9"/>
      <c r="G4034" s="9"/>
      <c r="H4034" s="9"/>
      <c r="I4034" s="9"/>
      <c r="J4034" s="9"/>
      <c r="K4034" s="9"/>
      <c r="L4034" s="9"/>
      <c r="M4034" s="9"/>
      <c r="N4034" s="9"/>
      <c r="O4034" s="9"/>
      <c r="P4034" s="9"/>
      <c r="Q4034" s="10"/>
      <c r="R4034" s="11"/>
    </row>
    <row r="4035" s="1" customFormat="1" ht="21.95" customHeight="1" spans="1:18">
      <c r="A4035" s="7"/>
      <c r="B4035" s="12"/>
      <c r="C4035" s="13" t="s">
        <v>7</v>
      </c>
      <c r="D4035" s="13"/>
      <c r="E4035" s="13"/>
      <c r="F4035" s="13"/>
      <c r="G4035" s="13"/>
      <c r="H4035" s="13"/>
      <c r="I4035" s="13"/>
      <c r="J4035" s="13"/>
      <c r="K4035" s="13"/>
      <c r="L4035" s="13"/>
      <c r="M4035" s="13"/>
      <c r="N4035" s="13"/>
      <c r="O4035" s="13"/>
      <c r="P4035" s="13"/>
      <c r="Q4035" s="14"/>
      <c r="R4035" s="11"/>
    </row>
    <row r="4036" s="1" customFormat="1" ht="21.95" customHeight="1" spans="1:18">
      <c r="A4036" s="7"/>
      <c r="B4036" s="1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14"/>
      <c r="R4036" s="11"/>
    </row>
    <row r="4037" s="1" customFormat="1" ht="21.95" customHeight="1" spans="1:18">
      <c r="A4037" s="7"/>
      <c r="B4037" s="12"/>
      <c r="C4037" s="15" t="str">
        <f>"SESSION-"&amp;ENTRY!$D$11</f>
        <v>SESSION-2026-27</v>
      </c>
      <c r="D4037" s="15"/>
      <c r="E4037" s="15"/>
      <c r="F4037" s="15"/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  <c r="Q4037" s="14"/>
      <c r="R4037" s="11"/>
    </row>
    <row r="4038" s="1" customFormat="1" ht="21.95" customHeight="1" spans="1:18">
      <c r="A4038" s="7"/>
      <c r="B4038" s="12"/>
      <c r="C4038" s="2"/>
      <c r="D4038" s="2"/>
      <c r="E4038" s="2"/>
      <c r="F4038" s="16">
        <f>F3982+1</f>
        <v>73</v>
      </c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14"/>
      <c r="R4038" s="11"/>
    </row>
    <row r="4039" s="1" customFormat="1" ht="21.95" customHeight="1" spans="1:18">
      <c r="A4039" s="7"/>
      <c r="B4039" s="12"/>
      <c r="C4039" s="17" t="s">
        <v>392</v>
      </c>
      <c r="D4039" s="17"/>
      <c r="E4039" s="17"/>
      <c r="F4039" s="18" t="str">
        <f>IF(F4038&gt;0,ENTRY!$D$6,"")</f>
        <v>MCP NITHARI NO 1 BOYS</v>
      </c>
      <c r="G4039" s="18"/>
      <c r="H4039" s="18"/>
      <c r="I4039" s="18"/>
      <c r="J4039" s="18"/>
      <c r="K4039" s="18"/>
      <c r="L4039" s="18"/>
      <c r="M4039" s="18"/>
      <c r="N4039" s="18"/>
      <c r="O4039" s="18"/>
      <c r="P4039" s="18"/>
      <c r="Q4039" s="14"/>
      <c r="R4039" s="11"/>
    </row>
    <row r="4040" s="1" customFormat="1" ht="21.95" customHeight="1" spans="1:18">
      <c r="A4040" s="7"/>
      <c r="B4040" s="12"/>
      <c r="C4040" s="17" t="s">
        <v>393</v>
      </c>
      <c r="D4040" s="17"/>
      <c r="E4040" s="17"/>
      <c r="F4040" s="18">
        <f>IF(F4038&gt;0,ENTRY!$D$7,"")</f>
        <v>0</v>
      </c>
      <c r="G4040" s="18"/>
      <c r="H4040" s="20" t="s">
        <v>702</v>
      </c>
      <c r="I4040" s="20"/>
      <c r="J4040" s="21">
        <f>IF(F4038&gt;0,ENTRY!$D$10,"")</f>
        <v>40</v>
      </c>
      <c r="K4040" s="20" t="s">
        <v>703</v>
      </c>
      <c r="L4040" s="22" t="str">
        <f>IF(F4038&gt;0,ENTRY!$D$5,"")</f>
        <v>ROHINI ZONE</v>
      </c>
      <c r="M4040" s="22"/>
      <c r="N4040" s="22"/>
      <c r="O4040" s="22"/>
      <c r="P4040" s="22"/>
      <c r="Q4040" s="14"/>
      <c r="R4040" s="11"/>
    </row>
    <row r="4041" s="1" customFormat="1" ht="21.95" customHeight="1" spans="1:18">
      <c r="A4041" s="7"/>
      <c r="B4041" s="12"/>
      <c r="C4041" s="17" t="s">
        <v>706</v>
      </c>
      <c r="D4041" s="17"/>
      <c r="E4041" s="17"/>
      <c r="F4041" s="23">
        <f>IFERROR(VLOOKUP(F4038,STUDENT!$A$2:$BP$101,5,0),"")</f>
        <v>0</v>
      </c>
      <c r="G4041" s="23"/>
      <c r="H4041" s="23"/>
      <c r="I4041" s="23"/>
      <c r="J4041" s="23"/>
      <c r="K4041" s="23"/>
      <c r="L4041" s="20" t="s">
        <v>707</v>
      </c>
      <c r="M4041" s="20"/>
      <c r="N4041" s="24" t="str">
        <f>IF(F4038&gt;0,ENTRY!$D$20&amp;"-"&amp;ENTRY!$D$21,"")</f>
        <v>III-A</v>
      </c>
      <c r="O4041" s="24"/>
      <c r="P4041" s="24"/>
      <c r="Q4041" s="14"/>
      <c r="R4041" s="11"/>
    </row>
    <row r="4042" s="1" customFormat="1" ht="21.95" customHeight="1" spans="1:18">
      <c r="A4042" s="7"/>
      <c r="B4042" s="12"/>
      <c r="C4042" s="17" t="s">
        <v>708</v>
      </c>
      <c r="D4042" s="17"/>
      <c r="E4042" s="17"/>
      <c r="F4042" s="25">
        <f>IFERROR(VLOOKUP(F4038,STUDENT!$A$2:$BP$101,6,0),"")</f>
        <v>0</v>
      </c>
      <c r="G4042" s="25"/>
      <c r="H4042" s="26" t="s">
        <v>709</v>
      </c>
      <c r="I4042" s="27" t="str">
        <f>IFERROR(VLOOKUP(F4038,STUDENT!$A$2:$BP$101,59,0),"")</f>
        <v/>
      </c>
      <c r="J4042" s="27"/>
      <c r="K4042" s="20" t="s">
        <v>710</v>
      </c>
      <c r="L4042" s="20"/>
      <c r="M4042" s="28">
        <f>IFERROR(VLOOKUP(F4038,STUDENT!$A$2:$BP$101,20,0),"")</f>
        <v>0</v>
      </c>
      <c r="N4042" s="28"/>
      <c r="O4042" s="28"/>
      <c r="P4042" s="28"/>
      <c r="Q4042" s="14"/>
      <c r="R4042" s="11"/>
    </row>
    <row r="4043" s="1" customFormat="1" ht="21.95" customHeight="1" spans="1:18">
      <c r="A4043" s="7"/>
      <c r="B4043" s="12"/>
      <c r="C4043" s="17" t="s">
        <v>711</v>
      </c>
      <c r="D4043" s="17"/>
      <c r="E4043" s="17"/>
      <c r="F4043" s="23">
        <f>IFERROR(VLOOKUP(F4038,STUDENT!$A$2:$BP$101,9,0),"")</f>
        <v>0</v>
      </c>
      <c r="G4043" s="23"/>
      <c r="H4043" s="23"/>
      <c r="I4043" s="23"/>
      <c r="J4043" s="17" t="s">
        <v>620</v>
      </c>
      <c r="K4043" s="17"/>
      <c r="L4043" s="23">
        <f>IFERROR(VLOOKUP(F4038,STUDENT!$A$2:$BP$101,8,0),"")</f>
        <v>0</v>
      </c>
      <c r="M4043" s="23"/>
      <c r="N4043" s="23"/>
      <c r="O4043" s="23"/>
      <c r="P4043" s="23"/>
      <c r="Q4043" s="14"/>
      <c r="R4043" s="11"/>
    </row>
    <row r="4044" s="1" customFormat="1" ht="21.95" customHeight="1" spans="1:18">
      <c r="A4044" s="7"/>
      <c r="B4044" s="12"/>
      <c r="C4044" s="17" t="s">
        <v>712</v>
      </c>
      <c r="D4044" s="17"/>
      <c r="E4044" s="17"/>
      <c r="F4044" s="23">
        <f>IFERROR(VLOOKUP(F4038,STUDENT!$A$2:$BP$101,22,0),"")</f>
        <v>0</v>
      </c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14"/>
      <c r="R4044" s="11"/>
    </row>
    <row r="4045" s="1" customFormat="1" ht="9.95" customHeight="1" spans="1:18">
      <c r="A4045" s="7"/>
      <c r="B4045" s="12"/>
      <c r="C4045" s="29"/>
      <c r="D4045" s="29"/>
      <c r="E4045" s="29"/>
      <c r="F4045" s="29"/>
      <c r="G4045" s="29"/>
      <c r="H4045" s="29"/>
      <c r="I4045" s="29"/>
      <c r="J4045" s="29"/>
      <c r="K4045" s="29"/>
      <c r="L4045" s="29"/>
      <c r="M4045" s="29"/>
      <c r="N4045" s="29"/>
      <c r="O4045" s="29"/>
      <c r="P4045" s="29"/>
      <c r="Q4045" s="14"/>
      <c r="R4045" s="11"/>
    </row>
    <row r="4046" s="1" customFormat="1" ht="9.95" customHeight="1" spans="1:18">
      <c r="A4046" s="7"/>
      <c r="B4046" s="12"/>
      <c r="C4046" s="30"/>
      <c r="D4046" s="31"/>
      <c r="E4046" s="31"/>
      <c r="F4046" s="31"/>
      <c r="G4046" s="31"/>
      <c r="H4046" s="31"/>
      <c r="I4046" s="31"/>
      <c r="J4046" s="31"/>
      <c r="K4046" s="31"/>
      <c r="L4046" s="31"/>
      <c r="M4046" s="31"/>
      <c r="N4046" s="31"/>
      <c r="O4046" s="31"/>
      <c r="P4046" s="32"/>
      <c r="Q4046" s="14"/>
      <c r="R4046" s="11"/>
    </row>
    <row r="4047" s="1" customFormat="1" ht="21.95" customHeight="1" spans="1:18">
      <c r="A4047" s="7"/>
      <c r="B4047" s="12"/>
      <c r="C4047" s="33"/>
      <c r="D4047" s="34" t="s">
        <v>713</v>
      </c>
      <c r="E4047" s="20" t="s">
        <v>714</v>
      </c>
      <c r="F4047" s="35" t="str">
        <f>"Level - "&amp;IFERROR(VLOOKUP(F4038,FLN!$A$4:$K$103,9,0),"")</f>
        <v>Level - </v>
      </c>
      <c r="G4047" s="36"/>
      <c r="H4047" s="37" t="s">
        <v>715</v>
      </c>
      <c r="I4047" s="20"/>
      <c r="J4047" s="35" t="str">
        <f>"Level - "&amp;IFERROR(VLOOKUP(F4038,FLN!$A$4:$K$103,11,0),"")</f>
        <v>Level - </v>
      </c>
      <c r="K4047" s="36"/>
      <c r="L4047" s="37" t="s">
        <v>408</v>
      </c>
      <c r="M4047" s="20"/>
      <c r="N4047" s="35" t="str">
        <f>"Level - "&amp;IFERROR(VLOOKUP(F4038,FLN!$A$4:$K$103,10,0),"")</f>
        <v>Level - </v>
      </c>
      <c r="O4047" s="36"/>
      <c r="P4047" s="19"/>
      <c r="Q4047" s="14"/>
      <c r="R4047" s="11"/>
    </row>
    <row r="4048" s="1" customFormat="1" ht="21.95" customHeight="1" spans="1:18">
      <c r="A4048" s="7"/>
      <c r="B4048" s="12"/>
      <c r="C4048" s="33"/>
      <c r="D4048" s="38"/>
      <c r="E4048" s="20" t="s">
        <v>716</v>
      </c>
      <c r="F4048" s="18" t="str">
        <f>IF(L4062&gt;197,"PERFORMED WELL","")</f>
        <v/>
      </c>
      <c r="G4048" s="18"/>
      <c r="H4048" s="18"/>
      <c r="I4048" s="18"/>
      <c r="J4048" s="18"/>
      <c r="K4048" s="18"/>
      <c r="L4048" s="18"/>
      <c r="M4048" s="18"/>
      <c r="N4048" s="18"/>
      <c r="O4048" s="18"/>
      <c r="P4048" s="19"/>
      <c r="Q4048" s="14"/>
      <c r="R4048" s="11"/>
    </row>
    <row r="4049" s="1" customFormat="1" ht="9.95" customHeight="1" spans="1:18">
      <c r="A4049" s="7"/>
      <c r="B4049" s="12"/>
      <c r="C4049" s="39"/>
      <c r="D4049" s="40"/>
      <c r="E4049" s="40"/>
      <c r="F4049" s="40"/>
      <c r="G4049" s="40"/>
      <c r="H4049" s="40"/>
      <c r="I4049" s="40"/>
      <c r="J4049" s="40"/>
      <c r="K4049" s="40"/>
      <c r="L4049" s="40"/>
      <c r="M4049" s="40"/>
      <c r="N4049" s="40"/>
      <c r="O4049" s="40"/>
      <c r="P4049" s="41"/>
      <c r="Q4049" s="14"/>
      <c r="R4049" s="11"/>
    </row>
    <row r="4050" s="1" customFormat="1" ht="9.95" customHeight="1" spans="1:18">
      <c r="A4050" s="7"/>
      <c r="B4050" s="12"/>
      <c r="C4050" s="29"/>
      <c r="D4050" s="29"/>
      <c r="E4050" s="29"/>
      <c r="F4050" s="29"/>
      <c r="G4050" s="29"/>
      <c r="H4050" s="29"/>
      <c r="I4050" s="29"/>
      <c r="J4050" s="29"/>
      <c r="K4050" s="29"/>
      <c r="L4050" s="29"/>
      <c r="M4050" s="29"/>
      <c r="N4050" s="29"/>
      <c r="O4050" s="29"/>
      <c r="P4050" s="29"/>
      <c r="Q4050" s="14"/>
      <c r="R4050" s="11"/>
    </row>
    <row r="4051" s="1" customFormat="1" ht="9.95" customHeight="1" spans="1:18">
      <c r="A4051" s="7"/>
      <c r="B4051" s="12"/>
      <c r="C4051" s="30"/>
      <c r="D4051" s="31"/>
      <c r="E4051" s="31"/>
      <c r="F4051" s="31"/>
      <c r="G4051" s="31"/>
      <c r="H4051" s="31"/>
      <c r="I4051" s="31"/>
      <c r="J4051" s="31"/>
      <c r="K4051" s="31"/>
      <c r="L4051" s="31"/>
      <c r="M4051" s="31"/>
      <c r="N4051" s="31"/>
      <c r="O4051" s="31"/>
      <c r="P4051" s="32"/>
      <c r="Q4051" s="14"/>
      <c r="R4051" s="11"/>
    </row>
    <row r="4052" s="1" customFormat="1" ht="21.95" customHeight="1" spans="1:18">
      <c r="A4052" s="7"/>
      <c r="B4052" s="12"/>
      <c r="C4052" s="33"/>
      <c r="D4052" s="35"/>
      <c r="E4052" s="24"/>
      <c r="F4052" s="24"/>
      <c r="G4052" s="47" t="s">
        <v>717</v>
      </c>
      <c r="H4052" s="47"/>
      <c r="I4052" s="47"/>
      <c r="J4052" s="47"/>
      <c r="K4052" s="47"/>
      <c r="L4052" s="47"/>
      <c r="M4052" s="47"/>
      <c r="N4052" s="47"/>
      <c r="O4052" s="29"/>
      <c r="P4052" s="19"/>
      <c r="Q4052" s="14"/>
      <c r="R4052" s="11"/>
    </row>
    <row r="4053" s="1" customFormat="1" ht="21.95" customHeight="1" spans="1:18">
      <c r="A4053" s="7"/>
      <c r="B4053" s="12"/>
      <c r="C4053" s="33"/>
      <c r="D4053" s="47"/>
      <c r="E4053" s="47"/>
      <c r="F4053" s="47"/>
      <c r="G4053" s="47" t="s">
        <v>541</v>
      </c>
      <c r="H4053" s="47" t="s">
        <v>542</v>
      </c>
      <c r="I4053" s="47" t="s">
        <v>543</v>
      </c>
      <c r="J4053" s="47" t="s">
        <v>544</v>
      </c>
      <c r="K4053" s="47" t="s">
        <v>561</v>
      </c>
      <c r="L4053" s="47" t="s">
        <v>382</v>
      </c>
      <c r="M4053" s="49" t="s">
        <v>546</v>
      </c>
      <c r="N4053" s="49"/>
      <c r="O4053" s="29"/>
      <c r="P4053" s="19"/>
      <c r="Q4053" s="14"/>
      <c r="R4053" s="11"/>
    </row>
    <row r="4054" s="1" customFormat="1" ht="21.95" customHeight="1" spans="1:18">
      <c r="A4054" s="7"/>
      <c r="B4054" s="12"/>
      <c r="C4054" s="33"/>
      <c r="D4054" s="207" t="s">
        <v>652</v>
      </c>
      <c r="E4054" s="207"/>
      <c r="F4054" s="207"/>
      <c r="G4054" s="50">
        <v>10</v>
      </c>
      <c r="H4054" s="50">
        <v>10</v>
      </c>
      <c r="I4054" s="50">
        <v>10</v>
      </c>
      <c r="J4054" s="50">
        <v>10</v>
      </c>
      <c r="K4054" s="50">
        <v>60</v>
      </c>
      <c r="L4054" s="50">
        <v>100</v>
      </c>
      <c r="M4054" s="49"/>
      <c r="N4054" s="49"/>
      <c r="O4054" s="29"/>
      <c r="P4054" s="19"/>
      <c r="Q4054" s="14"/>
      <c r="R4054" s="11"/>
    </row>
    <row r="4055" s="1" customFormat="1" ht="21.95" customHeight="1" spans="1:18">
      <c r="A4055" s="7"/>
      <c r="B4055" s="12"/>
      <c r="C4055" s="33"/>
      <c r="D4055" s="117" t="s">
        <v>668</v>
      </c>
      <c r="E4055" s="117"/>
      <c r="F4055" s="117"/>
      <c r="G4055" s="54" t="str">
        <f>IFERROR(VLOOKUP(F4038,'1to4-2.1-RR'!$A$12:$BG$111,9,0),"")</f>
        <v/>
      </c>
      <c r="H4055" s="54" t="str">
        <f>IFERROR(VLOOKUP(F4038,'1to4-2.1-RR'!$A$12:$BG$111,10,0),"")</f>
        <v/>
      </c>
      <c r="I4055" s="54" t="str">
        <f>IFERROR(VLOOKUP(F4038,'1to4-2.1-RR'!$A$12:$BG$111,11,0),"")</f>
        <v/>
      </c>
      <c r="J4055" s="54" t="str">
        <f>IFERROR(VLOOKUP(F4038,'1to4-2.1-RR'!$A$12:$BG$111,12,0),"")</f>
        <v/>
      </c>
      <c r="K4055" s="54" t="str">
        <f>IFERROR(VLOOKUP(F4038,'1to4-2.1-RR'!$A$12:$BG$111,13,0),"")</f>
        <v/>
      </c>
      <c r="L4055" s="55">
        <f>SUM(G4055:K4055)</f>
        <v>0</v>
      </c>
      <c r="M4055" s="56" t="str">
        <f>IF(F4038&gt;ENTRY!$D$24,"",IF(L4055=0,"Ab",IF(L4055&gt;80,"A",IF(L4055&gt;60,"B",IF(L4055&gt;44,"C",IF(L4055&gt;=33,"D",IF(L4055&lt;=32,"E","")))))))</f>
        <v/>
      </c>
      <c r="N4055" s="56"/>
      <c r="O4055" s="29"/>
      <c r="P4055" s="19"/>
      <c r="Q4055" s="14"/>
      <c r="R4055" s="11"/>
    </row>
    <row r="4056" s="1" customFormat="1" ht="21.95" customHeight="1" spans="1:18">
      <c r="A4056" s="7"/>
      <c r="B4056" s="12"/>
      <c r="C4056" s="33"/>
      <c r="D4056" s="117" t="s">
        <v>513</v>
      </c>
      <c r="E4056" s="117"/>
      <c r="F4056" s="117"/>
      <c r="G4056" s="54" t="str">
        <f>IFERROR(VLOOKUP(F4038,'1to4-2.1-RR'!$A$12:$BG$111,16,0),"")</f>
        <v/>
      </c>
      <c r="H4056" s="54" t="str">
        <f>IFERROR(VLOOKUP(F4038,'1to4-2.1-RR'!$A$12:$BG$111,17,0),"")</f>
        <v/>
      </c>
      <c r="I4056" s="54" t="str">
        <f>IFERROR(VLOOKUP(F4038,'1to4-2.1-RR'!$A$12:$BG$111,18,0),"")</f>
        <v/>
      </c>
      <c r="J4056" s="54" t="str">
        <f>IFERROR(VLOOKUP(F4038,'1to4-2.1-RR'!$A$12:$BG$111,19,0),"")</f>
        <v/>
      </c>
      <c r="K4056" s="54" t="str">
        <f>IFERROR(VLOOKUP(F4038,'1to4-2.1-RR'!$A$12:$BG$111,20,0),"")</f>
        <v/>
      </c>
      <c r="L4056" s="55">
        <f t="shared" ref="L4056:L4061" si="144">SUM(G4056:K4056)</f>
        <v>0</v>
      </c>
      <c r="M4056" s="56" t="str">
        <f>IF(F4038&gt;ENTRY!$D$24,"",IF(L4056=0,"Ab",IF(L4056&gt;80,"A",IF(L4056&gt;60,"B",IF(L4056&gt;44,"C",IF(L4056&gt;=33,"D",IF(L4056&lt;=32,"E","")))))))</f>
        <v/>
      </c>
      <c r="N4056" s="56"/>
      <c r="O4056" s="29"/>
      <c r="P4056" s="19"/>
      <c r="Q4056" s="14"/>
      <c r="R4056" s="11"/>
    </row>
    <row r="4057" s="1" customFormat="1" ht="21.95" customHeight="1" spans="1:18">
      <c r="A4057" s="7"/>
      <c r="B4057" s="12"/>
      <c r="C4057" s="33"/>
      <c r="D4057" s="117" t="s">
        <v>718</v>
      </c>
      <c r="E4057" s="117"/>
      <c r="F4057" s="117"/>
      <c r="G4057" s="54" t="str">
        <f>IFERROR(VLOOKUP(F4038,'1to4-2.1-RR'!$A$12:$BG$111,23,0),"")</f>
        <v/>
      </c>
      <c r="H4057" s="54" t="str">
        <f>IFERROR(VLOOKUP(F4038,'1to4-2.1-RR'!$A$12:$BG$111,24,0),"")</f>
        <v/>
      </c>
      <c r="I4057" s="54" t="str">
        <f>IFERROR(VLOOKUP(F4038,'1to4-2.1-RR'!$A$12:$BG$111,25,0),"")</f>
        <v/>
      </c>
      <c r="J4057" s="54" t="str">
        <f>IFERROR(VLOOKUP(F4038,'1to4-2.1-RR'!$A$12:$BG$111,26,0),"")</f>
        <v/>
      </c>
      <c r="K4057" s="54" t="str">
        <f>IFERROR(VLOOKUP(F4038,'1to4-2.1-RR'!$A$12:$BG$111,27,0),"")</f>
        <v/>
      </c>
      <c r="L4057" s="55">
        <f t="shared" si="144"/>
        <v>0</v>
      </c>
      <c r="M4057" s="56" t="str">
        <f>IF(F4038&gt;ENTRY!$D$24,"",IF(L4057=0,"Ab",IF(L4057&gt;80,"A",IF(L4057&gt;60,"B",IF(L4057&gt;44,"C",IF(L4057&gt;=33,"D",IF(L4057&lt;=32,"E","")))))))</f>
        <v/>
      </c>
      <c r="N4057" s="56"/>
      <c r="O4057" s="29"/>
      <c r="P4057" s="19"/>
      <c r="Q4057" s="14"/>
      <c r="R4057" s="11"/>
    </row>
    <row r="4058" s="1" customFormat="1" ht="21.95" customHeight="1" spans="1:18">
      <c r="A4058" s="7"/>
      <c r="B4058" s="12"/>
      <c r="C4058" s="33"/>
      <c r="D4058" s="117" t="s">
        <v>719</v>
      </c>
      <c r="E4058" s="117"/>
      <c r="F4058" s="117"/>
      <c r="G4058" s="54" t="str">
        <f>IFERROR(VLOOKUP(F4038,'1to4-2.1-RR'!$A$12:$BG$111,30,0),"")</f>
        <v/>
      </c>
      <c r="H4058" s="54" t="str">
        <f>IFERROR(VLOOKUP(F4038,'1to4-2.1-RR'!$A$12:$BG$111,31,0),"")</f>
        <v/>
      </c>
      <c r="I4058" s="54" t="str">
        <f>IFERROR(VLOOKUP(F4038,'1to4-2.1-RR'!$A$12:$BG$111,32,0),"")</f>
        <v/>
      </c>
      <c r="J4058" s="54" t="str">
        <f>IFERROR(VLOOKUP(F4038,'1to4-2.1-RR'!$A$12:$BG$111,33,0),"")</f>
        <v/>
      </c>
      <c r="K4058" s="54" t="str">
        <f>IFERROR(VLOOKUP(F4038,'1to4-2.1-RR'!$A$12:$BG$111,34,0),"")</f>
        <v/>
      </c>
      <c r="L4058" s="55">
        <f t="shared" si="144"/>
        <v>0</v>
      </c>
      <c r="M4058" s="56" t="str">
        <f>IF(F4038&gt;ENTRY!$D$24,"",IF(L4058=0,"Ab",IF(L4058&gt;80,"A",IF(L4058&gt;60,"B",IF(L4058&gt;44,"C",IF(L4058&gt;=33,"D",IF(L4058&lt;=32,"E","")))))))</f>
        <v/>
      </c>
      <c r="N4058" s="56"/>
      <c r="O4058" s="29"/>
      <c r="P4058" s="19"/>
      <c r="Q4058" s="14"/>
      <c r="R4058" s="11"/>
    </row>
    <row r="4059" s="1" customFormat="1" ht="21.95" customHeight="1" spans="1:18">
      <c r="A4059" s="7"/>
      <c r="B4059" s="12"/>
      <c r="C4059" s="33"/>
      <c r="D4059" s="117" t="s">
        <v>548</v>
      </c>
      <c r="E4059" s="117"/>
      <c r="F4059" s="117"/>
      <c r="G4059" s="54" t="str">
        <f>IFERROR(VLOOKUP(F4038,'1to4-2.1-RR'!$A$12:$BG$111,37,0),"")</f>
        <v/>
      </c>
      <c r="H4059" s="54" t="str">
        <f>IFERROR(VLOOKUP(F4038,'1to4-2.1-RR'!$A$12:$BG$111,38,0),"")</f>
        <v/>
      </c>
      <c r="I4059" s="54" t="str">
        <f>IFERROR(VLOOKUP(F4038,'1to4-2.1-RR'!$A$12:$BG$111,39,0),"")</f>
        <v/>
      </c>
      <c r="J4059" s="54" t="str">
        <f>IFERROR(VLOOKUP(F4038,'1to4-2.1-RR'!$A$12:$BG$111,40,0),"")</f>
        <v/>
      </c>
      <c r="K4059" s="54" t="str">
        <f>IFERROR(VLOOKUP(F4038,'1to4-2.1-RR'!$A$12:$BG$111,41,0),"")</f>
        <v/>
      </c>
      <c r="L4059" s="55">
        <f t="shared" si="144"/>
        <v>0</v>
      </c>
      <c r="M4059" s="56" t="str">
        <f>IF(F4038&gt;ENTRY!$D$24,"",IF(L4059=0,"Ab",IF(L4059&gt;80,"A",IF(L4059&gt;60,"B",IF(L4059&gt;44,"C",IF(L4059&gt;=33,"D",IF(L4059&lt;=32,"E","")))))))</f>
        <v/>
      </c>
      <c r="N4059" s="56"/>
      <c r="O4059" s="29"/>
      <c r="P4059" s="19"/>
      <c r="Q4059" s="14"/>
      <c r="R4059" s="11"/>
    </row>
    <row r="4060" s="1" customFormat="1" ht="21.95" customHeight="1" spans="1:18">
      <c r="A4060" s="7"/>
      <c r="B4060" s="12"/>
      <c r="C4060" s="33"/>
      <c r="D4060" s="117" t="s">
        <v>549</v>
      </c>
      <c r="E4060" s="117"/>
      <c r="F4060" s="117"/>
      <c r="G4060" s="54" t="str">
        <f>IFERROR(VLOOKUP(F4038,'1to4-2.1-RR'!$A$12:$BG$111,44,0),"")</f>
        <v/>
      </c>
      <c r="H4060" s="54" t="str">
        <f>IFERROR(VLOOKUP(F4038,'1to4-2.1-RR'!$A$12:$BG$111,45,0),"")</f>
        <v/>
      </c>
      <c r="I4060" s="54" t="str">
        <f>IFERROR(VLOOKUP(F4038,'1to4-2.1-RR'!$A$12:$BG$111,46,0),"")</f>
        <v/>
      </c>
      <c r="J4060" s="54" t="str">
        <f>IFERROR(VLOOKUP(F4038,'1to4-2.1-RR'!$A$12:$BG$111,47,0),"")</f>
        <v/>
      </c>
      <c r="K4060" s="54" t="str">
        <f>IFERROR(VLOOKUP(F4038,'1to4-2.1-RR'!$A$12:$BG$111,48,0),"")</f>
        <v/>
      </c>
      <c r="L4060" s="55">
        <f t="shared" si="144"/>
        <v>0</v>
      </c>
      <c r="M4060" s="56" t="str">
        <f>IF(F4038&gt;ENTRY!$D$24,"",IF(L4060=0,"Ab",IF(L4060&gt;80,"A",IF(L4060&gt;60,"B",IF(L4060&gt;44,"C",IF(L4060&gt;=33,"D",IF(L4060&lt;=32,"E","")))))))</f>
        <v/>
      </c>
      <c r="N4060" s="56"/>
      <c r="O4060" s="29"/>
      <c r="P4060" s="19"/>
      <c r="Q4060" s="14"/>
      <c r="R4060" s="11"/>
    </row>
    <row r="4061" s="1" customFormat="1" ht="21.95" customHeight="1" spans="1:18">
      <c r="A4061" s="7"/>
      <c r="B4061" s="12"/>
      <c r="C4061" s="33"/>
      <c r="D4061" s="117" t="s">
        <v>720</v>
      </c>
      <c r="E4061" s="117"/>
      <c r="F4061" s="117"/>
      <c r="G4061" s="54"/>
      <c r="H4061" s="54"/>
      <c r="I4061" s="54"/>
      <c r="J4061" s="54"/>
      <c r="K4061" s="54"/>
      <c r="L4061" s="55">
        <f t="shared" si="144"/>
        <v>0</v>
      </c>
      <c r="M4061" s="56" t="str">
        <f>IF(F4038&gt;ENTRY!$D$24,"",IF(L4061=0,"",IF(L4061&gt;79,"A",IF(L4061&gt;59,"B",IF(L4061&gt;44,"C",IF(L4061&gt;=33,"D",IF(L4061&lt;=32,"E","")))))))</f>
        <v/>
      </c>
      <c r="N4061" s="56"/>
      <c r="O4061" s="29"/>
      <c r="P4061" s="19"/>
      <c r="Q4061" s="14"/>
      <c r="R4061" s="11"/>
    </row>
    <row r="4062" s="1" customFormat="1" ht="21.95" customHeight="1" spans="1:18">
      <c r="A4062" s="7"/>
      <c r="B4062" s="12"/>
      <c r="C4062" s="33"/>
      <c r="D4062" s="207" t="s">
        <v>382</v>
      </c>
      <c r="E4062" s="207"/>
      <c r="F4062" s="207"/>
      <c r="G4062" s="54">
        <f t="shared" ref="G4062:L4062" si="145">IFERROR(SUM(G4055:G4061),"")</f>
        <v>0</v>
      </c>
      <c r="H4062" s="54">
        <f t="shared" si="145"/>
        <v>0</v>
      </c>
      <c r="I4062" s="54">
        <f t="shared" si="145"/>
        <v>0</v>
      </c>
      <c r="J4062" s="54">
        <f t="shared" si="145"/>
        <v>0</v>
      </c>
      <c r="K4062" s="54">
        <f t="shared" si="145"/>
        <v>0</v>
      </c>
      <c r="L4062" s="55">
        <f t="shared" si="145"/>
        <v>0</v>
      </c>
      <c r="M4062" s="61" t="str">
        <f>IF(F4038&gt;ENTRY!$D$24,"",IF(N4063="Ab","Ab",IF(N4063&gt;79.5,"A",IF(N4063&gt;59.5,"B",IF(N4063&gt;44.5,"C",IF(N4063&gt;=33,"D",IF(N4063&lt;33,"E","")))))))</f>
        <v/>
      </c>
      <c r="N4062" s="61"/>
      <c r="O4062" s="29"/>
      <c r="P4062" s="19"/>
      <c r="Q4062" s="14"/>
      <c r="R4062" s="11"/>
    </row>
    <row r="4063" s="1" customFormat="1" ht="21.95" customHeight="1" spans="1:18">
      <c r="A4063" s="7"/>
      <c r="B4063" s="12"/>
      <c r="C4063" s="33"/>
      <c r="D4063" s="63" t="s">
        <v>721</v>
      </c>
      <c r="E4063" s="63"/>
      <c r="F4063" s="63"/>
      <c r="G4063" s="63"/>
      <c r="H4063" s="63"/>
      <c r="I4063" s="63"/>
      <c r="J4063" s="63"/>
      <c r="K4063" s="63"/>
      <c r="L4063" s="63"/>
      <c r="M4063" s="209"/>
      <c r="N4063" s="64">
        <f>IF(L4062="Ab","Ab",L4062/6)</f>
        <v>0</v>
      </c>
      <c r="O4063" s="65"/>
      <c r="P4063" s="19"/>
      <c r="Q4063" s="14"/>
      <c r="R4063" s="11"/>
    </row>
    <row r="4064" s="1" customFormat="1" ht="21.95" customHeight="1" spans="1:18">
      <c r="A4064" s="7"/>
      <c r="B4064" s="12"/>
      <c r="C4064" s="33"/>
      <c r="D4064" s="29" t="s">
        <v>716</v>
      </c>
      <c r="E4064" s="18" t="str">
        <f>IFERROR(VLOOKUP(F4038,'1to4-2.1-RR'!$A$12:$BG$111,57,0),"")</f>
        <v/>
      </c>
      <c r="F4064" s="18"/>
      <c r="G4064" s="18"/>
      <c r="H4064" s="18"/>
      <c r="I4064" s="18"/>
      <c r="J4064" s="18"/>
      <c r="K4064" s="18"/>
      <c r="L4064" s="18"/>
      <c r="M4064" s="18"/>
      <c r="N4064" s="29"/>
      <c r="O4064" s="29"/>
      <c r="P4064" s="19"/>
      <c r="Q4064" s="14"/>
      <c r="R4064" s="11"/>
    </row>
    <row r="4065" s="1" customFormat="1" ht="9.95" customHeight="1" spans="1:19">
      <c r="A4065" s="7"/>
      <c r="B4065" s="12"/>
      <c r="C4065" s="39"/>
      <c r="D4065" s="40"/>
      <c r="E4065" s="40"/>
      <c r="F4065" s="40"/>
      <c r="G4065" s="40"/>
      <c r="H4065" s="40"/>
      <c r="I4065" s="40"/>
      <c r="J4065" s="40"/>
      <c r="K4065" s="40"/>
      <c r="L4065" s="40"/>
      <c r="M4065" s="40"/>
      <c r="N4065" s="40"/>
      <c r="O4065" s="40"/>
      <c r="P4065" s="41"/>
      <c r="Q4065" s="14"/>
      <c r="R4065" s="11"/>
    </row>
    <row r="4066" s="1" customFormat="1" ht="9.95" customHeight="1" spans="1:19">
      <c r="A4066" s="7"/>
      <c r="B4066" s="12"/>
      <c r="C4066" s="30"/>
      <c r="D4066" s="31"/>
      <c r="E4066" s="31"/>
      <c r="F4066" s="29"/>
      <c r="G4066" s="31"/>
      <c r="H4066" s="31"/>
      <c r="I4066" s="31"/>
      <c r="J4066" s="31"/>
      <c r="K4066" s="31"/>
      <c r="L4066" s="31"/>
      <c r="M4066" s="31"/>
      <c r="N4066" s="31"/>
      <c r="O4066" s="31"/>
      <c r="P4066" s="32"/>
      <c r="Q4066" s="14"/>
      <c r="R4066" s="11"/>
    </row>
    <row r="4067" s="1" customFormat="1" ht="9.95" customHeight="1" spans="1:19">
      <c r="A4067" s="7"/>
      <c r="B4067" s="12"/>
      <c r="C4067" s="33"/>
      <c r="D4067" s="29"/>
      <c r="E4067" s="29"/>
      <c r="F4067" s="29"/>
      <c r="G4067" s="29"/>
      <c r="H4067" s="29"/>
      <c r="I4067" s="29"/>
      <c r="J4067" s="29"/>
      <c r="K4067" s="29"/>
      <c r="L4067" s="29"/>
      <c r="M4067" s="29"/>
      <c r="N4067" s="29"/>
      <c r="O4067" s="29"/>
      <c r="P4067" s="19"/>
      <c r="Q4067" s="14"/>
      <c r="R4067" s="11"/>
    </row>
    <row r="4068" s="1" customFormat="1" ht="9.95" customHeight="1" spans="1:19">
      <c r="A4068" s="7"/>
      <c r="B4068" s="12"/>
      <c r="C4068" s="33"/>
      <c r="D4068" s="29"/>
      <c r="E4068" s="29"/>
      <c r="F4068" s="29"/>
      <c r="G4068" s="29"/>
      <c r="H4068" s="29"/>
      <c r="I4068" s="29"/>
      <c r="J4068" s="29"/>
      <c r="K4068" s="29"/>
      <c r="L4068" s="29"/>
      <c r="M4068" s="29"/>
      <c r="N4068" s="29"/>
      <c r="O4068" s="29"/>
      <c r="P4068" s="19"/>
      <c r="Q4068" s="14"/>
      <c r="R4068" s="11"/>
    </row>
    <row r="4069" s="1" customFormat="1" ht="21.95" customHeight="1" spans="1:19">
      <c r="A4069" s="7"/>
      <c r="B4069" s="12"/>
      <c r="C4069" s="210"/>
      <c r="D4069" s="211"/>
      <c r="E4069" s="211"/>
      <c r="F4069" s="211"/>
      <c r="G4069" s="211"/>
      <c r="H4069" s="211"/>
      <c r="I4069" s="211"/>
      <c r="J4069" s="211"/>
      <c r="K4069" s="211"/>
      <c r="L4069" s="211"/>
      <c r="M4069" s="211"/>
      <c r="N4069" s="211"/>
      <c r="O4069" s="211"/>
      <c r="P4069" s="212"/>
      <c r="Q4069" s="14"/>
      <c r="R4069" s="11"/>
      <c r="S4069" s="2"/>
    </row>
    <row r="4070" s="1" customFormat="1" ht="21.95" customHeight="1" spans="1:19">
      <c r="A4070" s="7"/>
      <c r="B4070" s="12"/>
      <c r="C4070" s="33"/>
      <c r="D4070" s="207" t="s">
        <v>722</v>
      </c>
      <c r="E4070" s="207"/>
      <c r="F4070" s="207"/>
      <c r="G4070" s="207"/>
      <c r="H4070" s="54">
        <f>IFERROR(VLOOKUP(F4038,PASHEET!$A$4:$CJ$103,88,0),"")</f>
        <v>0</v>
      </c>
      <c r="I4070" s="54"/>
      <c r="J4070" s="29"/>
      <c r="K4070" s="29"/>
      <c r="L4070" s="29"/>
      <c r="M4070" s="29"/>
      <c r="N4070" s="29"/>
      <c r="O4070" s="29"/>
      <c r="P4070" s="19"/>
      <c r="Q4070" s="14"/>
      <c r="R4070" s="11"/>
    </row>
    <row r="4071" s="1" customFormat="1" ht="21.95" customHeight="1" spans="1:19">
      <c r="A4071" s="7"/>
      <c r="B4071" s="12"/>
      <c r="C4071" s="213"/>
      <c r="D4071" s="207" t="s">
        <v>723</v>
      </c>
      <c r="E4071" s="207"/>
      <c r="F4071" s="207"/>
      <c r="G4071" s="207"/>
      <c r="H4071" s="54">
        <f>IFERROR(VLOOKUP(F4038,PASHEET!$A$4:$CJ$103,87,0),"")</f>
        <v>0</v>
      </c>
      <c r="I4071" s="54"/>
      <c r="J4071" s="214"/>
      <c r="K4071" s="214"/>
      <c r="L4071" s="207" t="s">
        <v>724</v>
      </c>
      <c r="M4071" s="207"/>
      <c r="N4071" s="117" t="str">
        <f>IF(F4038&gt;ENTRY!$D$24,"",IF(F4038&gt;0,L4062&amp;" / "&amp;600,""))</f>
        <v/>
      </c>
      <c r="O4071" s="117"/>
      <c r="P4071" s="215"/>
      <c r="Q4071" s="14"/>
      <c r="R4071" s="11"/>
    </row>
    <row r="4072" s="1" customFormat="1" ht="18" customHeight="1" spans="1:19">
      <c r="A4072" s="7"/>
      <c r="B4072" s="12"/>
      <c r="C4072" s="33"/>
      <c r="D4072" s="207" t="s">
        <v>725</v>
      </c>
      <c r="E4072" s="207"/>
      <c r="F4072" s="207"/>
      <c r="G4072" s="207"/>
      <c r="H4072" s="69" t="str">
        <f>IFERROR(IF(F4038&gt;0,H4071/H4070*100),"")</f>
        <v/>
      </c>
      <c r="I4072" s="69"/>
      <c r="J4072" s="29"/>
      <c r="K4072" s="29"/>
      <c r="L4072" s="207" t="s">
        <v>726</v>
      </c>
      <c r="M4072" s="207"/>
      <c r="N4072" s="216" t="str">
        <f>IF(F4038&gt;ENTRY!$D$24,"",IF(F4038&gt;0,L4062/600*100,""))</f>
        <v/>
      </c>
      <c r="O4072" s="216"/>
      <c r="P4072" s="19"/>
      <c r="Q4072" s="14"/>
      <c r="R4072" s="11"/>
    </row>
    <row r="4073" s="1" customFormat="1" ht="21.95" customHeight="1" spans="1:19">
      <c r="A4073" s="7"/>
      <c r="B4073" s="12"/>
      <c r="C4073" s="33"/>
      <c r="D4073" s="80"/>
      <c r="E4073" s="80"/>
      <c r="F4073" s="217"/>
      <c r="G4073" s="217"/>
      <c r="H4073" s="217"/>
      <c r="I4073" s="217"/>
      <c r="J4073" s="217"/>
      <c r="K4073" s="217"/>
      <c r="L4073" s="217"/>
      <c r="M4073" s="217"/>
      <c r="N4073" s="80"/>
      <c r="O4073" s="80"/>
      <c r="P4073" s="19"/>
      <c r="Q4073" s="14"/>
      <c r="R4073" s="11"/>
    </row>
    <row r="4074" s="1" customFormat="1" ht="21.95" customHeight="1" spans="1:19">
      <c r="A4074" s="7"/>
      <c r="B4074" s="12"/>
      <c r="C4074" s="33"/>
      <c r="D4074" s="80"/>
      <c r="E4074" s="218"/>
      <c r="F4074" s="218"/>
      <c r="G4074" s="218"/>
      <c r="H4074" s="80"/>
      <c r="I4074" s="218"/>
      <c r="J4074" s="218"/>
      <c r="K4074" s="218"/>
      <c r="L4074" s="218"/>
      <c r="M4074" s="80"/>
      <c r="N4074" s="219"/>
      <c r="O4074" s="219"/>
      <c r="P4074" s="19"/>
      <c r="Q4074" s="14"/>
      <c r="R4074" s="11"/>
    </row>
    <row r="4075" s="1" customFormat="1" ht="21.95" customHeight="1" spans="1:19">
      <c r="A4075" s="7"/>
      <c r="B4075" s="12"/>
      <c r="C4075" s="33"/>
      <c r="D4075" s="80"/>
      <c r="E4075" s="80"/>
      <c r="F4075" s="80"/>
      <c r="G4075" s="80"/>
      <c r="H4075" s="80"/>
      <c r="I4075" s="80"/>
      <c r="J4075" s="80"/>
      <c r="K4075" s="80"/>
      <c r="L4075" s="80"/>
      <c r="M4075" s="80"/>
      <c r="N4075" s="80"/>
      <c r="O4075" s="80"/>
      <c r="P4075" s="19"/>
      <c r="Q4075" s="14"/>
      <c r="R4075" s="11"/>
    </row>
    <row r="4076" s="1" customFormat="1" ht="21.95" customHeight="1" spans="1:19">
      <c r="A4076" s="7"/>
      <c r="B4076" s="12"/>
      <c r="C4076" s="33"/>
      <c r="D4076" s="218"/>
      <c r="E4076" s="218"/>
      <c r="F4076" s="218"/>
      <c r="G4076" s="218"/>
      <c r="H4076" s="218"/>
      <c r="I4076" s="218"/>
      <c r="J4076" s="218"/>
      <c r="K4076" s="218"/>
      <c r="L4076" s="218"/>
      <c r="M4076" s="80"/>
      <c r="N4076" s="217"/>
      <c r="O4076" s="217"/>
      <c r="P4076" s="85" t="s">
        <v>727</v>
      </c>
      <c r="Q4076" s="14"/>
      <c r="R4076" s="11"/>
    </row>
    <row r="4077" s="1" customFormat="1" ht="21.95" customHeight="1" spans="1:19">
      <c r="A4077" s="7"/>
      <c r="B4077" s="12"/>
      <c r="C4077" s="33"/>
      <c r="D4077" s="29"/>
      <c r="E4077" s="29"/>
      <c r="F4077" s="29"/>
      <c r="G4077" s="29"/>
      <c r="H4077" s="29"/>
      <c r="I4077" s="29"/>
      <c r="J4077" s="29"/>
      <c r="K4077" s="29"/>
      <c r="L4077" s="29"/>
      <c r="M4077" s="29"/>
      <c r="N4077" s="29"/>
      <c r="O4077" s="29"/>
      <c r="P4077" s="19"/>
      <c r="Q4077" s="14"/>
      <c r="R4077" s="11"/>
    </row>
    <row r="4078" s="1" customFormat="1" ht="21.95" customHeight="1" spans="1:19">
      <c r="A4078" s="7"/>
      <c r="B4078" s="12"/>
      <c r="C4078" s="33"/>
      <c r="D4078" s="29"/>
      <c r="E4078" s="29"/>
      <c r="F4078" s="29"/>
      <c r="G4078" s="29"/>
      <c r="H4078" s="29"/>
      <c r="I4078" s="29"/>
      <c r="J4078" s="29"/>
      <c r="K4078" s="29"/>
      <c r="L4078" s="29"/>
      <c r="M4078" s="29"/>
      <c r="N4078" s="29"/>
      <c r="O4078" s="29"/>
      <c r="P4078" s="19"/>
      <c r="Q4078" s="14"/>
      <c r="R4078" s="11"/>
    </row>
    <row r="4079" s="1" customFormat="1" ht="21.95" customHeight="1" spans="1:19">
      <c r="A4079" s="7"/>
      <c r="B4079" s="12"/>
      <c r="C4079" s="33"/>
      <c r="D4079" s="29"/>
      <c r="E4079" s="29"/>
      <c r="F4079" s="29"/>
      <c r="G4079" s="29"/>
      <c r="H4079" s="29"/>
      <c r="I4079" s="29"/>
      <c r="J4079" s="29"/>
      <c r="K4079" s="29"/>
      <c r="L4079" s="29"/>
      <c r="M4079" s="29"/>
      <c r="N4079" s="29"/>
      <c r="O4079" s="29"/>
      <c r="P4079" s="19"/>
      <c r="Q4079" s="14"/>
      <c r="R4079" s="11"/>
    </row>
    <row r="4080" s="1" customFormat="1" ht="21.95" customHeight="1" spans="1:19">
      <c r="A4080" s="7"/>
      <c r="B4080" s="12"/>
      <c r="C4080" s="33"/>
      <c r="D4080" s="29"/>
      <c r="E4080" s="29"/>
      <c r="F4080" s="29"/>
      <c r="G4080" s="29"/>
      <c r="H4080" s="29"/>
      <c r="I4080" s="29"/>
      <c r="J4080" s="29"/>
      <c r="K4080" s="29"/>
      <c r="L4080" s="29"/>
      <c r="M4080" s="29"/>
      <c r="N4080" s="29"/>
      <c r="O4080" s="29"/>
      <c r="P4080" s="19"/>
      <c r="Q4080" s="14"/>
      <c r="R4080" s="11"/>
    </row>
    <row r="4081" s="1" customFormat="1" ht="21.95" customHeight="1" spans="1:18">
      <c r="A4081" s="7"/>
      <c r="B4081" s="12"/>
      <c r="C4081" s="33"/>
      <c r="D4081" s="29"/>
      <c r="E4081" s="29"/>
      <c r="F4081" s="29"/>
      <c r="G4081" s="29"/>
      <c r="H4081" s="29"/>
      <c r="I4081" s="29"/>
      <c r="J4081" s="29"/>
      <c r="K4081" s="29"/>
      <c r="L4081" s="29"/>
      <c r="M4081" s="29"/>
      <c r="N4081" s="29"/>
      <c r="O4081" s="29"/>
      <c r="P4081" s="19"/>
      <c r="Q4081" s="14"/>
      <c r="R4081" s="11"/>
    </row>
    <row r="4082" s="1" customFormat="1" ht="21.95" customHeight="1" spans="1:18">
      <c r="A4082" s="7"/>
      <c r="B4082" s="12"/>
      <c r="C4082" s="33"/>
      <c r="D4082" s="80" t="s">
        <v>728</v>
      </c>
      <c r="E4082" s="220">
        <f>ENTRY!$D$27</f>
        <v>46102</v>
      </c>
      <c r="F4082" s="220"/>
      <c r="G4082" s="29"/>
      <c r="H4082" s="29"/>
      <c r="I4082" s="221" t="s">
        <v>729</v>
      </c>
      <c r="J4082" s="153"/>
      <c r="K4082" s="29"/>
      <c r="L4082" s="29"/>
      <c r="M4082" s="87" t="s">
        <v>730</v>
      </c>
      <c r="N4082" s="87"/>
      <c r="O4082" s="87"/>
      <c r="P4082" s="19"/>
      <c r="Q4082" s="14"/>
      <c r="R4082" s="11"/>
    </row>
    <row r="4083" s="1" customFormat="1" ht="21.95" customHeight="1" spans="1:18">
      <c r="A4083" s="7"/>
      <c r="B4083" s="12"/>
      <c r="C4083" s="33"/>
      <c r="D4083" s="80" t="s">
        <v>731</v>
      </c>
      <c r="E4083" s="88" t="str">
        <f>PROPER(ENTRY!$D$28)</f>
        <v>New Delhi</v>
      </c>
      <c r="F4083" s="88"/>
      <c r="G4083" s="29"/>
      <c r="H4083" s="29"/>
      <c r="I4083" s="153"/>
      <c r="J4083" s="153"/>
      <c r="K4083" s="29"/>
      <c r="L4083" s="29"/>
      <c r="M4083" s="79" t="s">
        <v>732</v>
      </c>
      <c r="N4083" s="79"/>
      <c r="O4083" s="79"/>
      <c r="P4083" s="19"/>
      <c r="Q4083" s="14"/>
      <c r="R4083" s="11"/>
    </row>
    <row r="4084" s="1" customFormat="1" ht="21.95" customHeight="1" spans="1:18">
      <c r="A4084" s="7"/>
      <c r="B4084" s="12"/>
      <c r="C4084" s="90"/>
      <c r="D4084" s="91"/>
      <c r="E4084" s="91"/>
      <c r="F4084" s="91"/>
      <c r="G4084" s="91"/>
      <c r="H4084" s="91"/>
      <c r="I4084" s="91"/>
      <c r="J4084" s="91"/>
      <c r="K4084" s="91"/>
      <c r="L4084" s="91"/>
      <c r="M4084" s="91"/>
      <c r="N4084" s="91"/>
      <c r="O4084" s="91"/>
      <c r="P4084" s="92"/>
      <c r="Q4084" s="14"/>
      <c r="R4084" s="11"/>
    </row>
    <row r="4085" s="1" customFormat="1" ht="5.1" customHeight="1" spans="1:18">
      <c r="A4085" s="7"/>
      <c r="B4085" s="90"/>
      <c r="C4085" s="91"/>
      <c r="D4085" s="91"/>
      <c r="E4085" s="91"/>
      <c r="F4085" s="91"/>
      <c r="G4085" s="91"/>
      <c r="H4085" s="91"/>
      <c r="I4085" s="91"/>
      <c r="J4085" s="91"/>
      <c r="K4085" s="91"/>
      <c r="L4085" s="91"/>
      <c r="M4085" s="91"/>
      <c r="N4085" s="91"/>
      <c r="O4085" s="91"/>
      <c r="P4085" s="91"/>
      <c r="Q4085" s="92"/>
      <c r="R4085" s="11"/>
    </row>
    <row r="4086" s="1" customFormat="1" ht="5.1" customHeight="1" spans="1:18">
      <c r="A4086" s="93"/>
      <c r="B4086" s="94"/>
      <c r="C4086" s="94"/>
      <c r="D4086" s="94"/>
      <c r="E4086" s="94"/>
      <c r="F4086" s="94"/>
      <c r="G4086" s="94"/>
      <c r="H4086" s="94"/>
      <c r="I4086" s="94"/>
      <c r="J4086" s="94"/>
      <c r="K4086" s="94"/>
      <c r="L4086" s="94"/>
      <c r="M4086" s="94"/>
      <c r="N4086" s="94"/>
      <c r="O4086" s="94"/>
      <c r="P4086" s="94"/>
      <c r="Q4086" s="94"/>
      <c r="R4086" s="95"/>
    </row>
    <row r="4087" s="1" customFormat="1" ht="21.95" customHeight="1"/>
    <row r="4088" ht="15.15"/>
    <row r="4089" s="1" customFormat="1" ht="5.1" customHeight="1" spans="1:18">
      <c r="A4089" s="4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  <c r="O4089" s="5"/>
      <c r="P4089" s="5"/>
      <c r="Q4089" s="5"/>
      <c r="R4089" s="6"/>
    </row>
    <row r="4090" s="1" customFormat="1" ht="15" customHeight="1" spans="1:18">
      <c r="A4090" s="7"/>
      <c r="B4090" s="8"/>
      <c r="C4090" s="9"/>
      <c r="D4090" s="9"/>
      <c r="E4090" s="9"/>
      <c r="F4090" s="9"/>
      <c r="G4090" s="9"/>
      <c r="H4090" s="9"/>
      <c r="I4090" s="9"/>
      <c r="J4090" s="9"/>
      <c r="K4090" s="9"/>
      <c r="L4090" s="9"/>
      <c r="M4090" s="9"/>
      <c r="N4090" s="9"/>
      <c r="O4090" s="9"/>
      <c r="P4090" s="9"/>
      <c r="Q4090" s="10"/>
      <c r="R4090" s="11"/>
    </row>
    <row r="4091" s="1" customFormat="1" ht="21.95" customHeight="1" spans="1:18">
      <c r="A4091" s="7"/>
      <c r="B4091" s="12"/>
      <c r="C4091" s="13" t="s">
        <v>7</v>
      </c>
      <c r="D4091" s="13"/>
      <c r="E4091" s="13"/>
      <c r="F4091" s="13"/>
      <c r="G4091" s="13"/>
      <c r="H4091" s="13"/>
      <c r="I4091" s="13"/>
      <c r="J4091" s="13"/>
      <c r="K4091" s="13"/>
      <c r="L4091" s="13"/>
      <c r="M4091" s="13"/>
      <c r="N4091" s="13"/>
      <c r="O4091" s="13"/>
      <c r="P4091" s="13"/>
      <c r="Q4091" s="14"/>
      <c r="R4091" s="11"/>
    </row>
    <row r="4092" s="1" customFormat="1" ht="21.95" customHeight="1" spans="1:18">
      <c r="A4092" s="7"/>
      <c r="B4092" s="1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14"/>
      <c r="R4092" s="11"/>
    </row>
    <row r="4093" s="1" customFormat="1" ht="21.95" customHeight="1" spans="1:18">
      <c r="A4093" s="7"/>
      <c r="B4093" s="12"/>
      <c r="C4093" s="15" t="str">
        <f>"SESSION-"&amp;ENTRY!$D$11</f>
        <v>SESSION-2026-27</v>
      </c>
      <c r="D4093" s="15"/>
      <c r="E4093" s="15"/>
      <c r="F4093" s="15"/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  <c r="Q4093" s="14"/>
      <c r="R4093" s="11"/>
    </row>
    <row r="4094" s="1" customFormat="1" ht="21.95" customHeight="1" spans="1:18">
      <c r="A4094" s="7"/>
      <c r="B4094" s="12"/>
      <c r="C4094" s="2"/>
      <c r="D4094" s="2"/>
      <c r="E4094" s="2"/>
      <c r="F4094" s="16">
        <f>F4038+1</f>
        <v>74</v>
      </c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14"/>
      <c r="R4094" s="11"/>
    </row>
    <row r="4095" s="1" customFormat="1" ht="21.95" customHeight="1" spans="1:18">
      <c r="A4095" s="7"/>
      <c r="B4095" s="12"/>
      <c r="C4095" s="17" t="s">
        <v>392</v>
      </c>
      <c r="D4095" s="17"/>
      <c r="E4095" s="17"/>
      <c r="F4095" s="18" t="str">
        <f>IF(F4094&gt;0,ENTRY!$D$6,"")</f>
        <v>MCP NITHARI NO 1 BOYS</v>
      </c>
      <c r="G4095" s="18"/>
      <c r="H4095" s="18"/>
      <c r="I4095" s="18"/>
      <c r="J4095" s="18"/>
      <c r="K4095" s="18"/>
      <c r="L4095" s="18"/>
      <c r="M4095" s="18"/>
      <c r="N4095" s="18"/>
      <c r="O4095" s="18"/>
      <c r="P4095" s="18"/>
      <c r="Q4095" s="14"/>
      <c r="R4095" s="11"/>
    </row>
    <row r="4096" s="1" customFormat="1" ht="21.95" customHeight="1" spans="1:18">
      <c r="A4096" s="7"/>
      <c r="B4096" s="12"/>
      <c r="C4096" s="17" t="s">
        <v>393</v>
      </c>
      <c r="D4096" s="17"/>
      <c r="E4096" s="17"/>
      <c r="F4096" s="18">
        <f>IF(F4094&gt;0,ENTRY!$D$7,"")</f>
        <v>0</v>
      </c>
      <c r="G4096" s="18"/>
      <c r="H4096" s="20" t="s">
        <v>702</v>
      </c>
      <c r="I4096" s="20"/>
      <c r="J4096" s="21">
        <f>IF(F4094&gt;0,ENTRY!$D$10,"")</f>
        <v>40</v>
      </c>
      <c r="K4096" s="20" t="s">
        <v>703</v>
      </c>
      <c r="L4096" s="22" t="str">
        <f>IF(F4094&gt;0,ENTRY!$D$5,"")</f>
        <v>ROHINI ZONE</v>
      </c>
      <c r="M4096" s="22"/>
      <c r="N4096" s="22"/>
      <c r="O4096" s="22"/>
      <c r="P4096" s="22"/>
      <c r="Q4096" s="14"/>
      <c r="R4096" s="11"/>
    </row>
    <row r="4097" s="1" customFormat="1" ht="21.95" customHeight="1" spans="1:18">
      <c r="A4097" s="7"/>
      <c r="B4097" s="12"/>
      <c r="C4097" s="17" t="s">
        <v>706</v>
      </c>
      <c r="D4097" s="17"/>
      <c r="E4097" s="17"/>
      <c r="F4097" s="23">
        <f>IFERROR(VLOOKUP(F4094,STUDENT!$A$2:$BP$101,5,0),"")</f>
        <v>0</v>
      </c>
      <c r="G4097" s="23"/>
      <c r="H4097" s="23"/>
      <c r="I4097" s="23"/>
      <c r="J4097" s="23"/>
      <c r="K4097" s="23"/>
      <c r="L4097" s="20" t="s">
        <v>707</v>
      </c>
      <c r="M4097" s="20"/>
      <c r="N4097" s="24" t="str">
        <f>IF(F4094&gt;0,ENTRY!$D$20&amp;"-"&amp;ENTRY!$D$21,"")</f>
        <v>III-A</v>
      </c>
      <c r="O4097" s="24"/>
      <c r="P4097" s="24"/>
      <c r="Q4097" s="14"/>
      <c r="R4097" s="11"/>
    </row>
    <row r="4098" s="1" customFormat="1" ht="21.95" customHeight="1" spans="1:18">
      <c r="A4098" s="7"/>
      <c r="B4098" s="12"/>
      <c r="C4098" s="17" t="s">
        <v>708</v>
      </c>
      <c r="D4098" s="17"/>
      <c r="E4098" s="17"/>
      <c r="F4098" s="25">
        <f>IFERROR(VLOOKUP(F4094,STUDENT!$A$2:$BP$101,6,0),"")</f>
        <v>0</v>
      </c>
      <c r="G4098" s="25"/>
      <c r="H4098" s="26" t="s">
        <v>709</v>
      </c>
      <c r="I4098" s="27" t="str">
        <f>IFERROR(VLOOKUP(F4094,STUDENT!$A$2:$BP$101,59,0),"")</f>
        <v/>
      </c>
      <c r="J4098" s="27"/>
      <c r="K4098" s="20" t="s">
        <v>710</v>
      </c>
      <c r="L4098" s="20"/>
      <c r="M4098" s="28">
        <f>IFERROR(VLOOKUP(F4094,STUDENT!$A$2:$BP$101,20,0),"")</f>
        <v>0</v>
      </c>
      <c r="N4098" s="28"/>
      <c r="O4098" s="28"/>
      <c r="P4098" s="28"/>
      <c r="Q4098" s="14"/>
      <c r="R4098" s="11"/>
    </row>
    <row r="4099" s="1" customFormat="1" ht="21.95" customHeight="1" spans="1:18">
      <c r="A4099" s="7"/>
      <c r="B4099" s="12"/>
      <c r="C4099" s="17" t="s">
        <v>711</v>
      </c>
      <c r="D4099" s="17"/>
      <c r="E4099" s="17"/>
      <c r="F4099" s="23">
        <f>IFERROR(VLOOKUP(F4094,STUDENT!$A$2:$BP$101,9,0),"")</f>
        <v>0</v>
      </c>
      <c r="G4099" s="23"/>
      <c r="H4099" s="23"/>
      <c r="I4099" s="23"/>
      <c r="J4099" s="17" t="s">
        <v>620</v>
      </c>
      <c r="K4099" s="17"/>
      <c r="L4099" s="23">
        <f>IFERROR(VLOOKUP(F4094,STUDENT!$A$2:$BP$101,8,0),"")</f>
        <v>0</v>
      </c>
      <c r="M4099" s="23"/>
      <c r="N4099" s="23"/>
      <c r="O4099" s="23"/>
      <c r="P4099" s="23"/>
      <c r="Q4099" s="14"/>
      <c r="R4099" s="11"/>
    </row>
    <row r="4100" s="1" customFormat="1" ht="21.95" customHeight="1" spans="1:18">
      <c r="A4100" s="7"/>
      <c r="B4100" s="12"/>
      <c r="C4100" s="17" t="s">
        <v>712</v>
      </c>
      <c r="D4100" s="17"/>
      <c r="E4100" s="17"/>
      <c r="F4100" s="23">
        <f>IFERROR(VLOOKUP(F4094,STUDENT!$A$2:$BP$101,22,0),"")</f>
        <v>0</v>
      </c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14"/>
      <c r="R4100" s="11"/>
    </row>
    <row r="4101" s="1" customFormat="1" ht="9.95" customHeight="1" spans="1:18">
      <c r="A4101" s="7"/>
      <c r="B4101" s="12"/>
      <c r="C4101" s="29"/>
      <c r="D4101" s="29"/>
      <c r="E4101" s="29"/>
      <c r="F4101" s="29"/>
      <c r="G4101" s="29"/>
      <c r="H4101" s="29"/>
      <c r="I4101" s="29"/>
      <c r="J4101" s="29"/>
      <c r="K4101" s="29"/>
      <c r="L4101" s="29"/>
      <c r="M4101" s="29"/>
      <c r="N4101" s="29"/>
      <c r="O4101" s="29"/>
      <c r="P4101" s="29"/>
      <c r="Q4101" s="14"/>
      <c r="R4101" s="11"/>
    </row>
    <row r="4102" s="1" customFormat="1" ht="9.95" customHeight="1" spans="1:18">
      <c r="A4102" s="7"/>
      <c r="B4102" s="12"/>
      <c r="C4102" s="30"/>
      <c r="D4102" s="31"/>
      <c r="E4102" s="31"/>
      <c r="F4102" s="31"/>
      <c r="G4102" s="31"/>
      <c r="H4102" s="31"/>
      <c r="I4102" s="31"/>
      <c r="J4102" s="31"/>
      <c r="K4102" s="31"/>
      <c r="L4102" s="31"/>
      <c r="M4102" s="31"/>
      <c r="N4102" s="31"/>
      <c r="O4102" s="31"/>
      <c r="P4102" s="32"/>
      <c r="Q4102" s="14"/>
      <c r="R4102" s="11"/>
    </row>
    <row r="4103" s="1" customFormat="1" ht="21.95" customHeight="1" spans="1:18">
      <c r="A4103" s="7"/>
      <c r="B4103" s="12"/>
      <c r="C4103" s="33"/>
      <c r="D4103" s="34" t="s">
        <v>713</v>
      </c>
      <c r="E4103" s="20" t="s">
        <v>714</v>
      </c>
      <c r="F4103" s="35" t="str">
        <f>"Level - "&amp;IFERROR(VLOOKUP(F4094,FLN!$A$4:$K$103,9,0),"")</f>
        <v>Level - </v>
      </c>
      <c r="G4103" s="36"/>
      <c r="H4103" s="37" t="s">
        <v>715</v>
      </c>
      <c r="I4103" s="20"/>
      <c r="J4103" s="35" t="str">
        <f>"Level - "&amp;IFERROR(VLOOKUP(F4094,FLN!$A$4:$K$103,11,0),"")</f>
        <v>Level - </v>
      </c>
      <c r="K4103" s="36"/>
      <c r="L4103" s="37" t="s">
        <v>408</v>
      </c>
      <c r="M4103" s="20"/>
      <c r="N4103" s="35" t="str">
        <f>"Level - "&amp;IFERROR(VLOOKUP(F4094,FLN!$A$4:$K$103,10,0),"")</f>
        <v>Level - </v>
      </c>
      <c r="O4103" s="36"/>
      <c r="P4103" s="19"/>
      <c r="Q4103" s="14"/>
      <c r="R4103" s="11"/>
    </row>
    <row r="4104" s="1" customFormat="1" ht="21.95" customHeight="1" spans="1:18">
      <c r="A4104" s="7"/>
      <c r="B4104" s="12"/>
      <c r="C4104" s="33"/>
      <c r="D4104" s="38"/>
      <c r="E4104" s="20" t="s">
        <v>716</v>
      </c>
      <c r="F4104" s="18" t="str">
        <f>IF(L4118&gt;197,"PERFORMED WELL","")</f>
        <v/>
      </c>
      <c r="G4104" s="18"/>
      <c r="H4104" s="18"/>
      <c r="I4104" s="18"/>
      <c r="J4104" s="18"/>
      <c r="K4104" s="18"/>
      <c r="L4104" s="18"/>
      <c r="M4104" s="18"/>
      <c r="N4104" s="18"/>
      <c r="O4104" s="18"/>
      <c r="P4104" s="19"/>
      <c r="Q4104" s="14"/>
      <c r="R4104" s="11"/>
    </row>
    <row r="4105" s="1" customFormat="1" ht="9.95" customHeight="1" spans="1:18">
      <c r="A4105" s="7"/>
      <c r="B4105" s="12"/>
      <c r="C4105" s="39"/>
      <c r="D4105" s="40"/>
      <c r="E4105" s="40"/>
      <c r="F4105" s="40"/>
      <c r="G4105" s="40"/>
      <c r="H4105" s="40"/>
      <c r="I4105" s="40"/>
      <c r="J4105" s="40"/>
      <c r="K4105" s="40"/>
      <c r="L4105" s="40"/>
      <c r="M4105" s="40"/>
      <c r="N4105" s="40"/>
      <c r="O4105" s="40"/>
      <c r="P4105" s="41"/>
      <c r="Q4105" s="14"/>
      <c r="R4105" s="11"/>
    </row>
    <row r="4106" s="1" customFormat="1" ht="9.95" customHeight="1" spans="1:18">
      <c r="A4106" s="7"/>
      <c r="B4106" s="12"/>
      <c r="C4106" s="29"/>
      <c r="D4106" s="29"/>
      <c r="E4106" s="29"/>
      <c r="F4106" s="29"/>
      <c r="G4106" s="29"/>
      <c r="H4106" s="29"/>
      <c r="I4106" s="29"/>
      <c r="J4106" s="29"/>
      <c r="K4106" s="29"/>
      <c r="L4106" s="29"/>
      <c r="M4106" s="29"/>
      <c r="N4106" s="29"/>
      <c r="O4106" s="29"/>
      <c r="P4106" s="29"/>
      <c r="Q4106" s="14"/>
      <c r="R4106" s="11"/>
    </row>
    <row r="4107" s="1" customFormat="1" ht="9.95" customHeight="1" spans="1:18">
      <c r="A4107" s="7"/>
      <c r="B4107" s="12"/>
      <c r="C4107" s="30"/>
      <c r="D4107" s="31"/>
      <c r="E4107" s="31"/>
      <c r="F4107" s="31"/>
      <c r="G4107" s="31"/>
      <c r="H4107" s="31"/>
      <c r="I4107" s="31"/>
      <c r="J4107" s="31"/>
      <c r="K4107" s="31"/>
      <c r="L4107" s="31"/>
      <c r="M4107" s="31"/>
      <c r="N4107" s="31"/>
      <c r="O4107" s="31"/>
      <c r="P4107" s="32"/>
      <c r="Q4107" s="14"/>
      <c r="R4107" s="11"/>
    </row>
    <row r="4108" s="1" customFormat="1" ht="21.95" customHeight="1" spans="1:18">
      <c r="A4108" s="7"/>
      <c r="B4108" s="12"/>
      <c r="C4108" s="33"/>
      <c r="D4108" s="35"/>
      <c r="E4108" s="24"/>
      <c r="F4108" s="24"/>
      <c r="G4108" s="47" t="s">
        <v>717</v>
      </c>
      <c r="H4108" s="47"/>
      <c r="I4108" s="47"/>
      <c r="J4108" s="47"/>
      <c r="K4108" s="47"/>
      <c r="L4108" s="47"/>
      <c r="M4108" s="47"/>
      <c r="N4108" s="47"/>
      <c r="O4108" s="29"/>
      <c r="P4108" s="19"/>
      <c r="Q4108" s="14"/>
      <c r="R4108" s="11"/>
    </row>
    <row r="4109" s="1" customFormat="1" ht="21.95" customHeight="1" spans="1:18">
      <c r="A4109" s="7"/>
      <c r="B4109" s="12"/>
      <c r="C4109" s="33"/>
      <c r="D4109" s="47"/>
      <c r="E4109" s="47"/>
      <c r="F4109" s="47"/>
      <c r="G4109" s="47" t="s">
        <v>541</v>
      </c>
      <c r="H4109" s="47" t="s">
        <v>542</v>
      </c>
      <c r="I4109" s="47" t="s">
        <v>543</v>
      </c>
      <c r="J4109" s="47" t="s">
        <v>544</v>
      </c>
      <c r="K4109" s="47" t="s">
        <v>561</v>
      </c>
      <c r="L4109" s="47" t="s">
        <v>382</v>
      </c>
      <c r="M4109" s="49" t="s">
        <v>546</v>
      </c>
      <c r="N4109" s="49"/>
      <c r="O4109" s="29"/>
      <c r="P4109" s="19"/>
      <c r="Q4109" s="14"/>
      <c r="R4109" s="11"/>
    </row>
    <row r="4110" s="1" customFormat="1" ht="21.95" customHeight="1" spans="1:18">
      <c r="A4110" s="7"/>
      <c r="B4110" s="12"/>
      <c r="C4110" s="33"/>
      <c r="D4110" s="207" t="s">
        <v>652</v>
      </c>
      <c r="E4110" s="207"/>
      <c r="F4110" s="207"/>
      <c r="G4110" s="50">
        <v>10</v>
      </c>
      <c r="H4110" s="50">
        <v>10</v>
      </c>
      <c r="I4110" s="50">
        <v>10</v>
      </c>
      <c r="J4110" s="50">
        <v>10</v>
      </c>
      <c r="K4110" s="50">
        <v>60</v>
      </c>
      <c r="L4110" s="50">
        <v>100</v>
      </c>
      <c r="M4110" s="49"/>
      <c r="N4110" s="49"/>
      <c r="O4110" s="29"/>
      <c r="P4110" s="19"/>
      <c r="Q4110" s="14"/>
      <c r="R4110" s="11"/>
    </row>
    <row r="4111" s="1" customFormat="1" ht="21.95" customHeight="1" spans="1:18">
      <c r="A4111" s="7"/>
      <c r="B4111" s="12"/>
      <c r="C4111" s="33"/>
      <c r="D4111" s="117" t="s">
        <v>668</v>
      </c>
      <c r="E4111" s="117"/>
      <c r="F4111" s="117"/>
      <c r="G4111" s="54" t="str">
        <f>IFERROR(VLOOKUP(F4094,'1to4-2.1-RR'!$A$12:$BG$111,9,0),"")</f>
        <v/>
      </c>
      <c r="H4111" s="54" t="str">
        <f>IFERROR(VLOOKUP(F4094,'1to4-2.1-RR'!$A$12:$BG$111,10,0),"")</f>
        <v/>
      </c>
      <c r="I4111" s="54" t="str">
        <f>IFERROR(VLOOKUP(F4094,'1to4-2.1-RR'!$A$12:$BG$111,11,0),"")</f>
        <v/>
      </c>
      <c r="J4111" s="54" t="str">
        <f>IFERROR(VLOOKUP(F4094,'1to4-2.1-RR'!$A$12:$BG$111,12,0),"")</f>
        <v/>
      </c>
      <c r="K4111" s="54" t="str">
        <f>IFERROR(VLOOKUP(F4094,'1to4-2.1-RR'!$A$12:$BG$111,13,0),"")</f>
        <v/>
      </c>
      <c r="L4111" s="55">
        <f>SUM(G4111:K4111)</f>
        <v>0</v>
      </c>
      <c r="M4111" s="56" t="str">
        <f>IF(F4094&gt;ENTRY!$D$24,"",IF(L4111=0,"Ab",IF(L4111&gt;80,"A",IF(L4111&gt;60,"B",IF(L4111&gt;44,"C",IF(L4111&gt;=33,"D",IF(L4111&lt;=32,"E","")))))))</f>
        <v/>
      </c>
      <c r="N4111" s="56"/>
      <c r="O4111" s="29"/>
      <c r="P4111" s="19"/>
      <c r="Q4111" s="14"/>
      <c r="R4111" s="11"/>
    </row>
    <row r="4112" s="1" customFormat="1" ht="21.95" customHeight="1" spans="1:18">
      <c r="A4112" s="7"/>
      <c r="B4112" s="12"/>
      <c r="C4112" s="33"/>
      <c r="D4112" s="117" t="s">
        <v>513</v>
      </c>
      <c r="E4112" s="117"/>
      <c r="F4112" s="117"/>
      <c r="G4112" s="54" t="str">
        <f>IFERROR(VLOOKUP(F4094,'1to4-2.1-RR'!$A$12:$BG$111,16,0),"")</f>
        <v/>
      </c>
      <c r="H4112" s="54" t="str">
        <f>IFERROR(VLOOKUP(F4094,'1to4-2.1-RR'!$A$12:$BG$111,17,0),"")</f>
        <v/>
      </c>
      <c r="I4112" s="54" t="str">
        <f>IFERROR(VLOOKUP(F4094,'1to4-2.1-RR'!$A$12:$BG$111,18,0),"")</f>
        <v/>
      </c>
      <c r="J4112" s="54" t="str">
        <f>IFERROR(VLOOKUP(F4094,'1to4-2.1-RR'!$A$12:$BG$111,19,0),"")</f>
        <v/>
      </c>
      <c r="K4112" s="54" t="str">
        <f>IFERROR(VLOOKUP(F4094,'1to4-2.1-RR'!$A$12:$BG$111,20,0),"")</f>
        <v/>
      </c>
      <c r="L4112" s="55">
        <f t="shared" ref="L4112:L4117" si="146">SUM(G4112:K4112)</f>
        <v>0</v>
      </c>
      <c r="M4112" s="56" t="str">
        <f>IF(F4094&gt;ENTRY!$D$24,"",IF(L4112=0,"Ab",IF(L4112&gt;80,"A",IF(L4112&gt;60,"B",IF(L4112&gt;44,"C",IF(L4112&gt;=33,"D",IF(L4112&lt;=32,"E","")))))))</f>
        <v/>
      </c>
      <c r="N4112" s="56"/>
      <c r="O4112" s="29"/>
      <c r="P4112" s="19"/>
      <c r="Q4112" s="14"/>
      <c r="R4112" s="11"/>
    </row>
    <row r="4113" s="1" customFormat="1" ht="21.95" customHeight="1" spans="1:19">
      <c r="A4113" s="7"/>
      <c r="B4113" s="12"/>
      <c r="C4113" s="33"/>
      <c r="D4113" s="117" t="s">
        <v>718</v>
      </c>
      <c r="E4113" s="117"/>
      <c r="F4113" s="117"/>
      <c r="G4113" s="54" t="str">
        <f>IFERROR(VLOOKUP(F4094,'1to4-2.1-RR'!$A$12:$BG$111,23,0),"")</f>
        <v/>
      </c>
      <c r="H4113" s="54" t="str">
        <f>IFERROR(VLOOKUP(F4094,'1to4-2.1-RR'!$A$12:$BG$111,24,0),"")</f>
        <v/>
      </c>
      <c r="I4113" s="54" t="str">
        <f>IFERROR(VLOOKUP(F4094,'1to4-2.1-RR'!$A$12:$BG$111,25,0),"")</f>
        <v/>
      </c>
      <c r="J4113" s="54" t="str">
        <f>IFERROR(VLOOKUP(F4094,'1to4-2.1-RR'!$A$12:$BG$111,26,0),"")</f>
        <v/>
      </c>
      <c r="K4113" s="54" t="str">
        <f>IFERROR(VLOOKUP(F4094,'1to4-2.1-RR'!$A$12:$BG$111,27,0),"")</f>
        <v/>
      </c>
      <c r="L4113" s="55">
        <f t="shared" si="146"/>
        <v>0</v>
      </c>
      <c r="M4113" s="56" t="str">
        <f>IF(F4094&gt;ENTRY!$D$24,"",IF(L4113=0,"Ab",IF(L4113&gt;80,"A",IF(L4113&gt;60,"B",IF(L4113&gt;44,"C",IF(L4113&gt;=33,"D",IF(L4113&lt;=32,"E","")))))))</f>
        <v/>
      </c>
      <c r="N4113" s="56"/>
      <c r="O4113" s="29"/>
      <c r="P4113" s="19"/>
      <c r="Q4113" s="14"/>
      <c r="R4113" s="11"/>
    </row>
    <row r="4114" s="1" customFormat="1" ht="21.95" customHeight="1" spans="1:19">
      <c r="A4114" s="7"/>
      <c r="B4114" s="12"/>
      <c r="C4114" s="33"/>
      <c r="D4114" s="117" t="s">
        <v>719</v>
      </c>
      <c r="E4114" s="117"/>
      <c r="F4114" s="117"/>
      <c r="G4114" s="54" t="str">
        <f>IFERROR(VLOOKUP(F4094,'1to4-2.1-RR'!$A$12:$BG$111,30,0),"")</f>
        <v/>
      </c>
      <c r="H4114" s="54" t="str">
        <f>IFERROR(VLOOKUP(F4094,'1to4-2.1-RR'!$A$12:$BG$111,31,0),"")</f>
        <v/>
      </c>
      <c r="I4114" s="54" t="str">
        <f>IFERROR(VLOOKUP(F4094,'1to4-2.1-RR'!$A$12:$BG$111,32,0),"")</f>
        <v/>
      </c>
      <c r="J4114" s="54" t="str">
        <f>IFERROR(VLOOKUP(F4094,'1to4-2.1-RR'!$A$12:$BG$111,33,0),"")</f>
        <v/>
      </c>
      <c r="K4114" s="54" t="str">
        <f>IFERROR(VLOOKUP(F4094,'1to4-2.1-RR'!$A$12:$BG$111,34,0),"")</f>
        <v/>
      </c>
      <c r="L4114" s="55">
        <f t="shared" si="146"/>
        <v>0</v>
      </c>
      <c r="M4114" s="56" t="str">
        <f>IF(F4094&gt;ENTRY!$D$24,"",IF(L4114=0,"Ab",IF(L4114&gt;80,"A",IF(L4114&gt;60,"B",IF(L4114&gt;44,"C",IF(L4114&gt;=33,"D",IF(L4114&lt;=32,"E","")))))))</f>
        <v/>
      </c>
      <c r="N4114" s="56"/>
      <c r="O4114" s="29"/>
      <c r="P4114" s="19"/>
      <c r="Q4114" s="14"/>
      <c r="R4114" s="11"/>
    </row>
    <row r="4115" s="1" customFormat="1" ht="21.95" customHeight="1" spans="1:19">
      <c r="A4115" s="7"/>
      <c r="B4115" s="12"/>
      <c r="C4115" s="33"/>
      <c r="D4115" s="117" t="s">
        <v>548</v>
      </c>
      <c r="E4115" s="117"/>
      <c r="F4115" s="117"/>
      <c r="G4115" s="54" t="str">
        <f>IFERROR(VLOOKUP(F4094,'1to4-2.1-RR'!$A$12:$BG$111,37,0),"")</f>
        <v/>
      </c>
      <c r="H4115" s="54" t="str">
        <f>IFERROR(VLOOKUP(F4094,'1to4-2.1-RR'!$A$12:$BG$111,38,0),"")</f>
        <v/>
      </c>
      <c r="I4115" s="54" t="str">
        <f>IFERROR(VLOOKUP(F4094,'1to4-2.1-RR'!$A$12:$BG$111,39,0),"")</f>
        <v/>
      </c>
      <c r="J4115" s="54" t="str">
        <f>IFERROR(VLOOKUP(F4094,'1to4-2.1-RR'!$A$12:$BG$111,40,0),"")</f>
        <v/>
      </c>
      <c r="K4115" s="54" t="str">
        <f>IFERROR(VLOOKUP(F4094,'1to4-2.1-RR'!$A$12:$BG$111,41,0),"")</f>
        <v/>
      </c>
      <c r="L4115" s="55">
        <f t="shared" si="146"/>
        <v>0</v>
      </c>
      <c r="M4115" s="56" t="str">
        <f>IF(F4094&gt;ENTRY!$D$24,"",IF(L4115=0,"Ab",IF(L4115&gt;80,"A",IF(L4115&gt;60,"B",IF(L4115&gt;44,"C",IF(L4115&gt;=33,"D",IF(L4115&lt;=32,"E","")))))))</f>
        <v/>
      </c>
      <c r="N4115" s="56"/>
      <c r="O4115" s="29"/>
      <c r="P4115" s="19"/>
      <c r="Q4115" s="14"/>
      <c r="R4115" s="11"/>
    </row>
    <row r="4116" s="1" customFormat="1" ht="21.95" customHeight="1" spans="1:19">
      <c r="A4116" s="7"/>
      <c r="B4116" s="12"/>
      <c r="C4116" s="33"/>
      <c r="D4116" s="117" t="s">
        <v>549</v>
      </c>
      <c r="E4116" s="117"/>
      <c r="F4116" s="117"/>
      <c r="G4116" s="54" t="str">
        <f>IFERROR(VLOOKUP(F4094,'1to4-2.1-RR'!$A$12:$BG$111,44,0),"")</f>
        <v/>
      </c>
      <c r="H4116" s="54" t="str">
        <f>IFERROR(VLOOKUP(F4094,'1to4-2.1-RR'!$A$12:$BG$111,45,0),"")</f>
        <v/>
      </c>
      <c r="I4116" s="54" t="str">
        <f>IFERROR(VLOOKUP(F4094,'1to4-2.1-RR'!$A$12:$BG$111,46,0),"")</f>
        <v/>
      </c>
      <c r="J4116" s="54" t="str">
        <f>IFERROR(VLOOKUP(F4094,'1to4-2.1-RR'!$A$12:$BG$111,47,0),"")</f>
        <v/>
      </c>
      <c r="K4116" s="54" t="str">
        <f>IFERROR(VLOOKUP(F4094,'1to4-2.1-RR'!$A$12:$BG$111,48,0),"")</f>
        <v/>
      </c>
      <c r="L4116" s="55">
        <f t="shared" si="146"/>
        <v>0</v>
      </c>
      <c r="M4116" s="56" t="str">
        <f>IF(F4094&gt;ENTRY!$D$24,"",IF(L4116=0,"Ab",IF(L4116&gt;80,"A",IF(L4116&gt;60,"B",IF(L4116&gt;44,"C",IF(L4116&gt;=33,"D",IF(L4116&lt;=32,"E","")))))))</f>
        <v/>
      </c>
      <c r="N4116" s="56"/>
      <c r="O4116" s="29"/>
      <c r="P4116" s="19"/>
      <c r="Q4116" s="14"/>
      <c r="R4116" s="11"/>
    </row>
    <row r="4117" s="1" customFormat="1" ht="21.95" customHeight="1" spans="1:19">
      <c r="A4117" s="7"/>
      <c r="B4117" s="12"/>
      <c r="C4117" s="33"/>
      <c r="D4117" s="117" t="s">
        <v>720</v>
      </c>
      <c r="E4117" s="117"/>
      <c r="F4117" s="117"/>
      <c r="G4117" s="54"/>
      <c r="H4117" s="54"/>
      <c r="I4117" s="54"/>
      <c r="J4117" s="54"/>
      <c r="K4117" s="54"/>
      <c r="L4117" s="55">
        <f t="shared" si="146"/>
        <v>0</v>
      </c>
      <c r="M4117" s="56" t="str">
        <f>IF(F4094&gt;ENTRY!$D$24,"",IF(L4117=0,"",IF(L4117&gt;79,"A",IF(L4117&gt;59,"B",IF(L4117&gt;44,"C",IF(L4117&gt;=33,"D",IF(L4117&lt;=32,"E","")))))))</f>
        <v/>
      </c>
      <c r="N4117" s="56"/>
      <c r="O4117" s="29"/>
      <c r="P4117" s="19"/>
      <c r="Q4117" s="14"/>
      <c r="R4117" s="11"/>
    </row>
    <row r="4118" s="1" customFormat="1" ht="21.95" customHeight="1" spans="1:19">
      <c r="A4118" s="7"/>
      <c r="B4118" s="12"/>
      <c r="C4118" s="33"/>
      <c r="D4118" s="207" t="s">
        <v>382</v>
      </c>
      <c r="E4118" s="207"/>
      <c r="F4118" s="207"/>
      <c r="G4118" s="54">
        <f t="shared" ref="G4118:L4118" si="147">IFERROR(SUM(G4111:G4117),"")</f>
        <v>0</v>
      </c>
      <c r="H4118" s="54">
        <f t="shared" si="147"/>
        <v>0</v>
      </c>
      <c r="I4118" s="54">
        <f t="shared" si="147"/>
        <v>0</v>
      </c>
      <c r="J4118" s="54">
        <f t="shared" si="147"/>
        <v>0</v>
      </c>
      <c r="K4118" s="54">
        <f t="shared" si="147"/>
        <v>0</v>
      </c>
      <c r="L4118" s="55">
        <f t="shared" si="147"/>
        <v>0</v>
      </c>
      <c r="M4118" s="61" t="str">
        <f>IF(F4094&gt;ENTRY!$D$24,"",IF(N4119="Ab","Ab",IF(N4119&gt;79.5,"A",IF(N4119&gt;59.5,"B",IF(N4119&gt;44.5,"C",IF(N4119&gt;=33,"D",IF(N4119&lt;33,"E","")))))))</f>
        <v/>
      </c>
      <c r="N4118" s="61"/>
      <c r="O4118" s="29"/>
      <c r="P4118" s="19"/>
      <c r="Q4118" s="14"/>
      <c r="R4118" s="11"/>
    </row>
    <row r="4119" s="1" customFormat="1" ht="21.95" customHeight="1" spans="1:19">
      <c r="A4119" s="7"/>
      <c r="B4119" s="12"/>
      <c r="C4119" s="33"/>
      <c r="D4119" s="63" t="s">
        <v>721</v>
      </c>
      <c r="E4119" s="63"/>
      <c r="F4119" s="63"/>
      <c r="G4119" s="63"/>
      <c r="H4119" s="63"/>
      <c r="I4119" s="63"/>
      <c r="J4119" s="63"/>
      <c r="K4119" s="63"/>
      <c r="L4119" s="63"/>
      <c r="M4119" s="209"/>
      <c r="N4119" s="64">
        <f>IF(L4118="Ab","Ab",L4118/6)</f>
        <v>0</v>
      </c>
      <c r="O4119" s="65"/>
      <c r="P4119" s="19"/>
      <c r="Q4119" s="14"/>
      <c r="R4119" s="11"/>
    </row>
    <row r="4120" s="1" customFormat="1" ht="21.95" customHeight="1" spans="1:19">
      <c r="A4120" s="7"/>
      <c r="B4120" s="12"/>
      <c r="C4120" s="33"/>
      <c r="D4120" s="29" t="s">
        <v>716</v>
      </c>
      <c r="E4120" s="18" t="str">
        <f>IFERROR(VLOOKUP(F4094,'1to4-2.1-RR'!$A$12:$BG$111,57,0),"")</f>
        <v/>
      </c>
      <c r="F4120" s="18"/>
      <c r="G4120" s="18"/>
      <c r="H4120" s="18"/>
      <c r="I4120" s="18"/>
      <c r="J4120" s="18"/>
      <c r="K4120" s="18"/>
      <c r="L4120" s="18"/>
      <c r="M4120" s="18"/>
      <c r="N4120" s="29"/>
      <c r="O4120" s="29"/>
      <c r="P4120" s="19"/>
      <c r="Q4120" s="14"/>
      <c r="R4120" s="11"/>
    </row>
    <row r="4121" s="1" customFormat="1" ht="9.95" customHeight="1" spans="1:19">
      <c r="A4121" s="7"/>
      <c r="B4121" s="12"/>
      <c r="C4121" s="39"/>
      <c r="D4121" s="40"/>
      <c r="E4121" s="40"/>
      <c r="F4121" s="40"/>
      <c r="G4121" s="40"/>
      <c r="H4121" s="40"/>
      <c r="I4121" s="40"/>
      <c r="J4121" s="40"/>
      <c r="K4121" s="40"/>
      <c r="L4121" s="40"/>
      <c r="M4121" s="40"/>
      <c r="N4121" s="40"/>
      <c r="O4121" s="40"/>
      <c r="P4121" s="41"/>
      <c r="Q4121" s="14"/>
      <c r="R4121" s="11"/>
    </row>
    <row r="4122" s="1" customFormat="1" ht="9.95" customHeight="1" spans="1:19">
      <c r="A4122" s="7"/>
      <c r="B4122" s="12"/>
      <c r="C4122" s="30"/>
      <c r="D4122" s="31"/>
      <c r="E4122" s="31"/>
      <c r="F4122" s="29"/>
      <c r="G4122" s="31"/>
      <c r="H4122" s="31"/>
      <c r="I4122" s="31"/>
      <c r="J4122" s="31"/>
      <c r="K4122" s="31"/>
      <c r="L4122" s="31"/>
      <c r="M4122" s="31"/>
      <c r="N4122" s="31"/>
      <c r="O4122" s="31"/>
      <c r="P4122" s="32"/>
      <c r="Q4122" s="14"/>
      <c r="R4122" s="11"/>
    </row>
    <row r="4123" s="1" customFormat="1" ht="9.95" customHeight="1" spans="1:19">
      <c r="A4123" s="7"/>
      <c r="B4123" s="12"/>
      <c r="C4123" s="33"/>
      <c r="D4123" s="29"/>
      <c r="E4123" s="29"/>
      <c r="F4123" s="29"/>
      <c r="G4123" s="29"/>
      <c r="H4123" s="29"/>
      <c r="I4123" s="29"/>
      <c r="J4123" s="29"/>
      <c r="K4123" s="29"/>
      <c r="L4123" s="29"/>
      <c r="M4123" s="29"/>
      <c r="N4123" s="29"/>
      <c r="O4123" s="29"/>
      <c r="P4123" s="19"/>
      <c r="Q4123" s="14"/>
      <c r="R4123" s="11"/>
    </row>
    <row r="4124" s="1" customFormat="1" ht="9.95" customHeight="1" spans="1:19">
      <c r="A4124" s="7"/>
      <c r="B4124" s="12"/>
      <c r="C4124" s="33"/>
      <c r="D4124" s="29"/>
      <c r="E4124" s="29"/>
      <c r="F4124" s="29"/>
      <c r="G4124" s="29"/>
      <c r="H4124" s="29"/>
      <c r="I4124" s="29"/>
      <c r="J4124" s="29"/>
      <c r="K4124" s="29"/>
      <c r="L4124" s="29"/>
      <c r="M4124" s="29"/>
      <c r="N4124" s="29"/>
      <c r="O4124" s="29"/>
      <c r="P4124" s="19"/>
      <c r="Q4124" s="14"/>
      <c r="R4124" s="11"/>
    </row>
    <row r="4125" s="1" customFormat="1" ht="21.95" customHeight="1" spans="1:19">
      <c r="A4125" s="7"/>
      <c r="B4125" s="12"/>
      <c r="C4125" s="210"/>
      <c r="D4125" s="211"/>
      <c r="E4125" s="211"/>
      <c r="F4125" s="211"/>
      <c r="G4125" s="211"/>
      <c r="H4125" s="211"/>
      <c r="I4125" s="211"/>
      <c r="J4125" s="211"/>
      <c r="K4125" s="211"/>
      <c r="L4125" s="211"/>
      <c r="M4125" s="211"/>
      <c r="N4125" s="211"/>
      <c r="O4125" s="211"/>
      <c r="P4125" s="212"/>
      <c r="Q4125" s="14"/>
      <c r="R4125" s="11"/>
      <c r="S4125" s="2"/>
    </row>
    <row r="4126" s="1" customFormat="1" ht="21.95" customHeight="1" spans="1:19">
      <c r="A4126" s="7"/>
      <c r="B4126" s="12"/>
      <c r="C4126" s="33"/>
      <c r="D4126" s="207" t="s">
        <v>722</v>
      </c>
      <c r="E4126" s="207"/>
      <c r="F4126" s="207"/>
      <c r="G4126" s="207"/>
      <c r="H4126" s="54">
        <f>IFERROR(VLOOKUP(F4094,PASHEET!$A$4:$CJ$103,88,0),"")</f>
        <v>0</v>
      </c>
      <c r="I4126" s="54"/>
      <c r="J4126" s="29"/>
      <c r="K4126" s="29"/>
      <c r="L4126" s="29"/>
      <c r="M4126" s="29"/>
      <c r="N4126" s="29"/>
      <c r="O4126" s="29"/>
      <c r="P4126" s="19"/>
      <c r="Q4126" s="14"/>
      <c r="R4126" s="11"/>
    </row>
    <row r="4127" s="1" customFormat="1" ht="21.95" customHeight="1" spans="1:19">
      <c r="A4127" s="7"/>
      <c r="B4127" s="12"/>
      <c r="C4127" s="213"/>
      <c r="D4127" s="207" t="s">
        <v>723</v>
      </c>
      <c r="E4127" s="207"/>
      <c r="F4127" s="207"/>
      <c r="G4127" s="207"/>
      <c r="H4127" s="54">
        <f>IFERROR(VLOOKUP(F4094,PASHEET!$A$4:$CJ$103,87,0),"")</f>
        <v>0</v>
      </c>
      <c r="I4127" s="54"/>
      <c r="J4127" s="214"/>
      <c r="K4127" s="214"/>
      <c r="L4127" s="207" t="s">
        <v>724</v>
      </c>
      <c r="M4127" s="207"/>
      <c r="N4127" s="117" t="str">
        <f>IF(F4094&gt;ENTRY!$D$24,"",IF(F4094&gt;0,L4118&amp;" / "&amp;600,""))</f>
        <v/>
      </c>
      <c r="O4127" s="117"/>
      <c r="P4127" s="215"/>
      <c r="Q4127" s="14"/>
      <c r="R4127" s="11"/>
    </row>
    <row r="4128" s="1" customFormat="1" ht="18" customHeight="1" spans="1:19">
      <c r="A4128" s="7"/>
      <c r="B4128" s="12"/>
      <c r="C4128" s="33"/>
      <c r="D4128" s="207" t="s">
        <v>725</v>
      </c>
      <c r="E4128" s="207"/>
      <c r="F4128" s="207"/>
      <c r="G4128" s="207"/>
      <c r="H4128" s="69" t="str">
        <f>IFERROR(IF(F4094&gt;0,H4127/H4126*100),"")</f>
        <v/>
      </c>
      <c r="I4128" s="69"/>
      <c r="J4128" s="29"/>
      <c r="K4128" s="29"/>
      <c r="L4128" s="207" t="s">
        <v>726</v>
      </c>
      <c r="M4128" s="207"/>
      <c r="N4128" s="216" t="str">
        <f>IF(F4094&gt;ENTRY!$D$24,"",IF(F4094&gt;0,L4118/600*100,""))</f>
        <v/>
      </c>
      <c r="O4128" s="216"/>
      <c r="P4128" s="19"/>
      <c r="Q4128" s="14"/>
      <c r="R4128" s="11"/>
    </row>
    <row r="4129" s="1" customFormat="1" ht="21.95" customHeight="1" spans="1:18">
      <c r="A4129" s="7"/>
      <c r="B4129" s="12"/>
      <c r="C4129" s="33"/>
      <c r="D4129" s="80"/>
      <c r="E4129" s="80"/>
      <c r="F4129" s="217"/>
      <c r="G4129" s="217"/>
      <c r="H4129" s="217"/>
      <c r="I4129" s="217"/>
      <c r="J4129" s="217"/>
      <c r="K4129" s="217"/>
      <c r="L4129" s="217"/>
      <c r="M4129" s="217"/>
      <c r="N4129" s="80"/>
      <c r="O4129" s="80"/>
      <c r="P4129" s="19"/>
      <c r="Q4129" s="14"/>
      <c r="R4129" s="11"/>
    </row>
    <row r="4130" s="1" customFormat="1" ht="21.95" customHeight="1" spans="1:18">
      <c r="A4130" s="7"/>
      <c r="B4130" s="12"/>
      <c r="C4130" s="33"/>
      <c r="D4130" s="80"/>
      <c r="E4130" s="218"/>
      <c r="F4130" s="218"/>
      <c r="G4130" s="218"/>
      <c r="H4130" s="80"/>
      <c r="I4130" s="218"/>
      <c r="J4130" s="218"/>
      <c r="K4130" s="218"/>
      <c r="L4130" s="218"/>
      <c r="M4130" s="80"/>
      <c r="N4130" s="219"/>
      <c r="O4130" s="219"/>
      <c r="P4130" s="19"/>
      <c r="Q4130" s="14"/>
      <c r="R4130" s="11"/>
    </row>
    <row r="4131" s="1" customFormat="1" ht="21.95" customHeight="1" spans="1:18">
      <c r="A4131" s="7"/>
      <c r="B4131" s="12"/>
      <c r="C4131" s="33"/>
      <c r="D4131" s="80"/>
      <c r="E4131" s="80"/>
      <c r="F4131" s="80"/>
      <c r="G4131" s="80"/>
      <c r="H4131" s="80"/>
      <c r="I4131" s="80"/>
      <c r="J4131" s="80"/>
      <c r="K4131" s="80"/>
      <c r="L4131" s="80"/>
      <c r="M4131" s="80"/>
      <c r="N4131" s="80"/>
      <c r="O4131" s="80"/>
      <c r="P4131" s="19"/>
      <c r="Q4131" s="14"/>
      <c r="R4131" s="11"/>
    </row>
    <row r="4132" s="1" customFormat="1" ht="21.95" customHeight="1" spans="1:18">
      <c r="A4132" s="7"/>
      <c r="B4132" s="12"/>
      <c r="C4132" s="33"/>
      <c r="D4132" s="218"/>
      <c r="E4132" s="218"/>
      <c r="F4132" s="218"/>
      <c r="G4132" s="218"/>
      <c r="H4132" s="218"/>
      <c r="I4132" s="218"/>
      <c r="J4132" s="218"/>
      <c r="K4132" s="218"/>
      <c r="L4132" s="218"/>
      <c r="M4132" s="80"/>
      <c r="N4132" s="217"/>
      <c r="O4132" s="217"/>
      <c r="P4132" s="85" t="s">
        <v>727</v>
      </c>
      <c r="Q4132" s="14"/>
      <c r="R4132" s="11"/>
    </row>
    <row r="4133" s="1" customFormat="1" ht="21.95" customHeight="1" spans="1:18">
      <c r="A4133" s="7"/>
      <c r="B4133" s="12"/>
      <c r="C4133" s="33"/>
      <c r="D4133" s="29"/>
      <c r="E4133" s="29"/>
      <c r="F4133" s="29"/>
      <c r="G4133" s="29"/>
      <c r="H4133" s="29"/>
      <c r="I4133" s="29"/>
      <c r="J4133" s="29"/>
      <c r="K4133" s="29"/>
      <c r="L4133" s="29"/>
      <c r="M4133" s="29"/>
      <c r="N4133" s="29"/>
      <c r="O4133" s="29"/>
      <c r="P4133" s="19"/>
      <c r="Q4133" s="14"/>
      <c r="R4133" s="11"/>
    </row>
    <row r="4134" s="1" customFormat="1" ht="21.95" customHeight="1" spans="1:18">
      <c r="A4134" s="7"/>
      <c r="B4134" s="12"/>
      <c r="C4134" s="33"/>
      <c r="D4134" s="29"/>
      <c r="E4134" s="29"/>
      <c r="F4134" s="29"/>
      <c r="G4134" s="29"/>
      <c r="H4134" s="29"/>
      <c r="I4134" s="29"/>
      <c r="J4134" s="29"/>
      <c r="K4134" s="29"/>
      <c r="L4134" s="29"/>
      <c r="M4134" s="29"/>
      <c r="N4134" s="29"/>
      <c r="O4134" s="29"/>
      <c r="P4134" s="19"/>
      <c r="Q4134" s="14"/>
      <c r="R4134" s="11"/>
    </row>
    <row r="4135" s="1" customFormat="1" ht="21.95" customHeight="1" spans="1:18">
      <c r="A4135" s="7"/>
      <c r="B4135" s="12"/>
      <c r="C4135" s="33"/>
      <c r="D4135" s="29"/>
      <c r="E4135" s="29"/>
      <c r="F4135" s="29"/>
      <c r="G4135" s="29"/>
      <c r="H4135" s="29"/>
      <c r="I4135" s="29"/>
      <c r="J4135" s="29"/>
      <c r="K4135" s="29"/>
      <c r="L4135" s="29"/>
      <c r="M4135" s="29"/>
      <c r="N4135" s="29"/>
      <c r="O4135" s="29"/>
      <c r="P4135" s="19"/>
      <c r="Q4135" s="14"/>
      <c r="R4135" s="11"/>
    </row>
    <row r="4136" s="1" customFormat="1" ht="21.95" customHeight="1" spans="1:18">
      <c r="A4136" s="7"/>
      <c r="B4136" s="12"/>
      <c r="C4136" s="33"/>
      <c r="D4136" s="29"/>
      <c r="E4136" s="29"/>
      <c r="F4136" s="29"/>
      <c r="G4136" s="29"/>
      <c r="H4136" s="29"/>
      <c r="I4136" s="29"/>
      <c r="J4136" s="29"/>
      <c r="K4136" s="29"/>
      <c r="L4136" s="29"/>
      <c r="M4136" s="29"/>
      <c r="N4136" s="29"/>
      <c r="O4136" s="29"/>
      <c r="P4136" s="19"/>
      <c r="Q4136" s="14"/>
      <c r="R4136" s="11"/>
    </row>
    <row r="4137" s="1" customFormat="1" ht="21.95" customHeight="1" spans="1:18">
      <c r="A4137" s="7"/>
      <c r="B4137" s="12"/>
      <c r="C4137" s="33"/>
      <c r="D4137" s="29"/>
      <c r="E4137" s="29"/>
      <c r="F4137" s="29"/>
      <c r="G4137" s="29"/>
      <c r="H4137" s="29"/>
      <c r="I4137" s="29"/>
      <c r="J4137" s="29"/>
      <c r="K4137" s="29"/>
      <c r="L4137" s="29"/>
      <c r="M4137" s="29"/>
      <c r="N4137" s="29"/>
      <c r="O4137" s="29"/>
      <c r="P4137" s="19"/>
      <c r="Q4137" s="14"/>
      <c r="R4137" s="11"/>
    </row>
    <row r="4138" s="1" customFormat="1" ht="21.95" customHeight="1" spans="1:18">
      <c r="A4138" s="7"/>
      <c r="B4138" s="12"/>
      <c r="C4138" s="33"/>
      <c r="D4138" s="80" t="s">
        <v>728</v>
      </c>
      <c r="E4138" s="220">
        <f>ENTRY!$D$27</f>
        <v>46102</v>
      </c>
      <c r="F4138" s="220"/>
      <c r="G4138" s="29"/>
      <c r="H4138" s="29"/>
      <c r="I4138" s="221" t="s">
        <v>729</v>
      </c>
      <c r="J4138" s="153"/>
      <c r="K4138" s="29"/>
      <c r="L4138" s="29"/>
      <c r="M4138" s="87" t="s">
        <v>730</v>
      </c>
      <c r="N4138" s="87"/>
      <c r="O4138" s="87"/>
      <c r="P4138" s="19"/>
      <c r="Q4138" s="14"/>
      <c r="R4138" s="11"/>
    </row>
    <row r="4139" s="1" customFormat="1" ht="21.95" customHeight="1" spans="1:18">
      <c r="A4139" s="7"/>
      <c r="B4139" s="12"/>
      <c r="C4139" s="33"/>
      <c r="D4139" s="80" t="s">
        <v>731</v>
      </c>
      <c r="E4139" s="88" t="str">
        <f>PROPER(ENTRY!$D$28)</f>
        <v>New Delhi</v>
      </c>
      <c r="F4139" s="88"/>
      <c r="G4139" s="29"/>
      <c r="H4139" s="29"/>
      <c r="I4139" s="153"/>
      <c r="J4139" s="153"/>
      <c r="K4139" s="29"/>
      <c r="L4139" s="29"/>
      <c r="M4139" s="79" t="s">
        <v>732</v>
      </c>
      <c r="N4139" s="79"/>
      <c r="O4139" s="79"/>
      <c r="P4139" s="19"/>
      <c r="Q4139" s="14"/>
      <c r="R4139" s="11"/>
    </row>
    <row r="4140" s="1" customFormat="1" ht="21.95" customHeight="1" spans="1:18">
      <c r="A4140" s="7"/>
      <c r="B4140" s="12"/>
      <c r="C4140" s="90"/>
      <c r="D4140" s="91"/>
      <c r="E4140" s="91"/>
      <c r="F4140" s="91"/>
      <c r="G4140" s="91"/>
      <c r="H4140" s="91"/>
      <c r="I4140" s="91"/>
      <c r="J4140" s="91"/>
      <c r="K4140" s="91"/>
      <c r="L4140" s="91"/>
      <c r="M4140" s="91"/>
      <c r="N4140" s="91"/>
      <c r="O4140" s="91"/>
      <c r="P4140" s="92"/>
      <c r="Q4140" s="14"/>
      <c r="R4140" s="11"/>
    </row>
    <row r="4141" s="1" customFormat="1" ht="5.1" customHeight="1" spans="1:18">
      <c r="A4141" s="7"/>
      <c r="B4141" s="90"/>
      <c r="C4141" s="91"/>
      <c r="D4141" s="91"/>
      <c r="E4141" s="91"/>
      <c r="F4141" s="91"/>
      <c r="G4141" s="91"/>
      <c r="H4141" s="91"/>
      <c r="I4141" s="91"/>
      <c r="J4141" s="91"/>
      <c r="K4141" s="91"/>
      <c r="L4141" s="91"/>
      <c r="M4141" s="91"/>
      <c r="N4141" s="91"/>
      <c r="O4141" s="91"/>
      <c r="P4141" s="91"/>
      <c r="Q4141" s="92"/>
      <c r="R4141" s="11"/>
    </row>
    <row r="4142" s="1" customFormat="1" ht="5.1" customHeight="1" spans="1:18">
      <c r="A4142" s="93"/>
      <c r="B4142" s="94"/>
      <c r="C4142" s="94"/>
      <c r="D4142" s="94"/>
      <c r="E4142" s="94"/>
      <c r="F4142" s="94"/>
      <c r="G4142" s="94"/>
      <c r="H4142" s="94"/>
      <c r="I4142" s="94"/>
      <c r="J4142" s="94"/>
      <c r="K4142" s="94"/>
      <c r="L4142" s="94"/>
      <c r="M4142" s="94"/>
      <c r="N4142" s="94"/>
      <c r="O4142" s="94"/>
      <c r="P4142" s="94"/>
      <c r="Q4142" s="94"/>
      <c r="R4142" s="95"/>
    </row>
    <row r="4143" s="1" customFormat="1" ht="21.95" customHeight="1"/>
    <row r="4144" ht="15.15"/>
    <row r="4145" s="1" customFormat="1" ht="5.1" customHeight="1" spans="1:18">
      <c r="A4145" s="4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  <c r="O4145" s="5"/>
      <c r="P4145" s="5"/>
      <c r="Q4145" s="5"/>
      <c r="R4145" s="6"/>
    </row>
    <row r="4146" s="1" customFormat="1" ht="15" customHeight="1" spans="1:18">
      <c r="A4146" s="7"/>
      <c r="B4146" s="8"/>
      <c r="C4146" s="9"/>
      <c r="D4146" s="9"/>
      <c r="E4146" s="9"/>
      <c r="F4146" s="9"/>
      <c r="G4146" s="9"/>
      <c r="H4146" s="9"/>
      <c r="I4146" s="9"/>
      <c r="J4146" s="9"/>
      <c r="K4146" s="9"/>
      <c r="L4146" s="9"/>
      <c r="M4146" s="9"/>
      <c r="N4146" s="9"/>
      <c r="O4146" s="9"/>
      <c r="P4146" s="9"/>
      <c r="Q4146" s="10"/>
      <c r="R4146" s="11"/>
    </row>
    <row r="4147" s="1" customFormat="1" ht="21.95" customHeight="1" spans="1:18">
      <c r="A4147" s="7"/>
      <c r="B4147" s="12"/>
      <c r="C4147" s="13" t="s">
        <v>7</v>
      </c>
      <c r="D4147" s="13"/>
      <c r="E4147" s="13"/>
      <c r="F4147" s="13"/>
      <c r="G4147" s="13"/>
      <c r="H4147" s="13"/>
      <c r="I4147" s="13"/>
      <c r="J4147" s="13"/>
      <c r="K4147" s="13"/>
      <c r="L4147" s="13"/>
      <c r="M4147" s="13"/>
      <c r="N4147" s="13"/>
      <c r="O4147" s="13"/>
      <c r="P4147" s="13"/>
      <c r="Q4147" s="14"/>
      <c r="R4147" s="11"/>
    </row>
    <row r="4148" s="1" customFormat="1" ht="21.95" customHeight="1" spans="1:18">
      <c r="A4148" s="7"/>
      <c r="B4148" s="1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14"/>
      <c r="R4148" s="11"/>
    </row>
    <row r="4149" s="1" customFormat="1" ht="21.95" customHeight="1" spans="1:18">
      <c r="A4149" s="7"/>
      <c r="B4149" s="12"/>
      <c r="C4149" s="15" t="str">
        <f>"SESSION-"&amp;ENTRY!$D$11</f>
        <v>SESSION-2026-27</v>
      </c>
      <c r="D4149" s="15"/>
      <c r="E4149" s="15"/>
      <c r="F4149" s="15"/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  <c r="Q4149" s="14"/>
      <c r="R4149" s="11"/>
    </row>
    <row r="4150" s="1" customFormat="1" ht="21.95" customHeight="1" spans="1:18">
      <c r="A4150" s="7"/>
      <c r="B4150" s="12"/>
      <c r="C4150" s="2"/>
      <c r="D4150" s="2"/>
      <c r="E4150" s="2"/>
      <c r="F4150" s="16">
        <f>F4094+1</f>
        <v>75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14"/>
      <c r="R4150" s="11"/>
    </row>
    <row r="4151" s="1" customFormat="1" ht="21.95" customHeight="1" spans="1:18">
      <c r="A4151" s="7"/>
      <c r="B4151" s="12"/>
      <c r="C4151" s="17" t="s">
        <v>392</v>
      </c>
      <c r="D4151" s="17"/>
      <c r="E4151" s="17"/>
      <c r="F4151" s="18" t="str">
        <f>IF(F4150&gt;0,ENTRY!$D$6,"")</f>
        <v>MCP NITHARI NO 1 BOYS</v>
      </c>
      <c r="G4151" s="18"/>
      <c r="H4151" s="18"/>
      <c r="I4151" s="18"/>
      <c r="J4151" s="18"/>
      <c r="K4151" s="18"/>
      <c r="L4151" s="18"/>
      <c r="M4151" s="18"/>
      <c r="N4151" s="18"/>
      <c r="O4151" s="18"/>
      <c r="P4151" s="18"/>
      <c r="Q4151" s="14"/>
      <c r="R4151" s="11"/>
    </row>
    <row r="4152" s="1" customFormat="1" ht="21.95" customHeight="1" spans="1:18">
      <c r="A4152" s="7"/>
      <c r="B4152" s="12"/>
      <c r="C4152" s="17" t="s">
        <v>393</v>
      </c>
      <c r="D4152" s="17"/>
      <c r="E4152" s="17"/>
      <c r="F4152" s="18">
        <f>IF(F4150&gt;0,ENTRY!$D$7,"")</f>
        <v>0</v>
      </c>
      <c r="G4152" s="18"/>
      <c r="H4152" s="20" t="s">
        <v>702</v>
      </c>
      <c r="I4152" s="20"/>
      <c r="J4152" s="21">
        <f>IF(F4150&gt;0,ENTRY!$D$10,"")</f>
        <v>40</v>
      </c>
      <c r="K4152" s="20" t="s">
        <v>703</v>
      </c>
      <c r="L4152" s="22" t="str">
        <f>IF(F4150&gt;0,ENTRY!$D$5,"")</f>
        <v>ROHINI ZONE</v>
      </c>
      <c r="M4152" s="22"/>
      <c r="N4152" s="22"/>
      <c r="O4152" s="22"/>
      <c r="P4152" s="22"/>
      <c r="Q4152" s="14"/>
      <c r="R4152" s="11"/>
    </row>
    <row r="4153" s="1" customFormat="1" ht="21.95" customHeight="1" spans="1:18">
      <c r="A4153" s="7"/>
      <c r="B4153" s="12"/>
      <c r="C4153" s="17" t="s">
        <v>706</v>
      </c>
      <c r="D4153" s="17"/>
      <c r="E4153" s="17"/>
      <c r="F4153" s="23">
        <f>IFERROR(VLOOKUP(F4150,STUDENT!$A$2:$BP$101,5,0),"")</f>
        <v>0</v>
      </c>
      <c r="G4153" s="23"/>
      <c r="H4153" s="23"/>
      <c r="I4153" s="23"/>
      <c r="J4153" s="23"/>
      <c r="K4153" s="23"/>
      <c r="L4153" s="20" t="s">
        <v>707</v>
      </c>
      <c r="M4153" s="20"/>
      <c r="N4153" s="24" t="str">
        <f>IF(F4150&gt;0,ENTRY!$D$20&amp;"-"&amp;ENTRY!$D$21,"")</f>
        <v>III-A</v>
      </c>
      <c r="O4153" s="24"/>
      <c r="P4153" s="24"/>
      <c r="Q4153" s="14"/>
      <c r="R4153" s="11"/>
    </row>
    <row r="4154" s="1" customFormat="1" ht="21.95" customHeight="1" spans="1:18">
      <c r="A4154" s="7"/>
      <c r="B4154" s="12"/>
      <c r="C4154" s="17" t="s">
        <v>708</v>
      </c>
      <c r="D4154" s="17"/>
      <c r="E4154" s="17"/>
      <c r="F4154" s="25">
        <f>IFERROR(VLOOKUP(F4150,STUDENT!$A$2:$BP$101,6,0),"")</f>
        <v>0</v>
      </c>
      <c r="G4154" s="25"/>
      <c r="H4154" s="26" t="s">
        <v>709</v>
      </c>
      <c r="I4154" s="27" t="str">
        <f>IFERROR(VLOOKUP(F4150,STUDENT!$A$2:$BP$101,59,0),"")</f>
        <v/>
      </c>
      <c r="J4154" s="27"/>
      <c r="K4154" s="20" t="s">
        <v>710</v>
      </c>
      <c r="L4154" s="20"/>
      <c r="M4154" s="28">
        <f>IFERROR(VLOOKUP(F4150,STUDENT!$A$2:$BP$101,20,0),"")</f>
        <v>0</v>
      </c>
      <c r="N4154" s="28"/>
      <c r="O4154" s="28"/>
      <c r="P4154" s="28"/>
      <c r="Q4154" s="14"/>
      <c r="R4154" s="11"/>
    </row>
    <row r="4155" s="1" customFormat="1" ht="21.95" customHeight="1" spans="1:18">
      <c r="A4155" s="7"/>
      <c r="B4155" s="12"/>
      <c r="C4155" s="17" t="s">
        <v>711</v>
      </c>
      <c r="D4155" s="17"/>
      <c r="E4155" s="17"/>
      <c r="F4155" s="23">
        <f>IFERROR(VLOOKUP(F4150,STUDENT!$A$2:$BP$101,9,0),"")</f>
        <v>0</v>
      </c>
      <c r="G4155" s="23"/>
      <c r="H4155" s="23"/>
      <c r="I4155" s="23"/>
      <c r="J4155" s="17" t="s">
        <v>620</v>
      </c>
      <c r="K4155" s="17"/>
      <c r="L4155" s="23">
        <f>IFERROR(VLOOKUP(F4150,STUDENT!$A$2:$BP$101,8,0),"")</f>
        <v>0</v>
      </c>
      <c r="M4155" s="23"/>
      <c r="N4155" s="23"/>
      <c r="O4155" s="23"/>
      <c r="P4155" s="23"/>
      <c r="Q4155" s="14"/>
      <c r="R4155" s="11"/>
    </row>
    <row r="4156" s="1" customFormat="1" ht="21.95" customHeight="1" spans="1:18">
      <c r="A4156" s="7"/>
      <c r="B4156" s="12"/>
      <c r="C4156" s="17" t="s">
        <v>712</v>
      </c>
      <c r="D4156" s="17"/>
      <c r="E4156" s="17"/>
      <c r="F4156" s="23">
        <f>IFERROR(VLOOKUP(F4150,STUDENT!$A$2:$BP$101,22,0),"")</f>
        <v>0</v>
      </c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14"/>
      <c r="R4156" s="11"/>
    </row>
    <row r="4157" s="1" customFormat="1" ht="9.95" customHeight="1" spans="1:18">
      <c r="A4157" s="7"/>
      <c r="B4157" s="12"/>
      <c r="C4157" s="29"/>
      <c r="D4157" s="29"/>
      <c r="E4157" s="29"/>
      <c r="F4157" s="29"/>
      <c r="G4157" s="29"/>
      <c r="H4157" s="29"/>
      <c r="I4157" s="29"/>
      <c r="J4157" s="29"/>
      <c r="K4157" s="29"/>
      <c r="L4157" s="29"/>
      <c r="M4157" s="29"/>
      <c r="N4157" s="29"/>
      <c r="O4157" s="29"/>
      <c r="P4157" s="29"/>
      <c r="Q4157" s="14"/>
      <c r="R4157" s="11"/>
    </row>
    <row r="4158" s="1" customFormat="1" ht="9.95" customHeight="1" spans="1:18">
      <c r="A4158" s="7"/>
      <c r="B4158" s="12"/>
      <c r="C4158" s="30"/>
      <c r="D4158" s="31"/>
      <c r="E4158" s="31"/>
      <c r="F4158" s="31"/>
      <c r="G4158" s="31"/>
      <c r="H4158" s="31"/>
      <c r="I4158" s="31"/>
      <c r="J4158" s="31"/>
      <c r="K4158" s="31"/>
      <c r="L4158" s="31"/>
      <c r="M4158" s="31"/>
      <c r="N4158" s="31"/>
      <c r="O4158" s="31"/>
      <c r="P4158" s="32"/>
      <c r="Q4158" s="14"/>
      <c r="R4158" s="11"/>
    </row>
    <row r="4159" s="1" customFormat="1" ht="21.95" customHeight="1" spans="1:18">
      <c r="A4159" s="7"/>
      <c r="B4159" s="12"/>
      <c r="C4159" s="33"/>
      <c r="D4159" s="34" t="s">
        <v>713</v>
      </c>
      <c r="E4159" s="20" t="s">
        <v>714</v>
      </c>
      <c r="F4159" s="35" t="str">
        <f>"Level - "&amp;IFERROR(VLOOKUP(F4150,FLN!$A$4:$K$103,9,0),"")</f>
        <v>Level - </v>
      </c>
      <c r="G4159" s="36"/>
      <c r="H4159" s="37" t="s">
        <v>715</v>
      </c>
      <c r="I4159" s="20"/>
      <c r="J4159" s="35" t="str">
        <f>"Level - "&amp;IFERROR(VLOOKUP(F4150,FLN!$A$4:$K$103,11,0),"")</f>
        <v>Level - </v>
      </c>
      <c r="K4159" s="36"/>
      <c r="L4159" s="37" t="s">
        <v>408</v>
      </c>
      <c r="M4159" s="20"/>
      <c r="N4159" s="35" t="str">
        <f>"Level - "&amp;IFERROR(VLOOKUP(F4150,FLN!$A$4:$K$103,10,0),"")</f>
        <v>Level - </v>
      </c>
      <c r="O4159" s="36"/>
      <c r="P4159" s="19"/>
      <c r="Q4159" s="14"/>
      <c r="R4159" s="11"/>
    </row>
    <row r="4160" s="1" customFormat="1" ht="21.95" customHeight="1" spans="1:18">
      <c r="A4160" s="7"/>
      <c r="B4160" s="12"/>
      <c r="C4160" s="33"/>
      <c r="D4160" s="38"/>
      <c r="E4160" s="20" t="s">
        <v>716</v>
      </c>
      <c r="F4160" s="18" t="str">
        <f>IF(L4174&gt;197,"PERFORMED WELL","")</f>
        <v/>
      </c>
      <c r="G4160" s="18"/>
      <c r="H4160" s="18"/>
      <c r="I4160" s="18"/>
      <c r="J4160" s="18"/>
      <c r="K4160" s="18"/>
      <c r="L4160" s="18"/>
      <c r="M4160" s="18"/>
      <c r="N4160" s="18"/>
      <c r="O4160" s="18"/>
      <c r="P4160" s="19"/>
      <c r="Q4160" s="14"/>
      <c r="R4160" s="11"/>
    </row>
    <row r="4161" s="1" customFormat="1" ht="9.95" customHeight="1" spans="1:18">
      <c r="A4161" s="7"/>
      <c r="B4161" s="12"/>
      <c r="C4161" s="39"/>
      <c r="D4161" s="40"/>
      <c r="E4161" s="40"/>
      <c r="F4161" s="40"/>
      <c r="G4161" s="40"/>
      <c r="H4161" s="40"/>
      <c r="I4161" s="40"/>
      <c r="J4161" s="40"/>
      <c r="K4161" s="40"/>
      <c r="L4161" s="40"/>
      <c r="M4161" s="40"/>
      <c r="N4161" s="40"/>
      <c r="O4161" s="40"/>
      <c r="P4161" s="41"/>
      <c r="Q4161" s="14"/>
      <c r="R4161" s="11"/>
    </row>
    <row r="4162" s="1" customFormat="1" ht="9.95" customHeight="1" spans="1:18">
      <c r="A4162" s="7"/>
      <c r="B4162" s="12"/>
      <c r="C4162" s="29"/>
      <c r="D4162" s="29"/>
      <c r="E4162" s="29"/>
      <c r="F4162" s="29"/>
      <c r="G4162" s="29"/>
      <c r="H4162" s="29"/>
      <c r="I4162" s="29"/>
      <c r="J4162" s="29"/>
      <c r="K4162" s="29"/>
      <c r="L4162" s="29"/>
      <c r="M4162" s="29"/>
      <c r="N4162" s="29"/>
      <c r="O4162" s="29"/>
      <c r="P4162" s="29"/>
      <c r="Q4162" s="14"/>
      <c r="R4162" s="11"/>
    </row>
    <row r="4163" s="1" customFormat="1" ht="9.95" customHeight="1" spans="1:18">
      <c r="A4163" s="7"/>
      <c r="B4163" s="12"/>
      <c r="C4163" s="30"/>
      <c r="D4163" s="31"/>
      <c r="E4163" s="31"/>
      <c r="F4163" s="31"/>
      <c r="G4163" s="31"/>
      <c r="H4163" s="31"/>
      <c r="I4163" s="31"/>
      <c r="J4163" s="31"/>
      <c r="K4163" s="31"/>
      <c r="L4163" s="31"/>
      <c r="M4163" s="31"/>
      <c r="N4163" s="31"/>
      <c r="O4163" s="31"/>
      <c r="P4163" s="32"/>
      <c r="Q4163" s="14"/>
      <c r="R4163" s="11"/>
    </row>
    <row r="4164" s="1" customFormat="1" ht="21.95" customHeight="1" spans="1:18">
      <c r="A4164" s="7"/>
      <c r="B4164" s="12"/>
      <c r="C4164" s="33"/>
      <c r="D4164" s="35"/>
      <c r="E4164" s="24"/>
      <c r="F4164" s="24"/>
      <c r="G4164" s="47" t="s">
        <v>717</v>
      </c>
      <c r="H4164" s="47"/>
      <c r="I4164" s="47"/>
      <c r="J4164" s="47"/>
      <c r="K4164" s="47"/>
      <c r="L4164" s="47"/>
      <c r="M4164" s="47"/>
      <c r="N4164" s="47"/>
      <c r="O4164" s="29"/>
      <c r="P4164" s="19"/>
      <c r="Q4164" s="14"/>
      <c r="R4164" s="11"/>
    </row>
    <row r="4165" s="1" customFormat="1" ht="21.95" customHeight="1" spans="1:18">
      <c r="A4165" s="7"/>
      <c r="B4165" s="12"/>
      <c r="C4165" s="33"/>
      <c r="D4165" s="47"/>
      <c r="E4165" s="47"/>
      <c r="F4165" s="47"/>
      <c r="G4165" s="47" t="s">
        <v>541</v>
      </c>
      <c r="H4165" s="47" t="s">
        <v>542</v>
      </c>
      <c r="I4165" s="47" t="s">
        <v>543</v>
      </c>
      <c r="J4165" s="47" t="s">
        <v>544</v>
      </c>
      <c r="K4165" s="47" t="s">
        <v>561</v>
      </c>
      <c r="L4165" s="47" t="s">
        <v>382</v>
      </c>
      <c r="M4165" s="49" t="s">
        <v>546</v>
      </c>
      <c r="N4165" s="49"/>
      <c r="O4165" s="29"/>
      <c r="P4165" s="19"/>
      <c r="Q4165" s="14"/>
      <c r="R4165" s="11"/>
    </row>
    <row r="4166" s="1" customFormat="1" ht="21.95" customHeight="1" spans="1:18">
      <c r="A4166" s="7"/>
      <c r="B4166" s="12"/>
      <c r="C4166" s="33"/>
      <c r="D4166" s="207" t="s">
        <v>652</v>
      </c>
      <c r="E4166" s="207"/>
      <c r="F4166" s="207"/>
      <c r="G4166" s="50">
        <v>10</v>
      </c>
      <c r="H4166" s="50">
        <v>10</v>
      </c>
      <c r="I4166" s="50">
        <v>10</v>
      </c>
      <c r="J4166" s="50">
        <v>10</v>
      </c>
      <c r="K4166" s="50">
        <v>60</v>
      </c>
      <c r="L4166" s="50">
        <v>100</v>
      </c>
      <c r="M4166" s="49"/>
      <c r="N4166" s="49"/>
      <c r="O4166" s="29"/>
      <c r="P4166" s="19"/>
      <c r="Q4166" s="14"/>
      <c r="R4166" s="11"/>
    </row>
    <row r="4167" s="1" customFormat="1" ht="21.95" customHeight="1" spans="1:18">
      <c r="A4167" s="7"/>
      <c r="B4167" s="12"/>
      <c r="C4167" s="33"/>
      <c r="D4167" s="117" t="s">
        <v>668</v>
      </c>
      <c r="E4167" s="117"/>
      <c r="F4167" s="117"/>
      <c r="G4167" s="54" t="str">
        <f>IFERROR(VLOOKUP(F4150,'1to4-2.1-RR'!$A$12:$BG$111,9,0),"")</f>
        <v/>
      </c>
      <c r="H4167" s="54" t="str">
        <f>IFERROR(VLOOKUP(F4150,'1to4-2.1-RR'!$A$12:$BG$111,10,0),"")</f>
        <v/>
      </c>
      <c r="I4167" s="54" t="str">
        <f>IFERROR(VLOOKUP(F4150,'1to4-2.1-RR'!$A$12:$BG$111,11,0),"")</f>
        <v/>
      </c>
      <c r="J4167" s="54" t="str">
        <f>IFERROR(VLOOKUP(F4150,'1to4-2.1-RR'!$A$12:$BG$111,12,0),"")</f>
        <v/>
      </c>
      <c r="K4167" s="54" t="str">
        <f>IFERROR(VLOOKUP(F4150,'1to4-2.1-RR'!$A$12:$BG$111,13,0),"")</f>
        <v/>
      </c>
      <c r="L4167" s="55">
        <f>SUM(G4167:K4167)</f>
        <v>0</v>
      </c>
      <c r="M4167" s="56" t="str">
        <f>IF(F4150&gt;ENTRY!$D$24,"",IF(L4167=0,"Ab",IF(L4167&gt;80,"A",IF(L4167&gt;60,"B",IF(L4167&gt;44,"C",IF(L4167&gt;=33,"D",IF(L4167&lt;=32,"E","")))))))</f>
        <v/>
      </c>
      <c r="N4167" s="56"/>
      <c r="O4167" s="29"/>
      <c r="P4167" s="19"/>
      <c r="Q4167" s="14"/>
      <c r="R4167" s="11"/>
    </row>
    <row r="4168" s="1" customFormat="1" ht="21.95" customHeight="1" spans="1:18">
      <c r="A4168" s="7"/>
      <c r="B4168" s="12"/>
      <c r="C4168" s="33"/>
      <c r="D4168" s="117" t="s">
        <v>513</v>
      </c>
      <c r="E4168" s="117"/>
      <c r="F4168" s="117"/>
      <c r="G4168" s="54" t="str">
        <f>IFERROR(VLOOKUP(F4150,'1to4-2.1-RR'!$A$12:$BG$111,16,0),"")</f>
        <v/>
      </c>
      <c r="H4168" s="54" t="str">
        <f>IFERROR(VLOOKUP(F4150,'1to4-2.1-RR'!$A$12:$BG$111,17,0),"")</f>
        <v/>
      </c>
      <c r="I4168" s="54" t="str">
        <f>IFERROR(VLOOKUP(F4150,'1to4-2.1-RR'!$A$12:$BG$111,18,0),"")</f>
        <v/>
      </c>
      <c r="J4168" s="54" t="str">
        <f>IFERROR(VLOOKUP(F4150,'1to4-2.1-RR'!$A$12:$BG$111,19,0),"")</f>
        <v/>
      </c>
      <c r="K4168" s="54" t="str">
        <f>IFERROR(VLOOKUP(F4150,'1to4-2.1-RR'!$A$12:$BG$111,20,0),"")</f>
        <v/>
      </c>
      <c r="L4168" s="55">
        <f t="shared" ref="L4168:L4173" si="148">SUM(G4168:K4168)</f>
        <v>0</v>
      </c>
      <c r="M4168" s="56" t="str">
        <f>IF(F4150&gt;ENTRY!$D$24,"",IF(L4168=0,"Ab",IF(L4168&gt;80,"A",IF(L4168&gt;60,"B",IF(L4168&gt;44,"C",IF(L4168&gt;=33,"D",IF(L4168&lt;=32,"E","")))))))</f>
        <v/>
      </c>
      <c r="N4168" s="56"/>
      <c r="O4168" s="29"/>
      <c r="P4168" s="19"/>
      <c r="Q4168" s="14"/>
      <c r="R4168" s="11"/>
    </row>
    <row r="4169" s="1" customFormat="1" ht="21.95" customHeight="1" spans="1:18">
      <c r="A4169" s="7"/>
      <c r="B4169" s="12"/>
      <c r="C4169" s="33"/>
      <c r="D4169" s="117" t="s">
        <v>718</v>
      </c>
      <c r="E4169" s="117"/>
      <c r="F4169" s="117"/>
      <c r="G4169" s="54" t="str">
        <f>IFERROR(VLOOKUP(F4150,'1to4-2.1-RR'!$A$12:$BG$111,23,0),"")</f>
        <v/>
      </c>
      <c r="H4169" s="54" t="str">
        <f>IFERROR(VLOOKUP(F4150,'1to4-2.1-RR'!$A$12:$BG$111,24,0),"")</f>
        <v/>
      </c>
      <c r="I4169" s="54" t="str">
        <f>IFERROR(VLOOKUP(F4150,'1to4-2.1-RR'!$A$12:$BG$111,25,0),"")</f>
        <v/>
      </c>
      <c r="J4169" s="54" t="str">
        <f>IFERROR(VLOOKUP(F4150,'1to4-2.1-RR'!$A$12:$BG$111,26,0),"")</f>
        <v/>
      </c>
      <c r="K4169" s="54" t="str">
        <f>IFERROR(VLOOKUP(F4150,'1to4-2.1-RR'!$A$12:$BG$111,27,0),"")</f>
        <v/>
      </c>
      <c r="L4169" s="55">
        <f t="shared" si="148"/>
        <v>0</v>
      </c>
      <c r="M4169" s="56" t="str">
        <f>IF(F4150&gt;ENTRY!$D$24,"",IF(L4169=0,"Ab",IF(L4169&gt;80,"A",IF(L4169&gt;60,"B",IF(L4169&gt;44,"C",IF(L4169&gt;=33,"D",IF(L4169&lt;=32,"E","")))))))</f>
        <v/>
      </c>
      <c r="N4169" s="56"/>
      <c r="O4169" s="29"/>
      <c r="P4169" s="19"/>
      <c r="Q4169" s="14"/>
      <c r="R4169" s="11"/>
    </row>
    <row r="4170" s="1" customFormat="1" ht="21.95" customHeight="1" spans="1:18">
      <c r="A4170" s="7"/>
      <c r="B4170" s="12"/>
      <c r="C4170" s="33"/>
      <c r="D4170" s="117" t="s">
        <v>719</v>
      </c>
      <c r="E4170" s="117"/>
      <c r="F4170" s="117"/>
      <c r="G4170" s="54" t="str">
        <f>IFERROR(VLOOKUP(F4150,'1to4-2.1-RR'!$A$12:$BG$111,30,0),"")</f>
        <v/>
      </c>
      <c r="H4170" s="54" t="str">
        <f>IFERROR(VLOOKUP(F4150,'1to4-2.1-RR'!$A$12:$BG$111,31,0),"")</f>
        <v/>
      </c>
      <c r="I4170" s="54" t="str">
        <f>IFERROR(VLOOKUP(F4150,'1to4-2.1-RR'!$A$12:$BG$111,32,0),"")</f>
        <v/>
      </c>
      <c r="J4170" s="54" t="str">
        <f>IFERROR(VLOOKUP(F4150,'1to4-2.1-RR'!$A$12:$BG$111,33,0),"")</f>
        <v/>
      </c>
      <c r="K4170" s="54" t="str">
        <f>IFERROR(VLOOKUP(F4150,'1to4-2.1-RR'!$A$12:$BG$111,34,0),"")</f>
        <v/>
      </c>
      <c r="L4170" s="55">
        <f t="shared" si="148"/>
        <v>0</v>
      </c>
      <c r="M4170" s="56" t="str">
        <f>IF(F4150&gt;ENTRY!$D$24,"",IF(L4170=0,"Ab",IF(L4170&gt;80,"A",IF(L4170&gt;60,"B",IF(L4170&gt;44,"C",IF(L4170&gt;=33,"D",IF(L4170&lt;=32,"E","")))))))</f>
        <v/>
      </c>
      <c r="N4170" s="56"/>
      <c r="O4170" s="29"/>
      <c r="P4170" s="19"/>
      <c r="Q4170" s="14"/>
      <c r="R4170" s="11"/>
    </row>
    <row r="4171" s="1" customFormat="1" ht="21.95" customHeight="1" spans="1:18">
      <c r="A4171" s="7"/>
      <c r="B4171" s="12"/>
      <c r="C4171" s="33"/>
      <c r="D4171" s="117" t="s">
        <v>548</v>
      </c>
      <c r="E4171" s="117"/>
      <c r="F4171" s="117"/>
      <c r="G4171" s="54" t="str">
        <f>IFERROR(VLOOKUP(F4150,'1to4-2.1-RR'!$A$12:$BG$111,37,0),"")</f>
        <v/>
      </c>
      <c r="H4171" s="54" t="str">
        <f>IFERROR(VLOOKUP(F4150,'1to4-2.1-RR'!$A$12:$BG$111,38,0),"")</f>
        <v/>
      </c>
      <c r="I4171" s="54" t="str">
        <f>IFERROR(VLOOKUP(F4150,'1to4-2.1-RR'!$A$12:$BG$111,39,0),"")</f>
        <v/>
      </c>
      <c r="J4171" s="54" t="str">
        <f>IFERROR(VLOOKUP(F4150,'1to4-2.1-RR'!$A$12:$BG$111,40,0),"")</f>
        <v/>
      </c>
      <c r="K4171" s="54" t="str">
        <f>IFERROR(VLOOKUP(F4150,'1to4-2.1-RR'!$A$12:$BG$111,41,0),"")</f>
        <v/>
      </c>
      <c r="L4171" s="55">
        <f t="shared" si="148"/>
        <v>0</v>
      </c>
      <c r="M4171" s="56" t="str">
        <f>IF(F4150&gt;ENTRY!$D$24,"",IF(L4171=0,"Ab",IF(L4171&gt;80,"A",IF(L4171&gt;60,"B",IF(L4171&gt;44,"C",IF(L4171&gt;=33,"D",IF(L4171&lt;=32,"E","")))))))</f>
        <v/>
      </c>
      <c r="N4171" s="56"/>
      <c r="O4171" s="29"/>
      <c r="P4171" s="19"/>
      <c r="Q4171" s="14"/>
      <c r="R4171" s="11"/>
    </row>
    <row r="4172" s="1" customFormat="1" ht="21.95" customHeight="1" spans="1:18">
      <c r="A4172" s="7"/>
      <c r="B4172" s="12"/>
      <c r="C4172" s="33"/>
      <c r="D4172" s="117" t="s">
        <v>549</v>
      </c>
      <c r="E4172" s="117"/>
      <c r="F4172" s="117"/>
      <c r="G4172" s="54" t="str">
        <f>IFERROR(VLOOKUP(F4150,'1to4-2.1-RR'!$A$12:$BG$111,44,0),"")</f>
        <v/>
      </c>
      <c r="H4172" s="54" t="str">
        <f>IFERROR(VLOOKUP(F4150,'1to4-2.1-RR'!$A$12:$BG$111,45,0),"")</f>
        <v/>
      </c>
      <c r="I4172" s="54" t="str">
        <f>IFERROR(VLOOKUP(F4150,'1to4-2.1-RR'!$A$12:$BG$111,46,0),"")</f>
        <v/>
      </c>
      <c r="J4172" s="54" t="str">
        <f>IFERROR(VLOOKUP(F4150,'1to4-2.1-RR'!$A$12:$BG$111,47,0),"")</f>
        <v/>
      </c>
      <c r="K4172" s="54" t="str">
        <f>IFERROR(VLOOKUP(F4150,'1to4-2.1-RR'!$A$12:$BG$111,48,0),"")</f>
        <v/>
      </c>
      <c r="L4172" s="55">
        <f t="shared" si="148"/>
        <v>0</v>
      </c>
      <c r="M4172" s="56" t="str">
        <f>IF(F4150&gt;ENTRY!$D$24,"",IF(L4172=0,"Ab",IF(L4172&gt;80,"A",IF(L4172&gt;60,"B",IF(L4172&gt;44,"C",IF(L4172&gt;=33,"D",IF(L4172&lt;=32,"E","")))))))</f>
        <v/>
      </c>
      <c r="N4172" s="56"/>
      <c r="O4172" s="29"/>
      <c r="P4172" s="19"/>
      <c r="Q4172" s="14"/>
      <c r="R4172" s="11"/>
    </row>
    <row r="4173" s="1" customFormat="1" ht="21.95" customHeight="1" spans="1:18">
      <c r="A4173" s="7"/>
      <c r="B4173" s="12"/>
      <c r="C4173" s="33"/>
      <c r="D4173" s="117" t="s">
        <v>720</v>
      </c>
      <c r="E4173" s="117"/>
      <c r="F4173" s="117"/>
      <c r="G4173" s="54"/>
      <c r="H4173" s="54"/>
      <c r="I4173" s="54"/>
      <c r="J4173" s="54"/>
      <c r="K4173" s="54"/>
      <c r="L4173" s="55">
        <f t="shared" si="148"/>
        <v>0</v>
      </c>
      <c r="M4173" s="56" t="str">
        <f>IF(F4150&gt;ENTRY!$D$24,"",IF(L4173=0,"",IF(L4173&gt;79,"A",IF(L4173&gt;59,"B",IF(L4173&gt;44,"C",IF(L4173&gt;=33,"D",IF(L4173&lt;=32,"E","")))))))</f>
        <v/>
      </c>
      <c r="N4173" s="56"/>
      <c r="O4173" s="29"/>
      <c r="P4173" s="19"/>
      <c r="Q4173" s="14"/>
      <c r="R4173" s="11"/>
    </row>
    <row r="4174" s="1" customFormat="1" ht="21.95" customHeight="1" spans="1:18">
      <c r="A4174" s="7"/>
      <c r="B4174" s="12"/>
      <c r="C4174" s="33"/>
      <c r="D4174" s="207" t="s">
        <v>382</v>
      </c>
      <c r="E4174" s="207"/>
      <c r="F4174" s="207"/>
      <c r="G4174" s="54">
        <f t="shared" ref="G4174:L4174" si="149">IFERROR(SUM(G4167:G4173),"")</f>
        <v>0</v>
      </c>
      <c r="H4174" s="54">
        <f t="shared" si="149"/>
        <v>0</v>
      </c>
      <c r="I4174" s="54">
        <f t="shared" si="149"/>
        <v>0</v>
      </c>
      <c r="J4174" s="54">
        <f t="shared" si="149"/>
        <v>0</v>
      </c>
      <c r="K4174" s="54">
        <f t="shared" si="149"/>
        <v>0</v>
      </c>
      <c r="L4174" s="55">
        <f t="shared" si="149"/>
        <v>0</v>
      </c>
      <c r="M4174" s="61" t="str">
        <f>IF(F4150&gt;ENTRY!$D$24,"",IF(N4175="Ab","Ab",IF(N4175&gt;79.5,"A",IF(N4175&gt;59.5,"B",IF(N4175&gt;44.5,"C",IF(N4175&gt;=33,"D",IF(N4175&lt;33,"E","")))))))</f>
        <v/>
      </c>
      <c r="N4174" s="61"/>
      <c r="O4174" s="29"/>
      <c r="P4174" s="19"/>
      <c r="Q4174" s="14"/>
      <c r="R4174" s="11"/>
    </row>
    <row r="4175" s="1" customFormat="1" ht="21.95" customHeight="1" spans="1:18">
      <c r="A4175" s="7"/>
      <c r="B4175" s="12"/>
      <c r="C4175" s="33"/>
      <c r="D4175" s="63" t="s">
        <v>721</v>
      </c>
      <c r="E4175" s="63"/>
      <c r="F4175" s="63"/>
      <c r="G4175" s="63"/>
      <c r="H4175" s="63"/>
      <c r="I4175" s="63"/>
      <c r="J4175" s="63"/>
      <c r="K4175" s="63"/>
      <c r="L4175" s="63"/>
      <c r="M4175" s="209"/>
      <c r="N4175" s="64">
        <f>IF(L4174="Ab","Ab",L4174/6)</f>
        <v>0</v>
      </c>
      <c r="O4175" s="65"/>
      <c r="P4175" s="19"/>
      <c r="Q4175" s="14"/>
      <c r="R4175" s="11"/>
    </row>
    <row r="4176" s="1" customFormat="1" ht="21.95" customHeight="1" spans="1:18">
      <c r="A4176" s="7"/>
      <c r="B4176" s="12"/>
      <c r="C4176" s="33"/>
      <c r="D4176" s="29" t="s">
        <v>716</v>
      </c>
      <c r="E4176" s="18" t="str">
        <f>IFERROR(VLOOKUP(F4150,'1to4-2.1-RR'!$A$12:$BG$111,57,0),"")</f>
        <v/>
      </c>
      <c r="F4176" s="18"/>
      <c r="G4176" s="18"/>
      <c r="H4176" s="18"/>
      <c r="I4176" s="18"/>
      <c r="J4176" s="18"/>
      <c r="K4176" s="18"/>
      <c r="L4176" s="18"/>
      <c r="M4176" s="18"/>
      <c r="N4176" s="29"/>
      <c r="O4176" s="29"/>
      <c r="P4176" s="19"/>
      <c r="Q4176" s="14"/>
      <c r="R4176" s="11"/>
    </row>
    <row r="4177" s="1" customFormat="1" ht="9.95" customHeight="1" spans="1:19">
      <c r="A4177" s="7"/>
      <c r="B4177" s="12"/>
      <c r="C4177" s="39"/>
      <c r="D4177" s="40"/>
      <c r="E4177" s="40"/>
      <c r="F4177" s="40"/>
      <c r="G4177" s="40"/>
      <c r="H4177" s="40"/>
      <c r="I4177" s="40"/>
      <c r="J4177" s="40"/>
      <c r="K4177" s="40"/>
      <c r="L4177" s="40"/>
      <c r="M4177" s="40"/>
      <c r="N4177" s="40"/>
      <c r="O4177" s="40"/>
      <c r="P4177" s="41"/>
      <c r="Q4177" s="14"/>
      <c r="R4177" s="11"/>
    </row>
    <row r="4178" s="1" customFormat="1" ht="9.95" customHeight="1" spans="1:19">
      <c r="A4178" s="7"/>
      <c r="B4178" s="12"/>
      <c r="C4178" s="30"/>
      <c r="D4178" s="31"/>
      <c r="E4178" s="31"/>
      <c r="F4178" s="29"/>
      <c r="G4178" s="31"/>
      <c r="H4178" s="31"/>
      <c r="I4178" s="31"/>
      <c r="J4178" s="31"/>
      <c r="K4178" s="31"/>
      <c r="L4178" s="31"/>
      <c r="M4178" s="31"/>
      <c r="N4178" s="31"/>
      <c r="O4178" s="31"/>
      <c r="P4178" s="32"/>
      <c r="Q4178" s="14"/>
      <c r="R4178" s="11"/>
    </row>
    <row r="4179" s="1" customFormat="1" ht="9.95" customHeight="1" spans="1:19">
      <c r="A4179" s="7"/>
      <c r="B4179" s="12"/>
      <c r="C4179" s="33"/>
      <c r="D4179" s="29"/>
      <c r="E4179" s="29"/>
      <c r="F4179" s="29"/>
      <c r="G4179" s="29"/>
      <c r="H4179" s="29"/>
      <c r="I4179" s="29"/>
      <c r="J4179" s="29"/>
      <c r="K4179" s="29"/>
      <c r="L4179" s="29"/>
      <c r="M4179" s="29"/>
      <c r="N4179" s="29"/>
      <c r="O4179" s="29"/>
      <c r="P4179" s="19"/>
      <c r="Q4179" s="14"/>
      <c r="R4179" s="11"/>
    </row>
    <row r="4180" s="1" customFormat="1" ht="9.95" customHeight="1" spans="1:19">
      <c r="A4180" s="7"/>
      <c r="B4180" s="12"/>
      <c r="C4180" s="33"/>
      <c r="D4180" s="29"/>
      <c r="E4180" s="29"/>
      <c r="F4180" s="29"/>
      <c r="G4180" s="29"/>
      <c r="H4180" s="29"/>
      <c r="I4180" s="29"/>
      <c r="J4180" s="29"/>
      <c r="K4180" s="29"/>
      <c r="L4180" s="29"/>
      <c r="M4180" s="29"/>
      <c r="N4180" s="29"/>
      <c r="O4180" s="29"/>
      <c r="P4180" s="19"/>
      <c r="Q4180" s="14"/>
      <c r="R4180" s="11"/>
    </row>
    <row r="4181" s="1" customFormat="1" ht="21.95" customHeight="1" spans="1:19">
      <c r="A4181" s="7"/>
      <c r="B4181" s="12"/>
      <c r="C4181" s="210"/>
      <c r="D4181" s="211"/>
      <c r="E4181" s="211"/>
      <c r="F4181" s="211"/>
      <c r="G4181" s="211"/>
      <c r="H4181" s="211"/>
      <c r="I4181" s="211"/>
      <c r="J4181" s="211"/>
      <c r="K4181" s="211"/>
      <c r="L4181" s="211"/>
      <c r="M4181" s="211"/>
      <c r="N4181" s="211"/>
      <c r="O4181" s="211"/>
      <c r="P4181" s="212"/>
      <c r="Q4181" s="14"/>
      <c r="R4181" s="11"/>
      <c r="S4181" s="2"/>
    </row>
    <row r="4182" s="1" customFormat="1" ht="21.95" customHeight="1" spans="1:19">
      <c r="A4182" s="7"/>
      <c r="B4182" s="12"/>
      <c r="C4182" s="33"/>
      <c r="D4182" s="207" t="s">
        <v>722</v>
      </c>
      <c r="E4182" s="207"/>
      <c r="F4182" s="207"/>
      <c r="G4182" s="207"/>
      <c r="H4182" s="54">
        <f>IFERROR(VLOOKUP(F4150,PASHEET!$A$4:$CJ$103,88,0),"")</f>
        <v>0</v>
      </c>
      <c r="I4182" s="54"/>
      <c r="J4182" s="29"/>
      <c r="K4182" s="29"/>
      <c r="L4182" s="29"/>
      <c r="M4182" s="29"/>
      <c r="N4182" s="29"/>
      <c r="O4182" s="29"/>
      <c r="P4182" s="19"/>
      <c r="Q4182" s="14"/>
      <c r="R4182" s="11"/>
    </row>
    <row r="4183" s="1" customFormat="1" ht="21.95" customHeight="1" spans="1:19">
      <c r="A4183" s="7"/>
      <c r="B4183" s="12"/>
      <c r="C4183" s="213"/>
      <c r="D4183" s="207" t="s">
        <v>723</v>
      </c>
      <c r="E4183" s="207"/>
      <c r="F4183" s="207"/>
      <c r="G4183" s="207"/>
      <c r="H4183" s="54">
        <f>IFERROR(VLOOKUP(F4150,PASHEET!$A$4:$CJ$103,87,0),"")</f>
        <v>0</v>
      </c>
      <c r="I4183" s="54"/>
      <c r="J4183" s="214"/>
      <c r="K4183" s="214"/>
      <c r="L4183" s="207" t="s">
        <v>724</v>
      </c>
      <c r="M4183" s="207"/>
      <c r="N4183" s="117" t="str">
        <f>IF(F4150&gt;ENTRY!$D$24,"",IF(F4150&gt;0,L4174&amp;" / "&amp;600,""))</f>
        <v/>
      </c>
      <c r="O4183" s="117"/>
      <c r="P4183" s="215"/>
      <c r="Q4183" s="14"/>
      <c r="R4183" s="11"/>
    </row>
    <row r="4184" s="1" customFormat="1" ht="18" customHeight="1" spans="1:19">
      <c r="A4184" s="7"/>
      <c r="B4184" s="12"/>
      <c r="C4184" s="33"/>
      <c r="D4184" s="207" t="s">
        <v>725</v>
      </c>
      <c r="E4184" s="207"/>
      <c r="F4184" s="207"/>
      <c r="G4184" s="207"/>
      <c r="H4184" s="69" t="str">
        <f>IFERROR(IF(F4150&gt;0,H4183/H4182*100),"")</f>
        <v/>
      </c>
      <c r="I4184" s="69"/>
      <c r="J4184" s="29"/>
      <c r="K4184" s="29"/>
      <c r="L4184" s="207" t="s">
        <v>726</v>
      </c>
      <c r="M4184" s="207"/>
      <c r="N4184" s="216" t="str">
        <f>IF(F4150&gt;ENTRY!$D$24,"",IF(F4150&gt;0,L4174/600*100,""))</f>
        <v/>
      </c>
      <c r="O4184" s="216"/>
      <c r="P4184" s="19"/>
      <c r="Q4184" s="14"/>
      <c r="R4184" s="11"/>
    </row>
    <row r="4185" s="1" customFormat="1" ht="21.95" customHeight="1" spans="1:19">
      <c r="A4185" s="7"/>
      <c r="B4185" s="12"/>
      <c r="C4185" s="33"/>
      <c r="D4185" s="80"/>
      <c r="E4185" s="80"/>
      <c r="F4185" s="217"/>
      <c r="G4185" s="217"/>
      <c r="H4185" s="217"/>
      <c r="I4185" s="217"/>
      <c r="J4185" s="217"/>
      <c r="K4185" s="217"/>
      <c r="L4185" s="217"/>
      <c r="M4185" s="217"/>
      <c r="N4185" s="80"/>
      <c r="O4185" s="80"/>
      <c r="P4185" s="19"/>
      <c r="Q4185" s="14"/>
      <c r="R4185" s="11"/>
    </row>
    <row r="4186" s="1" customFormat="1" ht="21.95" customHeight="1" spans="1:19">
      <c r="A4186" s="7"/>
      <c r="B4186" s="12"/>
      <c r="C4186" s="33"/>
      <c r="D4186" s="80"/>
      <c r="E4186" s="218"/>
      <c r="F4186" s="218"/>
      <c r="G4186" s="218"/>
      <c r="H4186" s="80"/>
      <c r="I4186" s="218"/>
      <c r="J4186" s="218"/>
      <c r="K4186" s="218"/>
      <c r="L4186" s="218"/>
      <c r="M4186" s="80"/>
      <c r="N4186" s="219"/>
      <c r="O4186" s="219"/>
      <c r="P4186" s="19"/>
      <c r="Q4186" s="14"/>
      <c r="R4186" s="11"/>
    </row>
    <row r="4187" s="1" customFormat="1" ht="21.95" customHeight="1" spans="1:19">
      <c r="A4187" s="7"/>
      <c r="B4187" s="12"/>
      <c r="C4187" s="33"/>
      <c r="D4187" s="80"/>
      <c r="E4187" s="80"/>
      <c r="F4187" s="80"/>
      <c r="G4187" s="80"/>
      <c r="H4187" s="80"/>
      <c r="I4187" s="80"/>
      <c r="J4187" s="80"/>
      <c r="K4187" s="80"/>
      <c r="L4187" s="80"/>
      <c r="M4187" s="80"/>
      <c r="N4187" s="80"/>
      <c r="O4187" s="80"/>
      <c r="P4187" s="19"/>
      <c r="Q4187" s="14"/>
      <c r="R4187" s="11"/>
    </row>
    <row r="4188" s="1" customFormat="1" ht="21.95" customHeight="1" spans="1:19">
      <c r="A4188" s="7"/>
      <c r="B4188" s="12"/>
      <c r="C4188" s="33"/>
      <c r="D4188" s="218"/>
      <c r="E4188" s="218"/>
      <c r="F4188" s="218"/>
      <c r="G4188" s="218"/>
      <c r="H4188" s="218"/>
      <c r="I4188" s="218"/>
      <c r="J4188" s="218"/>
      <c r="K4188" s="218"/>
      <c r="L4188" s="218"/>
      <c r="M4188" s="80"/>
      <c r="N4188" s="217"/>
      <c r="O4188" s="217"/>
      <c r="P4188" s="85" t="s">
        <v>727</v>
      </c>
      <c r="Q4188" s="14"/>
      <c r="R4188" s="11"/>
    </row>
    <row r="4189" s="1" customFormat="1" ht="21.95" customHeight="1" spans="1:19">
      <c r="A4189" s="7"/>
      <c r="B4189" s="12"/>
      <c r="C4189" s="33"/>
      <c r="D4189" s="29"/>
      <c r="E4189" s="29"/>
      <c r="F4189" s="29"/>
      <c r="G4189" s="29"/>
      <c r="H4189" s="29"/>
      <c r="I4189" s="29"/>
      <c r="J4189" s="29"/>
      <c r="K4189" s="29"/>
      <c r="L4189" s="29"/>
      <c r="M4189" s="29"/>
      <c r="N4189" s="29"/>
      <c r="O4189" s="29"/>
      <c r="P4189" s="19"/>
      <c r="Q4189" s="14"/>
      <c r="R4189" s="11"/>
    </row>
    <row r="4190" s="1" customFormat="1" ht="21.95" customHeight="1" spans="1:19">
      <c r="A4190" s="7"/>
      <c r="B4190" s="12"/>
      <c r="C4190" s="33"/>
      <c r="D4190" s="29"/>
      <c r="E4190" s="29"/>
      <c r="F4190" s="29"/>
      <c r="G4190" s="29"/>
      <c r="H4190" s="29"/>
      <c r="I4190" s="29"/>
      <c r="J4190" s="29"/>
      <c r="K4190" s="29"/>
      <c r="L4190" s="29"/>
      <c r="M4190" s="29"/>
      <c r="N4190" s="29"/>
      <c r="O4190" s="29"/>
      <c r="P4190" s="19"/>
      <c r="Q4190" s="14"/>
      <c r="R4190" s="11"/>
    </row>
    <row r="4191" s="1" customFormat="1" ht="21.95" customHeight="1" spans="1:19">
      <c r="A4191" s="7"/>
      <c r="B4191" s="12"/>
      <c r="C4191" s="33"/>
      <c r="D4191" s="29"/>
      <c r="E4191" s="29"/>
      <c r="F4191" s="29"/>
      <c r="G4191" s="29"/>
      <c r="H4191" s="29"/>
      <c r="I4191" s="29"/>
      <c r="J4191" s="29"/>
      <c r="K4191" s="29"/>
      <c r="L4191" s="29"/>
      <c r="M4191" s="29"/>
      <c r="N4191" s="29"/>
      <c r="O4191" s="29"/>
      <c r="P4191" s="19"/>
      <c r="Q4191" s="14"/>
      <c r="R4191" s="11"/>
    </row>
    <row r="4192" s="1" customFormat="1" ht="21.95" customHeight="1" spans="1:19">
      <c r="A4192" s="7"/>
      <c r="B4192" s="12"/>
      <c r="C4192" s="33"/>
      <c r="D4192" s="29"/>
      <c r="E4192" s="29"/>
      <c r="F4192" s="29"/>
      <c r="G4192" s="29"/>
      <c r="H4192" s="29"/>
      <c r="I4192" s="29"/>
      <c r="J4192" s="29"/>
      <c r="K4192" s="29"/>
      <c r="L4192" s="29"/>
      <c r="M4192" s="29"/>
      <c r="N4192" s="29"/>
      <c r="O4192" s="29"/>
      <c r="P4192" s="19"/>
      <c r="Q4192" s="14"/>
      <c r="R4192" s="11"/>
    </row>
    <row r="4193" s="1" customFormat="1" ht="21.95" customHeight="1" spans="1:18">
      <c r="A4193" s="7"/>
      <c r="B4193" s="12"/>
      <c r="C4193" s="33"/>
      <c r="D4193" s="29"/>
      <c r="E4193" s="29"/>
      <c r="F4193" s="29"/>
      <c r="G4193" s="29"/>
      <c r="H4193" s="29"/>
      <c r="I4193" s="29"/>
      <c r="J4193" s="29"/>
      <c r="K4193" s="29"/>
      <c r="L4193" s="29"/>
      <c r="M4193" s="29"/>
      <c r="N4193" s="29"/>
      <c r="O4193" s="29"/>
      <c r="P4193" s="19"/>
      <c r="Q4193" s="14"/>
      <c r="R4193" s="11"/>
    </row>
    <row r="4194" s="1" customFormat="1" ht="21.95" customHeight="1" spans="1:18">
      <c r="A4194" s="7"/>
      <c r="B4194" s="12"/>
      <c r="C4194" s="33"/>
      <c r="D4194" s="80" t="s">
        <v>728</v>
      </c>
      <c r="E4194" s="220">
        <f>ENTRY!$D$27</f>
        <v>46102</v>
      </c>
      <c r="F4194" s="220"/>
      <c r="G4194" s="29"/>
      <c r="H4194" s="29"/>
      <c r="I4194" s="221" t="s">
        <v>729</v>
      </c>
      <c r="J4194" s="153"/>
      <c r="K4194" s="29"/>
      <c r="L4194" s="29"/>
      <c r="M4194" s="87" t="s">
        <v>730</v>
      </c>
      <c r="N4194" s="87"/>
      <c r="O4194" s="87"/>
      <c r="P4194" s="19"/>
      <c r="Q4194" s="14"/>
      <c r="R4194" s="11"/>
    </row>
    <row r="4195" s="1" customFormat="1" ht="21.95" customHeight="1" spans="1:18">
      <c r="A4195" s="7"/>
      <c r="B4195" s="12"/>
      <c r="C4195" s="33"/>
      <c r="D4195" s="80" t="s">
        <v>731</v>
      </c>
      <c r="E4195" s="88" t="str">
        <f>PROPER(ENTRY!$D$28)</f>
        <v>New Delhi</v>
      </c>
      <c r="F4195" s="88"/>
      <c r="G4195" s="29"/>
      <c r="H4195" s="29"/>
      <c r="I4195" s="153"/>
      <c r="J4195" s="153"/>
      <c r="K4195" s="29"/>
      <c r="L4195" s="29"/>
      <c r="M4195" s="79" t="s">
        <v>732</v>
      </c>
      <c r="N4195" s="79"/>
      <c r="O4195" s="79"/>
      <c r="P4195" s="19"/>
      <c r="Q4195" s="14"/>
      <c r="R4195" s="11"/>
    </row>
    <row r="4196" s="1" customFormat="1" ht="21.95" customHeight="1" spans="1:18">
      <c r="A4196" s="7"/>
      <c r="B4196" s="12"/>
      <c r="C4196" s="90"/>
      <c r="D4196" s="91"/>
      <c r="E4196" s="91"/>
      <c r="F4196" s="91"/>
      <c r="G4196" s="91"/>
      <c r="H4196" s="91"/>
      <c r="I4196" s="91"/>
      <c r="J4196" s="91"/>
      <c r="K4196" s="91"/>
      <c r="L4196" s="91"/>
      <c r="M4196" s="91"/>
      <c r="N4196" s="91"/>
      <c r="O4196" s="91"/>
      <c r="P4196" s="92"/>
      <c r="Q4196" s="14"/>
      <c r="R4196" s="11"/>
    </row>
    <row r="4197" s="1" customFormat="1" ht="5.1" customHeight="1" spans="1:18">
      <c r="A4197" s="7"/>
      <c r="B4197" s="90"/>
      <c r="C4197" s="91"/>
      <c r="D4197" s="91"/>
      <c r="E4197" s="91"/>
      <c r="F4197" s="91"/>
      <c r="G4197" s="91"/>
      <c r="H4197" s="91"/>
      <c r="I4197" s="91"/>
      <c r="J4197" s="91"/>
      <c r="K4197" s="91"/>
      <c r="L4197" s="91"/>
      <c r="M4197" s="91"/>
      <c r="N4197" s="91"/>
      <c r="O4197" s="91"/>
      <c r="P4197" s="91"/>
      <c r="Q4197" s="92"/>
      <c r="R4197" s="11"/>
    </row>
    <row r="4198" s="1" customFormat="1" ht="5.1" customHeight="1" spans="1:18">
      <c r="A4198" s="93"/>
      <c r="B4198" s="94"/>
      <c r="C4198" s="94"/>
      <c r="D4198" s="94"/>
      <c r="E4198" s="94"/>
      <c r="F4198" s="94"/>
      <c r="G4198" s="94"/>
      <c r="H4198" s="94"/>
      <c r="I4198" s="94"/>
      <c r="J4198" s="94"/>
      <c r="K4198" s="94"/>
      <c r="L4198" s="94"/>
      <c r="M4198" s="94"/>
      <c r="N4198" s="94"/>
      <c r="O4198" s="94"/>
      <c r="P4198" s="94"/>
      <c r="Q4198" s="94"/>
      <c r="R4198" s="95"/>
    </row>
    <row r="4199" s="1" customFormat="1" ht="21.95" customHeight="1"/>
    <row r="4200" ht="15.15"/>
    <row r="4201" s="1" customFormat="1" ht="5.1" customHeight="1" spans="1:18">
      <c r="A4201" s="4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  <c r="O4201" s="5"/>
      <c r="P4201" s="5"/>
      <c r="Q4201" s="5"/>
      <c r="R4201" s="6"/>
    </row>
    <row r="4202" s="1" customFormat="1" ht="15" customHeight="1" spans="1:18">
      <c r="A4202" s="7"/>
      <c r="B4202" s="8"/>
      <c r="C4202" s="9"/>
      <c r="D4202" s="9"/>
      <c r="E4202" s="9"/>
      <c r="F4202" s="9"/>
      <c r="G4202" s="9"/>
      <c r="H4202" s="9"/>
      <c r="I4202" s="9"/>
      <c r="J4202" s="9"/>
      <c r="K4202" s="9"/>
      <c r="L4202" s="9"/>
      <c r="M4202" s="9"/>
      <c r="N4202" s="9"/>
      <c r="O4202" s="9"/>
      <c r="P4202" s="9"/>
      <c r="Q4202" s="10"/>
      <c r="R4202" s="11"/>
    </row>
    <row r="4203" s="1" customFormat="1" ht="21.95" customHeight="1" spans="1:18">
      <c r="A4203" s="7"/>
      <c r="B4203" s="12"/>
      <c r="C4203" s="13" t="s">
        <v>7</v>
      </c>
      <c r="D4203" s="13"/>
      <c r="E4203" s="13"/>
      <c r="F4203" s="13"/>
      <c r="G4203" s="13"/>
      <c r="H4203" s="13"/>
      <c r="I4203" s="13"/>
      <c r="J4203" s="13"/>
      <c r="K4203" s="13"/>
      <c r="L4203" s="13"/>
      <c r="M4203" s="13"/>
      <c r="N4203" s="13"/>
      <c r="O4203" s="13"/>
      <c r="P4203" s="13"/>
      <c r="Q4203" s="14"/>
      <c r="R4203" s="11"/>
    </row>
    <row r="4204" s="1" customFormat="1" ht="21.95" customHeight="1" spans="1:18">
      <c r="A4204" s="7"/>
      <c r="B4204" s="1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14"/>
      <c r="R4204" s="11"/>
    </row>
    <row r="4205" s="1" customFormat="1" ht="21.95" customHeight="1" spans="1:18">
      <c r="A4205" s="7"/>
      <c r="B4205" s="12"/>
      <c r="C4205" s="15" t="str">
        <f>"SESSION-"&amp;ENTRY!$D$11</f>
        <v>SESSION-2026-27</v>
      </c>
      <c r="D4205" s="15"/>
      <c r="E4205" s="15"/>
      <c r="F4205" s="15"/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  <c r="Q4205" s="14"/>
      <c r="R4205" s="11"/>
    </row>
    <row r="4206" s="1" customFormat="1" ht="21.95" customHeight="1" spans="1:18">
      <c r="A4206" s="7"/>
      <c r="B4206" s="12"/>
      <c r="C4206" s="2"/>
      <c r="D4206" s="2"/>
      <c r="E4206" s="2"/>
      <c r="F4206" s="16">
        <f>F4150+1</f>
        <v>76</v>
      </c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14"/>
      <c r="R4206" s="11"/>
    </row>
    <row r="4207" s="1" customFormat="1" ht="21.95" customHeight="1" spans="1:18">
      <c r="A4207" s="7"/>
      <c r="B4207" s="12"/>
      <c r="C4207" s="17" t="s">
        <v>392</v>
      </c>
      <c r="D4207" s="17"/>
      <c r="E4207" s="17"/>
      <c r="F4207" s="18" t="str">
        <f>IF(F4206&gt;0,ENTRY!$D$6,"")</f>
        <v>MCP NITHARI NO 1 BOYS</v>
      </c>
      <c r="G4207" s="18"/>
      <c r="H4207" s="18"/>
      <c r="I4207" s="18"/>
      <c r="J4207" s="18"/>
      <c r="K4207" s="18"/>
      <c r="L4207" s="18"/>
      <c r="M4207" s="18"/>
      <c r="N4207" s="18"/>
      <c r="O4207" s="18"/>
      <c r="P4207" s="18"/>
      <c r="Q4207" s="14"/>
      <c r="R4207" s="11"/>
    </row>
    <row r="4208" s="1" customFormat="1" ht="21.95" customHeight="1" spans="1:18">
      <c r="A4208" s="7"/>
      <c r="B4208" s="12"/>
      <c r="C4208" s="17" t="s">
        <v>393</v>
      </c>
      <c r="D4208" s="17"/>
      <c r="E4208" s="17"/>
      <c r="F4208" s="18">
        <f>IF(F4206&gt;0,ENTRY!$D$7,"")</f>
        <v>0</v>
      </c>
      <c r="G4208" s="18"/>
      <c r="H4208" s="20" t="s">
        <v>702</v>
      </c>
      <c r="I4208" s="20"/>
      <c r="J4208" s="21">
        <f>IF(F4206&gt;0,ENTRY!$D$10,"")</f>
        <v>40</v>
      </c>
      <c r="K4208" s="20" t="s">
        <v>703</v>
      </c>
      <c r="L4208" s="22" t="str">
        <f>IF(F4206&gt;0,ENTRY!$D$5,"")</f>
        <v>ROHINI ZONE</v>
      </c>
      <c r="M4208" s="22"/>
      <c r="N4208" s="22"/>
      <c r="O4208" s="22"/>
      <c r="P4208" s="22"/>
      <c r="Q4208" s="14"/>
      <c r="R4208" s="11"/>
    </row>
    <row r="4209" s="1" customFormat="1" ht="21.95" customHeight="1" spans="1:18">
      <c r="A4209" s="7"/>
      <c r="B4209" s="12"/>
      <c r="C4209" s="17" t="s">
        <v>706</v>
      </c>
      <c r="D4209" s="17"/>
      <c r="E4209" s="17"/>
      <c r="F4209" s="23">
        <f>IFERROR(VLOOKUP(F4206,STUDENT!$A$2:$BP$101,5,0),"")</f>
        <v>0</v>
      </c>
      <c r="G4209" s="23"/>
      <c r="H4209" s="23"/>
      <c r="I4209" s="23"/>
      <c r="J4209" s="23"/>
      <c r="K4209" s="23"/>
      <c r="L4209" s="20" t="s">
        <v>707</v>
      </c>
      <c r="M4209" s="20"/>
      <c r="N4209" s="24" t="str">
        <f>IF(F4206&gt;0,ENTRY!$D$20&amp;"-"&amp;ENTRY!$D$21,"")</f>
        <v>III-A</v>
      </c>
      <c r="O4209" s="24"/>
      <c r="P4209" s="24"/>
      <c r="Q4209" s="14"/>
      <c r="R4209" s="11"/>
    </row>
    <row r="4210" s="1" customFormat="1" ht="21.95" customHeight="1" spans="1:18">
      <c r="A4210" s="7"/>
      <c r="B4210" s="12"/>
      <c r="C4210" s="17" t="s">
        <v>708</v>
      </c>
      <c r="D4210" s="17"/>
      <c r="E4210" s="17"/>
      <c r="F4210" s="25">
        <f>IFERROR(VLOOKUP(F4206,STUDENT!$A$2:$BP$101,6,0),"")</f>
        <v>0</v>
      </c>
      <c r="G4210" s="25"/>
      <c r="H4210" s="26" t="s">
        <v>709</v>
      </c>
      <c r="I4210" s="27" t="str">
        <f>IFERROR(VLOOKUP(F4206,STUDENT!$A$2:$BP$101,59,0),"")</f>
        <v/>
      </c>
      <c r="J4210" s="27"/>
      <c r="K4210" s="20" t="s">
        <v>710</v>
      </c>
      <c r="L4210" s="20"/>
      <c r="M4210" s="28">
        <f>IFERROR(VLOOKUP(F4206,STUDENT!$A$2:$BP$101,20,0),"")</f>
        <v>0</v>
      </c>
      <c r="N4210" s="28"/>
      <c r="O4210" s="28"/>
      <c r="P4210" s="28"/>
      <c r="Q4210" s="14"/>
      <c r="R4210" s="11"/>
    </row>
    <row r="4211" s="1" customFormat="1" ht="21.95" customHeight="1" spans="1:18">
      <c r="A4211" s="7"/>
      <c r="B4211" s="12"/>
      <c r="C4211" s="17" t="s">
        <v>711</v>
      </c>
      <c r="D4211" s="17"/>
      <c r="E4211" s="17"/>
      <c r="F4211" s="23">
        <f>IFERROR(VLOOKUP(F4206,STUDENT!$A$2:$BP$101,9,0),"")</f>
        <v>0</v>
      </c>
      <c r="G4211" s="23"/>
      <c r="H4211" s="23"/>
      <c r="I4211" s="23"/>
      <c r="J4211" s="17" t="s">
        <v>620</v>
      </c>
      <c r="K4211" s="17"/>
      <c r="L4211" s="23">
        <f>IFERROR(VLOOKUP(F4206,STUDENT!$A$2:$BP$101,8,0),"")</f>
        <v>0</v>
      </c>
      <c r="M4211" s="23"/>
      <c r="N4211" s="23"/>
      <c r="O4211" s="23"/>
      <c r="P4211" s="23"/>
      <c r="Q4211" s="14"/>
      <c r="R4211" s="11"/>
    </row>
    <row r="4212" s="1" customFormat="1" ht="21.95" customHeight="1" spans="1:18">
      <c r="A4212" s="7"/>
      <c r="B4212" s="12"/>
      <c r="C4212" s="17" t="s">
        <v>712</v>
      </c>
      <c r="D4212" s="17"/>
      <c r="E4212" s="17"/>
      <c r="F4212" s="23">
        <f>IFERROR(VLOOKUP(F4206,STUDENT!$A$2:$BP$101,22,0),"")</f>
        <v>0</v>
      </c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14"/>
      <c r="R4212" s="11"/>
    </row>
    <row r="4213" s="1" customFormat="1" ht="9.95" customHeight="1" spans="1:18">
      <c r="A4213" s="7"/>
      <c r="B4213" s="12"/>
      <c r="C4213" s="29"/>
      <c r="D4213" s="29"/>
      <c r="E4213" s="29"/>
      <c r="F4213" s="29"/>
      <c r="G4213" s="29"/>
      <c r="H4213" s="29"/>
      <c r="I4213" s="29"/>
      <c r="J4213" s="29"/>
      <c r="K4213" s="29"/>
      <c r="L4213" s="29"/>
      <c r="M4213" s="29"/>
      <c r="N4213" s="29"/>
      <c r="O4213" s="29"/>
      <c r="P4213" s="29"/>
      <c r="Q4213" s="14"/>
      <c r="R4213" s="11"/>
    </row>
    <row r="4214" s="1" customFormat="1" ht="9.95" customHeight="1" spans="1:18">
      <c r="A4214" s="7"/>
      <c r="B4214" s="12"/>
      <c r="C4214" s="30"/>
      <c r="D4214" s="31"/>
      <c r="E4214" s="31"/>
      <c r="F4214" s="31"/>
      <c r="G4214" s="31"/>
      <c r="H4214" s="31"/>
      <c r="I4214" s="31"/>
      <c r="J4214" s="31"/>
      <c r="K4214" s="31"/>
      <c r="L4214" s="31"/>
      <c r="M4214" s="31"/>
      <c r="N4214" s="31"/>
      <c r="O4214" s="31"/>
      <c r="P4214" s="32"/>
      <c r="Q4214" s="14"/>
      <c r="R4214" s="11"/>
    </row>
    <row r="4215" s="1" customFormat="1" ht="21.95" customHeight="1" spans="1:18">
      <c r="A4215" s="7"/>
      <c r="B4215" s="12"/>
      <c r="C4215" s="33"/>
      <c r="D4215" s="34" t="s">
        <v>713</v>
      </c>
      <c r="E4215" s="20" t="s">
        <v>714</v>
      </c>
      <c r="F4215" s="35" t="str">
        <f>"Level - "&amp;IFERROR(VLOOKUP(F4206,FLN!$A$4:$K$103,9,0),"")</f>
        <v>Level - </v>
      </c>
      <c r="G4215" s="36"/>
      <c r="H4215" s="37" t="s">
        <v>715</v>
      </c>
      <c r="I4215" s="20"/>
      <c r="J4215" s="35" t="str">
        <f>"Level - "&amp;IFERROR(VLOOKUP(F4206,FLN!$A$4:$K$103,11,0),"")</f>
        <v>Level - </v>
      </c>
      <c r="K4215" s="36"/>
      <c r="L4215" s="37" t="s">
        <v>408</v>
      </c>
      <c r="M4215" s="20"/>
      <c r="N4215" s="35" t="str">
        <f>"Level - "&amp;IFERROR(VLOOKUP(F4206,FLN!$A$4:$K$103,10,0),"")</f>
        <v>Level - </v>
      </c>
      <c r="O4215" s="36"/>
      <c r="P4215" s="19"/>
      <c r="Q4215" s="14"/>
      <c r="R4215" s="11"/>
    </row>
    <row r="4216" s="1" customFormat="1" ht="21.95" customHeight="1" spans="1:18">
      <c r="A4216" s="7"/>
      <c r="B4216" s="12"/>
      <c r="C4216" s="33"/>
      <c r="D4216" s="38"/>
      <c r="E4216" s="20" t="s">
        <v>716</v>
      </c>
      <c r="F4216" s="18" t="str">
        <f>IF(L4230&gt;197,"PERFORMED WELL","")</f>
        <v/>
      </c>
      <c r="G4216" s="18"/>
      <c r="H4216" s="18"/>
      <c r="I4216" s="18"/>
      <c r="J4216" s="18"/>
      <c r="K4216" s="18"/>
      <c r="L4216" s="18"/>
      <c r="M4216" s="18"/>
      <c r="N4216" s="18"/>
      <c r="O4216" s="18"/>
      <c r="P4216" s="19"/>
      <c r="Q4216" s="14"/>
      <c r="R4216" s="11"/>
    </row>
    <row r="4217" s="1" customFormat="1" ht="9.95" customHeight="1" spans="1:18">
      <c r="A4217" s="7"/>
      <c r="B4217" s="12"/>
      <c r="C4217" s="39"/>
      <c r="D4217" s="40"/>
      <c r="E4217" s="40"/>
      <c r="F4217" s="40"/>
      <c r="G4217" s="40"/>
      <c r="H4217" s="40"/>
      <c r="I4217" s="40"/>
      <c r="J4217" s="40"/>
      <c r="K4217" s="40"/>
      <c r="L4217" s="40"/>
      <c r="M4217" s="40"/>
      <c r="N4217" s="40"/>
      <c r="O4217" s="40"/>
      <c r="P4217" s="41"/>
      <c r="Q4217" s="14"/>
      <c r="R4217" s="11"/>
    </row>
    <row r="4218" s="1" customFormat="1" ht="9.95" customHeight="1" spans="1:18">
      <c r="A4218" s="7"/>
      <c r="B4218" s="12"/>
      <c r="C4218" s="29"/>
      <c r="D4218" s="29"/>
      <c r="E4218" s="29"/>
      <c r="F4218" s="29"/>
      <c r="G4218" s="29"/>
      <c r="H4218" s="29"/>
      <c r="I4218" s="29"/>
      <c r="J4218" s="29"/>
      <c r="K4218" s="29"/>
      <c r="L4218" s="29"/>
      <c r="M4218" s="29"/>
      <c r="N4218" s="29"/>
      <c r="O4218" s="29"/>
      <c r="P4218" s="29"/>
      <c r="Q4218" s="14"/>
      <c r="R4218" s="11"/>
    </row>
    <row r="4219" s="1" customFormat="1" ht="9.95" customHeight="1" spans="1:18">
      <c r="A4219" s="7"/>
      <c r="B4219" s="12"/>
      <c r="C4219" s="30"/>
      <c r="D4219" s="31"/>
      <c r="E4219" s="31"/>
      <c r="F4219" s="31"/>
      <c r="G4219" s="31"/>
      <c r="H4219" s="31"/>
      <c r="I4219" s="31"/>
      <c r="J4219" s="31"/>
      <c r="K4219" s="31"/>
      <c r="L4219" s="31"/>
      <c r="M4219" s="31"/>
      <c r="N4219" s="31"/>
      <c r="O4219" s="31"/>
      <c r="P4219" s="32"/>
      <c r="Q4219" s="14"/>
      <c r="R4219" s="11"/>
    </row>
    <row r="4220" s="1" customFormat="1" ht="21.95" customHeight="1" spans="1:18">
      <c r="A4220" s="7"/>
      <c r="B4220" s="12"/>
      <c r="C4220" s="33"/>
      <c r="D4220" s="35"/>
      <c r="E4220" s="24"/>
      <c r="F4220" s="24"/>
      <c r="G4220" s="47" t="s">
        <v>717</v>
      </c>
      <c r="H4220" s="47"/>
      <c r="I4220" s="47"/>
      <c r="J4220" s="47"/>
      <c r="K4220" s="47"/>
      <c r="L4220" s="47"/>
      <c r="M4220" s="47"/>
      <c r="N4220" s="47"/>
      <c r="O4220" s="29"/>
      <c r="P4220" s="19"/>
      <c r="Q4220" s="14"/>
      <c r="R4220" s="11"/>
    </row>
    <row r="4221" s="1" customFormat="1" ht="21.95" customHeight="1" spans="1:18">
      <c r="A4221" s="7"/>
      <c r="B4221" s="12"/>
      <c r="C4221" s="33"/>
      <c r="D4221" s="47"/>
      <c r="E4221" s="47"/>
      <c r="F4221" s="47"/>
      <c r="G4221" s="47" t="s">
        <v>541</v>
      </c>
      <c r="H4221" s="47" t="s">
        <v>542</v>
      </c>
      <c r="I4221" s="47" t="s">
        <v>543</v>
      </c>
      <c r="J4221" s="47" t="s">
        <v>544</v>
      </c>
      <c r="K4221" s="47" t="s">
        <v>561</v>
      </c>
      <c r="L4221" s="47" t="s">
        <v>382</v>
      </c>
      <c r="M4221" s="49" t="s">
        <v>546</v>
      </c>
      <c r="N4221" s="49"/>
      <c r="O4221" s="29"/>
      <c r="P4221" s="19"/>
      <c r="Q4221" s="14"/>
      <c r="R4221" s="11"/>
    </row>
    <row r="4222" s="1" customFormat="1" ht="21.95" customHeight="1" spans="1:18">
      <c r="A4222" s="7"/>
      <c r="B4222" s="12"/>
      <c r="C4222" s="33"/>
      <c r="D4222" s="207" t="s">
        <v>652</v>
      </c>
      <c r="E4222" s="207"/>
      <c r="F4222" s="207"/>
      <c r="G4222" s="50">
        <v>10</v>
      </c>
      <c r="H4222" s="50">
        <v>10</v>
      </c>
      <c r="I4222" s="50">
        <v>10</v>
      </c>
      <c r="J4222" s="50">
        <v>10</v>
      </c>
      <c r="K4222" s="50">
        <v>60</v>
      </c>
      <c r="L4222" s="50">
        <v>100</v>
      </c>
      <c r="M4222" s="49"/>
      <c r="N4222" s="49"/>
      <c r="O4222" s="29"/>
      <c r="P4222" s="19"/>
      <c r="Q4222" s="14"/>
      <c r="R4222" s="11"/>
    </row>
    <row r="4223" s="1" customFormat="1" ht="21.95" customHeight="1" spans="1:18">
      <c r="A4223" s="7"/>
      <c r="B4223" s="12"/>
      <c r="C4223" s="33"/>
      <c r="D4223" s="117" t="s">
        <v>668</v>
      </c>
      <c r="E4223" s="117"/>
      <c r="F4223" s="117"/>
      <c r="G4223" s="54" t="str">
        <f>IFERROR(VLOOKUP(F4206,'1to4-2.1-RR'!$A$12:$BG$111,9,0),"")</f>
        <v/>
      </c>
      <c r="H4223" s="54" t="str">
        <f>IFERROR(VLOOKUP(F4206,'1to4-2.1-RR'!$A$12:$BG$111,10,0),"")</f>
        <v/>
      </c>
      <c r="I4223" s="54" t="str">
        <f>IFERROR(VLOOKUP(F4206,'1to4-2.1-RR'!$A$12:$BG$111,11,0),"")</f>
        <v/>
      </c>
      <c r="J4223" s="54" t="str">
        <f>IFERROR(VLOOKUP(F4206,'1to4-2.1-RR'!$A$12:$BG$111,12,0),"")</f>
        <v/>
      </c>
      <c r="K4223" s="54" t="str">
        <f>IFERROR(VLOOKUP(F4206,'1to4-2.1-RR'!$A$12:$BG$111,13,0),"")</f>
        <v/>
      </c>
      <c r="L4223" s="55">
        <f>SUM(G4223:K4223)</f>
        <v>0</v>
      </c>
      <c r="M4223" s="56" t="str">
        <f>IF(F4206&gt;ENTRY!$D$24,"",IF(L4223=0,"Ab",IF(L4223&gt;80,"A",IF(L4223&gt;60,"B",IF(L4223&gt;44,"C",IF(L4223&gt;=33,"D",IF(L4223&lt;=32,"E","")))))))</f>
        <v/>
      </c>
      <c r="N4223" s="56"/>
      <c r="O4223" s="29"/>
      <c r="P4223" s="19"/>
      <c r="Q4223" s="14"/>
      <c r="R4223" s="11"/>
    </row>
    <row r="4224" s="1" customFormat="1" ht="21.95" customHeight="1" spans="1:18">
      <c r="A4224" s="7"/>
      <c r="B4224" s="12"/>
      <c r="C4224" s="33"/>
      <c r="D4224" s="117" t="s">
        <v>513</v>
      </c>
      <c r="E4224" s="117"/>
      <c r="F4224" s="117"/>
      <c r="G4224" s="54" t="str">
        <f>IFERROR(VLOOKUP(F4206,'1to4-2.1-RR'!$A$12:$BG$111,16,0),"")</f>
        <v/>
      </c>
      <c r="H4224" s="54" t="str">
        <f>IFERROR(VLOOKUP(F4206,'1to4-2.1-RR'!$A$12:$BG$111,17,0),"")</f>
        <v/>
      </c>
      <c r="I4224" s="54" t="str">
        <f>IFERROR(VLOOKUP(F4206,'1to4-2.1-RR'!$A$12:$BG$111,18,0),"")</f>
        <v/>
      </c>
      <c r="J4224" s="54" t="str">
        <f>IFERROR(VLOOKUP(F4206,'1to4-2.1-RR'!$A$12:$BG$111,19,0),"")</f>
        <v/>
      </c>
      <c r="K4224" s="54" t="str">
        <f>IFERROR(VLOOKUP(F4206,'1to4-2.1-RR'!$A$12:$BG$111,20,0),"")</f>
        <v/>
      </c>
      <c r="L4224" s="55">
        <f t="shared" ref="L4224:L4229" si="150">SUM(G4224:K4224)</f>
        <v>0</v>
      </c>
      <c r="M4224" s="56" t="str">
        <f>IF(F4206&gt;ENTRY!$D$24,"",IF(L4224=0,"Ab",IF(L4224&gt;80,"A",IF(L4224&gt;60,"B",IF(L4224&gt;44,"C",IF(L4224&gt;=33,"D",IF(L4224&lt;=32,"E","")))))))</f>
        <v/>
      </c>
      <c r="N4224" s="56"/>
      <c r="O4224" s="29"/>
      <c r="P4224" s="19"/>
      <c r="Q4224" s="14"/>
      <c r="R4224" s="11"/>
    </row>
    <row r="4225" s="1" customFormat="1" ht="21.95" customHeight="1" spans="1:19">
      <c r="A4225" s="7"/>
      <c r="B4225" s="12"/>
      <c r="C4225" s="33"/>
      <c r="D4225" s="117" t="s">
        <v>718</v>
      </c>
      <c r="E4225" s="117"/>
      <c r="F4225" s="117"/>
      <c r="G4225" s="54" t="str">
        <f>IFERROR(VLOOKUP(F4206,'1to4-2.1-RR'!$A$12:$BG$111,23,0),"")</f>
        <v/>
      </c>
      <c r="H4225" s="54" t="str">
        <f>IFERROR(VLOOKUP(F4206,'1to4-2.1-RR'!$A$12:$BG$111,24,0),"")</f>
        <v/>
      </c>
      <c r="I4225" s="54" t="str">
        <f>IFERROR(VLOOKUP(F4206,'1to4-2.1-RR'!$A$12:$BG$111,25,0),"")</f>
        <v/>
      </c>
      <c r="J4225" s="54" t="str">
        <f>IFERROR(VLOOKUP(F4206,'1to4-2.1-RR'!$A$12:$BG$111,26,0),"")</f>
        <v/>
      </c>
      <c r="K4225" s="54" t="str">
        <f>IFERROR(VLOOKUP(F4206,'1to4-2.1-RR'!$A$12:$BG$111,27,0),"")</f>
        <v/>
      </c>
      <c r="L4225" s="55">
        <f t="shared" si="150"/>
        <v>0</v>
      </c>
      <c r="M4225" s="56" t="str">
        <f>IF(F4206&gt;ENTRY!$D$24,"",IF(L4225=0,"Ab",IF(L4225&gt;80,"A",IF(L4225&gt;60,"B",IF(L4225&gt;44,"C",IF(L4225&gt;=33,"D",IF(L4225&lt;=32,"E","")))))))</f>
        <v/>
      </c>
      <c r="N4225" s="56"/>
      <c r="O4225" s="29"/>
      <c r="P4225" s="19"/>
      <c r="Q4225" s="14"/>
      <c r="R4225" s="11"/>
    </row>
    <row r="4226" s="1" customFormat="1" ht="21.95" customHeight="1" spans="1:19">
      <c r="A4226" s="7"/>
      <c r="B4226" s="12"/>
      <c r="C4226" s="33"/>
      <c r="D4226" s="117" t="s">
        <v>719</v>
      </c>
      <c r="E4226" s="117"/>
      <c r="F4226" s="117"/>
      <c r="G4226" s="54" t="str">
        <f>IFERROR(VLOOKUP(F4206,'1to4-2.1-RR'!$A$12:$BG$111,30,0),"")</f>
        <v/>
      </c>
      <c r="H4226" s="54" t="str">
        <f>IFERROR(VLOOKUP(F4206,'1to4-2.1-RR'!$A$12:$BG$111,31,0),"")</f>
        <v/>
      </c>
      <c r="I4226" s="54" t="str">
        <f>IFERROR(VLOOKUP(F4206,'1to4-2.1-RR'!$A$12:$BG$111,32,0),"")</f>
        <v/>
      </c>
      <c r="J4226" s="54" t="str">
        <f>IFERROR(VLOOKUP(F4206,'1to4-2.1-RR'!$A$12:$BG$111,33,0),"")</f>
        <v/>
      </c>
      <c r="K4226" s="54" t="str">
        <f>IFERROR(VLOOKUP(F4206,'1to4-2.1-RR'!$A$12:$BG$111,34,0),"")</f>
        <v/>
      </c>
      <c r="L4226" s="55">
        <f t="shared" si="150"/>
        <v>0</v>
      </c>
      <c r="M4226" s="56" t="str">
        <f>IF(F4206&gt;ENTRY!$D$24,"",IF(L4226=0,"Ab",IF(L4226&gt;80,"A",IF(L4226&gt;60,"B",IF(L4226&gt;44,"C",IF(L4226&gt;=33,"D",IF(L4226&lt;=32,"E","")))))))</f>
        <v/>
      </c>
      <c r="N4226" s="56"/>
      <c r="O4226" s="29"/>
      <c r="P4226" s="19"/>
      <c r="Q4226" s="14"/>
      <c r="R4226" s="11"/>
    </row>
    <row r="4227" s="1" customFormat="1" ht="21.95" customHeight="1" spans="1:19">
      <c r="A4227" s="7"/>
      <c r="B4227" s="12"/>
      <c r="C4227" s="33"/>
      <c r="D4227" s="117" t="s">
        <v>548</v>
      </c>
      <c r="E4227" s="117"/>
      <c r="F4227" s="117"/>
      <c r="G4227" s="54" t="str">
        <f>IFERROR(VLOOKUP(F4206,'1to4-2.1-RR'!$A$12:$BG$111,37,0),"")</f>
        <v/>
      </c>
      <c r="H4227" s="54" t="str">
        <f>IFERROR(VLOOKUP(F4206,'1to4-2.1-RR'!$A$12:$BG$111,38,0),"")</f>
        <v/>
      </c>
      <c r="I4227" s="54" t="str">
        <f>IFERROR(VLOOKUP(F4206,'1to4-2.1-RR'!$A$12:$BG$111,39,0),"")</f>
        <v/>
      </c>
      <c r="J4227" s="54" t="str">
        <f>IFERROR(VLOOKUP(F4206,'1to4-2.1-RR'!$A$12:$BG$111,40,0),"")</f>
        <v/>
      </c>
      <c r="K4227" s="54" t="str">
        <f>IFERROR(VLOOKUP(F4206,'1to4-2.1-RR'!$A$12:$BG$111,41,0),"")</f>
        <v/>
      </c>
      <c r="L4227" s="55">
        <f t="shared" si="150"/>
        <v>0</v>
      </c>
      <c r="M4227" s="56" t="str">
        <f>IF(F4206&gt;ENTRY!$D$24,"",IF(L4227=0,"Ab",IF(L4227&gt;80,"A",IF(L4227&gt;60,"B",IF(L4227&gt;44,"C",IF(L4227&gt;=33,"D",IF(L4227&lt;=32,"E","")))))))</f>
        <v/>
      </c>
      <c r="N4227" s="56"/>
      <c r="O4227" s="29"/>
      <c r="P4227" s="19"/>
      <c r="Q4227" s="14"/>
      <c r="R4227" s="11"/>
    </row>
    <row r="4228" s="1" customFormat="1" ht="21.95" customHeight="1" spans="1:19">
      <c r="A4228" s="7"/>
      <c r="B4228" s="12"/>
      <c r="C4228" s="33"/>
      <c r="D4228" s="117" t="s">
        <v>549</v>
      </c>
      <c r="E4228" s="117"/>
      <c r="F4228" s="117"/>
      <c r="G4228" s="54" t="str">
        <f>IFERROR(VLOOKUP(F4206,'1to4-2.1-RR'!$A$12:$BG$111,44,0),"")</f>
        <v/>
      </c>
      <c r="H4228" s="54" t="str">
        <f>IFERROR(VLOOKUP(F4206,'1to4-2.1-RR'!$A$12:$BG$111,45,0),"")</f>
        <v/>
      </c>
      <c r="I4228" s="54" t="str">
        <f>IFERROR(VLOOKUP(F4206,'1to4-2.1-RR'!$A$12:$BG$111,46,0),"")</f>
        <v/>
      </c>
      <c r="J4228" s="54" t="str">
        <f>IFERROR(VLOOKUP(F4206,'1to4-2.1-RR'!$A$12:$BG$111,47,0),"")</f>
        <v/>
      </c>
      <c r="K4228" s="54" t="str">
        <f>IFERROR(VLOOKUP(F4206,'1to4-2.1-RR'!$A$12:$BG$111,48,0),"")</f>
        <v/>
      </c>
      <c r="L4228" s="55">
        <f t="shared" si="150"/>
        <v>0</v>
      </c>
      <c r="M4228" s="56" t="str">
        <f>IF(F4206&gt;ENTRY!$D$24,"",IF(L4228=0,"Ab",IF(L4228&gt;80,"A",IF(L4228&gt;60,"B",IF(L4228&gt;44,"C",IF(L4228&gt;=33,"D",IF(L4228&lt;=32,"E","")))))))</f>
        <v/>
      </c>
      <c r="N4228" s="56"/>
      <c r="O4228" s="29"/>
      <c r="P4228" s="19"/>
      <c r="Q4228" s="14"/>
      <c r="R4228" s="11"/>
    </row>
    <row r="4229" s="1" customFormat="1" ht="21.95" customHeight="1" spans="1:19">
      <c r="A4229" s="7"/>
      <c r="B4229" s="12"/>
      <c r="C4229" s="33"/>
      <c r="D4229" s="117" t="s">
        <v>720</v>
      </c>
      <c r="E4229" s="117"/>
      <c r="F4229" s="117"/>
      <c r="G4229" s="54"/>
      <c r="H4229" s="54"/>
      <c r="I4229" s="54"/>
      <c r="J4229" s="54"/>
      <c r="K4229" s="54"/>
      <c r="L4229" s="55">
        <f t="shared" si="150"/>
        <v>0</v>
      </c>
      <c r="M4229" s="56" t="str">
        <f>IF(F4206&gt;ENTRY!$D$24,"",IF(L4229=0,"",IF(L4229&gt;79,"A",IF(L4229&gt;59,"B",IF(L4229&gt;44,"C",IF(L4229&gt;=33,"D",IF(L4229&lt;=32,"E","")))))))</f>
        <v/>
      </c>
      <c r="N4229" s="56"/>
      <c r="O4229" s="29"/>
      <c r="P4229" s="19"/>
      <c r="Q4229" s="14"/>
      <c r="R4229" s="11"/>
    </row>
    <row r="4230" s="1" customFormat="1" ht="21.95" customHeight="1" spans="1:19">
      <c r="A4230" s="7"/>
      <c r="B4230" s="12"/>
      <c r="C4230" s="33"/>
      <c r="D4230" s="207" t="s">
        <v>382</v>
      </c>
      <c r="E4230" s="207"/>
      <c r="F4230" s="207"/>
      <c r="G4230" s="54">
        <f t="shared" ref="G4230:L4230" si="151">IFERROR(SUM(G4223:G4229),"")</f>
        <v>0</v>
      </c>
      <c r="H4230" s="54">
        <f t="shared" si="151"/>
        <v>0</v>
      </c>
      <c r="I4230" s="54">
        <f t="shared" si="151"/>
        <v>0</v>
      </c>
      <c r="J4230" s="54">
        <f t="shared" si="151"/>
        <v>0</v>
      </c>
      <c r="K4230" s="54">
        <f t="shared" si="151"/>
        <v>0</v>
      </c>
      <c r="L4230" s="55">
        <f t="shared" si="151"/>
        <v>0</v>
      </c>
      <c r="M4230" s="61" t="str">
        <f>IF(F4206&gt;ENTRY!$D$24,"",IF(N4231="Ab","Ab",IF(N4231&gt;79.5,"A",IF(N4231&gt;59.5,"B",IF(N4231&gt;44.5,"C",IF(N4231&gt;=33,"D",IF(N4231&lt;33,"E","")))))))</f>
        <v/>
      </c>
      <c r="N4230" s="61"/>
      <c r="O4230" s="29"/>
      <c r="P4230" s="19"/>
      <c r="Q4230" s="14"/>
      <c r="R4230" s="11"/>
    </row>
    <row r="4231" s="1" customFormat="1" ht="21.95" customHeight="1" spans="1:19">
      <c r="A4231" s="7"/>
      <c r="B4231" s="12"/>
      <c r="C4231" s="33"/>
      <c r="D4231" s="63" t="s">
        <v>721</v>
      </c>
      <c r="E4231" s="63"/>
      <c r="F4231" s="63"/>
      <c r="G4231" s="63"/>
      <c r="H4231" s="63"/>
      <c r="I4231" s="63"/>
      <c r="J4231" s="63"/>
      <c r="K4231" s="63"/>
      <c r="L4231" s="63"/>
      <c r="M4231" s="209"/>
      <c r="N4231" s="64">
        <f>IF(L4230="Ab","Ab",L4230/6)</f>
        <v>0</v>
      </c>
      <c r="O4231" s="65"/>
      <c r="P4231" s="19"/>
      <c r="Q4231" s="14"/>
      <c r="R4231" s="11"/>
    </row>
    <row r="4232" s="1" customFormat="1" ht="21.95" customHeight="1" spans="1:19">
      <c r="A4232" s="7"/>
      <c r="B4232" s="12"/>
      <c r="C4232" s="33"/>
      <c r="D4232" s="29" t="s">
        <v>716</v>
      </c>
      <c r="E4232" s="18" t="str">
        <f>IFERROR(VLOOKUP(F4206,'1to4-2.1-RR'!$A$12:$BG$111,57,0),"")</f>
        <v/>
      </c>
      <c r="F4232" s="18"/>
      <c r="G4232" s="18"/>
      <c r="H4232" s="18"/>
      <c r="I4232" s="18"/>
      <c r="J4232" s="18"/>
      <c r="K4232" s="18"/>
      <c r="L4232" s="18"/>
      <c r="M4232" s="18"/>
      <c r="N4232" s="29"/>
      <c r="O4232" s="29"/>
      <c r="P4232" s="19"/>
      <c r="Q4232" s="14"/>
      <c r="R4232" s="11"/>
    </row>
    <row r="4233" s="1" customFormat="1" ht="9.95" customHeight="1" spans="1:19">
      <c r="A4233" s="7"/>
      <c r="B4233" s="12"/>
      <c r="C4233" s="39"/>
      <c r="D4233" s="40"/>
      <c r="E4233" s="40"/>
      <c r="F4233" s="40"/>
      <c r="G4233" s="40"/>
      <c r="H4233" s="40"/>
      <c r="I4233" s="40"/>
      <c r="J4233" s="40"/>
      <c r="K4233" s="40"/>
      <c r="L4233" s="40"/>
      <c r="M4233" s="40"/>
      <c r="N4233" s="40"/>
      <c r="O4233" s="40"/>
      <c r="P4233" s="41"/>
      <c r="Q4233" s="14"/>
      <c r="R4233" s="11"/>
    </row>
    <row r="4234" s="1" customFormat="1" ht="9.95" customHeight="1" spans="1:19">
      <c r="A4234" s="7"/>
      <c r="B4234" s="12"/>
      <c r="C4234" s="30"/>
      <c r="D4234" s="31"/>
      <c r="E4234" s="31"/>
      <c r="F4234" s="29"/>
      <c r="G4234" s="31"/>
      <c r="H4234" s="31"/>
      <c r="I4234" s="31"/>
      <c r="J4234" s="31"/>
      <c r="K4234" s="31"/>
      <c r="L4234" s="31"/>
      <c r="M4234" s="31"/>
      <c r="N4234" s="31"/>
      <c r="O4234" s="31"/>
      <c r="P4234" s="32"/>
      <c r="Q4234" s="14"/>
      <c r="R4234" s="11"/>
    </row>
    <row r="4235" s="1" customFormat="1" ht="9.95" customHeight="1" spans="1:19">
      <c r="A4235" s="7"/>
      <c r="B4235" s="12"/>
      <c r="C4235" s="33"/>
      <c r="D4235" s="29"/>
      <c r="E4235" s="29"/>
      <c r="F4235" s="29"/>
      <c r="G4235" s="29"/>
      <c r="H4235" s="29"/>
      <c r="I4235" s="29"/>
      <c r="J4235" s="29"/>
      <c r="K4235" s="29"/>
      <c r="L4235" s="29"/>
      <c r="M4235" s="29"/>
      <c r="N4235" s="29"/>
      <c r="O4235" s="29"/>
      <c r="P4235" s="19"/>
      <c r="Q4235" s="14"/>
      <c r="R4235" s="11"/>
    </row>
    <row r="4236" s="1" customFormat="1" ht="9.95" customHeight="1" spans="1:19">
      <c r="A4236" s="7"/>
      <c r="B4236" s="12"/>
      <c r="C4236" s="33"/>
      <c r="D4236" s="29"/>
      <c r="E4236" s="29"/>
      <c r="F4236" s="29"/>
      <c r="G4236" s="29"/>
      <c r="H4236" s="29"/>
      <c r="I4236" s="29"/>
      <c r="J4236" s="29"/>
      <c r="K4236" s="29"/>
      <c r="L4236" s="29"/>
      <c r="M4236" s="29"/>
      <c r="N4236" s="29"/>
      <c r="O4236" s="29"/>
      <c r="P4236" s="19"/>
      <c r="Q4236" s="14"/>
      <c r="R4236" s="11"/>
    </row>
    <row r="4237" s="1" customFormat="1" ht="21.95" customHeight="1" spans="1:19">
      <c r="A4237" s="7"/>
      <c r="B4237" s="12"/>
      <c r="C4237" s="210"/>
      <c r="D4237" s="211"/>
      <c r="E4237" s="211"/>
      <c r="F4237" s="211"/>
      <c r="G4237" s="211"/>
      <c r="H4237" s="211"/>
      <c r="I4237" s="211"/>
      <c r="J4237" s="211"/>
      <c r="K4237" s="211"/>
      <c r="L4237" s="211"/>
      <c r="M4237" s="211"/>
      <c r="N4237" s="211"/>
      <c r="O4237" s="211"/>
      <c r="P4237" s="212"/>
      <c r="Q4237" s="14"/>
      <c r="R4237" s="11"/>
      <c r="S4237" s="2"/>
    </row>
    <row r="4238" s="1" customFormat="1" ht="21.95" customHeight="1" spans="1:19">
      <c r="A4238" s="7"/>
      <c r="B4238" s="12"/>
      <c r="C4238" s="33"/>
      <c r="D4238" s="207" t="s">
        <v>722</v>
      </c>
      <c r="E4238" s="207"/>
      <c r="F4238" s="207"/>
      <c r="G4238" s="207"/>
      <c r="H4238" s="54">
        <f>IFERROR(VLOOKUP(F4206,PASHEET!$A$4:$CJ$103,88,0),"")</f>
        <v>0</v>
      </c>
      <c r="I4238" s="54"/>
      <c r="J4238" s="29"/>
      <c r="K4238" s="29"/>
      <c r="L4238" s="29"/>
      <c r="M4238" s="29"/>
      <c r="N4238" s="29"/>
      <c r="O4238" s="29"/>
      <c r="P4238" s="19"/>
      <c r="Q4238" s="14"/>
      <c r="R4238" s="11"/>
    </row>
    <row r="4239" s="1" customFormat="1" ht="21.95" customHeight="1" spans="1:19">
      <c r="A4239" s="7"/>
      <c r="B4239" s="12"/>
      <c r="C4239" s="213"/>
      <c r="D4239" s="207" t="s">
        <v>723</v>
      </c>
      <c r="E4239" s="207"/>
      <c r="F4239" s="207"/>
      <c r="G4239" s="207"/>
      <c r="H4239" s="54">
        <f>IFERROR(VLOOKUP(F4206,PASHEET!$A$4:$CJ$103,87,0),"")</f>
        <v>0</v>
      </c>
      <c r="I4239" s="54"/>
      <c r="J4239" s="214"/>
      <c r="K4239" s="214"/>
      <c r="L4239" s="207" t="s">
        <v>724</v>
      </c>
      <c r="M4239" s="207"/>
      <c r="N4239" s="117" t="str">
        <f>IF(F4206&gt;ENTRY!$D$24,"",IF(F4206&gt;0,L4230&amp;" / "&amp;600,""))</f>
        <v/>
      </c>
      <c r="O4239" s="117"/>
      <c r="P4239" s="215"/>
      <c r="Q4239" s="14"/>
      <c r="R4239" s="11"/>
    </row>
    <row r="4240" s="1" customFormat="1" ht="18" customHeight="1" spans="1:19">
      <c r="A4240" s="7"/>
      <c r="B4240" s="12"/>
      <c r="C4240" s="33"/>
      <c r="D4240" s="207" t="s">
        <v>725</v>
      </c>
      <c r="E4240" s="207"/>
      <c r="F4240" s="207"/>
      <c r="G4240" s="207"/>
      <c r="H4240" s="69" t="str">
        <f>IFERROR(IF(F4206&gt;0,H4239/H4238*100),"")</f>
        <v/>
      </c>
      <c r="I4240" s="69"/>
      <c r="J4240" s="29"/>
      <c r="K4240" s="29"/>
      <c r="L4240" s="207" t="s">
        <v>726</v>
      </c>
      <c r="M4240" s="207"/>
      <c r="N4240" s="216" t="str">
        <f>IF(F4206&gt;ENTRY!$D$24,"",IF(F4206&gt;0,L4230/600*100,""))</f>
        <v/>
      </c>
      <c r="O4240" s="216"/>
      <c r="P4240" s="19"/>
      <c r="Q4240" s="14"/>
      <c r="R4240" s="11"/>
    </row>
    <row r="4241" s="1" customFormat="1" ht="21.95" customHeight="1" spans="1:18">
      <c r="A4241" s="7"/>
      <c r="B4241" s="12"/>
      <c r="C4241" s="33"/>
      <c r="D4241" s="80"/>
      <c r="E4241" s="80"/>
      <c r="F4241" s="217"/>
      <c r="G4241" s="217"/>
      <c r="H4241" s="217"/>
      <c r="I4241" s="217"/>
      <c r="J4241" s="217"/>
      <c r="K4241" s="217"/>
      <c r="L4241" s="217"/>
      <c r="M4241" s="217"/>
      <c r="N4241" s="80"/>
      <c r="O4241" s="80"/>
      <c r="P4241" s="19"/>
      <c r="Q4241" s="14"/>
      <c r="R4241" s="11"/>
    </row>
    <row r="4242" s="1" customFormat="1" ht="21.95" customHeight="1" spans="1:18">
      <c r="A4242" s="7"/>
      <c r="B4242" s="12"/>
      <c r="C4242" s="33"/>
      <c r="D4242" s="80"/>
      <c r="E4242" s="218"/>
      <c r="F4242" s="218"/>
      <c r="G4242" s="218"/>
      <c r="H4242" s="80"/>
      <c r="I4242" s="218"/>
      <c r="J4242" s="218"/>
      <c r="K4242" s="218"/>
      <c r="L4242" s="218"/>
      <c r="M4242" s="80"/>
      <c r="N4242" s="219"/>
      <c r="O4242" s="219"/>
      <c r="P4242" s="19"/>
      <c r="Q4242" s="14"/>
      <c r="R4242" s="11"/>
    </row>
    <row r="4243" s="1" customFormat="1" ht="21.95" customHeight="1" spans="1:18">
      <c r="A4243" s="7"/>
      <c r="B4243" s="12"/>
      <c r="C4243" s="33"/>
      <c r="D4243" s="80"/>
      <c r="E4243" s="80"/>
      <c r="F4243" s="80"/>
      <c r="G4243" s="80"/>
      <c r="H4243" s="80"/>
      <c r="I4243" s="80"/>
      <c r="J4243" s="80"/>
      <c r="K4243" s="80"/>
      <c r="L4243" s="80"/>
      <c r="M4243" s="80"/>
      <c r="N4243" s="80"/>
      <c r="O4243" s="80"/>
      <c r="P4243" s="19"/>
      <c r="Q4243" s="14"/>
      <c r="R4243" s="11"/>
    </row>
    <row r="4244" s="1" customFormat="1" ht="21.95" customHeight="1" spans="1:18">
      <c r="A4244" s="7"/>
      <c r="B4244" s="12"/>
      <c r="C4244" s="33"/>
      <c r="D4244" s="218"/>
      <c r="E4244" s="218"/>
      <c r="F4244" s="218"/>
      <c r="G4244" s="218"/>
      <c r="H4244" s="218"/>
      <c r="I4244" s="218"/>
      <c r="J4244" s="218"/>
      <c r="K4244" s="218"/>
      <c r="L4244" s="218"/>
      <c r="M4244" s="80"/>
      <c r="N4244" s="217"/>
      <c r="O4244" s="217"/>
      <c r="P4244" s="85" t="s">
        <v>727</v>
      </c>
      <c r="Q4244" s="14"/>
      <c r="R4244" s="11"/>
    </row>
    <row r="4245" s="1" customFormat="1" ht="21.95" customHeight="1" spans="1:18">
      <c r="A4245" s="7"/>
      <c r="B4245" s="12"/>
      <c r="C4245" s="33"/>
      <c r="D4245" s="29"/>
      <c r="E4245" s="29"/>
      <c r="F4245" s="29"/>
      <c r="G4245" s="29"/>
      <c r="H4245" s="29"/>
      <c r="I4245" s="29"/>
      <c r="J4245" s="29"/>
      <c r="K4245" s="29"/>
      <c r="L4245" s="29"/>
      <c r="M4245" s="29"/>
      <c r="N4245" s="29"/>
      <c r="O4245" s="29"/>
      <c r="P4245" s="19"/>
      <c r="Q4245" s="14"/>
      <c r="R4245" s="11"/>
    </row>
    <row r="4246" s="1" customFormat="1" ht="21.95" customHeight="1" spans="1:18">
      <c r="A4246" s="7"/>
      <c r="B4246" s="12"/>
      <c r="C4246" s="33"/>
      <c r="D4246" s="29"/>
      <c r="E4246" s="29"/>
      <c r="F4246" s="29"/>
      <c r="G4246" s="29"/>
      <c r="H4246" s="29"/>
      <c r="I4246" s="29"/>
      <c r="J4246" s="29"/>
      <c r="K4246" s="29"/>
      <c r="L4246" s="29"/>
      <c r="M4246" s="29"/>
      <c r="N4246" s="29"/>
      <c r="O4246" s="29"/>
      <c r="P4246" s="19"/>
      <c r="Q4246" s="14"/>
      <c r="R4246" s="11"/>
    </row>
    <row r="4247" s="1" customFormat="1" ht="21.95" customHeight="1" spans="1:18">
      <c r="A4247" s="7"/>
      <c r="B4247" s="12"/>
      <c r="C4247" s="33"/>
      <c r="D4247" s="29"/>
      <c r="E4247" s="29"/>
      <c r="F4247" s="29"/>
      <c r="G4247" s="29"/>
      <c r="H4247" s="29"/>
      <c r="I4247" s="29"/>
      <c r="J4247" s="29"/>
      <c r="K4247" s="29"/>
      <c r="L4247" s="29"/>
      <c r="M4247" s="29"/>
      <c r="N4247" s="29"/>
      <c r="O4247" s="29"/>
      <c r="P4247" s="19"/>
      <c r="Q4247" s="14"/>
      <c r="R4247" s="11"/>
    </row>
    <row r="4248" s="1" customFormat="1" ht="21.95" customHeight="1" spans="1:18">
      <c r="A4248" s="7"/>
      <c r="B4248" s="12"/>
      <c r="C4248" s="33"/>
      <c r="D4248" s="29"/>
      <c r="E4248" s="29"/>
      <c r="F4248" s="29"/>
      <c r="G4248" s="29"/>
      <c r="H4248" s="29"/>
      <c r="I4248" s="29"/>
      <c r="J4248" s="29"/>
      <c r="K4248" s="29"/>
      <c r="L4248" s="29"/>
      <c r="M4248" s="29"/>
      <c r="N4248" s="29"/>
      <c r="O4248" s="29"/>
      <c r="P4248" s="19"/>
      <c r="Q4248" s="14"/>
      <c r="R4248" s="11"/>
    </row>
    <row r="4249" s="1" customFormat="1" ht="21.95" customHeight="1" spans="1:18">
      <c r="A4249" s="7"/>
      <c r="B4249" s="12"/>
      <c r="C4249" s="33"/>
      <c r="D4249" s="29"/>
      <c r="E4249" s="29"/>
      <c r="F4249" s="29"/>
      <c r="G4249" s="29"/>
      <c r="H4249" s="29"/>
      <c r="I4249" s="29"/>
      <c r="J4249" s="29"/>
      <c r="K4249" s="29"/>
      <c r="L4249" s="29"/>
      <c r="M4249" s="29"/>
      <c r="N4249" s="29"/>
      <c r="O4249" s="29"/>
      <c r="P4249" s="19"/>
      <c r="Q4249" s="14"/>
      <c r="R4249" s="11"/>
    </row>
    <row r="4250" s="1" customFormat="1" ht="21.95" customHeight="1" spans="1:18">
      <c r="A4250" s="7"/>
      <c r="B4250" s="12"/>
      <c r="C4250" s="33"/>
      <c r="D4250" s="80" t="s">
        <v>728</v>
      </c>
      <c r="E4250" s="220">
        <f>ENTRY!$D$27</f>
        <v>46102</v>
      </c>
      <c r="F4250" s="220"/>
      <c r="G4250" s="29"/>
      <c r="H4250" s="29"/>
      <c r="I4250" s="221" t="s">
        <v>729</v>
      </c>
      <c r="J4250" s="153"/>
      <c r="K4250" s="29"/>
      <c r="L4250" s="29"/>
      <c r="M4250" s="87" t="s">
        <v>730</v>
      </c>
      <c r="N4250" s="87"/>
      <c r="O4250" s="87"/>
      <c r="P4250" s="19"/>
      <c r="Q4250" s="14"/>
      <c r="R4250" s="11"/>
    </row>
    <row r="4251" s="1" customFormat="1" ht="21.95" customHeight="1" spans="1:18">
      <c r="A4251" s="7"/>
      <c r="B4251" s="12"/>
      <c r="C4251" s="33"/>
      <c r="D4251" s="80" t="s">
        <v>731</v>
      </c>
      <c r="E4251" s="88" t="str">
        <f>PROPER(ENTRY!$D$28)</f>
        <v>New Delhi</v>
      </c>
      <c r="F4251" s="88"/>
      <c r="G4251" s="29"/>
      <c r="H4251" s="29"/>
      <c r="I4251" s="153"/>
      <c r="J4251" s="153"/>
      <c r="K4251" s="29"/>
      <c r="L4251" s="29"/>
      <c r="M4251" s="79" t="s">
        <v>732</v>
      </c>
      <c r="N4251" s="79"/>
      <c r="O4251" s="79"/>
      <c r="P4251" s="19"/>
      <c r="Q4251" s="14"/>
      <c r="R4251" s="11"/>
    </row>
    <row r="4252" s="1" customFormat="1" ht="21.95" customHeight="1" spans="1:18">
      <c r="A4252" s="7"/>
      <c r="B4252" s="12"/>
      <c r="C4252" s="90"/>
      <c r="D4252" s="91"/>
      <c r="E4252" s="91"/>
      <c r="F4252" s="91"/>
      <c r="G4252" s="91"/>
      <c r="H4252" s="91"/>
      <c r="I4252" s="91"/>
      <c r="J4252" s="91"/>
      <c r="K4252" s="91"/>
      <c r="L4252" s="91"/>
      <c r="M4252" s="91"/>
      <c r="N4252" s="91"/>
      <c r="O4252" s="91"/>
      <c r="P4252" s="92"/>
      <c r="Q4252" s="14"/>
      <c r="R4252" s="11"/>
    </row>
    <row r="4253" s="1" customFormat="1" ht="5.1" customHeight="1" spans="1:18">
      <c r="A4253" s="7"/>
      <c r="B4253" s="90"/>
      <c r="C4253" s="91"/>
      <c r="D4253" s="91"/>
      <c r="E4253" s="91"/>
      <c r="F4253" s="91"/>
      <c r="G4253" s="91"/>
      <c r="H4253" s="91"/>
      <c r="I4253" s="91"/>
      <c r="J4253" s="91"/>
      <c r="K4253" s="91"/>
      <c r="L4253" s="91"/>
      <c r="M4253" s="91"/>
      <c r="N4253" s="91"/>
      <c r="O4253" s="91"/>
      <c r="P4253" s="91"/>
      <c r="Q4253" s="92"/>
      <c r="R4253" s="11"/>
    </row>
    <row r="4254" s="1" customFormat="1" ht="5.1" customHeight="1" spans="1:18">
      <c r="A4254" s="93"/>
      <c r="B4254" s="94"/>
      <c r="C4254" s="94"/>
      <c r="D4254" s="94"/>
      <c r="E4254" s="94"/>
      <c r="F4254" s="94"/>
      <c r="G4254" s="94"/>
      <c r="H4254" s="94"/>
      <c r="I4254" s="94"/>
      <c r="J4254" s="94"/>
      <c r="K4254" s="94"/>
      <c r="L4254" s="94"/>
      <c r="M4254" s="94"/>
      <c r="N4254" s="94"/>
      <c r="O4254" s="94"/>
      <c r="P4254" s="94"/>
      <c r="Q4254" s="94"/>
      <c r="R4254" s="95"/>
    </row>
    <row r="4255" s="1" customFormat="1" ht="21.95" customHeight="1"/>
    <row r="4256" ht="15.15"/>
    <row r="4257" s="1" customFormat="1" ht="5.1" customHeight="1" spans="1:18">
      <c r="A4257" s="4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  <c r="O4257" s="5"/>
      <c r="P4257" s="5"/>
      <c r="Q4257" s="5"/>
      <c r="R4257" s="6"/>
    </row>
    <row r="4258" s="1" customFormat="1" ht="15" customHeight="1" spans="1:18">
      <c r="A4258" s="7"/>
      <c r="B4258" s="8"/>
      <c r="C4258" s="9"/>
      <c r="D4258" s="9"/>
      <c r="E4258" s="9"/>
      <c r="F4258" s="9"/>
      <c r="G4258" s="9"/>
      <c r="H4258" s="9"/>
      <c r="I4258" s="9"/>
      <c r="J4258" s="9"/>
      <c r="K4258" s="9"/>
      <c r="L4258" s="9"/>
      <c r="M4258" s="9"/>
      <c r="N4258" s="9"/>
      <c r="O4258" s="9"/>
      <c r="P4258" s="9"/>
      <c r="Q4258" s="10"/>
      <c r="R4258" s="11"/>
    </row>
    <row r="4259" s="1" customFormat="1" ht="21.95" customHeight="1" spans="1:18">
      <c r="A4259" s="7"/>
      <c r="B4259" s="12"/>
      <c r="C4259" s="13" t="s">
        <v>7</v>
      </c>
      <c r="D4259" s="13"/>
      <c r="E4259" s="13"/>
      <c r="F4259" s="13"/>
      <c r="G4259" s="13"/>
      <c r="H4259" s="13"/>
      <c r="I4259" s="13"/>
      <c r="J4259" s="13"/>
      <c r="K4259" s="13"/>
      <c r="L4259" s="13"/>
      <c r="M4259" s="13"/>
      <c r="N4259" s="13"/>
      <c r="O4259" s="13"/>
      <c r="P4259" s="13"/>
      <c r="Q4259" s="14"/>
      <c r="R4259" s="11"/>
    </row>
    <row r="4260" s="1" customFormat="1" ht="21.95" customHeight="1" spans="1:18">
      <c r="A4260" s="7"/>
      <c r="B4260" s="1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14"/>
      <c r="R4260" s="11"/>
    </row>
    <row r="4261" s="1" customFormat="1" ht="21.95" customHeight="1" spans="1:18">
      <c r="A4261" s="7"/>
      <c r="B4261" s="12"/>
      <c r="C4261" s="15" t="str">
        <f>"SESSION-"&amp;ENTRY!$D$11</f>
        <v>SESSION-2026-27</v>
      </c>
      <c r="D4261" s="15"/>
      <c r="E4261" s="15"/>
      <c r="F4261" s="15"/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  <c r="Q4261" s="14"/>
      <c r="R4261" s="11"/>
    </row>
    <row r="4262" s="1" customFormat="1" ht="21.95" customHeight="1" spans="1:18">
      <c r="A4262" s="7"/>
      <c r="B4262" s="12"/>
      <c r="C4262" s="2"/>
      <c r="D4262" s="2"/>
      <c r="E4262" s="2"/>
      <c r="F4262" s="16">
        <f>F4206+1</f>
        <v>77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14"/>
      <c r="R4262" s="11"/>
    </row>
    <row r="4263" s="1" customFormat="1" ht="21.95" customHeight="1" spans="1:18">
      <c r="A4263" s="7"/>
      <c r="B4263" s="12"/>
      <c r="C4263" s="17" t="s">
        <v>392</v>
      </c>
      <c r="D4263" s="17"/>
      <c r="E4263" s="17"/>
      <c r="F4263" s="18" t="str">
        <f>IF(F4262&gt;0,ENTRY!$D$6,"")</f>
        <v>MCP NITHARI NO 1 BOYS</v>
      </c>
      <c r="G4263" s="18"/>
      <c r="H4263" s="18"/>
      <c r="I4263" s="18"/>
      <c r="J4263" s="18"/>
      <c r="K4263" s="18"/>
      <c r="L4263" s="18"/>
      <c r="M4263" s="18"/>
      <c r="N4263" s="18"/>
      <c r="O4263" s="18"/>
      <c r="P4263" s="18"/>
      <c r="Q4263" s="14"/>
      <c r="R4263" s="11"/>
    </row>
    <row r="4264" s="1" customFormat="1" ht="21.95" customHeight="1" spans="1:18">
      <c r="A4264" s="7"/>
      <c r="B4264" s="12"/>
      <c r="C4264" s="17" t="s">
        <v>393</v>
      </c>
      <c r="D4264" s="17"/>
      <c r="E4264" s="17"/>
      <c r="F4264" s="18">
        <f>IF(F4262&gt;0,ENTRY!$D$7,"")</f>
        <v>0</v>
      </c>
      <c r="G4264" s="18"/>
      <c r="H4264" s="20" t="s">
        <v>702</v>
      </c>
      <c r="I4264" s="20"/>
      <c r="J4264" s="21">
        <f>IF(F4262&gt;0,ENTRY!$D$10,"")</f>
        <v>40</v>
      </c>
      <c r="K4264" s="20" t="s">
        <v>703</v>
      </c>
      <c r="L4264" s="22" t="str">
        <f>IF(F4262&gt;0,ENTRY!$D$5,"")</f>
        <v>ROHINI ZONE</v>
      </c>
      <c r="M4264" s="22"/>
      <c r="N4264" s="22"/>
      <c r="O4264" s="22"/>
      <c r="P4264" s="22"/>
      <c r="Q4264" s="14"/>
      <c r="R4264" s="11"/>
    </row>
    <row r="4265" s="1" customFormat="1" ht="21.95" customHeight="1" spans="1:18">
      <c r="A4265" s="7"/>
      <c r="B4265" s="12"/>
      <c r="C4265" s="17" t="s">
        <v>706</v>
      </c>
      <c r="D4265" s="17"/>
      <c r="E4265" s="17"/>
      <c r="F4265" s="23">
        <f>IFERROR(VLOOKUP(F4262,STUDENT!$A$2:$BP$101,5,0),"")</f>
        <v>0</v>
      </c>
      <c r="G4265" s="23"/>
      <c r="H4265" s="23"/>
      <c r="I4265" s="23"/>
      <c r="J4265" s="23"/>
      <c r="K4265" s="23"/>
      <c r="L4265" s="20" t="s">
        <v>707</v>
      </c>
      <c r="M4265" s="20"/>
      <c r="N4265" s="24" t="str">
        <f>IF(F4262&gt;0,ENTRY!$D$20&amp;"-"&amp;ENTRY!$D$21,"")</f>
        <v>III-A</v>
      </c>
      <c r="O4265" s="24"/>
      <c r="P4265" s="24"/>
      <c r="Q4265" s="14"/>
      <c r="R4265" s="11"/>
    </row>
    <row r="4266" s="1" customFormat="1" ht="21.95" customHeight="1" spans="1:18">
      <c r="A4266" s="7"/>
      <c r="B4266" s="12"/>
      <c r="C4266" s="17" t="s">
        <v>708</v>
      </c>
      <c r="D4266" s="17"/>
      <c r="E4266" s="17"/>
      <c r="F4266" s="25">
        <f>IFERROR(VLOOKUP(F4262,STUDENT!$A$2:$BP$101,6,0),"")</f>
        <v>0</v>
      </c>
      <c r="G4266" s="25"/>
      <c r="H4266" s="26" t="s">
        <v>709</v>
      </c>
      <c r="I4266" s="27" t="str">
        <f>IFERROR(VLOOKUP(F4262,STUDENT!$A$2:$BP$101,59,0),"")</f>
        <v/>
      </c>
      <c r="J4266" s="27"/>
      <c r="K4266" s="20" t="s">
        <v>710</v>
      </c>
      <c r="L4266" s="20"/>
      <c r="M4266" s="28">
        <f>IFERROR(VLOOKUP(F4262,STUDENT!$A$2:$BP$101,20,0),"")</f>
        <v>0</v>
      </c>
      <c r="N4266" s="28"/>
      <c r="O4266" s="28"/>
      <c r="P4266" s="28"/>
      <c r="Q4266" s="14"/>
      <c r="R4266" s="11"/>
    </row>
    <row r="4267" s="1" customFormat="1" ht="21.95" customHeight="1" spans="1:18">
      <c r="A4267" s="7"/>
      <c r="B4267" s="12"/>
      <c r="C4267" s="17" t="s">
        <v>711</v>
      </c>
      <c r="D4267" s="17"/>
      <c r="E4267" s="17"/>
      <c r="F4267" s="23">
        <f>IFERROR(VLOOKUP(F4262,STUDENT!$A$2:$BP$101,9,0),"")</f>
        <v>0</v>
      </c>
      <c r="G4267" s="23"/>
      <c r="H4267" s="23"/>
      <c r="I4267" s="23"/>
      <c r="J4267" s="17" t="s">
        <v>620</v>
      </c>
      <c r="K4267" s="17"/>
      <c r="L4267" s="23">
        <f>IFERROR(VLOOKUP(F4262,STUDENT!$A$2:$BP$101,8,0),"")</f>
        <v>0</v>
      </c>
      <c r="M4267" s="23"/>
      <c r="N4267" s="23"/>
      <c r="O4267" s="23"/>
      <c r="P4267" s="23"/>
      <c r="Q4267" s="14"/>
      <c r="R4267" s="11"/>
    </row>
    <row r="4268" s="1" customFormat="1" ht="21.95" customHeight="1" spans="1:18">
      <c r="A4268" s="7"/>
      <c r="B4268" s="12"/>
      <c r="C4268" s="17" t="s">
        <v>712</v>
      </c>
      <c r="D4268" s="17"/>
      <c r="E4268" s="17"/>
      <c r="F4268" s="23">
        <f>IFERROR(VLOOKUP(F4262,STUDENT!$A$2:$BP$101,22,0),"")</f>
        <v>0</v>
      </c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14"/>
      <c r="R4268" s="11"/>
    </row>
    <row r="4269" s="1" customFormat="1" ht="9.95" customHeight="1" spans="1:18">
      <c r="A4269" s="7"/>
      <c r="B4269" s="12"/>
      <c r="C4269" s="29"/>
      <c r="D4269" s="29"/>
      <c r="E4269" s="29"/>
      <c r="F4269" s="29"/>
      <c r="G4269" s="29"/>
      <c r="H4269" s="29"/>
      <c r="I4269" s="29"/>
      <c r="J4269" s="29"/>
      <c r="K4269" s="29"/>
      <c r="L4269" s="29"/>
      <c r="M4269" s="29"/>
      <c r="N4269" s="29"/>
      <c r="O4269" s="29"/>
      <c r="P4269" s="29"/>
      <c r="Q4269" s="14"/>
      <c r="R4269" s="11"/>
    </row>
    <row r="4270" s="1" customFormat="1" ht="9.95" customHeight="1" spans="1:18">
      <c r="A4270" s="7"/>
      <c r="B4270" s="12"/>
      <c r="C4270" s="30"/>
      <c r="D4270" s="31"/>
      <c r="E4270" s="31"/>
      <c r="F4270" s="31"/>
      <c r="G4270" s="31"/>
      <c r="H4270" s="31"/>
      <c r="I4270" s="31"/>
      <c r="J4270" s="31"/>
      <c r="K4270" s="31"/>
      <c r="L4270" s="31"/>
      <c r="M4270" s="31"/>
      <c r="N4270" s="31"/>
      <c r="O4270" s="31"/>
      <c r="P4270" s="32"/>
      <c r="Q4270" s="14"/>
      <c r="R4270" s="11"/>
    </row>
    <row r="4271" s="1" customFormat="1" ht="21.95" customHeight="1" spans="1:18">
      <c r="A4271" s="7"/>
      <c r="B4271" s="12"/>
      <c r="C4271" s="33"/>
      <c r="D4271" s="34" t="s">
        <v>713</v>
      </c>
      <c r="E4271" s="20" t="s">
        <v>714</v>
      </c>
      <c r="F4271" s="35" t="str">
        <f>"Level - "&amp;IFERROR(VLOOKUP(F4262,FLN!$A$4:$K$103,9,0),"")</f>
        <v>Level - </v>
      </c>
      <c r="G4271" s="36"/>
      <c r="H4271" s="37" t="s">
        <v>715</v>
      </c>
      <c r="I4271" s="20"/>
      <c r="J4271" s="35" t="str">
        <f>"Level - "&amp;IFERROR(VLOOKUP(F4262,FLN!$A$4:$K$103,11,0),"")</f>
        <v>Level - </v>
      </c>
      <c r="K4271" s="36"/>
      <c r="L4271" s="37" t="s">
        <v>408</v>
      </c>
      <c r="M4271" s="20"/>
      <c r="N4271" s="35" t="str">
        <f>"Level - "&amp;IFERROR(VLOOKUP(F4262,FLN!$A$4:$K$103,10,0),"")</f>
        <v>Level - </v>
      </c>
      <c r="O4271" s="36"/>
      <c r="P4271" s="19"/>
      <c r="Q4271" s="14"/>
      <c r="R4271" s="11"/>
    </row>
    <row r="4272" s="1" customFormat="1" ht="21.95" customHeight="1" spans="1:18">
      <c r="A4272" s="7"/>
      <c r="B4272" s="12"/>
      <c r="C4272" s="33"/>
      <c r="D4272" s="38"/>
      <c r="E4272" s="20" t="s">
        <v>716</v>
      </c>
      <c r="F4272" s="18" t="str">
        <f>IF(L4286&gt;197,"PERFORMED WELL","")</f>
        <v/>
      </c>
      <c r="G4272" s="18"/>
      <c r="H4272" s="18"/>
      <c r="I4272" s="18"/>
      <c r="J4272" s="18"/>
      <c r="K4272" s="18"/>
      <c r="L4272" s="18"/>
      <c r="M4272" s="18"/>
      <c r="N4272" s="18"/>
      <c r="O4272" s="18"/>
      <c r="P4272" s="19"/>
      <c r="Q4272" s="14"/>
      <c r="R4272" s="11"/>
    </row>
    <row r="4273" s="1" customFormat="1" ht="9.95" customHeight="1" spans="1:18">
      <c r="A4273" s="7"/>
      <c r="B4273" s="12"/>
      <c r="C4273" s="39"/>
      <c r="D4273" s="40"/>
      <c r="E4273" s="40"/>
      <c r="F4273" s="40"/>
      <c r="G4273" s="40"/>
      <c r="H4273" s="40"/>
      <c r="I4273" s="40"/>
      <c r="J4273" s="40"/>
      <c r="K4273" s="40"/>
      <c r="L4273" s="40"/>
      <c r="M4273" s="40"/>
      <c r="N4273" s="40"/>
      <c r="O4273" s="40"/>
      <c r="P4273" s="41"/>
      <c r="Q4273" s="14"/>
      <c r="R4273" s="11"/>
    </row>
    <row r="4274" s="1" customFormat="1" ht="9.95" customHeight="1" spans="1:18">
      <c r="A4274" s="7"/>
      <c r="B4274" s="12"/>
      <c r="C4274" s="29"/>
      <c r="D4274" s="29"/>
      <c r="E4274" s="29"/>
      <c r="F4274" s="29"/>
      <c r="G4274" s="29"/>
      <c r="H4274" s="29"/>
      <c r="I4274" s="29"/>
      <c r="J4274" s="29"/>
      <c r="K4274" s="29"/>
      <c r="L4274" s="29"/>
      <c r="M4274" s="29"/>
      <c r="N4274" s="29"/>
      <c r="O4274" s="29"/>
      <c r="P4274" s="29"/>
      <c r="Q4274" s="14"/>
      <c r="R4274" s="11"/>
    </row>
    <row r="4275" s="1" customFormat="1" ht="9.95" customHeight="1" spans="1:18">
      <c r="A4275" s="7"/>
      <c r="B4275" s="12"/>
      <c r="C4275" s="30"/>
      <c r="D4275" s="31"/>
      <c r="E4275" s="31"/>
      <c r="F4275" s="31"/>
      <c r="G4275" s="31"/>
      <c r="H4275" s="31"/>
      <c r="I4275" s="31"/>
      <c r="J4275" s="31"/>
      <c r="K4275" s="31"/>
      <c r="L4275" s="31"/>
      <c r="M4275" s="31"/>
      <c r="N4275" s="31"/>
      <c r="O4275" s="31"/>
      <c r="P4275" s="32"/>
      <c r="Q4275" s="14"/>
      <c r="R4275" s="11"/>
    </row>
    <row r="4276" s="1" customFormat="1" ht="21.95" customHeight="1" spans="1:18">
      <c r="A4276" s="7"/>
      <c r="B4276" s="12"/>
      <c r="C4276" s="33"/>
      <c r="D4276" s="35"/>
      <c r="E4276" s="24"/>
      <c r="F4276" s="24"/>
      <c r="G4276" s="47" t="s">
        <v>717</v>
      </c>
      <c r="H4276" s="47"/>
      <c r="I4276" s="47"/>
      <c r="J4276" s="47"/>
      <c r="K4276" s="47"/>
      <c r="L4276" s="47"/>
      <c r="M4276" s="47"/>
      <c r="N4276" s="47"/>
      <c r="O4276" s="29"/>
      <c r="P4276" s="19"/>
      <c r="Q4276" s="14"/>
      <c r="R4276" s="11"/>
    </row>
    <row r="4277" s="1" customFormat="1" ht="21.95" customHeight="1" spans="1:18">
      <c r="A4277" s="7"/>
      <c r="B4277" s="12"/>
      <c r="C4277" s="33"/>
      <c r="D4277" s="47"/>
      <c r="E4277" s="47"/>
      <c r="F4277" s="47"/>
      <c r="G4277" s="47" t="s">
        <v>541</v>
      </c>
      <c r="H4277" s="47" t="s">
        <v>542</v>
      </c>
      <c r="I4277" s="47" t="s">
        <v>543</v>
      </c>
      <c r="J4277" s="47" t="s">
        <v>544</v>
      </c>
      <c r="K4277" s="47" t="s">
        <v>561</v>
      </c>
      <c r="L4277" s="47" t="s">
        <v>382</v>
      </c>
      <c r="M4277" s="49" t="s">
        <v>546</v>
      </c>
      <c r="N4277" s="49"/>
      <c r="O4277" s="29"/>
      <c r="P4277" s="19"/>
      <c r="Q4277" s="14"/>
      <c r="R4277" s="11"/>
    </row>
    <row r="4278" s="1" customFormat="1" ht="21.95" customHeight="1" spans="1:18">
      <c r="A4278" s="7"/>
      <c r="B4278" s="12"/>
      <c r="C4278" s="33"/>
      <c r="D4278" s="207" t="s">
        <v>652</v>
      </c>
      <c r="E4278" s="207"/>
      <c r="F4278" s="207"/>
      <c r="G4278" s="50">
        <v>10</v>
      </c>
      <c r="H4278" s="50">
        <v>10</v>
      </c>
      <c r="I4278" s="50">
        <v>10</v>
      </c>
      <c r="J4278" s="50">
        <v>10</v>
      </c>
      <c r="K4278" s="50">
        <v>60</v>
      </c>
      <c r="L4278" s="50">
        <v>100</v>
      </c>
      <c r="M4278" s="49"/>
      <c r="N4278" s="49"/>
      <c r="O4278" s="29"/>
      <c r="P4278" s="19"/>
      <c r="Q4278" s="14"/>
      <c r="R4278" s="11"/>
    </row>
    <row r="4279" s="1" customFormat="1" ht="21.95" customHeight="1" spans="1:18">
      <c r="A4279" s="7"/>
      <c r="B4279" s="12"/>
      <c r="C4279" s="33"/>
      <c r="D4279" s="117" t="s">
        <v>668</v>
      </c>
      <c r="E4279" s="117"/>
      <c r="F4279" s="117"/>
      <c r="G4279" s="54" t="str">
        <f>IFERROR(VLOOKUP(F4262,'1to4-2.1-RR'!$A$12:$BG$111,9,0),"")</f>
        <v/>
      </c>
      <c r="H4279" s="54" t="str">
        <f>IFERROR(VLOOKUP(F4262,'1to4-2.1-RR'!$A$12:$BG$111,10,0),"")</f>
        <v/>
      </c>
      <c r="I4279" s="54" t="str">
        <f>IFERROR(VLOOKUP(F4262,'1to4-2.1-RR'!$A$12:$BG$111,11,0),"")</f>
        <v/>
      </c>
      <c r="J4279" s="54" t="str">
        <f>IFERROR(VLOOKUP(F4262,'1to4-2.1-RR'!$A$12:$BG$111,12,0),"")</f>
        <v/>
      </c>
      <c r="K4279" s="54" t="str">
        <f>IFERROR(VLOOKUP(F4262,'1to4-2.1-RR'!$A$12:$BG$111,13,0),"")</f>
        <v/>
      </c>
      <c r="L4279" s="55">
        <f>SUM(G4279:K4279)</f>
        <v>0</v>
      </c>
      <c r="M4279" s="56" t="str">
        <f>IF(F4262&gt;ENTRY!$D$24,"",IF(L4279=0,"Ab",IF(L4279&gt;80,"A",IF(L4279&gt;60,"B",IF(L4279&gt;44,"C",IF(L4279&gt;=33,"D",IF(L4279&lt;=32,"E","")))))))</f>
        <v/>
      </c>
      <c r="N4279" s="56"/>
      <c r="O4279" s="29"/>
      <c r="P4279" s="19"/>
      <c r="Q4279" s="14"/>
      <c r="R4279" s="11"/>
    </row>
    <row r="4280" s="1" customFormat="1" ht="21.95" customHeight="1" spans="1:18">
      <c r="A4280" s="7"/>
      <c r="B4280" s="12"/>
      <c r="C4280" s="33"/>
      <c r="D4280" s="117" t="s">
        <v>513</v>
      </c>
      <c r="E4280" s="117"/>
      <c r="F4280" s="117"/>
      <c r="G4280" s="54" t="str">
        <f>IFERROR(VLOOKUP(F4262,'1to4-2.1-RR'!$A$12:$BG$111,16,0),"")</f>
        <v/>
      </c>
      <c r="H4280" s="54" t="str">
        <f>IFERROR(VLOOKUP(F4262,'1to4-2.1-RR'!$A$12:$BG$111,17,0),"")</f>
        <v/>
      </c>
      <c r="I4280" s="54" t="str">
        <f>IFERROR(VLOOKUP(F4262,'1to4-2.1-RR'!$A$12:$BG$111,18,0),"")</f>
        <v/>
      </c>
      <c r="J4280" s="54" t="str">
        <f>IFERROR(VLOOKUP(F4262,'1to4-2.1-RR'!$A$12:$BG$111,19,0),"")</f>
        <v/>
      </c>
      <c r="K4280" s="54" t="str">
        <f>IFERROR(VLOOKUP(F4262,'1to4-2.1-RR'!$A$12:$BG$111,20,0),"")</f>
        <v/>
      </c>
      <c r="L4280" s="55">
        <f t="shared" ref="L4280:L4285" si="152">SUM(G4280:K4280)</f>
        <v>0</v>
      </c>
      <c r="M4280" s="56" t="str">
        <f>IF(F4262&gt;ENTRY!$D$24,"",IF(L4280=0,"Ab",IF(L4280&gt;80,"A",IF(L4280&gt;60,"B",IF(L4280&gt;44,"C",IF(L4280&gt;=33,"D",IF(L4280&lt;=32,"E","")))))))</f>
        <v/>
      </c>
      <c r="N4280" s="56"/>
      <c r="O4280" s="29"/>
      <c r="P4280" s="19"/>
      <c r="Q4280" s="14"/>
      <c r="R4280" s="11"/>
    </row>
    <row r="4281" s="1" customFormat="1" ht="21.95" customHeight="1" spans="1:18">
      <c r="A4281" s="7"/>
      <c r="B4281" s="12"/>
      <c r="C4281" s="33"/>
      <c r="D4281" s="117" t="s">
        <v>718</v>
      </c>
      <c r="E4281" s="117"/>
      <c r="F4281" s="117"/>
      <c r="G4281" s="54" t="str">
        <f>IFERROR(VLOOKUP(F4262,'1to4-2.1-RR'!$A$12:$BG$111,23,0),"")</f>
        <v/>
      </c>
      <c r="H4281" s="54" t="str">
        <f>IFERROR(VLOOKUP(F4262,'1to4-2.1-RR'!$A$12:$BG$111,24,0),"")</f>
        <v/>
      </c>
      <c r="I4281" s="54" t="str">
        <f>IFERROR(VLOOKUP(F4262,'1to4-2.1-RR'!$A$12:$BG$111,25,0),"")</f>
        <v/>
      </c>
      <c r="J4281" s="54" t="str">
        <f>IFERROR(VLOOKUP(F4262,'1to4-2.1-RR'!$A$12:$BG$111,26,0),"")</f>
        <v/>
      </c>
      <c r="K4281" s="54" t="str">
        <f>IFERROR(VLOOKUP(F4262,'1to4-2.1-RR'!$A$12:$BG$111,27,0),"")</f>
        <v/>
      </c>
      <c r="L4281" s="55">
        <f t="shared" si="152"/>
        <v>0</v>
      </c>
      <c r="M4281" s="56" t="str">
        <f>IF(F4262&gt;ENTRY!$D$24,"",IF(L4281=0,"Ab",IF(L4281&gt;80,"A",IF(L4281&gt;60,"B",IF(L4281&gt;44,"C",IF(L4281&gt;=33,"D",IF(L4281&lt;=32,"E","")))))))</f>
        <v/>
      </c>
      <c r="N4281" s="56"/>
      <c r="O4281" s="29"/>
      <c r="P4281" s="19"/>
      <c r="Q4281" s="14"/>
      <c r="R4281" s="11"/>
    </row>
    <row r="4282" s="1" customFormat="1" ht="21.95" customHeight="1" spans="1:18">
      <c r="A4282" s="7"/>
      <c r="B4282" s="12"/>
      <c r="C4282" s="33"/>
      <c r="D4282" s="117" t="s">
        <v>719</v>
      </c>
      <c r="E4282" s="117"/>
      <c r="F4282" s="117"/>
      <c r="G4282" s="54" t="str">
        <f>IFERROR(VLOOKUP(F4262,'1to4-2.1-RR'!$A$12:$BG$111,30,0),"")</f>
        <v/>
      </c>
      <c r="H4282" s="54" t="str">
        <f>IFERROR(VLOOKUP(F4262,'1to4-2.1-RR'!$A$12:$BG$111,31,0),"")</f>
        <v/>
      </c>
      <c r="I4282" s="54" t="str">
        <f>IFERROR(VLOOKUP(F4262,'1to4-2.1-RR'!$A$12:$BG$111,32,0),"")</f>
        <v/>
      </c>
      <c r="J4282" s="54" t="str">
        <f>IFERROR(VLOOKUP(F4262,'1to4-2.1-RR'!$A$12:$BG$111,33,0),"")</f>
        <v/>
      </c>
      <c r="K4282" s="54" t="str">
        <f>IFERROR(VLOOKUP(F4262,'1to4-2.1-RR'!$A$12:$BG$111,34,0),"")</f>
        <v/>
      </c>
      <c r="L4282" s="55">
        <f t="shared" si="152"/>
        <v>0</v>
      </c>
      <c r="M4282" s="56" t="str">
        <f>IF(F4262&gt;ENTRY!$D$24,"",IF(L4282=0,"Ab",IF(L4282&gt;80,"A",IF(L4282&gt;60,"B",IF(L4282&gt;44,"C",IF(L4282&gt;=33,"D",IF(L4282&lt;=32,"E","")))))))</f>
        <v/>
      </c>
      <c r="N4282" s="56"/>
      <c r="O4282" s="29"/>
      <c r="P4282" s="19"/>
      <c r="Q4282" s="14"/>
      <c r="R4282" s="11"/>
    </row>
    <row r="4283" s="1" customFormat="1" ht="21.95" customHeight="1" spans="1:18">
      <c r="A4283" s="7"/>
      <c r="B4283" s="12"/>
      <c r="C4283" s="33"/>
      <c r="D4283" s="117" t="s">
        <v>548</v>
      </c>
      <c r="E4283" s="117"/>
      <c r="F4283" s="117"/>
      <c r="G4283" s="54" t="str">
        <f>IFERROR(VLOOKUP(F4262,'1to4-2.1-RR'!$A$12:$BG$111,37,0),"")</f>
        <v/>
      </c>
      <c r="H4283" s="54" t="str">
        <f>IFERROR(VLOOKUP(F4262,'1to4-2.1-RR'!$A$12:$BG$111,38,0),"")</f>
        <v/>
      </c>
      <c r="I4283" s="54" t="str">
        <f>IFERROR(VLOOKUP(F4262,'1to4-2.1-RR'!$A$12:$BG$111,39,0),"")</f>
        <v/>
      </c>
      <c r="J4283" s="54" t="str">
        <f>IFERROR(VLOOKUP(F4262,'1to4-2.1-RR'!$A$12:$BG$111,40,0),"")</f>
        <v/>
      </c>
      <c r="K4283" s="54" t="str">
        <f>IFERROR(VLOOKUP(F4262,'1to4-2.1-RR'!$A$12:$BG$111,41,0),"")</f>
        <v/>
      </c>
      <c r="L4283" s="55">
        <f t="shared" si="152"/>
        <v>0</v>
      </c>
      <c r="M4283" s="56" t="str">
        <f>IF(F4262&gt;ENTRY!$D$24,"",IF(L4283=0,"Ab",IF(L4283&gt;80,"A",IF(L4283&gt;60,"B",IF(L4283&gt;44,"C",IF(L4283&gt;=33,"D",IF(L4283&lt;=32,"E","")))))))</f>
        <v/>
      </c>
      <c r="N4283" s="56"/>
      <c r="O4283" s="29"/>
      <c r="P4283" s="19"/>
      <c r="Q4283" s="14"/>
      <c r="R4283" s="11"/>
    </row>
    <row r="4284" s="1" customFormat="1" ht="21.95" customHeight="1" spans="1:18">
      <c r="A4284" s="7"/>
      <c r="B4284" s="12"/>
      <c r="C4284" s="33"/>
      <c r="D4284" s="117" t="s">
        <v>549</v>
      </c>
      <c r="E4284" s="117"/>
      <c r="F4284" s="117"/>
      <c r="G4284" s="54" t="str">
        <f>IFERROR(VLOOKUP(F4262,'1to4-2.1-RR'!$A$12:$BG$111,44,0),"")</f>
        <v/>
      </c>
      <c r="H4284" s="54" t="str">
        <f>IFERROR(VLOOKUP(F4262,'1to4-2.1-RR'!$A$12:$BG$111,45,0),"")</f>
        <v/>
      </c>
      <c r="I4284" s="54" t="str">
        <f>IFERROR(VLOOKUP(F4262,'1to4-2.1-RR'!$A$12:$BG$111,46,0),"")</f>
        <v/>
      </c>
      <c r="J4284" s="54" t="str">
        <f>IFERROR(VLOOKUP(F4262,'1to4-2.1-RR'!$A$12:$BG$111,47,0),"")</f>
        <v/>
      </c>
      <c r="K4284" s="54" t="str">
        <f>IFERROR(VLOOKUP(F4262,'1to4-2.1-RR'!$A$12:$BG$111,48,0),"")</f>
        <v/>
      </c>
      <c r="L4284" s="55">
        <f t="shared" si="152"/>
        <v>0</v>
      </c>
      <c r="M4284" s="56" t="str">
        <f>IF(F4262&gt;ENTRY!$D$24,"",IF(L4284=0,"Ab",IF(L4284&gt;80,"A",IF(L4284&gt;60,"B",IF(L4284&gt;44,"C",IF(L4284&gt;=33,"D",IF(L4284&lt;=32,"E","")))))))</f>
        <v/>
      </c>
      <c r="N4284" s="56"/>
      <c r="O4284" s="29"/>
      <c r="P4284" s="19"/>
      <c r="Q4284" s="14"/>
      <c r="R4284" s="11"/>
    </row>
    <row r="4285" s="1" customFormat="1" ht="21.95" customHeight="1" spans="1:18">
      <c r="A4285" s="7"/>
      <c r="B4285" s="12"/>
      <c r="C4285" s="33"/>
      <c r="D4285" s="117" t="s">
        <v>720</v>
      </c>
      <c r="E4285" s="117"/>
      <c r="F4285" s="117"/>
      <c r="G4285" s="54"/>
      <c r="H4285" s="54"/>
      <c r="I4285" s="54"/>
      <c r="J4285" s="54"/>
      <c r="K4285" s="54"/>
      <c r="L4285" s="55">
        <f t="shared" si="152"/>
        <v>0</v>
      </c>
      <c r="M4285" s="56" t="str">
        <f>IF(F4262&gt;ENTRY!$D$24,"",IF(L4285=0,"",IF(L4285&gt;79,"A",IF(L4285&gt;59,"B",IF(L4285&gt;44,"C",IF(L4285&gt;=33,"D",IF(L4285&lt;=32,"E","")))))))</f>
        <v/>
      </c>
      <c r="N4285" s="56"/>
      <c r="O4285" s="29"/>
      <c r="P4285" s="19"/>
      <c r="Q4285" s="14"/>
      <c r="R4285" s="11"/>
    </row>
    <row r="4286" s="1" customFormat="1" ht="21.95" customHeight="1" spans="1:18">
      <c r="A4286" s="7"/>
      <c r="B4286" s="12"/>
      <c r="C4286" s="33"/>
      <c r="D4286" s="207" t="s">
        <v>382</v>
      </c>
      <c r="E4286" s="207"/>
      <c r="F4286" s="207"/>
      <c r="G4286" s="54">
        <f t="shared" ref="G4286:L4286" si="153">IFERROR(SUM(G4279:G4285),"")</f>
        <v>0</v>
      </c>
      <c r="H4286" s="54">
        <f t="shared" si="153"/>
        <v>0</v>
      </c>
      <c r="I4286" s="54">
        <f t="shared" si="153"/>
        <v>0</v>
      </c>
      <c r="J4286" s="54">
        <f t="shared" si="153"/>
        <v>0</v>
      </c>
      <c r="K4286" s="54">
        <f t="shared" si="153"/>
        <v>0</v>
      </c>
      <c r="L4286" s="55">
        <f t="shared" si="153"/>
        <v>0</v>
      </c>
      <c r="M4286" s="61" t="str">
        <f>IF(F4262&gt;ENTRY!$D$24,"",IF(N4287="Ab","Ab",IF(N4287&gt;79.5,"A",IF(N4287&gt;59.5,"B",IF(N4287&gt;44.5,"C",IF(N4287&gt;=33,"D",IF(N4287&lt;33,"E","")))))))</f>
        <v/>
      </c>
      <c r="N4286" s="61"/>
      <c r="O4286" s="29"/>
      <c r="P4286" s="19"/>
      <c r="Q4286" s="14"/>
      <c r="R4286" s="11"/>
    </row>
    <row r="4287" s="1" customFormat="1" ht="21.95" customHeight="1" spans="1:18">
      <c r="A4287" s="7"/>
      <c r="B4287" s="12"/>
      <c r="C4287" s="33"/>
      <c r="D4287" s="63" t="s">
        <v>721</v>
      </c>
      <c r="E4287" s="63"/>
      <c r="F4287" s="63"/>
      <c r="G4287" s="63"/>
      <c r="H4287" s="63"/>
      <c r="I4287" s="63"/>
      <c r="J4287" s="63"/>
      <c r="K4287" s="63"/>
      <c r="L4287" s="63"/>
      <c r="M4287" s="209"/>
      <c r="N4287" s="64">
        <f>IF(L4286="Ab","Ab",L4286/6)</f>
        <v>0</v>
      </c>
      <c r="O4287" s="65"/>
      <c r="P4287" s="19"/>
      <c r="Q4287" s="14"/>
      <c r="R4287" s="11"/>
    </row>
    <row r="4288" s="1" customFormat="1" ht="21.95" customHeight="1" spans="1:18">
      <c r="A4288" s="7"/>
      <c r="B4288" s="12"/>
      <c r="C4288" s="33"/>
      <c r="D4288" s="29" t="s">
        <v>716</v>
      </c>
      <c r="E4288" s="18" t="str">
        <f>IFERROR(VLOOKUP(F4262,'1to4-2.1-RR'!$A$12:$BG$111,57,0),"")</f>
        <v/>
      </c>
      <c r="F4288" s="18"/>
      <c r="G4288" s="18"/>
      <c r="H4288" s="18"/>
      <c r="I4288" s="18"/>
      <c r="J4288" s="18"/>
      <c r="K4288" s="18"/>
      <c r="L4288" s="18"/>
      <c r="M4288" s="18"/>
      <c r="N4288" s="29"/>
      <c r="O4288" s="29"/>
      <c r="P4288" s="19"/>
      <c r="Q4288" s="14"/>
      <c r="R4288" s="11"/>
    </row>
    <row r="4289" s="1" customFormat="1" ht="9.95" customHeight="1" spans="1:19">
      <c r="A4289" s="7"/>
      <c r="B4289" s="12"/>
      <c r="C4289" s="39"/>
      <c r="D4289" s="40"/>
      <c r="E4289" s="40"/>
      <c r="F4289" s="40"/>
      <c r="G4289" s="40"/>
      <c r="H4289" s="40"/>
      <c r="I4289" s="40"/>
      <c r="J4289" s="40"/>
      <c r="K4289" s="40"/>
      <c r="L4289" s="40"/>
      <c r="M4289" s="40"/>
      <c r="N4289" s="40"/>
      <c r="O4289" s="40"/>
      <c r="P4289" s="41"/>
      <c r="Q4289" s="14"/>
      <c r="R4289" s="11"/>
    </row>
    <row r="4290" s="1" customFormat="1" ht="9.95" customHeight="1" spans="1:19">
      <c r="A4290" s="7"/>
      <c r="B4290" s="12"/>
      <c r="C4290" s="30"/>
      <c r="D4290" s="31"/>
      <c r="E4290" s="31"/>
      <c r="F4290" s="29"/>
      <c r="G4290" s="31"/>
      <c r="H4290" s="31"/>
      <c r="I4290" s="31"/>
      <c r="J4290" s="31"/>
      <c r="K4290" s="31"/>
      <c r="L4290" s="31"/>
      <c r="M4290" s="31"/>
      <c r="N4290" s="31"/>
      <c r="O4290" s="31"/>
      <c r="P4290" s="32"/>
      <c r="Q4290" s="14"/>
      <c r="R4290" s="11"/>
    </row>
    <row r="4291" s="1" customFormat="1" ht="9.95" customHeight="1" spans="1:19">
      <c r="A4291" s="7"/>
      <c r="B4291" s="12"/>
      <c r="C4291" s="33"/>
      <c r="D4291" s="29"/>
      <c r="E4291" s="29"/>
      <c r="F4291" s="29"/>
      <c r="G4291" s="29"/>
      <c r="H4291" s="29"/>
      <c r="I4291" s="29"/>
      <c r="J4291" s="29"/>
      <c r="K4291" s="29"/>
      <c r="L4291" s="29"/>
      <c r="M4291" s="29"/>
      <c r="N4291" s="29"/>
      <c r="O4291" s="29"/>
      <c r="P4291" s="19"/>
      <c r="Q4291" s="14"/>
      <c r="R4291" s="11"/>
    </row>
    <row r="4292" s="1" customFormat="1" ht="9.95" customHeight="1" spans="1:19">
      <c r="A4292" s="7"/>
      <c r="B4292" s="12"/>
      <c r="C4292" s="33"/>
      <c r="D4292" s="29"/>
      <c r="E4292" s="29"/>
      <c r="F4292" s="29"/>
      <c r="G4292" s="29"/>
      <c r="H4292" s="29"/>
      <c r="I4292" s="29"/>
      <c r="J4292" s="29"/>
      <c r="K4292" s="29"/>
      <c r="L4292" s="29"/>
      <c r="M4292" s="29"/>
      <c r="N4292" s="29"/>
      <c r="O4292" s="29"/>
      <c r="P4292" s="19"/>
      <c r="Q4292" s="14"/>
      <c r="R4292" s="11"/>
    </row>
    <row r="4293" s="1" customFormat="1" ht="21.95" customHeight="1" spans="1:19">
      <c r="A4293" s="7"/>
      <c r="B4293" s="12"/>
      <c r="C4293" s="210"/>
      <c r="D4293" s="211"/>
      <c r="E4293" s="211"/>
      <c r="F4293" s="211"/>
      <c r="G4293" s="211"/>
      <c r="H4293" s="211"/>
      <c r="I4293" s="211"/>
      <c r="J4293" s="211"/>
      <c r="K4293" s="211"/>
      <c r="L4293" s="211"/>
      <c r="M4293" s="211"/>
      <c r="N4293" s="211"/>
      <c r="O4293" s="211"/>
      <c r="P4293" s="212"/>
      <c r="Q4293" s="14"/>
      <c r="R4293" s="11"/>
      <c r="S4293" s="2"/>
    </row>
    <row r="4294" s="1" customFormat="1" ht="21.95" customHeight="1" spans="1:19">
      <c r="A4294" s="7"/>
      <c r="B4294" s="12"/>
      <c r="C4294" s="33"/>
      <c r="D4294" s="207" t="s">
        <v>722</v>
      </c>
      <c r="E4294" s="207"/>
      <c r="F4294" s="207"/>
      <c r="G4294" s="207"/>
      <c r="H4294" s="54">
        <f>IFERROR(VLOOKUP(F4262,PASHEET!$A$4:$CJ$103,88,0),"")</f>
        <v>0</v>
      </c>
      <c r="I4294" s="54"/>
      <c r="J4294" s="29"/>
      <c r="K4294" s="29"/>
      <c r="L4294" s="29"/>
      <c r="M4294" s="29"/>
      <c r="N4294" s="29"/>
      <c r="O4294" s="29"/>
      <c r="P4294" s="19"/>
      <c r="Q4294" s="14"/>
      <c r="R4294" s="11"/>
    </row>
    <row r="4295" s="1" customFormat="1" ht="21.95" customHeight="1" spans="1:19">
      <c r="A4295" s="7"/>
      <c r="B4295" s="12"/>
      <c r="C4295" s="213"/>
      <c r="D4295" s="207" t="s">
        <v>723</v>
      </c>
      <c r="E4295" s="207"/>
      <c r="F4295" s="207"/>
      <c r="G4295" s="207"/>
      <c r="H4295" s="54">
        <f>IFERROR(VLOOKUP(F4262,PASHEET!$A$4:$CJ$103,87,0),"")</f>
        <v>0</v>
      </c>
      <c r="I4295" s="54"/>
      <c r="J4295" s="214"/>
      <c r="K4295" s="214"/>
      <c r="L4295" s="207" t="s">
        <v>724</v>
      </c>
      <c r="M4295" s="207"/>
      <c r="N4295" s="117" t="str">
        <f>IF(F4262&gt;ENTRY!$D$24,"",IF(F4262&gt;0,L4286&amp;" / "&amp;600,""))</f>
        <v/>
      </c>
      <c r="O4295" s="117"/>
      <c r="P4295" s="215"/>
      <c r="Q4295" s="14"/>
      <c r="R4295" s="11"/>
    </row>
    <row r="4296" s="1" customFormat="1" ht="18" customHeight="1" spans="1:19">
      <c r="A4296" s="7"/>
      <c r="B4296" s="12"/>
      <c r="C4296" s="33"/>
      <c r="D4296" s="207" t="s">
        <v>725</v>
      </c>
      <c r="E4296" s="207"/>
      <c r="F4296" s="207"/>
      <c r="G4296" s="207"/>
      <c r="H4296" s="69" t="str">
        <f>IFERROR(IF(F4262&gt;0,H4295/H4294*100),"")</f>
        <v/>
      </c>
      <c r="I4296" s="69"/>
      <c r="J4296" s="29"/>
      <c r="K4296" s="29"/>
      <c r="L4296" s="207" t="s">
        <v>726</v>
      </c>
      <c r="M4296" s="207"/>
      <c r="N4296" s="216" t="str">
        <f>IF(F4262&gt;ENTRY!$D$24,"",IF(F4262&gt;0,L4286/600*100,""))</f>
        <v/>
      </c>
      <c r="O4296" s="216"/>
      <c r="P4296" s="19"/>
      <c r="Q4296" s="14"/>
      <c r="R4296" s="11"/>
    </row>
    <row r="4297" s="1" customFormat="1" ht="21.95" customHeight="1" spans="1:19">
      <c r="A4297" s="7"/>
      <c r="B4297" s="12"/>
      <c r="C4297" s="33"/>
      <c r="D4297" s="80"/>
      <c r="E4297" s="80"/>
      <c r="F4297" s="217"/>
      <c r="G4297" s="217"/>
      <c r="H4297" s="217"/>
      <c r="I4297" s="217"/>
      <c r="J4297" s="217"/>
      <c r="K4297" s="217"/>
      <c r="L4297" s="217"/>
      <c r="M4297" s="217"/>
      <c r="N4297" s="80"/>
      <c r="O4297" s="80"/>
      <c r="P4297" s="19"/>
      <c r="Q4297" s="14"/>
      <c r="R4297" s="11"/>
    </row>
    <row r="4298" s="1" customFormat="1" ht="21.95" customHeight="1" spans="1:19">
      <c r="A4298" s="7"/>
      <c r="B4298" s="12"/>
      <c r="C4298" s="33"/>
      <c r="D4298" s="80"/>
      <c r="E4298" s="218"/>
      <c r="F4298" s="218"/>
      <c r="G4298" s="218"/>
      <c r="H4298" s="80"/>
      <c r="I4298" s="218"/>
      <c r="J4298" s="218"/>
      <c r="K4298" s="218"/>
      <c r="L4298" s="218"/>
      <c r="M4298" s="80"/>
      <c r="N4298" s="219"/>
      <c r="O4298" s="219"/>
      <c r="P4298" s="19"/>
      <c r="Q4298" s="14"/>
      <c r="R4298" s="11"/>
    </row>
    <row r="4299" s="1" customFormat="1" ht="21.95" customHeight="1" spans="1:19">
      <c r="A4299" s="7"/>
      <c r="B4299" s="12"/>
      <c r="C4299" s="33"/>
      <c r="D4299" s="80"/>
      <c r="E4299" s="80"/>
      <c r="F4299" s="80"/>
      <c r="G4299" s="80"/>
      <c r="H4299" s="80"/>
      <c r="I4299" s="80"/>
      <c r="J4299" s="80"/>
      <c r="K4299" s="80"/>
      <c r="L4299" s="80"/>
      <c r="M4299" s="80"/>
      <c r="N4299" s="80"/>
      <c r="O4299" s="80"/>
      <c r="P4299" s="19"/>
      <c r="Q4299" s="14"/>
      <c r="R4299" s="11"/>
    </row>
    <row r="4300" s="1" customFormat="1" ht="21.95" customHeight="1" spans="1:19">
      <c r="A4300" s="7"/>
      <c r="B4300" s="12"/>
      <c r="C4300" s="33"/>
      <c r="D4300" s="218"/>
      <c r="E4300" s="218"/>
      <c r="F4300" s="218"/>
      <c r="G4300" s="218"/>
      <c r="H4300" s="218"/>
      <c r="I4300" s="218"/>
      <c r="J4300" s="218"/>
      <c r="K4300" s="218"/>
      <c r="L4300" s="218"/>
      <c r="M4300" s="80"/>
      <c r="N4300" s="217"/>
      <c r="O4300" s="217"/>
      <c r="P4300" s="85" t="s">
        <v>727</v>
      </c>
      <c r="Q4300" s="14"/>
      <c r="R4300" s="11"/>
    </row>
    <row r="4301" s="1" customFormat="1" ht="21.95" customHeight="1" spans="1:19">
      <c r="A4301" s="7"/>
      <c r="B4301" s="12"/>
      <c r="C4301" s="33"/>
      <c r="D4301" s="29"/>
      <c r="E4301" s="29"/>
      <c r="F4301" s="29"/>
      <c r="G4301" s="29"/>
      <c r="H4301" s="29"/>
      <c r="I4301" s="29"/>
      <c r="J4301" s="29"/>
      <c r="K4301" s="29"/>
      <c r="L4301" s="29"/>
      <c r="M4301" s="29"/>
      <c r="N4301" s="29"/>
      <c r="O4301" s="29"/>
      <c r="P4301" s="19"/>
      <c r="Q4301" s="14"/>
      <c r="R4301" s="11"/>
    </row>
    <row r="4302" s="1" customFormat="1" ht="21.95" customHeight="1" spans="1:19">
      <c r="A4302" s="7"/>
      <c r="B4302" s="12"/>
      <c r="C4302" s="33"/>
      <c r="D4302" s="29"/>
      <c r="E4302" s="29"/>
      <c r="F4302" s="29"/>
      <c r="G4302" s="29"/>
      <c r="H4302" s="29"/>
      <c r="I4302" s="29"/>
      <c r="J4302" s="29"/>
      <c r="K4302" s="29"/>
      <c r="L4302" s="29"/>
      <c r="M4302" s="29"/>
      <c r="N4302" s="29"/>
      <c r="O4302" s="29"/>
      <c r="P4302" s="19"/>
      <c r="Q4302" s="14"/>
      <c r="R4302" s="11"/>
    </row>
    <row r="4303" s="1" customFormat="1" ht="21.95" customHeight="1" spans="1:19">
      <c r="A4303" s="7"/>
      <c r="B4303" s="12"/>
      <c r="C4303" s="33"/>
      <c r="D4303" s="29"/>
      <c r="E4303" s="29"/>
      <c r="F4303" s="29"/>
      <c r="G4303" s="29"/>
      <c r="H4303" s="29"/>
      <c r="I4303" s="29"/>
      <c r="J4303" s="29"/>
      <c r="K4303" s="29"/>
      <c r="L4303" s="29"/>
      <c r="M4303" s="29"/>
      <c r="N4303" s="29"/>
      <c r="O4303" s="29"/>
      <c r="P4303" s="19"/>
      <c r="Q4303" s="14"/>
      <c r="R4303" s="11"/>
    </row>
    <row r="4304" s="1" customFormat="1" ht="21.95" customHeight="1" spans="1:19">
      <c r="A4304" s="7"/>
      <c r="B4304" s="12"/>
      <c r="C4304" s="33"/>
      <c r="D4304" s="29"/>
      <c r="E4304" s="29"/>
      <c r="F4304" s="29"/>
      <c r="G4304" s="29"/>
      <c r="H4304" s="29"/>
      <c r="I4304" s="29"/>
      <c r="J4304" s="29"/>
      <c r="K4304" s="29"/>
      <c r="L4304" s="29"/>
      <c r="M4304" s="29"/>
      <c r="N4304" s="29"/>
      <c r="O4304" s="29"/>
      <c r="P4304" s="19"/>
      <c r="Q4304" s="14"/>
      <c r="R4304" s="11"/>
    </row>
    <row r="4305" s="1" customFormat="1" ht="21.95" customHeight="1" spans="1:18">
      <c r="A4305" s="7"/>
      <c r="B4305" s="12"/>
      <c r="C4305" s="33"/>
      <c r="D4305" s="29"/>
      <c r="E4305" s="29"/>
      <c r="F4305" s="29"/>
      <c r="G4305" s="29"/>
      <c r="H4305" s="29"/>
      <c r="I4305" s="29"/>
      <c r="J4305" s="29"/>
      <c r="K4305" s="29"/>
      <c r="L4305" s="29"/>
      <c r="M4305" s="29"/>
      <c r="N4305" s="29"/>
      <c r="O4305" s="29"/>
      <c r="P4305" s="19"/>
      <c r="Q4305" s="14"/>
      <c r="R4305" s="11"/>
    </row>
    <row r="4306" s="1" customFormat="1" ht="21.95" customHeight="1" spans="1:18">
      <c r="A4306" s="7"/>
      <c r="B4306" s="12"/>
      <c r="C4306" s="33"/>
      <c r="D4306" s="80" t="s">
        <v>728</v>
      </c>
      <c r="E4306" s="220">
        <f>ENTRY!$D$27</f>
        <v>46102</v>
      </c>
      <c r="F4306" s="220"/>
      <c r="G4306" s="29"/>
      <c r="H4306" s="29"/>
      <c r="I4306" s="221" t="s">
        <v>729</v>
      </c>
      <c r="J4306" s="153"/>
      <c r="K4306" s="29"/>
      <c r="L4306" s="29"/>
      <c r="M4306" s="87" t="s">
        <v>730</v>
      </c>
      <c r="N4306" s="87"/>
      <c r="O4306" s="87"/>
      <c r="P4306" s="19"/>
      <c r="Q4306" s="14"/>
      <c r="R4306" s="11"/>
    </row>
    <row r="4307" s="1" customFormat="1" ht="21.95" customHeight="1" spans="1:18">
      <c r="A4307" s="7"/>
      <c r="B4307" s="12"/>
      <c r="C4307" s="33"/>
      <c r="D4307" s="80" t="s">
        <v>731</v>
      </c>
      <c r="E4307" s="88" t="str">
        <f>PROPER(ENTRY!$D$28)</f>
        <v>New Delhi</v>
      </c>
      <c r="F4307" s="88"/>
      <c r="G4307" s="29"/>
      <c r="H4307" s="29"/>
      <c r="I4307" s="153"/>
      <c r="J4307" s="153"/>
      <c r="K4307" s="29"/>
      <c r="L4307" s="29"/>
      <c r="M4307" s="79" t="s">
        <v>732</v>
      </c>
      <c r="N4307" s="79"/>
      <c r="O4307" s="79"/>
      <c r="P4307" s="19"/>
      <c r="Q4307" s="14"/>
      <c r="R4307" s="11"/>
    </row>
    <row r="4308" s="1" customFormat="1" ht="21.95" customHeight="1" spans="1:18">
      <c r="A4308" s="7"/>
      <c r="B4308" s="12"/>
      <c r="C4308" s="90"/>
      <c r="D4308" s="91"/>
      <c r="E4308" s="91"/>
      <c r="F4308" s="91"/>
      <c r="G4308" s="91"/>
      <c r="H4308" s="91"/>
      <c r="I4308" s="91"/>
      <c r="J4308" s="91"/>
      <c r="K4308" s="91"/>
      <c r="L4308" s="91"/>
      <c r="M4308" s="91"/>
      <c r="N4308" s="91"/>
      <c r="O4308" s="91"/>
      <c r="P4308" s="92"/>
      <c r="Q4308" s="14"/>
      <c r="R4308" s="11"/>
    </row>
    <row r="4309" s="1" customFormat="1" ht="5.1" customHeight="1" spans="1:18">
      <c r="A4309" s="7"/>
      <c r="B4309" s="90"/>
      <c r="C4309" s="91"/>
      <c r="D4309" s="91"/>
      <c r="E4309" s="91"/>
      <c r="F4309" s="91"/>
      <c r="G4309" s="91"/>
      <c r="H4309" s="91"/>
      <c r="I4309" s="91"/>
      <c r="J4309" s="91"/>
      <c r="K4309" s="91"/>
      <c r="L4309" s="91"/>
      <c r="M4309" s="91"/>
      <c r="N4309" s="91"/>
      <c r="O4309" s="91"/>
      <c r="P4309" s="91"/>
      <c r="Q4309" s="92"/>
      <c r="R4309" s="11"/>
    </row>
    <row r="4310" s="1" customFormat="1" ht="5.1" customHeight="1" spans="1:18">
      <c r="A4310" s="93"/>
      <c r="B4310" s="94"/>
      <c r="C4310" s="94"/>
      <c r="D4310" s="94"/>
      <c r="E4310" s="94"/>
      <c r="F4310" s="94"/>
      <c r="G4310" s="94"/>
      <c r="H4310" s="94"/>
      <c r="I4310" s="94"/>
      <c r="J4310" s="94"/>
      <c r="K4310" s="94"/>
      <c r="L4310" s="94"/>
      <c r="M4310" s="94"/>
      <c r="N4310" s="94"/>
      <c r="O4310" s="94"/>
      <c r="P4310" s="94"/>
      <c r="Q4310" s="94"/>
      <c r="R4310" s="95"/>
    </row>
    <row r="4311" s="1" customFormat="1" ht="21.95" customHeight="1"/>
    <row r="4312" ht="15.15"/>
    <row r="4313" s="1" customFormat="1" ht="5.1" customHeight="1" spans="1:18">
      <c r="A4313" s="4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  <c r="O4313" s="5"/>
      <c r="P4313" s="5"/>
      <c r="Q4313" s="5"/>
      <c r="R4313" s="6"/>
    </row>
    <row r="4314" s="1" customFormat="1" ht="15" customHeight="1" spans="1:18">
      <c r="A4314" s="7"/>
      <c r="B4314" s="8"/>
      <c r="C4314" s="9"/>
      <c r="D4314" s="9"/>
      <c r="E4314" s="9"/>
      <c r="F4314" s="9"/>
      <c r="G4314" s="9"/>
      <c r="H4314" s="9"/>
      <c r="I4314" s="9"/>
      <c r="J4314" s="9"/>
      <c r="K4314" s="9"/>
      <c r="L4314" s="9"/>
      <c r="M4314" s="9"/>
      <c r="N4314" s="9"/>
      <c r="O4314" s="9"/>
      <c r="P4314" s="9"/>
      <c r="Q4314" s="10"/>
      <c r="R4314" s="11"/>
    </row>
    <row r="4315" s="1" customFormat="1" ht="21.95" customHeight="1" spans="1:18">
      <c r="A4315" s="7"/>
      <c r="B4315" s="12"/>
      <c r="C4315" s="13" t="s">
        <v>7</v>
      </c>
      <c r="D4315" s="13"/>
      <c r="E4315" s="13"/>
      <c r="F4315" s="13"/>
      <c r="G4315" s="13"/>
      <c r="H4315" s="13"/>
      <c r="I4315" s="13"/>
      <c r="J4315" s="13"/>
      <c r="K4315" s="13"/>
      <c r="L4315" s="13"/>
      <c r="M4315" s="13"/>
      <c r="N4315" s="13"/>
      <c r="O4315" s="13"/>
      <c r="P4315" s="13"/>
      <c r="Q4315" s="14"/>
      <c r="R4315" s="11"/>
    </row>
    <row r="4316" s="1" customFormat="1" ht="21.95" customHeight="1" spans="1:18">
      <c r="A4316" s="7"/>
      <c r="B4316" s="1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14"/>
      <c r="R4316" s="11"/>
    </row>
    <row r="4317" s="1" customFormat="1" ht="21.95" customHeight="1" spans="1:18">
      <c r="A4317" s="7"/>
      <c r="B4317" s="12"/>
      <c r="C4317" s="15" t="str">
        <f>"SESSION-"&amp;ENTRY!$D$11</f>
        <v>SESSION-2026-27</v>
      </c>
      <c r="D4317" s="15"/>
      <c r="E4317" s="15"/>
      <c r="F4317" s="15"/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  <c r="Q4317" s="14"/>
      <c r="R4317" s="11"/>
    </row>
    <row r="4318" s="1" customFormat="1" ht="21.95" customHeight="1" spans="1:18">
      <c r="A4318" s="7"/>
      <c r="B4318" s="12"/>
      <c r="C4318" s="2"/>
      <c r="D4318" s="2"/>
      <c r="E4318" s="2"/>
      <c r="F4318" s="16">
        <f>F4262+1</f>
        <v>78</v>
      </c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14"/>
      <c r="R4318" s="11"/>
    </row>
    <row r="4319" s="1" customFormat="1" ht="21.95" customHeight="1" spans="1:18">
      <c r="A4319" s="7"/>
      <c r="B4319" s="12"/>
      <c r="C4319" s="17" t="s">
        <v>392</v>
      </c>
      <c r="D4319" s="17"/>
      <c r="E4319" s="17"/>
      <c r="F4319" s="18" t="str">
        <f>IF(F4318&gt;0,ENTRY!$D$6,"")</f>
        <v>MCP NITHARI NO 1 BOYS</v>
      </c>
      <c r="G4319" s="18"/>
      <c r="H4319" s="18"/>
      <c r="I4319" s="18"/>
      <c r="J4319" s="18"/>
      <c r="K4319" s="18"/>
      <c r="L4319" s="18"/>
      <c r="M4319" s="18"/>
      <c r="N4319" s="18"/>
      <c r="O4319" s="18"/>
      <c r="P4319" s="18"/>
      <c r="Q4319" s="14"/>
      <c r="R4319" s="11"/>
    </row>
    <row r="4320" s="1" customFormat="1" ht="21.95" customHeight="1" spans="1:18">
      <c r="A4320" s="7"/>
      <c r="B4320" s="12"/>
      <c r="C4320" s="17" t="s">
        <v>393</v>
      </c>
      <c r="D4320" s="17"/>
      <c r="E4320" s="17"/>
      <c r="F4320" s="18">
        <f>IF(F4318&gt;0,ENTRY!$D$7,"")</f>
        <v>0</v>
      </c>
      <c r="G4320" s="18"/>
      <c r="H4320" s="20" t="s">
        <v>702</v>
      </c>
      <c r="I4320" s="20"/>
      <c r="J4320" s="21">
        <f>IF(F4318&gt;0,ENTRY!$D$10,"")</f>
        <v>40</v>
      </c>
      <c r="K4320" s="20" t="s">
        <v>703</v>
      </c>
      <c r="L4320" s="22" t="str">
        <f>IF(F4318&gt;0,ENTRY!$D$5,"")</f>
        <v>ROHINI ZONE</v>
      </c>
      <c r="M4320" s="22"/>
      <c r="N4320" s="22"/>
      <c r="O4320" s="22"/>
      <c r="P4320" s="22"/>
      <c r="Q4320" s="14"/>
      <c r="R4320" s="11"/>
    </row>
    <row r="4321" s="1" customFormat="1" ht="21.95" customHeight="1" spans="1:18">
      <c r="A4321" s="7"/>
      <c r="B4321" s="12"/>
      <c r="C4321" s="17" t="s">
        <v>706</v>
      </c>
      <c r="D4321" s="17"/>
      <c r="E4321" s="17"/>
      <c r="F4321" s="23">
        <f>IFERROR(VLOOKUP(F4318,STUDENT!$A$2:$BP$101,5,0),"")</f>
        <v>0</v>
      </c>
      <c r="G4321" s="23"/>
      <c r="H4321" s="23"/>
      <c r="I4321" s="23"/>
      <c r="J4321" s="23"/>
      <c r="K4321" s="23"/>
      <c r="L4321" s="20" t="s">
        <v>707</v>
      </c>
      <c r="M4321" s="20"/>
      <c r="N4321" s="24" t="str">
        <f>IF(F4318&gt;0,ENTRY!$D$20&amp;"-"&amp;ENTRY!$D$21,"")</f>
        <v>III-A</v>
      </c>
      <c r="O4321" s="24"/>
      <c r="P4321" s="24"/>
      <c r="Q4321" s="14"/>
      <c r="R4321" s="11"/>
    </row>
    <row r="4322" s="1" customFormat="1" ht="21.95" customHeight="1" spans="1:18">
      <c r="A4322" s="7"/>
      <c r="B4322" s="12"/>
      <c r="C4322" s="17" t="s">
        <v>708</v>
      </c>
      <c r="D4322" s="17"/>
      <c r="E4322" s="17"/>
      <c r="F4322" s="25">
        <f>IFERROR(VLOOKUP(F4318,STUDENT!$A$2:$BP$101,6,0),"")</f>
        <v>0</v>
      </c>
      <c r="G4322" s="25"/>
      <c r="H4322" s="26" t="s">
        <v>709</v>
      </c>
      <c r="I4322" s="27" t="str">
        <f>IFERROR(VLOOKUP(F4318,STUDENT!$A$2:$BP$101,59,0),"")</f>
        <v/>
      </c>
      <c r="J4322" s="27"/>
      <c r="K4322" s="20" t="s">
        <v>710</v>
      </c>
      <c r="L4322" s="20"/>
      <c r="M4322" s="28">
        <f>IFERROR(VLOOKUP(F4318,STUDENT!$A$2:$BP$101,20,0),"")</f>
        <v>0</v>
      </c>
      <c r="N4322" s="28"/>
      <c r="O4322" s="28"/>
      <c r="P4322" s="28"/>
      <c r="Q4322" s="14"/>
      <c r="R4322" s="11"/>
    </row>
    <row r="4323" s="1" customFormat="1" ht="21.95" customHeight="1" spans="1:18">
      <c r="A4323" s="7"/>
      <c r="B4323" s="12"/>
      <c r="C4323" s="17" t="s">
        <v>711</v>
      </c>
      <c r="D4323" s="17"/>
      <c r="E4323" s="17"/>
      <c r="F4323" s="23">
        <f>IFERROR(VLOOKUP(F4318,STUDENT!$A$2:$BP$101,9,0),"")</f>
        <v>0</v>
      </c>
      <c r="G4323" s="23"/>
      <c r="H4323" s="23"/>
      <c r="I4323" s="23"/>
      <c r="J4323" s="17" t="s">
        <v>620</v>
      </c>
      <c r="K4323" s="17"/>
      <c r="L4323" s="23">
        <f>IFERROR(VLOOKUP(F4318,STUDENT!$A$2:$BP$101,8,0),"")</f>
        <v>0</v>
      </c>
      <c r="M4323" s="23"/>
      <c r="N4323" s="23"/>
      <c r="O4323" s="23"/>
      <c r="P4323" s="23"/>
      <c r="Q4323" s="14"/>
      <c r="R4323" s="11"/>
    </row>
    <row r="4324" s="1" customFormat="1" ht="21.95" customHeight="1" spans="1:18">
      <c r="A4324" s="7"/>
      <c r="B4324" s="12"/>
      <c r="C4324" s="17" t="s">
        <v>712</v>
      </c>
      <c r="D4324" s="17"/>
      <c r="E4324" s="17"/>
      <c r="F4324" s="23">
        <f>IFERROR(VLOOKUP(F4318,STUDENT!$A$2:$BP$101,22,0),"")</f>
        <v>0</v>
      </c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14"/>
      <c r="R4324" s="11"/>
    </row>
    <row r="4325" s="1" customFormat="1" ht="9.95" customHeight="1" spans="1:18">
      <c r="A4325" s="7"/>
      <c r="B4325" s="12"/>
      <c r="C4325" s="29"/>
      <c r="D4325" s="29"/>
      <c r="E4325" s="29"/>
      <c r="F4325" s="29"/>
      <c r="G4325" s="29"/>
      <c r="H4325" s="29"/>
      <c r="I4325" s="29"/>
      <c r="J4325" s="29"/>
      <c r="K4325" s="29"/>
      <c r="L4325" s="29"/>
      <c r="M4325" s="29"/>
      <c r="N4325" s="29"/>
      <c r="O4325" s="29"/>
      <c r="P4325" s="29"/>
      <c r="Q4325" s="14"/>
      <c r="R4325" s="11"/>
    </row>
    <row r="4326" s="1" customFormat="1" ht="9.95" customHeight="1" spans="1:18">
      <c r="A4326" s="7"/>
      <c r="B4326" s="12"/>
      <c r="C4326" s="30"/>
      <c r="D4326" s="31"/>
      <c r="E4326" s="31"/>
      <c r="F4326" s="31"/>
      <c r="G4326" s="31"/>
      <c r="H4326" s="31"/>
      <c r="I4326" s="31"/>
      <c r="J4326" s="31"/>
      <c r="K4326" s="31"/>
      <c r="L4326" s="31"/>
      <c r="M4326" s="31"/>
      <c r="N4326" s="31"/>
      <c r="O4326" s="31"/>
      <c r="P4326" s="32"/>
      <c r="Q4326" s="14"/>
      <c r="R4326" s="11"/>
    </row>
    <row r="4327" s="1" customFormat="1" ht="21.95" customHeight="1" spans="1:18">
      <c r="A4327" s="7"/>
      <c r="B4327" s="12"/>
      <c r="C4327" s="33"/>
      <c r="D4327" s="34" t="s">
        <v>713</v>
      </c>
      <c r="E4327" s="20" t="s">
        <v>714</v>
      </c>
      <c r="F4327" s="35" t="str">
        <f>"Level - "&amp;IFERROR(VLOOKUP(F4318,FLN!$A$4:$K$103,9,0),"")</f>
        <v>Level - </v>
      </c>
      <c r="G4327" s="36"/>
      <c r="H4327" s="37" t="s">
        <v>715</v>
      </c>
      <c r="I4327" s="20"/>
      <c r="J4327" s="35" t="str">
        <f>"Level - "&amp;IFERROR(VLOOKUP(F4318,FLN!$A$4:$K$103,11,0),"")</f>
        <v>Level - </v>
      </c>
      <c r="K4327" s="36"/>
      <c r="L4327" s="37" t="s">
        <v>408</v>
      </c>
      <c r="M4327" s="20"/>
      <c r="N4327" s="35" t="str">
        <f>"Level - "&amp;IFERROR(VLOOKUP(F4318,FLN!$A$4:$K$103,10,0),"")</f>
        <v>Level - </v>
      </c>
      <c r="O4327" s="36"/>
      <c r="P4327" s="19"/>
      <c r="Q4327" s="14"/>
      <c r="R4327" s="11"/>
    </row>
    <row r="4328" s="1" customFormat="1" ht="21.95" customHeight="1" spans="1:18">
      <c r="A4328" s="7"/>
      <c r="B4328" s="12"/>
      <c r="C4328" s="33"/>
      <c r="D4328" s="38"/>
      <c r="E4328" s="20" t="s">
        <v>716</v>
      </c>
      <c r="F4328" s="18" t="str">
        <f>IF(L4342&gt;197,"PERFORMED WELL","")</f>
        <v/>
      </c>
      <c r="G4328" s="18"/>
      <c r="H4328" s="18"/>
      <c r="I4328" s="18"/>
      <c r="J4328" s="18"/>
      <c r="K4328" s="18"/>
      <c r="L4328" s="18"/>
      <c r="M4328" s="18"/>
      <c r="N4328" s="18"/>
      <c r="O4328" s="18"/>
      <c r="P4328" s="19"/>
      <c r="Q4328" s="14"/>
      <c r="R4328" s="11"/>
    </row>
    <row r="4329" s="1" customFormat="1" ht="9.95" customHeight="1" spans="1:18">
      <c r="A4329" s="7"/>
      <c r="B4329" s="12"/>
      <c r="C4329" s="39"/>
      <c r="D4329" s="40"/>
      <c r="E4329" s="40"/>
      <c r="F4329" s="40"/>
      <c r="G4329" s="40"/>
      <c r="H4329" s="40"/>
      <c r="I4329" s="40"/>
      <c r="J4329" s="40"/>
      <c r="K4329" s="40"/>
      <c r="L4329" s="40"/>
      <c r="M4329" s="40"/>
      <c r="N4329" s="40"/>
      <c r="O4329" s="40"/>
      <c r="P4329" s="41"/>
      <c r="Q4329" s="14"/>
      <c r="R4329" s="11"/>
    </row>
    <row r="4330" s="1" customFormat="1" ht="9.95" customHeight="1" spans="1:18">
      <c r="A4330" s="7"/>
      <c r="B4330" s="12"/>
      <c r="C4330" s="29"/>
      <c r="D4330" s="29"/>
      <c r="E4330" s="29"/>
      <c r="F4330" s="29"/>
      <c r="G4330" s="29"/>
      <c r="H4330" s="29"/>
      <c r="I4330" s="29"/>
      <c r="J4330" s="29"/>
      <c r="K4330" s="29"/>
      <c r="L4330" s="29"/>
      <c r="M4330" s="29"/>
      <c r="N4330" s="29"/>
      <c r="O4330" s="29"/>
      <c r="P4330" s="29"/>
      <c r="Q4330" s="14"/>
      <c r="R4330" s="11"/>
    </row>
    <row r="4331" s="1" customFormat="1" ht="9.95" customHeight="1" spans="1:18">
      <c r="A4331" s="7"/>
      <c r="B4331" s="12"/>
      <c r="C4331" s="30"/>
      <c r="D4331" s="31"/>
      <c r="E4331" s="31"/>
      <c r="F4331" s="31"/>
      <c r="G4331" s="31"/>
      <c r="H4331" s="31"/>
      <c r="I4331" s="31"/>
      <c r="J4331" s="31"/>
      <c r="K4331" s="31"/>
      <c r="L4331" s="31"/>
      <c r="M4331" s="31"/>
      <c r="N4331" s="31"/>
      <c r="O4331" s="31"/>
      <c r="P4331" s="32"/>
      <c r="Q4331" s="14"/>
      <c r="R4331" s="11"/>
    </row>
    <row r="4332" s="1" customFormat="1" ht="21.95" customHeight="1" spans="1:18">
      <c r="A4332" s="7"/>
      <c r="B4332" s="12"/>
      <c r="C4332" s="33"/>
      <c r="D4332" s="35"/>
      <c r="E4332" s="24"/>
      <c r="F4332" s="24"/>
      <c r="G4332" s="47" t="s">
        <v>717</v>
      </c>
      <c r="H4332" s="47"/>
      <c r="I4332" s="47"/>
      <c r="J4332" s="47"/>
      <c r="K4332" s="47"/>
      <c r="L4332" s="47"/>
      <c r="M4332" s="47"/>
      <c r="N4332" s="47"/>
      <c r="O4332" s="29"/>
      <c r="P4332" s="19"/>
      <c r="Q4332" s="14"/>
      <c r="R4332" s="11"/>
    </row>
    <row r="4333" s="1" customFormat="1" ht="21.95" customHeight="1" spans="1:18">
      <c r="A4333" s="7"/>
      <c r="B4333" s="12"/>
      <c r="C4333" s="33"/>
      <c r="D4333" s="47"/>
      <c r="E4333" s="47"/>
      <c r="F4333" s="47"/>
      <c r="G4333" s="47" t="s">
        <v>541</v>
      </c>
      <c r="H4333" s="47" t="s">
        <v>542</v>
      </c>
      <c r="I4333" s="47" t="s">
        <v>543</v>
      </c>
      <c r="J4333" s="47" t="s">
        <v>544</v>
      </c>
      <c r="K4333" s="47" t="s">
        <v>561</v>
      </c>
      <c r="L4333" s="47" t="s">
        <v>382</v>
      </c>
      <c r="M4333" s="49" t="s">
        <v>546</v>
      </c>
      <c r="N4333" s="49"/>
      <c r="O4333" s="29"/>
      <c r="P4333" s="19"/>
      <c r="Q4333" s="14"/>
      <c r="R4333" s="11"/>
    </row>
    <row r="4334" s="1" customFormat="1" ht="21.95" customHeight="1" spans="1:18">
      <c r="A4334" s="7"/>
      <c r="B4334" s="12"/>
      <c r="C4334" s="33"/>
      <c r="D4334" s="207" t="s">
        <v>652</v>
      </c>
      <c r="E4334" s="207"/>
      <c r="F4334" s="207"/>
      <c r="G4334" s="50">
        <v>10</v>
      </c>
      <c r="H4334" s="50">
        <v>10</v>
      </c>
      <c r="I4334" s="50">
        <v>10</v>
      </c>
      <c r="J4334" s="50">
        <v>10</v>
      </c>
      <c r="K4334" s="50">
        <v>60</v>
      </c>
      <c r="L4334" s="50">
        <v>100</v>
      </c>
      <c r="M4334" s="49"/>
      <c r="N4334" s="49"/>
      <c r="O4334" s="29"/>
      <c r="P4334" s="19"/>
      <c r="Q4334" s="14"/>
      <c r="R4334" s="11"/>
    </row>
    <row r="4335" s="1" customFormat="1" ht="21.95" customHeight="1" spans="1:18">
      <c r="A4335" s="7"/>
      <c r="B4335" s="12"/>
      <c r="C4335" s="33"/>
      <c r="D4335" s="117" t="s">
        <v>668</v>
      </c>
      <c r="E4335" s="117"/>
      <c r="F4335" s="117"/>
      <c r="G4335" s="54" t="str">
        <f>IFERROR(VLOOKUP(F4318,'1to4-2.1-RR'!$A$12:$BG$111,9,0),"")</f>
        <v/>
      </c>
      <c r="H4335" s="54" t="str">
        <f>IFERROR(VLOOKUP(F4318,'1to4-2.1-RR'!$A$12:$BG$111,10,0),"")</f>
        <v/>
      </c>
      <c r="I4335" s="54" t="str">
        <f>IFERROR(VLOOKUP(F4318,'1to4-2.1-RR'!$A$12:$BG$111,11,0),"")</f>
        <v/>
      </c>
      <c r="J4335" s="54" t="str">
        <f>IFERROR(VLOOKUP(F4318,'1to4-2.1-RR'!$A$12:$BG$111,12,0),"")</f>
        <v/>
      </c>
      <c r="K4335" s="54" t="str">
        <f>IFERROR(VLOOKUP(F4318,'1to4-2.1-RR'!$A$12:$BG$111,13,0),"")</f>
        <v/>
      </c>
      <c r="L4335" s="55">
        <f>SUM(G4335:K4335)</f>
        <v>0</v>
      </c>
      <c r="M4335" s="56" t="str">
        <f>IF(F4318&gt;ENTRY!$D$24,"",IF(L4335=0,"Ab",IF(L4335&gt;80,"A",IF(L4335&gt;60,"B",IF(L4335&gt;44,"C",IF(L4335&gt;=33,"D",IF(L4335&lt;=32,"E","")))))))</f>
        <v/>
      </c>
      <c r="N4335" s="56"/>
      <c r="O4335" s="29"/>
      <c r="P4335" s="19"/>
      <c r="Q4335" s="14"/>
      <c r="R4335" s="11"/>
    </row>
    <row r="4336" s="1" customFormat="1" ht="21.95" customHeight="1" spans="1:18">
      <c r="A4336" s="7"/>
      <c r="B4336" s="12"/>
      <c r="C4336" s="33"/>
      <c r="D4336" s="117" t="s">
        <v>513</v>
      </c>
      <c r="E4336" s="117"/>
      <c r="F4336" s="117"/>
      <c r="G4336" s="54" t="str">
        <f>IFERROR(VLOOKUP(F4318,'1to4-2.1-RR'!$A$12:$BG$111,16,0),"")</f>
        <v/>
      </c>
      <c r="H4336" s="54" t="str">
        <f>IFERROR(VLOOKUP(F4318,'1to4-2.1-RR'!$A$12:$BG$111,17,0),"")</f>
        <v/>
      </c>
      <c r="I4336" s="54" t="str">
        <f>IFERROR(VLOOKUP(F4318,'1to4-2.1-RR'!$A$12:$BG$111,18,0),"")</f>
        <v/>
      </c>
      <c r="J4336" s="54" t="str">
        <f>IFERROR(VLOOKUP(F4318,'1to4-2.1-RR'!$A$12:$BG$111,19,0),"")</f>
        <v/>
      </c>
      <c r="K4336" s="54" t="str">
        <f>IFERROR(VLOOKUP(F4318,'1to4-2.1-RR'!$A$12:$BG$111,20,0),"")</f>
        <v/>
      </c>
      <c r="L4336" s="55">
        <f t="shared" ref="L4336:L4341" si="154">SUM(G4336:K4336)</f>
        <v>0</v>
      </c>
      <c r="M4336" s="56" t="str">
        <f>IF(F4318&gt;ENTRY!$D$24,"",IF(L4336=0,"Ab",IF(L4336&gt;80,"A",IF(L4336&gt;60,"B",IF(L4336&gt;44,"C",IF(L4336&gt;=33,"D",IF(L4336&lt;=32,"E","")))))))</f>
        <v/>
      </c>
      <c r="N4336" s="56"/>
      <c r="O4336" s="29"/>
      <c r="P4336" s="19"/>
      <c r="Q4336" s="14"/>
      <c r="R4336" s="11"/>
    </row>
    <row r="4337" s="1" customFormat="1" ht="21.95" customHeight="1" spans="1:19">
      <c r="A4337" s="7"/>
      <c r="B4337" s="12"/>
      <c r="C4337" s="33"/>
      <c r="D4337" s="117" t="s">
        <v>718</v>
      </c>
      <c r="E4337" s="117"/>
      <c r="F4337" s="117"/>
      <c r="G4337" s="54" t="str">
        <f>IFERROR(VLOOKUP(F4318,'1to4-2.1-RR'!$A$12:$BG$111,23,0),"")</f>
        <v/>
      </c>
      <c r="H4337" s="54" t="str">
        <f>IFERROR(VLOOKUP(F4318,'1to4-2.1-RR'!$A$12:$BG$111,24,0),"")</f>
        <v/>
      </c>
      <c r="I4337" s="54" t="str">
        <f>IFERROR(VLOOKUP(F4318,'1to4-2.1-RR'!$A$12:$BG$111,25,0),"")</f>
        <v/>
      </c>
      <c r="J4337" s="54" t="str">
        <f>IFERROR(VLOOKUP(F4318,'1to4-2.1-RR'!$A$12:$BG$111,26,0),"")</f>
        <v/>
      </c>
      <c r="K4337" s="54" t="str">
        <f>IFERROR(VLOOKUP(F4318,'1to4-2.1-RR'!$A$12:$BG$111,27,0),"")</f>
        <v/>
      </c>
      <c r="L4337" s="55">
        <f t="shared" si="154"/>
        <v>0</v>
      </c>
      <c r="M4337" s="56" t="str">
        <f>IF(F4318&gt;ENTRY!$D$24,"",IF(L4337=0,"Ab",IF(L4337&gt;80,"A",IF(L4337&gt;60,"B",IF(L4337&gt;44,"C",IF(L4337&gt;=33,"D",IF(L4337&lt;=32,"E","")))))))</f>
        <v/>
      </c>
      <c r="N4337" s="56"/>
      <c r="O4337" s="29"/>
      <c r="P4337" s="19"/>
      <c r="Q4337" s="14"/>
      <c r="R4337" s="11"/>
    </row>
    <row r="4338" s="1" customFormat="1" ht="21.95" customHeight="1" spans="1:19">
      <c r="A4338" s="7"/>
      <c r="B4338" s="12"/>
      <c r="C4338" s="33"/>
      <c r="D4338" s="117" t="s">
        <v>719</v>
      </c>
      <c r="E4338" s="117"/>
      <c r="F4338" s="117"/>
      <c r="G4338" s="54" t="str">
        <f>IFERROR(VLOOKUP(F4318,'1to4-2.1-RR'!$A$12:$BG$111,30,0),"")</f>
        <v/>
      </c>
      <c r="H4338" s="54" t="str">
        <f>IFERROR(VLOOKUP(F4318,'1to4-2.1-RR'!$A$12:$BG$111,31,0),"")</f>
        <v/>
      </c>
      <c r="I4338" s="54" t="str">
        <f>IFERROR(VLOOKUP(F4318,'1to4-2.1-RR'!$A$12:$BG$111,32,0),"")</f>
        <v/>
      </c>
      <c r="J4338" s="54" t="str">
        <f>IFERROR(VLOOKUP(F4318,'1to4-2.1-RR'!$A$12:$BG$111,33,0),"")</f>
        <v/>
      </c>
      <c r="K4338" s="54" t="str">
        <f>IFERROR(VLOOKUP(F4318,'1to4-2.1-RR'!$A$12:$BG$111,34,0),"")</f>
        <v/>
      </c>
      <c r="L4338" s="55">
        <f t="shared" si="154"/>
        <v>0</v>
      </c>
      <c r="M4338" s="56" t="str">
        <f>IF(F4318&gt;ENTRY!$D$24,"",IF(L4338=0,"Ab",IF(L4338&gt;80,"A",IF(L4338&gt;60,"B",IF(L4338&gt;44,"C",IF(L4338&gt;=33,"D",IF(L4338&lt;=32,"E","")))))))</f>
        <v/>
      </c>
      <c r="N4338" s="56"/>
      <c r="O4338" s="29"/>
      <c r="P4338" s="19"/>
      <c r="Q4338" s="14"/>
      <c r="R4338" s="11"/>
    </row>
    <row r="4339" s="1" customFormat="1" ht="21.95" customHeight="1" spans="1:19">
      <c r="A4339" s="7"/>
      <c r="B4339" s="12"/>
      <c r="C4339" s="33"/>
      <c r="D4339" s="117" t="s">
        <v>548</v>
      </c>
      <c r="E4339" s="117"/>
      <c r="F4339" s="117"/>
      <c r="G4339" s="54" t="str">
        <f>IFERROR(VLOOKUP(F4318,'1to4-2.1-RR'!$A$12:$BG$111,37,0),"")</f>
        <v/>
      </c>
      <c r="H4339" s="54" t="str">
        <f>IFERROR(VLOOKUP(F4318,'1to4-2.1-RR'!$A$12:$BG$111,38,0),"")</f>
        <v/>
      </c>
      <c r="I4339" s="54" t="str">
        <f>IFERROR(VLOOKUP(F4318,'1to4-2.1-RR'!$A$12:$BG$111,39,0),"")</f>
        <v/>
      </c>
      <c r="J4339" s="54" t="str">
        <f>IFERROR(VLOOKUP(F4318,'1to4-2.1-RR'!$A$12:$BG$111,40,0),"")</f>
        <v/>
      </c>
      <c r="K4339" s="54" t="str">
        <f>IFERROR(VLOOKUP(F4318,'1to4-2.1-RR'!$A$12:$BG$111,41,0),"")</f>
        <v/>
      </c>
      <c r="L4339" s="55">
        <f t="shared" si="154"/>
        <v>0</v>
      </c>
      <c r="M4339" s="56" t="str">
        <f>IF(F4318&gt;ENTRY!$D$24,"",IF(L4339=0,"Ab",IF(L4339&gt;80,"A",IF(L4339&gt;60,"B",IF(L4339&gt;44,"C",IF(L4339&gt;=33,"D",IF(L4339&lt;=32,"E","")))))))</f>
        <v/>
      </c>
      <c r="N4339" s="56"/>
      <c r="O4339" s="29"/>
      <c r="P4339" s="19"/>
      <c r="Q4339" s="14"/>
      <c r="R4339" s="11"/>
    </row>
    <row r="4340" s="1" customFormat="1" ht="21.95" customHeight="1" spans="1:19">
      <c r="A4340" s="7"/>
      <c r="B4340" s="12"/>
      <c r="C4340" s="33"/>
      <c r="D4340" s="117" t="s">
        <v>549</v>
      </c>
      <c r="E4340" s="117"/>
      <c r="F4340" s="117"/>
      <c r="G4340" s="54" t="str">
        <f>IFERROR(VLOOKUP(F4318,'1to4-2.1-RR'!$A$12:$BG$111,44,0),"")</f>
        <v/>
      </c>
      <c r="H4340" s="54" t="str">
        <f>IFERROR(VLOOKUP(F4318,'1to4-2.1-RR'!$A$12:$BG$111,45,0),"")</f>
        <v/>
      </c>
      <c r="I4340" s="54" t="str">
        <f>IFERROR(VLOOKUP(F4318,'1to4-2.1-RR'!$A$12:$BG$111,46,0),"")</f>
        <v/>
      </c>
      <c r="J4340" s="54" t="str">
        <f>IFERROR(VLOOKUP(F4318,'1to4-2.1-RR'!$A$12:$BG$111,47,0),"")</f>
        <v/>
      </c>
      <c r="K4340" s="54" t="str">
        <f>IFERROR(VLOOKUP(F4318,'1to4-2.1-RR'!$A$12:$BG$111,48,0),"")</f>
        <v/>
      </c>
      <c r="L4340" s="55">
        <f t="shared" si="154"/>
        <v>0</v>
      </c>
      <c r="M4340" s="56" t="str">
        <f>IF(F4318&gt;ENTRY!$D$24,"",IF(L4340=0,"Ab",IF(L4340&gt;80,"A",IF(L4340&gt;60,"B",IF(L4340&gt;44,"C",IF(L4340&gt;=33,"D",IF(L4340&lt;=32,"E","")))))))</f>
        <v/>
      </c>
      <c r="N4340" s="56"/>
      <c r="O4340" s="29"/>
      <c r="P4340" s="19"/>
      <c r="Q4340" s="14"/>
      <c r="R4340" s="11"/>
    </row>
    <row r="4341" s="1" customFormat="1" ht="21.95" customHeight="1" spans="1:19">
      <c r="A4341" s="7"/>
      <c r="B4341" s="12"/>
      <c r="C4341" s="33"/>
      <c r="D4341" s="117" t="s">
        <v>720</v>
      </c>
      <c r="E4341" s="117"/>
      <c r="F4341" s="117"/>
      <c r="G4341" s="54"/>
      <c r="H4341" s="54"/>
      <c r="I4341" s="54"/>
      <c r="J4341" s="54"/>
      <c r="K4341" s="54"/>
      <c r="L4341" s="55">
        <f t="shared" si="154"/>
        <v>0</v>
      </c>
      <c r="M4341" s="56" t="str">
        <f>IF(F4318&gt;ENTRY!$D$24,"",IF(L4341=0,"",IF(L4341&gt;79,"A",IF(L4341&gt;59,"B",IF(L4341&gt;44,"C",IF(L4341&gt;=33,"D",IF(L4341&lt;=32,"E","")))))))</f>
        <v/>
      </c>
      <c r="N4341" s="56"/>
      <c r="O4341" s="29"/>
      <c r="P4341" s="19"/>
      <c r="Q4341" s="14"/>
      <c r="R4341" s="11"/>
    </row>
    <row r="4342" s="1" customFormat="1" ht="21.95" customHeight="1" spans="1:19">
      <c r="A4342" s="7"/>
      <c r="B4342" s="12"/>
      <c r="C4342" s="33"/>
      <c r="D4342" s="207" t="s">
        <v>382</v>
      </c>
      <c r="E4342" s="207"/>
      <c r="F4342" s="207"/>
      <c r="G4342" s="54">
        <f t="shared" ref="G4342:L4342" si="155">IFERROR(SUM(G4335:G4341),"")</f>
        <v>0</v>
      </c>
      <c r="H4342" s="54">
        <f t="shared" si="155"/>
        <v>0</v>
      </c>
      <c r="I4342" s="54">
        <f t="shared" si="155"/>
        <v>0</v>
      </c>
      <c r="J4342" s="54">
        <f t="shared" si="155"/>
        <v>0</v>
      </c>
      <c r="K4342" s="54">
        <f t="shared" si="155"/>
        <v>0</v>
      </c>
      <c r="L4342" s="55">
        <f t="shared" si="155"/>
        <v>0</v>
      </c>
      <c r="M4342" s="61" t="str">
        <f>IF(F4318&gt;ENTRY!$D$24,"",IF(N4343="Ab","Ab",IF(N4343&gt;79.5,"A",IF(N4343&gt;59.5,"B",IF(N4343&gt;44.5,"C",IF(N4343&gt;=33,"D",IF(N4343&lt;33,"E","")))))))</f>
        <v/>
      </c>
      <c r="N4342" s="61"/>
      <c r="O4342" s="29"/>
      <c r="P4342" s="19"/>
      <c r="Q4342" s="14"/>
      <c r="R4342" s="11"/>
    </row>
    <row r="4343" s="1" customFormat="1" ht="21.95" customHeight="1" spans="1:19">
      <c r="A4343" s="7"/>
      <c r="B4343" s="12"/>
      <c r="C4343" s="33"/>
      <c r="D4343" s="63" t="s">
        <v>721</v>
      </c>
      <c r="E4343" s="63"/>
      <c r="F4343" s="63"/>
      <c r="G4343" s="63"/>
      <c r="H4343" s="63"/>
      <c r="I4343" s="63"/>
      <c r="J4343" s="63"/>
      <c r="K4343" s="63"/>
      <c r="L4343" s="63"/>
      <c r="M4343" s="209"/>
      <c r="N4343" s="64">
        <f>IF(L4342="Ab","Ab",L4342/6)</f>
        <v>0</v>
      </c>
      <c r="O4343" s="65"/>
      <c r="P4343" s="19"/>
      <c r="Q4343" s="14"/>
      <c r="R4343" s="11"/>
    </row>
    <row r="4344" s="1" customFormat="1" ht="21.95" customHeight="1" spans="1:19">
      <c r="A4344" s="7"/>
      <c r="B4344" s="12"/>
      <c r="C4344" s="33"/>
      <c r="D4344" s="29" t="s">
        <v>716</v>
      </c>
      <c r="E4344" s="18" t="str">
        <f>IFERROR(VLOOKUP(F4318,'1to4-2.1-RR'!$A$12:$BG$111,57,0),"")</f>
        <v/>
      </c>
      <c r="F4344" s="18"/>
      <c r="G4344" s="18"/>
      <c r="H4344" s="18"/>
      <c r="I4344" s="18"/>
      <c r="J4344" s="18"/>
      <c r="K4344" s="18"/>
      <c r="L4344" s="18"/>
      <c r="M4344" s="18"/>
      <c r="N4344" s="29"/>
      <c r="O4344" s="29"/>
      <c r="P4344" s="19"/>
      <c r="Q4344" s="14"/>
      <c r="R4344" s="11"/>
    </row>
    <row r="4345" s="1" customFormat="1" ht="9.95" customHeight="1" spans="1:19">
      <c r="A4345" s="7"/>
      <c r="B4345" s="12"/>
      <c r="C4345" s="39"/>
      <c r="D4345" s="40"/>
      <c r="E4345" s="40"/>
      <c r="F4345" s="40"/>
      <c r="G4345" s="40"/>
      <c r="H4345" s="40"/>
      <c r="I4345" s="40"/>
      <c r="J4345" s="40"/>
      <c r="K4345" s="40"/>
      <c r="L4345" s="40"/>
      <c r="M4345" s="40"/>
      <c r="N4345" s="40"/>
      <c r="O4345" s="40"/>
      <c r="P4345" s="41"/>
      <c r="Q4345" s="14"/>
      <c r="R4345" s="11"/>
    </row>
    <row r="4346" s="1" customFormat="1" ht="9.95" customHeight="1" spans="1:19">
      <c r="A4346" s="7"/>
      <c r="B4346" s="12"/>
      <c r="C4346" s="30"/>
      <c r="D4346" s="31"/>
      <c r="E4346" s="31"/>
      <c r="F4346" s="29"/>
      <c r="G4346" s="31"/>
      <c r="H4346" s="31"/>
      <c r="I4346" s="31"/>
      <c r="J4346" s="31"/>
      <c r="K4346" s="31"/>
      <c r="L4346" s="31"/>
      <c r="M4346" s="31"/>
      <c r="N4346" s="31"/>
      <c r="O4346" s="31"/>
      <c r="P4346" s="32"/>
      <c r="Q4346" s="14"/>
      <c r="R4346" s="11"/>
    </row>
    <row r="4347" s="1" customFormat="1" ht="9.95" customHeight="1" spans="1:19">
      <c r="A4347" s="7"/>
      <c r="B4347" s="12"/>
      <c r="C4347" s="33"/>
      <c r="D4347" s="29"/>
      <c r="E4347" s="29"/>
      <c r="F4347" s="29"/>
      <c r="G4347" s="29"/>
      <c r="H4347" s="29"/>
      <c r="I4347" s="29"/>
      <c r="J4347" s="29"/>
      <c r="K4347" s="29"/>
      <c r="L4347" s="29"/>
      <c r="M4347" s="29"/>
      <c r="N4347" s="29"/>
      <c r="O4347" s="29"/>
      <c r="P4347" s="19"/>
      <c r="Q4347" s="14"/>
      <c r="R4347" s="11"/>
    </row>
    <row r="4348" s="1" customFormat="1" ht="9.95" customHeight="1" spans="1:19">
      <c r="A4348" s="7"/>
      <c r="B4348" s="12"/>
      <c r="C4348" s="33"/>
      <c r="D4348" s="29"/>
      <c r="E4348" s="29"/>
      <c r="F4348" s="29"/>
      <c r="G4348" s="29"/>
      <c r="H4348" s="29"/>
      <c r="I4348" s="29"/>
      <c r="J4348" s="29"/>
      <c r="K4348" s="29"/>
      <c r="L4348" s="29"/>
      <c r="M4348" s="29"/>
      <c r="N4348" s="29"/>
      <c r="O4348" s="29"/>
      <c r="P4348" s="19"/>
      <c r="Q4348" s="14"/>
      <c r="R4348" s="11"/>
    </row>
    <row r="4349" s="1" customFormat="1" ht="21.95" customHeight="1" spans="1:19">
      <c r="A4349" s="7"/>
      <c r="B4349" s="12"/>
      <c r="C4349" s="210"/>
      <c r="D4349" s="211"/>
      <c r="E4349" s="211"/>
      <c r="F4349" s="211"/>
      <c r="G4349" s="211"/>
      <c r="H4349" s="211"/>
      <c r="I4349" s="211"/>
      <c r="J4349" s="211"/>
      <c r="K4349" s="211"/>
      <c r="L4349" s="211"/>
      <c r="M4349" s="211"/>
      <c r="N4349" s="211"/>
      <c r="O4349" s="211"/>
      <c r="P4349" s="212"/>
      <c r="Q4349" s="14"/>
      <c r="R4349" s="11"/>
      <c r="S4349" s="2"/>
    </row>
    <row r="4350" s="1" customFormat="1" ht="21.95" customHeight="1" spans="1:19">
      <c r="A4350" s="7"/>
      <c r="B4350" s="12"/>
      <c r="C4350" s="33"/>
      <c r="D4350" s="207" t="s">
        <v>722</v>
      </c>
      <c r="E4350" s="207"/>
      <c r="F4350" s="207"/>
      <c r="G4350" s="207"/>
      <c r="H4350" s="54">
        <f>IFERROR(VLOOKUP(F4318,PASHEET!$A$4:$CJ$103,88,0),"")</f>
        <v>0</v>
      </c>
      <c r="I4350" s="54"/>
      <c r="J4350" s="29"/>
      <c r="K4350" s="29"/>
      <c r="L4350" s="29"/>
      <c r="M4350" s="29"/>
      <c r="N4350" s="29"/>
      <c r="O4350" s="29"/>
      <c r="P4350" s="19"/>
      <c r="Q4350" s="14"/>
      <c r="R4350" s="11"/>
    </row>
    <row r="4351" s="1" customFormat="1" ht="21.95" customHeight="1" spans="1:19">
      <c r="A4351" s="7"/>
      <c r="B4351" s="12"/>
      <c r="C4351" s="213"/>
      <c r="D4351" s="207" t="s">
        <v>723</v>
      </c>
      <c r="E4351" s="207"/>
      <c r="F4351" s="207"/>
      <c r="G4351" s="207"/>
      <c r="H4351" s="54">
        <f>IFERROR(VLOOKUP(F4318,PASHEET!$A$4:$CJ$103,87,0),"")</f>
        <v>0</v>
      </c>
      <c r="I4351" s="54"/>
      <c r="J4351" s="214"/>
      <c r="K4351" s="214"/>
      <c r="L4351" s="207" t="s">
        <v>724</v>
      </c>
      <c r="M4351" s="207"/>
      <c r="N4351" s="117" t="str">
        <f>IF(F4318&gt;ENTRY!$D$24,"",IF(F4318&gt;0,L4342&amp;" / "&amp;600,""))</f>
        <v/>
      </c>
      <c r="O4351" s="117"/>
      <c r="P4351" s="215"/>
      <c r="Q4351" s="14"/>
      <c r="R4351" s="11"/>
    </row>
    <row r="4352" s="1" customFormat="1" ht="18" customHeight="1" spans="1:19">
      <c r="A4352" s="7"/>
      <c r="B4352" s="12"/>
      <c r="C4352" s="33"/>
      <c r="D4352" s="207" t="s">
        <v>725</v>
      </c>
      <c r="E4352" s="207"/>
      <c r="F4352" s="207"/>
      <c r="G4352" s="207"/>
      <c r="H4352" s="69" t="str">
        <f>IFERROR(IF(F4318&gt;0,H4351/H4350*100),"")</f>
        <v/>
      </c>
      <c r="I4352" s="69"/>
      <c r="J4352" s="29"/>
      <c r="K4352" s="29"/>
      <c r="L4352" s="207" t="s">
        <v>726</v>
      </c>
      <c r="M4352" s="207"/>
      <c r="N4352" s="216" t="str">
        <f>IF(F4318&gt;ENTRY!$D$24,"",IF(F4318&gt;0,L4342/600*100,""))</f>
        <v/>
      </c>
      <c r="O4352" s="216"/>
      <c r="P4352" s="19"/>
      <c r="Q4352" s="14"/>
      <c r="R4352" s="11"/>
    </row>
    <row r="4353" s="1" customFormat="1" ht="21.95" customHeight="1" spans="1:18">
      <c r="A4353" s="7"/>
      <c r="B4353" s="12"/>
      <c r="C4353" s="33"/>
      <c r="D4353" s="80"/>
      <c r="E4353" s="80"/>
      <c r="F4353" s="217"/>
      <c r="G4353" s="217"/>
      <c r="H4353" s="217"/>
      <c r="I4353" s="217"/>
      <c r="J4353" s="217"/>
      <c r="K4353" s="217"/>
      <c r="L4353" s="217"/>
      <c r="M4353" s="217"/>
      <c r="N4353" s="80"/>
      <c r="O4353" s="80"/>
      <c r="P4353" s="19"/>
      <c r="Q4353" s="14"/>
      <c r="R4353" s="11"/>
    </row>
    <row r="4354" s="1" customFormat="1" ht="21.95" customHeight="1" spans="1:18">
      <c r="A4354" s="7"/>
      <c r="B4354" s="12"/>
      <c r="C4354" s="33"/>
      <c r="D4354" s="80"/>
      <c r="E4354" s="218"/>
      <c r="F4354" s="218"/>
      <c r="G4354" s="218"/>
      <c r="H4354" s="80"/>
      <c r="I4354" s="218"/>
      <c r="J4354" s="218"/>
      <c r="K4354" s="218"/>
      <c r="L4354" s="218"/>
      <c r="M4354" s="80"/>
      <c r="N4354" s="219"/>
      <c r="O4354" s="219"/>
      <c r="P4354" s="19"/>
      <c r="Q4354" s="14"/>
      <c r="R4354" s="11"/>
    </row>
    <row r="4355" s="1" customFormat="1" ht="21.95" customHeight="1" spans="1:18">
      <c r="A4355" s="7"/>
      <c r="B4355" s="12"/>
      <c r="C4355" s="33"/>
      <c r="D4355" s="80"/>
      <c r="E4355" s="80"/>
      <c r="F4355" s="80"/>
      <c r="G4355" s="80"/>
      <c r="H4355" s="80"/>
      <c r="I4355" s="80"/>
      <c r="J4355" s="80"/>
      <c r="K4355" s="80"/>
      <c r="L4355" s="80"/>
      <c r="M4355" s="80"/>
      <c r="N4355" s="80"/>
      <c r="O4355" s="80"/>
      <c r="P4355" s="19"/>
      <c r="Q4355" s="14"/>
      <c r="R4355" s="11"/>
    </row>
    <row r="4356" s="1" customFormat="1" ht="21.95" customHeight="1" spans="1:18">
      <c r="A4356" s="7"/>
      <c r="B4356" s="12"/>
      <c r="C4356" s="33"/>
      <c r="D4356" s="218"/>
      <c r="E4356" s="218"/>
      <c r="F4356" s="218"/>
      <c r="G4356" s="218"/>
      <c r="H4356" s="218"/>
      <c r="I4356" s="218"/>
      <c r="J4356" s="218"/>
      <c r="K4356" s="218"/>
      <c r="L4356" s="218"/>
      <c r="M4356" s="80"/>
      <c r="N4356" s="217"/>
      <c r="O4356" s="217"/>
      <c r="P4356" s="85" t="s">
        <v>727</v>
      </c>
      <c r="Q4356" s="14"/>
      <c r="R4356" s="11"/>
    </row>
    <row r="4357" s="1" customFormat="1" ht="21.95" customHeight="1" spans="1:18">
      <c r="A4357" s="7"/>
      <c r="B4357" s="12"/>
      <c r="C4357" s="33"/>
      <c r="D4357" s="29"/>
      <c r="E4357" s="29"/>
      <c r="F4357" s="29"/>
      <c r="G4357" s="29"/>
      <c r="H4357" s="29"/>
      <c r="I4357" s="29"/>
      <c r="J4357" s="29"/>
      <c r="K4357" s="29"/>
      <c r="L4357" s="29"/>
      <c r="M4357" s="29"/>
      <c r="N4357" s="29"/>
      <c r="O4357" s="29"/>
      <c r="P4357" s="19"/>
      <c r="Q4357" s="14"/>
      <c r="R4357" s="11"/>
    </row>
    <row r="4358" s="1" customFormat="1" ht="21.95" customHeight="1" spans="1:18">
      <c r="A4358" s="7"/>
      <c r="B4358" s="12"/>
      <c r="C4358" s="33"/>
      <c r="D4358" s="29"/>
      <c r="E4358" s="29"/>
      <c r="F4358" s="29"/>
      <c r="G4358" s="29"/>
      <c r="H4358" s="29"/>
      <c r="I4358" s="29"/>
      <c r="J4358" s="29"/>
      <c r="K4358" s="29"/>
      <c r="L4358" s="29"/>
      <c r="M4358" s="29"/>
      <c r="N4358" s="29"/>
      <c r="O4358" s="29"/>
      <c r="P4358" s="19"/>
      <c r="Q4358" s="14"/>
      <c r="R4358" s="11"/>
    </row>
    <row r="4359" s="1" customFormat="1" ht="21.95" customHeight="1" spans="1:18">
      <c r="A4359" s="7"/>
      <c r="B4359" s="12"/>
      <c r="C4359" s="33"/>
      <c r="D4359" s="29"/>
      <c r="E4359" s="29"/>
      <c r="F4359" s="29"/>
      <c r="G4359" s="29"/>
      <c r="H4359" s="29"/>
      <c r="I4359" s="29"/>
      <c r="J4359" s="29"/>
      <c r="K4359" s="29"/>
      <c r="L4359" s="29"/>
      <c r="M4359" s="29"/>
      <c r="N4359" s="29"/>
      <c r="O4359" s="29"/>
      <c r="P4359" s="19"/>
      <c r="Q4359" s="14"/>
      <c r="R4359" s="11"/>
    </row>
    <row r="4360" s="1" customFormat="1" ht="21.95" customHeight="1" spans="1:18">
      <c r="A4360" s="7"/>
      <c r="B4360" s="12"/>
      <c r="C4360" s="33"/>
      <c r="D4360" s="29"/>
      <c r="E4360" s="29"/>
      <c r="F4360" s="29"/>
      <c r="G4360" s="29"/>
      <c r="H4360" s="29"/>
      <c r="I4360" s="29"/>
      <c r="J4360" s="29"/>
      <c r="K4360" s="29"/>
      <c r="L4360" s="29"/>
      <c r="M4360" s="29"/>
      <c r="N4360" s="29"/>
      <c r="O4360" s="29"/>
      <c r="P4360" s="19"/>
      <c r="Q4360" s="14"/>
      <c r="R4360" s="11"/>
    </row>
    <row r="4361" s="1" customFormat="1" ht="21.95" customHeight="1" spans="1:18">
      <c r="A4361" s="7"/>
      <c r="B4361" s="12"/>
      <c r="C4361" s="33"/>
      <c r="D4361" s="29"/>
      <c r="E4361" s="29"/>
      <c r="F4361" s="29"/>
      <c r="G4361" s="29"/>
      <c r="H4361" s="29"/>
      <c r="I4361" s="29"/>
      <c r="J4361" s="29"/>
      <c r="K4361" s="29"/>
      <c r="L4361" s="29"/>
      <c r="M4361" s="29"/>
      <c r="N4361" s="29"/>
      <c r="O4361" s="29"/>
      <c r="P4361" s="19"/>
      <c r="Q4361" s="14"/>
      <c r="R4361" s="11"/>
    </row>
    <row r="4362" s="1" customFormat="1" ht="21.95" customHeight="1" spans="1:18">
      <c r="A4362" s="7"/>
      <c r="B4362" s="12"/>
      <c r="C4362" s="33"/>
      <c r="D4362" s="80" t="s">
        <v>728</v>
      </c>
      <c r="E4362" s="220">
        <f>ENTRY!$D$27</f>
        <v>46102</v>
      </c>
      <c r="F4362" s="220"/>
      <c r="G4362" s="29"/>
      <c r="H4362" s="29"/>
      <c r="I4362" s="221" t="s">
        <v>729</v>
      </c>
      <c r="J4362" s="153"/>
      <c r="K4362" s="29"/>
      <c r="L4362" s="29"/>
      <c r="M4362" s="87" t="s">
        <v>730</v>
      </c>
      <c r="N4362" s="87"/>
      <c r="O4362" s="87"/>
      <c r="P4362" s="19"/>
      <c r="Q4362" s="14"/>
      <c r="R4362" s="11"/>
    </row>
    <row r="4363" s="1" customFormat="1" ht="21.95" customHeight="1" spans="1:18">
      <c r="A4363" s="7"/>
      <c r="B4363" s="12"/>
      <c r="C4363" s="33"/>
      <c r="D4363" s="80" t="s">
        <v>731</v>
      </c>
      <c r="E4363" s="88" t="str">
        <f>PROPER(ENTRY!$D$28)</f>
        <v>New Delhi</v>
      </c>
      <c r="F4363" s="88"/>
      <c r="G4363" s="29"/>
      <c r="H4363" s="29"/>
      <c r="I4363" s="153"/>
      <c r="J4363" s="153"/>
      <c r="K4363" s="29"/>
      <c r="L4363" s="29"/>
      <c r="M4363" s="79" t="s">
        <v>732</v>
      </c>
      <c r="N4363" s="79"/>
      <c r="O4363" s="79"/>
      <c r="P4363" s="19"/>
      <c r="Q4363" s="14"/>
      <c r="R4363" s="11"/>
    </row>
    <row r="4364" s="1" customFormat="1" ht="21.95" customHeight="1" spans="1:18">
      <c r="A4364" s="7"/>
      <c r="B4364" s="12"/>
      <c r="C4364" s="90"/>
      <c r="D4364" s="91"/>
      <c r="E4364" s="91"/>
      <c r="F4364" s="91"/>
      <c r="G4364" s="91"/>
      <c r="H4364" s="91"/>
      <c r="I4364" s="91"/>
      <c r="J4364" s="91"/>
      <c r="K4364" s="91"/>
      <c r="L4364" s="91"/>
      <c r="M4364" s="91"/>
      <c r="N4364" s="91"/>
      <c r="O4364" s="91"/>
      <c r="P4364" s="92"/>
      <c r="Q4364" s="14"/>
      <c r="R4364" s="11"/>
    </row>
    <row r="4365" s="1" customFormat="1" ht="5.1" customHeight="1" spans="1:18">
      <c r="A4365" s="7"/>
      <c r="B4365" s="90"/>
      <c r="C4365" s="91"/>
      <c r="D4365" s="91"/>
      <c r="E4365" s="91"/>
      <c r="F4365" s="91"/>
      <c r="G4365" s="91"/>
      <c r="H4365" s="91"/>
      <c r="I4365" s="91"/>
      <c r="J4365" s="91"/>
      <c r="K4365" s="91"/>
      <c r="L4365" s="91"/>
      <c r="M4365" s="91"/>
      <c r="N4365" s="91"/>
      <c r="O4365" s="91"/>
      <c r="P4365" s="91"/>
      <c r="Q4365" s="92"/>
      <c r="R4365" s="11"/>
    </row>
    <row r="4366" s="1" customFormat="1" ht="5.1" customHeight="1" spans="1:18">
      <c r="A4366" s="93"/>
      <c r="B4366" s="94"/>
      <c r="C4366" s="94"/>
      <c r="D4366" s="94"/>
      <c r="E4366" s="94"/>
      <c r="F4366" s="94"/>
      <c r="G4366" s="94"/>
      <c r="H4366" s="94"/>
      <c r="I4366" s="94"/>
      <c r="J4366" s="94"/>
      <c r="K4366" s="94"/>
      <c r="L4366" s="94"/>
      <c r="M4366" s="94"/>
      <c r="N4366" s="94"/>
      <c r="O4366" s="94"/>
      <c r="P4366" s="94"/>
      <c r="Q4366" s="94"/>
      <c r="R4366" s="95"/>
    </row>
    <row r="4367" s="1" customFormat="1" ht="21.95" customHeight="1"/>
    <row r="4368" ht="15.15"/>
    <row r="4369" s="1" customFormat="1" ht="5.1" customHeight="1" spans="1:18">
      <c r="A4369" s="4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  <c r="O4369" s="5"/>
      <c r="P4369" s="5"/>
      <c r="Q4369" s="5"/>
      <c r="R4369" s="6"/>
    </row>
    <row r="4370" s="1" customFormat="1" ht="15" customHeight="1" spans="1:18">
      <c r="A4370" s="7"/>
      <c r="B4370" s="8"/>
      <c r="C4370" s="9"/>
      <c r="D4370" s="9"/>
      <c r="E4370" s="9"/>
      <c r="F4370" s="9"/>
      <c r="G4370" s="9"/>
      <c r="H4370" s="9"/>
      <c r="I4370" s="9"/>
      <c r="J4370" s="9"/>
      <c r="K4370" s="9"/>
      <c r="L4370" s="9"/>
      <c r="M4370" s="9"/>
      <c r="N4370" s="9"/>
      <c r="O4370" s="9"/>
      <c r="P4370" s="9"/>
      <c r="Q4370" s="10"/>
      <c r="R4370" s="11"/>
    </row>
    <row r="4371" s="1" customFormat="1" ht="21.95" customHeight="1" spans="1:18">
      <c r="A4371" s="7"/>
      <c r="B4371" s="12"/>
      <c r="C4371" s="13" t="s">
        <v>7</v>
      </c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13"/>
      <c r="Q4371" s="14"/>
      <c r="R4371" s="11"/>
    </row>
    <row r="4372" s="1" customFormat="1" ht="21.95" customHeight="1" spans="1:18">
      <c r="A4372" s="7"/>
      <c r="B4372" s="1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14"/>
      <c r="R4372" s="11"/>
    </row>
    <row r="4373" s="1" customFormat="1" ht="21.95" customHeight="1" spans="1:18">
      <c r="A4373" s="7"/>
      <c r="B4373" s="12"/>
      <c r="C4373" s="15" t="str">
        <f>"SESSION-"&amp;ENTRY!$D$11</f>
        <v>SESSION-2026-27</v>
      </c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  <c r="Q4373" s="14"/>
      <c r="R4373" s="11"/>
    </row>
    <row r="4374" s="1" customFormat="1" ht="21.95" customHeight="1" spans="1:18">
      <c r="A4374" s="7"/>
      <c r="B4374" s="12"/>
      <c r="C4374" s="2"/>
      <c r="D4374" s="2"/>
      <c r="E4374" s="2"/>
      <c r="F4374" s="16">
        <f>F4318+1</f>
        <v>79</v>
      </c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14"/>
      <c r="R4374" s="11"/>
    </row>
    <row r="4375" s="1" customFormat="1" ht="21.95" customHeight="1" spans="1:18">
      <c r="A4375" s="7"/>
      <c r="B4375" s="12"/>
      <c r="C4375" s="17" t="s">
        <v>392</v>
      </c>
      <c r="D4375" s="17"/>
      <c r="E4375" s="17"/>
      <c r="F4375" s="18" t="str">
        <f>IF(F4374&gt;0,ENTRY!$D$6,"")</f>
        <v>MCP NITHARI NO 1 BOYS</v>
      </c>
      <c r="G4375" s="18"/>
      <c r="H4375" s="18"/>
      <c r="I4375" s="18"/>
      <c r="J4375" s="18"/>
      <c r="K4375" s="18"/>
      <c r="L4375" s="18"/>
      <c r="M4375" s="18"/>
      <c r="N4375" s="18"/>
      <c r="O4375" s="18"/>
      <c r="P4375" s="18"/>
      <c r="Q4375" s="14"/>
      <c r="R4375" s="11"/>
    </row>
    <row r="4376" s="1" customFormat="1" ht="21.95" customHeight="1" spans="1:18">
      <c r="A4376" s="7"/>
      <c r="B4376" s="12"/>
      <c r="C4376" s="17" t="s">
        <v>393</v>
      </c>
      <c r="D4376" s="17"/>
      <c r="E4376" s="17"/>
      <c r="F4376" s="18">
        <f>IF(F4374&gt;0,ENTRY!$D$7,"")</f>
        <v>0</v>
      </c>
      <c r="G4376" s="18"/>
      <c r="H4376" s="20" t="s">
        <v>702</v>
      </c>
      <c r="I4376" s="20"/>
      <c r="J4376" s="21">
        <f>IF(F4374&gt;0,ENTRY!$D$10,"")</f>
        <v>40</v>
      </c>
      <c r="K4376" s="20" t="s">
        <v>703</v>
      </c>
      <c r="L4376" s="22" t="str">
        <f>IF(F4374&gt;0,ENTRY!$D$5,"")</f>
        <v>ROHINI ZONE</v>
      </c>
      <c r="M4376" s="22"/>
      <c r="N4376" s="22"/>
      <c r="O4376" s="22"/>
      <c r="P4376" s="22"/>
      <c r="Q4376" s="14"/>
      <c r="R4376" s="11"/>
    </row>
    <row r="4377" s="1" customFormat="1" ht="21.95" customHeight="1" spans="1:18">
      <c r="A4377" s="7"/>
      <c r="B4377" s="12"/>
      <c r="C4377" s="17" t="s">
        <v>706</v>
      </c>
      <c r="D4377" s="17"/>
      <c r="E4377" s="17"/>
      <c r="F4377" s="23">
        <f>IFERROR(VLOOKUP(F4374,STUDENT!$A$2:$BP$101,5,0),"")</f>
        <v>0</v>
      </c>
      <c r="G4377" s="23"/>
      <c r="H4377" s="23"/>
      <c r="I4377" s="23"/>
      <c r="J4377" s="23"/>
      <c r="K4377" s="23"/>
      <c r="L4377" s="20" t="s">
        <v>707</v>
      </c>
      <c r="M4377" s="20"/>
      <c r="N4377" s="24" t="str">
        <f>IF(F4374&gt;0,ENTRY!$D$20&amp;"-"&amp;ENTRY!$D$21,"")</f>
        <v>III-A</v>
      </c>
      <c r="O4377" s="24"/>
      <c r="P4377" s="24"/>
      <c r="Q4377" s="14"/>
      <c r="R4377" s="11"/>
    </row>
    <row r="4378" s="1" customFormat="1" ht="21.95" customHeight="1" spans="1:18">
      <c r="A4378" s="7"/>
      <c r="B4378" s="12"/>
      <c r="C4378" s="17" t="s">
        <v>708</v>
      </c>
      <c r="D4378" s="17"/>
      <c r="E4378" s="17"/>
      <c r="F4378" s="25">
        <f>IFERROR(VLOOKUP(F4374,STUDENT!$A$2:$BP$101,6,0),"")</f>
        <v>0</v>
      </c>
      <c r="G4378" s="25"/>
      <c r="H4378" s="26" t="s">
        <v>709</v>
      </c>
      <c r="I4378" s="27" t="str">
        <f>IFERROR(VLOOKUP(F4374,STUDENT!$A$2:$BP$101,59,0),"")</f>
        <v/>
      </c>
      <c r="J4378" s="27"/>
      <c r="K4378" s="20" t="s">
        <v>710</v>
      </c>
      <c r="L4378" s="20"/>
      <c r="M4378" s="28">
        <f>IFERROR(VLOOKUP(F4374,STUDENT!$A$2:$BP$101,20,0),"")</f>
        <v>0</v>
      </c>
      <c r="N4378" s="28"/>
      <c r="O4378" s="28"/>
      <c r="P4378" s="28"/>
      <c r="Q4378" s="14"/>
      <c r="R4378" s="11"/>
    </row>
    <row r="4379" s="1" customFormat="1" ht="21.95" customHeight="1" spans="1:18">
      <c r="A4379" s="7"/>
      <c r="B4379" s="12"/>
      <c r="C4379" s="17" t="s">
        <v>711</v>
      </c>
      <c r="D4379" s="17"/>
      <c r="E4379" s="17"/>
      <c r="F4379" s="23">
        <f>IFERROR(VLOOKUP(F4374,STUDENT!$A$2:$BP$101,9,0),"")</f>
        <v>0</v>
      </c>
      <c r="G4379" s="23"/>
      <c r="H4379" s="23"/>
      <c r="I4379" s="23"/>
      <c r="J4379" s="17" t="s">
        <v>620</v>
      </c>
      <c r="K4379" s="17"/>
      <c r="L4379" s="23">
        <f>IFERROR(VLOOKUP(F4374,STUDENT!$A$2:$BP$101,8,0),"")</f>
        <v>0</v>
      </c>
      <c r="M4379" s="23"/>
      <c r="N4379" s="23"/>
      <c r="O4379" s="23"/>
      <c r="P4379" s="23"/>
      <c r="Q4379" s="14"/>
      <c r="R4379" s="11"/>
    </row>
    <row r="4380" s="1" customFormat="1" ht="21.95" customHeight="1" spans="1:18">
      <c r="A4380" s="7"/>
      <c r="B4380" s="12"/>
      <c r="C4380" s="17" t="s">
        <v>712</v>
      </c>
      <c r="D4380" s="17"/>
      <c r="E4380" s="17"/>
      <c r="F4380" s="23">
        <f>IFERROR(VLOOKUP(F4374,STUDENT!$A$2:$BP$101,22,0),"")</f>
        <v>0</v>
      </c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14"/>
      <c r="R4380" s="11"/>
    </row>
    <row r="4381" s="1" customFormat="1" ht="9.95" customHeight="1" spans="1:18">
      <c r="A4381" s="7"/>
      <c r="B4381" s="12"/>
      <c r="C4381" s="29"/>
      <c r="D4381" s="29"/>
      <c r="E4381" s="29"/>
      <c r="F4381" s="29"/>
      <c r="G4381" s="29"/>
      <c r="H4381" s="29"/>
      <c r="I4381" s="29"/>
      <c r="J4381" s="29"/>
      <c r="K4381" s="29"/>
      <c r="L4381" s="29"/>
      <c r="M4381" s="29"/>
      <c r="N4381" s="29"/>
      <c r="O4381" s="29"/>
      <c r="P4381" s="29"/>
      <c r="Q4381" s="14"/>
      <c r="R4381" s="11"/>
    </row>
    <row r="4382" s="1" customFormat="1" ht="9.95" customHeight="1" spans="1:18">
      <c r="A4382" s="7"/>
      <c r="B4382" s="12"/>
      <c r="C4382" s="30"/>
      <c r="D4382" s="31"/>
      <c r="E4382" s="31"/>
      <c r="F4382" s="31"/>
      <c r="G4382" s="31"/>
      <c r="H4382" s="31"/>
      <c r="I4382" s="31"/>
      <c r="J4382" s="31"/>
      <c r="K4382" s="31"/>
      <c r="L4382" s="31"/>
      <c r="M4382" s="31"/>
      <c r="N4382" s="31"/>
      <c r="O4382" s="31"/>
      <c r="P4382" s="32"/>
      <c r="Q4382" s="14"/>
      <c r="R4382" s="11"/>
    </row>
    <row r="4383" s="1" customFormat="1" ht="21.95" customHeight="1" spans="1:18">
      <c r="A4383" s="7"/>
      <c r="B4383" s="12"/>
      <c r="C4383" s="33"/>
      <c r="D4383" s="34" t="s">
        <v>713</v>
      </c>
      <c r="E4383" s="20" t="s">
        <v>714</v>
      </c>
      <c r="F4383" s="35" t="str">
        <f>"Level - "&amp;IFERROR(VLOOKUP(F4374,FLN!$A$4:$K$103,9,0),"")</f>
        <v>Level - </v>
      </c>
      <c r="G4383" s="36"/>
      <c r="H4383" s="37" t="s">
        <v>715</v>
      </c>
      <c r="I4383" s="20"/>
      <c r="J4383" s="35" t="str">
        <f>"Level - "&amp;IFERROR(VLOOKUP(F4374,FLN!$A$4:$K$103,11,0),"")</f>
        <v>Level - </v>
      </c>
      <c r="K4383" s="36"/>
      <c r="L4383" s="37" t="s">
        <v>408</v>
      </c>
      <c r="M4383" s="20"/>
      <c r="N4383" s="35" t="str">
        <f>"Level - "&amp;IFERROR(VLOOKUP(F4374,FLN!$A$4:$K$103,10,0),"")</f>
        <v>Level - </v>
      </c>
      <c r="O4383" s="36"/>
      <c r="P4383" s="19"/>
      <c r="Q4383" s="14"/>
      <c r="R4383" s="11"/>
    </row>
    <row r="4384" s="1" customFormat="1" ht="21.95" customHeight="1" spans="1:18">
      <c r="A4384" s="7"/>
      <c r="B4384" s="12"/>
      <c r="C4384" s="33"/>
      <c r="D4384" s="38"/>
      <c r="E4384" s="20" t="s">
        <v>716</v>
      </c>
      <c r="F4384" s="18" t="str">
        <f>IF(L4398&gt;197,"PERFORMED WELL","")</f>
        <v/>
      </c>
      <c r="G4384" s="18"/>
      <c r="H4384" s="18"/>
      <c r="I4384" s="18"/>
      <c r="J4384" s="18"/>
      <c r="K4384" s="18"/>
      <c r="L4384" s="18"/>
      <c r="M4384" s="18"/>
      <c r="N4384" s="18"/>
      <c r="O4384" s="18"/>
      <c r="P4384" s="19"/>
      <c r="Q4384" s="14"/>
      <c r="R4384" s="11"/>
    </row>
    <row r="4385" s="1" customFormat="1" ht="9.95" customHeight="1" spans="1:18">
      <c r="A4385" s="7"/>
      <c r="B4385" s="12"/>
      <c r="C4385" s="39"/>
      <c r="D4385" s="40"/>
      <c r="E4385" s="40"/>
      <c r="F4385" s="40"/>
      <c r="G4385" s="40"/>
      <c r="H4385" s="40"/>
      <c r="I4385" s="40"/>
      <c r="J4385" s="40"/>
      <c r="K4385" s="40"/>
      <c r="L4385" s="40"/>
      <c r="M4385" s="40"/>
      <c r="N4385" s="40"/>
      <c r="O4385" s="40"/>
      <c r="P4385" s="41"/>
      <c r="Q4385" s="14"/>
      <c r="R4385" s="11"/>
    </row>
    <row r="4386" s="1" customFormat="1" ht="9.95" customHeight="1" spans="1:18">
      <c r="A4386" s="7"/>
      <c r="B4386" s="12"/>
      <c r="C4386" s="29"/>
      <c r="D4386" s="29"/>
      <c r="E4386" s="29"/>
      <c r="F4386" s="29"/>
      <c r="G4386" s="29"/>
      <c r="H4386" s="29"/>
      <c r="I4386" s="29"/>
      <c r="J4386" s="29"/>
      <c r="K4386" s="29"/>
      <c r="L4386" s="29"/>
      <c r="M4386" s="29"/>
      <c r="N4386" s="29"/>
      <c r="O4386" s="29"/>
      <c r="P4386" s="29"/>
      <c r="Q4386" s="14"/>
      <c r="R4386" s="11"/>
    </row>
    <row r="4387" s="1" customFormat="1" ht="9.95" customHeight="1" spans="1:18">
      <c r="A4387" s="7"/>
      <c r="B4387" s="12"/>
      <c r="C4387" s="30"/>
      <c r="D4387" s="31"/>
      <c r="E4387" s="31"/>
      <c r="F4387" s="31"/>
      <c r="G4387" s="31"/>
      <c r="H4387" s="31"/>
      <c r="I4387" s="31"/>
      <c r="J4387" s="31"/>
      <c r="K4387" s="31"/>
      <c r="L4387" s="31"/>
      <c r="M4387" s="31"/>
      <c r="N4387" s="31"/>
      <c r="O4387" s="31"/>
      <c r="P4387" s="32"/>
      <c r="Q4387" s="14"/>
      <c r="R4387" s="11"/>
    </row>
    <row r="4388" s="1" customFormat="1" ht="21.95" customHeight="1" spans="1:18">
      <c r="A4388" s="7"/>
      <c r="B4388" s="12"/>
      <c r="C4388" s="33"/>
      <c r="D4388" s="35"/>
      <c r="E4388" s="24"/>
      <c r="F4388" s="24"/>
      <c r="G4388" s="47" t="s">
        <v>717</v>
      </c>
      <c r="H4388" s="47"/>
      <c r="I4388" s="47"/>
      <c r="J4388" s="47"/>
      <c r="K4388" s="47"/>
      <c r="L4388" s="47"/>
      <c r="M4388" s="47"/>
      <c r="N4388" s="47"/>
      <c r="O4388" s="29"/>
      <c r="P4388" s="19"/>
      <c r="Q4388" s="14"/>
      <c r="R4388" s="11"/>
    </row>
    <row r="4389" s="1" customFormat="1" ht="21.95" customHeight="1" spans="1:18">
      <c r="A4389" s="7"/>
      <c r="B4389" s="12"/>
      <c r="C4389" s="33"/>
      <c r="D4389" s="47"/>
      <c r="E4389" s="47"/>
      <c r="F4389" s="47"/>
      <c r="G4389" s="47" t="s">
        <v>541</v>
      </c>
      <c r="H4389" s="47" t="s">
        <v>542</v>
      </c>
      <c r="I4389" s="47" t="s">
        <v>543</v>
      </c>
      <c r="J4389" s="47" t="s">
        <v>544</v>
      </c>
      <c r="K4389" s="47" t="s">
        <v>561</v>
      </c>
      <c r="L4389" s="47" t="s">
        <v>382</v>
      </c>
      <c r="M4389" s="49" t="s">
        <v>546</v>
      </c>
      <c r="N4389" s="49"/>
      <c r="O4389" s="29"/>
      <c r="P4389" s="19"/>
      <c r="Q4389" s="14"/>
      <c r="R4389" s="11"/>
    </row>
    <row r="4390" s="1" customFormat="1" ht="21.95" customHeight="1" spans="1:18">
      <c r="A4390" s="7"/>
      <c r="B4390" s="12"/>
      <c r="C4390" s="33"/>
      <c r="D4390" s="207" t="s">
        <v>652</v>
      </c>
      <c r="E4390" s="207"/>
      <c r="F4390" s="207"/>
      <c r="G4390" s="50">
        <v>10</v>
      </c>
      <c r="H4390" s="50">
        <v>10</v>
      </c>
      <c r="I4390" s="50">
        <v>10</v>
      </c>
      <c r="J4390" s="50">
        <v>10</v>
      </c>
      <c r="K4390" s="50">
        <v>60</v>
      </c>
      <c r="L4390" s="50">
        <v>100</v>
      </c>
      <c r="M4390" s="49"/>
      <c r="N4390" s="49"/>
      <c r="O4390" s="29"/>
      <c r="P4390" s="19"/>
      <c r="Q4390" s="14"/>
      <c r="R4390" s="11"/>
    </row>
    <row r="4391" s="1" customFormat="1" ht="21.95" customHeight="1" spans="1:18">
      <c r="A4391" s="7"/>
      <c r="B4391" s="12"/>
      <c r="C4391" s="33"/>
      <c r="D4391" s="117" t="s">
        <v>668</v>
      </c>
      <c r="E4391" s="117"/>
      <c r="F4391" s="117"/>
      <c r="G4391" s="54" t="str">
        <f>IFERROR(VLOOKUP(F4374,'1to4-2.1-RR'!$A$12:$BG$111,9,0),"")</f>
        <v/>
      </c>
      <c r="H4391" s="54" t="str">
        <f>IFERROR(VLOOKUP(F4374,'1to4-2.1-RR'!$A$12:$BG$111,10,0),"")</f>
        <v/>
      </c>
      <c r="I4391" s="54" t="str">
        <f>IFERROR(VLOOKUP(F4374,'1to4-2.1-RR'!$A$12:$BG$111,11,0),"")</f>
        <v/>
      </c>
      <c r="J4391" s="54" t="str">
        <f>IFERROR(VLOOKUP(F4374,'1to4-2.1-RR'!$A$12:$BG$111,12,0),"")</f>
        <v/>
      </c>
      <c r="K4391" s="54" t="str">
        <f>IFERROR(VLOOKUP(F4374,'1to4-2.1-RR'!$A$12:$BG$111,13,0),"")</f>
        <v/>
      </c>
      <c r="L4391" s="55">
        <f>SUM(G4391:K4391)</f>
        <v>0</v>
      </c>
      <c r="M4391" s="56" t="str">
        <f>IF(F4374&gt;ENTRY!$D$24,"",IF(L4391=0,"Ab",IF(L4391&gt;80,"A",IF(L4391&gt;60,"B",IF(L4391&gt;44,"C",IF(L4391&gt;=33,"D",IF(L4391&lt;=32,"E","")))))))</f>
        <v/>
      </c>
      <c r="N4391" s="56"/>
      <c r="O4391" s="29"/>
      <c r="P4391" s="19"/>
      <c r="Q4391" s="14"/>
      <c r="R4391" s="11"/>
    </row>
    <row r="4392" s="1" customFormat="1" ht="21.95" customHeight="1" spans="1:18">
      <c r="A4392" s="7"/>
      <c r="B4392" s="12"/>
      <c r="C4392" s="33"/>
      <c r="D4392" s="117" t="s">
        <v>513</v>
      </c>
      <c r="E4392" s="117"/>
      <c r="F4392" s="117"/>
      <c r="G4392" s="54" t="str">
        <f>IFERROR(VLOOKUP(F4374,'1to4-2.1-RR'!$A$12:$BG$111,16,0),"")</f>
        <v/>
      </c>
      <c r="H4392" s="54" t="str">
        <f>IFERROR(VLOOKUP(F4374,'1to4-2.1-RR'!$A$12:$BG$111,17,0),"")</f>
        <v/>
      </c>
      <c r="I4392" s="54" t="str">
        <f>IFERROR(VLOOKUP(F4374,'1to4-2.1-RR'!$A$12:$BG$111,18,0),"")</f>
        <v/>
      </c>
      <c r="J4392" s="54" t="str">
        <f>IFERROR(VLOOKUP(F4374,'1to4-2.1-RR'!$A$12:$BG$111,19,0),"")</f>
        <v/>
      </c>
      <c r="K4392" s="54" t="str">
        <f>IFERROR(VLOOKUP(F4374,'1to4-2.1-RR'!$A$12:$BG$111,20,0),"")</f>
        <v/>
      </c>
      <c r="L4392" s="55">
        <f t="shared" ref="L4392:L4397" si="156">SUM(G4392:K4392)</f>
        <v>0</v>
      </c>
      <c r="M4392" s="56" t="str">
        <f>IF(F4374&gt;ENTRY!$D$24,"",IF(L4392=0,"Ab",IF(L4392&gt;80,"A",IF(L4392&gt;60,"B",IF(L4392&gt;44,"C",IF(L4392&gt;=33,"D",IF(L4392&lt;=32,"E","")))))))</f>
        <v/>
      </c>
      <c r="N4392" s="56"/>
      <c r="O4392" s="29"/>
      <c r="P4392" s="19"/>
      <c r="Q4392" s="14"/>
      <c r="R4392" s="11"/>
    </row>
    <row r="4393" s="1" customFormat="1" ht="21.95" customHeight="1" spans="1:18">
      <c r="A4393" s="7"/>
      <c r="B4393" s="12"/>
      <c r="C4393" s="33"/>
      <c r="D4393" s="117" t="s">
        <v>718</v>
      </c>
      <c r="E4393" s="117"/>
      <c r="F4393" s="117"/>
      <c r="G4393" s="54" t="str">
        <f>IFERROR(VLOOKUP(F4374,'1to4-2.1-RR'!$A$12:$BG$111,23,0),"")</f>
        <v/>
      </c>
      <c r="H4393" s="54" t="str">
        <f>IFERROR(VLOOKUP(F4374,'1to4-2.1-RR'!$A$12:$BG$111,24,0),"")</f>
        <v/>
      </c>
      <c r="I4393" s="54" t="str">
        <f>IFERROR(VLOOKUP(F4374,'1to4-2.1-RR'!$A$12:$BG$111,25,0),"")</f>
        <v/>
      </c>
      <c r="J4393" s="54" t="str">
        <f>IFERROR(VLOOKUP(F4374,'1to4-2.1-RR'!$A$12:$BG$111,26,0),"")</f>
        <v/>
      </c>
      <c r="K4393" s="54" t="str">
        <f>IFERROR(VLOOKUP(F4374,'1to4-2.1-RR'!$A$12:$BG$111,27,0),"")</f>
        <v/>
      </c>
      <c r="L4393" s="55">
        <f t="shared" si="156"/>
        <v>0</v>
      </c>
      <c r="M4393" s="56" t="str">
        <f>IF(F4374&gt;ENTRY!$D$24,"",IF(L4393=0,"Ab",IF(L4393&gt;80,"A",IF(L4393&gt;60,"B",IF(L4393&gt;44,"C",IF(L4393&gt;=33,"D",IF(L4393&lt;=32,"E","")))))))</f>
        <v/>
      </c>
      <c r="N4393" s="56"/>
      <c r="O4393" s="29"/>
      <c r="P4393" s="19"/>
      <c r="Q4393" s="14"/>
      <c r="R4393" s="11"/>
    </row>
    <row r="4394" s="1" customFormat="1" ht="21.95" customHeight="1" spans="1:18">
      <c r="A4394" s="7"/>
      <c r="B4394" s="12"/>
      <c r="C4394" s="33"/>
      <c r="D4394" s="117" t="s">
        <v>719</v>
      </c>
      <c r="E4394" s="117"/>
      <c r="F4394" s="117"/>
      <c r="G4394" s="54" t="str">
        <f>IFERROR(VLOOKUP(F4374,'1to4-2.1-RR'!$A$12:$BG$111,30,0),"")</f>
        <v/>
      </c>
      <c r="H4394" s="54" t="str">
        <f>IFERROR(VLOOKUP(F4374,'1to4-2.1-RR'!$A$12:$BG$111,31,0),"")</f>
        <v/>
      </c>
      <c r="I4394" s="54" t="str">
        <f>IFERROR(VLOOKUP(F4374,'1to4-2.1-RR'!$A$12:$BG$111,32,0),"")</f>
        <v/>
      </c>
      <c r="J4394" s="54" t="str">
        <f>IFERROR(VLOOKUP(F4374,'1to4-2.1-RR'!$A$12:$BG$111,33,0),"")</f>
        <v/>
      </c>
      <c r="K4394" s="54" t="str">
        <f>IFERROR(VLOOKUP(F4374,'1to4-2.1-RR'!$A$12:$BG$111,34,0),"")</f>
        <v/>
      </c>
      <c r="L4394" s="55">
        <f t="shared" si="156"/>
        <v>0</v>
      </c>
      <c r="M4394" s="56" t="str">
        <f>IF(F4374&gt;ENTRY!$D$24,"",IF(L4394=0,"Ab",IF(L4394&gt;80,"A",IF(L4394&gt;60,"B",IF(L4394&gt;44,"C",IF(L4394&gt;=33,"D",IF(L4394&lt;=32,"E","")))))))</f>
        <v/>
      </c>
      <c r="N4394" s="56"/>
      <c r="O4394" s="29"/>
      <c r="P4394" s="19"/>
      <c r="Q4394" s="14"/>
      <c r="R4394" s="11"/>
    </row>
    <row r="4395" s="1" customFormat="1" ht="21.95" customHeight="1" spans="1:18">
      <c r="A4395" s="7"/>
      <c r="B4395" s="12"/>
      <c r="C4395" s="33"/>
      <c r="D4395" s="117" t="s">
        <v>548</v>
      </c>
      <c r="E4395" s="117"/>
      <c r="F4395" s="117"/>
      <c r="G4395" s="54" t="str">
        <f>IFERROR(VLOOKUP(F4374,'1to4-2.1-RR'!$A$12:$BG$111,37,0),"")</f>
        <v/>
      </c>
      <c r="H4395" s="54" t="str">
        <f>IFERROR(VLOOKUP(F4374,'1to4-2.1-RR'!$A$12:$BG$111,38,0),"")</f>
        <v/>
      </c>
      <c r="I4395" s="54" t="str">
        <f>IFERROR(VLOOKUP(F4374,'1to4-2.1-RR'!$A$12:$BG$111,39,0),"")</f>
        <v/>
      </c>
      <c r="J4395" s="54" t="str">
        <f>IFERROR(VLOOKUP(F4374,'1to4-2.1-RR'!$A$12:$BG$111,40,0),"")</f>
        <v/>
      </c>
      <c r="K4395" s="54" t="str">
        <f>IFERROR(VLOOKUP(F4374,'1to4-2.1-RR'!$A$12:$BG$111,41,0),"")</f>
        <v/>
      </c>
      <c r="L4395" s="55">
        <f t="shared" si="156"/>
        <v>0</v>
      </c>
      <c r="M4395" s="56" t="str">
        <f>IF(F4374&gt;ENTRY!$D$24,"",IF(L4395=0,"Ab",IF(L4395&gt;80,"A",IF(L4395&gt;60,"B",IF(L4395&gt;44,"C",IF(L4395&gt;=33,"D",IF(L4395&lt;=32,"E","")))))))</f>
        <v/>
      </c>
      <c r="N4395" s="56"/>
      <c r="O4395" s="29"/>
      <c r="P4395" s="19"/>
      <c r="Q4395" s="14"/>
      <c r="R4395" s="11"/>
    </row>
    <row r="4396" s="1" customFormat="1" ht="21.95" customHeight="1" spans="1:18">
      <c r="A4396" s="7"/>
      <c r="B4396" s="12"/>
      <c r="C4396" s="33"/>
      <c r="D4396" s="117" t="s">
        <v>549</v>
      </c>
      <c r="E4396" s="117"/>
      <c r="F4396" s="117"/>
      <c r="G4396" s="54" t="str">
        <f>IFERROR(VLOOKUP(F4374,'1to4-2.1-RR'!$A$12:$BG$111,44,0),"")</f>
        <v/>
      </c>
      <c r="H4396" s="54" t="str">
        <f>IFERROR(VLOOKUP(F4374,'1to4-2.1-RR'!$A$12:$BG$111,45,0),"")</f>
        <v/>
      </c>
      <c r="I4396" s="54" t="str">
        <f>IFERROR(VLOOKUP(F4374,'1to4-2.1-RR'!$A$12:$BG$111,46,0),"")</f>
        <v/>
      </c>
      <c r="J4396" s="54" t="str">
        <f>IFERROR(VLOOKUP(F4374,'1to4-2.1-RR'!$A$12:$BG$111,47,0),"")</f>
        <v/>
      </c>
      <c r="K4396" s="54" t="str">
        <f>IFERROR(VLOOKUP(F4374,'1to4-2.1-RR'!$A$12:$BG$111,48,0),"")</f>
        <v/>
      </c>
      <c r="L4396" s="55">
        <f t="shared" si="156"/>
        <v>0</v>
      </c>
      <c r="M4396" s="56" t="str">
        <f>IF(F4374&gt;ENTRY!$D$24,"",IF(L4396=0,"Ab",IF(L4396&gt;80,"A",IF(L4396&gt;60,"B",IF(L4396&gt;44,"C",IF(L4396&gt;=33,"D",IF(L4396&lt;=32,"E","")))))))</f>
        <v/>
      </c>
      <c r="N4396" s="56"/>
      <c r="O4396" s="29"/>
      <c r="P4396" s="19"/>
      <c r="Q4396" s="14"/>
      <c r="R4396" s="11"/>
    </row>
    <row r="4397" s="1" customFormat="1" ht="21.95" customHeight="1" spans="1:18">
      <c r="A4397" s="7"/>
      <c r="B4397" s="12"/>
      <c r="C4397" s="33"/>
      <c r="D4397" s="117" t="s">
        <v>720</v>
      </c>
      <c r="E4397" s="117"/>
      <c r="F4397" s="117"/>
      <c r="G4397" s="54"/>
      <c r="H4397" s="54"/>
      <c r="I4397" s="54"/>
      <c r="J4397" s="54"/>
      <c r="K4397" s="54"/>
      <c r="L4397" s="55">
        <f t="shared" si="156"/>
        <v>0</v>
      </c>
      <c r="M4397" s="56" t="str">
        <f>IF(F4374&gt;ENTRY!$D$24,"",IF(L4397=0,"",IF(L4397&gt;79,"A",IF(L4397&gt;59,"B",IF(L4397&gt;44,"C",IF(L4397&gt;=33,"D",IF(L4397&lt;=32,"E","")))))))</f>
        <v/>
      </c>
      <c r="N4397" s="56"/>
      <c r="O4397" s="29"/>
      <c r="P4397" s="19"/>
      <c r="Q4397" s="14"/>
      <c r="R4397" s="11"/>
    </row>
    <row r="4398" s="1" customFormat="1" ht="21.95" customHeight="1" spans="1:18">
      <c r="A4398" s="7"/>
      <c r="B4398" s="12"/>
      <c r="C4398" s="33"/>
      <c r="D4398" s="207" t="s">
        <v>382</v>
      </c>
      <c r="E4398" s="207"/>
      <c r="F4398" s="207"/>
      <c r="G4398" s="54">
        <f t="shared" ref="G4398:L4398" si="157">IFERROR(SUM(G4391:G4397),"")</f>
        <v>0</v>
      </c>
      <c r="H4398" s="54">
        <f t="shared" si="157"/>
        <v>0</v>
      </c>
      <c r="I4398" s="54">
        <f t="shared" si="157"/>
        <v>0</v>
      </c>
      <c r="J4398" s="54">
        <f t="shared" si="157"/>
        <v>0</v>
      </c>
      <c r="K4398" s="54">
        <f t="shared" si="157"/>
        <v>0</v>
      </c>
      <c r="L4398" s="55">
        <f t="shared" si="157"/>
        <v>0</v>
      </c>
      <c r="M4398" s="61" t="str">
        <f>IF(F4374&gt;ENTRY!$D$24,"",IF(N4399="Ab","Ab",IF(N4399&gt;79.5,"A",IF(N4399&gt;59.5,"B",IF(N4399&gt;44.5,"C",IF(N4399&gt;=33,"D",IF(N4399&lt;33,"E","")))))))</f>
        <v/>
      </c>
      <c r="N4398" s="61"/>
      <c r="O4398" s="29"/>
      <c r="P4398" s="19"/>
      <c r="Q4398" s="14"/>
      <c r="R4398" s="11"/>
    </row>
    <row r="4399" s="1" customFormat="1" ht="21.95" customHeight="1" spans="1:18">
      <c r="A4399" s="7"/>
      <c r="B4399" s="12"/>
      <c r="C4399" s="33"/>
      <c r="D4399" s="63" t="s">
        <v>721</v>
      </c>
      <c r="E4399" s="63"/>
      <c r="F4399" s="63"/>
      <c r="G4399" s="63"/>
      <c r="H4399" s="63"/>
      <c r="I4399" s="63"/>
      <c r="J4399" s="63"/>
      <c r="K4399" s="63"/>
      <c r="L4399" s="63"/>
      <c r="M4399" s="209"/>
      <c r="N4399" s="64">
        <f>IF(L4398="Ab","Ab",L4398/6)</f>
        <v>0</v>
      </c>
      <c r="O4399" s="65"/>
      <c r="P4399" s="19"/>
      <c r="Q4399" s="14"/>
      <c r="R4399" s="11"/>
    </row>
    <row r="4400" s="1" customFormat="1" ht="21.95" customHeight="1" spans="1:18">
      <c r="A4400" s="7"/>
      <c r="B4400" s="12"/>
      <c r="C4400" s="33"/>
      <c r="D4400" s="29" t="s">
        <v>716</v>
      </c>
      <c r="E4400" s="18" t="str">
        <f>IFERROR(VLOOKUP(F4374,'1to4-2.1-RR'!$A$12:$BG$111,57,0),"")</f>
        <v/>
      </c>
      <c r="F4400" s="18"/>
      <c r="G4400" s="18"/>
      <c r="H4400" s="18"/>
      <c r="I4400" s="18"/>
      <c r="J4400" s="18"/>
      <c r="K4400" s="18"/>
      <c r="L4400" s="18"/>
      <c r="M4400" s="18"/>
      <c r="N4400" s="29"/>
      <c r="O4400" s="29"/>
      <c r="P4400" s="19"/>
      <c r="Q4400" s="14"/>
      <c r="R4400" s="11"/>
    </row>
    <row r="4401" s="1" customFormat="1" ht="9.95" customHeight="1" spans="1:19">
      <c r="A4401" s="7"/>
      <c r="B4401" s="12"/>
      <c r="C4401" s="39"/>
      <c r="D4401" s="40"/>
      <c r="E4401" s="40"/>
      <c r="F4401" s="40"/>
      <c r="G4401" s="40"/>
      <c r="H4401" s="40"/>
      <c r="I4401" s="40"/>
      <c r="J4401" s="40"/>
      <c r="K4401" s="40"/>
      <c r="L4401" s="40"/>
      <c r="M4401" s="40"/>
      <c r="N4401" s="40"/>
      <c r="O4401" s="40"/>
      <c r="P4401" s="41"/>
      <c r="Q4401" s="14"/>
      <c r="R4401" s="11"/>
    </row>
    <row r="4402" s="1" customFormat="1" ht="9.95" customHeight="1" spans="1:19">
      <c r="A4402" s="7"/>
      <c r="B4402" s="12"/>
      <c r="C4402" s="30"/>
      <c r="D4402" s="31"/>
      <c r="E4402" s="31"/>
      <c r="F4402" s="29"/>
      <c r="G4402" s="31"/>
      <c r="H4402" s="31"/>
      <c r="I4402" s="31"/>
      <c r="J4402" s="31"/>
      <c r="K4402" s="31"/>
      <c r="L4402" s="31"/>
      <c r="M4402" s="31"/>
      <c r="N4402" s="31"/>
      <c r="O4402" s="31"/>
      <c r="P4402" s="32"/>
      <c r="Q4402" s="14"/>
      <c r="R4402" s="11"/>
    </row>
    <row r="4403" s="1" customFormat="1" ht="9.95" customHeight="1" spans="1:19">
      <c r="A4403" s="7"/>
      <c r="B4403" s="12"/>
      <c r="C4403" s="33"/>
      <c r="D4403" s="29"/>
      <c r="E4403" s="29"/>
      <c r="F4403" s="29"/>
      <c r="G4403" s="29"/>
      <c r="H4403" s="29"/>
      <c r="I4403" s="29"/>
      <c r="J4403" s="29"/>
      <c r="K4403" s="29"/>
      <c r="L4403" s="29"/>
      <c r="M4403" s="29"/>
      <c r="N4403" s="29"/>
      <c r="O4403" s="29"/>
      <c r="P4403" s="19"/>
      <c r="Q4403" s="14"/>
      <c r="R4403" s="11"/>
    </row>
    <row r="4404" s="1" customFormat="1" ht="9.95" customHeight="1" spans="1:19">
      <c r="A4404" s="7"/>
      <c r="B4404" s="12"/>
      <c r="C4404" s="33"/>
      <c r="D4404" s="29"/>
      <c r="E4404" s="29"/>
      <c r="F4404" s="29"/>
      <c r="G4404" s="29"/>
      <c r="H4404" s="29"/>
      <c r="I4404" s="29"/>
      <c r="J4404" s="29"/>
      <c r="K4404" s="29"/>
      <c r="L4404" s="29"/>
      <c r="M4404" s="29"/>
      <c r="N4404" s="29"/>
      <c r="O4404" s="29"/>
      <c r="P4404" s="19"/>
      <c r="Q4404" s="14"/>
      <c r="R4404" s="11"/>
    </row>
    <row r="4405" s="1" customFormat="1" ht="21.95" customHeight="1" spans="1:19">
      <c r="A4405" s="7"/>
      <c r="B4405" s="12"/>
      <c r="C4405" s="210"/>
      <c r="D4405" s="211"/>
      <c r="E4405" s="211"/>
      <c r="F4405" s="211"/>
      <c r="G4405" s="211"/>
      <c r="H4405" s="211"/>
      <c r="I4405" s="211"/>
      <c r="J4405" s="211"/>
      <c r="K4405" s="211"/>
      <c r="L4405" s="211"/>
      <c r="M4405" s="211"/>
      <c r="N4405" s="211"/>
      <c r="O4405" s="211"/>
      <c r="P4405" s="212"/>
      <c r="Q4405" s="14"/>
      <c r="R4405" s="11"/>
      <c r="S4405" s="2"/>
    </row>
    <row r="4406" s="1" customFormat="1" ht="21.95" customHeight="1" spans="1:19">
      <c r="A4406" s="7"/>
      <c r="B4406" s="12"/>
      <c r="C4406" s="33"/>
      <c r="D4406" s="207" t="s">
        <v>722</v>
      </c>
      <c r="E4406" s="207"/>
      <c r="F4406" s="207"/>
      <c r="G4406" s="207"/>
      <c r="H4406" s="54">
        <f>IFERROR(VLOOKUP(F4374,PASHEET!$A$4:$CJ$103,88,0),"")</f>
        <v>0</v>
      </c>
      <c r="I4406" s="54"/>
      <c r="J4406" s="29"/>
      <c r="K4406" s="29"/>
      <c r="L4406" s="29"/>
      <c r="M4406" s="29"/>
      <c r="N4406" s="29"/>
      <c r="O4406" s="29"/>
      <c r="P4406" s="19"/>
      <c r="Q4406" s="14"/>
      <c r="R4406" s="11"/>
    </row>
    <row r="4407" s="1" customFormat="1" ht="21.95" customHeight="1" spans="1:19">
      <c r="A4407" s="7"/>
      <c r="B4407" s="12"/>
      <c r="C4407" s="213"/>
      <c r="D4407" s="207" t="s">
        <v>723</v>
      </c>
      <c r="E4407" s="207"/>
      <c r="F4407" s="207"/>
      <c r="G4407" s="207"/>
      <c r="H4407" s="54">
        <f>IFERROR(VLOOKUP(F4374,PASHEET!$A$4:$CJ$103,87,0),"")</f>
        <v>0</v>
      </c>
      <c r="I4407" s="54"/>
      <c r="J4407" s="214"/>
      <c r="K4407" s="214"/>
      <c r="L4407" s="207" t="s">
        <v>724</v>
      </c>
      <c r="M4407" s="207"/>
      <c r="N4407" s="117" t="str">
        <f>IF(F4374&gt;ENTRY!$D$24,"",IF(F4374&gt;0,L4398&amp;" / "&amp;600,""))</f>
        <v/>
      </c>
      <c r="O4407" s="117"/>
      <c r="P4407" s="215"/>
      <c r="Q4407" s="14"/>
      <c r="R4407" s="11"/>
    </row>
    <row r="4408" s="1" customFormat="1" ht="18" customHeight="1" spans="1:19">
      <c r="A4408" s="7"/>
      <c r="B4408" s="12"/>
      <c r="C4408" s="33"/>
      <c r="D4408" s="207" t="s">
        <v>725</v>
      </c>
      <c r="E4408" s="207"/>
      <c r="F4408" s="207"/>
      <c r="G4408" s="207"/>
      <c r="H4408" s="69" t="str">
        <f>IFERROR(IF(F4374&gt;0,H4407/H4406*100),"")</f>
        <v/>
      </c>
      <c r="I4408" s="69"/>
      <c r="J4408" s="29"/>
      <c r="K4408" s="29"/>
      <c r="L4408" s="207" t="s">
        <v>726</v>
      </c>
      <c r="M4408" s="207"/>
      <c r="N4408" s="216" t="str">
        <f>IF(F4374&gt;ENTRY!$D$24,"",IF(F4374&gt;0,L4398/600*100,""))</f>
        <v/>
      </c>
      <c r="O4408" s="216"/>
      <c r="P4408" s="19"/>
      <c r="Q4408" s="14"/>
      <c r="R4408" s="11"/>
    </row>
    <row r="4409" s="1" customFormat="1" ht="21.95" customHeight="1" spans="1:19">
      <c r="A4409" s="7"/>
      <c r="B4409" s="12"/>
      <c r="C4409" s="33"/>
      <c r="D4409" s="80"/>
      <c r="E4409" s="80"/>
      <c r="F4409" s="217"/>
      <c r="G4409" s="217"/>
      <c r="H4409" s="217"/>
      <c r="I4409" s="217"/>
      <c r="J4409" s="217"/>
      <c r="K4409" s="217"/>
      <c r="L4409" s="217"/>
      <c r="M4409" s="217"/>
      <c r="N4409" s="80"/>
      <c r="O4409" s="80"/>
      <c r="P4409" s="19"/>
      <c r="Q4409" s="14"/>
      <c r="R4409" s="11"/>
    </row>
    <row r="4410" s="1" customFormat="1" ht="21.95" customHeight="1" spans="1:19">
      <c r="A4410" s="7"/>
      <c r="B4410" s="12"/>
      <c r="C4410" s="33"/>
      <c r="D4410" s="80"/>
      <c r="E4410" s="218"/>
      <c r="F4410" s="218"/>
      <c r="G4410" s="218"/>
      <c r="H4410" s="80"/>
      <c r="I4410" s="218"/>
      <c r="J4410" s="218"/>
      <c r="K4410" s="218"/>
      <c r="L4410" s="218"/>
      <c r="M4410" s="80"/>
      <c r="N4410" s="219"/>
      <c r="O4410" s="219"/>
      <c r="P4410" s="19"/>
      <c r="Q4410" s="14"/>
      <c r="R4410" s="11"/>
    </row>
    <row r="4411" s="1" customFormat="1" ht="21.95" customHeight="1" spans="1:19">
      <c r="A4411" s="7"/>
      <c r="B4411" s="12"/>
      <c r="C4411" s="33"/>
      <c r="D4411" s="80"/>
      <c r="E4411" s="80"/>
      <c r="F4411" s="80"/>
      <c r="G4411" s="80"/>
      <c r="H4411" s="80"/>
      <c r="I4411" s="80"/>
      <c r="J4411" s="80"/>
      <c r="K4411" s="80"/>
      <c r="L4411" s="80"/>
      <c r="M4411" s="80"/>
      <c r="N4411" s="80"/>
      <c r="O4411" s="80"/>
      <c r="P4411" s="19"/>
      <c r="Q4411" s="14"/>
      <c r="R4411" s="11"/>
    </row>
    <row r="4412" s="1" customFormat="1" ht="21.95" customHeight="1" spans="1:19">
      <c r="A4412" s="7"/>
      <c r="B4412" s="12"/>
      <c r="C4412" s="33"/>
      <c r="D4412" s="218"/>
      <c r="E4412" s="218"/>
      <c r="F4412" s="218"/>
      <c r="G4412" s="218"/>
      <c r="H4412" s="218"/>
      <c r="I4412" s="218"/>
      <c r="J4412" s="218"/>
      <c r="K4412" s="218"/>
      <c r="L4412" s="218"/>
      <c r="M4412" s="80"/>
      <c r="N4412" s="217"/>
      <c r="O4412" s="217"/>
      <c r="P4412" s="85" t="s">
        <v>727</v>
      </c>
      <c r="Q4412" s="14"/>
      <c r="R4412" s="11"/>
    </row>
    <row r="4413" s="1" customFormat="1" ht="21.95" customHeight="1" spans="1:19">
      <c r="A4413" s="7"/>
      <c r="B4413" s="12"/>
      <c r="C4413" s="33"/>
      <c r="D4413" s="29"/>
      <c r="E4413" s="29"/>
      <c r="F4413" s="29"/>
      <c r="G4413" s="29"/>
      <c r="H4413" s="29"/>
      <c r="I4413" s="29"/>
      <c r="J4413" s="29"/>
      <c r="K4413" s="29"/>
      <c r="L4413" s="29"/>
      <c r="M4413" s="29"/>
      <c r="N4413" s="29"/>
      <c r="O4413" s="29"/>
      <c r="P4413" s="19"/>
      <c r="Q4413" s="14"/>
      <c r="R4413" s="11"/>
    </row>
    <row r="4414" s="1" customFormat="1" ht="21.95" customHeight="1" spans="1:19">
      <c r="A4414" s="7"/>
      <c r="B4414" s="12"/>
      <c r="C4414" s="33"/>
      <c r="D4414" s="29"/>
      <c r="E4414" s="29"/>
      <c r="F4414" s="29"/>
      <c r="G4414" s="29"/>
      <c r="H4414" s="29"/>
      <c r="I4414" s="29"/>
      <c r="J4414" s="29"/>
      <c r="K4414" s="29"/>
      <c r="L4414" s="29"/>
      <c r="M4414" s="29"/>
      <c r="N4414" s="29"/>
      <c r="O4414" s="29"/>
      <c r="P4414" s="19"/>
      <c r="Q4414" s="14"/>
      <c r="R4414" s="11"/>
    </row>
    <row r="4415" s="1" customFormat="1" ht="21.95" customHeight="1" spans="1:19">
      <c r="A4415" s="7"/>
      <c r="B4415" s="12"/>
      <c r="C4415" s="33"/>
      <c r="D4415" s="29"/>
      <c r="E4415" s="29"/>
      <c r="F4415" s="29"/>
      <c r="G4415" s="29"/>
      <c r="H4415" s="29"/>
      <c r="I4415" s="29"/>
      <c r="J4415" s="29"/>
      <c r="K4415" s="29"/>
      <c r="L4415" s="29"/>
      <c r="M4415" s="29"/>
      <c r="N4415" s="29"/>
      <c r="O4415" s="29"/>
      <c r="P4415" s="19"/>
      <c r="Q4415" s="14"/>
      <c r="R4415" s="11"/>
    </row>
    <row r="4416" s="1" customFormat="1" ht="21.95" customHeight="1" spans="1:19">
      <c r="A4416" s="7"/>
      <c r="B4416" s="12"/>
      <c r="C4416" s="33"/>
      <c r="D4416" s="29"/>
      <c r="E4416" s="29"/>
      <c r="F4416" s="29"/>
      <c r="G4416" s="29"/>
      <c r="H4416" s="29"/>
      <c r="I4416" s="29"/>
      <c r="J4416" s="29"/>
      <c r="K4416" s="29"/>
      <c r="L4416" s="29"/>
      <c r="M4416" s="29"/>
      <c r="N4416" s="29"/>
      <c r="O4416" s="29"/>
      <c r="P4416" s="19"/>
      <c r="Q4416" s="14"/>
      <c r="R4416" s="11"/>
    </row>
    <row r="4417" s="1" customFormat="1" ht="21.95" customHeight="1" spans="1:18">
      <c r="A4417" s="7"/>
      <c r="B4417" s="12"/>
      <c r="C4417" s="33"/>
      <c r="D4417" s="29"/>
      <c r="E4417" s="29"/>
      <c r="F4417" s="29"/>
      <c r="G4417" s="29"/>
      <c r="H4417" s="29"/>
      <c r="I4417" s="29"/>
      <c r="J4417" s="29"/>
      <c r="K4417" s="29"/>
      <c r="L4417" s="29"/>
      <c r="M4417" s="29"/>
      <c r="N4417" s="29"/>
      <c r="O4417" s="29"/>
      <c r="P4417" s="19"/>
      <c r="Q4417" s="14"/>
      <c r="R4417" s="11"/>
    </row>
    <row r="4418" s="1" customFormat="1" ht="21.95" customHeight="1" spans="1:18">
      <c r="A4418" s="7"/>
      <c r="B4418" s="12"/>
      <c r="C4418" s="33"/>
      <c r="D4418" s="80" t="s">
        <v>728</v>
      </c>
      <c r="E4418" s="220">
        <f>ENTRY!$D$27</f>
        <v>46102</v>
      </c>
      <c r="F4418" s="220"/>
      <c r="G4418" s="29"/>
      <c r="H4418" s="29"/>
      <c r="I4418" s="221" t="s">
        <v>729</v>
      </c>
      <c r="J4418" s="153"/>
      <c r="K4418" s="29"/>
      <c r="L4418" s="29"/>
      <c r="M4418" s="87" t="s">
        <v>730</v>
      </c>
      <c r="N4418" s="87"/>
      <c r="O4418" s="87"/>
      <c r="P4418" s="19"/>
      <c r="Q4418" s="14"/>
      <c r="R4418" s="11"/>
    </row>
    <row r="4419" s="1" customFormat="1" ht="21.95" customHeight="1" spans="1:18">
      <c r="A4419" s="7"/>
      <c r="B4419" s="12"/>
      <c r="C4419" s="33"/>
      <c r="D4419" s="80" t="s">
        <v>731</v>
      </c>
      <c r="E4419" s="88" t="str">
        <f>PROPER(ENTRY!$D$28)</f>
        <v>New Delhi</v>
      </c>
      <c r="F4419" s="88"/>
      <c r="G4419" s="29"/>
      <c r="H4419" s="29"/>
      <c r="I4419" s="153"/>
      <c r="J4419" s="153"/>
      <c r="K4419" s="29"/>
      <c r="L4419" s="29"/>
      <c r="M4419" s="79" t="s">
        <v>732</v>
      </c>
      <c r="N4419" s="79"/>
      <c r="O4419" s="79"/>
      <c r="P4419" s="19"/>
      <c r="Q4419" s="14"/>
      <c r="R4419" s="11"/>
    </row>
    <row r="4420" s="1" customFormat="1" ht="21.95" customHeight="1" spans="1:18">
      <c r="A4420" s="7"/>
      <c r="B4420" s="12"/>
      <c r="C4420" s="90"/>
      <c r="D4420" s="91"/>
      <c r="E4420" s="91"/>
      <c r="F4420" s="91"/>
      <c r="G4420" s="91"/>
      <c r="H4420" s="91"/>
      <c r="I4420" s="91"/>
      <c r="J4420" s="91"/>
      <c r="K4420" s="91"/>
      <c r="L4420" s="91"/>
      <c r="M4420" s="91"/>
      <c r="N4420" s="91"/>
      <c r="O4420" s="91"/>
      <c r="P4420" s="92"/>
      <c r="Q4420" s="14"/>
      <c r="R4420" s="11"/>
    </row>
    <row r="4421" s="1" customFormat="1" ht="5.1" customHeight="1" spans="1:18">
      <c r="A4421" s="7"/>
      <c r="B4421" s="90"/>
      <c r="C4421" s="91"/>
      <c r="D4421" s="91"/>
      <c r="E4421" s="91"/>
      <c r="F4421" s="91"/>
      <c r="G4421" s="91"/>
      <c r="H4421" s="91"/>
      <c r="I4421" s="91"/>
      <c r="J4421" s="91"/>
      <c r="K4421" s="91"/>
      <c r="L4421" s="91"/>
      <c r="M4421" s="91"/>
      <c r="N4421" s="91"/>
      <c r="O4421" s="91"/>
      <c r="P4421" s="91"/>
      <c r="Q4421" s="92"/>
      <c r="R4421" s="11"/>
    </row>
    <row r="4422" s="1" customFormat="1" ht="5.1" customHeight="1" spans="1:18">
      <c r="A4422" s="93"/>
      <c r="B4422" s="94"/>
      <c r="C4422" s="94"/>
      <c r="D4422" s="94"/>
      <c r="E4422" s="94"/>
      <c r="F4422" s="94"/>
      <c r="G4422" s="94"/>
      <c r="H4422" s="94"/>
      <c r="I4422" s="94"/>
      <c r="J4422" s="94"/>
      <c r="K4422" s="94"/>
      <c r="L4422" s="94"/>
      <c r="M4422" s="94"/>
      <c r="N4422" s="94"/>
      <c r="O4422" s="94"/>
      <c r="P4422" s="94"/>
      <c r="Q4422" s="94"/>
      <c r="R4422" s="95"/>
    </row>
    <row r="4423" s="1" customFormat="1" ht="21.95" customHeight="1"/>
    <row r="4424" ht="15.15"/>
    <row r="4425" s="1" customFormat="1" ht="5.1" customHeight="1" spans="1:18">
      <c r="A4425" s="4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  <c r="O4425" s="5"/>
      <c r="P4425" s="5"/>
      <c r="Q4425" s="5"/>
      <c r="R4425" s="6"/>
    </row>
    <row r="4426" s="1" customFormat="1" ht="15" customHeight="1" spans="1:18">
      <c r="A4426" s="7"/>
      <c r="B4426" s="8"/>
      <c r="C4426" s="9"/>
      <c r="D4426" s="9"/>
      <c r="E4426" s="9"/>
      <c r="F4426" s="9"/>
      <c r="G4426" s="9"/>
      <c r="H4426" s="9"/>
      <c r="I4426" s="9"/>
      <c r="J4426" s="9"/>
      <c r="K4426" s="9"/>
      <c r="L4426" s="9"/>
      <c r="M4426" s="9"/>
      <c r="N4426" s="9"/>
      <c r="O4426" s="9"/>
      <c r="P4426" s="9"/>
      <c r="Q4426" s="10"/>
      <c r="R4426" s="11"/>
    </row>
    <row r="4427" s="1" customFormat="1" ht="21.95" customHeight="1" spans="1:18">
      <c r="A4427" s="7"/>
      <c r="B4427" s="12"/>
      <c r="C4427" s="13" t="s">
        <v>7</v>
      </c>
      <c r="D4427" s="13"/>
      <c r="E4427" s="13"/>
      <c r="F4427" s="13"/>
      <c r="G4427" s="13"/>
      <c r="H4427" s="13"/>
      <c r="I4427" s="13"/>
      <c r="J4427" s="13"/>
      <c r="K4427" s="13"/>
      <c r="L4427" s="13"/>
      <c r="M4427" s="13"/>
      <c r="N4427" s="13"/>
      <c r="O4427" s="13"/>
      <c r="P4427" s="13"/>
      <c r="Q4427" s="14"/>
      <c r="R4427" s="11"/>
    </row>
    <row r="4428" s="1" customFormat="1" ht="21.95" customHeight="1" spans="1:18">
      <c r="A4428" s="7"/>
      <c r="B4428" s="1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14"/>
      <c r="R4428" s="11"/>
    </row>
    <row r="4429" s="1" customFormat="1" ht="21.95" customHeight="1" spans="1:18">
      <c r="A4429" s="7"/>
      <c r="B4429" s="12"/>
      <c r="C4429" s="15" t="str">
        <f>"SESSION-"&amp;ENTRY!$D$11</f>
        <v>SESSION-2026-27</v>
      </c>
      <c r="D4429" s="15"/>
      <c r="E4429" s="15"/>
      <c r="F4429" s="15"/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  <c r="Q4429" s="14"/>
      <c r="R4429" s="11"/>
    </row>
    <row r="4430" s="1" customFormat="1" ht="21.95" customHeight="1" spans="1:18">
      <c r="A4430" s="7"/>
      <c r="B4430" s="12"/>
      <c r="C4430" s="2"/>
      <c r="D4430" s="2"/>
      <c r="E4430" s="2"/>
      <c r="F4430" s="16">
        <f>F4374+1</f>
        <v>80</v>
      </c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14"/>
      <c r="R4430" s="11"/>
    </row>
    <row r="4431" s="1" customFormat="1" ht="21.95" customHeight="1" spans="1:18">
      <c r="A4431" s="7"/>
      <c r="B4431" s="12"/>
      <c r="C4431" s="17" t="s">
        <v>392</v>
      </c>
      <c r="D4431" s="17"/>
      <c r="E4431" s="17"/>
      <c r="F4431" s="18" t="str">
        <f>IF(F4430&gt;0,ENTRY!$D$6,"")</f>
        <v>MCP NITHARI NO 1 BOYS</v>
      </c>
      <c r="G4431" s="18"/>
      <c r="H4431" s="18"/>
      <c r="I4431" s="18"/>
      <c r="J4431" s="18"/>
      <c r="K4431" s="18"/>
      <c r="L4431" s="18"/>
      <c r="M4431" s="18"/>
      <c r="N4431" s="18"/>
      <c r="O4431" s="18"/>
      <c r="P4431" s="18"/>
      <c r="Q4431" s="14"/>
      <c r="R4431" s="11"/>
    </row>
    <row r="4432" s="1" customFormat="1" ht="21.95" customHeight="1" spans="1:18">
      <c r="A4432" s="7"/>
      <c r="B4432" s="12"/>
      <c r="C4432" s="17" t="s">
        <v>393</v>
      </c>
      <c r="D4432" s="17"/>
      <c r="E4432" s="17"/>
      <c r="F4432" s="18">
        <f>IF(F4430&gt;0,ENTRY!$D$7,"")</f>
        <v>0</v>
      </c>
      <c r="G4432" s="18"/>
      <c r="H4432" s="20" t="s">
        <v>702</v>
      </c>
      <c r="I4432" s="20"/>
      <c r="J4432" s="21">
        <f>IF(F4430&gt;0,ENTRY!$D$10,"")</f>
        <v>40</v>
      </c>
      <c r="K4432" s="20" t="s">
        <v>703</v>
      </c>
      <c r="L4432" s="22" t="str">
        <f>IF(F4430&gt;0,ENTRY!$D$5,"")</f>
        <v>ROHINI ZONE</v>
      </c>
      <c r="M4432" s="22"/>
      <c r="N4432" s="22"/>
      <c r="O4432" s="22"/>
      <c r="P4432" s="22"/>
      <c r="Q4432" s="14"/>
      <c r="R4432" s="11"/>
    </row>
    <row r="4433" s="1" customFormat="1" ht="21.95" customHeight="1" spans="1:18">
      <c r="A4433" s="7"/>
      <c r="B4433" s="12"/>
      <c r="C4433" s="17" t="s">
        <v>706</v>
      </c>
      <c r="D4433" s="17"/>
      <c r="E4433" s="17"/>
      <c r="F4433" s="23">
        <f>IFERROR(VLOOKUP(F4430,STUDENT!$A$2:$BP$101,5,0),"")</f>
        <v>0</v>
      </c>
      <c r="G4433" s="23"/>
      <c r="H4433" s="23"/>
      <c r="I4433" s="23"/>
      <c r="J4433" s="23"/>
      <c r="K4433" s="23"/>
      <c r="L4433" s="20" t="s">
        <v>707</v>
      </c>
      <c r="M4433" s="20"/>
      <c r="N4433" s="24" t="str">
        <f>IF(F4430&gt;0,ENTRY!$D$20&amp;"-"&amp;ENTRY!$D$21,"")</f>
        <v>III-A</v>
      </c>
      <c r="O4433" s="24"/>
      <c r="P4433" s="24"/>
      <c r="Q4433" s="14"/>
      <c r="R4433" s="11"/>
    </row>
    <row r="4434" s="1" customFormat="1" ht="21.95" customHeight="1" spans="1:18">
      <c r="A4434" s="7"/>
      <c r="B4434" s="12"/>
      <c r="C4434" s="17" t="s">
        <v>708</v>
      </c>
      <c r="D4434" s="17"/>
      <c r="E4434" s="17"/>
      <c r="F4434" s="25">
        <f>IFERROR(VLOOKUP(F4430,STUDENT!$A$2:$BP$101,6,0),"")</f>
        <v>0</v>
      </c>
      <c r="G4434" s="25"/>
      <c r="H4434" s="26" t="s">
        <v>709</v>
      </c>
      <c r="I4434" s="27" t="str">
        <f>IFERROR(VLOOKUP(F4430,STUDENT!$A$2:$BP$101,59,0),"")</f>
        <v/>
      </c>
      <c r="J4434" s="27"/>
      <c r="K4434" s="20" t="s">
        <v>710</v>
      </c>
      <c r="L4434" s="20"/>
      <c r="M4434" s="28">
        <f>IFERROR(VLOOKUP(F4430,STUDENT!$A$2:$BP$101,20,0),"")</f>
        <v>0</v>
      </c>
      <c r="N4434" s="28"/>
      <c r="O4434" s="28"/>
      <c r="P4434" s="28"/>
      <c r="Q4434" s="14"/>
      <c r="R4434" s="11"/>
    </row>
    <row r="4435" s="1" customFormat="1" ht="21.95" customHeight="1" spans="1:18">
      <c r="A4435" s="7"/>
      <c r="B4435" s="12"/>
      <c r="C4435" s="17" t="s">
        <v>711</v>
      </c>
      <c r="D4435" s="17"/>
      <c r="E4435" s="17"/>
      <c r="F4435" s="23">
        <f>IFERROR(VLOOKUP(F4430,STUDENT!$A$2:$BP$101,9,0),"")</f>
        <v>0</v>
      </c>
      <c r="G4435" s="23"/>
      <c r="H4435" s="23"/>
      <c r="I4435" s="23"/>
      <c r="J4435" s="17" t="s">
        <v>620</v>
      </c>
      <c r="K4435" s="17"/>
      <c r="L4435" s="23">
        <f>IFERROR(VLOOKUP(F4430,STUDENT!$A$2:$BP$101,8,0),"")</f>
        <v>0</v>
      </c>
      <c r="M4435" s="23"/>
      <c r="N4435" s="23"/>
      <c r="O4435" s="23"/>
      <c r="P4435" s="23"/>
      <c r="Q4435" s="14"/>
      <c r="R4435" s="11"/>
    </row>
    <row r="4436" s="1" customFormat="1" ht="21.95" customHeight="1" spans="1:18">
      <c r="A4436" s="7"/>
      <c r="B4436" s="12"/>
      <c r="C4436" s="17" t="s">
        <v>712</v>
      </c>
      <c r="D4436" s="17"/>
      <c r="E4436" s="17"/>
      <c r="F4436" s="23">
        <f>IFERROR(VLOOKUP(F4430,STUDENT!$A$2:$BP$101,22,0),"")</f>
        <v>0</v>
      </c>
      <c r="G4436" s="23"/>
      <c r="H4436" s="23"/>
      <c r="I4436" s="23"/>
      <c r="J4436" s="23"/>
      <c r="K4436" s="23"/>
      <c r="L4436" s="23"/>
      <c r="M4436" s="23"/>
      <c r="N4436" s="23"/>
      <c r="O4436" s="23"/>
      <c r="P4436" s="23"/>
      <c r="Q4436" s="14"/>
      <c r="R4436" s="11"/>
    </row>
    <row r="4437" s="1" customFormat="1" ht="9.95" customHeight="1" spans="1:18">
      <c r="A4437" s="7"/>
      <c r="B4437" s="12"/>
      <c r="C4437" s="29"/>
      <c r="D4437" s="29"/>
      <c r="E4437" s="29"/>
      <c r="F4437" s="29"/>
      <c r="G4437" s="29"/>
      <c r="H4437" s="29"/>
      <c r="I4437" s="29"/>
      <c r="J4437" s="29"/>
      <c r="K4437" s="29"/>
      <c r="L4437" s="29"/>
      <c r="M4437" s="29"/>
      <c r="N4437" s="29"/>
      <c r="O4437" s="29"/>
      <c r="P4437" s="29"/>
      <c r="Q4437" s="14"/>
      <c r="R4437" s="11"/>
    </row>
    <row r="4438" s="1" customFormat="1" ht="9.95" customHeight="1" spans="1:18">
      <c r="A4438" s="7"/>
      <c r="B4438" s="12"/>
      <c r="C4438" s="30"/>
      <c r="D4438" s="31"/>
      <c r="E4438" s="31"/>
      <c r="F4438" s="31"/>
      <c r="G4438" s="31"/>
      <c r="H4438" s="31"/>
      <c r="I4438" s="31"/>
      <c r="J4438" s="31"/>
      <c r="K4438" s="31"/>
      <c r="L4438" s="31"/>
      <c r="M4438" s="31"/>
      <c r="N4438" s="31"/>
      <c r="O4438" s="31"/>
      <c r="P4438" s="32"/>
      <c r="Q4438" s="14"/>
      <c r="R4438" s="11"/>
    </row>
    <row r="4439" s="1" customFormat="1" ht="21.95" customHeight="1" spans="1:18">
      <c r="A4439" s="7"/>
      <c r="B4439" s="12"/>
      <c r="C4439" s="33"/>
      <c r="D4439" s="34" t="s">
        <v>713</v>
      </c>
      <c r="E4439" s="20" t="s">
        <v>714</v>
      </c>
      <c r="F4439" s="35" t="str">
        <f>"Level - "&amp;IFERROR(VLOOKUP(F4430,FLN!$A$4:$K$103,9,0),"")</f>
        <v>Level - </v>
      </c>
      <c r="G4439" s="36"/>
      <c r="H4439" s="37" t="s">
        <v>715</v>
      </c>
      <c r="I4439" s="20"/>
      <c r="J4439" s="35" t="str">
        <f>"Level - "&amp;IFERROR(VLOOKUP(F4430,FLN!$A$4:$K$103,11,0),"")</f>
        <v>Level - </v>
      </c>
      <c r="K4439" s="36"/>
      <c r="L4439" s="37" t="s">
        <v>408</v>
      </c>
      <c r="M4439" s="20"/>
      <c r="N4439" s="35" t="str">
        <f>"Level - "&amp;IFERROR(VLOOKUP(F4430,FLN!$A$4:$K$103,10,0),"")</f>
        <v>Level - </v>
      </c>
      <c r="O4439" s="36"/>
      <c r="P4439" s="19"/>
      <c r="Q4439" s="14"/>
      <c r="R4439" s="11"/>
    </row>
    <row r="4440" s="1" customFormat="1" ht="21.95" customHeight="1" spans="1:18">
      <c r="A4440" s="7"/>
      <c r="B4440" s="12"/>
      <c r="C4440" s="33"/>
      <c r="D4440" s="38"/>
      <c r="E4440" s="20" t="s">
        <v>716</v>
      </c>
      <c r="F4440" s="18" t="str">
        <f>IF(L4454&gt;197,"PERFORMED WELL","")</f>
        <v/>
      </c>
      <c r="G4440" s="18"/>
      <c r="H4440" s="18"/>
      <c r="I4440" s="18"/>
      <c r="J4440" s="18"/>
      <c r="K4440" s="18"/>
      <c r="L4440" s="18"/>
      <c r="M4440" s="18"/>
      <c r="N4440" s="18"/>
      <c r="O4440" s="18"/>
      <c r="P4440" s="19"/>
      <c r="Q4440" s="14"/>
      <c r="R4440" s="11"/>
    </row>
    <row r="4441" s="1" customFormat="1" ht="9.95" customHeight="1" spans="1:18">
      <c r="A4441" s="7"/>
      <c r="B4441" s="12"/>
      <c r="C4441" s="39"/>
      <c r="D4441" s="40"/>
      <c r="E4441" s="40"/>
      <c r="F4441" s="40"/>
      <c r="G4441" s="40"/>
      <c r="H4441" s="40"/>
      <c r="I4441" s="40"/>
      <c r="J4441" s="40"/>
      <c r="K4441" s="40"/>
      <c r="L4441" s="40"/>
      <c r="M4441" s="40"/>
      <c r="N4441" s="40"/>
      <c r="O4441" s="40"/>
      <c r="P4441" s="41"/>
      <c r="Q4441" s="14"/>
      <c r="R4441" s="11"/>
    </row>
    <row r="4442" s="1" customFormat="1" ht="9.95" customHeight="1" spans="1:18">
      <c r="A4442" s="7"/>
      <c r="B4442" s="12"/>
      <c r="C4442" s="29"/>
      <c r="D4442" s="29"/>
      <c r="E4442" s="29"/>
      <c r="F4442" s="29"/>
      <c r="G4442" s="29"/>
      <c r="H4442" s="29"/>
      <c r="I4442" s="29"/>
      <c r="J4442" s="29"/>
      <c r="K4442" s="29"/>
      <c r="L4442" s="29"/>
      <c r="M4442" s="29"/>
      <c r="N4442" s="29"/>
      <c r="O4442" s="29"/>
      <c r="P4442" s="29"/>
      <c r="Q4442" s="14"/>
      <c r="R4442" s="11"/>
    </row>
    <row r="4443" s="1" customFormat="1" ht="9.95" customHeight="1" spans="1:18">
      <c r="A4443" s="7"/>
      <c r="B4443" s="12"/>
      <c r="C4443" s="30"/>
      <c r="D4443" s="31"/>
      <c r="E4443" s="31"/>
      <c r="F4443" s="31"/>
      <c r="G4443" s="31"/>
      <c r="H4443" s="31"/>
      <c r="I4443" s="31"/>
      <c r="J4443" s="31"/>
      <c r="K4443" s="31"/>
      <c r="L4443" s="31"/>
      <c r="M4443" s="31"/>
      <c r="N4443" s="31"/>
      <c r="O4443" s="31"/>
      <c r="P4443" s="32"/>
      <c r="Q4443" s="14"/>
      <c r="R4443" s="11"/>
    </row>
    <row r="4444" s="1" customFormat="1" ht="21.95" customHeight="1" spans="1:18">
      <c r="A4444" s="7"/>
      <c r="B4444" s="12"/>
      <c r="C4444" s="33"/>
      <c r="D4444" s="35"/>
      <c r="E4444" s="24"/>
      <c r="F4444" s="24"/>
      <c r="G4444" s="47" t="s">
        <v>717</v>
      </c>
      <c r="H4444" s="47"/>
      <c r="I4444" s="47"/>
      <c r="J4444" s="47"/>
      <c r="K4444" s="47"/>
      <c r="L4444" s="47"/>
      <c r="M4444" s="47"/>
      <c r="N4444" s="47"/>
      <c r="O4444" s="29"/>
      <c r="P4444" s="19"/>
      <c r="Q4444" s="14"/>
      <c r="R4444" s="11"/>
    </row>
    <row r="4445" s="1" customFormat="1" ht="21.95" customHeight="1" spans="1:18">
      <c r="A4445" s="7"/>
      <c r="B4445" s="12"/>
      <c r="C4445" s="33"/>
      <c r="D4445" s="47"/>
      <c r="E4445" s="47"/>
      <c r="F4445" s="47"/>
      <c r="G4445" s="47" t="s">
        <v>541</v>
      </c>
      <c r="H4445" s="47" t="s">
        <v>542</v>
      </c>
      <c r="I4445" s="47" t="s">
        <v>543</v>
      </c>
      <c r="J4445" s="47" t="s">
        <v>544</v>
      </c>
      <c r="K4445" s="47" t="s">
        <v>561</v>
      </c>
      <c r="L4445" s="47" t="s">
        <v>382</v>
      </c>
      <c r="M4445" s="49" t="s">
        <v>546</v>
      </c>
      <c r="N4445" s="49"/>
      <c r="O4445" s="29"/>
      <c r="P4445" s="19"/>
      <c r="Q4445" s="14"/>
      <c r="R4445" s="11"/>
    </row>
    <row r="4446" s="1" customFormat="1" ht="21.95" customHeight="1" spans="1:18">
      <c r="A4446" s="7"/>
      <c r="B4446" s="12"/>
      <c r="C4446" s="33"/>
      <c r="D4446" s="207" t="s">
        <v>652</v>
      </c>
      <c r="E4446" s="207"/>
      <c r="F4446" s="207"/>
      <c r="G4446" s="50">
        <v>10</v>
      </c>
      <c r="H4446" s="50">
        <v>10</v>
      </c>
      <c r="I4446" s="50">
        <v>10</v>
      </c>
      <c r="J4446" s="50">
        <v>10</v>
      </c>
      <c r="K4446" s="50">
        <v>60</v>
      </c>
      <c r="L4446" s="50">
        <v>100</v>
      </c>
      <c r="M4446" s="49"/>
      <c r="N4446" s="49"/>
      <c r="O4446" s="29"/>
      <c r="P4446" s="19"/>
      <c r="Q4446" s="14"/>
      <c r="R4446" s="11"/>
    </row>
    <row r="4447" s="1" customFormat="1" ht="21.95" customHeight="1" spans="1:18">
      <c r="A4447" s="7"/>
      <c r="B4447" s="12"/>
      <c r="C4447" s="33"/>
      <c r="D4447" s="117" t="s">
        <v>668</v>
      </c>
      <c r="E4447" s="117"/>
      <c r="F4447" s="117"/>
      <c r="G4447" s="54" t="str">
        <f>IFERROR(VLOOKUP(F4430,'1to4-2.1-RR'!$A$12:$BG$111,9,0),"")</f>
        <v/>
      </c>
      <c r="H4447" s="54" t="str">
        <f>IFERROR(VLOOKUP(F4430,'1to4-2.1-RR'!$A$12:$BG$111,10,0),"")</f>
        <v/>
      </c>
      <c r="I4447" s="54" t="str">
        <f>IFERROR(VLOOKUP(F4430,'1to4-2.1-RR'!$A$12:$BG$111,11,0),"")</f>
        <v/>
      </c>
      <c r="J4447" s="54" t="str">
        <f>IFERROR(VLOOKUP(F4430,'1to4-2.1-RR'!$A$12:$BG$111,12,0),"")</f>
        <v/>
      </c>
      <c r="K4447" s="54" t="str">
        <f>IFERROR(VLOOKUP(F4430,'1to4-2.1-RR'!$A$12:$BG$111,13,0),"")</f>
        <v/>
      </c>
      <c r="L4447" s="55">
        <f>SUM(G4447:K4447)</f>
        <v>0</v>
      </c>
      <c r="M4447" s="56" t="str">
        <f>IF(F4430&gt;ENTRY!$D$24,"",IF(L4447=0,"Ab",IF(L4447&gt;80,"A",IF(L4447&gt;60,"B",IF(L4447&gt;44,"C",IF(L4447&gt;=33,"D",IF(L4447&lt;=32,"E","")))))))</f>
        <v/>
      </c>
      <c r="N4447" s="56"/>
      <c r="O4447" s="29"/>
      <c r="P4447" s="19"/>
      <c r="Q4447" s="14"/>
      <c r="R4447" s="11"/>
    </row>
    <row r="4448" s="1" customFormat="1" ht="21.95" customHeight="1" spans="1:18">
      <c r="A4448" s="7"/>
      <c r="B4448" s="12"/>
      <c r="C4448" s="33"/>
      <c r="D4448" s="117" t="s">
        <v>513</v>
      </c>
      <c r="E4448" s="117"/>
      <c r="F4448" s="117"/>
      <c r="G4448" s="54" t="str">
        <f>IFERROR(VLOOKUP(F4430,'1to4-2.1-RR'!$A$12:$BG$111,16,0),"")</f>
        <v/>
      </c>
      <c r="H4448" s="54" t="str">
        <f>IFERROR(VLOOKUP(F4430,'1to4-2.1-RR'!$A$12:$BG$111,17,0),"")</f>
        <v/>
      </c>
      <c r="I4448" s="54" t="str">
        <f>IFERROR(VLOOKUP(F4430,'1to4-2.1-RR'!$A$12:$BG$111,18,0),"")</f>
        <v/>
      </c>
      <c r="J4448" s="54" t="str">
        <f>IFERROR(VLOOKUP(F4430,'1to4-2.1-RR'!$A$12:$BG$111,19,0),"")</f>
        <v/>
      </c>
      <c r="K4448" s="54" t="str">
        <f>IFERROR(VLOOKUP(F4430,'1to4-2.1-RR'!$A$12:$BG$111,20,0),"")</f>
        <v/>
      </c>
      <c r="L4448" s="55">
        <f t="shared" ref="L4448:L4453" si="158">SUM(G4448:K4448)</f>
        <v>0</v>
      </c>
      <c r="M4448" s="56" t="str">
        <f>IF(F4430&gt;ENTRY!$D$24,"",IF(L4448=0,"Ab",IF(L4448&gt;80,"A",IF(L4448&gt;60,"B",IF(L4448&gt;44,"C",IF(L4448&gt;=33,"D",IF(L4448&lt;=32,"E","")))))))</f>
        <v/>
      </c>
      <c r="N4448" s="56"/>
      <c r="O4448" s="29"/>
      <c r="P4448" s="19"/>
      <c r="Q4448" s="14"/>
      <c r="R4448" s="11"/>
    </row>
    <row r="4449" s="1" customFormat="1" ht="21.95" customHeight="1" spans="1:19">
      <c r="A4449" s="7"/>
      <c r="B4449" s="12"/>
      <c r="C4449" s="33"/>
      <c r="D4449" s="117" t="s">
        <v>718</v>
      </c>
      <c r="E4449" s="117"/>
      <c r="F4449" s="117"/>
      <c r="G4449" s="54" t="str">
        <f>IFERROR(VLOOKUP(F4430,'1to4-2.1-RR'!$A$12:$BG$111,23,0),"")</f>
        <v/>
      </c>
      <c r="H4449" s="54" t="str">
        <f>IFERROR(VLOOKUP(F4430,'1to4-2.1-RR'!$A$12:$BG$111,24,0),"")</f>
        <v/>
      </c>
      <c r="I4449" s="54" t="str">
        <f>IFERROR(VLOOKUP(F4430,'1to4-2.1-RR'!$A$12:$BG$111,25,0),"")</f>
        <v/>
      </c>
      <c r="J4449" s="54" t="str">
        <f>IFERROR(VLOOKUP(F4430,'1to4-2.1-RR'!$A$12:$BG$111,26,0),"")</f>
        <v/>
      </c>
      <c r="K4449" s="54" t="str">
        <f>IFERROR(VLOOKUP(F4430,'1to4-2.1-RR'!$A$12:$BG$111,27,0),"")</f>
        <v/>
      </c>
      <c r="L4449" s="55">
        <f t="shared" si="158"/>
        <v>0</v>
      </c>
      <c r="M4449" s="56" t="str">
        <f>IF(F4430&gt;ENTRY!$D$24,"",IF(L4449=0,"Ab",IF(L4449&gt;80,"A",IF(L4449&gt;60,"B",IF(L4449&gt;44,"C",IF(L4449&gt;=33,"D",IF(L4449&lt;=32,"E","")))))))</f>
        <v/>
      </c>
      <c r="N4449" s="56"/>
      <c r="O4449" s="29"/>
      <c r="P4449" s="19"/>
      <c r="Q4449" s="14"/>
      <c r="R4449" s="11"/>
    </row>
    <row r="4450" s="1" customFormat="1" ht="21.95" customHeight="1" spans="1:19">
      <c r="A4450" s="7"/>
      <c r="B4450" s="12"/>
      <c r="C4450" s="33"/>
      <c r="D4450" s="117" t="s">
        <v>719</v>
      </c>
      <c r="E4450" s="117"/>
      <c r="F4450" s="117"/>
      <c r="G4450" s="54" t="str">
        <f>IFERROR(VLOOKUP(F4430,'1to4-2.1-RR'!$A$12:$BG$111,30,0),"")</f>
        <v/>
      </c>
      <c r="H4450" s="54" t="str">
        <f>IFERROR(VLOOKUP(F4430,'1to4-2.1-RR'!$A$12:$BG$111,31,0),"")</f>
        <v/>
      </c>
      <c r="I4450" s="54" t="str">
        <f>IFERROR(VLOOKUP(F4430,'1to4-2.1-RR'!$A$12:$BG$111,32,0),"")</f>
        <v/>
      </c>
      <c r="J4450" s="54" t="str">
        <f>IFERROR(VLOOKUP(F4430,'1to4-2.1-RR'!$A$12:$BG$111,33,0),"")</f>
        <v/>
      </c>
      <c r="K4450" s="54" t="str">
        <f>IFERROR(VLOOKUP(F4430,'1to4-2.1-RR'!$A$12:$BG$111,34,0),"")</f>
        <v/>
      </c>
      <c r="L4450" s="55">
        <f t="shared" si="158"/>
        <v>0</v>
      </c>
      <c r="M4450" s="56" t="str">
        <f>IF(F4430&gt;ENTRY!$D$24,"",IF(L4450=0,"Ab",IF(L4450&gt;80,"A",IF(L4450&gt;60,"B",IF(L4450&gt;44,"C",IF(L4450&gt;=33,"D",IF(L4450&lt;=32,"E","")))))))</f>
        <v/>
      </c>
      <c r="N4450" s="56"/>
      <c r="O4450" s="29"/>
      <c r="P4450" s="19"/>
      <c r="Q4450" s="14"/>
      <c r="R4450" s="11"/>
    </row>
    <row r="4451" s="1" customFormat="1" ht="21.95" customHeight="1" spans="1:19">
      <c r="A4451" s="7"/>
      <c r="B4451" s="12"/>
      <c r="C4451" s="33"/>
      <c r="D4451" s="117" t="s">
        <v>548</v>
      </c>
      <c r="E4451" s="117"/>
      <c r="F4451" s="117"/>
      <c r="G4451" s="54" t="str">
        <f>IFERROR(VLOOKUP(F4430,'1to4-2.1-RR'!$A$12:$BG$111,37,0),"")</f>
        <v/>
      </c>
      <c r="H4451" s="54" t="str">
        <f>IFERROR(VLOOKUP(F4430,'1to4-2.1-RR'!$A$12:$BG$111,38,0),"")</f>
        <v/>
      </c>
      <c r="I4451" s="54" t="str">
        <f>IFERROR(VLOOKUP(F4430,'1to4-2.1-RR'!$A$12:$BG$111,39,0),"")</f>
        <v/>
      </c>
      <c r="J4451" s="54" t="str">
        <f>IFERROR(VLOOKUP(F4430,'1to4-2.1-RR'!$A$12:$BG$111,40,0),"")</f>
        <v/>
      </c>
      <c r="K4451" s="54" t="str">
        <f>IFERROR(VLOOKUP(F4430,'1to4-2.1-RR'!$A$12:$BG$111,41,0),"")</f>
        <v/>
      </c>
      <c r="L4451" s="55">
        <f t="shared" si="158"/>
        <v>0</v>
      </c>
      <c r="M4451" s="56" t="str">
        <f>IF(F4430&gt;ENTRY!$D$24,"",IF(L4451=0,"Ab",IF(L4451&gt;80,"A",IF(L4451&gt;60,"B",IF(L4451&gt;44,"C",IF(L4451&gt;=33,"D",IF(L4451&lt;=32,"E","")))))))</f>
        <v/>
      </c>
      <c r="N4451" s="56"/>
      <c r="O4451" s="29"/>
      <c r="P4451" s="19"/>
      <c r="Q4451" s="14"/>
      <c r="R4451" s="11"/>
    </row>
    <row r="4452" s="1" customFormat="1" ht="21.95" customHeight="1" spans="1:19">
      <c r="A4452" s="7"/>
      <c r="B4452" s="12"/>
      <c r="C4452" s="33"/>
      <c r="D4452" s="117" t="s">
        <v>549</v>
      </c>
      <c r="E4452" s="117"/>
      <c r="F4452" s="117"/>
      <c r="G4452" s="54" t="str">
        <f>IFERROR(VLOOKUP(F4430,'1to4-2.1-RR'!$A$12:$BG$111,44,0),"")</f>
        <v/>
      </c>
      <c r="H4452" s="54" t="str">
        <f>IFERROR(VLOOKUP(F4430,'1to4-2.1-RR'!$A$12:$BG$111,45,0),"")</f>
        <v/>
      </c>
      <c r="I4452" s="54" t="str">
        <f>IFERROR(VLOOKUP(F4430,'1to4-2.1-RR'!$A$12:$BG$111,46,0),"")</f>
        <v/>
      </c>
      <c r="J4452" s="54" t="str">
        <f>IFERROR(VLOOKUP(F4430,'1to4-2.1-RR'!$A$12:$BG$111,47,0),"")</f>
        <v/>
      </c>
      <c r="K4452" s="54" t="str">
        <f>IFERROR(VLOOKUP(F4430,'1to4-2.1-RR'!$A$12:$BG$111,48,0),"")</f>
        <v/>
      </c>
      <c r="L4452" s="55">
        <f t="shared" si="158"/>
        <v>0</v>
      </c>
      <c r="M4452" s="56" t="str">
        <f>IF(F4430&gt;ENTRY!$D$24,"",IF(L4452=0,"Ab",IF(L4452&gt;80,"A",IF(L4452&gt;60,"B",IF(L4452&gt;44,"C",IF(L4452&gt;=33,"D",IF(L4452&lt;=32,"E","")))))))</f>
        <v/>
      </c>
      <c r="N4452" s="56"/>
      <c r="O4452" s="29"/>
      <c r="P4452" s="19"/>
      <c r="Q4452" s="14"/>
      <c r="R4452" s="11"/>
    </row>
    <row r="4453" s="1" customFormat="1" ht="21.95" customHeight="1" spans="1:19">
      <c r="A4453" s="7"/>
      <c r="B4453" s="12"/>
      <c r="C4453" s="33"/>
      <c r="D4453" s="117" t="s">
        <v>720</v>
      </c>
      <c r="E4453" s="117"/>
      <c r="F4453" s="117"/>
      <c r="G4453" s="54"/>
      <c r="H4453" s="54"/>
      <c r="I4453" s="54"/>
      <c r="J4453" s="54"/>
      <c r="K4453" s="54"/>
      <c r="L4453" s="55">
        <f t="shared" si="158"/>
        <v>0</v>
      </c>
      <c r="M4453" s="56" t="str">
        <f>IF(F4430&gt;ENTRY!$D$24,"",IF(L4453=0,"",IF(L4453&gt;79,"A",IF(L4453&gt;59,"B",IF(L4453&gt;44,"C",IF(L4453&gt;=33,"D",IF(L4453&lt;=32,"E","")))))))</f>
        <v/>
      </c>
      <c r="N4453" s="56"/>
      <c r="O4453" s="29"/>
      <c r="P4453" s="19"/>
      <c r="Q4453" s="14"/>
      <c r="R4453" s="11"/>
    </row>
    <row r="4454" s="1" customFormat="1" ht="21.95" customHeight="1" spans="1:19">
      <c r="A4454" s="7"/>
      <c r="B4454" s="12"/>
      <c r="C4454" s="33"/>
      <c r="D4454" s="207" t="s">
        <v>382</v>
      </c>
      <c r="E4454" s="207"/>
      <c r="F4454" s="207"/>
      <c r="G4454" s="54">
        <f t="shared" ref="G4454:L4454" si="159">IFERROR(SUM(G4447:G4453),"")</f>
        <v>0</v>
      </c>
      <c r="H4454" s="54">
        <f t="shared" si="159"/>
        <v>0</v>
      </c>
      <c r="I4454" s="54">
        <f t="shared" si="159"/>
        <v>0</v>
      </c>
      <c r="J4454" s="54">
        <f t="shared" si="159"/>
        <v>0</v>
      </c>
      <c r="K4454" s="54">
        <f t="shared" si="159"/>
        <v>0</v>
      </c>
      <c r="L4454" s="55">
        <f t="shared" si="159"/>
        <v>0</v>
      </c>
      <c r="M4454" s="61" t="str">
        <f>IF(F4430&gt;ENTRY!$D$24,"",IF(N4455="Ab","Ab",IF(N4455&gt;79.5,"A",IF(N4455&gt;59.5,"B",IF(N4455&gt;44.5,"C",IF(N4455&gt;=33,"D",IF(N4455&lt;33,"E","")))))))</f>
        <v/>
      </c>
      <c r="N4454" s="61"/>
      <c r="O4454" s="29"/>
      <c r="P4454" s="19"/>
      <c r="Q4454" s="14"/>
      <c r="R4454" s="11"/>
    </row>
    <row r="4455" s="1" customFormat="1" ht="21.95" customHeight="1" spans="1:19">
      <c r="A4455" s="7"/>
      <c r="B4455" s="12"/>
      <c r="C4455" s="33"/>
      <c r="D4455" s="63" t="s">
        <v>721</v>
      </c>
      <c r="E4455" s="63"/>
      <c r="F4455" s="63"/>
      <c r="G4455" s="63"/>
      <c r="H4455" s="63"/>
      <c r="I4455" s="63"/>
      <c r="J4455" s="63"/>
      <c r="K4455" s="63"/>
      <c r="L4455" s="63"/>
      <c r="M4455" s="209"/>
      <c r="N4455" s="64">
        <f>IF(L4454="Ab","Ab",L4454/6)</f>
        <v>0</v>
      </c>
      <c r="O4455" s="65"/>
      <c r="P4455" s="19"/>
      <c r="Q4455" s="14"/>
      <c r="R4455" s="11"/>
    </row>
    <row r="4456" s="1" customFormat="1" ht="21.95" customHeight="1" spans="1:19">
      <c r="A4456" s="7"/>
      <c r="B4456" s="12"/>
      <c r="C4456" s="33"/>
      <c r="D4456" s="29" t="s">
        <v>716</v>
      </c>
      <c r="E4456" s="18" t="str">
        <f>IFERROR(VLOOKUP(F4430,'1to4-2.1-RR'!$A$12:$BG$111,57,0),"")</f>
        <v/>
      </c>
      <c r="F4456" s="18"/>
      <c r="G4456" s="18"/>
      <c r="H4456" s="18"/>
      <c r="I4456" s="18"/>
      <c r="J4456" s="18"/>
      <c r="K4456" s="18"/>
      <c r="L4456" s="18"/>
      <c r="M4456" s="18"/>
      <c r="N4456" s="29"/>
      <c r="O4456" s="29"/>
      <c r="P4456" s="19"/>
      <c r="Q4456" s="14"/>
      <c r="R4456" s="11"/>
    </row>
    <row r="4457" s="1" customFormat="1" ht="9.95" customHeight="1" spans="1:19">
      <c r="A4457" s="7"/>
      <c r="B4457" s="12"/>
      <c r="C4457" s="39"/>
      <c r="D4457" s="40"/>
      <c r="E4457" s="40"/>
      <c r="F4457" s="40"/>
      <c r="G4457" s="40"/>
      <c r="H4457" s="40"/>
      <c r="I4457" s="40"/>
      <c r="J4457" s="40"/>
      <c r="K4457" s="40"/>
      <c r="L4457" s="40"/>
      <c r="M4457" s="40"/>
      <c r="N4457" s="40"/>
      <c r="O4457" s="40"/>
      <c r="P4457" s="41"/>
      <c r="Q4457" s="14"/>
      <c r="R4457" s="11"/>
    </row>
    <row r="4458" s="1" customFormat="1" ht="9.95" customHeight="1" spans="1:19">
      <c r="A4458" s="7"/>
      <c r="B4458" s="12"/>
      <c r="C4458" s="30"/>
      <c r="D4458" s="31"/>
      <c r="E4458" s="31"/>
      <c r="F4458" s="29"/>
      <c r="G4458" s="31"/>
      <c r="H4458" s="31"/>
      <c r="I4458" s="31"/>
      <c r="J4458" s="31"/>
      <c r="K4458" s="31"/>
      <c r="L4458" s="31"/>
      <c r="M4458" s="31"/>
      <c r="N4458" s="31"/>
      <c r="O4458" s="31"/>
      <c r="P4458" s="32"/>
      <c r="Q4458" s="14"/>
      <c r="R4458" s="11"/>
    </row>
    <row r="4459" s="1" customFormat="1" ht="9.95" customHeight="1" spans="1:19">
      <c r="A4459" s="7"/>
      <c r="B4459" s="12"/>
      <c r="C4459" s="33"/>
      <c r="D4459" s="29"/>
      <c r="E4459" s="29"/>
      <c r="F4459" s="29"/>
      <c r="G4459" s="29"/>
      <c r="H4459" s="29"/>
      <c r="I4459" s="29"/>
      <c r="J4459" s="29"/>
      <c r="K4459" s="29"/>
      <c r="L4459" s="29"/>
      <c r="M4459" s="29"/>
      <c r="N4459" s="29"/>
      <c r="O4459" s="29"/>
      <c r="P4459" s="19"/>
      <c r="Q4459" s="14"/>
      <c r="R4459" s="11"/>
    </row>
    <row r="4460" s="1" customFormat="1" ht="9.95" customHeight="1" spans="1:19">
      <c r="A4460" s="7"/>
      <c r="B4460" s="12"/>
      <c r="C4460" s="33"/>
      <c r="D4460" s="29"/>
      <c r="E4460" s="29"/>
      <c r="F4460" s="29"/>
      <c r="G4460" s="29"/>
      <c r="H4460" s="29"/>
      <c r="I4460" s="29"/>
      <c r="J4460" s="29"/>
      <c r="K4460" s="29"/>
      <c r="L4460" s="29"/>
      <c r="M4460" s="29"/>
      <c r="N4460" s="29"/>
      <c r="O4460" s="29"/>
      <c r="P4460" s="19"/>
      <c r="Q4460" s="14"/>
      <c r="R4460" s="11"/>
    </row>
    <row r="4461" s="1" customFormat="1" ht="21.95" customHeight="1" spans="1:19">
      <c r="A4461" s="7"/>
      <c r="B4461" s="12"/>
      <c r="C4461" s="210"/>
      <c r="D4461" s="211"/>
      <c r="E4461" s="211"/>
      <c r="F4461" s="211"/>
      <c r="G4461" s="211"/>
      <c r="H4461" s="211"/>
      <c r="I4461" s="211"/>
      <c r="J4461" s="211"/>
      <c r="K4461" s="211"/>
      <c r="L4461" s="211"/>
      <c r="M4461" s="211"/>
      <c r="N4461" s="211"/>
      <c r="O4461" s="211"/>
      <c r="P4461" s="212"/>
      <c r="Q4461" s="14"/>
      <c r="R4461" s="11"/>
      <c r="S4461" s="2"/>
    </row>
    <row r="4462" s="1" customFormat="1" ht="21.95" customHeight="1" spans="1:19">
      <c r="A4462" s="7"/>
      <c r="B4462" s="12"/>
      <c r="C4462" s="33"/>
      <c r="D4462" s="207" t="s">
        <v>722</v>
      </c>
      <c r="E4462" s="207"/>
      <c r="F4462" s="207"/>
      <c r="G4462" s="207"/>
      <c r="H4462" s="54">
        <f>IFERROR(VLOOKUP(F4430,PASHEET!$A$4:$CJ$103,88,0),"")</f>
        <v>0</v>
      </c>
      <c r="I4462" s="54"/>
      <c r="J4462" s="29"/>
      <c r="K4462" s="29"/>
      <c r="L4462" s="29"/>
      <c r="M4462" s="29"/>
      <c r="N4462" s="29"/>
      <c r="O4462" s="29"/>
      <c r="P4462" s="19"/>
      <c r="Q4462" s="14"/>
      <c r="R4462" s="11"/>
    </row>
    <row r="4463" s="1" customFormat="1" ht="21.95" customHeight="1" spans="1:19">
      <c r="A4463" s="7"/>
      <c r="B4463" s="12"/>
      <c r="C4463" s="213"/>
      <c r="D4463" s="207" t="s">
        <v>723</v>
      </c>
      <c r="E4463" s="207"/>
      <c r="F4463" s="207"/>
      <c r="G4463" s="207"/>
      <c r="H4463" s="54">
        <f>IFERROR(VLOOKUP(F4430,PASHEET!$A$4:$CJ$103,87,0),"")</f>
        <v>0</v>
      </c>
      <c r="I4463" s="54"/>
      <c r="J4463" s="214"/>
      <c r="K4463" s="214"/>
      <c r="L4463" s="207" t="s">
        <v>724</v>
      </c>
      <c r="M4463" s="207"/>
      <c r="N4463" s="117" t="str">
        <f>IF(F4430&gt;ENTRY!$D$24,"",IF(F4430&gt;0,L4454&amp;" / "&amp;600,""))</f>
        <v/>
      </c>
      <c r="O4463" s="117"/>
      <c r="P4463" s="215"/>
      <c r="Q4463" s="14"/>
      <c r="R4463" s="11"/>
    </row>
    <row r="4464" s="1" customFormat="1" ht="18" customHeight="1" spans="1:19">
      <c r="A4464" s="7"/>
      <c r="B4464" s="12"/>
      <c r="C4464" s="33"/>
      <c r="D4464" s="207" t="s">
        <v>725</v>
      </c>
      <c r="E4464" s="207"/>
      <c r="F4464" s="207"/>
      <c r="G4464" s="207"/>
      <c r="H4464" s="69" t="str">
        <f>IFERROR(IF(F4430&gt;0,H4463/H4462*100),"")</f>
        <v/>
      </c>
      <c r="I4464" s="69"/>
      <c r="J4464" s="29"/>
      <c r="K4464" s="29"/>
      <c r="L4464" s="207" t="s">
        <v>726</v>
      </c>
      <c r="M4464" s="207"/>
      <c r="N4464" s="216" t="str">
        <f>IF(F4430&gt;ENTRY!$D$24,"",IF(F4430&gt;0,L4454/600*100,""))</f>
        <v/>
      </c>
      <c r="O4464" s="216"/>
      <c r="P4464" s="19"/>
      <c r="Q4464" s="14"/>
      <c r="R4464" s="11"/>
    </row>
    <row r="4465" s="1" customFormat="1" ht="21.95" customHeight="1" spans="1:18">
      <c r="A4465" s="7"/>
      <c r="B4465" s="12"/>
      <c r="C4465" s="33"/>
      <c r="D4465" s="80"/>
      <c r="E4465" s="80"/>
      <c r="F4465" s="217"/>
      <c r="G4465" s="217"/>
      <c r="H4465" s="217"/>
      <c r="I4465" s="217"/>
      <c r="J4465" s="217"/>
      <c r="K4465" s="217"/>
      <c r="L4465" s="217"/>
      <c r="M4465" s="217"/>
      <c r="N4465" s="80"/>
      <c r="O4465" s="80"/>
      <c r="P4465" s="19"/>
      <c r="Q4465" s="14"/>
      <c r="R4465" s="11"/>
    </row>
    <row r="4466" s="1" customFormat="1" ht="21.95" customHeight="1" spans="1:18">
      <c r="A4466" s="7"/>
      <c r="B4466" s="12"/>
      <c r="C4466" s="33"/>
      <c r="D4466" s="80"/>
      <c r="E4466" s="218"/>
      <c r="F4466" s="218"/>
      <c r="G4466" s="218"/>
      <c r="H4466" s="80"/>
      <c r="I4466" s="218"/>
      <c r="J4466" s="218"/>
      <c r="K4466" s="218"/>
      <c r="L4466" s="218"/>
      <c r="M4466" s="80"/>
      <c r="N4466" s="219"/>
      <c r="O4466" s="219"/>
      <c r="P4466" s="19"/>
      <c r="Q4466" s="14"/>
      <c r="R4466" s="11"/>
    </row>
    <row r="4467" s="1" customFormat="1" ht="21.95" customHeight="1" spans="1:18">
      <c r="A4467" s="7"/>
      <c r="B4467" s="12"/>
      <c r="C4467" s="33"/>
      <c r="D4467" s="80"/>
      <c r="E4467" s="80"/>
      <c r="F4467" s="80"/>
      <c r="G4467" s="80"/>
      <c r="H4467" s="80"/>
      <c r="I4467" s="80"/>
      <c r="J4467" s="80"/>
      <c r="K4467" s="80"/>
      <c r="L4467" s="80"/>
      <c r="M4467" s="80"/>
      <c r="N4467" s="80"/>
      <c r="O4467" s="80"/>
      <c r="P4467" s="19"/>
      <c r="Q4467" s="14"/>
      <c r="R4467" s="11"/>
    </row>
    <row r="4468" s="1" customFormat="1" ht="21.95" customHeight="1" spans="1:18">
      <c r="A4468" s="7"/>
      <c r="B4468" s="12"/>
      <c r="C4468" s="33"/>
      <c r="D4468" s="218"/>
      <c r="E4468" s="218"/>
      <c r="F4468" s="218"/>
      <c r="G4468" s="218"/>
      <c r="H4468" s="218"/>
      <c r="I4468" s="218"/>
      <c r="J4468" s="218"/>
      <c r="K4468" s="218"/>
      <c r="L4468" s="218"/>
      <c r="M4468" s="80"/>
      <c r="N4468" s="217"/>
      <c r="O4468" s="217"/>
      <c r="P4468" s="85" t="s">
        <v>727</v>
      </c>
      <c r="Q4468" s="14"/>
      <c r="R4468" s="11"/>
    </row>
    <row r="4469" s="1" customFormat="1" ht="21.95" customHeight="1" spans="1:18">
      <c r="A4469" s="7"/>
      <c r="B4469" s="12"/>
      <c r="C4469" s="33"/>
      <c r="D4469" s="29"/>
      <c r="E4469" s="29"/>
      <c r="F4469" s="29"/>
      <c r="G4469" s="29"/>
      <c r="H4469" s="29"/>
      <c r="I4469" s="29"/>
      <c r="J4469" s="29"/>
      <c r="K4469" s="29"/>
      <c r="L4469" s="29"/>
      <c r="M4469" s="29"/>
      <c r="N4469" s="29"/>
      <c r="O4469" s="29"/>
      <c r="P4469" s="19"/>
      <c r="Q4469" s="14"/>
      <c r="R4469" s="11"/>
    </row>
    <row r="4470" s="1" customFormat="1" ht="21.95" customHeight="1" spans="1:18">
      <c r="A4470" s="7"/>
      <c r="B4470" s="12"/>
      <c r="C4470" s="33"/>
      <c r="D4470" s="29"/>
      <c r="E4470" s="29"/>
      <c r="F4470" s="29"/>
      <c r="G4470" s="29"/>
      <c r="H4470" s="29"/>
      <c r="I4470" s="29"/>
      <c r="J4470" s="29"/>
      <c r="K4470" s="29"/>
      <c r="L4470" s="29"/>
      <c r="M4470" s="29"/>
      <c r="N4470" s="29"/>
      <c r="O4470" s="29"/>
      <c r="P4470" s="19"/>
      <c r="Q4470" s="14"/>
      <c r="R4470" s="11"/>
    </row>
    <row r="4471" s="1" customFormat="1" ht="21.95" customHeight="1" spans="1:18">
      <c r="A4471" s="7"/>
      <c r="B4471" s="12"/>
      <c r="C4471" s="33"/>
      <c r="D4471" s="29"/>
      <c r="E4471" s="29"/>
      <c r="F4471" s="29"/>
      <c r="G4471" s="29"/>
      <c r="H4471" s="29"/>
      <c r="I4471" s="29"/>
      <c r="J4471" s="29"/>
      <c r="K4471" s="29"/>
      <c r="L4471" s="29"/>
      <c r="M4471" s="29"/>
      <c r="N4471" s="29"/>
      <c r="O4471" s="29"/>
      <c r="P4471" s="19"/>
      <c r="Q4471" s="14"/>
      <c r="R4471" s="11"/>
    </row>
    <row r="4472" s="1" customFormat="1" ht="21.95" customHeight="1" spans="1:18">
      <c r="A4472" s="7"/>
      <c r="B4472" s="12"/>
      <c r="C4472" s="33"/>
      <c r="D4472" s="29"/>
      <c r="E4472" s="29"/>
      <c r="F4472" s="29"/>
      <c r="G4472" s="29"/>
      <c r="H4472" s="29"/>
      <c r="I4472" s="29"/>
      <c r="J4472" s="29"/>
      <c r="K4472" s="29"/>
      <c r="L4472" s="29"/>
      <c r="M4472" s="29"/>
      <c r="N4472" s="29"/>
      <c r="O4472" s="29"/>
      <c r="P4472" s="19"/>
      <c r="Q4472" s="14"/>
      <c r="R4472" s="11"/>
    </row>
    <row r="4473" s="1" customFormat="1" ht="21.95" customHeight="1" spans="1:18">
      <c r="A4473" s="7"/>
      <c r="B4473" s="12"/>
      <c r="C4473" s="33"/>
      <c r="D4473" s="29"/>
      <c r="E4473" s="29"/>
      <c r="F4473" s="29"/>
      <c r="G4473" s="29"/>
      <c r="H4473" s="29"/>
      <c r="I4473" s="29"/>
      <c r="J4473" s="29"/>
      <c r="K4473" s="29"/>
      <c r="L4473" s="29"/>
      <c r="M4473" s="29"/>
      <c r="N4473" s="29"/>
      <c r="O4473" s="29"/>
      <c r="P4473" s="19"/>
      <c r="Q4473" s="14"/>
      <c r="R4473" s="11"/>
    </row>
    <row r="4474" s="1" customFormat="1" ht="21.95" customHeight="1" spans="1:18">
      <c r="A4474" s="7"/>
      <c r="B4474" s="12"/>
      <c r="C4474" s="33"/>
      <c r="D4474" s="80" t="s">
        <v>728</v>
      </c>
      <c r="E4474" s="220">
        <f>ENTRY!$D$27</f>
        <v>46102</v>
      </c>
      <c r="F4474" s="220"/>
      <c r="G4474" s="29"/>
      <c r="H4474" s="29"/>
      <c r="I4474" s="221" t="s">
        <v>729</v>
      </c>
      <c r="J4474" s="153"/>
      <c r="K4474" s="29"/>
      <c r="L4474" s="29"/>
      <c r="M4474" s="87" t="s">
        <v>730</v>
      </c>
      <c r="N4474" s="87"/>
      <c r="O4474" s="87"/>
      <c r="P4474" s="19"/>
      <c r="Q4474" s="14"/>
      <c r="R4474" s="11"/>
    </row>
    <row r="4475" s="1" customFormat="1" ht="21.95" customHeight="1" spans="1:18">
      <c r="A4475" s="7"/>
      <c r="B4475" s="12"/>
      <c r="C4475" s="33"/>
      <c r="D4475" s="80" t="s">
        <v>731</v>
      </c>
      <c r="E4475" s="88" t="str">
        <f>PROPER(ENTRY!$D$28)</f>
        <v>New Delhi</v>
      </c>
      <c r="F4475" s="88"/>
      <c r="G4475" s="29"/>
      <c r="H4475" s="29"/>
      <c r="I4475" s="153"/>
      <c r="J4475" s="153"/>
      <c r="K4475" s="29"/>
      <c r="L4475" s="29"/>
      <c r="M4475" s="79" t="s">
        <v>732</v>
      </c>
      <c r="N4475" s="79"/>
      <c r="O4475" s="79"/>
      <c r="P4475" s="19"/>
      <c r="Q4475" s="14"/>
      <c r="R4475" s="11"/>
    </row>
    <row r="4476" s="1" customFormat="1" ht="21.95" customHeight="1" spans="1:18">
      <c r="A4476" s="7"/>
      <c r="B4476" s="12"/>
      <c r="C4476" s="90"/>
      <c r="D4476" s="91"/>
      <c r="E4476" s="91"/>
      <c r="F4476" s="91"/>
      <c r="G4476" s="91"/>
      <c r="H4476" s="91"/>
      <c r="I4476" s="91"/>
      <c r="J4476" s="91"/>
      <c r="K4476" s="91"/>
      <c r="L4476" s="91"/>
      <c r="M4476" s="91"/>
      <c r="N4476" s="91"/>
      <c r="O4476" s="91"/>
      <c r="P4476" s="92"/>
      <c r="Q4476" s="14"/>
      <c r="R4476" s="11"/>
    </row>
    <row r="4477" s="1" customFormat="1" ht="5.1" customHeight="1" spans="1:18">
      <c r="A4477" s="7"/>
      <c r="B4477" s="90"/>
      <c r="C4477" s="91"/>
      <c r="D4477" s="91"/>
      <c r="E4477" s="91"/>
      <c r="F4477" s="91"/>
      <c r="G4477" s="91"/>
      <c r="H4477" s="91"/>
      <c r="I4477" s="91"/>
      <c r="J4477" s="91"/>
      <c r="K4477" s="91"/>
      <c r="L4477" s="91"/>
      <c r="M4477" s="91"/>
      <c r="N4477" s="91"/>
      <c r="O4477" s="91"/>
      <c r="P4477" s="91"/>
      <c r="Q4477" s="92"/>
      <c r="R4477" s="11"/>
    </row>
    <row r="4478" s="1" customFormat="1" ht="5.1" customHeight="1" spans="1:18">
      <c r="A4478" s="93"/>
      <c r="B4478" s="94"/>
      <c r="C4478" s="94"/>
      <c r="D4478" s="94"/>
      <c r="E4478" s="94"/>
      <c r="F4478" s="94"/>
      <c r="G4478" s="94"/>
      <c r="H4478" s="94"/>
      <c r="I4478" s="94"/>
      <c r="J4478" s="94"/>
      <c r="K4478" s="94"/>
      <c r="L4478" s="94"/>
      <c r="M4478" s="94"/>
      <c r="N4478" s="94"/>
      <c r="O4478" s="94"/>
      <c r="P4478" s="94"/>
      <c r="Q4478" s="94"/>
      <c r="R4478" s="95"/>
    </row>
    <row r="4479" s="1" customFormat="1" ht="21.95" customHeight="1"/>
    <row r="4480" ht="15.15"/>
    <row r="4481" s="1" customFormat="1" ht="5.1" customHeight="1" spans="1:18">
      <c r="A4481" s="4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  <c r="O4481" s="5"/>
      <c r="P4481" s="5"/>
      <c r="Q4481" s="5"/>
      <c r="R4481" s="6"/>
    </row>
    <row r="4482" s="1" customFormat="1" ht="15" customHeight="1" spans="1:18">
      <c r="A4482" s="7"/>
      <c r="B4482" s="8"/>
      <c r="C4482" s="9"/>
      <c r="D4482" s="9"/>
      <c r="E4482" s="9"/>
      <c r="F4482" s="9"/>
      <c r="G4482" s="9"/>
      <c r="H4482" s="9"/>
      <c r="I4482" s="9"/>
      <c r="J4482" s="9"/>
      <c r="K4482" s="9"/>
      <c r="L4482" s="9"/>
      <c r="M4482" s="9"/>
      <c r="N4482" s="9"/>
      <c r="O4482" s="9"/>
      <c r="P4482" s="9"/>
      <c r="Q4482" s="10"/>
      <c r="R4482" s="11"/>
    </row>
    <row r="4483" s="1" customFormat="1" ht="21.95" customHeight="1" spans="1:18">
      <c r="A4483" s="7"/>
      <c r="B4483" s="12"/>
      <c r="C4483" s="13" t="s">
        <v>7</v>
      </c>
      <c r="D4483" s="13"/>
      <c r="E4483" s="13"/>
      <c r="F4483" s="13"/>
      <c r="G4483" s="13"/>
      <c r="H4483" s="13"/>
      <c r="I4483" s="13"/>
      <c r="J4483" s="13"/>
      <c r="K4483" s="13"/>
      <c r="L4483" s="13"/>
      <c r="M4483" s="13"/>
      <c r="N4483" s="13"/>
      <c r="O4483" s="13"/>
      <c r="P4483" s="13"/>
      <c r="Q4483" s="14"/>
      <c r="R4483" s="11"/>
    </row>
    <row r="4484" s="1" customFormat="1" ht="21.95" customHeight="1" spans="1:18">
      <c r="A4484" s="7"/>
      <c r="B4484" s="1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14"/>
      <c r="R4484" s="11"/>
    </row>
    <row r="4485" s="1" customFormat="1" ht="21.95" customHeight="1" spans="1:18">
      <c r="A4485" s="7"/>
      <c r="B4485" s="12"/>
      <c r="C4485" s="15" t="str">
        <f>"SESSION-"&amp;ENTRY!$D$11</f>
        <v>SESSION-2026-27</v>
      </c>
      <c r="D4485" s="15"/>
      <c r="E4485" s="15"/>
      <c r="F4485" s="15"/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  <c r="Q4485" s="14"/>
      <c r="R4485" s="11"/>
    </row>
    <row r="4486" s="1" customFormat="1" ht="21.95" customHeight="1" spans="1:18">
      <c r="A4486" s="7"/>
      <c r="B4486" s="12"/>
      <c r="C4486" s="2"/>
      <c r="D4486" s="2"/>
      <c r="E4486" s="2"/>
      <c r="F4486" s="16">
        <f>F4430+1</f>
        <v>81</v>
      </c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14"/>
      <c r="R4486" s="11"/>
    </row>
    <row r="4487" s="1" customFormat="1" ht="21.95" customHeight="1" spans="1:18">
      <c r="A4487" s="7"/>
      <c r="B4487" s="12"/>
      <c r="C4487" s="17" t="s">
        <v>392</v>
      </c>
      <c r="D4487" s="17"/>
      <c r="E4487" s="17"/>
      <c r="F4487" s="18" t="str">
        <f>IF(F4486&gt;0,ENTRY!$D$6,"")</f>
        <v>MCP NITHARI NO 1 BOYS</v>
      </c>
      <c r="G4487" s="18"/>
      <c r="H4487" s="18"/>
      <c r="I4487" s="18"/>
      <c r="J4487" s="18"/>
      <c r="K4487" s="18"/>
      <c r="L4487" s="18"/>
      <c r="M4487" s="18"/>
      <c r="N4487" s="18"/>
      <c r="O4487" s="18"/>
      <c r="P4487" s="18"/>
      <c r="Q4487" s="14"/>
      <c r="R4487" s="11"/>
    </row>
    <row r="4488" s="1" customFormat="1" ht="21.95" customHeight="1" spans="1:18">
      <c r="A4488" s="7"/>
      <c r="B4488" s="12"/>
      <c r="C4488" s="17" t="s">
        <v>393</v>
      </c>
      <c r="D4488" s="17"/>
      <c r="E4488" s="17"/>
      <c r="F4488" s="18">
        <f>IF(F4486&gt;0,ENTRY!$D$7,"")</f>
        <v>0</v>
      </c>
      <c r="G4488" s="18"/>
      <c r="H4488" s="20" t="s">
        <v>702</v>
      </c>
      <c r="I4488" s="20"/>
      <c r="J4488" s="21">
        <f>IF(F4486&gt;0,ENTRY!$D$10,"")</f>
        <v>40</v>
      </c>
      <c r="K4488" s="20" t="s">
        <v>703</v>
      </c>
      <c r="L4488" s="22" t="str">
        <f>IF(F4486&gt;0,ENTRY!$D$5,"")</f>
        <v>ROHINI ZONE</v>
      </c>
      <c r="M4488" s="22"/>
      <c r="N4488" s="22"/>
      <c r="O4488" s="22"/>
      <c r="P4488" s="22"/>
      <c r="Q4488" s="14"/>
      <c r="R4488" s="11"/>
    </row>
    <row r="4489" s="1" customFormat="1" ht="21.95" customHeight="1" spans="1:18">
      <c r="A4489" s="7"/>
      <c r="B4489" s="12"/>
      <c r="C4489" s="17" t="s">
        <v>706</v>
      </c>
      <c r="D4489" s="17"/>
      <c r="E4489" s="17"/>
      <c r="F4489" s="23">
        <f>IFERROR(VLOOKUP(F4486,STUDENT!$A$2:$BP$101,5,0),"")</f>
        <v>0</v>
      </c>
      <c r="G4489" s="23"/>
      <c r="H4489" s="23"/>
      <c r="I4489" s="23"/>
      <c r="J4489" s="23"/>
      <c r="K4489" s="23"/>
      <c r="L4489" s="20" t="s">
        <v>707</v>
      </c>
      <c r="M4489" s="20"/>
      <c r="N4489" s="24" t="str">
        <f>IF(F4486&gt;0,ENTRY!$D$20&amp;"-"&amp;ENTRY!$D$21,"")</f>
        <v>III-A</v>
      </c>
      <c r="O4489" s="24"/>
      <c r="P4489" s="24"/>
      <c r="Q4489" s="14"/>
      <c r="R4489" s="11"/>
    </row>
    <row r="4490" s="1" customFormat="1" ht="21.95" customHeight="1" spans="1:18">
      <c r="A4490" s="7"/>
      <c r="B4490" s="12"/>
      <c r="C4490" s="17" t="s">
        <v>708</v>
      </c>
      <c r="D4490" s="17"/>
      <c r="E4490" s="17"/>
      <c r="F4490" s="25">
        <f>IFERROR(VLOOKUP(F4486,STUDENT!$A$2:$BP$101,6,0),"")</f>
        <v>0</v>
      </c>
      <c r="G4490" s="25"/>
      <c r="H4490" s="26" t="s">
        <v>709</v>
      </c>
      <c r="I4490" s="27" t="str">
        <f>IFERROR(VLOOKUP(F4486,STUDENT!$A$2:$BP$101,59,0),"")</f>
        <v/>
      </c>
      <c r="J4490" s="27"/>
      <c r="K4490" s="20" t="s">
        <v>710</v>
      </c>
      <c r="L4490" s="20"/>
      <c r="M4490" s="28">
        <f>IFERROR(VLOOKUP(F4486,STUDENT!$A$2:$BP$101,20,0),"")</f>
        <v>0</v>
      </c>
      <c r="N4490" s="28"/>
      <c r="O4490" s="28"/>
      <c r="P4490" s="28"/>
      <c r="Q4490" s="14"/>
      <c r="R4490" s="11"/>
    </row>
    <row r="4491" s="1" customFormat="1" ht="21.95" customHeight="1" spans="1:18">
      <c r="A4491" s="7"/>
      <c r="B4491" s="12"/>
      <c r="C4491" s="17" t="s">
        <v>711</v>
      </c>
      <c r="D4491" s="17"/>
      <c r="E4491" s="17"/>
      <c r="F4491" s="23">
        <f>IFERROR(VLOOKUP(F4486,STUDENT!$A$2:$BP$101,9,0),"")</f>
        <v>0</v>
      </c>
      <c r="G4491" s="23"/>
      <c r="H4491" s="23"/>
      <c r="I4491" s="23"/>
      <c r="J4491" s="17" t="s">
        <v>620</v>
      </c>
      <c r="K4491" s="17"/>
      <c r="L4491" s="23">
        <f>IFERROR(VLOOKUP(F4486,STUDENT!$A$2:$BP$101,8,0),"")</f>
        <v>0</v>
      </c>
      <c r="M4491" s="23"/>
      <c r="N4491" s="23"/>
      <c r="O4491" s="23"/>
      <c r="P4491" s="23"/>
      <c r="Q4491" s="14"/>
      <c r="R4491" s="11"/>
    </row>
    <row r="4492" s="1" customFormat="1" ht="21.95" customHeight="1" spans="1:18">
      <c r="A4492" s="7"/>
      <c r="B4492" s="12"/>
      <c r="C4492" s="17" t="s">
        <v>712</v>
      </c>
      <c r="D4492" s="17"/>
      <c r="E4492" s="17"/>
      <c r="F4492" s="23">
        <f>IFERROR(VLOOKUP(F4486,STUDENT!$A$2:$BP$101,22,0),"")</f>
        <v>0</v>
      </c>
      <c r="G4492" s="23"/>
      <c r="H4492" s="23"/>
      <c r="I4492" s="23"/>
      <c r="J4492" s="23"/>
      <c r="K4492" s="23"/>
      <c r="L4492" s="23"/>
      <c r="M4492" s="23"/>
      <c r="N4492" s="23"/>
      <c r="O4492" s="23"/>
      <c r="P4492" s="23"/>
      <c r="Q4492" s="14"/>
      <c r="R4492" s="11"/>
    </row>
    <row r="4493" s="1" customFormat="1" ht="9.95" customHeight="1" spans="1:18">
      <c r="A4493" s="7"/>
      <c r="B4493" s="12"/>
      <c r="C4493" s="29"/>
      <c r="D4493" s="29"/>
      <c r="E4493" s="29"/>
      <c r="F4493" s="29"/>
      <c r="G4493" s="29"/>
      <c r="H4493" s="29"/>
      <c r="I4493" s="29"/>
      <c r="J4493" s="29"/>
      <c r="K4493" s="29"/>
      <c r="L4493" s="29"/>
      <c r="M4493" s="29"/>
      <c r="N4493" s="29"/>
      <c r="O4493" s="29"/>
      <c r="P4493" s="29"/>
      <c r="Q4493" s="14"/>
      <c r="R4493" s="11"/>
    </row>
    <row r="4494" s="1" customFormat="1" ht="9.95" customHeight="1" spans="1:18">
      <c r="A4494" s="7"/>
      <c r="B4494" s="12"/>
      <c r="C4494" s="30"/>
      <c r="D4494" s="31"/>
      <c r="E4494" s="31"/>
      <c r="F4494" s="31"/>
      <c r="G4494" s="31"/>
      <c r="H4494" s="31"/>
      <c r="I4494" s="31"/>
      <c r="J4494" s="31"/>
      <c r="K4494" s="31"/>
      <c r="L4494" s="31"/>
      <c r="M4494" s="31"/>
      <c r="N4494" s="31"/>
      <c r="O4494" s="31"/>
      <c r="P4494" s="32"/>
      <c r="Q4494" s="14"/>
      <c r="R4494" s="11"/>
    </row>
    <row r="4495" s="1" customFormat="1" ht="21.95" customHeight="1" spans="1:18">
      <c r="A4495" s="7"/>
      <c r="B4495" s="12"/>
      <c r="C4495" s="33"/>
      <c r="D4495" s="34" t="s">
        <v>713</v>
      </c>
      <c r="E4495" s="20" t="s">
        <v>714</v>
      </c>
      <c r="F4495" s="35" t="str">
        <f>"Level - "&amp;IFERROR(VLOOKUP(F4486,FLN!$A$4:$K$103,9,0),"")</f>
        <v>Level - </v>
      </c>
      <c r="G4495" s="36"/>
      <c r="H4495" s="37" t="s">
        <v>715</v>
      </c>
      <c r="I4495" s="20"/>
      <c r="J4495" s="35" t="str">
        <f>"Level - "&amp;IFERROR(VLOOKUP(F4486,FLN!$A$4:$K$103,11,0),"")</f>
        <v>Level - </v>
      </c>
      <c r="K4495" s="36"/>
      <c r="L4495" s="37" t="s">
        <v>408</v>
      </c>
      <c r="M4495" s="20"/>
      <c r="N4495" s="35" t="str">
        <f>"Level - "&amp;IFERROR(VLOOKUP(F4486,FLN!$A$4:$K$103,10,0),"")</f>
        <v>Level - </v>
      </c>
      <c r="O4495" s="36"/>
      <c r="P4495" s="19"/>
      <c r="Q4495" s="14"/>
      <c r="R4495" s="11"/>
    </row>
    <row r="4496" s="1" customFormat="1" ht="21.95" customHeight="1" spans="1:18">
      <c r="A4496" s="7"/>
      <c r="B4496" s="12"/>
      <c r="C4496" s="33"/>
      <c r="D4496" s="38"/>
      <c r="E4496" s="20" t="s">
        <v>716</v>
      </c>
      <c r="F4496" s="18" t="str">
        <f>IF(L4510&gt;197,"PERFORMED WELL","")</f>
        <v/>
      </c>
      <c r="G4496" s="18"/>
      <c r="H4496" s="18"/>
      <c r="I4496" s="18"/>
      <c r="J4496" s="18"/>
      <c r="K4496" s="18"/>
      <c r="L4496" s="18"/>
      <c r="M4496" s="18"/>
      <c r="N4496" s="18"/>
      <c r="O4496" s="18"/>
      <c r="P4496" s="19"/>
      <c r="Q4496" s="14"/>
      <c r="R4496" s="11"/>
    </row>
    <row r="4497" s="1" customFormat="1" ht="9.95" customHeight="1" spans="1:18">
      <c r="A4497" s="7"/>
      <c r="B4497" s="12"/>
      <c r="C4497" s="39"/>
      <c r="D4497" s="40"/>
      <c r="E4497" s="40"/>
      <c r="F4497" s="40"/>
      <c r="G4497" s="40"/>
      <c r="H4497" s="40"/>
      <c r="I4497" s="40"/>
      <c r="J4497" s="40"/>
      <c r="K4497" s="40"/>
      <c r="L4497" s="40"/>
      <c r="M4497" s="40"/>
      <c r="N4497" s="40"/>
      <c r="O4497" s="40"/>
      <c r="P4497" s="41"/>
      <c r="Q4497" s="14"/>
      <c r="R4497" s="11"/>
    </row>
    <row r="4498" s="1" customFormat="1" ht="9.95" customHeight="1" spans="1:18">
      <c r="A4498" s="7"/>
      <c r="B4498" s="12"/>
      <c r="C4498" s="29"/>
      <c r="D4498" s="29"/>
      <c r="E4498" s="29"/>
      <c r="F4498" s="29"/>
      <c r="G4498" s="29"/>
      <c r="H4498" s="29"/>
      <c r="I4498" s="29"/>
      <c r="J4498" s="29"/>
      <c r="K4498" s="29"/>
      <c r="L4498" s="29"/>
      <c r="M4498" s="29"/>
      <c r="N4498" s="29"/>
      <c r="O4498" s="29"/>
      <c r="P4498" s="29"/>
      <c r="Q4498" s="14"/>
      <c r="R4498" s="11"/>
    </row>
    <row r="4499" s="1" customFormat="1" ht="9.95" customHeight="1" spans="1:18">
      <c r="A4499" s="7"/>
      <c r="B4499" s="12"/>
      <c r="C4499" s="30"/>
      <c r="D4499" s="31"/>
      <c r="E4499" s="31"/>
      <c r="F4499" s="31"/>
      <c r="G4499" s="31"/>
      <c r="H4499" s="31"/>
      <c r="I4499" s="31"/>
      <c r="J4499" s="31"/>
      <c r="K4499" s="31"/>
      <c r="L4499" s="31"/>
      <c r="M4499" s="31"/>
      <c r="N4499" s="31"/>
      <c r="O4499" s="31"/>
      <c r="P4499" s="32"/>
      <c r="Q4499" s="14"/>
      <c r="R4499" s="11"/>
    </row>
    <row r="4500" s="1" customFormat="1" ht="21.95" customHeight="1" spans="1:18">
      <c r="A4500" s="7"/>
      <c r="B4500" s="12"/>
      <c r="C4500" s="33"/>
      <c r="D4500" s="35"/>
      <c r="E4500" s="24"/>
      <c r="F4500" s="24"/>
      <c r="G4500" s="47" t="s">
        <v>717</v>
      </c>
      <c r="H4500" s="47"/>
      <c r="I4500" s="47"/>
      <c r="J4500" s="47"/>
      <c r="K4500" s="47"/>
      <c r="L4500" s="47"/>
      <c r="M4500" s="47"/>
      <c r="N4500" s="47"/>
      <c r="O4500" s="29"/>
      <c r="P4500" s="19"/>
      <c r="Q4500" s="14"/>
      <c r="R4500" s="11"/>
    </row>
    <row r="4501" s="1" customFormat="1" ht="21.95" customHeight="1" spans="1:18">
      <c r="A4501" s="7"/>
      <c r="B4501" s="12"/>
      <c r="C4501" s="33"/>
      <c r="D4501" s="47"/>
      <c r="E4501" s="47"/>
      <c r="F4501" s="47"/>
      <c r="G4501" s="47" t="s">
        <v>541</v>
      </c>
      <c r="H4501" s="47" t="s">
        <v>542</v>
      </c>
      <c r="I4501" s="47" t="s">
        <v>543</v>
      </c>
      <c r="J4501" s="47" t="s">
        <v>544</v>
      </c>
      <c r="K4501" s="47" t="s">
        <v>561</v>
      </c>
      <c r="L4501" s="47" t="s">
        <v>382</v>
      </c>
      <c r="M4501" s="49" t="s">
        <v>546</v>
      </c>
      <c r="N4501" s="49"/>
      <c r="O4501" s="29"/>
      <c r="P4501" s="19"/>
      <c r="Q4501" s="14"/>
      <c r="R4501" s="11"/>
    </row>
    <row r="4502" s="1" customFormat="1" ht="21.95" customHeight="1" spans="1:18">
      <c r="A4502" s="7"/>
      <c r="B4502" s="12"/>
      <c r="C4502" s="33"/>
      <c r="D4502" s="207" t="s">
        <v>652</v>
      </c>
      <c r="E4502" s="207"/>
      <c r="F4502" s="207"/>
      <c r="G4502" s="50">
        <v>10</v>
      </c>
      <c r="H4502" s="50">
        <v>10</v>
      </c>
      <c r="I4502" s="50">
        <v>10</v>
      </c>
      <c r="J4502" s="50">
        <v>10</v>
      </c>
      <c r="K4502" s="50">
        <v>60</v>
      </c>
      <c r="L4502" s="50">
        <v>100</v>
      </c>
      <c r="M4502" s="49"/>
      <c r="N4502" s="49"/>
      <c r="O4502" s="29"/>
      <c r="P4502" s="19"/>
      <c r="Q4502" s="14"/>
      <c r="R4502" s="11"/>
    </row>
    <row r="4503" s="1" customFormat="1" ht="21.95" customHeight="1" spans="1:18">
      <c r="A4503" s="7"/>
      <c r="B4503" s="12"/>
      <c r="C4503" s="33"/>
      <c r="D4503" s="117" t="s">
        <v>668</v>
      </c>
      <c r="E4503" s="117"/>
      <c r="F4503" s="117"/>
      <c r="G4503" s="54" t="str">
        <f>IFERROR(VLOOKUP(F4486,'1to4-2.1-RR'!$A$12:$BG$111,9,0),"")</f>
        <v/>
      </c>
      <c r="H4503" s="54" t="str">
        <f>IFERROR(VLOOKUP(F4486,'1to4-2.1-RR'!$A$12:$BG$111,10,0),"")</f>
        <v/>
      </c>
      <c r="I4503" s="54" t="str">
        <f>IFERROR(VLOOKUP(F4486,'1to4-2.1-RR'!$A$12:$BG$111,11,0),"")</f>
        <v/>
      </c>
      <c r="J4503" s="54" t="str">
        <f>IFERROR(VLOOKUP(F4486,'1to4-2.1-RR'!$A$12:$BG$111,12,0),"")</f>
        <v/>
      </c>
      <c r="K4503" s="54" t="str">
        <f>IFERROR(VLOOKUP(F4486,'1to4-2.1-RR'!$A$12:$BG$111,13,0),"")</f>
        <v/>
      </c>
      <c r="L4503" s="55">
        <f>SUM(G4503:K4503)</f>
        <v>0</v>
      </c>
      <c r="M4503" s="56" t="str">
        <f>IF(F4486&gt;ENTRY!$D$24,"",IF(L4503=0,"Ab",IF(L4503&gt;80,"A",IF(L4503&gt;60,"B",IF(L4503&gt;44,"C",IF(L4503&gt;=33,"D",IF(L4503&lt;=32,"E","")))))))</f>
        <v/>
      </c>
      <c r="N4503" s="56"/>
      <c r="O4503" s="29"/>
      <c r="P4503" s="19"/>
      <c r="Q4503" s="14"/>
      <c r="R4503" s="11"/>
    </row>
    <row r="4504" s="1" customFormat="1" ht="21.95" customHeight="1" spans="1:18">
      <c r="A4504" s="7"/>
      <c r="B4504" s="12"/>
      <c r="C4504" s="33"/>
      <c r="D4504" s="117" t="s">
        <v>513</v>
      </c>
      <c r="E4504" s="117"/>
      <c r="F4504" s="117"/>
      <c r="G4504" s="54" t="str">
        <f>IFERROR(VLOOKUP(F4486,'1to4-2.1-RR'!$A$12:$BG$111,16,0),"")</f>
        <v/>
      </c>
      <c r="H4504" s="54" t="str">
        <f>IFERROR(VLOOKUP(F4486,'1to4-2.1-RR'!$A$12:$BG$111,17,0),"")</f>
        <v/>
      </c>
      <c r="I4504" s="54" t="str">
        <f>IFERROR(VLOOKUP(F4486,'1to4-2.1-RR'!$A$12:$BG$111,18,0),"")</f>
        <v/>
      </c>
      <c r="J4504" s="54" t="str">
        <f>IFERROR(VLOOKUP(F4486,'1to4-2.1-RR'!$A$12:$BG$111,19,0),"")</f>
        <v/>
      </c>
      <c r="K4504" s="54" t="str">
        <f>IFERROR(VLOOKUP(F4486,'1to4-2.1-RR'!$A$12:$BG$111,20,0),"")</f>
        <v/>
      </c>
      <c r="L4504" s="55">
        <f t="shared" ref="L4504:L4509" si="160">SUM(G4504:K4504)</f>
        <v>0</v>
      </c>
      <c r="M4504" s="56" t="str">
        <f>IF(F4486&gt;ENTRY!$D$24,"",IF(L4504=0,"Ab",IF(L4504&gt;80,"A",IF(L4504&gt;60,"B",IF(L4504&gt;44,"C",IF(L4504&gt;=33,"D",IF(L4504&lt;=32,"E","")))))))</f>
        <v/>
      </c>
      <c r="N4504" s="56"/>
      <c r="O4504" s="29"/>
      <c r="P4504" s="19"/>
      <c r="Q4504" s="14"/>
      <c r="R4504" s="11"/>
    </row>
    <row r="4505" s="1" customFormat="1" ht="21.95" customHeight="1" spans="1:18">
      <c r="A4505" s="7"/>
      <c r="B4505" s="12"/>
      <c r="C4505" s="33"/>
      <c r="D4505" s="117" t="s">
        <v>718</v>
      </c>
      <c r="E4505" s="117"/>
      <c r="F4505" s="117"/>
      <c r="G4505" s="54" t="str">
        <f>IFERROR(VLOOKUP(F4486,'1to4-2.1-RR'!$A$12:$BG$111,23,0),"")</f>
        <v/>
      </c>
      <c r="H4505" s="54" t="str">
        <f>IFERROR(VLOOKUP(F4486,'1to4-2.1-RR'!$A$12:$BG$111,24,0),"")</f>
        <v/>
      </c>
      <c r="I4505" s="54" t="str">
        <f>IFERROR(VLOOKUP(F4486,'1to4-2.1-RR'!$A$12:$BG$111,25,0),"")</f>
        <v/>
      </c>
      <c r="J4505" s="54" t="str">
        <f>IFERROR(VLOOKUP(F4486,'1to4-2.1-RR'!$A$12:$BG$111,26,0),"")</f>
        <v/>
      </c>
      <c r="K4505" s="54" t="str">
        <f>IFERROR(VLOOKUP(F4486,'1to4-2.1-RR'!$A$12:$BG$111,27,0),"")</f>
        <v/>
      </c>
      <c r="L4505" s="55">
        <f t="shared" si="160"/>
        <v>0</v>
      </c>
      <c r="M4505" s="56" t="str">
        <f>IF(F4486&gt;ENTRY!$D$24,"",IF(L4505=0,"Ab",IF(L4505&gt;80,"A",IF(L4505&gt;60,"B",IF(L4505&gt;44,"C",IF(L4505&gt;=33,"D",IF(L4505&lt;=32,"E","")))))))</f>
        <v/>
      </c>
      <c r="N4505" s="56"/>
      <c r="O4505" s="29"/>
      <c r="P4505" s="19"/>
      <c r="Q4505" s="14"/>
      <c r="R4505" s="11"/>
    </row>
    <row r="4506" s="1" customFormat="1" ht="21.95" customHeight="1" spans="1:18">
      <c r="A4506" s="7"/>
      <c r="B4506" s="12"/>
      <c r="C4506" s="33"/>
      <c r="D4506" s="117" t="s">
        <v>719</v>
      </c>
      <c r="E4506" s="117"/>
      <c r="F4506" s="117"/>
      <c r="G4506" s="54" t="str">
        <f>IFERROR(VLOOKUP(F4486,'1to4-2.1-RR'!$A$12:$BG$111,30,0),"")</f>
        <v/>
      </c>
      <c r="H4506" s="54" t="str">
        <f>IFERROR(VLOOKUP(F4486,'1to4-2.1-RR'!$A$12:$BG$111,31,0),"")</f>
        <v/>
      </c>
      <c r="I4506" s="54" t="str">
        <f>IFERROR(VLOOKUP(F4486,'1to4-2.1-RR'!$A$12:$BG$111,32,0),"")</f>
        <v/>
      </c>
      <c r="J4506" s="54" t="str">
        <f>IFERROR(VLOOKUP(F4486,'1to4-2.1-RR'!$A$12:$BG$111,33,0),"")</f>
        <v/>
      </c>
      <c r="K4506" s="54" t="str">
        <f>IFERROR(VLOOKUP(F4486,'1to4-2.1-RR'!$A$12:$BG$111,34,0),"")</f>
        <v/>
      </c>
      <c r="L4506" s="55">
        <f t="shared" si="160"/>
        <v>0</v>
      </c>
      <c r="M4506" s="56" t="str">
        <f>IF(F4486&gt;ENTRY!$D$24,"",IF(L4506=0,"Ab",IF(L4506&gt;80,"A",IF(L4506&gt;60,"B",IF(L4506&gt;44,"C",IF(L4506&gt;=33,"D",IF(L4506&lt;=32,"E","")))))))</f>
        <v/>
      </c>
      <c r="N4506" s="56"/>
      <c r="O4506" s="29"/>
      <c r="P4506" s="19"/>
      <c r="Q4506" s="14"/>
      <c r="R4506" s="11"/>
    </row>
    <row r="4507" s="1" customFormat="1" ht="21.95" customHeight="1" spans="1:18">
      <c r="A4507" s="7"/>
      <c r="B4507" s="12"/>
      <c r="C4507" s="33"/>
      <c r="D4507" s="117" t="s">
        <v>548</v>
      </c>
      <c r="E4507" s="117"/>
      <c r="F4507" s="117"/>
      <c r="G4507" s="54" t="str">
        <f>IFERROR(VLOOKUP(F4486,'1to4-2.1-RR'!$A$12:$BG$111,37,0),"")</f>
        <v/>
      </c>
      <c r="H4507" s="54" t="str">
        <f>IFERROR(VLOOKUP(F4486,'1to4-2.1-RR'!$A$12:$BG$111,38,0),"")</f>
        <v/>
      </c>
      <c r="I4507" s="54" t="str">
        <f>IFERROR(VLOOKUP(F4486,'1to4-2.1-RR'!$A$12:$BG$111,39,0),"")</f>
        <v/>
      </c>
      <c r="J4507" s="54" t="str">
        <f>IFERROR(VLOOKUP(F4486,'1to4-2.1-RR'!$A$12:$BG$111,40,0),"")</f>
        <v/>
      </c>
      <c r="K4507" s="54" t="str">
        <f>IFERROR(VLOOKUP(F4486,'1to4-2.1-RR'!$A$12:$BG$111,41,0),"")</f>
        <v/>
      </c>
      <c r="L4507" s="55">
        <f t="shared" si="160"/>
        <v>0</v>
      </c>
      <c r="M4507" s="56" t="str">
        <f>IF(F4486&gt;ENTRY!$D$24,"",IF(L4507=0,"Ab",IF(L4507&gt;80,"A",IF(L4507&gt;60,"B",IF(L4507&gt;44,"C",IF(L4507&gt;=33,"D",IF(L4507&lt;=32,"E","")))))))</f>
        <v/>
      </c>
      <c r="N4507" s="56"/>
      <c r="O4507" s="29"/>
      <c r="P4507" s="19"/>
      <c r="Q4507" s="14"/>
      <c r="R4507" s="11"/>
    </row>
    <row r="4508" s="1" customFormat="1" ht="21.95" customHeight="1" spans="1:18">
      <c r="A4508" s="7"/>
      <c r="B4508" s="12"/>
      <c r="C4508" s="33"/>
      <c r="D4508" s="117" t="s">
        <v>549</v>
      </c>
      <c r="E4508" s="117"/>
      <c r="F4508" s="117"/>
      <c r="G4508" s="54" t="str">
        <f>IFERROR(VLOOKUP(F4486,'1to4-2.1-RR'!$A$12:$BG$111,44,0),"")</f>
        <v/>
      </c>
      <c r="H4508" s="54" t="str">
        <f>IFERROR(VLOOKUP(F4486,'1to4-2.1-RR'!$A$12:$BG$111,45,0),"")</f>
        <v/>
      </c>
      <c r="I4508" s="54" t="str">
        <f>IFERROR(VLOOKUP(F4486,'1to4-2.1-RR'!$A$12:$BG$111,46,0),"")</f>
        <v/>
      </c>
      <c r="J4508" s="54" t="str">
        <f>IFERROR(VLOOKUP(F4486,'1to4-2.1-RR'!$A$12:$BG$111,47,0),"")</f>
        <v/>
      </c>
      <c r="K4508" s="54" t="str">
        <f>IFERROR(VLOOKUP(F4486,'1to4-2.1-RR'!$A$12:$BG$111,48,0),"")</f>
        <v/>
      </c>
      <c r="L4508" s="55">
        <f t="shared" si="160"/>
        <v>0</v>
      </c>
      <c r="M4508" s="56" t="str">
        <f>IF(F4486&gt;ENTRY!$D$24,"",IF(L4508=0,"Ab",IF(L4508&gt;80,"A",IF(L4508&gt;60,"B",IF(L4508&gt;44,"C",IF(L4508&gt;=33,"D",IF(L4508&lt;=32,"E","")))))))</f>
        <v/>
      </c>
      <c r="N4508" s="56"/>
      <c r="O4508" s="29"/>
      <c r="P4508" s="19"/>
      <c r="Q4508" s="14"/>
      <c r="R4508" s="11"/>
    </row>
    <row r="4509" s="1" customFormat="1" ht="21.95" customHeight="1" spans="1:18">
      <c r="A4509" s="7"/>
      <c r="B4509" s="12"/>
      <c r="C4509" s="33"/>
      <c r="D4509" s="117" t="s">
        <v>720</v>
      </c>
      <c r="E4509" s="117"/>
      <c r="F4509" s="117"/>
      <c r="G4509" s="54"/>
      <c r="H4509" s="54"/>
      <c r="I4509" s="54"/>
      <c r="J4509" s="54"/>
      <c r="K4509" s="54"/>
      <c r="L4509" s="55">
        <f t="shared" si="160"/>
        <v>0</v>
      </c>
      <c r="M4509" s="56" t="str">
        <f>IF(F4486&gt;ENTRY!$D$24,"",IF(L4509=0,"",IF(L4509&gt;79,"A",IF(L4509&gt;59,"B",IF(L4509&gt;44,"C",IF(L4509&gt;=33,"D",IF(L4509&lt;=32,"E","")))))))</f>
        <v/>
      </c>
      <c r="N4509" s="56"/>
      <c r="O4509" s="29"/>
      <c r="P4509" s="19"/>
      <c r="Q4509" s="14"/>
      <c r="R4509" s="11"/>
    </row>
    <row r="4510" s="1" customFormat="1" ht="21.95" customHeight="1" spans="1:18">
      <c r="A4510" s="7"/>
      <c r="B4510" s="12"/>
      <c r="C4510" s="33"/>
      <c r="D4510" s="207" t="s">
        <v>382</v>
      </c>
      <c r="E4510" s="207"/>
      <c r="F4510" s="207"/>
      <c r="G4510" s="54">
        <f t="shared" ref="G4510:L4510" si="161">IFERROR(SUM(G4503:G4509),"")</f>
        <v>0</v>
      </c>
      <c r="H4510" s="54">
        <f t="shared" si="161"/>
        <v>0</v>
      </c>
      <c r="I4510" s="54">
        <f t="shared" si="161"/>
        <v>0</v>
      </c>
      <c r="J4510" s="54">
        <f t="shared" si="161"/>
        <v>0</v>
      </c>
      <c r="K4510" s="54">
        <f t="shared" si="161"/>
        <v>0</v>
      </c>
      <c r="L4510" s="55">
        <f t="shared" si="161"/>
        <v>0</v>
      </c>
      <c r="M4510" s="61" t="str">
        <f>IF(F4486&gt;ENTRY!$D$24,"",IF(N4511="Ab","Ab",IF(N4511&gt;79.5,"A",IF(N4511&gt;59.5,"B",IF(N4511&gt;44.5,"C",IF(N4511&gt;=33,"D",IF(N4511&lt;33,"E","")))))))</f>
        <v/>
      </c>
      <c r="N4510" s="61"/>
      <c r="O4510" s="29"/>
      <c r="P4510" s="19"/>
      <c r="Q4510" s="14"/>
      <c r="R4510" s="11"/>
    </row>
    <row r="4511" s="1" customFormat="1" ht="21.95" customHeight="1" spans="1:18">
      <c r="A4511" s="7"/>
      <c r="B4511" s="12"/>
      <c r="C4511" s="33"/>
      <c r="D4511" s="63" t="s">
        <v>721</v>
      </c>
      <c r="E4511" s="63"/>
      <c r="F4511" s="63"/>
      <c r="G4511" s="63"/>
      <c r="H4511" s="63"/>
      <c r="I4511" s="63"/>
      <c r="J4511" s="63"/>
      <c r="K4511" s="63"/>
      <c r="L4511" s="63"/>
      <c r="M4511" s="209"/>
      <c r="N4511" s="64">
        <f>IF(L4510="Ab","Ab",L4510/6)</f>
        <v>0</v>
      </c>
      <c r="O4511" s="65"/>
      <c r="P4511" s="19"/>
      <c r="Q4511" s="14"/>
      <c r="R4511" s="11"/>
    </row>
    <row r="4512" s="1" customFormat="1" ht="21.95" customHeight="1" spans="1:18">
      <c r="A4512" s="7"/>
      <c r="B4512" s="12"/>
      <c r="C4512" s="33"/>
      <c r="D4512" s="29" t="s">
        <v>716</v>
      </c>
      <c r="E4512" s="18" t="str">
        <f>IFERROR(VLOOKUP(F4486,'1to4-2.1-RR'!$A$12:$BG$111,57,0),"")</f>
        <v/>
      </c>
      <c r="F4512" s="18"/>
      <c r="G4512" s="18"/>
      <c r="H4512" s="18"/>
      <c r="I4512" s="18"/>
      <c r="J4512" s="18"/>
      <c r="K4512" s="18"/>
      <c r="L4512" s="18"/>
      <c r="M4512" s="18"/>
      <c r="N4512" s="29"/>
      <c r="O4512" s="29"/>
      <c r="P4512" s="19"/>
      <c r="Q4512" s="14"/>
      <c r="R4512" s="11"/>
    </row>
    <row r="4513" s="1" customFormat="1" ht="9.95" customHeight="1" spans="1:19">
      <c r="A4513" s="7"/>
      <c r="B4513" s="12"/>
      <c r="C4513" s="39"/>
      <c r="D4513" s="40"/>
      <c r="E4513" s="40"/>
      <c r="F4513" s="40"/>
      <c r="G4513" s="40"/>
      <c r="H4513" s="40"/>
      <c r="I4513" s="40"/>
      <c r="J4513" s="40"/>
      <c r="K4513" s="40"/>
      <c r="L4513" s="40"/>
      <c r="M4513" s="40"/>
      <c r="N4513" s="40"/>
      <c r="O4513" s="40"/>
      <c r="P4513" s="41"/>
      <c r="Q4513" s="14"/>
      <c r="R4513" s="11"/>
    </row>
    <row r="4514" s="1" customFormat="1" ht="9.95" customHeight="1" spans="1:19">
      <c r="A4514" s="7"/>
      <c r="B4514" s="12"/>
      <c r="C4514" s="30"/>
      <c r="D4514" s="31"/>
      <c r="E4514" s="31"/>
      <c r="F4514" s="29"/>
      <c r="G4514" s="31"/>
      <c r="H4514" s="31"/>
      <c r="I4514" s="31"/>
      <c r="J4514" s="31"/>
      <c r="K4514" s="31"/>
      <c r="L4514" s="31"/>
      <c r="M4514" s="31"/>
      <c r="N4514" s="31"/>
      <c r="O4514" s="31"/>
      <c r="P4514" s="32"/>
      <c r="Q4514" s="14"/>
      <c r="R4514" s="11"/>
    </row>
    <row r="4515" s="1" customFormat="1" ht="9.95" customHeight="1" spans="1:19">
      <c r="A4515" s="7"/>
      <c r="B4515" s="12"/>
      <c r="C4515" s="33"/>
      <c r="D4515" s="29"/>
      <c r="E4515" s="29"/>
      <c r="F4515" s="29"/>
      <c r="G4515" s="29"/>
      <c r="H4515" s="29"/>
      <c r="I4515" s="29"/>
      <c r="J4515" s="29"/>
      <c r="K4515" s="29"/>
      <c r="L4515" s="29"/>
      <c r="M4515" s="29"/>
      <c r="N4515" s="29"/>
      <c r="O4515" s="29"/>
      <c r="P4515" s="19"/>
      <c r="Q4515" s="14"/>
      <c r="R4515" s="11"/>
    </row>
    <row r="4516" s="1" customFormat="1" ht="9.95" customHeight="1" spans="1:19">
      <c r="A4516" s="7"/>
      <c r="B4516" s="12"/>
      <c r="C4516" s="33"/>
      <c r="D4516" s="29"/>
      <c r="E4516" s="29"/>
      <c r="F4516" s="29"/>
      <c r="G4516" s="29"/>
      <c r="H4516" s="29"/>
      <c r="I4516" s="29"/>
      <c r="J4516" s="29"/>
      <c r="K4516" s="29"/>
      <c r="L4516" s="29"/>
      <c r="M4516" s="29"/>
      <c r="N4516" s="29"/>
      <c r="O4516" s="29"/>
      <c r="P4516" s="19"/>
      <c r="Q4516" s="14"/>
      <c r="R4516" s="11"/>
    </row>
    <row r="4517" s="1" customFormat="1" ht="21.95" customHeight="1" spans="1:19">
      <c r="A4517" s="7"/>
      <c r="B4517" s="12"/>
      <c r="C4517" s="210"/>
      <c r="D4517" s="211"/>
      <c r="E4517" s="211"/>
      <c r="F4517" s="211"/>
      <c r="G4517" s="211"/>
      <c r="H4517" s="211"/>
      <c r="I4517" s="211"/>
      <c r="J4517" s="211"/>
      <c r="K4517" s="211"/>
      <c r="L4517" s="211"/>
      <c r="M4517" s="211"/>
      <c r="N4517" s="211"/>
      <c r="O4517" s="211"/>
      <c r="P4517" s="212"/>
      <c r="Q4517" s="14"/>
      <c r="R4517" s="11"/>
      <c r="S4517" s="2"/>
    </row>
    <row r="4518" s="1" customFormat="1" ht="21.95" customHeight="1" spans="1:19">
      <c r="A4518" s="7"/>
      <c r="B4518" s="12"/>
      <c r="C4518" s="33"/>
      <c r="D4518" s="207" t="s">
        <v>722</v>
      </c>
      <c r="E4518" s="207"/>
      <c r="F4518" s="207"/>
      <c r="G4518" s="207"/>
      <c r="H4518" s="54">
        <f>IFERROR(VLOOKUP(F4486,PASHEET!$A$4:$CJ$103,88,0),"")</f>
        <v>0</v>
      </c>
      <c r="I4518" s="54"/>
      <c r="J4518" s="29"/>
      <c r="K4518" s="29"/>
      <c r="L4518" s="29"/>
      <c r="M4518" s="29"/>
      <c r="N4518" s="29"/>
      <c r="O4518" s="29"/>
      <c r="P4518" s="19"/>
      <c r="Q4518" s="14"/>
      <c r="R4518" s="11"/>
    </row>
    <row r="4519" s="1" customFormat="1" ht="21.95" customHeight="1" spans="1:19">
      <c r="A4519" s="7"/>
      <c r="B4519" s="12"/>
      <c r="C4519" s="213"/>
      <c r="D4519" s="207" t="s">
        <v>723</v>
      </c>
      <c r="E4519" s="207"/>
      <c r="F4519" s="207"/>
      <c r="G4519" s="207"/>
      <c r="H4519" s="54">
        <f>IFERROR(VLOOKUP(F4486,PASHEET!$A$4:$CJ$103,87,0),"")</f>
        <v>0</v>
      </c>
      <c r="I4519" s="54"/>
      <c r="J4519" s="214"/>
      <c r="K4519" s="214"/>
      <c r="L4519" s="207" t="s">
        <v>724</v>
      </c>
      <c r="M4519" s="207"/>
      <c r="N4519" s="117" t="str">
        <f>IF(F4486&gt;ENTRY!$D$24,"",IF(F4486&gt;0,L4510&amp;" / "&amp;600,""))</f>
        <v/>
      </c>
      <c r="O4519" s="117"/>
      <c r="P4519" s="215"/>
      <c r="Q4519" s="14"/>
      <c r="R4519" s="11"/>
    </row>
    <row r="4520" s="1" customFormat="1" ht="18" customHeight="1" spans="1:19">
      <c r="A4520" s="7"/>
      <c r="B4520" s="12"/>
      <c r="C4520" s="33"/>
      <c r="D4520" s="207" t="s">
        <v>725</v>
      </c>
      <c r="E4520" s="207"/>
      <c r="F4520" s="207"/>
      <c r="G4520" s="207"/>
      <c r="H4520" s="69" t="str">
        <f>IFERROR(IF(F4486&gt;0,H4519/H4518*100),"")</f>
        <v/>
      </c>
      <c r="I4520" s="69"/>
      <c r="J4520" s="29"/>
      <c r="K4520" s="29"/>
      <c r="L4520" s="207" t="s">
        <v>726</v>
      </c>
      <c r="M4520" s="207"/>
      <c r="N4520" s="216" t="str">
        <f>IF(F4486&gt;ENTRY!$D$24,"",IF(F4486&gt;0,L4510/600*100,""))</f>
        <v/>
      </c>
      <c r="O4520" s="216"/>
      <c r="P4520" s="19"/>
      <c r="Q4520" s="14"/>
      <c r="R4520" s="11"/>
    </row>
    <row r="4521" s="1" customFormat="1" ht="21.95" customHeight="1" spans="1:19">
      <c r="A4521" s="7"/>
      <c r="B4521" s="12"/>
      <c r="C4521" s="33"/>
      <c r="D4521" s="80"/>
      <c r="E4521" s="80"/>
      <c r="F4521" s="217"/>
      <c r="G4521" s="217"/>
      <c r="H4521" s="217"/>
      <c r="I4521" s="217"/>
      <c r="J4521" s="217"/>
      <c r="K4521" s="217"/>
      <c r="L4521" s="217"/>
      <c r="M4521" s="217"/>
      <c r="N4521" s="80"/>
      <c r="O4521" s="80"/>
      <c r="P4521" s="19"/>
      <c r="Q4521" s="14"/>
      <c r="R4521" s="11"/>
    </row>
    <row r="4522" s="1" customFormat="1" ht="21.95" customHeight="1" spans="1:19">
      <c r="A4522" s="7"/>
      <c r="B4522" s="12"/>
      <c r="C4522" s="33"/>
      <c r="D4522" s="80"/>
      <c r="E4522" s="218"/>
      <c r="F4522" s="218"/>
      <c r="G4522" s="218"/>
      <c r="H4522" s="80"/>
      <c r="I4522" s="218"/>
      <c r="J4522" s="218"/>
      <c r="K4522" s="218"/>
      <c r="L4522" s="218"/>
      <c r="M4522" s="80"/>
      <c r="N4522" s="219"/>
      <c r="O4522" s="219"/>
      <c r="P4522" s="19"/>
      <c r="Q4522" s="14"/>
      <c r="R4522" s="11"/>
    </row>
    <row r="4523" s="1" customFormat="1" ht="21.95" customHeight="1" spans="1:19">
      <c r="A4523" s="7"/>
      <c r="B4523" s="12"/>
      <c r="C4523" s="33"/>
      <c r="D4523" s="80"/>
      <c r="E4523" s="80"/>
      <c r="F4523" s="80"/>
      <c r="G4523" s="80"/>
      <c r="H4523" s="80"/>
      <c r="I4523" s="80"/>
      <c r="J4523" s="80"/>
      <c r="K4523" s="80"/>
      <c r="L4523" s="80"/>
      <c r="M4523" s="80"/>
      <c r="N4523" s="80"/>
      <c r="O4523" s="80"/>
      <c r="P4523" s="19"/>
      <c r="Q4523" s="14"/>
      <c r="R4523" s="11"/>
    </row>
    <row r="4524" s="1" customFormat="1" ht="21.95" customHeight="1" spans="1:19">
      <c r="A4524" s="7"/>
      <c r="B4524" s="12"/>
      <c r="C4524" s="33"/>
      <c r="D4524" s="218"/>
      <c r="E4524" s="218"/>
      <c r="F4524" s="218"/>
      <c r="G4524" s="218"/>
      <c r="H4524" s="218"/>
      <c r="I4524" s="218"/>
      <c r="J4524" s="218"/>
      <c r="K4524" s="218"/>
      <c r="L4524" s="218"/>
      <c r="M4524" s="80"/>
      <c r="N4524" s="217"/>
      <c r="O4524" s="217"/>
      <c r="P4524" s="85" t="s">
        <v>727</v>
      </c>
      <c r="Q4524" s="14"/>
      <c r="R4524" s="11"/>
    </row>
    <row r="4525" s="1" customFormat="1" ht="21.95" customHeight="1" spans="1:19">
      <c r="A4525" s="7"/>
      <c r="B4525" s="12"/>
      <c r="C4525" s="33"/>
      <c r="D4525" s="29"/>
      <c r="E4525" s="29"/>
      <c r="F4525" s="29"/>
      <c r="G4525" s="29"/>
      <c r="H4525" s="29"/>
      <c r="I4525" s="29"/>
      <c r="J4525" s="29"/>
      <c r="K4525" s="29"/>
      <c r="L4525" s="29"/>
      <c r="M4525" s="29"/>
      <c r="N4525" s="29"/>
      <c r="O4525" s="29"/>
      <c r="P4525" s="19"/>
      <c r="Q4525" s="14"/>
      <c r="R4525" s="11"/>
    </row>
    <row r="4526" s="1" customFormat="1" ht="21.95" customHeight="1" spans="1:19">
      <c r="A4526" s="7"/>
      <c r="B4526" s="12"/>
      <c r="C4526" s="33"/>
      <c r="D4526" s="29"/>
      <c r="E4526" s="29"/>
      <c r="F4526" s="29"/>
      <c r="G4526" s="29"/>
      <c r="H4526" s="29"/>
      <c r="I4526" s="29"/>
      <c r="J4526" s="29"/>
      <c r="K4526" s="29"/>
      <c r="L4526" s="29"/>
      <c r="M4526" s="29"/>
      <c r="N4526" s="29"/>
      <c r="O4526" s="29"/>
      <c r="P4526" s="19"/>
      <c r="Q4526" s="14"/>
      <c r="R4526" s="11"/>
    </row>
    <row r="4527" s="1" customFormat="1" ht="21.95" customHeight="1" spans="1:19">
      <c r="A4527" s="7"/>
      <c r="B4527" s="12"/>
      <c r="C4527" s="33"/>
      <c r="D4527" s="29"/>
      <c r="E4527" s="29"/>
      <c r="F4527" s="29"/>
      <c r="G4527" s="29"/>
      <c r="H4527" s="29"/>
      <c r="I4527" s="29"/>
      <c r="J4527" s="29"/>
      <c r="K4527" s="29"/>
      <c r="L4527" s="29"/>
      <c r="M4527" s="29"/>
      <c r="N4527" s="29"/>
      <c r="O4527" s="29"/>
      <c r="P4527" s="19"/>
      <c r="Q4527" s="14"/>
      <c r="R4527" s="11"/>
    </row>
    <row r="4528" s="1" customFormat="1" ht="21.95" customHeight="1" spans="1:19">
      <c r="A4528" s="7"/>
      <c r="B4528" s="12"/>
      <c r="C4528" s="33"/>
      <c r="D4528" s="29"/>
      <c r="E4528" s="29"/>
      <c r="F4528" s="29"/>
      <c r="G4528" s="29"/>
      <c r="H4528" s="29"/>
      <c r="I4528" s="29"/>
      <c r="J4528" s="29"/>
      <c r="K4528" s="29"/>
      <c r="L4528" s="29"/>
      <c r="M4528" s="29"/>
      <c r="N4528" s="29"/>
      <c r="O4528" s="29"/>
      <c r="P4528" s="19"/>
      <c r="Q4528" s="14"/>
      <c r="R4528" s="11"/>
    </row>
    <row r="4529" s="1" customFormat="1" ht="21.95" customHeight="1" spans="1:18">
      <c r="A4529" s="7"/>
      <c r="B4529" s="12"/>
      <c r="C4529" s="33"/>
      <c r="D4529" s="29"/>
      <c r="E4529" s="29"/>
      <c r="F4529" s="29"/>
      <c r="G4529" s="29"/>
      <c r="H4529" s="29"/>
      <c r="I4529" s="29"/>
      <c r="J4529" s="29"/>
      <c r="K4529" s="29"/>
      <c r="L4529" s="29"/>
      <c r="M4529" s="29"/>
      <c r="N4529" s="29"/>
      <c r="O4529" s="29"/>
      <c r="P4529" s="19"/>
      <c r="Q4529" s="14"/>
      <c r="R4529" s="11"/>
    </row>
    <row r="4530" s="1" customFormat="1" ht="21.95" customHeight="1" spans="1:18">
      <c r="A4530" s="7"/>
      <c r="B4530" s="12"/>
      <c r="C4530" s="33"/>
      <c r="D4530" s="80" t="s">
        <v>728</v>
      </c>
      <c r="E4530" s="220">
        <f>ENTRY!$D$27</f>
        <v>46102</v>
      </c>
      <c r="F4530" s="220"/>
      <c r="G4530" s="29"/>
      <c r="H4530" s="29"/>
      <c r="I4530" s="221" t="s">
        <v>729</v>
      </c>
      <c r="J4530" s="153"/>
      <c r="K4530" s="29"/>
      <c r="L4530" s="29"/>
      <c r="M4530" s="87" t="s">
        <v>730</v>
      </c>
      <c r="N4530" s="87"/>
      <c r="O4530" s="87"/>
      <c r="P4530" s="19"/>
      <c r="Q4530" s="14"/>
      <c r="R4530" s="11"/>
    </row>
    <row r="4531" s="1" customFormat="1" ht="21.95" customHeight="1" spans="1:18">
      <c r="A4531" s="7"/>
      <c r="B4531" s="12"/>
      <c r="C4531" s="33"/>
      <c r="D4531" s="80" t="s">
        <v>731</v>
      </c>
      <c r="E4531" s="88" t="str">
        <f>PROPER(ENTRY!$D$28)</f>
        <v>New Delhi</v>
      </c>
      <c r="F4531" s="88"/>
      <c r="G4531" s="29"/>
      <c r="H4531" s="29"/>
      <c r="I4531" s="153"/>
      <c r="J4531" s="153"/>
      <c r="K4531" s="29"/>
      <c r="L4531" s="29"/>
      <c r="M4531" s="79" t="s">
        <v>732</v>
      </c>
      <c r="N4531" s="79"/>
      <c r="O4531" s="79"/>
      <c r="P4531" s="19"/>
      <c r="Q4531" s="14"/>
      <c r="R4531" s="11"/>
    </row>
    <row r="4532" s="1" customFormat="1" ht="21.95" customHeight="1" spans="1:18">
      <c r="A4532" s="7"/>
      <c r="B4532" s="12"/>
      <c r="C4532" s="90"/>
      <c r="D4532" s="91"/>
      <c r="E4532" s="91"/>
      <c r="F4532" s="91"/>
      <c r="G4532" s="91"/>
      <c r="H4532" s="91"/>
      <c r="I4532" s="91"/>
      <c r="J4532" s="91"/>
      <c r="K4532" s="91"/>
      <c r="L4532" s="91"/>
      <c r="M4532" s="91"/>
      <c r="N4532" s="91"/>
      <c r="O4532" s="91"/>
      <c r="P4532" s="92"/>
      <c r="Q4532" s="14"/>
      <c r="R4532" s="11"/>
    </row>
    <row r="4533" s="1" customFormat="1" ht="5.1" customHeight="1" spans="1:18">
      <c r="A4533" s="7"/>
      <c r="B4533" s="90"/>
      <c r="C4533" s="91"/>
      <c r="D4533" s="91"/>
      <c r="E4533" s="91"/>
      <c r="F4533" s="91"/>
      <c r="G4533" s="91"/>
      <c r="H4533" s="91"/>
      <c r="I4533" s="91"/>
      <c r="J4533" s="91"/>
      <c r="K4533" s="91"/>
      <c r="L4533" s="91"/>
      <c r="M4533" s="91"/>
      <c r="N4533" s="91"/>
      <c r="O4533" s="91"/>
      <c r="P4533" s="91"/>
      <c r="Q4533" s="92"/>
      <c r="R4533" s="11"/>
    </row>
    <row r="4534" s="1" customFormat="1" ht="5.1" customHeight="1" spans="1:18">
      <c r="A4534" s="93"/>
      <c r="B4534" s="94"/>
      <c r="C4534" s="94"/>
      <c r="D4534" s="94"/>
      <c r="E4534" s="94"/>
      <c r="F4534" s="94"/>
      <c r="G4534" s="94"/>
      <c r="H4534" s="94"/>
      <c r="I4534" s="94"/>
      <c r="J4534" s="94"/>
      <c r="K4534" s="94"/>
      <c r="L4534" s="94"/>
      <c r="M4534" s="94"/>
      <c r="N4534" s="94"/>
      <c r="O4534" s="94"/>
      <c r="P4534" s="94"/>
      <c r="Q4534" s="94"/>
      <c r="R4534" s="95"/>
    </row>
    <row r="4535" s="1" customFormat="1" ht="21.95" customHeight="1"/>
    <row r="4536" ht="15.15"/>
    <row r="4537" s="1" customFormat="1" ht="5.1" customHeight="1" spans="1:18">
      <c r="A4537" s="4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  <c r="P4537" s="5"/>
      <c r="Q4537" s="5"/>
      <c r="R4537" s="6"/>
    </row>
    <row r="4538" s="1" customFormat="1" ht="15" customHeight="1" spans="1:18">
      <c r="A4538" s="7"/>
      <c r="B4538" s="8"/>
      <c r="C4538" s="9"/>
      <c r="D4538" s="9"/>
      <c r="E4538" s="9"/>
      <c r="F4538" s="9"/>
      <c r="G4538" s="9"/>
      <c r="H4538" s="9"/>
      <c r="I4538" s="9"/>
      <c r="J4538" s="9"/>
      <c r="K4538" s="9"/>
      <c r="L4538" s="9"/>
      <c r="M4538" s="9"/>
      <c r="N4538" s="9"/>
      <c r="O4538" s="9"/>
      <c r="P4538" s="9"/>
      <c r="Q4538" s="10"/>
      <c r="R4538" s="11"/>
    </row>
    <row r="4539" s="1" customFormat="1" ht="21.95" customHeight="1" spans="1:18">
      <c r="A4539" s="7"/>
      <c r="B4539" s="12"/>
      <c r="C4539" s="13" t="s">
        <v>7</v>
      </c>
      <c r="D4539" s="13"/>
      <c r="E4539" s="13"/>
      <c r="F4539" s="13"/>
      <c r="G4539" s="13"/>
      <c r="H4539" s="13"/>
      <c r="I4539" s="13"/>
      <c r="J4539" s="13"/>
      <c r="K4539" s="13"/>
      <c r="L4539" s="13"/>
      <c r="M4539" s="13"/>
      <c r="N4539" s="13"/>
      <c r="O4539" s="13"/>
      <c r="P4539" s="13"/>
      <c r="Q4539" s="14"/>
      <c r="R4539" s="11"/>
    </row>
    <row r="4540" s="1" customFormat="1" ht="21.95" customHeight="1" spans="1:18">
      <c r="A4540" s="7"/>
      <c r="B4540" s="1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14"/>
      <c r="R4540" s="11"/>
    </row>
    <row r="4541" s="1" customFormat="1" ht="21.95" customHeight="1" spans="1:18">
      <c r="A4541" s="7"/>
      <c r="B4541" s="12"/>
      <c r="C4541" s="15" t="str">
        <f>"SESSION-"&amp;ENTRY!$D$11</f>
        <v>SESSION-2026-27</v>
      </c>
      <c r="D4541" s="15"/>
      <c r="E4541" s="15"/>
      <c r="F4541" s="15"/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  <c r="Q4541" s="14"/>
      <c r="R4541" s="11"/>
    </row>
    <row r="4542" s="1" customFormat="1" ht="21.95" customHeight="1" spans="1:18">
      <c r="A4542" s="7"/>
      <c r="B4542" s="12"/>
      <c r="C4542" s="2"/>
      <c r="D4542" s="2"/>
      <c r="E4542" s="2"/>
      <c r="F4542" s="16">
        <f>F4486+1</f>
        <v>82</v>
      </c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14"/>
      <c r="R4542" s="11"/>
    </row>
    <row r="4543" s="1" customFormat="1" ht="21.95" customHeight="1" spans="1:18">
      <c r="A4543" s="7"/>
      <c r="B4543" s="12"/>
      <c r="C4543" s="17" t="s">
        <v>392</v>
      </c>
      <c r="D4543" s="17"/>
      <c r="E4543" s="17"/>
      <c r="F4543" s="18" t="str">
        <f>IF(F4542&gt;0,ENTRY!$D$6,"")</f>
        <v>MCP NITHARI NO 1 BOYS</v>
      </c>
      <c r="G4543" s="18"/>
      <c r="H4543" s="18"/>
      <c r="I4543" s="18"/>
      <c r="J4543" s="18"/>
      <c r="K4543" s="18"/>
      <c r="L4543" s="18"/>
      <c r="M4543" s="18"/>
      <c r="N4543" s="18"/>
      <c r="O4543" s="18"/>
      <c r="P4543" s="18"/>
      <c r="Q4543" s="14"/>
      <c r="R4543" s="11"/>
    </row>
    <row r="4544" s="1" customFormat="1" ht="21.95" customHeight="1" spans="1:18">
      <c r="A4544" s="7"/>
      <c r="B4544" s="12"/>
      <c r="C4544" s="17" t="s">
        <v>393</v>
      </c>
      <c r="D4544" s="17"/>
      <c r="E4544" s="17"/>
      <c r="F4544" s="18">
        <f>IF(F4542&gt;0,ENTRY!$D$7,"")</f>
        <v>0</v>
      </c>
      <c r="G4544" s="18"/>
      <c r="H4544" s="20" t="s">
        <v>702</v>
      </c>
      <c r="I4544" s="20"/>
      <c r="J4544" s="21">
        <f>IF(F4542&gt;0,ENTRY!$D$10,"")</f>
        <v>40</v>
      </c>
      <c r="K4544" s="20" t="s">
        <v>703</v>
      </c>
      <c r="L4544" s="22" t="str">
        <f>IF(F4542&gt;0,ENTRY!$D$5,"")</f>
        <v>ROHINI ZONE</v>
      </c>
      <c r="M4544" s="22"/>
      <c r="N4544" s="22"/>
      <c r="O4544" s="22"/>
      <c r="P4544" s="22"/>
      <c r="Q4544" s="14"/>
      <c r="R4544" s="11"/>
    </row>
    <row r="4545" s="1" customFormat="1" ht="21.95" customHeight="1" spans="1:18">
      <c r="A4545" s="7"/>
      <c r="B4545" s="12"/>
      <c r="C4545" s="17" t="s">
        <v>706</v>
      </c>
      <c r="D4545" s="17"/>
      <c r="E4545" s="17"/>
      <c r="F4545" s="23">
        <f>IFERROR(VLOOKUP(F4542,STUDENT!$A$2:$BP$101,5,0),"")</f>
        <v>0</v>
      </c>
      <c r="G4545" s="23"/>
      <c r="H4545" s="23"/>
      <c r="I4545" s="23"/>
      <c r="J4545" s="23"/>
      <c r="K4545" s="23"/>
      <c r="L4545" s="20" t="s">
        <v>707</v>
      </c>
      <c r="M4545" s="20"/>
      <c r="N4545" s="24" t="str">
        <f>IF(F4542&gt;0,ENTRY!$D$20&amp;"-"&amp;ENTRY!$D$21,"")</f>
        <v>III-A</v>
      </c>
      <c r="O4545" s="24"/>
      <c r="P4545" s="24"/>
      <c r="Q4545" s="14"/>
      <c r="R4545" s="11"/>
    </row>
    <row r="4546" s="1" customFormat="1" ht="21.95" customHeight="1" spans="1:18">
      <c r="A4546" s="7"/>
      <c r="B4546" s="12"/>
      <c r="C4546" s="17" t="s">
        <v>708</v>
      </c>
      <c r="D4546" s="17"/>
      <c r="E4546" s="17"/>
      <c r="F4546" s="25">
        <f>IFERROR(VLOOKUP(F4542,STUDENT!$A$2:$BP$101,6,0),"")</f>
        <v>0</v>
      </c>
      <c r="G4546" s="25"/>
      <c r="H4546" s="26" t="s">
        <v>709</v>
      </c>
      <c r="I4546" s="27" t="str">
        <f>IFERROR(VLOOKUP(F4542,STUDENT!$A$2:$BP$101,59,0),"")</f>
        <v/>
      </c>
      <c r="J4546" s="27"/>
      <c r="K4546" s="20" t="s">
        <v>710</v>
      </c>
      <c r="L4546" s="20"/>
      <c r="M4546" s="28">
        <f>IFERROR(VLOOKUP(F4542,STUDENT!$A$2:$BP$101,20,0),"")</f>
        <v>0</v>
      </c>
      <c r="N4546" s="28"/>
      <c r="O4546" s="28"/>
      <c r="P4546" s="28"/>
      <c r="Q4546" s="14"/>
      <c r="R4546" s="11"/>
    </row>
    <row r="4547" s="1" customFormat="1" ht="21.95" customHeight="1" spans="1:18">
      <c r="A4547" s="7"/>
      <c r="B4547" s="12"/>
      <c r="C4547" s="17" t="s">
        <v>711</v>
      </c>
      <c r="D4547" s="17"/>
      <c r="E4547" s="17"/>
      <c r="F4547" s="23">
        <f>IFERROR(VLOOKUP(F4542,STUDENT!$A$2:$BP$101,9,0),"")</f>
        <v>0</v>
      </c>
      <c r="G4547" s="23"/>
      <c r="H4547" s="23"/>
      <c r="I4547" s="23"/>
      <c r="J4547" s="17" t="s">
        <v>620</v>
      </c>
      <c r="K4547" s="17"/>
      <c r="L4547" s="23">
        <f>IFERROR(VLOOKUP(F4542,STUDENT!$A$2:$BP$101,8,0),"")</f>
        <v>0</v>
      </c>
      <c r="M4547" s="23"/>
      <c r="N4547" s="23"/>
      <c r="O4547" s="23"/>
      <c r="P4547" s="23"/>
      <c r="Q4547" s="14"/>
      <c r="R4547" s="11"/>
    </row>
    <row r="4548" s="1" customFormat="1" ht="21.95" customHeight="1" spans="1:18">
      <c r="A4548" s="7"/>
      <c r="B4548" s="12"/>
      <c r="C4548" s="17" t="s">
        <v>712</v>
      </c>
      <c r="D4548" s="17"/>
      <c r="E4548" s="17"/>
      <c r="F4548" s="23">
        <f>IFERROR(VLOOKUP(F4542,STUDENT!$A$2:$BP$101,22,0),"")</f>
        <v>0</v>
      </c>
      <c r="G4548" s="23"/>
      <c r="H4548" s="23"/>
      <c r="I4548" s="23"/>
      <c r="J4548" s="23"/>
      <c r="K4548" s="23"/>
      <c r="L4548" s="23"/>
      <c r="M4548" s="23"/>
      <c r="N4548" s="23"/>
      <c r="O4548" s="23"/>
      <c r="P4548" s="23"/>
      <c r="Q4548" s="14"/>
      <c r="R4548" s="11"/>
    </row>
    <row r="4549" s="1" customFormat="1" ht="9.95" customHeight="1" spans="1:18">
      <c r="A4549" s="7"/>
      <c r="B4549" s="12"/>
      <c r="C4549" s="29"/>
      <c r="D4549" s="29"/>
      <c r="E4549" s="29"/>
      <c r="F4549" s="29"/>
      <c r="G4549" s="29"/>
      <c r="H4549" s="29"/>
      <c r="I4549" s="29"/>
      <c r="J4549" s="29"/>
      <c r="K4549" s="29"/>
      <c r="L4549" s="29"/>
      <c r="M4549" s="29"/>
      <c r="N4549" s="29"/>
      <c r="O4549" s="29"/>
      <c r="P4549" s="29"/>
      <c r="Q4549" s="14"/>
      <c r="R4549" s="11"/>
    </row>
    <row r="4550" s="1" customFormat="1" ht="9.95" customHeight="1" spans="1:18">
      <c r="A4550" s="7"/>
      <c r="B4550" s="12"/>
      <c r="C4550" s="30"/>
      <c r="D4550" s="31"/>
      <c r="E4550" s="31"/>
      <c r="F4550" s="31"/>
      <c r="G4550" s="31"/>
      <c r="H4550" s="31"/>
      <c r="I4550" s="31"/>
      <c r="J4550" s="31"/>
      <c r="K4550" s="31"/>
      <c r="L4550" s="31"/>
      <c r="M4550" s="31"/>
      <c r="N4550" s="31"/>
      <c r="O4550" s="31"/>
      <c r="P4550" s="32"/>
      <c r="Q4550" s="14"/>
      <c r="R4550" s="11"/>
    </row>
    <row r="4551" s="1" customFormat="1" ht="21.95" customHeight="1" spans="1:18">
      <c r="A4551" s="7"/>
      <c r="B4551" s="12"/>
      <c r="C4551" s="33"/>
      <c r="D4551" s="34" t="s">
        <v>713</v>
      </c>
      <c r="E4551" s="20" t="s">
        <v>714</v>
      </c>
      <c r="F4551" s="35" t="str">
        <f>"Level - "&amp;IFERROR(VLOOKUP(F4542,FLN!$A$4:$K$103,9,0),"")</f>
        <v>Level - </v>
      </c>
      <c r="G4551" s="36"/>
      <c r="H4551" s="37" t="s">
        <v>715</v>
      </c>
      <c r="I4551" s="20"/>
      <c r="J4551" s="35" t="str">
        <f>"Level - "&amp;IFERROR(VLOOKUP(F4542,FLN!$A$4:$K$103,11,0),"")</f>
        <v>Level - </v>
      </c>
      <c r="K4551" s="36"/>
      <c r="L4551" s="37" t="s">
        <v>408</v>
      </c>
      <c r="M4551" s="20"/>
      <c r="N4551" s="35" t="str">
        <f>"Level - "&amp;IFERROR(VLOOKUP(F4542,FLN!$A$4:$K$103,10,0),"")</f>
        <v>Level - </v>
      </c>
      <c r="O4551" s="36"/>
      <c r="P4551" s="19"/>
      <c r="Q4551" s="14"/>
      <c r="R4551" s="11"/>
    </row>
    <row r="4552" s="1" customFormat="1" ht="21.95" customHeight="1" spans="1:18">
      <c r="A4552" s="7"/>
      <c r="B4552" s="12"/>
      <c r="C4552" s="33"/>
      <c r="D4552" s="38"/>
      <c r="E4552" s="20" t="s">
        <v>716</v>
      </c>
      <c r="F4552" s="18" t="str">
        <f>IF(L4566&gt;197,"PERFORMED WELL","")</f>
        <v/>
      </c>
      <c r="G4552" s="18"/>
      <c r="H4552" s="18"/>
      <c r="I4552" s="18"/>
      <c r="J4552" s="18"/>
      <c r="K4552" s="18"/>
      <c r="L4552" s="18"/>
      <c r="M4552" s="18"/>
      <c r="N4552" s="18"/>
      <c r="O4552" s="18"/>
      <c r="P4552" s="19"/>
      <c r="Q4552" s="14"/>
      <c r="R4552" s="11"/>
    </row>
    <row r="4553" s="1" customFormat="1" ht="9.95" customHeight="1" spans="1:18">
      <c r="A4553" s="7"/>
      <c r="B4553" s="12"/>
      <c r="C4553" s="39"/>
      <c r="D4553" s="40"/>
      <c r="E4553" s="40"/>
      <c r="F4553" s="40"/>
      <c r="G4553" s="40"/>
      <c r="H4553" s="40"/>
      <c r="I4553" s="40"/>
      <c r="J4553" s="40"/>
      <c r="K4553" s="40"/>
      <c r="L4553" s="40"/>
      <c r="M4553" s="40"/>
      <c r="N4553" s="40"/>
      <c r="O4553" s="40"/>
      <c r="P4553" s="41"/>
      <c r="Q4553" s="14"/>
      <c r="R4553" s="11"/>
    </row>
    <row r="4554" s="1" customFormat="1" ht="9.95" customHeight="1" spans="1:18">
      <c r="A4554" s="7"/>
      <c r="B4554" s="12"/>
      <c r="C4554" s="29"/>
      <c r="D4554" s="29"/>
      <c r="E4554" s="29"/>
      <c r="F4554" s="29"/>
      <c r="G4554" s="29"/>
      <c r="H4554" s="29"/>
      <c r="I4554" s="29"/>
      <c r="J4554" s="29"/>
      <c r="K4554" s="29"/>
      <c r="L4554" s="29"/>
      <c r="M4554" s="29"/>
      <c r="N4554" s="29"/>
      <c r="O4554" s="29"/>
      <c r="P4554" s="29"/>
      <c r="Q4554" s="14"/>
      <c r="R4554" s="11"/>
    </row>
    <row r="4555" s="1" customFormat="1" ht="9.95" customHeight="1" spans="1:18">
      <c r="A4555" s="7"/>
      <c r="B4555" s="12"/>
      <c r="C4555" s="30"/>
      <c r="D4555" s="31"/>
      <c r="E4555" s="31"/>
      <c r="F4555" s="31"/>
      <c r="G4555" s="31"/>
      <c r="H4555" s="31"/>
      <c r="I4555" s="31"/>
      <c r="J4555" s="31"/>
      <c r="K4555" s="31"/>
      <c r="L4555" s="31"/>
      <c r="M4555" s="31"/>
      <c r="N4555" s="31"/>
      <c r="O4555" s="31"/>
      <c r="P4555" s="32"/>
      <c r="Q4555" s="14"/>
      <c r="R4555" s="11"/>
    </row>
    <row r="4556" s="1" customFormat="1" ht="21.95" customHeight="1" spans="1:18">
      <c r="A4556" s="7"/>
      <c r="B4556" s="12"/>
      <c r="C4556" s="33"/>
      <c r="D4556" s="35"/>
      <c r="E4556" s="24"/>
      <c r="F4556" s="24"/>
      <c r="G4556" s="47" t="s">
        <v>717</v>
      </c>
      <c r="H4556" s="47"/>
      <c r="I4556" s="47"/>
      <c r="J4556" s="47"/>
      <c r="K4556" s="47"/>
      <c r="L4556" s="47"/>
      <c r="M4556" s="47"/>
      <c r="N4556" s="47"/>
      <c r="O4556" s="29"/>
      <c r="P4556" s="19"/>
      <c r="Q4556" s="14"/>
      <c r="R4556" s="11"/>
    </row>
    <row r="4557" s="1" customFormat="1" ht="21.95" customHeight="1" spans="1:18">
      <c r="A4557" s="7"/>
      <c r="B4557" s="12"/>
      <c r="C4557" s="33"/>
      <c r="D4557" s="47"/>
      <c r="E4557" s="47"/>
      <c r="F4557" s="47"/>
      <c r="G4557" s="47" t="s">
        <v>541</v>
      </c>
      <c r="H4557" s="47" t="s">
        <v>542</v>
      </c>
      <c r="I4557" s="47" t="s">
        <v>543</v>
      </c>
      <c r="J4557" s="47" t="s">
        <v>544</v>
      </c>
      <c r="K4557" s="47" t="s">
        <v>561</v>
      </c>
      <c r="L4557" s="47" t="s">
        <v>382</v>
      </c>
      <c r="M4557" s="49" t="s">
        <v>546</v>
      </c>
      <c r="N4557" s="49"/>
      <c r="O4557" s="29"/>
      <c r="P4557" s="19"/>
      <c r="Q4557" s="14"/>
      <c r="R4557" s="11"/>
    </row>
    <row r="4558" s="1" customFormat="1" ht="21.95" customHeight="1" spans="1:18">
      <c r="A4558" s="7"/>
      <c r="B4558" s="12"/>
      <c r="C4558" s="33"/>
      <c r="D4558" s="207" t="s">
        <v>652</v>
      </c>
      <c r="E4558" s="207"/>
      <c r="F4558" s="207"/>
      <c r="G4558" s="50">
        <v>10</v>
      </c>
      <c r="H4558" s="50">
        <v>10</v>
      </c>
      <c r="I4558" s="50">
        <v>10</v>
      </c>
      <c r="J4558" s="50">
        <v>10</v>
      </c>
      <c r="K4558" s="50">
        <v>60</v>
      </c>
      <c r="L4558" s="50">
        <v>100</v>
      </c>
      <c r="M4558" s="49"/>
      <c r="N4558" s="49"/>
      <c r="O4558" s="29"/>
      <c r="P4558" s="19"/>
      <c r="Q4558" s="14"/>
      <c r="R4558" s="11"/>
    </row>
    <row r="4559" s="1" customFormat="1" ht="21.95" customHeight="1" spans="1:18">
      <c r="A4559" s="7"/>
      <c r="B4559" s="12"/>
      <c r="C4559" s="33"/>
      <c r="D4559" s="117" t="s">
        <v>668</v>
      </c>
      <c r="E4559" s="117"/>
      <c r="F4559" s="117"/>
      <c r="G4559" s="54" t="str">
        <f>IFERROR(VLOOKUP(F4542,'1to4-2.1-RR'!$A$12:$BG$111,9,0),"")</f>
        <v/>
      </c>
      <c r="H4559" s="54" t="str">
        <f>IFERROR(VLOOKUP(F4542,'1to4-2.1-RR'!$A$12:$BG$111,10,0),"")</f>
        <v/>
      </c>
      <c r="I4559" s="54" t="str">
        <f>IFERROR(VLOOKUP(F4542,'1to4-2.1-RR'!$A$12:$BG$111,11,0),"")</f>
        <v/>
      </c>
      <c r="J4559" s="54" t="str">
        <f>IFERROR(VLOOKUP(F4542,'1to4-2.1-RR'!$A$12:$BG$111,12,0),"")</f>
        <v/>
      </c>
      <c r="K4559" s="54" t="str">
        <f>IFERROR(VLOOKUP(F4542,'1to4-2.1-RR'!$A$12:$BG$111,13,0),"")</f>
        <v/>
      </c>
      <c r="L4559" s="55">
        <f>SUM(G4559:K4559)</f>
        <v>0</v>
      </c>
      <c r="M4559" s="56" t="str">
        <f>IF(F4542&gt;ENTRY!$D$24,"",IF(L4559=0,"Ab",IF(L4559&gt;80,"A",IF(L4559&gt;60,"B",IF(L4559&gt;44,"C",IF(L4559&gt;=33,"D",IF(L4559&lt;=32,"E","")))))))</f>
        <v/>
      </c>
      <c r="N4559" s="56"/>
      <c r="O4559" s="29"/>
      <c r="P4559" s="19"/>
      <c r="Q4559" s="14"/>
      <c r="R4559" s="11"/>
    </row>
    <row r="4560" s="1" customFormat="1" ht="21.95" customHeight="1" spans="1:18">
      <c r="A4560" s="7"/>
      <c r="B4560" s="12"/>
      <c r="C4560" s="33"/>
      <c r="D4560" s="117" t="s">
        <v>513</v>
      </c>
      <c r="E4560" s="117"/>
      <c r="F4560" s="117"/>
      <c r="G4560" s="54" t="str">
        <f>IFERROR(VLOOKUP(F4542,'1to4-2.1-RR'!$A$12:$BG$111,16,0),"")</f>
        <v/>
      </c>
      <c r="H4560" s="54" t="str">
        <f>IFERROR(VLOOKUP(F4542,'1to4-2.1-RR'!$A$12:$BG$111,17,0),"")</f>
        <v/>
      </c>
      <c r="I4560" s="54" t="str">
        <f>IFERROR(VLOOKUP(F4542,'1to4-2.1-RR'!$A$12:$BG$111,18,0),"")</f>
        <v/>
      </c>
      <c r="J4560" s="54" t="str">
        <f>IFERROR(VLOOKUP(F4542,'1to4-2.1-RR'!$A$12:$BG$111,19,0),"")</f>
        <v/>
      </c>
      <c r="K4560" s="54" t="str">
        <f>IFERROR(VLOOKUP(F4542,'1to4-2.1-RR'!$A$12:$BG$111,20,0),"")</f>
        <v/>
      </c>
      <c r="L4560" s="55">
        <f t="shared" ref="L4560:L4565" si="162">SUM(G4560:K4560)</f>
        <v>0</v>
      </c>
      <c r="M4560" s="56" t="str">
        <f>IF(F4542&gt;ENTRY!$D$24,"",IF(L4560=0,"Ab",IF(L4560&gt;80,"A",IF(L4560&gt;60,"B",IF(L4560&gt;44,"C",IF(L4560&gt;=33,"D",IF(L4560&lt;=32,"E","")))))))</f>
        <v/>
      </c>
      <c r="N4560" s="56"/>
      <c r="O4560" s="29"/>
      <c r="P4560" s="19"/>
      <c r="Q4560" s="14"/>
      <c r="R4560" s="11"/>
    </row>
    <row r="4561" s="1" customFormat="1" ht="21.95" customHeight="1" spans="1:19">
      <c r="A4561" s="7"/>
      <c r="B4561" s="12"/>
      <c r="C4561" s="33"/>
      <c r="D4561" s="117" t="s">
        <v>718</v>
      </c>
      <c r="E4561" s="117"/>
      <c r="F4561" s="117"/>
      <c r="G4561" s="54" t="str">
        <f>IFERROR(VLOOKUP(F4542,'1to4-2.1-RR'!$A$12:$BG$111,23,0),"")</f>
        <v/>
      </c>
      <c r="H4561" s="54" t="str">
        <f>IFERROR(VLOOKUP(F4542,'1to4-2.1-RR'!$A$12:$BG$111,24,0),"")</f>
        <v/>
      </c>
      <c r="I4561" s="54" t="str">
        <f>IFERROR(VLOOKUP(F4542,'1to4-2.1-RR'!$A$12:$BG$111,25,0),"")</f>
        <v/>
      </c>
      <c r="J4561" s="54" t="str">
        <f>IFERROR(VLOOKUP(F4542,'1to4-2.1-RR'!$A$12:$BG$111,26,0),"")</f>
        <v/>
      </c>
      <c r="K4561" s="54" t="str">
        <f>IFERROR(VLOOKUP(F4542,'1to4-2.1-RR'!$A$12:$BG$111,27,0),"")</f>
        <v/>
      </c>
      <c r="L4561" s="55">
        <f t="shared" si="162"/>
        <v>0</v>
      </c>
      <c r="M4561" s="56" t="str">
        <f>IF(F4542&gt;ENTRY!$D$24,"",IF(L4561=0,"Ab",IF(L4561&gt;80,"A",IF(L4561&gt;60,"B",IF(L4561&gt;44,"C",IF(L4561&gt;=33,"D",IF(L4561&lt;=32,"E","")))))))</f>
        <v/>
      </c>
      <c r="N4561" s="56"/>
      <c r="O4561" s="29"/>
      <c r="P4561" s="19"/>
      <c r="Q4561" s="14"/>
      <c r="R4561" s="11"/>
    </row>
    <row r="4562" s="1" customFormat="1" ht="21.95" customHeight="1" spans="1:19">
      <c r="A4562" s="7"/>
      <c r="B4562" s="12"/>
      <c r="C4562" s="33"/>
      <c r="D4562" s="117" t="s">
        <v>719</v>
      </c>
      <c r="E4562" s="117"/>
      <c r="F4562" s="117"/>
      <c r="G4562" s="54" t="str">
        <f>IFERROR(VLOOKUP(F4542,'1to4-2.1-RR'!$A$12:$BG$111,30,0),"")</f>
        <v/>
      </c>
      <c r="H4562" s="54" t="str">
        <f>IFERROR(VLOOKUP(F4542,'1to4-2.1-RR'!$A$12:$BG$111,31,0),"")</f>
        <v/>
      </c>
      <c r="I4562" s="54" t="str">
        <f>IFERROR(VLOOKUP(F4542,'1to4-2.1-RR'!$A$12:$BG$111,32,0),"")</f>
        <v/>
      </c>
      <c r="J4562" s="54" t="str">
        <f>IFERROR(VLOOKUP(F4542,'1to4-2.1-RR'!$A$12:$BG$111,33,0),"")</f>
        <v/>
      </c>
      <c r="K4562" s="54" t="str">
        <f>IFERROR(VLOOKUP(F4542,'1to4-2.1-RR'!$A$12:$BG$111,34,0),"")</f>
        <v/>
      </c>
      <c r="L4562" s="55">
        <f t="shared" si="162"/>
        <v>0</v>
      </c>
      <c r="M4562" s="56" t="str">
        <f>IF(F4542&gt;ENTRY!$D$24,"",IF(L4562=0,"Ab",IF(L4562&gt;80,"A",IF(L4562&gt;60,"B",IF(L4562&gt;44,"C",IF(L4562&gt;=33,"D",IF(L4562&lt;=32,"E","")))))))</f>
        <v/>
      </c>
      <c r="N4562" s="56"/>
      <c r="O4562" s="29"/>
      <c r="P4562" s="19"/>
      <c r="Q4562" s="14"/>
      <c r="R4562" s="11"/>
    </row>
    <row r="4563" s="1" customFormat="1" ht="21.95" customHeight="1" spans="1:19">
      <c r="A4563" s="7"/>
      <c r="B4563" s="12"/>
      <c r="C4563" s="33"/>
      <c r="D4563" s="117" t="s">
        <v>548</v>
      </c>
      <c r="E4563" s="117"/>
      <c r="F4563" s="117"/>
      <c r="G4563" s="54" t="str">
        <f>IFERROR(VLOOKUP(F4542,'1to4-2.1-RR'!$A$12:$BG$111,37,0),"")</f>
        <v/>
      </c>
      <c r="H4563" s="54" t="str">
        <f>IFERROR(VLOOKUP(F4542,'1to4-2.1-RR'!$A$12:$BG$111,38,0),"")</f>
        <v/>
      </c>
      <c r="I4563" s="54" t="str">
        <f>IFERROR(VLOOKUP(F4542,'1to4-2.1-RR'!$A$12:$BG$111,39,0),"")</f>
        <v/>
      </c>
      <c r="J4563" s="54" t="str">
        <f>IFERROR(VLOOKUP(F4542,'1to4-2.1-RR'!$A$12:$BG$111,40,0),"")</f>
        <v/>
      </c>
      <c r="K4563" s="54" t="str">
        <f>IFERROR(VLOOKUP(F4542,'1to4-2.1-RR'!$A$12:$BG$111,41,0),"")</f>
        <v/>
      </c>
      <c r="L4563" s="55">
        <f t="shared" si="162"/>
        <v>0</v>
      </c>
      <c r="M4563" s="56" t="str">
        <f>IF(F4542&gt;ENTRY!$D$24,"",IF(L4563=0,"Ab",IF(L4563&gt;80,"A",IF(L4563&gt;60,"B",IF(L4563&gt;44,"C",IF(L4563&gt;=33,"D",IF(L4563&lt;=32,"E","")))))))</f>
        <v/>
      </c>
      <c r="N4563" s="56"/>
      <c r="O4563" s="29"/>
      <c r="P4563" s="19"/>
      <c r="Q4563" s="14"/>
      <c r="R4563" s="11"/>
    </row>
    <row r="4564" s="1" customFormat="1" ht="21.95" customHeight="1" spans="1:19">
      <c r="A4564" s="7"/>
      <c r="B4564" s="12"/>
      <c r="C4564" s="33"/>
      <c r="D4564" s="117" t="s">
        <v>549</v>
      </c>
      <c r="E4564" s="117"/>
      <c r="F4564" s="117"/>
      <c r="G4564" s="54" t="str">
        <f>IFERROR(VLOOKUP(F4542,'1to4-2.1-RR'!$A$12:$BG$111,44,0),"")</f>
        <v/>
      </c>
      <c r="H4564" s="54" t="str">
        <f>IFERROR(VLOOKUP(F4542,'1to4-2.1-RR'!$A$12:$BG$111,45,0),"")</f>
        <v/>
      </c>
      <c r="I4564" s="54" t="str">
        <f>IFERROR(VLOOKUP(F4542,'1to4-2.1-RR'!$A$12:$BG$111,46,0),"")</f>
        <v/>
      </c>
      <c r="J4564" s="54" t="str">
        <f>IFERROR(VLOOKUP(F4542,'1to4-2.1-RR'!$A$12:$BG$111,47,0),"")</f>
        <v/>
      </c>
      <c r="K4564" s="54" t="str">
        <f>IFERROR(VLOOKUP(F4542,'1to4-2.1-RR'!$A$12:$BG$111,48,0),"")</f>
        <v/>
      </c>
      <c r="L4564" s="55">
        <f t="shared" si="162"/>
        <v>0</v>
      </c>
      <c r="M4564" s="56" t="str">
        <f>IF(F4542&gt;ENTRY!$D$24,"",IF(L4564=0,"Ab",IF(L4564&gt;80,"A",IF(L4564&gt;60,"B",IF(L4564&gt;44,"C",IF(L4564&gt;=33,"D",IF(L4564&lt;=32,"E","")))))))</f>
        <v/>
      </c>
      <c r="N4564" s="56"/>
      <c r="O4564" s="29"/>
      <c r="P4564" s="19"/>
      <c r="Q4564" s="14"/>
      <c r="R4564" s="11"/>
    </row>
    <row r="4565" s="1" customFormat="1" ht="21.95" customHeight="1" spans="1:19">
      <c r="A4565" s="7"/>
      <c r="B4565" s="12"/>
      <c r="C4565" s="33"/>
      <c r="D4565" s="117" t="s">
        <v>720</v>
      </c>
      <c r="E4565" s="117"/>
      <c r="F4565" s="117"/>
      <c r="G4565" s="54"/>
      <c r="H4565" s="54"/>
      <c r="I4565" s="54"/>
      <c r="J4565" s="54"/>
      <c r="K4565" s="54"/>
      <c r="L4565" s="55">
        <f t="shared" si="162"/>
        <v>0</v>
      </c>
      <c r="M4565" s="56" t="str">
        <f>IF(F4542&gt;ENTRY!$D$24,"",IF(L4565=0,"",IF(L4565&gt;79,"A",IF(L4565&gt;59,"B",IF(L4565&gt;44,"C",IF(L4565&gt;=33,"D",IF(L4565&lt;=32,"E","")))))))</f>
        <v/>
      </c>
      <c r="N4565" s="56"/>
      <c r="O4565" s="29"/>
      <c r="P4565" s="19"/>
      <c r="Q4565" s="14"/>
      <c r="R4565" s="11"/>
    </row>
    <row r="4566" s="1" customFormat="1" ht="21.95" customHeight="1" spans="1:19">
      <c r="A4566" s="7"/>
      <c r="B4566" s="12"/>
      <c r="C4566" s="33"/>
      <c r="D4566" s="207" t="s">
        <v>382</v>
      </c>
      <c r="E4566" s="207"/>
      <c r="F4566" s="207"/>
      <c r="G4566" s="54">
        <f t="shared" ref="G4566:L4566" si="163">IFERROR(SUM(G4559:G4565),"")</f>
        <v>0</v>
      </c>
      <c r="H4566" s="54">
        <f t="shared" si="163"/>
        <v>0</v>
      </c>
      <c r="I4566" s="54">
        <f t="shared" si="163"/>
        <v>0</v>
      </c>
      <c r="J4566" s="54">
        <f t="shared" si="163"/>
        <v>0</v>
      </c>
      <c r="K4566" s="54">
        <f t="shared" si="163"/>
        <v>0</v>
      </c>
      <c r="L4566" s="55">
        <f t="shared" si="163"/>
        <v>0</v>
      </c>
      <c r="M4566" s="61" t="str">
        <f>IF(F4542&gt;ENTRY!$D$24,"",IF(N4567="Ab","Ab",IF(N4567&gt;79.5,"A",IF(N4567&gt;59.5,"B",IF(N4567&gt;44.5,"C",IF(N4567&gt;=33,"D",IF(N4567&lt;33,"E","")))))))</f>
        <v/>
      </c>
      <c r="N4566" s="61"/>
      <c r="O4566" s="29"/>
      <c r="P4566" s="19"/>
      <c r="Q4566" s="14"/>
      <c r="R4566" s="11"/>
    </row>
    <row r="4567" s="1" customFormat="1" ht="21.95" customHeight="1" spans="1:19">
      <c r="A4567" s="7"/>
      <c r="B4567" s="12"/>
      <c r="C4567" s="33"/>
      <c r="D4567" s="63" t="s">
        <v>721</v>
      </c>
      <c r="E4567" s="63"/>
      <c r="F4567" s="63"/>
      <c r="G4567" s="63"/>
      <c r="H4567" s="63"/>
      <c r="I4567" s="63"/>
      <c r="J4567" s="63"/>
      <c r="K4567" s="63"/>
      <c r="L4567" s="63"/>
      <c r="M4567" s="209"/>
      <c r="N4567" s="64">
        <f>IF(L4566="Ab","Ab",L4566/6)</f>
        <v>0</v>
      </c>
      <c r="O4567" s="65"/>
      <c r="P4567" s="19"/>
      <c r="Q4567" s="14"/>
      <c r="R4567" s="11"/>
    </row>
    <row r="4568" s="1" customFormat="1" ht="21.95" customHeight="1" spans="1:19">
      <c r="A4568" s="7"/>
      <c r="B4568" s="12"/>
      <c r="C4568" s="33"/>
      <c r="D4568" s="29" t="s">
        <v>716</v>
      </c>
      <c r="E4568" s="18" t="str">
        <f>IFERROR(VLOOKUP(F4542,'1to4-2.1-RR'!$A$12:$BG$111,57,0),"")</f>
        <v/>
      </c>
      <c r="F4568" s="18"/>
      <c r="G4568" s="18"/>
      <c r="H4568" s="18"/>
      <c r="I4568" s="18"/>
      <c r="J4568" s="18"/>
      <c r="K4568" s="18"/>
      <c r="L4568" s="18"/>
      <c r="M4568" s="18"/>
      <c r="N4568" s="29"/>
      <c r="O4568" s="29"/>
      <c r="P4568" s="19"/>
      <c r="Q4568" s="14"/>
      <c r="R4568" s="11"/>
    </row>
    <row r="4569" s="1" customFormat="1" ht="9.95" customHeight="1" spans="1:19">
      <c r="A4569" s="7"/>
      <c r="B4569" s="12"/>
      <c r="C4569" s="39"/>
      <c r="D4569" s="40"/>
      <c r="E4569" s="40"/>
      <c r="F4569" s="40"/>
      <c r="G4569" s="40"/>
      <c r="H4569" s="40"/>
      <c r="I4569" s="40"/>
      <c r="J4569" s="40"/>
      <c r="K4569" s="40"/>
      <c r="L4569" s="40"/>
      <c r="M4569" s="40"/>
      <c r="N4569" s="40"/>
      <c r="O4569" s="40"/>
      <c r="P4569" s="41"/>
      <c r="Q4569" s="14"/>
      <c r="R4569" s="11"/>
    </row>
    <row r="4570" s="1" customFormat="1" ht="9.95" customHeight="1" spans="1:19">
      <c r="A4570" s="7"/>
      <c r="B4570" s="12"/>
      <c r="C4570" s="30"/>
      <c r="D4570" s="31"/>
      <c r="E4570" s="31"/>
      <c r="F4570" s="29"/>
      <c r="G4570" s="31"/>
      <c r="H4570" s="31"/>
      <c r="I4570" s="31"/>
      <c r="J4570" s="31"/>
      <c r="K4570" s="31"/>
      <c r="L4570" s="31"/>
      <c r="M4570" s="31"/>
      <c r="N4570" s="31"/>
      <c r="O4570" s="31"/>
      <c r="P4570" s="32"/>
      <c r="Q4570" s="14"/>
      <c r="R4570" s="11"/>
    </row>
    <row r="4571" s="1" customFormat="1" ht="9.95" customHeight="1" spans="1:19">
      <c r="A4571" s="7"/>
      <c r="B4571" s="12"/>
      <c r="C4571" s="33"/>
      <c r="D4571" s="29"/>
      <c r="E4571" s="29"/>
      <c r="F4571" s="29"/>
      <c r="G4571" s="29"/>
      <c r="H4571" s="29"/>
      <c r="I4571" s="29"/>
      <c r="J4571" s="29"/>
      <c r="K4571" s="29"/>
      <c r="L4571" s="29"/>
      <c r="M4571" s="29"/>
      <c r="N4571" s="29"/>
      <c r="O4571" s="29"/>
      <c r="P4571" s="19"/>
      <c r="Q4571" s="14"/>
      <c r="R4571" s="11"/>
    </row>
    <row r="4572" s="1" customFormat="1" ht="9.95" customHeight="1" spans="1:19">
      <c r="A4572" s="7"/>
      <c r="B4572" s="12"/>
      <c r="C4572" s="33"/>
      <c r="D4572" s="29"/>
      <c r="E4572" s="29"/>
      <c r="F4572" s="29"/>
      <c r="G4572" s="29"/>
      <c r="H4572" s="29"/>
      <c r="I4572" s="29"/>
      <c r="J4572" s="29"/>
      <c r="K4572" s="29"/>
      <c r="L4572" s="29"/>
      <c r="M4572" s="29"/>
      <c r="N4572" s="29"/>
      <c r="O4572" s="29"/>
      <c r="P4572" s="19"/>
      <c r="Q4572" s="14"/>
      <c r="R4572" s="11"/>
    </row>
    <row r="4573" s="1" customFormat="1" ht="21.95" customHeight="1" spans="1:19">
      <c r="A4573" s="7"/>
      <c r="B4573" s="12"/>
      <c r="C4573" s="210"/>
      <c r="D4573" s="211"/>
      <c r="E4573" s="211"/>
      <c r="F4573" s="211"/>
      <c r="G4573" s="211"/>
      <c r="H4573" s="211"/>
      <c r="I4573" s="211"/>
      <c r="J4573" s="211"/>
      <c r="K4573" s="211"/>
      <c r="L4573" s="211"/>
      <c r="M4573" s="211"/>
      <c r="N4573" s="211"/>
      <c r="O4573" s="211"/>
      <c r="P4573" s="212"/>
      <c r="Q4573" s="14"/>
      <c r="R4573" s="11"/>
      <c r="S4573" s="2"/>
    </row>
    <row r="4574" s="1" customFormat="1" ht="21.95" customHeight="1" spans="1:19">
      <c r="A4574" s="7"/>
      <c r="B4574" s="12"/>
      <c r="C4574" s="33"/>
      <c r="D4574" s="207" t="s">
        <v>722</v>
      </c>
      <c r="E4574" s="207"/>
      <c r="F4574" s="207"/>
      <c r="G4574" s="207"/>
      <c r="H4574" s="54">
        <f>IFERROR(VLOOKUP(F4542,PASHEET!$A$4:$CJ$103,88,0),"")</f>
        <v>0</v>
      </c>
      <c r="I4574" s="54"/>
      <c r="J4574" s="29"/>
      <c r="K4574" s="29"/>
      <c r="L4574" s="29"/>
      <c r="M4574" s="29"/>
      <c r="N4574" s="29"/>
      <c r="O4574" s="29"/>
      <c r="P4574" s="19"/>
      <c r="Q4574" s="14"/>
      <c r="R4574" s="11"/>
    </row>
    <row r="4575" s="1" customFormat="1" ht="21.95" customHeight="1" spans="1:19">
      <c r="A4575" s="7"/>
      <c r="B4575" s="12"/>
      <c r="C4575" s="213"/>
      <c r="D4575" s="207" t="s">
        <v>723</v>
      </c>
      <c r="E4575" s="207"/>
      <c r="F4575" s="207"/>
      <c r="G4575" s="207"/>
      <c r="H4575" s="54">
        <f>IFERROR(VLOOKUP(F4542,PASHEET!$A$4:$CJ$103,87,0),"")</f>
        <v>0</v>
      </c>
      <c r="I4575" s="54"/>
      <c r="J4575" s="214"/>
      <c r="K4575" s="214"/>
      <c r="L4575" s="207" t="s">
        <v>724</v>
      </c>
      <c r="M4575" s="207"/>
      <c r="N4575" s="117" t="str">
        <f>IF(F4542&gt;ENTRY!$D$24,"",IF(F4542&gt;0,L4566&amp;" / "&amp;600,""))</f>
        <v/>
      </c>
      <c r="O4575" s="117"/>
      <c r="P4575" s="215"/>
      <c r="Q4575" s="14"/>
      <c r="R4575" s="11"/>
    </row>
    <row r="4576" s="1" customFormat="1" ht="18" customHeight="1" spans="1:19">
      <c r="A4576" s="7"/>
      <c r="B4576" s="12"/>
      <c r="C4576" s="33"/>
      <c r="D4576" s="207" t="s">
        <v>725</v>
      </c>
      <c r="E4576" s="207"/>
      <c r="F4576" s="207"/>
      <c r="G4576" s="207"/>
      <c r="H4576" s="69" t="str">
        <f>IFERROR(IF(F4542&gt;0,H4575/H4574*100),"")</f>
        <v/>
      </c>
      <c r="I4576" s="69"/>
      <c r="J4576" s="29"/>
      <c r="K4576" s="29"/>
      <c r="L4576" s="207" t="s">
        <v>726</v>
      </c>
      <c r="M4576" s="207"/>
      <c r="N4576" s="216" t="str">
        <f>IF(F4542&gt;ENTRY!$D$24,"",IF(F4542&gt;0,L4566/600*100,""))</f>
        <v/>
      </c>
      <c r="O4576" s="216"/>
      <c r="P4576" s="19"/>
      <c r="Q4576" s="14"/>
      <c r="R4576" s="11"/>
    </row>
    <row r="4577" s="1" customFormat="1" ht="21.95" customHeight="1" spans="1:18">
      <c r="A4577" s="7"/>
      <c r="B4577" s="12"/>
      <c r="C4577" s="33"/>
      <c r="D4577" s="80"/>
      <c r="E4577" s="80"/>
      <c r="F4577" s="217"/>
      <c r="G4577" s="217"/>
      <c r="H4577" s="217"/>
      <c r="I4577" s="217"/>
      <c r="J4577" s="217"/>
      <c r="K4577" s="217"/>
      <c r="L4577" s="217"/>
      <c r="M4577" s="217"/>
      <c r="N4577" s="80"/>
      <c r="O4577" s="80"/>
      <c r="P4577" s="19"/>
      <c r="Q4577" s="14"/>
      <c r="R4577" s="11"/>
    </row>
    <row r="4578" s="1" customFormat="1" ht="21.95" customHeight="1" spans="1:18">
      <c r="A4578" s="7"/>
      <c r="B4578" s="12"/>
      <c r="C4578" s="33"/>
      <c r="D4578" s="80"/>
      <c r="E4578" s="218"/>
      <c r="F4578" s="218"/>
      <c r="G4578" s="218"/>
      <c r="H4578" s="80"/>
      <c r="I4578" s="218"/>
      <c r="J4578" s="218"/>
      <c r="K4578" s="218"/>
      <c r="L4578" s="218"/>
      <c r="M4578" s="80"/>
      <c r="N4578" s="219"/>
      <c r="O4578" s="219"/>
      <c r="P4578" s="19"/>
      <c r="Q4578" s="14"/>
      <c r="R4578" s="11"/>
    </row>
    <row r="4579" s="1" customFormat="1" ht="21.95" customHeight="1" spans="1:18">
      <c r="A4579" s="7"/>
      <c r="B4579" s="12"/>
      <c r="C4579" s="33"/>
      <c r="D4579" s="80"/>
      <c r="E4579" s="80"/>
      <c r="F4579" s="80"/>
      <c r="G4579" s="80"/>
      <c r="H4579" s="80"/>
      <c r="I4579" s="80"/>
      <c r="J4579" s="80"/>
      <c r="K4579" s="80"/>
      <c r="L4579" s="80"/>
      <c r="M4579" s="80"/>
      <c r="N4579" s="80"/>
      <c r="O4579" s="80"/>
      <c r="P4579" s="19"/>
      <c r="Q4579" s="14"/>
      <c r="R4579" s="11"/>
    </row>
    <row r="4580" s="1" customFormat="1" ht="21.95" customHeight="1" spans="1:18">
      <c r="A4580" s="7"/>
      <c r="B4580" s="12"/>
      <c r="C4580" s="33"/>
      <c r="D4580" s="218"/>
      <c r="E4580" s="218"/>
      <c r="F4580" s="218"/>
      <c r="G4580" s="218"/>
      <c r="H4580" s="218"/>
      <c r="I4580" s="218"/>
      <c r="J4580" s="218"/>
      <c r="K4580" s="218"/>
      <c r="L4580" s="218"/>
      <c r="M4580" s="80"/>
      <c r="N4580" s="217"/>
      <c r="O4580" s="217"/>
      <c r="P4580" s="85" t="s">
        <v>727</v>
      </c>
      <c r="Q4580" s="14"/>
      <c r="R4580" s="11"/>
    </row>
    <row r="4581" s="1" customFormat="1" ht="21.95" customHeight="1" spans="1:18">
      <c r="A4581" s="7"/>
      <c r="B4581" s="12"/>
      <c r="C4581" s="33"/>
      <c r="D4581" s="29"/>
      <c r="E4581" s="29"/>
      <c r="F4581" s="29"/>
      <c r="G4581" s="29"/>
      <c r="H4581" s="29"/>
      <c r="I4581" s="29"/>
      <c r="J4581" s="29"/>
      <c r="K4581" s="29"/>
      <c r="L4581" s="29"/>
      <c r="M4581" s="29"/>
      <c r="N4581" s="29"/>
      <c r="O4581" s="29"/>
      <c r="P4581" s="19"/>
      <c r="Q4581" s="14"/>
      <c r="R4581" s="11"/>
    </row>
    <row r="4582" s="1" customFormat="1" ht="21.95" customHeight="1" spans="1:18">
      <c r="A4582" s="7"/>
      <c r="B4582" s="12"/>
      <c r="C4582" s="33"/>
      <c r="D4582" s="29"/>
      <c r="E4582" s="29"/>
      <c r="F4582" s="29"/>
      <c r="G4582" s="29"/>
      <c r="H4582" s="29"/>
      <c r="I4582" s="29"/>
      <c r="J4582" s="29"/>
      <c r="K4582" s="29"/>
      <c r="L4582" s="29"/>
      <c r="M4582" s="29"/>
      <c r="N4582" s="29"/>
      <c r="O4582" s="29"/>
      <c r="P4582" s="19"/>
      <c r="Q4582" s="14"/>
      <c r="R4582" s="11"/>
    </row>
    <row r="4583" s="1" customFormat="1" ht="21.95" customHeight="1" spans="1:18">
      <c r="A4583" s="7"/>
      <c r="B4583" s="12"/>
      <c r="C4583" s="33"/>
      <c r="D4583" s="29"/>
      <c r="E4583" s="29"/>
      <c r="F4583" s="29"/>
      <c r="G4583" s="29"/>
      <c r="H4583" s="29"/>
      <c r="I4583" s="29"/>
      <c r="J4583" s="29"/>
      <c r="K4583" s="29"/>
      <c r="L4583" s="29"/>
      <c r="M4583" s="29"/>
      <c r="N4583" s="29"/>
      <c r="O4583" s="29"/>
      <c r="P4583" s="19"/>
      <c r="Q4583" s="14"/>
      <c r="R4583" s="11"/>
    </row>
    <row r="4584" s="1" customFormat="1" ht="21.95" customHeight="1" spans="1:18">
      <c r="A4584" s="7"/>
      <c r="B4584" s="12"/>
      <c r="C4584" s="33"/>
      <c r="D4584" s="29"/>
      <c r="E4584" s="29"/>
      <c r="F4584" s="29"/>
      <c r="G4584" s="29"/>
      <c r="H4584" s="29"/>
      <c r="I4584" s="29"/>
      <c r="J4584" s="29"/>
      <c r="K4584" s="29"/>
      <c r="L4584" s="29"/>
      <c r="M4584" s="29"/>
      <c r="N4584" s="29"/>
      <c r="O4584" s="29"/>
      <c r="P4584" s="19"/>
      <c r="Q4584" s="14"/>
      <c r="R4584" s="11"/>
    </row>
    <row r="4585" s="1" customFormat="1" ht="21.95" customHeight="1" spans="1:18">
      <c r="A4585" s="7"/>
      <c r="B4585" s="12"/>
      <c r="C4585" s="33"/>
      <c r="D4585" s="29"/>
      <c r="E4585" s="29"/>
      <c r="F4585" s="29"/>
      <c r="G4585" s="29"/>
      <c r="H4585" s="29"/>
      <c r="I4585" s="29"/>
      <c r="J4585" s="29"/>
      <c r="K4585" s="29"/>
      <c r="L4585" s="29"/>
      <c r="M4585" s="29"/>
      <c r="N4585" s="29"/>
      <c r="O4585" s="29"/>
      <c r="P4585" s="19"/>
      <c r="Q4585" s="14"/>
      <c r="R4585" s="11"/>
    </row>
    <row r="4586" s="1" customFormat="1" ht="21.95" customHeight="1" spans="1:18">
      <c r="A4586" s="7"/>
      <c r="B4586" s="12"/>
      <c r="C4586" s="33"/>
      <c r="D4586" s="80" t="s">
        <v>728</v>
      </c>
      <c r="E4586" s="220">
        <f>ENTRY!$D$27</f>
        <v>46102</v>
      </c>
      <c r="F4586" s="220"/>
      <c r="G4586" s="29"/>
      <c r="H4586" s="29"/>
      <c r="I4586" s="221" t="s">
        <v>729</v>
      </c>
      <c r="J4586" s="153"/>
      <c r="K4586" s="29"/>
      <c r="L4586" s="29"/>
      <c r="M4586" s="87" t="s">
        <v>730</v>
      </c>
      <c r="N4586" s="87"/>
      <c r="O4586" s="87"/>
      <c r="P4586" s="19"/>
      <c r="Q4586" s="14"/>
      <c r="R4586" s="11"/>
    </row>
    <row r="4587" s="1" customFormat="1" ht="21.95" customHeight="1" spans="1:18">
      <c r="A4587" s="7"/>
      <c r="B4587" s="12"/>
      <c r="C4587" s="33"/>
      <c r="D4587" s="80" t="s">
        <v>731</v>
      </c>
      <c r="E4587" s="88" t="str">
        <f>PROPER(ENTRY!$D$28)</f>
        <v>New Delhi</v>
      </c>
      <c r="F4587" s="88"/>
      <c r="G4587" s="29"/>
      <c r="H4587" s="29"/>
      <c r="I4587" s="153"/>
      <c r="J4587" s="153"/>
      <c r="K4587" s="29"/>
      <c r="L4587" s="29"/>
      <c r="M4587" s="79" t="s">
        <v>732</v>
      </c>
      <c r="N4587" s="79"/>
      <c r="O4587" s="79"/>
      <c r="P4587" s="19"/>
      <c r="Q4587" s="14"/>
      <c r="R4587" s="11"/>
    </row>
    <row r="4588" s="1" customFormat="1" ht="21.95" customHeight="1" spans="1:18">
      <c r="A4588" s="7"/>
      <c r="B4588" s="12"/>
      <c r="C4588" s="90"/>
      <c r="D4588" s="91"/>
      <c r="E4588" s="91"/>
      <c r="F4588" s="91"/>
      <c r="G4588" s="91"/>
      <c r="H4588" s="91"/>
      <c r="I4588" s="91"/>
      <c r="J4588" s="91"/>
      <c r="K4588" s="91"/>
      <c r="L4588" s="91"/>
      <c r="M4588" s="91"/>
      <c r="N4588" s="91"/>
      <c r="O4588" s="91"/>
      <c r="P4588" s="92"/>
      <c r="Q4588" s="14"/>
      <c r="R4588" s="11"/>
    </row>
    <row r="4589" s="1" customFormat="1" ht="5.1" customHeight="1" spans="1:18">
      <c r="A4589" s="7"/>
      <c r="B4589" s="90"/>
      <c r="C4589" s="91"/>
      <c r="D4589" s="91"/>
      <c r="E4589" s="91"/>
      <c r="F4589" s="91"/>
      <c r="G4589" s="91"/>
      <c r="H4589" s="91"/>
      <c r="I4589" s="91"/>
      <c r="J4589" s="91"/>
      <c r="K4589" s="91"/>
      <c r="L4589" s="91"/>
      <c r="M4589" s="91"/>
      <c r="N4589" s="91"/>
      <c r="O4589" s="91"/>
      <c r="P4589" s="91"/>
      <c r="Q4589" s="92"/>
      <c r="R4589" s="11"/>
    </row>
    <row r="4590" s="1" customFormat="1" ht="5.1" customHeight="1" spans="1:18">
      <c r="A4590" s="93"/>
      <c r="B4590" s="94"/>
      <c r="C4590" s="94"/>
      <c r="D4590" s="94"/>
      <c r="E4590" s="94"/>
      <c r="F4590" s="94"/>
      <c r="G4590" s="94"/>
      <c r="H4590" s="94"/>
      <c r="I4590" s="94"/>
      <c r="J4590" s="94"/>
      <c r="K4590" s="94"/>
      <c r="L4590" s="94"/>
      <c r="M4590" s="94"/>
      <c r="N4590" s="94"/>
      <c r="O4590" s="94"/>
      <c r="P4590" s="94"/>
      <c r="Q4590" s="94"/>
      <c r="R4590" s="95"/>
    </row>
    <row r="4591" s="1" customFormat="1" ht="21.95" customHeight="1"/>
    <row r="4592" ht="15.15"/>
    <row r="4593" s="1" customFormat="1" ht="5.1" customHeight="1" spans="1:18">
      <c r="A4593" s="4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  <c r="P4593" s="5"/>
      <c r="Q4593" s="5"/>
      <c r="R4593" s="6"/>
    </row>
    <row r="4594" s="1" customFormat="1" ht="15" customHeight="1" spans="1:18">
      <c r="A4594" s="7"/>
      <c r="B4594" s="8"/>
      <c r="C4594" s="9"/>
      <c r="D4594" s="9"/>
      <c r="E4594" s="9"/>
      <c r="F4594" s="9"/>
      <c r="G4594" s="9"/>
      <c r="H4594" s="9"/>
      <c r="I4594" s="9"/>
      <c r="J4594" s="9"/>
      <c r="K4594" s="9"/>
      <c r="L4594" s="9"/>
      <c r="M4594" s="9"/>
      <c r="N4594" s="9"/>
      <c r="O4594" s="9"/>
      <c r="P4594" s="9"/>
      <c r="Q4594" s="10"/>
      <c r="R4594" s="11"/>
    </row>
    <row r="4595" s="1" customFormat="1" ht="21.95" customHeight="1" spans="1:18">
      <c r="A4595" s="7"/>
      <c r="B4595" s="12"/>
      <c r="C4595" s="13" t="s">
        <v>7</v>
      </c>
      <c r="D4595" s="13"/>
      <c r="E4595" s="13"/>
      <c r="F4595" s="13"/>
      <c r="G4595" s="13"/>
      <c r="H4595" s="13"/>
      <c r="I4595" s="13"/>
      <c r="J4595" s="13"/>
      <c r="K4595" s="13"/>
      <c r="L4595" s="13"/>
      <c r="M4595" s="13"/>
      <c r="N4595" s="13"/>
      <c r="O4595" s="13"/>
      <c r="P4595" s="13"/>
      <c r="Q4595" s="14"/>
      <c r="R4595" s="11"/>
    </row>
    <row r="4596" s="1" customFormat="1" ht="21.95" customHeight="1" spans="1:18">
      <c r="A4596" s="7"/>
      <c r="B4596" s="1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14"/>
      <c r="R4596" s="11"/>
    </row>
    <row r="4597" s="1" customFormat="1" ht="21.95" customHeight="1" spans="1:18">
      <c r="A4597" s="7"/>
      <c r="B4597" s="12"/>
      <c r="C4597" s="15" t="str">
        <f>"SESSION-"&amp;ENTRY!$D$11</f>
        <v>SESSION-2026-27</v>
      </c>
      <c r="D4597" s="15"/>
      <c r="E4597" s="15"/>
      <c r="F4597" s="15"/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  <c r="Q4597" s="14"/>
      <c r="R4597" s="11"/>
    </row>
    <row r="4598" s="1" customFormat="1" ht="21.95" customHeight="1" spans="1:18">
      <c r="A4598" s="7"/>
      <c r="B4598" s="12"/>
      <c r="C4598" s="2"/>
      <c r="D4598" s="2"/>
      <c r="E4598" s="2"/>
      <c r="F4598" s="16">
        <f>F4542+1</f>
        <v>83</v>
      </c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14"/>
      <c r="R4598" s="11"/>
    </row>
    <row r="4599" s="1" customFormat="1" ht="21.95" customHeight="1" spans="1:18">
      <c r="A4599" s="7"/>
      <c r="B4599" s="12"/>
      <c r="C4599" s="17" t="s">
        <v>392</v>
      </c>
      <c r="D4599" s="17"/>
      <c r="E4599" s="17"/>
      <c r="F4599" s="18" t="str">
        <f>IF(F4598&gt;0,ENTRY!$D$6,"")</f>
        <v>MCP NITHARI NO 1 BOYS</v>
      </c>
      <c r="G4599" s="18"/>
      <c r="H4599" s="18"/>
      <c r="I4599" s="18"/>
      <c r="J4599" s="18"/>
      <c r="K4599" s="18"/>
      <c r="L4599" s="18"/>
      <c r="M4599" s="18"/>
      <c r="N4599" s="18"/>
      <c r="O4599" s="18"/>
      <c r="P4599" s="18"/>
      <c r="Q4599" s="14"/>
      <c r="R4599" s="11"/>
    </row>
    <row r="4600" s="1" customFormat="1" ht="21.95" customHeight="1" spans="1:18">
      <c r="A4600" s="7"/>
      <c r="B4600" s="12"/>
      <c r="C4600" s="17" t="s">
        <v>393</v>
      </c>
      <c r="D4600" s="17"/>
      <c r="E4600" s="17"/>
      <c r="F4600" s="18">
        <f>IF(F4598&gt;0,ENTRY!$D$7,"")</f>
        <v>0</v>
      </c>
      <c r="G4600" s="18"/>
      <c r="H4600" s="20" t="s">
        <v>702</v>
      </c>
      <c r="I4600" s="20"/>
      <c r="J4600" s="21">
        <f>IF(F4598&gt;0,ENTRY!$D$10,"")</f>
        <v>40</v>
      </c>
      <c r="K4600" s="20" t="s">
        <v>703</v>
      </c>
      <c r="L4600" s="22" t="str">
        <f>IF(F4598&gt;0,ENTRY!$D$5,"")</f>
        <v>ROHINI ZONE</v>
      </c>
      <c r="M4600" s="22"/>
      <c r="N4600" s="22"/>
      <c r="O4600" s="22"/>
      <c r="P4600" s="22"/>
      <c r="Q4600" s="14"/>
      <c r="R4600" s="11"/>
    </row>
    <row r="4601" s="1" customFormat="1" ht="21.95" customHeight="1" spans="1:18">
      <c r="A4601" s="7"/>
      <c r="B4601" s="12"/>
      <c r="C4601" s="17" t="s">
        <v>706</v>
      </c>
      <c r="D4601" s="17"/>
      <c r="E4601" s="17"/>
      <c r="F4601" s="23">
        <f>IFERROR(VLOOKUP(F4598,STUDENT!$A$2:$BP$101,5,0),"")</f>
        <v>0</v>
      </c>
      <c r="G4601" s="23"/>
      <c r="H4601" s="23"/>
      <c r="I4601" s="23"/>
      <c r="J4601" s="23"/>
      <c r="K4601" s="23"/>
      <c r="L4601" s="20" t="s">
        <v>707</v>
      </c>
      <c r="M4601" s="20"/>
      <c r="N4601" s="24" t="str">
        <f>IF(F4598&gt;0,ENTRY!$D$20&amp;"-"&amp;ENTRY!$D$21,"")</f>
        <v>III-A</v>
      </c>
      <c r="O4601" s="24"/>
      <c r="P4601" s="24"/>
      <c r="Q4601" s="14"/>
      <c r="R4601" s="11"/>
    </row>
    <row r="4602" s="1" customFormat="1" ht="21.95" customHeight="1" spans="1:18">
      <c r="A4602" s="7"/>
      <c r="B4602" s="12"/>
      <c r="C4602" s="17" t="s">
        <v>708</v>
      </c>
      <c r="D4602" s="17"/>
      <c r="E4602" s="17"/>
      <c r="F4602" s="25">
        <f>IFERROR(VLOOKUP(F4598,STUDENT!$A$2:$BP$101,6,0),"")</f>
        <v>0</v>
      </c>
      <c r="G4602" s="25"/>
      <c r="H4602" s="26" t="s">
        <v>709</v>
      </c>
      <c r="I4602" s="27" t="str">
        <f>IFERROR(VLOOKUP(F4598,STUDENT!$A$2:$BP$101,59,0),"")</f>
        <v/>
      </c>
      <c r="J4602" s="27"/>
      <c r="K4602" s="20" t="s">
        <v>710</v>
      </c>
      <c r="L4602" s="20"/>
      <c r="M4602" s="28">
        <f>IFERROR(VLOOKUP(F4598,STUDENT!$A$2:$BP$101,20,0),"")</f>
        <v>0</v>
      </c>
      <c r="N4602" s="28"/>
      <c r="O4602" s="28"/>
      <c r="P4602" s="28"/>
      <c r="Q4602" s="14"/>
      <c r="R4602" s="11"/>
    </row>
    <row r="4603" s="1" customFormat="1" ht="21.95" customHeight="1" spans="1:18">
      <c r="A4603" s="7"/>
      <c r="B4603" s="12"/>
      <c r="C4603" s="17" t="s">
        <v>711</v>
      </c>
      <c r="D4603" s="17"/>
      <c r="E4603" s="17"/>
      <c r="F4603" s="23">
        <f>IFERROR(VLOOKUP(F4598,STUDENT!$A$2:$BP$101,9,0),"")</f>
        <v>0</v>
      </c>
      <c r="G4603" s="23"/>
      <c r="H4603" s="23"/>
      <c r="I4603" s="23"/>
      <c r="J4603" s="17" t="s">
        <v>620</v>
      </c>
      <c r="K4603" s="17"/>
      <c r="L4603" s="23">
        <f>IFERROR(VLOOKUP(F4598,STUDENT!$A$2:$BP$101,8,0),"")</f>
        <v>0</v>
      </c>
      <c r="M4603" s="23"/>
      <c r="N4603" s="23"/>
      <c r="O4603" s="23"/>
      <c r="P4603" s="23"/>
      <c r="Q4603" s="14"/>
      <c r="R4603" s="11"/>
    </row>
    <row r="4604" s="1" customFormat="1" ht="21.95" customHeight="1" spans="1:18">
      <c r="A4604" s="7"/>
      <c r="B4604" s="12"/>
      <c r="C4604" s="17" t="s">
        <v>712</v>
      </c>
      <c r="D4604" s="17"/>
      <c r="E4604" s="17"/>
      <c r="F4604" s="23">
        <f>IFERROR(VLOOKUP(F4598,STUDENT!$A$2:$BP$101,22,0),"")</f>
        <v>0</v>
      </c>
      <c r="G4604" s="23"/>
      <c r="H4604" s="23"/>
      <c r="I4604" s="23"/>
      <c r="J4604" s="23"/>
      <c r="K4604" s="23"/>
      <c r="L4604" s="23"/>
      <c r="M4604" s="23"/>
      <c r="N4604" s="23"/>
      <c r="O4604" s="23"/>
      <c r="P4604" s="23"/>
      <c r="Q4604" s="14"/>
      <c r="R4604" s="11"/>
    </row>
    <row r="4605" s="1" customFormat="1" ht="9.95" customHeight="1" spans="1:18">
      <c r="A4605" s="7"/>
      <c r="B4605" s="12"/>
      <c r="C4605" s="29"/>
      <c r="D4605" s="29"/>
      <c r="E4605" s="29"/>
      <c r="F4605" s="29"/>
      <c r="G4605" s="29"/>
      <c r="H4605" s="29"/>
      <c r="I4605" s="29"/>
      <c r="J4605" s="29"/>
      <c r="K4605" s="29"/>
      <c r="L4605" s="29"/>
      <c r="M4605" s="29"/>
      <c r="N4605" s="29"/>
      <c r="O4605" s="29"/>
      <c r="P4605" s="29"/>
      <c r="Q4605" s="14"/>
      <c r="R4605" s="11"/>
    </row>
    <row r="4606" s="1" customFormat="1" ht="9.95" customHeight="1" spans="1:18">
      <c r="A4606" s="7"/>
      <c r="B4606" s="12"/>
      <c r="C4606" s="30"/>
      <c r="D4606" s="31"/>
      <c r="E4606" s="31"/>
      <c r="F4606" s="31"/>
      <c r="G4606" s="31"/>
      <c r="H4606" s="31"/>
      <c r="I4606" s="31"/>
      <c r="J4606" s="31"/>
      <c r="K4606" s="31"/>
      <c r="L4606" s="31"/>
      <c r="M4606" s="31"/>
      <c r="N4606" s="31"/>
      <c r="O4606" s="31"/>
      <c r="P4606" s="32"/>
      <c r="Q4606" s="14"/>
      <c r="R4606" s="11"/>
    </row>
    <row r="4607" s="1" customFormat="1" ht="21.95" customHeight="1" spans="1:18">
      <c r="A4607" s="7"/>
      <c r="B4607" s="12"/>
      <c r="C4607" s="33"/>
      <c r="D4607" s="34" t="s">
        <v>713</v>
      </c>
      <c r="E4607" s="20" t="s">
        <v>714</v>
      </c>
      <c r="F4607" s="35" t="str">
        <f>"Level - "&amp;IFERROR(VLOOKUP(F4598,FLN!$A$4:$K$103,9,0),"")</f>
        <v>Level - </v>
      </c>
      <c r="G4607" s="36"/>
      <c r="H4607" s="37" t="s">
        <v>715</v>
      </c>
      <c r="I4607" s="20"/>
      <c r="J4607" s="35" t="str">
        <f>"Level - "&amp;IFERROR(VLOOKUP(F4598,FLN!$A$4:$K$103,11,0),"")</f>
        <v>Level - </v>
      </c>
      <c r="K4607" s="36"/>
      <c r="L4607" s="37" t="s">
        <v>408</v>
      </c>
      <c r="M4607" s="20"/>
      <c r="N4607" s="35" t="str">
        <f>"Level - "&amp;IFERROR(VLOOKUP(F4598,FLN!$A$4:$K$103,10,0),"")</f>
        <v>Level - </v>
      </c>
      <c r="O4607" s="36"/>
      <c r="P4607" s="19"/>
      <c r="Q4607" s="14"/>
      <c r="R4607" s="11"/>
    </row>
    <row r="4608" s="1" customFormat="1" ht="21.95" customHeight="1" spans="1:18">
      <c r="A4608" s="7"/>
      <c r="B4608" s="12"/>
      <c r="C4608" s="33"/>
      <c r="D4608" s="38"/>
      <c r="E4608" s="20" t="s">
        <v>716</v>
      </c>
      <c r="F4608" s="18" t="str">
        <f>IF(L4622&gt;197,"PERFORMED WELL","")</f>
        <v/>
      </c>
      <c r="G4608" s="18"/>
      <c r="H4608" s="18"/>
      <c r="I4608" s="18"/>
      <c r="J4608" s="18"/>
      <c r="K4608" s="18"/>
      <c r="L4608" s="18"/>
      <c r="M4608" s="18"/>
      <c r="N4608" s="18"/>
      <c r="O4608" s="18"/>
      <c r="P4608" s="19"/>
      <c r="Q4608" s="14"/>
      <c r="R4608" s="11"/>
    </row>
    <row r="4609" s="1" customFormat="1" ht="9.95" customHeight="1" spans="1:18">
      <c r="A4609" s="7"/>
      <c r="B4609" s="12"/>
      <c r="C4609" s="39"/>
      <c r="D4609" s="40"/>
      <c r="E4609" s="40"/>
      <c r="F4609" s="40"/>
      <c r="G4609" s="40"/>
      <c r="H4609" s="40"/>
      <c r="I4609" s="40"/>
      <c r="J4609" s="40"/>
      <c r="K4609" s="40"/>
      <c r="L4609" s="40"/>
      <c r="M4609" s="40"/>
      <c r="N4609" s="40"/>
      <c r="O4609" s="40"/>
      <c r="P4609" s="41"/>
      <c r="Q4609" s="14"/>
      <c r="R4609" s="11"/>
    </row>
    <row r="4610" s="1" customFormat="1" ht="9.95" customHeight="1" spans="1:18">
      <c r="A4610" s="7"/>
      <c r="B4610" s="12"/>
      <c r="C4610" s="29"/>
      <c r="D4610" s="29"/>
      <c r="E4610" s="29"/>
      <c r="F4610" s="29"/>
      <c r="G4610" s="29"/>
      <c r="H4610" s="29"/>
      <c r="I4610" s="29"/>
      <c r="J4610" s="29"/>
      <c r="K4610" s="29"/>
      <c r="L4610" s="29"/>
      <c r="M4610" s="29"/>
      <c r="N4610" s="29"/>
      <c r="O4610" s="29"/>
      <c r="P4610" s="29"/>
      <c r="Q4610" s="14"/>
      <c r="R4610" s="11"/>
    </row>
    <row r="4611" s="1" customFormat="1" ht="9.95" customHeight="1" spans="1:18">
      <c r="A4611" s="7"/>
      <c r="B4611" s="12"/>
      <c r="C4611" s="30"/>
      <c r="D4611" s="31"/>
      <c r="E4611" s="31"/>
      <c r="F4611" s="31"/>
      <c r="G4611" s="31"/>
      <c r="H4611" s="31"/>
      <c r="I4611" s="31"/>
      <c r="J4611" s="31"/>
      <c r="K4611" s="31"/>
      <c r="L4611" s="31"/>
      <c r="M4611" s="31"/>
      <c r="N4611" s="31"/>
      <c r="O4611" s="31"/>
      <c r="P4611" s="32"/>
      <c r="Q4611" s="14"/>
      <c r="R4611" s="11"/>
    </row>
    <row r="4612" s="1" customFormat="1" ht="21.95" customHeight="1" spans="1:18">
      <c r="A4612" s="7"/>
      <c r="B4612" s="12"/>
      <c r="C4612" s="33"/>
      <c r="D4612" s="35"/>
      <c r="E4612" s="24"/>
      <c r="F4612" s="24"/>
      <c r="G4612" s="47" t="s">
        <v>717</v>
      </c>
      <c r="H4612" s="47"/>
      <c r="I4612" s="47"/>
      <c r="J4612" s="47"/>
      <c r="K4612" s="47"/>
      <c r="L4612" s="47"/>
      <c r="M4612" s="47"/>
      <c r="N4612" s="47"/>
      <c r="O4612" s="29"/>
      <c r="P4612" s="19"/>
      <c r="Q4612" s="14"/>
      <c r="R4612" s="11"/>
    </row>
    <row r="4613" s="1" customFormat="1" ht="21.95" customHeight="1" spans="1:18">
      <c r="A4613" s="7"/>
      <c r="B4613" s="12"/>
      <c r="C4613" s="33"/>
      <c r="D4613" s="47"/>
      <c r="E4613" s="47"/>
      <c r="F4613" s="47"/>
      <c r="G4613" s="47" t="s">
        <v>541</v>
      </c>
      <c r="H4613" s="47" t="s">
        <v>542</v>
      </c>
      <c r="I4613" s="47" t="s">
        <v>543</v>
      </c>
      <c r="J4613" s="47" t="s">
        <v>544</v>
      </c>
      <c r="K4613" s="47" t="s">
        <v>561</v>
      </c>
      <c r="L4613" s="47" t="s">
        <v>382</v>
      </c>
      <c r="M4613" s="49" t="s">
        <v>546</v>
      </c>
      <c r="N4613" s="49"/>
      <c r="O4613" s="29"/>
      <c r="P4613" s="19"/>
      <c r="Q4613" s="14"/>
      <c r="R4613" s="11"/>
    </row>
    <row r="4614" s="1" customFormat="1" ht="21.95" customHeight="1" spans="1:18">
      <c r="A4614" s="7"/>
      <c r="B4614" s="12"/>
      <c r="C4614" s="33"/>
      <c r="D4614" s="207" t="s">
        <v>652</v>
      </c>
      <c r="E4614" s="207"/>
      <c r="F4614" s="207"/>
      <c r="G4614" s="50">
        <v>10</v>
      </c>
      <c r="H4614" s="50">
        <v>10</v>
      </c>
      <c r="I4614" s="50">
        <v>10</v>
      </c>
      <c r="J4614" s="50">
        <v>10</v>
      </c>
      <c r="K4614" s="50">
        <v>60</v>
      </c>
      <c r="L4614" s="50">
        <v>100</v>
      </c>
      <c r="M4614" s="49"/>
      <c r="N4614" s="49"/>
      <c r="O4614" s="29"/>
      <c r="P4614" s="19"/>
      <c r="Q4614" s="14"/>
      <c r="R4614" s="11"/>
    </row>
    <row r="4615" s="1" customFormat="1" ht="21.95" customHeight="1" spans="1:18">
      <c r="A4615" s="7"/>
      <c r="B4615" s="12"/>
      <c r="C4615" s="33"/>
      <c r="D4615" s="117" t="s">
        <v>668</v>
      </c>
      <c r="E4615" s="117"/>
      <c r="F4615" s="117"/>
      <c r="G4615" s="54" t="str">
        <f>IFERROR(VLOOKUP(F4598,'1to4-2.1-RR'!$A$12:$BG$111,9,0),"")</f>
        <v/>
      </c>
      <c r="H4615" s="54" t="str">
        <f>IFERROR(VLOOKUP(F4598,'1to4-2.1-RR'!$A$12:$BG$111,10,0),"")</f>
        <v/>
      </c>
      <c r="I4615" s="54" t="str">
        <f>IFERROR(VLOOKUP(F4598,'1to4-2.1-RR'!$A$12:$BG$111,11,0),"")</f>
        <v/>
      </c>
      <c r="J4615" s="54" t="str">
        <f>IFERROR(VLOOKUP(F4598,'1to4-2.1-RR'!$A$12:$BG$111,12,0),"")</f>
        <v/>
      </c>
      <c r="K4615" s="54" t="str">
        <f>IFERROR(VLOOKUP(F4598,'1to4-2.1-RR'!$A$12:$BG$111,13,0),"")</f>
        <v/>
      </c>
      <c r="L4615" s="55">
        <f>SUM(G4615:K4615)</f>
        <v>0</v>
      </c>
      <c r="M4615" s="56" t="str">
        <f>IF(F4598&gt;ENTRY!$D$24,"",IF(L4615=0,"Ab",IF(L4615&gt;80,"A",IF(L4615&gt;60,"B",IF(L4615&gt;44,"C",IF(L4615&gt;=33,"D",IF(L4615&lt;=32,"E","")))))))</f>
        <v/>
      </c>
      <c r="N4615" s="56"/>
      <c r="O4615" s="29"/>
      <c r="P4615" s="19"/>
      <c r="Q4615" s="14"/>
      <c r="R4615" s="11"/>
    </row>
    <row r="4616" s="1" customFormat="1" ht="21.95" customHeight="1" spans="1:18">
      <c r="A4616" s="7"/>
      <c r="B4616" s="12"/>
      <c r="C4616" s="33"/>
      <c r="D4616" s="117" t="s">
        <v>513</v>
      </c>
      <c r="E4616" s="117"/>
      <c r="F4616" s="117"/>
      <c r="G4616" s="54" t="str">
        <f>IFERROR(VLOOKUP(F4598,'1to4-2.1-RR'!$A$12:$BG$111,16,0),"")</f>
        <v/>
      </c>
      <c r="H4616" s="54" t="str">
        <f>IFERROR(VLOOKUP(F4598,'1to4-2.1-RR'!$A$12:$BG$111,17,0),"")</f>
        <v/>
      </c>
      <c r="I4616" s="54" t="str">
        <f>IFERROR(VLOOKUP(F4598,'1to4-2.1-RR'!$A$12:$BG$111,18,0),"")</f>
        <v/>
      </c>
      <c r="J4616" s="54" t="str">
        <f>IFERROR(VLOOKUP(F4598,'1to4-2.1-RR'!$A$12:$BG$111,19,0),"")</f>
        <v/>
      </c>
      <c r="K4616" s="54" t="str">
        <f>IFERROR(VLOOKUP(F4598,'1to4-2.1-RR'!$A$12:$BG$111,20,0),"")</f>
        <v/>
      </c>
      <c r="L4616" s="55">
        <f t="shared" ref="L4616:L4621" si="164">SUM(G4616:K4616)</f>
        <v>0</v>
      </c>
      <c r="M4616" s="56" t="str">
        <f>IF(F4598&gt;ENTRY!$D$24,"",IF(L4616=0,"Ab",IF(L4616&gt;80,"A",IF(L4616&gt;60,"B",IF(L4616&gt;44,"C",IF(L4616&gt;=33,"D",IF(L4616&lt;=32,"E","")))))))</f>
        <v/>
      </c>
      <c r="N4616" s="56"/>
      <c r="O4616" s="29"/>
      <c r="P4616" s="19"/>
      <c r="Q4616" s="14"/>
      <c r="R4616" s="11"/>
    </row>
    <row r="4617" s="1" customFormat="1" ht="21.95" customHeight="1" spans="1:18">
      <c r="A4617" s="7"/>
      <c r="B4617" s="12"/>
      <c r="C4617" s="33"/>
      <c r="D4617" s="117" t="s">
        <v>718</v>
      </c>
      <c r="E4617" s="117"/>
      <c r="F4617" s="117"/>
      <c r="G4617" s="54" t="str">
        <f>IFERROR(VLOOKUP(F4598,'1to4-2.1-RR'!$A$12:$BG$111,23,0),"")</f>
        <v/>
      </c>
      <c r="H4617" s="54" t="str">
        <f>IFERROR(VLOOKUP(F4598,'1to4-2.1-RR'!$A$12:$BG$111,24,0),"")</f>
        <v/>
      </c>
      <c r="I4617" s="54" t="str">
        <f>IFERROR(VLOOKUP(F4598,'1to4-2.1-RR'!$A$12:$BG$111,25,0),"")</f>
        <v/>
      </c>
      <c r="J4617" s="54" t="str">
        <f>IFERROR(VLOOKUP(F4598,'1to4-2.1-RR'!$A$12:$BG$111,26,0),"")</f>
        <v/>
      </c>
      <c r="K4617" s="54" t="str">
        <f>IFERROR(VLOOKUP(F4598,'1to4-2.1-RR'!$A$12:$BG$111,27,0),"")</f>
        <v/>
      </c>
      <c r="L4617" s="55">
        <f t="shared" si="164"/>
        <v>0</v>
      </c>
      <c r="M4617" s="56" t="str">
        <f>IF(F4598&gt;ENTRY!$D$24,"",IF(L4617=0,"Ab",IF(L4617&gt;80,"A",IF(L4617&gt;60,"B",IF(L4617&gt;44,"C",IF(L4617&gt;=33,"D",IF(L4617&lt;=32,"E","")))))))</f>
        <v/>
      </c>
      <c r="N4617" s="56"/>
      <c r="O4617" s="29"/>
      <c r="P4617" s="19"/>
      <c r="Q4617" s="14"/>
      <c r="R4617" s="11"/>
    </row>
    <row r="4618" s="1" customFormat="1" ht="21.95" customHeight="1" spans="1:18">
      <c r="A4618" s="7"/>
      <c r="B4618" s="12"/>
      <c r="C4618" s="33"/>
      <c r="D4618" s="117" t="s">
        <v>719</v>
      </c>
      <c r="E4618" s="117"/>
      <c r="F4618" s="117"/>
      <c r="G4618" s="54" t="str">
        <f>IFERROR(VLOOKUP(F4598,'1to4-2.1-RR'!$A$12:$BG$111,30,0),"")</f>
        <v/>
      </c>
      <c r="H4618" s="54" t="str">
        <f>IFERROR(VLOOKUP(F4598,'1to4-2.1-RR'!$A$12:$BG$111,31,0),"")</f>
        <v/>
      </c>
      <c r="I4618" s="54" t="str">
        <f>IFERROR(VLOOKUP(F4598,'1to4-2.1-RR'!$A$12:$BG$111,32,0),"")</f>
        <v/>
      </c>
      <c r="J4618" s="54" t="str">
        <f>IFERROR(VLOOKUP(F4598,'1to4-2.1-RR'!$A$12:$BG$111,33,0),"")</f>
        <v/>
      </c>
      <c r="K4618" s="54" t="str">
        <f>IFERROR(VLOOKUP(F4598,'1to4-2.1-RR'!$A$12:$BG$111,34,0),"")</f>
        <v/>
      </c>
      <c r="L4618" s="55">
        <f t="shared" si="164"/>
        <v>0</v>
      </c>
      <c r="M4618" s="56" t="str">
        <f>IF(F4598&gt;ENTRY!$D$24,"",IF(L4618=0,"Ab",IF(L4618&gt;80,"A",IF(L4618&gt;60,"B",IF(L4618&gt;44,"C",IF(L4618&gt;=33,"D",IF(L4618&lt;=32,"E","")))))))</f>
        <v/>
      </c>
      <c r="N4618" s="56"/>
      <c r="O4618" s="29"/>
      <c r="P4618" s="19"/>
      <c r="Q4618" s="14"/>
      <c r="R4618" s="11"/>
    </row>
    <row r="4619" s="1" customFormat="1" ht="21.95" customHeight="1" spans="1:18">
      <c r="A4619" s="7"/>
      <c r="B4619" s="12"/>
      <c r="C4619" s="33"/>
      <c r="D4619" s="117" t="s">
        <v>548</v>
      </c>
      <c r="E4619" s="117"/>
      <c r="F4619" s="117"/>
      <c r="G4619" s="54" t="str">
        <f>IFERROR(VLOOKUP(F4598,'1to4-2.1-RR'!$A$12:$BG$111,37,0),"")</f>
        <v/>
      </c>
      <c r="H4619" s="54" t="str">
        <f>IFERROR(VLOOKUP(F4598,'1to4-2.1-RR'!$A$12:$BG$111,38,0),"")</f>
        <v/>
      </c>
      <c r="I4619" s="54" t="str">
        <f>IFERROR(VLOOKUP(F4598,'1to4-2.1-RR'!$A$12:$BG$111,39,0),"")</f>
        <v/>
      </c>
      <c r="J4619" s="54" t="str">
        <f>IFERROR(VLOOKUP(F4598,'1to4-2.1-RR'!$A$12:$BG$111,40,0),"")</f>
        <v/>
      </c>
      <c r="K4619" s="54" t="str">
        <f>IFERROR(VLOOKUP(F4598,'1to4-2.1-RR'!$A$12:$BG$111,41,0),"")</f>
        <v/>
      </c>
      <c r="L4619" s="55">
        <f t="shared" si="164"/>
        <v>0</v>
      </c>
      <c r="M4619" s="56" t="str">
        <f>IF(F4598&gt;ENTRY!$D$24,"",IF(L4619=0,"Ab",IF(L4619&gt;80,"A",IF(L4619&gt;60,"B",IF(L4619&gt;44,"C",IF(L4619&gt;=33,"D",IF(L4619&lt;=32,"E","")))))))</f>
        <v/>
      </c>
      <c r="N4619" s="56"/>
      <c r="O4619" s="29"/>
      <c r="P4619" s="19"/>
      <c r="Q4619" s="14"/>
      <c r="R4619" s="11"/>
    </row>
    <row r="4620" s="1" customFormat="1" ht="21.95" customHeight="1" spans="1:18">
      <c r="A4620" s="7"/>
      <c r="B4620" s="12"/>
      <c r="C4620" s="33"/>
      <c r="D4620" s="117" t="s">
        <v>549</v>
      </c>
      <c r="E4620" s="117"/>
      <c r="F4620" s="117"/>
      <c r="G4620" s="54" t="str">
        <f>IFERROR(VLOOKUP(F4598,'1to4-2.1-RR'!$A$12:$BG$111,44,0),"")</f>
        <v/>
      </c>
      <c r="H4620" s="54" t="str">
        <f>IFERROR(VLOOKUP(F4598,'1to4-2.1-RR'!$A$12:$BG$111,45,0),"")</f>
        <v/>
      </c>
      <c r="I4620" s="54" t="str">
        <f>IFERROR(VLOOKUP(F4598,'1to4-2.1-RR'!$A$12:$BG$111,46,0),"")</f>
        <v/>
      </c>
      <c r="J4620" s="54" t="str">
        <f>IFERROR(VLOOKUP(F4598,'1to4-2.1-RR'!$A$12:$BG$111,47,0),"")</f>
        <v/>
      </c>
      <c r="K4620" s="54" t="str">
        <f>IFERROR(VLOOKUP(F4598,'1to4-2.1-RR'!$A$12:$BG$111,48,0),"")</f>
        <v/>
      </c>
      <c r="L4620" s="55">
        <f t="shared" si="164"/>
        <v>0</v>
      </c>
      <c r="M4620" s="56" t="str">
        <f>IF(F4598&gt;ENTRY!$D$24,"",IF(L4620=0,"Ab",IF(L4620&gt;80,"A",IF(L4620&gt;60,"B",IF(L4620&gt;44,"C",IF(L4620&gt;=33,"D",IF(L4620&lt;=32,"E","")))))))</f>
        <v/>
      </c>
      <c r="N4620" s="56"/>
      <c r="O4620" s="29"/>
      <c r="P4620" s="19"/>
      <c r="Q4620" s="14"/>
      <c r="R4620" s="11"/>
    </row>
    <row r="4621" s="1" customFormat="1" ht="21.95" customHeight="1" spans="1:18">
      <c r="A4621" s="7"/>
      <c r="B4621" s="12"/>
      <c r="C4621" s="33"/>
      <c r="D4621" s="117" t="s">
        <v>720</v>
      </c>
      <c r="E4621" s="117"/>
      <c r="F4621" s="117"/>
      <c r="G4621" s="54"/>
      <c r="H4621" s="54"/>
      <c r="I4621" s="54"/>
      <c r="J4621" s="54"/>
      <c r="K4621" s="54"/>
      <c r="L4621" s="55">
        <f t="shared" si="164"/>
        <v>0</v>
      </c>
      <c r="M4621" s="56" t="str">
        <f>IF(F4598&gt;ENTRY!$D$24,"",IF(L4621=0,"",IF(L4621&gt;79,"A",IF(L4621&gt;59,"B",IF(L4621&gt;44,"C",IF(L4621&gt;=33,"D",IF(L4621&lt;=32,"E","")))))))</f>
        <v/>
      </c>
      <c r="N4621" s="56"/>
      <c r="O4621" s="29"/>
      <c r="P4621" s="19"/>
      <c r="Q4621" s="14"/>
      <c r="R4621" s="11"/>
    </row>
    <row r="4622" s="1" customFormat="1" ht="21.95" customHeight="1" spans="1:18">
      <c r="A4622" s="7"/>
      <c r="B4622" s="12"/>
      <c r="C4622" s="33"/>
      <c r="D4622" s="207" t="s">
        <v>382</v>
      </c>
      <c r="E4622" s="207"/>
      <c r="F4622" s="207"/>
      <c r="G4622" s="54">
        <f t="shared" ref="G4622:L4622" si="165">IFERROR(SUM(G4615:G4621),"")</f>
        <v>0</v>
      </c>
      <c r="H4622" s="54">
        <f t="shared" si="165"/>
        <v>0</v>
      </c>
      <c r="I4622" s="54">
        <f t="shared" si="165"/>
        <v>0</v>
      </c>
      <c r="J4622" s="54">
        <f t="shared" si="165"/>
        <v>0</v>
      </c>
      <c r="K4622" s="54">
        <f t="shared" si="165"/>
        <v>0</v>
      </c>
      <c r="L4622" s="55">
        <f t="shared" si="165"/>
        <v>0</v>
      </c>
      <c r="M4622" s="61" t="str">
        <f>IF(F4598&gt;ENTRY!$D$24,"",IF(N4623="Ab","Ab",IF(N4623&gt;79.5,"A",IF(N4623&gt;59.5,"B",IF(N4623&gt;44.5,"C",IF(N4623&gt;=33,"D",IF(N4623&lt;33,"E","")))))))</f>
        <v/>
      </c>
      <c r="N4622" s="61"/>
      <c r="O4622" s="29"/>
      <c r="P4622" s="19"/>
      <c r="Q4622" s="14"/>
      <c r="R4622" s="11"/>
    </row>
    <row r="4623" s="1" customFormat="1" ht="21.95" customHeight="1" spans="1:18">
      <c r="A4623" s="7"/>
      <c r="B4623" s="12"/>
      <c r="C4623" s="33"/>
      <c r="D4623" s="63" t="s">
        <v>721</v>
      </c>
      <c r="E4623" s="63"/>
      <c r="F4623" s="63"/>
      <c r="G4623" s="63"/>
      <c r="H4623" s="63"/>
      <c r="I4623" s="63"/>
      <c r="J4623" s="63"/>
      <c r="K4623" s="63"/>
      <c r="L4623" s="63"/>
      <c r="M4623" s="209"/>
      <c r="N4623" s="64">
        <f>IF(L4622="Ab","Ab",L4622/6)</f>
        <v>0</v>
      </c>
      <c r="O4623" s="65"/>
      <c r="P4623" s="19"/>
      <c r="Q4623" s="14"/>
      <c r="R4623" s="11"/>
    </row>
    <row r="4624" s="1" customFormat="1" ht="21.95" customHeight="1" spans="1:18">
      <c r="A4624" s="7"/>
      <c r="B4624" s="12"/>
      <c r="C4624" s="33"/>
      <c r="D4624" s="29" t="s">
        <v>716</v>
      </c>
      <c r="E4624" s="18" t="str">
        <f>IFERROR(VLOOKUP(F4598,'1to4-2.1-RR'!$A$12:$BG$111,57,0),"")</f>
        <v/>
      </c>
      <c r="F4624" s="18"/>
      <c r="G4624" s="18"/>
      <c r="H4624" s="18"/>
      <c r="I4624" s="18"/>
      <c r="J4624" s="18"/>
      <c r="K4624" s="18"/>
      <c r="L4624" s="18"/>
      <c r="M4624" s="18"/>
      <c r="N4624" s="29"/>
      <c r="O4624" s="29"/>
      <c r="P4624" s="19"/>
      <c r="Q4624" s="14"/>
      <c r="R4624" s="11"/>
    </row>
    <row r="4625" s="1" customFormat="1" ht="9.95" customHeight="1" spans="1:19">
      <c r="A4625" s="7"/>
      <c r="B4625" s="12"/>
      <c r="C4625" s="39"/>
      <c r="D4625" s="40"/>
      <c r="E4625" s="40"/>
      <c r="F4625" s="40"/>
      <c r="G4625" s="40"/>
      <c r="H4625" s="40"/>
      <c r="I4625" s="40"/>
      <c r="J4625" s="40"/>
      <c r="K4625" s="40"/>
      <c r="L4625" s="40"/>
      <c r="M4625" s="40"/>
      <c r="N4625" s="40"/>
      <c r="O4625" s="40"/>
      <c r="P4625" s="41"/>
      <c r="Q4625" s="14"/>
      <c r="R4625" s="11"/>
    </row>
    <row r="4626" s="1" customFormat="1" ht="9.95" customHeight="1" spans="1:19">
      <c r="A4626" s="7"/>
      <c r="B4626" s="12"/>
      <c r="C4626" s="30"/>
      <c r="D4626" s="31"/>
      <c r="E4626" s="31"/>
      <c r="F4626" s="29"/>
      <c r="G4626" s="31"/>
      <c r="H4626" s="31"/>
      <c r="I4626" s="31"/>
      <c r="J4626" s="31"/>
      <c r="K4626" s="31"/>
      <c r="L4626" s="31"/>
      <c r="M4626" s="31"/>
      <c r="N4626" s="31"/>
      <c r="O4626" s="31"/>
      <c r="P4626" s="32"/>
      <c r="Q4626" s="14"/>
      <c r="R4626" s="11"/>
    </row>
    <row r="4627" s="1" customFormat="1" ht="9.95" customHeight="1" spans="1:19">
      <c r="A4627" s="7"/>
      <c r="B4627" s="12"/>
      <c r="C4627" s="33"/>
      <c r="D4627" s="29"/>
      <c r="E4627" s="29"/>
      <c r="F4627" s="29"/>
      <c r="G4627" s="29"/>
      <c r="H4627" s="29"/>
      <c r="I4627" s="29"/>
      <c r="J4627" s="29"/>
      <c r="K4627" s="29"/>
      <c r="L4627" s="29"/>
      <c r="M4627" s="29"/>
      <c r="N4627" s="29"/>
      <c r="O4627" s="29"/>
      <c r="P4627" s="19"/>
      <c r="Q4627" s="14"/>
      <c r="R4627" s="11"/>
    </row>
    <row r="4628" s="1" customFormat="1" ht="9.95" customHeight="1" spans="1:19">
      <c r="A4628" s="7"/>
      <c r="B4628" s="12"/>
      <c r="C4628" s="33"/>
      <c r="D4628" s="29"/>
      <c r="E4628" s="29"/>
      <c r="F4628" s="29"/>
      <c r="G4628" s="29"/>
      <c r="H4628" s="29"/>
      <c r="I4628" s="29"/>
      <c r="J4628" s="29"/>
      <c r="K4628" s="29"/>
      <c r="L4628" s="29"/>
      <c r="M4628" s="29"/>
      <c r="N4628" s="29"/>
      <c r="O4628" s="29"/>
      <c r="P4628" s="19"/>
      <c r="Q4628" s="14"/>
      <c r="R4628" s="11"/>
    </row>
    <row r="4629" s="1" customFormat="1" ht="21.95" customHeight="1" spans="1:19">
      <c r="A4629" s="7"/>
      <c r="B4629" s="12"/>
      <c r="C4629" s="210"/>
      <c r="D4629" s="211"/>
      <c r="E4629" s="211"/>
      <c r="F4629" s="211"/>
      <c r="G4629" s="211"/>
      <c r="H4629" s="211"/>
      <c r="I4629" s="211"/>
      <c r="J4629" s="211"/>
      <c r="K4629" s="211"/>
      <c r="L4629" s="211"/>
      <c r="M4629" s="211"/>
      <c r="N4629" s="211"/>
      <c r="O4629" s="211"/>
      <c r="P4629" s="212"/>
      <c r="Q4629" s="14"/>
      <c r="R4629" s="11"/>
      <c r="S4629" s="2"/>
    </row>
    <row r="4630" s="1" customFormat="1" ht="21.95" customHeight="1" spans="1:19">
      <c r="A4630" s="7"/>
      <c r="B4630" s="12"/>
      <c r="C4630" s="33"/>
      <c r="D4630" s="207" t="s">
        <v>722</v>
      </c>
      <c r="E4630" s="207"/>
      <c r="F4630" s="207"/>
      <c r="G4630" s="207"/>
      <c r="H4630" s="54">
        <f>IFERROR(VLOOKUP(F4598,PASHEET!$A$4:$CJ$103,88,0),"")</f>
        <v>0</v>
      </c>
      <c r="I4630" s="54"/>
      <c r="J4630" s="29"/>
      <c r="K4630" s="29"/>
      <c r="L4630" s="29"/>
      <c r="M4630" s="29"/>
      <c r="N4630" s="29"/>
      <c r="O4630" s="29"/>
      <c r="P4630" s="19"/>
      <c r="Q4630" s="14"/>
      <c r="R4630" s="11"/>
    </row>
    <row r="4631" s="1" customFormat="1" ht="21.95" customHeight="1" spans="1:19">
      <c r="A4631" s="7"/>
      <c r="B4631" s="12"/>
      <c r="C4631" s="213"/>
      <c r="D4631" s="207" t="s">
        <v>723</v>
      </c>
      <c r="E4631" s="207"/>
      <c r="F4631" s="207"/>
      <c r="G4631" s="207"/>
      <c r="H4631" s="54">
        <f>IFERROR(VLOOKUP(F4598,PASHEET!$A$4:$CJ$103,87,0),"")</f>
        <v>0</v>
      </c>
      <c r="I4631" s="54"/>
      <c r="J4631" s="214"/>
      <c r="K4631" s="214"/>
      <c r="L4631" s="207" t="s">
        <v>724</v>
      </c>
      <c r="M4631" s="207"/>
      <c r="N4631" s="117" t="str">
        <f>IF(F4598&gt;ENTRY!$D$24,"",IF(F4598&gt;0,L4622&amp;" / "&amp;600,""))</f>
        <v/>
      </c>
      <c r="O4631" s="117"/>
      <c r="P4631" s="215"/>
      <c r="Q4631" s="14"/>
      <c r="R4631" s="11"/>
    </row>
    <row r="4632" s="1" customFormat="1" ht="18" customHeight="1" spans="1:19">
      <c r="A4632" s="7"/>
      <c r="B4632" s="12"/>
      <c r="C4632" s="33"/>
      <c r="D4632" s="207" t="s">
        <v>725</v>
      </c>
      <c r="E4632" s="207"/>
      <c r="F4632" s="207"/>
      <c r="G4632" s="207"/>
      <c r="H4632" s="69" t="str">
        <f>IFERROR(IF(F4598&gt;0,H4631/H4630*100),"")</f>
        <v/>
      </c>
      <c r="I4632" s="69"/>
      <c r="J4632" s="29"/>
      <c r="K4632" s="29"/>
      <c r="L4632" s="207" t="s">
        <v>726</v>
      </c>
      <c r="M4632" s="207"/>
      <c r="N4632" s="216" t="str">
        <f>IF(F4598&gt;ENTRY!$D$24,"",IF(F4598&gt;0,L4622/600*100,""))</f>
        <v/>
      </c>
      <c r="O4632" s="216"/>
      <c r="P4632" s="19"/>
      <c r="Q4632" s="14"/>
      <c r="R4632" s="11"/>
    </row>
    <row r="4633" s="1" customFormat="1" ht="21.95" customHeight="1" spans="1:19">
      <c r="A4633" s="7"/>
      <c r="B4633" s="12"/>
      <c r="C4633" s="33"/>
      <c r="D4633" s="80"/>
      <c r="E4633" s="80"/>
      <c r="F4633" s="217"/>
      <c r="G4633" s="217"/>
      <c r="H4633" s="217"/>
      <c r="I4633" s="217"/>
      <c r="J4633" s="217"/>
      <c r="K4633" s="217"/>
      <c r="L4633" s="217"/>
      <c r="M4633" s="217"/>
      <c r="N4633" s="80"/>
      <c r="O4633" s="80"/>
      <c r="P4633" s="19"/>
      <c r="Q4633" s="14"/>
      <c r="R4633" s="11"/>
    </row>
    <row r="4634" s="1" customFormat="1" ht="21.95" customHeight="1" spans="1:19">
      <c r="A4634" s="7"/>
      <c r="B4634" s="12"/>
      <c r="C4634" s="33"/>
      <c r="D4634" s="80"/>
      <c r="E4634" s="218"/>
      <c r="F4634" s="218"/>
      <c r="G4634" s="218"/>
      <c r="H4634" s="80"/>
      <c r="I4634" s="218"/>
      <c r="J4634" s="218"/>
      <c r="K4634" s="218"/>
      <c r="L4634" s="218"/>
      <c r="M4634" s="80"/>
      <c r="N4634" s="219"/>
      <c r="O4634" s="219"/>
      <c r="P4634" s="19"/>
      <c r="Q4634" s="14"/>
      <c r="R4634" s="11"/>
    </row>
    <row r="4635" s="1" customFormat="1" ht="21.95" customHeight="1" spans="1:19">
      <c r="A4635" s="7"/>
      <c r="B4635" s="12"/>
      <c r="C4635" s="33"/>
      <c r="D4635" s="80"/>
      <c r="E4635" s="80"/>
      <c r="F4635" s="80"/>
      <c r="G4635" s="80"/>
      <c r="H4635" s="80"/>
      <c r="I4635" s="80"/>
      <c r="J4635" s="80"/>
      <c r="K4635" s="80"/>
      <c r="L4635" s="80"/>
      <c r="M4635" s="80"/>
      <c r="N4635" s="80"/>
      <c r="O4635" s="80"/>
      <c r="P4635" s="19"/>
      <c r="Q4635" s="14"/>
      <c r="R4635" s="11"/>
    </row>
    <row r="4636" s="1" customFormat="1" ht="21.95" customHeight="1" spans="1:19">
      <c r="A4636" s="7"/>
      <c r="B4636" s="12"/>
      <c r="C4636" s="33"/>
      <c r="D4636" s="218"/>
      <c r="E4636" s="218"/>
      <c r="F4636" s="218"/>
      <c r="G4636" s="218"/>
      <c r="H4636" s="218"/>
      <c r="I4636" s="218"/>
      <c r="J4636" s="218"/>
      <c r="K4636" s="218"/>
      <c r="L4636" s="218"/>
      <c r="M4636" s="80"/>
      <c r="N4636" s="217"/>
      <c r="O4636" s="217"/>
      <c r="P4636" s="85" t="s">
        <v>727</v>
      </c>
      <c r="Q4636" s="14"/>
      <c r="R4636" s="11"/>
    </row>
    <row r="4637" s="1" customFormat="1" ht="21.95" customHeight="1" spans="1:19">
      <c r="A4637" s="7"/>
      <c r="B4637" s="12"/>
      <c r="C4637" s="33"/>
      <c r="D4637" s="29"/>
      <c r="E4637" s="29"/>
      <c r="F4637" s="29"/>
      <c r="G4637" s="29"/>
      <c r="H4637" s="29"/>
      <c r="I4637" s="29"/>
      <c r="J4637" s="29"/>
      <c r="K4637" s="29"/>
      <c r="L4637" s="29"/>
      <c r="M4637" s="29"/>
      <c r="N4637" s="29"/>
      <c r="O4637" s="29"/>
      <c r="P4637" s="19"/>
      <c r="Q4637" s="14"/>
      <c r="R4637" s="11"/>
    </row>
    <row r="4638" s="1" customFormat="1" ht="21.95" customHeight="1" spans="1:19">
      <c r="A4638" s="7"/>
      <c r="B4638" s="12"/>
      <c r="C4638" s="33"/>
      <c r="D4638" s="29"/>
      <c r="E4638" s="29"/>
      <c r="F4638" s="29"/>
      <c r="G4638" s="29"/>
      <c r="H4638" s="29"/>
      <c r="I4638" s="29"/>
      <c r="J4638" s="29"/>
      <c r="K4638" s="29"/>
      <c r="L4638" s="29"/>
      <c r="M4638" s="29"/>
      <c r="N4638" s="29"/>
      <c r="O4638" s="29"/>
      <c r="P4638" s="19"/>
      <c r="Q4638" s="14"/>
      <c r="R4638" s="11"/>
    </row>
    <row r="4639" s="1" customFormat="1" ht="21.95" customHeight="1" spans="1:19">
      <c r="A4639" s="7"/>
      <c r="B4639" s="12"/>
      <c r="C4639" s="33"/>
      <c r="D4639" s="29"/>
      <c r="E4639" s="29"/>
      <c r="F4639" s="29"/>
      <c r="G4639" s="29"/>
      <c r="H4639" s="29"/>
      <c r="I4639" s="29"/>
      <c r="J4639" s="29"/>
      <c r="K4639" s="29"/>
      <c r="L4639" s="29"/>
      <c r="M4639" s="29"/>
      <c r="N4639" s="29"/>
      <c r="O4639" s="29"/>
      <c r="P4639" s="19"/>
      <c r="Q4639" s="14"/>
      <c r="R4639" s="11"/>
    </row>
    <row r="4640" s="1" customFormat="1" ht="21.95" customHeight="1" spans="1:19">
      <c r="A4640" s="7"/>
      <c r="B4640" s="12"/>
      <c r="C4640" s="33"/>
      <c r="D4640" s="29"/>
      <c r="E4640" s="29"/>
      <c r="F4640" s="29"/>
      <c r="G4640" s="29"/>
      <c r="H4640" s="29"/>
      <c r="I4640" s="29"/>
      <c r="J4640" s="29"/>
      <c r="K4640" s="29"/>
      <c r="L4640" s="29"/>
      <c r="M4640" s="29"/>
      <c r="N4640" s="29"/>
      <c r="O4640" s="29"/>
      <c r="P4640" s="19"/>
      <c r="Q4640" s="14"/>
      <c r="R4640" s="11"/>
    </row>
    <row r="4641" s="1" customFormat="1" ht="21.95" customHeight="1" spans="1:18">
      <c r="A4641" s="7"/>
      <c r="B4641" s="12"/>
      <c r="C4641" s="33"/>
      <c r="D4641" s="29"/>
      <c r="E4641" s="29"/>
      <c r="F4641" s="29"/>
      <c r="G4641" s="29"/>
      <c r="H4641" s="29"/>
      <c r="I4641" s="29"/>
      <c r="J4641" s="29"/>
      <c r="K4641" s="29"/>
      <c r="L4641" s="29"/>
      <c r="M4641" s="29"/>
      <c r="N4641" s="29"/>
      <c r="O4641" s="29"/>
      <c r="P4641" s="19"/>
      <c r="Q4641" s="14"/>
      <c r="R4641" s="11"/>
    </row>
    <row r="4642" s="1" customFormat="1" ht="21.95" customHeight="1" spans="1:18">
      <c r="A4642" s="7"/>
      <c r="B4642" s="12"/>
      <c r="C4642" s="33"/>
      <c r="D4642" s="80" t="s">
        <v>728</v>
      </c>
      <c r="E4642" s="220">
        <f>ENTRY!$D$27</f>
        <v>46102</v>
      </c>
      <c r="F4642" s="220"/>
      <c r="G4642" s="29"/>
      <c r="H4642" s="29"/>
      <c r="I4642" s="221" t="s">
        <v>729</v>
      </c>
      <c r="J4642" s="153"/>
      <c r="K4642" s="29"/>
      <c r="L4642" s="29"/>
      <c r="M4642" s="87" t="s">
        <v>730</v>
      </c>
      <c r="N4642" s="87"/>
      <c r="O4642" s="87"/>
      <c r="P4642" s="19"/>
      <c r="Q4642" s="14"/>
      <c r="R4642" s="11"/>
    </row>
    <row r="4643" s="1" customFormat="1" ht="21.95" customHeight="1" spans="1:18">
      <c r="A4643" s="7"/>
      <c r="B4643" s="12"/>
      <c r="C4643" s="33"/>
      <c r="D4643" s="80" t="s">
        <v>731</v>
      </c>
      <c r="E4643" s="88" t="str">
        <f>PROPER(ENTRY!$D$28)</f>
        <v>New Delhi</v>
      </c>
      <c r="F4643" s="88"/>
      <c r="G4643" s="29"/>
      <c r="H4643" s="29"/>
      <c r="I4643" s="153"/>
      <c r="J4643" s="153"/>
      <c r="K4643" s="29"/>
      <c r="L4643" s="29"/>
      <c r="M4643" s="79" t="s">
        <v>732</v>
      </c>
      <c r="N4643" s="79"/>
      <c r="O4643" s="79"/>
      <c r="P4643" s="19"/>
      <c r="Q4643" s="14"/>
      <c r="R4643" s="11"/>
    </row>
    <row r="4644" s="1" customFormat="1" ht="21.95" customHeight="1" spans="1:18">
      <c r="A4644" s="7"/>
      <c r="B4644" s="12"/>
      <c r="C4644" s="90"/>
      <c r="D4644" s="91"/>
      <c r="E4644" s="91"/>
      <c r="F4644" s="91"/>
      <c r="G4644" s="91"/>
      <c r="H4644" s="91"/>
      <c r="I4644" s="91"/>
      <c r="J4644" s="91"/>
      <c r="K4644" s="91"/>
      <c r="L4644" s="91"/>
      <c r="M4644" s="91"/>
      <c r="N4644" s="91"/>
      <c r="O4644" s="91"/>
      <c r="P4644" s="92"/>
      <c r="Q4644" s="14"/>
      <c r="R4644" s="11"/>
    </row>
    <row r="4645" s="1" customFormat="1" ht="5.1" customHeight="1" spans="1:18">
      <c r="A4645" s="7"/>
      <c r="B4645" s="90"/>
      <c r="C4645" s="91"/>
      <c r="D4645" s="91"/>
      <c r="E4645" s="91"/>
      <c r="F4645" s="91"/>
      <c r="G4645" s="91"/>
      <c r="H4645" s="91"/>
      <c r="I4645" s="91"/>
      <c r="J4645" s="91"/>
      <c r="K4645" s="91"/>
      <c r="L4645" s="91"/>
      <c r="M4645" s="91"/>
      <c r="N4645" s="91"/>
      <c r="O4645" s="91"/>
      <c r="P4645" s="91"/>
      <c r="Q4645" s="92"/>
      <c r="R4645" s="11"/>
    </row>
    <row r="4646" s="1" customFormat="1" ht="5.1" customHeight="1" spans="1:18">
      <c r="A4646" s="93"/>
      <c r="B4646" s="94"/>
      <c r="C4646" s="94"/>
      <c r="D4646" s="94"/>
      <c r="E4646" s="94"/>
      <c r="F4646" s="94"/>
      <c r="G4646" s="94"/>
      <c r="H4646" s="94"/>
      <c r="I4646" s="94"/>
      <c r="J4646" s="94"/>
      <c r="K4646" s="94"/>
      <c r="L4646" s="94"/>
      <c r="M4646" s="94"/>
      <c r="N4646" s="94"/>
      <c r="O4646" s="94"/>
      <c r="P4646" s="94"/>
      <c r="Q4646" s="94"/>
      <c r="R4646" s="95"/>
    </row>
    <row r="4647" s="1" customFormat="1" ht="21.95" customHeight="1"/>
    <row r="4648" ht="15.15"/>
    <row r="4649" s="1" customFormat="1" ht="5.1" customHeight="1" spans="1:18">
      <c r="A4649" s="4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5"/>
      <c r="O4649" s="5"/>
      <c r="P4649" s="5"/>
      <c r="Q4649" s="5"/>
      <c r="R4649" s="6"/>
    </row>
    <row r="4650" s="1" customFormat="1" ht="15" customHeight="1" spans="1:18">
      <c r="A4650" s="7"/>
      <c r="B4650" s="8"/>
      <c r="C4650" s="9"/>
      <c r="D4650" s="9"/>
      <c r="E4650" s="9"/>
      <c r="F4650" s="9"/>
      <c r="G4650" s="9"/>
      <c r="H4650" s="9"/>
      <c r="I4650" s="9"/>
      <c r="J4650" s="9"/>
      <c r="K4650" s="9"/>
      <c r="L4650" s="9"/>
      <c r="M4650" s="9"/>
      <c r="N4650" s="9"/>
      <c r="O4650" s="9"/>
      <c r="P4650" s="9"/>
      <c r="Q4650" s="10"/>
      <c r="R4650" s="11"/>
    </row>
    <row r="4651" s="1" customFormat="1" ht="21.95" customHeight="1" spans="1:18">
      <c r="A4651" s="7"/>
      <c r="B4651" s="12"/>
      <c r="C4651" s="13" t="s">
        <v>7</v>
      </c>
      <c r="D4651" s="13"/>
      <c r="E4651" s="13"/>
      <c r="F4651" s="13"/>
      <c r="G4651" s="13"/>
      <c r="H4651" s="13"/>
      <c r="I4651" s="13"/>
      <c r="J4651" s="13"/>
      <c r="K4651" s="13"/>
      <c r="L4651" s="13"/>
      <c r="M4651" s="13"/>
      <c r="N4651" s="13"/>
      <c r="O4651" s="13"/>
      <c r="P4651" s="13"/>
      <c r="Q4651" s="14"/>
      <c r="R4651" s="11"/>
    </row>
    <row r="4652" s="1" customFormat="1" ht="21.95" customHeight="1" spans="1:18">
      <c r="A4652" s="7"/>
      <c r="B4652" s="1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14"/>
      <c r="R4652" s="11"/>
    </row>
    <row r="4653" s="1" customFormat="1" ht="21.95" customHeight="1" spans="1:18">
      <c r="A4653" s="7"/>
      <c r="B4653" s="12"/>
      <c r="C4653" s="15" t="str">
        <f>"SESSION-"&amp;ENTRY!$D$11</f>
        <v>SESSION-2026-27</v>
      </c>
      <c r="D4653" s="15"/>
      <c r="E4653" s="15"/>
      <c r="F4653" s="15"/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  <c r="Q4653" s="14"/>
      <c r="R4653" s="11"/>
    </row>
    <row r="4654" s="1" customFormat="1" ht="21.95" customHeight="1" spans="1:18">
      <c r="A4654" s="7"/>
      <c r="B4654" s="12"/>
      <c r="C4654" s="2"/>
      <c r="D4654" s="2"/>
      <c r="E4654" s="2"/>
      <c r="F4654" s="16">
        <f>F4598+1</f>
        <v>84</v>
      </c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14"/>
      <c r="R4654" s="11"/>
    </row>
    <row r="4655" s="1" customFormat="1" ht="21.95" customHeight="1" spans="1:18">
      <c r="A4655" s="7"/>
      <c r="B4655" s="12"/>
      <c r="C4655" s="17" t="s">
        <v>392</v>
      </c>
      <c r="D4655" s="17"/>
      <c r="E4655" s="17"/>
      <c r="F4655" s="18" t="str">
        <f>IF(F4654&gt;0,ENTRY!$D$6,"")</f>
        <v>MCP NITHARI NO 1 BOYS</v>
      </c>
      <c r="G4655" s="18"/>
      <c r="H4655" s="18"/>
      <c r="I4655" s="18"/>
      <c r="J4655" s="18"/>
      <c r="K4655" s="18"/>
      <c r="L4655" s="18"/>
      <c r="M4655" s="18"/>
      <c r="N4655" s="18"/>
      <c r="O4655" s="18"/>
      <c r="P4655" s="18"/>
      <c r="Q4655" s="14"/>
      <c r="R4655" s="11"/>
    </row>
    <row r="4656" s="1" customFormat="1" ht="21.95" customHeight="1" spans="1:18">
      <c r="A4656" s="7"/>
      <c r="B4656" s="12"/>
      <c r="C4656" s="17" t="s">
        <v>393</v>
      </c>
      <c r="D4656" s="17"/>
      <c r="E4656" s="17"/>
      <c r="F4656" s="18">
        <f>IF(F4654&gt;0,ENTRY!$D$7,"")</f>
        <v>0</v>
      </c>
      <c r="G4656" s="18"/>
      <c r="H4656" s="20" t="s">
        <v>702</v>
      </c>
      <c r="I4656" s="20"/>
      <c r="J4656" s="21">
        <f>IF(F4654&gt;0,ENTRY!$D$10,"")</f>
        <v>40</v>
      </c>
      <c r="K4656" s="20" t="s">
        <v>703</v>
      </c>
      <c r="L4656" s="22" t="str">
        <f>IF(F4654&gt;0,ENTRY!$D$5,"")</f>
        <v>ROHINI ZONE</v>
      </c>
      <c r="M4656" s="22"/>
      <c r="N4656" s="22"/>
      <c r="O4656" s="22"/>
      <c r="P4656" s="22"/>
      <c r="Q4656" s="14"/>
      <c r="R4656" s="11"/>
    </row>
    <row r="4657" s="1" customFormat="1" ht="21.95" customHeight="1" spans="1:18">
      <c r="A4657" s="7"/>
      <c r="B4657" s="12"/>
      <c r="C4657" s="17" t="s">
        <v>706</v>
      </c>
      <c r="D4657" s="17"/>
      <c r="E4657" s="17"/>
      <c r="F4657" s="23">
        <f>IFERROR(VLOOKUP(F4654,STUDENT!$A$2:$BP$101,5,0),"")</f>
        <v>0</v>
      </c>
      <c r="G4657" s="23"/>
      <c r="H4657" s="23"/>
      <c r="I4657" s="23"/>
      <c r="J4657" s="23"/>
      <c r="K4657" s="23"/>
      <c r="L4657" s="20" t="s">
        <v>707</v>
      </c>
      <c r="M4657" s="20"/>
      <c r="N4657" s="24" t="str">
        <f>IF(F4654&gt;0,ENTRY!$D$20&amp;"-"&amp;ENTRY!$D$21,"")</f>
        <v>III-A</v>
      </c>
      <c r="O4657" s="24"/>
      <c r="P4657" s="24"/>
      <c r="Q4657" s="14"/>
      <c r="R4657" s="11"/>
    </row>
    <row r="4658" s="1" customFormat="1" ht="21.95" customHeight="1" spans="1:18">
      <c r="A4658" s="7"/>
      <c r="B4658" s="12"/>
      <c r="C4658" s="17" t="s">
        <v>708</v>
      </c>
      <c r="D4658" s="17"/>
      <c r="E4658" s="17"/>
      <c r="F4658" s="25">
        <f>IFERROR(VLOOKUP(F4654,STUDENT!$A$2:$BP$101,6,0),"")</f>
        <v>0</v>
      </c>
      <c r="G4658" s="25"/>
      <c r="H4658" s="26" t="s">
        <v>709</v>
      </c>
      <c r="I4658" s="27" t="str">
        <f>IFERROR(VLOOKUP(F4654,STUDENT!$A$2:$BP$101,59,0),"")</f>
        <v/>
      </c>
      <c r="J4658" s="27"/>
      <c r="K4658" s="20" t="s">
        <v>710</v>
      </c>
      <c r="L4658" s="20"/>
      <c r="M4658" s="28">
        <f>IFERROR(VLOOKUP(F4654,STUDENT!$A$2:$BP$101,20,0),"")</f>
        <v>0</v>
      </c>
      <c r="N4658" s="28"/>
      <c r="O4658" s="28"/>
      <c r="P4658" s="28"/>
      <c r="Q4658" s="14"/>
      <c r="R4658" s="11"/>
    </row>
    <row r="4659" s="1" customFormat="1" ht="21.95" customHeight="1" spans="1:18">
      <c r="A4659" s="7"/>
      <c r="B4659" s="12"/>
      <c r="C4659" s="17" t="s">
        <v>711</v>
      </c>
      <c r="D4659" s="17"/>
      <c r="E4659" s="17"/>
      <c r="F4659" s="23">
        <f>IFERROR(VLOOKUP(F4654,STUDENT!$A$2:$BP$101,9,0),"")</f>
        <v>0</v>
      </c>
      <c r="G4659" s="23"/>
      <c r="H4659" s="23"/>
      <c r="I4659" s="23"/>
      <c r="J4659" s="17" t="s">
        <v>620</v>
      </c>
      <c r="K4659" s="17"/>
      <c r="L4659" s="23">
        <f>IFERROR(VLOOKUP(F4654,STUDENT!$A$2:$BP$101,8,0),"")</f>
        <v>0</v>
      </c>
      <c r="M4659" s="23"/>
      <c r="N4659" s="23"/>
      <c r="O4659" s="23"/>
      <c r="P4659" s="23"/>
      <c r="Q4659" s="14"/>
      <c r="R4659" s="11"/>
    </row>
    <row r="4660" s="1" customFormat="1" ht="21.95" customHeight="1" spans="1:18">
      <c r="A4660" s="7"/>
      <c r="B4660" s="12"/>
      <c r="C4660" s="17" t="s">
        <v>712</v>
      </c>
      <c r="D4660" s="17"/>
      <c r="E4660" s="17"/>
      <c r="F4660" s="23">
        <f>IFERROR(VLOOKUP(F4654,STUDENT!$A$2:$BP$101,22,0),"")</f>
        <v>0</v>
      </c>
      <c r="G4660" s="23"/>
      <c r="H4660" s="23"/>
      <c r="I4660" s="23"/>
      <c r="J4660" s="23"/>
      <c r="K4660" s="23"/>
      <c r="L4660" s="23"/>
      <c r="M4660" s="23"/>
      <c r="N4660" s="23"/>
      <c r="O4660" s="23"/>
      <c r="P4660" s="23"/>
      <c r="Q4660" s="14"/>
      <c r="R4660" s="11"/>
    </row>
    <row r="4661" s="1" customFormat="1" ht="9.95" customHeight="1" spans="1:18">
      <c r="A4661" s="7"/>
      <c r="B4661" s="12"/>
      <c r="C4661" s="29"/>
      <c r="D4661" s="29"/>
      <c r="E4661" s="29"/>
      <c r="F4661" s="29"/>
      <c r="G4661" s="29"/>
      <c r="H4661" s="29"/>
      <c r="I4661" s="29"/>
      <c r="J4661" s="29"/>
      <c r="K4661" s="29"/>
      <c r="L4661" s="29"/>
      <c r="M4661" s="29"/>
      <c r="N4661" s="29"/>
      <c r="O4661" s="29"/>
      <c r="P4661" s="29"/>
      <c r="Q4661" s="14"/>
      <c r="R4661" s="11"/>
    </row>
    <row r="4662" s="1" customFormat="1" ht="9.95" customHeight="1" spans="1:18">
      <c r="A4662" s="7"/>
      <c r="B4662" s="12"/>
      <c r="C4662" s="30"/>
      <c r="D4662" s="31"/>
      <c r="E4662" s="31"/>
      <c r="F4662" s="31"/>
      <c r="G4662" s="31"/>
      <c r="H4662" s="31"/>
      <c r="I4662" s="31"/>
      <c r="J4662" s="31"/>
      <c r="K4662" s="31"/>
      <c r="L4662" s="31"/>
      <c r="M4662" s="31"/>
      <c r="N4662" s="31"/>
      <c r="O4662" s="31"/>
      <c r="P4662" s="32"/>
      <c r="Q4662" s="14"/>
      <c r="R4662" s="11"/>
    </row>
    <row r="4663" s="1" customFormat="1" ht="21.95" customHeight="1" spans="1:18">
      <c r="A4663" s="7"/>
      <c r="B4663" s="12"/>
      <c r="C4663" s="33"/>
      <c r="D4663" s="34" t="s">
        <v>713</v>
      </c>
      <c r="E4663" s="20" t="s">
        <v>714</v>
      </c>
      <c r="F4663" s="35" t="str">
        <f>"Level - "&amp;IFERROR(VLOOKUP(F4654,FLN!$A$4:$K$103,9,0),"")</f>
        <v>Level - </v>
      </c>
      <c r="G4663" s="36"/>
      <c r="H4663" s="37" t="s">
        <v>715</v>
      </c>
      <c r="I4663" s="20"/>
      <c r="J4663" s="35" t="str">
        <f>"Level - "&amp;IFERROR(VLOOKUP(F4654,FLN!$A$4:$K$103,11,0),"")</f>
        <v>Level - </v>
      </c>
      <c r="K4663" s="36"/>
      <c r="L4663" s="37" t="s">
        <v>408</v>
      </c>
      <c r="M4663" s="20"/>
      <c r="N4663" s="35" t="str">
        <f>"Level - "&amp;IFERROR(VLOOKUP(F4654,FLN!$A$4:$K$103,10,0),"")</f>
        <v>Level - </v>
      </c>
      <c r="O4663" s="36"/>
      <c r="P4663" s="19"/>
      <c r="Q4663" s="14"/>
      <c r="R4663" s="11"/>
    </row>
    <row r="4664" s="1" customFormat="1" ht="21.95" customHeight="1" spans="1:18">
      <c r="A4664" s="7"/>
      <c r="B4664" s="12"/>
      <c r="C4664" s="33"/>
      <c r="D4664" s="38"/>
      <c r="E4664" s="20" t="s">
        <v>716</v>
      </c>
      <c r="F4664" s="18" t="str">
        <f>IF(L4678&gt;197,"PERFORMED WELL","")</f>
        <v/>
      </c>
      <c r="G4664" s="18"/>
      <c r="H4664" s="18"/>
      <c r="I4664" s="18"/>
      <c r="J4664" s="18"/>
      <c r="K4664" s="18"/>
      <c r="L4664" s="18"/>
      <c r="M4664" s="18"/>
      <c r="N4664" s="18"/>
      <c r="O4664" s="18"/>
      <c r="P4664" s="19"/>
      <c r="Q4664" s="14"/>
      <c r="R4664" s="11"/>
    </row>
    <row r="4665" s="1" customFormat="1" ht="9.95" customHeight="1" spans="1:18">
      <c r="A4665" s="7"/>
      <c r="B4665" s="12"/>
      <c r="C4665" s="39"/>
      <c r="D4665" s="40"/>
      <c r="E4665" s="40"/>
      <c r="F4665" s="40"/>
      <c r="G4665" s="40"/>
      <c r="H4665" s="40"/>
      <c r="I4665" s="40"/>
      <c r="J4665" s="40"/>
      <c r="K4665" s="40"/>
      <c r="L4665" s="40"/>
      <c r="M4665" s="40"/>
      <c r="N4665" s="40"/>
      <c r="O4665" s="40"/>
      <c r="P4665" s="41"/>
      <c r="Q4665" s="14"/>
      <c r="R4665" s="11"/>
    </row>
    <row r="4666" s="1" customFormat="1" ht="9.95" customHeight="1" spans="1:18">
      <c r="A4666" s="7"/>
      <c r="B4666" s="12"/>
      <c r="C4666" s="29"/>
      <c r="D4666" s="29"/>
      <c r="E4666" s="29"/>
      <c r="F4666" s="29"/>
      <c r="G4666" s="29"/>
      <c r="H4666" s="29"/>
      <c r="I4666" s="29"/>
      <c r="J4666" s="29"/>
      <c r="K4666" s="29"/>
      <c r="L4666" s="29"/>
      <c r="M4666" s="29"/>
      <c r="N4666" s="29"/>
      <c r="O4666" s="29"/>
      <c r="P4666" s="29"/>
      <c r="Q4666" s="14"/>
      <c r="R4666" s="11"/>
    </row>
    <row r="4667" s="1" customFormat="1" ht="9.95" customHeight="1" spans="1:18">
      <c r="A4667" s="7"/>
      <c r="B4667" s="12"/>
      <c r="C4667" s="30"/>
      <c r="D4667" s="31"/>
      <c r="E4667" s="31"/>
      <c r="F4667" s="31"/>
      <c r="G4667" s="31"/>
      <c r="H4667" s="31"/>
      <c r="I4667" s="31"/>
      <c r="J4667" s="31"/>
      <c r="K4667" s="31"/>
      <c r="L4667" s="31"/>
      <c r="M4667" s="31"/>
      <c r="N4667" s="31"/>
      <c r="O4667" s="31"/>
      <c r="P4667" s="32"/>
      <c r="Q4667" s="14"/>
      <c r="R4667" s="11"/>
    </row>
    <row r="4668" s="1" customFormat="1" ht="21.95" customHeight="1" spans="1:18">
      <c r="A4668" s="7"/>
      <c r="B4668" s="12"/>
      <c r="C4668" s="33"/>
      <c r="D4668" s="35"/>
      <c r="E4668" s="24"/>
      <c r="F4668" s="24"/>
      <c r="G4668" s="47" t="s">
        <v>717</v>
      </c>
      <c r="H4668" s="47"/>
      <c r="I4668" s="47"/>
      <c r="J4668" s="47"/>
      <c r="K4668" s="47"/>
      <c r="L4668" s="47"/>
      <c r="M4668" s="47"/>
      <c r="N4668" s="47"/>
      <c r="O4668" s="29"/>
      <c r="P4668" s="19"/>
      <c r="Q4668" s="14"/>
      <c r="R4668" s="11"/>
    </row>
    <row r="4669" s="1" customFormat="1" ht="21.95" customHeight="1" spans="1:18">
      <c r="A4669" s="7"/>
      <c r="B4669" s="12"/>
      <c r="C4669" s="33"/>
      <c r="D4669" s="47"/>
      <c r="E4669" s="47"/>
      <c r="F4669" s="47"/>
      <c r="G4669" s="47" t="s">
        <v>541</v>
      </c>
      <c r="H4669" s="47" t="s">
        <v>542</v>
      </c>
      <c r="I4669" s="47" t="s">
        <v>543</v>
      </c>
      <c r="J4669" s="47" t="s">
        <v>544</v>
      </c>
      <c r="K4669" s="47" t="s">
        <v>561</v>
      </c>
      <c r="L4669" s="47" t="s">
        <v>382</v>
      </c>
      <c r="M4669" s="49" t="s">
        <v>546</v>
      </c>
      <c r="N4669" s="49"/>
      <c r="O4669" s="29"/>
      <c r="P4669" s="19"/>
      <c r="Q4669" s="14"/>
      <c r="R4669" s="11"/>
    </row>
    <row r="4670" s="1" customFormat="1" ht="21.95" customHeight="1" spans="1:18">
      <c r="A4670" s="7"/>
      <c r="B4670" s="12"/>
      <c r="C4670" s="33"/>
      <c r="D4670" s="207" t="s">
        <v>652</v>
      </c>
      <c r="E4670" s="207"/>
      <c r="F4670" s="207"/>
      <c r="G4670" s="50">
        <v>10</v>
      </c>
      <c r="H4670" s="50">
        <v>10</v>
      </c>
      <c r="I4670" s="50">
        <v>10</v>
      </c>
      <c r="J4670" s="50">
        <v>10</v>
      </c>
      <c r="K4670" s="50">
        <v>60</v>
      </c>
      <c r="L4670" s="50">
        <v>100</v>
      </c>
      <c r="M4670" s="49"/>
      <c r="N4670" s="49"/>
      <c r="O4670" s="29"/>
      <c r="P4670" s="19"/>
      <c r="Q4670" s="14"/>
      <c r="R4670" s="11"/>
    </row>
    <row r="4671" s="1" customFormat="1" ht="21.95" customHeight="1" spans="1:18">
      <c r="A4671" s="7"/>
      <c r="B4671" s="12"/>
      <c r="C4671" s="33"/>
      <c r="D4671" s="117" t="s">
        <v>668</v>
      </c>
      <c r="E4671" s="117"/>
      <c r="F4671" s="117"/>
      <c r="G4671" s="54" t="str">
        <f>IFERROR(VLOOKUP(F4654,'1to4-2.1-RR'!$A$12:$BG$111,9,0),"")</f>
        <v/>
      </c>
      <c r="H4671" s="54" t="str">
        <f>IFERROR(VLOOKUP(F4654,'1to4-2.1-RR'!$A$12:$BG$111,10,0),"")</f>
        <v/>
      </c>
      <c r="I4671" s="54" t="str">
        <f>IFERROR(VLOOKUP(F4654,'1to4-2.1-RR'!$A$12:$BG$111,11,0),"")</f>
        <v/>
      </c>
      <c r="J4671" s="54" t="str">
        <f>IFERROR(VLOOKUP(F4654,'1to4-2.1-RR'!$A$12:$BG$111,12,0),"")</f>
        <v/>
      </c>
      <c r="K4671" s="54" t="str">
        <f>IFERROR(VLOOKUP(F4654,'1to4-2.1-RR'!$A$12:$BG$111,13,0),"")</f>
        <v/>
      </c>
      <c r="L4671" s="55">
        <f>SUM(G4671:K4671)</f>
        <v>0</v>
      </c>
      <c r="M4671" s="56" t="str">
        <f>IF(F4654&gt;ENTRY!$D$24,"",IF(L4671=0,"Ab",IF(L4671&gt;80,"A",IF(L4671&gt;60,"B",IF(L4671&gt;44,"C",IF(L4671&gt;=33,"D",IF(L4671&lt;=32,"E","")))))))</f>
        <v/>
      </c>
      <c r="N4671" s="56"/>
      <c r="O4671" s="29"/>
      <c r="P4671" s="19"/>
      <c r="Q4671" s="14"/>
      <c r="R4671" s="11"/>
    </row>
    <row r="4672" s="1" customFormat="1" ht="21.95" customHeight="1" spans="1:18">
      <c r="A4672" s="7"/>
      <c r="B4672" s="12"/>
      <c r="C4672" s="33"/>
      <c r="D4672" s="117" t="s">
        <v>513</v>
      </c>
      <c r="E4672" s="117"/>
      <c r="F4672" s="117"/>
      <c r="G4672" s="54" t="str">
        <f>IFERROR(VLOOKUP(F4654,'1to4-2.1-RR'!$A$12:$BG$111,16,0),"")</f>
        <v/>
      </c>
      <c r="H4672" s="54" t="str">
        <f>IFERROR(VLOOKUP(F4654,'1to4-2.1-RR'!$A$12:$BG$111,17,0),"")</f>
        <v/>
      </c>
      <c r="I4672" s="54" t="str">
        <f>IFERROR(VLOOKUP(F4654,'1to4-2.1-RR'!$A$12:$BG$111,18,0),"")</f>
        <v/>
      </c>
      <c r="J4672" s="54" t="str">
        <f>IFERROR(VLOOKUP(F4654,'1to4-2.1-RR'!$A$12:$BG$111,19,0),"")</f>
        <v/>
      </c>
      <c r="K4672" s="54" t="str">
        <f>IFERROR(VLOOKUP(F4654,'1to4-2.1-RR'!$A$12:$BG$111,20,0),"")</f>
        <v/>
      </c>
      <c r="L4672" s="55">
        <f t="shared" ref="L4672:L4677" si="166">SUM(G4672:K4672)</f>
        <v>0</v>
      </c>
      <c r="M4672" s="56" t="str">
        <f>IF(F4654&gt;ENTRY!$D$24,"",IF(L4672=0,"Ab",IF(L4672&gt;80,"A",IF(L4672&gt;60,"B",IF(L4672&gt;44,"C",IF(L4672&gt;=33,"D",IF(L4672&lt;=32,"E","")))))))</f>
        <v/>
      </c>
      <c r="N4672" s="56"/>
      <c r="O4672" s="29"/>
      <c r="P4672" s="19"/>
      <c r="Q4672" s="14"/>
      <c r="R4672" s="11"/>
    </row>
    <row r="4673" s="1" customFormat="1" ht="21.95" customHeight="1" spans="1:19">
      <c r="A4673" s="7"/>
      <c r="B4673" s="12"/>
      <c r="C4673" s="33"/>
      <c r="D4673" s="117" t="s">
        <v>718</v>
      </c>
      <c r="E4673" s="117"/>
      <c r="F4673" s="117"/>
      <c r="G4673" s="54" t="str">
        <f>IFERROR(VLOOKUP(F4654,'1to4-2.1-RR'!$A$12:$BG$111,23,0),"")</f>
        <v/>
      </c>
      <c r="H4673" s="54" t="str">
        <f>IFERROR(VLOOKUP(F4654,'1to4-2.1-RR'!$A$12:$BG$111,24,0),"")</f>
        <v/>
      </c>
      <c r="I4673" s="54" t="str">
        <f>IFERROR(VLOOKUP(F4654,'1to4-2.1-RR'!$A$12:$BG$111,25,0),"")</f>
        <v/>
      </c>
      <c r="J4673" s="54" t="str">
        <f>IFERROR(VLOOKUP(F4654,'1to4-2.1-RR'!$A$12:$BG$111,26,0),"")</f>
        <v/>
      </c>
      <c r="K4673" s="54" t="str">
        <f>IFERROR(VLOOKUP(F4654,'1to4-2.1-RR'!$A$12:$BG$111,27,0),"")</f>
        <v/>
      </c>
      <c r="L4673" s="55">
        <f t="shared" si="166"/>
        <v>0</v>
      </c>
      <c r="M4673" s="56" t="str">
        <f>IF(F4654&gt;ENTRY!$D$24,"",IF(L4673=0,"Ab",IF(L4673&gt;80,"A",IF(L4673&gt;60,"B",IF(L4673&gt;44,"C",IF(L4673&gt;=33,"D",IF(L4673&lt;=32,"E","")))))))</f>
        <v/>
      </c>
      <c r="N4673" s="56"/>
      <c r="O4673" s="29"/>
      <c r="P4673" s="19"/>
      <c r="Q4673" s="14"/>
      <c r="R4673" s="11"/>
    </row>
    <row r="4674" s="1" customFormat="1" ht="21.95" customHeight="1" spans="1:19">
      <c r="A4674" s="7"/>
      <c r="B4674" s="12"/>
      <c r="C4674" s="33"/>
      <c r="D4674" s="117" t="s">
        <v>719</v>
      </c>
      <c r="E4674" s="117"/>
      <c r="F4674" s="117"/>
      <c r="G4674" s="54" t="str">
        <f>IFERROR(VLOOKUP(F4654,'1to4-2.1-RR'!$A$12:$BG$111,30,0),"")</f>
        <v/>
      </c>
      <c r="H4674" s="54" t="str">
        <f>IFERROR(VLOOKUP(F4654,'1to4-2.1-RR'!$A$12:$BG$111,31,0),"")</f>
        <v/>
      </c>
      <c r="I4674" s="54" t="str">
        <f>IFERROR(VLOOKUP(F4654,'1to4-2.1-RR'!$A$12:$BG$111,32,0),"")</f>
        <v/>
      </c>
      <c r="J4674" s="54" t="str">
        <f>IFERROR(VLOOKUP(F4654,'1to4-2.1-RR'!$A$12:$BG$111,33,0),"")</f>
        <v/>
      </c>
      <c r="K4674" s="54" t="str">
        <f>IFERROR(VLOOKUP(F4654,'1to4-2.1-RR'!$A$12:$BG$111,34,0),"")</f>
        <v/>
      </c>
      <c r="L4674" s="55">
        <f t="shared" si="166"/>
        <v>0</v>
      </c>
      <c r="M4674" s="56" t="str">
        <f>IF(F4654&gt;ENTRY!$D$24,"",IF(L4674=0,"Ab",IF(L4674&gt;80,"A",IF(L4674&gt;60,"B",IF(L4674&gt;44,"C",IF(L4674&gt;=33,"D",IF(L4674&lt;=32,"E","")))))))</f>
        <v/>
      </c>
      <c r="N4674" s="56"/>
      <c r="O4674" s="29"/>
      <c r="P4674" s="19"/>
      <c r="Q4674" s="14"/>
      <c r="R4674" s="11"/>
    </row>
    <row r="4675" s="1" customFormat="1" ht="21.95" customHeight="1" spans="1:19">
      <c r="A4675" s="7"/>
      <c r="B4675" s="12"/>
      <c r="C4675" s="33"/>
      <c r="D4675" s="117" t="s">
        <v>548</v>
      </c>
      <c r="E4675" s="117"/>
      <c r="F4675" s="117"/>
      <c r="G4675" s="54" t="str">
        <f>IFERROR(VLOOKUP(F4654,'1to4-2.1-RR'!$A$12:$BG$111,37,0),"")</f>
        <v/>
      </c>
      <c r="H4675" s="54" t="str">
        <f>IFERROR(VLOOKUP(F4654,'1to4-2.1-RR'!$A$12:$BG$111,38,0),"")</f>
        <v/>
      </c>
      <c r="I4675" s="54" t="str">
        <f>IFERROR(VLOOKUP(F4654,'1to4-2.1-RR'!$A$12:$BG$111,39,0),"")</f>
        <v/>
      </c>
      <c r="J4675" s="54" t="str">
        <f>IFERROR(VLOOKUP(F4654,'1to4-2.1-RR'!$A$12:$BG$111,40,0),"")</f>
        <v/>
      </c>
      <c r="K4675" s="54" t="str">
        <f>IFERROR(VLOOKUP(F4654,'1to4-2.1-RR'!$A$12:$BG$111,41,0),"")</f>
        <v/>
      </c>
      <c r="L4675" s="55">
        <f t="shared" si="166"/>
        <v>0</v>
      </c>
      <c r="M4675" s="56" t="str">
        <f>IF(F4654&gt;ENTRY!$D$24,"",IF(L4675=0,"Ab",IF(L4675&gt;80,"A",IF(L4675&gt;60,"B",IF(L4675&gt;44,"C",IF(L4675&gt;=33,"D",IF(L4675&lt;=32,"E","")))))))</f>
        <v/>
      </c>
      <c r="N4675" s="56"/>
      <c r="O4675" s="29"/>
      <c r="P4675" s="19"/>
      <c r="Q4675" s="14"/>
      <c r="R4675" s="11"/>
    </row>
    <row r="4676" s="1" customFormat="1" ht="21.95" customHeight="1" spans="1:19">
      <c r="A4676" s="7"/>
      <c r="B4676" s="12"/>
      <c r="C4676" s="33"/>
      <c r="D4676" s="117" t="s">
        <v>549</v>
      </c>
      <c r="E4676" s="117"/>
      <c r="F4676" s="117"/>
      <c r="G4676" s="54" t="str">
        <f>IFERROR(VLOOKUP(F4654,'1to4-2.1-RR'!$A$12:$BG$111,44,0),"")</f>
        <v/>
      </c>
      <c r="H4676" s="54" t="str">
        <f>IFERROR(VLOOKUP(F4654,'1to4-2.1-RR'!$A$12:$BG$111,45,0),"")</f>
        <v/>
      </c>
      <c r="I4676" s="54" t="str">
        <f>IFERROR(VLOOKUP(F4654,'1to4-2.1-RR'!$A$12:$BG$111,46,0),"")</f>
        <v/>
      </c>
      <c r="J4676" s="54" t="str">
        <f>IFERROR(VLOOKUP(F4654,'1to4-2.1-RR'!$A$12:$BG$111,47,0),"")</f>
        <v/>
      </c>
      <c r="K4676" s="54" t="str">
        <f>IFERROR(VLOOKUP(F4654,'1to4-2.1-RR'!$A$12:$BG$111,48,0),"")</f>
        <v/>
      </c>
      <c r="L4676" s="55">
        <f t="shared" si="166"/>
        <v>0</v>
      </c>
      <c r="M4676" s="56" t="str">
        <f>IF(F4654&gt;ENTRY!$D$24,"",IF(L4676=0,"Ab",IF(L4676&gt;80,"A",IF(L4676&gt;60,"B",IF(L4676&gt;44,"C",IF(L4676&gt;=33,"D",IF(L4676&lt;=32,"E","")))))))</f>
        <v/>
      </c>
      <c r="N4676" s="56"/>
      <c r="O4676" s="29"/>
      <c r="P4676" s="19"/>
      <c r="Q4676" s="14"/>
      <c r="R4676" s="11"/>
    </row>
    <row r="4677" s="1" customFormat="1" ht="21.95" customHeight="1" spans="1:19">
      <c r="A4677" s="7"/>
      <c r="B4677" s="12"/>
      <c r="C4677" s="33"/>
      <c r="D4677" s="117" t="s">
        <v>720</v>
      </c>
      <c r="E4677" s="117"/>
      <c r="F4677" s="117"/>
      <c r="G4677" s="54"/>
      <c r="H4677" s="54"/>
      <c r="I4677" s="54"/>
      <c r="J4677" s="54"/>
      <c r="K4677" s="54"/>
      <c r="L4677" s="55">
        <f t="shared" si="166"/>
        <v>0</v>
      </c>
      <c r="M4677" s="56" t="str">
        <f>IF(F4654&gt;ENTRY!$D$24,"",IF(L4677=0,"",IF(L4677&gt;79,"A",IF(L4677&gt;59,"B",IF(L4677&gt;44,"C",IF(L4677&gt;=33,"D",IF(L4677&lt;=32,"E","")))))))</f>
        <v/>
      </c>
      <c r="N4677" s="56"/>
      <c r="O4677" s="29"/>
      <c r="P4677" s="19"/>
      <c r="Q4677" s="14"/>
      <c r="R4677" s="11"/>
    </row>
    <row r="4678" s="1" customFormat="1" ht="21.95" customHeight="1" spans="1:19">
      <c r="A4678" s="7"/>
      <c r="B4678" s="12"/>
      <c r="C4678" s="33"/>
      <c r="D4678" s="207" t="s">
        <v>382</v>
      </c>
      <c r="E4678" s="207"/>
      <c r="F4678" s="207"/>
      <c r="G4678" s="54">
        <f t="shared" ref="G4678:L4678" si="167">IFERROR(SUM(G4671:G4677),"")</f>
        <v>0</v>
      </c>
      <c r="H4678" s="54">
        <f t="shared" si="167"/>
        <v>0</v>
      </c>
      <c r="I4678" s="54">
        <f t="shared" si="167"/>
        <v>0</v>
      </c>
      <c r="J4678" s="54">
        <f t="shared" si="167"/>
        <v>0</v>
      </c>
      <c r="K4678" s="54">
        <f t="shared" si="167"/>
        <v>0</v>
      </c>
      <c r="L4678" s="55">
        <f t="shared" si="167"/>
        <v>0</v>
      </c>
      <c r="M4678" s="61" t="str">
        <f>IF(F4654&gt;ENTRY!$D$24,"",IF(N4679="Ab","Ab",IF(N4679&gt;79.5,"A",IF(N4679&gt;59.5,"B",IF(N4679&gt;44.5,"C",IF(N4679&gt;=33,"D",IF(N4679&lt;33,"E","")))))))</f>
        <v/>
      </c>
      <c r="N4678" s="61"/>
      <c r="O4678" s="29"/>
      <c r="P4678" s="19"/>
      <c r="Q4678" s="14"/>
      <c r="R4678" s="11"/>
    </row>
    <row r="4679" s="1" customFormat="1" ht="21.95" customHeight="1" spans="1:19">
      <c r="A4679" s="7"/>
      <c r="B4679" s="12"/>
      <c r="C4679" s="33"/>
      <c r="D4679" s="63" t="s">
        <v>721</v>
      </c>
      <c r="E4679" s="63"/>
      <c r="F4679" s="63"/>
      <c r="G4679" s="63"/>
      <c r="H4679" s="63"/>
      <c r="I4679" s="63"/>
      <c r="J4679" s="63"/>
      <c r="K4679" s="63"/>
      <c r="L4679" s="63"/>
      <c r="M4679" s="209"/>
      <c r="N4679" s="64">
        <f>IF(L4678="Ab","Ab",L4678/6)</f>
        <v>0</v>
      </c>
      <c r="O4679" s="65"/>
      <c r="P4679" s="19"/>
      <c r="Q4679" s="14"/>
      <c r="R4679" s="11"/>
    </row>
    <row r="4680" s="1" customFormat="1" ht="21.95" customHeight="1" spans="1:19">
      <c r="A4680" s="7"/>
      <c r="B4680" s="12"/>
      <c r="C4680" s="33"/>
      <c r="D4680" s="29" t="s">
        <v>716</v>
      </c>
      <c r="E4680" s="18" t="str">
        <f>IFERROR(VLOOKUP(F4654,'1to4-2.1-RR'!$A$12:$BG$111,57,0),"")</f>
        <v/>
      </c>
      <c r="F4680" s="18"/>
      <c r="G4680" s="18"/>
      <c r="H4680" s="18"/>
      <c r="I4680" s="18"/>
      <c r="J4680" s="18"/>
      <c r="K4680" s="18"/>
      <c r="L4680" s="18"/>
      <c r="M4680" s="18"/>
      <c r="N4680" s="29"/>
      <c r="O4680" s="29"/>
      <c r="P4680" s="19"/>
      <c r="Q4680" s="14"/>
      <c r="R4680" s="11"/>
    </row>
    <row r="4681" s="1" customFormat="1" ht="9.95" customHeight="1" spans="1:19">
      <c r="A4681" s="7"/>
      <c r="B4681" s="12"/>
      <c r="C4681" s="39"/>
      <c r="D4681" s="40"/>
      <c r="E4681" s="40"/>
      <c r="F4681" s="40"/>
      <c r="G4681" s="40"/>
      <c r="H4681" s="40"/>
      <c r="I4681" s="40"/>
      <c r="J4681" s="40"/>
      <c r="K4681" s="40"/>
      <c r="L4681" s="40"/>
      <c r="M4681" s="40"/>
      <c r="N4681" s="40"/>
      <c r="O4681" s="40"/>
      <c r="P4681" s="41"/>
      <c r="Q4681" s="14"/>
      <c r="R4681" s="11"/>
    </row>
    <row r="4682" s="1" customFormat="1" ht="9.95" customHeight="1" spans="1:19">
      <c r="A4682" s="7"/>
      <c r="B4682" s="12"/>
      <c r="C4682" s="30"/>
      <c r="D4682" s="31"/>
      <c r="E4682" s="31"/>
      <c r="F4682" s="29"/>
      <c r="G4682" s="31"/>
      <c r="H4682" s="31"/>
      <c r="I4682" s="31"/>
      <c r="J4682" s="31"/>
      <c r="K4682" s="31"/>
      <c r="L4682" s="31"/>
      <c r="M4682" s="31"/>
      <c r="N4682" s="31"/>
      <c r="O4682" s="31"/>
      <c r="P4682" s="32"/>
      <c r="Q4682" s="14"/>
      <c r="R4682" s="11"/>
    </row>
    <row r="4683" s="1" customFormat="1" ht="9.95" customHeight="1" spans="1:19">
      <c r="A4683" s="7"/>
      <c r="B4683" s="12"/>
      <c r="C4683" s="33"/>
      <c r="D4683" s="29"/>
      <c r="E4683" s="29"/>
      <c r="F4683" s="29"/>
      <c r="G4683" s="29"/>
      <c r="H4683" s="29"/>
      <c r="I4683" s="29"/>
      <c r="J4683" s="29"/>
      <c r="K4683" s="29"/>
      <c r="L4683" s="29"/>
      <c r="M4683" s="29"/>
      <c r="N4683" s="29"/>
      <c r="O4683" s="29"/>
      <c r="P4683" s="19"/>
      <c r="Q4683" s="14"/>
      <c r="R4683" s="11"/>
    </row>
    <row r="4684" s="1" customFormat="1" ht="9.95" customHeight="1" spans="1:19">
      <c r="A4684" s="7"/>
      <c r="B4684" s="12"/>
      <c r="C4684" s="33"/>
      <c r="D4684" s="29"/>
      <c r="E4684" s="29"/>
      <c r="F4684" s="29"/>
      <c r="G4684" s="29"/>
      <c r="H4684" s="29"/>
      <c r="I4684" s="29"/>
      <c r="J4684" s="29"/>
      <c r="K4684" s="29"/>
      <c r="L4684" s="29"/>
      <c r="M4684" s="29"/>
      <c r="N4684" s="29"/>
      <c r="O4684" s="29"/>
      <c r="P4684" s="19"/>
      <c r="Q4684" s="14"/>
      <c r="R4684" s="11"/>
    </row>
    <row r="4685" s="1" customFormat="1" ht="21.95" customHeight="1" spans="1:19">
      <c r="A4685" s="7"/>
      <c r="B4685" s="12"/>
      <c r="C4685" s="210"/>
      <c r="D4685" s="211"/>
      <c r="E4685" s="211"/>
      <c r="F4685" s="211"/>
      <c r="G4685" s="211"/>
      <c r="H4685" s="211"/>
      <c r="I4685" s="211"/>
      <c r="J4685" s="211"/>
      <c r="K4685" s="211"/>
      <c r="L4685" s="211"/>
      <c r="M4685" s="211"/>
      <c r="N4685" s="211"/>
      <c r="O4685" s="211"/>
      <c r="P4685" s="212"/>
      <c r="Q4685" s="14"/>
      <c r="R4685" s="11"/>
      <c r="S4685" s="2"/>
    </row>
    <row r="4686" s="1" customFormat="1" ht="21.95" customHeight="1" spans="1:19">
      <c r="A4686" s="7"/>
      <c r="B4686" s="12"/>
      <c r="C4686" s="33"/>
      <c r="D4686" s="207" t="s">
        <v>722</v>
      </c>
      <c r="E4686" s="207"/>
      <c r="F4686" s="207"/>
      <c r="G4686" s="207"/>
      <c r="H4686" s="54">
        <f>IFERROR(VLOOKUP(F4654,PASHEET!$A$4:$CJ$103,88,0),"")</f>
        <v>0</v>
      </c>
      <c r="I4686" s="54"/>
      <c r="J4686" s="29"/>
      <c r="K4686" s="29"/>
      <c r="L4686" s="29"/>
      <c r="M4686" s="29"/>
      <c r="N4686" s="29"/>
      <c r="O4686" s="29"/>
      <c r="P4686" s="19"/>
      <c r="Q4686" s="14"/>
      <c r="R4686" s="11"/>
    </row>
    <row r="4687" s="1" customFormat="1" ht="21.95" customHeight="1" spans="1:19">
      <c r="A4687" s="7"/>
      <c r="B4687" s="12"/>
      <c r="C4687" s="213"/>
      <c r="D4687" s="207" t="s">
        <v>723</v>
      </c>
      <c r="E4687" s="207"/>
      <c r="F4687" s="207"/>
      <c r="G4687" s="207"/>
      <c r="H4687" s="54">
        <f>IFERROR(VLOOKUP(F4654,PASHEET!$A$4:$CJ$103,87,0),"")</f>
        <v>0</v>
      </c>
      <c r="I4687" s="54"/>
      <c r="J4687" s="214"/>
      <c r="K4687" s="214"/>
      <c r="L4687" s="207" t="s">
        <v>724</v>
      </c>
      <c r="M4687" s="207"/>
      <c r="N4687" s="117" t="str">
        <f>IF(F4654&gt;ENTRY!$D$24,"",IF(F4654&gt;0,L4678&amp;" / "&amp;600,""))</f>
        <v/>
      </c>
      <c r="O4687" s="117"/>
      <c r="P4687" s="215"/>
      <c r="Q4687" s="14"/>
      <c r="R4687" s="11"/>
    </row>
    <row r="4688" s="1" customFormat="1" ht="18" customHeight="1" spans="1:19">
      <c r="A4688" s="7"/>
      <c r="B4688" s="12"/>
      <c r="C4688" s="33"/>
      <c r="D4688" s="207" t="s">
        <v>725</v>
      </c>
      <c r="E4688" s="207"/>
      <c r="F4688" s="207"/>
      <c r="G4688" s="207"/>
      <c r="H4688" s="69" t="str">
        <f>IFERROR(IF(F4654&gt;0,H4687/H4686*100),"")</f>
        <v/>
      </c>
      <c r="I4688" s="69"/>
      <c r="J4688" s="29"/>
      <c r="K4688" s="29"/>
      <c r="L4688" s="207" t="s">
        <v>726</v>
      </c>
      <c r="M4688" s="207"/>
      <c r="N4688" s="216" t="str">
        <f>IF(F4654&gt;ENTRY!$D$24,"",IF(F4654&gt;0,L4678/600*100,""))</f>
        <v/>
      </c>
      <c r="O4688" s="216"/>
      <c r="P4688" s="19"/>
      <c r="Q4688" s="14"/>
      <c r="R4688" s="11"/>
    </row>
    <row r="4689" s="1" customFormat="1" ht="21.95" customHeight="1" spans="1:18">
      <c r="A4689" s="7"/>
      <c r="B4689" s="12"/>
      <c r="C4689" s="33"/>
      <c r="D4689" s="80"/>
      <c r="E4689" s="80"/>
      <c r="F4689" s="217"/>
      <c r="G4689" s="217"/>
      <c r="H4689" s="217"/>
      <c r="I4689" s="217"/>
      <c r="J4689" s="217"/>
      <c r="K4689" s="217"/>
      <c r="L4689" s="217"/>
      <c r="M4689" s="217"/>
      <c r="N4689" s="80"/>
      <c r="O4689" s="80"/>
      <c r="P4689" s="19"/>
      <c r="Q4689" s="14"/>
      <c r="R4689" s="11"/>
    </row>
    <row r="4690" s="1" customFormat="1" ht="21.95" customHeight="1" spans="1:18">
      <c r="A4690" s="7"/>
      <c r="B4690" s="12"/>
      <c r="C4690" s="33"/>
      <c r="D4690" s="80"/>
      <c r="E4690" s="218"/>
      <c r="F4690" s="218"/>
      <c r="G4690" s="218"/>
      <c r="H4690" s="80"/>
      <c r="I4690" s="218"/>
      <c r="J4690" s="218"/>
      <c r="K4690" s="218"/>
      <c r="L4690" s="218"/>
      <c r="M4690" s="80"/>
      <c r="N4690" s="219"/>
      <c r="O4690" s="219"/>
      <c r="P4690" s="19"/>
      <c r="Q4690" s="14"/>
      <c r="R4690" s="11"/>
    </row>
    <row r="4691" s="1" customFormat="1" ht="21.95" customHeight="1" spans="1:18">
      <c r="A4691" s="7"/>
      <c r="B4691" s="12"/>
      <c r="C4691" s="33"/>
      <c r="D4691" s="80"/>
      <c r="E4691" s="80"/>
      <c r="F4691" s="80"/>
      <c r="G4691" s="80"/>
      <c r="H4691" s="80"/>
      <c r="I4691" s="80"/>
      <c r="J4691" s="80"/>
      <c r="K4691" s="80"/>
      <c r="L4691" s="80"/>
      <c r="M4691" s="80"/>
      <c r="N4691" s="80"/>
      <c r="O4691" s="80"/>
      <c r="P4691" s="19"/>
      <c r="Q4691" s="14"/>
      <c r="R4691" s="11"/>
    </row>
    <row r="4692" s="1" customFormat="1" ht="21.95" customHeight="1" spans="1:18">
      <c r="A4692" s="7"/>
      <c r="B4692" s="12"/>
      <c r="C4692" s="33"/>
      <c r="D4692" s="218"/>
      <c r="E4692" s="218"/>
      <c r="F4692" s="218"/>
      <c r="G4692" s="218"/>
      <c r="H4692" s="218"/>
      <c r="I4692" s="218"/>
      <c r="J4692" s="218"/>
      <c r="K4692" s="218"/>
      <c r="L4692" s="218"/>
      <c r="M4692" s="80"/>
      <c r="N4692" s="217"/>
      <c r="O4692" s="217"/>
      <c r="P4692" s="85" t="s">
        <v>727</v>
      </c>
      <c r="Q4692" s="14"/>
      <c r="R4692" s="11"/>
    </row>
    <row r="4693" s="1" customFormat="1" ht="21.95" customHeight="1" spans="1:18">
      <c r="A4693" s="7"/>
      <c r="B4693" s="12"/>
      <c r="C4693" s="33"/>
      <c r="D4693" s="29"/>
      <c r="E4693" s="29"/>
      <c r="F4693" s="29"/>
      <c r="G4693" s="29"/>
      <c r="H4693" s="29"/>
      <c r="I4693" s="29"/>
      <c r="J4693" s="29"/>
      <c r="K4693" s="29"/>
      <c r="L4693" s="29"/>
      <c r="M4693" s="29"/>
      <c r="N4693" s="29"/>
      <c r="O4693" s="29"/>
      <c r="P4693" s="19"/>
      <c r="Q4693" s="14"/>
      <c r="R4693" s="11"/>
    </row>
    <row r="4694" s="1" customFormat="1" ht="21.95" customHeight="1" spans="1:18">
      <c r="A4694" s="7"/>
      <c r="B4694" s="12"/>
      <c r="C4694" s="33"/>
      <c r="D4694" s="29"/>
      <c r="E4694" s="29"/>
      <c r="F4694" s="29"/>
      <c r="G4694" s="29"/>
      <c r="H4694" s="29"/>
      <c r="I4694" s="29"/>
      <c r="J4694" s="29"/>
      <c r="K4694" s="29"/>
      <c r="L4694" s="29"/>
      <c r="M4694" s="29"/>
      <c r="N4694" s="29"/>
      <c r="O4694" s="29"/>
      <c r="P4694" s="19"/>
      <c r="Q4694" s="14"/>
      <c r="R4694" s="11"/>
    </row>
    <row r="4695" s="1" customFormat="1" ht="21.95" customHeight="1" spans="1:18">
      <c r="A4695" s="7"/>
      <c r="B4695" s="12"/>
      <c r="C4695" s="33"/>
      <c r="D4695" s="29"/>
      <c r="E4695" s="29"/>
      <c r="F4695" s="29"/>
      <c r="G4695" s="29"/>
      <c r="H4695" s="29"/>
      <c r="I4695" s="29"/>
      <c r="J4695" s="29"/>
      <c r="K4695" s="29"/>
      <c r="L4695" s="29"/>
      <c r="M4695" s="29"/>
      <c r="N4695" s="29"/>
      <c r="O4695" s="29"/>
      <c r="P4695" s="19"/>
      <c r="Q4695" s="14"/>
      <c r="R4695" s="11"/>
    </row>
    <row r="4696" s="1" customFormat="1" ht="21.95" customHeight="1" spans="1:18">
      <c r="A4696" s="7"/>
      <c r="B4696" s="12"/>
      <c r="C4696" s="33"/>
      <c r="D4696" s="29"/>
      <c r="E4696" s="29"/>
      <c r="F4696" s="29"/>
      <c r="G4696" s="29"/>
      <c r="H4696" s="29"/>
      <c r="I4696" s="29"/>
      <c r="J4696" s="29"/>
      <c r="K4696" s="29"/>
      <c r="L4696" s="29"/>
      <c r="M4696" s="29"/>
      <c r="N4696" s="29"/>
      <c r="O4696" s="29"/>
      <c r="P4696" s="19"/>
      <c r="Q4696" s="14"/>
      <c r="R4696" s="11"/>
    </row>
    <row r="4697" s="1" customFormat="1" ht="21.95" customHeight="1" spans="1:18">
      <c r="A4697" s="7"/>
      <c r="B4697" s="12"/>
      <c r="C4697" s="33"/>
      <c r="D4697" s="29"/>
      <c r="E4697" s="29"/>
      <c r="F4697" s="29"/>
      <c r="G4697" s="29"/>
      <c r="H4697" s="29"/>
      <c r="I4697" s="29"/>
      <c r="J4697" s="29"/>
      <c r="K4697" s="29"/>
      <c r="L4697" s="29"/>
      <c r="M4697" s="29"/>
      <c r="N4697" s="29"/>
      <c r="O4697" s="29"/>
      <c r="P4697" s="19"/>
      <c r="Q4697" s="14"/>
      <c r="R4697" s="11"/>
    </row>
    <row r="4698" s="1" customFormat="1" ht="21.95" customHeight="1" spans="1:18">
      <c r="A4698" s="7"/>
      <c r="B4698" s="12"/>
      <c r="C4698" s="33"/>
      <c r="D4698" s="80" t="s">
        <v>728</v>
      </c>
      <c r="E4698" s="220">
        <f>ENTRY!$D$27</f>
        <v>46102</v>
      </c>
      <c r="F4698" s="220"/>
      <c r="G4698" s="29"/>
      <c r="H4698" s="29"/>
      <c r="I4698" s="221" t="s">
        <v>729</v>
      </c>
      <c r="J4698" s="153"/>
      <c r="K4698" s="29"/>
      <c r="L4698" s="29"/>
      <c r="M4698" s="87" t="s">
        <v>730</v>
      </c>
      <c r="N4698" s="87"/>
      <c r="O4698" s="87"/>
      <c r="P4698" s="19"/>
      <c r="Q4698" s="14"/>
      <c r="R4698" s="11"/>
    </row>
    <row r="4699" s="1" customFormat="1" ht="21.95" customHeight="1" spans="1:18">
      <c r="A4699" s="7"/>
      <c r="B4699" s="12"/>
      <c r="C4699" s="33"/>
      <c r="D4699" s="80" t="s">
        <v>731</v>
      </c>
      <c r="E4699" s="88" t="str">
        <f>PROPER(ENTRY!$D$28)</f>
        <v>New Delhi</v>
      </c>
      <c r="F4699" s="88"/>
      <c r="G4699" s="29"/>
      <c r="H4699" s="29"/>
      <c r="I4699" s="153"/>
      <c r="J4699" s="153"/>
      <c r="K4699" s="29"/>
      <c r="L4699" s="29"/>
      <c r="M4699" s="79" t="s">
        <v>732</v>
      </c>
      <c r="N4699" s="79"/>
      <c r="O4699" s="79"/>
      <c r="P4699" s="19"/>
      <c r="Q4699" s="14"/>
      <c r="R4699" s="11"/>
    </row>
    <row r="4700" s="1" customFormat="1" ht="21.95" customHeight="1" spans="1:18">
      <c r="A4700" s="7"/>
      <c r="B4700" s="12"/>
      <c r="C4700" s="90"/>
      <c r="D4700" s="91"/>
      <c r="E4700" s="91"/>
      <c r="F4700" s="91"/>
      <c r="G4700" s="91"/>
      <c r="H4700" s="91"/>
      <c r="I4700" s="91"/>
      <c r="J4700" s="91"/>
      <c r="K4700" s="91"/>
      <c r="L4700" s="91"/>
      <c r="M4700" s="91"/>
      <c r="N4700" s="91"/>
      <c r="O4700" s="91"/>
      <c r="P4700" s="92"/>
      <c r="Q4700" s="14"/>
      <c r="R4700" s="11"/>
    </row>
    <row r="4701" s="1" customFormat="1" ht="5.1" customHeight="1" spans="1:18">
      <c r="A4701" s="7"/>
      <c r="B4701" s="90"/>
      <c r="C4701" s="91"/>
      <c r="D4701" s="91"/>
      <c r="E4701" s="91"/>
      <c r="F4701" s="91"/>
      <c r="G4701" s="91"/>
      <c r="H4701" s="91"/>
      <c r="I4701" s="91"/>
      <c r="J4701" s="91"/>
      <c r="K4701" s="91"/>
      <c r="L4701" s="91"/>
      <c r="M4701" s="91"/>
      <c r="N4701" s="91"/>
      <c r="O4701" s="91"/>
      <c r="P4701" s="91"/>
      <c r="Q4701" s="92"/>
      <c r="R4701" s="11"/>
    </row>
    <row r="4702" s="1" customFormat="1" ht="5.1" customHeight="1" spans="1:18">
      <c r="A4702" s="93"/>
      <c r="B4702" s="94"/>
      <c r="C4702" s="94"/>
      <c r="D4702" s="94"/>
      <c r="E4702" s="94"/>
      <c r="F4702" s="94"/>
      <c r="G4702" s="94"/>
      <c r="H4702" s="94"/>
      <c r="I4702" s="94"/>
      <c r="J4702" s="94"/>
      <c r="K4702" s="94"/>
      <c r="L4702" s="94"/>
      <c r="M4702" s="94"/>
      <c r="N4702" s="94"/>
      <c r="O4702" s="94"/>
      <c r="P4702" s="94"/>
      <c r="Q4702" s="94"/>
      <c r="R4702" s="95"/>
    </row>
    <row r="4703" s="1" customFormat="1" ht="21.95" customHeight="1"/>
    <row r="4704" ht="15.15"/>
    <row r="4705" s="1" customFormat="1" ht="5.1" customHeight="1" spans="1:18">
      <c r="A4705" s="4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5"/>
      <c r="O4705" s="5"/>
      <c r="P4705" s="5"/>
      <c r="Q4705" s="5"/>
      <c r="R4705" s="6"/>
    </row>
    <row r="4706" s="1" customFormat="1" ht="15" customHeight="1" spans="1:18">
      <c r="A4706" s="7"/>
      <c r="B4706" s="8"/>
      <c r="C4706" s="9"/>
      <c r="D4706" s="9"/>
      <c r="E4706" s="9"/>
      <c r="F4706" s="9"/>
      <c r="G4706" s="9"/>
      <c r="H4706" s="9"/>
      <c r="I4706" s="9"/>
      <c r="J4706" s="9"/>
      <c r="K4706" s="9"/>
      <c r="L4706" s="9"/>
      <c r="M4706" s="9"/>
      <c r="N4706" s="9"/>
      <c r="O4706" s="9"/>
      <c r="P4706" s="9"/>
      <c r="Q4706" s="10"/>
      <c r="R4706" s="11"/>
    </row>
    <row r="4707" s="1" customFormat="1" ht="21.95" customHeight="1" spans="1:18">
      <c r="A4707" s="7"/>
      <c r="B4707" s="12"/>
      <c r="C4707" s="13" t="s">
        <v>7</v>
      </c>
      <c r="D4707" s="13"/>
      <c r="E4707" s="13"/>
      <c r="F4707" s="13"/>
      <c r="G4707" s="13"/>
      <c r="H4707" s="13"/>
      <c r="I4707" s="13"/>
      <c r="J4707" s="13"/>
      <c r="K4707" s="13"/>
      <c r="L4707" s="13"/>
      <c r="M4707" s="13"/>
      <c r="N4707" s="13"/>
      <c r="O4707" s="13"/>
      <c r="P4707" s="13"/>
      <c r="Q4707" s="14"/>
      <c r="R4707" s="11"/>
    </row>
    <row r="4708" s="1" customFormat="1" ht="21.95" customHeight="1" spans="1:18">
      <c r="A4708" s="7"/>
      <c r="B4708" s="1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14"/>
      <c r="R4708" s="11"/>
    </row>
    <row r="4709" s="1" customFormat="1" ht="21.95" customHeight="1" spans="1:18">
      <c r="A4709" s="7"/>
      <c r="B4709" s="12"/>
      <c r="C4709" s="15" t="str">
        <f>"SESSION-"&amp;ENTRY!$D$11</f>
        <v>SESSION-2026-27</v>
      </c>
      <c r="D4709" s="15"/>
      <c r="E4709" s="15"/>
      <c r="F4709" s="15"/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  <c r="Q4709" s="14"/>
      <c r="R4709" s="11"/>
    </row>
    <row r="4710" s="1" customFormat="1" ht="21.95" customHeight="1" spans="1:18">
      <c r="A4710" s="7"/>
      <c r="B4710" s="12"/>
      <c r="C4710" s="2"/>
      <c r="D4710" s="2"/>
      <c r="E4710" s="2"/>
      <c r="F4710" s="16">
        <f>F4654+1</f>
        <v>85</v>
      </c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14"/>
      <c r="R4710" s="11"/>
    </row>
    <row r="4711" s="1" customFormat="1" ht="21.95" customHeight="1" spans="1:18">
      <c r="A4711" s="7"/>
      <c r="B4711" s="12"/>
      <c r="C4711" s="17" t="s">
        <v>392</v>
      </c>
      <c r="D4711" s="17"/>
      <c r="E4711" s="17"/>
      <c r="F4711" s="18" t="str">
        <f>IF(F4710&gt;0,ENTRY!$D$6,"")</f>
        <v>MCP NITHARI NO 1 BOYS</v>
      </c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4"/>
      <c r="R4711" s="11"/>
    </row>
    <row r="4712" s="1" customFormat="1" ht="21.95" customHeight="1" spans="1:18">
      <c r="A4712" s="7"/>
      <c r="B4712" s="12"/>
      <c r="C4712" s="17" t="s">
        <v>393</v>
      </c>
      <c r="D4712" s="17"/>
      <c r="E4712" s="17"/>
      <c r="F4712" s="18">
        <f>IF(F4710&gt;0,ENTRY!$D$7,"")</f>
        <v>0</v>
      </c>
      <c r="G4712" s="18"/>
      <c r="H4712" s="20" t="s">
        <v>702</v>
      </c>
      <c r="I4712" s="20"/>
      <c r="J4712" s="21">
        <f>IF(F4710&gt;0,ENTRY!$D$10,"")</f>
        <v>40</v>
      </c>
      <c r="K4712" s="20" t="s">
        <v>703</v>
      </c>
      <c r="L4712" s="22" t="str">
        <f>IF(F4710&gt;0,ENTRY!$D$5,"")</f>
        <v>ROHINI ZONE</v>
      </c>
      <c r="M4712" s="22"/>
      <c r="N4712" s="22"/>
      <c r="O4712" s="22"/>
      <c r="P4712" s="22"/>
      <c r="Q4712" s="14"/>
      <c r="R4712" s="11"/>
    </row>
    <row r="4713" s="1" customFormat="1" ht="21.95" customHeight="1" spans="1:18">
      <c r="A4713" s="7"/>
      <c r="B4713" s="12"/>
      <c r="C4713" s="17" t="s">
        <v>706</v>
      </c>
      <c r="D4713" s="17"/>
      <c r="E4713" s="17"/>
      <c r="F4713" s="23">
        <f>IFERROR(VLOOKUP(F4710,STUDENT!$A$2:$BP$101,5,0),"")</f>
        <v>0</v>
      </c>
      <c r="G4713" s="23"/>
      <c r="H4713" s="23"/>
      <c r="I4713" s="23"/>
      <c r="J4713" s="23"/>
      <c r="K4713" s="23"/>
      <c r="L4713" s="20" t="s">
        <v>707</v>
      </c>
      <c r="M4713" s="20"/>
      <c r="N4713" s="24" t="str">
        <f>IF(F4710&gt;0,ENTRY!$D$20&amp;"-"&amp;ENTRY!$D$21,"")</f>
        <v>III-A</v>
      </c>
      <c r="O4713" s="24"/>
      <c r="P4713" s="24"/>
      <c r="Q4713" s="14"/>
      <c r="R4713" s="11"/>
    </row>
    <row r="4714" s="1" customFormat="1" ht="21.95" customHeight="1" spans="1:18">
      <c r="A4714" s="7"/>
      <c r="B4714" s="12"/>
      <c r="C4714" s="17" t="s">
        <v>708</v>
      </c>
      <c r="D4714" s="17"/>
      <c r="E4714" s="17"/>
      <c r="F4714" s="25">
        <f>IFERROR(VLOOKUP(F4710,STUDENT!$A$2:$BP$101,6,0),"")</f>
        <v>0</v>
      </c>
      <c r="G4714" s="25"/>
      <c r="H4714" s="26" t="s">
        <v>709</v>
      </c>
      <c r="I4714" s="27" t="str">
        <f>IFERROR(VLOOKUP(F4710,STUDENT!$A$2:$BP$101,59,0),"")</f>
        <v/>
      </c>
      <c r="J4714" s="27"/>
      <c r="K4714" s="20" t="s">
        <v>710</v>
      </c>
      <c r="L4714" s="20"/>
      <c r="M4714" s="28">
        <f>IFERROR(VLOOKUP(F4710,STUDENT!$A$2:$BP$101,20,0),"")</f>
        <v>0</v>
      </c>
      <c r="N4714" s="28"/>
      <c r="O4714" s="28"/>
      <c r="P4714" s="28"/>
      <c r="Q4714" s="14"/>
      <c r="R4714" s="11"/>
    </row>
    <row r="4715" s="1" customFormat="1" ht="21.95" customHeight="1" spans="1:18">
      <c r="A4715" s="7"/>
      <c r="B4715" s="12"/>
      <c r="C4715" s="17" t="s">
        <v>711</v>
      </c>
      <c r="D4715" s="17"/>
      <c r="E4715" s="17"/>
      <c r="F4715" s="23">
        <f>IFERROR(VLOOKUP(F4710,STUDENT!$A$2:$BP$101,9,0),"")</f>
        <v>0</v>
      </c>
      <c r="G4715" s="23"/>
      <c r="H4715" s="23"/>
      <c r="I4715" s="23"/>
      <c r="J4715" s="17" t="s">
        <v>620</v>
      </c>
      <c r="K4715" s="17"/>
      <c r="L4715" s="23">
        <f>IFERROR(VLOOKUP(F4710,STUDENT!$A$2:$BP$101,8,0),"")</f>
        <v>0</v>
      </c>
      <c r="M4715" s="23"/>
      <c r="N4715" s="23"/>
      <c r="O4715" s="23"/>
      <c r="P4715" s="23"/>
      <c r="Q4715" s="14"/>
      <c r="R4715" s="11"/>
    </row>
    <row r="4716" s="1" customFormat="1" ht="21.95" customHeight="1" spans="1:18">
      <c r="A4716" s="7"/>
      <c r="B4716" s="12"/>
      <c r="C4716" s="17" t="s">
        <v>712</v>
      </c>
      <c r="D4716" s="17"/>
      <c r="E4716" s="17"/>
      <c r="F4716" s="23">
        <f>IFERROR(VLOOKUP(F4710,STUDENT!$A$2:$BP$101,22,0),"")</f>
        <v>0</v>
      </c>
      <c r="G4716" s="23"/>
      <c r="H4716" s="23"/>
      <c r="I4716" s="23"/>
      <c r="J4716" s="23"/>
      <c r="K4716" s="23"/>
      <c r="L4716" s="23"/>
      <c r="M4716" s="23"/>
      <c r="N4716" s="23"/>
      <c r="O4716" s="23"/>
      <c r="P4716" s="23"/>
      <c r="Q4716" s="14"/>
      <c r="R4716" s="11"/>
    </row>
    <row r="4717" s="1" customFormat="1" ht="9.95" customHeight="1" spans="1:18">
      <c r="A4717" s="7"/>
      <c r="B4717" s="12"/>
      <c r="C4717" s="29"/>
      <c r="D4717" s="29"/>
      <c r="E4717" s="29"/>
      <c r="F4717" s="29"/>
      <c r="G4717" s="29"/>
      <c r="H4717" s="29"/>
      <c r="I4717" s="29"/>
      <c r="J4717" s="29"/>
      <c r="K4717" s="29"/>
      <c r="L4717" s="29"/>
      <c r="M4717" s="29"/>
      <c r="N4717" s="29"/>
      <c r="O4717" s="29"/>
      <c r="P4717" s="29"/>
      <c r="Q4717" s="14"/>
      <c r="R4717" s="11"/>
    </row>
    <row r="4718" s="1" customFormat="1" ht="9.95" customHeight="1" spans="1:18">
      <c r="A4718" s="7"/>
      <c r="B4718" s="12"/>
      <c r="C4718" s="30"/>
      <c r="D4718" s="31"/>
      <c r="E4718" s="31"/>
      <c r="F4718" s="31"/>
      <c r="G4718" s="31"/>
      <c r="H4718" s="31"/>
      <c r="I4718" s="31"/>
      <c r="J4718" s="31"/>
      <c r="K4718" s="31"/>
      <c r="L4718" s="31"/>
      <c r="M4718" s="31"/>
      <c r="N4718" s="31"/>
      <c r="O4718" s="31"/>
      <c r="P4718" s="32"/>
      <c r="Q4718" s="14"/>
      <c r="R4718" s="11"/>
    </row>
    <row r="4719" s="1" customFormat="1" ht="21.95" customHeight="1" spans="1:18">
      <c r="A4719" s="7"/>
      <c r="B4719" s="12"/>
      <c r="C4719" s="33"/>
      <c r="D4719" s="34" t="s">
        <v>713</v>
      </c>
      <c r="E4719" s="20" t="s">
        <v>714</v>
      </c>
      <c r="F4719" s="35" t="str">
        <f>"Level - "&amp;IFERROR(VLOOKUP(F4710,FLN!$A$4:$K$103,9,0),"")</f>
        <v>Level - </v>
      </c>
      <c r="G4719" s="36"/>
      <c r="H4719" s="37" t="s">
        <v>715</v>
      </c>
      <c r="I4719" s="20"/>
      <c r="J4719" s="35" t="str">
        <f>"Level - "&amp;IFERROR(VLOOKUP(F4710,FLN!$A$4:$K$103,11,0),"")</f>
        <v>Level - </v>
      </c>
      <c r="K4719" s="36"/>
      <c r="L4719" s="37" t="s">
        <v>408</v>
      </c>
      <c r="M4719" s="20"/>
      <c r="N4719" s="35" t="str">
        <f>"Level - "&amp;IFERROR(VLOOKUP(F4710,FLN!$A$4:$K$103,10,0),"")</f>
        <v>Level - </v>
      </c>
      <c r="O4719" s="36"/>
      <c r="P4719" s="19"/>
      <c r="Q4719" s="14"/>
      <c r="R4719" s="11"/>
    </row>
    <row r="4720" s="1" customFormat="1" ht="21.95" customHeight="1" spans="1:18">
      <c r="A4720" s="7"/>
      <c r="B4720" s="12"/>
      <c r="C4720" s="33"/>
      <c r="D4720" s="38"/>
      <c r="E4720" s="20" t="s">
        <v>716</v>
      </c>
      <c r="F4720" s="18" t="str">
        <f>IF(L4734&gt;197,"PERFORMED WELL","")</f>
        <v/>
      </c>
      <c r="G4720" s="18"/>
      <c r="H4720" s="18"/>
      <c r="I4720" s="18"/>
      <c r="J4720" s="18"/>
      <c r="K4720" s="18"/>
      <c r="L4720" s="18"/>
      <c r="M4720" s="18"/>
      <c r="N4720" s="18"/>
      <c r="O4720" s="18"/>
      <c r="P4720" s="19"/>
      <c r="Q4720" s="14"/>
      <c r="R4720" s="11"/>
    </row>
    <row r="4721" s="1" customFormat="1" ht="9.95" customHeight="1" spans="1:18">
      <c r="A4721" s="7"/>
      <c r="B4721" s="12"/>
      <c r="C4721" s="39"/>
      <c r="D4721" s="40"/>
      <c r="E4721" s="40"/>
      <c r="F4721" s="40"/>
      <c r="G4721" s="40"/>
      <c r="H4721" s="40"/>
      <c r="I4721" s="40"/>
      <c r="J4721" s="40"/>
      <c r="K4721" s="40"/>
      <c r="L4721" s="40"/>
      <c r="M4721" s="40"/>
      <c r="N4721" s="40"/>
      <c r="O4721" s="40"/>
      <c r="P4721" s="41"/>
      <c r="Q4721" s="14"/>
      <c r="R4721" s="11"/>
    </row>
    <row r="4722" s="1" customFormat="1" ht="9.95" customHeight="1" spans="1:18">
      <c r="A4722" s="7"/>
      <c r="B4722" s="12"/>
      <c r="C4722" s="29"/>
      <c r="D4722" s="29"/>
      <c r="E4722" s="29"/>
      <c r="F4722" s="29"/>
      <c r="G4722" s="29"/>
      <c r="H4722" s="29"/>
      <c r="I4722" s="29"/>
      <c r="J4722" s="29"/>
      <c r="K4722" s="29"/>
      <c r="L4722" s="29"/>
      <c r="M4722" s="29"/>
      <c r="N4722" s="29"/>
      <c r="O4722" s="29"/>
      <c r="P4722" s="29"/>
      <c r="Q4722" s="14"/>
      <c r="R4722" s="11"/>
    </row>
    <row r="4723" s="1" customFormat="1" ht="9.95" customHeight="1" spans="1:18">
      <c r="A4723" s="7"/>
      <c r="B4723" s="12"/>
      <c r="C4723" s="30"/>
      <c r="D4723" s="31"/>
      <c r="E4723" s="31"/>
      <c r="F4723" s="31"/>
      <c r="G4723" s="31"/>
      <c r="H4723" s="31"/>
      <c r="I4723" s="31"/>
      <c r="J4723" s="31"/>
      <c r="K4723" s="31"/>
      <c r="L4723" s="31"/>
      <c r="M4723" s="31"/>
      <c r="N4723" s="31"/>
      <c r="O4723" s="31"/>
      <c r="P4723" s="32"/>
      <c r="Q4723" s="14"/>
      <c r="R4723" s="11"/>
    </row>
    <row r="4724" s="1" customFormat="1" ht="21.95" customHeight="1" spans="1:18">
      <c r="A4724" s="7"/>
      <c r="B4724" s="12"/>
      <c r="C4724" s="33"/>
      <c r="D4724" s="35"/>
      <c r="E4724" s="24"/>
      <c r="F4724" s="24"/>
      <c r="G4724" s="47" t="s">
        <v>717</v>
      </c>
      <c r="H4724" s="47"/>
      <c r="I4724" s="47"/>
      <c r="J4724" s="47"/>
      <c r="K4724" s="47"/>
      <c r="L4724" s="47"/>
      <c r="M4724" s="47"/>
      <c r="N4724" s="47"/>
      <c r="O4724" s="29"/>
      <c r="P4724" s="19"/>
      <c r="Q4724" s="14"/>
      <c r="R4724" s="11"/>
    </row>
    <row r="4725" s="1" customFormat="1" ht="21.95" customHeight="1" spans="1:18">
      <c r="A4725" s="7"/>
      <c r="B4725" s="12"/>
      <c r="C4725" s="33"/>
      <c r="D4725" s="47"/>
      <c r="E4725" s="47"/>
      <c r="F4725" s="47"/>
      <c r="G4725" s="47" t="s">
        <v>541</v>
      </c>
      <c r="H4725" s="47" t="s">
        <v>542</v>
      </c>
      <c r="I4725" s="47" t="s">
        <v>543</v>
      </c>
      <c r="J4725" s="47" t="s">
        <v>544</v>
      </c>
      <c r="K4725" s="47" t="s">
        <v>561</v>
      </c>
      <c r="L4725" s="47" t="s">
        <v>382</v>
      </c>
      <c r="M4725" s="49" t="s">
        <v>546</v>
      </c>
      <c r="N4725" s="49"/>
      <c r="O4725" s="29"/>
      <c r="P4725" s="19"/>
      <c r="Q4725" s="14"/>
      <c r="R4725" s="11"/>
    </row>
    <row r="4726" s="1" customFormat="1" ht="21.95" customHeight="1" spans="1:18">
      <c r="A4726" s="7"/>
      <c r="B4726" s="12"/>
      <c r="C4726" s="33"/>
      <c r="D4726" s="207" t="s">
        <v>652</v>
      </c>
      <c r="E4726" s="207"/>
      <c r="F4726" s="207"/>
      <c r="G4726" s="50">
        <v>10</v>
      </c>
      <c r="H4726" s="50">
        <v>10</v>
      </c>
      <c r="I4726" s="50">
        <v>10</v>
      </c>
      <c r="J4726" s="50">
        <v>10</v>
      </c>
      <c r="K4726" s="50">
        <v>60</v>
      </c>
      <c r="L4726" s="50">
        <v>100</v>
      </c>
      <c r="M4726" s="49"/>
      <c r="N4726" s="49"/>
      <c r="O4726" s="29"/>
      <c r="P4726" s="19"/>
      <c r="Q4726" s="14"/>
      <c r="R4726" s="11"/>
    </row>
    <row r="4727" s="1" customFormat="1" ht="21.95" customHeight="1" spans="1:18">
      <c r="A4727" s="7"/>
      <c r="B4727" s="12"/>
      <c r="C4727" s="33"/>
      <c r="D4727" s="117" t="s">
        <v>668</v>
      </c>
      <c r="E4727" s="117"/>
      <c r="F4727" s="117"/>
      <c r="G4727" s="54" t="str">
        <f>IFERROR(VLOOKUP(F4710,'1to4-2.1-RR'!$A$12:$BG$111,9,0),"")</f>
        <v/>
      </c>
      <c r="H4727" s="54" t="str">
        <f>IFERROR(VLOOKUP(F4710,'1to4-2.1-RR'!$A$12:$BG$111,10,0),"")</f>
        <v/>
      </c>
      <c r="I4727" s="54" t="str">
        <f>IFERROR(VLOOKUP(F4710,'1to4-2.1-RR'!$A$12:$BG$111,11,0),"")</f>
        <v/>
      </c>
      <c r="J4727" s="54" t="str">
        <f>IFERROR(VLOOKUP(F4710,'1to4-2.1-RR'!$A$12:$BG$111,12,0),"")</f>
        <v/>
      </c>
      <c r="K4727" s="54" t="str">
        <f>IFERROR(VLOOKUP(F4710,'1to4-2.1-RR'!$A$12:$BG$111,13,0),"")</f>
        <v/>
      </c>
      <c r="L4727" s="55">
        <f>SUM(G4727:K4727)</f>
        <v>0</v>
      </c>
      <c r="M4727" s="56" t="str">
        <f>IF(F4710&gt;ENTRY!$D$24,"",IF(L4727=0,"Ab",IF(L4727&gt;80,"A",IF(L4727&gt;60,"B",IF(L4727&gt;44,"C",IF(L4727&gt;=33,"D",IF(L4727&lt;=32,"E","")))))))</f>
        <v/>
      </c>
      <c r="N4727" s="56"/>
      <c r="O4727" s="29"/>
      <c r="P4727" s="19"/>
      <c r="Q4727" s="14"/>
      <c r="R4727" s="11"/>
    </row>
    <row r="4728" s="1" customFormat="1" ht="21.95" customHeight="1" spans="1:18">
      <c r="A4728" s="7"/>
      <c r="B4728" s="12"/>
      <c r="C4728" s="33"/>
      <c r="D4728" s="117" t="s">
        <v>513</v>
      </c>
      <c r="E4728" s="117"/>
      <c r="F4728" s="117"/>
      <c r="G4728" s="54" t="str">
        <f>IFERROR(VLOOKUP(F4710,'1to4-2.1-RR'!$A$12:$BG$111,16,0),"")</f>
        <v/>
      </c>
      <c r="H4728" s="54" t="str">
        <f>IFERROR(VLOOKUP(F4710,'1to4-2.1-RR'!$A$12:$BG$111,17,0),"")</f>
        <v/>
      </c>
      <c r="I4728" s="54" t="str">
        <f>IFERROR(VLOOKUP(F4710,'1to4-2.1-RR'!$A$12:$BG$111,18,0),"")</f>
        <v/>
      </c>
      <c r="J4728" s="54" t="str">
        <f>IFERROR(VLOOKUP(F4710,'1to4-2.1-RR'!$A$12:$BG$111,19,0),"")</f>
        <v/>
      </c>
      <c r="K4728" s="54" t="str">
        <f>IFERROR(VLOOKUP(F4710,'1to4-2.1-RR'!$A$12:$BG$111,20,0),"")</f>
        <v/>
      </c>
      <c r="L4728" s="55">
        <f t="shared" ref="L4728:L4733" si="168">SUM(G4728:K4728)</f>
        <v>0</v>
      </c>
      <c r="M4728" s="56" t="str">
        <f>IF(F4710&gt;ENTRY!$D$24,"",IF(L4728=0,"Ab",IF(L4728&gt;80,"A",IF(L4728&gt;60,"B",IF(L4728&gt;44,"C",IF(L4728&gt;=33,"D",IF(L4728&lt;=32,"E","")))))))</f>
        <v/>
      </c>
      <c r="N4728" s="56"/>
      <c r="O4728" s="29"/>
      <c r="P4728" s="19"/>
      <c r="Q4728" s="14"/>
      <c r="R4728" s="11"/>
    </row>
    <row r="4729" s="1" customFormat="1" ht="21.95" customHeight="1" spans="1:18">
      <c r="A4729" s="7"/>
      <c r="B4729" s="12"/>
      <c r="C4729" s="33"/>
      <c r="D4729" s="117" t="s">
        <v>718</v>
      </c>
      <c r="E4729" s="117"/>
      <c r="F4729" s="117"/>
      <c r="G4729" s="54" t="str">
        <f>IFERROR(VLOOKUP(F4710,'1to4-2.1-RR'!$A$12:$BG$111,23,0),"")</f>
        <v/>
      </c>
      <c r="H4729" s="54" t="str">
        <f>IFERROR(VLOOKUP(F4710,'1to4-2.1-RR'!$A$12:$BG$111,24,0),"")</f>
        <v/>
      </c>
      <c r="I4729" s="54" t="str">
        <f>IFERROR(VLOOKUP(F4710,'1to4-2.1-RR'!$A$12:$BG$111,25,0),"")</f>
        <v/>
      </c>
      <c r="J4729" s="54" t="str">
        <f>IFERROR(VLOOKUP(F4710,'1to4-2.1-RR'!$A$12:$BG$111,26,0),"")</f>
        <v/>
      </c>
      <c r="K4729" s="54" t="str">
        <f>IFERROR(VLOOKUP(F4710,'1to4-2.1-RR'!$A$12:$BG$111,27,0),"")</f>
        <v/>
      </c>
      <c r="L4729" s="55">
        <f t="shared" si="168"/>
        <v>0</v>
      </c>
      <c r="M4729" s="56" t="str">
        <f>IF(F4710&gt;ENTRY!$D$24,"",IF(L4729=0,"Ab",IF(L4729&gt;80,"A",IF(L4729&gt;60,"B",IF(L4729&gt;44,"C",IF(L4729&gt;=33,"D",IF(L4729&lt;=32,"E","")))))))</f>
        <v/>
      </c>
      <c r="N4729" s="56"/>
      <c r="O4729" s="29"/>
      <c r="P4729" s="19"/>
      <c r="Q4729" s="14"/>
      <c r="R4729" s="11"/>
    </row>
    <row r="4730" s="1" customFormat="1" ht="21.95" customHeight="1" spans="1:18">
      <c r="A4730" s="7"/>
      <c r="B4730" s="12"/>
      <c r="C4730" s="33"/>
      <c r="D4730" s="117" t="s">
        <v>719</v>
      </c>
      <c r="E4730" s="117"/>
      <c r="F4730" s="117"/>
      <c r="G4730" s="54" t="str">
        <f>IFERROR(VLOOKUP(F4710,'1to4-2.1-RR'!$A$12:$BG$111,30,0),"")</f>
        <v/>
      </c>
      <c r="H4730" s="54" t="str">
        <f>IFERROR(VLOOKUP(F4710,'1to4-2.1-RR'!$A$12:$BG$111,31,0),"")</f>
        <v/>
      </c>
      <c r="I4730" s="54" t="str">
        <f>IFERROR(VLOOKUP(F4710,'1to4-2.1-RR'!$A$12:$BG$111,32,0),"")</f>
        <v/>
      </c>
      <c r="J4730" s="54" t="str">
        <f>IFERROR(VLOOKUP(F4710,'1to4-2.1-RR'!$A$12:$BG$111,33,0),"")</f>
        <v/>
      </c>
      <c r="K4730" s="54" t="str">
        <f>IFERROR(VLOOKUP(F4710,'1to4-2.1-RR'!$A$12:$BG$111,34,0),"")</f>
        <v/>
      </c>
      <c r="L4730" s="55">
        <f t="shared" si="168"/>
        <v>0</v>
      </c>
      <c r="M4730" s="56" t="str">
        <f>IF(F4710&gt;ENTRY!$D$24,"",IF(L4730=0,"Ab",IF(L4730&gt;80,"A",IF(L4730&gt;60,"B",IF(L4730&gt;44,"C",IF(L4730&gt;=33,"D",IF(L4730&lt;=32,"E","")))))))</f>
        <v/>
      </c>
      <c r="N4730" s="56"/>
      <c r="O4730" s="29"/>
      <c r="P4730" s="19"/>
      <c r="Q4730" s="14"/>
      <c r="R4730" s="11"/>
    </row>
    <row r="4731" s="1" customFormat="1" ht="21.95" customHeight="1" spans="1:18">
      <c r="A4731" s="7"/>
      <c r="B4731" s="12"/>
      <c r="C4731" s="33"/>
      <c r="D4731" s="117" t="s">
        <v>548</v>
      </c>
      <c r="E4731" s="117"/>
      <c r="F4731" s="117"/>
      <c r="G4731" s="54" t="str">
        <f>IFERROR(VLOOKUP(F4710,'1to4-2.1-RR'!$A$12:$BG$111,37,0),"")</f>
        <v/>
      </c>
      <c r="H4731" s="54" t="str">
        <f>IFERROR(VLOOKUP(F4710,'1to4-2.1-RR'!$A$12:$BG$111,38,0),"")</f>
        <v/>
      </c>
      <c r="I4731" s="54" t="str">
        <f>IFERROR(VLOOKUP(F4710,'1to4-2.1-RR'!$A$12:$BG$111,39,0),"")</f>
        <v/>
      </c>
      <c r="J4731" s="54" t="str">
        <f>IFERROR(VLOOKUP(F4710,'1to4-2.1-RR'!$A$12:$BG$111,40,0),"")</f>
        <v/>
      </c>
      <c r="K4731" s="54" t="str">
        <f>IFERROR(VLOOKUP(F4710,'1to4-2.1-RR'!$A$12:$BG$111,41,0),"")</f>
        <v/>
      </c>
      <c r="L4731" s="55">
        <f t="shared" si="168"/>
        <v>0</v>
      </c>
      <c r="M4731" s="56" t="str">
        <f>IF(F4710&gt;ENTRY!$D$24,"",IF(L4731=0,"Ab",IF(L4731&gt;80,"A",IF(L4731&gt;60,"B",IF(L4731&gt;44,"C",IF(L4731&gt;=33,"D",IF(L4731&lt;=32,"E","")))))))</f>
        <v/>
      </c>
      <c r="N4731" s="56"/>
      <c r="O4731" s="29"/>
      <c r="P4731" s="19"/>
      <c r="Q4731" s="14"/>
      <c r="R4731" s="11"/>
    </row>
    <row r="4732" s="1" customFormat="1" ht="21.95" customHeight="1" spans="1:18">
      <c r="A4732" s="7"/>
      <c r="B4732" s="12"/>
      <c r="C4732" s="33"/>
      <c r="D4732" s="117" t="s">
        <v>549</v>
      </c>
      <c r="E4732" s="117"/>
      <c r="F4732" s="117"/>
      <c r="G4732" s="54" t="str">
        <f>IFERROR(VLOOKUP(F4710,'1to4-2.1-RR'!$A$12:$BG$111,44,0),"")</f>
        <v/>
      </c>
      <c r="H4732" s="54" t="str">
        <f>IFERROR(VLOOKUP(F4710,'1to4-2.1-RR'!$A$12:$BG$111,45,0),"")</f>
        <v/>
      </c>
      <c r="I4732" s="54" t="str">
        <f>IFERROR(VLOOKUP(F4710,'1to4-2.1-RR'!$A$12:$BG$111,46,0),"")</f>
        <v/>
      </c>
      <c r="J4732" s="54" t="str">
        <f>IFERROR(VLOOKUP(F4710,'1to4-2.1-RR'!$A$12:$BG$111,47,0),"")</f>
        <v/>
      </c>
      <c r="K4732" s="54" t="str">
        <f>IFERROR(VLOOKUP(F4710,'1to4-2.1-RR'!$A$12:$BG$111,48,0),"")</f>
        <v/>
      </c>
      <c r="L4732" s="55">
        <f t="shared" si="168"/>
        <v>0</v>
      </c>
      <c r="M4732" s="56" t="str">
        <f>IF(F4710&gt;ENTRY!$D$24,"",IF(L4732=0,"Ab",IF(L4732&gt;80,"A",IF(L4732&gt;60,"B",IF(L4732&gt;44,"C",IF(L4732&gt;=33,"D",IF(L4732&lt;=32,"E","")))))))</f>
        <v/>
      </c>
      <c r="N4732" s="56"/>
      <c r="O4732" s="29"/>
      <c r="P4732" s="19"/>
      <c r="Q4732" s="14"/>
      <c r="R4732" s="11"/>
    </row>
    <row r="4733" s="1" customFormat="1" ht="21.95" customHeight="1" spans="1:18">
      <c r="A4733" s="7"/>
      <c r="B4733" s="12"/>
      <c r="C4733" s="33"/>
      <c r="D4733" s="117" t="s">
        <v>720</v>
      </c>
      <c r="E4733" s="117"/>
      <c r="F4733" s="117"/>
      <c r="G4733" s="54"/>
      <c r="H4733" s="54"/>
      <c r="I4733" s="54"/>
      <c r="J4733" s="54"/>
      <c r="K4733" s="54"/>
      <c r="L4733" s="55">
        <f t="shared" si="168"/>
        <v>0</v>
      </c>
      <c r="M4733" s="56" t="str">
        <f>IF(F4710&gt;ENTRY!$D$24,"",IF(L4733=0,"",IF(L4733&gt;79,"A",IF(L4733&gt;59,"B",IF(L4733&gt;44,"C",IF(L4733&gt;=33,"D",IF(L4733&lt;=32,"E","")))))))</f>
        <v/>
      </c>
      <c r="N4733" s="56"/>
      <c r="O4733" s="29"/>
      <c r="P4733" s="19"/>
      <c r="Q4733" s="14"/>
      <c r="R4733" s="11"/>
    </row>
    <row r="4734" s="1" customFormat="1" ht="21.95" customHeight="1" spans="1:18">
      <c r="A4734" s="7"/>
      <c r="B4734" s="12"/>
      <c r="C4734" s="33"/>
      <c r="D4734" s="207" t="s">
        <v>382</v>
      </c>
      <c r="E4734" s="207"/>
      <c r="F4734" s="207"/>
      <c r="G4734" s="54">
        <f t="shared" ref="G4734:L4734" si="169">IFERROR(SUM(G4727:G4733),"")</f>
        <v>0</v>
      </c>
      <c r="H4734" s="54">
        <f t="shared" si="169"/>
        <v>0</v>
      </c>
      <c r="I4734" s="54">
        <f t="shared" si="169"/>
        <v>0</v>
      </c>
      <c r="J4734" s="54">
        <f t="shared" si="169"/>
        <v>0</v>
      </c>
      <c r="K4734" s="54">
        <f t="shared" si="169"/>
        <v>0</v>
      </c>
      <c r="L4734" s="55">
        <f t="shared" si="169"/>
        <v>0</v>
      </c>
      <c r="M4734" s="61" t="str">
        <f>IF(F4710&gt;ENTRY!$D$24,"",IF(N4735="Ab","Ab",IF(N4735&gt;79.5,"A",IF(N4735&gt;59.5,"B",IF(N4735&gt;44.5,"C",IF(N4735&gt;=33,"D",IF(N4735&lt;33,"E","")))))))</f>
        <v/>
      </c>
      <c r="N4734" s="61"/>
      <c r="O4734" s="29"/>
      <c r="P4734" s="19"/>
      <c r="Q4734" s="14"/>
      <c r="R4734" s="11"/>
    </row>
    <row r="4735" s="1" customFormat="1" ht="21.95" customHeight="1" spans="1:18">
      <c r="A4735" s="7"/>
      <c r="B4735" s="12"/>
      <c r="C4735" s="33"/>
      <c r="D4735" s="63" t="s">
        <v>721</v>
      </c>
      <c r="E4735" s="63"/>
      <c r="F4735" s="63"/>
      <c r="G4735" s="63"/>
      <c r="H4735" s="63"/>
      <c r="I4735" s="63"/>
      <c r="J4735" s="63"/>
      <c r="K4735" s="63"/>
      <c r="L4735" s="63"/>
      <c r="M4735" s="209"/>
      <c r="N4735" s="64">
        <f>IF(L4734="Ab","Ab",L4734/6)</f>
        <v>0</v>
      </c>
      <c r="O4735" s="65"/>
      <c r="P4735" s="19"/>
      <c r="Q4735" s="14"/>
      <c r="R4735" s="11"/>
    </row>
    <row r="4736" s="1" customFormat="1" ht="21.95" customHeight="1" spans="1:18">
      <c r="A4736" s="7"/>
      <c r="B4736" s="12"/>
      <c r="C4736" s="33"/>
      <c r="D4736" s="29" t="s">
        <v>716</v>
      </c>
      <c r="E4736" s="18" t="str">
        <f>IFERROR(VLOOKUP(F4710,'1to4-2.1-RR'!$A$12:$BG$111,57,0),"")</f>
        <v/>
      </c>
      <c r="F4736" s="18"/>
      <c r="G4736" s="18"/>
      <c r="H4736" s="18"/>
      <c r="I4736" s="18"/>
      <c r="J4736" s="18"/>
      <c r="K4736" s="18"/>
      <c r="L4736" s="18"/>
      <c r="M4736" s="18"/>
      <c r="N4736" s="29"/>
      <c r="O4736" s="29"/>
      <c r="P4736" s="19"/>
      <c r="Q4736" s="14"/>
      <c r="R4736" s="11"/>
    </row>
    <row r="4737" s="1" customFormat="1" ht="9.95" customHeight="1" spans="1:19">
      <c r="A4737" s="7"/>
      <c r="B4737" s="12"/>
      <c r="C4737" s="39"/>
      <c r="D4737" s="40"/>
      <c r="E4737" s="40"/>
      <c r="F4737" s="40"/>
      <c r="G4737" s="40"/>
      <c r="H4737" s="40"/>
      <c r="I4737" s="40"/>
      <c r="J4737" s="40"/>
      <c r="K4737" s="40"/>
      <c r="L4737" s="40"/>
      <c r="M4737" s="40"/>
      <c r="N4737" s="40"/>
      <c r="O4737" s="40"/>
      <c r="P4737" s="41"/>
      <c r="Q4737" s="14"/>
      <c r="R4737" s="11"/>
    </row>
    <row r="4738" s="1" customFormat="1" ht="9.95" customHeight="1" spans="1:19">
      <c r="A4738" s="7"/>
      <c r="B4738" s="12"/>
      <c r="C4738" s="30"/>
      <c r="D4738" s="31"/>
      <c r="E4738" s="31"/>
      <c r="F4738" s="29"/>
      <c r="G4738" s="31"/>
      <c r="H4738" s="31"/>
      <c r="I4738" s="31"/>
      <c r="J4738" s="31"/>
      <c r="K4738" s="31"/>
      <c r="L4738" s="31"/>
      <c r="M4738" s="31"/>
      <c r="N4738" s="31"/>
      <c r="O4738" s="31"/>
      <c r="P4738" s="32"/>
      <c r="Q4738" s="14"/>
      <c r="R4738" s="11"/>
    </row>
    <row r="4739" s="1" customFormat="1" ht="9.95" customHeight="1" spans="1:19">
      <c r="A4739" s="7"/>
      <c r="B4739" s="12"/>
      <c r="C4739" s="33"/>
      <c r="D4739" s="29"/>
      <c r="E4739" s="29"/>
      <c r="F4739" s="29"/>
      <c r="G4739" s="29"/>
      <c r="H4739" s="29"/>
      <c r="I4739" s="29"/>
      <c r="J4739" s="29"/>
      <c r="K4739" s="29"/>
      <c r="L4739" s="29"/>
      <c r="M4739" s="29"/>
      <c r="N4739" s="29"/>
      <c r="O4739" s="29"/>
      <c r="P4739" s="19"/>
      <c r="Q4739" s="14"/>
      <c r="R4739" s="11"/>
    </row>
    <row r="4740" s="1" customFormat="1" ht="9.95" customHeight="1" spans="1:19">
      <c r="A4740" s="7"/>
      <c r="B4740" s="12"/>
      <c r="C4740" s="33"/>
      <c r="D4740" s="29"/>
      <c r="E4740" s="29"/>
      <c r="F4740" s="29"/>
      <c r="G4740" s="29"/>
      <c r="H4740" s="29"/>
      <c r="I4740" s="29"/>
      <c r="J4740" s="29"/>
      <c r="K4740" s="29"/>
      <c r="L4740" s="29"/>
      <c r="M4740" s="29"/>
      <c r="N4740" s="29"/>
      <c r="O4740" s="29"/>
      <c r="P4740" s="19"/>
      <c r="Q4740" s="14"/>
      <c r="R4740" s="11"/>
    </row>
    <row r="4741" s="1" customFormat="1" ht="21.95" customHeight="1" spans="1:19">
      <c r="A4741" s="7"/>
      <c r="B4741" s="12"/>
      <c r="C4741" s="210"/>
      <c r="D4741" s="211"/>
      <c r="E4741" s="211"/>
      <c r="F4741" s="211"/>
      <c r="G4741" s="211"/>
      <c r="H4741" s="211"/>
      <c r="I4741" s="211"/>
      <c r="J4741" s="211"/>
      <c r="K4741" s="211"/>
      <c r="L4741" s="211"/>
      <c r="M4741" s="211"/>
      <c r="N4741" s="211"/>
      <c r="O4741" s="211"/>
      <c r="P4741" s="212"/>
      <c r="Q4741" s="14"/>
      <c r="R4741" s="11"/>
      <c r="S4741" s="2"/>
    </row>
    <row r="4742" s="1" customFormat="1" ht="21.95" customHeight="1" spans="1:19">
      <c r="A4742" s="7"/>
      <c r="B4742" s="12"/>
      <c r="C4742" s="33"/>
      <c r="D4742" s="207" t="s">
        <v>722</v>
      </c>
      <c r="E4742" s="207"/>
      <c r="F4742" s="207"/>
      <c r="G4742" s="207"/>
      <c r="H4742" s="54">
        <f>IFERROR(VLOOKUP(F4710,PASHEET!$A$4:$CJ$103,88,0),"")</f>
        <v>0</v>
      </c>
      <c r="I4742" s="54"/>
      <c r="J4742" s="29"/>
      <c r="K4742" s="29"/>
      <c r="L4742" s="29"/>
      <c r="M4742" s="29"/>
      <c r="N4742" s="29"/>
      <c r="O4742" s="29"/>
      <c r="P4742" s="19"/>
      <c r="Q4742" s="14"/>
      <c r="R4742" s="11"/>
    </row>
    <row r="4743" s="1" customFormat="1" ht="21.95" customHeight="1" spans="1:19">
      <c r="A4743" s="7"/>
      <c r="B4743" s="12"/>
      <c r="C4743" s="213"/>
      <c r="D4743" s="207" t="s">
        <v>723</v>
      </c>
      <c r="E4743" s="207"/>
      <c r="F4743" s="207"/>
      <c r="G4743" s="207"/>
      <c r="H4743" s="54">
        <f>IFERROR(VLOOKUP(F4710,PASHEET!$A$4:$CJ$103,87,0),"")</f>
        <v>0</v>
      </c>
      <c r="I4743" s="54"/>
      <c r="J4743" s="214"/>
      <c r="K4743" s="214"/>
      <c r="L4743" s="207" t="s">
        <v>724</v>
      </c>
      <c r="M4743" s="207"/>
      <c r="N4743" s="117" t="str">
        <f>IF(F4710&gt;ENTRY!$D$24,"",IF(F4710&gt;0,L4734&amp;" / "&amp;600,""))</f>
        <v/>
      </c>
      <c r="O4743" s="117"/>
      <c r="P4743" s="215"/>
      <c r="Q4743" s="14"/>
      <c r="R4743" s="11"/>
    </row>
    <row r="4744" s="1" customFormat="1" ht="18" customHeight="1" spans="1:19">
      <c r="A4744" s="7"/>
      <c r="B4744" s="12"/>
      <c r="C4744" s="33"/>
      <c r="D4744" s="207" t="s">
        <v>725</v>
      </c>
      <c r="E4744" s="207"/>
      <c r="F4744" s="207"/>
      <c r="G4744" s="207"/>
      <c r="H4744" s="69" t="str">
        <f>IFERROR(IF(F4710&gt;0,H4743/H4742*100),"")</f>
        <v/>
      </c>
      <c r="I4744" s="69"/>
      <c r="J4744" s="29"/>
      <c r="K4744" s="29"/>
      <c r="L4744" s="207" t="s">
        <v>726</v>
      </c>
      <c r="M4744" s="207"/>
      <c r="N4744" s="216" t="str">
        <f>IF(F4710&gt;ENTRY!$D$24,"",IF(F4710&gt;0,L4734/600*100,""))</f>
        <v/>
      </c>
      <c r="O4744" s="216"/>
      <c r="P4744" s="19"/>
      <c r="Q4744" s="14"/>
      <c r="R4744" s="11"/>
    </row>
    <row r="4745" s="1" customFormat="1" ht="21.95" customHeight="1" spans="1:19">
      <c r="A4745" s="7"/>
      <c r="B4745" s="12"/>
      <c r="C4745" s="33"/>
      <c r="D4745" s="80"/>
      <c r="E4745" s="80"/>
      <c r="F4745" s="217"/>
      <c r="G4745" s="217"/>
      <c r="H4745" s="217"/>
      <c r="I4745" s="217"/>
      <c r="J4745" s="217"/>
      <c r="K4745" s="217"/>
      <c r="L4745" s="217"/>
      <c r="M4745" s="217"/>
      <c r="N4745" s="80"/>
      <c r="O4745" s="80"/>
      <c r="P4745" s="19"/>
      <c r="Q4745" s="14"/>
      <c r="R4745" s="11"/>
    </row>
    <row r="4746" s="1" customFormat="1" ht="21.95" customHeight="1" spans="1:19">
      <c r="A4746" s="7"/>
      <c r="B4746" s="12"/>
      <c r="C4746" s="33"/>
      <c r="D4746" s="80"/>
      <c r="E4746" s="218"/>
      <c r="F4746" s="218"/>
      <c r="G4746" s="218"/>
      <c r="H4746" s="80"/>
      <c r="I4746" s="218"/>
      <c r="J4746" s="218"/>
      <c r="K4746" s="218"/>
      <c r="L4746" s="218"/>
      <c r="M4746" s="80"/>
      <c r="N4746" s="219"/>
      <c r="O4746" s="219"/>
      <c r="P4746" s="19"/>
      <c r="Q4746" s="14"/>
      <c r="R4746" s="11"/>
    </row>
    <row r="4747" s="1" customFormat="1" ht="21.95" customHeight="1" spans="1:19">
      <c r="A4747" s="7"/>
      <c r="B4747" s="12"/>
      <c r="C4747" s="33"/>
      <c r="D4747" s="80"/>
      <c r="E4747" s="80"/>
      <c r="F4747" s="80"/>
      <c r="G4747" s="80"/>
      <c r="H4747" s="80"/>
      <c r="I4747" s="80"/>
      <c r="J4747" s="80"/>
      <c r="K4747" s="80"/>
      <c r="L4747" s="80"/>
      <c r="M4747" s="80"/>
      <c r="N4747" s="80"/>
      <c r="O4747" s="80"/>
      <c r="P4747" s="19"/>
      <c r="Q4747" s="14"/>
      <c r="R4747" s="11"/>
    </row>
    <row r="4748" s="1" customFormat="1" ht="21.95" customHeight="1" spans="1:19">
      <c r="A4748" s="7"/>
      <c r="B4748" s="12"/>
      <c r="C4748" s="33"/>
      <c r="D4748" s="218"/>
      <c r="E4748" s="218"/>
      <c r="F4748" s="218"/>
      <c r="G4748" s="218"/>
      <c r="H4748" s="218"/>
      <c r="I4748" s="218"/>
      <c r="J4748" s="218"/>
      <c r="K4748" s="218"/>
      <c r="L4748" s="218"/>
      <c r="M4748" s="80"/>
      <c r="N4748" s="217"/>
      <c r="O4748" s="217"/>
      <c r="P4748" s="85" t="s">
        <v>727</v>
      </c>
      <c r="Q4748" s="14"/>
      <c r="R4748" s="11"/>
    </row>
    <row r="4749" s="1" customFormat="1" ht="21.95" customHeight="1" spans="1:19">
      <c r="A4749" s="7"/>
      <c r="B4749" s="12"/>
      <c r="C4749" s="33"/>
      <c r="D4749" s="29"/>
      <c r="E4749" s="29"/>
      <c r="F4749" s="29"/>
      <c r="G4749" s="29"/>
      <c r="H4749" s="29"/>
      <c r="I4749" s="29"/>
      <c r="J4749" s="29"/>
      <c r="K4749" s="29"/>
      <c r="L4749" s="29"/>
      <c r="M4749" s="29"/>
      <c r="N4749" s="29"/>
      <c r="O4749" s="29"/>
      <c r="P4749" s="19"/>
      <c r="Q4749" s="14"/>
      <c r="R4749" s="11"/>
    </row>
    <row r="4750" s="1" customFormat="1" ht="21.95" customHeight="1" spans="1:19">
      <c r="A4750" s="7"/>
      <c r="B4750" s="12"/>
      <c r="C4750" s="33"/>
      <c r="D4750" s="29"/>
      <c r="E4750" s="29"/>
      <c r="F4750" s="29"/>
      <c r="G4750" s="29"/>
      <c r="H4750" s="29"/>
      <c r="I4750" s="29"/>
      <c r="J4750" s="29"/>
      <c r="K4750" s="29"/>
      <c r="L4750" s="29"/>
      <c r="M4750" s="29"/>
      <c r="N4750" s="29"/>
      <c r="O4750" s="29"/>
      <c r="P4750" s="19"/>
      <c r="Q4750" s="14"/>
      <c r="R4750" s="11"/>
    </row>
    <row r="4751" s="1" customFormat="1" ht="21.95" customHeight="1" spans="1:19">
      <c r="A4751" s="7"/>
      <c r="B4751" s="12"/>
      <c r="C4751" s="33"/>
      <c r="D4751" s="29"/>
      <c r="E4751" s="29"/>
      <c r="F4751" s="29"/>
      <c r="G4751" s="29"/>
      <c r="H4751" s="29"/>
      <c r="I4751" s="29"/>
      <c r="J4751" s="29"/>
      <c r="K4751" s="29"/>
      <c r="L4751" s="29"/>
      <c r="M4751" s="29"/>
      <c r="N4751" s="29"/>
      <c r="O4751" s="29"/>
      <c r="P4751" s="19"/>
      <c r="Q4751" s="14"/>
      <c r="R4751" s="11"/>
    </row>
    <row r="4752" s="1" customFormat="1" ht="21.95" customHeight="1" spans="1:19">
      <c r="A4752" s="7"/>
      <c r="B4752" s="12"/>
      <c r="C4752" s="33"/>
      <c r="D4752" s="29"/>
      <c r="E4752" s="29"/>
      <c r="F4752" s="29"/>
      <c r="G4752" s="29"/>
      <c r="H4752" s="29"/>
      <c r="I4752" s="29"/>
      <c r="J4752" s="29"/>
      <c r="K4752" s="29"/>
      <c r="L4752" s="29"/>
      <c r="M4752" s="29"/>
      <c r="N4752" s="29"/>
      <c r="O4752" s="29"/>
      <c r="P4752" s="19"/>
      <c r="Q4752" s="14"/>
      <c r="R4752" s="11"/>
    </row>
    <row r="4753" s="1" customFormat="1" ht="21.95" customHeight="1" spans="1:18">
      <c r="A4753" s="7"/>
      <c r="B4753" s="12"/>
      <c r="C4753" s="33"/>
      <c r="D4753" s="29"/>
      <c r="E4753" s="29"/>
      <c r="F4753" s="29"/>
      <c r="G4753" s="29"/>
      <c r="H4753" s="29"/>
      <c r="I4753" s="29"/>
      <c r="J4753" s="29"/>
      <c r="K4753" s="29"/>
      <c r="L4753" s="29"/>
      <c r="M4753" s="29"/>
      <c r="N4753" s="29"/>
      <c r="O4753" s="29"/>
      <c r="P4753" s="19"/>
      <c r="Q4753" s="14"/>
      <c r="R4753" s="11"/>
    </row>
    <row r="4754" s="1" customFormat="1" ht="21.95" customHeight="1" spans="1:18">
      <c r="A4754" s="7"/>
      <c r="B4754" s="12"/>
      <c r="C4754" s="33"/>
      <c r="D4754" s="80" t="s">
        <v>728</v>
      </c>
      <c r="E4754" s="220">
        <f>ENTRY!$D$27</f>
        <v>46102</v>
      </c>
      <c r="F4754" s="220"/>
      <c r="G4754" s="29"/>
      <c r="H4754" s="29"/>
      <c r="I4754" s="221" t="s">
        <v>729</v>
      </c>
      <c r="J4754" s="153"/>
      <c r="K4754" s="29"/>
      <c r="L4754" s="29"/>
      <c r="M4754" s="87" t="s">
        <v>730</v>
      </c>
      <c r="N4754" s="87"/>
      <c r="O4754" s="87"/>
      <c r="P4754" s="19"/>
      <c r="Q4754" s="14"/>
      <c r="R4754" s="11"/>
    </row>
    <row r="4755" s="1" customFormat="1" ht="21.95" customHeight="1" spans="1:18">
      <c r="A4755" s="7"/>
      <c r="B4755" s="12"/>
      <c r="C4755" s="33"/>
      <c r="D4755" s="80" t="s">
        <v>731</v>
      </c>
      <c r="E4755" s="88" t="str">
        <f>PROPER(ENTRY!$D$28)</f>
        <v>New Delhi</v>
      </c>
      <c r="F4755" s="88"/>
      <c r="G4755" s="29"/>
      <c r="H4755" s="29"/>
      <c r="I4755" s="153"/>
      <c r="J4755" s="153"/>
      <c r="K4755" s="29"/>
      <c r="L4755" s="29"/>
      <c r="M4755" s="79" t="s">
        <v>732</v>
      </c>
      <c r="N4755" s="79"/>
      <c r="O4755" s="79"/>
      <c r="P4755" s="19"/>
      <c r="Q4755" s="14"/>
      <c r="R4755" s="11"/>
    </row>
    <row r="4756" s="1" customFormat="1" ht="21.95" customHeight="1" spans="1:18">
      <c r="A4756" s="7"/>
      <c r="B4756" s="12"/>
      <c r="C4756" s="90"/>
      <c r="D4756" s="91"/>
      <c r="E4756" s="91"/>
      <c r="F4756" s="91"/>
      <c r="G4756" s="91"/>
      <c r="H4756" s="91"/>
      <c r="I4756" s="91"/>
      <c r="J4756" s="91"/>
      <c r="K4756" s="91"/>
      <c r="L4756" s="91"/>
      <c r="M4756" s="91"/>
      <c r="N4756" s="91"/>
      <c r="O4756" s="91"/>
      <c r="P4756" s="92"/>
      <c r="Q4756" s="14"/>
      <c r="R4756" s="11"/>
    </row>
    <row r="4757" s="1" customFormat="1" ht="5.1" customHeight="1" spans="1:18">
      <c r="A4757" s="7"/>
      <c r="B4757" s="90"/>
      <c r="C4757" s="91"/>
      <c r="D4757" s="91"/>
      <c r="E4757" s="91"/>
      <c r="F4757" s="91"/>
      <c r="G4757" s="91"/>
      <c r="H4757" s="91"/>
      <c r="I4757" s="91"/>
      <c r="J4757" s="91"/>
      <c r="K4757" s="91"/>
      <c r="L4757" s="91"/>
      <c r="M4757" s="91"/>
      <c r="N4757" s="91"/>
      <c r="O4757" s="91"/>
      <c r="P4757" s="91"/>
      <c r="Q4757" s="92"/>
      <c r="R4757" s="11"/>
    </row>
    <row r="4758" s="1" customFormat="1" ht="5.1" customHeight="1" spans="1:18">
      <c r="A4758" s="93"/>
      <c r="B4758" s="94"/>
      <c r="C4758" s="94"/>
      <c r="D4758" s="94"/>
      <c r="E4758" s="94"/>
      <c r="F4758" s="94"/>
      <c r="G4758" s="94"/>
      <c r="H4758" s="94"/>
      <c r="I4758" s="94"/>
      <c r="J4758" s="94"/>
      <c r="K4758" s="94"/>
      <c r="L4758" s="94"/>
      <c r="M4758" s="94"/>
      <c r="N4758" s="94"/>
      <c r="O4758" s="94"/>
      <c r="P4758" s="94"/>
      <c r="Q4758" s="94"/>
      <c r="R4758" s="95"/>
    </row>
    <row r="4759" s="1" customFormat="1" ht="21.95" customHeight="1"/>
    <row r="4760" ht="15.15"/>
    <row r="4761" s="1" customFormat="1" ht="5.1" customHeight="1" spans="1:18">
      <c r="A4761" s="4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5"/>
      <c r="O4761" s="5"/>
      <c r="P4761" s="5"/>
      <c r="Q4761" s="5"/>
      <c r="R4761" s="6"/>
    </row>
    <row r="4762" s="1" customFormat="1" ht="15" customHeight="1" spans="1:18">
      <c r="A4762" s="7"/>
      <c r="B4762" s="8"/>
      <c r="C4762" s="9"/>
      <c r="D4762" s="9"/>
      <c r="E4762" s="9"/>
      <c r="F4762" s="9"/>
      <c r="G4762" s="9"/>
      <c r="H4762" s="9"/>
      <c r="I4762" s="9"/>
      <c r="J4762" s="9"/>
      <c r="K4762" s="9"/>
      <c r="L4762" s="9"/>
      <c r="M4762" s="9"/>
      <c r="N4762" s="9"/>
      <c r="O4762" s="9"/>
      <c r="P4762" s="9"/>
      <c r="Q4762" s="10"/>
      <c r="R4762" s="11"/>
    </row>
    <row r="4763" s="1" customFormat="1" ht="21.95" customHeight="1" spans="1:18">
      <c r="A4763" s="7"/>
      <c r="B4763" s="12"/>
      <c r="C4763" s="13" t="s">
        <v>7</v>
      </c>
      <c r="D4763" s="13"/>
      <c r="E4763" s="13"/>
      <c r="F4763" s="13"/>
      <c r="G4763" s="13"/>
      <c r="H4763" s="13"/>
      <c r="I4763" s="13"/>
      <c r="J4763" s="13"/>
      <c r="K4763" s="13"/>
      <c r="L4763" s="13"/>
      <c r="M4763" s="13"/>
      <c r="N4763" s="13"/>
      <c r="O4763" s="13"/>
      <c r="P4763" s="13"/>
      <c r="Q4763" s="14"/>
      <c r="R4763" s="11"/>
    </row>
    <row r="4764" s="1" customFormat="1" ht="21.95" customHeight="1" spans="1:18">
      <c r="A4764" s="7"/>
      <c r="B4764" s="1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14"/>
      <c r="R4764" s="11"/>
    </row>
    <row r="4765" s="1" customFormat="1" ht="21.95" customHeight="1" spans="1:18">
      <c r="A4765" s="7"/>
      <c r="B4765" s="12"/>
      <c r="C4765" s="15" t="str">
        <f>"SESSION-"&amp;ENTRY!$D$11</f>
        <v>SESSION-2026-27</v>
      </c>
      <c r="D4765" s="15"/>
      <c r="E4765" s="15"/>
      <c r="F4765" s="15"/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  <c r="Q4765" s="14"/>
      <c r="R4765" s="11"/>
    </row>
    <row r="4766" s="1" customFormat="1" ht="21.95" customHeight="1" spans="1:18">
      <c r="A4766" s="7"/>
      <c r="B4766" s="12"/>
      <c r="C4766" s="2"/>
      <c r="D4766" s="2"/>
      <c r="E4766" s="2"/>
      <c r="F4766" s="16">
        <f>F4710+1</f>
        <v>86</v>
      </c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14"/>
      <c r="R4766" s="11"/>
    </row>
    <row r="4767" s="1" customFormat="1" ht="21.95" customHeight="1" spans="1:18">
      <c r="A4767" s="7"/>
      <c r="B4767" s="12"/>
      <c r="C4767" s="17" t="s">
        <v>392</v>
      </c>
      <c r="D4767" s="17"/>
      <c r="E4767" s="17"/>
      <c r="F4767" s="18" t="str">
        <f>IF(F4766&gt;0,ENTRY!$D$6,"")</f>
        <v>MCP NITHARI NO 1 BOYS</v>
      </c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4"/>
      <c r="R4767" s="11"/>
    </row>
    <row r="4768" s="1" customFormat="1" ht="21.95" customHeight="1" spans="1:18">
      <c r="A4768" s="7"/>
      <c r="B4768" s="12"/>
      <c r="C4768" s="17" t="s">
        <v>393</v>
      </c>
      <c r="D4768" s="17"/>
      <c r="E4768" s="17"/>
      <c r="F4768" s="18">
        <f>IF(F4766&gt;0,ENTRY!$D$7,"")</f>
        <v>0</v>
      </c>
      <c r="G4768" s="18"/>
      <c r="H4768" s="20" t="s">
        <v>702</v>
      </c>
      <c r="I4768" s="20"/>
      <c r="J4768" s="21">
        <f>IF(F4766&gt;0,ENTRY!$D$10,"")</f>
        <v>40</v>
      </c>
      <c r="K4768" s="20" t="s">
        <v>703</v>
      </c>
      <c r="L4768" s="22" t="str">
        <f>IF(F4766&gt;0,ENTRY!$D$5,"")</f>
        <v>ROHINI ZONE</v>
      </c>
      <c r="M4768" s="22"/>
      <c r="N4768" s="22"/>
      <c r="O4768" s="22"/>
      <c r="P4768" s="22"/>
      <c r="Q4768" s="14"/>
      <c r="R4768" s="11"/>
    </row>
    <row r="4769" s="1" customFormat="1" ht="21.95" customHeight="1" spans="1:18">
      <c r="A4769" s="7"/>
      <c r="B4769" s="12"/>
      <c r="C4769" s="17" t="s">
        <v>706</v>
      </c>
      <c r="D4769" s="17"/>
      <c r="E4769" s="17"/>
      <c r="F4769" s="23">
        <f>IFERROR(VLOOKUP(F4766,STUDENT!$A$2:$BP$101,5,0),"")</f>
        <v>0</v>
      </c>
      <c r="G4769" s="23"/>
      <c r="H4769" s="23"/>
      <c r="I4769" s="23"/>
      <c r="J4769" s="23"/>
      <c r="K4769" s="23"/>
      <c r="L4769" s="20" t="s">
        <v>707</v>
      </c>
      <c r="M4769" s="20"/>
      <c r="N4769" s="24" t="str">
        <f>IF(F4766&gt;0,ENTRY!$D$20&amp;"-"&amp;ENTRY!$D$21,"")</f>
        <v>III-A</v>
      </c>
      <c r="O4769" s="24"/>
      <c r="P4769" s="24"/>
      <c r="Q4769" s="14"/>
      <c r="R4769" s="11"/>
    </row>
    <row r="4770" s="1" customFormat="1" ht="21.95" customHeight="1" spans="1:18">
      <c r="A4770" s="7"/>
      <c r="B4770" s="12"/>
      <c r="C4770" s="17" t="s">
        <v>708</v>
      </c>
      <c r="D4770" s="17"/>
      <c r="E4770" s="17"/>
      <c r="F4770" s="25">
        <f>IFERROR(VLOOKUP(F4766,STUDENT!$A$2:$BP$101,6,0),"")</f>
        <v>0</v>
      </c>
      <c r="G4770" s="25"/>
      <c r="H4770" s="26" t="s">
        <v>709</v>
      </c>
      <c r="I4770" s="27" t="str">
        <f>IFERROR(VLOOKUP(F4766,STUDENT!$A$2:$BP$101,59,0),"")</f>
        <v/>
      </c>
      <c r="J4770" s="27"/>
      <c r="K4770" s="20" t="s">
        <v>710</v>
      </c>
      <c r="L4770" s="20"/>
      <c r="M4770" s="28">
        <f>IFERROR(VLOOKUP(F4766,STUDENT!$A$2:$BP$101,20,0),"")</f>
        <v>0</v>
      </c>
      <c r="N4770" s="28"/>
      <c r="O4770" s="28"/>
      <c r="P4770" s="28"/>
      <c r="Q4770" s="14"/>
      <c r="R4770" s="11"/>
    </row>
    <row r="4771" s="1" customFormat="1" ht="21.95" customHeight="1" spans="1:18">
      <c r="A4771" s="7"/>
      <c r="B4771" s="12"/>
      <c r="C4771" s="17" t="s">
        <v>711</v>
      </c>
      <c r="D4771" s="17"/>
      <c r="E4771" s="17"/>
      <c r="F4771" s="23">
        <f>IFERROR(VLOOKUP(F4766,STUDENT!$A$2:$BP$101,9,0),"")</f>
        <v>0</v>
      </c>
      <c r="G4771" s="23"/>
      <c r="H4771" s="23"/>
      <c r="I4771" s="23"/>
      <c r="J4771" s="17" t="s">
        <v>620</v>
      </c>
      <c r="K4771" s="17"/>
      <c r="L4771" s="23">
        <f>IFERROR(VLOOKUP(F4766,STUDENT!$A$2:$BP$101,8,0),"")</f>
        <v>0</v>
      </c>
      <c r="M4771" s="23"/>
      <c r="N4771" s="23"/>
      <c r="O4771" s="23"/>
      <c r="P4771" s="23"/>
      <c r="Q4771" s="14"/>
      <c r="R4771" s="11"/>
    </row>
    <row r="4772" s="1" customFormat="1" ht="21.95" customHeight="1" spans="1:18">
      <c r="A4772" s="7"/>
      <c r="B4772" s="12"/>
      <c r="C4772" s="17" t="s">
        <v>712</v>
      </c>
      <c r="D4772" s="17"/>
      <c r="E4772" s="17"/>
      <c r="F4772" s="23">
        <f>IFERROR(VLOOKUP(F4766,STUDENT!$A$2:$BP$101,22,0),"")</f>
        <v>0</v>
      </c>
      <c r="G4772" s="23"/>
      <c r="H4772" s="23"/>
      <c r="I4772" s="23"/>
      <c r="J4772" s="23"/>
      <c r="K4772" s="23"/>
      <c r="L4772" s="23"/>
      <c r="M4772" s="23"/>
      <c r="N4772" s="23"/>
      <c r="O4772" s="23"/>
      <c r="P4772" s="23"/>
      <c r="Q4772" s="14"/>
      <c r="R4772" s="11"/>
    </row>
    <row r="4773" s="1" customFormat="1" ht="9.95" customHeight="1" spans="1:18">
      <c r="A4773" s="7"/>
      <c r="B4773" s="12"/>
      <c r="C4773" s="29"/>
      <c r="D4773" s="29"/>
      <c r="E4773" s="29"/>
      <c r="F4773" s="29"/>
      <c r="G4773" s="29"/>
      <c r="H4773" s="29"/>
      <c r="I4773" s="29"/>
      <c r="J4773" s="29"/>
      <c r="K4773" s="29"/>
      <c r="L4773" s="29"/>
      <c r="M4773" s="29"/>
      <c r="N4773" s="29"/>
      <c r="O4773" s="29"/>
      <c r="P4773" s="29"/>
      <c r="Q4773" s="14"/>
      <c r="R4773" s="11"/>
    </row>
    <row r="4774" s="1" customFormat="1" ht="9.95" customHeight="1" spans="1:18">
      <c r="A4774" s="7"/>
      <c r="B4774" s="12"/>
      <c r="C4774" s="30"/>
      <c r="D4774" s="31"/>
      <c r="E4774" s="31"/>
      <c r="F4774" s="31"/>
      <c r="G4774" s="31"/>
      <c r="H4774" s="31"/>
      <c r="I4774" s="31"/>
      <c r="J4774" s="31"/>
      <c r="K4774" s="31"/>
      <c r="L4774" s="31"/>
      <c r="M4774" s="31"/>
      <c r="N4774" s="31"/>
      <c r="O4774" s="31"/>
      <c r="P4774" s="32"/>
      <c r="Q4774" s="14"/>
      <c r="R4774" s="11"/>
    </row>
    <row r="4775" s="1" customFormat="1" ht="21.95" customHeight="1" spans="1:18">
      <c r="A4775" s="7"/>
      <c r="B4775" s="12"/>
      <c r="C4775" s="33"/>
      <c r="D4775" s="34" t="s">
        <v>713</v>
      </c>
      <c r="E4775" s="20" t="s">
        <v>714</v>
      </c>
      <c r="F4775" s="35" t="str">
        <f>"Level - "&amp;IFERROR(VLOOKUP(F4766,FLN!$A$4:$K$103,9,0),"")</f>
        <v>Level - </v>
      </c>
      <c r="G4775" s="36"/>
      <c r="H4775" s="37" t="s">
        <v>715</v>
      </c>
      <c r="I4775" s="20"/>
      <c r="J4775" s="35" t="str">
        <f>"Level - "&amp;IFERROR(VLOOKUP(F4766,FLN!$A$4:$K$103,11,0),"")</f>
        <v>Level - </v>
      </c>
      <c r="K4775" s="36"/>
      <c r="L4775" s="37" t="s">
        <v>408</v>
      </c>
      <c r="M4775" s="20"/>
      <c r="N4775" s="35" t="str">
        <f>"Level - "&amp;IFERROR(VLOOKUP(F4766,FLN!$A$4:$K$103,10,0),"")</f>
        <v>Level - </v>
      </c>
      <c r="O4775" s="36"/>
      <c r="P4775" s="19"/>
      <c r="Q4775" s="14"/>
      <c r="R4775" s="11"/>
    </row>
    <row r="4776" s="1" customFormat="1" ht="21.95" customHeight="1" spans="1:18">
      <c r="A4776" s="7"/>
      <c r="B4776" s="12"/>
      <c r="C4776" s="33"/>
      <c r="D4776" s="38"/>
      <c r="E4776" s="20" t="s">
        <v>716</v>
      </c>
      <c r="F4776" s="18" t="str">
        <f>IF(L4790&gt;197,"PERFORMED WELL","")</f>
        <v/>
      </c>
      <c r="G4776" s="18"/>
      <c r="H4776" s="18"/>
      <c r="I4776" s="18"/>
      <c r="J4776" s="18"/>
      <c r="K4776" s="18"/>
      <c r="L4776" s="18"/>
      <c r="M4776" s="18"/>
      <c r="N4776" s="18"/>
      <c r="O4776" s="18"/>
      <c r="P4776" s="19"/>
      <c r="Q4776" s="14"/>
      <c r="R4776" s="11"/>
    </row>
    <row r="4777" s="1" customFormat="1" ht="9.95" customHeight="1" spans="1:18">
      <c r="A4777" s="7"/>
      <c r="B4777" s="12"/>
      <c r="C4777" s="39"/>
      <c r="D4777" s="40"/>
      <c r="E4777" s="40"/>
      <c r="F4777" s="40"/>
      <c r="G4777" s="40"/>
      <c r="H4777" s="40"/>
      <c r="I4777" s="40"/>
      <c r="J4777" s="40"/>
      <c r="K4777" s="40"/>
      <c r="L4777" s="40"/>
      <c r="M4777" s="40"/>
      <c r="N4777" s="40"/>
      <c r="O4777" s="40"/>
      <c r="P4777" s="41"/>
      <c r="Q4777" s="14"/>
      <c r="R4777" s="11"/>
    </row>
    <row r="4778" s="1" customFormat="1" ht="9.95" customHeight="1" spans="1:18">
      <c r="A4778" s="7"/>
      <c r="B4778" s="12"/>
      <c r="C4778" s="29"/>
      <c r="D4778" s="29"/>
      <c r="E4778" s="29"/>
      <c r="F4778" s="29"/>
      <c r="G4778" s="29"/>
      <c r="H4778" s="29"/>
      <c r="I4778" s="29"/>
      <c r="J4778" s="29"/>
      <c r="K4778" s="29"/>
      <c r="L4778" s="29"/>
      <c r="M4778" s="29"/>
      <c r="N4778" s="29"/>
      <c r="O4778" s="29"/>
      <c r="P4778" s="29"/>
      <c r="Q4778" s="14"/>
      <c r="R4778" s="11"/>
    </row>
    <row r="4779" s="1" customFormat="1" ht="9.95" customHeight="1" spans="1:18">
      <c r="A4779" s="7"/>
      <c r="B4779" s="12"/>
      <c r="C4779" s="30"/>
      <c r="D4779" s="31"/>
      <c r="E4779" s="31"/>
      <c r="F4779" s="31"/>
      <c r="G4779" s="31"/>
      <c r="H4779" s="31"/>
      <c r="I4779" s="31"/>
      <c r="J4779" s="31"/>
      <c r="K4779" s="31"/>
      <c r="L4779" s="31"/>
      <c r="M4779" s="31"/>
      <c r="N4779" s="31"/>
      <c r="O4779" s="31"/>
      <c r="P4779" s="32"/>
      <c r="Q4779" s="14"/>
      <c r="R4779" s="11"/>
    </row>
    <row r="4780" s="1" customFormat="1" ht="21.95" customHeight="1" spans="1:18">
      <c r="A4780" s="7"/>
      <c r="B4780" s="12"/>
      <c r="C4780" s="33"/>
      <c r="D4780" s="35"/>
      <c r="E4780" s="24"/>
      <c r="F4780" s="24"/>
      <c r="G4780" s="47" t="s">
        <v>717</v>
      </c>
      <c r="H4780" s="47"/>
      <c r="I4780" s="47"/>
      <c r="J4780" s="47"/>
      <c r="K4780" s="47"/>
      <c r="L4780" s="47"/>
      <c r="M4780" s="47"/>
      <c r="N4780" s="47"/>
      <c r="O4780" s="29"/>
      <c r="P4780" s="19"/>
      <c r="Q4780" s="14"/>
      <c r="R4780" s="11"/>
    </row>
    <row r="4781" s="1" customFormat="1" ht="21.95" customHeight="1" spans="1:18">
      <c r="A4781" s="7"/>
      <c r="B4781" s="12"/>
      <c r="C4781" s="33"/>
      <c r="D4781" s="47"/>
      <c r="E4781" s="47"/>
      <c r="F4781" s="47"/>
      <c r="G4781" s="47" t="s">
        <v>541</v>
      </c>
      <c r="H4781" s="47" t="s">
        <v>542</v>
      </c>
      <c r="I4781" s="47" t="s">
        <v>543</v>
      </c>
      <c r="J4781" s="47" t="s">
        <v>544</v>
      </c>
      <c r="K4781" s="47" t="s">
        <v>561</v>
      </c>
      <c r="L4781" s="47" t="s">
        <v>382</v>
      </c>
      <c r="M4781" s="49" t="s">
        <v>546</v>
      </c>
      <c r="N4781" s="49"/>
      <c r="O4781" s="29"/>
      <c r="P4781" s="19"/>
      <c r="Q4781" s="14"/>
      <c r="R4781" s="11"/>
    </row>
    <row r="4782" s="1" customFormat="1" ht="21.95" customHeight="1" spans="1:18">
      <c r="A4782" s="7"/>
      <c r="B4782" s="12"/>
      <c r="C4782" s="33"/>
      <c r="D4782" s="207" t="s">
        <v>652</v>
      </c>
      <c r="E4782" s="207"/>
      <c r="F4782" s="207"/>
      <c r="G4782" s="50">
        <v>10</v>
      </c>
      <c r="H4782" s="50">
        <v>10</v>
      </c>
      <c r="I4782" s="50">
        <v>10</v>
      </c>
      <c r="J4782" s="50">
        <v>10</v>
      </c>
      <c r="K4782" s="50">
        <v>60</v>
      </c>
      <c r="L4782" s="50">
        <v>100</v>
      </c>
      <c r="M4782" s="49"/>
      <c r="N4782" s="49"/>
      <c r="O4782" s="29"/>
      <c r="P4782" s="19"/>
      <c r="Q4782" s="14"/>
      <c r="R4782" s="11"/>
    </row>
    <row r="4783" s="1" customFormat="1" ht="21.95" customHeight="1" spans="1:18">
      <c r="A4783" s="7"/>
      <c r="B4783" s="12"/>
      <c r="C4783" s="33"/>
      <c r="D4783" s="117" t="s">
        <v>668</v>
      </c>
      <c r="E4783" s="117"/>
      <c r="F4783" s="117"/>
      <c r="G4783" s="54" t="str">
        <f>IFERROR(VLOOKUP(F4766,'1to4-2.1-RR'!$A$12:$BG$111,9,0),"")</f>
        <v/>
      </c>
      <c r="H4783" s="54" t="str">
        <f>IFERROR(VLOOKUP(F4766,'1to4-2.1-RR'!$A$12:$BG$111,10,0),"")</f>
        <v/>
      </c>
      <c r="I4783" s="54" t="str">
        <f>IFERROR(VLOOKUP(F4766,'1to4-2.1-RR'!$A$12:$BG$111,11,0),"")</f>
        <v/>
      </c>
      <c r="J4783" s="54" t="str">
        <f>IFERROR(VLOOKUP(F4766,'1to4-2.1-RR'!$A$12:$BG$111,12,0),"")</f>
        <v/>
      </c>
      <c r="K4783" s="54" t="str">
        <f>IFERROR(VLOOKUP(F4766,'1to4-2.1-RR'!$A$12:$BG$111,13,0),"")</f>
        <v/>
      </c>
      <c r="L4783" s="55">
        <f>SUM(G4783:K4783)</f>
        <v>0</v>
      </c>
      <c r="M4783" s="56" t="str">
        <f>IF(F4766&gt;ENTRY!$D$24,"",IF(L4783=0,"Ab",IF(L4783&gt;80,"A",IF(L4783&gt;60,"B",IF(L4783&gt;44,"C",IF(L4783&gt;=33,"D",IF(L4783&lt;=32,"E","")))))))</f>
        <v/>
      </c>
      <c r="N4783" s="56"/>
      <c r="O4783" s="29"/>
      <c r="P4783" s="19"/>
      <c r="Q4783" s="14"/>
      <c r="R4783" s="11"/>
    </row>
    <row r="4784" s="1" customFormat="1" ht="21.95" customHeight="1" spans="1:18">
      <c r="A4784" s="7"/>
      <c r="B4784" s="12"/>
      <c r="C4784" s="33"/>
      <c r="D4784" s="117" t="s">
        <v>513</v>
      </c>
      <c r="E4784" s="117"/>
      <c r="F4784" s="117"/>
      <c r="G4784" s="54" t="str">
        <f>IFERROR(VLOOKUP(F4766,'1to4-2.1-RR'!$A$12:$BG$111,16,0),"")</f>
        <v/>
      </c>
      <c r="H4784" s="54" t="str">
        <f>IFERROR(VLOOKUP(F4766,'1to4-2.1-RR'!$A$12:$BG$111,17,0),"")</f>
        <v/>
      </c>
      <c r="I4784" s="54" t="str">
        <f>IFERROR(VLOOKUP(F4766,'1to4-2.1-RR'!$A$12:$BG$111,18,0),"")</f>
        <v/>
      </c>
      <c r="J4784" s="54" t="str">
        <f>IFERROR(VLOOKUP(F4766,'1to4-2.1-RR'!$A$12:$BG$111,19,0),"")</f>
        <v/>
      </c>
      <c r="K4784" s="54" t="str">
        <f>IFERROR(VLOOKUP(F4766,'1to4-2.1-RR'!$A$12:$BG$111,20,0),"")</f>
        <v/>
      </c>
      <c r="L4784" s="55">
        <f t="shared" ref="L4784:L4789" si="170">SUM(G4784:K4784)</f>
        <v>0</v>
      </c>
      <c r="M4784" s="56" t="str">
        <f>IF(F4766&gt;ENTRY!$D$24,"",IF(L4784=0,"Ab",IF(L4784&gt;80,"A",IF(L4784&gt;60,"B",IF(L4784&gt;44,"C",IF(L4784&gt;=33,"D",IF(L4784&lt;=32,"E","")))))))</f>
        <v/>
      </c>
      <c r="N4784" s="56"/>
      <c r="O4784" s="29"/>
      <c r="P4784" s="19"/>
      <c r="Q4784" s="14"/>
      <c r="R4784" s="11"/>
    </row>
    <row r="4785" s="1" customFormat="1" ht="21.95" customHeight="1" spans="1:19">
      <c r="A4785" s="7"/>
      <c r="B4785" s="12"/>
      <c r="C4785" s="33"/>
      <c r="D4785" s="117" t="s">
        <v>718</v>
      </c>
      <c r="E4785" s="117"/>
      <c r="F4785" s="117"/>
      <c r="G4785" s="54" t="str">
        <f>IFERROR(VLOOKUP(F4766,'1to4-2.1-RR'!$A$12:$BG$111,23,0),"")</f>
        <v/>
      </c>
      <c r="H4785" s="54" t="str">
        <f>IFERROR(VLOOKUP(F4766,'1to4-2.1-RR'!$A$12:$BG$111,24,0),"")</f>
        <v/>
      </c>
      <c r="I4785" s="54" t="str">
        <f>IFERROR(VLOOKUP(F4766,'1to4-2.1-RR'!$A$12:$BG$111,25,0),"")</f>
        <v/>
      </c>
      <c r="J4785" s="54" t="str">
        <f>IFERROR(VLOOKUP(F4766,'1to4-2.1-RR'!$A$12:$BG$111,26,0),"")</f>
        <v/>
      </c>
      <c r="K4785" s="54" t="str">
        <f>IFERROR(VLOOKUP(F4766,'1to4-2.1-RR'!$A$12:$BG$111,27,0),"")</f>
        <v/>
      </c>
      <c r="L4785" s="55">
        <f t="shared" si="170"/>
        <v>0</v>
      </c>
      <c r="M4785" s="56" t="str">
        <f>IF(F4766&gt;ENTRY!$D$24,"",IF(L4785=0,"Ab",IF(L4785&gt;80,"A",IF(L4785&gt;60,"B",IF(L4785&gt;44,"C",IF(L4785&gt;=33,"D",IF(L4785&lt;=32,"E","")))))))</f>
        <v/>
      </c>
      <c r="N4785" s="56"/>
      <c r="O4785" s="29"/>
      <c r="P4785" s="19"/>
      <c r="Q4785" s="14"/>
      <c r="R4785" s="11"/>
    </row>
    <row r="4786" s="1" customFormat="1" ht="21.95" customHeight="1" spans="1:19">
      <c r="A4786" s="7"/>
      <c r="B4786" s="12"/>
      <c r="C4786" s="33"/>
      <c r="D4786" s="117" t="s">
        <v>719</v>
      </c>
      <c r="E4786" s="117"/>
      <c r="F4786" s="117"/>
      <c r="G4786" s="54" t="str">
        <f>IFERROR(VLOOKUP(F4766,'1to4-2.1-RR'!$A$12:$BG$111,30,0),"")</f>
        <v/>
      </c>
      <c r="H4786" s="54" t="str">
        <f>IFERROR(VLOOKUP(F4766,'1to4-2.1-RR'!$A$12:$BG$111,31,0),"")</f>
        <v/>
      </c>
      <c r="I4786" s="54" t="str">
        <f>IFERROR(VLOOKUP(F4766,'1to4-2.1-RR'!$A$12:$BG$111,32,0),"")</f>
        <v/>
      </c>
      <c r="J4786" s="54" t="str">
        <f>IFERROR(VLOOKUP(F4766,'1to4-2.1-RR'!$A$12:$BG$111,33,0),"")</f>
        <v/>
      </c>
      <c r="K4786" s="54" t="str">
        <f>IFERROR(VLOOKUP(F4766,'1to4-2.1-RR'!$A$12:$BG$111,34,0),"")</f>
        <v/>
      </c>
      <c r="L4786" s="55">
        <f t="shared" si="170"/>
        <v>0</v>
      </c>
      <c r="M4786" s="56" t="str">
        <f>IF(F4766&gt;ENTRY!$D$24,"",IF(L4786=0,"Ab",IF(L4786&gt;80,"A",IF(L4786&gt;60,"B",IF(L4786&gt;44,"C",IF(L4786&gt;=33,"D",IF(L4786&lt;=32,"E","")))))))</f>
        <v/>
      </c>
      <c r="N4786" s="56"/>
      <c r="O4786" s="29"/>
      <c r="P4786" s="19"/>
      <c r="Q4786" s="14"/>
      <c r="R4786" s="11"/>
    </row>
    <row r="4787" s="1" customFormat="1" ht="21.95" customHeight="1" spans="1:19">
      <c r="A4787" s="7"/>
      <c r="B4787" s="12"/>
      <c r="C4787" s="33"/>
      <c r="D4787" s="117" t="s">
        <v>548</v>
      </c>
      <c r="E4787" s="117"/>
      <c r="F4787" s="117"/>
      <c r="G4787" s="54" t="str">
        <f>IFERROR(VLOOKUP(F4766,'1to4-2.1-RR'!$A$12:$BG$111,37,0),"")</f>
        <v/>
      </c>
      <c r="H4787" s="54" t="str">
        <f>IFERROR(VLOOKUP(F4766,'1to4-2.1-RR'!$A$12:$BG$111,38,0),"")</f>
        <v/>
      </c>
      <c r="I4787" s="54" t="str">
        <f>IFERROR(VLOOKUP(F4766,'1to4-2.1-RR'!$A$12:$BG$111,39,0),"")</f>
        <v/>
      </c>
      <c r="J4787" s="54" t="str">
        <f>IFERROR(VLOOKUP(F4766,'1to4-2.1-RR'!$A$12:$BG$111,40,0),"")</f>
        <v/>
      </c>
      <c r="K4787" s="54" t="str">
        <f>IFERROR(VLOOKUP(F4766,'1to4-2.1-RR'!$A$12:$BG$111,41,0),"")</f>
        <v/>
      </c>
      <c r="L4787" s="55">
        <f t="shared" si="170"/>
        <v>0</v>
      </c>
      <c r="M4787" s="56" t="str">
        <f>IF(F4766&gt;ENTRY!$D$24,"",IF(L4787=0,"Ab",IF(L4787&gt;80,"A",IF(L4787&gt;60,"B",IF(L4787&gt;44,"C",IF(L4787&gt;=33,"D",IF(L4787&lt;=32,"E","")))))))</f>
        <v/>
      </c>
      <c r="N4787" s="56"/>
      <c r="O4787" s="29"/>
      <c r="P4787" s="19"/>
      <c r="Q4787" s="14"/>
      <c r="R4787" s="11"/>
    </row>
    <row r="4788" s="1" customFormat="1" ht="21.95" customHeight="1" spans="1:19">
      <c r="A4788" s="7"/>
      <c r="B4788" s="12"/>
      <c r="C4788" s="33"/>
      <c r="D4788" s="117" t="s">
        <v>549</v>
      </c>
      <c r="E4788" s="117"/>
      <c r="F4788" s="117"/>
      <c r="G4788" s="54" t="str">
        <f>IFERROR(VLOOKUP(F4766,'1to4-2.1-RR'!$A$12:$BG$111,44,0),"")</f>
        <v/>
      </c>
      <c r="H4788" s="54" t="str">
        <f>IFERROR(VLOOKUP(F4766,'1to4-2.1-RR'!$A$12:$BG$111,45,0),"")</f>
        <v/>
      </c>
      <c r="I4788" s="54" t="str">
        <f>IFERROR(VLOOKUP(F4766,'1to4-2.1-RR'!$A$12:$BG$111,46,0),"")</f>
        <v/>
      </c>
      <c r="J4788" s="54" t="str">
        <f>IFERROR(VLOOKUP(F4766,'1to4-2.1-RR'!$A$12:$BG$111,47,0),"")</f>
        <v/>
      </c>
      <c r="K4788" s="54" t="str">
        <f>IFERROR(VLOOKUP(F4766,'1to4-2.1-RR'!$A$12:$BG$111,48,0),"")</f>
        <v/>
      </c>
      <c r="L4788" s="55">
        <f t="shared" si="170"/>
        <v>0</v>
      </c>
      <c r="M4788" s="56" t="str">
        <f>IF(F4766&gt;ENTRY!$D$24,"",IF(L4788=0,"Ab",IF(L4788&gt;80,"A",IF(L4788&gt;60,"B",IF(L4788&gt;44,"C",IF(L4788&gt;=33,"D",IF(L4788&lt;=32,"E","")))))))</f>
        <v/>
      </c>
      <c r="N4788" s="56"/>
      <c r="O4788" s="29"/>
      <c r="P4788" s="19"/>
      <c r="Q4788" s="14"/>
      <c r="R4788" s="11"/>
    </row>
    <row r="4789" s="1" customFormat="1" ht="21.95" customHeight="1" spans="1:19">
      <c r="A4789" s="7"/>
      <c r="B4789" s="12"/>
      <c r="C4789" s="33"/>
      <c r="D4789" s="117" t="s">
        <v>720</v>
      </c>
      <c r="E4789" s="117"/>
      <c r="F4789" s="117"/>
      <c r="G4789" s="54"/>
      <c r="H4789" s="54"/>
      <c r="I4789" s="54"/>
      <c r="J4789" s="54"/>
      <c r="K4789" s="54"/>
      <c r="L4789" s="55">
        <f t="shared" si="170"/>
        <v>0</v>
      </c>
      <c r="M4789" s="56" t="str">
        <f>IF(F4766&gt;ENTRY!$D$24,"",IF(L4789=0,"",IF(L4789&gt;79,"A",IF(L4789&gt;59,"B",IF(L4789&gt;44,"C",IF(L4789&gt;=33,"D",IF(L4789&lt;=32,"E","")))))))</f>
        <v/>
      </c>
      <c r="N4789" s="56"/>
      <c r="O4789" s="29"/>
      <c r="P4789" s="19"/>
      <c r="Q4789" s="14"/>
      <c r="R4789" s="11"/>
    </row>
    <row r="4790" s="1" customFormat="1" ht="21.95" customHeight="1" spans="1:19">
      <c r="A4790" s="7"/>
      <c r="B4790" s="12"/>
      <c r="C4790" s="33"/>
      <c r="D4790" s="207" t="s">
        <v>382</v>
      </c>
      <c r="E4790" s="207"/>
      <c r="F4790" s="207"/>
      <c r="G4790" s="54">
        <f t="shared" ref="G4790:L4790" si="171">IFERROR(SUM(G4783:G4789),"")</f>
        <v>0</v>
      </c>
      <c r="H4790" s="54">
        <f t="shared" si="171"/>
        <v>0</v>
      </c>
      <c r="I4790" s="54">
        <f t="shared" si="171"/>
        <v>0</v>
      </c>
      <c r="J4790" s="54">
        <f t="shared" si="171"/>
        <v>0</v>
      </c>
      <c r="K4790" s="54">
        <f t="shared" si="171"/>
        <v>0</v>
      </c>
      <c r="L4790" s="55">
        <f t="shared" si="171"/>
        <v>0</v>
      </c>
      <c r="M4790" s="61" t="str">
        <f>IF(F4766&gt;ENTRY!$D$24,"",IF(N4791="Ab","Ab",IF(N4791&gt;79.5,"A",IF(N4791&gt;59.5,"B",IF(N4791&gt;44.5,"C",IF(N4791&gt;=33,"D",IF(N4791&lt;33,"E","")))))))</f>
        <v/>
      </c>
      <c r="N4790" s="61"/>
      <c r="O4790" s="29"/>
      <c r="P4790" s="19"/>
      <c r="Q4790" s="14"/>
      <c r="R4790" s="11"/>
    </row>
    <row r="4791" s="1" customFormat="1" ht="21.95" customHeight="1" spans="1:19">
      <c r="A4791" s="7"/>
      <c r="B4791" s="12"/>
      <c r="C4791" s="33"/>
      <c r="D4791" s="63" t="s">
        <v>721</v>
      </c>
      <c r="E4791" s="63"/>
      <c r="F4791" s="63"/>
      <c r="G4791" s="63"/>
      <c r="H4791" s="63"/>
      <c r="I4791" s="63"/>
      <c r="J4791" s="63"/>
      <c r="K4791" s="63"/>
      <c r="L4791" s="63"/>
      <c r="M4791" s="209"/>
      <c r="N4791" s="64">
        <f>IF(L4790="Ab","Ab",L4790/6)</f>
        <v>0</v>
      </c>
      <c r="O4791" s="65"/>
      <c r="P4791" s="19"/>
      <c r="Q4791" s="14"/>
      <c r="R4791" s="11"/>
    </row>
    <row r="4792" s="1" customFormat="1" ht="21.95" customHeight="1" spans="1:19">
      <c r="A4792" s="7"/>
      <c r="B4792" s="12"/>
      <c r="C4792" s="33"/>
      <c r="D4792" s="29" t="s">
        <v>716</v>
      </c>
      <c r="E4792" s="18" t="str">
        <f>IFERROR(VLOOKUP(F4766,'1to4-2.1-RR'!$A$12:$BG$111,57,0),"")</f>
        <v/>
      </c>
      <c r="F4792" s="18"/>
      <c r="G4792" s="18"/>
      <c r="H4792" s="18"/>
      <c r="I4792" s="18"/>
      <c r="J4792" s="18"/>
      <c r="K4792" s="18"/>
      <c r="L4792" s="18"/>
      <c r="M4792" s="18"/>
      <c r="N4792" s="29"/>
      <c r="O4792" s="29"/>
      <c r="P4792" s="19"/>
      <c r="Q4792" s="14"/>
      <c r="R4792" s="11"/>
    </row>
    <row r="4793" s="1" customFormat="1" ht="9.95" customHeight="1" spans="1:19">
      <c r="A4793" s="7"/>
      <c r="B4793" s="12"/>
      <c r="C4793" s="39"/>
      <c r="D4793" s="40"/>
      <c r="E4793" s="40"/>
      <c r="F4793" s="40"/>
      <c r="G4793" s="40"/>
      <c r="H4793" s="40"/>
      <c r="I4793" s="40"/>
      <c r="J4793" s="40"/>
      <c r="K4793" s="40"/>
      <c r="L4793" s="40"/>
      <c r="M4793" s="40"/>
      <c r="N4793" s="40"/>
      <c r="O4793" s="40"/>
      <c r="P4793" s="41"/>
      <c r="Q4793" s="14"/>
      <c r="R4793" s="11"/>
    </row>
    <row r="4794" s="1" customFormat="1" ht="9.95" customHeight="1" spans="1:19">
      <c r="A4794" s="7"/>
      <c r="B4794" s="12"/>
      <c r="C4794" s="30"/>
      <c r="D4794" s="31"/>
      <c r="E4794" s="31"/>
      <c r="F4794" s="29"/>
      <c r="G4794" s="31"/>
      <c r="H4794" s="31"/>
      <c r="I4794" s="31"/>
      <c r="J4794" s="31"/>
      <c r="K4794" s="31"/>
      <c r="L4794" s="31"/>
      <c r="M4794" s="31"/>
      <c r="N4794" s="31"/>
      <c r="O4794" s="31"/>
      <c r="P4794" s="32"/>
      <c r="Q4794" s="14"/>
      <c r="R4794" s="11"/>
    </row>
    <row r="4795" s="1" customFormat="1" ht="9.95" customHeight="1" spans="1:19">
      <c r="A4795" s="7"/>
      <c r="B4795" s="12"/>
      <c r="C4795" s="33"/>
      <c r="D4795" s="29"/>
      <c r="E4795" s="29"/>
      <c r="F4795" s="29"/>
      <c r="G4795" s="29"/>
      <c r="H4795" s="29"/>
      <c r="I4795" s="29"/>
      <c r="J4795" s="29"/>
      <c r="K4795" s="29"/>
      <c r="L4795" s="29"/>
      <c r="M4795" s="29"/>
      <c r="N4795" s="29"/>
      <c r="O4795" s="29"/>
      <c r="P4795" s="19"/>
      <c r="Q4795" s="14"/>
      <c r="R4795" s="11"/>
    </row>
    <row r="4796" s="1" customFormat="1" ht="9.95" customHeight="1" spans="1:19">
      <c r="A4796" s="7"/>
      <c r="B4796" s="12"/>
      <c r="C4796" s="33"/>
      <c r="D4796" s="29"/>
      <c r="E4796" s="29"/>
      <c r="F4796" s="29"/>
      <c r="G4796" s="29"/>
      <c r="H4796" s="29"/>
      <c r="I4796" s="29"/>
      <c r="J4796" s="29"/>
      <c r="K4796" s="29"/>
      <c r="L4796" s="29"/>
      <c r="M4796" s="29"/>
      <c r="N4796" s="29"/>
      <c r="O4796" s="29"/>
      <c r="P4796" s="19"/>
      <c r="Q4796" s="14"/>
      <c r="R4796" s="11"/>
    </row>
    <row r="4797" s="1" customFormat="1" ht="21.95" customHeight="1" spans="1:19">
      <c r="A4797" s="7"/>
      <c r="B4797" s="12"/>
      <c r="C4797" s="210"/>
      <c r="D4797" s="211"/>
      <c r="E4797" s="211"/>
      <c r="F4797" s="211"/>
      <c r="G4797" s="211"/>
      <c r="H4797" s="211"/>
      <c r="I4797" s="211"/>
      <c r="J4797" s="211"/>
      <c r="K4797" s="211"/>
      <c r="L4797" s="211"/>
      <c r="M4797" s="211"/>
      <c r="N4797" s="211"/>
      <c r="O4797" s="211"/>
      <c r="P4797" s="212"/>
      <c r="Q4797" s="14"/>
      <c r="R4797" s="11"/>
      <c r="S4797" s="2"/>
    </row>
    <row r="4798" s="1" customFormat="1" ht="21.95" customHeight="1" spans="1:19">
      <c r="A4798" s="7"/>
      <c r="B4798" s="12"/>
      <c r="C4798" s="33"/>
      <c r="D4798" s="207" t="s">
        <v>722</v>
      </c>
      <c r="E4798" s="207"/>
      <c r="F4798" s="207"/>
      <c r="G4798" s="207"/>
      <c r="H4798" s="54">
        <f>IFERROR(VLOOKUP(F4766,PASHEET!$A$4:$CJ$103,88,0),"")</f>
        <v>0</v>
      </c>
      <c r="I4798" s="54"/>
      <c r="J4798" s="29"/>
      <c r="K4798" s="29"/>
      <c r="L4798" s="29"/>
      <c r="M4798" s="29"/>
      <c r="N4798" s="29"/>
      <c r="O4798" s="29"/>
      <c r="P4798" s="19"/>
      <c r="Q4798" s="14"/>
      <c r="R4798" s="11"/>
    </row>
    <row r="4799" s="1" customFormat="1" ht="21.95" customHeight="1" spans="1:19">
      <c r="A4799" s="7"/>
      <c r="B4799" s="12"/>
      <c r="C4799" s="213"/>
      <c r="D4799" s="207" t="s">
        <v>723</v>
      </c>
      <c r="E4799" s="207"/>
      <c r="F4799" s="207"/>
      <c r="G4799" s="207"/>
      <c r="H4799" s="54">
        <f>IFERROR(VLOOKUP(F4766,PASHEET!$A$4:$CJ$103,87,0),"")</f>
        <v>0</v>
      </c>
      <c r="I4799" s="54"/>
      <c r="J4799" s="214"/>
      <c r="K4799" s="214"/>
      <c r="L4799" s="207" t="s">
        <v>724</v>
      </c>
      <c r="M4799" s="207"/>
      <c r="N4799" s="117" t="str">
        <f>IF(F4766&gt;ENTRY!$D$24,"",IF(F4766&gt;0,L4790&amp;" / "&amp;600,""))</f>
        <v/>
      </c>
      <c r="O4799" s="117"/>
      <c r="P4799" s="215"/>
      <c r="Q4799" s="14"/>
      <c r="R4799" s="11"/>
    </row>
    <row r="4800" s="1" customFormat="1" ht="18" customHeight="1" spans="1:19">
      <c r="A4800" s="7"/>
      <c r="B4800" s="12"/>
      <c r="C4800" s="33"/>
      <c r="D4800" s="207" t="s">
        <v>725</v>
      </c>
      <c r="E4800" s="207"/>
      <c r="F4800" s="207"/>
      <c r="G4800" s="207"/>
      <c r="H4800" s="69" t="str">
        <f>IFERROR(IF(F4766&gt;0,H4799/H4798*100),"")</f>
        <v/>
      </c>
      <c r="I4800" s="69"/>
      <c r="J4800" s="29"/>
      <c r="K4800" s="29"/>
      <c r="L4800" s="207" t="s">
        <v>726</v>
      </c>
      <c r="M4800" s="207"/>
      <c r="N4800" s="216" t="str">
        <f>IF(F4766&gt;ENTRY!$D$24,"",IF(F4766&gt;0,L4790/600*100,""))</f>
        <v/>
      </c>
      <c r="O4800" s="216"/>
      <c r="P4800" s="19"/>
      <c r="Q4800" s="14"/>
      <c r="R4800" s="11"/>
    </row>
    <row r="4801" s="1" customFormat="1" ht="21.95" customHeight="1" spans="1:18">
      <c r="A4801" s="7"/>
      <c r="B4801" s="12"/>
      <c r="C4801" s="33"/>
      <c r="D4801" s="80"/>
      <c r="E4801" s="80"/>
      <c r="F4801" s="217"/>
      <c r="G4801" s="217"/>
      <c r="H4801" s="217"/>
      <c r="I4801" s="217"/>
      <c r="J4801" s="217"/>
      <c r="K4801" s="217"/>
      <c r="L4801" s="217"/>
      <c r="M4801" s="217"/>
      <c r="N4801" s="80"/>
      <c r="O4801" s="80"/>
      <c r="P4801" s="19"/>
      <c r="Q4801" s="14"/>
      <c r="R4801" s="11"/>
    </row>
    <row r="4802" s="1" customFormat="1" ht="21.95" customHeight="1" spans="1:18">
      <c r="A4802" s="7"/>
      <c r="B4802" s="12"/>
      <c r="C4802" s="33"/>
      <c r="D4802" s="80"/>
      <c r="E4802" s="218"/>
      <c r="F4802" s="218"/>
      <c r="G4802" s="218"/>
      <c r="H4802" s="80"/>
      <c r="I4802" s="218"/>
      <c r="J4802" s="218"/>
      <c r="K4802" s="218"/>
      <c r="L4802" s="218"/>
      <c r="M4802" s="80"/>
      <c r="N4802" s="219"/>
      <c r="O4802" s="219"/>
      <c r="P4802" s="19"/>
      <c r="Q4802" s="14"/>
      <c r="R4802" s="11"/>
    </row>
    <row r="4803" s="1" customFormat="1" ht="21.95" customHeight="1" spans="1:18">
      <c r="A4803" s="7"/>
      <c r="B4803" s="12"/>
      <c r="C4803" s="33"/>
      <c r="D4803" s="80"/>
      <c r="E4803" s="80"/>
      <c r="F4803" s="80"/>
      <c r="G4803" s="80"/>
      <c r="H4803" s="80"/>
      <c r="I4803" s="80"/>
      <c r="J4803" s="80"/>
      <c r="K4803" s="80"/>
      <c r="L4803" s="80"/>
      <c r="M4803" s="80"/>
      <c r="N4803" s="80"/>
      <c r="O4803" s="80"/>
      <c r="P4803" s="19"/>
      <c r="Q4803" s="14"/>
      <c r="R4803" s="11"/>
    </row>
    <row r="4804" s="1" customFormat="1" ht="21.95" customHeight="1" spans="1:18">
      <c r="A4804" s="7"/>
      <c r="B4804" s="12"/>
      <c r="C4804" s="33"/>
      <c r="D4804" s="218"/>
      <c r="E4804" s="218"/>
      <c r="F4804" s="218"/>
      <c r="G4804" s="218"/>
      <c r="H4804" s="218"/>
      <c r="I4804" s="218"/>
      <c r="J4804" s="218"/>
      <c r="K4804" s="218"/>
      <c r="L4804" s="218"/>
      <c r="M4804" s="80"/>
      <c r="N4804" s="217"/>
      <c r="O4804" s="217"/>
      <c r="P4804" s="85" t="s">
        <v>727</v>
      </c>
      <c r="Q4804" s="14"/>
      <c r="R4804" s="11"/>
    </row>
    <row r="4805" s="1" customFormat="1" ht="21.95" customHeight="1" spans="1:18">
      <c r="A4805" s="7"/>
      <c r="B4805" s="12"/>
      <c r="C4805" s="33"/>
      <c r="D4805" s="29"/>
      <c r="E4805" s="29"/>
      <c r="F4805" s="29"/>
      <c r="G4805" s="29"/>
      <c r="H4805" s="29"/>
      <c r="I4805" s="29"/>
      <c r="J4805" s="29"/>
      <c r="K4805" s="29"/>
      <c r="L4805" s="29"/>
      <c r="M4805" s="29"/>
      <c r="N4805" s="29"/>
      <c r="O4805" s="29"/>
      <c r="P4805" s="19"/>
      <c r="Q4805" s="14"/>
      <c r="R4805" s="11"/>
    </row>
    <row r="4806" s="1" customFormat="1" ht="21.95" customHeight="1" spans="1:18">
      <c r="A4806" s="7"/>
      <c r="B4806" s="12"/>
      <c r="C4806" s="33"/>
      <c r="D4806" s="29"/>
      <c r="E4806" s="29"/>
      <c r="F4806" s="29"/>
      <c r="G4806" s="29"/>
      <c r="H4806" s="29"/>
      <c r="I4806" s="29"/>
      <c r="J4806" s="29"/>
      <c r="K4806" s="29"/>
      <c r="L4806" s="29"/>
      <c r="M4806" s="29"/>
      <c r="N4806" s="29"/>
      <c r="O4806" s="29"/>
      <c r="P4806" s="19"/>
      <c r="Q4806" s="14"/>
      <c r="R4806" s="11"/>
    </row>
    <row r="4807" s="1" customFormat="1" ht="21.95" customHeight="1" spans="1:18">
      <c r="A4807" s="7"/>
      <c r="B4807" s="12"/>
      <c r="C4807" s="33"/>
      <c r="D4807" s="29"/>
      <c r="E4807" s="29"/>
      <c r="F4807" s="29"/>
      <c r="G4807" s="29"/>
      <c r="H4807" s="29"/>
      <c r="I4807" s="29"/>
      <c r="J4807" s="29"/>
      <c r="K4807" s="29"/>
      <c r="L4807" s="29"/>
      <c r="M4807" s="29"/>
      <c r="N4807" s="29"/>
      <c r="O4807" s="29"/>
      <c r="P4807" s="19"/>
      <c r="Q4807" s="14"/>
      <c r="R4807" s="11"/>
    </row>
    <row r="4808" s="1" customFormat="1" ht="21.95" customHeight="1" spans="1:18">
      <c r="A4808" s="7"/>
      <c r="B4808" s="12"/>
      <c r="C4808" s="33"/>
      <c r="D4808" s="29"/>
      <c r="E4808" s="29"/>
      <c r="F4808" s="29"/>
      <c r="G4808" s="29"/>
      <c r="H4808" s="29"/>
      <c r="I4808" s="29"/>
      <c r="J4808" s="29"/>
      <c r="K4808" s="29"/>
      <c r="L4808" s="29"/>
      <c r="M4808" s="29"/>
      <c r="N4808" s="29"/>
      <c r="O4808" s="29"/>
      <c r="P4808" s="19"/>
      <c r="Q4808" s="14"/>
      <c r="R4808" s="11"/>
    </row>
    <row r="4809" s="1" customFormat="1" ht="21.95" customHeight="1" spans="1:18">
      <c r="A4809" s="7"/>
      <c r="B4809" s="12"/>
      <c r="C4809" s="33"/>
      <c r="D4809" s="29"/>
      <c r="E4809" s="29"/>
      <c r="F4809" s="29"/>
      <c r="G4809" s="29"/>
      <c r="H4809" s="29"/>
      <c r="I4809" s="29"/>
      <c r="J4809" s="29"/>
      <c r="K4809" s="29"/>
      <c r="L4809" s="29"/>
      <c r="M4809" s="29"/>
      <c r="N4809" s="29"/>
      <c r="O4809" s="29"/>
      <c r="P4809" s="19"/>
      <c r="Q4809" s="14"/>
      <c r="R4809" s="11"/>
    </row>
    <row r="4810" s="1" customFormat="1" ht="21.95" customHeight="1" spans="1:18">
      <c r="A4810" s="7"/>
      <c r="B4810" s="12"/>
      <c r="C4810" s="33"/>
      <c r="D4810" s="80" t="s">
        <v>728</v>
      </c>
      <c r="E4810" s="220">
        <f>ENTRY!$D$27</f>
        <v>46102</v>
      </c>
      <c r="F4810" s="220"/>
      <c r="G4810" s="29"/>
      <c r="H4810" s="29"/>
      <c r="I4810" s="221" t="s">
        <v>729</v>
      </c>
      <c r="J4810" s="153"/>
      <c r="K4810" s="29"/>
      <c r="L4810" s="29"/>
      <c r="M4810" s="87" t="s">
        <v>730</v>
      </c>
      <c r="N4810" s="87"/>
      <c r="O4810" s="87"/>
      <c r="P4810" s="19"/>
      <c r="Q4810" s="14"/>
      <c r="R4810" s="11"/>
    </row>
    <row r="4811" s="1" customFormat="1" ht="21.95" customHeight="1" spans="1:18">
      <c r="A4811" s="7"/>
      <c r="B4811" s="12"/>
      <c r="C4811" s="33"/>
      <c r="D4811" s="80" t="s">
        <v>731</v>
      </c>
      <c r="E4811" s="88" t="str">
        <f>PROPER(ENTRY!$D$28)</f>
        <v>New Delhi</v>
      </c>
      <c r="F4811" s="88"/>
      <c r="G4811" s="29"/>
      <c r="H4811" s="29"/>
      <c r="I4811" s="153"/>
      <c r="J4811" s="153"/>
      <c r="K4811" s="29"/>
      <c r="L4811" s="29"/>
      <c r="M4811" s="79" t="s">
        <v>732</v>
      </c>
      <c r="N4811" s="79"/>
      <c r="O4811" s="79"/>
      <c r="P4811" s="19"/>
      <c r="Q4811" s="14"/>
      <c r="R4811" s="11"/>
    </row>
    <row r="4812" s="1" customFormat="1" ht="21.95" customHeight="1" spans="1:18">
      <c r="A4812" s="7"/>
      <c r="B4812" s="12"/>
      <c r="C4812" s="90"/>
      <c r="D4812" s="91"/>
      <c r="E4812" s="91"/>
      <c r="F4812" s="91"/>
      <c r="G4812" s="91"/>
      <c r="H4812" s="91"/>
      <c r="I4812" s="91"/>
      <c r="J4812" s="91"/>
      <c r="K4812" s="91"/>
      <c r="L4812" s="91"/>
      <c r="M4812" s="91"/>
      <c r="N4812" s="91"/>
      <c r="O4812" s="91"/>
      <c r="P4812" s="92"/>
      <c r="Q4812" s="14"/>
      <c r="R4812" s="11"/>
    </row>
    <row r="4813" s="1" customFormat="1" ht="5.1" customHeight="1" spans="1:18">
      <c r="A4813" s="7"/>
      <c r="B4813" s="90"/>
      <c r="C4813" s="91"/>
      <c r="D4813" s="91"/>
      <c r="E4813" s="91"/>
      <c r="F4813" s="91"/>
      <c r="G4813" s="91"/>
      <c r="H4813" s="91"/>
      <c r="I4813" s="91"/>
      <c r="J4813" s="91"/>
      <c r="K4813" s="91"/>
      <c r="L4813" s="91"/>
      <c r="M4813" s="91"/>
      <c r="N4813" s="91"/>
      <c r="O4813" s="91"/>
      <c r="P4813" s="91"/>
      <c r="Q4813" s="92"/>
      <c r="R4813" s="11"/>
    </row>
    <row r="4814" s="1" customFormat="1" ht="5.1" customHeight="1" spans="1:18">
      <c r="A4814" s="93"/>
      <c r="B4814" s="94"/>
      <c r="C4814" s="94"/>
      <c r="D4814" s="94"/>
      <c r="E4814" s="94"/>
      <c r="F4814" s="94"/>
      <c r="G4814" s="94"/>
      <c r="H4814" s="94"/>
      <c r="I4814" s="94"/>
      <c r="J4814" s="94"/>
      <c r="K4814" s="94"/>
      <c r="L4814" s="94"/>
      <c r="M4814" s="94"/>
      <c r="N4814" s="94"/>
      <c r="O4814" s="94"/>
      <c r="P4814" s="94"/>
      <c r="Q4814" s="94"/>
      <c r="R4814" s="95"/>
    </row>
    <row r="4815" s="1" customFormat="1" ht="21.95" customHeight="1"/>
    <row r="4816" ht="15.15"/>
    <row r="4817" s="1" customFormat="1" ht="5.1" customHeight="1" spans="1:18">
      <c r="A4817" s="4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6"/>
    </row>
    <row r="4818" s="1" customFormat="1" ht="15" customHeight="1" spans="1:18">
      <c r="A4818" s="7"/>
      <c r="B4818" s="8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  <c r="P4818" s="9"/>
      <c r="Q4818" s="10"/>
      <c r="R4818" s="11"/>
    </row>
    <row r="4819" s="1" customFormat="1" ht="21.95" customHeight="1" spans="1:18">
      <c r="A4819" s="7"/>
      <c r="B4819" s="12"/>
      <c r="C4819" s="13" t="s">
        <v>7</v>
      </c>
      <c r="D4819" s="13"/>
      <c r="E4819" s="13"/>
      <c r="F4819" s="13"/>
      <c r="G4819" s="13"/>
      <c r="H4819" s="13"/>
      <c r="I4819" s="13"/>
      <c r="J4819" s="13"/>
      <c r="K4819" s="13"/>
      <c r="L4819" s="13"/>
      <c r="M4819" s="13"/>
      <c r="N4819" s="13"/>
      <c r="O4819" s="13"/>
      <c r="P4819" s="13"/>
      <c r="Q4819" s="14"/>
      <c r="R4819" s="11"/>
    </row>
    <row r="4820" s="1" customFormat="1" ht="21.95" customHeight="1" spans="1:18">
      <c r="A4820" s="7"/>
      <c r="B4820" s="1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14"/>
      <c r="R4820" s="11"/>
    </row>
    <row r="4821" s="1" customFormat="1" ht="21.95" customHeight="1" spans="1:18">
      <c r="A4821" s="7"/>
      <c r="B4821" s="12"/>
      <c r="C4821" s="15" t="str">
        <f>"SESSION-"&amp;ENTRY!$D$11</f>
        <v>SESSION-2026-27</v>
      </c>
      <c r="D4821" s="15"/>
      <c r="E4821" s="15"/>
      <c r="F4821" s="15"/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  <c r="Q4821" s="14"/>
      <c r="R4821" s="11"/>
    </row>
    <row r="4822" s="1" customFormat="1" ht="21.95" customHeight="1" spans="1:18">
      <c r="A4822" s="7"/>
      <c r="B4822" s="12"/>
      <c r="C4822" s="2"/>
      <c r="D4822" s="2"/>
      <c r="E4822" s="2"/>
      <c r="F4822" s="16">
        <f>F4766+1</f>
        <v>87</v>
      </c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14"/>
      <c r="R4822" s="11"/>
    </row>
    <row r="4823" s="1" customFormat="1" ht="21.95" customHeight="1" spans="1:18">
      <c r="A4823" s="7"/>
      <c r="B4823" s="12"/>
      <c r="C4823" s="17" t="s">
        <v>392</v>
      </c>
      <c r="D4823" s="17"/>
      <c r="E4823" s="17"/>
      <c r="F4823" s="18" t="str">
        <f>IF(F4822&gt;0,ENTRY!$D$6,"")</f>
        <v>MCP NITHARI NO 1 BOYS</v>
      </c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4"/>
      <c r="R4823" s="11"/>
    </row>
    <row r="4824" s="1" customFormat="1" ht="21.95" customHeight="1" spans="1:18">
      <c r="A4824" s="7"/>
      <c r="B4824" s="12"/>
      <c r="C4824" s="17" t="s">
        <v>393</v>
      </c>
      <c r="D4824" s="17"/>
      <c r="E4824" s="17"/>
      <c r="F4824" s="18">
        <f>IF(F4822&gt;0,ENTRY!$D$7,"")</f>
        <v>0</v>
      </c>
      <c r="G4824" s="18"/>
      <c r="H4824" s="20" t="s">
        <v>702</v>
      </c>
      <c r="I4824" s="20"/>
      <c r="J4824" s="21">
        <f>IF(F4822&gt;0,ENTRY!$D$10,"")</f>
        <v>40</v>
      </c>
      <c r="K4824" s="20" t="s">
        <v>703</v>
      </c>
      <c r="L4824" s="22" t="str">
        <f>IF(F4822&gt;0,ENTRY!$D$5,"")</f>
        <v>ROHINI ZONE</v>
      </c>
      <c r="M4824" s="22"/>
      <c r="N4824" s="22"/>
      <c r="O4824" s="22"/>
      <c r="P4824" s="22"/>
      <c r="Q4824" s="14"/>
      <c r="R4824" s="11"/>
    </row>
    <row r="4825" s="1" customFormat="1" ht="21.95" customHeight="1" spans="1:18">
      <c r="A4825" s="7"/>
      <c r="B4825" s="12"/>
      <c r="C4825" s="17" t="s">
        <v>706</v>
      </c>
      <c r="D4825" s="17"/>
      <c r="E4825" s="17"/>
      <c r="F4825" s="23">
        <f>IFERROR(VLOOKUP(F4822,STUDENT!$A$2:$BP$101,5,0),"")</f>
        <v>0</v>
      </c>
      <c r="G4825" s="23"/>
      <c r="H4825" s="23"/>
      <c r="I4825" s="23"/>
      <c r="J4825" s="23"/>
      <c r="K4825" s="23"/>
      <c r="L4825" s="20" t="s">
        <v>707</v>
      </c>
      <c r="M4825" s="20"/>
      <c r="N4825" s="24" t="str">
        <f>IF(F4822&gt;0,ENTRY!$D$20&amp;"-"&amp;ENTRY!$D$21,"")</f>
        <v>III-A</v>
      </c>
      <c r="O4825" s="24"/>
      <c r="P4825" s="24"/>
      <c r="Q4825" s="14"/>
      <c r="R4825" s="11"/>
    </row>
    <row r="4826" s="1" customFormat="1" ht="21.95" customHeight="1" spans="1:18">
      <c r="A4826" s="7"/>
      <c r="B4826" s="12"/>
      <c r="C4826" s="17" t="s">
        <v>708</v>
      </c>
      <c r="D4826" s="17"/>
      <c r="E4826" s="17"/>
      <c r="F4826" s="25">
        <f>IFERROR(VLOOKUP(F4822,STUDENT!$A$2:$BP$101,6,0),"")</f>
        <v>0</v>
      </c>
      <c r="G4826" s="25"/>
      <c r="H4826" s="26" t="s">
        <v>709</v>
      </c>
      <c r="I4826" s="27" t="str">
        <f>IFERROR(VLOOKUP(F4822,STUDENT!$A$2:$BP$101,59,0),"")</f>
        <v/>
      </c>
      <c r="J4826" s="27"/>
      <c r="K4826" s="20" t="s">
        <v>710</v>
      </c>
      <c r="L4826" s="20"/>
      <c r="M4826" s="28">
        <f>IFERROR(VLOOKUP(F4822,STUDENT!$A$2:$BP$101,20,0),"")</f>
        <v>0</v>
      </c>
      <c r="N4826" s="28"/>
      <c r="O4826" s="28"/>
      <c r="P4826" s="28"/>
      <c r="Q4826" s="14"/>
      <c r="R4826" s="11"/>
    </row>
    <row r="4827" s="1" customFormat="1" ht="21.95" customHeight="1" spans="1:18">
      <c r="A4827" s="7"/>
      <c r="B4827" s="12"/>
      <c r="C4827" s="17" t="s">
        <v>711</v>
      </c>
      <c r="D4827" s="17"/>
      <c r="E4827" s="17"/>
      <c r="F4827" s="23">
        <f>IFERROR(VLOOKUP(F4822,STUDENT!$A$2:$BP$101,9,0),"")</f>
        <v>0</v>
      </c>
      <c r="G4827" s="23"/>
      <c r="H4827" s="23"/>
      <c r="I4827" s="23"/>
      <c r="J4827" s="17" t="s">
        <v>620</v>
      </c>
      <c r="K4827" s="17"/>
      <c r="L4827" s="23">
        <f>IFERROR(VLOOKUP(F4822,STUDENT!$A$2:$BP$101,8,0),"")</f>
        <v>0</v>
      </c>
      <c r="M4827" s="23"/>
      <c r="N4827" s="23"/>
      <c r="O4827" s="23"/>
      <c r="P4827" s="23"/>
      <c r="Q4827" s="14"/>
      <c r="R4827" s="11"/>
    </row>
    <row r="4828" s="1" customFormat="1" ht="21.95" customHeight="1" spans="1:18">
      <c r="A4828" s="7"/>
      <c r="B4828" s="12"/>
      <c r="C4828" s="17" t="s">
        <v>712</v>
      </c>
      <c r="D4828" s="17"/>
      <c r="E4828" s="17"/>
      <c r="F4828" s="23">
        <f>IFERROR(VLOOKUP(F4822,STUDENT!$A$2:$BP$101,22,0),"")</f>
        <v>0</v>
      </c>
      <c r="G4828" s="23"/>
      <c r="H4828" s="23"/>
      <c r="I4828" s="23"/>
      <c r="J4828" s="23"/>
      <c r="K4828" s="23"/>
      <c r="L4828" s="23"/>
      <c r="M4828" s="23"/>
      <c r="N4828" s="23"/>
      <c r="O4828" s="23"/>
      <c r="P4828" s="23"/>
      <c r="Q4828" s="14"/>
      <c r="R4828" s="11"/>
    </row>
    <row r="4829" s="1" customFormat="1" ht="9.95" customHeight="1" spans="1:18">
      <c r="A4829" s="7"/>
      <c r="B4829" s="12"/>
      <c r="C4829" s="29"/>
      <c r="D4829" s="29"/>
      <c r="E4829" s="29"/>
      <c r="F4829" s="29"/>
      <c r="G4829" s="29"/>
      <c r="H4829" s="29"/>
      <c r="I4829" s="29"/>
      <c r="J4829" s="29"/>
      <c r="K4829" s="29"/>
      <c r="L4829" s="29"/>
      <c r="M4829" s="29"/>
      <c r="N4829" s="29"/>
      <c r="O4829" s="29"/>
      <c r="P4829" s="29"/>
      <c r="Q4829" s="14"/>
      <c r="R4829" s="11"/>
    </row>
    <row r="4830" s="1" customFormat="1" ht="9.95" customHeight="1" spans="1:18">
      <c r="A4830" s="7"/>
      <c r="B4830" s="12"/>
      <c r="C4830" s="30"/>
      <c r="D4830" s="31"/>
      <c r="E4830" s="31"/>
      <c r="F4830" s="31"/>
      <c r="G4830" s="31"/>
      <c r="H4830" s="31"/>
      <c r="I4830" s="31"/>
      <c r="J4830" s="31"/>
      <c r="K4830" s="31"/>
      <c r="L4830" s="31"/>
      <c r="M4830" s="31"/>
      <c r="N4830" s="31"/>
      <c r="O4830" s="31"/>
      <c r="P4830" s="32"/>
      <c r="Q4830" s="14"/>
      <c r="R4830" s="11"/>
    </row>
    <row r="4831" s="1" customFormat="1" ht="21.95" customHeight="1" spans="1:18">
      <c r="A4831" s="7"/>
      <c r="B4831" s="12"/>
      <c r="C4831" s="33"/>
      <c r="D4831" s="34" t="s">
        <v>713</v>
      </c>
      <c r="E4831" s="20" t="s">
        <v>714</v>
      </c>
      <c r="F4831" s="35" t="str">
        <f>"Level - "&amp;IFERROR(VLOOKUP(F4822,FLN!$A$4:$K$103,9,0),"")</f>
        <v>Level - </v>
      </c>
      <c r="G4831" s="36"/>
      <c r="H4831" s="37" t="s">
        <v>715</v>
      </c>
      <c r="I4831" s="20"/>
      <c r="J4831" s="35" t="str">
        <f>"Level - "&amp;IFERROR(VLOOKUP(F4822,FLN!$A$4:$K$103,11,0),"")</f>
        <v>Level - </v>
      </c>
      <c r="K4831" s="36"/>
      <c r="L4831" s="37" t="s">
        <v>408</v>
      </c>
      <c r="M4831" s="20"/>
      <c r="N4831" s="35" t="str">
        <f>"Level - "&amp;IFERROR(VLOOKUP(F4822,FLN!$A$4:$K$103,10,0),"")</f>
        <v>Level - </v>
      </c>
      <c r="O4831" s="36"/>
      <c r="P4831" s="19"/>
      <c r="Q4831" s="14"/>
      <c r="R4831" s="11"/>
    </row>
    <row r="4832" s="1" customFormat="1" ht="21.95" customHeight="1" spans="1:18">
      <c r="A4832" s="7"/>
      <c r="B4832" s="12"/>
      <c r="C4832" s="33"/>
      <c r="D4832" s="38"/>
      <c r="E4832" s="20" t="s">
        <v>716</v>
      </c>
      <c r="F4832" s="18" t="str">
        <f>IF(L4846&gt;197,"PERFORMED WELL","")</f>
        <v/>
      </c>
      <c r="G4832" s="18"/>
      <c r="H4832" s="18"/>
      <c r="I4832" s="18"/>
      <c r="J4832" s="18"/>
      <c r="K4832" s="18"/>
      <c r="L4832" s="18"/>
      <c r="M4832" s="18"/>
      <c r="N4832" s="18"/>
      <c r="O4832" s="18"/>
      <c r="P4832" s="19"/>
      <c r="Q4832" s="14"/>
      <c r="R4832" s="11"/>
    </row>
    <row r="4833" s="1" customFormat="1" ht="9.95" customHeight="1" spans="1:18">
      <c r="A4833" s="7"/>
      <c r="B4833" s="12"/>
      <c r="C4833" s="39"/>
      <c r="D4833" s="40"/>
      <c r="E4833" s="40"/>
      <c r="F4833" s="40"/>
      <c r="G4833" s="40"/>
      <c r="H4833" s="40"/>
      <c r="I4833" s="40"/>
      <c r="J4833" s="40"/>
      <c r="K4833" s="40"/>
      <c r="L4833" s="40"/>
      <c r="M4833" s="40"/>
      <c r="N4833" s="40"/>
      <c r="O4833" s="40"/>
      <c r="P4833" s="41"/>
      <c r="Q4833" s="14"/>
      <c r="R4833" s="11"/>
    </row>
    <row r="4834" s="1" customFormat="1" ht="9.95" customHeight="1" spans="1:18">
      <c r="A4834" s="7"/>
      <c r="B4834" s="12"/>
      <c r="C4834" s="29"/>
      <c r="D4834" s="29"/>
      <c r="E4834" s="29"/>
      <c r="F4834" s="29"/>
      <c r="G4834" s="29"/>
      <c r="H4834" s="29"/>
      <c r="I4834" s="29"/>
      <c r="J4834" s="29"/>
      <c r="K4834" s="29"/>
      <c r="L4834" s="29"/>
      <c r="M4834" s="29"/>
      <c r="N4834" s="29"/>
      <c r="O4834" s="29"/>
      <c r="P4834" s="29"/>
      <c r="Q4834" s="14"/>
      <c r="R4834" s="11"/>
    </row>
    <row r="4835" s="1" customFormat="1" ht="9.95" customHeight="1" spans="1:18">
      <c r="A4835" s="7"/>
      <c r="B4835" s="12"/>
      <c r="C4835" s="30"/>
      <c r="D4835" s="31"/>
      <c r="E4835" s="31"/>
      <c r="F4835" s="31"/>
      <c r="G4835" s="31"/>
      <c r="H4835" s="31"/>
      <c r="I4835" s="31"/>
      <c r="J4835" s="31"/>
      <c r="K4835" s="31"/>
      <c r="L4835" s="31"/>
      <c r="M4835" s="31"/>
      <c r="N4835" s="31"/>
      <c r="O4835" s="31"/>
      <c r="P4835" s="32"/>
      <c r="Q4835" s="14"/>
      <c r="R4835" s="11"/>
    </row>
    <row r="4836" s="1" customFormat="1" ht="21.95" customHeight="1" spans="1:18">
      <c r="A4836" s="7"/>
      <c r="B4836" s="12"/>
      <c r="C4836" s="33"/>
      <c r="D4836" s="35"/>
      <c r="E4836" s="24"/>
      <c r="F4836" s="24"/>
      <c r="G4836" s="47" t="s">
        <v>717</v>
      </c>
      <c r="H4836" s="47"/>
      <c r="I4836" s="47"/>
      <c r="J4836" s="47"/>
      <c r="K4836" s="47"/>
      <c r="L4836" s="47"/>
      <c r="M4836" s="47"/>
      <c r="N4836" s="47"/>
      <c r="O4836" s="29"/>
      <c r="P4836" s="19"/>
      <c r="Q4836" s="14"/>
      <c r="R4836" s="11"/>
    </row>
    <row r="4837" s="1" customFormat="1" ht="21.95" customHeight="1" spans="1:18">
      <c r="A4837" s="7"/>
      <c r="B4837" s="12"/>
      <c r="C4837" s="33"/>
      <c r="D4837" s="47"/>
      <c r="E4837" s="47"/>
      <c r="F4837" s="47"/>
      <c r="G4837" s="47" t="s">
        <v>541</v>
      </c>
      <c r="H4837" s="47" t="s">
        <v>542</v>
      </c>
      <c r="I4837" s="47" t="s">
        <v>543</v>
      </c>
      <c r="J4837" s="47" t="s">
        <v>544</v>
      </c>
      <c r="K4837" s="47" t="s">
        <v>561</v>
      </c>
      <c r="L4837" s="47" t="s">
        <v>382</v>
      </c>
      <c r="M4837" s="49" t="s">
        <v>546</v>
      </c>
      <c r="N4837" s="49"/>
      <c r="O4837" s="29"/>
      <c r="P4837" s="19"/>
      <c r="Q4837" s="14"/>
      <c r="R4837" s="11"/>
    </row>
    <row r="4838" s="1" customFormat="1" ht="21.95" customHeight="1" spans="1:18">
      <c r="A4838" s="7"/>
      <c r="B4838" s="12"/>
      <c r="C4838" s="33"/>
      <c r="D4838" s="207" t="s">
        <v>652</v>
      </c>
      <c r="E4838" s="207"/>
      <c r="F4838" s="207"/>
      <c r="G4838" s="50">
        <v>10</v>
      </c>
      <c r="H4838" s="50">
        <v>10</v>
      </c>
      <c r="I4838" s="50">
        <v>10</v>
      </c>
      <c r="J4838" s="50">
        <v>10</v>
      </c>
      <c r="K4838" s="50">
        <v>60</v>
      </c>
      <c r="L4838" s="50">
        <v>100</v>
      </c>
      <c r="M4838" s="49"/>
      <c r="N4838" s="49"/>
      <c r="O4838" s="29"/>
      <c r="P4838" s="19"/>
      <c r="Q4838" s="14"/>
      <c r="R4838" s="11"/>
    </row>
    <row r="4839" s="1" customFormat="1" ht="21.95" customHeight="1" spans="1:18">
      <c r="A4839" s="7"/>
      <c r="B4839" s="12"/>
      <c r="C4839" s="33"/>
      <c r="D4839" s="117" t="s">
        <v>668</v>
      </c>
      <c r="E4839" s="117"/>
      <c r="F4839" s="117"/>
      <c r="G4839" s="54" t="str">
        <f>IFERROR(VLOOKUP(F4822,'1to4-2.1-RR'!$A$12:$BG$111,9,0),"")</f>
        <v/>
      </c>
      <c r="H4839" s="54" t="str">
        <f>IFERROR(VLOOKUP(F4822,'1to4-2.1-RR'!$A$12:$BG$111,10,0),"")</f>
        <v/>
      </c>
      <c r="I4839" s="54" t="str">
        <f>IFERROR(VLOOKUP(F4822,'1to4-2.1-RR'!$A$12:$BG$111,11,0),"")</f>
        <v/>
      </c>
      <c r="J4839" s="54" t="str">
        <f>IFERROR(VLOOKUP(F4822,'1to4-2.1-RR'!$A$12:$BG$111,12,0),"")</f>
        <v/>
      </c>
      <c r="K4839" s="54" t="str">
        <f>IFERROR(VLOOKUP(F4822,'1to4-2.1-RR'!$A$12:$BG$111,13,0),"")</f>
        <v/>
      </c>
      <c r="L4839" s="55">
        <f>SUM(G4839:K4839)</f>
        <v>0</v>
      </c>
      <c r="M4839" s="56" t="str">
        <f>IF(F4822&gt;ENTRY!$D$24,"",IF(L4839=0,"Ab",IF(L4839&gt;80,"A",IF(L4839&gt;60,"B",IF(L4839&gt;44,"C",IF(L4839&gt;=33,"D",IF(L4839&lt;=32,"E","")))))))</f>
        <v/>
      </c>
      <c r="N4839" s="56"/>
      <c r="O4839" s="29"/>
      <c r="P4839" s="19"/>
      <c r="Q4839" s="14"/>
      <c r="R4839" s="11"/>
    </row>
    <row r="4840" s="1" customFormat="1" ht="21.95" customHeight="1" spans="1:18">
      <c r="A4840" s="7"/>
      <c r="B4840" s="12"/>
      <c r="C4840" s="33"/>
      <c r="D4840" s="117" t="s">
        <v>513</v>
      </c>
      <c r="E4840" s="117"/>
      <c r="F4840" s="117"/>
      <c r="G4840" s="54" t="str">
        <f>IFERROR(VLOOKUP(F4822,'1to4-2.1-RR'!$A$12:$BG$111,16,0),"")</f>
        <v/>
      </c>
      <c r="H4840" s="54" t="str">
        <f>IFERROR(VLOOKUP(F4822,'1to4-2.1-RR'!$A$12:$BG$111,17,0),"")</f>
        <v/>
      </c>
      <c r="I4840" s="54" t="str">
        <f>IFERROR(VLOOKUP(F4822,'1to4-2.1-RR'!$A$12:$BG$111,18,0),"")</f>
        <v/>
      </c>
      <c r="J4840" s="54" t="str">
        <f>IFERROR(VLOOKUP(F4822,'1to4-2.1-RR'!$A$12:$BG$111,19,0),"")</f>
        <v/>
      </c>
      <c r="K4840" s="54" t="str">
        <f>IFERROR(VLOOKUP(F4822,'1to4-2.1-RR'!$A$12:$BG$111,20,0),"")</f>
        <v/>
      </c>
      <c r="L4840" s="55">
        <f t="shared" ref="L4840:L4845" si="172">SUM(G4840:K4840)</f>
        <v>0</v>
      </c>
      <c r="M4840" s="56" t="str">
        <f>IF(F4822&gt;ENTRY!$D$24,"",IF(L4840=0,"Ab",IF(L4840&gt;80,"A",IF(L4840&gt;60,"B",IF(L4840&gt;44,"C",IF(L4840&gt;=33,"D",IF(L4840&lt;=32,"E","")))))))</f>
        <v/>
      </c>
      <c r="N4840" s="56"/>
      <c r="O4840" s="29"/>
      <c r="P4840" s="19"/>
      <c r="Q4840" s="14"/>
      <c r="R4840" s="11"/>
    </row>
    <row r="4841" s="1" customFormat="1" ht="21.95" customHeight="1" spans="1:18">
      <c r="A4841" s="7"/>
      <c r="B4841" s="12"/>
      <c r="C4841" s="33"/>
      <c r="D4841" s="117" t="s">
        <v>718</v>
      </c>
      <c r="E4841" s="117"/>
      <c r="F4841" s="117"/>
      <c r="G4841" s="54" t="str">
        <f>IFERROR(VLOOKUP(F4822,'1to4-2.1-RR'!$A$12:$BG$111,23,0),"")</f>
        <v/>
      </c>
      <c r="H4841" s="54" t="str">
        <f>IFERROR(VLOOKUP(F4822,'1to4-2.1-RR'!$A$12:$BG$111,24,0),"")</f>
        <v/>
      </c>
      <c r="I4841" s="54" t="str">
        <f>IFERROR(VLOOKUP(F4822,'1to4-2.1-RR'!$A$12:$BG$111,25,0),"")</f>
        <v/>
      </c>
      <c r="J4841" s="54" t="str">
        <f>IFERROR(VLOOKUP(F4822,'1to4-2.1-RR'!$A$12:$BG$111,26,0),"")</f>
        <v/>
      </c>
      <c r="K4841" s="54" t="str">
        <f>IFERROR(VLOOKUP(F4822,'1to4-2.1-RR'!$A$12:$BG$111,27,0),"")</f>
        <v/>
      </c>
      <c r="L4841" s="55">
        <f t="shared" si="172"/>
        <v>0</v>
      </c>
      <c r="M4841" s="56" t="str">
        <f>IF(F4822&gt;ENTRY!$D$24,"",IF(L4841=0,"Ab",IF(L4841&gt;80,"A",IF(L4841&gt;60,"B",IF(L4841&gt;44,"C",IF(L4841&gt;=33,"D",IF(L4841&lt;=32,"E","")))))))</f>
        <v/>
      </c>
      <c r="N4841" s="56"/>
      <c r="O4841" s="29"/>
      <c r="P4841" s="19"/>
      <c r="Q4841" s="14"/>
      <c r="R4841" s="11"/>
    </row>
    <row r="4842" s="1" customFormat="1" ht="21.95" customHeight="1" spans="1:18">
      <c r="A4842" s="7"/>
      <c r="B4842" s="12"/>
      <c r="C4842" s="33"/>
      <c r="D4842" s="117" t="s">
        <v>719</v>
      </c>
      <c r="E4842" s="117"/>
      <c r="F4842" s="117"/>
      <c r="G4842" s="54" t="str">
        <f>IFERROR(VLOOKUP(F4822,'1to4-2.1-RR'!$A$12:$BG$111,30,0),"")</f>
        <v/>
      </c>
      <c r="H4842" s="54" t="str">
        <f>IFERROR(VLOOKUP(F4822,'1to4-2.1-RR'!$A$12:$BG$111,31,0),"")</f>
        <v/>
      </c>
      <c r="I4842" s="54" t="str">
        <f>IFERROR(VLOOKUP(F4822,'1to4-2.1-RR'!$A$12:$BG$111,32,0),"")</f>
        <v/>
      </c>
      <c r="J4842" s="54" t="str">
        <f>IFERROR(VLOOKUP(F4822,'1to4-2.1-RR'!$A$12:$BG$111,33,0),"")</f>
        <v/>
      </c>
      <c r="K4842" s="54" t="str">
        <f>IFERROR(VLOOKUP(F4822,'1to4-2.1-RR'!$A$12:$BG$111,34,0),"")</f>
        <v/>
      </c>
      <c r="L4842" s="55">
        <f t="shared" si="172"/>
        <v>0</v>
      </c>
      <c r="M4842" s="56" t="str">
        <f>IF(F4822&gt;ENTRY!$D$24,"",IF(L4842=0,"Ab",IF(L4842&gt;80,"A",IF(L4842&gt;60,"B",IF(L4842&gt;44,"C",IF(L4842&gt;=33,"D",IF(L4842&lt;=32,"E","")))))))</f>
        <v/>
      </c>
      <c r="N4842" s="56"/>
      <c r="O4842" s="29"/>
      <c r="P4842" s="19"/>
      <c r="Q4842" s="14"/>
      <c r="R4842" s="11"/>
    </row>
    <row r="4843" s="1" customFormat="1" ht="21.95" customHeight="1" spans="1:18">
      <c r="A4843" s="7"/>
      <c r="B4843" s="12"/>
      <c r="C4843" s="33"/>
      <c r="D4843" s="117" t="s">
        <v>548</v>
      </c>
      <c r="E4843" s="117"/>
      <c r="F4843" s="117"/>
      <c r="G4843" s="54" t="str">
        <f>IFERROR(VLOOKUP(F4822,'1to4-2.1-RR'!$A$12:$BG$111,37,0),"")</f>
        <v/>
      </c>
      <c r="H4843" s="54" t="str">
        <f>IFERROR(VLOOKUP(F4822,'1to4-2.1-RR'!$A$12:$BG$111,38,0),"")</f>
        <v/>
      </c>
      <c r="I4843" s="54" t="str">
        <f>IFERROR(VLOOKUP(F4822,'1to4-2.1-RR'!$A$12:$BG$111,39,0),"")</f>
        <v/>
      </c>
      <c r="J4843" s="54" t="str">
        <f>IFERROR(VLOOKUP(F4822,'1to4-2.1-RR'!$A$12:$BG$111,40,0),"")</f>
        <v/>
      </c>
      <c r="K4843" s="54" t="str">
        <f>IFERROR(VLOOKUP(F4822,'1to4-2.1-RR'!$A$12:$BG$111,41,0),"")</f>
        <v/>
      </c>
      <c r="L4843" s="55">
        <f t="shared" si="172"/>
        <v>0</v>
      </c>
      <c r="M4843" s="56" t="str">
        <f>IF(F4822&gt;ENTRY!$D$24,"",IF(L4843=0,"Ab",IF(L4843&gt;80,"A",IF(L4843&gt;60,"B",IF(L4843&gt;44,"C",IF(L4843&gt;=33,"D",IF(L4843&lt;=32,"E","")))))))</f>
        <v/>
      </c>
      <c r="N4843" s="56"/>
      <c r="O4843" s="29"/>
      <c r="P4843" s="19"/>
      <c r="Q4843" s="14"/>
      <c r="R4843" s="11"/>
    </row>
    <row r="4844" s="1" customFormat="1" ht="21.95" customHeight="1" spans="1:18">
      <c r="A4844" s="7"/>
      <c r="B4844" s="12"/>
      <c r="C4844" s="33"/>
      <c r="D4844" s="117" t="s">
        <v>549</v>
      </c>
      <c r="E4844" s="117"/>
      <c r="F4844" s="117"/>
      <c r="G4844" s="54" t="str">
        <f>IFERROR(VLOOKUP(F4822,'1to4-2.1-RR'!$A$12:$BG$111,44,0),"")</f>
        <v/>
      </c>
      <c r="H4844" s="54" t="str">
        <f>IFERROR(VLOOKUP(F4822,'1to4-2.1-RR'!$A$12:$BG$111,45,0),"")</f>
        <v/>
      </c>
      <c r="I4844" s="54" t="str">
        <f>IFERROR(VLOOKUP(F4822,'1to4-2.1-RR'!$A$12:$BG$111,46,0),"")</f>
        <v/>
      </c>
      <c r="J4844" s="54" t="str">
        <f>IFERROR(VLOOKUP(F4822,'1to4-2.1-RR'!$A$12:$BG$111,47,0),"")</f>
        <v/>
      </c>
      <c r="K4844" s="54" t="str">
        <f>IFERROR(VLOOKUP(F4822,'1to4-2.1-RR'!$A$12:$BG$111,48,0),"")</f>
        <v/>
      </c>
      <c r="L4844" s="55">
        <f t="shared" si="172"/>
        <v>0</v>
      </c>
      <c r="M4844" s="56" t="str">
        <f>IF(F4822&gt;ENTRY!$D$24,"",IF(L4844=0,"Ab",IF(L4844&gt;80,"A",IF(L4844&gt;60,"B",IF(L4844&gt;44,"C",IF(L4844&gt;=33,"D",IF(L4844&lt;=32,"E","")))))))</f>
        <v/>
      </c>
      <c r="N4844" s="56"/>
      <c r="O4844" s="29"/>
      <c r="P4844" s="19"/>
      <c r="Q4844" s="14"/>
      <c r="R4844" s="11"/>
    </row>
    <row r="4845" s="1" customFormat="1" ht="21.95" customHeight="1" spans="1:18">
      <c r="A4845" s="7"/>
      <c r="B4845" s="12"/>
      <c r="C4845" s="33"/>
      <c r="D4845" s="117" t="s">
        <v>720</v>
      </c>
      <c r="E4845" s="117"/>
      <c r="F4845" s="117"/>
      <c r="G4845" s="54"/>
      <c r="H4845" s="54"/>
      <c r="I4845" s="54"/>
      <c r="J4845" s="54"/>
      <c r="K4845" s="54"/>
      <c r="L4845" s="55">
        <f t="shared" si="172"/>
        <v>0</v>
      </c>
      <c r="M4845" s="56" t="str">
        <f>IF(F4822&gt;ENTRY!$D$24,"",IF(L4845=0,"",IF(L4845&gt;79,"A",IF(L4845&gt;59,"B",IF(L4845&gt;44,"C",IF(L4845&gt;=33,"D",IF(L4845&lt;=32,"E","")))))))</f>
        <v/>
      </c>
      <c r="N4845" s="56"/>
      <c r="O4845" s="29"/>
      <c r="P4845" s="19"/>
      <c r="Q4845" s="14"/>
      <c r="R4845" s="11"/>
    </row>
    <row r="4846" s="1" customFormat="1" ht="21.95" customHeight="1" spans="1:18">
      <c r="A4846" s="7"/>
      <c r="B4846" s="12"/>
      <c r="C4846" s="33"/>
      <c r="D4846" s="207" t="s">
        <v>382</v>
      </c>
      <c r="E4846" s="207"/>
      <c r="F4846" s="207"/>
      <c r="G4846" s="54">
        <f t="shared" ref="G4846:L4846" si="173">IFERROR(SUM(G4839:G4845),"")</f>
        <v>0</v>
      </c>
      <c r="H4846" s="54">
        <f t="shared" si="173"/>
        <v>0</v>
      </c>
      <c r="I4846" s="54">
        <f t="shared" si="173"/>
        <v>0</v>
      </c>
      <c r="J4846" s="54">
        <f t="shared" si="173"/>
        <v>0</v>
      </c>
      <c r="K4846" s="54">
        <f t="shared" si="173"/>
        <v>0</v>
      </c>
      <c r="L4846" s="55">
        <f t="shared" si="173"/>
        <v>0</v>
      </c>
      <c r="M4846" s="61" t="str">
        <f>IF(F4822&gt;ENTRY!$D$24,"",IF(N4847="Ab","Ab",IF(N4847&gt;79.5,"A",IF(N4847&gt;59.5,"B",IF(N4847&gt;44.5,"C",IF(N4847&gt;=33,"D",IF(N4847&lt;33,"E","")))))))</f>
        <v/>
      </c>
      <c r="N4846" s="61"/>
      <c r="O4846" s="29"/>
      <c r="P4846" s="19"/>
      <c r="Q4846" s="14"/>
      <c r="R4846" s="11"/>
    </row>
    <row r="4847" s="1" customFormat="1" ht="21.95" customHeight="1" spans="1:18">
      <c r="A4847" s="7"/>
      <c r="B4847" s="12"/>
      <c r="C4847" s="33"/>
      <c r="D4847" s="63" t="s">
        <v>721</v>
      </c>
      <c r="E4847" s="63"/>
      <c r="F4847" s="63"/>
      <c r="G4847" s="63"/>
      <c r="H4847" s="63"/>
      <c r="I4847" s="63"/>
      <c r="J4847" s="63"/>
      <c r="K4847" s="63"/>
      <c r="L4847" s="63"/>
      <c r="M4847" s="209"/>
      <c r="N4847" s="64">
        <f>IF(L4846="Ab","Ab",L4846/6)</f>
        <v>0</v>
      </c>
      <c r="O4847" s="65"/>
      <c r="P4847" s="19"/>
      <c r="Q4847" s="14"/>
      <c r="R4847" s="11"/>
    </row>
    <row r="4848" s="1" customFormat="1" ht="21.95" customHeight="1" spans="1:18">
      <c r="A4848" s="7"/>
      <c r="B4848" s="12"/>
      <c r="C4848" s="33"/>
      <c r="D4848" s="29" t="s">
        <v>716</v>
      </c>
      <c r="E4848" s="18" t="str">
        <f>IFERROR(VLOOKUP(F4822,'1to4-2.1-RR'!$A$12:$BG$111,57,0),"")</f>
        <v/>
      </c>
      <c r="F4848" s="18"/>
      <c r="G4848" s="18"/>
      <c r="H4848" s="18"/>
      <c r="I4848" s="18"/>
      <c r="J4848" s="18"/>
      <c r="K4848" s="18"/>
      <c r="L4848" s="18"/>
      <c r="M4848" s="18"/>
      <c r="N4848" s="29"/>
      <c r="O4848" s="29"/>
      <c r="P4848" s="19"/>
      <c r="Q4848" s="14"/>
      <c r="R4848" s="11"/>
    </row>
    <row r="4849" s="1" customFormat="1" ht="9.95" customHeight="1" spans="1:19">
      <c r="A4849" s="7"/>
      <c r="B4849" s="12"/>
      <c r="C4849" s="39"/>
      <c r="D4849" s="40"/>
      <c r="E4849" s="40"/>
      <c r="F4849" s="40"/>
      <c r="G4849" s="40"/>
      <c r="H4849" s="40"/>
      <c r="I4849" s="40"/>
      <c r="J4849" s="40"/>
      <c r="K4849" s="40"/>
      <c r="L4849" s="40"/>
      <c r="M4849" s="40"/>
      <c r="N4849" s="40"/>
      <c r="O4849" s="40"/>
      <c r="P4849" s="41"/>
      <c r="Q4849" s="14"/>
      <c r="R4849" s="11"/>
    </row>
    <row r="4850" s="1" customFormat="1" ht="9.95" customHeight="1" spans="1:19">
      <c r="A4850" s="7"/>
      <c r="B4850" s="12"/>
      <c r="C4850" s="30"/>
      <c r="D4850" s="31"/>
      <c r="E4850" s="31"/>
      <c r="F4850" s="29"/>
      <c r="G4850" s="31"/>
      <c r="H4850" s="31"/>
      <c r="I4850" s="31"/>
      <c r="J4850" s="31"/>
      <c r="K4850" s="31"/>
      <c r="L4850" s="31"/>
      <c r="M4850" s="31"/>
      <c r="N4850" s="31"/>
      <c r="O4850" s="31"/>
      <c r="P4850" s="32"/>
      <c r="Q4850" s="14"/>
      <c r="R4850" s="11"/>
    </row>
    <row r="4851" s="1" customFormat="1" ht="9.95" customHeight="1" spans="1:19">
      <c r="A4851" s="7"/>
      <c r="B4851" s="12"/>
      <c r="C4851" s="33"/>
      <c r="D4851" s="29"/>
      <c r="E4851" s="29"/>
      <c r="F4851" s="29"/>
      <c r="G4851" s="29"/>
      <c r="H4851" s="29"/>
      <c r="I4851" s="29"/>
      <c r="J4851" s="29"/>
      <c r="K4851" s="29"/>
      <c r="L4851" s="29"/>
      <c r="M4851" s="29"/>
      <c r="N4851" s="29"/>
      <c r="O4851" s="29"/>
      <c r="P4851" s="19"/>
      <c r="Q4851" s="14"/>
      <c r="R4851" s="11"/>
    </row>
    <row r="4852" s="1" customFormat="1" ht="9.95" customHeight="1" spans="1:19">
      <c r="A4852" s="7"/>
      <c r="B4852" s="12"/>
      <c r="C4852" s="33"/>
      <c r="D4852" s="29"/>
      <c r="E4852" s="29"/>
      <c r="F4852" s="29"/>
      <c r="G4852" s="29"/>
      <c r="H4852" s="29"/>
      <c r="I4852" s="29"/>
      <c r="J4852" s="29"/>
      <c r="K4852" s="29"/>
      <c r="L4852" s="29"/>
      <c r="M4852" s="29"/>
      <c r="N4852" s="29"/>
      <c r="O4852" s="29"/>
      <c r="P4852" s="19"/>
      <c r="Q4852" s="14"/>
      <c r="R4852" s="11"/>
    </row>
    <row r="4853" s="1" customFormat="1" ht="21.95" customHeight="1" spans="1:19">
      <c r="A4853" s="7"/>
      <c r="B4853" s="12"/>
      <c r="C4853" s="210"/>
      <c r="D4853" s="211"/>
      <c r="E4853" s="211"/>
      <c r="F4853" s="211"/>
      <c r="G4853" s="211"/>
      <c r="H4853" s="211"/>
      <c r="I4853" s="211"/>
      <c r="J4853" s="211"/>
      <c r="K4853" s="211"/>
      <c r="L4853" s="211"/>
      <c r="M4853" s="211"/>
      <c r="N4853" s="211"/>
      <c r="O4853" s="211"/>
      <c r="P4853" s="212"/>
      <c r="Q4853" s="14"/>
      <c r="R4853" s="11"/>
      <c r="S4853" s="2"/>
    </row>
    <row r="4854" s="1" customFormat="1" ht="21.95" customHeight="1" spans="1:19">
      <c r="A4854" s="7"/>
      <c r="B4854" s="12"/>
      <c r="C4854" s="33"/>
      <c r="D4854" s="207" t="s">
        <v>722</v>
      </c>
      <c r="E4854" s="207"/>
      <c r="F4854" s="207"/>
      <c r="G4854" s="207"/>
      <c r="H4854" s="54">
        <f>IFERROR(VLOOKUP(F4822,PASHEET!$A$4:$CJ$103,88,0),"")</f>
        <v>0</v>
      </c>
      <c r="I4854" s="54"/>
      <c r="J4854" s="29"/>
      <c r="K4854" s="29"/>
      <c r="L4854" s="29"/>
      <c r="M4854" s="29"/>
      <c r="N4854" s="29"/>
      <c r="O4854" s="29"/>
      <c r="P4854" s="19"/>
      <c r="Q4854" s="14"/>
      <c r="R4854" s="11"/>
    </row>
    <row r="4855" s="1" customFormat="1" ht="21.95" customHeight="1" spans="1:19">
      <c r="A4855" s="7"/>
      <c r="B4855" s="12"/>
      <c r="C4855" s="213"/>
      <c r="D4855" s="207" t="s">
        <v>723</v>
      </c>
      <c r="E4855" s="207"/>
      <c r="F4855" s="207"/>
      <c r="G4855" s="207"/>
      <c r="H4855" s="54">
        <f>IFERROR(VLOOKUP(F4822,PASHEET!$A$4:$CJ$103,87,0),"")</f>
        <v>0</v>
      </c>
      <c r="I4855" s="54"/>
      <c r="J4855" s="214"/>
      <c r="K4855" s="214"/>
      <c r="L4855" s="207" t="s">
        <v>724</v>
      </c>
      <c r="M4855" s="207"/>
      <c r="N4855" s="117" t="str">
        <f>IF(F4822&gt;ENTRY!$D$24,"",IF(F4822&gt;0,L4846&amp;" / "&amp;600,""))</f>
        <v/>
      </c>
      <c r="O4855" s="117"/>
      <c r="P4855" s="215"/>
      <c r="Q4855" s="14"/>
      <c r="R4855" s="11"/>
    </row>
    <row r="4856" s="1" customFormat="1" ht="18" customHeight="1" spans="1:19">
      <c r="A4856" s="7"/>
      <c r="B4856" s="12"/>
      <c r="C4856" s="33"/>
      <c r="D4856" s="207" t="s">
        <v>725</v>
      </c>
      <c r="E4856" s="207"/>
      <c r="F4856" s="207"/>
      <c r="G4856" s="207"/>
      <c r="H4856" s="69" t="str">
        <f>IFERROR(IF(F4822&gt;0,H4855/H4854*100),"")</f>
        <v/>
      </c>
      <c r="I4856" s="69"/>
      <c r="J4856" s="29"/>
      <c r="K4856" s="29"/>
      <c r="L4856" s="207" t="s">
        <v>726</v>
      </c>
      <c r="M4856" s="207"/>
      <c r="N4856" s="216" t="str">
        <f>IF(F4822&gt;ENTRY!$D$24,"",IF(F4822&gt;0,L4846/600*100,""))</f>
        <v/>
      </c>
      <c r="O4856" s="216"/>
      <c r="P4856" s="19"/>
      <c r="Q4856" s="14"/>
      <c r="R4856" s="11"/>
    </row>
    <row r="4857" s="1" customFormat="1" ht="21.95" customHeight="1" spans="1:19">
      <c r="A4857" s="7"/>
      <c r="B4857" s="12"/>
      <c r="C4857" s="33"/>
      <c r="D4857" s="80"/>
      <c r="E4857" s="80"/>
      <c r="F4857" s="217"/>
      <c r="G4857" s="217"/>
      <c r="H4857" s="217"/>
      <c r="I4857" s="217"/>
      <c r="J4857" s="217"/>
      <c r="K4857" s="217"/>
      <c r="L4857" s="217"/>
      <c r="M4857" s="217"/>
      <c r="N4857" s="80"/>
      <c r="O4857" s="80"/>
      <c r="P4857" s="19"/>
      <c r="Q4857" s="14"/>
      <c r="R4857" s="11"/>
    </row>
    <row r="4858" s="1" customFormat="1" ht="21.95" customHeight="1" spans="1:19">
      <c r="A4858" s="7"/>
      <c r="B4858" s="12"/>
      <c r="C4858" s="33"/>
      <c r="D4858" s="80"/>
      <c r="E4858" s="218"/>
      <c r="F4858" s="218"/>
      <c r="G4858" s="218"/>
      <c r="H4858" s="80"/>
      <c r="I4858" s="218"/>
      <c r="J4858" s="218"/>
      <c r="K4858" s="218"/>
      <c r="L4858" s="218"/>
      <c r="M4858" s="80"/>
      <c r="N4858" s="219"/>
      <c r="O4858" s="219"/>
      <c r="P4858" s="19"/>
      <c r="Q4858" s="14"/>
      <c r="R4858" s="11"/>
    </row>
    <row r="4859" s="1" customFormat="1" ht="21.95" customHeight="1" spans="1:19">
      <c r="A4859" s="7"/>
      <c r="B4859" s="12"/>
      <c r="C4859" s="33"/>
      <c r="D4859" s="80"/>
      <c r="E4859" s="80"/>
      <c r="F4859" s="80"/>
      <c r="G4859" s="80"/>
      <c r="H4859" s="80"/>
      <c r="I4859" s="80"/>
      <c r="J4859" s="80"/>
      <c r="K4859" s="80"/>
      <c r="L4859" s="80"/>
      <c r="M4859" s="80"/>
      <c r="N4859" s="80"/>
      <c r="O4859" s="80"/>
      <c r="P4859" s="19"/>
      <c r="Q4859" s="14"/>
      <c r="R4859" s="11"/>
    </row>
    <row r="4860" s="1" customFormat="1" ht="21.95" customHeight="1" spans="1:19">
      <c r="A4860" s="7"/>
      <c r="B4860" s="12"/>
      <c r="C4860" s="33"/>
      <c r="D4860" s="218"/>
      <c r="E4860" s="218"/>
      <c r="F4860" s="218"/>
      <c r="G4860" s="218"/>
      <c r="H4860" s="218"/>
      <c r="I4860" s="218"/>
      <c r="J4860" s="218"/>
      <c r="K4860" s="218"/>
      <c r="L4860" s="218"/>
      <c r="M4860" s="80"/>
      <c r="N4860" s="217"/>
      <c r="O4860" s="217"/>
      <c r="P4860" s="85" t="s">
        <v>727</v>
      </c>
      <c r="Q4860" s="14"/>
      <c r="R4860" s="11"/>
    </row>
    <row r="4861" s="1" customFormat="1" ht="21.95" customHeight="1" spans="1:19">
      <c r="A4861" s="7"/>
      <c r="B4861" s="12"/>
      <c r="C4861" s="33"/>
      <c r="D4861" s="29"/>
      <c r="E4861" s="29"/>
      <c r="F4861" s="29"/>
      <c r="G4861" s="29"/>
      <c r="H4861" s="29"/>
      <c r="I4861" s="29"/>
      <c r="J4861" s="29"/>
      <c r="K4861" s="29"/>
      <c r="L4861" s="29"/>
      <c r="M4861" s="29"/>
      <c r="N4861" s="29"/>
      <c r="O4861" s="29"/>
      <c r="P4861" s="19"/>
      <c r="Q4861" s="14"/>
      <c r="R4861" s="11"/>
    </row>
    <row r="4862" s="1" customFormat="1" ht="21.95" customHeight="1" spans="1:19">
      <c r="A4862" s="7"/>
      <c r="B4862" s="12"/>
      <c r="C4862" s="33"/>
      <c r="D4862" s="29"/>
      <c r="E4862" s="29"/>
      <c r="F4862" s="29"/>
      <c r="G4862" s="29"/>
      <c r="H4862" s="29"/>
      <c r="I4862" s="29"/>
      <c r="J4862" s="29"/>
      <c r="K4862" s="29"/>
      <c r="L4862" s="29"/>
      <c r="M4862" s="29"/>
      <c r="N4862" s="29"/>
      <c r="O4862" s="29"/>
      <c r="P4862" s="19"/>
      <c r="Q4862" s="14"/>
      <c r="R4862" s="11"/>
    </row>
    <row r="4863" s="1" customFormat="1" ht="21.95" customHeight="1" spans="1:19">
      <c r="A4863" s="7"/>
      <c r="B4863" s="12"/>
      <c r="C4863" s="33"/>
      <c r="D4863" s="29"/>
      <c r="E4863" s="29"/>
      <c r="F4863" s="29"/>
      <c r="G4863" s="29"/>
      <c r="H4863" s="29"/>
      <c r="I4863" s="29"/>
      <c r="J4863" s="29"/>
      <c r="K4863" s="29"/>
      <c r="L4863" s="29"/>
      <c r="M4863" s="29"/>
      <c r="N4863" s="29"/>
      <c r="O4863" s="29"/>
      <c r="P4863" s="19"/>
      <c r="Q4863" s="14"/>
      <c r="R4863" s="11"/>
    </row>
    <row r="4864" s="1" customFormat="1" ht="21.95" customHeight="1" spans="1:19">
      <c r="A4864" s="7"/>
      <c r="B4864" s="12"/>
      <c r="C4864" s="33"/>
      <c r="D4864" s="29"/>
      <c r="E4864" s="29"/>
      <c r="F4864" s="29"/>
      <c r="G4864" s="29"/>
      <c r="H4864" s="29"/>
      <c r="I4864" s="29"/>
      <c r="J4864" s="29"/>
      <c r="K4864" s="29"/>
      <c r="L4864" s="29"/>
      <c r="M4864" s="29"/>
      <c r="N4864" s="29"/>
      <c r="O4864" s="29"/>
      <c r="P4864" s="19"/>
      <c r="Q4864" s="14"/>
      <c r="R4864" s="11"/>
    </row>
    <row r="4865" s="1" customFormat="1" ht="21.95" customHeight="1" spans="1:18">
      <c r="A4865" s="7"/>
      <c r="B4865" s="12"/>
      <c r="C4865" s="33"/>
      <c r="D4865" s="29"/>
      <c r="E4865" s="29"/>
      <c r="F4865" s="29"/>
      <c r="G4865" s="29"/>
      <c r="H4865" s="29"/>
      <c r="I4865" s="29"/>
      <c r="J4865" s="29"/>
      <c r="K4865" s="29"/>
      <c r="L4865" s="29"/>
      <c r="M4865" s="29"/>
      <c r="N4865" s="29"/>
      <c r="O4865" s="29"/>
      <c r="P4865" s="19"/>
      <c r="Q4865" s="14"/>
      <c r="R4865" s="11"/>
    </row>
    <row r="4866" s="1" customFormat="1" ht="21.95" customHeight="1" spans="1:18">
      <c r="A4866" s="7"/>
      <c r="B4866" s="12"/>
      <c r="C4866" s="33"/>
      <c r="D4866" s="80" t="s">
        <v>728</v>
      </c>
      <c r="E4866" s="220">
        <f>ENTRY!$D$27</f>
        <v>46102</v>
      </c>
      <c r="F4866" s="220"/>
      <c r="G4866" s="29"/>
      <c r="H4866" s="29"/>
      <c r="I4866" s="221" t="s">
        <v>729</v>
      </c>
      <c r="J4866" s="153"/>
      <c r="K4866" s="29"/>
      <c r="L4866" s="29"/>
      <c r="M4866" s="87" t="s">
        <v>730</v>
      </c>
      <c r="N4866" s="87"/>
      <c r="O4866" s="87"/>
      <c r="P4866" s="19"/>
      <c r="Q4866" s="14"/>
      <c r="R4866" s="11"/>
    </row>
    <row r="4867" s="1" customFormat="1" ht="21.95" customHeight="1" spans="1:18">
      <c r="A4867" s="7"/>
      <c r="B4867" s="12"/>
      <c r="C4867" s="33"/>
      <c r="D4867" s="80" t="s">
        <v>731</v>
      </c>
      <c r="E4867" s="88" t="str">
        <f>PROPER(ENTRY!$D$28)</f>
        <v>New Delhi</v>
      </c>
      <c r="F4867" s="88"/>
      <c r="G4867" s="29"/>
      <c r="H4867" s="29"/>
      <c r="I4867" s="153"/>
      <c r="J4867" s="153"/>
      <c r="K4867" s="29"/>
      <c r="L4867" s="29"/>
      <c r="M4867" s="79" t="s">
        <v>732</v>
      </c>
      <c r="N4867" s="79"/>
      <c r="O4867" s="79"/>
      <c r="P4867" s="19"/>
      <c r="Q4867" s="14"/>
      <c r="R4867" s="11"/>
    </row>
    <row r="4868" s="1" customFormat="1" ht="21.95" customHeight="1" spans="1:18">
      <c r="A4868" s="7"/>
      <c r="B4868" s="12"/>
      <c r="C4868" s="90"/>
      <c r="D4868" s="91"/>
      <c r="E4868" s="91"/>
      <c r="F4868" s="91"/>
      <c r="G4868" s="91"/>
      <c r="H4868" s="91"/>
      <c r="I4868" s="91"/>
      <c r="J4868" s="91"/>
      <c r="K4868" s="91"/>
      <c r="L4868" s="91"/>
      <c r="M4868" s="91"/>
      <c r="N4868" s="91"/>
      <c r="O4868" s="91"/>
      <c r="P4868" s="92"/>
      <c r="Q4868" s="14"/>
      <c r="R4868" s="11"/>
    </row>
    <row r="4869" s="1" customFormat="1" ht="5.1" customHeight="1" spans="1:18">
      <c r="A4869" s="7"/>
      <c r="B4869" s="90"/>
      <c r="C4869" s="91"/>
      <c r="D4869" s="91"/>
      <c r="E4869" s="91"/>
      <c r="F4869" s="91"/>
      <c r="G4869" s="91"/>
      <c r="H4869" s="91"/>
      <c r="I4869" s="91"/>
      <c r="J4869" s="91"/>
      <c r="K4869" s="91"/>
      <c r="L4869" s="91"/>
      <c r="M4869" s="91"/>
      <c r="N4869" s="91"/>
      <c r="O4869" s="91"/>
      <c r="P4869" s="91"/>
      <c r="Q4869" s="92"/>
      <c r="R4869" s="11"/>
    </row>
    <row r="4870" s="1" customFormat="1" ht="5.1" customHeight="1" spans="1:18">
      <c r="A4870" s="93"/>
      <c r="B4870" s="94"/>
      <c r="C4870" s="94"/>
      <c r="D4870" s="94"/>
      <c r="E4870" s="94"/>
      <c r="F4870" s="94"/>
      <c r="G4870" s="94"/>
      <c r="H4870" s="94"/>
      <c r="I4870" s="94"/>
      <c r="J4870" s="94"/>
      <c r="K4870" s="94"/>
      <c r="L4870" s="94"/>
      <c r="M4870" s="94"/>
      <c r="N4870" s="94"/>
      <c r="O4870" s="94"/>
      <c r="P4870" s="94"/>
      <c r="Q4870" s="94"/>
      <c r="R4870" s="95"/>
    </row>
    <row r="4871" s="1" customFormat="1" ht="21.95" customHeight="1"/>
    <row r="4872" ht="15.15"/>
    <row r="4873" s="1" customFormat="1" ht="5.1" customHeight="1" spans="1:18">
      <c r="A4873" s="4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6"/>
    </row>
    <row r="4874" s="1" customFormat="1" ht="15" customHeight="1" spans="1:18">
      <c r="A4874" s="7"/>
      <c r="B4874" s="8"/>
      <c r="C4874" s="9"/>
      <c r="D4874" s="9"/>
      <c r="E4874" s="9"/>
      <c r="F4874" s="9"/>
      <c r="G4874" s="9"/>
      <c r="H4874" s="9"/>
      <c r="I4874" s="9"/>
      <c r="J4874" s="9"/>
      <c r="K4874" s="9"/>
      <c r="L4874" s="9"/>
      <c r="M4874" s="9"/>
      <c r="N4874" s="9"/>
      <c r="O4874" s="9"/>
      <c r="P4874" s="9"/>
      <c r="Q4874" s="10"/>
      <c r="R4874" s="11"/>
    </row>
    <row r="4875" s="1" customFormat="1" ht="21.95" customHeight="1" spans="1:18">
      <c r="A4875" s="7"/>
      <c r="B4875" s="12"/>
      <c r="C4875" s="13" t="s">
        <v>7</v>
      </c>
      <c r="D4875" s="13"/>
      <c r="E4875" s="13"/>
      <c r="F4875" s="13"/>
      <c r="G4875" s="13"/>
      <c r="H4875" s="13"/>
      <c r="I4875" s="13"/>
      <c r="J4875" s="13"/>
      <c r="K4875" s="13"/>
      <c r="L4875" s="13"/>
      <c r="M4875" s="13"/>
      <c r="N4875" s="13"/>
      <c r="O4875" s="13"/>
      <c r="P4875" s="13"/>
      <c r="Q4875" s="14"/>
      <c r="R4875" s="11"/>
    </row>
    <row r="4876" s="1" customFormat="1" ht="21.95" customHeight="1" spans="1:18">
      <c r="A4876" s="7"/>
      <c r="B4876" s="1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14"/>
      <c r="R4876" s="11"/>
    </row>
    <row r="4877" s="1" customFormat="1" ht="21.95" customHeight="1" spans="1:18">
      <c r="A4877" s="7"/>
      <c r="B4877" s="12"/>
      <c r="C4877" s="15" t="str">
        <f>"SESSION-"&amp;ENTRY!$D$11</f>
        <v>SESSION-2026-27</v>
      </c>
      <c r="D4877" s="15"/>
      <c r="E4877" s="15"/>
      <c r="F4877" s="15"/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  <c r="Q4877" s="14"/>
      <c r="R4877" s="11"/>
    </row>
    <row r="4878" s="1" customFormat="1" ht="21.95" customHeight="1" spans="1:18">
      <c r="A4878" s="7"/>
      <c r="B4878" s="12"/>
      <c r="C4878" s="2"/>
      <c r="D4878" s="2"/>
      <c r="E4878" s="2"/>
      <c r="F4878" s="16">
        <f>F4822+1</f>
        <v>88</v>
      </c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14"/>
      <c r="R4878" s="11"/>
    </row>
    <row r="4879" s="1" customFormat="1" ht="21.95" customHeight="1" spans="1:18">
      <c r="A4879" s="7"/>
      <c r="B4879" s="12"/>
      <c r="C4879" s="17" t="s">
        <v>392</v>
      </c>
      <c r="D4879" s="17"/>
      <c r="E4879" s="17"/>
      <c r="F4879" s="18" t="str">
        <f>IF(F4878&gt;0,ENTRY!$D$6,"")</f>
        <v>MCP NITHARI NO 1 BOYS</v>
      </c>
      <c r="G4879" s="18"/>
      <c r="H4879" s="18"/>
      <c r="I4879" s="18"/>
      <c r="J4879" s="18"/>
      <c r="K4879" s="18"/>
      <c r="L4879" s="18"/>
      <c r="M4879" s="18"/>
      <c r="N4879" s="18"/>
      <c r="O4879" s="18"/>
      <c r="P4879" s="18"/>
      <c r="Q4879" s="14"/>
      <c r="R4879" s="11"/>
    </row>
    <row r="4880" s="1" customFormat="1" ht="21.95" customHeight="1" spans="1:18">
      <c r="A4880" s="7"/>
      <c r="B4880" s="12"/>
      <c r="C4880" s="17" t="s">
        <v>393</v>
      </c>
      <c r="D4880" s="17"/>
      <c r="E4880" s="17"/>
      <c r="F4880" s="18">
        <f>IF(F4878&gt;0,ENTRY!$D$7,"")</f>
        <v>0</v>
      </c>
      <c r="G4880" s="18"/>
      <c r="H4880" s="20" t="s">
        <v>702</v>
      </c>
      <c r="I4880" s="20"/>
      <c r="J4880" s="21">
        <f>IF(F4878&gt;0,ENTRY!$D$10,"")</f>
        <v>40</v>
      </c>
      <c r="K4880" s="20" t="s">
        <v>703</v>
      </c>
      <c r="L4880" s="22" t="str">
        <f>IF(F4878&gt;0,ENTRY!$D$5,"")</f>
        <v>ROHINI ZONE</v>
      </c>
      <c r="M4880" s="22"/>
      <c r="N4880" s="22"/>
      <c r="O4880" s="22"/>
      <c r="P4880" s="22"/>
      <c r="Q4880" s="14"/>
      <c r="R4880" s="11"/>
    </row>
    <row r="4881" s="1" customFormat="1" ht="21.95" customHeight="1" spans="1:18">
      <c r="A4881" s="7"/>
      <c r="B4881" s="12"/>
      <c r="C4881" s="17" t="s">
        <v>706</v>
      </c>
      <c r="D4881" s="17"/>
      <c r="E4881" s="17"/>
      <c r="F4881" s="23">
        <f>IFERROR(VLOOKUP(F4878,STUDENT!$A$2:$BP$101,5,0),"")</f>
        <v>0</v>
      </c>
      <c r="G4881" s="23"/>
      <c r="H4881" s="23"/>
      <c r="I4881" s="23"/>
      <c r="J4881" s="23"/>
      <c r="K4881" s="23"/>
      <c r="L4881" s="20" t="s">
        <v>707</v>
      </c>
      <c r="M4881" s="20"/>
      <c r="N4881" s="24" t="str">
        <f>IF(F4878&gt;0,ENTRY!$D$20&amp;"-"&amp;ENTRY!$D$21,"")</f>
        <v>III-A</v>
      </c>
      <c r="O4881" s="24"/>
      <c r="P4881" s="24"/>
      <c r="Q4881" s="14"/>
      <c r="R4881" s="11"/>
    </row>
    <row r="4882" s="1" customFormat="1" ht="21.95" customHeight="1" spans="1:18">
      <c r="A4882" s="7"/>
      <c r="B4882" s="12"/>
      <c r="C4882" s="17" t="s">
        <v>708</v>
      </c>
      <c r="D4882" s="17"/>
      <c r="E4882" s="17"/>
      <c r="F4882" s="25">
        <f>IFERROR(VLOOKUP(F4878,STUDENT!$A$2:$BP$101,6,0),"")</f>
        <v>0</v>
      </c>
      <c r="G4882" s="25"/>
      <c r="H4882" s="26" t="s">
        <v>709</v>
      </c>
      <c r="I4882" s="27" t="str">
        <f>IFERROR(VLOOKUP(F4878,STUDENT!$A$2:$BP$101,59,0),"")</f>
        <v/>
      </c>
      <c r="J4882" s="27"/>
      <c r="K4882" s="20" t="s">
        <v>710</v>
      </c>
      <c r="L4882" s="20"/>
      <c r="M4882" s="28">
        <f>IFERROR(VLOOKUP(F4878,STUDENT!$A$2:$BP$101,20,0),"")</f>
        <v>0</v>
      </c>
      <c r="N4882" s="28"/>
      <c r="O4882" s="28"/>
      <c r="P4882" s="28"/>
      <c r="Q4882" s="14"/>
      <c r="R4882" s="11"/>
    </row>
    <row r="4883" s="1" customFormat="1" ht="21.95" customHeight="1" spans="1:18">
      <c r="A4883" s="7"/>
      <c r="B4883" s="12"/>
      <c r="C4883" s="17" t="s">
        <v>711</v>
      </c>
      <c r="D4883" s="17"/>
      <c r="E4883" s="17"/>
      <c r="F4883" s="23">
        <f>IFERROR(VLOOKUP(F4878,STUDENT!$A$2:$BP$101,9,0),"")</f>
        <v>0</v>
      </c>
      <c r="G4883" s="23"/>
      <c r="H4883" s="23"/>
      <c r="I4883" s="23"/>
      <c r="J4883" s="17" t="s">
        <v>620</v>
      </c>
      <c r="K4883" s="17"/>
      <c r="L4883" s="23">
        <f>IFERROR(VLOOKUP(F4878,STUDENT!$A$2:$BP$101,8,0),"")</f>
        <v>0</v>
      </c>
      <c r="M4883" s="23"/>
      <c r="N4883" s="23"/>
      <c r="O4883" s="23"/>
      <c r="P4883" s="23"/>
      <c r="Q4883" s="14"/>
      <c r="R4883" s="11"/>
    </row>
    <row r="4884" s="1" customFormat="1" ht="21.95" customHeight="1" spans="1:18">
      <c r="A4884" s="7"/>
      <c r="B4884" s="12"/>
      <c r="C4884" s="17" t="s">
        <v>712</v>
      </c>
      <c r="D4884" s="17"/>
      <c r="E4884" s="17"/>
      <c r="F4884" s="23">
        <f>IFERROR(VLOOKUP(F4878,STUDENT!$A$2:$BP$101,22,0),"")</f>
        <v>0</v>
      </c>
      <c r="G4884" s="23"/>
      <c r="H4884" s="23"/>
      <c r="I4884" s="23"/>
      <c r="J4884" s="23"/>
      <c r="K4884" s="23"/>
      <c r="L4884" s="23"/>
      <c r="M4884" s="23"/>
      <c r="N4884" s="23"/>
      <c r="O4884" s="23"/>
      <c r="P4884" s="23"/>
      <c r="Q4884" s="14"/>
      <c r="R4884" s="11"/>
    </row>
    <row r="4885" s="1" customFormat="1" ht="9.95" customHeight="1" spans="1:18">
      <c r="A4885" s="7"/>
      <c r="B4885" s="12"/>
      <c r="C4885" s="29"/>
      <c r="D4885" s="29"/>
      <c r="E4885" s="29"/>
      <c r="F4885" s="29"/>
      <c r="G4885" s="29"/>
      <c r="H4885" s="29"/>
      <c r="I4885" s="29"/>
      <c r="J4885" s="29"/>
      <c r="K4885" s="29"/>
      <c r="L4885" s="29"/>
      <c r="M4885" s="29"/>
      <c r="N4885" s="29"/>
      <c r="O4885" s="29"/>
      <c r="P4885" s="29"/>
      <c r="Q4885" s="14"/>
      <c r="R4885" s="11"/>
    </row>
    <row r="4886" s="1" customFormat="1" ht="9.95" customHeight="1" spans="1:18">
      <c r="A4886" s="7"/>
      <c r="B4886" s="12"/>
      <c r="C4886" s="30"/>
      <c r="D4886" s="31"/>
      <c r="E4886" s="31"/>
      <c r="F4886" s="31"/>
      <c r="G4886" s="31"/>
      <c r="H4886" s="31"/>
      <c r="I4886" s="31"/>
      <c r="J4886" s="31"/>
      <c r="K4886" s="31"/>
      <c r="L4886" s="31"/>
      <c r="M4886" s="31"/>
      <c r="N4886" s="31"/>
      <c r="O4886" s="31"/>
      <c r="P4886" s="32"/>
      <c r="Q4886" s="14"/>
      <c r="R4886" s="11"/>
    </row>
    <row r="4887" s="1" customFormat="1" ht="21.95" customHeight="1" spans="1:18">
      <c r="A4887" s="7"/>
      <c r="B4887" s="12"/>
      <c r="C4887" s="33"/>
      <c r="D4887" s="34" t="s">
        <v>713</v>
      </c>
      <c r="E4887" s="20" t="s">
        <v>714</v>
      </c>
      <c r="F4887" s="35" t="str">
        <f>"Level - "&amp;IFERROR(VLOOKUP(F4878,FLN!$A$4:$K$103,9,0),"")</f>
        <v>Level - </v>
      </c>
      <c r="G4887" s="36"/>
      <c r="H4887" s="37" t="s">
        <v>715</v>
      </c>
      <c r="I4887" s="20"/>
      <c r="J4887" s="35" t="str">
        <f>"Level - "&amp;IFERROR(VLOOKUP(F4878,FLN!$A$4:$K$103,11,0),"")</f>
        <v>Level - </v>
      </c>
      <c r="K4887" s="36"/>
      <c r="L4887" s="37" t="s">
        <v>408</v>
      </c>
      <c r="M4887" s="20"/>
      <c r="N4887" s="35" t="str">
        <f>"Level - "&amp;IFERROR(VLOOKUP(F4878,FLN!$A$4:$K$103,10,0),"")</f>
        <v>Level - </v>
      </c>
      <c r="O4887" s="36"/>
      <c r="P4887" s="19"/>
      <c r="Q4887" s="14"/>
      <c r="R4887" s="11"/>
    </row>
    <row r="4888" s="1" customFormat="1" ht="21.95" customHeight="1" spans="1:18">
      <c r="A4888" s="7"/>
      <c r="B4888" s="12"/>
      <c r="C4888" s="33"/>
      <c r="D4888" s="38"/>
      <c r="E4888" s="20" t="s">
        <v>716</v>
      </c>
      <c r="F4888" s="18" t="str">
        <f>IF(L4902&gt;197,"PERFORMED WELL","")</f>
        <v/>
      </c>
      <c r="G4888" s="18"/>
      <c r="H4888" s="18"/>
      <c r="I4888" s="18"/>
      <c r="J4888" s="18"/>
      <c r="K4888" s="18"/>
      <c r="L4888" s="18"/>
      <c r="M4888" s="18"/>
      <c r="N4888" s="18"/>
      <c r="O4888" s="18"/>
      <c r="P4888" s="19"/>
      <c r="Q4888" s="14"/>
      <c r="R4888" s="11"/>
    </row>
    <row r="4889" s="1" customFormat="1" ht="9.95" customHeight="1" spans="1:18">
      <c r="A4889" s="7"/>
      <c r="B4889" s="12"/>
      <c r="C4889" s="39"/>
      <c r="D4889" s="40"/>
      <c r="E4889" s="40"/>
      <c r="F4889" s="40"/>
      <c r="G4889" s="40"/>
      <c r="H4889" s="40"/>
      <c r="I4889" s="40"/>
      <c r="J4889" s="40"/>
      <c r="K4889" s="40"/>
      <c r="L4889" s="40"/>
      <c r="M4889" s="40"/>
      <c r="N4889" s="40"/>
      <c r="O4889" s="40"/>
      <c r="P4889" s="41"/>
      <c r="Q4889" s="14"/>
      <c r="R4889" s="11"/>
    </row>
    <row r="4890" s="1" customFormat="1" ht="9.95" customHeight="1" spans="1:18">
      <c r="A4890" s="7"/>
      <c r="B4890" s="12"/>
      <c r="C4890" s="29"/>
      <c r="D4890" s="29"/>
      <c r="E4890" s="29"/>
      <c r="F4890" s="29"/>
      <c r="G4890" s="29"/>
      <c r="H4890" s="29"/>
      <c r="I4890" s="29"/>
      <c r="J4890" s="29"/>
      <c r="K4890" s="29"/>
      <c r="L4890" s="29"/>
      <c r="M4890" s="29"/>
      <c r="N4890" s="29"/>
      <c r="O4890" s="29"/>
      <c r="P4890" s="29"/>
      <c r="Q4890" s="14"/>
      <c r="R4890" s="11"/>
    </row>
    <row r="4891" s="1" customFormat="1" ht="9.95" customHeight="1" spans="1:18">
      <c r="A4891" s="7"/>
      <c r="B4891" s="12"/>
      <c r="C4891" s="30"/>
      <c r="D4891" s="31"/>
      <c r="E4891" s="31"/>
      <c r="F4891" s="31"/>
      <c r="G4891" s="31"/>
      <c r="H4891" s="31"/>
      <c r="I4891" s="31"/>
      <c r="J4891" s="31"/>
      <c r="K4891" s="31"/>
      <c r="L4891" s="31"/>
      <c r="M4891" s="31"/>
      <c r="N4891" s="31"/>
      <c r="O4891" s="31"/>
      <c r="P4891" s="32"/>
      <c r="Q4891" s="14"/>
      <c r="R4891" s="11"/>
    </row>
    <row r="4892" s="1" customFormat="1" ht="21.95" customHeight="1" spans="1:18">
      <c r="A4892" s="7"/>
      <c r="B4892" s="12"/>
      <c r="C4892" s="33"/>
      <c r="D4892" s="35"/>
      <c r="E4892" s="24"/>
      <c r="F4892" s="24"/>
      <c r="G4892" s="47" t="s">
        <v>717</v>
      </c>
      <c r="H4892" s="47"/>
      <c r="I4892" s="47"/>
      <c r="J4892" s="47"/>
      <c r="K4892" s="47"/>
      <c r="L4892" s="47"/>
      <c r="M4892" s="47"/>
      <c r="N4892" s="47"/>
      <c r="O4892" s="29"/>
      <c r="P4892" s="19"/>
      <c r="Q4892" s="14"/>
      <c r="R4892" s="11"/>
    </row>
    <row r="4893" s="1" customFormat="1" ht="21.95" customHeight="1" spans="1:18">
      <c r="A4893" s="7"/>
      <c r="B4893" s="12"/>
      <c r="C4893" s="33"/>
      <c r="D4893" s="47"/>
      <c r="E4893" s="47"/>
      <c r="F4893" s="47"/>
      <c r="G4893" s="47" t="s">
        <v>541</v>
      </c>
      <c r="H4893" s="47" t="s">
        <v>542</v>
      </c>
      <c r="I4893" s="47" t="s">
        <v>543</v>
      </c>
      <c r="J4893" s="47" t="s">
        <v>544</v>
      </c>
      <c r="K4893" s="47" t="s">
        <v>561</v>
      </c>
      <c r="L4893" s="47" t="s">
        <v>382</v>
      </c>
      <c r="M4893" s="49" t="s">
        <v>546</v>
      </c>
      <c r="N4893" s="49"/>
      <c r="O4893" s="29"/>
      <c r="P4893" s="19"/>
      <c r="Q4893" s="14"/>
      <c r="R4893" s="11"/>
    </row>
    <row r="4894" s="1" customFormat="1" ht="21.95" customHeight="1" spans="1:18">
      <c r="A4894" s="7"/>
      <c r="B4894" s="12"/>
      <c r="C4894" s="33"/>
      <c r="D4894" s="207" t="s">
        <v>652</v>
      </c>
      <c r="E4894" s="207"/>
      <c r="F4894" s="207"/>
      <c r="G4894" s="50">
        <v>10</v>
      </c>
      <c r="H4894" s="50">
        <v>10</v>
      </c>
      <c r="I4894" s="50">
        <v>10</v>
      </c>
      <c r="J4894" s="50">
        <v>10</v>
      </c>
      <c r="K4894" s="50">
        <v>60</v>
      </c>
      <c r="L4894" s="50">
        <v>100</v>
      </c>
      <c r="M4894" s="49"/>
      <c r="N4894" s="49"/>
      <c r="O4894" s="29"/>
      <c r="P4894" s="19"/>
      <c r="Q4894" s="14"/>
      <c r="R4894" s="11"/>
    </row>
    <row r="4895" s="1" customFormat="1" ht="21.95" customHeight="1" spans="1:18">
      <c r="A4895" s="7"/>
      <c r="B4895" s="12"/>
      <c r="C4895" s="33"/>
      <c r="D4895" s="117" t="s">
        <v>668</v>
      </c>
      <c r="E4895" s="117"/>
      <c r="F4895" s="117"/>
      <c r="G4895" s="54" t="str">
        <f>IFERROR(VLOOKUP(F4878,'1to4-2.1-RR'!$A$12:$BG$111,9,0),"")</f>
        <v/>
      </c>
      <c r="H4895" s="54" t="str">
        <f>IFERROR(VLOOKUP(F4878,'1to4-2.1-RR'!$A$12:$BG$111,10,0),"")</f>
        <v/>
      </c>
      <c r="I4895" s="54" t="str">
        <f>IFERROR(VLOOKUP(F4878,'1to4-2.1-RR'!$A$12:$BG$111,11,0),"")</f>
        <v/>
      </c>
      <c r="J4895" s="54" t="str">
        <f>IFERROR(VLOOKUP(F4878,'1to4-2.1-RR'!$A$12:$BG$111,12,0),"")</f>
        <v/>
      </c>
      <c r="K4895" s="54" t="str">
        <f>IFERROR(VLOOKUP(F4878,'1to4-2.1-RR'!$A$12:$BG$111,13,0),"")</f>
        <v/>
      </c>
      <c r="L4895" s="55">
        <f>SUM(G4895:K4895)</f>
        <v>0</v>
      </c>
      <c r="M4895" s="56" t="str">
        <f>IF(F4878&gt;ENTRY!$D$24,"",IF(L4895=0,"Ab",IF(L4895&gt;80,"A",IF(L4895&gt;60,"B",IF(L4895&gt;44,"C",IF(L4895&gt;=33,"D",IF(L4895&lt;=32,"E","")))))))</f>
        <v/>
      </c>
      <c r="N4895" s="56"/>
      <c r="O4895" s="29"/>
      <c r="P4895" s="19"/>
      <c r="Q4895" s="14"/>
      <c r="R4895" s="11"/>
    </row>
    <row r="4896" s="1" customFormat="1" ht="21.95" customHeight="1" spans="1:18">
      <c r="A4896" s="7"/>
      <c r="B4896" s="12"/>
      <c r="C4896" s="33"/>
      <c r="D4896" s="117" t="s">
        <v>513</v>
      </c>
      <c r="E4896" s="117"/>
      <c r="F4896" s="117"/>
      <c r="G4896" s="54" t="str">
        <f>IFERROR(VLOOKUP(F4878,'1to4-2.1-RR'!$A$12:$BG$111,16,0),"")</f>
        <v/>
      </c>
      <c r="H4896" s="54" t="str">
        <f>IFERROR(VLOOKUP(F4878,'1to4-2.1-RR'!$A$12:$BG$111,17,0),"")</f>
        <v/>
      </c>
      <c r="I4896" s="54" t="str">
        <f>IFERROR(VLOOKUP(F4878,'1to4-2.1-RR'!$A$12:$BG$111,18,0),"")</f>
        <v/>
      </c>
      <c r="J4896" s="54" t="str">
        <f>IFERROR(VLOOKUP(F4878,'1to4-2.1-RR'!$A$12:$BG$111,19,0),"")</f>
        <v/>
      </c>
      <c r="K4896" s="54" t="str">
        <f>IFERROR(VLOOKUP(F4878,'1to4-2.1-RR'!$A$12:$BG$111,20,0),"")</f>
        <v/>
      </c>
      <c r="L4896" s="55">
        <f t="shared" ref="L4896:L4901" si="174">SUM(G4896:K4896)</f>
        <v>0</v>
      </c>
      <c r="M4896" s="56" t="str">
        <f>IF(F4878&gt;ENTRY!$D$24,"",IF(L4896=0,"Ab",IF(L4896&gt;80,"A",IF(L4896&gt;60,"B",IF(L4896&gt;44,"C",IF(L4896&gt;=33,"D",IF(L4896&lt;=32,"E","")))))))</f>
        <v/>
      </c>
      <c r="N4896" s="56"/>
      <c r="O4896" s="29"/>
      <c r="P4896" s="19"/>
      <c r="Q4896" s="14"/>
      <c r="R4896" s="11"/>
    </row>
    <row r="4897" s="1" customFormat="1" ht="21.95" customHeight="1" spans="1:19">
      <c r="A4897" s="7"/>
      <c r="B4897" s="12"/>
      <c r="C4897" s="33"/>
      <c r="D4897" s="117" t="s">
        <v>718</v>
      </c>
      <c r="E4897" s="117"/>
      <c r="F4897" s="117"/>
      <c r="G4897" s="54" t="str">
        <f>IFERROR(VLOOKUP(F4878,'1to4-2.1-RR'!$A$12:$BG$111,23,0),"")</f>
        <v/>
      </c>
      <c r="H4897" s="54" t="str">
        <f>IFERROR(VLOOKUP(F4878,'1to4-2.1-RR'!$A$12:$BG$111,24,0),"")</f>
        <v/>
      </c>
      <c r="I4897" s="54" t="str">
        <f>IFERROR(VLOOKUP(F4878,'1to4-2.1-RR'!$A$12:$BG$111,25,0),"")</f>
        <v/>
      </c>
      <c r="J4897" s="54" t="str">
        <f>IFERROR(VLOOKUP(F4878,'1to4-2.1-RR'!$A$12:$BG$111,26,0),"")</f>
        <v/>
      </c>
      <c r="K4897" s="54" t="str">
        <f>IFERROR(VLOOKUP(F4878,'1to4-2.1-RR'!$A$12:$BG$111,27,0),"")</f>
        <v/>
      </c>
      <c r="L4897" s="55">
        <f t="shared" si="174"/>
        <v>0</v>
      </c>
      <c r="M4897" s="56" t="str">
        <f>IF(F4878&gt;ENTRY!$D$24,"",IF(L4897=0,"Ab",IF(L4897&gt;80,"A",IF(L4897&gt;60,"B",IF(L4897&gt;44,"C",IF(L4897&gt;=33,"D",IF(L4897&lt;=32,"E","")))))))</f>
        <v/>
      </c>
      <c r="N4897" s="56"/>
      <c r="O4897" s="29"/>
      <c r="P4897" s="19"/>
      <c r="Q4897" s="14"/>
      <c r="R4897" s="11"/>
    </row>
    <row r="4898" s="1" customFormat="1" ht="21.95" customHeight="1" spans="1:19">
      <c r="A4898" s="7"/>
      <c r="B4898" s="12"/>
      <c r="C4898" s="33"/>
      <c r="D4898" s="117" t="s">
        <v>719</v>
      </c>
      <c r="E4898" s="117"/>
      <c r="F4898" s="117"/>
      <c r="G4898" s="54" t="str">
        <f>IFERROR(VLOOKUP(F4878,'1to4-2.1-RR'!$A$12:$BG$111,30,0),"")</f>
        <v/>
      </c>
      <c r="H4898" s="54" t="str">
        <f>IFERROR(VLOOKUP(F4878,'1to4-2.1-RR'!$A$12:$BG$111,31,0),"")</f>
        <v/>
      </c>
      <c r="I4898" s="54" t="str">
        <f>IFERROR(VLOOKUP(F4878,'1to4-2.1-RR'!$A$12:$BG$111,32,0),"")</f>
        <v/>
      </c>
      <c r="J4898" s="54" t="str">
        <f>IFERROR(VLOOKUP(F4878,'1to4-2.1-RR'!$A$12:$BG$111,33,0),"")</f>
        <v/>
      </c>
      <c r="K4898" s="54" t="str">
        <f>IFERROR(VLOOKUP(F4878,'1to4-2.1-RR'!$A$12:$BG$111,34,0),"")</f>
        <v/>
      </c>
      <c r="L4898" s="55">
        <f t="shared" si="174"/>
        <v>0</v>
      </c>
      <c r="M4898" s="56" t="str">
        <f>IF(F4878&gt;ENTRY!$D$24,"",IF(L4898=0,"Ab",IF(L4898&gt;80,"A",IF(L4898&gt;60,"B",IF(L4898&gt;44,"C",IF(L4898&gt;=33,"D",IF(L4898&lt;=32,"E","")))))))</f>
        <v/>
      </c>
      <c r="N4898" s="56"/>
      <c r="O4898" s="29"/>
      <c r="P4898" s="19"/>
      <c r="Q4898" s="14"/>
      <c r="R4898" s="11"/>
    </row>
    <row r="4899" s="1" customFormat="1" ht="21.95" customHeight="1" spans="1:19">
      <c r="A4899" s="7"/>
      <c r="B4899" s="12"/>
      <c r="C4899" s="33"/>
      <c r="D4899" s="117" t="s">
        <v>548</v>
      </c>
      <c r="E4899" s="117"/>
      <c r="F4899" s="117"/>
      <c r="G4899" s="54" t="str">
        <f>IFERROR(VLOOKUP(F4878,'1to4-2.1-RR'!$A$12:$BG$111,37,0),"")</f>
        <v/>
      </c>
      <c r="H4899" s="54" t="str">
        <f>IFERROR(VLOOKUP(F4878,'1to4-2.1-RR'!$A$12:$BG$111,38,0),"")</f>
        <v/>
      </c>
      <c r="I4899" s="54" t="str">
        <f>IFERROR(VLOOKUP(F4878,'1to4-2.1-RR'!$A$12:$BG$111,39,0),"")</f>
        <v/>
      </c>
      <c r="J4899" s="54" t="str">
        <f>IFERROR(VLOOKUP(F4878,'1to4-2.1-RR'!$A$12:$BG$111,40,0),"")</f>
        <v/>
      </c>
      <c r="K4899" s="54" t="str">
        <f>IFERROR(VLOOKUP(F4878,'1to4-2.1-RR'!$A$12:$BG$111,41,0),"")</f>
        <v/>
      </c>
      <c r="L4899" s="55">
        <f t="shared" si="174"/>
        <v>0</v>
      </c>
      <c r="M4899" s="56" t="str">
        <f>IF(F4878&gt;ENTRY!$D$24,"",IF(L4899=0,"Ab",IF(L4899&gt;80,"A",IF(L4899&gt;60,"B",IF(L4899&gt;44,"C",IF(L4899&gt;=33,"D",IF(L4899&lt;=32,"E","")))))))</f>
        <v/>
      </c>
      <c r="N4899" s="56"/>
      <c r="O4899" s="29"/>
      <c r="P4899" s="19"/>
      <c r="Q4899" s="14"/>
      <c r="R4899" s="11"/>
    </row>
    <row r="4900" s="1" customFormat="1" ht="21.95" customHeight="1" spans="1:19">
      <c r="A4900" s="7"/>
      <c r="B4900" s="12"/>
      <c r="C4900" s="33"/>
      <c r="D4900" s="117" t="s">
        <v>549</v>
      </c>
      <c r="E4900" s="117"/>
      <c r="F4900" s="117"/>
      <c r="G4900" s="54" t="str">
        <f>IFERROR(VLOOKUP(F4878,'1to4-2.1-RR'!$A$12:$BG$111,44,0),"")</f>
        <v/>
      </c>
      <c r="H4900" s="54" t="str">
        <f>IFERROR(VLOOKUP(F4878,'1to4-2.1-RR'!$A$12:$BG$111,45,0),"")</f>
        <v/>
      </c>
      <c r="I4900" s="54" t="str">
        <f>IFERROR(VLOOKUP(F4878,'1to4-2.1-RR'!$A$12:$BG$111,46,0),"")</f>
        <v/>
      </c>
      <c r="J4900" s="54" t="str">
        <f>IFERROR(VLOOKUP(F4878,'1to4-2.1-RR'!$A$12:$BG$111,47,0),"")</f>
        <v/>
      </c>
      <c r="K4900" s="54" t="str">
        <f>IFERROR(VLOOKUP(F4878,'1to4-2.1-RR'!$A$12:$BG$111,48,0),"")</f>
        <v/>
      </c>
      <c r="L4900" s="55">
        <f t="shared" si="174"/>
        <v>0</v>
      </c>
      <c r="M4900" s="56" t="str">
        <f>IF(F4878&gt;ENTRY!$D$24,"",IF(L4900=0,"Ab",IF(L4900&gt;80,"A",IF(L4900&gt;60,"B",IF(L4900&gt;44,"C",IF(L4900&gt;=33,"D",IF(L4900&lt;=32,"E","")))))))</f>
        <v/>
      </c>
      <c r="N4900" s="56"/>
      <c r="O4900" s="29"/>
      <c r="P4900" s="19"/>
      <c r="Q4900" s="14"/>
      <c r="R4900" s="11"/>
    </row>
    <row r="4901" s="1" customFormat="1" ht="21.95" customHeight="1" spans="1:19">
      <c r="A4901" s="7"/>
      <c r="B4901" s="12"/>
      <c r="C4901" s="33"/>
      <c r="D4901" s="117" t="s">
        <v>720</v>
      </c>
      <c r="E4901" s="117"/>
      <c r="F4901" s="117"/>
      <c r="G4901" s="54"/>
      <c r="H4901" s="54"/>
      <c r="I4901" s="54"/>
      <c r="J4901" s="54"/>
      <c r="K4901" s="54"/>
      <c r="L4901" s="55">
        <f t="shared" si="174"/>
        <v>0</v>
      </c>
      <c r="M4901" s="56" t="str">
        <f>IF(F4878&gt;ENTRY!$D$24,"",IF(L4901=0,"",IF(L4901&gt;79,"A",IF(L4901&gt;59,"B",IF(L4901&gt;44,"C",IF(L4901&gt;=33,"D",IF(L4901&lt;=32,"E","")))))))</f>
        <v/>
      </c>
      <c r="N4901" s="56"/>
      <c r="O4901" s="29"/>
      <c r="P4901" s="19"/>
      <c r="Q4901" s="14"/>
      <c r="R4901" s="11"/>
    </row>
    <row r="4902" s="1" customFormat="1" ht="21.95" customHeight="1" spans="1:19">
      <c r="A4902" s="7"/>
      <c r="B4902" s="12"/>
      <c r="C4902" s="33"/>
      <c r="D4902" s="207" t="s">
        <v>382</v>
      </c>
      <c r="E4902" s="207"/>
      <c r="F4902" s="207"/>
      <c r="G4902" s="54">
        <f t="shared" ref="G4902:L4902" si="175">IFERROR(SUM(G4895:G4901),"")</f>
        <v>0</v>
      </c>
      <c r="H4902" s="54">
        <f t="shared" si="175"/>
        <v>0</v>
      </c>
      <c r="I4902" s="54">
        <f t="shared" si="175"/>
        <v>0</v>
      </c>
      <c r="J4902" s="54">
        <f t="shared" si="175"/>
        <v>0</v>
      </c>
      <c r="K4902" s="54">
        <f t="shared" si="175"/>
        <v>0</v>
      </c>
      <c r="L4902" s="55">
        <f t="shared" si="175"/>
        <v>0</v>
      </c>
      <c r="M4902" s="61" t="str">
        <f>IF(F4878&gt;ENTRY!$D$24,"",IF(N4903="Ab","Ab",IF(N4903&gt;79.5,"A",IF(N4903&gt;59.5,"B",IF(N4903&gt;44.5,"C",IF(N4903&gt;=33,"D",IF(N4903&lt;33,"E","")))))))</f>
        <v/>
      </c>
      <c r="N4902" s="61"/>
      <c r="O4902" s="29"/>
      <c r="P4902" s="19"/>
      <c r="Q4902" s="14"/>
      <c r="R4902" s="11"/>
    </row>
    <row r="4903" s="1" customFormat="1" ht="21.95" customHeight="1" spans="1:19">
      <c r="A4903" s="7"/>
      <c r="B4903" s="12"/>
      <c r="C4903" s="33"/>
      <c r="D4903" s="63" t="s">
        <v>721</v>
      </c>
      <c r="E4903" s="63"/>
      <c r="F4903" s="63"/>
      <c r="G4903" s="63"/>
      <c r="H4903" s="63"/>
      <c r="I4903" s="63"/>
      <c r="J4903" s="63"/>
      <c r="K4903" s="63"/>
      <c r="L4903" s="63"/>
      <c r="M4903" s="209"/>
      <c r="N4903" s="64">
        <f>IF(L4902="Ab","Ab",L4902/6)</f>
        <v>0</v>
      </c>
      <c r="O4903" s="65"/>
      <c r="P4903" s="19"/>
      <c r="Q4903" s="14"/>
      <c r="R4903" s="11"/>
    </row>
    <row r="4904" s="1" customFormat="1" ht="21.95" customHeight="1" spans="1:19">
      <c r="A4904" s="7"/>
      <c r="B4904" s="12"/>
      <c r="C4904" s="33"/>
      <c r="D4904" s="29" t="s">
        <v>716</v>
      </c>
      <c r="E4904" s="18" t="str">
        <f>IFERROR(VLOOKUP(F4878,'1to4-2.1-RR'!$A$12:$BG$111,57,0),"")</f>
        <v/>
      </c>
      <c r="F4904" s="18"/>
      <c r="G4904" s="18"/>
      <c r="H4904" s="18"/>
      <c r="I4904" s="18"/>
      <c r="J4904" s="18"/>
      <c r="K4904" s="18"/>
      <c r="L4904" s="18"/>
      <c r="M4904" s="18"/>
      <c r="N4904" s="29"/>
      <c r="O4904" s="29"/>
      <c r="P4904" s="19"/>
      <c r="Q4904" s="14"/>
      <c r="R4904" s="11"/>
    </row>
    <row r="4905" s="1" customFormat="1" ht="9.95" customHeight="1" spans="1:19">
      <c r="A4905" s="7"/>
      <c r="B4905" s="12"/>
      <c r="C4905" s="39"/>
      <c r="D4905" s="40"/>
      <c r="E4905" s="40"/>
      <c r="F4905" s="40"/>
      <c r="G4905" s="40"/>
      <c r="H4905" s="40"/>
      <c r="I4905" s="40"/>
      <c r="J4905" s="40"/>
      <c r="K4905" s="40"/>
      <c r="L4905" s="40"/>
      <c r="M4905" s="40"/>
      <c r="N4905" s="40"/>
      <c r="O4905" s="40"/>
      <c r="P4905" s="41"/>
      <c r="Q4905" s="14"/>
      <c r="R4905" s="11"/>
    </row>
    <row r="4906" s="1" customFormat="1" ht="9.95" customHeight="1" spans="1:19">
      <c r="A4906" s="7"/>
      <c r="B4906" s="12"/>
      <c r="C4906" s="30"/>
      <c r="D4906" s="31"/>
      <c r="E4906" s="31"/>
      <c r="F4906" s="29"/>
      <c r="G4906" s="31"/>
      <c r="H4906" s="31"/>
      <c r="I4906" s="31"/>
      <c r="J4906" s="31"/>
      <c r="K4906" s="31"/>
      <c r="L4906" s="31"/>
      <c r="M4906" s="31"/>
      <c r="N4906" s="31"/>
      <c r="O4906" s="31"/>
      <c r="P4906" s="32"/>
      <c r="Q4906" s="14"/>
      <c r="R4906" s="11"/>
    </row>
    <row r="4907" s="1" customFormat="1" ht="9.95" customHeight="1" spans="1:19">
      <c r="A4907" s="7"/>
      <c r="B4907" s="12"/>
      <c r="C4907" s="33"/>
      <c r="D4907" s="29"/>
      <c r="E4907" s="29"/>
      <c r="F4907" s="29"/>
      <c r="G4907" s="29"/>
      <c r="H4907" s="29"/>
      <c r="I4907" s="29"/>
      <c r="J4907" s="29"/>
      <c r="K4907" s="29"/>
      <c r="L4907" s="29"/>
      <c r="M4907" s="29"/>
      <c r="N4907" s="29"/>
      <c r="O4907" s="29"/>
      <c r="P4907" s="19"/>
      <c r="Q4907" s="14"/>
      <c r="R4907" s="11"/>
    </row>
    <row r="4908" s="1" customFormat="1" ht="9.95" customHeight="1" spans="1:19">
      <c r="A4908" s="7"/>
      <c r="B4908" s="12"/>
      <c r="C4908" s="33"/>
      <c r="D4908" s="29"/>
      <c r="E4908" s="29"/>
      <c r="F4908" s="29"/>
      <c r="G4908" s="29"/>
      <c r="H4908" s="29"/>
      <c r="I4908" s="29"/>
      <c r="J4908" s="29"/>
      <c r="K4908" s="29"/>
      <c r="L4908" s="29"/>
      <c r="M4908" s="29"/>
      <c r="N4908" s="29"/>
      <c r="O4908" s="29"/>
      <c r="P4908" s="19"/>
      <c r="Q4908" s="14"/>
      <c r="R4908" s="11"/>
    </row>
    <row r="4909" s="1" customFormat="1" ht="21.95" customHeight="1" spans="1:19">
      <c r="A4909" s="7"/>
      <c r="B4909" s="12"/>
      <c r="C4909" s="210"/>
      <c r="D4909" s="211"/>
      <c r="E4909" s="211"/>
      <c r="F4909" s="211"/>
      <c r="G4909" s="211"/>
      <c r="H4909" s="211"/>
      <c r="I4909" s="211"/>
      <c r="J4909" s="211"/>
      <c r="K4909" s="211"/>
      <c r="L4909" s="211"/>
      <c r="M4909" s="211"/>
      <c r="N4909" s="211"/>
      <c r="O4909" s="211"/>
      <c r="P4909" s="212"/>
      <c r="Q4909" s="14"/>
      <c r="R4909" s="11"/>
      <c r="S4909" s="2"/>
    </row>
    <row r="4910" s="1" customFormat="1" ht="21.95" customHeight="1" spans="1:19">
      <c r="A4910" s="7"/>
      <c r="B4910" s="12"/>
      <c r="C4910" s="33"/>
      <c r="D4910" s="207" t="s">
        <v>722</v>
      </c>
      <c r="E4910" s="207"/>
      <c r="F4910" s="207"/>
      <c r="G4910" s="207"/>
      <c r="H4910" s="54">
        <f>IFERROR(VLOOKUP(F4878,PASHEET!$A$4:$CJ$103,88,0),"")</f>
        <v>0</v>
      </c>
      <c r="I4910" s="54"/>
      <c r="J4910" s="29"/>
      <c r="K4910" s="29"/>
      <c r="L4910" s="29"/>
      <c r="M4910" s="29"/>
      <c r="N4910" s="29"/>
      <c r="O4910" s="29"/>
      <c r="P4910" s="19"/>
      <c r="Q4910" s="14"/>
      <c r="R4910" s="11"/>
    </row>
    <row r="4911" s="1" customFormat="1" ht="21.95" customHeight="1" spans="1:19">
      <c r="A4911" s="7"/>
      <c r="B4911" s="12"/>
      <c r="C4911" s="213"/>
      <c r="D4911" s="207" t="s">
        <v>723</v>
      </c>
      <c r="E4911" s="207"/>
      <c r="F4911" s="207"/>
      <c r="G4911" s="207"/>
      <c r="H4911" s="54">
        <f>IFERROR(VLOOKUP(F4878,PASHEET!$A$4:$CJ$103,87,0),"")</f>
        <v>0</v>
      </c>
      <c r="I4911" s="54"/>
      <c r="J4911" s="214"/>
      <c r="K4911" s="214"/>
      <c r="L4911" s="207" t="s">
        <v>724</v>
      </c>
      <c r="M4911" s="207"/>
      <c r="N4911" s="117" t="str">
        <f>IF(F4878&gt;ENTRY!$D$24,"",IF(F4878&gt;0,L4902&amp;" / "&amp;600,""))</f>
        <v/>
      </c>
      <c r="O4911" s="117"/>
      <c r="P4911" s="215"/>
      <c r="Q4911" s="14"/>
      <c r="R4911" s="11"/>
    </row>
    <row r="4912" s="1" customFormat="1" ht="18" customHeight="1" spans="1:19">
      <c r="A4912" s="7"/>
      <c r="B4912" s="12"/>
      <c r="C4912" s="33"/>
      <c r="D4912" s="207" t="s">
        <v>725</v>
      </c>
      <c r="E4912" s="207"/>
      <c r="F4912" s="207"/>
      <c r="G4912" s="207"/>
      <c r="H4912" s="69" t="str">
        <f>IFERROR(IF(F4878&gt;0,H4911/H4910*100),"")</f>
        <v/>
      </c>
      <c r="I4912" s="69"/>
      <c r="J4912" s="29"/>
      <c r="K4912" s="29"/>
      <c r="L4912" s="207" t="s">
        <v>726</v>
      </c>
      <c r="M4912" s="207"/>
      <c r="N4912" s="216" t="str">
        <f>IF(F4878&gt;ENTRY!$D$24,"",IF(F4878&gt;0,L4902/600*100,""))</f>
        <v/>
      </c>
      <c r="O4912" s="216"/>
      <c r="P4912" s="19"/>
      <c r="Q4912" s="14"/>
      <c r="R4912" s="11"/>
    </row>
    <row r="4913" s="1" customFormat="1" ht="21.95" customHeight="1" spans="1:18">
      <c r="A4913" s="7"/>
      <c r="B4913" s="12"/>
      <c r="C4913" s="33"/>
      <c r="D4913" s="80"/>
      <c r="E4913" s="80"/>
      <c r="F4913" s="217"/>
      <c r="G4913" s="217"/>
      <c r="H4913" s="217"/>
      <c r="I4913" s="217"/>
      <c r="J4913" s="217"/>
      <c r="K4913" s="217"/>
      <c r="L4913" s="217"/>
      <c r="M4913" s="217"/>
      <c r="N4913" s="80"/>
      <c r="O4913" s="80"/>
      <c r="P4913" s="19"/>
      <c r="Q4913" s="14"/>
      <c r="R4913" s="11"/>
    </row>
    <row r="4914" s="1" customFormat="1" ht="21.95" customHeight="1" spans="1:18">
      <c r="A4914" s="7"/>
      <c r="B4914" s="12"/>
      <c r="C4914" s="33"/>
      <c r="D4914" s="80"/>
      <c r="E4914" s="218"/>
      <c r="F4914" s="218"/>
      <c r="G4914" s="218"/>
      <c r="H4914" s="80"/>
      <c r="I4914" s="218"/>
      <c r="J4914" s="218"/>
      <c r="K4914" s="218"/>
      <c r="L4914" s="218"/>
      <c r="M4914" s="80"/>
      <c r="N4914" s="219"/>
      <c r="O4914" s="219"/>
      <c r="P4914" s="19"/>
      <c r="Q4914" s="14"/>
      <c r="R4914" s="11"/>
    </row>
    <row r="4915" s="1" customFormat="1" ht="21.95" customHeight="1" spans="1:18">
      <c r="A4915" s="7"/>
      <c r="B4915" s="12"/>
      <c r="C4915" s="33"/>
      <c r="D4915" s="80"/>
      <c r="E4915" s="80"/>
      <c r="F4915" s="80"/>
      <c r="G4915" s="80"/>
      <c r="H4915" s="80"/>
      <c r="I4915" s="80"/>
      <c r="J4915" s="80"/>
      <c r="K4915" s="80"/>
      <c r="L4915" s="80"/>
      <c r="M4915" s="80"/>
      <c r="N4915" s="80"/>
      <c r="O4915" s="80"/>
      <c r="P4915" s="19"/>
      <c r="Q4915" s="14"/>
      <c r="R4915" s="11"/>
    </row>
    <row r="4916" s="1" customFormat="1" ht="21.95" customHeight="1" spans="1:18">
      <c r="A4916" s="7"/>
      <c r="B4916" s="12"/>
      <c r="C4916" s="33"/>
      <c r="D4916" s="218"/>
      <c r="E4916" s="218"/>
      <c r="F4916" s="218"/>
      <c r="G4916" s="218"/>
      <c r="H4916" s="218"/>
      <c r="I4916" s="218"/>
      <c r="J4916" s="218"/>
      <c r="K4916" s="218"/>
      <c r="L4916" s="218"/>
      <c r="M4916" s="80"/>
      <c r="N4916" s="217"/>
      <c r="O4916" s="217"/>
      <c r="P4916" s="85" t="s">
        <v>727</v>
      </c>
      <c r="Q4916" s="14"/>
      <c r="R4916" s="11"/>
    </row>
    <row r="4917" s="1" customFormat="1" ht="21.95" customHeight="1" spans="1:18">
      <c r="A4917" s="7"/>
      <c r="B4917" s="12"/>
      <c r="C4917" s="33"/>
      <c r="D4917" s="29"/>
      <c r="E4917" s="29"/>
      <c r="F4917" s="29"/>
      <c r="G4917" s="29"/>
      <c r="H4917" s="29"/>
      <c r="I4917" s="29"/>
      <c r="J4917" s="29"/>
      <c r="K4917" s="29"/>
      <c r="L4917" s="29"/>
      <c r="M4917" s="29"/>
      <c r="N4917" s="29"/>
      <c r="O4917" s="29"/>
      <c r="P4917" s="19"/>
      <c r="Q4917" s="14"/>
      <c r="R4917" s="11"/>
    </row>
    <row r="4918" s="1" customFormat="1" ht="21.95" customHeight="1" spans="1:18">
      <c r="A4918" s="7"/>
      <c r="B4918" s="12"/>
      <c r="C4918" s="33"/>
      <c r="D4918" s="29"/>
      <c r="E4918" s="29"/>
      <c r="F4918" s="29"/>
      <c r="G4918" s="29"/>
      <c r="H4918" s="29"/>
      <c r="I4918" s="29"/>
      <c r="J4918" s="29"/>
      <c r="K4918" s="29"/>
      <c r="L4918" s="29"/>
      <c r="M4918" s="29"/>
      <c r="N4918" s="29"/>
      <c r="O4918" s="29"/>
      <c r="P4918" s="19"/>
      <c r="Q4918" s="14"/>
      <c r="R4918" s="11"/>
    </row>
    <row r="4919" s="1" customFormat="1" ht="21.95" customHeight="1" spans="1:18">
      <c r="A4919" s="7"/>
      <c r="B4919" s="12"/>
      <c r="C4919" s="33"/>
      <c r="D4919" s="29"/>
      <c r="E4919" s="29"/>
      <c r="F4919" s="29"/>
      <c r="G4919" s="29"/>
      <c r="H4919" s="29"/>
      <c r="I4919" s="29"/>
      <c r="J4919" s="29"/>
      <c r="K4919" s="29"/>
      <c r="L4919" s="29"/>
      <c r="M4919" s="29"/>
      <c r="N4919" s="29"/>
      <c r="O4919" s="29"/>
      <c r="P4919" s="19"/>
      <c r="Q4919" s="14"/>
      <c r="R4919" s="11"/>
    </row>
    <row r="4920" s="1" customFormat="1" ht="21.95" customHeight="1" spans="1:18">
      <c r="A4920" s="7"/>
      <c r="B4920" s="12"/>
      <c r="C4920" s="33"/>
      <c r="D4920" s="29"/>
      <c r="E4920" s="29"/>
      <c r="F4920" s="29"/>
      <c r="G4920" s="29"/>
      <c r="H4920" s="29"/>
      <c r="I4920" s="29"/>
      <c r="J4920" s="29"/>
      <c r="K4920" s="29"/>
      <c r="L4920" s="29"/>
      <c r="M4920" s="29"/>
      <c r="N4920" s="29"/>
      <c r="O4920" s="29"/>
      <c r="P4920" s="19"/>
      <c r="Q4920" s="14"/>
      <c r="R4920" s="11"/>
    </row>
    <row r="4921" s="1" customFormat="1" ht="21.95" customHeight="1" spans="1:18">
      <c r="A4921" s="7"/>
      <c r="B4921" s="12"/>
      <c r="C4921" s="33"/>
      <c r="D4921" s="29"/>
      <c r="E4921" s="29"/>
      <c r="F4921" s="29"/>
      <c r="G4921" s="29"/>
      <c r="H4921" s="29"/>
      <c r="I4921" s="29"/>
      <c r="J4921" s="29"/>
      <c r="K4921" s="29"/>
      <c r="L4921" s="29"/>
      <c r="M4921" s="29"/>
      <c r="N4921" s="29"/>
      <c r="O4921" s="29"/>
      <c r="P4921" s="19"/>
      <c r="Q4921" s="14"/>
      <c r="R4921" s="11"/>
    </row>
    <row r="4922" s="1" customFormat="1" ht="21.95" customHeight="1" spans="1:18">
      <c r="A4922" s="7"/>
      <c r="B4922" s="12"/>
      <c r="C4922" s="33"/>
      <c r="D4922" s="80" t="s">
        <v>728</v>
      </c>
      <c r="E4922" s="220">
        <f>ENTRY!$D$27</f>
        <v>46102</v>
      </c>
      <c r="F4922" s="220"/>
      <c r="G4922" s="29"/>
      <c r="H4922" s="29"/>
      <c r="I4922" s="221" t="s">
        <v>729</v>
      </c>
      <c r="J4922" s="153"/>
      <c r="K4922" s="29"/>
      <c r="L4922" s="29"/>
      <c r="M4922" s="87" t="s">
        <v>730</v>
      </c>
      <c r="N4922" s="87"/>
      <c r="O4922" s="87"/>
      <c r="P4922" s="19"/>
      <c r="Q4922" s="14"/>
      <c r="R4922" s="11"/>
    </row>
    <row r="4923" s="1" customFormat="1" ht="21.95" customHeight="1" spans="1:18">
      <c r="A4923" s="7"/>
      <c r="B4923" s="12"/>
      <c r="C4923" s="33"/>
      <c r="D4923" s="80" t="s">
        <v>731</v>
      </c>
      <c r="E4923" s="88" t="str">
        <f>PROPER(ENTRY!$D$28)</f>
        <v>New Delhi</v>
      </c>
      <c r="F4923" s="88"/>
      <c r="G4923" s="29"/>
      <c r="H4923" s="29"/>
      <c r="I4923" s="153"/>
      <c r="J4923" s="153"/>
      <c r="K4923" s="29"/>
      <c r="L4923" s="29"/>
      <c r="M4923" s="79" t="s">
        <v>732</v>
      </c>
      <c r="N4923" s="79"/>
      <c r="O4923" s="79"/>
      <c r="P4923" s="19"/>
      <c r="Q4923" s="14"/>
      <c r="R4923" s="11"/>
    </row>
    <row r="4924" s="1" customFormat="1" ht="21.95" customHeight="1" spans="1:18">
      <c r="A4924" s="7"/>
      <c r="B4924" s="12"/>
      <c r="C4924" s="90"/>
      <c r="D4924" s="91"/>
      <c r="E4924" s="91"/>
      <c r="F4924" s="91"/>
      <c r="G4924" s="91"/>
      <c r="H4924" s="91"/>
      <c r="I4924" s="91"/>
      <c r="J4924" s="91"/>
      <c r="K4924" s="91"/>
      <c r="L4924" s="91"/>
      <c r="M4924" s="91"/>
      <c r="N4924" s="91"/>
      <c r="O4924" s="91"/>
      <c r="P4924" s="92"/>
      <c r="Q4924" s="14"/>
      <c r="R4924" s="11"/>
    </row>
    <row r="4925" s="1" customFormat="1" ht="5.1" customHeight="1" spans="1:18">
      <c r="A4925" s="7"/>
      <c r="B4925" s="90"/>
      <c r="C4925" s="91"/>
      <c r="D4925" s="91"/>
      <c r="E4925" s="91"/>
      <c r="F4925" s="91"/>
      <c r="G4925" s="91"/>
      <c r="H4925" s="91"/>
      <c r="I4925" s="91"/>
      <c r="J4925" s="91"/>
      <c r="K4925" s="91"/>
      <c r="L4925" s="91"/>
      <c r="M4925" s="91"/>
      <c r="N4925" s="91"/>
      <c r="O4925" s="91"/>
      <c r="P4925" s="91"/>
      <c r="Q4925" s="92"/>
      <c r="R4925" s="11"/>
    </row>
    <row r="4926" s="1" customFormat="1" ht="5.1" customHeight="1" spans="1:18">
      <c r="A4926" s="93"/>
      <c r="B4926" s="94"/>
      <c r="C4926" s="94"/>
      <c r="D4926" s="94"/>
      <c r="E4926" s="94"/>
      <c r="F4926" s="94"/>
      <c r="G4926" s="94"/>
      <c r="H4926" s="94"/>
      <c r="I4926" s="94"/>
      <c r="J4926" s="94"/>
      <c r="K4926" s="94"/>
      <c r="L4926" s="94"/>
      <c r="M4926" s="94"/>
      <c r="N4926" s="94"/>
      <c r="O4926" s="94"/>
      <c r="P4926" s="94"/>
      <c r="Q4926" s="94"/>
      <c r="R4926" s="95"/>
    </row>
    <row r="4927" s="1" customFormat="1" ht="21.95" customHeight="1"/>
    <row r="4928" ht="15.15"/>
    <row r="4929" s="1" customFormat="1" ht="5.1" customHeight="1" spans="1:18">
      <c r="A4929" s="4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6"/>
    </row>
    <row r="4930" s="1" customFormat="1" ht="15" customHeight="1" spans="1:18">
      <c r="A4930" s="7"/>
      <c r="B4930" s="8"/>
      <c r="C4930" s="9"/>
      <c r="D4930" s="9"/>
      <c r="E4930" s="9"/>
      <c r="F4930" s="9"/>
      <c r="G4930" s="9"/>
      <c r="H4930" s="9"/>
      <c r="I4930" s="9"/>
      <c r="J4930" s="9"/>
      <c r="K4930" s="9"/>
      <c r="L4930" s="9"/>
      <c r="M4930" s="9"/>
      <c r="N4930" s="9"/>
      <c r="O4930" s="9"/>
      <c r="P4930" s="9"/>
      <c r="Q4930" s="10"/>
      <c r="R4930" s="11"/>
    </row>
    <row r="4931" s="1" customFormat="1" ht="21.95" customHeight="1" spans="1:18">
      <c r="A4931" s="7"/>
      <c r="B4931" s="12"/>
      <c r="C4931" s="13" t="s">
        <v>7</v>
      </c>
      <c r="D4931" s="13"/>
      <c r="E4931" s="13"/>
      <c r="F4931" s="13"/>
      <c r="G4931" s="13"/>
      <c r="H4931" s="13"/>
      <c r="I4931" s="13"/>
      <c r="J4931" s="13"/>
      <c r="K4931" s="13"/>
      <c r="L4931" s="13"/>
      <c r="M4931" s="13"/>
      <c r="N4931" s="13"/>
      <c r="O4931" s="13"/>
      <c r="P4931" s="13"/>
      <c r="Q4931" s="14"/>
      <c r="R4931" s="11"/>
    </row>
    <row r="4932" s="1" customFormat="1" ht="21.95" customHeight="1" spans="1:18">
      <c r="A4932" s="7"/>
      <c r="B4932" s="1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14"/>
      <c r="R4932" s="11"/>
    </row>
    <row r="4933" s="1" customFormat="1" ht="21.95" customHeight="1" spans="1:18">
      <c r="A4933" s="7"/>
      <c r="B4933" s="12"/>
      <c r="C4933" s="15" t="str">
        <f>"SESSION-"&amp;ENTRY!$D$11</f>
        <v>SESSION-2026-27</v>
      </c>
      <c r="D4933" s="15"/>
      <c r="E4933" s="15"/>
      <c r="F4933" s="15"/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  <c r="Q4933" s="14"/>
      <c r="R4933" s="11"/>
    </row>
    <row r="4934" s="1" customFormat="1" ht="21.95" customHeight="1" spans="1:18">
      <c r="A4934" s="7"/>
      <c r="B4934" s="12"/>
      <c r="C4934" s="2"/>
      <c r="D4934" s="2"/>
      <c r="E4934" s="2"/>
      <c r="F4934" s="16">
        <f>F4878+1</f>
        <v>89</v>
      </c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14"/>
      <c r="R4934" s="11"/>
    </row>
    <row r="4935" s="1" customFormat="1" ht="21.95" customHeight="1" spans="1:18">
      <c r="A4935" s="7"/>
      <c r="B4935" s="12"/>
      <c r="C4935" s="17" t="s">
        <v>392</v>
      </c>
      <c r="D4935" s="17"/>
      <c r="E4935" s="17"/>
      <c r="F4935" s="18" t="str">
        <f>IF(F4934&gt;0,ENTRY!$D$6,"")</f>
        <v>MCP NITHARI NO 1 BOYS</v>
      </c>
      <c r="G4935" s="18"/>
      <c r="H4935" s="18"/>
      <c r="I4935" s="18"/>
      <c r="J4935" s="18"/>
      <c r="K4935" s="18"/>
      <c r="L4935" s="18"/>
      <c r="M4935" s="18"/>
      <c r="N4935" s="18"/>
      <c r="O4935" s="18"/>
      <c r="P4935" s="18"/>
      <c r="Q4935" s="14"/>
      <c r="R4935" s="11"/>
    </row>
    <row r="4936" s="1" customFormat="1" ht="21.95" customHeight="1" spans="1:18">
      <c r="A4936" s="7"/>
      <c r="B4936" s="12"/>
      <c r="C4936" s="17" t="s">
        <v>393</v>
      </c>
      <c r="D4936" s="17"/>
      <c r="E4936" s="17"/>
      <c r="F4936" s="18">
        <f>IF(F4934&gt;0,ENTRY!$D$7,"")</f>
        <v>0</v>
      </c>
      <c r="G4936" s="18"/>
      <c r="H4936" s="20" t="s">
        <v>702</v>
      </c>
      <c r="I4936" s="20"/>
      <c r="J4936" s="21">
        <f>IF(F4934&gt;0,ENTRY!$D$10,"")</f>
        <v>40</v>
      </c>
      <c r="K4936" s="20" t="s">
        <v>703</v>
      </c>
      <c r="L4936" s="22" t="str">
        <f>IF(F4934&gt;0,ENTRY!$D$5,"")</f>
        <v>ROHINI ZONE</v>
      </c>
      <c r="M4936" s="22"/>
      <c r="N4936" s="22"/>
      <c r="O4936" s="22"/>
      <c r="P4936" s="22"/>
      <c r="Q4936" s="14"/>
      <c r="R4936" s="11"/>
    </row>
    <row r="4937" s="1" customFormat="1" ht="21.95" customHeight="1" spans="1:18">
      <c r="A4937" s="7"/>
      <c r="B4937" s="12"/>
      <c r="C4937" s="17" t="s">
        <v>706</v>
      </c>
      <c r="D4937" s="17"/>
      <c r="E4937" s="17"/>
      <c r="F4937" s="23">
        <f>IFERROR(VLOOKUP(F4934,STUDENT!$A$2:$BP$101,5,0),"")</f>
        <v>0</v>
      </c>
      <c r="G4937" s="23"/>
      <c r="H4937" s="23"/>
      <c r="I4937" s="23"/>
      <c r="J4937" s="23"/>
      <c r="K4937" s="23"/>
      <c r="L4937" s="20" t="s">
        <v>707</v>
      </c>
      <c r="M4937" s="20"/>
      <c r="N4937" s="24" t="str">
        <f>IF(F4934&gt;0,ENTRY!$D$20&amp;"-"&amp;ENTRY!$D$21,"")</f>
        <v>III-A</v>
      </c>
      <c r="O4937" s="24"/>
      <c r="P4937" s="24"/>
      <c r="Q4937" s="14"/>
      <c r="R4937" s="11"/>
    </row>
    <row r="4938" s="1" customFormat="1" ht="21.95" customHeight="1" spans="1:18">
      <c r="A4938" s="7"/>
      <c r="B4938" s="12"/>
      <c r="C4938" s="17" t="s">
        <v>708</v>
      </c>
      <c r="D4938" s="17"/>
      <c r="E4938" s="17"/>
      <c r="F4938" s="25">
        <f>IFERROR(VLOOKUP(F4934,STUDENT!$A$2:$BP$101,6,0),"")</f>
        <v>0</v>
      </c>
      <c r="G4938" s="25"/>
      <c r="H4938" s="26" t="s">
        <v>709</v>
      </c>
      <c r="I4938" s="27" t="str">
        <f>IFERROR(VLOOKUP(F4934,STUDENT!$A$2:$BP$101,59,0),"")</f>
        <v/>
      </c>
      <c r="J4938" s="27"/>
      <c r="K4938" s="20" t="s">
        <v>710</v>
      </c>
      <c r="L4938" s="20"/>
      <c r="M4938" s="28">
        <f>IFERROR(VLOOKUP(F4934,STUDENT!$A$2:$BP$101,20,0),"")</f>
        <v>0</v>
      </c>
      <c r="N4938" s="28"/>
      <c r="O4938" s="28"/>
      <c r="P4938" s="28"/>
      <c r="Q4938" s="14"/>
      <c r="R4938" s="11"/>
    </row>
    <row r="4939" s="1" customFormat="1" ht="21.95" customHeight="1" spans="1:18">
      <c r="A4939" s="7"/>
      <c r="B4939" s="12"/>
      <c r="C4939" s="17" t="s">
        <v>711</v>
      </c>
      <c r="D4939" s="17"/>
      <c r="E4939" s="17"/>
      <c r="F4939" s="23">
        <f>IFERROR(VLOOKUP(F4934,STUDENT!$A$2:$BP$101,9,0),"")</f>
        <v>0</v>
      </c>
      <c r="G4939" s="23"/>
      <c r="H4939" s="23"/>
      <c r="I4939" s="23"/>
      <c r="J4939" s="17" t="s">
        <v>620</v>
      </c>
      <c r="K4939" s="17"/>
      <c r="L4939" s="23">
        <f>IFERROR(VLOOKUP(F4934,STUDENT!$A$2:$BP$101,8,0),"")</f>
        <v>0</v>
      </c>
      <c r="M4939" s="23"/>
      <c r="N4939" s="23"/>
      <c r="O4939" s="23"/>
      <c r="P4939" s="23"/>
      <c r="Q4939" s="14"/>
      <c r="R4939" s="11"/>
    </row>
    <row r="4940" s="1" customFormat="1" ht="21.95" customHeight="1" spans="1:18">
      <c r="A4940" s="7"/>
      <c r="B4940" s="12"/>
      <c r="C4940" s="17" t="s">
        <v>712</v>
      </c>
      <c r="D4940" s="17"/>
      <c r="E4940" s="17"/>
      <c r="F4940" s="23">
        <f>IFERROR(VLOOKUP(F4934,STUDENT!$A$2:$BP$101,22,0),"")</f>
        <v>0</v>
      </c>
      <c r="G4940" s="23"/>
      <c r="H4940" s="23"/>
      <c r="I4940" s="23"/>
      <c r="J4940" s="23"/>
      <c r="K4940" s="23"/>
      <c r="L4940" s="23"/>
      <c r="M4940" s="23"/>
      <c r="N4940" s="23"/>
      <c r="O4940" s="23"/>
      <c r="P4940" s="23"/>
      <c r="Q4940" s="14"/>
      <c r="R4940" s="11"/>
    </row>
    <row r="4941" s="1" customFormat="1" ht="9.95" customHeight="1" spans="1:18">
      <c r="A4941" s="7"/>
      <c r="B4941" s="12"/>
      <c r="C4941" s="29"/>
      <c r="D4941" s="29"/>
      <c r="E4941" s="29"/>
      <c r="F4941" s="29"/>
      <c r="G4941" s="29"/>
      <c r="H4941" s="29"/>
      <c r="I4941" s="29"/>
      <c r="J4941" s="29"/>
      <c r="K4941" s="29"/>
      <c r="L4941" s="29"/>
      <c r="M4941" s="29"/>
      <c r="N4941" s="29"/>
      <c r="O4941" s="29"/>
      <c r="P4941" s="29"/>
      <c r="Q4941" s="14"/>
      <c r="R4941" s="11"/>
    </row>
    <row r="4942" s="1" customFormat="1" ht="9.95" customHeight="1" spans="1:18">
      <c r="A4942" s="7"/>
      <c r="B4942" s="12"/>
      <c r="C4942" s="30"/>
      <c r="D4942" s="31"/>
      <c r="E4942" s="31"/>
      <c r="F4942" s="31"/>
      <c r="G4942" s="31"/>
      <c r="H4942" s="31"/>
      <c r="I4942" s="31"/>
      <c r="J4942" s="31"/>
      <c r="K4942" s="31"/>
      <c r="L4942" s="31"/>
      <c r="M4942" s="31"/>
      <c r="N4942" s="31"/>
      <c r="O4942" s="31"/>
      <c r="P4942" s="32"/>
      <c r="Q4942" s="14"/>
      <c r="R4942" s="11"/>
    </row>
    <row r="4943" s="1" customFormat="1" ht="21.95" customHeight="1" spans="1:18">
      <c r="A4943" s="7"/>
      <c r="B4943" s="12"/>
      <c r="C4943" s="33"/>
      <c r="D4943" s="34" t="s">
        <v>713</v>
      </c>
      <c r="E4943" s="20" t="s">
        <v>714</v>
      </c>
      <c r="F4943" s="35" t="str">
        <f>"Level - "&amp;IFERROR(VLOOKUP(F4934,FLN!$A$4:$K$103,9,0),"")</f>
        <v>Level - </v>
      </c>
      <c r="G4943" s="36"/>
      <c r="H4943" s="37" t="s">
        <v>715</v>
      </c>
      <c r="I4943" s="20"/>
      <c r="J4943" s="35" t="str">
        <f>"Level - "&amp;IFERROR(VLOOKUP(F4934,FLN!$A$4:$K$103,11,0),"")</f>
        <v>Level - </v>
      </c>
      <c r="K4943" s="36"/>
      <c r="L4943" s="37" t="s">
        <v>408</v>
      </c>
      <c r="M4943" s="20"/>
      <c r="N4943" s="35" t="str">
        <f>"Level - "&amp;IFERROR(VLOOKUP(F4934,FLN!$A$4:$K$103,10,0),"")</f>
        <v>Level - </v>
      </c>
      <c r="O4943" s="36"/>
      <c r="P4943" s="19"/>
      <c r="Q4943" s="14"/>
      <c r="R4943" s="11"/>
    </row>
    <row r="4944" s="1" customFormat="1" ht="21.95" customHeight="1" spans="1:18">
      <c r="A4944" s="7"/>
      <c r="B4944" s="12"/>
      <c r="C4944" s="33"/>
      <c r="D4944" s="38"/>
      <c r="E4944" s="20" t="s">
        <v>716</v>
      </c>
      <c r="F4944" s="18" t="str">
        <f>IF(L4958&gt;197,"PERFORMED WELL","")</f>
        <v/>
      </c>
      <c r="G4944" s="18"/>
      <c r="H4944" s="18"/>
      <c r="I4944" s="18"/>
      <c r="J4944" s="18"/>
      <c r="K4944" s="18"/>
      <c r="L4944" s="18"/>
      <c r="M4944" s="18"/>
      <c r="N4944" s="18"/>
      <c r="O4944" s="18"/>
      <c r="P4944" s="19"/>
      <c r="Q4944" s="14"/>
      <c r="R4944" s="11"/>
    </row>
    <row r="4945" s="1" customFormat="1" ht="9.95" customHeight="1" spans="1:18">
      <c r="A4945" s="7"/>
      <c r="B4945" s="12"/>
      <c r="C4945" s="39"/>
      <c r="D4945" s="40"/>
      <c r="E4945" s="40"/>
      <c r="F4945" s="40"/>
      <c r="G4945" s="40"/>
      <c r="H4945" s="40"/>
      <c r="I4945" s="40"/>
      <c r="J4945" s="40"/>
      <c r="K4945" s="40"/>
      <c r="L4945" s="40"/>
      <c r="M4945" s="40"/>
      <c r="N4945" s="40"/>
      <c r="O4945" s="40"/>
      <c r="P4945" s="41"/>
      <c r="Q4945" s="14"/>
      <c r="R4945" s="11"/>
    </row>
    <row r="4946" s="1" customFormat="1" ht="9.95" customHeight="1" spans="1:18">
      <c r="A4946" s="7"/>
      <c r="B4946" s="12"/>
      <c r="C4946" s="29"/>
      <c r="D4946" s="29"/>
      <c r="E4946" s="29"/>
      <c r="F4946" s="29"/>
      <c r="G4946" s="29"/>
      <c r="H4946" s="29"/>
      <c r="I4946" s="29"/>
      <c r="J4946" s="29"/>
      <c r="K4946" s="29"/>
      <c r="L4946" s="29"/>
      <c r="M4946" s="29"/>
      <c r="N4946" s="29"/>
      <c r="O4946" s="29"/>
      <c r="P4946" s="29"/>
      <c r="Q4946" s="14"/>
      <c r="R4946" s="11"/>
    </row>
    <row r="4947" s="1" customFormat="1" ht="9.95" customHeight="1" spans="1:18">
      <c r="A4947" s="7"/>
      <c r="B4947" s="12"/>
      <c r="C4947" s="30"/>
      <c r="D4947" s="31"/>
      <c r="E4947" s="31"/>
      <c r="F4947" s="31"/>
      <c r="G4947" s="31"/>
      <c r="H4947" s="31"/>
      <c r="I4947" s="31"/>
      <c r="J4947" s="31"/>
      <c r="K4947" s="31"/>
      <c r="L4947" s="31"/>
      <c r="M4947" s="31"/>
      <c r="N4947" s="31"/>
      <c r="O4947" s="31"/>
      <c r="P4947" s="32"/>
      <c r="Q4947" s="14"/>
      <c r="R4947" s="11"/>
    </row>
    <row r="4948" s="1" customFormat="1" ht="21.95" customHeight="1" spans="1:18">
      <c r="A4948" s="7"/>
      <c r="B4948" s="12"/>
      <c r="C4948" s="33"/>
      <c r="D4948" s="35"/>
      <c r="E4948" s="24"/>
      <c r="F4948" s="24"/>
      <c r="G4948" s="47" t="s">
        <v>717</v>
      </c>
      <c r="H4948" s="47"/>
      <c r="I4948" s="47"/>
      <c r="J4948" s="47"/>
      <c r="K4948" s="47"/>
      <c r="L4948" s="47"/>
      <c r="M4948" s="47"/>
      <c r="N4948" s="47"/>
      <c r="O4948" s="29"/>
      <c r="P4948" s="19"/>
      <c r="Q4948" s="14"/>
      <c r="R4948" s="11"/>
    </row>
    <row r="4949" s="1" customFormat="1" ht="21.95" customHeight="1" spans="1:18">
      <c r="A4949" s="7"/>
      <c r="B4949" s="12"/>
      <c r="C4949" s="33"/>
      <c r="D4949" s="47"/>
      <c r="E4949" s="47"/>
      <c r="F4949" s="47"/>
      <c r="G4949" s="47" t="s">
        <v>541</v>
      </c>
      <c r="H4949" s="47" t="s">
        <v>542</v>
      </c>
      <c r="I4949" s="47" t="s">
        <v>543</v>
      </c>
      <c r="J4949" s="47" t="s">
        <v>544</v>
      </c>
      <c r="K4949" s="47" t="s">
        <v>561</v>
      </c>
      <c r="L4949" s="47" t="s">
        <v>382</v>
      </c>
      <c r="M4949" s="49" t="s">
        <v>546</v>
      </c>
      <c r="N4949" s="49"/>
      <c r="O4949" s="29"/>
      <c r="P4949" s="19"/>
      <c r="Q4949" s="14"/>
      <c r="R4949" s="11"/>
    </row>
    <row r="4950" s="1" customFormat="1" ht="21.95" customHeight="1" spans="1:18">
      <c r="A4950" s="7"/>
      <c r="B4950" s="12"/>
      <c r="C4950" s="33"/>
      <c r="D4950" s="207" t="s">
        <v>652</v>
      </c>
      <c r="E4950" s="207"/>
      <c r="F4950" s="207"/>
      <c r="G4950" s="50">
        <v>10</v>
      </c>
      <c r="H4950" s="50">
        <v>10</v>
      </c>
      <c r="I4950" s="50">
        <v>10</v>
      </c>
      <c r="J4950" s="50">
        <v>10</v>
      </c>
      <c r="K4950" s="50">
        <v>60</v>
      </c>
      <c r="L4950" s="50">
        <v>100</v>
      </c>
      <c r="M4950" s="49"/>
      <c r="N4950" s="49"/>
      <c r="O4950" s="29"/>
      <c r="P4950" s="19"/>
      <c r="Q4950" s="14"/>
      <c r="R4950" s="11"/>
    </row>
    <row r="4951" s="1" customFormat="1" ht="21.95" customHeight="1" spans="1:18">
      <c r="A4951" s="7"/>
      <c r="B4951" s="12"/>
      <c r="C4951" s="33"/>
      <c r="D4951" s="117" t="s">
        <v>668</v>
      </c>
      <c r="E4951" s="117"/>
      <c r="F4951" s="117"/>
      <c r="G4951" s="54" t="str">
        <f>IFERROR(VLOOKUP(F4934,'1to4-2.1-RR'!$A$12:$BG$111,9,0),"")</f>
        <v/>
      </c>
      <c r="H4951" s="54" t="str">
        <f>IFERROR(VLOOKUP(F4934,'1to4-2.1-RR'!$A$12:$BG$111,10,0),"")</f>
        <v/>
      </c>
      <c r="I4951" s="54" t="str">
        <f>IFERROR(VLOOKUP(F4934,'1to4-2.1-RR'!$A$12:$BG$111,11,0),"")</f>
        <v/>
      </c>
      <c r="J4951" s="54" t="str">
        <f>IFERROR(VLOOKUP(F4934,'1to4-2.1-RR'!$A$12:$BG$111,12,0),"")</f>
        <v/>
      </c>
      <c r="K4951" s="54" t="str">
        <f>IFERROR(VLOOKUP(F4934,'1to4-2.1-RR'!$A$12:$BG$111,13,0),"")</f>
        <v/>
      </c>
      <c r="L4951" s="55">
        <f>SUM(G4951:K4951)</f>
        <v>0</v>
      </c>
      <c r="M4951" s="56" t="str">
        <f>IF(F4934&gt;ENTRY!$D$24,"",IF(L4951=0,"Ab",IF(L4951&gt;80,"A",IF(L4951&gt;60,"B",IF(L4951&gt;44,"C",IF(L4951&gt;=33,"D",IF(L4951&lt;=32,"E","")))))))</f>
        <v/>
      </c>
      <c r="N4951" s="56"/>
      <c r="O4951" s="29"/>
      <c r="P4951" s="19"/>
      <c r="Q4951" s="14"/>
      <c r="R4951" s="11"/>
    </row>
    <row r="4952" s="1" customFormat="1" ht="21.95" customHeight="1" spans="1:18">
      <c r="A4952" s="7"/>
      <c r="B4952" s="12"/>
      <c r="C4952" s="33"/>
      <c r="D4952" s="117" t="s">
        <v>513</v>
      </c>
      <c r="E4952" s="117"/>
      <c r="F4952" s="117"/>
      <c r="G4952" s="54" t="str">
        <f>IFERROR(VLOOKUP(F4934,'1to4-2.1-RR'!$A$12:$BG$111,16,0),"")</f>
        <v/>
      </c>
      <c r="H4952" s="54" t="str">
        <f>IFERROR(VLOOKUP(F4934,'1to4-2.1-RR'!$A$12:$BG$111,17,0),"")</f>
        <v/>
      </c>
      <c r="I4952" s="54" t="str">
        <f>IFERROR(VLOOKUP(F4934,'1to4-2.1-RR'!$A$12:$BG$111,18,0),"")</f>
        <v/>
      </c>
      <c r="J4952" s="54" t="str">
        <f>IFERROR(VLOOKUP(F4934,'1to4-2.1-RR'!$A$12:$BG$111,19,0),"")</f>
        <v/>
      </c>
      <c r="K4952" s="54" t="str">
        <f>IFERROR(VLOOKUP(F4934,'1to4-2.1-RR'!$A$12:$BG$111,20,0),"")</f>
        <v/>
      </c>
      <c r="L4952" s="55">
        <f t="shared" ref="L4952:L4957" si="176">SUM(G4952:K4952)</f>
        <v>0</v>
      </c>
      <c r="M4952" s="56" t="str">
        <f>IF(F4934&gt;ENTRY!$D$24,"",IF(L4952=0,"Ab",IF(L4952&gt;80,"A",IF(L4952&gt;60,"B",IF(L4952&gt;44,"C",IF(L4952&gt;=33,"D",IF(L4952&lt;=32,"E","")))))))</f>
        <v/>
      </c>
      <c r="N4952" s="56"/>
      <c r="O4952" s="29"/>
      <c r="P4952" s="19"/>
      <c r="Q4952" s="14"/>
      <c r="R4952" s="11"/>
    </row>
    <row r="4953" s="1" customFormat="1" ht="21.95" customHeight="1" spans="1:18">
      <c r="A4953" s="7"/>
      <c r="B4953" s="12"/>
      <c r="C4953" s="33"/>
      <c r="D4953" s="117" t="s">
        <v>718</v>
      </c>
      <c r="E4953" s="117"/>
      <c r="F4953" s="117"/>
      <c r="G4953" s="54" t="str">
        <f>IFERROR(VLOOKUP(F4934,'1to4-2.1-RR'!$A$12:$BG$111,23,0),"")</f>
        <v/>
      </c>
      <c r="H4953" s="54" t="str">
        <f>IFERROR(VLOOKUP(F4934,'1to4-2.1-RR'!$A$12:$BG$111,24,0),"")</f>
        <v/>
      </c>
      <c r="I4953" s="54" t="str">
        <f>IFERROR(VLOOKUP(F4934,'1to4-2.1-RR'!$A$12:$BG$111,25,0),"")</f>
        <v/>
      </c>
      <c r="J4953" s="54" t="str">
        <f>IFERROR(VLOOKUP(F4934,'1to4-2.1-RR'!$A$12:$BG$111,26,0),"")</f>
        <v/>
      </c>
      <c r="K4953" s="54" t="str">
        <f>IFERROR(VLOOKUP(F4934,'1to4-2.1-RR'!$A$12:$BG$111,27,0),"")</f>
        <v/>
      </c>
      <c r="L4953" s="55">
        <f t="shared" si="176"/>
        <v>0</v>
      </c>
      <c r="M4953" s="56" t="str">
        <f>IF(F4934&gt;ENTRY!$D$24,"",IF(L4953=0,"Ab",IF(L4953&gt;80,"A",IF(L4953&gt;60,"B",IF(L4953&gt;44,"C",IF(L4953&gt;=33,"D",IF(L4953&lt;=32,"E","")))))))</f>
        <v/>
      </c>
      <c r="N4953" s="56"/>
      <c r="O4953" s="29"/>
      <c r="P4953" s="19"/>
      <c r="Q4953" s="14"/>
      <c r="R4953" s="11"/>
    </row>
    <row r="4954" s="1" customFormat="1" ht="21.95" customHeight="1" spans="1:18">
      <c r="A4954" s="7"/>
      <c r="B4954" s="12"/>
      <c r="C4954" s="33"/>
      <c r="D4954" s="117" t="s">
        <v>719</v>
      </c>
      <c r="E4954" s="117"/>
      <c r="F4954" s="117"/>
      <c r="G4954" s="54" t="str">
        <f>IFERROR(VLOOKUP(F4934,'1to4-2.1-RR'!$A$12:$BG$111,30,0),"")</f>
        <v/>
      </c>
      <c r="H4954" s="54" t="str">
        <f>IFERROR(VLOOKUP(F4934,'1to4-2.1-RR'!$A$12:$BG$111,31,0),"")</f>
        <v/>
      </c>
      <c r="I4954" s="54" t="str">
        <f>IFERROR(VLOOKUP(F4934,'1to4-2.1-RR'!$A$12:$BG$111,32,0),"")</f>
        <v/>
      </c>
      <c r="J4954" s="54" t="str">
        <f>IFERROR(VLOOKUP(F4934,'1to4-2.1-RR'!$A$12:$BG$111,33,0),"")</f>
        <v/>
      </c>
      <c r="K4954" s="54" t="str">
        <f>IFERROR(VLOOKUP(F4934,'1to4-2.1-RR'!$A$12:$BG$111,34,0),"")</f>
        <v/>
      </c>
      <c r="L4954" s="55">
        <f t="shared" si="176"/>
        <v>0</v>
      </c>
      <c r="M4954" s="56" t="str">
        <f>IF(F4934&gt;ENTRY!$D$24,"",IF(L4954=0,"Ab",IF(L4954&gt;80,"A",IF(L4954&gt;60,"B",IF(L4954&gt;44,"C",IF(L4954&gt;=33,"D",IF(L4954&lt;=32,"E","")))))))</f>
        <v/>
      </c>
      <c r="N4954" s="56"/>
      <c r="O4954" s="29"/>
      <c r="P4954" s="19"/>
      <c r="Q4954" s="14"/>
      <c r="R4954" s="11"/>
    </row>
    <row r="4955" s="1" customFormat="1" ht="21.95" customHeight="1" spans="1:18">
      <c r="A4955" s="7"/>
      <c r="B4955" s="12"/>
      <c r="C4955" s="33"/>
      <c r="D4955" s="117" t="s">
        <v>548</v>
      </c>
      <c r="E4955" s="117"/>
      <c r="F4955" s="117"/>
      <c r="G4955" s="54" t="str">
        <f>IFERROR(VLOOKUP(F4934,'1to4-2.1-RR'!$A$12:$BG$111,37,0),"")</f>
        <v/>
      </c>
      <c r="H4955" s="54" t="str">
        <f>IFERROR(VLOOKUP(F4934,'1to4-2.1-RR'!$A$12:$BG$111,38,0),"")</f>
        <v/>
      </c>
      <c r="I4955" s="54" t="str">
        <f>IFERROR(VLOOKUP(F4934,'1to4-2.1-RR'!$A$12:$BG$111,39,0),"")</f>
        <v/>
      </c>
      <c r="J4955" s="54" t="str">
        <f>IFERROR(VLOOKUP(F4934,'1to4-2.1-RR'!$A$12:$BG$111,40,0),"")</f>
        <v/>
      </c>
      <c r="K4955" s="54" t="str">
        <f>IFERROR(VLOOKUP(F4934,'1to4-2.1-RR'!$A$12:$BG$111,41,0),"")</f>
        <v/>
      </c>
      <c r="L4955" s="55">
        <f t="shared" si="176"/>
        <v>0</v>
      </c>
      <c r="M4955" s="56" t="str">
        <f>IF(F4934&gt;ENTRY!$D$24,"",IF(L4955=0,"Ab",IF(L4955&gt;80,"A",IF(L4955&gt;60,"B",IF(L4955&gt;44,"C",IF(L4955&gt;=33,"D",IF(L4955&lt;=32,"E","")))))))</f>
        <v/>
      </c>
      <c r="N4955" s="56"/>
      <c r="O4955" s="29"/>
      <c r="P4955" s="19"/>
      <c r="Q4955" s="14"/>
      <c r="R4955" s="11"/>
    </row>
    <row r="4956" s="1" customFormat="1" ht="21.95" customHeight="1" spans="1:18">
      <c r="A4956" s="7"/>
      <c r="B4956" s="12"/>
      <c r="C4956" s="33"/>
      <c r="D4956" s="117" t="s">
        <v>549</v>
      </c>
      <c r="E4956" s="117"/>
      <c r="F4956" s="117"/>
      <c r="G4956" s="54" t="str">
        <f>IFERROR(VLOOKUP(F4934,'1to4-2.1-RR'!$A$12:$BG$111,44,0),"")</f>
        <v/>
      </c>
      <c r="H4956" s="54" t="str">
        <f>IFERROR(VLOOKUP(F4934,'1to4-2.1-RR'!$A$12:$BG$111,45,0),"")</f>
        <v/>
      </c>
      <c r="I4956" s="54" t="str">
        <f>IFERROR(VLOOKUP(F4934,'1to4-2.1-RR'!$A$12:$BG$111,46,0),"")</f>
        <v/>
      </c>
      <c r="J4956" s="54" t="str">
        <f>IFERROR(VLOOKUP(F4934,'1to4-2.1-RR'!$A$12:$BG$111,47,0),"")</f>
        <v/>
      </c>
      <c r="K4956" s="54" t="str">
        <f>IFERROR(VLOOKUP(F4934,'1to4-2.1-RR'!$A$12:$BG$111,48,0),"")</f>
        <v/>
      </c>
      <c r="L4956" s="55">
        <f t="shared" si="176"/>
        <v>0</v>
      </c>
      <c r="M4956" s="56" t="str">
        <f>IF(F4934&gt;ENTRY!$D$24,"",IF(L4956=0,"Ab",IF(L4956&gt;80,"A",IF(L4956&gt;60,"B",IF(L4956&gt;44,"C",IF(L4956&gt;=33,"D",IF(L4956&lt;=32,"E","")))))))</f>
        <v/>
      </c>
      <c r="N4956" s="56"/>
      <c r="O4956" s="29"/>
      <c r="P4956" s="19"/>
      <c r="Q4956" s="14"/>
      <c r="R4956" s="11"/>
    </row>
    <row r="4957" s="1" customFormat="1" ht="21.95" customHeight="1" spans="1:18">
      <c r="A4957" s="7"/>
      <c r="B4957" s="12"/>
      <c r="C4957" s="33"/>
      <c r="D4957" s="117" t="s">
        <v>720</v>
      </c>
      <c r="E4957" s="117"/>
      <c r="F4957" s="117"/>
      <c r="G4957" s="54"/>
      <c r="H4957" s="54"/>
      <c r="I4957" s="54"/>
      <c r="J4957" s="54"/>
      <c r="K4957" s="54"/>
      <c r="L4957" s="55">
        <f t="shared" si="176"/>
        <v>0</v>
      </c>
      <c r="M4957" s="56" t="str">
        <f>IF(F4934&gt;ENTRY!$D$24,"",IF(L4957=0,"",IF(L4957&gt;79,"A",IF(L4957&gt;59,"B",IF(L4957&gt;44,"C",IF(L4957&gt;=33,"D",IF(L4957&lt;=32,"E","")))))))</f>
        <v/>
      </c>
      <c r="N4957" s="56"/>
      <c r="O4957" s="29"/>
      <c r="P4957" s="19"/>
      <c r="Q4957" s="14"/>
      <c r="R4957" s="11"/>
    </row>
    <row r="4958" s="1" customFormat="1" ht="21.95" customHeight="1" spans="1:18">
      <c r="A4958" s="7"/>
      <c r="B4958" s="12"/>
      <c r="C4958" s="33"/>
      <c r="D4958" s="207" t="s">
        <v>382</v>
      </c>
      <c r="E4958" s="207"/>
      <c r="F4958" s="207"/>
      <c r="G4958" s="54">
        <f t="shared" ref="G4958:L4958" si="177">IFERROR(SUM(G4951:G4957),"")</f>
        <v>0</v>
      </c>
      <c r="H4958" s="54">
        <f t="shared" si="177"/>
        <v>0</v>
      </c>
      <c r="I4958" s="54">
        <f t="shared" si="177"/>
        <v>0</v>
      </c>
      <c r="J4958" s="54">
        <f t="shared" si="177"/>
        <v>0</v>
      </c>
      <c r="K4958" s="54">
        <f t="shared" si="177"/>
        <v>0</v>
      </c>
      <c r="L4958" s="55">
        <f t="shared" si="177"/>
        <v>0</v>
      </c>
      <c r="M4958" s="61" t="str">
        <f>IF(F4934&gt;ENTRY!$D$24,"",IF(N4959="Ab","Ab",IF(N4959&gt;79.5,"A",IF(N4959&gt;59.5,"B",IF(N4959&gt;44.5,"C",IF(N4959&gt;=33,"D",IF(N4959&lt;33,"E","")))))))</f>
        <v/>
      </c>
      <c r="N4958" s="61"/>
      <c r="O4958" s="29"/>
      <c r="P4958" s="19"/>
      <c r="Q4958" s="14"/>
      <c r="R4958" s="11"/>
    </row>
    <row r="4959" s="1" customFormat="1" ht="21.95" customHeight="1" spans="1:18">
      <c r="A4959" s="7"/>
      <c r="B4959" s="12"/>
      <c r="C4959" s="33"/>
      <c r="D4959" s="63" t="s">
        <v>721</v>
      </c>
      <c r="E4959" s="63"/>
      <c r="F4959" s="63"/>
      <c r="G4959" s="63"/>
      <c r="H4959" s="63"/>
      <c r="I4959" s="63"/>
      <c r="J4959" s="63"/>
      <c r="K4959" s="63"/>
      <c r="L4959" s="63"/>
      <c r="M4959" s="209"/>
      <c r="N4959" s="64">
        <f>IF(L4958="Ab","Ab",L4958/6)</f>
        <v>0</v>
      </c>
      <c r="O4959" s="65"/>
      <c r="P4959" s="19"/>
      <c r="Q4959" s="14"/>
      <c r="R4959" s="11"/>
    </row>
    <row r="4960" s="1" customFormat="1" ht="21.95" customHeight="1" spans="1:18">
      <c r="A4960" s="7"/>
      <c r="B4960" s="12"/>
      <c r="C4960" s="33"/>
      <c r="D4960" s="29" t="s">
        <v>716</v>
      </c>
      <c r="E4960" s="18" t="str">
        <f>IFERROR(VLOOKUP(F4934,'1to4-2.1-RR'!$A$12:$BG$111,57,0),"")</f>
        <v/>
      </c>
      <c r="F4960" s="18"/>
      <c r="G4960" s="18"/>
      <c r="H4960" s="18"/>
      <c r="I4960" s="18"/>
      <c r="J4960" s="18"/>
      <c r="K4960" s="18"/>
      <c r="L4960" s="18"/>
      <c r="M4960" s="18"/>
      <c r="N4960" s="29"/>
      <c r="O4960" s="29"/>
      <c r="P4960" s="19"/>
      <c r="Q4960" s="14"/>
      <c r="R4960" s="11"/>
    </row>
    <row r="4961" s="1" customFormat="1" ht="9.95" customHeight="1" spans="1:19">
      <c r="A4961" s="7"/>
      <c r="B4961" s="12"/>
      <c r="C4961" s="39"/>
      <c r="D4961" s="40"/>
      <c r="E4961" s="40"/>
      <c r="F4961" s="40"/>
      <c r="G4961" s="40"/>
      <c r="H4961" s="40"/>
      <c r="I4961" s="40"/>
      <c r="J4961" s="40"/>
      <c r="K4961" s="40"/>
      <c r="L4961" s="40"/>
      <c r="M4961" s="40"/>
      <c r="N4961" s="40"/>
      <c r="O4961" s="40"/>
      <c r="P4961" s="41"/>
      <c r="Q4961" s="14"/>
      <c r="R4961" s="11"/>
    </row>
    <row r="4962" s="1" customFormat="1" ht="9.95" customHeight="1" spans="1:19">
      <c r="A4962" s="7"/>
      <c r="B4962" s="12"/>
      <c r="C4962" s="30"/>
      <c r="D4962" s="31"/>
      <c r="E4962" s="31"/>
      <c r="F4962" s="29"/>
      <c r="G4962" s="31"/>
      <c r="H4962" s="31"/>
      <c r="I4962" s="31"/>
      <c r="J4962" s="31"/>
      <c r="K4962" s="31"/>
      <c r="L4962" s="31"/>
      <c r="M4962" s="31"/>
      <c r="N4962" s="31"/>
      <c r="O4962" s="31"/>
      <c r="P4962" s="32"/>
      <c r="Q4962" s="14"/>
      <c r="R4962" s="11"/>
    </row>
    <row r="4963" s="1" customFormat="1" ht="9.95" customHeight="1" spans="1:19">
      <c r="A4963" s="7"/>
      <c r="B4963" s="12"/>
      <c r="C4963" s="33"/>
      <c r="D4963" s="29"/>
      <c r="E4963" s="29"/>
      <c r="F4963" s="29"/>
      <c r="G4963" s="29"/>
      <c r="H4963" s="29"/>
      <c r="I4963" s="29"/>
      <c r="J4963" s="29"/>
      <c r="K4963" s="29"/>
      <c r="L4963" s="29"/>
      <c r="M4963" s="29"/>
      <c r="N4963" s="29"/>
      <c r="O4963" s="29"/>
      <c r="P4963" s="19"/>
      <c r="Q4963" s="14"/>
      <c r="R4963" s="11"/>
    </row>
    <row r="4964" s="1" customFormat="1" ht="9.95" customHeight="1" spans="1:19">
      <c r="A4964" s="7"/>
      <c r="B4964" s="12"/>
      <c r="C4964" s="33"/>
      <c r="D4964" s="29"/>
      <c r="E4964" s="29"/>
      <c r="F4964" s="29"/>
      <c r="G4964" s="29"/>
      <c r="H4964" s="29"/>
      <c r="I4964" s="29"/>
      <c r="J4964" s="29"/>
      <c r="K4964" s="29"/>
      <c r="L4964" s="29"/>
      <c r="M4964" s="29"/>
      <c r="N4964" s="29"/>
      <c r="O4964" s="29"/>
      <c r="P4964" s="19"/>
      <c r="Q4964" s="14"/>
      <c r="R4964" s="11"/>
    </row>
    <row r="4965" s="1" customFormat="1" ht="21.95" customHeight="1" spans="1:19">
      <c r="A4965" s="7"/>
      <c r="B4965" s="12"/>
      <c r="C4965" s="210"/>
      <c r="D4965" s="211"/>
      <c r="E4965" s="211"/>
      <c r="F4965" s="211"/>
      <c r="G4965" s="211"/>
      <c r="H4965" s="211"/>
      <c r="I4965" s="211"/>
      <c r="J4965" s="211"/>
      <c r="K4965" s="211"/>
      <c r="L4965" s="211"/>
      <c r="M4965" s="211"/>
      <c r="N4965" s="211"/>
      <c r="O4965" s="211"/>
      <c r="P4965" s="212"/>
      <c r="Q4965" s="14"/>
      <c r="R4965" s="11"/>
      <c r="S4965" s="2"/>
    </row>
    <row r="4966" s="1" customFormat="1" ht="21.95" customHeight="1" spans="1:19">
      <c r="A4966" s="7"/>
      <c r="B4966" s="12"/>
      <c r="C4966" s="33"/>
      <c r="D4966" s="207" t="s">
        <v>722</v>
      </c>
      <c r="E4966" s="207"/>
      <c r="F4966" s="207"/>
      <c r="G4966" s="207"/>
      <c r="H4966" s="54">
        <f>IFERROR(VLOOKUP(F4934,PASHEET!$A$4:$CJ$103,88,0),"")</f>
        <v>0</v>
      </c>
      <c r="I4966" s="54"/>
      <c r="J4966" s="29"/>
      <c r="K4966" s="29"/>
      <c r="L4966" s="29"/>
      <c r="M4966" s="29"/>
      <c r="N4966" s="29"/>
      <c r="O4966" s="29"/>
      <c r="P4966" s="19"/>
      <c r="Q4966" s="14"/>
      <c r="R4966" s="11"/>
    </row>
    <row r="4967" s="1" customFormat="1" ht="21.95" customHeight="1" spans="1:19">
      <c r="A4967" s="7"/>
      <c r="B4967" s="12"/>
      <c r="C4967" s="213"/>
      <c r="D4967" s="207" t="s">
        <v>723</v>
      </c>
      <c r="E4967" s="207"/>
      <c r="F4967" s="207"/>
      <c r="G4967" s="207"/>
      <c r="H4967" s="54">
        <f>IFERROR(VLOOKUP(F4934,PASHEET!$A$4:$CJ$103,87,0),"")</f>
        <v>0</v>
      </c>
      <c r="I4967" s="54"/>
      <c r="J4967" s="214"/>
      <c r="K4967" s="214"/>
      <c r="L4967" s="207" t="s">
        <v>724</v>
      </c>
      <c r="M4967" s="207"/>
      <c r="N4967" s="117" t="str">
        <f>IF(F4934&gt;ENTRY!$D$24,"",IF(F4934&gt;0,L4958&amp;" / "&amp;600,""))</f>
        <v/>
      </c>
      <c r="O4967" s="117"/>
      <c r="P4967" s="215"/>
      <c r="Q4967" s="14"/>
      <c r="R4967" s="11"/>
    </row>
    <row r="4968" s="1" customFormat="1" ht="18" customHeight="1" spans="1:19">
      <c r="A4968" s="7"/>
      <c r="B4968" s="12"/>
      <c r="C4968" s="33"/>
      <c r="D4968" s="207" t="s">
        <v>725</v>
      </c>
      <c r="E4968" s="207"/>
      <c r="F4968" s="207"/>
      <c r="G4968" s="207"/>
      <c r="H4968" s="69" t="str">
        <f>IFERROR(IF(F4934&gt;0,H4967/H4966*100),"")</f>
        <v/>
      </c>
      <c r="I4968" s="69"/>
      <c r="J4968" s="29"/>
      <c r="K4968" s="29"/>
      <c r="L4968" s="207" t="s">
        <v>726</v>
      </c>
      <c r="M4968" s="207"/>
      <c r="N4968" s="216" t="str">
        <f>IF(F4934&gt;ENTRY!$D$24,"",IF(F4934&gt;0,L4958/600*100,""))</f>
        <v/>
      </c>
      <c r="O4968" s="216"/>
      <c r="P4968" s="19"/>
      <c r="Q4968" s="14"/>
      <c r="R4968" s="11"/>
    </row>
    <row r="4969" s="1" customFormat="1" ht="21.95" customHeight="1" spans="1:19">
      <c r="A4969" s="7"/>
      <c r="B4969" s="12"/>
      <c r="C4969" s="33"/>
      <c r="D4969" s="80"/>
      <c r="E4969" s="80"/>
      <c r="F4969" s="217"/>
      <c r="G4969" s="217"/>
      <c r="H4969" s="217"/>
      <c r="I4969" s="217"/>
      <c r="J4969" s="217"/>
      <c r="K4969" s="217"/>
      <c r="L4969" s="217"/>
      <c r="M4969" s="217"/>
      <c r="N4969" s="80"/>
      <c r="O4969" s="80"/>
      <c r="P4969" s="19"/>
      <c r="Q4969" s="14"/>
      <c r="R4969" s="11"/>
    </row>
    <row r="4970" s="1" customFormat="1" ht="21.95" customHeight="1" spans="1:19">
      <c r="A4970" s="7"/>
      <c r="B4970" s="12"/>
      <c r="C4970" s="33"/>
      <c r="D4970" s="80"/>
      <c r="E4970" s="218"/>
      <c r="F4970" s="218"/>
      <c r="G4970" s="218"/>
      <c r="H4970" s="80"/>
      <c r="I4970" s="218"/>
      <c r="J4970" s="218"/>
      <c r="K4970" s="218"/>
      <c r="L4970" s="218"/>
      <c r="M4970" s="80"/>
      <c r="N4970" s="219"/>
      <c r="O4970" s="219"/>
      <c r="P4970" s="19"/>
      <c r="Q4970" s="14"/>
      <c r="R4970" s="11"/>
    </row>
    <row r="4971" s="1" customFormat="1" ht="21.95" customHeight="1" spans="1:19">
      <c r="A4971" s="7"/>
      <c r="B4971" s="12"/>
      <c r="C4971" s="33"/>
      <c r="D4971" s="80"/>
      <c r="E4971" s="80"/>
      <c r="F4971" s="80"/>
      <c r="G4971" s="80"/>
      <c r="H4971" s="80"/>
      <c r="I4971" s="80"/>
      <c r="J4971" s="80"/>
      <c r="K4971" s="80"/>
      <c r="L4971" s="80"/>
      <c r="M4971" s="80"/>
      <c r="N4971" s="80"/>
      <c r="O4971" s="80"/>
      <c r="P4971" s="19"/>
      <c r="Q4971" s="14"/>
      <c r="R4971" s="11"/>
    </row>
    <row r="4972" s="1" customFormat="1" ht="21.95" customHeight="1" spans="1:19">
      <c r="A4972" s="7"/>
      <c r="B4972" s="12"/>
      <c r="C4972" s="33"/>
      <c r="D4972" s="218"/>
      <c r="E4972" s="218"/>
      <c r="F4972" s="218"/>
      <c r="G4972" s="218"/>
      <c r="H4972" s="218"/>
      <c r="I4972" s="218"/>
      <c r="J4972" s="218"/>
      <c r="K4972" s="218"/>
      <c r="L4972" s="218"/>
      <c r="M4972" s="80"/>
      <c r="N4972" s="217"/>
      <c r="O4972" s="217"/>
      <c r="P4972" s="85" t="s">
        <v>727</v>
      </c>
      <c r="Q4972" s="14"/>
      <c r="R4972" s="11"/>
    </row>
    <row r="4973" s="1" customFormat="1" ht="21.95" customHeight="1" spans="1:19">
      <c r="A4973" s="7"/>
      <c r="B4973" s="12"/>
      <c r="C4973" s="33"/>
      <c r="D4973" s="29"/>
      <c r="E4973" s="29"/>
      <c r="F4973" s="29"/>
      <c r="G4973" s="29"/>
      <c r="H4973" s="29"/>
      <c r="I4973" s="29"/>
      <c r="J4973" s="29"/>
      <c r="K4973" s="29"/>
      <c r="L4973" s="29"/>
      <c r="M4973" s="29"/>
      <c r="N4973" s="29"/>
      <c r="O4973" s="29"/>
      <c r="P4973" s="19"/>
      <c r="Q4973" s="14"/>
      <c r="R4973" s="11"/>
    </row>
    <row r="4974" s="1" customFormat="1" ht="21.95" customHeight="1" spans="1:19">
      <c r="A4974" s="7"/>
      <c r="B4974" s="12"/>
      <c r="C4974" s="33"/>
      <c r="D4974" s="29"/>
      <c r="E4974" s="29"/>
      <c r="F4974" s="29"/>
      <c r="G4974" s="29"/>
      <c r="H4974" s="29"/>
      <c r="I4974" s="29"/>
      <c r="J4974" s="29"/>
      <c r="K4974" s="29"/>
      <c r="L4974" s="29"/>
      <c r="M4974" s="29"/>
      <c r="N4974" s="29"/>
      <c r="O4974" s="29"/>
      <c r="P4974" s="19"/>
      <c r="Q4974" s="14"/>
      <c r="R4974" s="11"/>
    </row>
    <row r="4975" s="1" customFormat="1" ht="21.95" customHeight="1" spans="1:19">
      <c r="A4975" s="7"/>
      <c r="B4975" s="12"/>
      <c r="C4975" s="33"/>
      <c r="D4975" s="29"/>
      <c r="E4975" s="29"/>
      <c r="F4975" s="29"/>
      <c r="G4975" s="29"/>
      <c r="H4975" s="29"/>
      <c r="I4975" s="29"/>
      <c r="J4975" s="29"/>
      <c r="K4975" s="29"/>
      <c r="L4975" s="29"/>
      <c r="M4975" s="29"/>
      <c r="N4975" s="29"/>
      <c r="O4975" s="29"/>
      <c r="P4975" s="19"/>
      <c r="Q4975" s="14"/>
      <c r="R4975" s="11"/>
    </row>
    <row r="4976" s="1" customFormat="1" ht="21.95" customHeight="1" spans="1:19">
      <c r="A4976" s="7"/>
      <c r="B4976" s="12"/>
      <c r="C4976" s="33"/>
      <c r="D4976" s="29"/>
      <c r="E4976" s="29"/>
      <c r="F4976" s="29"/>
      <c r="G4976" s="29"/>
      <c r="H4976" s="29"/>
      <c r="I4976" s="29"/>
      <c r="J4976" s="29"/>
      <c r="K4976" s="29"/>
      <c r="L4976" s="29"/>
      <c r="M4976" s="29"/>
      <c r="N4976" s="29"/>
      <c r="O4976" s="29"/>
      <c r="P4976" s="19"/>
      <c r="Q4976" s="14"/>
      <c r="R4976" s="11"/>
    </row>
    <row r="4977" s="1" customFormat="1" ht="21.95" customHeight="1" spans="1:18">
      <c r="A4977" s="7"/>
      <c r="B4977" s="12"/>
      <c r="C4977" s="33"/>
      <c r="D4977" s="29"/>
      <c r="E4977" s="29"/>
      <c r="F4977" s="29"/>
      <c r="G4977" s="29"/>
      <c r="H4977" s="29"/>
      <c r="I4977" s="29"/>
      <c r="J4977" s="29"/>
      <c r="K4977" s="29"/>
      <c r="L4977" s="29"/>
      <c r="M4977" s="29"/>
      <c r="N4977" s="29"/>
      <c r="O4977" s="29"/>
      <c r="P4977" s="19"/>
      <c r="Q4977" s="14"/>
      <c r="R4977" s="11"/>
    </row>
    <row r="4978" s="1" customFormat="1" ht="21.95" customHeight="1" spans="1:18">
      <c r="A4978" s="7"/>
      <c r="B4978" s="12"/>
      <c r="C4978" s="33"/>
      <c r="D4978" s="80" t="s">
        <v>728</v>
      </c>
      <c r="E4978" s="220">
        <f>ENTRY!$D$27</f>
        <v>46102</v>
      </c>
      <c r="F4978" s="220"/>
      <c r="G4978" s="29"/>
      <c r="H4978" s="29"/>
      <c r="I4978" s="221" t="s">
        <v>729</v>
      </c>
      <c r="J4978" s="153"/>
      <c r="K4978" s="29"/>
      <c r="L4978" s="29"/>
      <c r="M4978" s="87" t="s">
        <v>730</v>
      </c>
      <c r="N4978" s="87"/>
      <c r="O4978" s="87"/>
      <c r="P4978" s="19"/>
      <c r="Q4978" s="14"/>
      <c r="R4978" s="11"/>
    </row>
    <row r="4979" s="1" customFormat="1" ht="21.95" customHeight="1" spans="1:18">
      <c r="A4979" s="7"/>
      <c r="B4979" s="12"/>
      <c r="C4979" s="33"/>
      <c r="D4979" s="80" t="s">
        <v>731</v>
      </c>
      <c r="E4979" s="88" t="str">
        <f>PROPER(ENTRY!$D$28)</f>
        <v>New Delhi</v>
      </c>
      <c r="F4979" s="88"/>
      <c r="G4979" s="29"/>
      <c r="H4979" s="29"/>
      <c r="I4979" s="153"/>
      <c r="J4979" s="153"/>
      <c r="K4979" s="29"/>
      <c r="L4979" s="29"/>
      <c r="M4979" s="79" t="s">
        <v>732</v>
      </c>
      <c r="N4979" s="79"/>
      <c r="O4979" s="79"/>
      <c r="P4979" s="19"/>
      <c r="Q4979" s="14"/>
      <c r="R4979" s="11"/>
    </row>
    <row r="4980" s="1" customFormat="1" ht="21.95" customHeight="1" spans="1:18">
      <c r="A4980" s="7"/>
      <c r="B4980" s="12"/>
      <c r="C4980" s="90"/>
      <c r="D4980" s="91"/>
      <c r="E4980" s="91"/>
      <c r="F4980" s="91"/>
      <c r="G4980" s="91"/>
      <c r="H4980" s="91"/>
      <c r="I4980" s="91"/>
      <c r="J4980" s="91"/>
      <c r="K4980" s="91"/>
      <c r="L4980" s="91"/>
      <c r="M4980" s="91"/>
      <c r="N4980" s="91"/>
      <c r="O4980" s="91"/>
      <c r="P4980" s="92"/>
      <c r="Q4980" s="14"/>
      <c r="R4980" s="11"/>
    </row>
    <row r="4981" s="1" customFormat="1" ht="5.1" customHeight="1" spans="1:18">
      <c r="A4981" s="7"/>
      <c r="B4981" s="90"/>
      <c r="C4981" s="91"/>
      <c r="D4981" s="91"/>
      <c r="E4981" s="91"/>
      <c r="F4981" s="91"/>
      <c r="G4981" s="91"/>
      <c r="H4981" s="91"/>
      <c r="I4981" s="91"/>
      <c r="J4981" s="91"/>
      <c r="K4981" s="91"/>
      <c r="L4981" s="91"/>
      <c r="M4981" s="91"/>
      <c r="N4981" s="91"/>
      <c r="O4981" s="91"/>
      <c r="P4981" s="91"/>
      <c r="Q4981" s="92"/>
      <c r="R4981" s="11"/>
    </row>
    <row r="4982" s="1" customFormat="1" ht="5.1" customHeight="1" spans="1:18">
      <c r="A4982" s="93"/>
      <c r="B4982" s="94"/>
      <c r="C4982" s="94"/>
      <c r="D4982" s="94"/>
      <c r="E4982" s="94"/>
      <c r="F4982" s="94"/>
      <c r="G4982" s="94"/>
      <c r="H4982" s="94"/>
      <c r="I4982" s="94"/>
      <c r="J4982" s="94"/>
      <c r="K4982" s="94"/>
      <c r="L4982" s="94"/>
      <c r="M4982" s="94"/>
      <c r="N4982" s="94"/>
      <c r="O4982" s="94"/>
      <c r="P4982" s="94"/>
      <c r="Q4982" s="94"/>
      <c r="R4982" s="95"/>
    </row>
    <row r="4983" s="1" customFormat="1" ht="21.95" customHeight="1"/>
    <row r="4984" ht="15.15"/>
    <row r="4985" s="1" customFormat="1" ht="5.1" customHeight="1" spans="1:18">
      <c r="A4985" s="4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5"/>
      <c r="O4985" s="5"/>
      <c r="P4985" s="5"/>
      <c r="Q4985" s="5"/>
      <c r="R4985" s="6"/>
    </row>
    <row r="4986" s="1" customFormat="1" ht="15" customHeight="1" spans="1:18">
      <c r="A4986" s="7"/>
      <c r="B4986" s="8"/>
      <c r="C4986" s="9"/>
      <c r="D4986" s="9"/>
      <c r="E4986" s="9"/>
      <c r="F4986" s="9"/>
      <c r="G4986" s="9"/>
      <c r="H4986" s="9"/>
      <c r="I4986" s="9"/>
      <c r="J4986" s="9"/>
      <c r="K4986" s="9"/>
      <c r="L4986" s="9"/>
      <c r="M4986" s="9"/>
      <c r="N4986" s="9"/>
      <c r="O4986" s="9"/>
      <c r="P4986" s="9"/>
      <c r="Q4986" s="10"/>
      <c r="R4986" s="11"/>
    </row>
    <row r="4987" s="1" customFormat="1" ht="21.95" customHeight="1" spans="1:18">
      <c r="A4987" s="7"/>
      <c r="B4987" s="12"/>
      <c r="C4987" s="13" t="s">
        <v>7</v>
      </c>
      <c r="D4987" s="13"/>
      <c r="E4987" s="13"/>
      <c r="F4987" s="13"/>
      <c r="G4987" s="13"/>
      <c r="H4987" s="13"/>
      <c r="I4987" s="13"/>
      <c r="J4987" s="13"/>
      <c r="K4987" s="13"/>
      <c r="L4987" s="13"/>
      <c r="M4987" s="13"/>
      <c r="N4987" s="13"/>
      <c r="O4987" s="13"/>
      <c r="P4987" s="13"/>
      <c r="Q4987" s="14"/>
      <c r="R4987" s="11"/>
    </row>
    <row r="4988" s="1" customFormat="1" ht="21.95" customHeight="1" spans="1:18">
      <c r="A4988" s="7"/>
      <c r="B4988" s="1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14"/>
      <c r="R4988" s="11"/>
    </row>
    <row r="4989" s="1" customFormat="1" ht="21.95" customHeight="1" spans="1:18">
      <c r="A4989" s="7"/>
      <c r="B4989" s="12"/>
      <c r="C4989" s="15" t="str">
        <f>"SESSION-"&amp;ENTRY!$D$11</f>
        <v>SESSION-2026-27</v>
      </c>
      <c r="D4989" s="15"/>
      <c r="E4989" s="15"/>
      <c r="F4989" s="15"/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  <c r="Q4989" s="14"/>
      <c r="R4989" s="11"/>
    </row>
    <row r="4990" s="1" customFormat="1" ht="21.95" customHeight="1" spans="1:18">
      <c r="A4990" s="7"/>
      <c r="B4990" s="12"/>
      <c r="C4990" s="2"/>
      <c r="D4990" s="2"/>
      <c r="E4990" s="2"/>
      <c r="F4990" s="16">
        <f>F4934+1</f>
        <v>90</v>
      </c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14"/>
      <c r="R4990" s="11"/>
    </row>
    <row r="4991" s="1" customFormat="1" ht="21.95" customHeight="1" spans="1:18">
      <c r="A4991" s="7"/>
      <c r="B4991" s="12"/>
      <c r="C4991" s="17" t="s">
        <v>392</v>
      </c>
      <c r="D4991" s="17"/>
      <c r="E4991" s="17"/>
      <c r="F4991" s="18" t="str">
        <f>IF(F4990&gt;0,ENTRY!$D$6,"")</f>
        <v>MCP NITHARI NO 1 BOYS</v>
      </c>
      <c r="G4991" s="18"/>
      <c r="H4991" s="18"/>
      <c r="I4991" s="18"/>
      <c r="J4991" s="18"/>
      <c r="K4991" s="18"/>
      <c r="L4991" s="18"/>
      <c r="M4991" s="18"/>
      <c r="N4991" s="18"/>
      <c r="O4991" s="18"/>
      <c r="P4991" s="18"/>
      <c r="Q4991" s="14"/>
      <c r="R4991" s="11"/>
    </row>
    <row r="4992" s="1" customFormat="1" ht="21.95" customHeight="1" spans="1:18">
      <c r="A4992" s="7"/>
      <c r="B4992" s="12"/>
      <c r="C4992" s="17" t="s">
        <v>393</v>
      </c>
      <c r="D4992" s="17"/>
      <c r="E4992" s="17"/>
      <c r="F4992" s="18">
        <f>IF(F4990&gt;0,ENTRY!$D$7,"")</f>
        <v>0</v>
      </c>
      <c r="G4992" s="18"/>
      <c r="H4992" s="20" t="s">
        <v>702</v>
      </c>
      <c r="I4992" s="20"/>
      <c r="J4992" s="21">
        <f>IF(F4990&gt;0,ENTRY!$D$10,"")</f>
        <v>40</v>
      </c>
      <c r="K4992" s="20" t="s">
        <v>703</v>
      </c>
      <c r="L4992" s="22" t="str">
        <f>IF(F4990&gt;0,ENTRY!$D$5,"")</f>
        <v>ROHINI ZONE</v>
      </c>
      <c r="M4992" s="22"/>
      <c r="N4992" s="22"/>
      <c r="O4992" s="22"/>
      <c r="P4992" s="22"/>
      <c r="Q4992" s="14"/>
      <c r="R4992" s="11"/>
    </row>
    <row r="4993" s="1" customFormat="1" ht="21.95" customHeight="1" spans="1:18">
      <c r="A4993" s="7"/>
      <c r="B4993" s="12"/>
      <c r="C4993" s="17" t="s">
        <v>706</v>
      </c>
      <c r="D4993" s="17"/>
      <c r="E4993" s="17"/>
      <c r="F4993" s="23">
        <f>IFERROR(VLOOKUP(F4990,STUDENT!$A$2:$BP$101,5,0),"")</f>
        <v>0</v>
      </c>
      <c r="G4993" s="23"/>
      <c r="H4993" s="23"/>
      <c r="I4993" s="23"/>
      <c r="J4993" s="23"/>
      <c r="K4993" s="23"/>
      <c r="L4993" s="20" t="s">
        <v>707</v>
      </c>
      <c r="M4993" s="20"/>
      <c r="N4993" s="24" t="str">
        <f>IF(F4990&gt;0,ENTRY!$D$20&amp;"-"&amp;ENTRY!$D$21,"")</f>
        <v>III-A</v>
      </c>
      <c r="O4993" s="24"/>
      <c r="P4993" s="24"/>
      <c r="Q4993" s="14"/>
      <c r="R4993" s="11"/>
    </row>
    <row r="4994" s="1" customFormat="1" ht="21.95" customHeight="1" spans="1:18">
      <c r="A4994" s="7"/>
      <c r="B4994" s="12"/>
      <c r="C4994" s="17" t="s">
        <v>708</v>
      </c>
      <c r="D4994" s="17"/>
      <c r="E4994" s="17"/>
      <c r="F4994" s="25">
        <f>IFERROR(VLOOKUP(F4990,STUDENT!$A$2:$BP$101,6,0),"")</f>
        <v>0</v>
      </c>
      <c r="G4994" s="25"/>
      <c r="H4994" s="26" t="s">
        <v>709</v>
      </c>
      <c r="I4994" s="27" t="str">
        <f>IFERROR(VLOOKUP(F4990,STUDENT!$A$2:$BP$101,59,0),"")</f>
        <v/>
      </c>
      <c r="J4994" s="27"/>
      <c r="K4994" s="20" t="s">
        <v>710</v>
      </c>
      <c r="L4994" s="20"/>
      <c r="M4994" s="28">
        <f>IFERROR(VLOOKUP(F4990,STUDENT!$A$2:$BP$101,20,0),"")</f>
        <v>0</v>
      </c>
      <c r="N4994" s="28"/>
      <c r="O4994" s="28"/>
      <c r="P4994" s="28"/>
      <c r="Q4994" s="14"/>
      <c r="R4994" s="11"/>
    </row>
    <row r="4995" s="1" customFormat="1" ht="21.95" customHeight="1" spans="1:18">
      <c r="A4995" s="7"/>
      <c r="B4995" s="12"/>
      <c r="C4995" s="17" t="s">
        <v>711</v>
      </c>
      <c r="D4995" s="17"/>
      <c r="E4995" s="17"/>
      <c r="F4995" s="23">
        <f>IFERROR(VLOOKUP(F4990,STUDENT!$A$2:$BP$101,9,0),"")</f>
        <v>0</v>
      </c>
      <c r="G4995" s="23"/>
      <c r="H4995" s="23"/>
      <c r="I4995" s="23"/>
      <c r="J4995" s="17" t="s">
        <v>620</v>
      </c>
      <c r="K4995" s="17"/>
      <c r="L4995" s="23">
        <f>IFERROR(VLOOKUP(F4990,STUDENT!$A$2:$BP$101,8,0),"")</f>
        <v>0</v>
      </c>
      <c r="M4995" s="23"/>
      <c r="N4995" s="23"/>
      <c r="O4995" s="23"/>
      <c r="P4995" s="23"/>
      <c r="Q4995" s="14"/>
      <c r="R4995" s="11"/>
    </row>
    <row r="4996" s="1" customFormat="1" ht="21.95" customHeight="1" spans="1:18">
      <c r="A4996" s="7"/>
      <c r="B4996" s="12"/>
      <c r="C4996" s="17" t="s">
        <v>712</v>
      </c>
      <c r="D4996" s="17"/>
      <c r="E4996" s="17"/>
      <c r="F4996" s="23">
        <f>IFERROR(VLOOKUP(F4990,STUDENT!$A$2:$BP$101,22,0),"")</f>
        <v>0</v>
      </c>
      <c r="G4996" s="23"/>
      <c r="H4996" s="23"/>
      <c r="I4996" s="23"/>
      <c r="J4996" s="23"/>
      <c r="K4996" s="23"/>
      <c r="L4996" s="23"/>
      <c r="M4996" s="23"/>
      <c r="N4996" s="23"/>
      <c r="O4996" s="23"/>
      <c r="P4996" s="23"/>
      <c r="Q4996" s="14"/>
      <c r="R4996" s="11"/>
    </row>
    <row r="4997" s="1" customFormat="1" ht="9.95" customHeight="1" spans="1:18">
      <c r="A4997" s="7"/>
      <c r="B4997" s="12"/>
      <c r="C4997" s="29"/>
      <c r="D4997" s="29"/>
      <c r="E4997" s="29"/>
      <c r="F4997" s="29"/>
      <c r="G4997" s="29"/>
      <c r="H4997" s="29"/>
      <c r="I4997" s="29"/>
      <c r="J4997" s="29"/>
      <c r="K4997" s="29"/>
      <c r="L4997" s="29"/>
      <c r="M4997" s="29"/>
      <c r="N4997" s="29"/>
      <c r="O4997" s="29"/>
      <c r="P4997" s="29"/>
      <c r="Q4997" s="14"/>
      <c r="R4997" s="11"/>
    </row>
    <row r="4998" s="1" customFormat="1" ht="9.95" customHeight="1" spans="1:18">
      <c r="A4998" s="7"/>
      <c r="B4998" s="12"/>
      <c r="C4998" s="30"/>
      <c r="D4998" s="31"/>
      <c r="E4998" s="31"/>
      <c r="F4998" s="31"/>
      <c r="G4998" s="31"/>
      <c r="H4998" s="31"/>
      <c r="I4998" s="31"/>
      <c r="J4998" s="31"/>
      <c r="K4998" s="31"/>
      <c r="L4998" s="31"/>
      <c r="M4998" s="31"/>
      <c r="N4998" s="31"/>
      <c r="O4998" s="31"/>
      <c r="P4998" s="32"/>
      <c r="Q4998" s="14"/>
      <c r="R4998" s="11"/>
    </row>
    <row r="4999" s="1" customFormat="1" ht="21.95" customHeight="1" spans="1:18">
      <c r="A4999" s="7"/>
      <c r="B4999" s="12"/>
      <c r="C4999" s="33"/>
      <c r="D4999" s="34" t="s">
        <v>713</v>
      </c>
      <c r="E4999" s="20" t="s">
        <v>714</v>
      </c>
      <c r="F4999" s="35" t="str">
        <f>"Level - "&amp;IFERROR(VLOOKUP(F4990,FLN!$A$4:$K$103,9,0),"")</f>
        <v>Level - </v>
      </c>
      <c r="G4999" s="36"/>
      <c r="H4999" s="37" t="s">
        <v>715</v>
      </c>
      <c r="I4999" s="20"/>
      <c r="J4999" s="35" t="str">
        <f>"Level - "&amp;IFERROR(VLOOKUP(F4990,FLN!$A$4:$K$103,11,0),"")</f>
        <v>Level - </v>
      </c>
      <c r="K4999" s="36"/>
      <c r="L4999" s="37" t="s">
        <v>408</v>
      </c>
      <c r="M4999" s="20"/>
      <c r="N4999" s="35" t="str">
        <f>"Level - "&amp;IFERROR(VLOOKUP(F4990,FLN!$A$4:$K$103,10,0),"")</f>
        <v>Level - </v>
      </c>
      <c r="O4999" s="36"/>
      <c r="P4999" s="19"/>
      <c r="Q4999" s="14"/>
      <c r="R4999" s="11"/>
    </row>
    <row r="5000" s="1" customFormat="1" ht="21.95" customHeight="1" spans="1:18">
      <c r="A5000" s="7"/>
      <c r="B5000" s="12"/>
      <c r="C5000" s="33"/>
      <c r="D5000" s="38"/>
      <c r="E5000" s="20" t="s">
        <v>716</v>
      </c>
      <c r="F5000" s="18" t="str">
        <f>IF(L5014&gt;197,"PERFORMED WELL","")</f>
        <v/>
      </c>
      <c r="G5000" s="18"/>
      <c r="H5000" s="18"/>
      <c r="I5000" s="18"/>
      <c r="J5000" s="18"/>
      <c r="K5000" s="18"/>
      <c r="L5000" s="18"/>
      <c r="M5000" s="18"/>
      <c r="N5000" s="18"/>
      <c r="O5000" s="18"/>
      <c r="P5000" s="19"/>
      <c r="Q5000" s="14"/>
      <c r="R5000" s="11"/>
    </row>
    <row r="5001" s="1" customFormat="1" ht="9.95" customHeight="1" spans="1:18">
      <c r="A5001" s="7"/>
      <c r="B5001" s="12"/>
      <c r="C5001" s="39"/>
      <c r="D5001" s="40"/>
      <c r="E5001" s="40"/>
      <c r="F5001" s="40"/>
      <c r="G5001" s="40"/>
      <c r="H5001" s="40"/>
      <c r="I5001" s="40"/>
      <c r="J5001" s="40"/>
      <c r="K5001" s="40"/>
      <c r="L5001" s="40"/>
      <c r="M5001" s="40"/>
      <c r="N5001" s="40"/>
      <c r="O5001" s="40"/>
      <c r="P5001" s="41"/>
      <c r="Q5001" s="14"/>
      <c r="R5001" s="11"/>
    </row>
    <row r="5002" s="1" customFormat="1" ht="9.95" customHeight="1" spans="1:18">
      <c r="A5002" s="7"/>
      <c r="B5002" s="12"/>
      <c r="C5002" s="29"/>
      <c r="D5002" s="29"/>
      <c r="E5002" s="29"/>
      <c r="F5002" s="29"/>
      <c r="G5002" s="29"/>
      <c r="H5002" s="29"/>
      <c r="I5002" s="29"/>
      <c r="J5002" s="29"/>
      <c r="K5002" s="29"/>
      <c r="L5002" s="29"/>
      <c r="M5002" s="29"/>
      <c r="N5002" s="29"/>
      <c r="O5002" s="29"/>
      <c r="P5002" s="29"/>
      <c r="Q5002" s="14"/>
      <c r="R5002" s="11"/>
    </row>
    <row r="5003" s="1" customFormat="1" ht="9.95" customHeight="1" spans="1:18">
      <c r="A5003" s="7"/>
      <c r="B5003" s="12"/>
      <c r="C5003" s="30"/>
      <c r="D5003" s="31"/>
      <c r="E5003" s="31"/>
      <c r="F5003" s="31"/>
      <c r="G5003" s="31"/>
      <c r="H5003" s="31"/>
      <c r="I5003" s="31"/>
      <c r="J5003" s="31"/>
      <c r="K5003" s="31"/>
      <c r="L5003" s="31"/>
      <c r="M5003" s="31"/>
      <c r="N5003" s="31"/>
      <c r="O5003" s="31"/>
      <c r="P5003" s="32"/>
      <c r="Q5003" s="14"/>
      <c r="R5003" s="11"/>
    </row>
    <row r="5004" s="1" customFormat="1" ht="21.95" customHeight="1" spans="1:18">
      <c r="A5004" s="7"/>
      <c r="B5004" s="12"/>
      <c r="C5004" s="33"/>
      <c r="D5004" s="35"/>
      <c r="E5004" s="24"/>
      <c r="F5004" s="24"/>
      <c r="G5004" s="47" t="s">
        <v>717</v>
      </c>
      <c r="H5004" s="47"/>
      <c r="I5004" s="47"/>
      <c r="J5004" s="47"/>
      <c r="K5004" s="47"/>
      <c r="L5004" s="47"/>
      <c r="M5004" s="47"/>
      <c r="N5004" s="47"/>
      <c r="O5004" s="29"/>
      <c r="P5004" s="19"/>
      <c r="Q5004" s="14"/>
      <c r="R5004" s="11"/>
    </row>
    <row r="5005" s="1" customFormat="1" ht="21.95" customHeight="1" spans="1:18">
      <c r="A5005" s="7"/>
      <c r="B5005" s="12"/>
      <c r="C5005" s="33"/>
      <c r="D5005" s="47"/>
      <c r="E5005" s="47"/>
      <c r="F5005" s="47"/>
      <c r="G5005" s="47" t="s">
        <v>541</v>
      </c>
      <c r="H5005" s="47" t="s">
        <v>542</v>
      </c>
      <c r="I5005" s="47" t="s">
        <v>543</v>
      </c>
      <c r="J5005" s="47" t="s">
        <v>544</v>
      </c>
      <c r="K5005" s="47" t="s">
        <v>561</v>
      </c>
      <c r="L5005" s="47" t="s">
        <v>382</v>
      </c>
      <c r="M5005" s="49" t="s">
        <v>546</v>
      </c>
      <c r="N5005" s="49"/>
      <c r="O5005" s="29"/>
      <c r="P5005" s="19"/>
      <c r="Q5005" s="14"/>
      <c r="R5005" s="11"/>
    </row>
    <row r="5006" s="1" customFormat="1" ht="21.95" customHeight="1" spans="1:18">
      <c r="A5006" s="7"/>
      <c r="B5006" s="12"/>
      <c r="C5006" s="33"/>
      <c r="D5006" s="207" t="s">
        <v>652</v>
      </c>
      <c r="E5006" s="207"/>
      <c r="F5006" s="207"/>
      <c r="G5006" s="50">
        <v>10</v>
      </c>
      <c r="H5006" s="50">
        <v>10</v>
      </c>
      <c r="I5006" s="50">
        <v>10</v>
      </c>
      <c r="J5006" s="50">
        <v>10</v>
      </c>
      <c r="K5006" s="50">
        <v>60</v>
      </c>
      <c r="L5006" s="50">
        <v>100</v>
      </c>
      <c r="M5006" s="49"/>
      <c r="N5006" s="49"/>
      <c r="O5006" s="29"/>
      <c r="P5006" s="19"/>
      <c r="Q5006" s="14"/>
      <c r="R5006" s="11"/>
    </row>
    <row r="5007" s="1" customFormat="1" ht="21.95" customHeight="1" spans="1:18">
      <c r="A5007" s="7"/>
      <c r="B5007" s="12"/>
      <c r="C5007" s="33"/>
      <c r="D5007" s="117" t="s">
        <v>668</v>
      </c>
      <c r="E5007" s="117"/>
      <c r="F5007" s="117"/>
      <c r="G5007" s="54" t="str">
        <f>IFERROR(VLOOKUP(F4990,'1to4-2.1-RR'!$A$12:$BG$111,9,0),"")</f>
        <v/>
      </c>
      <c r="H5007" s="54" t="str">
        <f>IFERROR(VLOOKUP(F4990,'1to4-2.1-RR'!$A$12:$BG$111,10,0),"")</f>
        <v/>
      </c>
      <c r="I5007" s="54" t="str">
        <f>IFERROR(VLOOKUP(F4990,'1to4-2.1-RR'!$A$12:$BG$111,11,0),"")</f>
        <v/>
      </c>
      <c r="J5007" s="54" t="str">
        <f>IFERROR(VLOOKUP(F4990,'1to4-2.1-RR'!$A$12:$BG$111,12,0),"")</f>
        <v/>
      </c>
      <c r="K5007" s="54" t="str">
        <f>IFERROR(VLOOKUP(F4990,'1to4-2.1-RR'!$A$12:$BG$111,13,0),"")</f>
        <v/>
      </c>
      <c r="L5007" s="55">
        <f>SUM(G5007:K5007)</f>
        <v>0</v>
      </c>
      <c r="M5007" s="56" t="str">
        <f>IF(F4990&gt;ENTRY!$D$24,"",IF(L5007=0,"Ab",IF(L5007&gt;80,"A",IF(L5007&gt;60,"B",IF(L5007&gt;44,"C",IF(L5007&gt;=33,"D",IF(L5007&lt;=32,"E","")))))))</f>
        <v/>
      </c>
      <c r="N5007" s="56"/>
      <c r="O5007" s="29"/>
      <c r="P5007" s="19"/>
      <c r="Q5007" s="14"/>
      <c r="R5007" s="11"/>
    </row>
    <row r="5008" s="1" customFormat="1" ht="21.95" customHeight="1" spans="1:18">
      <c r="A5008" s="7"/>
      <c r="B5008" s="12"/>
      <c r="C5008" s="33"/>
      <c r="D5008" s="117" t="s">
        <v>513</v>
      </c>
      <c r="E5008" s="117"/>
      <c r="F5008" s="117"/>
      <c r="G5008" s="54" t="str">
        <f>IFERROR(VLOOKUP(F4990,'1to4-2.1-RR'!$A$12:$BG$111,16,0),"")</f>
        <v/>
      </c>
      <c r="H5008" s="54" t="str">
        <f>IFERROR(VLOOKUP(F4990,'1to4-2.1-RR'!$A$12:$BG$111,17,0),"")</f>
        <v/>
      </c>
      <c r="I5008" s="54" t="str">
        <f>IFERROR(VLOOKUP(F4990,'1to4-2.1-RR'!$A$12:$BG$111,18,0),"")</f>
        <v/>
      </c>
      <c r="J5008" s="54" t="str">
        <f>IFERROR(VLOOKUP(F4990,'1to4-2.1-RR'!$A$12:$BG$111,19,0),"")</f>
        <v/>
      </c>
      <c r="K5008" s="54" t="str">
        <f>IFERROR(VLOOKUP(F4990,'1to4-2.1-RR'!$A$12:$BG$111,20,0),"")</f>
        <v/>
      </c>
      <c r="L5008" s="55">
        <f t="shared" ref="L5008:L5013" si="178">SUM(G5008:K5008)</f>
        <v>0</v>
      </c>
      <c r="M5008" s="56" t="str">
        <f>IF(F4990&gt;ENTRY!$D$24,"",IF(L5008=0,"Ab",IF(L5008&gt;80,"A",IF(L5008&gt;60,"B",IF(L5008&gt;44,"C",IF(L5008&gt;=33,"D",IF(L5008&lt;=32,"E","")))))))</f>
        <v/>
      </c>
      <c r="N5008" s="56"/>
      <c r="O5008" s="29"/>
      <c r="P5008" s="19"/>
      <c r="Q5008" s="14"/>
      <c r="R5008" s="11"/>
    </row>
    <row r="5009" s="1" customFormat="1" ht="21.95" customHeight="1" spans="1:19">
      <c r="A5009" s="7"/>
      <c r="B5009" s="12"/>
      <c r="C5009" s="33"/>
      <c r="D5009" s="117" t="s">
        <v>718</v>
      </c>
      <c r="E5009" s="117"/>
      <c r="F5009" s="117"/>
      <c r="G5009" s="54" t="str">
        <f>IFERROR(VLOOKUP(F4990,'1to4-2.1-RR'!$A$12:$BG$111,23,0),"")</f>
        <v/>
      </c>
      <c r="H5009" s="54" t="str">
        <f>IFERROR(VLOOKUP(F4990,'1to4-2.1-RR'!$A$12:$BG$111,24,0),"")</f>
        <v/>
      </c>
      <c r="I5009" s="54" t="str">
        <f>IFERROR(VLOOKUP(F4990,'1to4-2.1-RR'!$A$12:$BG$111,25,0),"")</f>
        <v/>
      </c>
      <c r="J5009" s="54" t="str">
        <f>IFERROR(VLOOKUP(F4990,'1to4-2.1-RR'!$A$12:$BG$111,26,0),"")</f>
        <v/>
      </c>
      <c r="K5009" s="54" t="str">
        <f>IFERROR(VLOOKUP(F4990,'1to4-2.1-RR'!$A$12:$BG$111,27,0),"")</f>
        <v/>
      </c>
      <c r="L5009" s="55">
        <f t="shared" si="178"/>
        <v>0</v>
      </c>
      <c r="M5009" s="56" t="str">
        <f>IF(F4990&gt;ENTRY!$D$24,"",IF(L5009=0,"Ab",IF(L5009&gt;80,"A",IF(L5009&gt;60,"B",IF(L5009&gt;44,"C",IF(L5009&gt;=33,"D",IF(L5009&lt;=32,"E","")))))))</f>
        <v/>
      </c>
      <c r="N5009" s="56"/>
      <c r="O5009" s="29"/>
      <c r="P5009" s="19"/>
      <c r="Q5009" s="14"/>
      <c r="R5009" s="11"/>
    </row>
    <row r="5010" s="1" customFormat="1" ht="21.95" customHeight="1" spans="1:19">
      <c r="A5010" s="7"/>
      <c r="B5010" s="12"/>
      <c r="C5010" s="33"/>
      <c r="D5010" s="117" t="s">
        <v>719</v>
      </c>
      <c r="E5010" s="117"/>
      <c r="F5010" s="117"/>
      <c r="G5010" s="54" t="str">
        <f>IFERROR(VLOOKUP(F4990,'1to4-2.1-RR'!$A$12:$BG$111,30,0),"")</f>
        <v/>
      </c>
      <c r="H5010" s="54" t="str">
        <f>IFERROR(VLOOKUP(F4990,'1to4-2.1-RR'!$A$12:$BG$111,31,0),"")</f>
        <v/>
      </c>
      <c r="I5010" s="54" t="str">
        <f>IFERROR(VLOOKUP(F4990,'1to4-2.1-RR'!$A$12:$BG$111,32,0),"")</f>
        <v/>
      </c>
      <c r="J5010" s="54" t="str">
        <f>IFERROR(VLOOKUP(F4990,'1to4-2.1-RR'!$A$12:$BG$111,33,0),"")</f>
        <v/>
      </c>
      <c r="K5010" s="54" t="str">
        <f>IFERROR(VLOOKUP(F4990,'1to4-2.1-RR'!$A$12:$BG$111,34,0),"")</f>
        <v/>
      </c>
      <c r="L5010" s="55">
        <f t="shared" si="178"/>
        <v>0</v>
      </c>
      <c r="M5010" s="56" t="str">
        <f>IF(F4990&gt;ENTRY!$D$24,"",IF(L5010=0,"Ab",IF(L5010&gt;80,"A",IF(L5010&gt;60,"B",IF(L5010&gt;44,"C",IF(L5010&gt;=33,"D",IF(L5010&lt;=32,"E","")))))))</f>
        <v/>
      </c>
      <c r="N5010" s="56"/>
      <c r="O5010" s="29"/>
      <c r="P5010" s="19"/>
      <c r="Q5010" s="14"/>
      <c r="R5010" s="11"/>
    </row>
    <row r="5011" s="1" customFormat="1" ht="21.95" customHeight="1" spans="1:19">
      <c r="A5011" s="7"/>
      <c r="B5011" s="12"/>
      <c r="C5011" s="33"/>
      <c r="D5011" s="117" t="s">
        <v>548</v>
      </c>
      <c r="E5011" s="117"/>
      <c r="F5011" s="117"/>
      <c r="G5011" s="54" t="str">
        <f>IFERROR(VLOOKUP(F4990,'1to4-2.1-RR'!$A$12:$BG$111,37,0),"")</f>
        <v/>
      </c>
      <c r="H5011" s="54" t="str">
        <f>IFERROR(VLOOKUP(F4990,'1to4-2.1-RR'!$A$12:$BG$111,38,0),"")</f>
        <v/>
      </c>
      <c r="I5011" s="54" t="str">
        <f>IFERROR(VLOOKUP(F4990,'1to4-2.1-RR'!$A$12:$BG$111,39,0),"")</f>
        <v/>
      </c>
      <c r="J5011" s="54" t="str">
        <f>IFERROR(VLOOKUP(F4990,'1to4-2.1-RR'!$A$12:$BG$111,40,0),"")</f>
        <v/>
      </c>
      <c r="K5011" s="54" t="str">
        <f>IFERROR(VLOOKUP(F4990,'1to4-2.1-RR'!$A$12:$BG$111,41,0),"")</f>
        <v/>
      </c>
      <c r="L5011" s="55">
        <f t="shared" si="178"/>
        <v>0</v>
      </c>
      <c r="M5011" s="56" t="str">
        <f>IF(F4990&gt;ENTRY!$D$24,"",IF(L5011=0,"Ab",IF(L5011&gt;80,"A",IF(L5011&gt;60,"B",IF(L5011&gt;44,"C",IF(L5011&gt;=33,"D",IF(L5011&lt;=32,"E","")))))))</f>
        <v/>
      </c>
      <c r="N5011" s="56"/>
      <c r="O5011" s="29"/>
      <c r="P5011" s="19"/>
      <c r="Q5011" s="14"/>
      <c r="R5011" s="11"/>
    </row>
    <row r="5012" s="1" customFormat="1" ht="21.95" customHeight="1" spans="1:19">
      <c r="A5012" s="7"/>
      <c r="B5012" s="12"/>
      <c r="C5012" s="33"/>
      <c r="D5012" s="117" t="s">
        <v>549</v>
      </c>
      <c r="E5012" s="117"/>
      <c r="F5012" s="117"/>
      <c r="G5012" s="54" t="str">
        <f>IFERROR(VLOOKUP(F4990,'1to4-2.1-RR'!$A$12:$BG$111,44,0),"")</f>
        <v/>
      </c>
      <c r="H5012" s="54" t="str">
        <f>IFERROR(VLOOKUP(F4990,'1to4-2.1-RR'!$A$12:$BG$111,45,0),"")</f>
        <v/>
      </c>
      <c r="I5012" s="54" t="str">
        <f>IFERROR(VLOOKUP(F4990,'1to4-2.1-RR'!$A$12:$BG$111,46,0),"")</f>
        <v/>
      </c>
      <c r="J5012" s="54" t="str">
        <f>IFERROR(VLOOKUP(F4990,'1to4-2.1-RR'!$A$12:$BG$111,47,0),"")</f>
        <v/>
      </c>
      <c r="K5012" s="54" t="str">
        <f>IFERROR(VLOOKUP(F4990,'1to4-2.1-RR'!$A$12:$BG$111,48,0),"")</f>
        <v/>
      </c>
      <c r="L5012" s="55">
        <f t="shared" si="178"/>
        <v>0</v>
      </c>
      <c r="M5012" s="56" t="str">
        <f>IF(F4990&gt;ENTRY!$D$24,"",IF(L5012=0,"Ab",IF(L5012&gt;80,"A",IF(L5012&gt;60,"B",IF(L5012&gt;44,"C",IF(L5012&gt;=33,"D",IF(L5012&lt;=32,"E","")))))))</f>
        <v/>
      </c>
      <c r="N5012" s="56"/>
      <c r="O5012" s="29"/>
      <c r="P5012" s="19"/>
      <c r="Q5012" s="14"/>
      <c r="R5012" s="11"/>
    </row>
    <row r="5013" s="1" customFormat="1" ht="21.95" customHeight="1" spans="1:19">
      <c r="A5013" s="7"/>
      <c r="B5013" s="12"/>
      <c r="C5013" s="33"/>
      <c r="D5013" s="117" t="s">
        <v>720</v>
      </c>
      <c r="E5013" s="117"/>
      <c r="F5013" s="117"/>
      <c r="G5013" s="54"/>
      <c r="H5013" s="54"/>
      <c r="I5013" s="54"/>
      <c r="J5013" s="54"/>
      <c r="K5013" s="54"/>
      <c r="L5013" s="55">
        <f t="shared" si="178"/>
        <v>0</v>
      </c>
      <c r="M5013" s="56" t="str">
        <f>IF(F4990&gt;ENTRY!$D$24,"",IF(L5013=0,"",IF(L5013&gt;79,"A",IF(L5013&gt;59,"B",IF(L5013&gt;44,"C",IF(L5013&gt;=33,"D",IF(L5013&lt;=32,"E","")))))))</f>
        <v/>
      </c>
      <c r="N5013" s="56"/>
      <c r="O5013" s="29"/>
      <c r="P5013" s="19"/>
      <c r="Q5013" s="14"/>
      <c r="R5013" s="11"/>
    </row>
    <row r="5014" s="1" customFormat="1" ht="21.95" customHeight="1" spans="1:19">
      <c r="A5014" s="7"/>
      <c r="B5014" s="12"/>
      <c r="C5014" s="33"/>
      <c r="D5014" s="207" t="s">
        <v>382</v>
      </c>
      <c r="E5014" s="207"/>
      <c r="F5014" s="207"/>
      <c r="G5014" s="54">
        <f t="shared" ref="G5014:L5014" si="179">IFERROR(SUM(G5007:G5013),"")</f>
        <v>0</v>
      </c>
      <c r="H5014" s="54">
        <f t="shared" si="179"/>
        <v>0</v>
      </c>
      <c r="I5014" s="54">
        <f t="shared" si="179"/>
        <v>0</v>
      </c>
      <c r="J5014" s="54">
        <f t="shared" si="179"/>
        <v>0</v>
      </c>
      <c r="K5014" s="54">
        <f t="shared" si="179"/>
        <v>0</v>
      </c>
      <c r="L5014" s="55">
        <f t="shared" si="179"/>
        <v>0</v>
      </c>
      <c r="M5014" s="61" t="str">
        <f>IF(F4990&gt;ENTRY!$D$24,"",IF(N5015="Ab","Ab",IF(N5015&gt;79.5,"A",IF(N5015&gt;59.5,"B",IF(N5015&gt;44.5,"C",IF(N5015&gt;=33,"D",IF(N5015&lt;33,"E","")))))))</f>
        <v/>
      </c>
      <c r="N5014" s="61"/>
      <c r="O5014" s="29"/>
      <c r="P5014" s="19"/>
      <c r="Q5014" s="14"/>
      <c r="R5014" s="11"/>
    </row>
    <row r="5015" s="1" customFormat="1" ht="21.95" customHeight="1" spans="1:19">
      <c r="A5015" s="7"/>
      <c r="B5015" s="12"/>
      <c r="C5015" s="33"/>
      <c r="D5015" s="63" t="s">
        <v>721</v>
      </c>
      <c r="E5015" s="63"/>
      <c r="F5015" s="63"/>
      <c r="G5015" s="63"/>
      <c r="H5015" s="63"/>
      <c r="I5015" s="63"/>
      <c r="J5015" s="63"/>
      <c r="K5015" s="63"/>
      <c r="L5015" s="63"/>
      <c r="M5015" s="209"/>
      <c r="N5015" s="64">
        <f>IF(L5014="Ab","Ab",L5014/6)</f>
        <v>0</v>
      </c>
      <c r="O5015" s="65"/>
      <c r="P5015" s="19"/>
      <c r="Q5015" s="14"/>
      <c r="R5015" s="11"/>
    </row>
    <row r="5016" s="1" customFormat="1" ht="21.95" customHeight="1" spans="1:19">
      <c r="A5016" s="7"/>
      <c r="B5016" s="12"/>
      <c r="C5016" s="33"/>
      <c r="D5016" s="29" t="s">
        <v>716</v>
      </c>
      <c r="E5016" s="18" t="str">
        <f>IFERROR(VLOOKUP(F4990,'1to4-2.1-RR'!$A$12:$BG$111,57,0),"")</f>
        <v/>
      </c>
      <c r="F5016" s="18"/>
      <c r="G5016" s="18"/>
      <c r="H5016" s="18"/>
      <c r="I5016" s="18"/>
      <c r="J5016" s="18"/>
      <c r="K5016" s="18"/>
      <c r="L5016" s="18"/>
      <c r="M5016" s="18"/>
      <c r="N5016" s="29"/>
      <c r="O5016" s="29"/>
      <c r="P5016" s="19"/>
      <c r="Q5016" s="14"/>
      <c r="R5016" s="11"/>
    </row>
    <row r="5017" s="1" customFormat="1" ht="9.95" customHeight="1" spans="1:19">
      <c r="A5017" s="7"/>
      <c r="B5017" s="12"/>
      <c r="C5017" s="39"/>
      <c r="D5017" s="40"/>
      <c r="E5017" s="40"/>
      <c r="F5017" s="40"/>
      <c r="G5017" s="40"/>
      <c r="H5017" s="40"/>
      <c r="I5017" s="40"/>
      <c r="J5017" s="40"/>
      <c r="K5017" s="40"/>
      <c r="L5017" s="40"/>
      <c r="M5017" s="40"/>
      <c r="N5017" s="40"/>
      <c r="O5017" s="40"/>
      <c r="P5017" s="41"/>
      <c r="Q5017" s="14"/>
      <c r="R5017" s="11"/>
    </row>
    <row r="5018" s="1" customFormat="1" ht="9.95" customHeight="1" spans="1:19">
      <c r="A5018" s="7"/>
      <c r="B5018" s="12"/>
      <c r="C5018" s="30"/>
      <c r="D5018" s="31"/>
      <c r="E5018" s="31"/>
      <c r="F5018" s="29"/>
      <c r="G5018" s="31"/>
      <c r="H5018" s="31"/>
      <c r="I5018" s="31"/>
      <c r="J5018" s="31"/>
      <c r="K5018" s="31"/>
      <c r="L5018" s="31"/>
      <c r="M5018" s="31"/>
      <c r="N5018" s="31"/>
      <c r="O5018" s="31"/>
      <c r="P5018" s="32"/>
      <c r="Q5018" s="14"/>
      <c r="R5018" s="11"/>
    </row>
    <row r="5019" s="1" customFormat="1" ht="9.95" customHeight="1" spans="1:19">
      <c r="A5019" s="7"/>
      <c r="B5019" s="12"/>
      <c r="C5019" s="33"/>
      <c r="D5019" s="29"/>
      <c r="E5019" s="29"/>
      <c r="F5019" s="29"/>
      <c r="G5019" s="29"/>
      <c r="H5019" s="29"/>
      <c r="I5019" s="29"/>
      <c r="J5019" s="29"/>
      <c r="K5019" s="29"/>
      <c r="L5019" s="29"/>
      <c r="M5019" s="29"/>
      <c r="N5019" s="29"/>
      <c r="O5019" s="29"/>
      <c r="P5019" s="19"/>
      <c r="Q5019" s="14"/>
      <c r="R5019" s="11"/>
    </row>
    <row r="5020" s="1" customFormat="1" ht="9.95" customHeight="1" spans="1:19">
      <c r="A5020" s="7"/>
      <c r="B5020" s="12"/>
      <c r="C5020" s="33"/>
      <c r="D5020" s="29"/>
      <c r="E5020" s="29"/>
      <c r="F5020" s="29"/>
      <c r="G5020" s="29"/>
      <c r="H5020" s="29"/>
      <c r="I5020" s="29"/>
      <c r="J5020" s="29"/>
      <c r="K5020" s="29"/>
      <c r="L5020" s="29"/>
      <c r="M5020" s="29"/>
      <c r="N5020" s="29"/>
      <c r="O5020" s="29"/>
      <c r="P5020" s="19"/>
      <c r="Q5020" s="14"/>
      <c r="R5020" s="11"/>
    </row>
    <row r="5021" s="1" customFormat="1" ht="21.95" customHeight="1" spans="1:19">
      <c r="A5021" s="7"/>
      <c r="B5021" s="12"/>
      <c r="C5021" s="210"/>
      <c r="D5021" s="211"/>
      <c r="E5021" s="211"/>
      <c r="F5021" s="211"/>
      <c r="G5021" s="211"/>
      <c r="H5021" s="211"/>
      <c r="I5021" s="211"/>
      <c r="J5021" s="211"/>
      <c r="K5021" s="211"/>
      <c r="L5021" s="211"/>
      <c r="M5021" s="211"/>
      <c r="N5021" s="211"/>
      <c r="O5021" s="211"/>
      <c r="P5021" s="212"/>
      <c r="Q5021" s="14"/>
      <c r="R5021" s="11"/>
      <c r="S5021" s="2"/>
    </row>
    <row r="5022" s="1" customFormat="1" ht="21.95" customHeight="1" spans="1:19">
      <c r="A5022" s="7"/>
      <c r="B5022" s="12"/>
      <c r="C5022" s="33"/>
      <c r="D5022" s="207" t="s">
        <v>722</v>
      </c>
      <c r="E5022" s="207"/>
      <c r="F5022" s="207"/>
      <c r="G5022" s="207"/>
      <c r="H5022" s="54">
        <f>IFERROR(VLOOKUP(F4990,PASHEET!$A$4:$CJ$103,88,0),"")</f>
        <v>0</v>
      </c>
      <c r="I5022" s="54"/>
      <c r="J5022" s="29"/>
      <c r="K5022" s="29"/>
      <c r="L5022" s="29"/>
      <c r="M5022" s="29"/>
      <c r="N5022" s="29"/>
      <c r="O5022" s="29"/>
      <c r="P5022" s="19"/>
      <c r="Q5022" s="14"/>
      <c r="R5022" s="11"/>
    </row>
    <row r="5023" s="1" customFormat="1" ht="21.95" customHeight="1" spans="1:19">
      <c r="A5023" s="7"/>
      <c r="B5023" s="12"/>
      <c r="C5023" s="213"/>
      <c r="D5023" s="207" t="s">
        <v>723</v>
      </c>
      <c r="E5023" s="207"/>
      <c r="F5023" s="207"/>
      <c r="G5023" s="207"/>
      <c r="H5023" s="54">
        <f>IFERROR(VLOOKUP(F4990,PASHEET!$A$4:$CJ$103,87,0),"")</f>
        <v>0</v>
      </c>
      <c r="I5023" s="54"/>
      <c r="J5023" s="214"/>
      <c r="K5023" s="214"/>
      <c r="L5023" s="207" t="s">
        <v>724</v>
      </c>
      <c r="M5023" s="207"/>
      <c r="N5023" s="117" t="str">
        <f>IF(F4990&gt;ENTRY!$D$24,"",IF(F4990&gt;0,L5014&amp;" / "&amp;600,""))</f>
        <v/>
      </c>
      <c r="O5023" s="117"/>
      <c r="P5023" s="215"/>
      <c r="Q5023" s="14"/>
      <c r="R5023" s="11"/>
    </row>
    <row r="5024" s="1" customFormat="1" ht="18" customHeight="1" spans="1:19">
      <c r="A5024" s="7"/>
      <c r="B5024" s="12"/>
      <c r="C5024" s="33"/>
      <c r="D5024" s="207" t="s">
        <v>725</v>
      </c>
      <c r="E5024" s="207"/>
      <c r="F5024" s="207"/>
      <c r="G5024" s="207"/>
      <c r="H5024" s="69" t="str">
        <f>IFERROR(IF(F4990&gt;0,H5023/H5022*100),"")</f>
        <v/>
      </c>
      <c r="I5024" s="69"/>
      <c r="J5024" s="29"/>
      <c r="K5024" s="29"/>
      <c r="L5024" s="207" t="s">
        <v>726</v>
      </c>
      <c r="M5024" s="207"/>
      <c r="N5024" s="216" t="str">
        <f>IF(F4990&gt;ENTRY!$D$24,"",IF(F4990&gt;0,L5014/600*100,""))</f>
        <v/>
      </c>
      <c r="O5024" s="216"/>
      <c r="P5024" s="19"/>
      <c r="Q5024" s="14"/>
      <c r="R5024" s="11"/>
    </row>
    <row r="5025" s="1" customFormat="1" ht="21.95" customHeight="1" spans="1:18">
      <c r="A5025" s="7"/>
      <c r="B5025" s="12"/>
      <c r="C5025" s="33"/>
      <c r="D5025" s="80"/>
      <c r="E5025" s="80"/>
      <c r="F5025" s="217"/>
      <c r="G5025" s="217"/>
      <c r="H5025" s="217"/>
      <c r="I5025" s="217"/>
      <c r="J5025" s="217"/>
      <c r="K5025" s="217"/>
      <c r="L5025" s="217"/>
      <c r="M5025" s="217"/>
      <c r="N5025" s="80"/>
      <c r="O5025" s="80"/>
      <c r="P5025" s="19"/>
      <c r="Q5025" s="14"/>
      <c r="R5025" s="11"/>
    </row>
    <row r="5026" s="1" customFormat="1" ht="21.95" customHeight="1" spans="1:18">
      <c r="A5026" s="7"/>
      <c r="B5026" s="12"/>
      <c r="C5026" s="33"/>
      <c r="D5026" s="80"/>
      <c r="E5026" s="218"/>
      <c r="F5026" s="218"/>
      <c r="G5026" s="218"/>
      <c r="H5026" s="80"/>
      <c r="I5026" s="218"/>
      <c r="J5026" s="218"/>
      <c r="K5026" s="218"/>
      <c r="L5026" s="218"/>
      <c r="M5026" s="80"/>
      <c r="N5026" s="219"/>
      <c r="O5026" s="219"/>
      <c r="P5026" s="19"/>
      <c r="Q5026" s="14"/>
      <c r="R5026" s="11"/>
    </row>
    <row r="5027" s="1" customFormat="1" ht="21.95" customHeight="1" spans="1:18">
      <c r="A5027" s="7"/>
      <c r="B5027" s="12"/>
      <c r="C5027" s="33"/>
      <c r="D5027" s="80"/>
      <c r="E5027" s="80"/>
      <c r="F5027" s="80"/>
      <c r="G5027" s="80"/>
      <c r="H5027" s="80"/>
      <c r="I5027" s="80"/>
      <c r="J5027" s="80"/>
      <c r="K5027" s="80"/>
      <c r="L5027" s="80"/>
      <c r="M5027" s="80"/>
      <c r="N5027" s="80"/>
      <c r="O5027" s="80"/>
      <c r="P5027" s="19"/>
      <c r="Q5027" s="14"/>
      <c r="R5027" s="11"/>
    </row>
    <row r="5028" s="1" customFormat="1" ht="21.95" customHeight="1" spans="1:18">
      <c r="A5028" s="7"/>
      <c r="B5028" s="12"/>
      <c r="C5028" s="33"/>
      <c r="D5028" s="218"/>
      <c r="E5028" s="218"/>
      <c r="F5028" s="218"/>
      <c r="G5028" s="218"/>
      <c r="H5028" s="218"/>
      <c r="I5028" s="218"/>
      <c r="J5028" s="218"/>
      <c r="K5028" s="218"/>
      <c r="L5028" s="218"/>
      <c r="M5028" s="80"/>
      <c r="N5028" s="217"/>
      <c r="O5028" s="217"/>
      <c r="P5028" s="85" t="s">
        <v>727</v>
      </c>
      <c r="Q5028" s="14"/>
      <c r="R5028" s="11"/>
    </row>
    <row r="5029" s="1" customFormat="1" ht="21.95" customHeight="1" spans="1:18">
      <c r="A5029" s="7"/>
      <c r="B5029" s="12"/>
      <c r="C5029" s="33"/>
      <c r="D5029" s="29"/>
      <c r="E5029" s="29"/>
      <c r="F5029" s="29"/>
      <c r="G5029" s="29"/>
      <c r="H5029" s="29"/>
      <c r="I5029" s="29"/>
      <c r="J5029" s="29"/>
      <c r="K5029" s="29"/>
      <c r="L5029" s="29"/>
      <c r="M5029" s="29"/>
      <c r="N5029" s="29"/>
      <c r="O5029" s="29"/>
      <c r="P5029" s="19"/>
      <c r="Q5029" s="14"/>
      <c r="R5029" s="11"/>
    </row>
    <row r="5030" s="1" customFormat="1" ht="21.95" customHeight="1" spans="1:18">
      <c r="A5030" s="7"/>
      <c r="B5030" s="12"/>
      <c r="C5030" s="33"/>
      <c r="D5030" s="29"/>
      <c r="E5030" s="29"/>
      <c r="F5030" s="29"/>
      <c r="G5030" s="29"/>
      <c r="H5030" s="29"/>
      <c r="I5030" s="29"/>
      <c r="J5030" s="29"/>
      <c r="K5030" s="29"/>
      <c r="L5030" s="29"/>
      <c r="M5030" s="29"/>
      <c r="N5030" s="29"/>
      <c r="O5030" s="29"/>
      <c r="P5030" s="19"/>
      <c r="Q5030" s="14"/>
      <c r="R5030" s="11"/>
    </row>
    <row r="5031" s="1" customFormat="1" ht="21.95" customHeight="1" spans="1:18">
      <c r="A5031" s="7"/>
      <c r="B5031" s="12"/>
      <c r="C5031" s="33"/>
      <c r="D5031" s="29"/>
      <c r="E5031" s="29"/>
      <c r="F5031" s="29"/>
      <c r="G5031" s="29"/>
      <c r="H5031" s="29"/>
      <c r="I5031" s="29"/>
      <c r="J5031" s="29"/>
      <c r="K5031" s="29"/>
      <c r="L5031" s="29"/>
      <c r="M5031" s="29"/>
      <c r="N5031" s="29"/>
      <c r="O5031" s="29"/>
      <c r="P5031" s="19"/>
      <c r="Q5031" s="14"/>
      <c r="R5031" s="11"/>
    </row>
    <row r="5032" s="1" customFormat="1" ht="21.95" customHeight="1" spans="1:18">
      <c r="A5032" s="7"/>
      <c r="B5032" s="12"/>
      <c r="C5032" s="33"/>
      <c r="D5032" s="29"/>
      <c r="E5032" s="29"/>
      <c r="F5032" s="29"/>
      <c r="G5032" s="29"/>
      <c r="H5032" s="29"/>
      <c r="I5032" s="29"/>
      <c r="J5032" s="29"/>
      <c r="K5032" s="29"/>
      <c r="L5032" s="29"/>
      <c r="M5032" s="29"/>
      <c r="N5032" s="29"/>
      <c r="O5032" s="29"/>
      <c r="P5032" s="19"/>
      <c r="Q5032" s="14"/>
      <c r="R5032" s="11"/>
    </row>
    <row r="5033" s="1" customFormat="1" ht="21.95" customHeight="1" spans="1:18">
      <c r="A5033" s="7"/>
      <c r="B5033" s="12"/>
      <c r="C5033" s="33"/>
      <c r="D5033" s="29"/>
      <c r="E5033" s="29"/>
      <c r="F5033" s="29"/>
      <c r="G5033" s="29"/>
      <c r="H5033" s="29"/>
      <c r="I5033" s="29"/>
      <c r="J5033" s="29"/>
      <c r="K5033" s="29"/>
      <c r="L5033" s="29"/>
      <c r="M5033" s="29"/>
      <c r="N5033" s="29"/>
      <c r="O5033" s="29"/>
      <c r="P5033" s="19"/>
      <c r="Q5033" s="14"/>
      <c r="R5033" s="11"/>
    </row>
    <row r="5034" s="1" customFormat="1" ht="21.95" customHeight="1" spans="1:18">
      <c r="A5034" s="7"/>
      <c r="B5034" s="12"/>
      <c r="C5034" s="33"/>
      <c r="D5034" s="80" t="s">
        <v>728</v>
      </c>
      <c r="E5034" s="220">
        <f>ENTRY!$D$27</f>
        <v>46102</v>
      </c>
      <c r="F5034" s="220"/>
      <c r="G5034" s="29"/>
      <c r="H5034" s="29"/>
      <c r="I5034" s="221" t="s">
        <v>729</v>
      </c>
      <c r="J5034" s="153"/>
      <c r="K5034" s="29"/>
      <c r="L5034" s="29"/>
      <c r="M5034" s="87" t="s">
        <v>730</v>
      </c>
      <c r="N5034" s="87"/>
      <c r="O5034" s="87"/>
      <c r="P5034" s="19"/>
      <c r="Q5034" s="14"/>
      <c r="R5034" s="11"/>
    </row>
    <row r="5035" s="1" customFormat="1" ht="21.95" customHeight="1" spans="1:18">
      <c r="A5035" s="7"/>
      <c r="B5035" s="12"/>
      <c r="C5035" s="33"/>
      <c r="D5035" s="80" t="s">
        <v>731</v>
      </c>
      <c r="E5035" s="88" t="str">
        <f>PROPER(ENTRY!$D$28)</f>
        <v>New Delhi</v>
      </c>
      <c r="F5035" s="88"/>
      <c r="G5035" s="29"/>
      <c r="H5035" s="29"/>
      <c r="I5035" s="153"/>
      <c r="J5035" s="153"/>
      <c r="K5035" s="29"/>
      <c r="L5035" s="29"/>
      <c r="M5035" s="79" t="s">
        <v>732</v>
      </c>
      <c r="N5035" s="79"/>
      <c r="O5035" s="79"/>
      <c r="P5035" s="19"/>
      <c r="Q5035" s="14"/>
      <c r="R5035" s="11"/>
    </row>
    <row r="5036" s="1" customFormat="1" ht="21.95" customHeight="1" spans="1:18">
      <c r="A5036" s="7"/>
      <c r="B5036" s="12"/>
      <c r="C5036" s="90"/>
      <c r="D5036" s="91"/>
      <c r="E5036" s="91"/>
      <c r="F5036" s="91"/>
      <c r="G5036" s="91"/>
      <c r="H5036" s="91"/>
      <c r="I5036" s="91"/>
      <c r="J5036" s="91"/>
      <c r="K5036" s="91"/>
      <c r="L5036" s="91"/>
      <c r="M5036" s="91"/>
      <c r="N5036" s="91"/>
      <c r="O5036" s="91"/>
      <c r="P5036" s="92"/>
      <c r="Q5036" s="14"/>
      <c r="R5036" s="11"/>
    </row>
    <row r="5037" s="1" customFormat="1" ht="5.1" customHeight="1" spans="1:18">
      <c r="A5037" s="7"/>
      <c r="B5037" s="90"/>
      <c r="C5037" s="91"/>
      <c r="D5037" s="91"/>
      <c r="E5037" s="91"/>
      <c r="F5037" s="91"/>
      <c r="G5037" s="91"/>
      <c r="H5037" s="91"/>
      <c r="I5037" s="91"/>
      <c r="J5037" s="91"/>
      <c r="K5037" s="91"/>
      <c r="L5037" s="91"/>
      <c r="M5037" s="91"/>
      <c r="N5037" s="91"/>
      <c r="O5037" s="91"/>
      <c r="P5037" s="91"/>
      <c r="Q5037" s="92"/>
      <c r="R5037" s="11"/>
    </row>
    <row r="5038" s="1" customFormat="1" ht="5.1" customHeight="1" spans="1:18">
      <c r="A5038" s="93"/>
      <c r="B5038" s="94"/>
      <c r="C5038" s="94"/>
      <c r="D5038" s="94"/>
      <c r="E5038" s="94"/>
      <c r="F5038" s="94"/>
      <c r="G5038" s="94"/>
      <c r="H5038" s="94"/>
      <c r="I5038" s="94"/>
      <c r="J5038" s="94"/>
      <c r="K5038" s="94"/>
      <c r="L5038" s="94"/>
      <c r="M5038" s="94"/>
      <c r="N5038" s="94"/>
      <c r="O5038" s="94"/>
      <c r="P5038" s="94"/>
      <c r="Q5038" s="94"/>
      <c r="R5038" s="95"/>
    </row>
    <row r="5039" s="1" customFormat="1" ht="21.95" customHeight="1"/>
    <row r="5040" ht="15.15"/>
    <row r="5041" s="1" customFormat="1" ht="5.1" customHeight="1" spans="1:18">
      <c r="A5041" s="4"/>
      <c r="B5041" s="5"/>
      <c r="C5041" s="5"/>
      <c r="D5041" s="5"/>
      <c r="E5041" s="5"/>
      <c r="F5041" s="5"/>
      <c r="G5041" s="5"/>
      <c r="H5041" s="5"/>
      <c r="I5041" s="5"/>
      <c r="J5041" s="5"/>
      <c r="K5041" s="5"/>
      <c r="L5041" s="5"/>
      <c r="M5041" s="5"/>
      <c r="N5041" s="5"/>
      <c r="O5041" s="5"/>
      <c r="P5041" s="5"/>
      <c r="Q5041" s="5"/>
      <c r="R5041" s="6"/>
    </row>
    <row r="5042" s="1" customFormat="1" ht="15" customHeight="1" spans="1:18">
      <c r="A5042" s="7"/>
      <c r="B5042" s="8"/>
      <c r="C5042" s="9"/>
      <c r="D5042" s="9"/>
      <c r="E5042" s="9"/>
      <c r="F5042" s="9"/>
      <c r="G5042" s="9"/>
      <c r="H5042" s="9"/>
      <c r="I5042" s="9"/>
      <c r="J5042" s="9"/>
      <c r="K5042" s="9"/>
      <c r="L5042" s="9"/>
      <c r="M5042" s="9"/>
      <c r="N5042" s="9"/>
      <c r="O5042" s="9"/>
      <c r="P5042" s="9"/>
      <c r="Q5042" s="10"/>
      <c r="R5042" s="11"/>
    </row>
    <row r="5043" s="1" customFormat="1" ht="21.95" customHeight="1" spans="1:18">
      <c r="A5043" s="7"/>
      <c r="B5043" s="12"/>
      <c r="C5043" s="13" t="s">
        <v>7</v>
      </c>
      <c r="D5043" s="13"/>
      <c r="E5043" s="13"/>
      <c r="F5043" s="13"/>
      <c r="G5043" s="13"/>
      <c r="H5043" s="13"/>
      <c r="I5043" s="13"/>
      <c r="J5043" s="13"/>
      <c r="K5043" s="13"/>
      <c r="L5043" s="13"/>
      <c r="M5043" s="13"/>
      <c r="N5043" s="13"/>
      <c r="O5043" s="13"/>
      <c r="P5043" s="13"/>
      <c r="Q5043" s="14"/>
      <c r="R5043" s="11"/>
    </row>
    <row r="5044" s="1" customFormat="1" ht="21.95" customHeight="1" spans="1:18">
      <c r="A5044" s="7"/>
      <c r="B5044" s="1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14"/>
      <c r="R5044" s="11"/>
    </row>
    <row r="5045" s="1" customFormat="1" ht="21.95" customHeight="1" spans="1:18">
      <c r="A5045" s="7"/>
      <c r="B5045" s="12"/>
      <c r="C5045" s="15" t="str">
        <f>"SESSION-"&amp;ENTRY!$D$11</f>
        <v>SESSION-2026-27</v>
      </c>
      <c r="D5045" s="15"/>
      <c r="E5045" s="15"/>
      <c r="F5045" s="15"/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  <c r="Q5045" s="14"/>
      <c r="R5045" s="11"/>
    </row>
    <row r="5046" s="1" customFormat="1" ht="21.95" customHeight="1" spans="1:18">
      <c r="A5046" s="7"/>
      <c r="B5046" s="12"/>
      <c r="C5046" s="2"/>
      <c r="D5046" s="2"/>
      <c r="E5046" s="2"/>
      <c r="F5046" s="16">
        <f>F4990+1</f>
        <v>91</v>
      </c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14"/>
      <c r="R5046" s="11"/>
    </row>
    <row r="5047" s="1" customFormat="1" ht="21.95" customHeight="1" spans="1:18">
      <c r="A5047" s="7"/>
      <c r="B5047" s="12"/>
      <c r="C5047" s="17" t="s">
        <v>392</v>
      </c>
      <c r="D5047" s="17"/>
      <c r="E5047" s="17"/>
      <c r="F5047" s="18" t="str">
        <f>IF(F5046&gt;0,ENTRY!$D$6,"")</f>
        <v>MCP NITHARI NO 1 BOYS</v>
      </c>
      <c r="G5047" s="18"/>
      <c r="H5047" s="18"/>
      <c r="I5047" s="18"/>
      <c r="J5047" s="18"/>
      <c r="K5047" s="18"/>
      <c r="L5047" s="18"/>
      <c r="M5047" s="18"/>
      <c r="N5047" s="18"/>
      <c r="O5047" s="18"/>
      <c r="P5047" s="18"/>
      <c r="Q5047" s="14"/>
      <c r="R5047" s="11"/>
    </row>
    <row r="5048" s="1" customFormat="1" ht="21.95" customHeight="1" spans="1:18">
      <c r="A5048" s="7"/>
      <c r="B5048" s="12"/>
      <c r="C5048" s="17" t="s">
        <v>393</v>
      </c>
      <c r="D5048" s="17"/>
      <c r="E5048" s="17"/>
      <c r="F5048" s="18">
        <f>IF(F5046&gt;0,ENTRY!$D$7,"")</f>
        <v>0</v>
      </c>
      <c r="G5048" s="18"/>
      <c r="H5048" s="20" t="s">
        <v>702</v>
      </c>
      <c r="I5048" s="20"/>
      <c r="J5048" s="21">
        <f>IF(F5046&gt;0,ENTRY!$D$10,"")</f>
        <v>40</v>
      </c>
      <c r="K5048" s="20" t="s">
        <v>703</v>
      </c>
      <c r="L5048" s="22" t="str">
        <f>IF(F5046&gt;0,ENTRY!$D$5,"")</f>
        <v>ROHINI ZONE</v>
      </c>
      <c r="M5048" s="22"/>
      <c r="N5048" s="22"/>
      <c r="O5048" s="22"/>
      <c r="P5048" s="22"/>
      <c r="Q5048" s="14"/>
      <c r="R5048" s="11"/>
    </row>
    <row r="5049" s="1" customFormat="1" ht="21.95" customHeight="1" spans="1:18">
      <c r="A5049" s="7"/>
      <c r="B5049" s="12"/>
      <c r="C5049" s="17" t="s">
        <v>706</v>
      </c>
      <c r="D5049" s="17"/>
      <c r="E5049" s="17"/>
      <c r="F5049" s="23">
        <f>IFERROR(VLOOKUP(F5046,STUDENT!$A$2:$BP$101,5,0),"")</f>
        <v>0</v>
      </c>
      <c r="G5049" s="23"/>
      <c r="H5049" s="23"/>
      <c r="I5049" s="23"/>
      <c r="J5049" s="23"/>
      <c r="K5049" s="23"/>
      <c r="L5049" s="20" t="s">
        <v>707</v>
      </c>
      <c r="M5049" s="20"/>
      <c r="N5049" s="24" t="str">
        <f>IF(F5046&gt;0,ENTRY!$D$20&amp;"-"&amp;ENTRY!$D$21,"")</f>
        <v>III-A</v>
      </c>
      <c r="O5049" s="24"/>
      <c r="P5049" s="24"/>
      <c r="Q5049" s="14"/>
      <c r="R5049" s="11"/>
    </row>
    <row r="5050" s="1" customFormat="1" ht="21.95" customHeight="1" spans="1:18">
      <c r="A5050" s="7"/>
      <c r="B5050" s="12"/>
      <c r="C5050" s="17" t="s">
        <v>708</v>
      </c>
      <c r="D5050" s="17"/>
      <c r="E5050" s="17"/>
      <c r="F5050" s="25">
        <f>IFERROR(VLOOKUP(F5046,STUDENT!$A$2:$BP$101,6,0),"")</f>
        <v>0</v>
      </c>
      <c r="G5050" s="25"/>
      <c r="H5050" s="26" t="s">
        <v>709</v>
      </c>
      <c r="I5050" s="27" t="str">
        <f>IFERROR(VLOOKUP(F5046,STUDENT!$A$2:$BP$101,59,0),"")</f>
        <v/>
      </c>
      <c r="J5050" s="27"/>
      <c r="K5050" s="20" t="s">
        <v>710</v>
      </c>
      <c r="L5050" s="20"/>
      <c r="M5050" s="28">
        <f>IFERROR(VLOOKUP(F5046,STUDENT!$A$2:$BP$101,20,0),"")</f>
        <v>0</v>
      </c>
      <c r="N5050" s="28"/>
      <c r="O5050" s="28"/>
      <c r="P5050" s="28"/>
      <c r="Q5050" s="14"/>
      <c r="R5050" s="11"/>
    </row>
    <row r="5051" s="1" customFormat="1" ht="21.95" customHeight="1" spans="1:18">
      <c r="A5051" s="7"/>
      <c r="B5051" s="12"/>
      <c r="C5051" s="17" t="s">
        <v>711</v>
      </c>
      <c r="D5051" s="17"/>
      <c r="E5051" s="17"/>
      <c r="F5051" s="23">
        <f>IFERROR(VLOOKUP(F5046,STUDENT!$A$2:$BP$101,9,0),"")</f>
        <v>0</v>
      </c>
      <c r="G5051" s="23"/>
      <c r="H5051" s="23"/>
      <c r="I5051" s="23"/>
      <c r="J5051" s="17" t="s">
        <v>620</v>
      </c>
      <c r="K5051" s="17"/>
      <c r="L5051" s="23">
        <f>IFERROR(VLOOKUP(F5046,STUDENT!$A$2:$BP$101,8,0),"")</f>
        <v>0</v>
      </c>
      <c r="M5051" s="23"/>
      <c r="N5051" s="23"/>
      <c r="O5051" s="23"/>
      <c r="P5051" s="23"/>
      <c r="Q5051" s="14"/>
      <c r="R5051" s="11"/>
    </row>
    <row r="5052" s="1" customFormat="1" ht="21.95" customHeight="1" spans="1:18">
      <c r="A5052" s="7"/>
      <c r="B5052" s="12"/>
      <c r="C5052" s="17" t="s">
        <v>712</v>
      </c>
      <c r="D5052" s="17"/>
      <c r="E5052" s="17"/>
      <c r="F5052" s="23">
        <f>IFERROR(VLOOKUP(F5046,STUDENT!$A$2:$BP$101,22,0),"")</f>
        <v>0</v>
      </c>
      <c r="G5052" s="23"/>
      <c r="H5052" s="23"/>
      <c r="I5052" s="23"/>
      <c r="J5052" s="23"/>
      <c r="K5052" s="23"/>
      <c r="L5052" s="23"/>
      <c r="M5052" s="23"/>
      <c r="N5052" s="23"/>
      <c r="O5052" s="23"/>
      <c r="P5052" s="23"/>
      <c r="Q5052" s="14"/>
      <c r="R5052" s="11"/>
    </row>
    <row r="5053" s="1" customFormat="1" ht="9.95" customHeight="1" spans="1:18">
      <c r="A5053" s="7"/>
      <c r="B5053" s="12"/>
      <c r="C5053" s="29"/>
      <c r="D5053" s="29"/>
      <c r="E5053" s="29"/>
      <c r="F5053" s="29"/>
      <c r="G5053" s="29"/>
      <c r="H5053" s="29"/>
      <c r="I5053" s="29"/>
      <c r="J5053" s="29"/>
      <c r="K5053" s="29"/>
      <c r="L5053" s="29"/>
      <c r="M5053" s="29"/>
      <c r="N5053" s="29"/>
      <c r="O5053" s="29"/>
      <c r="P5053" s="29"/>
      <c r="Q5053" s="14"/>
      <c r="R5053" s="11"/>
    </row>
    <row r="5054" s="1" customFormat="1" ht="9.95" customHeight="1" spans="1:18">
      <c r="A5054" s="7"/>
      <c r="B5054" s="12"/>
      <c r="C5054" s="30"/>
      <c r="D5054" s="31"/>
      <c r="E5054" s="31"/>
      <c r="F5054" s="31"/>
      <c r="G5054" s="31"/>
      <c r="H5054" s="31"/>
      <c r="I5054" s="31"/>
      <c r="J5054" s="31"/>
      <c r="K5054" s="31"/>
      <c r="L5054" s="31"/>
      <c r="M5054" s="31"/>
      <c r="N5054" s="31"/>
      <c r="O5054" s="31"/>
      <c r="P5054" s="32"/>
      <c r="Q5054" s="14"/>
      <c r="R5054" s="11"/>
    </row>
    <row r="5055" s="1" customFormat="1" ht="21.95" customHeight="1" spans="1:18">
      <c r="A5055" s="7"/>
      <c r="B5055" s="12"/>
      <c r="C5055" s="33"/>
      <c r="D5055" s="34" t="s">
        <v>713</v>
      </c>
      <c r="E5055" s="20" t="s">
        <v>714</v>
      </c>
      <c r="F5055" s="35" t="str">
        <f>"Level - "&amp;IFERROR(VLOOKUP(F5046,FLN!$A$4:$K$103,9,0),"")</f>
        <v>Level - </v>
      </c>
      <c r="G5055" s="36"/>
      <c r="H5055" s="37" t="s">
        <v>715</v>
      </c>
      <c r="I5055" s="20"/>
      <c r="J5055" s="35" t="str">
        <f>"Level - "&amp;IFERROR(VLOOKUP(F5046,FLN!$A$4:$K$103,11,0),"")</f>
        <v>Level - </v>
      </c>
      <c r="K5055" s="36"/>
      <c r="L5055" s="37" t="s">
        <v>408</v>
      </c>
      <c r="M5055" s="20"/>
      <c r="N5055" s="35" t="str">
        <f>"Level - "&amp;IFERROR(VLOOKUP(F5046,FLN!$A$4:$K$103,10,0),"")</f>
        <v>Level - </v>
      </c>
      <c r="O5055" s="36"/>
      <c r="P5055" s="19"/>
      <c r="Q5055" s="14"/>
      <c r="R5055" s="11"/>
    </row>
    <row r="5056" s="1" customFormat="1" ht="21.95" customHeight="1" spans="1:18">
      <c r="A5056" s="7"/>
      <c r="B5056" s="12"/>
      <c r="C5056" s="33"/>
      <c r="D5056" s="38"/>
      <c r="E5056" s="20" t="s">
        <v>716</v>
      </c>
      <c r="F5056" s="18" t="str">
        <f>IF(L5070&gt;197,"PERFORMED WELL","")</f>
        <v/>
      </c>
      <c r="G5056" s="18"/>
      <c r="H5056" s="18"/>
      <c r="I5056" s="18"/>
      <c r="J5056" s="18"/>
      <c r="K5056" s="18"/>
      <c r="L5056" s="18"/>
      <c r="M5056" s="18"/>
      <c r="N5056" s="18"/>
      <c r="O5056" s="18"/>
      <c r="P5056" s="19"/>
      <c r="Q5056" s="14"/>
      <c r="R5056" s="11"/>
    </row>
    <row r="5057" s="1" customFormat="1" ht="9.95" customHeight="1" spans="1:18">
      <c r="A5057" s="7"/>
      <c r="B5057" s="12"/>
      <c r="C5057" s="39"/>
      <c r="D5057" s="40"/>
      <c r="E5057" s="40"/>
      <c r="F5057" s="40"/>
      <c r="G5057" s="40"/>
      <c r="H5057" s="40"/>
      <c r="I5057" s="40"/>
      <c r="J5057" s="40"/>
      <c r="K5057" s="40"/>
      <c r="L5057" s="40"/>
      <c r="M5057" s="40"/>
      <c r="N5057" s="40"/>
      <c r="O5057" s="40"/>
      <c r="P5057" s="41"/>
      <c r="Q5057" s="14"/>
      <c r="R5057" s="11"/>
    </row>
    <row r="5058" s="1" customFormat="1" ht="9.95" customHeight="1" spans="1:18">
      <c r="A5058" s="7"/>
      <c r="B5058" s="12"/>
      <c r="C5058" s="29"/>
      <c r="D5058" s="29"/>
      <c r="E5058" s="29"/>
      <c r="F5058" s="29"/>
      <c r="G5058" s="29"/>
      <c r="H5058" s="29"/>
      <c r="I5058" s="29"/>
      <c r="J5058" s="29"/>
      <c r="K5058" s="29"/>
      <c r="L5058" s="29"/>
      <c r="M5058" s="29"/>
      <c r="N5058" s="29"/>
      <c r="O5058" s="29"/>
      <c r="P5058" s="29"/>
      <c r="Q5058" s="14"/>
      <c r="R5058" s="11"/>
    </row>
    <row r="5059" s="1" customFormat="1" ht="9.95" customHeight="1" spans="1:18">
      <c r="A5059" s="7"/>
      <c r="B5059" s="12"/>
      <c r="C5059" s="30"/>
      <c r="D5059" s="31"/>
      <c r="E5059" s="31"/>
      <c r="F5059" s="31"/>
      <c r="G5059" s="31"/>
      <c r="H5059" s="31"/>
      <c r="I5059" s="31"/>
      <c r="J5059" s="31"/>
      <c r="K5059" s="31"/>
      <c r="L5059" s="31"/>
      <c r="M5059" s="31"/>
      <c r="N5059" s="31"/>
      <c r="O5059" s="31"/>
      <c r="P5059" s="32"/>
      <c r="Q5059" s="14"/>
      <c r="R5059" s="11"/>
    </row>
    <row r="5060" s="1" customFormat="1" ht="21.95" customHeight="1" spans="1:18">
      <c r="A5060" s="7"/>
      <c r="B5060" s="12"/>
      <c r="C5060" s="33"/>
      <c r="D5060" s="35"/>
      <c r="E5060" s="24"/>
      <c r="F5060" s="24"/>
      <c r="G5060" s="47" t="s">
        <v>717</v>
      </c>
      <c r="H5060" s="47"/>
      <c r="I5060" s="47"/>
      <c r="J5060" s="47"/>
      <c r="K5060" s="47"/>
      <c r="L5060" s="47"/>
      <c r="M5060" s="47"/>
      <c r="N5060" s="47"/>
      <c r="O5060" s="29"/>
      <c r="P5060" s="19"/>
      <c r="Q5060" s="14"/>
      <c r="R5060" s="11"/>
    </row>
    <row r="5061" s="1" customFormat="1" ht="21.95" customHeight="1" spans="1:18">
      <c r="A5061" s="7"/>
      <c r="B5061" s="12"/>
      <c r="C5061" s="33"/>
      <c r="D5061" s="47"/>
      <c r="E5061" s="47"/>
      <c r="F5061" s="47"/>
      <c r="G5061" s="47" t="s">
        <v>541</v>
      </c>
      <c r="H5061" s="47" t="s">
        <v>542</v>
      </c>
      <c r="I5061" s="47" t="s">
        <v>543</v>
      </c>
      <c r="J5061" s="47" t="s">
        <v>544</v>
      </c>
      <c r="K5061" s="47" t="s">
        <v>561</v>
      </c>
      <c r="L5061" s="47" t="s">
        <v>382</v>
      </c>
      <c r="M5061" s="49" t="s">
        <v>546</v>
      </c>
      <c r="N5061" s="49"/>
      <c r="O5061" s="29"/>
      <c r="P5061" s="19"/>
      <c r="Q5061" s="14"/>
      <c r="R5061" s="11"/>
    </row>
    <row r="5062" s="1" customFormat="1" ht="21.95" customHeight="1" spans="1:18">
      <c r="A5062" s="7"/>
      <c r="B5062" s="12"/>
      <c r="C5062" s="33"/>
      <c r="D5062" s="207" t="s">
        <v>652</v>
      </c>
      <c r="E5062" s="207"/>
      <c r="F5062" s="207"/>
      <c r="G5062" s="50">
        <v>10</v>
      </c>
      <c r="H5062" s="50">
        <v>10</v>
      </c>
      <c r="I5062" s="50">
        <v>10</v>
      </c>
      <c r="J5062" s="50">
        <v>10</v>
      </c>
      <c r="K5062" s="50">
        <v>60</v>
      </c>
      <c r="L5062" s="50">
        <v>100</v>
      </c>
      <c r="M5062" s="49"/>
      <c r="N5062" s="49"/>
      <c r="O5062" s="29"/>
      <c r="P5062" s="19"/>
      <c r="Q5062" s="14"/>
      <c r="R5062" s="11"/>
    </row>
    <row r="5063" s="1" customFormat="1" ht="21.95" customHeight="1" spans="1:18">
      <c r="A5063" s="7"/>
      <c r="B5063" s="12"/>
      <c r="C5063" s="33"/>
      <c r="D5063" s="117" t="s">
        <v>668</v>
      </c>
      <c r="E5063" s="117"/>
      <c r="F5063" s="117"/>
      <c r="G5063" s="54" t="str">
        <f>IFERROR(VLOOKUP(F5046,'1to4-2.1-RR'!$A$12:$BG$111,9,0),"")</f>
        <v/>
      </c>
      <c r="H5063" s="54" t="str">
        <f>IFERROR(VLOOKUP(F5046,'1to4-2.1-RR'!$A$12:$BG$111,10,0),"")</f>
        <v/>
      </c>
      <c r="I5063" s="54" t="str">
        <f>IFERROR(VLOOKUP(F5046,'1to4-2.1-RR'!$A$12:$BG$111,11,0),"")</f>
        <v/>
      </c>
      <c r="J5063" s="54" t="str">
        <f>IFERROR(VLOOKUP(F5046,'1to4-2.1-RR'!$A$12:$BG$111,12,0),"")</f>
        <v/>
      </c>
      <c r="K5063" s="54" t="str">
        <f>IFERROR(VLOOKUP(F5046,'1to4-2.1-RR'!$A$12:$BG$111,13,0),"")</f>
        <v/>
      </c>
      <c r="L5063" s="55">
        <f>SUM(G5063:K5063)</f>
        <v>0</v>
      </c>
      <c r="M5063" s="56" t="str">
        <f>IF(F5046&gt;ENTRY!$D$24,"",IF(L5063=0,"Ab",IF(L5063&gt;80,"A",IF(L5063&gt;60,"B",IF(L5063&gt;44,"C",IF(L5063&gt;=33,"D",IF(L5063&lt;=32,"E","")))))))</f>
        <v/>
      </c>
      <c r="N5063" s="56"/>
      <c r="O5063" s="29"/>
      <c r="P5063" s="19"/>
      <c r="Q5063" s="14"/>
      <c r="R5063" s="11"/>
    </row>
    <row r="5064" s="1" customFormat="1" ht="21.95" customHeight="1" spans="1:18">
      <c r="A5064" s="7"/>
      <c r="B5064" s="12"/>
      <c r="C5064" s="33"/>
      <c r="D5064" s="117" t="s">
        <v>513</v>
      </c>
      <c r="E5064" s="117"/>
      <c r="F5064" s="117"/>
      <c r="G5064" s="54" t="str">
        <f>IFERROR(VLOOKUP(F5046,'1to4-2.1-RR'!$A$12:$BG$111,16,0),"")</f>
        <v/>
      </c>
      <c r="H5064" s="54" t="str">
        <f>IFERROR(VLOOKUP(F5046,'1to4-2.1-RR'!$A$12:$BG$111,17,0),"")</f>
        <v/>
      </c>
      <c r="I5064" s="54" t="str">
        <f>IFERROR(VLOOKUP(F5046,'1to4-2.1-RR'!$A$12:$BG$111,18,0),"")</f>
        <v/>
      </c>
      <c r="J5064" s="54" t="str">
        <f>IFERROR(VLOOKUP(F5046,'1to4-2.1-RR'!$A$12:$BG$111,19,0),"")</f>
        <v/>
      </c>
      <c r="K5064" s="54" t="str">
        <f>IFERROR(VLOOKUP(F5046,'1to4-2.1-RR'!$A$12:$BG$111,20,0),"")</f>
        <v/>
      </c>
      <c r="L5064" s="55">
        <f t="shared" ref="L5064:L5069" si="180">SUM(G5064:K5064)</f>
        <v>0</v>
      </c>
      <c r="M5064" s="56" t="str">
        <f>IF(F5046&gt;ENTRY!$D$24,"",IF(L5064=0,"Ab",IF(L5064&gt;80,"A",IF(L5064&gt;60,"B",IF(L5064&gt;44,"C",IF(L5064&gt;=33,"D",IF(L5064&lt;=32,"E","")))))))</f>
        <v/>
      </c>
      <c r="N5064" s="56"/>
      <c r="O5064" s="29"/>
      <c r="P5064" s="19"/>
      <c r="Q5064" s="14"/>
      <c r="R5064" s="11"/>
    </row>
    <row r="5065" s="1" customFormat="1" ht="21.95" customHeight="1" spans="1:18">
      <c r="A5065" s="7"/>
      <c r="B5065" s="12"/>
      <c r="C5065" s="33"/>
      <c r="D5065" s="117" t="s">
        <v>718</v>
      </c>
      <c r="E5065" s="117"/>
      <c r="F5065" s="117"/>
      <c r="G5065" s="54" t="str">
        <f>IFERROR(VLOOKUP(F5046,'1to4-2.1-RR'!$A$12:$BG$111,23,0),"")</f>
        <v/>
      </c>
      <c r="H5065" s="54" t="str">
        <f>IFERROR(VLOOKUP(F5046,'1to4-2.1-RR'!$A$12:$BG$111,24,0),"")</f>
        <v/>
      </c>
      <c r="I5065" s="54" t="str">
        <f>IFERROR(VLOOKUP(F5046,'1to4-2.1-RR'!$A$12:$BG$111,25,0),"")</f>
        <v/>
      </c>
      <c r="J5065" s="54" t="str">
        <f>IFERROR(VLOOKUP(F5046,'1to4-2.1-RR'!$A$12:$BG$111,26,0),"")</f>
        <v/>
      </c>
      <c r="K5065" s="54" t="str">
        <f>IFERROR(VLOOKUP(F5046,'1to4-2.1-RR'!$A$12:$BG$111,27,0),"")</f>
        <v/>
      </c>
      <c r="L5065" s="55">
        <f t="shared" si="180"/>
        <v>0</v>
      </c>
      <c r="M5065" s="56" t="str">
        <f>IF(F5046&gt;ENTRY!$D$24,"",IF(L5065=0,"Ab",IF(L5065&gt;80,"A",IF(L5065&gt;60,"B",IF(L5065&gt;44,"C",IF(L5065&gt;=33,"D",IF(L5065&lt;=32,"E","")))))))</f>
        <v/>
      </c>
      <c r="N5065" s="56"/>
      <c r="O5065" s="29"/>
      <c r="P5065" s="19"/>
      <c r="Q5065" s="14"/>
      <c r="R5065" s="11"/>
    </row>
    <row r="5066" s="1" customFormat="1" ht="21.95" customHeight="1" spans="1:18">
      <c r="A5066" s="7"/>
      <c r="B5066" s="12"/>
      <c r="C5066" s="33"/>
      <c r="D5066" s="117" t="s">
        <v>719</v>
      </c>
      <c r="E5066" s="117"/>
      <c r="F5066" s="117"/>
      <c r="G5066" s="54" t="str">
        <f>IFERROR(VLOOKUP(F5046,'1to4-2.1-RR'!$A$12:$BG$111,30,0),"")</f>
        <v/>
      </c>
      <c r="H5066" s="54" t="str">
        <f>IFERROR(VLOOKUP(F5046,'1to4-2.1-RR'!$A$12:$BG$111,31,0),"")</f>
        <v/>
      </c>
      <c r="I5066" s="54" t="str">
        <f>IFERROR(VLOOKUP(F5046,'1to4-2.1-RR'!$A$12:$BG$111,32,0),"")</f>
        <v/>
      </c>
      <c r="J5066" s="54" t="str">
        <f>IFERROR(VLOOKUP(F5046,'1to4-2.1-RR'!$A$12:$BG$111,33,0),"")</f>
        <v/>
      </c>
      <c r="K5066" s="54" t="str">
        <f>IFERROR(VLOOKUP(F5046,'1to4-2.1-RR'!$A$12:$BG$111,34,0),"")</f>
        <v/>
      </c>
      <c r="L5066" s="55">
        <f t="shared" si="180"/>
        <v>0</v>
      </c>
      <c r="M5066" s="56" t="str">
        <f>IF(F5046&gt;ENTRY!$D$24,"",IF(L5066=0,"Ab",IF(L5066&gt;80,"A",IF(L5066&gt;60,"B",IF(L5066&gt;44,"C",IF(L5066&gt;=33,"D",IF(L5066&lt;=32,"E","")))))))</f>
        <v/>
      </c>
      <c r="N5066" s="56"/>
      <c r="O5066" s="29"/>
      <c r="P5066" s="19"/>
      <c r="Q5066" s="14"/>
      <c r="R5066" s="11"/>
    </row>
    <row r="5067" s="1" customFormat="1" ht="21.95" customHeight="1" spans="1:18">
      <c r="A5067" s="7"/>
      <c r="B5067" s="12"/>
      <c r="C5067" s="33"/>
      <c r="D5067" s="117" t="s">
        <v>548</v>
      </c>
      <c r="E5067" s="117"/>
      <c r="F5067" s="117"/>
      <c r="G5067" s="54" t="str">
        <f>IFERROR(VLOOKUP(F5046,'1to4-2.1-RR'!$A$12:$BG$111,37,0),"")</f>
        <v/>
      </c>
      <c r="H5067" s="54" t="str">
        <f>IFERROR(VLOOKUP(F5046,'1to4-2.1-RR'!$A$12:$BG$111,38,0),"")</f>
        <v/>
      </c>
      <c r="I5067" s="54" t="str">
        <f>IFERROR(VLOOKUP(F5046,'1to4-2.1-RR'!$A$12:$BG$111,39,0),"")</f>
        <v/>
      </c>
      <c r="J5067" s="54" t="str">
        <f>IFERROR(VLOOKUP(F5046,'1to4-2.1-RR'!$A$12:$BG$111,40,0),"")</f>
        <v/>
      </c>
      <c r="K5067" s="54" t="str">
        <f>IFERROR(VLOOKUP(F5046,'1to4-2.1-RR'!$A$12:$BG$111,41,0),"")</f>
        <v/>
      </c>
      <c r="L5067" s="55">
        <f t="shared" si="180"/>
        <v>0</v>
      </c>
      <c r="M5067" s="56" t="str">
        <f>IF(F5046&gt;ENTRY!$D$24,"",IF(L5067=0,"Ab",IF(L5067&gt;80,"A",IF(L5067&gt;60,"B",IF(L5067&gt;44,"C",IF(L5067&gt;=33,"D",IF(L5067&lt;=32,"E","")))))))</f>
        <v/>
      </c>
      <c r="N5067" s="56"/>
      <c r="O5067" s="29"/>
      <c r="P5067" s="19"/>
      <c r="Q5067" s="14"/>
      <c r="R5067" s="11"/>
    </row>
    <row r="5068" s="1" customFormat="1" ht="21.95" customHeight="1" spans="1:18">
      <c r="A5068" s="7"/>
      <c r="B5068" s="12"/>
      <c r="C5068" s="33"/>
      <c r="D5068" s="117" t="s">
        <v>549</v>
      </c>
      <c r="E5068" s="117"/>
      <c r="F5068" s="117"/>
      <c r="G5068" s="54" t="str">
        <f>IFERROR(VLOOKUP(F5046,'1to4-2.1-RR'!$A$12:$BG$111,44,0),"")</f>
        <v/>
      </c>
      <c r="H5068" s="54" t="str">
        <f>IFERROR(VLOOKUP(F5046,'1to4-2.1-RR'!$A$12:$BG$111,45,0),"")</f>
        <v/>
      </c>
      <c r="I5068" s="54" t="str">
        <f>IFERROR(VLOOKUP(F5046,'1to4-2.1-RR'!$A$12:$BG$111,46,0),"")</f>
        <v/>
      </c>
      <c r="J5068" s="54" t="str">
        <f>IFERROR(VLOOKUP(F5046,'1to4-2.1-RR'!$A$12:$BG$111,47,0),"")</f>
        <v/>
      </c>
      <c r="K5068" s="54" t="str">
        <f>IFERROR(VLOOKUP(F5046,'1to4-2.1-RR'!$A$12:$BG$111,48,0),"")</f>
        <v/>
      </c>
      <c r="L5068" s="55">
        <f t="shared" si="180"/>
        <v>0</v>
      </c>
      <c r="M5068" s="56" t="str">
        <f>IF(F5046&gt;ENTRY!$D$24,"",IF(L5068=0,"Ab",IF(L5068&gt;80,"A",IF(L5068&gt;60,"B",IF(L5068&gt;44,"C",IF(L5068&gt;=33,"D",IF(L5068&lt;=32,"E","")))))))</f>
        <v/>
      </c>
      <c r="N5068" s="56"/>
      <c r="O5068" s="29"/>
      <c r="P5068" s="19"/>
      <c r="Q5068" s="14"/>
      <c r="R5068" s="11"/>
    </row>
    <row r="5069" s="1" customFormat="1" ht="21.95" customHeight="1" spans="1:18">
      <c r="A5069" s="7"/>
      <c r="B5069" s="12"/>
      <c r="C5069" s="33"/>
      <c r="D5069" s="117" t="s">
        <v>720</v>
      </c>
      <c r="E5069" s="117"/>
      <c r="F5069" s="117"/>
      <c r="G5069" s="54"/>
      <c r="H5069" s="54"/>
      <c r="I5069" s="54"/>
      <c r="J5069" s="54"/>
      <c r="K5069" s="54"/>
      <c r="L5069" s="55">
        <f t="shared" si="180"/>
        <v>0</v>
      </c>
      <c r="M5069" s="56" t="str">
        <f>IF(F5046&gt;ENTRY!$D$24,"",IF(L5069=0,"",IF(L5069&gt;79,"A",IF(L5069&gt;59,"B",IF(L5069&gt;44,"C",IF(L5069&gt;=33,"D",IF(L5069&lt;=32,"E","")))))))</f>
        <v/>
      </c>
      <c r="N5069" s="56"/>
      <c r="O5069" s="29"/>
      <c r="P5069" s="19"/>
      <c r="Q5069" s="14"/>
      <c r="R5069" s="11"/>
    </row>
    <row r="5070" s="1" customFormat="1" ht="21.95" customHeight="1" spans="1:18">
      <c r="A5070" s="7"/>
      <c r="B5070" s="12"/>
      <c r="C5070" s="33"/>
      <c r="D5070" s="207" t="s">
        <v>382</v>
      </c>
      <c r="E5070" s="207"/>
      <c r="F5070" s="207"/>
      <c r="G5070" s="54">
        <f t="shared" ref="G5070:L5070" si="181">IFERROR(SUM(G5063:G5069),"")</f>
        <v>0</v>
      </c>
      <c r="H5070" s="54">
        <f t="shared" si="181"/>
        <v>0</v>
      </c>
      <c r="I5070" s="54">
        <f t="shared" si="181"/>
        <v>0</v>
      </c>
      <c r="J5070" s="54">
        <f t="shared" si="181"/>
        <v>0</v>
      </c>
      <c r="K5070" s="54">
        <f t="shared" si="181"/>
        <v>0</v>
      </c>
      <c r="L5070" s="55">
        <f t="shared" si="181"/>
        <v>0</v>
      </c>
      <c r="M5070" s="61" t="str">
        <f>IF(F5046&gt;ENTRY!$D$24,"",IF(N5071="Ab","Ab",IF(N5071&gt;79.5,"A",IF(N5071&gt;59.5,"B",IF(N5071&gt;44.5,"C",IF(N5071&gt;=33,"D",IF(N5071&lt;33,"E","")))))))</f>
        <v/>
      </c>
      <c r="N5070" s="61"/>
      <c r="O5070" s="29"/>
      <c r="P5070" s="19"/>
      <c r="Q5070" s="14"/>
      <c r="R5070" s="11"/>
    </row>
    <row r="5071" s="1" customFormat="1" ht="21.95" customHeight="1" spans="1:18">
      <c r="A5071" s="7"/>
      <c r="B5071" s="12"/>
      <c r="C5071" s="33"/>
      <c r="D5071" s="63" t="s">
        <v>721</v>
      </c>
      <c r="E5071" s="63"/>
      <c r="F5071" s="63"/>
      <c r="G5071" s="63"/>
      <c r="H5071" s="63"/>
      <c r="I5071" s="63"/>
      <c r="J5071" s="63"/>
      <c r="K5071" s="63"/>
      <c r="L5071" s="63"/>
      <c r="M5071" s="209"/>
      <c r="N5071" s="64">
        <f>IF(L5070="Ab","Ab",L5070/6)</f>
        <v>0</v>
      </c>
      <c r="O5071" s="65"/>
      <c r="P5071" s="19"/>
      <c r="Q5071" s="14"/>
      <c r="R5071" s="11"/>
    </row>
    <row r="5072" s="1" customFormat="1" ht="21.95" customHeight="1" spans="1:18">
      <c r="A5072" s="7"/>
      <c r="B5072" s="12"/>
      <c r="C5072" s="33"/>
      <c r="D5072" s="29" t="s">
        <v>716</v>
      </c>
      <c r="E5072" s="18" t="str">
        <f>IFERROR(VLOOKUP(F5046,'1to4-2.1-RR'!$A$12:$BG$111,57,0),"")</f>
        <v/>
      </c>
      <c r="F5072" s="18"/>
      <c r="G5072" s="18"/>
      <c r="H5072" s="18"/>
      <c r="I5072" s="18"/>
      <c r="J5072" s="18"/>
      <c r="K5072" s="18"/>
      <c r="L5072" s="18"/>
      <c r="M5072" s="18"/>
      <c r="N5072" s="29"/>
      <c r="O5072" s="29"/>
      <c r="P5072" s="19"/>
      <c r="Q5072" s="14"/>
      <c r="R5072" s="11"/>
    </row>
    <row r="5073" s="1" customFormat="1" ht="9.95" customHeight="1" spans="1:19">
      <c r="A5073" s="7"/>
      <c r="B5073" s="12"/>
      <c r="C5073" s="39"/>
      <c r="D5073" s="40"/>
      <c r="E5073" s="40"/>
      <c r="F5073" s="40"/>
      <c r="G5073" s="40"/>
      <c r="H5073" s="40"/>
      <c r="I5073" s="40"/>
      <c r="J5073" s="40"/>
      <c r="K5073" s="40"/>
      <c r="L5073" s="40"/>
      <c r="M5073" s="40"/>
      <c r="N5073" s="40"/>
      <c r="O5073" s="40"/>
      <c r="P5073" s="41"/>
      <c r="Q5073" s="14"/>
      <c r="R5073" s="11"/>
    </row>
    <row r="5074" s="1" customFormat="1" ht="9.95" customHeight="1" spans="1:19">
      <c r="A5074" s="7"/>
      <c r="B5074" s="12"/>
      <c r="C5074" s="30"/>
      <c r="D5074" s="31"/>
      <c r="E5074" s="31"/>
      <c r="F5074" s="29"/>
      <c r="G5074" s="31"/>
      <c r="H5074" s="31"/>
      <c r="I5074" s="31"/>
      <c r="J5074" s="31"/>
      <c r="K5074" s="31"/>
      <c r="L5074" s="31"/>
      <c r="M5074" s="31"/>
      <c r="N5074" s="31"/>
      <c r="O5074" s="31"/>
      <c r="P5074" s="32"/>
      <c r="Q5074" s="14"/>
      <c r="R5074" s="11"/>
    </row>
    <row r="5075" s="1" customFormat="1" ht="9.95" customHeight="1" spans="1:19">
      <c r="A5075" s="7"/>
      <c r="B5075" s="12"/>
      <c r="C5075" s="33"/>
      <c r="D5075" s="29"/>
      <c r="E5075" s="29"/>
      <c r="F5075" s="29"/>
      <c r="G5075" s="29"/>
      <c r="H5075" s="29"/>
      <c r="I5075" s="29"/>
      <c r="J5075" s="29"/>
      <c r="K5075" s="29"/>
      <c r="L5075" s="29"/>
      <c r="M5075" s="29"/>
      <c r="N5075" s="29"/>
      <c r="O5075" s="29"/>
      <c r="P5075" s="19"/>
      <c r="Q5075" s="14"/>
      <c r="R5075" s="11"/>
    </row>
    <row r="5076" s="1" customFormat="1" ht="9.95" customHeight="1" spans="1:19">
      <c r="A5076" s="7"/>
      <c r="B5076" s="12"/>
      <c r="C5076" s="33"/>
      <c r="D5076" s="29"/>
      <c r="E5076" s="29"/>
      <c r="F5076" s="29"/>
      <c r="G5076" s="29"/>
      <c r="H5076" s="29"/>
      <c r="I5076" s="29"/>
      <c r="J5076" s="29"/>
      <c r="K5076" s="29"/>
      <c r="L5076" s="29"/>
      <c r="M5076" s="29"/>
      <c r="N5076" s="29"/>
      <c r="O5076" s="29"/>
      <c r="P5076" s="19"/>
      <c r="Q5076" s="14"/>
      <c r="R5076" s="11"/>
    </row>
    <row r="5077" s="1" customFormat="1" ht="21.95" customHeight="1" spans="1:19">
      <c r="A5077" s="7"/>
      <c r="B5077" s="12"/>
      <c r="C5077" s="210"/>
      <c r="D5077" s="211"/>
      <c r="E5077" s="211"/>
      <c r="F5077" s="211"/>
      <c r="G5077" s="211"/>
      <c r="H5077" s="211"/>
      <c r="I5077" s="211"/>
      <c r="J5077" s="211"/>
      <c r="K5077" s="211"/>
      <c r="L5077" s="211"/>
      <c r="M5077" s="211"/>
      <c r="N5077" s="211"/>
      <c r="O5077" s="211"/>
      <c r="P5077" s="212"/>
      <c r="Q5077" s="14"/>
      <c r="R5077" s="11"/>
      <c r="S5077" s="2"/>
    </row>
    <row r="5078" s="1" customFormat="1" ht="21.95" customHeight="1" spans="1:19">
      <c r="A5078" s="7"/>
      <c r="B5078" s="12"/>
      <c r="C5078" s="33"/>
      <c r="D5078" s="207" t="s">
        <v>722</v>
      </c>
      <c r="E5078" s="207"/>
      <c r="F5078" s="207"/>
      <c r="G5078" s="207"/>
      <c r="H5078" s="54">
        <f>IFERROR(VLOOKUP(F5046,PASHEET!$A$4:$CJ$103,88,0),"")</f>
        <v>0</v>
      </c>
      <c r="I5078" s="54"/>
      <c r="J5078" s="29"/>
      <c r="K5078" s="29"/>
      <c r="L5078" s="29"/>
      <c r="M5078" s="29"/>
      <c r="N5078" s="29"/>
      <c r="O5078" s="29"/>
      <c r="P5078" s="19"/>
      <c r="Q5078" s="14"/>
      <c r="R5078" s="11"/>
    </row>
    <row r="5079" s="1" customFormat="1" ht="21.95" customHeight="1" spans="1:19">
      <c r="A5079" s="7"/>
      <c r="B5079" s="12"/>
      <c r="C5079" s="213"/>
      <c r="D5079" s="207" t="s">
        <v>723</v>
      </c>
      <c r="E5079" s="207"/>
      <c r="F5079" s="207"/>
      <c r="G5079" s="207"/>
      <c r="H5079" s="54">
        <f>IFERROR(VLOOKUP(F5046,PASHEET!$A$4:$CJ$103,87,0),"")</f>
        <v>0</v>
      </c>
      <c r="I5079" s="54"/>
      <c r="J5079" s="214"/>
      <c r="K5079" s="214"/>
      <c r="L5079" s="207" t="s">
        <v>724</v>
      </c>
      <c r="M5079" s="207"/>
      <c r="N5079" s="117" t="str">
        <f>IF(F5046&gt;ENTRY!$D$24,"",IF(F5046&gt;0,L5070&amp;" / "&amp;600,""))</f>
        <v/>
      </c>
      <c r="O5079" s="117"/>
      <c r="P5079" s="215"/>
      <c r="Q5079" s="14"/>
      <c r="R5079" s="11"/>
    </row>
    <row r="5080" s="1" customFormat="1" ht="18" customHeight="1" spans="1:19">
      <c r="A5080" s="7"/>
      <c r="B5080" s="12"/>
      <c r="C5080" s="33"/>
      <c r="D5080" s="207" t="s">
        <v>725</v>
      </c>
      <c r="E5080" s="207"/>
      <c r="F5080" s="207"/>
      <c r="G5080" s="207"/>
      <c r="H5080" s="69" t="str">
        <f>IFERROR(IF(F5046&gt;0,H5079/H5078*100),"")</f>
        <v/>
      </c>
      <c r="I5080" s="69"/>
      <c r="J5080" s="29"/>
      <c r="K5080" s="29"/>
      <c r="L5080" s="207" t="s">
        <v>726</v>
      </c>
      <c r="M5080" s="207"/>
      <c r="N5080" s="216" t="str">
        <f>IF(F5046&gt;ENTRY!$D$24,"",IF(F5046&gt;0,L5070/600*100,""))</f>
        <v/>
      </c>
      <c r="O5080" s="216"/>
      <c r="P5080" s="19"/>
      <c r="Q5080" s="14"/>
      <c r="R5080" s="11"/>
    </row>
    <row r="5081" s="1" customFormat="1" ht="21.95" customHeight="1" spans="1:19">
      <c r="A5081" s="7"/>
      <c r="B5081" s="12"/>
      <c r="C5081" s="33"/>
      <c r="D5081" s="80"/>
      <c r="E5081" s="80"/>
      <c r="F5081" s="217"/>
      <c r="G5081" s="217"/>
      <c r="H5081" s="217"/>
      <c r="I5081" s="217"/>
      <c r="J5081" s="217"/>
      <c r="K5081" s="217"/>
      <c r="L5081" s="217"/>
      <c r="M5081" s="217"/>
      <c r="N5081" s="80"/>
      <c r="O5081" s="80"/>
      <c r="P5081" s="19"/>
      <c r="Q5081" s="14"/>
      <c r="R5081" s="11"/>
    </row>
    <row r="5082" s="1" customFormat="1" ht="21.95" customHeight="1" spans="1:19">
      <c r="A5082" s="7"/>
      <c r="B5082" s="12"/>
      <c r="C5082" s="33"/>
      <c r="D5082" s="80"/>
      <c r="E5082" s="218"/>
      <c r="F5082" s="218"/>
      <c r="G5082" s="218"/>
      <c r="H5082" s="80"/>
      <c r="I5082" s="218"/>
      <c r="J5082" s="218"/>
      <c r="K5082" s="218"/>
      <c r="L5082" s="218"/>
      <c r="M5082" s="80"/>
      <c r="N5082" s="219"/>
      <c r="O5082" s="219"/>
      <c r="P5082" s="19"/>
      <c r="Q5082" s="14"/>
      <c r="R5082" s="11"/>
    </row>
    <row r="5083" s="1" customFormat="1" ht="21.95" customHeight="1" spans="1:19">
      <c r="A5083" s="7"/>
      <c r="B5083" s="12"/>
      <c r="C5083" s="33"/>
      <c r="D5083" s="80"/>
      <c r="E5083" s="80"/>
      <c r="F5083" s="80"/>
      <c r="G5083" s="80"/>
      <c r="H5083" s="80"/>
      <c r="I5083" s="80"/>
      <c r="J5083" s="80"/>
      <c r="K5083" s="80"/>
      <c r="L5083" s="80"/>
      <c r="M5083" s="80"/>
      <c r="N5083" s="80"/>
      <c r="O5083" s="80"/>
      <c r="P5083" s="19"/>
      <c r="Q5083" s="14"/>
      <c r="R5083" s="11"/>
    </row>
    <row r="5084" s="1" customFormat="1" ht="21.95" customHeight="1" spans="1:19">
      <c r="A5084" s="7"/>
      <c r="B5084" s="12"/>
      <c r="C5084" s="33"/>
      <c r="D5084" s="218"/>
      <c r="E5084" s="218"/>
      <c r="F5084" s="218"/>
      <c r="G5084" s="218"/>
      <c r="H5084" s="218"/>
      <c r="I5084" s="218"/>
      <c r="J5084" s="218"/>
      <c r="K5084" s="218"/>
      <c r="L5084" s="218"/>
      <c r="M5084" s="80"/>
      <c r="N5084" s="217"/>
      <c r="O5084" s="217"/>
      <c r="P5084" s="85" t="s">
        <v>727</v>
      </c>
      <c r="Q5084" s="14"/>
      <c r="R5084" s="11"/>
    </row>
    <row r="5085" s="1" customFormat="1" ht="21.95" customHeight="1" spans="1:19">
      <c r="A5085" s="7"/>
      <c r="B5085" s="12"/>
      <c r="C5085" s="33"/>
      <c r="D5085" s="29"/>
      <c r="E5085" s="29"/>
      <c r="F5085" s="29"/>
      <c r="G5085" s="29"/>
      <c r="H5085" s="29"/>
      <c r="I5085" s="29"/>
      <c r="J5085" s="29"/>
      <c r="K5085" s="29"/>
      <c r="L5085" s="29"/>
      <c r="M5085" s="29"/>
      <c r="N5085" s="29"/>
      <c r="O5085" s="29"/>
      <c r="P5085" s="19"/>
      <c r="Q5085" s="14"/>
      <c r="R5085" s="11"/>
    </row>
    <row r="5086" s="1" customFormat="1" ht="21.95" customHeight="1" spans="1:19">
      <c r="A5086" s="7"/>
      <c r="B5086" s="12"/>
      <c r="C5086" s="33"/>
      <c r="D5086" s="29"/>
      <c r="E5086" s="29"/>
      <c r="F5086" s="29"/>
      <c r="G5086" s="29"/>
      <c r="H5086" s="29"/>
      <c r="I5086" s="29"/>
      <c r="J5086" s="29"/>
      <c r="K5086" s="29"/>
      <c r="L5086" s="29"/>
      <c r="M5086" s="29"/>
      <c r="N5086" s="29"/>
      <c r="O5086" s="29"/>
      <c r="P5086" s="19"/>
      <c r="Q5086" s="14"/>
      <c r="R5086" s="11"/>
    </row>
    <row r="5087" s="1" customFormat="1" ht="21.95" customHeight="1" spans="1:19">
      <c r="A5087" s="7"/>
      <c r="B5087" s="12"/>
      <c r="C5087" s="33"/>
      <c r="D5087" s="29"/>
      <c r="E5087" s="29"/>
      <c r="F5087" s="29"/>
      <c r="G5087" s="29"/>
      <c r="H5087" s="29"/>
      <c r="I5087" s="29"/>
      <c r="J5087" s="29"/>
      <c r="K5087" s="29"/>
      <c r="L5087" s="29"/>
      <c r="M5087" s="29"/>
      <c r="N5087" s="29"/>
      <c r="O5087" s="29"/>
      <c r="P5087" s="19"/>
      <c r="Q5087" s="14"/>
      <c r="R5087" s="11"/>
    </row>
    <row r="5088" s="1" customFormat="1" ht="21.95" customHeight="1" spans="1:19">
      <c r="A5088" s="7"/>
      <c r="B5088" s="12"/>
      <c r="C5088" s="33"/>
      <c r="D5088" s="29"/>
      <c r="E5088" s="29"/>
      <c r="F5088" s="29"/>
      <c r="G5088" s="29"/>
      <c r="H5088" s="29"/>
      <c r="I5088" s="29"/>
      <c r="J5088" s="29"/>
      <c r="K5088" s="29"/>
      <c r="L5088" s="29"/>
      <c r="M5088" s="29"/>
      <c r="N5088" s="29"/>
      <c r="O5088" s="29"/>
      <c r="P5088" s="19"/>
      <c r="Q5088" s="14"/>
      <c r="R5088" s="11"/>
    </row>
    <row r="5089" s="1" customFormat="1" ht="21.95" customHeight="1" spans="1:18">
      <c r="A5089" s="7"/>
      <c r="B5089" s="12"/>
      <c r="C5089" s="33"/>
      <c r="D5089" s="29"/>
      <c r="E5089" s="29"/>
      <c r="F5089" s="29"/>
      <c r="G5089" s="29"/>
      <c r="H5089" s="29"/>
      <c r="I5089" s="29"/>
      <c r="J5089" s="29"/>
      <c r="K5089" s="29"/>
      <c r="L5089" s="29"/>
      <c r="M5089" s="29"/>
      <c r="N5089" s="29"/>
      <c r="O5089" s="29"/>
      <c r="P5089" s="19"/>
      <c r="Q5089" s="14"/>
      <c r="R5089" s="11"/>
    </row>
    <row r="5090" s="1" customFormat="1" ht="21.95" customHeight="1" spans="1:18">
      <c r="A5090" s="7"/>
      <c r="B5090" s="12"/>
      <c r="C5090" s="33"/>
      <c r="D5090" s="80" t="s">
        <v>728</v>
      </c>
      <c r="E5090" s="220">
        <f>ENTRY!$D$27</f>
        <v>46102</v>
      </c>
      <c r="F5090" s="220"/>
      <c r="G5090" s="29"/>
      <c r="H5090" s="29"/>
      <c r="I5090" s="221" t="s">
        <v>729</v>
      </c>
      <c r="J5090" s="153"/>
      <c r="K5090" s="29"/>
      <c r="L5090" s="29"/>
      <c r="M5090" s="87" t="s">
        <v>730</v>
      </c>
      <c r="N5090" s="87"/>
      <c r="O5090" s="87"/>
      <c r="P5090" s="19"/>
      <c r="Q5090" s="14"/>
      <c r="R5090" s="11"/>
    </row>
    <row r="5091" s="1" customFormat="1" ht="21.95" customHeight="1" spans="1:18">
      <c r="A5091" s="7"/>
      <c r="B5091" s="12"/>
      <c r="C5091" s="33"/>
      <c r="D5091" s="80" t="s">
        <v>731</v>
      </c>
      <c r="E5091" s="88" t="str">
        <f>PROPER(ENTRY!$D$28)</f>
        <v>New Delhi</v>
      </c>
      <c r="F5091" s="88"/>
      <c r="G5091" s="29"/>
      <c r="H5091" s="29"/>
      <c r="I5091" s="153"/>
      <c r="J5091" s="153"/>
      <c r="K5091" s="29"/>
      <c r="L5091" s="29"/>
      <c r="M5091" s="79" t="s">
        <v>732</v>
      </c>
      <c r="N5091" s="79"/>
      <c r="O5091" s="79"/>
      <c r="P5091" s="19"/>
      <c r="Q5091" s="14"/>
      <c r="R5091" s="11"/>
    </row>
    <row r="5092" s="1" customFormat="1" ht="21.95" customHeight="1" spans="1:18">
      <c r="A5092" s="7"/>
      <c r="B5092" s="12"/>
      <c r="C5092" s="90"/>
      <c r="D5092" s="91"/>
      <c r="E5092" s="91"/>
      <c r="F5092" s="91"/>
      <c r="G5092" s="91"/>
      <c r="H5092" s="91"/>
      <c r="I5092" s="91"/>
      <c r="J5092" s="91"/>
      <c r="K5092" s="91"/>
      <c r="L5092" s="91"/>
      <c r="M5092" s="91"/>
      <c r="N5092" s="91"/>
      <c r="O5092" s="91"/>
      <c r="P5092" s="92"/>
      <c r="Q5092" s="14"/>
      <c r="R5092" s="11"/>
    </row>
    <row r="5093" s="1" customFormat="1" ht="5.1" customHeight="1" spans="1:18">
      <c r="A5093" s="7"/>
      <c r="B5093" s="90"/>
      <c r="C5093" s="91"/>
      <c r="D5093" s="91"/>
      <c r="E5093" s="91"/>
      <c r="F5093" s="91"/>
      <c r="G5093" s="91"/>
      <c r="H5093" s="91"/>
      <c r="I5093" s="91"/>
      <c r="J5093" s="91"/>
      <c r="K5093" s="91"/>
      <c r="L5093" s="91"/>
      <c r="M5093" s="91"/>
      <c r="N5093" s="91"/>
      <c r="O5093" s="91"/>
      <c r="P5093" s="91"/>
      <c r="Q5093" s="92"/>
      <c r="R5093" s="11"/>
    </row>
    <row r="5094" s="1" customFormat="1" ht="5.1" customHeight="1" spans="1:18">
      <c r="A5094" s="93"/>
      <c r="B5094" s="94"/>
      <c r="C5094" s="94"/>
      <c r="D5094" s="94"/>
      <c r="E5094" s="94"/>
      <c r="F5094" s="94"/>
      <c r="G5094" s="94"/>
      <c r="H5094" s="94"/>
      <c r="I5094" s="94"/>
      <c r="J5094" s="94"/>
      <c r="K5094" s="94"/>
      <c r="L5094" s="94"/>
      <c r="M5094" s="94"/>
      <c r="N5094" s="94"/>
      <c r="O5094" s="94"/>
      <c r="P5094" s="94"/>
      <c r="Q5094" s="94"/>
      <c r="R5094" s="95"/>
    </row>
    <row r="5095" s="1" customFormat="1" ht="21.95" customHeight="1"/>
    <row r="5096" ht="15.15"/>
    <row r="5097" s="1" customFormat="1" ht="5.1" customHeight="1" spans="1:18">
      <c r="A5097" s="4"/>
      <c r="B5097" s="5"/>
      <c r="C5097" s="5"/>
      <c r="D5097" s="5"/>
      <c r="E5097" s="5"/>
      <c r="F5097" s="5"/>
      <c r="G5097" s="5"/>
      <c r="H5097" s="5"/>
      <c r="I5097" s="5"/>
      <c r="J5097" s="5"/>
      <c r="K5097" s="5"/>
      <c r="L5097" s="5"/>
      <c r="M5097" s="5"/>
      <c r="N5097" s="5"/>
      <c r="O5097" s="5"/>
      <c r="P5097" s="5"/>
      <c r="Q5097" s="5"/>
      <c r="R5097" s="6"/>
    </row>
    <row r="5098" s="1" customFormat="1" ht="15" customHeight="1" spans="1:18">
      <c r="A5098" s="7"/>
      <c r="B5098" s="8"/>
      <c r="C5098" s="9"/>
      <c r="D5098" s="9"/>
      <c r="E5098" s="9"/>
      <c r="F5098" s="9"/>
      <c r="G5098" s="9"/>
      <c r="H5098" s="9"/>
      <c r="I5098" s="9"/>
      <c r="J5098" s="9"/>
      <c r="K5098" s="9"/>
      <c r="L5098" s="9"/>
      <c r="M5098" s="9"/>
      <c r="N5098" s="9"/>
      <c r="O5098" s="9"/>
      <c r="P5098" s="9"/>
      <c r="Q5098" s="10"/>
      <c r="R5098" s="11"/>
    </row>
    <row r="5099" s="1" customFormat="1" ht="21.95" customHeight="1" spans="1:18">
      <c r="A5099" s="7"/>
      <c r="B5099" s="12"/>
      <c r="C5099" s="13" t="s">
        <v>7</v>
      </c>
      <c r="D5099" s="13"/>
      <c r="E5099" s="13"/>
      <c r="F5099" s="13"/>
      <c r="G5099" s="13"/>
      <c r="H5099" s="13"/>
      <c r="I5099" s="13"/>
      <c r="J5099" s="13"/>
      <c r="K5099" s="13"/>
      <c r="L5099" s="13"/>
      <c r="M5099" s="13"/>
      <c r="N5099" s="13"/>
      <c r="O5099" s="13"/>
      <c r="P5099" s="13"/>
      <c r="Q5099" s="14"/>
      <c r="R5099" s="11"/>
    </row>
    <row r="5100" s="1" customFormat="1" ht="21.95" customHeight="1" spans="1:18">
      <c r="A5100" s="7"/>
      <c r="B5100" s="1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14"/>
      <c r="R5100" s="11"/>
    </row>
    <row r="5101" s="1" customFormat="1" ht="21.95" customHeight="1" spans="1:18">
      <c r="A5101" s="7"/>
      <c r="B5101" s="12"/>
      <c r="C5101" s="15" t="str">
        <f>"SESSION-"&amp;ENTRY!$D$11</f>
        <v>SESSION-2026-27</v>
      </c>
      <c r="D5101" s="15"/>
      <c r="E5101" s="15"/>
      <c r="F5101" s="15"/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  <c r="Q5101" s="14"/>
      <c r="R5101" s="11"/>
    </row>
    <row r="5102" s="1" customFormat="1" ht="21.95" customHeight="1" spans="1:18">
      <c r="A5102" s="7"/>
      <c r="B5102" s="12"/>
      <c r="C5102" s="2"/>
      <c r="D5102" s="2"/>
      <c r="E5102" s="2"/>
      <c r="F5102" s="16">
        <f>F5046+1</f>
        <v>92</v>
      </c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14"/>
      <c r="R5102" s="11"/>
    </row>
    <row r="5103" s="1" customFormat="1" ht="21.95" customHeight="1" spans="1:18">
      <c r="A5103" s="7"/>
      <c r="B5103" s="12"/>
      <c r="C5103" s="17" t="s">
        <v>392</v>
      </c>
      <c r="D5103" s="17"/>
      <c r="E5103" s="17"/>
      <c r="F5103" s="18" t="str">
        <f>IF(F5102&gt;0,ENTRY!$D$6,"")</f>
        <v>MCP NITHARI NO 1 BOYS</v>
      </c>
      <c r="G5103" s="18"/>
      <c r="H5103" s="18"/>
      <c r="I5103" s="18"/>
      <c r="J5103" s="18"/>
      <c r="K5103" s="18"/>
      <c r="L5103" s="18"/>
      <c r="M5103" s="18"/>
      <c r="N5103" s="18"/>
      <c r="O5103" s="18"/>
      <c r="P5103" s="18"/>
      <c r="Q5103" s="14"/>
      <c r="R5103" s="11"/>
    </row>
    <row r="5104" s="1" customFormat="1" ht="21.95" customHeight="1" spans="1:18">
      <c r="A5104" s="7"/>
      <c r="B5104" s="12"/>
      <c r="C5104" s="17" t="s">
        <v>393</v>
      </c>
      <c r="D5104" s="17"/>
      <c r="E5104" s="17"/>
      <c r="F5104" s="18">
        <f>IF(F5102&gt;0,ENTRY!$D$7,"")</f>
        <v>0</v>
      </c>
      <c r="G5104" s="18"/>
      <c r="H5104" s="20" t="s">
        <v>702</v>
      </c>
      <c r="I5104" s="20"/>
      <c r="J5104" s="21">
        <f>IF(F5102&gt;0,ENTRY!$D$10,"")</f>
        <v>40</v>
      </c>
      <c r="K5104" s="20" t="s">
        <v>703</v>
      </c>
      <c r="L5104" s="22" t="str">
        <f>IF(F5102&gt;0,ENTRY!$D$5,"")</f>
        <v>ROHINI ZONE</v>
      </c>
      <c r="M5104" s="22"/>
      <c r="N5104" s="22"/>
      <c r="O5104" s="22"/>
      <c r="P5104" s="22"/>
      <c r="Q5104" s="14"/>
      <c r="R5104" s="11"/>
    </row>
    <row r="5105" s="1" customFormat="1" ht="21.95" customHeight="1" spans="1:18">
      <c r="A5105" s="7"/>
      <c r="B5105" s="12"/>
      <c r="C5105" s="17" t="s">
        <v>706</v>
      </c>
      <c r="D5105" s="17"/>
      <c r="E5105" s="17"/>
      <c r="F5105" s="23">
        <f>IFERROR(VLOOKUP(F5102,STUDENT!$A$2:$BP$101,5,0),"")</f>
        <v>0</v>
      </c>
      <c r="G5105" s="23"/>
      <c r="H5105" s="23"/>
      <c r="I5105" s="23"/>
      <c r="J5105" s="23"/>
      <c r="K5105" s="23"/>
      <c r="L5105" s="20" t="s">
        <v>707</v>
      </c>
      <c r="M5105" s="20"/>
      <c r="N5105" s="24" t="str">
        <f>IF(F5102&gt;0,ENTRY!$D$20&amp;"-"&amp;ENTRY!$D$21,"")</f>
        <v>III-A</v>
      </c>
      <c r="O5105" s="24"/>
      <c r="P5105" s="24"/>
      <c r="Q5105" s="14"/>
      <c r="R5105" s="11"/>
    </row>
    <row r="5106" s="1" customFormat="1" ht="21.95" customHeight="1" spans="1:18">
      <c r="A5106" s="7"/>
      <c r="B5106" s="12"/>
      <c r="C5106" s="17" t="s">
        <v>708</v>
      </c>
      <c r="D5106" s="17"/>
      <c r="E5106" s="17"/>
      <c r="F5106" s="25">
        <f>IFERROR(VLOOKUP(F5102,STUDENT!$A$2:$BP$101,6,0),"")</f>
        <v>0</v>
      </c>
      <c r="G5106" s="25"/>
      <c r="H5106" s="26" t="s">
        <v>709</v>
      </c>
      <c r="I5106" s="27" t="str">
        <f>IFERROR(VLOOKUP(F5102,STUDENT!$A$2:$BP$101,59,0),"")</f>
        <v/>
      </c>
      <c r="J5106" s="27"/>
      <c r="K5106" s="20" t="s">
        <v>710</v>
      </c>
      <c r="L5106" s="20"/>
      <c r="M5106" s="28">
        <f>IFERROR(VLOOKUP(F5102,STUDENT!$A$2:$BP$101,20,0),"")</f>
        <v>0</v>
      </c>
      <c r="N5106" s="28"/>
      <c r="O5106" s="28"/>
      <c r="P5106" s="28"/>
      <c r="Q5106" s="14"/>
      <c r="R5106" s="11"/>
    </row>
    <row r="5107" s="1" customFormat="1" ht="21.95" customHeight="1" spans="1:18">
      <c r="A5107" s="7"/>
      <c r="B5107" s="12"/>
      <c r="C5107" s="17" t="s">
        <v>711</v>
      </c>
      <c r="D5107" s="17"/>
      <c r="E5107" s="17"/>
      <c r="F5107" s="23">
        <f>IFERROR(VLOOKUP(F5102,STUDENT!$A$2:$BP$101,9,0),"")</f>
        <v>0</v>
      </c>
      <c r="G5107" s="23"/>
      <c r="H5107" s="23"/>
      <c r="I5107" s="23"/>
      <c r="J5107" s="17" t="s">
        <v>620</v>
      </c>
      <c r="K5107" s="17"/>
      <c r="L5107" s="23">
        <f>IFERROR(VLOOKUP(F5102,STUDENT!$A$2:$BP$101,8,0),"")</f>
        <v>0</v>
      </c>
      <c r="M5107" s="23"/>
      <c r="N5107" s="23"/>
      <c r="O5107" s="23"/>
      <c r="P5107" s="23"/>
      <c r="Q5107" s="14"/>
      <c r="R5107" s="11"/>
    </row>
    <row r="5108" s="1" customFormat="1" ht="21.95" customHeight="1" spans="1:18">
      <c r="A5108" s="7"/>
      <c r="B5108" s="12"/>
      <c r="C5108" s="17" t="s">
        <v>712</v>
      </c>
      <c r="D5108" s="17"/>
      <c r="E5108" s="17"/>
      <c r="F5108" s="23">
        <f>IFERROR(VLOOKUP(F5102,STUDENT!$A$2:$BP$101,22,0),"")</f>
        <v>0</v>
      </c>
      <c r="G5108" s="23"/>
      <c r="H5108" s="23"/>
      <c r="I5108" s="23"/>
      <c r="J5108" s="23"/>
      <c r="K5108" s="23"/>
      <c r="L5108" s="23"/>
      <c r="M5108" s="23"/>
      <c r="N5108" s="23"/>
      <c r="O5108" s="23"/>
      <c r="P5108" s="23"/>
      <c r="Q5108" s="14"/>
      <c r="R5108" s="11"/>
    </row>
    <row r="5109" s="1" customFormat="1" ht="9.95" customHeight="1" spans="1:18">
      <c r="A5109" s="7"/>
      <c r="B5109" s="12"/>
      <c r="C5109" s="29"/>
      <c r="D5109" s="29"/>
      <c r="E5109" s="29"/>
      <c r="F5109" s="29"/>
      <c r="G5109" s="29"/>
      <c r="H5109" s="29"/>
      <c r="I5109" s="29"/>
      <c r="J5109" s="29"/>
      <c r="K5109" s="29"/>
      <c r="L5109" s="29"/>
      <c r="M5109" s="29"/>
      <c r="N5109" s="29"/>
      <c r="O5109" s="29"/>
      <c r="P5109" s="29"/>
      <c r="Q5109" s="14"/>
      <c r="R5109" s="11"/>
    </row>
    <row r="5110" s="1" customFormat="1" ht="9.95" customHeight="1" spans="1:18">
      <c r="A5110" s="7"/>
      <c r="B5110" s="12"/>
      <c r="C5110" s="30"/>
      <c r="D5110" s="31"/>
      <c r="E5110" s="31"/>
      <c r="F5110" s="31"/>
      <c r="G5110" s="31"/>
      <c r="H5110" s="31"/>
      <c r="I5110" s="31"/>
      <c r="J5110" s="31"/>
      <c r="K5110" s="31"/>
      <c r="L5110" s="31"/>
      <c r="M5110" s="31"/>
      <c r="N5110" s="31"/>
      <c r="O5110" s="31"/>
      <c r="P5110" s="32"/>
      <c r="Q5110" s="14"/>
      <c r="R5110" s="11"/>
    </row>
    <row r="5111" s="1" customFormat="1" ht="21.95" customHeight="1" spans="1:18">
      <c r="A5111" s="7"/>
      <c r="B5111" s="12"/>
      <c r="C5111" s="33"/>
      <c r="D5111" s="34" t="s">
        <v>713</v>
      </c>
      <c r="E5111" s="20" t="s">
        <v>714</v>
      </c>
      <c r="F5111" s="35" t="str">
        <f>"Level - "&amp;IFERROR(VLOOKUP(F5102,FLN!$A$4:$K$103,9,0),"")</f>
        <v>Level - </v>
      </c>
      <c r="G5111" s="36"/>
      <c r="H5111" s="37" t="s">
        <v>715</v>
      </c>
      <c r="I5111" s="20"/>
      <c r="J5111" s="35" t="str">
        <f>"Level - "&amp;IFERROR(VLOOKUP(F5102,FLN!$A$4:$K$103,11,0),"")</f>
        <v>Level - </v>
      </c>
      <c r="K5111" s="36"/>
      <c r="L5111" s="37" t="s">
        <v>408</v>
      </c>
      <c r="M5111" s="20"/>
      <c r="N5111" s="35" t="str">
        <f>"Level - "&amp;IFERROR(VLOOKUP(F5102,FLN!$A$4:$K$103,10,0),"")</f>
        <v>Level - </v>
      </c>
      <c r="O5111" s="36"/>
      <c r="P5111" s="19"/>
      <c r="Q5111" s="14"/>
      <c r="R5111" s="11"/>
    </row>
    <row r="5112" s="1" customFormat="1" ht="21.95" customHeight="1" spans="1:18">
      <c r="A5112" s="7"/>
      <c r="B5112" s="12"/>
      <c r="C5112" s="33"/>
      <c r="D5112" s="38"/>
      <c r="E5112" s="20" t="s">
        <v>716</v>
      </c>
      <c r="F5112" s="18" t="str">
        <f>IF(L5126&gt;197,"PERFORMED WELL","")</f>
        <v/>
      </c>
      <c r="G5112" s="18"/>
      <c r="H5112" s="18"/>
      <c r="I5112" s="18"/>
      <c r="J5112" s="18"/>
      <c r="K5112" s="18"/>
      <c r="L5112" s="18"/>
      <c r="M5112" s="18"/>
      <c r="N5112" s="18"/>
      <c r="O5112" s="18"/>
      <c r="P5112" s="19"/>
      <c r="Q5112" s="14"/>
      <c r="R5112" s="11"/>
    </row>
    <row r="5113" s="1" customFormat="1" ht="9.95" customHeight="1" spans="1:18">
      <c r="A5113" s="7"/>
      <c r="B5113" s="12"/>
      <c r="C5113" s="39"/>
      <c r="D5113" s="40"/>
      <c r="E5113" s="40"/>
      <c r="F5113" s="40"/>
      <c r="G5113" s="40"/>
      <c r="H5113" s="40"/>
      <c r="I5113" s="40"/>
      <c r="J5113" s="40"/>
      <c r="K5113" s="40"/>
      <c r="L5113" s="40"/>
      <c r="M5113" s="40"/>
      <c r="N5113" s="40"/>
      <c r="O5113" s="40"/>
      <c r="P5113" s="41"/>
      <c r="Q5113" s="14"/>
      <c r="R5113" s="11"/>
    </row>
    <row r="5114" s="1" customFormat="1" ht="9.95" customHeight="1" spans="1:18">
      <c r="A5114" s="7"/>
      <c r="B5114" s="12"/>
      <c r="C5114" s="29"/>
      <c r="D5114" s="29"/>
      <c r="E5114" s="29"/>
      <c r="F5114" s="29"/>
      <c r="G5114" s="29"/>
      <c r="H5114" s="29"/>
      <c r="I5114" s="29"/>
      <c r="J5114" s="29"/>
      <c r="K5114" s="29"/>
      <c r="L5114" s="29"/>
      <c r="M5114" s="29"/>
      <c r="N5114" s="29"/>
      <c r="O5114" s="29"/>
      <c r="P5114" s="29"/>
      <c r="Q5114" s="14"/>
      <c r="R5114" s="11"/>
    </row>
    <row r="5115" s="1" customFormat="1" ht="9.95" customHeight="1" spans="1:18">
      <c r="A5115" s="7"/>
      <c r="B5115" s="12"/>
      <c r="C5115" s="30"/>
      <c r="D5115" s="31"/>
      <c r="E5115" s="31"/>
      <c r="F5115" s="31"/>
      <c r="G5115" s="31"/>
      <c r="H5115" s="31"/>
      <c r="I5115" s="31"/>
      <c r="J5115" s="31"/>
      <c r="K5115" s="31"/>
      <c r="L5115" s="31"/>
      <c r="M5115" s="31"/>
      <c r="N5115" s="31"/>
      <c r="O5115" s="31"/>
      <c r="P5115" s="32"/>
      <c r="Q5115" s="14"/>
      <c r="R5115" s="11"/>
    </row>
    <row r="5116" s="1" customFormat="1" ht="21.95" customHeight="1" spans="1:18">
      <c r="A5116" s="7"/>
      <c r="B5116" s="12"/>
      <c r="C5116" s="33"/>
      <c r="D5116" s="35"/>
      <c r="E5116" s="24"/>
      <c r="F5116" s="24"/>
      <c r="G5116" s="47" t="s">
        <v>717</v>
      </c>
      <c r="H5116" s="47"/>
      <c r="I5116" s="47"/>
      <c r="J5116" s="47"/>
      <c r="K5116" s="47"/>
      <c r="L5116" s="47"/>
      <c r="M5116" s="47"/>
      <c r="N5116" s="47"/>
      <c r="O5116" s="29"/>
      <c r="P5116" s="19"/>
      <c r="Q5116" s="14"/>
      <c r="R5116" s="11"/>
    </row>
    <row r="5117" s="1" customFormat="1" ht="21.95" customHeight="1" spans="1:18">
      <c r="A5117" s="7"/>
      <c r="B5117" s="12"/>
      <c r="C5117" s="33"/>
      <c r="D5117" s="47"/>
      <c r="E5117" s="47"/>
      <c r="F5117" s="47"/>
      <c r="G5117" s="47" t="s">
        <v>541</v>
      </c>
      <c r="H5117" s="47" t="s">
        <v>542</v>
      </c>
      <c r="I5117" s="47" t="s">
        <v>543</v>
      </c>
      <c r="J5117" s="47" t="s">
        <v>544</v>
      </c>
      <c r="K5117" s="47" t="s">
        <v>561</v>
      </c>
      <c r="L5117" s="47" t="s">
        <v>382</v>
      </c>
      <c r="M5117" s="49" t="s">
        <v>546</v>
      </c>
      <c r="N5117" s="49"/>
      <c r="O5117" s="29"/>
      <c r="P5117" s="19"/>
      <c r="Q5117" s="14"/>
      <c r="R5117" s="11"/>
    </row>
    <row r="5118" s="1" customFormat="1" ht="21.95" customHeight="1" spans="1:18">
      <c r="A5118" s="7"/>
      <c r="B5118" s="12"/>
      <c r="C5118" s="33"/>
      <c r="D5118" s="207" t="s">
        <v>652</v>
      </c>
      <c r="E5118" s="207"/>
      <c r="F5118" s="207"/>
      <c r="G5118" s="50">
        <v>10</v>
      </c>
      <c r="H5118" s="50">
        <v>10</v>
      </c>
      <c r="I5118" s="50">
        <v>10</v>
      </c>
      <c r="J5118" s="50">
        <v>10</v>
      </c>
      <c r="K5118" s="50">
        <v>60</v>
      </c>
      <c r="L5118" s="50">
        <v>100</v>
      </c>
      <c r="M5118" s="49"/>
      <c r="N5118" s="49"/>
      <c r="O5118" s="29"/>
      <c r="P5118" s="19"/>
      <c r="Q5118" s="14"/>
      <c r="R5118" s="11"/>
    </row>
    <row r="5119" s="1" customFormat="1" ht="21.95" customHeight="1" spans="1:18">
      <c r="A5119" s="7"/>
      <c r="B5119" s="12"/>
      <c r="C5119" s="33"/>
      <c r="D5119" s="117" t="s">
        <v>668</v>
      </c>
      <c r="E5119" s="117"/>
      <c r="F5119" s="117"/>
      <c r="G5119" s="54" t="str">
        <f>IFERROR(VLOOKUP(F5102,'1to4-2.1-RR'!$A$12:$BG$111,9,0),"")</f>
        <v/>
      </c>
      <c r="H5119" s="54" t="str">
        <f>IFERROR(VLOOKUP(F5102,'1to4-2.1-RR'!$A$12:$BG$111,10,0),"")</f>
        <v/>
      </c>
      <c r="I5119" s="54" t="str">
        <f>IFERROR(VLOOKUP(F5102,'1to4-2.1-RR'!$A$12:$BG$111,11,0),"")</f>
        <v/>
      </c>
      <c r="J5119" s="54" t="str">
        <f>IFERROR(VLOOKUP(F5102,'1to4-2.1-RR'!$A$12:$BG$111,12,0),"")</f>
        <v/>
      </c>
      <c r="K5119" s="54" t="str">
        <f>IFERROR(VLOOKUP(F5102,'1to4-2.1-RR'!$A$12:$BG$111,13,0),"")</f>
        <v/>
      </c>
      <c r="L5119" s="55">
        <f>SUM(G5119:K5119)</f>
        <v>0</v>
      </c>
      <c r="M5119" s="56" t="str">
        <f>IF(F5102&gt;ENTRY!$D$24,"",IF(L5119=0,"Ab",IF(L5119&gt;80,"A",IF(L5119&gt;60,"B",IF(L5119&gt;44,"C",IF(L5119&gt;=33,"D",IF(L5119&lt;=32,"E","")))))))</f>
        <v/>
      </c>
      <c r="N5119" s="56"/>
      <c r="O5119" s="29"/>
      <c r="P5119" s="19"/>
      <c r="Q5119" s="14"/>
      <c r="R5119" s="11"/>
    </row>
    <row r="5120" s="1" customFormat="1" ht="21.95" customHeight="1" spans="1:18">
      <c r="A5120" s="7"/>
      <c r="B5120" s="12"/>
      <c r="C5120" s="33"/>
      <c r="D5120" s="117" t="s">
        <v>513</v>
      </c>
      <c r="E5120" s="117"/>
      <c r="F5120" s="117"/>
      <c r="G5120" s="54" t="str">
        <f>IFERROR(VLOOKUP(F5102,'1to4-2.1-RR'!$A$12:$BG$111,16,0),"")</f>
        <v/>
      </c>
      <c r="H5120" s="54" t="str">
        <f>IFERROR(VLOOKUP(F5102,'1to4-2.1-RR'!$A$12:$BG$111,17,0),"")</f>
        <v/>
      </c>
      <c r="I5120" s="54" t="str">
        <f>IFERROR(VLOOKUP(F5102,'1to4-2.1-RR'!$A$12:$BG$111,18,0),"")</f>
        <v/>
      </c>
      <c r="J5120" s="54" t="str">
        <f>IFERROR(VLOOKUP(F5102,'1to4-2.1-RR'!$A$12:$BG$111,19,0),"")</f>
        <v/>
      </c>
      <c r="K5120" s="54" t="str">
        <f>IFERROR(VLOOKUP(F5102,'1to4-2.1-RR'!$A$12:$BG$111,20,0),"")</f>
        <v/>
      </c>
      <c r="L5120" s="55">
        <f t="shared" ref="L5120:L5125" si="182">SUM(G5120:K5120)</f>
        <v>0</v>
      </c>
      <c r="M5120" s="56" t="str">
        <f>IF(F5102&gt;ENTRY!$D$24,"",IF(L5120=0,"Ab",IF(L5120&gt;80,"A",IF(L5120&gt;60,"B",IF(L5120&gt;44,"C",IF(L5120&gt;=33,"D",IF(L5120&lt;=32,"E","")))))))</f>
        <v/>
      </c>
      <c r="N5120" s="56"/>
      <c r="O5120" s="29"/>
      <c r="P5120" s="19"/>
      <c r="Q5120" s="14"/>
      <c r="R5120" s="11"/>
    </row>
    <row r="5121" s="1" customFormat="1" ht="21.95" customHeight="1" spans="1:19">
      <c r="A5121" s="7"/>
      <c r="B5121" s="12"/>
      <c r="C5121" s="33"/>
      <c r="D5121" s="117" t="s">
        <v>718</v>
      </c>
      <c r="E5121" s="117"/>
      <c r="F5121" s="117"/>
      <c r="G5121" s="54" t="str">
        <f>IFERROR(VLOOKUP(F5102,'1to4-2.1-RR'!$A$12:$BG$111,23,0),"")</f>
        <v/>
      </c>
      <c r="H5121" s="54" t="str">
        <f>IFERROR(VLOOKUP(F5102,'1to4-2.1-RR'!$A$12:$BG$111,24,0),"")</f>
        <v/>
      </c>
      <c r="I5121" s="54" t="str">
        <f>IFERROR(VLOOKUP(F5102,'1to4-2.1-RR'!$A$12:$BG$111,25,0),"")</f>
        <v/>
      </c>
      <c r="J5121" s="54" t="str">
        <f>IFERROR(VLOOKUP(F5102,'1to4-2.1-RR'!$A$12:$BG$111,26,0),"")</f>
        <v/>
      </c>
      <c r="K5121" s="54" t="str">
        <f>IFERROR(VLOOKUP(F5102,'1to4-2.1-RR'!$A$12:$BG$111,27,0),"")</f>
        <v/>
      </c>
      <c r="L5121" s="55">
        <f t="shared" si="182"/>
        <v>0</v>
      </c>
      <c r="M5121" s="56" t="str">
        <f>IF(F5102&gt;ENTRY!$D$24,"",IF(L5121=0,"Ab",IF(L5121&gt;80,"A",IF(L5121&gt;60,"B",IF(L5121&gt;44,"C",IF(L5121&gt;=33,"D",IF(L5121&lt;=32,"E","")))))))</f>
        <v/>
      </c>
      <c r="N5121" s="56"/>
      <c r="O5121" s="29"/>
      <c r="P5121" s="19"/>
      <c r="Q5121" s="14"/>
      <c r="R5121" s="11"/>
    </row>
    <row r="5122" s="1" customFormat="1" ht="21.95" customHeight="1" spans="1:19">
      <c r="A5122" s="7"/>
      <c r="B5122" s="12"/>
      <c r="C5122" s="33"/>
      <c r="D5122" s="117" t="s">
        <v>719</v>
      </c>
      <c r="E5122" s="117"/>
      <c r="F5122" s="117"/>
      <c r="G5122" s="54" t="str">
        <f>IFERROR(VLOOKUP(F5102,'1to4-2.1-RR'!$A$12:$BG$111,30,0),"")</f>
        <v/>
      </c>
      <c r="H5122" s="54" t="str">
        <f>IFERROR(VLOOKUP(F5102,'1to4-2.1-RR'!$A$12:$BG$111,31,0),"")</f>
        <v/>
      </c>
      <c r="I5122" s="54" t="str">
        <f>IFERROR(VLOOKUP(F5102,'1to4-2.1-RR'!$A$12:$BG$111,32,0),"")</f>
        <v/>
      </c>
      <c r="J5122" s="54" t="str">
        <f>IFERROR(VLOOKUP(F5102,'1to4-2.1-RR'!$A$12:$BG$111,33,0),"")</f>
        <v/>
      </c>
      <c r="K5122" s="54" t="str">
        <f>IFERROR(VLOOKUP(F5102,'1to4-2.1-RR'!$A$12:$BG$111,34,0),"")</f>
        <v/>
      </c>
      <c r="L5122" s="55">
        <f t="shared" si="182"/>
        <v>0</v>
      </c>
      <c r="M5122" s="56" t="str">
        <f>IF(F5102&gt;ENTRY!$D$24,"",IF(L5122=0,"Ab",IF(L5122&gt;80,"A",IF(L5122&gt;60,"B",IF(L5122&gt;44,"C",IF(L5122&gt;=33,"D",IF(L5122&lt;=32,"E","")))))))</f>
        <v/>
      </c>
      <c r="N5122" s="56"/>
      <c r="O5122" s="29"/>
      <c r="P5122" s="19"/>
      <c r="Q5122" s="14"/>
      <c r="R5122" s="11"/>
    </row>
    <row r="5123" s="1" customFormat="1" ht="21.95" customHeight="1" spans="1:19">
      <c r="A5123" s="7"/>
      <c r="B5123" s="12"/>
      <c r="C5123" s="33"/>
      <c r="D5123" s="117" t="s">
        <v>548</v>
      </c>
      <c r="E5123" s="117"/>
      <c r="F5123" s="117"/>
      <c r="G5123" s="54" t="str">
        <f>IFERROR(VLOOKUP(F5102,'1to4-2.1-RR'!$A$12:$BG$111,37,0),"")</f>
        <v/>
      </c>
      <c r="H5123" s="54" t="str">
        <f>IFERROR(VLOOKUP(F5102,'1to4-2.1-RR'!$A$12:$BG$111,38,0),"")</f>
        <v/>
      </c>
      <c r="I5123" s="54" t="str">
        <f>IFERROR(VLOOKUP(F5102,'1to4-2.1-RR'!$A$12:$BG$111,39,0),"")</f>
        <v/>
      </c>
      <c r="J5123" s="54" t="str">
        <f>IFERROR(VLOOKUP(F5102,'1to4-2.1-RR'!$A$12:$BG$111,40,0),"")</f>
        <v/>
      </c>
      <c r="K5123" s="54" t="str">
        <f>IFERROR(VLOOKUP(F5102,'1to4-2.1-RR'!$A$12:$BG$111,41,0),"")</f>
        <v/>
      </c>
      <c r="L5123" s="55">
        <f t="shared" si="182"/>
        <v>0</v>
      </c>
      <c r="M5123" s="56" t="str">
        <f>IF(F5102&gt;ENTRY!$D$24,"",IF(L5123=0,"Ab",IF(L5123&gt;80,"A",IF(L5123&gt;60,"B",IF(L5123&gt;44,"C",IF(L5123&gt;=33,"D",IF(L5123&lt;=32,"E","")))))))</f>
        <v/>
      </c>
      <c r="N5123" s="56"/>
      <c r="O5123" s="29"/>
      <c r="P5123" s="19"/>
      <c r="Q5123" s="14"/>
      <c r="R5123" s="11"/>
    </row>
    <row r="5124" s="1" customFormat="1" ht="21.95" customHeight="1" spans="1:19">
      <c r="A5124" s="7"/>
      <c r="B5124" s="12"/>
      <c r="C5124" s="33"/>
      <c r="D5124" s="117" t="s">
        <v>549</v>
      </c>
      <c r="E5124" s="117"/>
      <c r="F5124" s="117"/>
      <c r="G5124" s="54" t="str">
        <f>IFERROR(VLOOKUP(F5102,'1to4-2.1-RR'!$A$12:$BG$111,44,0),"")</f>
        <v/>
      </c>
      <c r="H5124" s="54" t="str">
        <f>IFERROR(VLOOKUP(F5102,'1to4-2.1-RR'!$A$12:$BG$111,45,0),"")</f>
        <v/>
      </c>
      <c r="I5124" s="54" t="str">
        <f>IFERROR(VLOOKUP(F5102,'1to4-2.1-RR'!$A$12:$BG$111,46,0),"")</f>
        <v/>
      </c>
      <c r="J5124" s="54" t="str">
        <f>IFERROR(VLOOKUP(F5102,'1to4-2.1-RR'!$A$12:$BG$111,47,0),"")</f>
        <v/>
      </c>
      <c r="K5124" s="54" t="str">
        <f>IFERROR(VLOOKUP(F5102,'1to4-2.1-RR'!$A$12:$BG$111,48,0),"")</f>
        <v/>
      </c>
      <c r="L5124" s="55">
        <f t="shared" si="182"/>
        <v>0</v>
      </c>
      <c r="M5124" s="56" t="str">
        <f>IF(F5102&gt;ENTRY!$D$24,"",IF(L5124=0,"Ab",IF(L5124&gt;80,"A",IF(L5124&gt;60,"B",IF(L5124&gt;44,"C",IF(L5124&gt;=33,"D",IF(L5124&lt;=32,"E","")))))))</f>
        <v/>
      </c>
      <c r="N5124" s="56"/>
      <c r="O5124" s="29"/>
      <c r="P5124" s="19"/>
      <c r="Q5124" s="14"/>
      <c r="R5124" s="11"/>
    </row>
    <row r="5125" s="1" customFormat="1" ht="21.95" customHeight="1" spans="1:19">
      <c r="A5125" s="7"/>
      <c r="B5125" s="12"/>
      <c r="C5125" s="33"/>
      <c r="D5125" s="117" t="s">
        <v>720</v>
      </c>
      <c r="E5125" s="117"/>
      <c r="F5125" s="117"/>
      <c r="G5125" s="54"/>
      <c r="H5125" s="54"/>
      <c r="I5125" s="54"/>
      <c r="J5125" s="54"/>
      <c r="K5125" s="54"/>
      <c r="L5125" s="55">
        <f t="shared" si="182"/>
        <v>0</v>
      </c>
      <c r="M5125" s="56" t="str">
        <f>IF(F5102&gt;ENTRY!$D$24,"",IF(L5125=0,"",IF(L5125&gt;79,"A",IF(L5125&gt;59,"B",IF(L5125&gt;44,"C",IF(L5125&gt;=33,"D",IF(L5125&lt;=32,"E","")))))))</f>
        <v/>
      </c>
      <c r="N5125" s="56"/>
      <c r="O5125" s="29"/>
      <c r="P5125" s="19"/>
      <c r="Q5125" s="14"/>
      <c r="R5125" s="11"/>
    </row>
    <row r="5126" s="1" customFormat="1" ht="21.95" customHeight="1" spans="1:19">
      <c r="A5126" s="7"/>
      <c r="B5126" s="12"/>
      <c r="C5126" s="33"/>
      <c r="D5126" s="207" t="s">
        <v>382</v>
      </c>
      <c r="E5126" s="207"/>
      <c r="F5126" s="207"/>
      <c r="G5126" s="54">
        <f t="shared" ref="G5126:L5126" si="183">IFERROR(SUM(G5119:G5125),"")</f>
        <v>0</v>
      </c>
      <c r="H5126" s="54">
        <f t="shared" si="183"/>
        <v>0</v>
      </c>
      <c r="I5126" s="54">
        <f t="shared" si="183"/>
        <v>0</v>
      </c>
      <c r="J5126" s="54">
        <f t="shared" si="183"/>
        <v>0</v>
      </c>
      <c r="K5126" s="54">
        <f t="shared" si="183"/>
        <v>0</v>
      </c>
      <c r="L5126" s="55">
        <f t="shared" si="183"/>
        <v>0</v>
      </c>
      <c r="M5126" s="61" t="str">
        <f>IF(F5102&gt;ENTRY!$D$24,"",IF(N5127="Ab","Ab",IF(N5127&gt;79.5,"A",IF(N5127&gt;59.5,"B",IF(N5127&gt;44.5,"C",IF(N5127&gt;=33,"D",IF(N5127&lt;33,"E","")))))))</f>
        <v/>
      </c>
      <c r="N5126" s="61"/>
      <c r="O5126" s="29"/>
      <c r="P5126" s="19"/>
      <c r="Q5126" s="14"/>
      <c r="R5126" s="11"/>
    </row>
    <row r="5127" s="1" customFormat="1" ht="21.95" customHeight="1" spans="1:19">
      <c r="A5127" s="7"/>
      <c r="B5127" s="12"/>
      <c r="C5127" s="33"/>
      <c r="D5127" s="63" t="s">
        <v>721</v>
      </c>
      <c r="E5127" s="63"/>
      <c r="F5127" s="63"/>
      <c r="G5127" s="63"/>
      <c r="H5127" s="63"/>
      <c r="I5127" s="63"/>
      <c r="J5127" s="63"/>
      <c r="K5127" s="63"/>
      <c r="L5127" s="63"/>
      <c r="M5127" s="209"/>
      <c r="N5127" s="64">
        <f>IF(L5126="Ab","Ab",L5126/6)</f>
        <v>0</v>
      </c>
      <c r="O5127" s="65"/>
      <c r="P5127" s="19"/>
      <c r="Q5127" s="14"/>
      <c r="R5127" s="11"/>
    </row>
    <row r="5128" s="1" customFormat="1" ht="21.95" customHeight="1" spans="1:19">
      <c r="A5128" s="7"/>
      <c r="B5128" s="12"/>
      <c r="C5128" s="33"/>
      <c r="D5128" s="29" t="s">
        <v>716</v>
      </c>
      <c r="E5128" s="18" t="str">
        <f>IFERROR(VLOOKUP(F5102,'1to4-2.1-RR'!$A$12:$BG$111,57,0),"")</f>
        <v/>
      </c>
      <c r="F5128" s="18"/>
      <c r="G5128" s="18"/>
      <c r="H5128" s="18"/>
      <c r="I5128" s="18"/>
      <c r="J5128" s="18"/>
      <c r="K5128" s="18"/>
      <c r="L5128" s="18"/>
      <c r="M5128" s="18"/>
      <c r="N5128" s="29"/>
      <c r="O5128" s="29"/>
      <c r="P5128" s="19"/>
      <c r="Q5128" s="14"/>
      <c r="R5128" s="11"/>
    </row>
    <row r="5129" s="1" customFormat="1" ht="9.95" customHeight="1" spans="1:19">
      <c r="A5129" s="7"/>
      <c r="B5129" s="12"/>
      <c r="C5129" s="39"/>
      <c r="D5129" s="40"/>
      <c r="E5129" s="40"/>
      <c r="F5129" s="40"/>
      <c r="G5129" s="40"/>
      <c r="H5129" s="40"/>
      <c r="I5129" s="40"/>
      <c r="J5129" s="40"/>
      <c r="K5129" s="40"/>
      <c r="L5129" s="40"/>
      <c r="M5129" s="40"/>
      <c r="N5129" s="40"/>
      <c r="O5129" s="40"/>
      <c r="P5129" s="41"/>
      <c r="Q5129" s="14"/>
      <c r="R5129" s="11"/>
    </row>
    <row r="5130" s="1" customFormat="1" ht="9.95" customHeight="1" spans="1:19">
      <c r="A5130" s="7"/>
      <c r="B5130" s="12"/>
      <c r="C5130" s="30"/>
      <c r="D5130" s="31"/>
      <c r="E5130" s="31"/>
      <c r="F5130" s="29"/>
      <c r="G5130" s="31"/>
      <c r="H5130" s="31"/>
      <c r="I5130" s="31"/>
      <c r="J5130" s="31"/>
      <c r="K5130" s="31"/>
      <c r="L5130" s="31"/>
      <c r="M5130" s="31"/>
      <c r="N5130" s="31"/>
      <c r="O5130" s="31"/>
      <c r="P5130" s="32"/>
      <c r="Q5130" s="14"/>
      <c r="R5130" s="11"/>
    </row>
    <row r="5131" s="1" customFormat="1" ht="9.95" customHeight="1" spans="1:19">
      <c r="A5131" s="7"/>
      <c r="B5131" s="12"/>
      <c r="C5131" s="33"/>
      <c r="D5131" s="29"/>
      <c r="E5131" s="29"/>
      <c r="F5131" s="29"/>
      <c r="G5131" s="29"/>
      <c r="H5131" s="29"/>
      <c r="I5131" s="29"/>
      <c r="J5131" s="29"/>
      <c r="K5131" s="29"/>
      <c r="L5131" s="29"/>
      <c r="M5131" s="29"/>
      <c r="N5131" s="29"/>
      <c r="O5131" s="29"/>
      <c r="P5131" s="19"/>
      <c r="Q5131" s="14"/>
      <c r="R5131" s="11"/>
    </row>
    <row r="5132" s="1" customFormat="1" ht="9.95" customHeight="1" spans="1:19">
      <c r="A5132" s="7"/>
      <c r="B5132" s="12"/>
      <c r="C5132" s="33"/>
      <c r="D5132" s="29"/>
      <c r="E5132" s="29"/>
      <c r="F5132" s="29"/>
      <c r="G5132" s="29"/>
      <c r="H5132" s="29"/>
      <c r="I5132" s="29"/>
      <c r="J5132" s="29"/>
      <c r="K5132" s="29"/>
      <c r="L5132" s="29"/>
      <c r="M5132" s="29"/>
      <c r="N5132" s="29"/>
      <c r="O5132" s="29"/>
      <c r="P5132" s="19"/>
      <c r="Q5132" s="14"/>
      <c r="R5132" s="11"/>
    </row>
    <row r="5133" s="1" customFormat="1" ht="21.95" customHeight="1" spans="1:19">
      <c r="A5133" s="7"/>
      <c r="B5133" s="12"/>
      <c r="C5133" s="210"/>
      <c r="D5133" s="211"/>
      <c r="E5133" s="211"/>
      <c r="F5133" s="211"/>
      <c r="G5133" s="211"/>
      <c r="H5133" s="211"/>
      <c r="I5133" s="211"/>
      <c r="J5133" s="211"/>
      <c r="K5133" s="211"/>
      <c r="L5133" s="211"/>
      <c r="M5133" s="211"/>
      <c r="N5133" s="211"/>
      <c r="O5133" s="211"/>
      <c r="P5133" s="212"/>
      <c r="Q5133" s="14"/>
      <c r="R5133" s="11"/>
      <c r="S5133" s="2"/>
    </row>
    <row r="5134" s="1" customFormat="1" ht="21.95" customHeight="1" spans="1:19">
      <c r="A5134" s="7"/>
      <c r="B5134" s="12"/>
      <c r="C5134" s="33"/>
      <c r="D5134" s="207" t="s">
        <v>722</v>
      </c>
      <c r="E5134" s="207"/>
      <c r="F5134" s="207"/>
      <c r="G5134" s="207"/>
      <c r="H5134" s="54">
        <f>IFERROR(VLOOKUP(F5102,PASHEET!$A$4:$CJ$103,88,0),"")</f>
        <v>0</v>
      </c>
      <c r="I5134" s="54"/>
      <c r="J5134" s="29"/>
      <c r="K5134" s="29"/>
      <c r="L5134" s="29"/>
      <c r="M5134" s="29"/>
      <c r="N5134" s="29"/>
      <c r="O5134" s="29"/>
      <c r="P5134" s="19"/>
      <c r="Q5134" s="14"/>
      <c r="R5134" s="11"/>
    </row>
    <row r="5135" s="1" customFormat="1" ht="21.95" customHeight="1" spans="1:19">
      <c r="A5135" s="7"/>
      <c r="B5135" s="12"/>
      <c r="C5135" s="213"/>
      <c r="D5135" s="207" t="s">
        <v>723</v>
      </c>
      <c r="E5135" s="207"/>
      <c r="F5135" s="207"/>
      <c r="G5135" s="207"/>
      <c r="H5135" s="54">
        <f>IFERROR(VLOOKUP(F5102,PASHEET!$A$4:$CJ$103,87,0),"")</f>
        <v>0</v>
      </c>
      <c r="I5135" s="54"/>
      <c r="J5135" s="214"/>
      <c r="K5135" s="214"/>
      <c r="L5135" s="207" t="s">
        <v>724</v>
      </c>
      <c r="M5135" s="207"/>
      <c r="N5135" s="117" t="str">
        <f>IF(F5102&gt;ENTRY!$D$24,"",IF(F5102&gt;0,L5126&amp;" / "&amp;600,""))</f>
        <v/>
      </c>
      <c r="O5135" s="117"/>
      <c r="P5135" s="215"/>
      <c r="Q5135" s="14"/>
      <c r="R5135" s="11"/>
    </row>
    <row r="5136" s="1" customFormat="1" ht="18" customHeight="1" spans="1:19">
      <c r="A5136" s="7"/>
      <c r="B5136" s="12"/>
      <c r="C5136" s="33"/>
      <c r="D5136" s="207" t="s">
        <v>725</v>
      </c>
      <c r="E5136" s="207"/>
      <c r="F5136" s="207"/>
      <c r="G5136" s="207"/>
      <c r="H5136" s="69" t="str">
        <f>IFERROR(IF(F5102&gt;0,H5135/H5134*100),"")</f>
        <v/>
      </c>
      <c r="I5136" s="69"/>
      <c r="J5136" s="29"/>
      <c r="K5136" s="29"/>
      <c r="L5136" s="207" t="s">
        <v>726</v>
      </c>
      <c r="M5136" s="207"/>
      <c r="N5136" s="216" t="str">
        <f>IF(F5102&gt;ENTRY!$D$24,"",IF(F5102&gt;0,L5126/600*100,""))</f>
        <v/>
      </c>
      <c r="O5136" s="216"/>
      <c r="P5136" s="19"/>
      <c r="Q5136" s="14"/>
      <c r="R5136" s="11"/>
    </row>
    <row r="5137" s="1" customFormat="1" ht="21.95" customHeight="1" spans="1:18">
      <c r="A5137" s="7"/>
      <c r="B5137" s="12"/>
      <c r="C5137" s="33"/>
      <c r="D5137" s="80"/>
      <c r="E5137" s="80"/>
      <c r="F5137" s="217"/>
      <c r="G5137" s="217"/>
      <c r="H5137" s="217"/>
      <c r="I5137" s="217"/>
      <c r="J5137" s="217"/>
      <c r="K5137" s="217"/>
      <c r="L5137" s="217"/>
      <c r="M5137" s="217"/>
      <c r="N5137" s="80"/>
      <c r="O5137" s="80"/>
      <c r="P5137" s="19"/>
      <c r="Q5137" s="14"/>
      <c r="R5137" s="11"/>
    </row>
    <row r="5138" s="1" customFormat="1" ht="21.95" customHeight="1" spans="1:18">
      <c r="A5138" s="7"/>
      <c r="B5138" s="12"/>
      <c r="C5138" s="33"/>
      <c r="D5138" s="80"/>
      <c r="E5138" s="218"/>
      <c r="F5138" s="218"/>
      <c r="G5138" s="218"/>
      <c r="H5138" s="80"/>
      <c r="I5138" s="218"/>
      <c r="J5138" s="218"/>
      <c r="K5138" s="218"/>
      <c r="L5138" s="218"/>
      <c r="M5138" s="80"/>
      <c r="N5138" s="219"/>
      <c r="O5138" s="219"/>
      <c r="P5138" s="19"/>
      <c r="Q5138" s="14"/>
      <c r="R5138" s="11"/>
    </row>
    <row r="5139" s="1" customFormat="1" ht="21.95" customHeight="1" spans="1:18">
      <c r="A5139" s="7"/>
      <c r="B5139" s="12"/>
      <c r="C5139" s="33"/>
      <c r="D5139" s="80"/>
      <c r="E5139" s="80"/>
      <c r="F5139" s="80"/>
      <c r="G5139" s="80"/>
      <c r="H5139" s="80"/>
      <c r="I5139" s="80"/>
      <c r="J5139" s="80"/>
      <c r="K5139" s="80"/>
      <c r="L5139" s="80"/>
      <c r="M5139" s="80"/>
      <c r="N5139" s="80"/>
      <c r="O5139" s="80"/>
      <c r="P5139" s="19"/>
      <c r="Q5139" s="14"/>
      <c r="R5139" s="11"/>
    </row>
    <row r="5140" s="1" customFormat="1" ht="21.95" customHeight="1" spans="1:18">
      <c r="A5140" s="7"/>
      <c r="B5140" s="12"/>
      <c r="C5140" s="33"/>
      <c r="D5140" s="218"/>
      <c r="E5140" s="218"/>
      <c r="F5140" s="218"/>
      <c r="G5140" s="218"/>
      <c r="H5140" s="218"/>
      <c r="I5140" s="218"/>
      <c r="J5140" s="218"/>
      <c r="K5140" s="218"/>
      <c r="L5140" s="218"/>
      <c r="M5140" s="80"/>
      <c r="N5140" s="217"/>
      <c r="O5140" s="217"/>
      <c r="P5140" s="85" t="s">
        <v>727</v>
      </c>
      <c r="Q5140" s="14"/>
      <c r="R5140" s="11"/>
    </row>
    <row r="5141" s="1" customFormat="1" ht="21.95" customHeight="1" spans="1:18">
      <c r="A5141" s="7"/>
      <c r="B5141" s="12"/>
      <c r="C5141" s="33"/>
      <c r="D5141" s="29"/>
      <c r="E5141" s="29"/>
      <c r="F5141" s="29"/>
      <c r="G5141" s="29"/>
      <c r="H5141" s="29"/>
      <c r="I5141" s="29"/>
      <c r="J5141" s="29"/>
      <c r="K5141" s="29"/>
      <c r="L5141" s="29"/>
      <c r="M5141" s="29"/>
      <c r="N5141" s="29"/>
      <c r="O5141" s="29"/>
      <c r="P5141" s="19"/>
      <c r="Q5141" s="14"/>
      <c r="R5141" s="11"/>
    </row>
    <row r="5142" s="1" customFormat="1" ht="21.95" customHeight="1" spans="1:18">
      <c r="A5142" s="7"/>
      <c r="B5142" s="12"/>
      <c r="C5142" s="33"/>
      <c r="D5142" s="29"/>
      <c r="E5142" s="29"/>
      <c r="F5142" s="29"/>
      <c r="G5142" s="29"/>
      <c r="H5142" s="29"/>
      <c r="I5142" s="29"/>
      <c r="J5142" s="29"/>
      <c r="K5142" s="29"/>
      <c r="L5142" s="29"/>
      <c r="M5142" s="29"/>
      <c r="N5142" s="29"/>
      <c r="O5142" s="29"/>
      <c r="P5142" s="19"/>
      <c r="Q5142" s="14"/>
      <c r="R5142" s="11"/>
    </row>
    <row r="5143" s="1" customFormat="1" ht="21.95" customHeight="1" spans="1:18">
      <c r="A5143" s="7"/>
      <c r="B5143" s="12"/>
      <c r="C5143" s="33"/>
      <c r="D5143" s="29"/>
      <c r="E5143" s="29"/>
      <c r="F5143" s="29"/>
      <c r="G5143" s="29"/>
      <c r="H5143" s="29"/>
      <c r="I5143" s="29"/>
      <c r="J5143" s="29"/>
      <c r="K5143" s="29"/>
      <c r="L5143" s="29"/>
      <c r="M5143" s="29"/>
      <c r="N5143" s="29"/>
      <c r="O5143" s="29"/>
      <c r="P5143" s="19"/>
      <c r="Q5143" s="14"/>
      <c r="R5143" s="11"/>
    </row>
    <row r="5144" s="1" customFormat="1" ht="21.95" customHeight="1" spans="1:18">
      <c r="A5144" s="7"/>
      <c r="B5144" s="12"/>
      <c r="C5144" s="33"/>
      <c r="D5144" s="29"/>
      <c r="E5144" s="29"/>
      <c r="F5144" s="29"/>
      <c r="G5144" s="29"/>
      <c r="H5144" s="29"/>
      <c r="I5144" s="29"/>
      <c r="J5144" s="29"/>
      <c r="K5144" s="29"/>
      <c r="L5144" s="29"/>
      <c r="M5144" s="29"/>
      <c r="N5144" s="29"/>
      <c r="O5144" s="29"/>
      <c r="P5144" s="19"/>
      <c r="Q5144" s="14"/>
      <c r="R5144" s="11"/>
    </row>
    <row r="5145" s="1" customFormat="1" ht="21.95" customHeight="1" spans="1:18">
      <c r="A5145" s="7"/>
      <c r="B5145" s="12"/>
      <c r="C5145" s="33"/>
      <c r="D5145" s="29"/>
      <c r="E5145" s="29"/>
      <c r="F5145" s="29"/>
      <c r="G5145" s="29"/>
      <c r="H5145" s="29"/>
      <c r="I5145" s="29"/>
      <c r="J5145" s="29"/>
      <c r="K5145" s="29"/>
      <c r="L5145" s="29"/>
      <c r="M5145" s="29"/>
      <c r="N5145" s="29"/>
      <c r="O5145" s="29"/>
      <c r="P5145" s="19"/>
      <c r="Q5145" s="14"/>
      <c r="R5145" s="11"/>
    </row>
    <row r="5146" s="1" customFormat="1" ht="21.95" customHeight="1" spans="1:18">
      <c r="A5146" s="7"/>
      <c r="B5146" s="12"/>
      <c r="C5146" s="33"/>
      <c r="D5146" s="80" t="s">
        <v>728</v>
      </c>
      <c r="E5146" s="220">
        <f>ENTRY!$D$27</f>
        <v>46102</v>
      </c>
      <c r="F5146" s="220"/>
      <c r="G5146" s="29"/>
      <c r="H5146" s="29"/>
      <c r="I5146" s="221" t="s">
        <v>729</v>
      </c>
      <c r="J5146" s="153"/>
      <c r="K5146" s="29"/>
      <c r="L5146" s="29"/>
      <c r="M5146" s="87" t="s">
        <v>730</v>
      </c>
      <c r="N5146" s="87"/>
      <c r="O5146" s="87"/>
      <c r="P5146" s="19"/>
      <c r="Q5146" s="14"/>
      <c r="R5146" s="11"/>
    </row>
    <row r="5147" s="1" customFormat="1" ht="21.95" customHeight="1" spans="1:18">
      <c r="A5147" s="7"/>
      <c r="B5147" s="12"/>
      <c r="C5147" s="33"/>
      <c r="D5147" s="80" t="s">
        <v>731</v>
      </c>
      <c r="E5147" s="88" t="str">
        <f>PROPER(ENTRY!$D$28)</f>
        <v>New Delhi</v>
      </c>
      <c r="F5147" s="88"/>
      <c r="G5147" s="29"/>
      <c r="H5147" s="29"/>
      <c r="I5147" s="153"/>
      <c r="J5147" s="153"/>
      <c r="K5147" s="29"/>
      <c r="L5147" s="29"/>
      <c r="M5147" s="79" t="s">
        <v>732</v>
      </c>
      <c r="N5147" s="79"/>
      <c r="O5147" s="79"/>
      <c r="P5147" s="19"/>
      <c r="Q5147" s="14"/>
      <c r="R5147" s="11"/>
    </row>
    <row r="5148" s="1" customFormat="1" ht="21.95" customHeight="1" spans="1:18">
      <c r="A5148" s="7"/>
      <c r="B5148" s="12"/>
      <c r="C5148" s="90"/>
      <c r="D5148" s="91"/>
      <c r="E5148" s="91"/>
      <c r="F5148" s="91"/>
      <c r="G5148" s="91"/>
      <c r="H5148" s="91"/>
      <c r="I5148" s="91"/>
      <c r="J5148" s="91"/>
      <c r="K5148" s="91"/>
      <c r="L5148" s="91"/>
      <c r="M5148" s="91"/>
      <c r="N5148" s="91"/>
      <c r="O5148" s="91"/>
      <c r="P5148" s="92"/>
      <c r="Q5148" s="14"/>
      <c r="R5148" s="11"/>
    </row>
    <row r="5149" s="1" customFormat="1" ht="5.1" customHeight="1" spans="1:18">
      <c r="A5149" s="7"/>
      <c r="B5149" s="90"/>
      <c r="C5149" s="91"/>
      <c r="D5149" s="91"/>
      <c r="E5149" s="91"/>
      <c r="F5149" s="91"/>
      <c r="G5149" s="91"/>
      <c r="H5149" s="91"/>
      <c r="I5149" s="91"/>
      <c r="J5149" s="91"/>
      <c r="K5149" s="91"/>
      <c r="L5149" s="91"/>
      <c r="M5149" s="91"/>
      <c r="N5149" s="91"/>
      <c r="O5149" s="91"/>
      <c r="P5149" s="91"/>
      <c r="Q5149" s="92"/>
      <c r="R5149" s="11"/>
    </row>
    <row r="5150" s="1" customFormat="1" ht="5.1" customHeight="1" spans="1:18">
      <c r="A5150" s="93"/>
      <c r="B5150" s="94"/>
      <c r="C5150" s="94"/>
      <c r="D5150" s="94"/>
      <c r="E5150" s="94"/>
      <c r="F5150" s="94"/>
      <c r="G5150" s="94"/>
      <c r="H5150" s="94"/>
      <c r="I5150" s="94"/>
      <c r="J5150" s="94"/>
      <c r="K5150" s="94"/>
      <c r="L5150" s="94"/>
      <c r="M5150" s="94"/>
      <c r="N5150" s="94"/>
      <c r="O5150" s="94"/>
      <c r="P5150" s="94"/>
      <c r="Q5150" s="94"/>
      <c r="R5150" s="95"/>
    </row>
    <row r="5151" s="1" customFormat="1" ht="21.95" customHeight="1"/>
    <row r="5152" ht="15.15"/>
    <row r="5153" s="1" customFormat="1" ht="5.1" customHeight="1" spans="1:18">
      <c r="A5153" s="4"/>
      <c r="B5153" s="5"/>
      <c r="C5153" s="5"/>
      <c r="D5153" s="5"/>
      <c r="E5153" s="5"/>
      <c r="F5153" s="5"/>
      <c r="G5153" s="5"/>
      <c r="H5153" s="5"/>
      <c r="I5153" s="5"/>
      <c r="J5153" s="5"/>
      <c r="K5153" s="5"/>
      <c r="L5153" s="5"/>
      <c r="M5153" s="5"/>
      <c r="N5153" s="5"/>
      <c r="O5153" s="5"/>
      <c r="P5153" s="5"/>
      <c r="Q5153" s="5"/>
      <c r="R5153" s="6"/>
    </row>
    <row r="5154" s="1" customFormat="1" ht="15" customHeight="1" spans="1:18">
      <c r="A5154" s="7"/>
      <c r="B5154" s="8"/>
      <c r="C5154" s="9"/>
      <c r="D5154" s="9"/>
      <c r="E5154" s="9"/>
      <c r="F5154" s="9"/>
      <c r="G5154" s="9"/>
      <c r="H5154" s="9"/>
      <c r="I5154" s="9"/>
      <c r="J5154" s="9"/>
      <c r="K5154" s="9"/>
      <c r="L5154" s="9"/>
      <c r="M5154" s="9"/>
      <c r="N5154" s="9"/>
      <c r="O5154" s="9"/>
      <c r="P5154" s="9"/>
      <c r="Q5154" s="10"/>
      <c r="R5154" s="11"/>
    </row>
    <row r="5155" s="1" customFormat="1" ht="21.95" customHeight="1" spans="1:18">
      <c r="A5155" s="7"/>
      <c r="B5155" s="12"/>
      <c r="C5155" s="13" t="s">
        <v>7</v>
      </c>
      <c r="D5155" s="13"/>
      <c r="E5155" s="13"/>
      <c r="F5155" s="13"/>
      <c r="G5155" s="13"/>
      <c r="H5155" s="13"/>
      <c r="I5155" s="13"/>
      <c r="J5155" s="13"/>
      <c r="K5155" s="13"/>
      <c r="L5155" s="13"/>
      <c r="M5155" s="13"/>
      <c r="N5155" s="13"/>
      <c r="O5155" s="13"/>
      <c r="P5155" s="13"/>
      <c r="Q5155" s="14"/>
      <c r="R5155" s="11"/>
    </row>
    <row r="5156" s="1" customFormat="1" ht="21.95" customHeight="1" spans="1:18">
      <c r="A5156" s="7"/>
      <c r="B5156" s="1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14"/>
      <c r="R5156" s="11"/>
    </row>
    <row r="5157" s="1" customFormat="1" ht="21.95" customHeight="1" spans="1:18">
      <c r="A5157" s="7"/>
      <c r="B5157" s="12"/>
      <c r="C5157" s="15" t="str">
        <f>"SESSION-"&amp;ENTRY!$D$11</f>
        <v>SESSION-2026-27</v>
      </c>
      <c r="D5157" s="15"/>
      <c r="E5157" s="15"/>
      <c r="F5157" s="15"/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  <c r="Q5157" s="14"/>
      <c r="R5157" s="11"/>
    </row>
    <row r="5158" s="1" customFormat="1" ht="21.95" customHeight="1" spans="1:18">
      <c r="A5158" s="7"/>
      <c r="B5158" s="12"/>
      <c r="C5158" s="2"/>
      <c r="D5158" s="2"/>
      <c r="E5158" s="2"/>
      <c r="F5158" s="16">
        <f>F5102+1</f>
        <v>93</v>
      </c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14"/>
      <c r="R5158" s="11"/>
    </row>
    <row r="5159" s="1" customFormat="1" ht="21.95" customHeight="1" spans="1:18">
      <c r="A5159" s="7"/>
      <c r="B5159" s="12"/>
      <c r="C5159" s="17" t="s">
        <v>392</v>
      </c>
      <c r="D5159" s="17"/>
      <c r="E5159" s="17"/>
      <c r="F5159" s="18" t="str">
        <f>IF(F5158&gt;0,ENTRY!$D$6,"")</f>
        <v>MCP NITHARI NO 1 BOYS</v>
      </c>
      <c r="G5159" s="18"/>
      <c r="H5159" s="18"/>
      <c r="I5159" s="18"/>
      <c r="J5159" s="18"/>
      <c r="K5159" s="18"/>
      <c r="L5159" s="18"/>
      <c r="M5159" s="18"/>
      <c r="N5159" s="18"/>
      <c r="O5159" s="18"/>
      <c r="P5159" s="18"/>
      <c r="Q5159" s="14"/>
      <c r="R5159" s="11"/>
    </row>
    <row r="5160" s="1" customFormat="1" ht="21.95" customHeight="1" spans="1:18">
      <c r="A5160" s="7"/>
      <c r="B5160" s="12"/>
      <c r="C5160" s="17" t="s">
        <v>393</v>
      </c>
      <c r="D5160" s="17"/>
      <c r="E5160" s="17"/>
      <c r="F5160" s="18">
        <f>IF(F5158&gt;0,ENTRY!$D$7,"")</f>
        <v>0</v>
      </c>
      <c r="G5160" s="18"/>
      <c r="H5160" s="20" t="s">
        <v>702</v>
      </c>
      <c r="I5160" s="20"/>
      <c r="J5160" s="21">
        <f>IF(F5158&gt;0,ENTRY!$D$10,"")</f>
        <v>40</v>
      </c>
      <c r="K5160" s="20" t="s">
        <v>703</v>
      </c>
      <c r="L5160" s="22" t="str">
        <f>IF(F5158&gt;0,ENTRY!$D$5,"")</f>
        <v>ROHINI ZONE</v>
      </c>
      <c r="M5160" s="22"/>
      <c r="N5160" s="22"/>
      <c r="O5160" s="22"/>
      <c r="P5160" s="22"/>
      <c r="Q5160" s="14"/>
      <c r="R5160" s="11"/>
    </row>
    <row r="5161" s="1" customFormat="1" ht="21.95" customHeight="1" spans="1:18">
      <c r="A5161" s="7"/>
      <c r="B5161" s="12"/>
      <c r="C5161" s="17" t="s">
        <v>706</v>
      </c>
      <c r="D5161" s="17"/>
      <c r="E5161" s="17"/>
      <c r="F5161" s="23">
        <f>IFERROR(VLOOKUP(F5158,STUDENT!$A$2:$BP$101,5,0),"")</f>
        <v>0</v>
      </c>
      <c r="G5161" s="23"/>
      <c r="H5161" s="23"/>
      <c r="I5161" s="23"/>
      <c r="J5161" s="23"/>
      <c r="K5161" s="23"/>
      <c r="L5161" s="20" t="s">
        <v>707</v>
      </c>
      <c r="M5161" s="20"/>
      <c r="N5161" s="24" t="str">
        <f>IF(F5158&gt;0,ENTRY!$D$20&amp;"-"&amp;ENTRY!$D$21,"")</f>
        <v>III-A</v>
      </c>
      <c r="O5161" s="24"/>
      <c r="P5161" s="24"/>
      <c r="Q5161" s="14"/>
      <c r="R5161" s="11"/>
    </row>
    <row r="5162" s="1" customFormat="1" ht="21.95" customHeight="1" spans="1:18">
      <c r="A5162" s="7"/>
      <c r="B5162" s="12"/>
      <c r="C5162" s="17" t="s">
        <v>708</v>
      </c>
      <c r="D5162" s="17"/>
      <c r="E5162" s="17"/>
      <c r="F5162" s="25">
        <f>IFERROR(VLOOKUP(F5158,STUDENT!$A$2:$BP$101,6,0),"")</f>
        <v>0</v>
      </c>
      <c r="G5162" s="25"/>
      <c r="H5162" s="26" t="s">
        <v>709</v>
      </c>
      <c r="I5162" s="27" t="str">
        <f>IFERROR(VLOOKUP(F5158,STUDENT!$A$2:$BP$101,59,0),"")</f>
        <v/>
      </c>
      <c r="J5162" s="27"/>
      <c r="K5162" s="20" t="s">
        <v>710</v>
      </c>
      <c r="L5162" s="20"/>
      <c r="M5162" s="28">
        <f>IFERROR(VLOOKUP(F5158,STUDENT!$A$2:$BP$101,20,0),"")</f>
        <v>0</v>
      </c>
      <c r="N5162" s="28"/>
      <c r="O5162" s="28"/>
      <c r="P5162" s="28"/>
      <c r="Q5162" s="14"/>
      <c r="R5162" s="11"/>
    </row>
    <row r="5163" s="1" customFormat="1" ht="21.95" customHeight="1" spans="1:18">
      <c r="A5163" s="7"/>
      <c r="B5163" s="12"/>
      <c r="C5163" s="17" t="s">
        <v>711</v>
      </c>
      <c r="D5163" s="17"/>
      <c r="E5163" s="17"/>
      <c r="F5163" s="23">
        <f>IFERROR(VLOOKUP(F5158,STUDENT!$A$2:$BP$101,9,0),"")</f>
        <v>0</v>
      </c>
      <c r="G5163" s="23"/>
      <c r="H5163" s="23"/>
      <c r="I5163" s="23"/>
      <c r="J5163" s="17" t="s">
        <v>620</v>
      </c>
      <c r="K5163" s="17"/>
      <c r="L5163" s="23">
        <f>IFERROR(VLOOKUP(F5158,STUDENT!$A$2:$BP$101,8,0),"")</f>
        <v>0</v>
      </c>
      <c r="M5163" s="23"/>
      <c r="N5163" s="23"/>
      <c r="O5163" s="23"/>
      <c r="P5163" s="23"/>
      <c r="Q5163" s="14"/>
      <c r="R5163" s="11"/>
    </row>
    <row r="5164" s="1" customFormat="1" ht="21.95" customHeight="1" spans="1:18">
      <c r="A5164" s="7"/>
      <c r="B5164" s="12"/>
      <c r="C5164" s="17" t="s">
        <v>712</v>
      </c>
      <c r="D5164" s="17"/>
      <c r="E5164" s="17"/>
      <c r="F5164" s="23">
        <f>IFERROR(VLOOKUP(F5158,STUDENT!$A$2:$BP$101,22,0),"")</f>
        <v>0</v>
      </c>
      <c r="G5164" s="23"/>
      <c r="H5164" s="23"/>
      <c r="I5164" s="23"/>
      <c r="J5164" s="23"/>
      <c r="K5164" s="23"/>
      <c r="L5164" s="23"/>
      <c r="M5164" s="23"/>
      <c r="N5164" s="23"/>
      <c r="O5164" s="23"/>
      <c r="P5164" s="23"/>
      <c r="Q5164" s="14"/>
      <c r="R5164" s="11"/>
    </row>
    <row r="5165" s="1" customFormat="1" ht="9.95" customHeight="1" spans="1:18">
      <c r="A5165" s="7"/>
      <c r="B5165" s="12"/>
      <c r="C5165" s="29"/>
      <c r="D5165" s="29"/>
      <c r="E5165" s="29"/>
      <c r="F5165" s="29"/>
      <c r="G5165" s="29"/>
      <c r="H5165" s="29"/>
      <c r="I5165" s="29"/>
      <c r="J5165" s="29"/>
      <c r="K5165" s="29"/>
      <c r="L5165" s="29"/>
      <c r="M5165" s="29"/>
      <c r="N5165" s="29"/>
      <c r="O5165" s="29"/>
      <c r="P5165" s="29"/>
      <c r="Q5165" s="14"/>
      <c r="R5165" s="11"/>
    </row>
    <row r="5166" s="1" customFormat="1" ht="9.95" customHeight="1" spans="1:18">
      <c r="A5166" s="7"/>
      <c r="B5166" s="12"/>
      <c r="C5166" s="30"/>
      <c r="D5166" s="31"/>
      <c r="E5166" s="31"/>
      <c r="F5166" s="31"/>
      <c r="G5166" s="31"/>
      <c r="H5166" s="31"/>
      <c r="I5166" s="31"/>
      <c r="J5166" s="31"/>
      <c r="K5166" s="31"/>
      <c r="L5166" s="31"/>
      <c r="M5166" s="31"/>
      <c r="N5166" s="31"/>
      <c r="O5166" s="31"/>
      <c r="P5166" s="32"/>
      <c r="Q5166" s="14"/>
      <c r="R5166" s="11"/>
    </row>
    <row r="5167" s="1" customFormat="1" ht="21.95" customHeight="1" spans="1:18">
      <c r="A5167" s="7"/>
      <c r="B5167" s="12"/>
      <c r="C5167" s="33"/>
      <c r="D5167" s="34" t="s">
        <v>713</v>
      </c>
      <c r="E5167" s="20" t="s">
        <v>714</v>
      </c>
      <c r="F5167" s="35" t="str">
        <f>"Level - "&amp;IFERROR(VLOOKUP(F5158,FLN!$A$4:$K$103,9,0),"")</f>
        <v>Level - </v>
      </c>
      <c r="G5167" s="36"/>
      <c r="H5167" s="37" t="s">
        <v>715</v>
      </c>
      <c r="I5167" s="20"/>
      <c r="J5167" s="35" t="str">
        <f>"Level - "&amp;IFERROR(VLOOKUP(F5158,FLN!$A$4:$K$103,11,0),"")</f>
        <v>Level - </v>
      </c>
      <c r="K5167" s="36"/>
      <c r="L5167" s="37" t="s">
        <v>408</v>
      </c>
      <c r="M5167" s="20"/>
      <c r="N5167" s="35" t="str">
        <f>"Level - "&amp;IFERROR(VLOOKUP(F5158,FLN!$A$4:$K$103,10,0),"")</f>
        <v>Level - </v>
      </c>
      <c r="O5167" s="36"/>
      <c r="P5167" s="19"/>
      <c r="Q5167" s="14"/>
      <c r="R5167" s="11"/>
    </row>
    <row r="5168" s="1" customFormat="1" ht="21.95" customHeight="1" spans="1:18">
      <c r="A5168" s="7"/>
      <c r="B5168" s="12"/>
      <c r="C5168" s="33"/>
      <c r="D5168" s="38"/>
      <c r="E5168" s="20" t="s">
        <v>716</v>
      </c>
      <c r="F5168" s="18" t="str">
        <f>IF(L5182&gt;197,"PERFORMED WELL","")</f>
        <v/>
      </c>
      <c r="G5168" s="18"/>
      <c r="H5168" s="18"/>
      <c r="I5168" s="18"/>
      <c r="J5168" s="18"/>
      <c r="K5168" s="18"/>
      <c r="L5168" s="18"/>
      <c r="M5168" s="18"/>
      <c r="N5168" s="18"/>
      <c r="O5168" s="18"/>
      <c r="P5168" s="19"/>
      <c r="Q5168" s="14"/>
      <c r="R5168" s="11"/>
    </row>
    <row r="5169" s="1" customFormat="1" ht="9.95" customHeight="1" spans="1:18">
      <c r="A5169" s="7"/>
      <c r="B5169" s="12"/>
      <c r="C5169" s="39"/>
      <c r="D5169" s="40"/>
      <c r="E5169" s="40"/>
      <c r="F5169" s="40"/>
      <c r="G5169" s="40"/>
      <c r="H5169" s="40"/>
      <c r="I5169" s="40"/>
      <c r="J5169" s="40"/>
      <c r="K5169" s="40"/>
      <c r="L5169" s="40"/>
      <c r="M5169" s="40"/>
      <c r="N5169" s="40"/>
      <c r="O5169" s="40"/>
      <c r="P5169" s="41"/>
      <c r="Q5169" s="14"/>
      <c r="R5169" s="11"/>
    </row>
    <row r="5170" s="1" customFormat="1" ht="9.95" customHeight="1" spans="1:18">
      <c r="A5170" s="7"/>
      <c r="B5170" s="12"/>
      <c r="C5170" s="29"/>
      <c r="D5170" s="29"/>
      <c r="E5170" s="29"/>
      <c r="F5170" s="29"/>
      <c r="G5170" s="29"/>
      <c r="H5170" s="29"/>
      <c r="I5170" s="29"/>
      <c r="J5170" s="29"/>
      <c r="K5170" s="29"/>
      <c r="L5170" s="29"/>
      <c r="M5170" s="29"/>
      <c r="N5170" s="29"/>
      <c r="O5170" s="29"/>
      <c r="P5170" s="29"/>
      <c r="Q5170" s="14"/>
      <c r="R5170" s="11"/>
    </row>
    <row r="5171" s="1" customFormat="1" ht="9.95" customHeight="1" spans="1:18">
      <c r="A5171" s="7"/>
      <c r="B5171" s="12"/>
      <c r="C5171" s="30"/>
      <c r="D5171" s="31"/>
      <c r="E5171" s="31"/>
      <c r="F5171" s="31"/>
      <c r="G5171" s="31"/>
      <c r="H5171" s="31"/>
      <c r="I5171" s="31"/>
      <c r="J5171" s="31"/>
      <c r="K5171" s="31"/>
      <c r="L5171" s="31"/>
      <c r="M5171" s="31"/>
      <c r="N5171" s="31"/>
      <c r="O5171" s="31"/>
      <c r="P5171" s="32"/>
      <c r="Q5171" s="14"/>
      <c r="R5171" s="11"/>
    </row>
    <row r="5172" s="1" customFormat="1" ht="21.95" customHeight="1" spans="1:18">
      <c r="A5172" s="7"/>
      <c r="B5172" s="12"/>
      <c r="C5172" s="33"/>
      <c r="D5172" s="35"/>
      <c r="E5172" s="24"/>
      <c r="F5172" s="24"/>
      <c r="G5172" s="47" t="s">
        <v>717</v>
      </c>
      <c r="H5172" s="47"/>
      <c r="I5172" s="47"/>
      <c r="J5172" s="47"/>
      <c r="K5172" s="47"/>
      <c r="L5172" s="47"/>
      <c r="M5172" s="47"/>
      <c r="N5172" s="47"/>
      <c r="O5172" s="29"/>
      <c r="P5172" s="19"/>
      <c r="Q5172" s="14"/>
      <c r="R5172" s="11"/>
    </row>
    <row r="5173" s="1" customFormat="1" ht="21.95" customHeight="1" spans="1:18">
      <c r="A5173" s="7"/>
      <c r="B5173" s="12"/>
      <c r="C5173" s="33"/>
      <c r="D5173" s="47"/>
      <c r="E5173" s="47"/>
      <c r="F5173" s="47"/>
      <c r="G5173" s="47" t="s">
        <v>541</v>
      </c>
      <c r="H5173" s="47" t="s">
        <v>542</v>
      </c>
      <c r="I5173" s="47" t="s">
        <v>543</v>
      </c>
      <c r="J5173" s="47" t="s">
        <v>544</v>
      </c>
      <c r="K5173" s="47" t="s">
        <v>561</v>
      </c>
      <c r="L5173" s="47" t="s">
        <v>382</v>
      </c>
      <c r="M5173" s="49" t="s">
        <v>546</v>
      </c>
      <c r="N5173" s="49"/>
      <c r="O5173" s="29"/>
      <c r="P5173" s="19"/>
      <c r="Q5173" s="14"/>
      <c r="R5173" s="11"/>
    </row>
    <row r="5174" s="1" customFormat="1" ht="21.95" customHeight="1" spans="1:18">
      <c r="A5174" s="7"/>
      <c r="B5174" s="12"/>
      <c r="C5174" s="33"/>
      <c r="D5174" s="207" t="s">
        <v>652</v>
      </c>
      <c r="E5174" s="207"/>
      <c r="F5174" s="207"/>
      <c r="G5174" s="50">
        <v>10</v>
      </c>
      <c r="H5174" s="50">
        <v>10</v>
      </c>
      <c r="I5174" s="50">
        <v>10</v>
      </c>
      <c r="J5174" s="50">
        <v>10</v>
      </c>
      <c r="K5174" s="50">
        <v>60</v>
      </c>
      <c r="L5174" s="50">
        <v>100</v>
      </c>
      <c r="M5174" s="49"/>
      <c r="N5174" s="49"/>
      <c r="O5174" s="29"/>
      <c r="P5174" s="19"/>
      <c r="Q5174" s="14"/>
      <c r="R5174" s="11"/>
    </row>
    <row r="5175" s="1" customFormat="1" ht="21.95" customHeight="1" spans="1:18">
      <c r="A5175" s="7"/>
      <c r="B5175" s="12"/>
      <c r="C5175" s="33"/>
      <c r="D5175" s="117" t="s">
        <v>668</v>
      </c>
      <c r="E5175" s="117"/>
      <c r="F5175" s="117"/>
      <c r="G5175" s="54" t="str">
        <f>IFERROR(VLOOKUP(F5158,'1to4-2.1-RR'!$A$12:$BG$111,9,0),"")</f>
        <v/>
      </c>
      <c r="H5175" s="54" t="str">
        <f>IFERROR(VLOOKUP(F5158,'1to4-2.1-RR'!$A$12:$BG$111,10,0),"")</f>
        <v/>
      </c>
      <c r="I5175" s="54" t="str">
        <f>IFERROR(VLOOKUP(F5158,'1to4-2.1-RR'!$A$12:$BG$111,11,0),"")</f>
        <v/>
      </c>
      <c r="J5175" s="54" t="str">
        <f>IFERROR(VLOOKUP(F5158,'1to4-2.1-RR'!$A$12:$BG$111,12,0),"")</f>
        <v/>
      </c>
      <c r="K5175" s="54" t="str">
        <f>IFERROR(VLOOKUP(F5158,'1to4-2.1-RR'!$A$12:$BG$111,13,0),"")</f>
        <v/>
      </c>
      <c r="L5175" s="55">
        <f>SUM(G5175:K5175)</f>
        <v>0</v>
      </c>
      <c r="M5175" s="56" t="str">
        <f>IF(F5158&gt;ENTRY!$D$24,"",IF(L5175=0,"Ab",IF(L5175&gt;80,"A",IF(L5175&gt;60,"B",IF(L5175&gt;44,"C",IF(L5175&gt;=33,"D",IF(L5175&lt;=32,"E","")))))))</f>
        <v/>
      </c>
      <c r="N5175" s="56"/>
      <c r="O5175" s="29"/>
      <c r="P5175" s="19"/>
      <c r="Q5175" s="14"/>
      <c r="R5175" s="11"/>
    </row>
    <row r="5176" s="1" customFormat="1" ht="21.95" customHeight="1" spans="1:18">
      <c r="A5176" s="7"/>
      <c r="B5176" s="12"/>
      <c r="C5176" s="33"/>
      <c r="D5176" s="117" t="s">
        <v>513</v>
      </c>
      <c r="E5176" s="117"/>
      <c r="F5176" s="117"/>
      <c r="G5176" s="54" t="str">
        <f>IFERROR(VLOOKUP(F5158,'1to4-2.1-RR'!$A$12:$BG$111,16,0),"")</f>
        <v/>
      </c>
      <c r="H5176" s="54" t="str">
        <f>IFERROR(VLOOKUP(F5158,'1to4-2.1-RR'!$A$12:$BG$111,17,0),"")</f>
        <v/>
      </c>
      <c r="I5176" s="54" t="str">
        <f>IFERROR(VLOOKUP(F5158,'1to4-2.1-RR'!$A$12:$BG$111,18,0),"")</f>
        <v/>
      </c>
      <c r="J5176" s="54" t="str">
        <f>IFERROR(VLOOKUP(F5158,'1to4-2.1-RR'!$A$12:$BG$111,19,0),"")</f>
        <v/>
      </c>
      <c r="K5176" s="54" t="str">
        <f>IFERROR(VLOOKUP(F5158,'1to4-2.1-RR'!$A$12:$BG$111,20,0),"")</f>
        <v/>
      </c>
      <c r="L5176" s="55">
        <f t="shared" ref="L5176:L5181" si="184">SUM(G5176:K5176)</f>
        <v>0</v>
      </c>
      <c r="M5176" s="56" t="str">
        <f>IF(F5158&gt;ENTRY!$D$24,"",IF(L5176=0,"Ab",IF(L5176&gt;80,"A",IF(L5176&gt;60,"B",IF(L5176&gt;44,"C",IF(L5176&gt;=33,"D",IF(L5176&lt;=32,"E","")))))))</f>
        <v/>
      </c>
      <c r="N5176" s="56"/>
      <c r="O5176" s="29"/>
      <c r="P5176" s="19"/>
      <c r="Q5176" s="14"/>
      <c r="R5176" s="11"/>
    </row>
    <row r="5177" s="1" customFormat="1" ht="21.95" customHeight="1" spans="1:18">
      <c r="A5177" s="7"/>
      <c r="B5177" s="12"/>
      <c r="C5177" s="33"/>
      <c r="D5177" s="117" t="s">
        <v>718</v>
      </c>
      <c r="E5177" s="117"/>
      <c r="F5177" s="117"/>
      <c r="G5177" s="54" t="str">
        <f>IFERROR(VLOOKUP(F5158,'1to4-2.1-RR'!$A$12:$BG$111,23,0),"")</f>
        <v/>
      </c>
      <c r="H5177" s="54" t="str">
        <f>IFERROR(VLOOKUP(F5158,'1to4-2.1-RR'!$A$12:$BG$111,24,0),"")</f>
        <v/>
      </c>
      <c r="I5177" s="54" t="str">
        <f>IFERROR(VLOOKUP(F5158,'1to4-2.1-RR'!$A$12:$BG$111,25,0),"")</f>
        <v/>
      </c>
      <c r="J5177" s="54" t="str">
        <f>IFERROR(VLOOKUP(F5158,'1to4-2.1-RR'!$A$12:$BG$111,26,0),"")</f>
        <v/>
      </c>
      <c r="K5177" s="54" t="str">
        <f>IFERROR(VLOOKUP(F5158,'1to4-2.1-RR'!$A$12:$BG$111,27,0),"")</f>
        <v/>
      </c>
      <c r="L5177" s="55">
        <f t="shared" si="184"/>
        <v>0</v>
      </c>
      <c r="M5177" s="56" t="str">
        <f>IF(F5158&gt;ENTRY!$D$24,"",IF(L5177=0,"Ab",IF(L5177&gt;80,"A",IF(L5177&gt;60,"B",IF(L5177&gt;44,"C",IF(L5177&gt;=33,"D",IF(L5177&lt;=32,"E","")))))))</f>
        <v/>
      </c>
      <c r="N5177" s="56"/>
      <c r="O5177" s="29"/>
      <c r="P5177" s="19"/>
      <c r="Q5177" s="14"/>
      <c r="R5177" s="11"/>
    </row>
    <row r="5178" s="1" customFormat="1" ht="21.95" customHeight="1" spans="1:18">
      <c r="A5178" s="7"/>
      <c r="B5178" s="12"/>
      <c r="C5178" s="33"/>
      <c r="D5178" s="117" t="s">
        <v>719</v>
      </c>
      <c r="E5178" s="117"/>
      <c r="F5178" s="117"/>
      <c r="G5178" s="54" t="str">
        <f>IFERROR(VLOOKUP(F5158,'1to4-2.1-RR'!$A$12:$BG$111,30,0),"")</f>
        <v/>
      </c>
      <c r="H5178" s="54" t="str">
        <f>IFERROR(VLOOKUP(F5158,'1to4-2.1-RR'!$A$12:$BG$111,31,0),"")</f>
        <v/>
      </c>
      <c r="I5178" s="54" t="str">
        <f>IFERROR(VLOOKUP(F5158,'1to4-2.1-RR'!$A$12:$BG$111,32,0),"")</f>
        <v/>
      </c>
      <c r="J5178" s="54" t="str">
        <f>IFERROR(VLOOKUP(F5158,'1to4-2.1-RR'!$A$12:$BG$111,33,0),"")</f>
        <v/>
      </c>
      <c r="K5178" s="54" t="str">
        <f>IFERROR(VLOOKUP(F5158,'1to4-2.1-RR'!$A$12:$BG$111,34,0),"")</f>
        <v/>
      </c>
      <c r="L5178" s="55">
        <f t="shared" si="184"/>
        <v>0</v>
      </c>
      <c r="M5178" s="56" t="str">
        <f>IF(F5158&gt;ENTRY!$D$24,"",IF(L5178=0,"Ab",IF(L5178&gt;80,"A",IF(L5178&gt;60,"B",IF(L5178&gt;44,"C",IF(L5178&gt;=33,"D",IF(L5178&lt;=32,"E","")))))))</f>
        <v/>
      </c>
      <c r="N5178" s="56"/>
      <c r="O5178" s="29"/>
      <c r="P5178" s="19"/>
      <c r="Q5178" s="14"/>
      <c r="R5178" s="11"/>
    </row>
    <row r="5179" s="1" customFormat="1" ht="21.95" customHeight="1" spans="1:18">
      <c r="A5179" s="7"/>
      <c r="B5179" s="12"/>
      <c r="C5179" s="33"/>
      <c r="D5179" s="117" t="s">
        <v>548</v>
      </c>
      <c r="E5179" s="117"/>
      <c r="F5179" s="117"/>
      <c r="G5179" s="54" t="str">
        <f>IFERROR(VLOOKUP(F5158,'1to4-2.1-RR'!$A$12:$BG$111,37,0),"")</f>
        <v/>
      </c>
      <c r="H5179" s="54" t="str">
        <f>IFERROR(VLOOKUP(F5158,'1to4-2.1-RR'!$A$12:$BG$111,38,0),"")</f>
        <v/>
      </c>
      <c r="I5179" s="54" t="str">
        <f>IFERROR(VLOOKUP(F5158,'1to4-2.1-RR'!$A$12:$BG$111,39,0),"")</f>
        <v/>
      </c>
      <c r="J5179" s="54" t="str">
        <f>IFERROR(VLOOKUP(F5158,'1to4-2.1-RR'!$A$12:$BG$111,40,0),"")</f>
        <v/>
      </c>
      <c r="K5179" s="54" t="str">
        <f>IFERROR(VLOOKUP(F5158,'1to4-2.1-RR'!$A$12:$BG$111,41,0),"")</f>
        <v/>
      </c>
      <c r="L5179" s="55">
        <f t="shared" si="184"/>
        <v>0</v>
      </c>
      <c r="M5179" s="56" t="str">
        <f>IF(F5158&gt;ENTRY!$D$24,"",IF(L5179=0,"Ab",IF(L5179&gt;80,"A",IF(L5179&gt;60,"B",IF(L5179&gt;44,"C",IF(L5179&gt;=33,"D",IF(L5179&lt;=32,"E","")))))))</f>
        <v/>
      </c>
      <c r="N5179" s="56"/>
      <c r="O5179" s="29"/>
      <c r="P5179" s="19"/>
      <c r="Q5179" s="14"/>
      <c r="R5179" s="11"/>
    </row>
    <row r="5180" s="1" customFormat="1" ht="21.95" customHeight="1" spans="1:18">
      <c r="A5180" s="7"/>
      <c r="B5180" s="12"/>
      <c r="C5180" s="33"/>
      <c r="D5180" s="117" t="s">
        <v>549</v>
      </c>
      <c r="E5180" s="117"/>
      <c r="F5180" s="117"/>
      <c r="G5180" s="54" t="str">
        <f>IFERROR(VLOOKUP(F5158,'1to4-2.1-RR'!$A$12:$BG$111,44,0),"")</f>
        <v/>
      </c>
      <c r="H5180" s="54" t="str">
        <f>IFERROR(VLOOKUP(F5158,'1to4-2.1-RR'!$A$12:$BG$111,45,0),"")</f>
        <v/>
      </c>
      <c r="I5180" s="54" t="str">
        <f>IFERROR(VLOOKUP(F5158,'1to4-2.1-RR'!$A$12:$BG$111,46,0),"")</f>
        <v/>
      </c>
      <c r="J5180" s="54" t="str">
        <f>IFERROR(VLOOKUP(F5158,'1to4-2.1-RR'!$A$12:$BG$111,47,0),"")</f>
        <v/>
      </c>
      <c r="K5180" s="54" t="str">
        <f>IFERROR(VLOOKUP(F5158,'1to4-2.1-RR'!$A$12:$BG$111,48,0),"")</f>
        <v/>
      </c>
      <c r="L5180" s="55">
        <f t="shared" si="184"/>
        <v>0</v>
      </c>
      <c r="M5180" s="56" t="str">
        <f>IF(F5158&gt;ENTRY!$D$24,"",IF(L5180=0,"Ab",IF(L5180&gt;80,"A",IF(L5180&gt;60,"B",IF(L5180&gt;44,"C",IF(L5180&gt;=33,"D",IF(L5180&lt;=32,"E","")))))))</f>
        <v/>
      </c>
      <c r="N5180" s="56"/>
      <c r="O5180" s="29"/>
      <c r="P5180" s="19"/>
      <c r="Q5180" s="14"/>
      <c r="R5180" s="11"/>
    </row>
    <row r="5181" s="1" customFormat="1" ht="21.95" customHeight="1" spans="1:18">
      <c r="A5181" s="7"/>
      <c r="B5181" s="12"/>
      <c r="C5181" s="33"/>
      <c r="D5181" s="117" t="s">
        <v>720</v>
      </c>
      <c r="E5181" s="117"/>
      <c r="F5181" s="117"/>
      <c r="G5181" s="54"/>
      <c r="H5181" s="54"/>
      <c r="I5181" s="54"/>
      <c r="J5181" s="54"/>
      <c r="K5181" s="54"/>
      <c r="L5181" s="55">
        <f t="shared" si="184"/>
        <v>0</v>
      </c>
      <c r="M5181" s="56" t="str">
        <f>IF(F5158&gt;ENTRY!$D$24,"",IF(L5181=0,"",IF(L5181&gt;79,"A",IF(L5181&gt;59,"B",IF(L5181&gt;44,"C",IF(L5181&gt;=33,"D",IF(L5181&lt;=32,"E","")))))))</f>
        <v/>
      </c>
      <c r="N5181" s="56"/>
      <c r="O5181" s="29"/>
      <c r="P5181" s="19"/>
      <c r="Q5181" s="14"/>
      <c r="R5181" s="11"/>
    </row>
    <row r="5182" s="1" customFormat="1" ht="21.95" customHeight="1" spans="1:18">
      <c r="A5182" s="7"/>
      <c r="B5182" s="12"/>
      <c r="C5182" s="33"/>
      <c r="D5182" s="207" t="s">
        <v>382</v>
      </c>
      <c r="E5182" s="207"/>
      <c r="F5182" s="207"/>
      <c r="G5182" s="54">
        <f t="shared" ref="G5182:L5182" si="185">IFERROR(SUM(G5175:G5181),"")</f>
        <v>0</v>
      </c>
      <c r="H5182" s="54">
        <f t="shared" si="185"/>
        <v>0</v>
      </c>
      <c r="I5182" s="54">
        <f t="shared" si="185"/>
        <v>0</v>
      </c>
      <c r="J5182" s="54">
        <f t="shared" si="185"/>
        <v>0</v>
      </c>
      <c r="K5182" s="54">
        <f t="shared" si="185"/>
        <v>0</v>
      </c>
      <c r="L5182" s="55">
        <f t="shared" si="185"/>
        <v>0</v>
      </c>
      <c r="M5182" s="61" t="str">
        <f>IF(F5158&gt;ENTRY!$D$24,"",IF(N5183="Ab","Ab",IF(N5183&gt;79.5,"A",IF(N5183&gt;59.5,"B",IF(N5183&gt;44.5,"C",IF(N5183&gt;=33,"D",IF(N5183&lt;33,"E","")))))))</f>
        <v/>
      </c>
      <c r="N5182" s="61"/>
      <c r="O5182" s="29"/>
      <c r="P5182" s="19"/>
      <c r="Q5182" s="14"/>
      <c r="R5182" s="11"/>
    </row>
    <row r="5183" s="1" customFormat="1" ht="21.95" customHeight="1" spans="1:18">
      <c r="A5183" s="7"/>
      <c r="B5183" s="12"/>
      <c r="C5183" s="33"/>
      <c r="D5183" s="63" t="s">
        <v>721</v>
      </c>
      <c r="E5183" s="63"/>
      <c r="F5183" s="63"/>
      <c r="G5183" s="63"/>
      <c r="H5183" s="63"/>
      <c r="I5183" s="63"/>
      <c r="J5183" s="63"/>
      <c r="K5183" s="63"/>
      <c r="L5183" s="63"/>
      <c r="M5183" s="209"/>
      <c r="N5183" s="64">
        <f>IF(L5182="Ab","Ab",L5182/6)</f>
        <v>0</v>
      </c>
      <c r="O5183" s="65"/>
      <c r="P5183" s="19"/>
      <c r="Q5183" s="14"/>
      <c r="R5183" s="11"/>
    </row>
    <row r="5184" s="1" customFormat="1" ht="21.95" customHeight="1" spans="1:18">
      <c r="A5184" s="7"/>
      <c r="B5184" s="12"/>
      <c r="C5184" s="33"/>
      <c r="D5184" s="29" t="s">
        <v>716</v>
      </c>
      <c r="E5184" s="18" t="str">
        <f>IFERROR(VLOOKUP(F5158,'1to4-2.1-RR'!$A$12:$BG$111,57,0),"")</f>
        <v/>
      </c>
      <c r="F5184" s="18"/>
      <c r="G5184" s="18"/>
      <c r="H5184" s="18"/>
      <c r="I5184" s="18"/>
      <c r="J5184" s="18"/>
      <c r="K5184" s="18"/>
      <c r="L5184" s="18"/>
      <c r="M5184" s="18"/>
      <c r="N5184" s="29"/>
      <c r="O5184" s="29"/>
      <c r="P5184" s="19"/>
      <c r="Q5184" s="14"/>
      <c r="R5184" s="11"/>
    </row>
    <row r="5185" s="1" customFormat="1" ht="9.95" customHeight="1" spans="1:19">
      <c r="A5185" s="7"/>
      <c r="B5185" s="12"/>
      <c r="C5185" s="39"/>
      <c r="D5185" s="40"/>
      <c r="E5185" s="40"/>
      <c r="F5185" s="40"/>
      <c r="G5185" s="40"/>
      <c r="H5185" s="40"/>
      <c r="I5185" s="40"/>
      <c r="J5185" s="40"/>
      <c r="K5185" s="40"/>
      <c r="L5185" s="40"/>
      <c r="M5185" s="40"/>
      <c r="N5185" s="40"/>
      <c r="O5185" s="40"/>
      <c r="P5185" s="41"/>
      <c r="Q5185" s="14"/>
      <c r="R5185" s="11"/>
    </row>
    <row r="5186" s="1" customFormat="1" ht="9.95" customHeight="1" spans="1:19">
      <c r="A5186" s="7"/>
      <c r="B5186" s="12"/>
      <c r="C5186" s="30"/>
      <c r="D5186" s="31"/>
      <c r="E5186" s="31"/>
      <c r="F5186" s="29"/>
      <c r="G5186" s="31"/>
      <c r="H5186" s="31"/>
      <c r="I5186" s="31"/>
      <c r="J5186" s="31"/>
      <c r="K5186" s="31"/>
      <c r="L5186" s="31"/>
      <c r="M5186" s="31"/>
      <c r="N5186" s="31"/>
      <c r="O5186" s="31"/>
      <c r="P5186" s="32"/>
      <c r="Q5186" s="14"/>
      <c r="R5186" s="11"/>
    </row>
    <row r="5187" s="1" customFormat="1" ht="9.95" customHeight="1" spans="1:19">
      <c r="A5187" s="7"/>
      <c r="B5187" s="12"/>
      <c r="C5187" s="33"/>
      <c r="D5187" s="29"/>
      <c r="E5187" s="29"/>
      <c r="F5187" s="29"/>
      <c r="G5187" s="29"/>
      <c r="H5187" s="29"/>
      <c r="I5187" s="29"/>
      <c r="J5187" s="29"/>
      <c r="K5187" s="29"/>
      <c r="L5187" s="29"/>
      <c r="M5187" s="29"/>
      <c r="N5187" s="29"/>
      <c r="O5187" s="29"/>
      <c r="P5187" s="19"/>
      <c r="Q5187" s="14"/>
      <c r="R5187" s="11"/>
    </row>
    <row r="5188" s="1" customFormat="1" ht="9.95" customHeight="1" spans="1:19">
      <c r="A5188" s="7"/>
      <c r="B5188" s="12"/>
      <c r="C5188" s="33"/>
      <c r="D5188" s="29"/>
      <c r="E5188" s="29"/>
      <c r="F5188" s="29"/>
      <c r="G5188" s="29"/>
      <c r="H5188" s="29"/>
      <c r="I5188" s="29"/>
      <c r="J5188" s="29"/>
      <c r="K5188" s="29"/>
      <c r="L5188" s="29"/>
      <c r="M5188" s="29"/>
      <c r="N5188" s="29"/>
      <c r="O5188" s="29"/>
      <c r="P5188" s="19"/>
      <c r="Q5188" s="14"/>
      <c r="R5188" s="11"/>
    </row>
    <row r="5189" s="1" customFormat="1" ht="21.95" customHeight="1" spans="1:19">
      <c r="A5189" s="7"/>
      <c r="B5189" s="12"/>
      <c r="C5189" s="210"/>
      <c r="D5189" s="211"/>
      <c r="E5189" s="211"/>
      <c r="F5189" s="211"/>
      <c r="G5189" s="211"/>
      <c r="H5189" s="211"/>
      <c r="I5189" s="211"/>
      <c r="J5189" s="211"/>
      <c r="K5189" s="211"/>
      <c r="L5189" s="211"/>
      <c r="M5189" s="211"/>
      <c r="N5189" s="211"/>
      <c r="O5189" s="211"/>
      <c r="P5189" s="212"/>
      <c r="Q5189" s="14"/>
      <c r="R5189" s="11"/>
      <c r="S5189" s="2"/>
    </row>
    <row r="5190" s="1" customFormat="1" ht="21.95" customHeight="1" spans="1:19">
      <c r="A5190" s="7"/>
      <c r="B5190" s="12"/>
      <c r="C5190" s="33"/>
      <c r="D5190" s="207" t="s">
        <v>722</v>
      </c>
      <c r="E5190" s="207"/>
      <c r="F5190" s="207"/>
      <c r="G5190" s="207"/>
      <c r="H5190" s="54">
        <f>IFERROR(VLOOKUP(F5158,PASHEET!$A$4:$CJ$103,88,0),"")</f>
        <v>0</v>
      </c>
      <c r="I5190" s="54"/>
      <c r="J5190" s="29"/>
      <c r="K5190" s="29"/>
      <c r="L5190" s="29"/>
      <c r="M5190" s="29"/>
      <c r="N5190" s="29"/>
      <c r="O5190" s="29"/>
      <c r="P5190" s="19"/>
      <c r="Q5190" s="14"/>
      <c r="R5190" s="11"/>
    </row>
    <row r="5191" s="1" customFormat="1" ht="21.95" customHeight="1" spans="1:19">
      <c r="A5191" s="7"/>
      <c r="B5191" s="12"/>
      <c r="C5191" s="213"/>
      <c r="D5191" s="207" t="s">
        <v>723</v>
      </c>
      <c r="E5191" s="207"/>
      <c r="F5191" s="207"/>
      <c r="G5191" s="207"/>
      <c r="H5191" s="54">
        <f>IFERROR(VLOOKUP(F5158,PASHEET!$A$4:$CJ$103,87,0),"")</f>
        <v>0</v>
      </c>
      <c r="I5191" s="54"/>
      <c r="J5191" s="214"/>
      <c r="K5191" s="214"/>
      <c r="L5191" s="207" t="s">
        <v>724</v>
      </c>
      <c r="M5191" s="207"/>
      <c r="N5191" s="117" t="str">
        <f>IF(F5158&gt;ENTRY!$D$24,"",IF(F5158&gt;0,L5182&amp;" / "&amp;600,""))</f>
        <v/>
      </c>
      <c r="O5191" s="117"/>
      <c r="P5191" s="215"/>
      <c r="Q5191" s="14"/>
      <c r="R5191" s="11"/>
    </row>
    <row r="5192" s="1" customFormat="1" ht="18" customHeight="1" spans="1:19">
      <c r="A5192" s="7"/>
      <c r="B5192" s="12"/>
      <c r="C5192" s="33"/>
      <c r="D5192" s="207" t="s">
        <v>725</v>
      </c>
      <c r="E5192" s="207"/>
      <c r="F5192" s="207"/>
      <c r="G5192" s="207"/>
      <c r="H5192" s="69" t="str">
        <f>IFERROR(IF(F5158&gt;0,H5191/H5190*100),"")</f>
        <v/>
      </c>
      <c r="I5192" s="69"/>
      <c r="J5192" s="29"/>
      <c r="K5192" s="29"/>
      <c r="L5192" s="207" t="s">
        <v>726</v>
      </c>
      <c r="M5192" s="207"/>
      <c r="N5192" s="216" t="str">
        <f>IF(F5158&gt;ENTRY!$D$24,"",IF(F5158&gt;0,L5182/600*100,""))</f>
        <v/>
      </c>
      <c r="O5192" s="216"/>
      <c r="P5192" s="19"/>
      <c r="Q5192" s="14"/>
      <c r="R5192" s="11"/>
    </row>
    <row r="5193" s="1" customFormat="1" ht="21.95" customHeight="1" spans="1:19">
      <c r="A5193" s="7"/>
      <c r="B5193" s="12"/>
      <c r="C5193" s="33"/>
      <c r="D5193" s="80"/>
      <c r="E5193" s="80"/>
      <c r="F5193" s="217"/>
      <c r="G5193" s="217"/>
      <c r="H5193" s="217"/>
      <c r="I5193" s="217"/>
      <c r="J5193" s="217"/>
      <c r="K5193" s="217"/>
      <c r="L5193" s="217"/>
      <c r="M5193" s="217"/>
      <c r="N5193" s="80"/>
      <c r="O5193" s="80"/>
      <c r="P5193" s="19"/>
      <c r="Q5193" s="14"/>
      <c r="R5193" s="11"/>
    </row>
    <row r="5194" s="1" customFormat="1" ht="21.95" customHeight="1" spans="1:19">
      <c r="A5194" s="7"/>
      <c r="B5194" s="12"/>
      <c r="C5194" s="33"/>
      <c r="D5194" s="80"/>
      <c r="E5194" s="218"/>
      <c r="F5194" s="218"/>
      <c r="G5194" s="218"/>
      <c r="H5194" s="80"/>
      <c r="I5194" s="218"/>
      <c r="J5194" s="218"/>
      <c r="K5194" s="218"/>
      <c r="L5194" s="218"/>
      <c r="M5194" s="80"/>
      <c r="N5194" s="219"/>
      <c r="O5194" s="219"/>
      <c r="P5194" s="19"/>
      <c r="Q5194" s="14"/>
      <c r="R5194" s="11"/>
    </row>
    <row r="5195" s="1" customFormat="1" ht="21.95" customHeight="1" spans="1:19">
      <c r="A5195" s="7"/>
      <c r="B5195" s="12"/>
      <c r="C5195" s="33"/>
      <c r="D5195" s="80"/>
      <c r="E5195" s="80"/>
      <c r="F5195" s="80"/>
      <c r="G5195" s="80"/>
      <c r="H5195" s="80"/>
      <c r="I5195" s="80"/>
      <c r="J5195" s="80"/>
      <c r="K5195" s="80"/>
      <c r="L5195" s="80"/>
      <c r="M5195" s="80"/>
      <c r="N5195" s="80"/>
      <c r="O5195" s="80"/>
      <c r="P5195" s="19"/>
      <c r="Q5195" s="14"/>
      <c r="R5195" s="11"/>
    </row>
    <row r="5196" s="1" customFormat="1" ht="21.95" customHeight="1" spans="1:19">
      <c r="A5196" s="7"/>
      <c r="B5196" s="12"/>
      <c r="C5196" s="33"/>
      <c r="D5196" s="218"/>
      <c r="E5196" s="218"/>
      <c r="F5196" s="218"/>
      <c r="G5196" s="218"/>
      <c r="H5196" s="218"/>
      <c r="I5196" s="218"/>
      <c r="J5196" s="218"/>
      <c r="K5196" s="218"/>
      <c r="L5196" s="218"/>
      <c r="M5196" s="80"/>
      <c r="N5196" s="217"/>
      <c r="O5196" s="217"/>
      <c r="P5196" s="85" t="s">
        <v>727</v>
      </c>
      <c r="Q5196" s="14"/>
      <c r="R5196" s="11"/>
    </row>
    <row r="5197" s="1" customFormat="1" ht="21.95" customHeight="1" spans="1:19">
      <c r="A5197" s="7"/>
      <c r="B5197" s="12"/>
      <c r="C5197" s="33"/>
      <c r="D5197" s="29"/>
      <c r="E5197" s="29"/>
      <c r="F5197" s="29"/>
      <c r="G5197" s="29"/>
      <c r="H5197" s="29"/>
      <c r="I5197" s="29"/>
      <c r="J5197" s="29"/>
      <c r="K5197" s="29"/>
      <c r="L5197" s="29"/>
      <c r="M5197" s="29"/>
      <c r="N5197" s="29"/>
      <c r="O5197" s="29"/>
      <c r="P5197" s="19"/>
      <c r="Q5197" s="14"/>
      <c r="R5197" s="11"/>
    </row>
    <row r="5198" s="1" customFormat="1" ht="21.95" customHeight="1" spans="1:19">
      <c r="A5198" s="7"/>
      <c r="B5198" s="12"/>
      <c r="C5198" s="33"/>
      <c r="D5198" s="29"/>
      <c r="E5198" s="29"/>
      <c r="F5198" s="29"/>
      <c r="G5198" s="29"/>
      <c r="H5198" s="29"/>
      <c r="I5198" s="29"/>
      <c r="J5198" s="29"/>
      <c r="K5198" s="29"/>
      <c r="L5198" s="29"/>
      <c r="M5198" s="29"/>
      <c r="N5198" s="29"/>
      <c r="O5198" s="29"/>
      <c r="P5198" s="19"/>
      <c r="Q5198" s="14"/>
      <c r="R5198" s="11"/>
    </row>
    <row r="5199" s="1" customFormat="1" ht="21.95" customHeight="1" spans="1:19">
      <c r="A5199" s="7"/>
      <c r="B5199" s="12"/>
      <c r="C5199" s="33"/>
      <c r="D5199" s="29"/>
      <c r="E5199" s="29"/>
      <c r="F5199" s="29"/>
      <c r="G5199" s="29"/>
      <c r="H5199" s="29"/>
      <c r="I5199" s="29"/>
      <c r="J5199" s="29"/>
      <c r="K5199" s="29"/>
      <c r="L5199" s="29"/>
      <c r="M5199" s="29"/>
      <c r="N5199" s="29"/>
      <c r="O5199" s="29"/>
      <c r="P5199" s="19"/>
      <c r="Q5199" s="14"/>
      <c r="R5199" s="11"/>
    </row>
    <row r="5200" s="1" customFormat="1" ht="21.95" customHeight="1" spans="1:19">
      <c r="A5200" s="7"/>
      <c r="B5200" s="12"/>
      <c r="C5200" s="33"/>
      <c r="D5200" s="29"/>
      <c r="E5200" s="29"/>
      <c r="F5200" s="29"/>
      <c r="G5200" s="29"/>
      <c r="H5200" s="29"/>
      <c r="I5200" s="29"/>
      <c r="J5200" s="29"/>
      <c r="K5200" s="29"/>
      <c r="L5200" s="29"/>
      <c r="M5200" s="29"/>
      <c r="N5200" s="29"/>
      <c r="O5200" s="29"/>
      <c r="P5200" s="19"/>
      <c r="Q5200" s="14"/>
      <c r="R5200" s="11"/>
    </row>
    <row r="5201" s="1" customFormat="1" ht="21.95" customHeight="1" spans="1:18">
      <c r="A5201" s="7"/>
      <c r="B5201" s="12"/>
      <c r="C5201" s="33"/>
      <c r="D5201" s="29"/>
      <c r="E5201" s="29"/>
      <c r="F5201" s="29"/>
      <c r="G5201" s="29"/>
      <c r="H5201" s="29"/>
      <c r="I5201" s="29"/>
      <c r="J5201" s="29"/>
      <c r="K5201" s="29"/>
      <c r="L5201" s="29"/>
      <c r="M5201" s="29"/>
      <c r="N5201" s="29"/>
      <c r="O5201" s="29"/>
      <c r="P5201" s="19"/>
      <c r="Q5201" s="14"/>
      <c r="R5201" s="11"/>
    </row>
    <row r="5202" s="1" customFormat="1" ht="21.95" customHeight="1" spans="1:18">
      <c r="A5202" s="7"/>
      <c r="B5202" s="12"/>
      <c r="C5202" s="33"/>
      <c r="D5202" s="80" t="s">
        <v>728</v>
      </c>
      <c r="E5202" s="220">
        <f>ENTRY!$D$27</f>
        <v>46102</v>
      </c>
      <c r="F5202" s="220"/>
      <c r="G5202" s="29"/>
      <c r="H5202" s="29"/>
      <c r="I5202" s="221" t="s">
        <v>729</v>
      </c>
      <c r="J5202" s="153"/>
      <c r="K5202" s="29"/>
      <c r="L5202" s="29"/>
      <c r="M5202" s="87" t="s">
        <v>730</v>
      </c>
      <c r="N5202" s="87"/>
      <c r="O5202" s="87"/>
      <c r="P5202" s="19"/>
      <c r="Q5202" s="14"/>
      <c r="R5202" s="11"/>
    </row>
    <row r="5203" s="1" customFormat="1" ht="21.95" customHeight="1" spans="1:18">
      <c r="A5203" s="7"/>
      <c r="B5203" s="12"/>
      <c r="C5203" s="33"/>
      <c r="D5203" s="80" t="s">
        <v>731</v>
      </c>
      <c r="E5203" s="88" t="str">
        <f>PROPER(ENTRY!$D$28)</f>
        <v>New Delhi</v>
      </c>
      <c r="F5203" s="88"/>
      <c r="G5203" s="29"/>
      <c r="H5203" s="29"/>
      <c r="I5203" s="153"/>
      <c r="J5203" s="153"/>
      <c r="K5203" s="29"/>
      <c r="L5203" s="29"/>
      <c r="M5203" s="79" t="s">
        <v>732</v>
      </c>
      <c r="N5203" s="79"/>
      <c r="O5203" s="79"/>
      <c r="P5203" s="19"/>
      <c r="Q5203" s="14"/>
      <c r="R5203" s="11"/>
    </row>
    <row r="5204" s="1" customFormat="1" ht="21.95" customHeight="1" spans="1:18">
      <c r="A5204" s="7"/>
      <c r="B5204" s="12"/>
      <c r="C5204" s="90"/>
      <c r="D5204" s="91"/>
      <c r="E5204" s="91"/>
      <c r="F5204" s="91"/>
      <c r="G5204" s="91"/>
      <c r="H5204" s="91"/>
      <c r="I5204" s="91"/>
      <c r="J5204" s="91"/>
      <c r="K5204" s="91"/>
      <c r="L5204" s="91"/>
      <c r="M5204" s="91"/>
      <c r="N5204" s="91"/>
      <c r="O5204" s="91"/>
      <c r="P5204" s="92"/>
      <c r="Q5204" s="14"/>
      <c r="R5204" s="11"/>
    </row>
    <row r="5205" s="1" customFormat="1" ht="5.1" customHeight="1" spans="1:18">
      <c r="A5205" s="7"/>
      <c r="B5205" s="90"/>
      <c r="C5205" s="91"/>
      <c r="D5205" s="91"/>
      <c r="E5205" s="91"/>
      <c r="F5205" s="91"/>
      <c r="G5205" s="91"/>
      <c r="H5205" s="91"/>
      <c r="I5205" s="91"/>
      <c r="J5205" s="91"/>
      <c r="K5205" s="91"/>
      <c r="L5205" s="91"/>
      <c r="M5205" s="91"/>
      <c r="N5205" s="91"/>
      <c r="O5205" s="91"/>
      <c r="P5205" s="91"/>
      <c r="Q5205" s="92"/>
      <c r="R5205" s="11"/>
    </row>
    <row r="5206" s="1" customFormat="1" ht="5.1" customHeight="1" spans="1:18">
      <c r="A5206" s="93"/>
      <c r="B5206" s="94"/>
      <c r="C5206" s="94"/>
      <c r="D5206" s="94"/>
      <c r="E5206" s="94"/>
      <c r="F5206" s="94"/>
      <c r="G5206" s="94"/>
      <c r="H5206" s="94"/>
      <c r="I5206" s="94"/>
      <c r="J5206" s="94"/>
      <c r="K5206" s="94"/>
      <c r="L5206" s="94"/>
      <c r="M5206" s="94"/>
      <c r="N5206" s="94"/>
      <c r="O5206" s="94"/>
      <c r="P5206" s="94"/>
      <c r="Q5206" s="94"/>
      <c r="R5206" s="95"/>
    </row>
    <row r="5207" s="1" customFormat="1" ht="21.95" customHeight="1"/>
    <row r="5208" ht="15.15"/>
    <row r="5209" s="1" customFormat="1" ht="5.1" customHeight="1" spans="1:18">
      <c r="A5209" s="4"/>
      <c r="B5209" s="5"/>
      <c r="C5209" s="5"/>
      <c r="D5209" s="5"/>
      <c r="E5209" s="5"/>
      <c r="F5209" s="5"/>
      <c r="G5209" s="5"/>
      <c r="H5209" s="5"/>
      <c r="I5209" s="5"/>
      <c r="J5209" s="5"/>
      <c r="K5209" s="5"/>
      <c r="L5209" s="5"/>
      <c r="M5209" s="5"/>
      <c r="N5209" s="5"/>
      <c r="O5209" s="5"/>
      <c r="P5209" s="5"/>
      <c r="Q5209" s="5"/>
      <c r="R5209" s="6"/>
    </row>
    <row r="5210" s="1" customFormat="1" ht="15" customHeight="1" spans="1:18">
      <c r="A5210" s="7"/>
      <c r="B5210" s="8"/>
      <c r="C5210" s="9"/>
      <c r="D5210" s="9"/>
      <c r="E5210" s="9"/>
      <c r="F5210" s="9"/>
      <c r="G5210" s="9"/>
      <c r="H5210" s="9"/>
      <c r="I5210" s="9"/>
      <c r="J5210" s="9"/>
      <c r="K5210" s="9"/>
      <c r="L5210" s="9"/>
      <c r="M5210" s="9"/>
      <c r="N5210" s="9"/>
      <c r="O5210" s="9"/>
      <c r="P5210" s="9"/>
      <c r="Q5210" s="10"/>
      <c r="R5210" s="11"/>
    </row>
    <row r="5211" s="1" customFormat="1" ht="21.95" customHeight="1" spans="1:18">
      <c r="A5211" s="7"/>
      <c r="B5211" s="12"/>
      <c r="C5211" s="13" t="s">
        <v>7</v>
      </c>
      <c r="D5211" s="13"/>
      <c r="E5211" s="13"/>
      <c r="F5211" s="13"/>
      <c r="G5211" s="13"/>
      <c r="H5211" s="13"/>
      <c r="I5211" s="13"/>
      <c r="J5211" s="13"/>
      <c r="K5211" s="13"/>
      <c r="L5211" s="13"/>
      <c r="M5211" s="13"/>
      <c r="N5211" s="13"/>
      <c r="O5211" s="13"/>
      <c r="P5211" s="13"/>
      <c r="Q5211" s="14"/>
      <c r="R5211" s="11"/>
    </row>
    <row r="5212" s="1" customFormat="1" ht="21.95" customHeight="1" spans="1:18">
      <c r="A5212" s="7"/>
      <c r="B5212" s="1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14"/>
      <c r="R5212" s="11"/>
    </row>
    <row r="5213" s="1" customFormat="1" ht="21.95" customHeight="1" spans="1:18">
      <c r="A5213" s="7"/>
      <c r="B5213" s="12"/>
      <c r="C5213" s="15" t="str">
        <f>"SESSION-"&amp;ENTRY!$D$11</f>
        <v>SESSION-2026-27</v>
      </c>
      <c r="D5213" s="15"/>
      <c r="E5213" s="15"/>
      <c r="F5213" s="15"/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  <c r="Q5213" s="14"/>
      <c r="R5213" s="11"/>
    </row>
    <row r="5214" s="1" customFormat="1" ht="21.95" customHeight="1" spans="1:18">
      <c r="A5214" s="7"/>
      <c r="B5214" s="12"/>
      <c r="C5214" s="2"/>
      <c r="D5214" s="2"/>
      <c r="E5214" s="2"/>
      <c r="F5214" s="16">
        <f>F5158+1</f>
        <v>94</v>
      </c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14"/>
      <c r="R5214" s="11"/>
    </row>
    <row r="5215" s="1" customFormat="1" ht="21.95" customHeight="1" spans="1:18">
      <c r="A5215" s="7"/>
      <c r="B5215" s="12"/>
      <c r="C5215" s="17" t="s">
        <v>392</v>
      </c>
      <c r="D5215" s="17"/>
      <c r="E5215" s="17"/>
      <c r="F5215" s="18" t="str">
        <f>IF(F5214&gt;0,ENTRY!$D$6,"")</f>
        <v>MCP NITHARI NO 1 BOYS</v>
      </c>
      <c r="G5215" s="18"/>
      <c r="H5215" s="18"/>
      <c r="I5215" s="18"/>
      <c r="J5215" s="18"/>
      <c r="K5215" s="18"/>
      <c r="L5215" s="18"/>
      <c r="M5215" s="18"/>
      <c r="N5215" s="18"/>
      <c r="O5215" s="18"/>
      <c r="P5215" s="18"/>
      <c r="Q5215" s="14"/>
      <c r="R5215" s="11"/>
    </row>
    <row r="5216" s="1" customFormat="1" ht="21.95" customHeight="1" spans="1:18">
      <c r="A5216" s="7"/>
      <c r="B5216" s="12"/>
      <c r="C5216" s="17" t="s">
        <v>393</v>
      </c>
      <c r="D5216" s="17"/>
      <c r="E5216" s="17"/>
      <c r="F5216" s="18">
        <f>IF(F5214&gt;0,ENTRY!$D$7,"")</f>
        <v>0</v>
      </c>
      <c r="G5216" s="18"/>
      <c r="H5216" s="20" t="s">
        <v>702</v>
      </c>
      <c r="I5216" s="20"/>
      <c r="J5216" s="21">
        <f>IF(F5214&gt;0,ENTRY!$D$10,"")</f>
        <v>40</v>
      </c>
      <c r="K5216" s="20" t="s">
        <v>703</v>
      </c>
      <c r="L5216" s="22" t="str">
        <f>IF(F5214&gt;0,ENTRY!$D$5,"")</f>
        <v>ROHINI ZONE</v>
      </c>
      <c r="M5216" s="22"/>
      <c r="N5216" s="22"/>
      <c r="O5216" s="22"/>
      <c r="P5216" s="22"/>
      <c r="Q5216" s="14"/>
      <c r="R5216" s="11"/>
    </row>
    <row r="5217" s="1" customFormat="1" ht="21.95" customHeight="1" spans="1:18">
      <c r="A5217" s="7"/>
      <c r="B5217" s="12"/>
      <c r="C5217" s="17" t="s">
        <v>706</v>
      </c>
      <c r="D5217" s="17"/>
      <c r="E5217" s="17"/>
      <c r="F5217" s="23">
        <f>IFERROR(VLOOKUP(F5214,STUDENT!$A$2:$BP$101,5,0),"")</f>
        <v>0</v>
      </c>
      <c r="G5217" s="23"/>
      <c r="H5217" s="23"/>
      <c r="I5217" s="23"/>
      <c r="J5217" s="23"/>
      <c r="K5217" s="23"/>
      <c r="L5217" s="20" t="s">
        <v>707</v>
      </c>
      <c r="M5217" s="20"/>
      <c r="N5217" s="24" t="str">
        <f>IF(F5214&gt;0,ENTRY!$D$20&amp;"-"&amp;ENTRY!$D$21,"")</f>
        <v>III-A</v>
      </c>
      <c r="O5217" s="24"/>
      <c r="P5217" s="24"/>
      <c r="Q5217" s="14"/>
      <c r="R5217" s="11"/>
    </row>
    <row r="5218" s="1" customFormat="1" ht="21.95" customHeight="1" spans="1:18">
      <c r="A5218" s="7"/>
      <c r="B5218" s="12"/>
      <c r="C5218" s="17" t="s">
        <v>708</v>
      </c>
      <c r="D5218" s="17"/>
      <c r="E5218" s="17"/>
      <c r="F5218" s="25">
        <f>IFERROR(VLOOKUP(F5214,STUDENT!$A$2:$BP$101,6,0),"")</f>
        <v>0</v>
      </c>
      <c r="G5218" s="25"/>
      <c r="H5218" s="26" t="s">
        <v>709</v>
      </c>
      <c r="I5218" s="27" t="str">
        <f>IFERROR(VLOOKUP(F5214,STUDENT!$A$2:$BP$101,59,0),"")</f>
        <v/>
      </c>
      <c r="J5218" s="27"/>
      <c r="K5218" s="20" t="s">
        <v>710</v>
      </c>
      <c r="L5218" s="20"/>
      <c r="M5218" s="28">
        <f>IFERROR(VLOOKUP(F5214,STUDENT!$A$2:$BP$101,20,0),"")</f>
        <v>0</v>
      </c>
      <c r="N5218" s="28"/>
      <c r="O5218" s="28"/>
      <c r="P5218" s="28"/>
      <c r="Q5218" s="14"/>
      <c r="R5218" s="11"/>
    </row>
    <row r="5219" s="1" customFormat="1" ht="21.95" customHeight="1" spans="1:18">
      <c r="A5219" s="7"/>
      <c r="B5219" s="12"/>
      <c r="C5219" s="17" t="s">
        <v>711</v>
      </c>
      <c r="D5219" s="17"/>
      <c r="E5219" s="17"/>
      <c r="F5219" s="23">
        <f>IFERROR(VLOOKUP(F5214,STUDENT!$A$2:$BP$101,9,0),"")</f>
        <v>0</v>
      </c>
      <c r="G5219" s="23"/>
      <c r="H5219" s="23"/>
      <c r="I5219" s="23"/>
      <c r="J5219" s="17" t="s">
        <v>620</v>
      </c>
      <c r="K5219" s="17"/>
      <c r="L5219" s="23">
        <f>IFERROR(VLOOKUP(F5214,STUDENT!$A$2:$BP$101,8,0),"")</f>
        <v>0</v>
      </c>
      <c r="M5219" s="23"/>
      <c r="N5219" s="23"/>
      <c r="O5219" s="23"/>
      <c r="P5219" s="23"/>
      <c r="Q5219" s="14"/>
      <c r="R5219" s="11"/>
    </row>
    <row r="5220" s="1" customFormat="1" ht="21.95" customHeight="1" spans="1:18">
      <c r="A5220" s="7"/>
      <c r="B5220" s="12"/>
      <c r="C5220" s="17" t="s">
        <v>712</v>
      </c>
      <c r="D5220" s="17"/>
      <c r="E5220" s="17"/>
      <c r="F5220" s="23">
        <f>IFERROR(VLOOKUP(F5214,STUDENT!$A$2:$BP$101,22,0),"")</f>
        <v>0</v>
      </c>
      <c r="G5220" s="23"/>
      <c r="H5220" s="23"/>
      <c r="I5220" s="23"/>
      <c r="J5220" s="23"/>
      <c r="K5220" s="23"/>
      <c r="L5220" s="23"/>
      <c r="M5220" s="23"/>
      <c r="N5220" s="23"/>
      <c r="O5220" s="23"/>
      <c r="P5220" s="23"/>
      <c r="Q5220" s="14"/>
      <c r="R5220" s="11"/>
    </row>
    <row r="5221" s="1" customFormat="1" ht="9.95" customHeight="1" spans="1:18">
      <c r="A5221" s="7"/>
      <c r="B5221" s="12"/>
      <c r="C5221" s="29"/>
      <c r="D5221" s="29"/>
      <c r="E5221" s="29"/>
      <c r="F5221" s="29"/>
      <c r="G5221" s="29"/>
      <c r="H5221" s="29"/>
      <c r="I5221" s="29"/>
      <c r="J5221" s="29"/>
      <c r="K5221" s="29"/>
      <c r="L5221" s="29"/>
      <c r="M5221" s="29"/>
      <c r="N5221" s="29"/>
      <c r="O5221" s="29"/>
      <c r="P5221" s="29"/>
      <c r="Q5221" s="14"/>
      <c r="R5221" s="11"/>
    </row>
    <row r="5222" s="1" customFormat="1" ht="9.95" customHeight="1" spans="1:18">
      <c r="A5222" s="7"/>
      <c r="B5222" s="12"/>
      <c r="C5222" s="30"/>
      <c r="D5222" s="31"/>
      <c r="E5222" s="31"/>
      <c r="F5222" s="31"/>
      <c r="G5222" s="31"/>
      <c r="H5222" s="31"/>
      <c r="I5222" s="31"/>
      <c r="J5222" s="31"/>
      <c r="K5222" s="31"/>
      <c r="L5222" s="31"/>
      <c r="M5222" s="31"/>
      <c r="N5222" s="31"/>
      <c r="O5222" s="31"/>
      <c r="P5222" s="32"/>
      <c r="Q5222" s="14"/>
      <c r="R5222" s="11"/>
    </row>
    <row r="5223" s="1" customFormat="1" ht="21.95" customHeight="1" spans="1:18">
      <c r="A5223" s="7"/>
      <c r="B5223" s="12"/>
      <c r="C5223" s="33"/>
      <c r="D5223" s="34" t="s">
        <v>713</v>
      </c>
      <c r="E5223" s="20" t="s">
        <v>714</v>
      </c>
      <c r="F5223" s="35" t="str">
        <f>"Level - "&amp;IFERROR(VLOOKUP(F5214,FLN!$A$4:$K$103,9,0),"")</f>
        <v>Level - </v>
      </c>
      <c r="G5223" s="36"/>
      <c r="H5223" s="37" t="s">
        <v>715</v>
      </c>
      <c r="I5223" s="20"/>
      <c r="J5223" s="35" t="str">
        <f>"Level - "&amp;IFERROR(VLOOKUP(F5214,FLN!$A$4:$K$103,11,0),"")</f>
        <v>Level - </v>
      </c>
      <c r="K5223" s="36"/>
      <c r="L5223" s="37" t="s">
        <v>408</v>
      </c>
      <c r="M5223" s="20"/>
      <c r="N5223" s="35" t="str">
        <f>"Level - "&amp;IFERROR(VLOOKUP(F5214,FLN!$A$4:$K$103,10,0),"")</f>
        <v>Level - </v>
      </c>
      <c r="O5223" s="36"/>
      <c r="P5223" s="19"/>
      <c r="Q5223" s="14"/>
      <c r="R5223" s="11"/>
    </row>
    <row r="5224" s="1" customFormat="1" ht="21.95" customHeight="1" spans="1:18">
      <c r="A5224" s="7"/>
      <c r="B5224" s="12"/>
      <c r="C5224" s="33"/>
      <c r="D5224" s="38"/>
      <c r="E5224" s="20" t="s">
        <v>716</v>
      </c>
      <c r="F5224" s="18" t="str">
        <f>IF(L5238&gt;197,"PERFORMED WELL","")</f>
        <v/>
      </c>
      <c r="G5224" s="18"/>
      <c r="H5224" s="18"/>
      <c r="I5224" s="18"/>
      <c r="J5224" s="18"/>
      <c r="K5224" s="18"/>
      <c r="L5224" s="18"/>
      <c r="M5224" s="18"/>
      <c r="N5224" s="18"/>
      <c r="O5224" s="18"/>
      <c r="P5224" s="19"/>
      <c r="Q5224" s="14"/>
      <c r="R5224" s="11"/>
    </row>
    <row r="5225" s="1" customFormat="1" ht="9.95" customHeight="1" spans="1:18">
      <c r="A5225" s="7"/>
      <c r="B5225" s="12"/>
      <c r="C5225" s="39"/>
      <c r="D5225" s="40"/>
      <c r="E5225" s="40"/>
      <c r="F5225" s="40"/>
      <c r="G5225" s="40"/>
      <c r="H5225" s="40"/>
      <c r="I5225" s="40"/>
      <c r="J5225" s="40"/>
      <c r="K5225" s="40"/>
      <c r="L5225" s="40"/>
      <c r="M5225" s="40"/>
      <c r="N5225" s="40"/>
      <c r="O5225" s="40"/>
      <c r="P5225" s="41"/>
      <c r="Q5225" s="14"/>
      <c r="R5225" s="11"/>
    </row>
    <row r="5226" s="1" customFormat="1" ht="9.95" customHeight="1" spans="1:18">
      <c r="A5226" s="7"/>
      <c r="B5226" s="12"/>
      <c r="C5226" s="29"/>
      <c r="D5226" s="29"/>
      <c r="E5226" s="29"/>
      <c r="F5226" s="29"/>
      <c r="G5226" s="29"/>
      <c r="H5226" s="29"/>
      <c r="I5226" s="29"/>
      <c r="J5226" s="29"/>
      <c r="K5226" s="29"/>
      <c r="L5226" s="29"/>
      <c r="M5226" s="29"/>
      <c r="N5226" s="29"/>
      <c r="O5226" s="29"/>
      <c r="P5226" s="29"/>
      <c r="Q5226" s="14"/>
      <c r="R5226" s="11"/>
    </row>
    <row r="5227" s="1" customFormat="1" ht="9.95" customHeight="1" spans="1:18">
      <c r="A5227" s="7"/>
      <c r="B5227" s="12"/>
      <c r="C5227" s="30"/>
      <c r="D5227" s="31"/>
      <c r="E5227" s="31"/>
      <c r="F5227" s="31"/>
      <c r="G5227" s="31"/>
      <c r="H5227" s="31"/>
      <c r="I5227" s="31"/>
      <c r="J5227" s="31"/>
      <c r="K5227" s="31"/>
      <c r="L5227" s="31"/>
      <c r="M5227" s="31"/>
      <c r="N5227" s="31"/>
      <c r="O5227" s="31"/>
      <c r="P5227" s="32"/>
      <c r="Q5227" s="14"/>
      <c r="R5227" s="11"/>
    </row>
    <row r="5228" s="1" customFormat="1" ht="21.95" customHeight="1" spans="1:18">
      <c r="A5228" s="7"/>
      <c r="B5228" s="12"/>
      <c r="C5228" s="33"/>
      <c r="D5228" s="35"/>
      <c r="E5228" s="24"/>
      <c r="F5228" s="24"/>
      <c r="G5228" s="47" t="s">
        <v>717</v>
      </c>
      <c r="H5228" s="47"/>
      <c r="I5228" s="47"/>
      <c r="J5228" s="47"/>
      <c r="K5228" s="47"/>
      <c r="L5228" s="47"/>
      <c r="M5228" s="47"/>
      <c r="N5228" s="47"/>
      <c r="O5228" s="29"/>
      <c r="P5228" s="19"/>
      <c r="Q5228" s="14"/>
      <c r="R5228" s="11"/>
    </row>
    <row r="5229" s="1" customFormat="1" ht="21.95" customHeight="1" spans="1:18">
      <c r="A5229" s="7"/>
      <c r="B5229" s="12"/>
      <c r="C5229" s="33"/>
      <c r="D5229" s="47"/>
      <c r="E5229" s="47"/>
      <c r="F5229" s="47"/>
      <c r="G5229" s="47" t="s">
        <v>541</v>
      </c>
      <c r="H5229" s="47" t="s">
        <v>542</v>
      </c>
      <c r="I5229" s="47" t="s">
        <v>543</v>
      </c>
      <c r="J5229" s="47" t="s">
        <v>544</v>
      </c>
      <c r="K5229" s="47" t="s">
        <v>561</v>
      </c>
      <c r="L5229" s="47" t="s">
        <v>382</v>
      </c>
      <c r="M5229" s="49" t="s">
        <v>546</v>
      </c>
      <c r="N5229" s="49"/>
      <c r="O5229" s="29"/>
      <c r="P5229" s="19"/>
      <c r="Q5229" s="14"/>
      <c r="R5229" s="11"/>
    </row>
    <row r="5230" s="1" customFormat="1" ht="21.95" customHeight="1" spans="1:18">
      <c r="A5230" s="7"/>
      <c r="B5230" s="12"/>
      <c r="C5230" s="33"/>
      <c r="D5230" s="207" t="s">
        <v>652</v>
      </c>
      <c r="E5230" s="207"/>
      <c r="F5230" s="207"/>
      <c r="G5230" s="50">
        <v>10</v>
      </c>
      <c r="H5230" s="50">
        <v>10</v>
      </c>
      <c r="I5230" s="50">
        <v>10</v>
      </c>
      <c r="J5230" s="50">
        <v>10</v>
      </c>
      <c r="K5230" s="50">
        <v>60</v>
      </c>
      <c r="L5230" s="50">
        <v>100</v>
      </c>
      <c r="M5230" s="49"/>
      <c r="N5230" s="49"/>
      <c r="O5230" s="29"/>
      <c r="P5230" s="19"/>
      <c r="Q5230" s="14"/>
      <c r="R5230" s="11"/>
    </row>
    <row r="5231" s="1" customFormat="1" ht="21.95" customHeight="1" spans="1:18">
      <c r="A5231" s="7"/>
      <c r="B5231" s="12"/>
      <c r="C5231" s="33"/>
      <c r="D5231" s="117" t="s">
        <v>668</v>
      </c>
      <c r="E5231" s="117"/>
      <c r="F5231" s="117"/>
      <c r="G5231" s="54" t="str">
        <f>IFERROR(VLOOKUP(F5214,'1to4-2.1-RR'!$A$12:$BG$111,9,0),"")</f>
        <v/>
      </c>
      <c r="H5231" s="54" t="str">
        <f>IFERROR(VLOOKUP(F5214,'1to4-2.1-RR'!$A$12:$BG$111,10,0),"")</f>
        <v/>
      </c>
      <c r="I5231" s="54" t="str">
        <f>IFERROR(VLOOKUP(F5214,'1to4-2.1-RR'!$A$12:$BG$111,11,0),"")</f>
        <v/>
      </c>
      <c r="J5231" s="54" t="str">
        <f>IFERROR(VLOOKUP(F5214,'1to4-2.1-RR'!$A$12:$BG$111,12,0),"")</f>
        <v/>
      </c>
      <c r="K5231" s="54" t="str">
        <f>IFERROR(VLOOKUP(F5214,'1to4-2.1-RR'!$A$12:$BG$111,13,0),"")</f>
        <v/>
      </c>
      <c r="L5231" s="55">
        <f>SUM(G5231:K5231)</f>
        <v>0</v>
      </c>
      <c r="M5231" s="56" t="str">
        <f>IF(F5214&gt;ENTRY!$D$24,"",IF(L5231=0,"Ab",IF(L5231&gt;80,"A",IF(L5231&gt;60,"B",IF(L5231&gt;44,"C",IF(L5231&gt;=33,"D",IF(L5231&lt;=32,"E","")))))))</f>
        <v/>
      </c>
      <c r="N5231" s="56"/>
      <c r="O5231" s="29"/>
      <c r="P5231" s="19"/>
      <c r="Q5231" s="14"/>
      <c r="R5231" s="11"/>
    </row>
    <row r="5232" s="1" customFormat="1" ht="21.95" customHeight="1" spans="1:18">
      <c r="A5232" s="7"/>
      <c r="B5232" s="12"/>
      <c r="C5232" s="33"/>
      <c r="D5232" s="117" t="s">
        <v>513</v>
      </c>
      <c r="E5232" s="117"/>
      <c r="F5232" s="117"/>
      <c r="G5232" s="54" t="str">
        <f>IFERROR(VLOOKUP(F5214,'1to4-2.1-RR'!$A$12:$BG$111,16,0),"")</f>
        <v/>
      </c>
      <c r="H5232" s="54" t="str">
        <f>IFERROR(VLOOKUP(F5214,'1to4-2.1-RR'!$A$12:$BG$111,17,0),"")</f>
        <v/>
      </c>
      <c r="I5232" s="54" t="str">
        <f>IFERROR(VLOOKUP(F5214,'1to4-2.1-RR'!$A$12:$BG$111,18,0),"")</f>
        <v/>
      </c>
      <c r="J5232" s="54" t="str">
        <f>IFERROR(VLOOKUP(F5214,'1to4-2.1-RR'!$A$12:$BG$111,19,0),"")</f>
        <v/>
      </c>
      <c r="K5232" s="54" t="str">
        <f>IFERROR(VLOOKUP(F5214,'1to4-2.1-RR'!$A$12:$BG$111,20,0),"")</f>
        <v/>
      </c>
      <c r="L5232" s="55">
        <f t="shared" ref="L5232:L5237" si="186">SUM(G5232:K5232)</f>
        <v>0</v>
      </c>
      <c r="M5232" s="56" t="str">
        <f>IF(F5214&gt;ENTRY!$D$24,"",IF(L5232=0,"Ab",IF(L5232&gt;80,"A",IF(L5232&gt;60,"B",IF(L5232&gt;44,"C",IF(L5232&gt;=33,"D",IF(L5232&lt;=32,"E","")))))))</f>
        <v/>
      </c>
      <c r="N5232" s="56"/>
      <c r="O5232" s="29"/>
      <c r="P5232" s="19"/>
      <c r="Q5232" s="14"/>
      <c r="R5232" s="11"/>
    </row>
    <row r="5233" s="1" customFormat="1" ht="21.95" customHeight="1" spans="1:19">
      <c r="A5233" s="7"/>
      <c r="B5233" s="12"/>
      <c r="C5233" s="33"/>
      <c r="D5233" s="117" t="s">
        <v>718</v>
      </c>
      <c r="E5233" s="117"/>
      <c r="F5233" s="117"/>
      <c r="G5233" s="54" t="str">
        <f>IFERROR(VLOOKUP(F5214,'1to4-2.1-RR'!$A$12:$BG$111,23,0),"")</f>
        <v/>
      </c>
      <c r="H5233" s="54" t="str">
        <f>IFERROR(VLOOKUP(F5214,'1to4-2.1-RR'!$A$12:$BG$111,24,0),"")</f>
        <v/>
      </c>
      <c r="I5233" s="54" t="str">
        <f>IFERROR(VLOOKUP(F5214,'1to4-2.1-RR'!$A$12:$BG$111,25,0),"")</f>
        <v/>
      </c>
      <c r="J5233" s="54" t="str">
        <f>IFERROR(VLOOKUP(F5214,'1to4-2.1-RR'!$A$12:$BG$111,26,0),"")</f>
        <v/>
      </c>
      <c r="K5233" s="54" t="str">
        <f>IFERROR(VLOOKUP(F5214,'1to4-2.1-RR'!$A$12:$BG$111,27,0),"")</f>
        <v/>
      </c>
      <c r="L5233" s="55">
        <f t="shared" si="186"/>
        <v>0</v>
      </c>
      <c r="M5233" s="56" t="str">
        <f>IF(F5214&gt;ENTRY!$D$24,"",IF(L5233=0,"Ab",IF(L5233&gt;80,"A",IF(L5233&gt;60,"B",IF(L5233&gt;44,"C",IF(L5233&gt;=33,"D",IF(L5233&lt;=32,"E","")))))))</f>
        <v/>
      </c>
      <c r="N5233" s="56"/>
      <c r="O5233" s="29"/>
      <c r="P5233" s="19"/>
      <c r="Q5233" s="14"/>
      <c r="R5233" s="11"/>
    </row>
    <row r="5234" s="1" customFormat="1" ht="21.95" customHeight="1" spans="1:19">
      <c r="A5234" s="7"/>
      <c r="B5234" s="12"/>
      <c r="C5234" s="33"/>
      <c r="D5234" s="117" t="s">
        <v>719</v>
      </c>
      <c r="E5234" s="117"/>
      <c r="F5234" s="117"/>
      <c r="G5234" s="54" t="str">
        <f>IFERROR(VLOOKUP(F5214,'1to4-2.1-RR'!$A$12:$BG$111,30,0),"")</f>
        <v/>
      </c>
      <c r="H5234" s="54" t="str">
        <f>IFERROR(VLOOKUP(F5214,'1to4-2.1-RR'!$A$12:$BG$111,31,0),"")</f>
        <v/>
      </c>
      <c r="I5234" s="54" t="str">
        <f>IFERROR(VLOOKUP(F5214,'1to4-2.1-RR'!$A$12:$BG$111,32,0),"")</f>
        <v/>
      </c>
      <c r="J5234" s="54" t="str">
        <f>IFERROR(VLOOKUP(F5214,'1to4-2.1-RR'!$A$12:$BG$111,33,0),"")</f>
        <v/>
      </c>
      <c r="K5234" s="54" t="str">
        <f>IFERROR(VLOOKUP(F5214,'1to4-2.1-RR'!$A$12:$BG$111,34,0),"")</f>
        <v/>
      </c>
      <c r="L5234" s="55">
        <f t="shared" si="186"/>
        <v>0</v>
      </c>
      <c r="M5234" s="56" t="str">
        <f>IF(F5214&gt;ENTRY!$D$24,"",IF(L5234=0,"Ab",IF(L5234&gt;80,"A",IF(L5234&gt;60,"B",IF(L5234&gt;44,"C",IF(L5234&gt;=33,"D",IF(L5234&lt;=32,"E","")))))))</f>
        <v/>
      </c>
      <c r="N5234" s="56"/>
      <c r="O5234" s="29"/>
      <c r="P5234" s="19"/>
      <c r="Q5234" s="14"/>
      <c r="R5234" s="11"/>
    </row>
    <row r="5235" s="1" customFormat="1" ht="21.95" customHeight="1" spans="1:19">
      <c r="A5235" s="7"/>
      <c r="B5235" s="12"/>
      <c r="C5235" s="33"/>
      <c r="D5235" s="117" t="s">
        <v>548</v>
      </c>
      <c r="E5235" s="117"/>
      <c r="F5235" s="117"/>
      <c r="G5235" s="54" t="str">
        <f>IFERROR(VLOOKUP(F5214,'1to4-2.1-RR'!$A$12:$BG$111,37,0),"")</f>
        <v/>
      </c>
      <c r="H5235" s="54" t="str">
        <f>IFERROR(VLOOKUP(F5214,'1to4-2.1-RR'!$A$12:$BG$111,38,0),"")</f>
        <v/>
      </c>
      <c r="I5235" s="54" t="str">
        <f>IFERROR(VLOOKUP(F5214,'1to4-2.1-RR'!$A$12:$BG$111,39,0),"")</f>
        <v/>
      </c>
      <c r="J5235" s="54" t="str">
        <f>IFERROR(VLOOKUP(F5214,'1to4-2.1-RR'!$A$12:$BG$111,40,0),"")</f>
        <v/>
      </c>
      <c r="K5235" s="54" t="str">
        <f>IFERROR(VLOOKUP(F5214,'1to4-2.1-RR'!$A$12:$BG$111,41,0),"")</f>
        <v/>
      </c>
      <c r="L5235" s="55">
        <f t="shared" si="186"/>
        <v>0</v>
      </c>
      <c r="M5235" s="56" t="str">
        <f>IF(F5214&gt;ENTRY!$D$24,"",IF(L5235=0,"Ab",IF(L5235&gt;80,"A",IF(L5235&gt;60,"B",IF(L5235&gt;44,"C",IF(L5235&gt;=33,"D",IF(L5235&lt;=32,"E","")))))))</f>
        <v/>
      </c>
      <c r="N5235" s="56"/>
      <c r="O5235" s="29"/>
      <c r="P5235" s="19"/>
      <c r="Q5235" s="14"/>
      <c r="R5235" s="11"/>
    </row>
    <row r="5236" s="1" customFormat="1" ht="21.95" customHeight="1" spans="1:19">
      <c r="A5236" s="7"/>
      <c r="B5236" s="12"/>
      <c r="C5236" s="33"/>
      <c r="D5236" s="117" t="s">
        <v>549</v>
      </c>
      <c r="E5236" s="117"/>
      <c r="F5236" s="117"/>
      <c r="G5236" s="54" t="str">
        <f>IFERROR(VLOOKUP(F5214,'1to4-2.1-RR'!$A$12:$BG$111,44,0),"")</f>
        <v/>
      </c>
      <c r="H5236" s="54" t="str">
        <f>IFERROR(VLOOKUP(F5214,'1to4-2.1-RR'!$A$12:$BG$111,45,0),"")</f>
        <v/>
      </c>
      <c r="I5236" s="54" t="str">
        <f>IFERROR(VLOOKUP(F5214,'1to4-2.1-RR'!$A$12:$BG$111,46,0),"")</f>
        <v/>
      </c>
      <c r="J5236" s="54" t="str">
        <f>IFERROR(VLOOKUP(F5214,'1to4-2.1-RR'!$A$12:$BG$111,47,0),"")</f>
        <v/>
      </c>
      <c r="K5236" s="54" t="str">
        <f>IFERROR(VLOOKUP(F5214,'1to4-2.1-RR'!$A$12:$BG$111,48,0),"")</f>
        <v/>
      </c>
      <c r="L5236" s="55">
        <f t="shared" si="186"/>
        <v>0</v>
      </c>
      <c r="M5236" s="56" t="str">
        <f>IF(F5214&gt;ENTRY!$D$24,"",IF(L5236=0,"Ab",IF(L5236&gt;80,"A",IF(L5236&gt;60,"B",IF(L5236&gt;44,"C",IF(L5236&gt;=33,"D",IF(L5236&lt;=32,"E","")))))))</f>
        <v/>
      </c>
      <c r="N5236" s="56"/>
      <c r="O5236" s="29"/>
      <c r="P5236" s="19"/>
      <c r="Q5236" s="14"/>
      <c r="R5236" s="11"/>
    </row>
    <row r="5237" s="1" customFormat="1" ht="21.95" customHeight="1" spans="1:19">
      <c r="A5237" s="7"/>
      <c r="B5237" s="12"/>
      <c r="C5237" s="33"/>
      <c r="D5237" s="117" t="s">
        <v>720</v>
      </c>
      <c r="E5237" s="117"/>
      <c r="F5237" s="117"/>
      <c r="G5237" s="54"/>
      <c r="H5237" s="54"/>
      <c r="I5237" s="54"/>
      <c r="J5237" s="54"/>
      <c r="K5237" s="54"/>
      <c r="L5237" s="55">
        <f t="shared" si="186"/>
        <v>0</v>
      </c>
      <c r="M5237" s="56" t="str">
        <f>IF(F5214&gt;ENTRY!$D$24,"",IF(L5237=0,"",IF(L5237&gt;79,"A",IF(L5237&gt;59,"B",IF(L5237&gt;44,"C",IF(L5237&gt;=33,"D",IF(L5237&lt;=32,"E","")))))))</f>
        <v/>
      </c>
      <c r="N5237" s="56"/>
      <c r="O5237" s="29"/>
      <c r="P5237" s="19"/>
      <c r="Q5237" s="14"/>
      <c r="R5237" s="11"/>
    </row>
    <row r="5238" s="1" customFormat="1" ht="21.95" customHeight="1" spans="1:19">
      <c r="A5238" s="7"/>
      <c r="B5238" s="12"/>
      <c r="C5238" s="33"/>
      <c r="D5238" s="207" t="s">
        <v>382</v>
      </c>
      <c r="E5238" s="207"/>
      <c r="F5238" s="207"/>
      <c r="G5238" s="54">
        <f t="shared" ref="G5238:L5238" si="187">IFERROR(SUM(G5231:G5237),"")</f>
        <v>0</v>
      </c>
      <c r="H5238" s="54">
        <f t="shared" si="187"/>
        <v>0</v>
      </c>
      <c r="I5238" s="54">
        <f t="shared" si="187"/>
        <v>0</v>
      </c>
      <c r="J5238" s="54">
        <f t="shared" si="187"/>
        <v>0</v>
      </c>
      <c r="K5238" s="54">
        <f t="shared" si="187"/>
        <v>0</v>
      </c>
      <c r="L5238" s="55">
        <f t="shared" si="187"/>
        <v>0</v>
      </c>
      <c r="M5238" s="61" t="str">
        <f>IF(F5214&gt;ENTRY!$D$24,"",IF(N5239="Ab","Ab",IF(N5239&gt;79.5,"A",IF(N5239&gt;59.5,"B",IF(N5239&gt;44.5,"C",IF(N5239&gt;=33,"D",IF(N5239&lt;33,"E","")))))))</f>
        <v/>
      </c>
      <c r="N5238" s="61"/>
      <c r="O5238" s="29"/>
      <c r="P5238" s="19"/>
      <c r="Q5238" s="14"/>
      <c r="R5238" s="11"/>
    </row>
    <row r="5239" s="1" customFormat="1" ht="21.95" customHeight="1" spans="1:19">
      <c r="A5239" s="7"/>
      <c r="B5239" s="12"/>
      <c r="C5239" s="33"/>
      <c r="D5239" s="63" t="s">
        <v>721</v>
      </c>
      <c r="E5239" s="63"/>
      <c r="F5239" s="63"/>
      <c r="G5239" s="63"/>
      <c r="H5239" s="63"/>
      <c r="I5239" s="63"/>
      <c r="J5239" s="63"/>
      <c r="K5239" s="63"/>
      <c r="L5239" s="63"/>
      <c r="M5239" s="209"/>
      <c r="N5239" s="64">
        <f>IF(L5238="Ab","Ab",L5238/6)</f>
        <v>0</v>
      </c>
      <c r="O5239" s="65"/>
      <c r="P5239" s="19"/>
      <c r="Q5239" s="14"/>
      <c r="R5239" s="11"/>
    </row>
    <row r="5240" s="1" customFormat="1" ht="21.95" customHeight="1" spans="1:19">
      <c r="A5240" s="7"/>
      <c r="B5240" s="12"/>
      <c r="C5240" s="33"/>
      <c r="D5240" s="29" t="s">
        <v>716</v>
      </c>
      <c r="E5240" s="18" t="str">
        <f>IFERROR(VLOOKUP(F5214,'1to4-2.1-RR'!$A$12:$BG$111,57,0),"")</f>
        <v/>
      </c>
      <c r="F5240" s="18"/>
      <c r="G5240" s="18"/>
      <c r="H5240" s="18"/>
      <c r="I5240" s="18"/>
      <c r="J5240" s="18"/>
      <c r="K5240" s="18"/>
      <c r="L5240" s="18"/>
      <c r="M5240" s="18"/>
      <c r="N5240" s="29"/>
      <c r="O5240" s="29"/>
      <c r="P5240" s="19"/>
      <c r="Q5240" s="14"/>
      <c r="R5240" s="11"/>
    </row>
    <row r="5241" s="1" customFormat="1" ht="9.95" customHeight="1" spans="1:19">
      <c r="A5241" s="7"/>
      <c r="B5241" s="12"/>
      <c r="C5241" s="39"/>
      <c r="D5241" s="40"/>
      <c r="E5241" s="40"/>
      <c r="F5241" s="40"/>
      <c r="G5241" s="40"/>
      <c r="H5241" s="40"/>
      <c r="I5241" s="40"/>
      <c r="J5241" s="40"/>
      <c r="K5241" s="40"/>
      <c r="L5241" s="40"/>
      <c r="M5241" s="40"/>
      <c r="N5241" s="40"/>
      <c r="O5241" s="40"/>
      <c r="P5241" s="41"/>
      <c r="Q5241" s="14"/>
      <c r="R5241" s="11"/>
    </row>
    <row r="5242" s="1" customFormat="1" ht="9.95" customHeight="1" spans="1:19">
      <c r="A5242" s="7"/>
      <c r="B5242" s="12"/>
      <c r="C5242" s="30"/>
      <c r="D5242" s="31"/>
      <c r="E5242" s="31"/>
      <c r="F5242" s="29"/>
      <c r="G5242" s="31"/>
      <c r="H5242" s="31"/>
      <c r="I5242" s="31"/>
      <c r="J5242" s="31"/>
      <c r="K5242" s="31"/>
      <c r="L5242" s="31"/>
      <c r="M5242" s="31"/>
      <c r="N5242" s="31"/>
      <c r="O5242" s="31"/>
      <c r="P5242" s="32"/>
      <c r="Q5242" s="14"/>
      <c r="R5242" s="11"/>
    </row>
    <row r="5243" s="1" customFormat="1" ht="9.95" customHeight="1" spans="1:19">
      <c r="A5243" s="7"/>
      <c r="B5243" s="12"/>
      <c r="C5243" s="33"/>
      <c r="D5243" s="29"/>
      <c r="E5243" s="29"/>
      <c r="F5243" s="29"/>
      <c r="G5243" s="29"/>
      <c r="H5243" s="29"/>
      <c r="I5243" s="29"/>
      <c r="J5243" s="29"/>
      <c r="K5243" s="29"/>
      <c r="L5243" s="29"/>
      <c r="M5243" s="29"/>
      <c r="N5243" s="29"/>
      <c r="O5243" s="29"/>
      <c r="P5243" s="19"/>
      <c r="Q5243" s="14"/>
      <c r="R5243" s="11"/>
    </row>
    <row r="5244" s="1" customFormat="1" ht="9.95" customHeight="1" spans="1:19">
      <c r="A5244" s="7"/>
      <c r="B5244" s="12"/>
      <c r="C5244" s="33"/>
      <c r="D5244" s="29"/>
      <c r="E5244" s="29"/>
      <c r="F5244" s="29"/>
      <c r="G5244" s="29"/>
      <c r="H5244" s="29"/>
      <c r="I5244" s="29"/>
      <c r="J5244" s="29"/>
      <c r="K5244" s="29"/>
      <c r="L5244" s="29"/>
      <c r="M5244" s="29"/>
      <c r="N5244" s="29"/>
      <c r="O5244" s="29"/>
      <c r="P5244" s="19"/>
      <c r="Q5244" s="14"/>
      <c r="R5244" s="11"/>
    </row>
    <row r="5245" s="1" customFormat="1" ht="21.95" customHeight="1" spans="1:19">
      <c r="A5245" s="7"/>
      <c r="B5245" s="12"/>
      <c r="C5245" s="210"/>
      <c r="D5245" s="211"/>
      <c r="E5245" s="211"/>
      <c r="F5245" s="211"/>
      <c r="G5245" s="211"/>
      <c r="H5245" s="211"/>
      <c r="I5245" s="211"/>
      <c r="J5245" s="211"/>
      <c r="K5245" s="211"/>
      <c r="L5245" s="211"/>
      <c r="M5245" s="211"/>
      <c r="N5245" s="211"/>
      <c r="O5245" s="211"/>
      <c r="P5245" s="212"/>
      <c r="Q5245" s="14"/>
      <c r="R5245" s="11"/>
      <c r="S5245" s="2"/>
    </row>
    <row r="5246" s="1" customFormat="1" ht="21.95" customHeight="1" spans="1:19">
      <c r="A5246" s="7"/>
      <c r="B5246" s="12"/>
      <c r="C5246" s="33"/>
      <c r="D5246" s="207" t="s">
        <v>722</v>
      </c>
      <c r="E5246" s="207"/>
      <c r="F5246" s="207"/>
      <c r="G5246" s="207"/>
      <c r="H5246" s="54">
        <f>IFERROR(VLOOKUP(F5214,PASHEET!$A$4:$CJ$103,88,0),"")</f>
        <v>0</v>
      </c>
      <c r="I5246" s="54"/>
      <c r="J5246" s="29"/>
      <c r="K5246" s="29"/>
      <c r="L5246" s="29"/>
      <c r="M5246" s="29"/>
      <c r="N5246" s="29"/>
      <c r="O5246" s="29"/>
      <c r="P5246" s="19"/>
      <c r="Q5246" s="14"/>
      <c r="R5246" s="11"/>
    </row>
    <row r="5247" s="1" customFormat="1" ht="21.95" customHeight="1" spans="1:19">
      <c r="A5247" s="7"/>
      <c r="B5247" s="12"/>
      <c r="C5247" s="213"/>
      <c r="D5247" s="207" t="s">
        <v>723</v>
      </c>
      <c r="E5247" s="207"/>
      <c r="F5247" s="207"/>
      <c r="G5247" s="207"/>
      <c r="H5247" s="54">
        <f>IFERROR(VLOOKUP(F5214,PASHEET!$A$4:$CJ$103,87,0),"")</f>
        <v>0</v>
      </c>
      <c r="I5247" s="54"/>
      <c r="J5247" s="214"/>
      <c r="K5247" s="214"/>
      <c r="L5247" s="207" t="s">
        <v>724</v>
      </c>
      <c r="M5247" s="207"/>
      <c r="N5247" s="117" t="str">
        <f>IF(F5214&gt;ENTRY!$D$24,"",IF(F5214&gt;0,L5238&amp;" / "&amp;600,""))</f>
        <v/>
      </c>
      <c r="O5247" s="117"/>
      <c r="P5247" s="215"/>
      <c r="Q5247" s="14"/>
      <c r="R5247" s="11"/>
    </row>
    <row r="5248" s="1" customFormat="1" ht="18" customHeight="1" spans="1:19">
      <c r="A5248" s="7"/>
      <c r="B5248" s="12"/>
      <c r="C5248" s="33"/>
      <c r="D5248" s="207" t="s">
        <v>725</v>
      </c>
      <c r="E5248" s="207"/>
      <c r="F5248" s="207"/>
      <c r="G5248" s="207"/>
      <c r="H5248" s="69" t="str">
        <f>IFERROR(IF(F5214&gt;0,H5247/H5246*100),"")</f>
        <v/>
      </c>
      <c r="I5248" s="69"/>
      <c r="J5248" s="29"/>
      <c r="K5248" s="29"/>
      <c r="L5248" s="207" t="s">
        <v>726</v>
      </c>
      <c r="M5248" s="207"/>
      <c r="N5248" s="216" t="str">
        <f>IF(F5214&gt;ENTRY!$D$24,"",IF(F5214&gt;0,L5238/600*100,""))</f>
        <v/>
      </c>
      <c r="O5248" s="216"/>
      <c r="P5248" s="19"/>
      <c r="Q5248" s="14"/>
      <c r="R5248" s="11"/>
    </row>
    <row r="5249" s="1" customFormat="1" ht="21.95" customHeight="1" spans="1:18">
      <c r="A5249" s="7"/>
      <c r="B5249" s="12"/>
      <c r="C5249" s="33"/>
      <c r="D5249" s="80"/>
      <c r="E5249" s="80"/>
      <c r="F5249" s="217"/>
      <c r="G5249" s="217"/>
      <c r="H5249" s="217"/>
      <c r="I5249" s="217"/>
      <c r="J5249" s="217"/>
      <c r="K5249" s="217"/>
      <c r="L5249" s="217"/>
      <c r="M5249" s="217"/>
      <c r="N5249" s="80"/>
      <c r="O5249" s="80"/>
      <c r="P5249" s="19"/>
      <c r="Q5249" s="14"/>
      <c r="R5249" s="11"/>
    </row>
    <row r="5250" s="1" customFormat="1" ht="21.95" customHeight="1" spans="1:18">
      <c r="A5250" s="7"/>
      <c r="B5250" s="12"/>
      <c r="C5250" s="33"/>
      <c r="D5250" s="80"/>
      <c r="E5250" s="218"/>
      <c r="F5250" s="218"/>
      <c r="G5250" s="218"/>
      <c r="H5250" s="80"/>
      <c r="I5250" s="218"/>
      <c r="J5250" s="218"/>
      <c r="K5250" s="218"/>
      <c r="L5250" s="218"/>
      <c r="M5250" s="80"/>
      <c r="N5250" s="219"/>
      <c r="O5250" s="219"/>
      <c r="P5250" s="19"/>
      <c r="Q5250" s="14"/>
      <c r="R5250" s="11"/>
    </row>
    <row r="5251" s="1" customFormat="1" ht="21.95" customHeight="1" spans="1:18">
      <c r="A5251" s="7"/>
      <c r="B5251" s="12"/>
      <c r="C5251" s="33"/>
      <c r="D5251" s="80"/>
      <c r="E5251" s="80"/>
      <c r="F5251" s="80"/>
      <c r="G5251" s="80"/>
      <c r="H5251" s="80"/>
      <c r="I5251" s="80"/>
      <c r="J5251" s="80"/>
      <c r="K5251" s="80"/>
      <c r="L5251" s="80"/>
      <c r="M5251" s="80"/>
      <c r="N5251" s="80"/>
      <c r="O5251" s="80"/>
      <c r="P5251" s="19"/>
      <c r="Q5251" s="14"/>
      <c r="R5251" s="11"/>
    </row>
    <row r="5252" s="1" customFormat="1" ht="21.95" customHeight="1" spans="1:18">
      <c r="A5252" s="7"/>
      <c r="B5252" s="12"/>
      <c r="C5252" s="33"/>
      <c r="D5252" s="218"/>
      <c r="E5252" s="218"/>
      <c r="F5252" s="218"/>
      <c r="G5252" s="218"/>
      <c r="H5252" s="218"/>
      <c r="I5252" s="218"/>
      <c r="J5252" s="218"/>
      <c r="K5252" s="218"/>
      <c r="L5252" s="218"/>
      <c r="M5252" s="80"/>
      <c r="N5252" s="217"/>
      <c r="O5252" s="217"/>
      <c r="P5252" s="85" t="s">
        <v>727</v>
      </c>
      <c r="Q5252" s="14"/>
      <c r="R5252" s="11"/>
    </row>
    <row r="5253" s="1" customFormat="1" ht="21.95" customHeight="1" spans="1:18">
      <c r="A5253" s="7"/>
      <c r="B5253" s="12"/>
      <c r="C5253" s="33"/>
      <c r="D5253" s="29"/>
      <c r="E5253" s="29"/>
      <c r="F5253" s="29"/>
      <c r="G5253" s="29"/>
      <c r="H5253" s="29"/>
      <c r="I5253" s="29"/>
      <c r="J5253" s="29"/>
      <c r="K5253" s="29"/>
      <c r="L5253" s="29"/>
      <c r="M5253" s="29"/>
      <c r="N5253" s="29"/>
      <c r="O5253" s="29"/>
      <c r="P5253" s="19"/>
      <c r="Q5253" s="14"/>
      <c r="R5253" s="11"/>
    </row>
    <row r="5254" s="1" customFormat="1" ht="21.95" customHeight="1" spans="1:18">
      <c r="A5254" s="7"/>
      <c r="B5254" s="12"/>
      <c r="C5254" s="33"/>
      <c r="D5254" s="29"/>
      <c r="E5254" s="29"/>
      <c r="F5254" s="29"/>
      <c r="G5254" s="29"/>
      <c r="H5254" s="29"/>
      <c r="I5254" s="29"/>
      <c r="J5254" s="29"/>
      <c r="K5254" s="29"/>
      <c r="L5254" s="29"/>
      <c r="M5254" s="29"/>
      <c r="N5254" s="29"/>
      <c r="O5254" s="29"/>
      <c r="P5254" s="19"/>
      <c r="Q5254" s="14"/>
      <c r="R5254" s="11"/>
    </row>
    <row r="5255" s="1" customFormat="1" ht="21.95" customHeight="1" spans="1:18">
      <c r="A5255" s="7"/>
      <c r="B5255" s="12"/>
      <c r="C5255" s="33"/>
      <c r="D5255" s="29"/>
      <c r="E5255" s="29"/>
      <c r="F5255" s="29"/>
      <c r="G5255" s="29"/>
      <c r="H5255" s="29"/>
      <c r="I5255" s="29"/>
      <c r="J5255" s="29"/>
      <c r="K5255" s="29"/>
      <c r="L5255" s="29"/>
      <c r="M5255" s="29"/>
      <c r="N5255" s="29"/>
      <c r="O5255" s="29"/>
      <c r="P5255" s="19"/>
      <c r="Q5255" s="14"/>
      <c r="R5255" s="11"/>
    </row>
    <row r="5256" s="1" customFormat="1" ht="21.95" customHeight="1" spans="1:18">
      <c r="A5256" s="7"/>
      <c r="B5256" s="12"/>
      <c r="C5256" s="33"/>
      <c r="D5256" s="29"/>
      <c r="E5256" s="29"/>
      <c r="F5256" s="29"/>
      <c r="G5256" s="29"/>
      <c r="H5256" s="29"/>
      <c r="I5256" s="29"/>
      <c r="J5256" s="29"/>
      <c r="K5256" s="29"/>
      <c r="L5256" s="29"/>
      <c r="M5256" s="29"/>
      <c r="N5256" s="29"/>
      <c r="O5256" s="29"/>
      <c r="P5256" s="19"/>
      <c r="Q5256" s="14"/>
      <c r="R5256" s="11"/>
    </row>
    <row r="5257" s="1" customFormat="1" ht="21.95" customHeight="1" spans="1:18">
      <c r="A5257" s="7"/>
      <c r="B5257" s="12"/>
      <c r="C5257" s="33"/>
      <c r="D5257" s="29"/>
      <c r="E5257" s="29"/>
      <c r="F5257" s="29"/>
      <c r="G5257" s="29"/>
      <c r="H5257" s="29"/>
      <c r="I5257" s="29"/>
      <c r="J5257" s="29"/>
      <c r="K5257" s="29"/>
      <c r="L5257" s="29"/>
      <c r="M5257" s="29"/>
      <c r="N5257" s="29"/>
      <c r="O5257" s="29"/>
      <c r="P5257" s="19"/>
      <c r="Q5257" s="14"/>
      <c r="R5257" s="11"/>
    </row>
    <row r="5258" s="1" customFormat="1" ht="21.95" customHeight="1" spans="1:18">
      <c r="A5258" s="7"/>
      <c r="B5258" s="12"/>
      <c r="C5258" s="33"/>
      <c r="D5258" s="80" t="s">
        <v>728</v>
      </c>
      <c r="E5258" s="220">
        <f>ENTRY!$D$27</f>
        <v>46102</v>
      </c>
      <c r="F5258" s="220"/>
      <c r="G5258" s="29"/>
      <c r="H5258" s="29"/>
      <c r="I5258" s="221" t="s">
        <v>729</v>
      </c>
      <c r="J5258" s="153"/>
      <c r="K5258" s="29"/>
      <c r="L5258" s="29"/>
      <c r="M5258" s="87" t="s">
        <v>730</v>
      </c>
      <c r="N5258" s="87"/>
      <c r="O5258" s="87"/>
      <c r="P5258" s="19"/>
      <c r="Q5258" s="14"/>
      <c r="R5258" s="11"/>
    </row>
    <row r="5259" s="1" customFormat="1" ht="21.95" customHeight="1" spans="1:18">
      <c r="A5259" s="7"/>
      <c r="B5259" s="12"/>
      <c r="C5259" s="33"/>
      <c r="D5259" s="80" t="s">
        <v>731</v>
      </c>
      <c r="E5259" s="88" t="str">
        <f>PROPER(ENTRY!$D$28)</f>
        <v>New Delhi</v>
      </c>
      <c r="F5259" s="88"/>
      <c r="G5259" s="29"/>
      <c r="H5259" s="29"/>
      <c r="I5259" s="153"/>
      <c r="J5259" s="153"/>
      <c r="K5259" s="29"/>
      <c r="L5259" s="29"/>
      <c r="M5259" s="79" t="s">
        <v>732</v>
      </c>
      <c r="N5259" s="79"/>
      <c r="O5259" s="79"/>
      <c r="P5259" s="19"/>
      <c r="Q5259" s="14"/>
      <c r="R5259" s="11"/>
    </row>
    <row r="5260" s="1" customFormat="1" ht="21.95" customHeight="1" spans="1:18">
      <c r="A5260" s="7"/>
      <c r="B5260" s="12"/>
      <c r="C5260" s="90"/>
      <c r="D5260" s="91"/>
      <c r="E5260" s="91"/>
      <c r="F5260" s="91"/>
      <c r="G5260" s="91"/>
      <c r="H5260" s="91"/>
      <c r="I5260" s="91"/>
      <c r="J5260" s="91"/>
      <c r="K5260" s="91"/>
      <c r="L5260" s="91"/>
      <c r="M5260" s="91"/>
      <c r="N5260" s="91"/>
      <c r="O5260" s="91"/>
      <c r="P5260" s="92"/>
      <c r="Q5260" s="14"/>
      <c r="R5260" s="11"/>
    </row>
    <row r="5261" s="1" customFormat="1" ht="5.1" customHeight="1" spans="1:18">
      <c r="A5261" s="7"/>
      <c r="B5261" s="90"/>
      <c r="C5261" s="91"/>
      <c r="D5261" s="91"/>
      <c r="E5261" s="91"/>
      <c r="F5261" s="91"/>
      <c r="G5261" s="91"/>
      <c r="H5261" s="91"/>
      <c r="I5261" s="91"/>
      <c r="J5261" s="91"/>
      <c r="K5261" s="91"/>
      <c r="L5261" s="91"/>
      <c r="M5261" s="91"/>
      <c r="N5261" s="91"/>
      <c r="O5261" s="91"/>
      <c r="P5261" s="91"/>
      <c r="Q5261" s="92"/>
      <c r="R5261" s="11"/>
    </row>
    <row r="5262" s="1" customFormat="1" ht="5.1" customHeight="1" spans="1:18">
      <c r="A5262" s="93"/>
      <c r="B5262" s="94"/>
      <c r="C5262" s="94"/>
      <c r="D5262" s="94"/>
      <c r="E5262" s="94"/>
      <c r="F5262" s="94"/>
      <c r="G5262" s="94"/>
      <c r="H5262" s="94"/>
      <c r="I5262" s="94"/>
      <c r="J5262" s="94"/>
      <c r="K5262" s="94"/>
      <c r="L5262" s="94"/>
      <c r="M5262" s="94"/>
      <c r="N5262" s="94"/>
      <c r="O5262" s="94"/>
      <c r="P5262" s="94"/>
      <c r="Q5262" s="94"/>
      <c r="R5262" s="95"/>
    </row>
    <row r="5263" s="1" customFormat="1" ht="21.95" customHeight="1"/>
    <row r="5264" ht="15.15"/>
    <row r="5265" s="1" customFormat="1" ht="5.1" customHeight="1" spans="1:18">
      <c r="A5265" s="4"/>
      <c r="B5265" s="5"/>
      <c r="C5265" s="5"/>
      <c r="D5265" s="5"/>
      <c r="E5265" s="5"/>
      <c r="F5265" s="5"/>
      <c r="G5265" s="5"/>
      <c r="H5265" s="5"/>
      <c r="I5265" s="5"/>
      <c r="J5265" s="5"/>
      <c r="K5265" s="5"/>
      <c r="L5265" s="5"/>
      <c r="M5265" s="5"/>
      <c r="N5265" s="5"/>
      <c r="O5265" s="5"/>
      <c r="P5265" s="5"/>
      <c r="Q5265" s="5"/>
      <c r="R5265" s="6"/>
    </row>
    <row r="5266" s="1" customFormat="1" ht="15" customHeight="1" spans="1:18">
      <c r="A5266" s="7"/>
      <c r="B5266" s="8"/>
      <c r="C5266" s="9"/>
      <c r="D5266" s="9"/>
      <c r="E5266" s="9"/>
      <c r="F5266" s="9"/>
      <c r="G5266" s="9"/>
      <c r="H5266" s="9"/>
      <c r="I5266" s="9"/>
      <c r="J5266" s="9"/>
      <c r="K5266" s="9"/>
      <c r="L5266" s="9"/>
      <c r="M5266" s="9"/>
      <c r="N5266" s="9"/>
      <c r="O5266" s="9"/>
      <c r="P5266" s="9"/>
      <c r="Q5266" s="10"/>
      <c r="R5266" s="11"/>
    </row>
    <row r="5267" s="1" customFormat="1" ht="21.95" customHeight="1" spans="1:18">
      <c r="A5267" s="7"/>
      <c r="B5267" s="12"/>
      <c r="C5267" s="13" t="s">
        <v>7</v>
      </c>
      <c r="D5267" s="13"/>
      <c r="E5267" s="13"/>
      <c r="F5267" s="13"/>
      <c r="G5267" s="13"/>
      <c r="H5267" s="13"/>
      <c r="I5267" s="13"/>
      <c r="J5267" s="13"/>
      <c r="K5267" s="13"/>
      <c r="L5267" s="13"/>
      <c r="M5267" s="13"/>
      <c r="N5267" s="13"/>
      <c r="O5267" s="13"/>
      <c r="P5267" s="13"/>
      <c r="Q5267" s="14"/>
      <c r="R5267" s="11"/>
    </row>
    <row r="5268" s="1" customFormat="1" ht="21.95" customHeight="1" spans="1:18">
      <c r="A5268" s="7"/>
      <c r="B5268" s="1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14"/>
      <c r="R5268" s="11"/>
    </row>
    <row r="5269" s="1" customFormat="1" ht="21.95" customHeight="1" spans="1:18">
      <c r="A5269" s="7"/>
      <c r="B5269" s="12"/>
      <c r="C5269" s="15" t="str">
        <f>"SESSION-"&amp;ENTRY!$D$11</f>
        <v>SESSION-2026-27</v>
      </c>
      <c r="D5269" s="15"/>
      <c r="E5269" s="15"/>
      <c r="F5269" s="15"/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  <c r="Q5269" s="14"/>
      <c r="R5269" s="11"/>
    </row>
    <row r="5270" s="1" customFormat="1" ht="21.95" customHeight="1" spans="1:18">
      <c r="A5270" s="7"/>
      <c r="B5270" s="12"/>
      <c r="C5270" s="2"/>
      <c r="D5270" s="2"/>
      <c r="E5270" s="2"/>
      <c r="F5270" s="16">
        <f>F5214+1</f>
        <v>95</v>
      </c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14"/>
      <c r="R5270" s="11"/>
    </row>
    <row r="5271" s="1" customFormat="1" ht="21.95" customHeight="1" spans="1:18">
      <c r="A5271" s="7"/>
      <c r="B5271" s="12"/>
      <c r="C5271" s="17" t="s">
        <v>392</v>
      </c>
      <c r="D5271" s="17"/>
      <c r="E5271" s="17"/>
      <c r="F5271" s="18" t="str">
        <f>IF(F5270&gt;0,ENTRY!$D$6,"")</f>
        <v>MCP NITHARI NO 1 BOYS</v>
      </c>
      <c r="G5271" s="18"/>
      <c r="H5271" s="18"/>
      <c r="I5271" s="18"/>
      <c r="J5271" s="18"/>
      <c r="K5271" s="18"/>
      <c r="L5271" s="18"/>
      <c r="M5271" s="18"/>
      <c r="N5271" s="18"/>
      <c r="O5271" s="18"/>
      <c r="P5271" s="18"/>
      <c r="Q5271" s="14"/>
      <c r="R5271" s="11"/>
    </row>
    <row r="5272" s="1" customFormat="1" ht="21.95" customHeight="1" spans="1:18">
      <c r="A5272" s="7"/>
      <c r="B5272" s="12"/>
      <c r="C5272" s="17" t="s">
        <v>393</v>
      </c>
      <c r="D5272" s="17"/>
      <c r="E5272" s="17"/>
      <c r="F5272" s="18">
        <f>IF(F5270&gt;0,ENTRY!$D$7,"")</f>
        <v>0</v>
      </c>
      <c r="G5272" s="18"/>
      <c r="H5272" s="20" t="s">
        <v>702</v>
      </c>
      <c r="I5272" s="20"/>
      <c r="J5272" s="21">
        <f>IF(F5270&gt;0,ENTRY!$D$10,"")</f>
        <v>40</v>
      </c>
      <c r="K5272" s="20" t="s">
        <v>703</v>
      </c>
      <c r="L5272" s="22" t="str">
        <f>IF(F5270&gt;0,ENTRY!$D$5,"")</f>
        <v>ROHINI ZONE</v>
      </c>
      <c r="M5272" s="22"/>
      <c r="N5272" s="22"/>
      <c r="O5272" s="22"/>
      <c r="P5272" s="22"/>
      <c r="Q5272" s="14"/>
      <c r="R5272" s="11"/>
    </row>
    <row r="5273" s="1" customFormat="1" ht="21.95" customHeight="1" spans="1:18">
      <c r="A5273" s="7"/>
      <c r="B5273" s="12"/>
      <c r="C5273" s="17" t="s">
        <v>706</v>
      </c>
      <c r="D5273" s="17"/>
      <c r="E5273" s="17"/>
      <c r="F5273" s="23">
        <f>IFERROR(VLOOKUP(F5270,STUDENT!$A$2:$BP$101,5,0),"")</f>
        <v>0</v>
      </c>
      <c r="G5273" s="23"/>
      <c r="H5273" s="23"/>
      <c r="I5273" s="23"/>
      <c r="J5273" s="23"/>
      <c r="K5273" s="23"/>
      <c r="L5273" s="20" t="s">
        <v>707</v>
      </c>
      <c r="M5273" s="20"/>
      <c r="N5273" s="24" t="str">
        <f>IF(F5270&gt;0,ENTRY!$D$20&amp;"-"&amp;ENTRY!$D$21,"")</f>
        <v>III-A</v>
      </c>
      <c r="O5273" s="24"/>
      <c r="P5273" s="24"/>
      <c r="Q5273" s="14"/>
      <c r="R5273" s="11"/>
    </row>
    <row r="5274" s="1" customFormat="1" ht="21.95" customHeight="1" spans="1:18">
      <c r="A5274" s="7"/>
      <c r="B5274" s="12"/>
      <c r="C5274" s="17" t="s">
        <v>708</v>
      </c>
      <c r="D5274" s="17"/>
      <c r="E5274" s="17"/>
      <c r="F5274" s="25">
        <f>IFERROR(VLOOKUP(F5270,STUDENT!$A$2:$BP$101,6,0),"")</f>
        <v>0</v>
      </c>
      <c r="G5274" s="25"/>
      <c r="H5274" s="26" t="s">
        <v>709</v>
      </c>
      <c r="I5274" s="27" t="str">
        <f>IFERROR(VLOOKUP(F5270,STUDENT!$A$2:$BP$101,59,0),"")</f>
        <v/>
      </c>
      <c r="J5274" s="27"/>
      <c r="K5274" s="20" t="s">
        <v>710</v>
      </c>
      <c r="L5274" s="20"/>
      <c r="M5274" s="28">
        <f>IFERROR(VLOOKUP(F5270,STUDENT!$A$2:$BP$101,20,0),"")</f>
        <v>0</v>
      </c>
      <c r="N5274" s="28"/>
      <c r="O5274" s="28"/>
      <c r="P5274" s="28"/>
      <c r="Q5274" s="14"/>
      <c r="R5274" s="11"/>
    </row>
    <row r="5275" s="1" customFormat="1" ht="21.95" customHeight="1" spans="1:18">
      <c r="A5275" s="7"/>
      <c r="B5275" s="12"/>
      <c r="C5275" s="17" t="s">
        <v>711</v>
      </c>
      <c r="D5275" s="17"/>
      <c r="E5275" s="17"/>
      <c r="F5275" s="23">
        <f>IFERROR(VLOOKUP(F5270,STUDENT!$A$2:$BP$101,9,0),"")</f>
        <v>0</v>
      </c>
      <c r="G5275" s="23"/>
      <c r="H5275" s="23"/>
      <c r="I5275" s="23"/>
      <c r="J5275" s="17" t="s">
        <v>620</v>
      </c>
      <c r="K5275" s="17"/>
      <c r="L5275" s="23">
        <f>IFERROR(VLOOKUP(F5270,STUDENT!$A$2:$BP$101,8,0),"")</f>
        <v>0</v>
      </c>
      <c r="M5275" s="23"/>
      <c r="N5275" s="23"/>
      <c r="O5275" s="23"/>
      <c r="P5275" s="23"/>
      <c r="Q5275" s="14"/>
      <c r="R5275" s="11"/>
    </row>
    <row r="5276" s="1" customFormat="1" ht="21.95" customHeight="1" spans="1:18">
      <c r="A5276" s="7"/>
      <c r="B5276" s="12"/>
      <c r="C5276" s="17" t="s">
        <v>712</v>
      </c>
      <c r="D5276" s="17"/>
      <c r="E5276" s="17"/>
      <c r="F5276" s="23">
        <f>IFERROR(VLOOKUP(F5270,STUDENT!$A$2:$BP$101,22,0),"")</f>
        <v>0</v>
      </c>
      <c r="G5276" s="23"/>
      <c r="H5276" s="23"/>
      <c r="I5276" s="23"/>
      <c r="J5276" s="23"/>
      <c r="K5276" s="23"/>
      <c r="L5276" s="23"/>
      <c r="M5276" s="23"/>
      <c r="N5276" s="23"/>
      <c r="O5276" s="23"/>
      <c r="P5276" s="23"/>
      <c r="Q5276" s="14"/>
      <c r="R5276" s="11"/>
    </row>
    <row r="5277" s="1" customFormat="1" ht="9.95" customHeight="1" spans="1:18">
      <c r="A5277" s="7"/>
      <c r="B5277" s="12"/>
      <c r="C5277" s="29"/>
      <c r="D5277" s="29"/>
      <c r="E5277" s="29"/>
      <c r="F5277" s="29"/>
      <c r="G5277" s="29"/>
      <c r="H5277" s="29"/>
      <c r="I5277" s="29"/>
      <c r="J5277" s="29"/>
      <c r="K5277" s="29"/>
      <c r="L5277" s="29"/>
      <c r="M5277" s="29"/>
      <c r="N5277" s="29"/>
      <c r="O5277" s="29"/>
      <c r="P5277" s="29"/>
      <c r="Q5277" s="14"/>
      <c r="R5277" s="11"/>
    </row>
    <row r="5278" s="1" customFormat="1" ht="9.95" customHeight="1" spans="1:18">
      <c r="A5278" s="7"/>
      <c r="B5278" s="12"/>
      <c r="C5278" s="30"/>
      <c r="D5278" s="31"/>
      <c r="E5278" s="31"/>
      <c r="F5278" s="31"/>
      <c r="G5278" s="31"/>
      <c r="H5278" s="31"/>
      <c r="I5278" s="31"/>
      <c r="J5278" s="31"/>
      <c r="K5278" s="31"/>
      <c r="L5278" s="31"/>
      <c r="M5278" s="31"/>
      <c r="N5278" s="31"/>
      <c r="O5278" s="31"/>
      <c r="P5278" s="32"/>
      <c r="Q5278" s="14"/>
      <c r="R5278" s="11"/>
    </row>
    <row r="5279" s="1" customFormat="1" ht="21.95" customHeight="1" spans="1:18">
      <c r="A5279" s="7"/>
      <c r="B5279" s="12"/>
      <c r="C5279" s="33"/>
      <c r="D5279" s="34" t="s">
        <v>713</v>
      </c>
      <c r="E5279" s="20" t="s">
        <v>714</v>
      </c>
      <c r="F5279" s="35" t="str">
        <f>"Level - "&amp;IFERROR(VLOOKUP(F5270,FLN!$A$4:$K$103,9,0),"")</f>
        <v>Level - </v>
      </c>
      <c r="G5279" s="36"/>
      <c r="H5279" s="37" t="s">
        <v>715</v>
      </c>
      <c r="I5279" s="20"/>
      <c r="J5279" s="35" t="str">
        <f>"Level - "&amp;IFERROR(VLOOKUP(F5270,FLN!$A$4:$K$103,11,0),"")</f>
        <v>Level - </v>
      </c>
      <c r="K5279" s="36"/>
      <c r="L5279" s="37" t="s">
        <v>408</v>
      </c>
      <c r="M5279" s="20"/>
      <c r="N5279" s="35" t="str">
        <f>"Level - "&amp;IFERROR(VLOOKUP(F5270,FLN!$A$4:$K$103,10,0),"")</f>
        <v>Level - </v>
      </c>
      <c r="O5279" s="36"/>
      <c r="P5279" s="19"/>
      <c r="Q5279" s="14"/>
      <c r="R5279" s="11"/>
    </row>
    <row r="5280" s="1" customFormat="1" ht="21.95" customHeight="1" spans="1:18">
      <c r="A5280" s="7"/>
      <c r="B5280" s="12"/>
      <c r="C5280" s="33"/>
      <c r="D5280" s="38"/>
      <c r="E5280" s="20" t="s">
        <v>716</v>
      </c>
      <c r="F5280" s="18" t="str">
        <f>IF(L5294&gt;197,"PERFORMED WELL","")</f>
        <v/>
      </c>
      <c r="G5280" s="18"/>
      <c r="H5280" s="18"/>
      <c r="I5280" s="18"/>
      <c r="J5280" s="18"/>
      <c r="K5280" s="18"/>
      <c r="L5280" s="18"/>
      <c r="M5280" s="18"/>
      <c r="N5280" s="18"/>
      <c r="O5280" s="18"/>
      <c r="P5280" s="19"/>
      <c r="Q5280" s="14"/>
      <c r="R5280" s="11"/>
    </row>
    <row r="5281" s="1" customFormat="1" ht="9.95" customHeight="1" spans="1:18">
      <c r="A5281" s="7"/>
      <c r="B5281" s="12"/>
      <c r="C5281" s="39"/>
      <c r="D5281" s="40"/>
      <c r="E5281" s="40"/>
      <c r="F5281" s="40"/>
      <c r="G5281" s="40"/>
      <c r="H5281" s="40"/>
      <c r="I5281" s="40"/>
      <c r="J5281" s="40"/>
      <c r="K5281" s="40"/>
      <c r="L5281" s="40"/>
      <c r="M5281" s="40"/>
      <c r="N5281" s="40"/>
      <c r="O5281" s="40"/>
      <c r="P5281" s="41"/>
      <c r="Q5281" s="14"/>
      <c r="R5281" s="11"/>
    </row>
    <row r="5282" s="1" customFormat="1" ht="9.95" customHeight="1" spans="1:18">
      <c r="A5282" s="7"/>
      <c r="B5282" s="12"/>
      <c r="C5282" s="29"/>
      <c r="D5282" s="29"/>
      <c r="E5282" s="29"/>
      <c r="F5282" s="29"/>
      <c r="G5282" s="29"/>
      <c r="H5282" s="29"/>
      <c r="I5282" s="29"/>
      <c r="J5282" s="29"/>
      <c r="K5282" s="29"/>
      <c r="L5282" s="29"/>
      <c r="M5282" s="29"/>
      <c r="N5282" s="29"/>
      <c r="O5282" s="29"/>
      <c r="P5282" s="29"/>
      <c r="Q5282" s="14"/>
      <c r="R5282" s="11"/>
    </row>
    <row r="5283" s="1" customFormat="1" ht="9.95" customHeight="1" spans="1:18">
      <c r="A5283" s="7"/>
      <c r="B5283" s="12"/>
      <c r="C5283" s="30"/>
      <c r="D5283" s="31"/>
      <c r="E5283" s="31"/>
      <c r="F5283" s="31"/>
      <c r="G5283" s="31"/>
      <c r="H5283" s="31"/>
      <c r="I5283" s="31"/>
      <c r="J5283" s="31"/>
      <c r="K5283" s="31"/>
      <c r="L5283" s="31"/>
      <c r="M5283" s="31"/>
      <c r="N5283" s="31"/>
      <c r="O5283" s="31"/>
      <c r="P5283" s="32"/>
      <c r="Q5283" s="14"/>
      <c r="R5283" s="11"/>
    </row>
    <row r="5284" s="1" customFormat="1" ht="21.95" customHeight="1" spans="1:18">
      <c r="A5284" s="7"/>
      <c r="B5284" s="12"/>
      <c r="C5284" s="33"/>
      <c r="D5284" s="35"/>
      <c r="E5284" s="24"/>
      <c r="F5284" s="24"/>
      <c r="G5284" s="47" t="s">
        <v>717</v>
      </c>
      <c r="H5284" s="47"/>
      <c r="I5284" s="47"/>
      <c r="J5284" s="47"/>
      <c r="K5284" s="47"/>
      <c r="L5284" s="47"/>
      <c r="M5284" s="47"/>
      <c r="N5284" s="47"/>
      <c r="O5284" s="29"/>
      <c r="P5284" s="19"/>
      <c r="Q5284" s="14"/>
      <c r="R5284" s="11"/>
    </row>
    <row r="5285" s="1" customFormat="1" ht="21.95" customHeight="1" spans="1:18">
      <c r="A5285" s="7"/>
      <c r="B5285" s="12"/>
      <c r="C5285" s="33"/>
      <c r="D5285" s="47"/>
      <c r="E5285" s="47"/>
      <c r="F5285" s="47"/>
      <c r="G5285" s="47" t="s">
        <v>541</v>
      </c>
      <c r="H5285" s="47" t="s">
        <v>542</v>
      </c>
      <c r="I5285" s="47" t="s">
        <v>543</v>
      </c>
      <c r="J5285" s="47" t="s">
        <v>544</v>
      </c>
      <c r="K5285" s="47" t="s">
        <v>561</v>
      </c>
      <c r="L5285" s="47" t="s">
        <v>382</v>
      </c>
      <c r="M5285" s="49" t="s">
        <v>546</v>
      </c>
      <c r="N5285" s="49"/>
      <c r="O5285" s="29"/>
      <c r="P5285" s="19"/>
      <c r="Q5285" s="14"/>
      <c r="R5285" s="11"/>
    </row>
    <row r="5286" s="1" customFormat="1" ht="21.95" customHeight="1" spans="1:18">
      <c r="A5286" s="7"/>
      <c r="B5286" s="12"/>
      <c r="C5286" s="33"/>
      <c r="D5286" s="207" t="s">
        <v>652</v>
      </c>
      <c r="E5286" s="207"/>
      <c r="F5286" s="207"/>
      <c r="G5286" s="50">
        <v>10</v>
      </c>
      <c r="H5286" s="50">
        <v>10</v>
      </c>
      <c r="I5286" s="50">
        <v>10</v>
      </c>
      <c r="J5286" s="50">
        <v>10</v>
      </c>
      <c r="K5286" s="50">
        <v>60</v>
      </c>
      <c r="L5286" s="50">
        <v>100</v>
      </c>
      <c r="M5286" s="49"/>
      <c r="N5286" s="49"/>
      <c r="O5286" s="29"/>
      <c r="P5286" s="19"/>
      <c r="Q5286" s="14"/>
      <c r="R5286" s="11"/>
    </row>
    <row r="5287" s="1" customFormat="1" ht="21.95" customHeight="1" spans="1:18">
      <c r="A5287" s="7"/>
      <c r="B5287" s="12"/>
      <c r="C5287" s="33"/>
      <c r="D5287" s="117" t="s">
        <v>668</v>
      </c>
      <c r="E5287" s="117"/>
      <c r="F5287" s="117"/>
      <c r="G5287" s="54" t="str">
        <f>IFERROR(VLOOKUP(F5270,'1to4-2.1-RR'!$A$12:$BG$111,9,0),"")</f>
        <v/>
      </c>
      <c r="H5287" s="54" t="str">
        <f>IFERROR(VLOOKUP(F5270,'1to4-2.1-RR'!$A$12:$BG$111,10,0),"")</f>
        <v/>
      </c>
      <c r="I5287" s="54" t="str">
        <f>IFERROR(VLOOKUP(F5270,'1to4-2.1-RR'!$A$12:$BG$111,11,0),"")</f>
        <v/>
      </c>
      <c r="J5287" s="54" t="str">
        <f>IFERROR(VLOOKUP(F5270,'1to4-2.1-RR'!$A$12:$BG$111,12,0),"")</f>
        <v/>
      </c>
      <c r="K5287" s="54" t="str">
        <f>IFERROR(VLOOKUP(F5270,'1to4-2.1-RR'!$A$12:$BG$111,13,0),"")</f>
        <v/>
      </c>
      <c r="L5287" s="55">
        <f>SUM(G5287:K5287)</f>
        <v>0</v>
      </c>
      <c r="M5287" s="56" t="str">
        <f>IF(F5270&gt;ENTRY!$D$24,"",IF(L5287=0,"Ab",IF(L5287&gt;80,"A",IF(L5287&gt;60,"B",IF(L5287&gt;44,"C",IF(L5287&gt;=33,"D",IF(L5287&lt;=32,"E","")))))))</f>
        <v/>
      </c>
      <c r="N5287" s="56"/>
      <c r="O5287" s="29"/>
      <c r="P5287" s="19"/>
      <c r="Q5287" s="14"/>
      <c r="R5287" s="11"/>
    </row>
    <row r="5288" s="1" customFormat="1" ht="21.95" customHeight="1" spans="1:18">
      <c r="A5288" s="7"/>
      <c r="B5288" s="12"/>
      <c r="C5288" s="33"/>
      <c r="D5288" s="117" t="s">
        <v>513</v>
      </c>
      <c r="E5288" s="117"/>
      <c r="F5288" s="117"/>
      <c r="G5288" s="54" t="str">
        <f>IFERROR(VLOOKUP(F5270,'1to4-2.1-RR'!$A$12:$BG$111,16,0),"")</f>
        <v/>
      </c>
      <c r="H5288" s="54" t="str">
        <f>IFERROR(VLOOKUP(F5270,'1to4-2.1-RR'!$A$12:$BG$111,17,0),"")</f>
        <v/>
      </c>
      <c r="I5288" s="54" t="str">
        <f>IFERROR(VLOOKUP(F5270,'1to4-2.1-RR'!$A$12:$BG$111,18,0),"")</f>
        <v/>
      </c>
      <c r="J5288" s="54" t="str">
        <f>IFERROR(VLOOKUP(F5270,'1to4-2.1-RR'!$A$12:$BG$111,19,0),"")</f>
        <v/>
      </c>
      <c r="K5288" s="54" t="str">
        <f>IFERROR(VLOOKUP(F5270,'1to4-2.1-RR'!$A$12:$BG$111,20,0),"")</f>
        <v/>
      </c>
      <c r="L5288" s="55">
        <f t="shared" ref="L5288:L5293" si="188">SUM(G5288:K5288)</f>
        <v>0</v>
      </c>
      <c r="M5288" s="56" t="str">
        <f>IF(F5270&gt;ENTRY!$D$24,"",IF(L5288=0,"Ab",IF(L5288&gt;80,"A",IF(L5288&gt;60,"B",IF(L5288&gt;44,"C",IF(L5288&gt;=33,"D",IF(L5288&lt;=32,"E","")))))))</f>
        <v/>
      </c>
      <c r="N5288" s="56"/>
      <c r="O5288" s="29"/>
      <c r="P5288" s="19"/>
      <c r="Q5288" s="14"/>
      <c r="R5288" s="11"/>
    </row>
    <row r="5289" s="1" customFormat="1" ht="21.95" customHeight="1" spans="1:18">
      <c r="A5289" s="7"/>
      <c r="B5289" s="12"/>
      <c r="C5289" s="33"/>
      <c r="D5289" s="117" t="s">
        <v>718</v>
      </c>
      <c r="E5289" s="117"/>
      <c r="F5289" s="117"/>
      <c r="G5289" s="54" t="str">
        <f>IFERROR(VLOOKUP(F5270,'1to4-2.1-RR'!$A$12:$BG$111,23,0),"")</f>
        <v/>
      </c>
      <c r="H5289" s="54" t="str">
        <f>IFERROR(VLOOKUP(F5270,'1to4-2.1-RR'!$A$12:$BG$111,24,0),"")</f>
        <v/>
      </c>
      <c r="I5289" s="54" t="str">
        <f>IFERROR(VLOOKUP(F5270,'1to4-2.1-RR'!$A$12:$BG$111,25,0),"")</f>
        <v/>
      </c>
      <c r="J5289" s="54" t="str">
        <f>IFERROR(VLOOKUP(F5270,'1to4-2.1-RR'!$A$12:$BG$111,26,0),"")</f>
        <v/>
      </c>
      <c r="K5289" s="54" t="str">
        <f>IFERROR(VLOOKUP(F5270,'1to4-2.1-RR'!$A$12:$BG$111,27,0),"")</f>
        <v/>
      </c>
      <c r="L5289" s="55">
        <f t="shared" si="188"/>
        <v>0</v>
      </c>
      <c r="M5289" s="56" t="str">
        <f>IF(F5270&gt;ENTRY!$D$24,"",IF(L5289=0,"Ab",IF(L5289&gt;80,"A",IF(L5289&gt;60,"B",IF(L5289&gt;44,"C",IF(L5289&gt;=33,"D",IF(L5289&lt;=32,"E","")))))))</f>
        <v/>
      </c>
      <c r="N5289" s="56"/>
      <c r="O5289" s="29"/>
      <c r="P5289" s="19"/>
      <c r="Q5289" s="14"/>
      <c r="R5289" s="11"/>
    </row>
    <row r="5290" s="1" customFormat="1" ht="21.95" customHeight="1" spans="1:18">
      <c r="A5290" s="7"/>
      <c r="B5290" s="12"/>
      <c r="C5290" s="33"/>
      <c r="D5290" s="117" t="s">
        <v>719</v>
      </c>
      <c r="E5290" s="117"/>
      <c r="F5290" s="117"/>
      <c r="G5290" s="54" t="str">
        <f>IFERROR(VLOOKUP(F5270,'1to4-2.1-RR'!$A$12:$BG$111,30,0),"")</f>
        <v/>
      </c>
      <c r="H5290" s="54" t="str">
        <f>IFERROR(VLOOKUP(F5270,'1to4-2.1-RR'!$A$12:$BG$111,31,0),"")</f>
        <v/>
      </c>
      <c r="I5290" s="54" t="str">
        <f>IFERROR(VLOOKUP(F5270,'1to4-2.1-RR'!$A$12:$BG$111,32,0),"")</f>
        <v/>
      </c>
      <c r="J5290" s="54" t="str">
        <f>IFERROR(VLOOKUP(F5270,'1to4-2.1-RR'!$A$12:$BG$111,33,0),"")</f>
        <v/>
      </c>
      <c r="K5290" s="54" t="str">
        <f>IFERROR(VLOOKUP(F5270,'1to4-2.1-RR'!$A$12:$BG$111,34,0),"")</f>
        <v/>
      </c>
      <c r="L5290" s="55">
        <f t="shared" si="188"/>
        <v>0</v>
      </c>
      <c r="M5290" s="56" t="str">
        <f>IF(F5270&gt;ENTRY!$D$24,"",IF(L5290=0,"Ab",IF(L5290&gt;80,"A",IF(L5290&gt;60,"B",IF(L5290&gt;44,"C",IF(L5290&gt;=33,"D",IF(L5290&lt;=32,"E","")))))))</f>
        <v/>
      </c>
      <c r="N5290" s="56"/>
      <c r="O5290" s="29"/>
      <c r="P5290" s="19"/>
      <c r="Q5290" s="14"/>
      <c r="R5290" s="11"/>
    </row>
    <row r="5291" s="1" customFormat="1" ht="21.95" customHeight="1" spans="1:18">
      <c r="A5291" s="7"/>
      <c r="B5291" s="12"/>
      <c r="C5291" s="33"/>
      <c r="D5291" s="117" t="s">
        <v>548</v>
      </c>
      <c r="E5291" s="117"/>
      <c r="F5291" s="117"/>
      <c r="G5291" s="54" t="str">
        <f>IFERROR(VLOOKUP(F5270,'1to4-2.1-RR'!$A$12:$BG$111,37,0),"")</f>
        <v/>
      </c>
      <c r="H5291" s="54" t="str">
        <f>IFERROR(VLOOKUP(F5270,'1to4-2.1-RR'!$A$12:$BG$111,38,0),"")</f>
        <v/>
      </c>
      <c r="I5291" s="54" t="str">
        <f>IFERROR(VLOOKUP(F5270,'1to4-2.1-RR'!$A$12:$BG$111,39,0),"")</f>
        <v/>
      </c>
      <c r="J5291" s="54" t="str">
        <f>IFERROR(VLOOKUP(F5270,'1to4-2.1-RR'!$A$12:$BG$111,40,0),"")</f>
        <v/>
      </c>
      <c r="K5291" s="54" t="str">
        <f>IFERROR(VLOOKUP(F5270,'1to4-2.1-RR'!$A$12:$BG$111,41,0),"")</f>
        <v/>
      </c>
      <c r="L5291" s="55">
        <f t="shared" si="188"/>
        <v>0</v>
      </c>
      <c r="M5291" s="56" t="str">
        <f>IF(F5270&gt;ENTRY!$D$24,"",IF(L5291=0,"Ab",IF(L5291&gt;80,"A",IF(L5291&gt;60,"B",IF(L5291&gt;44,"C",IF(L5291&gt;=33,"D",IF(L5291&lt;=32,"E","")))))))</f>
        <v/>
      </c>
      <c r="N5291" s="56"/>
      <c r="O5291" s="29"/>
      <c r="P5291" s="19"/>
      <c r="Q5291" s="14"/>
      <c r="R5291" s="11"/>
    </row>
    <row r="5292" s="1" customFormat="1" ht="21.95" customHeight="1" spans="1:18">
      <c r="A5292" s="7"/>
      <c r="B5292" s="12"/>
      <c r="C5292" s="33"/>
      <c r="D5292" s="117" t="s">
        <v>549</v>
      </c>
      <c r="E5292" s="117"/>
      <c r="F5292" s="117"/>
      <c r="G5292" s="54" t="str">
        <f>IFERROR(VLOOKUP(F5270,'1to4-2.1-RR'!$A$12:$BG$111,44,0),"")</f>
        <v/>
      </c>
      <c r="H5292" s="54" t="str">
        <f>IFERROR(VLOOKUP(F5270,'1to4-2.1-RR'!$A$12:$BG$111,45,0),"")</f>
        <v/>
      </c>
      <c r="I5292" s="54" t="str">
        <f>IFERROR(VLOOKUP(F5270,'1to4-2.1-RR'!$A$12:$BG$111,46,0),"")</f>
        <v/>
      </c>
      <c r="J5292" s="54" t="str">
        <f>IFERROR(VLOOKUP(F5270,'1to4-2.1-RR'!$A$12:$BG$111,47,0),"")</f>
        <v/>
      </c>
      <c r="K5292" s="54" t="str">
        <f>IFERROR(VLOOKUP(F5270,'1to4-2.1-RR'!$A$12:$BG$111,48,0),"")</f>
        <v/>
      </c>
      <c r="L5292" s="55">
        <f t="shared" si="188"/>
        <v>0</v>
      </c>
      <c r="M5292" s="56" t="str">
        <f>IF(F5270&gt;ENTRY!$D$24,"",IF(L5292=0,"Ab",IF(L5292&gt;80,"A",IF(L5292&gt;60,"B",IF(L5292&gt;44,"C",IF(L5292&gt;=33,"D",IF(L5292&lt;=32,"E","")))))))</f>
        <v/>
      </c>
      <c r="N5292" s="56"/>
      <c r="O5292" s="29"/>
      <c r="P5292" s="19"/>
      <c r="Q5292" s="14"/>
      <c r="R5292" s="11"/>
    </row>
    <row r="5293" s="1" customFormat="1" ht="21.95" customHeight="1" spans="1:18">
      <c r="A5293" s="7"/>
      <c r="B5293" s="12"/>
      <c r="C5293" s="33"/>
      <c r="D5293" s="117" t="s">
        <v>720</v>
      </c>
      <c r="E5293" s="117"/>
      <c r="F5293" s="117"/>
      <c r="G5293" s="54"/>
      <c r="H5293" s="54"/>
      <c r="I5293" s="54"/>
      <c r="J5293" s="54"/>
      <c r="K5293" s="54"/>
      <c r="L5293" s="55">
        <f t="shared" si="188"/>
        <v>0</v>
      </c>
      <c r="M5293" s="56" t="str">
        <f>IF(F5270&gt;ENTRY!$D$24,"",IF(L5293=0,"",IF(L5293&gt;79,"A",IF(L5293&gt;59,"B",IF(L5293&gt;44,"C",IF(L5293&gt;=33,"D",IF(L5293&lt;=32,"E","")))))))</f>
        <v/>
      </c>
      <c r="N5293" s="56"/>
      <c r="O5293" s="29"/>
      <c r="P5293" s="19"/>
      <c r="Q5293" s="14"/>
      <c r="R5293" s="11"/>
    </row>
    <row r="5294" s="1" customFormat="1" ht="21.95" customHeight="1" spans="1:18">
      <c r="A5294" s="7"/>
      <c r="B5294" s="12"/>
      <c r="C5294" s="33"/>
      <c r="D5294" s="207" t="s">
        <v>382</v>
      </c>
      <c r="E5294" s="207"/>
      <c r="F5294" s="207"/>
      <c r="G5294" s="54">
        <f t="shared" ref="G5294:L5294" si="189">IFERROR(SUM(G5287:G5293),"")</f>
        <v>0</v>
      </c>
      <c r="H5294" s="54">
        <f t="shared" si="189"/>
        <v>0</v>
      </c>
      <c r="I5294" s="54">
        <f t="shared" si="189"/>
        <v>0</v>
      </c>
      <c r="J5294" s="54">
        <f t="shared" si="189"/>
        <v>0</v>
      </c>
      <c r="K5294" s="54">
        <f t="shared" si="189"/>
        <v>0</v>
      </c>
      <c r="L5294" s="55">
        <f t="shared" si="189"/>
        <v>0</v>
      </c>
      <c r="M5294" s="61" t="str">
        <f>IF(F5270&gt;ENTRY!$D$24,"",IF(N5295="Ab","Ab",IF(N5295&gt;79.5,"A",IF(N5295&gt;59.5,"B",IF(N5295&gt;44.5,"C",IF(N5295&gt;=33,"D",IF(N5295&lt;33,"E","")))))))</f>
        <v/>
      </c>
      <c r="N5294" s="61"/>
      <c r="O5294" s="29"/>
      <c r="P5294" s="19"/>
      <c r="Q5294" s="14"/>
      <c r="R5294" s="11"/>
    </row>
    <row r="5295" s="1" customFormat="1" ht="21.95" customHeight="1" spans="1:18">
      <c r="A5295" s="7"/>
      <c r="B5295" s="12"/>
      <c r="C5295" s="33"/>
      <c r="D5295" s="63" t="s">
        <v>721</v>
      </c>
      <c r="E5295" s="63"/>
      <c r="F5295" s="63"/>
      <c r="G5295" s="63"/>
      <c r="H5295" s="63"/>
      <c r="I5295" s="63"/>
      <c r="J5295" s="63"/>
      <c r="K5295" s="63"/>
      <c r="L5295" s="63"/>
      <c r="M5295" s="209"/>
      <c r="N5295" s="64">
        <f>IF(L5294="Ab","Ab",L5294/6)</f>
        <v>0</v>
      </c>
      <c r="O5295" s="65"/>
      <c r="P5295" s="19"/>
      <c r="Q5295" s="14"/>
      <c r="R5295" s="11"/>
    </row>
    <row r="5296" s="1" customFormat="1" ht="21.95" customHeight="1" spans="1:18">
      <c r="A5296" s="7"/>
      <c r="B5296" s="12"/>
      <c r="C5296" s="33"/>
      <c r="D5296" s="29" t="s">
        <v>716</v>
      </c>
      <c r="E5296" s="18" t="str">
        <f>IFERROR(VLOOKUP(F5270,'1to4-2.1-RR'!$A$12:$BG$111,57,0),"")</f>
        <v/>
      </c>
      <c r="F5296" s="18"/>
      <c r="G5296" s="18"/>
      <c r="H5296" s="18"/>
      <c r="I5296" s="18"/>
      <c r="J5296" s="18"/>
      <c r="K5296" s="18"/>
      <c r="L5296" s="18"/>
      <c r="M5296" s="18"/>
      <c r="N5296" s="29"/>
      <c r="O5296" s="29"/>
      <c r="P5296" s="19"/>
      <c r="Q5296" s="14"/>
      <c r="R5296" s="11"/>
    </row>
    <row r="5297" s="1" customFormat="1" ht="9.95" customHeight="1" spans="1:19">
      <c r="A5297" s="7"/>
      <c r="B5297" s="12"/>
      <c r="C5297" s="39"/>
      <c r="D5297" s="40"/>
      <c r="E5297" s="40"/>
      <c r="F5297" s="40"/>
      <c r="G5297" s="40"/>
      <c r="H5297" s="40"/>
      <c r="I5297" s="40"/>
      <c r="J5297" s="40"/>
      <c r="K5297" s="40"/>
      <c r="L5297" s="40"/>
      <c r="M5297" s="40"/>
      <c r="N5297" s="40"/>
      <c r="O5297" s="40"/>
      <c r="P5297" s="41"/>
      <c r="Q5297" s="14"/>
      <c r="R5297" s="11"/>
    </row>
    <row r="5298" s="1" customFormat="1" ht="9.95" customHeight="1" spans="1:19">
      <c r="A5298" s="7"/>
      <c r="B5298" s="12"/>
      <c r="C5298" s="30"/>
      <c r="D5298" s="31"/>
      <c r="E5298" s="31"/>
      <c r="F5298" s="29"/>
      <c r="G5298" s="31"/>
      <c r="H5298" s="31"/>
      <c r="I5298" s="31"/>
      <c r="J5298" s="31"/>
      <c r="K5298" s="31"/>
      <c r="L5298" s="31"/>
      <c r="M5298" s="31"/>
      <c r="N5298" s="31"/>
      <c r="O5298" s="31"/>
      <c r="P5298" s="32"/>
      <c r="Q5298" s="14"/>
      <c r="R5298" s="11"/>
    </row>
    <row r="5299" s="1" customFormat="1" ht="9.95" customHeight="1" spans="1:19">
      <c r="A5299" s="7"/>
      <c r="B5299" s="12"/>
      <c r="C5299" s="33"/>
      <c r="D5299" s="29"/>
      <c r="E5299" s="29"/>
      <c r="F5299" s="29"/>
      <c r="G5299" s="29"/>
      <c r="H5299" s="29"/>
      <c r="I5299" s="29"/>
      <c r="J5299" s="29"/>
      <c r="K5299" s="29"/>
      <c r="L5299" s="29"/>
      <c r="M5299" s="29"/>
      <c r="N5299" s="29"/>
      <c r="O5299" s="29"/>
      <c r="P5299" s="19"/>
      <c r="Q5299" s="14"/>
      <c r="R5299" s="11"/>
    </row>
    <row r="5300" s="1" customFormat="1" ht="9.95" customHeight="1" spans="1:19">
      <c r="A5300" s="7"/>
      <c r="B5300" s="12"/>
      <c r="C5300" s="33"/>
      <c r="D5300" s="29"/>
      <c r="E5300" s="29"/>
      <c r="F5300" s="29"/>
      <c r="G5300" s="29"/>
      <c r="H5300" s="29"/>
      <c r="I5300" s="29"/>
      <c r="J5300" s="29"/>
      <c r="K5300" s="29"/>
      <c r="L5300" s="29"/>
      <c r="M5300" s="29"/>
      <c r="N5300" s="29"/>
      <c r="O5300" s="29"/>
      <c r="P5300" s="19"/>
      <c r="Q5300" s="14"/>
      <c r="R5300" s="11"/>
    </row>
    <row r="5301" s="1" customFormat="1" ht="21.95" customHeight="1" spans="1:19">
      <c r="A5301" s="7"/>
      <c r="B5301" s="12"/>
      <c r="C5301" s="210"/>
      <c r="D5301" s="211"/>
      <c r="E5301" s="211"/>
      <c r="F5301" s="211"/>
      <c r="G5301" s="211"/>
      <c r="H5301" s="211"/>
      <c r="I5301" s="211"/>
      <c r="J5301" s="211"/>
      <c r="K5301" s="211"/>
      <c r="L5301" s="211"/>
      <c r="M5301" s="211"/>
      <c r="N5301" s="211"/>
      <c r="O5301" s="211"/>
      <c r="P5301" s="212"/>
      <c r="Q5301" s="14"/>
      <c r="R5301" s="11"/>
      <c r="S5301" s="2"/>
    </row>
    <row r="5302" s="1" customFormat="1" ht="21.95" customHeight="1" spans="1:19">
      <c r="A5302" s="7"/>
      <c r="B5302" s="12"/>
      <c r="C5302" s="33"/>
      <c r="D5302" s="207" t="s">
        <v>722</v>
      </c>
      <c r="E5302" s="207"/>
      <c r="F5302" s="207"/>
      <c r="G5302" s="207"/>
      <c r="H5302" s="54">
        <f>IFERROR(VLOOKUP(F5270,PASHEET!$A$4:$CJ$103,88,0),"")</f>
        <v>0</v>
      </c>
      <c r="I5302" s="54"/>
      <c r="J5302" s="29"/>
      <c r="K5302" s="29"/>
      <c r="L5302" s="29"/>
      <c r="M5302" s="29"/>
      <c r="N5302" s="29"/>
      <c r="O5302" s="29"/>
      <c r="P5302" s="19"/>
      <c r="Q5302" s="14"/>
      <c r="R5302" s="11"/>
    </row>
    <row r="5303" s="1" customFormat="1" ht="21.95" customHeight="1" spans="1:19">
      <c r="A5303" s="7"/>
      <c r="B5303" s="12"/>
      <c r="C5303" s="213"/>
      <c r="D5303" s="207" t="s">
        <v>723</v>
      </c>
      <c r="E5303" s="207"/>
      <c r="F5303" s="207"/>
      <c r="G5303" s="207"/>
      <c r="H5303" s="54">
        <f>IFERROR(VLOOKUP(F5270,PASHEET!$A$4:$CJ$103,87,0),"")</f>
        <v>0</v>
      </c>
      <c r="I5303" s="54"/>
      <c r="J5303" s="214"/>
      <c r="K5303" s="214"/>
      <c r="L5303" s="207" t="s">
        <v>724</v>
      </c>
      <c r="M5303" s="207"/>
      <c r="N5303" s="117" t="str">
        <f>IF(F5270&gt;ENTRY!$D$24,"",IF(F5270&gt;0,L5294&amp;" / "&amp;600,""))</f>
        <v/>
      </c>
      <c r="O5303" s="117"/>
      <c r="P5303" s="215"/>
      <c r="Q5303" s="14"/>
      <c r="R5303" s="11"/>
    </row>
    <row r="5304" s="1" customFormat="1" ht="18" customHeight="1" spans="1:19">
      <c r="A5304" s="7"/>
      <c r="B5304" s="12"/>
      <c r="C5304" s="33"/>
      <c r="D5304" s="207" t="s">
        <v>725</v>
      </c>
      <c r="E5304" s="207"/>
      <c r="F5304" s="207"/>
      <c r="G5304" s="207"/>
      <c r="H5304" s="69" t="str">
        <f>IFERROR(IF(F5270&gt;0,H5303/H5302*100),"")</f>
        <v/>
      </c>
      <c r="I5304" s="69"/>
      <c r="J5304" s="29"/>
      <c r="K5304" s="29"/>
      <c r="L5304" s="207" t="s">
        <v>726</v>
      </c>
      <c r="M5304" s="207"/>
      <c r="N5304" s="216" t="str">
        <f>IF(F5270&gt;ENTRY!$D$24,"",IF(F5270&gt;0,L5294/600*100,""))</f>
        <v/>
      </c>
      <c r="O5304" s="216"/>
      <c r="P5304" s="19"/>
      <c r="Q5304" s="14"/>
      <c r="R5304" s="11"/>
    </row>
    <row r="5305" s="1" customFormat="1" ht="21.95" customHeight="1" spans="1:19">
      <c r="A5305" s="7"/>
      <c r="B5305" s="12"/>
      <c r="C5305" s="33"/>
      <c r="D5305" s="80"/>
      <c r="E5305" s="80"/>
      <c r="F5305" s="217"/>
      <c r="G5305" s="217"/>
      <c r="H5305" s="217"/>
      <c r="I5305" s="217"/>
      <c r="J5305" s="217"/>
      <c r="K5305" s="217"/>
      <c r="L5305" s="217"/>
      <c r="M5305" s="217"/>
      <c r="N5305" s="80"/>
      <c r="O5305" s="80"/>
      <c r="P5305" s="19"/>
      <c r="Q5305" s="14"/>
      <c r="R5305" s="11"/>
    </row>
    <row r="5306" s="1" customFormat="1" ht="21.95" customHeight="1" spans="1:19">
      <c r="A5306" s="7"/>
      <c r="B5306" s="12"/>
      <c r="C5306" s="33"/>
      <c r="D5306" s="80"/>
      <c r="E5306" s="218"/>
      <c r="F5306" s="218"/>
      <c r="G5306" s="218"/>
      <c r="H5306" s="80"/>
      <c r="I5306" s="218"/>
      <c r="J5306" s="218"/>
      <c r="K5306" s="218"/>
      <c r="L5306" s="218"/>
      <c r="M5306" s="80"/>
      <c r="N5306" s="219"/>
      <c r="O5306" s="219"/>
      <c r="P5306" s="19"/>
      <c r="Q5306" s="14"/>
      <c r="R5306" s="11"/>
    </row>
    <row r="5307" s="1" customFormat="1" ht="21.95" customHeight="1" spans="1:19">
      <c r="A5307" s="7"/>
      <c r="B5307" s="12"/>
      <c r="C5307" s="33"/>
      <c r="D5307" s="80"/>
      <c r="E5307" s="80"/>
      <c r="F5307" s="80"/>
      <c r="G5307" s="80"/>
      <c r="H5307" s="80"/>
      <c r="I5307" s="80"/>
      <c r="J5307" s="80"/>
      <c r="K5307" s="80"/>
      <c r="L5307" s="80"/>
      <c r="M5307" s="80"/>
      <c r="N5307" s="80"/>
      <c r="O5307" s="80"/>
      <c r="P5307" s="19"/>
      <c r="Q5307" s="14"/>
      <c r="R5307" s="11"/>
    </row>
    <row r="5308" s="1" customFormat="1" ht="21.95" customHeight="1" spans="1:19">
      <c r="A5308" s="7"/>
      <c r="B5308" s="12"/>
      <c r="C5308" s="33"/>
      <c r="D5308" s="218"/>
      <c r="E5308" s="218"/>
      <c r="F5308" s="218"/>
      <c r="G5308" s="218"/>
      <c r="H5308" s="218"/>
      <c r="I5308" s="218"/>
      <c r="J5308" s="218"/>
      <c r="K5308" s="218"/>
      <c r="L5308" s="218"/>
      <c r="M5308" s="80"/>
      <c r="N5308" s="217"/>
      <c r="O5308" s="217"/>
      <c r="P5308" s="85" t="s">
        <v>727</v>
      </c>
      <c r="Q5308" s="14"/>
      <c r="R5308" s="11"/>
    </row>
    <row r="5309" s="1" customFormat="1" ht="21.95" customHeight="1" spans="1:19">
      <c r="A5309" s="7"/>
      <c r="B5309" s="12"/>
      <c r="C5309" s="33"/>
      <c r="D5309" s="29"/>
      <c r="E5309" s="29"/>
      <c r="F5309" s="29"/>
      <c r="G5309" s="29"/>
      <c r="H5309" s="29"/>
      <c r="I5309" s="29"/>
      <c r="J5309" s="29"/>
      <c r="K5309" s="29"/>
      <c r="L5309" s="29"/>
      <c r="M5309" s="29"/>
      <c r="N5309" s="29"/>
      <c r="O5309" s="29"/>
      <c r="P5309" s="19"/>
      <c r="Q5309" s="14"/>
      <c r="R5309" s="11"/>
    </row>
    <row r="5310" s="1" customFormat="1" ht="21.95" customHeight="1" spans="1:19">
      <c r="A5310" s="7"/>
      <c r="B5310" s="12"/>
      <c r="C5310" s="33"/>
      <c r="D5310" s="29"/>
      <c r="E5310" s="29"/>
      <c r="F5310" s="29"/>
      <c r="G5310" s="29"/>
      <c r="H5310" s="29"/>
      <c r="I5310" s="29"/>
      <c r="J5310" s="29"/>
      <c r="K5310" s="29"/>
      <c r="L5310" s="29"/>
      <c r="M5310" s="29"/>
      <c r="N5310" s="29"/>
      <c r="O5310" s="29"/>
      <c r="P5310" s="19"/>
      <c r="Q5310" s="14"/>
      <c r="R5310" s="11"/>
    </row>
    <row r="5311" s="1" customFormat="1" ht="21.95" customHeight="1" spans="1:19">
      <c r="A5311" s="7"/>
      <c r="B5311" s="12"/>
      <c r="C5311" s="33"/>
      <c r="D5311" s="29"/>
      <c r="E5311" s="29"/>
      <c r="F5311" s="29"/>
      <c r="G5311" s="29"/>
      <c r="H5311" s="29"/>
      <c r="I5311" s="29"/>
      <c r="J5311" s="29"/>
      <c r="K5311" s="29"/>
      <c r="L5311" s="29"/>
      <c r="M5311" s="29"/>
      <c r="N5311" s="29"/>
      <c r="O5311" s="29"/>
      <c r="P5311" s="19"/>
      <c r="Q5311" s="14"/>
      <c r="R5311" s="11"/>
    </row>
    <row r="5312" s="1" customFormat="1" ht="21.95" customHeight="1" spans="1:19">
      <c r="A5312" s="7"/>
      <c r="B5312" s="12"/>
      <c r="C5312" s="33"/>
      <c r="D5312" s="29"/>
      <c r="E5312" s="29"/>
      <c r="F5312" s="29"/>
      <c r="G5312" s="29"/>
      <c r="H5312" s="29"/>
      <c r="I5312" s="29"/>
      <c r="J5312" s="29"/>
      <c r="K5312" s="29"/>
      <c r="L5312" s="29"/>
      <c r="M5312" s="29"/>
      <c r="N5312" s="29"/>
      <c r="O5312" s="29"/>
      <c r="P5312" s="19"/>
      <c r="Q5312" s="14"/>
      <c r="R5312" s="11"/>
    </row>
    <row r="5313" s="1" customFormat="1" ht="21.95" customHeight="1" spans="1:18">
      <c r="A5313" s="7"/>
      <c r="B5313" s="12"/>
      <c r="C5313" s="33"/>
      <c r="D5313" s="29"/>
      <c r="E5313" s="29"/>
      <c r="F5313" s="29"/>
      <c r="G5313" s="29"/>
      <c r="H5313" s="29"/>
      <c r="I5313" s="29"/>
      <c r="J5313" s="29"/>
      <c r="K5313" s="29"/>
      <c r="L5313" s="29"/>
      <c r="M5313" s="29"/>
      <c r="N5313" s="29"/>
      <c r="O5313" s="29"/>
      <c r="P5313" s="19"/>
      <c r="Q5313" s="14"/>
      <c r="R5313" s="11"/>
    </row>
    <row r="5314" s="1" customFormat="1" ht="21.95" customHeight="1" spans="1:18">
      <c r="A5314" s="7"/>
      <c r="B5314" s="12"/>
      <c r="C5314" s="33"/>
      <c r="D5314" s="80" t="s">
        <v>728</v>
      </c>
      <c r="E5314" s="220">
        <f>ENTRY!$D$27</f>
        <v>46102</v>
      </c>
      <c r="F5314" s="220"/>
      <c r="G5314" s="29"/>
      <c r="H5314" s="29"/>
      <c r="I5314" s="221" t="s">
        <v>729</v>
      </c>
      <c r="J5314" s="153"/>
      <c r="K5314" s="29"/>
      <c r="L5314" s="29"/>
      <c r="M5314" s="87" t="s">
        <v>730</v>
      </c>
      <c r="N5314" s="87"/>
      <c r="O5314" s="87"/>
      <c r="P5314" s="19"/>
      <c r="Q5314" s="14"/>
      <c r="R5314" s="11"/>
    </row>
    <row r="5315" s="1" customFormat="1" ht="21.95" customHeight="1" spans="1:18">
      <c r="A5315" s="7"/>
      <c r="B5315" s="12"/>
      <c r="C5315" s="33"/>
      <c r="D5315" s="80" t="s">
        <v>731</v>
      </c>
      <c r="E5315" s="88" t="str">
        <f>PROPER(ENTRY!$D$28)</f>
        <v>New Delhi</v>
      </c>
      <c r="F5315" s="88"/>
      <c r="G5315" s="29"/>
      <c r="H5315" s="29"/>
      <c r="I5315" s="153"/>
      <c r="J5315" s="153"/>
      <c r="K5315" s="29"/>
      <c r="L5315" s="29"/>
      <c r="M5315" s="79" t="s">
        <v>732</v>
      </c>
      <c r="N5315" s="79"/>
      <c r="O5315" s="79"/>
      <c r="P5315" s="19"/>
      <c r="Q5315" s="14"/>
      <c r="R5315" s="11"/>
    </row>
    <row r="5316" s="1" customFormat="1" ht="21.95" customHeight="1" spans="1:18">
      <c r="A5316" s="7"/>
      <c r="B5316" s="12"/>
      <c r="C5316" s="90"/>
      <c r="D5316" s="91"/>
      <c r="E5316" s="91"/>
      <c r="F5316" s="91"/>
      <c r="G5316" s="91"/>
      <c r="H5316" s="91"/>
      <c r="I5316" s="91"/>
      <c r="J5316" s="91"/>
      <c r="K5316" s="91"/>
      <c r="L5316" s="91"/>
      <c r="M5316" s="91"/>
      <c r="N5316" s="91"/>
      <c r="O5316" s="91"/>
      <c r="P5316" s="92"/>
      <c r="Q5316" s="14"/>
      <c r="R5316" s="11"/>
    </row>
    <row r="5317" s="1" customFormat="1" ht="5.1" customHeight="1" spans="1:18">
      <c r="A5317" s="7"/>
      <c r="B5317" s="90"/>
      <c r="C5317" s="91"/>
      <c r="D5317" s="91"/>
      <c r="E5317" s="91"/>
      <c r="F5317" s="91"/>
      <c r="G5317" s="91"/>
      <c r="H5317" s="91"/>
      <c r="I5317" s="91"/>
      <c r="J5317" s="91"/>
      <c r="K5317" s="91"/>
      <c r="L5317" s="91"/>
      <c r="M5317" s="91"/>
      <c r="N5317" s="91"/>
      <c r="O5317" s="91"/>
      <c r="P5317" s="91"/>
      <c r="Q5317" s="92"/>
      <c r="R5317" s="11"/>
    </row>
    <row r="5318" s="1" customFormat="1" ht="5.1" customHeight="1" spans="1:18">
      <c r="A5318" s="93"/>
      <c r="B5318" s="94"/>
      <c r="C5318" s="94"/>
      <c r="D5318" s="94"/>
      <c r="E5318" s="94"/>
      <c r="F5318" s="94"/>
      <c r="G5318" s="94"/>
      <c r="H5318" s="94"/>
      <c r="I5318" s="94"/>
      <c r="J5318" s="94"/>
      <c r="K5318" s="94"/>
      <c r="L5318" s="94"/>
      <c r="M5318" s="94"/>
      <c r="N5318" s="94"/>
      <c r="O5318" s="94"/>
      <c r="P5318" s="94"/>
      <c r="Q5318" s="94"/>
      <c r="R5318" s="95"/>
    </row>
    <row r="5319" s="1" customFormat="1" ht="21.95" customHeight="1"/>
    <row r="5320" ht="15.15"/>
    <row r="5321" s="1" customFormat="1" ht="5.1" customHeight="1" spans="1:18">
      <c r="A5321" s="4"/>
      <c r="B5321" s="5"/>
      <c r="C5321" s="5"/>
      <c r="D5321" s="5"/>
      <c r="E5321" s="5"/>
      <c r="F5321" s="5"/>
      <c r="G5321" s="5"/>
      <c r="H5321" s="5"/>
      <c r="I5321" s="5"/>
      <c r="J5321" s="5"/>
      <c r="K5321" s="5"/>
      <c r="L5321" s="5"/>
      <c r="M5321" s="5"/>
      <c r="N5321" s="5"/>
      <c r="O5321" s="5"/>
      <c r="P5321" s="5"/>
      <c r="Q5321" s="5"/>
      <c r="R5321" s="6"/>
    </row>
    <row r="5322" s="1" customFormat="1" ht="15" customHeight="1" spans="1:18">
      <c r="A5322" s="7"/>
      <c r="B5322" s="8"/>
      <c r="C5322" s="9"/>
      <c r="D5322" s="9"/>
      <c r="E5322" s="9"/>
      <c r="F5322" s="9"/>
      <c r="G5322" s="9"/>
      <c r="H5322" s="9"/>
      <c r="I5322" s="9"/>
      <c r="J5322" s="9"/>
      <c r="K5322" s="9"/>
      <c r="L5322" s="9"/>
      <c r="M5322" s="9"/>
      <c r="N5322" s="9"/>
      <c r="O5322" s="9"/>
      <c r="P5322" s="9"/>
      <c r="Q5322" s="10"/>
      <c r="R5322" s="11"/>
    </row>
    <row r="5323" s="1" customFormat="1" ht="21.95" customHeight="1" spans="1:18">
      <c r="A5323" s="7"/>
      <c r="B5323" s="12"/>
      <c r="C5323" s="13" t="s">
        <v>7</v>
      </c>
      <c r="D5323" s="13"/>
      <c r="E5323" s="13"/>
      <c r="F5323" s="13"/>
      <c r="G5323" s="13"/>
      <c r="H5323" s="13"/>
      <c r="I5323" s="13"/>
      <c r="J5323" s="13"/>
      <c r="K5323" s="13"/>
      <c r="L5323" s="13"/>
      <c r="M5323" s="13"/>
      <c r="N5323" s="13"/>
      <c r="O5323" s="13"/>
      <c r="P5323" s="13"/>
      <c r="Q5323" s="14"/>
      <c r="R5323" s="11"/>
    </row>
    <row r="5324" s="1" customFormat="1" ht="21.95" customHeight="1" spans="1:18">
      <c r="A5324" s="7"/>
      <c r="B5324" s="1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14"/>
      <c r="R5324" s="11"/>
    </row>
    <row r="5325" s="1" customFormat="1" ht="21.95" customHeight="1" spans="1:18">
      <c r="A5325" s="7"/>
      <c r="B5325" s="12"/>
      <c r="C5325" s="15" t="str">
        <f>"SESSION-"&amp;ENTRY!$D$11</f>
        <v>SESSION-2026-27</v>
      </c>
      <c r="D5325" s="15"/>
      <c r="E5325" s="15"/>
      <c r="F5325" s="15"/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  <c r="Q5325" s="14"/>
      <c r="R5325" s="11"/>
    </row>
    <row r="5326" s="1" customFormat="1" ht="21.95" customHeight="1" spans="1:18">
      <c r="A5326" s="7"/>
      <c r="B5326" s="12"/>
      <c r="C5326" s="2"/>
      <c r="D5326" s="2"/>
      <c r="E5326" s="2"/>
      <c r="F5326" s="16">
        <f>F5270+1</f>
        <v>96</v>
      </c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14"/>
      <c r="R5326" s="11"/>
    </row>
    <row r="5327" s="1" customFormat="1" ht="21.95" customHeight="1" spans="1:18">
      <c r="A5327" s="7"/>
      <c r="B5327" s="12"/>
      <c r="C5327" s="17" t="s">
        <v>392</v>
      </c>
      <c r="D5327" s="17"/>
      <c r="E5327" s="17"/>
      <c r="F5327" s="18" t="str">
        <f>IF(F5326&gt;0,ENTRY!$D$6,"")</f>
        <v>MCP NITHARI NO 1 BOYS</v>
      </c>
      <c r="G5327" s="18"/>
      <c r="H5327" s="18"/>
      <c r="I5327" s="18"/>
      <c r="J5327" s="18"/>
      <c r="K5327" s="18"/>
      <c r="L5327" s="18"/>
      <c r="M5327" s="18"/>
      <c r="N5327" s="18"/>
      <c r="O5327" s="18"/>
      <c r="P5327" s="18"/>
      <c r="Q5327" s="14"/>
      <c r="R5327" s="11"/>
    </row>
    <row r="5328" s="1" customFormat="1" ht="21.95" customHeight="1" spans="1:18">
      <c r="A5328" s="7"/>
      <c r="B5328" s="12"/>
      <c r="C5328" s="17" t="s">
        <v>393</v>
      </c>
      <c r="D5328" s="17"/>
      <c r="E5328" s="17"/>
      <c r="F5328" s="18">
        <f>IF(F5326&gt;0,ENTRY!$D$7,"")</f>
        <v>0</v>
      </c>
      <c r="G5328" s="18"/>
      <c r="H5328" s="20" t="s">
        <v>702</v>
      </c>
      <c r="I5328" s="20"/>
      <c r="J5328" s="21">
        <f>IF(F5326&gt;0,ENTRY!$D$10,"")</f>
        <v>40</v>
      </c>
      <c r="K5328" s="20" t="s">
        <v>703</v>
      </c>
      <c r="L5328" s="22" t="str">
        <f>IF(F5326&gt;0,ENTRY!$D$5,"")</f>
        <v>ROHINI ZONE</v>
      </c>
      <c r="M5328" s="22"/>
      <c r="N5328" s="22"/>
      <c r="O5328" s="22"/>
      <c r="P5328" s="22"/>
      <c r="Q5328" s="14"/>
      <c r="R5328" s="11"/>
    </row>
    <row r="5329" s="1" customFormat="1" ht="21.95" customHeight="1" spans="1:18">
      <c r="A5329" s="7"/>
      <c r="B5329" s="12"/>
      <c r="C5329" s="17" t="s">
        <v>706</v>
      </c>
      <c r="D5329" s="17"/>
      <c r="E5329" s="17"/>
      <c r="F5329" s="23">
        <f>IFERROR(VLOOKUP(F5326,STUDENT!$A$2:$BP$101,5,0),"")</f>
        <v>0</v>
      </c>
      <c r="G5329" s="23"/>
      <c r="H5329" s="23"/>
      <c r="I5329" s="23"/>
      <c r="J5329" s="23"/>
      <c r="K5329" s="23"/>
      <c r="L5329" s="20" t="s">
        <v>707</v>
      </c>
      <c r="M5329" s="20"/>
      <c r="N5329" s="24" t="str">
        <f>IF(F5326&gt;0,ENTRY!$D$20&amp;"-"&amp;ENTRY!$D$21,"")</f>
        <v>III-A</v>
      </c>
      <c r="O5329" s="24"/>
      <c r="P5329" s="24"/>
      <c r="Q5329" s="14"/>
      <c r="R5329" s="11"/>
    </row>
    <row r="5330" s="1" customFormat="1" ht="21.95" customHeight="1" spans="1:18">
      <c r="A5330" s="7"/>
      <c r="B5330" s="12"/>
      <c r="C5330" s="17" t="s">
        <v>708</v>
      </c>
      <c r="D5330" s="17"/>
      <c r="E5330" s="17"/>
      <c r="F5330" s="25">
        <f>IFERROR(VLOOKUP(F5326,STUDENT!$A$2:$BP$101,6,0),"")</f>
        <v>0</v>
      </c>
      <c r="G5330" s="25"/>
      <c r="H5330" s="26" t="s">
        <v>709</v>
      </c>
      <c r="I5330" s="27" t="str">
        <f>IFERROR(VLOOKUP(F5326,STUDENT!$A$2:$BP$101,59,0),"")</f>
        <v/>
      </c>
      <c r="J5330" s="27"/>
      <c r="K5330" s="20" t="s">
        <v>710</v>
      </c>
      <c r="L5330" s="20"/>
      <c r="M5330" s="28">
        <f>IFERROR(VLOOKUP(F5326,STUDENT!$A$2:$BP$101,20,0),"")</f>
        <v>0</v>
      </c>
      <c r="N5330" s="28"/>
      <c r="O5330" s="28"/>
      <c r="P5330" s="28"/>
      <c r="Q5330" s="14"/>
      <c r="R5330" s="11"/>
    </row>
    <row r="5331" s="1" customFormat="1" ht="21.95" customHeight="1" spans="1:18">
      <c r="A5331" s="7"/>
      <c r="B5331" s="12"/>
      <c r="C5331" s="17" t="s">
        <v>711</v>
      </c>
      <c r="D5331" s="17"/>
      <c r="E5331" s="17"/>
      <c r="F5331" s="23">
        <f>IFERROR(VLOOKUP(F5326,STUDENT!$A$2:$BP$101,9,0),"")</f>
        <v>0</v>
      </c>
      <c r="G5331" s="23"/>
      <c r="H5331" s="23"/>
      <c r="I5331" s="23"/>
      <c r="J5331" s="17" t="s">
        <v>620</v>
      </c>
      <c r="K5331" s="17"/>
      <c r="L5331" s="23">
        <f>IFERROR(VLOOKUP(F5326,STUDENT!$A$2:$BP$101,8,0),"")</f>
        <v>0</v>
      </c>
      <c r="M5331" s="23"/>
      <c r="N5331" s="23"/>
      <c r="O5331" s="23"/>
      <c r="P5331" s="23"/>
      <c r="Q5331" s="14"/>
      <c r="R5331" s="11"/>
    </row>
    <row r="5332" s="1" customFormat="1" ht="21.95" customHeight="1" spans="1:18">
      <c r="A5332" s="7"/>
      <c r="B5332" s="12"/>
      <c r="C5332" s="17" t="s">
        <v>712</v>
      </c>
      <c r="D5332" s="17"/>
      <c r="E5332" s="17"/>
      <c r="F5332" s="23">
        <f>IFERROR(VLOOKUP(F5326,STUDENT!$A$2:$BP$101,22,0),"")</f>
        <v>0</v>
      </c>
      <c r="G5332" s="23"/>
      <c r="H5332" s="23"/>
      <c r="I5332" s="23"/>
      <c r="J5332" s="23"/>
      <c r="K5332" s="23"/>
      <c r="L5332" s="23"/>
      <c r="M5332" s="23"/>
      <c r="N5332" s="23"/>
      <c r="O5332" s="23"/>
      <c r="P5332" s="23"/>
      <c r="Q5332" s="14"/>
      <c r="R5332" s="11"/>
    </row>
    <row r="5333" s="1" customFormat="1" ht="9.95" customHeight="1" spans="1:18">
      <c r="A5333" s="7"/>
      <c r="B5333" s="12"/>
      <c r="C5333" s="29"/>
      <c r="D5333" s="29"/>
      <c r="E5333" s="29"/>
      <c r="F5333" s="29"/>
      <c r="G5333" s="29"/>
      <c r="H5333" s="29"/>
      <c r="I5333" s="29"/>
      <c r="J5333" s="29"/>
      <c r="K5333" s="29"/>
      <c r="L5333" s="29"/>
      <c r="M5333" s="29"/>
      <c r="N5333" s="29"/>
      <c r="O5333" s="29"/>
      <c r="P5333" s="29"/>
      <c r="Q5333" s="14"/>
      <c r="R5333" s="11"/>
    </row>
    <row r="5334" s="1" customFormat="1" ht="9.95" customHeight="1" spans="1:18">
      <c r="A5334" s="7"/>
      <c r="B5334" s="12"/>
      <c r="C5334" s="30"/>
      <c r="D5334" s="31"/>
      <c r="E5334" s="31"/>
      <c r="F5334" s="31"/>
      <c r="G5334" s="31"/>
      <c r="H5334" s="31"/>
      <c r="I5334" s="31"/>
      <c r="J5334" s="31"/>
      <c r="K5334" s="31"/>
      <c r="L5334" s="31"/>
      <c r="M5334" s="31"/>
      <c r="N5334" s="31"/>
      <c r="O5334" s="31"/>
      <c r="P5334" s="32"/>
      <c r="Q5334" s="14"/>
      <c r="R5334" s="11"/>
    </row>
    <row r="5335" s="1" customFormat="1" ht="21.95" customHeight="1" spans="1:18">
      <c r="A5335" s="7"/>
      <c r="B5335" s="12"/>
      <c r="C5335" s="33"/>
      <c r="D5335" s="34" t="s">
        <v>713</v>
      </c>
      <c r="E5335" s="20" t="s">
        <v>714</v>
      </c>
      <c r="F5335" s="35" t="str">
        <f>"Level - "&amp;IFERROR(VLOOKUP(F5326,FLN!$A$4:$K$103,9,0),"")</f>
        <v>Level - </v>
      </c>
      <c r="G5335" s="36"/>
      <c r="H5335" s="37" t="s">
        <v>715</v>
      </c>
      <c r="I5335" s="20"/>
      <c r="J5335" s="35" t="str">
        <f>"Level - "&amp;IFERROR(VLOOKUP(F5326,FLN!$A$4:$K$103,11,0),"")</f>
        <v>Level - </v>
      </c>
      <c r="K5335" s="36"/>
      <c r="L5335" s="37" t="s">
        <v>408</v>
      </c>
      <c r="M5335" s="20"/>
      <c r="N5335" s="35" t="str">
        <f>"Level - "&amp;IFERROR(VLOOKUP(F5326,FLN!$A$4:$K$103,10,0),"")</f>
        <v>Level - </v>
      </c>
      <c r="O5335" s="36"/>
      <c r="P5335" s="19"/>
      <c r="Q5335" s="14"/>
      <c r="R5335" s="11"/>
    </row>
    <row r="5336" s="1" customFormat="1" ht="21.95" customHeight="1" spans="1:18">
      <c r="A5336" s="7"/>
      <c r="B5336" s="12"/>
      <c r="C5336" s="33"/>
      <c r="D5336" s="38"/>
      <c r="E5336" s="20" t="s">
        <v>716</v>
      </c>
      <c r="F5336" s="18" t="str">
        <f>IF(L5350&gt;197,"PERFORMED WELL","")</f>
        <v/>
      </c>
      <c r="G5336" s="18"/>
      <c r="H5336" s="18"/>
      <c r="I5336" s="18"/>
      <c r="J5336" s="18"/>
      <c r="K5336" s="18"/>
      <c r="L5336" s="18"/>
      <c r="M5336" s="18"/>
      <c r="N5336" s="18"/>
      <c r="O5336" s="18"/>
      <c r="P5336" s="19"/>
      <c r="Q5336" s="14"/>
      <c r="R5336" s="11"/>
    </row>
    <row r="5337" s="1" customFormat="1" ht="9.95" customHeight="1" spans="1:18">
      <c r="A5337" s="7"/>
      <c r="B5337" s="12"/>
      <c r="C5337" s="39"/>
      <c r="D5337" s="40"/>
      <c r="E5337" s="40"/>
      <c r="F5337" s="40"/>
      <c r="G5337" s="40"/>
      <c r="H5337" s="40"/>
      <c r="I5337" s="40"/>
      <c r="J5337" s="40"/>
      <c r="K5337" s="40"/>
      <c r="L5337" s="40"/>
      <c r="M5337" s="40"/>
      <c r="N5337" s="40"/>
      <c r="O5337" s="40"/>
      <c r="P5337" s="41"/>
      <c r="Q5337" s="14"/>
      <c r="R5337" s="11"/>
    </row>
    <row r="5338" s="1" customFormat="1" ht="9.95" customHeight="1" spans="1:18">
      <c r="A5338" s="7"/>
      <c r="B5338" s="12"/>
      <c r="C5338" s="29"/>
      <c r="D5338" s="29"/>
      <c r="E5338" s="29"/>
      <c r="F5338" s="29"/>
      <c r="G5338" s="29"/>
      <c r="H5338" s="29"/>
      <c r="I5338" s="29"/>
      <c r="J5338" s="29"/>
      <c r="K5338" s="29"/>
      <c r="L5338" s="29"/>
      <c r="M5338" s="29"/>
      <c r="N5338" s="29"/>
      <c r="O5338" s="29"/>
      <c r="P5338" s="29"/>
      <c r="Q5338" s="14"/>
      <c r="R5338" s="11"/>
    </row>
    <row r="5339" s="1" customFormat="1" ht="9.95" customHeight="1" spans="1:18">
      <c r="A5339" s="7"/>
      <c r="B5339" s="12"/>
      <c r="C5339" s="30"/>
      <c r="D5339" s="31"/>
      <c r="E5339" s="31"/>
      <c r="F5339" s="31"/>
      <c r="G5339" s="31"/>
      <c r="H5339" s="31"/>
      <c r="I5339" s="31"/>
      <c r="J5339" s="31"/>
      <c r="K5339" s="31"/>
      <c r="L5339" s="31"/>
      <c r="M5339" s="31"/>
      <c r="N5339" s="31"/>
      <c r="O5339" s="31"/>
      <c r="P5339" s="32"/>
      <c r="Q5339" s="14"/>
      <c r="R5339" s="11"/>
    </row>
    <row r="5340" s="1" customFormat="1" ht="21.95" customHeight="1" spans="1:18">
      <c r="A5340" s="7"/>
      <c r="B5340" s="12"/>
      <c r="C5340" s="33"/>
      <c r="D5340" s="35"/>
      <c r="E5340" s="24"/>
      <c r="F5340" s="24"/>
      <c r="G5340" s="47" t="s">
        <v>717</v>
      </c>
      <c r="H5340" s="47"/>
      <c r="I5340" s="47"/>
      <c r="J5340" s="47"/>
      <c r="K5340" s="47"/>
      <c r="L5340" s="47"/>
      <c r="M5340" s="47"/>
      <c r="N5340" s="47"/>
      <c r="O5340" s="29"/>
      <c r="P5340" s="19"/>
      <c r="Q5340" s="14"/>
      <c r="R5340" s="11"/>
    </row>
    <row r="5341" s="1" customFormat="1" ht="21.95" customHeight="1" spans="1:18">
      <c r="A5341" s="7"/>
      <c r="B5341" s="12"/>
      <c r="C5341" s="33"/>
      <c r="D5341" s="47"/>
      <c r="E5341" s="47"/>
      <c r="F5341" s="47"/>
      <c r="G5341" s="47" t="s">
        <v>541</v>
      </c>
      <c r="H5341" s="47" t="s">
        <v>542</v>
      </c>
      <c r="I5341" s="47" t="s">
        <v>543</v>
      </c>
      <c r="J5341" s="47" t="s">
        <v>544</v>
      </c>
      <c r="K5341" s="47" t="s">
        <v>561</v>
      </c>
      <c r="L5341" s="47" t="s">
        <v>382</v>
      </c>
      <c r="M5341" s="49" t="s">
        <v>546</v>
      </c>
      <c r="N5341" s="49"/>
      <c r="O5341" s="29"/>
      <c r="P5341" s="19"/>
      <c r="Q5341" s="14"/>
      <c r="R5341" s="11"/>
    </row>
    <row r="5342" s="1" customFormat="1" ht="21.95" customHeight="1" spans="1:18">
      <c r="A5342" s="7"/>
      <c r="B5342" s="12"/>
      <c r="C5342" s="33"/>
      <c r="D5342" s="207" t="s">
        <v>652</v>
      </c>
      <c r="E5342" s="207"/>
      <c r="F5342" s="207"/>
      <c r="G5342" s="50">
        <v>10</v>
      </c>
      <c r="H5342" s="50">
        <v>10</v>
      </c>
      <c r="I5342" s="50">
        <v>10</v>
      </c>
      <c r="J5342" s="50">
        <v>10</v>
      </c>
      <c r="K5342" s="50">
        <v>60</v>
      </c>
      <c r="L5342" s="50">
        <v>100</v>
      </c>
      <c r="M5342" s="49"/>
      <c r="N5342" s="49"/>
      <c r="O5342" s="29"/>
      <c r="P5342" s="19"/>
      <c r="Q5342" s="14"/>
      <c r="R5342" s="11"/>
    </row>
    <row r="5343" s="1" customFormat="1" ht="21.95" customHeight="1" spans="1:18">
      <c r="A5343" s="7"/>
      <c r="B5343" s="12"/>
      <c r="C5343" s="33"/>
      <c r="D5343" s="117" t="s">
        <v>668</v>
      </c>
      <c r="E5343" s="117"/>
      <c r="F5343" s="117"/>
      <c r="G5343" s="54" t="str">
        <f>IFERROR(VLOOKUP(F5326,'1to4-2.1-RR'!$A$12:$BG$111,9,0),"")</f>
        <v/>
      </c>
      <c r="H5343" s="54" t="str">
        <f>IFERROR(VLOOKUP(F5326,'1to4-2.1-RR'!$A$12:$BG$111,10,0),"")</f>
        <v/>
      </c>
      <c r="I5343" s="54" t="str">
        <f>IFERROR(VLOOKUP(F5326,'1to4-2.1-RR'!$A$12:$BG$111,11,0),"")</f>
        <v/>
      </c>
      <c r="J5343" s="54" t="str">
        <f>IFERROR(VLOOKUP(F5326,'1to4-2.1-RR'!$A$12:$BG$111,12,0),"")</f>
        <v/>
      </c>
      <c r="K5343" s="54" t="str">
        <f>IFERROR(VLOOKUP(F5326,'1to4-2.1-RR'!$A$12:$BG$111,13,0),"")</f>
        <v/>
      </c>
      <c r="L5343" s="55">
        <f>SUM(G5343:K5343)</f>
        <v>0</v>
      </c>
      <c r="M5343" s="56" t="str">
        <f>IF(F5326&gt;ENTRY!$D$24,"",IF(L5343=0,"Ab",IF(L5343&gt;80,"A",IF(L5343&gt;60,"B",IF(L5343&gt;44,"C",IF(L5343&gt;=33,"D",IF(L5343&lt;=32,"E","")))))))</f>
        <v/>
      </c>
      <c r="N5343" s="56"/>
      <c r="O5343" s="29"/>
      <c r="P5343" s="19"/>
      <c r="Q5343" s="14"/>
      <c r="R5343" s="11"/>
    </row>
    <row r="5344" s="1" customFormat="1" ht="21.95" customHeight="1" spans="1:18">
      <c r="A5344" s="7"/>
      <c r="B5344" s="12"/>
      <c r="C5344" s="33"/>
      <c r="D5344" s="117" t="s">
        <v>513</v>
      </c>
      <c r="E5344" s="117"/>
      <c r="F5344" s="117"/>
      <c r="G5344" s="54" t="str">
        <f>IFERROR(VLOOKUP(F5326,'1to4-2.1-RR'!$A$12:$BG$111,16,0),"")</f>
        <v/>
      </c>
      <c r="H5344" s="54" t="str">
        <f>IFERROR(VLOOKUP(F5326,'1to4-2.1-RR'!$A$12:$BG$111,17,0),"")</f>
        <v/>
      </c>
      <c r="I5344" s="54" t="str">
        <f>IFERROR(VLOOKUP(F5326,'1to4-2.1-RR'!$A$12:$BG$111,18,0),"")</f>
        <v/>
      </c>
      <c r="J5344" s="54" t="str">
        <f>IFERROR(VLOOKUP(F5326,'1to4-2.1-RR'!$A$12:$BG$111,19,0),"")</f>
        <v/>
      </c>
      <c r="K5344" s="54" t="str">
        <f>IFERROR(VLOOKUP(F5326,'1to4-2.1-RR'!$A$12:$BG$111,20,0),"")</f>
        <v/>
      </c>
      <c r="L5344" s="55">
        <f t="shared" ref="L5344:L5349" si="190">SUM(G5344:K5344)</f>
        <v>0</v>
      </c>
      <c r="M5344" s="56" t="str">
        <f>IF(F5326&gt;ENTRY!$D$24,"",IF(L5344=0,"Ab",IF(L5344&gt;80,"A",IF(L5344&gt;60,"B",IF(L5344&gt;44,"C",IF(L5344&gt;=33,"D",IF(L5344&lt;=32,"E","")))))))</f>
        <v/>
      </c>
      <c r="N5344" s="56"/>
      <c r="O5344" s="29"/>
      <c r="P5344" s="19"/>
      <c r="Q5344" s="14"/>
      <c r="R5344" s="11"/>
    </row>
    <row r="5345" s="1" customFormat="1" ht="21.95" customHeight="1" spans="1:19">
      <c r="A5345" s="7"/>
      <c r="B5345" s="12"/>
      <c r="C5345" s="33"/>
      <c r="D5345" s="117" t="s">
        <v>718</v>
      </c>
      <c r="E5345" s="117"/>
      <c r="F5345" s="117"/>
      <c r="G5345" s="54" t="str">
        <f>IFERROR(VLOOKUP(F5326,'1to4-2.1-RR'!$A$12:$BG$111,23,0),"")</f>
        <v/>
      </c>
      <c r="H5345" s="54" t="str">
        <f>IFERROR(VLOOKUP(F5326,'1to4-2.1-RR'!$A$12:$BG$111,24,0),"")</f>
        <v/>
      </c>
      <c r="I5345" s="54" t="str">
        <f>IFERROR(VLOOKUP(F5326,'1to4-2.1-RR'!$A$12:$BG$111,25,0),"")</f>
        <v/>
      </c>
      <c r="J5345" s="54" t="str">
        <f>IFERROR(VLOOKUP(F5326,'1to4-2.1-RR'!$A$12:$BG$111,26,0),"")</f>
        <v/>
      </c>
      <c r="K5345" s="54" t="str">
        <f>IFERROR(VLOOKUP(F5326,'1to4-2.1-RR'!$A$12:$BG$111,27,0),"")</f>
        <v/>
      </c>
      <c r="L5345" s="55">
        <f t="shared" si="190"/>
        <v>0</v>
      </c>
      <c r="M5345" s="56" t="str">
        <f>IF(F5326&gt;ENTRY!$D$24,"",IF(L5345=0,"Ab",IF(L5345&gt;80,"A",IF(L5345&gt;60,"B",IF(L5345&gt;44,"C",IF(L5345&gt;=33,"D",IF(L5345&lt;=32,"E","")))))))</f>
        <v/>
      </c>
      <c r="N5345" s="56"/>
      <c r="O5345" s="29"/>
      <c r="P5345" s="19"/>
      <c r="Q5345" s="14"/>
      <c r="R5345" s="11"/>
    </row>
    <row r="5346" s="1" customFormat="1" ht="21.95" customHeight="1" spans="1:19">
      <c r="A5346" s="7"/>
      <c r="B5346" s="12"/>
      <c r="C5346" s="33"/>
      <c r="D5346" s="117" t="s">
        <v>719</v>
      </c>
      <c r="E5346" s="117"/>
      <c r="F5346" s="117"/>
      <c r="G5346" s="54" t="str">
        <f>IFERROR(VLOOKUP(F5326,'1to4-2.1-RR'!$A$12:$BG$111,30,0),"")</f>
        <v/>
      </c>
      <c r="H5346" s="54" t="str">
        <f>IFERROR(VLOOKUP(F5326,'1to4-2.1-RR'!$A$12:$BG$111,31,0),"")</f>
        <v/>
      </c>
      <c r="I5346" s="54" t="str">
        <f>IFERROR(VLOOKUP(F5326,'1to4-2.1-RR'!$A$12:$BG$111,32,0),"")</f>
        <v/>
      </c>
      <c r="J5346" s="54" t="str">
        <f>IFERROR(VLOOKUP(F5326,'1to4-2.1-RR'!$A$12:$BG$111,33,0),"")</f>
        <v/>
      </c>
      <c r="K5346" s="54" t="str">
        <f>IFERROR(VLOOKUP(F5326,'1to4-2.1-RR'!$A$12:$BG$111,34,0),"")</f>
        <v/>
      </c>
      <c r="L5346" s="55">
        <f t="shared" si="190"/>
        <v>0</v>
      </c>
      <c r="M5346" s="56" t="str">
        <f>IF(F5326&gt;ENTRY!$D$24,"",IF(L5346=0,"Ab",IF(L5346&gt;80,"A",IF(L5346&gt;60,"B",IF(L5346&gt;44,"C",IF(L5346&gt;=33,"D",IF(L5346&lt;=32,"E","")))))))</f>
        <v/>
      </c>
      <c r="N5346" s="56"/>
      <c r="O5346" s="29"/>
      <c r="P5346" s="19"/>
      <c r="Q5346" s="14"/>
      <c r="R5346" s="11"/>
    </row>
    <row r="5347" s="1" customFormat="1" ht="21.95" customHeight="1" spans="1:19">
      <c r="A5347" s="7"/>
      <c r="B5347" s="12"/>
      <c r="C5347" s="33"/>
      <c r="D5347" s="117" t="s">
        <v>548</v>
      </c>
      <c r="E5347" s="117"/>
      <c r="F5347" s="117"/>
      <c r="G5347" s="54" t="str">
        <f>IFERROR(VLOOKUP(F5326,'1to4-2.1-RR'!$A$12:$BG$111,37,0),"")</f>
        <v/>
      </c>
      <c r="H5347" s="54" t="str">
        <f>IFERROR(VLOOKUP(F5326,'1to4-2.1-RR'!$A$12:$BG$111,38,0),"")</f>
        <v/>
      </c>
      <c r="I5347" s="54" t="str">
        <f>IFERROR(VLOOKUP(F5326,'1to4-2.1-RR'!$A$12:$BG$111,39,0),"")</f>
        <v/>
      </c>
      <c r="J5347" s="54" t="str">
        <f>IFERROR(VLOOKUP(F5326,'1to4-2.1-RR'!$A$12:$BG$111,40,0),"")</f>
        <v/>
      </c>
      <c r="K5347" s="54" t="str">
        <f>IFERROR(VLOOKUP(F5326,'1to4-2.1-RR'!$A$12:$BG$111,41,0),"")</f>
        <v/>
      </c>
      <c r="L5347" s="55">
        <f t="shared" si="190"/>
        <v>0</v>
      </c>
      <c r="M5347" s="56" t="str">
        <f>IF(F5326&gt;ENTRY!$D$24,"",IF(L5347=0,"Ab",IF(L5347&gt;80,"A",IF(L5347&gt;60,"B",IF(L5347&gt;44,"C",IF(L5347&gt;=33,"D",IF(L5347&lt;=32,"E","")))))))</f>
        <v/>
      </c>
      <c r="N5347" s="56"/>
      <c r="O5347" s="29"/>
      <c r="P5347" s="19"/>
      <c r="Q5347" s="14"/>
      <c r="R5347" s="11"/>
    </row>
    <row r="5348" s="1" customFormat="1" ht="21.95" customHeight="1" spans="1:19">
      <c r="A5348" s="7"/>
      <c r="B5348" s="12"/>
      <c r="C5348" s="33"/>
      <c r="D5348" s="117" t="s">
        <v>549</v>
      </c>
      <c r="E5348" s="117"/>
      <c r="F5348" s="117"/>
      <c r="G5348" s="54" t="str">
        <f>IFERROR(VLOOKUP(F5326,'1to4-2.1-RR'!$A$12:$BG$111,44,0),"")</f>
        <v/>
      </c>
      <c r="H5348" s="54" t="str">
        <f>IFERROR(VLOOKUP(F5326,'1to4-2.1-RR'!$A$12:$BG$111,45,0),"")</f>
        <v/>
      </c>
      <c r="I5348" s="54" t="str">
        <f>IFERROR(VLOOKUP(F5326,'1to4-2.1-RR'!$A$12:$BG$111,46,0),"")</f>
        <v/>
      </c>
      <c r="J5348" s="54" t="str">
        <f>IFERROR(VLOOKUP(F5326,'1to4-2.1-RR'!$A$12:$BG$111,47,0),"")</f>
        <v/>
      </c>
      <c r="K5348" s="54" t="str">
        <f>IFERROR(VLOOKUP(F5326,'1to4-2.1-RR'!$A$12:$BG$111,48,0),"")</f>
        <v/>
      </c>
      <c r="L5348" s="55">
        <f t="shared" si="190"/>
        <v>0</v>
      </c>
      <c r="M5348" s="56" t="str">
        <f>IF(F5326&gt;ENTRY!$D$24,"",IF(L5348=0,"Ab",IF(L5348&gt;80,"A",IF(L5348&gt;60,"B",IF(L5348&gt;44,"C",IF(L5348&gt;=33,"D",IF(L5348&lt;=32,"E","")))))))</f>
        <v/>
      </c>
      <c r="N5348" s="56"/>
      <c r="O5348" s="29"/>
      <c r="P5348" s="19"/>
      <c r="Q5348" s="14"/>
      <c r="R5348" s="11"/>
    </row>
    <row r="5349" s="1" customFormat="1" ht="21.95" customHeight="1" spans="1:19">
      <c r="A5349" s="7"/>
      <c r="B5349" s="12"/>
      <c r="C5349" s="33"/>
      <c r="D5349" s="117" t="s">
        <v>720</v>
      </c>
      <c r="E5349" s="117"/>
      <c r="F5349" s="117"/>
      <c r="G5349" s="54"/>
      <c r="H5349" s="54"/>
      <c r="I5349" s="54"/>
      <c r="J5349" s="54"/>
      <c r="K5349" s="54"/>
      <c r="L5349" s="55">
        <f t="shared" si="190"/>
        <v>0</v>
      </c>
      <c r="M5349" s="56" t="str">
        <f>IF(F5326&gt;ENTRY!$D$24,"",IF(L5349=0,"",IF(L5349&gt;79,"A",IF(L5349&gt;59,"B",IF(L5349&gt;44,"C",IF(L5349&gt;=33,"D",IF(L5349&lt;=32,"E","")))))))</f>
        <v/>
      </c>
      <c r="N5349" s="56"/>
      <c r="O5349" s="29"/>
      <c r="P5349" s="19"/>
      <c r="Q5349" s="14"/>
      <c r="R5349" s="11"/>
    </row>
    <row r="5350" s="1" customFormat="1" ht="21.95" customHeight="1" spans="1:19">
      <c r="A5350" s="7"/>
      <c r="B5350" s="12"/>
      <c r="C5350" s="33"/>
      <c r="D5350" s="207" t="s">
        <v>382</v>
      </c>
      <c r="E5350" s="207"/>
      <c r="F5350" s="207"/>
      <c r="G5350" s="54">
        <f t="shared" ref="G5350:L5350" si="191">IFERROR(SUM(G5343:G5349),"")</f>
        <v>0</v>
      </c>
      <c r="H5350" s="54">
        <f t="shared" si="191"/>
        <v>0</v>
      </c>
      <c r="I5350" s="54">
        <f t="shared" si="191"/>
        <v>0</v>
      </c>
      <c r="J5350" s="54">
        <f t="shared" si="191"/>
        <v>0</v>
      </c>
      <c r="K5350" s="54">
        <f t="shared" si="191"/>
        <v>0</v>
      </c>
      <c r="L5350" s="55">
        <f t="shared" si="191"/>
        <v>0</v>
      </c>
      <c r="M5350" s="61" t="str">
        <f>IF(F5326&gt;ENTRY!$D$24,"",IF(N5351="Ab","Ab",IF(N5351&gt;79.5,"A",IF(N5351&gt;59.5,"B",IF(N5351&gt;44.5,"C",IF(N5351&gt;=33,"D",IF(N5351&lt;33,"E","")))))))</f>
        <v/>
      </c>
      <c r="N5350" s="61"/>
      <c r="O5350" s="29"/>
      <c r="P5350" s="19"/>
      <c r="Q5350" s="14"/>
      <c r="R5350" s="11"/>
    </row>
    <row r="5351" s="1" customFormat="1" ht="21.95" customHeight="1" spans="1:19">
      <c r="A5351" s="7"/>
      <c r="B5351" s="12"/>
      <c r="C5351" s="33"/>
      <c r="D5351" s="63" t="s">
        <v>721</v>
      </c>
      <c r="E5351" s="63"/>
      <c r="F5351" s="63"/>
      <c r="G5351" s="63"/>
      <c r="H5351" s="63"/>
      <c r="I5351" s="63"/>
      <c r="J5351" s="63"/>
      <c r="K5351" s="63"/>
      <c r="L5351" s="63"/>
      <c r="M5351" s="209"/>
      <c r="N5351" s="64">
        <f>IF(L5350="Ab","Ab",L5350/6)</f>
        <v>0</v>
      </c>
      <c r="O5351" s="65"/>
      <c r="P5351" s="19"/>
      <c r="Q5351" s="14"/>
      <c r="R5351" s="11"/>
    </row>
    <row r="5352" s="1" customFormat="1" ht="21.95" customHeight="1" spans="1:19">
      <c r="A5352" s="7"/>
      <c r="B5352" s="12"/>
      <c r="C5352" s="33"/>
      <c r="D5352" s="29" t="s">
        <v>716</v>
      </c>
      <c r="E5352" s="18" t="str">
        <f>IFERROR(VLOOKUP(F5326,'1to4-2.1-RR'!$A$12:$BG$111,57,0),"")</f>
        <v/>
      </c>
      <c r="F5352" s="18"/>
      <c r="G5352" s="18"/>
      <c r="H5352" s="18"/>
      <c r="I5352" s="18"/>
      <c r="J5352" s="18"/>
      <c r="K5352" s="18"/>
      <c r="L5352" s="18"/>
      <c r="M5352" s="18"/>
      <c r="N5352" s="29"/>
      <c r="O5352" s="29"/>
      <c r="P5352" s="19"/>
      <c r="Q5352" s="14"/>
      <c r="R5352" s="11"/>
    </row>
    <row r="5353" s="1" customFormat="1" ht="9.95" customHeight="1" spans="1:19">
      <c r="A5353" s="7"/>
      <c r="B5353" s="12"/>
      <c r="C5353" s="39"/>
      <c r="D5353" s="40"/>
      <c r="E5353" s="40"/>
      <c r="F5353" s="40"/>
      <c r="G5353" s="40"/>
      <c r="H5353" s="40"/>
      <c r="I5353" s="40"/>
      <c r="J5353" s="40"/>
      <c r="K5353" s="40"/>
      <c r="L5353" s="40"/>
      <c r="M5353" s="40"/>
      <c r="N5353" s="40"/>
      <c r="O5353" s="40"/>
      <c r="P5353" s="41"/>
      <c r="Q5353" s="14"/>
      <c r="R5353" s="11"/>
    </row>
    <row r="5354" s="1" customFormat="1" ht="9.95" customHeight="1" spans="1:19">
      <c r="A5354" s="7"/>
      <c r="B5354" s="12"/>
      <c r="C5354" s="30"/>
      <c r="D5354" s="31"/>
      <c r="E5354" s="31"/>
      <c r="F5354" s="29"/>
      <c r="G5354" s="31"/>
      <c r="H5354" s="31"/>
      <c r="I5354" s="31"/>
      <c r="J5354" s="31"/>
      <c r="K5354" s="31"/>
      <c r="L5354" s="31"/>
      <c r="M5354" s="31"/>
      <c r="N5354" s="31"/>
      <c r="O5354" s="31"/>
      <c r="P5354" s="32"/>
      <c r="Q5354" s="14"/>
      <c r="R5354" s="11"/>
    </row>
    <row r="5355" s="1" customFormat="1" ht="9.95" customHeight="1" spans="1:19">
      <c r="A5355" s="7"/>
      <c r="B5355" s="12"/>
      <c r="C5355" s="33"/>
      <c r="D5355" s="29"/>
      <c r="E5355" s="29"/>
      <c r="F5355" s="29"/>
      <c r="G5355" s="29"/>
      <c r="H5355" s="29"/>
      <c r="I5355" s="29"/>
      <c r="J5355" s="29"/>
      <c r="K5355" s="29"/>
      <c r="L5355" s="29"/>
      <c r="M5355" s="29"/>
      <c r="N5355" s="29"/>
      <c r="O5355" s="29"/>
      <c r="P5355" s="19"/>
      <c r="Q5355" s="14"/>
      <c r="R5355" s="11"/>
    </row>
    <row r="5356" s="1" customFormat="1" ht="9.95" customHeight="1" spans="1:19">
      <c r="A5356" s="7"/>
      <c r="B5356" s="12"/>
      <c r="C5356" s="33"/>
      <c r="D5356" s="29"/>
      <c r="E5356" s="29"/>
      <c r="F5356" s="29"/>
      <c r="G5356" s="29"/>
      <c r="H5356" s="29"/>
      <c r="I5356" s="29"/>
      <c r="J5356" s="29"/>
      <c r="K5356" s="29"/>
      <c r="L5356" s="29"/>
      <c r="M5356" s="29"/>
      <c r="N5356" s="29"/>
      <c r="O5356" s="29"/>
      <c r="P5356" s="19"/>
      <c r="Q5356" s="14"/>
      <c r="R5356" s="11"/>
    </row>
    <row r="5357" s="1" customFormat="1" ht="21.95" customHeight="1" spans="1:19">
      <c r="A5357" s="7"/>
      <c r="B5357" s="12"/>
      <c r="C5357" s="210"/>
      <c r="D5357" s="211"/>
      <c r="E5357" s="211"/>
      <c r="F5357" s="211"/>
      <c r="G5357" s="211"/>
      <c r="H5357" s="211"/>
      <c r="I5357" s="211"/>
      <c r="J5357" s="211"/>
      <c r="K5357" s="211"/>
      <c r="L5357" s="211"/>
      <c r="M5357" s="211"/>
      <c r="N5357" s="211"/>
      <c r="O5357" s="211"/>
      <c r="P5357" s="212"/>
      <c r="Q5357" s="14"/>
      <c r="R5357" s="11"/>
      <c r="S5357" s="2"/>
    </row>
    <row r="5358" s="1" customFormat="1" ht="21.95" customHeight="1" spans="1:19">
      <c r="A5358" s="7"/>
      <c r="B5358" s="12"/>
      <c r="C5358" s="33"/>
      <c r="D5358" s="207" t="s">
        <v>722</v>
      </c>
      <c r="E5358" s="207"/>
      <c r="F5358" s="207"/>
      <c r="G5358" s="207"/>
      <c r="H5358" s="54">
        <f>IFERROR(VLOOKUP(F5326,PASHEET!$A$4:$CJ$103,88,0),"")</f>
        <v>0</v>
      </c>
      <c r="I5358" s="54"/>
      <c r="J5358" s="29"/>
      <c r="K5358" s="29"/>
      <c r="L5358" s="29"/>
      <c r="M5358" s="29"/>
      <c r="N5358" s="29"/>
      <c r="O5358" s="29"/>
      <c r="P5358" s="19"/>
      <c r="Q5358" s="14"/>
      <c r="R5358" s="11"/>
    </row>
    <row r="5359" s="1" customFormat="1" ht="21.95" customHeight="1" spans="1:19">
      <c r="A5359" s="7"/>
      <c r="B5359" s="12"/>
      <c r="C5359" s="213"/>
      <c r="D5359" s="207" t="s">
        <v>723</v>
      </c>
      <c r="E5359" s="207"/>
      <c r="F5359" s="207"/>
      <c r="G5359" s="207"/>
      <c r="H5359" s="54">
        <f>IFERROR(VLOOKUP(F5326,PASHEET!$A$4:$CJ$103,87,0),"")</f>
        <v>0</v>
      </c>
      <c r="I5359" s="54"/>
      <c r="J5359" s="214"/>
      <c r="K5359" s="214"/>
      <c r="L5359" s="207" t="s">
        <v>724</v>
      </c>
      <c r="M5359" s="207"/>
      <c r="N5359" s="117" t="str">
        <f>IF(F5326&gt;ENTRY!$D$24,"",IF(F5326&gt;0,L5350&amp;" / "&amp;600,""))</f>
        <v/>
      </c>
      <c r="O5359" s="117"/>
      <c r="P5359" s="215"/>
      <c r="Q5359" s="14"/>
      <c r="R5359" s="11"/>
    </row>
    <row r="5360" s="1" customFormat="1" ht="18" customHeight="1" spans="1:19">
      <c r="A5360" s="7"/>
      <c r="B5360" s="12"/>
      <c r="C5360" s="33"/>
      <c r="D5360" s="207" t="s">
        <v>725</v>
      </c>
      <c r="E5360" s="207"/>
      <c r="F5360" s="207"/>
      <c r="G5360" s="207"/>
      <c r="H5360" s="69" t="str">
        <f>IFERROR(IF(F5326&gt;0,H5359/H5358*100),"")</f>
        <v/>
      </c>
      <c r="I5360" s="69"/>
      <c r="J5360" s="29"/>
      <c r="K5360" s="29"/>
      <c r="L5360" s="207" t="s">
        <v>726</v>
      </c>
      <c r="M5360" s="207"/>
      <c r="N5360" s="216" t="str">
        <f>IF(F5326&gt;ENTRY!$D$24,"",IF(F5326&gt;0,L5350/600*100,""))</f>
        <v/>
      </c>
      <c r="O5360" s="216"/>
      <c r="P5360" s="19"/>
      <c r="Q5360" s="14"/>
      <c r="R5360" s="11"/>
    </row>
    <row r="5361" s="1" customFormat="1" ht="21.95" customHeight="1" spans="1:18">
      <c r="A5361" s="7"/>
      <c r="B5361" s="12"/>
      <c r="C5361" s="33"/>
      <c r="D5361" s="80"/>
      <c r="E5361" s="80"/>
      <c r="F5361" s="217"/>
      <c r="G5361" s="217"/>
      <c r="H5361" s="217"/>
      <c r="I5361" s="217"/>
      <c r="J5361" s="217"/>
      <c r="K5361" s="217"/>
      <c r="L5361" s="217"/>
      <c r="M5361" s="217"/>
      <c r="N5361" s="80"/>
      <c r="O5361" s="80"/>
      <c r="P5361" s="19"/>
      <c r="Q5361" s="14"/>
      <c r="R5361" s="11"/>
    </row>
    <row r="5362" s="1" customFormat="1" ht="21.95" customHeight="1" spans="1:18">
      <c r="A5362" s="7"/>
      <c r="B5362" s="12"/>
      <c r="C5362" s="33"/>
      <c r="D5362" s="80"/>
      <c r="E5362" s="218"/>
      <c r="F5362" s="218"/>
      <c r="G5362" s="218"/>
      <c r="H5362" s="80"/>
      <c r="I5362" s="218"/>
      <c r="J5362" s="218"/>
      <c r="K5362" s="218"/>
      <c r="L5362" s="218"/>
      <c r="M5362" s="80"/>
      <c r="N5362" s="219"/>
      <c r="O5362" s="219"/>
      <c r="P5362" s="19"/>
      <c r="Q5362" s="14"/>
      <c r="R5362" s="11"/>
    </row>
    <row r="5363" s="1" customFormat="1" ht="21.95" customHeight="1" spans="1:18">
      <c r="A5363" s="7"/>
      <c r="B5363" s="12"/>
      <c r="C5363" s="33"/>
      <c r="D5363" s="80"/>
      <c r="E5363" s="80"/>
      <c r="F5363" s="80"/>
      <c r="G5363" s="80"/>
      <c r="H5363" s="80"/>
      <c r="I5363" s="80"/>
      <c r="J5363" s="80"/>
      <c r="K5363" s="80"/>
      <c r="L5363" s="80"/>
      <c r="M5363" s="80"/>
      <c r="N5363" s="80"/>
      <c r="O5363" s="80"/>
      <c r="P5363" s="19"/>
      <c r="Q5363" s="14"/>
      <c r="R5363" s="11"/>
    </row>
    <row r="5364" s="1" customFormat="1" ht="21.95" customHeight="1" spans="1:18">
      <c r="A5364" s="7"/>
      <c r="B5364" s="12"/>
      <c r="C5364" s="33"/>
      <c r="D5364" s="218"/>
      <c r="E5364" s="218"/>
      <c r="F5364" s="218"/>
      <c r="G5364" s="218"/>
      <c r="H5364" s="218"/>
      <c r="I5364" s="218"/>
      <c r="J5364" s="218"/>
      <c r="K5364" s="218"/>
      <c r="L5364" s="218"/>
      <c r="M5364" s="80"/>
      <c r="N5364" s="217"/>
      <c r="O5364" s="217"/>
      <c r="P5364" s="85" t="s">
        <v>727</v>
      </c>
      <c r="Q5364" s="14"/>
      <c r="R5364" s="11"/>
    </row>
    <row r="5365" s="1" customFormat="1" ht="21.95" customHeight="1" spans="1:18">
      <c r="A5365" s="7"/>
      <c r="B5365" s="12"/>
      <c r="C5365" s="33"/>
      <c r="D5365" s="29"/>
      <c r="E5365" s="29"/>
      <c r="F5365" s="29"/>
      <c r="G5365" s="29"/>
      <c r="H5365" s="29"/>
      <c r="I5365" s="29"/>
      <c r="J5365" s="29"/>
      <c r="K5365" s="29"/>
      <c r="L5365" s="29"/>
      <c r="M5365" s="29"/>
      <c r="N5365" s="29"/>
      <c r="O5365" s="29"/>
      <c r="P5365" s="19"/>
      <c r="Q5365" s="14"/>
      <c r="R5365" s="11"/>
    </row>
    <row r="5366" s="1" customFormat="1" ht="21.95" customHeight="1" spans="1:18">
      <c r="A5366" s="7"/>
      <c r="B5366" s="12"/>
      <c r="C5366" s="33"/>
      <c r="D5366" s="29"/>
      <c r="E5366" s="29"/>
      <c r="F5366" s="29"/>
      <c r="G5366" s="29"/>
      <c r="H5366" s="29"/>
      <c r="I5366" s="29"/>
      <c r="J5366" s="29"/>
      <c r="K5366" s="29"/>
      <c r="L5366" s="29"/>
      <c r="M5366" s="29"/>
      <c r="N5366" s="29"/>
      <c r="O5366" s="29"/>
      <c r="P5366" s="19"/>
      <c r="Q5366" s="14"/>
      <c r="R5366" s="11"/>
    </row>
    <row r="5367" s="1" customFormat="1" ht="21.95" customHeight="1" spans="1:18">
      <c r="A5367" s="7"/>
      <c r="B5367" s="12"/>
      <c r="C5367" s="33"/>
      <c r="D5367" s="29"/>
      <c r="E5367" s="29"/>
      <c r="F5367" s="29"/>
      <c r="G5367" s="29"/>
      <c r="H5367" s="29"/>
      <c r="I5367" s="29"/>
      <c r="J5367" s="29"/>
      <c r="K5367" s="29"/>
      <c r="L5367" s="29"/>
      <c r="M5367" s="29"/>
      <c r="N5367" s="29"/>
      <c r="O5367" s="29"/>
      <c r="P5367" s="19"/>
      <c r="Q5367" s="14"/>
      <c r="R5367" s="11"/>
    </row>
    <row r="5368" s="1" customFormat="1" ht="21.95" customHeight="1" spans="1:18">
      <c r="A5368" s="7"/>
      <c r="B5368" s="12"/>
      <c r="C5368" s="33"/>
      <c r="D5368" s="29"/>
      <c r="E5368" s="29"/>
      <c r="F5368" s="29"/>
      <c r="G5368" s="29"/>
      <c r="H5368" s="29"/>
      <c r="I5368" s="29"/>
      <c r="J5368" s="29"/>
      <c r="K5368" s="29"/>
      <c r="L5368" s="29"/>
      <c r="M5368" s="29"/>
      <c r="N5368" s="29"/>
      <c r="O5368" s="29"/>
      <c r="P5368" s="19"/>
      <c r="Q5368" s="14"/>
      <c r="R5368" s="11"/>
    </row>
    <row r="5369" s="1" customFormat="1" ht="21.95" customHeight="1" spans="1:18">
      <c r="A5369" s="7"/>
      <c r="B5369" s="12"/>
      <c r="C5369" s="33"/>
      <c r="D5369" s="29"/>
      <c r="E5369" s="29"/>
      <c r="F5369" s="29"/>
      <c r="G5369" s="29"/>
      <c r="H5369" s="29"/>
      <c r="I5369" s="29"/>
      <c r="J5369" s="29"/>
      <c r="K5369" s="29"/>
      <c r="L5369" s="29"/>
      <c r="M5369" s="29"/>
      <c r="N5369" s="29"/>
      <c r="O5369" s="29"/>
      <c r="P5369" s="19"/>
      <c r="Q5369" s="14"/>
      <c r="R5369" s="11"/>
    </row>
    <row r="5370" s="1" customFormat="1" ht="21.95" customHeight="1" spans="1:18">
      <c r="A5370" s="7"/>
      <c r="B5370" s="12"/>
      <c r="C5370" s="33"/>
      <c r="D5370" s="80" t="s">
        <v>728</v>
      </c>
      <c r="E5370" s="220">
        <f>ENTRY!$D$27</f>
        <v>46102</v>
      </c>
      <c r="F5370" s="220"/>
      <c r="G5370" s="29"/>
      <c r="H5370" s="29"/>
      <c r="I5370" s="221" t="s">
        <v>729</v>
      </c>
      <c r="J5370" s="153"/>
      <c r="K5370" s="29"/>
      <c r="L5370" s="29"/>
      <c r="M5370" s="87" t="s">
        <v>730</v>
      </c>
      <c r="N5370" s="87"/>
      <c r="O5370" s="87"/>
      <c r="P5370" s="19"/>
      <c r="Q5370" s="14"/>
      <c r="R5370" s="11"/>
    </row>
    <row r="5371" s="1" customFormat="1" ht="21.95" customHeight="1" spans="1:18">
      <c r="A5371" s="7"/>
      <c r="B5371" s="12"/>
      <c r="C5371" s="33"/>
      <c r="D5371" s="80" t="s">
        <v>731</v>
      </c>
      <c r="E5371" s="88" t="str">
        <f>PROPER(ENTRY!$D$28)</f>
        <v>New Delhi</v>
      </c>
      <c r="F5371" s="88"/>
      <c r="G5371" s="29"/>
      <c r="H5371" s="29"/>
      <c r="I5371" s="153"/>
      <c r="J5371" s="153"/>
      <c r="K5371" s="29"/>
      <c r="L5371" s="29"/>
      <c r="M5371" s="79" t="s">
        <v>732</v>
      </c>
      <c r="N5371" s="79"/>
      <c r="O5371" s="79"/>
      <c r="P5371" s="19"/>
      <c r="Q5371" s="14"/>
      <c r="R5371" s="11"/>
    </row>
    <row r="5372" s="1" customFormat="1" ht="21.95" customHeight="1" spans="1:18">
      <c r="A5372" s="7"/>
      <c r="B5372" s="12"/>
      <c r="C5372" s="90"/>
      <c r="D5372" s="91"/>
      <c r="E5372" s="91"/>
      <c r="F5372" s="91"/>
      <c r="G5372" s="91"/>
      <c r="H5372" s="91"/>
      <c r="I5372" s="91"/>
      <c r="J5372" s="91"/>
      <c r="K5372" s="91"/>
      <c r="L5372" s="91"/>
      <c r="M5372" s="91"/>
      <c r="N5372" s="91"/>
      <c r="O5372" s="91"/>
      <c r="P5372" s="92"/>
      <c r="Q5372" s="14"/>
      <c r="R5372" s="11"/>
    </row>
    <row r="5373" s="1" customFormat="1" ht="5.1" customHeight="1" spans="1:18">
      <c r="A5373" s="7"/>
      <c r="B5373" s="90"/>
      <c r="C5373" s="91"/>
      <c r="D5373" s="91"/>
      <c r="E5373" s="91"/>
      <c r="F5373" s="91"/>
      <c r="G5373" s="91"/>
      <c r="H5373" s="91"/>
      <c r="I5373" s="91"/>
      <c r="J5373" s="91"/>
      <c r="K5373" s="91"/>
      <c r="L5373" s="91"/>
      <c r="M5373" s="91"/>
      <c r="N5373" s="91"/>
      <c r="O5373" s="91"/>
      <c r="P5373" s="91"/>
      <c r="Q5373" s="92"/>
      <c r="R5373" s="11"/>
    </row>
    <row r="5374" s="1" customFormat="1" ht="5.1" customHeight="1" spans="1:18">
      <c r="A5374" s="93"/>
      <c r="B5374" s="94"/>
      <c r="C5374" s="94"/>
      <c r="D5374" s="94"/>
      <c r="E5374" s="94"/>
      <c r="F5374" s="94"/>
      <c r="G5374" s="94"/>
      <c r="H5374" s="94"/>
      <c r="I5374" s="94"/>
      <c r="J5374" s="94"/>
      <c r="K5374" s="94"/>
      <c r="L5374" s="94"/>
      <c r="M5374" s="94"/>
      <c r="N5374" s="94"/>
      <c r="O5374" s="94"/>
      <c r="P5374" s="94"/>
      <c r="Q5374" s="94"/>
      <c r="R5374" s="95"/>
    </row>
    <row r="5375" s="1" customFormat="1" ht="21.95" customHeight="1"/>
    <row r="5376" ht="15.15"/>
    <row r="5377" s="1" customFormat="1" ht="5.1" customHeight="1" spans="1:18">
      <c r="A5377" s="4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6"/>
    </row>
    <row r="5378" s="1" customFormat="1" ht="15" customHeight="1" spans="1:18">
      <c r="A5378" s="7"/>
      <c r="B5378" s="8"/>
      <c r="C5378" s="9"/>
      <c r="D5378" s="9"/>
      <c r="E5378" s="9"/>
      <c r="F5378" s="9"/>
      <c r="G5378" s="9"/>
      <c r="H5378" s="9"/>
      <c r="I5378" s="9"/>
      <c r="J5378" s="9"/>
      <c r="K5378" s="9"/>
      <c r="L5378" s="9"/>
      <c r="M5378" s="9"/>
      <c r="N5378" s="9"/>
      <c r="O5378" s="9"/>
      <c r="P5378" s="9"/>
      <c r="Q5378" s="10"/>
      <c r="R5378" s="11"/>
    </row>
    <row r="5379" s="1" customFormat="1" ht="21.95" customHeight="1" spans="1:18">
      <c r="A5379" s="7"/>
      <c r="B5379" s="12"/>
      <c r="C5379" s="13" t="s">
        <v>7</v>
      </c>
      <c r="D5379" s="13"/>
      <c r="E5379" s="13"/>
      <c r="F5379" s="13"/>
      <c r="G5379" s="13"/>
      <c r="H5379" s="13"/>
      <c r="I5379" s="13"/>
      <c r="J5379" s="13"/>
      <c r="K5379" s="13"/>
      <c r="L5379" s="13"/>
      <c r="M5379" s="13"/>
      <c r="N5379" s="13"/>
      <c r="O5379" s="13"/>
      <c r="P5379" s="13"/>
      <c r="Q5379" s="14"/>
      <c r="R5379" s="11"/>
    </row>
    <row r="5380" s="1" customFormat="1" ht="21.95" customHeight="1" spans="1:18">
      <c r="A5380" s="7"/>
      <c r="B5380" s="1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14"/>
      <c r="R5380" s="11"/>
    </row>
    <row r="5381" s="1" customFormat="1" ht="21.95" customHeight="1" spans="1:18">
      <c r="A5381" s="7"/>
      <c r="B5381" s="12"/>
      <c r="C5381" s="15" t="str">
        <f>"SESSION-"&amp;ENTRY!$D$11</f>
        <v>SESSION-2026-27</v>
      </c>
      <c r="D5381" s="15"/>
      <c r="E5381" s="15"/>
      <c r="F5381" s="15"/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  <c r="Q5381" s="14"/>
      <c r="R5381" s="11"/>
    </row>
    <row r="5382" s="1" customFormat="1" ht="21.95" customHeight="1" spans="1:18">
      <c r="A5382" s="7"/>
      <c r="B5382" s="12"/>
      <c r="C5382" s="2"/>
      <c r="D5382" s="2"/>
      <c r="E5382" s="2"/>
      <c r="F5382" s="16">
        <f>F5326+1</f>
        <v>97</v>
      </c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14"/>
      <c r="R5382" s="11"/>
    </row>
    <row r="5383" s="1" customFormat="1" ht="21.95" customHeight="1" spans="1:18">
      <c r="A5383" s="7"/>
      <c r="B5383" s="12"/>
      <c r="C5383" s="17" t="s">
        <v>392</v>
      </c>
      <c r="D5383" s="17"/>
      <c r="E5383" s="17"/>
      <c r="F5383" s="18" t="str">
        <f>IF(F5382&gt;0,ENTRY!$D$6,"")</f>
        <v>MCP NITHARI NO 1 BOYS</v>
      </c>
      <c r="G5383" s="18"/>
      <c r="H5383" s="18"/>
      <c r="I5383" s="18"/>
      <c r="J5383" s="18"/>
      <c r="K5383" s="18"/>
      <c r="L5383" s="18"/>
      <c r="M5383" s="18"/>
      <c r="N5383" s="18"/>
      <c r="O5383" s="18"/>
      <c r="P5383" s="18"/>
      <c r="Q5383" s="14"/>
      <c r="R5383" s="11"/>
    </row>
    <row r="5384" s="1" customFormat="1" ht="21.95" customHeight="1" spans="1:18">
      <c r="A5384" s="7"/>
      <c r="B5384" s="12"/>
      <c r="C5384" s="17" t="s">
        <v>393</v>
      </c>
      <c r="D5384" s="17"/>
      <c r="E5384" s="17"/>
      <c r="F5384" s="18">
        <f>IF(F5382&gt;0,ENTRY!$D$7,"")</f>
        <v>0</v>
      </c>
      <c r="G5384" s="18"/>
      <c r="H5384" s="20" t="s">
        <v>702</v>
      </c>
      <c r="I5384" s="20"/>
      <c r="J5384" s="21">
        <f>IF(F5382&gt;0,ENTRY!$D$10,"")</f>
        <v>40</v>
      </c>
      <c r="K5384" s="20" t="s">
        <v>703</v>
      </c>
      <c r="L5384" s="22" t="str">
        <f>IF(F5382&gt;0,ENTRY!$D$5,"")</f>
        <v>ROHINI ZONE</v>
      </c>
      <c r="M5384" s="22"/>
      <c r="N5384" s="22"/>
      <c r="O5384" s="22"/>
      <c r="P5384" s="22"/>
      <c r="Q5384" s="14"/>
      <c r="R5384" s="11"/>
    </row>
    <row r="5385" s="1" customFormat="1" ht="21.95" customHeight="1" spans="1:18">
      <c r="A5385" s="7"/>
      <c r="B5385" s="12"/>
      <c r="C5385" s="17" t="s">
        <v>706</v>
      </c>
      <c r="D5385" s="17"/>
      <c r="E5385" s="17"/>
      <c r="F5385" s="23">
        <f>IFERROR(VLOOKUP(F5382,STUDENT!$A$2:$BP$101,5,0),"")</f>
        <v>0</v>
      </c>
      <c r="G5385" s="23"/>
      <c r="H5385" s="23"/>
      <c r="I5385" s="23"/>
      <c r="J5385" s="23"/>
      <c r="K5385" s="23"/>
      <c r="L5385" s="20" t="s">
        <v>707</v>
      </c>
      <c r="M5385" s="20"/>
      <c r="N5385" s="24" t="str">
        <f>IF(F5382&gt;0,ENTRY!$D$20&amp;"-"&amp;ENTRY!$D$21,"")</f>
        <v>III-A</v>
      </c>
      <c r="O5385" s="24"/>
      <c r="P5385" s="24"/>
      <c r="Q5385" s="14"/>
      <c r="R5385" s="11"/>
    </row>
    <row r="5386" s="1" customFormat="1" ht="21.95" customHeight="1" spans="1:18">
      <c r="A5386" s="7"/>
      <c r="B5386" s="12"/>
      <c r="C5386" s="17" t="s">
        <v>708</v>
      </c>
      <c r="D5386" s="17"/>
      <c r="E5386" s="17"/>
      <c r="F5386" s="25">
        <f>IFERROR(VLOOKUP(F5382,STUDENT!$A$2:$BP$101,6,0),"")</f>
        <v>0</v>
      </c>
      <c r="G5386" s="25"/>
      <c r="H5386" s="26" t="s">
        <v>709</v>
      </c>
      <c r="I5386" s="27" t="str">
        <f>IFERROR(VLOOKUP(F5382,STUDENT!$A$2:$BP$101,59,0),"")</f>
        <v/>
      </c>
      <c r="J5386" s="27"/>
      <c r="K5386" s="20" t="s">
        <v>710</v>
      </c>
      <c r="L5386" s="20"/>
      <c r="M5386" s="28">
        <f>IFERROR(VLOOKUP(F5382,STUDENT!$A$2:$BP$101,20,0),"")</f>
        <v>0</v>
      </c>
      <c r="N5386" s="28"/>
      <c r="O5386" s="28"/>
      <c r="P5386" s="28"/>
      <c r="Q5386" s="14"/>
      <c r="R5386" s="11"/>
    </row>
    <row r="5387" s="1" customFormat="1" ht="21.95" customHeight="1" spans="1:18">
      <c r="A5387" s="7"/>
      <c r="B5387" s="12"/>
      <c r="C5387" s="17" t="s">
        <v>711</v>
      </c>
      <c r="D5387" s="17"/>
      <c r="E5387" s="17"/>
      <c r="F5387" s="23">
        <f>IFERROR(VLOOKUP(F5382,STUDENT!$A$2:$BP$101,9,0),"")</f>
        <v>0</v>
      </c>
      <c r="G5387" s="23"/>
      <c r="H5387" s="23"/>
      <c r="I5387" s="23"/>
      <c r="J5387" s="17" t="s">
        <v>620</v>
      </c>
      <c r="K5387" s="17"/>
      <c r="L5387" s="23">
        <f>IFERROR(VLOOKUP(F5382,STUDENT!$A$2:$BP$101,8,0),"")</f>
        <v>0</v>
      </c>
      <c r="M5387" s="23"/>
      <c r="N5387" s="23"/>
      <c r="O5387" s="23"/>
      <c r="P5387" s="23"/>
      <c r="Q5387" s="14"/>
      <c r="R5387" s="11"/>
    </row>
    <row r="5388" s="1" customFormat="1" ht="21.95" customHeight="1" spans="1:18">
      <c r="A5388" s="7"/>
      <c r="B5388" s="12"/>
      <c r="C5388" s="17" t="s">
        <v>712</v>
      </c>
      <c r="D5388" s="17"/>
      <c r="E5388" s="17"/>
      <c r="F5388" s="23">
        <f>IFERROR(VLOOKUP(F5382,STUDENT!$A$2:$BP$101,22,0),"")</f>
        <v>0</v>
      </c>
      <c r="G5388" s="23"/>
      <c r="H5388" s="23"/>
      <c r="I5388" s="23"/>
      <c r="J5388" s="23"/>
      <c r="K5388" s="23"/>
      <c r="L5388" s="23"/>
      <c r="M5388" s="23"/>
      <c r="N5388" s="23"/>
      <c r="O5388" s="23"/>
      <c r="P5388" s="23"/>
      <c r="Q5388" s="14"/>
      <c r="R5388" s="11"/>
    </row>
    <row r="5389" s="1" customFormat="1" ht="9.95" customHeight="1" spans="1:18">
      <c r="A5389" s="7"/>
      <c r="B5389" s="12"/>
      <c r="C5389" s="29"/>
      <c r="D5389" s="29"/>
      <c r="E5389" s="29"/>
      <c r="F5389" s="29"/>
      <c r="G5389" s="29"/>
      <c r="H5389" s="29"/>
      <c r="I5389" s="29"/>
      <c r="J5389" s="29"/>
      <c r="K5389" s="29"/>
      <c r="L5389" s="29"/>
      <c r="M5389" s="29"/>
      <c r="N5389" s="29"/>
      <c r="O5389" s="29"/>
      <c r="P5389" s="29"/>
      <c r="Q5389" s="14"/>
      <c r="R5389" s="11"/>
    </row>
    <row r="5390" s="1" customFormat="1" ht="9.95" customHeight="1" spans="1:18">
      <c r="A5390" s="7"/>
      <c r="B5390" s="12"/>
      <c r="C5390" s="30"/>
      <c r="D5390" s="31"/>
      <c r="E5390" s="31"/>
      <c r="F5390" s="31"/>
      <c r="G5390" s="31"/>
      <c r="H5390" s="31"/>
      <c r="I5390" s="31"/>
      <c r="J5390" s="31"/>
      <c r="K5390" s="31"/>
      <c r="L5390" s="31"/>
      <c r="M5390" s="31"/>
      <c r="N5390" s="31"/>
      <c r="O5390" s="31"/>
      <c r="P5390" s="32"/>
      <c r="Q5390" s="14"/>
      <c r="R5390" s="11"/>
    </row>
    <row r="5391" s="1" customFormat="1" ht="21.95" customHeight="1" spans="1:18">
      <c r="A5391" s="7"/>
      <c r="B5391" s="12"/>
      <c r="C5391" s="33"/>
      <c r="D5391" s="34" t="s">
        <v>713</v>
      </c>
      <c r="E5391" s="20" t="s">
        <v>714</v>
      </c>
      <c r="F5391" s="35" t="str">
        <f>"Level - "&amp;IFERROR(VLOOKUP(F5382,FLN!$A$4:$K$103,9,0),"")</f>
        <v>Level - </v>
      </c>
      <c r="G5391" s="36"/>
      <c r="H5391" s="37" t="s">
        <v>715</v>
      </c>
      <c r="I5391" s="20"/>
      <c r="J5391" s="35" t="str">
        <f>"Level - "&amp;IFERROR(VLOOKUP(F5382,FLN!$A$4:$K$103,11,0),"")</f>
        <v>Level - </v>
      </c>
      <c r="K5391" s="36"/>
      <c r="L5391" s="37" t="s">
        <v>408</v>
      </c>
      <c r="M5391" s="20"/>
      <c r="N5391" s="35" t="str">
        <f>"Level - "&amp;IFERROR(VLOOKUP(F5382,FLN!$A$4:$K$103,10,0),"")</f>
        <v>Level - </v>
      </c>
      <c r="O5391" s="36"/>
      <c r="P5391" s="19"/>
      <c r="Q5391" s="14"/>
      <c r="R5391" s="11"/>
    </row>
    <row r="5392" s="1" customFormat="1" ht="21.95" customHeight="1" spans="1:18">
      <c r="A5392" s="7"/>
      <c r="B5392" s="12"/>
      <c r="C5392" s="33"/>
      <c r="D5392" s="38"/>
      <c r="E5392" s="20" t="s">
        <v>716</v>
      </c>
      <c r="F5392" s="18" t="str">
        <f>IF(L5406&gt;197,"PERFORMED WELL","")</f>
        <v/>
      </c>
      <c r="G5392" s="18"/>
      <c r="H5392" s="18"/>
      <c r="I5392" s="18"/>
      <c r="J5392" s="18"/>
      <c r="K5392" s="18"/>
      <c r="L5392" s="18"/>
      <c r="M5392" s="18"/>
      <c r="N5392" s="18"/>
      <c r="O5392" s="18"/>
      <c r="P5392" s="19"/>
      <c r="Q5392" s="14"/>
      <c r="R5392" s="11"/>
    </row>
    <row r="5393" s="1" customFormat="1" ht="9.95" customHeight="1" spans="1:18">
      <c r="A5393" s="7"/>
      <c r="B5393" s="12"/>
      <c r="C5393" s="39"/>
      <c r="D5393" s="40"/>
      <c r="E5393" s="40"/>
      <c r="F5393" s="40"/>
      <c r="G5393" s="40"/>
      <c r="H5393" s="40"/>
      <c r="I5393" s="40"/>
      <c r="J5393" s="40"/>
      <c r="K5393" s="40"/>
      <c r="L5393" s="40"/>
      <c r="M5393" s="40"/>
      <c r="N5393" s="40"/>
      <c r="O5393" s="40"/>
      <c r="P5393" s="41"/>
      <c r="Q5393" s="14"/>
      <c r="R5393" s="11"/>
    </row>
    <row r="5394" s="1" customFormat="1" ht="9.95" customHeight="1" spans="1:18">
      <c r="A5394" s="7"/>
      <c r="B5394" s="12"/>
      <c r="C5394" s="29"/>
      <c r="D5394" s="29"/>
      <c r="E5394" s="29"/>
      <c r="F5394" s="29"/>
      <c r="G5394" s="29"/>
      <c r="H5394" s="29"/>
      <c r="I5394" s="29"/>
      <c r="J5394" s="29"/>
      <c r="K5394" s="29"/>
      <c r="L5394" s="29"/>
      <c r="M5394" s="29"/>
      <c r="N5394" s="29"/>
      <c r="O5394" s="29"/>
      <c r="P5394" s="29"/>
      <c r="Q5394" s="14"/>
      <c r="R5394" s="11"/>
    </row>
    <row r="5395" s="1" customFormat="1" ht="9.95" customHeight="1" spans="1:18">
      <c r="A5395" s="7"/>
      <c r="B5395" s="12"/>
      <c r="C5395" s="30"/>
      <c r="D5395" s="31"/>
      <c r="E5395" s="31"/>
      <c r="F5395" s="31"/>
      <c r="G5395" s="31"/>
      <c r="H5395" s="31"/>
      <c r="I5395" s="31"/>
      <c r="J5395" s="31"/>
      <c r="K5395" s="31"/>
      <c r="L5395" s="31"/>
      <c r="M5395" s="31"/>
      <c r="N5395" s="31"/>
      <c r="O5395" s="31"/>
      <c r="P5395" s="32"/>
      <c r="Q5395" s="14"/>
      <c r="R5395" s="11"/>
    </row>
    <row r="5396" s="1" customFormat="1" ht="21.95" customHeight="1" spans="1:18">
      <c r="A5396" s="7"/>
      <c r="B5396" s="12"/>
      <c r="C5396" s="33"/>
      <c r="D5396" s="35"/>
      <c r="E5396" s="24"/>
      <c r="F5396" s="24"/>
      <c r="G5396" s="47" t="s">
        <v>717</v>
      </c>
      <c r="H5396" s="47"/>
      <c r="I5396" s="47"/>
      <c r="J5396" s="47"/>
      <c r="K5396" s="47"/>
      <c r="L5396" s="47"/>
      <c r="M5396" s="47"/>
      <c r="N5396" s="47"/>
      <c r="O5396" s="29"/>
      <c r="P5396" s="19"/>
      <c r="Q5396" s="14"/>
      <c r="R5396" s="11"/>
    </row>
    <row r="5397" s="1" customFormat="1" ht="21.95" customHeight="1" spans="1:18">
      <c r="A5397" s="7"/>
      <c r="B5397" s="12"/>
      <c r="C5397" s="33"/>
      <c r="D5397" s="47"/>
      <c r="E5397" s="47"/>
      <c r="F5397" s="47"/>
      <c r="G5397" s="47" t="s">
        <v>541</v>
      </c>
      <c r="H5397" s="47" t="s">
        <v>542</v>
      </c>
      <c r="I5397" s="47" t="s">
        <v>543</v>
      </c>
      <c r="J5397" s="47" t="s">
        <v>544</v>
      </c>
      <c r="K5397" s="47" t="s">
        <v>561</v>
      </c>
      <c r="L5397" s="47" t="s">
        <v>382</v>
      </c>
      <c r="M5397" s="49" t="s">
        <v>546</v>
      </c>
      <c r="N5397" s="49"/>
      <c r="O5397" s="29"/>
      <c r="P5397" s="19"/>
      <c r="Q5397" s="14"/>
      <c r="R5397" s="11"/>
    </row>
    <row r="5398" s="1" customFormat="1" ht="21.95" customHeight="1" spans="1:18">
      <c r="A5398" s="7"/>
      <c r="B5398" s="12"/>
      <c r="C5398" s="33"/>
      <c r="D5398" s="207" t="s">
        <v>652</v>
      </c>
      <c r="E5398" s="207"/>
      <c r="F5398" s="207"/>
      <c r="G5398" s="50">
        <v>10</v>
      </c>
      <c r="H5398" s="50">
        <v>10</v>
      </c>
      <c r="I5398" s="50">
        <v>10</v>
      </c>
      <c r="J5398" s="50">
        <v>10</v>
      </c>
      <c r="K5398" s="50">
        <v>60</v>
      </c>
      <c r="L5398" s="50">
        <v>100</v>
      </c>
      <c r="M5398" s="49"/>
      <c r="N5398" s="49"/>
      <c r="O5398" s="29"/>
      <c r="P5398" s="19"/>
      <c r="Q5398" s="14"/>
      <c r="R5398" s="11"/>
    </row>
    <row r="5399" s="1" customFormat="1" ht="21.95" customHeight="1" spans="1:18">
      <c r="A5399" s="7"/>
      <c r="B5399" s="12"/>
      <c r="C5399" s="33"/>
      <c r="D5399" s="117" t="s">
        <v>668</v>
      </c>
      <c r="E5399" s="117"/>
      <c r="F5399" s="117"/>
      <c r="G5399" s="54" t="str">
        <f>IFERROR(VLOOKUP(F5382,'1to4-2.1-RR'!$A$12:$BG$111,9,0),"")</f>
        <v/>
      </c>
      <c r="H5399" s="54" t="str">
        <f>IFERROR(VLOOKUP(F5382,'1to4-2.1-RR'!$A$12:$BG$111,10,0),"")</f>
        <v/>
      </c>
      <c r="I5399" s="54" t="str">
        <f>IFERROR(VLOOKUP(F5382,'1to4-2.1-RR'!$A$12:$BG$111,11,0),"")</f>
        <v/>
      </c>
      <c r="J5399" s="54" t="str">
        <f>IFERROR(VLOOKUP(F5382,'1to4-2.1-RR'!$A$12:$BG$111,12,0),"")</f>
        <v/>
      </c>
      <c r="K5399" s="54" t="str">
        <f>IFERROR(VLOOKUP(F5382,'1to4-2.1-RR'!$A$12:$BG$111,13,0),"")</f>
        <v/>
      </c>
      <c r="L5399" s="55">
        <f>SUM(G5399:K5399)</f>
        <v>0</v>
      </c>
      <c r="M5399" s="56" t="str">
        <f>IF(F5382&gt;ENTRY!$D$24,"",IF(L5399=0,"Ab",IF(L5399&gt;80,"A",IF(L5399&gt;60,"B",IF(L5399&gt;44,"C",IF(L5399&gt;=33,"D",IF(L5399&lt;=32,"E","")))))))</f>
        <v/>
      </c>
      <c r="N5399" s="56"/>
      <c r="O5399" s="29"/>
      <c r="P5399" s="19"/>
      <c r="Q5399" s="14"/>
      <c r="R5399" s="11"/>
    </row>
    <row r="5400" s="1" customFormat="1" ht="21.95" customHeight="1" spans="1:18">
      <c r="A5400" s="7"/>
      <c r="B5400" s="12"/>
      <c r="C5400" s="33"/>
      <c r="D5400" s="117" t="s">
        <v>513</v>
      </c>
      <c r="E5400" s="117"/>
      <c r="F5400" s="117"/>
      <c r="G5400" s="54" t="str">
        <f>IFERROR(VLOOKUP(F5382,'1to4-2.1-RR'!$A$12:$BG$111,16,0),"")</f>
        <v/>
      </c>
      <c r="H5400" s="54" t="str">
        <f>IFERROR(VLOOKUP(F5382,'1to4-2.1-RR'!$A$12:$BG$111,17,0),"")</f>
        <v/>
      </c>
      <c r="I5400" s="54" t="str">
        <f>IFERROR(VLOOKUP(F5382,'1to4-2.1-RR'!$A$12:$BG$111,18,0),"")</f>
        <v/>
      </c>
      <c r="J5400" s="54" t="str">
        <f>IFERROR(VLOOKUP(F5382,'1to4-2.1-RR'!$A$12:$BG$111,19,0),"")</f>
        <v/>
      </c>
      <c r="K5400" s="54" t="str">
        <f>IFERROR(VLOOKUP(F5382,'1to4-2.1-RR'!$A$12:$BG$111,20,0),"")</f>
        <v/>
      </c>
      <c r="L5400" s="55">
        <f t="shared" ref="L5400:L5405" si="192">SUM(G5400:K5400)</f>
        <v>0</v>
      </c>
      <c r="M5400" s="56" t="str">
        <f>IF(F5382&gt;ENTRY!$D$24,"",IF(L5400=0,"Ab",IF(L5400&gt;80,"A",IF(L5400&gt;60,"B",IF(L5400&gt;44,"C",IF(L5400&gt;=33,"D",IF(L5400&lt;=32,"E","")))))))</f>
        <v/>
      </c>
      <c r="N5400" s="56"/>
      <c r="O5400" s="29"/>
      <c r="P5400" s="19"/>
      <c r="Q5400" s="14"/>
      <c r="R5400" s="11"/>
    </row>
    <row r="5401" s="1" customFormat="1" ht="21.95" customHeight="1" spans="1:18">
      <c r="A5401" s="7"/>
      <c r="B5401" s="12"/>
      <c r="C5401" s="33"/>
      <c r="D5401" s="117" t="s">
        <v>718</v>
      </c>
      <c r="E5401" s="117"/>
      <c r="F5401" s="117"/>
      <c r="G5401" s="54" t="str">
        <f>IFERROR(VLOOKUP(F5382,'1to4-2.1-RR'!$A$12:$BG$111,23,0),"")</f>
        <v/>
      </c>
      <c r="H5401" s="54" t="str">
        <f>IFERROR(VLOOKUP(F5382,'1to4-2.1-RR'!$A$12:$BG$111,24,0),"")</f>
        <v/>
      </c>
      <c r="I5401" s="54" t="str">
        <f>IFERROR(VLOOKUP(F5382,'1to4-2.1-RR'!$A$12:$BG$111,25,0),"")</f>
        <v/>
      </c>
      <c r="J5401" s="54" t="str">
        <f>IFERROR(VLOOKUP(F5382,'1to4-2.1-RR'!$A$12:$BG$111,26,0),"")</f>
        <v/>
      </c>
      <c r="K5401" s="54" t="str">
        <f>IFERROR(VLOOKUP(F5382,'1to4-2.1-RR'!$A$12:$BG$111,27,0),"")</f>
        <v/>
      </c>
      <c r="L5401" s="55">
        <f t="shared" si="192"/>
        <v>0</v>
      </c>
      <c r="M5401" s="56" t="str">
        <f>IF(F5382&gt;ENTRY!$D$24,"",IF(L5401=0,"Ab",IF(L5401&gt;80,"A",IF(L5401&gt;60,"B",IF(L5401&gt;44,"C",IF(L5401&gt;=33,"D",IF(L5401&lt;=32,"E","")))))))</f>
        <v/>
      </c>
      <c r="N5401" s="56"/>
      <c r="O5401" s="29"/>
      <c r="P5401" s="19"/>
      <c r="Q5401" s="14"/>
      <c r="R5401" s="11"/>
    </row>
    <row r="5402" s="1" customFormat="1" ht="21.95" customHeight="1" spans="1:18">
      <c r="A5402" s="7"/>
      <c r="B5402" s="12"/>
      <c r="C5402" s="33"/>
      <c r="D5402" s="117" t="s">
        <v>719</v>
      </c>
      <c r="E5402" s="117"/>
      <c r="F5402" s="117"/>
      <c r="G5402" s="54" t="str">
        <f>IFERROR(VLOOKUP(F5382,'1to4-2.1-RR'!$A$12:$BG$111,30,0),"")</f>
        <v/>
      </c>
      <c r="H5402" s="54" t="str">
        <f>IFERROR(VLOOKUP(F5382,'1to4-2.1-RR'!$A$12:$BG$111,31,0),"")</f>
        <v/>
      </c>
      <c r="I5402" s="54" t="str">
        <f>IFERROR(VLOOKUP(F5382,'1to4-2.1-RR'!$A$12:$BG$111,32,0),"")</f>
        <v/>
      </c>
      <c r="J5402" s="54" t="str">
        <f>IFERROR(VLOOKUP(F5382,'1to4-2.1-RR'!$A$12:$BG$111,33,0),"")</f>
        <v/>
      </c>
      <c r="K5402" s="54" t="str">
        <f>IFERROR(VLOOKUP(F5382,'1to4-2.1-RR'!$A$12:$BG$111,34,0),"")</f>
        <v/>
      </c>
      <c r="L5402" s="55">
        <f t="shared" si="192"/>
        <v>0</v>
      </c>
      <c r="M5402" s="56" t="str">
        <f>IF(F5382&gt;ENTRY!$D$24,"",IF(L5402=0,"Ab",IF(L5402&gt;80,"A",IF(L5402&gt;60,"B",IF(L5402&gt;44,"C",IF(L5402&gt;=33,"D",IF(L5402&lt;=32,"E","")))))))</f>
        <v/>
      </c>
      <c r="N5402" s="56"/>
      <c r="O5402" s="29"/>
      <c r="P5402" s="19"/>
      <c r="Q5402" s="14"/>
      <c r="R5402" s="11"/>
    </row>
    <row r="5403" s="1" customFormat="1" ht="21.95" customHeight="1" spans="1:18">
      <c r="A5403" s="7"/>
      <c r="B5403" s="12"/>
      <c r="C5403" s="33"/>
      <c r="D5403" s="117" t="s">
        <v>548</v>
      </c>
      <c r="E5403" s="117"/>
      <c r="F5403" s="117"/>
      <c r="G5403" s="54" t="str">
        <f>IFERROR(VLOOKUP(F5382,'1to4-2.1-RR'!$A$12:$BG$111,37,0),"")</f>
        <v/>
      </c>
      <c r="H5403" s="54" t="str">
        <f>IFERROR(VLOOKUP(F5382,'1to4-2.1-RR'!$A$12:$BG$111,38,0),"")</f>
        <v/>
      </c>
      <c r="I5403" s="54" t="str">
        <f>IFERROR(VLOOKUP(F5382,'1to4-2.1-RR'!$A$12:$BG$111,39,0),"")</f>
        <v/>
      </c>
      <c r="J5403" s="54" t="str">
        <f>IFERROR(VLOOKUP(F5382,'1to4-2.1-RR'!$A$12:$BG$111,40,0),"")</f>
        <v/>
      </c>
      <c r="K5403" s="54" t="str">
        <f>IFERROR(VLOOKUP(F5382,'1to4-2.1-RR'!$A$12:$BG$111,41,0),"")</f>
        <v/>
      </c>
      <c r="L5403" s="55">
        <f t="shared" si="192"/>
        <v>0</v>
      </c>
      <c r="M5403" s="56" t="str">
        <f>IF(F5382&gt;ENTRY!$D$24,"",IF(L5403=0,"Ab",IF(L5403&gt;80,"A",IF(L5403&gt;60,"B",IF(L5403&gt;44,"C",IF(L5403&gt;=33,"D",IF(L5403&lt;=32,"E","")))))))</f>
        <v/>
      </c>
      <c r="N5403" s="56"/>
      <c r="O5403" s="29"/>
      <c r="P5403" s="19"/>
      <c r="Q5403" s="14"/>
      <c r="R5403" s="11"/>
    </row>
    <row r="5404" s="1" customFormat="1" ht="21.95" customHeight="1" spans="1:18">
      <c r="A5404" s="7"/>
      <c r="B5404" s="12"/>
      <c r="C5404" s="33"/>
      <c r="D5404" s="117" t="s">
        <v>549</v>
      </c>
      <c r="E5404" s="117"/>
      <c r="F5404" s="117"/>
      <c r="G5404" s="54" t="str">
        <f>IFERROR(VLOOKUP(F5382,'1to4-2.1-RR'!$A$12:$BG$111,44,0),"")</f>
        <v/>
      </c>
      <c r="H5404" s="54" t="str">
        <f>IFERROR(VLOOKUP(F5382,'1to4-2.1-RR'!$A$12:$BG$111,45,0),"")</f>
        <v/>
      </c>
      <c r="I5404" s="54" t="str">
        <f>IFERROR(VLOOKUP(F5382,'1to4-2.1-RR'!$A$12:$BG$111,46,0),"")</f>
        <v/>
      </c>
      <c r="J5404" s="54" t="str">
        <f>IFERROR(VLOOKUP(F5382,'1to4-2.1-RR'!$A$12:$BG$111,47,0),"")</f>
        <v/>
      </c>
      <c r="K5404" s="54" t="str">
        <f>IFERROR(VLOOKUP(F5382,'1to4-2.1-RR'!$A$12:$BG$111,48,0),"")</f>
        <v/>
      </c>
      <c r="L5404" s="55">
        <f t="shared" si="192"/>
        <v>0</v>
      </c>
      <c r="M5404" s="56" t="str">
        <f>IF(F5382&gt;ENTRY!$D$24,"",IF(L5404=0,"Ab",IF(L5404&gt;80,"A",IF(L5404&gt;60,"B",IF(L5404&gt;44,"C",IF(L5404&gt;=33,"D",IF(L5404&lt;=32,"E","")))))))</f>
        <v/>
      </c>
      <c r="N5404" s="56"/>
      <c r="O5404" s="29"/>
      <c r="P5404" s="19"/>
      <c r="Q5404" s="14"/>
      <c r="R5404" s="11"/>
    </row>
    <row r="5405" s="1" customFormat="1" ht="21.95" customHeight="1" spans="1:18">
      <c r="A5405" s="7"/>
      <c r="B5405" s="12"/>
      <c r="C5405" s="33"/>
      <c r="D5405" s="117" t="s">
        <v>720</v>
      </c>
      <c r="E5405" s="117"/>
      <c r="F5405" s="117"/>
      <c r="G5405" s="54"/>
      <c r="H5405" s="54"/>
      <c r="I5405" s="54"/>
      <c r="J5405" s="54"/>
      <c r="K5405" s="54"/>
      <c r="L5405" s="55">
        <f t="shared" si="192"/>
        <v>0</v>
      </c>
      <c r="M5405" s="56" t="str">
        <f>IF(F5382&gt;ENTRY!$D$24,"",IF(L5405=0,"",IF(L5405&gt;79,"A",IF(L5405&gt;59,"B",IF(L5405&gt;44,"C",IF(L5405&gt;=33,"D",IF(L5405&lt;=32,"E","")))))))</f>
        <v/>
      </c>
      <c r="N5405" s="56"/>
      <c r="O5405" s="29"/>
      <c r="P5405" s="19"/>
      <c r="Q5405" s="14"/>
      <c r="R5405" s="11"/>
    </row>
    <row r="5406" s="1" customFormat="1" ht="21.95" customHeight="1" spans="1:18">
      <c r="A5406" s="7"/>
      <c r="B5406" s="12"/>
      <c r="C5406" s="33"/>
      <c r="D5406" s="207" t="s">
        <v>382</v>
      </c>
      <c r="E5406" s="207"/>
      <c r="F5406" s="207"/>
      <c r="G5406" s="54">
        <f t="shared" ref="G5406:L5406" si="193">IFERROR(SUM(G5399:G5405),"")</f>
        <v>0</v>
      </c>
      <c r="H5406" s="54">
        <f t="shared" si="193"/>
        <v>0</v>
      </c>
      <c r="I5406" s="54">
        <f t="shared" si="193"/>
        <v>0</v>
      </c>
      <c r="J5406" s="54">
        <f t="shared" si="193"/>
        <v>0</v>
      </c>
      <c r="K5406" s="54">
        <f t="shared" si="193"/>
        <v>0</v>
      </c>
      <c r="L5406" s="55">
        <f t="shared" si="193"/>
        <v>0</v>
      </c>
      <c r="M5406" s="61" t="str">
        <f>IF(F5382&gt;ENTRY!$D$24,"",IF(N5407="Ab","Ab",IF(N5407&gt;79.5,"A",IF(N5407&gt;59.5,"B",IF(N5407&gt;44.5,"C",IF(N5407&gt;=33,"D",IF(N5407&lt;33,"E","")))))))</f>
        <v/>
      </c>
      <c r="N5406" s="61"/>
      <c r="O5406" s="29"/>
      <c r="P5406" s="19"/>
      <c r="Q5406" s="14"/>
      <c r="R5406" s="11"/>
    </row>
    <row r="5407" s="1" customFormat="1" ht="21.95" customHeight="1" spans="1:18">
      <c r="A5407" s="7"/>
      <c r="B5407" s="12"/>
      <c r="C5407" s="33"/>
      <c r="D5407" s="63" t="s">
        <v>721</v>
      </c>
      <c r="E5407" s="63"/>
      <c r="F5407" s="63"/>
      <c r="G5407" s="63"/>
      <c r="H5407" s="63"/>
      <c r="I5407" s="63"/>
      <c r="J5407" s="63"/>
      <c r="K5407" s="63"/>
      <c r="L5407" s="63"/>
      <c r="M5407" s="209"/>
      <c r="N5407" s="64">
        <f>IF(L5406="Ab","Ab",L5406/6)</f>
        <v>0</v>
      </c>
      <c r="O5407" s="65"/>
      <c r="P5407" s="19"/>
      <c r="Q5407" s="14"/>
      <c r="R5407" s="11"/>
    </row>
    <row r="5408" s="1" customFormat="1" ht="21.95" customHeight="1" spans="1:18">
      <c r="A5408" s="7"/>
      <c r="B5408" s="12"/>
      <c r="C5408" s="33"/>
      <c r="D5408" s="29" t="s">
        <v>716</v>
      </c>
      <c r="E5408" s="18" t="str">
        <f>IFERROR(VLOOKUP(F5382,'1to4-2.1-RR'!$A$12:$BG$111,57,0),"")</f>
        <v/>
      </c>
      <c r="F5408" s="18"/>
      <c r="G5408" s="18"/>
      <c r="H5408" s="18"/>
      <c r="I5408" s="18"/>
      <c r="J5408" s="18"/>
      <c r="K5408" s="18"/>
      <c r="L5408" s="18"/>
      <c r="M5408" s="18"/>
      <c r="N5408" s="29"/>
      <c r="O5408" s="29"/>
      <c r="P5408" s="19"/>
      <c r="Q5408" s="14"/>
      <c r="R5408" s="11"/>
    </row>
    <row r="5409" s="1" customFormat="1" ht="9.95" customHeight="1" spans="1:19">
      <c r="A5409" s="7"/>
      <c r="B5409" s="12"/>
      <c r="C5409" s="39"/>
      <c r="D5409" s="40"/>
      <c r="E5409" s="40"/>
      <c r="F5409" s="40"/>
      <c r="G5409" s="40"/>
      <c r="H5409" s="40"/>
      <c r="I5409" s="40"/>
      <c r="J5409" s="40"/>
      <c r="K5409" s="40"/>
      <c r="L5409" s="40"/>
      <c r="M5409" s="40"/>
      <c r="N5409" s="40"/>
      <c r="O5409" s="40"/>
      <c r="P5409" s="41"/>
      <c r="Q5409" s="14"/>
      <c r="R5409" s="11"/>
    </row>
    <row r="5410" s="1" customFormat="1" ht="9.95" customHeight="1" spans="1:19">
      <c r="A5410" s="7"/>
      <c r="B5410" s="12"/>
      <c r="C5410" s="30"/>
      <c r="D5410" s="31"/>
      <c r="E5410" s="31"/>
      <c r="F5410" s="29"/>
      <c r="G5410" s="31"/>
      <c r="H5410" s="31"/>
      <c r="I5410" s="31"/>
      <c r="J5410" s="31"/>
      <c r="K5410" s="31"/>
      <c r="L5410" s="31"/>
      <c r="M5410" s="31"/>
      <c r="N5410" s="31"/>
      <c r="O5410" s="31"/>
      <c r="P5410" s="32"/>
      <c r="Q5410" s="14"/>
      <c r="R5410" s="11"/>
    </row>
    <row r="5411" s="1" customFormat="1" ht="9.95" customHeight="1" spans="1:19">
      <c r="A5411" s="7"/>
      <c r="B5411" s="12"/>
      <c r="C5411" s="33"/>
      <c r="D5411" s="29"/>
      <c r="E5411" s="29"/>
      <c r="F5411" s="29"/>
      <c r="G5411" s="29"/>
      <c r="H5411" s="29"/>
      <c r="I5411" s="29"/>
      <c r="J5411" s="29"/>
      <c r="K5411" s="29"/>
      <c r="L5411" s="29"/>
      <c r="M5411" s="29"/>
      <c r="N5411" s="29"/>
      <c r="O5411" s="29"/>
      <c r="P5411" s="19"/>
      <c r="Q5411" s="14"/>
      <c r="R5411" s="11"/>
    </row>
    <row r="5412" s="1" customFormat="1" ht="9.95" customHeight="1" spans="1:19">
      <c r="A5412" s="7"/>
      <c r="B5412" s="12"/>
      <c r="C5412" s="33"/>
      <c r="D5412" s="29"/>
      <c r="E5412" s="29"/>
      <c r="F5412" s="29"/>
      <c r="G5412" s="29"/>
      <c r="H5412" s="29"/>
      <c r="I5412" s="29"/>
      <c r="J5412" s="29"/>
      <c r="K5412" s="29"/>
      <c r="L5412" s="29"/>
      <c r="M5412" s="29"/>
      <c r="N5412" s="29"/>
      <c r="O5412" s="29"/>
      <c r="P5412" s="19"/>
      <c r="Q5412" s="14"/>
      <c r="R5412" s="11"/>
    </row>
    <row r="5413" s="1" customFormat="1" ht="21.95" customHeight="1" spans="1:19">
      <c r="A5413" s="7"/>
      <c r="B5413" s="12"/>
      <c r="C5413" s="210"/>
      <c r="D5413" s="211"/>
      <c r="E5413" s="211"/>
      <c r="F5413" s="211"/>
      <c r="G5413" s="211"/>
      <c r="H5413" s="211"/>
      <c r="I5413" s="211"/>
      <c r="J5413" s="211"/>
      <c r="K5413" s="211"/>
      <c r="L5413" s="211"/>
      <c r="M5413" s="211"/>
      <c r="N5413" s="211"/>
      <c r="O5413" s="211"/>
      <c r="P5413" s="212"/>
      <c r="Q5413" s="14"/>
      <c r="R5413" s="11"/>
      <c r="S5413" s="2"/>
    </row>
    <row r="5414" s="1" customFormat="1" ht="21.95" customHeight="1" spans="1:19">
      <c r="A5414" s="7"/>
      <c r="B5414" s="12"/>
      <c r="C5414" s="33"/>
      <c r="D5414" s="207" t="s">
        <v>722</v>
      </c>
      <c r="E5414" s="207"/>
      <c r="F5414" s="207"/>
      <c r="G5414" s="207"/>
      <c r="H5414" s="54">
        <f>IFERROR(VLOOKUP(F5382,PASHEET!$A$4:$CJ$103,88,0),"")</f>
        <v>0</v>
      </c>
      <c r="I5414" s="54"/>
      <c r="J5414" s="29"/>
      <c r="K5414" s="29"/>
      <c r="L5414" s="29"/>
      <c r="M5414" s="29"/>
      <c r="N5414" s="29"/>
      <c r="O5414" s="29"/>
      <c r="P5414" s="19"/>
      <c r="Q5414" s="14"/>
      <c r="R5414" s="11"/>
    </row>
    <row r="5415" s="1" customFormat="1" ht="21.95" customHeight="1" spans="1:19">
      <c r="A5415" s="7"/>
      <c r="B5415" s="12"/>
      <c r="C5415" s="213"/>
      <c r="D5415" s="207" t="s">
        <v>723</v>
      </c>
      <c r="E5415" s="207"/>
      <c r="F5415" s="207"/>
      <c r="G5415" s="207"/>
      <c r="H5415" s="54">
        <f>IFERROR(VLOOKUP(F5382,PASHEET!$A$4:$CJ$103,87,0),"")</f>
        <v>0</v>
      </c>
      <c r="I5415" s="54"/>
      <c r="J5415" s="214"/>
      <c r="K5415" s="214"/>
      <c r="L5415" s="207" t="s">
        <v>724</v>
      </c>
      <c r="M5415" s="207"/>
      <c r="N5415" s="117" t="str">
        <f>IF(F5382&gt;ENTRY!$D$24,"",IF(F5382&gt;0,L5406&amp;" / "&amp;600,""))</f>
        <v/>
      </c>
      <c r="O5415" s="117"/>
      <c r="P5415" s="215"/>
      <c r="Q5415" s="14"/>
      <c r="R5415" s="11"/>
    </row>
    <row r="5416" s="1" customFormat="1" ht="18" customHeight="1" spans="1:19">
      <c r="A5416" s="7"/>
      <c r="B5416" s="12"/>
      <c r="C5416" s="33"/>
      <c r="D5416" s="207" t="s">
        <v>725</v>
      </c>
      <c r="E5416" s="207"/>
      <c r="F5416" s="207"/>
      <c r="G5416" s="207"/>
      <c r="H5416" s="69" t="str">
        <f>IFERROR(IF(F5382&gt;0,H5415/H5414*100),"")</f>
        <v/>
      </c>
      <c r="I5416" s="69"/>
      <c r="J5416" s="29"/>
      <c r="K5416" s="29"/>
      <c r="L5416" s="207" t="s">
        <v>726</v>
      </c>
      <c r="M5416" s="207"/>
      <c r="N5416" s="216" t="str">
        <f>IF(F5382&gt;ENTRY!$D$24,"",IF(F5382&gt;0,L5406/600*100,""))</f>
        <v/>
      </c>
      <c r="O5416" s="216"/>
      <c r="P5416" s="19"/>
      <c r="Q5416" s="14"/>
      <c r="R5416" s="11"/>
    </row>
    <row r="5417" s="1" customFormat="1" ht="21.95" customHeight="1" spans="1:19">
      <c r="A5417" s="7"/>
      <c r="B5417" s="12"/>
      <c r="C5417" s="33"/>
      <c r="D5417" s="80"/>
      <c r="E5417" s="80"/>
      <c r="F5417" s="217"/>
      <c r="G5417" s="217"/>
      <c r="H5417" s="217"/>
      <c r="I5417" s="217"/>
      <c r="J5417" s="217"/>
      <c r="K5417" s="217"/>
      <c r="L5417" s="217"/>
      <c r="M5417" s="217"/>
      <c r="N5417" s="80"/>
      <c r="O5417" s="80"/>
      <c r="P5417" s="19"/>
      <c r="Q5417" s="14"/>
      <c r="R5417" s="11"/>
    </row>
    <row r="5418" s="1" customFormat="1" ht="21.95" customHeight="1" spans="1:19">
      <c r="A5418" s="7"/>
      <c r="B5418" s="12"/>
      <c r="C5418" s="33"/>
      <c r="D5418" s="80"/>
      <c r="E5418" s="218"/>
      <c r="F5418" s="218"/>
      <c r="G5418" s="218"/>
      <c r="H5418" s="80"/>
      <c r="I5418" s="218"/>
      <c r="J5418" s="218"/>
      <c r="K5418" s="218"/>
      <c r="L5418" s="218"/>
      <c r="M5418" s="80"/>
      <c r="N5418" s="219"/>
      <c r="O5418" s="219"/>
      <c r="P5418" s="19"/>
      <c r="Q5418" s="14"/>
      <c r="R5418" s="11"/>
    </row>
    <row r="5419" s="1" customFormat="1" ht="21.95" customHeight="1" spans="1:19">
      <c r="A5419" s="7"/>
      <c r="B5419" s="12"/>
      <c r="C5419" s="33"/>
      <c r="D5419" s="80"/>
      <c r="E5419" s="80"/>
      <c r="F5419" s="80"/>
      <c r="G5419" s="80"/>
      <c r="H5419" s="80"/>
      <c r="I5419" s="80"/>
      <c r="J5419" s="80"/>
      <c r="K5419" s="80"/>
      <c r="L5419" s="80"/>
      <c r="M5419" s="80"/>
      <c r="N5419" s="80"/>
      <c r="O5419" s="80"/>
      <c r="P5419" s="19"/>
      <c r="Q5419" s="14"/>
      <c r="R5419" s="11"/>
    </row>
    <row r="5420" s="1" customFormat="1" ht="21.95" customHeight="1" spans="1:19">
      <c r="A5420" s="7"/>
      <c r="B5420" s="12"/>
      <c r="C5420" s="33"/>
      <c r="D5420" s="218"/>
      <c r="E5420" s="218"/>
      <c r="F5420" s="218"/>
      <c r="G5420" s="218"/>
      <c r="H5420" s="218"/>
      <c r="I5420" s="218"/>
      <c r="J5420" s="218"/>
      <c r="K5420" s="218"/>
      <c r="L5420" s="218"/>
      <c r="M5420" s="80"/>
      <c r="N5420" s="217"/>
      <c r="O5420" s="217"/>
      <c r="P5420" s="85" t="s">
        <v>727</v>
      </c>
      <c r="Q5420" s="14"/>
      <c r="R5420" s="11"/>
    </row>
    <row r="5421" s="1" customFormat="1" ht="21.95" customHeight="1" spans="1:19">
      <c r="A5421" s="7"/>
      <c r="B5421" s="12"/>
      <c r="C5421" s="33"/>
      <c r="D5421" s="29"/>
      <c r="E5421" s="29"/>
      <c r="F5421" s="29"/>
      <c r="G5421" s="29"/>
      <c r="H5421" s="29"/>
      <c r="I5421" s="29"/>
      <c r="J5421" s="29"/>
      <c r="K5421" s="29"/>
      <c r="L5421" s="29"/>
      <c r="M5421" s="29"/>
      <c r="N5421" s="29"/>
      <c r="O5421" s="29"/>
      <c r="P5421" s="19"/>
      <c r="Q5421" s="14"/>
      <c r="R5421" s="11"/>
    </row>
    <row r="5422" s="1" customFormat="1" ht="21.95" customHeight="1" spans="1:19">
      <c r="A5422" s="7"/>
      <c r="B5422" s="12"/>
      <c r="C5422" s="33"/>
      <c r="D5422" s="29"/>
      <c r="E5422" s="29"/>
      <c r="F5422" s="29"/>
      <c r="G5422" s="29"/>
      <c r="H5422" s="29"/>
      <c r="I5422" s="29"/>
      <c r="J5422" s="29"/>
      <c r="K5422" s="29"/>
      <c r="L5422" s="29"/>
      <c r="M5422" s="29"/>
      <c r="N5422" s="29"/>
      <c r="O5422" s="29"/>
      <c r="P5422" s="19"/>
      <c r="Q5422" s="14"/>
      <c r="R5422" s="11"/>
    </row>
    <row r="5423" s="1" customFormat="1" ht="21.95" customHeight="1" spans="1:19">
      <c r="A5423" s="7"/>
      <c r="B5423" s="12"/>
      <c r="C5423" s="33"/>
      <c r="D5423" s="29"/>
      <c r="E5423" s="29"/>
      <c r="F5423" s="29"/>
      <c r="G5423" s="29"/>
      <c r="H5423" s="29"/>
      <c r="I5423" s="29"/>
      <c r="J5423" s="29"/>
      <c r="K5423" s="29"/>
      <c r="L5423" s="29"/>
      <c r="M5423" s="29"/>
      <c r="N5423" s="29"/>
      <c r="O5423" s="29"/>
      <c r="P5423" s="19"/>
      <c r="Q5423" s="14"/>
      <c r="R5423" s="11"/>
    </row>
    <row r="5424" s="1" customFormat="1" ht="21.95" customHeight="1" spans="1:19">
      <c r="A5424" s="7"/>
      <c r="B5424" s="12"/>
      <c r="C5424" s="33"/>
      <c r="D5424" s="29"/>
      <c r="E5424" s="29"/>
      <c r="F5424" s="29"/>
      <c r="G5424" s="29"/>
      <c r="H5424" s="29"/>
      <c r="I5424" s="29"/>
      <c r="J5424" s="29"/>
      <c r="K5424" s="29"/>
      <c r="L5424" s="29"/>
      <c r="M5424" s="29"/>
      <c r="N5424" s="29"/>
      <c r="O5424" s="29"/>
      <c r="P5424" s="19"/>
      <c r="Q5424" s="14"/>
      <c r="R5424" s="11"/>
    </row>
    <row r="5425" s="1" customFormat="1" ht="21.95" customHeight="1" spans="1:18">
      <c r="A5425" s="7"/>
      <c r="B5425" s="12"/>
      <c r="C5425" s="33"/>
      <c r="D5425" s="29"/>
      <c r="E5425" s="29"/>
      <c r="F5425" s="29"/>
      <c r="G5425" s="29"/>
      <c r="H5425" s="29"/>
      <c r="I5425" s="29"/>
      <c r="J5425" s="29"/>
      <c r="K5425" s="29"/>
      <c r="L5425" s="29"/>
      <c r="M5425" s="29"/>
      <c r="N5425" s="29"/>
      <c r="O5425" s="29"/>
      <c r="P5425" s="19"/>
      <c r="Q5425" s="14"/>
      <c r="R5425" s="11"/>
    </row>
    <row r="5426" s="1" customFormat="1" ht="21.95" customHeight="1" spans="1:18">
      <c r="A5426" s="7"/>
      <c r="B5426" s="12"/>
      <c r="C5426" s="33"/>
      <c r="D5426" s="80" t="s">
        <v>728</v>
      </c>
      <c r="E5426" s="220">
        <f>ENTRY!$D$27</f>
        <v>46102</v>
      </c>
      <c r="F5426" s="220"/>
      <c r="G5426" s="29"/>
      <c r="H5426" s="29"/>
      <c r="I5426" s="221" t="s">
        <v>729</v>
      </c>
      <c r="J5426" s="153"/>
      <c r="K5426" s="29"/>
      <c r="L5426" s="29"/>
      <c r="M5426" s="87" t="s">
        <v>730</v>
      </c>
      <c r="N5426" s="87"/>
      <c r="O5426" s="87"/>
      <c r="P5426" s="19"/>
      <c r="Q5426" s="14"/>
      <c r="R5426" s="11"/>
    </row>
    <row r="5427" s="1" customFormat="1" ht="21.95" customHeight="1" spans="1:18">
      <c r="A5427" s="7"/>
      <c r="B5427" s="12"/>
      <c r="C5427" s="33"/>
      <c r="D5427" s="80" t="s">
        <v>731</v>
      </c>
      <c r="E5427" s="88" t="str">
        <f>PROPER(ENTRY!$D$28)</f>
        <v>New Delhi</v>
      </c>
      <c r="F5427" s="88"/>
      <c r="G5427" s="29"/>
      <c r="H5427" s="29"/>
      <c r="I5427" s="153"/>
      <c r="J5427" s="153"/>
      <c r="K5427" s="29"/>
      <c r="L5427" s="29"/>
      <c r="M5427" s="79" t="s">
        <v>732</v>
      </c>
      <c r="N5427" s="79"/>
      <c r="O5427" s="79"/>
      <c r="P5427" s="19"/>
      <c r="Q5427" s="14"/>
      <c r="R5427" s="11"/>
    </row>
    <row r="5428" s="1" customFormat="1" ht="21.95" customHeight="1" spans="1:18">
      <c r="A5428" s="7"/>
      <c r="B5428" s="12"/>
      <c r="C5428" s="90"/>
      <c r="D5428" s="91"/>
      <c r="E5428" s="91"/>
      <c r="F5428" s="91"/>
      <c r="G5428" s="91"/>
      <c r="H5428" s="91"/>
      <c r="I5428" s="91"/>
      <c r="J5428" s="91"/>
      <c r="K5428" s="91"/>
      <c r="L5428" s="91"/>
      <c r="M5428" s="91"/>
      <c r="N5428" s="91"/>
      <c r="O5428" s="91"/>
      <c r="P5428" s="92"/>
      <c r="Q5428" s="14"/>
      <c r="R5428" s="11"/>
    </row>
    <row r="5429" s="1" customFormat="1" ht="5.1" customHeight="1" spans="1:18">
      <c r="A5429" s="7"/>
      <c r="B5429" s="90"/>
      <c r="C5429" s="91"/>
      <c r="D5429" s="91"/>
      <c r="E5429" s="91"/>
      <c r="F5429" s="91"/>
      <c r="G5429" s="91"/>
      <c r="H5429" s="91"/>
      <c r="I5429" s="91"/>
      <c r="J5429" s="91"/>
      <c r="K5429" s="91"/>
      <c r="L5429" s="91"/>
      <c r="M5429" s="91"/>
      <c r="N5429" s="91"/>
      <c r="O5429" s="91"/>
      <c r="P5429" s="91"/>
      <c r="Q5429" s="92"/>
      <c r="R5429" s="11"/>
    </row>
    <row r="5430" s="1" customFormat="1" ht="5.1" customHeight="1" spans="1:18">
      <c r="A5430" s="93"/>
      <c r="B5430" s="94"/>
      <c r="C5430" s="94"/>
      <c r="D5430" s="94"/>
      <c r="E5430" s="94"/>
      <c r="F5430" s="94"/>
      <c r="G5430" s="94"/>
      <c r="H5430" s="94"/>
      <c r="I5430" s="94"/>
      <c r="J5430" s="94"/>
      <c r="K5430" s="94"/>
      <c r="L5430" s="94"/>
      <c r="M5430" s="94"/>
      <c r="N5430" s="94"/>
      <c r="O5430" s="94"/>
      <c r="P5430" s="94"/>
      <c r="Q5430" s="94"/>
      <c r="R5430" s="95"/>
    </row>
    <row r="5431" s="1" customFormat="1" ht="21.95" customHeight="1"/>
    <row r="5432" ht="15.15"/>
    <row r="5433" s="1" customFormat="1" ht="5.1" customHeight="1" spans="1:18">
      <c r="A5433" s="4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6"/>
    </row>
    <row r="5434" s="1" customFormat="1" ht="15" customHeight="1" spans="1:18">
      <c r="A5434" s="7"/>
      <c r="B5434" s="8"/>
      <c r="C5434" s="9"/>
      <c r="D5434" s="9"/>
      <c r="E5434" s="9"/>
      <c r="F5434" s="9"/>
      <c r="G5434" s="9"/>
      <c r="H5434" s="9"/>
      <c r="I5434" s="9"/>
      <c r="J5434" s="9"/>
      <c r="K5434" s="9"/>
      <c r="L5434" s="9"/>
      <c r="M5434" s="9"/>
      <c r="N5434" s="9"/>
      <c r="O5434" s="9"/>
      <c r="P5434" s="9"/>
      <c r="Q5434" s="10"/>
      <c r="R5434" s="11"/>
    </row>
    <row r="5435" s="1" customFormat="1" ht="21.95" customHeight="1" spans="1:18">
      <c r="A5435" s="7"/>
      <c r="B5435" s="12"/>
      <c r="C5435" s="13" t="s">
        <v>7</v>
      </c>
      <c r="D5435" s="13"/>
      <c r="E5435" s="13"/>
      <c r="F5435" s="13"/>
      <c r="G5435" s="13"/>
      <c r="H5435" s="13"/>
      <c r="I5435" s="13"/>
      <c r="J5435" s="13"/>
      <c r="K5435" s="13"/>
      <c r="L5435" s="13"/>
      <c r="M5435" s="13"/>
      <c r="N5435" s="13"/>
      <c r="O5435" s="13"/>
      <c r="P5435" s="13"/>
      <c r="Q5435" s="14"/>
      <c r="R5435" s="11"/>
    </row>
    <row r="5436" s="1" customFormat="1" ht="21.95" customHeight="1" spans="1:18">
      <c r="A5436" s="7"/>
      <c r="B5436" s="1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14"/>
      <c r="R5436" s="11"/>
    </row>
    <row r="5437" s="1" customFormat="1" ht="21.95" customHeight="1" spans="1:18">
      <c r="A5437" s="7"/>
      <c r="B5437" s="12"/>
      <c r="C5437" s="15" t="str">
        <f>"SESSION-"&amp;ENTRY!$D$11</f>
        <v>SESSION-2026-27</v>
      </c>
      <c r="D5437" s="15"/>
      <c r="E5437" s="15"/>
      <c r="F5437" s="15"/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  <c r="Q5437" s="14"/>
      <c r="R5437" s="11"/>
    </row>
    <row r="5438" s="1" customFormat="1" ht="21.95" customHeight="1" spans="1:18">
      <c r="A5438" s="7"/>
      <c r="B5438" s="12"/>
      <c r="C5438" s="2"/>
      <c r="D5438" s="2"/>
      <c r="E5438" s="2"/>
      <c r="F5438" s="16">
        <f>F5382+1</f>
        <v>98</v>
      </c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14"/>
      <c r="R5438" s="11"/>
    </row>
    <row r="5439" s="1" customFormat="1" ht="21.95" customHeight="1" spans="1:18">
      <c r="A5439" s="7"/>
      <c r="B5439" s="12"/>
      <c r="C5439" s="17" t="s">
        <v>392</v>
      </c>
      <c r="D5439" s="17"/>
      <c r="E5439" s="17"/>
      <c r="F5439" s="18" t="str">
        <f>IF(F5438&gt;0,ENTRY!$D$6,"")</f>
        <v>MCP NITHARI NO 1 BOYS</v>
      </c>
      <c r="G5439" s="18"/>
      <c r="H5439" s="18"/>
      <c r="I5439" s="18"/>
      <c r="J5439" s="18"/>
      <c r="K5439" s="18"/>
      <c r="L5439" s="18"/>
      <c r="M5439" s="18"/>
      <c r="N5439" s="18"/>
      <c r="O5439" s="18"/>
      <c r="P5439" s="18"/>
      <c r="Q5439" s="14"/>
      <c r="R5439" s="11"/>
    </row>
    <row r="5440" s="1" customFormat="1" ht="21.95" customHeight="1" spans="1:18">
      <c r="A5440" s="7"/>
      <c r="B5440" s="12"/>
      <c r="C5440" s="17" t="s">
        <v>393</v>
      </c>
      <c r="D5440" s="17"/>
      <c r="E5440" s="17"/>
      <c r="F5440" s="18">
        <f>IF(F5438&gt;0,ENTRY!$D$7,"")</f>
        <v>0</v>
      </c>
      <c r="G5440" s="18"/>
      <c r="H5440" s="20" t="s">
        <v>702</v>
      </c>
      <c r="I5440" s="20"/>
      <c r="J5440" s="21">
        <f>IF(F5438&gt;0,ENTRY!$D$10,"")</f>
        <v>40</v>
      </c>
      <c r="K5440" s="20" t="s">
        <v>703</v>
      </c>
      <c r="L5440" s="22" t="str">
        <f>IF(F5438&gt;0,ENTRY!$D$5,"")</f>
        <v>ROHINI ZONE</v>
      </c>
      <c r="M5440" s="22"/>
      <c r="N5440" s="22"/>
      <c r="O5440" s="22"/>
      <c r="P5440" s="22"/>
      <c r="Q5440" s="14"/>
      <c r="R5440" s="11"/>
    </row>
    <row r="5441" s="1" customFormat="1" ht="21.95" customHeight="1" spans="1:18">
      <c r="A5441" s="7"/>
      <c r="B5441" s="12"/>
      <c r="C5441" s="17" t="s">
        <v>706</v>
      </c>
      <c r="D5441" s="17"/>
      <c r="E5441" s="17"/>
      <c r="F5441" s="23">
        <f>IFERROR(VLOOKUP(F5438,STUDENT!$A$2:$BP$101,5,0),"")</f>
        <v>0</v>
      </c>
      <c r="G5441" s="23"/>
      <c r="H5441" s="23"/>
      <c r="I5441" s="23"/>
      <c r="J5441" s="23"/>
      <c r="K5441" s="23"/>
      <c r="L5441" s="20" t="s">
        <v>707</v>
      </c>
      <c r="M5441" s="20"/>
      <c r="N5441" s="24" t="str">
        <f>IF(F5438&gt;0,ENTRY!$D$20&amp;"-"&amp;ENTRY!$D$21,"")</f>
        <v>III-A</v>
      </c>
      <c r="O5441" s="24"/>
      <c r="P5441" s="24"/>
      <c r="Q5441" s="14"/>
      <c r="R5441" s="11"/>
    </row>
    <row r="5442" s="1" customFormat="1" ht="21.95" customHeight="1" spans="1:18">
      <c r="A5442" s="7"/>
      <c r="B5442" s="12"/>
      <c r="C5442" s="17" t="s">
        <v>708</v>
      </c>
      <c r="D5442" s="17"/>
      <c r="E5442" s="17"/>
      <c r="F5442" s="25">
        <f>IFERROR(VLOOKUP(F5438,STUDENT!$A$2:$BP$101,6,0),"")</f>
        <v>0</v>
      </c>
      <c r="G5442" s="25"/>
      <c r="H5442" s="26" t="s">
        <v>709</v>
      </c>
      <c r="I5442" s="27" t="str">
        <f>IFERROR(VLOOKUP(F5438,STUDENT!$A$2:$BP$101,59,0),"")</f>
        <v/>
      </c>
      <c r="J5442" s="27"/>
      <c r="K5442" s="20" t="s">
        <v>710</v>
      </c>
      <c r="L5442" s="20"/>
      <c r="M5442" s="28">
        <f>IFERROR(VLOOKUP(F5438,STUDENT!$A$2:$BP$101,20,0),"")</f>
        <v>0</v>
      </c>
      <c r="N5442" s="28"/>
      <c r="O5442" s="28"/>
      <c r="P5442" s="28"/>
      <c r="Q5442" s="14"/>
      <c r="R5442" s="11"/>
    </row>
    <row r="5443" s="1" customFormat="1" ht="21.95" customHeight="1" spans="1:18">
      <c r="A5443" s="7"/>
      <c r="B5443" s="12"/>
      <c r="C5443" s="17" t="s">
        <v>711</v>
      </c>
      <c r="D5443" s="17"/>
      <c r="E5443" s="17"/>
      <c r="F5443" s="23">
        <f>IFERROR(VLOOKUP(F5438,STUDENT!$A$2:$BP$101,9,0),"")</f>
        <v>0</v>
      </c>
      <c r="G5443" s="23"/>
      <c r="H5443" s="23"/>
      <c r="I5443" s="23"/>
      <c r="J5443" s="17" t="s">
        <v>620</v>
      </c>
      <c r="K5443" s="17"/>
      <c r="L5443" s="23">
        <f>IFERROR(VLOOKUP(F5438,STUDENT!$A$2:$BP$101,8,0),"")</f>
        <v>0</v>
      </c>
      <c r="M5443" s="23"/>
      <c r="N5443" s="23"/>
      <c r="O5443" s="23"/>
      <c r="P5443" s="23"/>
      <c r="Q5443" s="14"/>
      <c r="R5443" s="11"/>
    </row>
    <row r="5444" s="1" customFormat="1" ht="21.95" customHeight="1" spans="1:18">
      <c r="A5444" s="7"/>
      <c r="B5444" s="12"/>
      <c r="C5444" s="17" t="s">
        <v>712</v>
      </c>
      <c r="D5444" s="17"/>
      <c r="E5444" s="17"/>
      <c r="F5444" s="23">
        <f>IFERROR(VLOOKUP(F5438,STUDENT!$A$2:$BP$101,22,0),"")</f>
        <v>0</v>
      </c>
      <c r="G5444" s="23"/>
      <c r="H5444" s="23"/>
      <c r="I5444" s="23"/>
      <c r="J5444" s="23"/>
      <c r="K5444" s="23"/>
      <c r="L5444" s="23"/>
      <c r="M5444" s="23"/>
      <c r="N5444" s="23"/>
      <c r="O5444" s="23"/>
      <c r="P5444" s="23"/>
      <c r="Q5444" s="14"/>
      <c r="R5444" s="11"/>
    </row>
    <row r="5445" s="1" customFormat="1" ht="9.95" customHeight="1" spans="1:18">
      <c r="A5445" s="7"/>
      <c r="B5445" s="12"/>
      <c r="C5445" s="29"/>
      <c r="D5445" s="29"/>
      <c r="E5445" s="29"/>
      <c r="F5445" s="29"/>
      <c r="G5445" s="29"/>
      <c r="H5445" s="29"/>
      <c r="I5445" s="29"/>
      <c r="J5445" s="29"/>
      <c r="K5445" s="29"/>
      <c r="L5445" s="29"/>
      <c r="M5445" s="29"/>
      <c r="N5445" s="29"/>
      <c r="O5445" s="29"/>
      <c r="P5445" s="29"/>
      <c r="Q5445" s="14"/>
      <c r="R5445" s="11"/>
    </row>
    <row r="5446" s="1" customFormat="1" ht="9.95" customHeight="1" spans="1:18">
      <c r="A5446" s="7"/>
      <c r="B5446" s="12"/>
      <c r="C5446" s="30"/>
      <c r="D5446" s="31"/>
      <c r="E5446" s="31"/>
      <c r="F5446" s="31"/>
      <c r="G5446" s="31"/>
      <c r="H5446" s="31"/>
      <c r="I5446" s="31"/>
      <c r="J5446" s="31"/>
      <c r="K5446" s="31"/>
      <c r="L5446" s="31"/>
      <c r="M5446" s="31"/>
      <c r="N5446" s="31"/>
      <c r="O5446" s="31"/>
      <c r="P5446" s="32"/>
      <c r="Q5446" s="14"/>
      <c r="R5446" s="11"/>
    </row>
    <row r="5447" s="1" customFormat="1" ht="21.95" customHeight="1" spans="1:18">
      <c r="A5447" s="7"/>
      <c r="B5447" s="12"/>
      <c r="C5447" s="33"/>
      <c r="D5447" s="34" t="s">
        <v>713</v>
      </c>
      <c r="E5447" s="20" t="s">
        <v>714</v>
      </c>
      <c r="F5447" s="35" t="str">
        <f>"Level - "&amp;IFERROR(VLOOKUP(F5438,FLN!$A$4:$K$103,9,0),"")</f>
        <v>Level - </v>
      </c>
      <c r="G5447" s="36"/>
      <c r="H5447" s="37" t="s">
        <v>715</v>
      </c>
      <c r="I5447" s="20"/>
      <c r="J5447" s="35" t="str">
        <f>"Level - "&amp;IFERROR(VLOOKUP(F5438,FLN!$A$4:$K$103,11,0),"")</f>
        <v>Level - </v>
      </c>
      <c r="K5447" s="36"/>
      <c r="L5447" s="37" t="s">
        <v>408</v>
      </c>
      <c r="M5447" s="20"/>
      <c r="N5447" s="35" t="str">
        <f>"Level - "&amp;IFERROR(VLOOKUP(F5438,FLN!$A$4:$K$103,10,0),"")</f>
        <v>Level - </v>
      </c>
      <c r="O5447" s="36"/>
      <c r="P5447" s="19"/>
      <c r="Q5447" s="14"/>
      <c r="R5447" s="11"/>
    </row>
    <row r="5448" s="1" customFormat="1" ht="21.95" customHeight="1" spans="1:18">
      <c r="A5448" s="7"/>
      <c r="B5448" s="12"/>
      <c r="C5448" s="33"/>
      <c r="D5448" s="38"/>
      <c r="E5448" s="20" t="s">
        <v>716</v>
      </c>
      <c r="F5448" s="18" t="str">
        <f>IF(L5462&gt;197,"PERFORMED WELL","")</f>
        <v/>
      </c>
      <c r="G5448" s="18"/>
      <c r="H5448" s="18"/>
      <c r="I5448" s="18"/>
      <c r="J5448" s="18"/>
      <c r="K5448" s="18"/>
      <c r="L5448" s="18"/>
      <c r="M5448" s="18"/>
      <c r="N5448" s="18"/>
      <c r="O5448" s="18"/>
      <c r="P5448" s="19"/>
      <c r="Q5448" s="14"/>
      <c r="R5448" s="11"/>
    </row>
    <row r="5449" s="1" customFormat="1" ht="9.95" customHeight="1" spans="1:18">
      <c r="A5449" s="7"/>
      <c r="B5449" s="12"/>
      <c r="C5449" s="39"/>
      <c r="D5449" s="40"/>
      <c r="E5449" s="40"/>
      <c r="F5449" s="40"/>
      <c r="G5449" s="40"/>
      <c r="H5449" s="40"/>
      <c r="I5449" s="40"/>
      <c r="J5449" s="40"/>
      <c r="K5449" s="40"/>
      <c r="L5449" s="40"/>
      <c r="M5449" s="40"/>
      <c r="N5449" s="40"/>
      <c r="O5449" s="40"/>
      <c r="P5449" s="41"/>
      <c r="Q5449" s="14"/>
      <c r="R5449" s="11"/>
    </row>
    <row r="5450" s="1" customFormat="1" ht="9.95" customHeight="1" spans="1:18">
      <c r="A5450" s="7"/>
      <c r="B5450" s="12"/>
      <c r="C5450" s="29"/>
      <c r="D5450" s="29"/>
      <c r="E5450" s="29"/>
      <c r="F5450" s="29"/>
      <c r="G5450" s="29"/>
      <c r="H5450" s="29"/>
      <c r="I5450" s="29"/>
      <c r="J5450" s="29"/>
      <c r="K5450" s="29"/>
      <c r="L5450" s="29"/>
      <c r="M5450" s="29"/>
      <c r="N5450" s="29"/>
      <c r="O5450" s="29"/>
      <c r="P5450" s="29"/>
      <c r="Q5450" s="14"/>
      <c r="R5450" s="11"/>
    </row>
    <row r="5451" s="1" customFormat="1" ht="9.95" customHeight="1" spans="1:18">
      <c r="A5451" s="7"/>
      <c r="B5451" s="12"/>
      <c r="C5451" s="30"/>
      <c r="D5451" s="31"/>
      <c r="E5451" s="31"/>
      <c r="F5451" s="31"/>
      <c r="G5451" s="31"/>
      <c r="H5451" s="31"/>
      <c r="I5451" s="31"/>
      <c r="J5451" s="31"/>
      <c r="K5451" s="31"/>
      <c r="L5451" s="31"/>
      <c r="M5451" s="31"/>
      <c r="N5451" s="31"/>
      <c r="O5451" s="31"/>
      <c r="P5451" s="32"/>
      <c r="Q5451" s="14"/>
      <c r="R5451" s="11"/>
    </row>
    <row r="5452" s="1" customFormat="1" ht="21.95" customHeight="1" spans="1:18">
      <c r="A5452" s="7"/>
      <c r="B5452" s="12"/>
      <c r="C5452" s="33"/>
      <c r="D5452" s="35"/>
      <c r="E5452" s="24"/>
      <c r="F5452" s="24"/>
      <c r="G5452" s="47" t="s">
        <v>717</v>
      </c>
      <c r="H5452" s="47"/>
      <c r="I5452" s="47"/>
      <c r="J5452" s="47"/>
      <c r="K5452" s="47"/>
      <c r="L5452" s="47"/>
      <c r="M5452" s="47"/>
      <c r="N5452" s="47"/>
      <c r="O5452" s="29"/>
      <c r="P5452" s="19"/>
      <c r="Q5452" s="14"/>
      <c r="R5452" s="11"/>
    </row>
    <row r="5453" s="1" customFormat="1" ht="21.95" customHeight="1" spans="1:18">
      <c r="A5453" s="7"/>
      <c r="B5453" s="12"/>
      <c r="C5453" s="33"/>
      <c r="D5453" s="47"/>
      <c r="E5453" s="47"/>
      <c r="F5453" s="47"/>
      <c r="G5453" s="47" t="s">
        <v>541</v>
      </c>
      <c r="H5453" s="47" t="s">
        <v>542</v>
      </c>
      <c r="I5453" s="47" t="s">
        <v>543</v>
      </c>
      <c r="J5453" s="47" t="s">
        <v>544</v>
      </c>
      <c r="K5453" s="47" t="s">
        <v>561</v>
      </c>
      <c r="L5453" s="47" t="s">
        <v>382</v>
      </c>
      <c r="M5453" s="49" t="s">
        <v>546</v>
      </c>
      <c r="N5453" s="49"/>
      <c r="O5453" s="29"/>
      <c r="P5453" s="19"/>
      <c r="Q5453" s="14"/>
      <c r="R5453" s="11"/>
    </row>
    <row r="5454" s="1" customFormat="1" ht="21.95" customHeight="1" spans="1:18">
      <c r="A5454" s="7"/>
      <c r="B5454" s="12"/>
      <c r="C5454" s="33"/>
      <c r="D5454" s="207" t="s">
        <v>652</v>
      </c>
      <c r="E5454" s="207"/>
      <c r="F5454" s="207"/>
      <c r="G5454" s="50">
        <v>10</v>
      </c>
      <c r="H5454" s="50">
        <v>10</v>
      </c>
      <c r="I5454" s="50">
        <v>10</v>
      </c>
      <c r="J5454" s="50">
        <v>10</v>
      </c>
      <c r="K5454" s="50">
        <v>60</v>
      </c>
      <c r="L5454" s="50">
        <v>100</v>
      </c>
      <c r="M5454" s="49"/>
      <c r="N5454" s="49"/>
      <c r="O5454" s="29"/>
      <c r="P5454" s="19"/>
      <c r="Q5454" s="14"/>
      <c r="R5454" s="11"/>
    </row>
    <row r="5455" s="1" customFormat="1" ht="21.95" customHeight="1" spans="1:18">
      <c r="A5455" s="7"/>
      <c r="B5455" s="12"/>
      <c r="C5455" s="33"/>
      <c r="D5455" s="117" t="s">
        <v>668</v>
      </c>
      <c r="E5455" s="117"/>
      <c r="F5455" s="117"/>
      <c r="G5455" s="54" t="str">
        <f>IFERROR(VLOOKUP(F5438,'1to4-2.1-RR'!$A$12:$BG$111,9,0),"")</f>
        <v/>
      </c>
      <c r="H5455" s="54" t="str">
        <f>IFERROR(VLOOKUP(F5438,'1to4-2.1-RR'!$A$12:$BG$111,10,0),"")</f>
        <v/>
      </c>
      <c r="I5455" s="54" t="str">
        <f>IFERROR(VLOOKUP(F5438,'1to4-2.1-RR'!$A$12:$BG$111,11,0),"")</f>
        <v/>
      </c>
      <c r="J5455" s="54" t="str">
        <f>IFERROR(VLOOKUP(F5438,'1to4-2.1-RR'!$A$12:$BG$111,12,0),"")</f>
        <v/>
      </c>
      <c r="K5455" s="54" t="str">
        <f>IFERROR(VLOOKUP(F5438,'1to4-2.1-RR'!$A$12:$BG$111,13,0),"")</f>
        <v/>
      </c>
      <c r="L5455" s="55">
        <f>SUM(G5455:K5455)</f>
        <v>0</v>
      </c>
      <c r="M5455" s="56" t="str">
        <f>IF(F5438&gt;ENTRY!$D$24,"",IF(L5455=0,"Ab",IF(L5455&gt;80,"A",IF(L5455&gt;60,"B",IF(L5455&gt;44,"C",IF(L5455&gt;=33,"D",IF(L5455&lt;=32,"E","")))))))</f>
        <v/>
      </c>
      <c r="N5455" s="56"/>
      <c r="O5455" s="29"/>
      <c r="P5455" s="19"/>
      <c r="Q5455" s="14"/>
      <c r="R5455" s="11"/>
    </row>
    <row r="5456" s="1" customFormat="1" ht="21.95" customHeight="1" spans="1:18">
      <c r="A5456" s="7"/>
      <c r="B5456" s="12"/>
      <c r="C5456" s="33"/>
      <c r="D5456" s="117" t="s">
        <v>513</v>
      </c>
      <c r="E5456" s="117"/>
      <c r="F5456" s="117"/>
      <c r="G5456" s="54" t="str">
        <f>IFERROR(VLOOKUP(F5438,'1to4-2.1-RR'!$A$12:$BG$111,16,0),"")</f>
        <v/>
      </c>
      <c r="H5456" s="54" t="str">
        <f>IFERROR(VLOOKUP(F5438,'1to4-2.1-RR'!$A$12:$BG$111,17,0),"")</f>
        <v/>
      </c>
      <c r="I5456" s="54" t="str">
        <f>IFERROR(VLOOKUP(F5438,'1to4-2.1-RR'!$A$12:$BG$111,18,0),"")</f>
        <v/>
      </c>
      <c r="J5456" s="54" t="str">
        <f>IFERROR(VLOOKUP(F5438,'1to4-2.1-RR'!$A$12:$BG$111,19,0),"")</f>
        <v/>
      </c>
      <c r="K5456" s="54" t="str">
        <f>IFERROR(VLOOKUP(F5438,'1to4-2.1-RR'!$A$12:$BG$111,20,0),"")</f>
        <v/>
      </c>
      <c r="L5456" s="55">
        <f t="shared" ref="L5456:L5461" si="194">SUM(G5456:K5456)</f>
        <v>0</v>
      </c>
      <c r="M5456" s="56" t="str">
        <f>IF(F5438&gt;ENTRY!$D$24,"",IF(L5456=0,"Ab",IF(L5456&gt;80,"A",IF(L5456&gt;60,"B",IF(L5456&gt;44,"C",IF(L5456&gt;=33,"D",IF(L5456&lt;=32,"E","")))))))</f>
        <v/>
      </c>
      <c r="N5456" s="56"/>
      <c r="O5456" s="29"/>
      <c r="P5456" s="19"/>
      <c r="Q5456" s="14"/>
      <c r="R5456" s="11"/>
    </row>
    <row r="5457" s="1" customFormat="1" ht="21.95" customHeight="1" spans="1:19">
      <c r="A5457" s="7"/>
      <c r="B5457" s="12"/>
      <c r="C5457" s="33"/>
      <c r="D5457" s="117" t="s">
        <v>718</v>
      </c>
      <c r="E5457" s="117"/>
      <c r="F5457" s="117"/>
      <c r="G5457" s="54" t="str">
        <f>IFERROR(VLOOKUP(F5438,'1to4-2.1-RR'!$A$12:$BG$111,23,0),"")</f>
        <v/>
      </c>
      <c r="H5457" s="54" t="str">
        <f>IFERROR(VLOOKUP(F5438,'1to4-2.1-RR'!$A$12:$BG$111,24,0),"")</f>
        <v/>
      </c>
      <c r="I5457" s="54" t="str">
        <f>IFERROR(VLOOKUP(F5438,'1to4-2.1-RR'!$A$12:$BG$111,25,0),"")</f>
        <v/>
      </c>
      <c r="J5457" s="54" t="str">
        <f>IFERROR(VLOOKUP(F5438,'1to4-2.1-RR'!$A$12:$BG$111,26,0),"")</f>
        <v/>
      </c>
      <c r="K5457" s="54" t="str">
        <f>IFERROR(VLOOKUP(F5438,'1to4-2.1-RR'!$A$12:$BG$111,27,0),"")</f>
        <v/>
      </c>
      <c r="L5457" s="55">
        <f t="shared" si="194"/>
        <v>0</v>
      </c>
      <c r="M5457" s="56" t="str">
        <f>IF(F5438&gt;ENTRY!$D$24,"",IF(L5457=0,"Ab",IF(L5457&gt;80,"A",IF(L5457&gt;60,"B",IF(L5457&gt;44,"C",IF(L5457&gt;=33,"D",IF(L5457&lt;=32,"E","")))))))</f>
        <v/>
      </c>
      <c r="N5457" s="56"/>
      <c r="O5457" s="29"/>
      <c r="P5457" s="19"/>
      <c r="Q5457" s="14"/>
      <c r="R5457" s="11"/>
    </row>
    <row r="5458" s="1" customFormat="1" ht="21.95" customHeight="1" spans="1:19">
      <c r="A5458" s="7"/>
      <c r="B5458" s="12"/>
      <c r="C5458" s="33"/>
      <c r="D5458" s="117" t="s">
        <v>719</v>
      </c>
      <c r="E5458" s="117"/>
      <c r="F5458" s="117"/>
      <c r="G5458" s="54" t="str">
        <f>IFERROR(VLOOKUP(F5438,'1to4-2.1-RR'!$A$12:$BG$111,30,0),"")</f>
        <v/>
      </c>
      <c r="H5458" s="54" t="str">
        <f>IFERROR(VLOOKUP(F5438,'1to4-2.1-RR'!$A$12:$BG$111,31,0),"")</f>
        <v/>
      </c>
      <c r="I5458" s="54" t="str">
        <f>IFERROR(VLOOKUP(F5438,'1to4-2.1-RR'!$A$12:$BG$111,32,0),"")</f>
        <v/>
      </c>
      <c r="J5458" s="54" t="str">
        <f>IFERROR(VLOOKUP(F5438,'1to4-2.1-RR'!$A$12:$BG$111,33,0),"")</f>
        <v/>
      </c>
      <c r="K5458" s="54" t="str">
        <f>IFERROR(VLOOKUP(F5438,'1to4-2.1-RR'!$A$12:$BG$111,34,0),"")</f>
        <v/>
      </c>
      <c r="L5458" s="55">
        <f t="shared" si="194"/>
        <v>0</v>
      </c>
      <c r="M5458" s="56" t="str">
        <f>IF(F5438&gt;ENTRY!$D$24,"",IF(L5458=0,"Ab",IF(L5458&gt;80,"A",IF(L5458&gt;60,"B",IF(L5458&gt;44,"C",IF(L5458&gt;=33,"D",IF(L5458&lt;=32,"E","")))))))</f>
        <v/>
      </c>
      <c r="N5458" s="56"/>
      <c r="O5458" s="29"/>
      <c r="P5458" s="19"/>
      <c r="Q5458" s="14"/>
      <c r="R5458" s="11"/>
    </row>
    <row r="5459" s="1" customFormat="1" ht="21.95" customHeight="1" spans="1:19">
      <c r="A5459" s="7"/>
      <c r="B5459" s="12"/>
      <c r="C5459" s="33"/>
      <c r="D5459" s="117" t="s">
        <v>548</v>
      </c>
      <c r="E5459" s="117"/>
      <c r="F5459" s="117"/>
      <c r="G5459" s="54" t="str">
        <f>IFERROR(VLOOKUP(F5438,'1to4-2.1-RR'!$A$12:$BG$111,37,0),"")</f>
        <v/>
      </c>
      <c r="H5459" s="54" t="str">
        <f>IFERROR(VLOOKUP(F5438,'1to4-2.1-RR'!$A$12:$BG$111,38,0),"")</f>
        <v/>
      </c>
      <c r="I5459" s="54" t="str">
        <f>IFERROR(VLOOKUP(F5438,'1to4-2.1-RR'!$A$12:$BG$111,39,0),"")</f>
        <v/>
      </c>
      <c r="J5459" s="54" t="str">
        <f>IFERROR(VLOOKUP(F5438,'1to4-2.1-RR'!$A$12:$BG$111,40,0),"")</f>
        <v/>
      </c>
      <c r="K5459" s="54" t="str">
        <f>IFERROR(VLOOKUP(F5438,'1to4-2.1-RR'!$A$12:$BG$111,41,0),"")</f>
        <v/>
      </c>
      <c r="L5459" s="55">
        <f t="shared" si="194"/>
        <v>0</v>
      </c>
      <c r="M5459" s="56" t="str">
        <f>IF(F5438&gt;ENTRY!$D$24,"",IF(L5459=0,"Ab",IF(L5459&gt;80,"A",IF(L5459&gt;60,"B",IF(L5459&gt;44,"C",IF(L5459&gt;=33,"D",IF(L5459&lt;=32,"E","")))))))</f>
        <v/>
      </c>
      <c r="N5459" s="56"/>
      <c r="O5459" s="29"/>
      <c r="P5459" s="19"/>
      <c r="Q5459" s="14"/>
      <c r="R5459" s="11"/>
    </row>
    <row r="5460" s="1" customFormat="1" ht="21.95" customHeight="1" spans="1:19">
      <c r="A5460" s="7"/>
      <c r="B5460" s="12"/>
      <c r="C5460" s="33"/>
      <c r="D5460" s="117" t="s">
        <v>549</v>
      </c>
      <c r="E5460" s="117"/>
      <c r="F5460" s="117"/>
      <c r="G5460" s="54" t="str">
        <f>IFERROR(VLOOKUP(F5438,'1to4-2.1-RR'!$A$12:$BG$111,44,0),"")</f>
        <v/>
      </c>
      <c r="H5460" s="54" t="str">
        <f>IFERROR(VLOOKUP(F5438,'1to4-2.1-RR'!$A$12:$BG$111,45,0),"")</f>
        <v/>
      </c>
      <c r="I5460" s="54" t="str">
        <f>IFERROR(VLOOKUP(F5438,'1to4-2.1-RR'!$A$12:$BG$111,46,0),"")</f>
        <v/>
      </c>
      <c r="J5460" s="54" t="str">
        <f>IFERROR(VLOOKUP(F5438,'1to4-2.1-RR'!$A$12:$BG$111,47,0),"")</f>
        <v/>
      </c>
      <c r="K5460" s="54" t="str">
        <f>IFERROR(VLOOKUP(F5438,'1to4-2.1-RR'!$A$12:$BG$111,48,0),"")</f>
        <v/>
      </c>
      <c r="L5460" s="55">
        <f t="shared" si="194"/>
        <v>0</v>
      </c>
      <c r="M5460" s="56" t="str">
        <f>IF(F5438&gt;ENTRY!$D$24,"",IF(L5460=0,"Ab",IF(L5460&gt;80,"A",IF(L5460&gt;60,"B",IF(L5460&gt;44,"C",IF(L5460&gt;=33,"D",IF(L5460&lt;=32,"E","")))))))</f>
        <v/>
      </c>
      <c r="N5460" s="56"/>
      <c r="O5460" s="29"/>
      <c r="P5460" s="19"/>
      <c r="Q5460" s="14"/>
      <c r="R5460" s="11"/>
    </row>
    <row r="5461" s="1" customFormat="1" ht="21.95" customHeight="1" spans="1:19">
      <c r="A5461" s="7"/>
      <c r="B5461" s="12"/>
      <c r="C5461" s="33"/>
      <c r="D5461" s="117" t="s">
        <v>720</v>
      </c>
      <c r="E5461" s="117"/>
      <c r="F5461" s="117"/>
      <c r="G5461" s="54"/>
      <c r="H5461" s="54"/>
      <c r="I5461" s="54"/>
      <c r="J5461" s="54"/>
      <c r="K5461" s="54"/>
      <c r="L5461" s="55">
        <f t="shared" si="194"/>
        <v>0</v>
      </c>
      <c r="M5461" s="56" t="str">
        <f>IF(F5438&gt;ENTRY!$D$24,"",IF(L5461=0,"",IF(L5461&gt;79,"A",IF(L5461&gt;59,"B",IF(L5461&gt;44,"C",IF(L5461&gt;=33,"D",IF(L5461&lt;=32,"E","")))))))</f>
        <v/>
      </c>
      <c r="N5461" s="56"/>
      <c r="O5461" s="29"/>
      <c r="P5461" s="19"/>
      <c r="Q5461" s="14"/>
      <c r="R5461" s="11"/>
    </row>
    <row r="5462" s="1" customFormat="1" ht="21.95" customHeight="1" spans="1:19">
      <c r="A5462" s="7"/>
      <c r="B5462" s="12"/>
      <c r="C5462" s="33"/>
      <c r="D5462" s="207" t="s">
        <v>382</v>
      </c>
      <c r="E5462" s="207"/>
      <c r="F5462" s="207"/>
      <c r="G5462" s="54">
        <f t="shared" ref="G5462:L5462" si="195">IFERROR(SUM(G5455:G5461),"")</f>
        <v>0</v>
      </c>
      <c r="H5462" s="54">
        <f t="shared" si="195"/>
        <v>0</v>
      </c>
      <c r="I5462" s="54">
        <f t="shared" si="195"/>
        <v>0</v>
      </c>
      <c r="J5462" s="54">
        <f t="shared" si="195"/>
        <v>0</v>
      </c>
      <c r="K5462" s="54">
        <f t="shared" si="195"/>
        <v>0</v>
      </c>
      <c r="L5462" s="55">
        <f t="shared" si="195"/>
        <v>0</v>
      </c>
      <c r="M5462" s="61" t="str">
        <f>IF(F5438&gt;ENTRY!$D$24,"",IF(N5463="Ab","Ab",IF(N5463&gt;79.5,"A",IF(N5463&gt;59.5,"B",IF(N5463&gt;44.5,"C",IF(N5463&gt;=33,"D",IF(N5463&lt;33,"E","")))))))</f>
        <v/>
      </c>
      <c r="N5462" s="61"/>
      <c r="O5462" s="29"/>
      <c r="P5462" s="19"/>
      <c r="Q5462" s="14"/>
      <c r="R5462" s="11"/>
    </row>
    <row r="5463" s="1" customFormat="1" ht="21.95" customHeight="1" spans="1:19">
      <c r="A5463" s="7"/>
      <c r="B5463" s="12"/>
      <c r="C5463" s="33"/>
      <c r="D5463" s="63" t="s">
        <v>721</v>
      </c>
      <c r="E5463" s="63"/>
      <c r="F5463" s="63"/>
      <c r="G5463" s="63"/>
      <c r="H5463" s="63"/>
      <c r="I5463" s="63"/>
      <c r="J5463" s="63"/>
      <c r="K5463" s="63"/>
      <c r="L5463" s="63"/>
      <c r="M5463" s="209"/>
      <c r="N5463" s="64">
        <f>IF(L5462="Ab","Ab",L5462/6)</f>
        <v>0</v>
      </c>
      <c r="O5463" s="65"/>
      <c r="P5463" s="19"/>
      <c r="Q5463" s="14"/>
      <c r="R5463" s="11"/>
    </row>
    <row r="5464" s="1" customFormat="1" ht="21.95" customHeight="1" spans="1:19">
      <c r="A5464" s="7"/>
      <c r="B5464" s="12"/>
      <c r="C5464" s="33"/>
      <c r="D5464" s="29" t="s">
        <v>716</v>
      </c>
      <c r="E5464" s="18" t="str">
        <f>IFERROR(VLOOKUP(F5438,'1to4-2.1-RR'!$A$12:$BG$111,57,0),"")</f>
        <v/>
      </c>
      <c r="F5464" s="18"/>
      <c r="G5464" s="18"/>
      <c r="H5464" s="18"/>
      <c r="I5464" s="18"/>
      <c r="J5464" s="18"/>
      <c r="K5464" s="18"/>
      <c r="L5464" s="18"/>
      <c r="M5464" s="18"/>
      <c r="N5464" s="29"/>
      <c r="O5464" s="29"/>
      <c r="P5464" s="19"/>
      <c r="Q5464" s="14"/>
      <c r="R5464" s="11"/>
    </row>
    <row r="5465" s="1" customFormat="1" ht="9.95" customHeight="1" spans="1:19">
      <c r="A5465" s="7"/>
      <c r="B5465" s="12"/>
      <c r="C5465" s="39"/>
      <c r="D5465" s="40"/>
      <c r="E5465" s="40"/>
      <c r="F5465" s="40"/>
      <c r="G5465" s="40"/>
      <c r="H5465" s="40"/>
      <c r="I5465" s="40"/>
      <c r="J5465" s="40"/>
      <c r="K5465" s="40"/>
      <c r="L5465" s="40"/>
      <c r="M5465" s="40"/>
      <c r="N5465" s="40"/>
      <c r="O5465" s="40"/>
      <c r="P5465" s="41"/>
      <c r="Q5465" s="14"/>
      <c r="R5465" s="11"/>
    </row>
    <row r="5466" s="1" customFormat="1" ht="9.95" customHeight="1" spans="1:19">
      <c r="A5466" s="7"/>
      <c r="B5466" s="12"/>
      <c r="C5466" s="30"/>
      <c r="D5466" s="31"/>
      <c r="E5466" s="31"/>
      <c r="F5466" s="29"/>
      <c r="G5466" s="31"/>
      <c r="H5466" s="31"/>
      <c r="I5466" s="31"/>
      <c r="J5466" s="31"/>
      <c r="K5466" s="31"/>
      <c r="L5466" s="31"/>
      <c r="M5466" s="31"/>
      <c r="N5466" s="31"/>
      <c r="O5466" s="31"/>
      <c r="P5466" s="32"/>
      <c r="Q5466" s="14"/>
      <c r="R5466" s="11"/>
    </row>
    <row r="5467" s="1" customFormat="1" ht="9.95" customHeight="1" spans="1:19">
      <c r="A5467" s="7"/>
      <c r="B5467" s="12"/>
      <c r="C5467" s="33"/>
      <c r="D5467" s="29"/>
      <c r="E5467" s="29"/>
      <c r="F5467" s="29"/>
      <c r="G5467" s="29"/>
      <c r="H5467" s="29"/>
      <c r="I5467" s="29"/>
      <c r="J5467" s="29"/>
      <c r="K5467" s="29"/>
      <c r="L5467" s="29"/>
      <c r="M5467" s="29"/>
      <c r="N5467" s="29"/>
      <c r="O5467" s="29"/>
      <c r="P5467" s="19"/>
      <c r="Q5467" s="14"/>
      <c r="R5467" s="11"/>
    </row>
    <row r="5468" s="1" customFormat="1" ht="9.95" customHeight="1" spans="1:19">
      <c r="A5468" s="7"/>
      <c r="B5468" s="12"/>
      <c r="C5468" s="33"/>
      <c r="D5468" s="29"/>
      <c r="E5468" s="29"/>
      <c r="F5468" s="29"/>
      <c r="G5468" s="29"/>
      <c r="H5468" s="29"/>
      <c r="I5468" s="29"/>
      <c r="J5468" s="29"/>
      <c r="K5468" s="29"/>
      <c r="L5468" s="29"/>
      <c r="M5468" s="29"/>
      <c r="N5468" s="29"/>
      <c r="O5468" s="29"/>
      <c r="P5468" s="19"/>
      <c r="Q5468" s="14"/>
      <c r="R5468" s="11"/>
    </row>
    <row r="5469" s="1" customFormat="1" ht="21.95" customHeight="1" spans="1:19">
      <c r="A5469" s="7"/>
      <c r="B5469" s="12"/>
      <c r="C5469" s="210"/>
      <c r="D5469" s="211"/>
      <c r="E5469" s="211"/>
      <c r="F5469" s="211"/>
      <c r="G5469" s="211"/>
      <c r="H5469" s="211"/>
      <c r="I5469" s="211"/>
      <c r="J5469" s="211"/>
      <c r="K5469" s="211"/>
      <c r="L5469" s="211"/>
      <c r="M5469" s="211"/>
      <c r="N5469" s="211"/>
      <c r="O5469" s="211"/>
      <c r="P5469" s="212"/>
      <c r="Q5469" s="14"/>
      <c r="R5469" s="11"/>
      <c r="S5469" s="2"/>
    </row>
    <row r="5470" s="1" customFormat="1" ht="21.95" customHeight="1" spans="1:19">
      <c r="A5470" s="7"/>
      <c r="B5470" s="12"/>
      <c r="C5470" s="33"/>
      <c r="D5470" s="207" t="s">
        <v>722</v>
      </c>
      <c r="E5470" s="207"/>
      <c r="F5470" s="207"/>
      <c r="G5470" s="207"/>
      <c r="H5470" s="54">
        <f>IFERROR(VLOOKUP(F5438,PASHEET!$A$4:$CJ$103,88,0),"")</f>
        <v>0</v>
      </c>
      <c r="I5470" s="54"/>
      <c r="J5470" s="29"/>
      <c r="K5470" s="29"/>
      <c r="L5470" s="29"/>
      <c r="M5470" s="29"/>
      <c r="N5470" s="29"/>
      <c r="O5470" s="29"/>
      <c r="P5470" s="19"/>
      <c r="Q5470" s="14"/>
      <c r="R5470" s="11"/>
    </row>
    <row r="5471" s="1" customFormat="1" ht="21.95" customHeight="1" spans="1:19">
      <c r="A5471" s="7"/>
      <c r="B5471" s="12"/>
      <c r="C5471" s="213"/>
      <c r="D5471" s="207" t="s">
        <v>723</v>
      </c>
      <c r="E5471" s="207"/>
      <c r="F5471" s="207"/>
      <c r="G5471" s="207"/>
      <c r="H5471" s="54">
        <f>IFERROR(VLOOKUP(F5438,PASHEET!$A$4:$CJ$103,87,0),"")</f>
        <v>0</v>
      </c>
      <c r="I5471" s="54"/>
      <c r="J5471" s="214"/>
      <c r="K5471" s="214"/>
      <c r="L5471" s="207" t="s">
        <v>724</v>
      </c>
      <c r="M5471" s="207"/>
      <c r="N5471" s="117" t="str">
        <f>IF(F5438&gt;ENTRY!$D$24,"",IF(F5438&gt;0,L5462&amp;" / "&amp;600,""))</f>
        <v/>
      </c>
      <c r="O5471" s="117"/>
      <c r="P5471" s="215"/>
      <c r="Q5471" s="14"/>
      <c r="R5471" s="11"/>
    </row>
    <row r="5472" s="1" customFormat="1" ht="18" customHeight="1" spans="1:19">
      <c r="A5472" s="7"/>
      <c r="B5472" s="12"/>
      <c r="C5472" s="33"/>
      <c r="D5472" s="207" t="s">
        <v>725</v>
      </c>
      <c r="E5472" s="207"/>
      <c r="F5472" s="207"/>
      <c r="G5472" s="207"/>
      <c r="H5472" s="69" t="str">
        <f>IFERROR(IF(F5438&gt;0,H5471/H5470*100),"")</f>
        <v/>
      </c>
      <c r="I5472" s="69"/>
      <c r="J5472" s="29"/>
      <c r="K5472" s="29"/>
      <c r="L5472" s="207" t="s">
        <v>726</v>
      </c>
      <c r="M5472" s="207"/>
      <c r="N5472" s="216" t="str">
        <f>IF(F5438&gt;ENTRY!$D$24,"",IF(F5438&gt;0,L5462/600*100,""))</f>
        <v/>
      </c>
      <c r="O5472" s="216"/>
      <c r="P5472" s="19"/>
      <c r="Q5472" s="14"/>
      <c r="R5472" s="11"/>
    </row>
    <row r="5473" s="1" customFormat="1" ht="21.95" customHeight="1" spans="1:18">
      <c r="A5473" s="7"/>
      <c r="B5473" s="12"/>
      <c r="C5473" s="33"/>
      <c r="D5473" s="80"/>
      <c r="E5473" s="80"/>
      <c r="F5473" s="217"/>
      <c r="G5473" s="217"/>
      <c r="H5473" s="217"/>
      <c r="I5473" s="217"/>
      <c r="J5473" s="217"/>
      <c r="K5473" s="217"/>
      <c r="L5473" s="217"/>
      <c r="M5473" s="217"/>
      <c r="N5473" s="80"/>
      <c r="O5473" s="80"/>
      <c r="P5473" s="19"/>
      <c r="Q5473" s="14"/>
      <c r="R5473" s="11"/>
    </row>
    <row r="5474" s="1" customFormat="1" ht="21.95" customHeight="1" spans="1:18">
      <c r="A5474" s="7"/>
      <c r="B5474" s="12"/>
      <c r="C5474" s="33"/>
      <c r="D5474" s="80"/>
      <c r="E5474" s="218"/>
      <c r="F5474" s="218"/>
      <c r="G5474" s="218"/>
      <c r="H5474" s="80"/>
      <c r="I5474" s="218"/>
      <c r="J5474" s="218"/>
      <c r="K5474" s="218"/>
      <c r="L5474" s="218"/>
      <c r="M5474" s="80"/>
      <c r="N5474" s="219"/>
      <c r="O5474" s="219"/>
      <c r="P5474" s="19"/>
      <c r="Q5474" s="14"/>
      <c r="R5474" s="11"/>
    </row>
    <row r="5475" s="1" customFormat="1" ht="21.95" customHeight="1" spans="1:18">
      <c r="A5475" s="7"/>
      <c r="B5475" s="12"/>
      <c r="C5475" s="33"/>
      <c r="D5475" s="80"/>
      <c r="E5475" s="80"/>
      <c r="F5475" s="80"/>
      <c r="G5475" s="80"/>
      <c r="H5475" s="80"/>
      <c r="I5475" s="80"/>
      <c r="J5475" s="80"/>
      <c r="K5475" s="80"/>
      <c r="L5475" s="80"/>
      <c r="M5475" s="80"/>
      <c r="N5475" s="80"/>
      <c r="O5475" s="80"/>
      <c r="P5475" s="19"/>
      <c r="Q5475" s="14"/>
      <c r="R5475" s="11"/>
    </row>
    <row r="5476" s="1" customFormat="1" ht="21.95" customHeight="1" spans="1:18">
      <c r="A5476" s="7"/>
      <c r="B5476" s="12"/>
      <c r="C5476" s="33"/>
      <c r="D5476" s="218"/>
      <c r="E5476" s="218"/>
      <c r="F5476" s="218"/>
      <c r="G5476" s="218"/>
      <c r="H5476" s="218"/>
      <c r="I5476" s="218"/>
      <c r="J5476" s="218"/>
      <c r="K5476" s="218"/>
      <c r="L5476" s="218"/>
      <c r="M5476" s="80"/>
      <c r="N5476" s="217"/>
      <c r="O5476" s="217"/>
      <c r="P5476" s="85" t="s">
        <v>727</v>
      </c>
      <c r="Q5476" s="14"/>
      <c r="R5476" s="11"/>
    </row>
    <row r="5477" s="1" customFormat="1" ht="21.95" customHeight="1" spans="1:18">
      <c r="A5477" s="7"/>
      <c r="B5477" s="12"/>
      <c r="C5477" s="33"/>
      <c r="D5477" s="29"/>
      <c r="E5477" s="29"/>
      <c r="F5477" s="29"/>
      <c r="G5477" s="29"/>
      <c r="H5477" s="29"/>
      <c r="I5477" s="29"/>
      <c r="J5477" s="29"/>
      <c r="K5477" s="29"/>
      <c r="L5477" s="29"/>
      <c r="M5477" s="29"/>
      <c r="N5477" s="29"/>
      <c r="O5477" s="29"/>
      <c r="P5477" s="19"/>
      <c r="Q5477" s="14"/>
      <c r="R5477" s="11"/>
    </row>
    <row r="5478" s="1" customFormat="1" ht="21.95" customHeight="1" spans="1:18">
      <c r="A5478" s="7"/>
      <c r="B5478" s="12"/>
      <c r="C5478" s="33"/>
      <c r="D5478" s="29"/>
      <c r="E5478" s="29"/>
      <c r="F5478" s="29"/>
      <c r="G5478" s="29"/>
      <c r="H5478" s="29"/>
      <c r="I5478" s="29"/>
      <c r="J5478" s="29"/>
      <c r="K5478" s="29"/>
      <c r="L5478" s="29"/>
      <c r="M5478" s="29"/>
      <c r="N5478" s="29"/>
      <c r="O5478" s="29"/>
      <c r="P5478" s="19"/>
      <c r="Q5478" s="14"/>
      <c r="R5478" s="11"/>
    </row>
    <row r="5479" s="1" customFormat="1" ht="21.95" customHeight="1" spans="1:18">
      <c r="A5479" s="7"/>
      <c r="B5479" s="12"/>
      <c r="C5479" s="33"/>
      <c r="D5479" s="29"/>
      <c r="E5479" s="29"/>
      <c r="F5479" s="29"/>
      <c r="G5479" s="29"/>
      <c r="H5479" s="29"/>
      <c r="I5479" s="29"/>
      <c r="J5479" s="29"/>
      <c r="K5479" s="29"/>
      <c r="L5479" s="29"/>
      <c r="M5479" s="29"/>
      <c r="N5479" s="29"/>
      <c r="O5479" s="29"/>
      <c r="P5479" s="19"/>
      <c r="Q5479" s="14"/>
      <c r="R5479" s="11"/>
    </row>
    <row r="5480" s="1" customFormat="1" ht="21.95" customHeight="1" spans="1:18">
      <c r="A5480" s="7"/>
      <c r="B5480" s="12"/>
      <c r="C5480" s="33"/>
      <c r="D5480" s="29"/>
      <c r="E5480" s="29"/>
      <c r="F5480" s="29"/>
      <c r="G5480" s="29"/>
      <c r="H5480" s="29"/>
      <c r="I5480" s="29"/>
      <c r="J5480" s="29"/>
      <c r="K5480" s="29"/>
      <c r="L5480" s="29"/>
      <c r="M5480" s="29"/>
      <c r="N5480" s="29"/>
      <c r="O5480" s="29"/>
      <c r="P5480" s="19"/>
      <c r="Q5480" s="14"/>
      <c r="R5480" s="11"/>
    </row>
    <row r="5481" s="1" customFormat="1" ht="21.95" customHeight="1" spans="1:18">
      <c r="A5481" s="7"/>
      <c r="B5481" s="12"/>
      <c r="C5481" s="33"/>
      <c r="D5481" s="29"/>
      <c r="E5481" s="29"/>
      <c r="F5481" s="29"/>
      <c r="G5481" s="29"/>
      <c r="H5481" s="29"/>
      <c r="I5481" s="29"/>
      <c r="J5481" s="29"/>
      <c r="K5481" s="29"/>
      <c r="L5481" s="29"/>
      <c r="M5481" s="29"/>
      <c r="N5481" s="29"/>
      <c r="O5481" s="29"/>
      <c r="P5481" s="19"/>
      <c r="Q5481" s="14"/>
      <c r="R5481" s="11"/>
    </row>
    <row r="5482" s="1" customFormat="1" ht="21.95" customHeight="1" spans="1:18">
      <c r="A5482" s="7"/>
      <c r="B5482" s="12"/>
      <c r="C5482" s="33"/>
      <c r="D5482" s="80" t="s">
        <v>728</v>
      </c>
      <c r="E5482" s="220">
        <f>ENTRY!$D$27</f>
        <v>46102</v>
      </c>
      <c r="F5482" s="220"/>
      <c r="G5482" s="29"/>
      <c r="H5482" s="29"/>
      <c r="I5482" s="221" t="s">
        <v>729</v>
      </c>
      <c r="J5482" s="153"/>
      <c r="K5482" s="29"/>
      <c r="L5482" s="29"/>
      <c r="M5482" s="87" t="s">
        <v>730</v>
      </c>
      <c r="N5482" s="87"/>
      <c r="O5482" s="87"/>
      <c r="P5482" s="19"/>
      <c r="Q5482" s="14"/>
      <c r="R5482" s="11"/>
    </row>
    <row r="5483" s="1" customFormat="1" ht="21.95" customHeight="1" spans="1:18">
      <c r="A5483" s="7"/>
      <c r="B5483" s="12"/>
      <c r="C5483" s="33"/>
      <c r="D5483" s="80" t="s">
        <v>731</v>
      </c>
      <c r="E5483" s="88" t="str">
        <f>PROPER(ENTRY!$D$28)</f>
        <v>New Delhi</v>
      </c>
      <c r="F5483" s="88"/>
      <c r="G5483" s="29"/>
      <c r="H5483" s="29"/>
      <c r="I5483" s="153"/>
      <c r="J5483" s="153"/>
      <c r="K5483" s="29"/>
      <c r="L5483" s="29"/>
      <c r="M5483" s="79" t="s">
        <v>732</v>
      </c>
      <c r="N5483" s="79"/>
      <c r="O5483" s="79"/>
      <c r="P5483" s="19"/>
      <c r="Q5483" s="14"/>
      <c r="R5483" s="11"/>
    </row>
    <row r="5484" s="1" customFormat="1" ht="21.95" customHeight="1" spans="1:18">
      <c r="A5484" s="7"/>
      <c r="B5484" s="12"/>
      <c r="C5484" s="90"/>
      <c r="D5484" s="91"/>
      <c r="E5484" s="91"/>
      <c r="F5484" s="91"/>
      <c r="G5484" s="91"/>
      <c r="H5484" s="91"/>
      <c r="I5484" s="91"/>
      <c r="J5484" s="91"/>
      <c r="K5484" s="91"/>
      <c r="L5484" s="91"/>
      <c r="M5484" s="91"/>
      <c r="N5484" s="91"/>
      <c r="O5484" s="91"/>
      <c r="P5484" s="92"/>
      <c r="Q5484" s="14"/>
      <c r="R5484" s="11"/>
    </row>
    <row r="5485" s="1" customFormat="1" ht="5.1" customHeight="1" spans="1:18">
      <c r="A5485" s="7"/>
      <c r="B5485" s="90"/>
      <c r="C5485" s="91"/>
      <c r="D5485" s="91"/>
      <c r="E5485" s="91"/>
      <c r="F5485" s="91"/>
      <c r="G5485" s="91"/>
      <c r="H5485" s="91"/>
      <c r="I5485" s="91"/>
      <c r="J5485" s="91"/>
      <c r="K5485" s="91"/>
      <c r="L5485" s="91"/>
      <c r="M5485" s="91"/>
      <c r="N5485" s="91"/>
      <c r="O5485" s="91"/>
      <c r="P5485" s="91"/>
      <c r="Q5485" s="92"/>
      <c r="R5485" s="11"/>
    </row>
    <row r="5486" s="1" customFormat="1" ht="5.1" customHeight="1" spans="1:18">
      <c r="A5486" s="93"/>
      <c r="B5486" s="94"/>
      <c r="C5486" s="94"/>
      <c r="D5486" s="94"/>
      <c r="E5486" s="94"/>
      <c r="F5486" s="94"/>
      <c r="G5486" s="94"/>
      <c r="H5486" s="94"/>
      <c r="I5486" s="94"/>
      <c r="J5486" s="94"/>
      <c r="K5486" s="94"/>
      <c r="L5486" s="94"/>
      <c r="M5486" s="94"/>
      <c r="N5486" s="94"/>
      <c r="O5486" s="94"/>
      <c r="P5486" s="94"/>
      <c r="Q5486" s="94"/>
      <c r="R5486" s="95"/>
    </row>
    <row r="5487" s="1" customFormat="1" ht="21.95" customHeight="1"/>
    <row r="5488" ht="15.15"/>
    <row r="5489" s="1" customFormat="1" ht="5.1" customHeight="1" spans="1:18">
      <c r="A5489" s="4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6"/>
    </row>
    <row r="5490" s="1" customFormat="1" ht="15" customHeight="1" spans="1:18">
      <c r="A5490" s="7"/>
      <c r="B5490" s="8"/>
      <c r="C5490" s="9"/>
      <c r="D5490" s="9"/>
      <c r="E5490" s="9"/>
      <c r="F5490" s="9"/>
      <c r="G5490" s="9"/>
      <c r="H5490" s="9"/>
      <c r="I5490" s="9"/>
      <c r="J5490" s="9"/>
      <c r="K5490" s="9"/>
      <c r="L5490" s="9"/>
      <c r="M5490" s="9"/>
      <c r="N5490" s="9"/>
      <c r="O5490" s="9"/>
      <c r="P5490" s="9"/>
      <c r="Q5490" s="10"/>
      <c r="R5490" s="11"/>
    </row>
    <row r="5491" s="1" customFormat="1" ht="21.95" customHeight="1" spans="1:18">
      <c r="A5491" s="7"/>
      <c r="B5491" s="12"/>
      <c r="C5491" s="13" t="s">
        <v>7</v>
      </c>
      <c r="D5491" s="13"/>
      <c r="E5491" s="13"/>
      <c r="F5491" s="13"/>
      <c r="G5491" s="13"/>
      <c r="H5491" s="13"/>
      <c r="I5491" s="13"/>
      <c r="J5491" s="13"/>
      <c r="K5491" s="13"/>
      <c r="L5491" s="13"/>
      <c r="M5491" s="13"/>
      <c r="N5491" s="13"/>
      <c r="O5491" s="13"/>
      <c r="P5491" s="13"/>
      <c r="Q5491" s="14"/>
      <c r="R5491" s="11"/>
    </row>
    <row r="5492" s="1" customFormat="1" ht="21.95" customHeight="1" spans="1:18">
      <c r="A5492" s="7"/>
      <c r="B5492" s="1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14"/>
      <c r="R5492" s="11"/>
    </row>
    <row r="5493" s="1" customFormat="1" ht="21.95" customHeight="1" spans="1:18">
      <c r="A5493" s="7"/>
      <c r="B5493" s="12"/>
      <c r="C5493" s="15" t="str">
        <f>"SESSION-"&amp;ENTRY!$D$11</f>
        <v>SESSION-2026-27</v>
      </c>
      <c r="D5493" s="15"/>
      <c r="E5493" s="15"/>
      <c r="F5493" s="15"/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  <c r="Q5493" s="14"/>
      <c r="R5493" s="11"/>
    </row>
    <row r="5494" s="1" customFormat="1" ht="21.95" customHeight="1" spans="1:18">
      <c r="A5494" s="7"/>
      <c r="B5494" s="12"/>
      <c r="C5494" s="2"/>
      <c r="D5494" s="2"/>
      <c r="E5494" s="2"/>
      <c r="F5494" s="16">
        <f>F5438+1</f>
        <v>99</v>
      </c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14"/>
      <c r="R5494" s="11"/>
    </row>
    <row r="5495" s="1" customFormat="1" ht="21.95" customHeight="1" spans="1:18">
      <c r="A5495" s="7"/>
      <c r="B5495" s="12"/>
      <c r="C5495" s="17" t="s">
        <v>392</v>
      </c>
      <c r="D5495" s="17"/>
      <c r="E5495" s="17"/>
      <c r="F5495" s="18" t="str">
        <f>IF(F5494&gt;0,ENTRY!$D$6,"")</f>
        <v>MCP NITHARI NO 1 BOYS</v>
      </c>
      <c r="G5495" s="18"/>
      <c r="H5495" s="18"/>
      <c r="I5495" s="18"/>
      <c r="J5495" s="18"/>
      <c r="K5495" s="18"/>
      <c r="L5495" s="18"/>
      <c r="M5495" s="18"/>
      <c r="N5495" s="18"/>
      <c r="O5495" s="18"/>
      <c r="P5495" s="18"/>
      <c r="Q5495" s="14"/>
      <c r="R5495" s="11"/>
    </row>
    <row r="5496" s="1" customFormat="1" ht="21.95" customHeight="1" spans="1:18">
      <c r="A5496" s="7"/>
      <c r="B5496" s="12"/>
      <c r="C5496" s="17" t="s">
        <v>393</v>
      </c>
      <c r="D5496" s="17"/>
      <c r="E5496" s="17"/>
      <c r="F5496" s="18">
        <f>IF(F5494&gt;0,ENTRY!$D$7,"")</f>
        <v>0</v>
      </c>
      <c r="G5496" s="18"/>
      <c r="H5496" s="20" t="s">
        <v>702</v>
      </c>
      <c r="I5496" s="20"/>
      <c r="J5496" s="21">
        <f>IF(F5494&gt;0,ENTRY!$D$10,"")</f>
        <v>40</v>
      </c>
      <c r="K5496" s="20" t="s">
        <v>703</v>
      </c>
      <c r="L5496" s="22" t="str">
        <f>IF(F5494&gt;0,ENTRY!$D$5,"")</f>
        <v>ROHINI ZONE</v>
      </c>
      <c r="M5496" s="22"/>
      <c r="N5496" s="22"/>
      <c r="O5496" s="22"/>
      <c r="P5496" s="22"/>
      <c r="Q5496" s="14"/>
      <c r="R5496" s="11"/>
    </row>
    <row r="5497" s="1" customFormat="1" ht="21.95" customHeight="1" spans="1:18">
      <c r="A5497" s="7"/>
      <c r="B5497" s="12"/>
      <c r="C5497" s="17" t="s">
        <v>706</v>
      </c>
      <c r="D5497" s="17"/>
      <c r="E5497" s="17"/>
      <c r="F5497" s="23">
        <f>IFERROR(VLOOKUP(F5494,STUDENT!$A$2:$BP$101,5,0),"")</f>
        <v>0</v>
      </c>
      <c r="G5497" s="23"/>
      <c r="H5497" s="23"/>
      <c r="I5497" s="23"/>
      <c r="J5497" s="23"/>
      <c r="K5497" s="23"/>
      <c r="L5497" s="20" t="s">
        <v>707</v>
      </c>
      <c r="M5497" s="20"/>
      <c r="N5497" s="24" t="str">
        <f>IF(F5494&gt;0,ENTRY!$D$20&amp;"-"&amp;ENTRY!$D$21,"")</f>
        <v>III-A</v>
      </c>
      <c r="O5497" s="24"/>
      <c r="P5497" s="24"/>
      <c r="Q5497" s="14"/>
      <c r="R5497" s="11"/>
    </row>
    <row r="5498" s="1" customFormat="1" ht="21.95" customHeight="1" spans="1:18">
      <c r="A5498" s="7"/>
      <c r="B5498" s="12"/>
      <c r="C5498" s="17" t="s">
        <v>708</v>
      </c>
      <c r="D5498" s="17"/>
      <c r="E5498" s="17"/>
      <c r="F5498" s="25">
        <f>IFERROR(VLOOKUP(F5494,STUDENT!$A$2:$BP$101,6,0),"")</f>
        <v>0</v>
      </c>
      <c r="G5498" s="25"/>
      <c r="H5498" s="26" t="s">
        <v>709</v>
      </c>
      <c r="I5498" s="27" t="str">
        <f>IFERROR(VLOOKUP(F5494,STUDENT!$A$2:$BP$101,59,0),"")</f>
        <v/>
      </c>
      <c r="J5498" s="27"/>
      <c r="K5498" s="20" t="s">
        <v>710</v>
      </c>
      <c r="L5498" s="20"/>
      <c r="M5498" s="28">
        <f>IFERROR(VLOOKUP(F5494,STUDENT!$A$2:$BP$101,20,0),"")</f>
        <v>0</v>
      </c>
      <c r="N5498" s="28"/>
      <c r="O5498" s="28"/>
      <c r="P5498" s="28"/>
      <c r="Q5498" s="14"/>
      <c r="R5498" s="11"/>
    </row>
    <row r="5499" s="1" customFormat="1" ht="21.95" customHeight="1" spans="1:18">
      <c r="A5499" s="7"/>
      <c r="B5499" s="12"/>
      <c r="C5499" s="17" t="s">
        <v>711</v>
      </c>
      <c r="D5499" s="17"/>
      <c r="E5499" s="17"/>
      <c r="F5499" s="23">
        <f>IFERROR(VLOOKUP(F5494,STUDENT!$A$2:$BP$101,9,0),"")</f>
        <v>0</v>
      </c>
      <c r="G5499" s="23"/>
      <c r="H5499" s="23"/>
      <c r="I5499" s="23"/>
      <c r="J5499" s="17" t="s">
        <v>620</v>
      </c>
      <c r="K5499" s="17"/>
      <c r="L5499" s="23">
        <f>IFERROR(VLOOKUP(F5494,STUDENT!$A$2:$BP$101,8,0),"")</f>
        <v>0</v>
      </c>
      <c r="M5499" s="23"/>
      <c r="N5499" s="23"/>
      <c r="O5499" s="23"/>
      <c r="P5499" s="23"/>
      <c r="Q5499" s="14"/>
      <c r="R5499" s="11"/>
    </row>
    <row r="5500" s="1" customFormat="1" ht="21.95" customHeight="1" spans="1:18">
      <c r="A5500" s="7"/>
      <c r="B5500" s="12"/>
      <c r="C5500" s="17" t="s">
        <v>712</v>
      </c>
      <c r="D5500" s="17"/>
      <c r="E5500" s="17"/>
      <c r="F5500" s="23">
        <f>IFERROR(VLOOKUP(F5494,STUDENT!$A$2:$BP$101,22,0),"")</f>
        <v>0</v>
      </c>
      <c r="G5500" s="23"/>
      <c r="H5500" s="23"/>
      <c r="I5500" s="23"/>
      <c r="J5500" s="23"/>
      <c r="K5500" s="23"/>
      <c r="L5500" s="23"/>
      <c r="M5500" s="23"/>
      <c r="N5500" s="23"/>
      <c r="O5500" s="23"/>
      <c r="P5500" s="23"/>
      <c r="Q5500" s="14"/>
      <c r="R5500" s="11"/>
    </row>
    <row r="5501" s="1" customFormat="1" ht="9.95" customHeight="1" spans="1:18">
      <c r="A5501" s="7"/>
      <c r="B5501" s="12"/>
      <c r="C5501" s="29"/>
      <c r="D5501" s="29"/>
      <c r="E5501" s="29"/>
      <c r="F5501" s="29"/>
      <c r="G5501" s="29"/>
      <c r="H5501" s="29"/>
      <c r="I5501" s="29"/>
      <c r="J5501" s="29"/>
      <c r="K5501" s="29"/>
      <c r="L5501" s="29"/>
      <c r="M5501" s="29"/>
      <c r="N5501" s="29"/>
      <c r="O5501" s="29"/>
      <c r="P5501" s="29"/>
      <c r="Q5501" s="14"/>
      <c r="R5501" s="11"/>
    </row>
    <row r="5502" s="1" customFormat="1" ht="9.95" customHeight="1" spans="1:18">
      <c r="A5502" s="7"/>
      <c r="B5502" s="12"/>
      <c r="C5502" s="30"/>
      <c r="D5502" s="31"/>
      <c r="E5502" s="31"/>
      <c r="F5502" s="31"/>
      <c r="G5502" s="31"/>
      <c r="H5502" s="31"/>
      <c r="I5502" s="31"/>
      <c r="J5502" s="31"/>
      <c r="K5502" s="31"/>
      <c r="L5502" s="31"/>
      <c r="M5502" s="31"/>
      <c r="N5502" s="31"/>
      <c r="O5502" s="31"/>
      <c r="P5502" s="32"/>
      <c r="Q5502" s="14"/>
      <c r="R5502" s="11"/>
    </row>
    <row r="5503" s="1" customFormat="1" ht="21.95" customHeight="1" spans="1:18">
      <c r="A5503" s="7"/>
      <c r="B5503" s="12"/>
      <c r="C5503" s="33"/>
      <c r="D5503" s="34" t="s">
        <v>713</v>
      </c>
      <c r="E5503" s="20" t="s">
        <v>714</v>
      </c>
      <c r="F5503" s="35" t="str">
        <f>"Level - "&amp;IFERROR(VLOOKUP(F5494,FLN!$A$4:$K$103,9,0),"")</f>
        <v>Level - </v>
      </c>
      <c r="G5503" s="36"/>
      <c r="H5503" s="37" t="s">
        <v>715</v>
      </c>
      <c r="I5503" s="20"/>
      <c r="J5503" s="35" t="str">
        <f>"Level - "&amp;IFERROR(VLOOKUP(F5494,FLN!$A$4:$K$103,11,0),"")</f>
        <v>Level - </v>
      </c>
      <c r="K5503" s="36"/>
      <c r="L5503" s="37" t="s">
        <v>408</v>
      </c>
      <c r="M5503" s="20"/>
      <c r="N5503" s="35" t="str">
        <f>"Level - "&amp;IFERROR(VLOOKUP(F5494,FLN!$A$4:$K$103,10,0),"")</f>
        <v>Level - </v>
      </c>
      <c r="O5503" s="36"/>
      <c r="P5503" s="19"/>
      <c r="Q5503" s="14"/>
      <c r="R5503" s="11"/>
    </row>
    <row r="5504" s="1" customFormat="1" ht="21.95" customHeight="1" spans="1:18">
      <c r="A5504" s="7"/>
      <c r="B5504" s="12"/>
      <c r="C5504" s="33"/>
      <c r="D5504" s="38"/>
      <c r="E5504" s="20" t="s">
        <v>716</v>
      </c>
      <c r="F5504" s="18" t="str">
        <f>IF(L5518&gt;197,"PERFORMED WELL","")</f>
        <v/>
      </c>
      <c r="G5504" s="18"/>
      <c r="H5504" s="18"/>
      <c r="I5504" s="18"/>
      <c r="J5504" s="18"/>
      <c r="K5504" s="18"/>
      <c r="L5504" s="18"/>
      <c r="M5504" s="18"/>
      <c r="N5504" s="18"/>
      <c r="O5504" s="18"/>
      <c r="P5504" s="19"/>
      <c r="Q5504" s="14"/>
      <c r="R5504" s="11"/>
    </row>
    <row r="5505" s="1" customFormat="1" ht="9.95" customHeight="1" spans="1:18">
      <c r="A5505" s="7"/>
      <c r="B5505" s="12"/>
      <c r="C5505" s="39"/>
      <c r="D5505" s="40"/>
      <c r="E5505" s="40"/>
      <c r="F5505" s="40"/>
      <c r="G5505" s="40"/>
      <c r="H5505" s="40"/>
      <c r="I5505" s="40"/>
      <c r="J5505" s="40"/>
      <c r="K5505" s="40"/>
      <c r="L5505" s="40"/>
      <c r="M5505" s="40"/>
      <c r="N5505" s="40"/>
      <c r="O5505" s="40"/>
      <c r="P5505" s="41"/>
      <c r="Q5505" s="14"/>
      <c r="R5505" s="11"/>
    </row>
    <row r="5506" s="1" customFormat="1" ht="9.95" customHeight="1" spans="1:18">
      <c r="A5506" s="7"/>
      <c r="B5506" s="12"/>
      <c r="C5506" s="29"/>
      <c r="D5506" s="29"/>
      <c r="E5506" s="29"/>
      <c r="F5506" s="29"/>
      <c r="G5506" s="29"/>
      <c r="H5506" s="29"/>
      <c r="I5506" s="29"/>
      <c r="J5506" s="29"/>
      <c r="K5506" s="29"/>
      <c r="L5506" s="29"/>
      <c r="M5506" s="29"/>
      <c r="N5506" s="29"/>
      <c r="O5506" s="29"/>
      <c r="P5506" s="29"/>
      <c r="Q5506" s="14"/>
      <c r="R5506" s="11"/>
    </row>
    <row r="5507" s="1" customFormat="1" ht="9.95" customHeight="1" spans="1:18">
      <c r="A5507" s="7"/>
      <c r="B5507" s="12"/>
      <c r="C5507" s="30"/>
      <c r="D5507" s="31"/>
      <c r="E5507" s="31"/>
      <c r="F5507" s="31"/>
      <c r="G5507" s="31"/>
      <c r="H5507" s="31"/>
      <c r="I5507" s="31"/>
      <c r="J5507" s="31"/>
      <c r="K5507" s="31"/>
      <c r="L5507" s="31"/>
      <c r="M5507" s="31"/>
      <c r="N5507" s="31"/>
      <c r="O5507" s="31"/>
      <c r="P5507" s="32"/>
      <c r="Q5507" s="14"/>
      <c r="R5507" s="11"/>
    </row>
    <row r="5508" s="1" customFormat="1" ht="21.95" customHeight="1" spans="1:18">
      <c r="A5508" s="7"/>
      <c r="B5508" s="12"/>
      <c r="C5508" s="33"/>
      <c r="D5508" s="35"/>
      <c r="E5508" s="24"/>
      <c r="F5508" s="24"/>
      <c r="G5508" s="47" t="s">
        <v>717</v>
      </c>
      <c r="H5508" s="47"/>
      <c r="I5508" s="47"/>
      <c r="J5508" s="47"/>
      <c r="K5508" s="47"/>
      <c r="L5508" s="47"/>
      <c r="M5508" s="47"/>
      <c r="N5508" s="47"/>
      <c r="O5508" s="29"/>
      <c r="P5508" s="19"/>
      <c r="Q5508" s="14"/>
      <c r="R5508" s="11"/>
    </row>
    <row r="5509" s="1" customFormat="1" ht="21.95" customHeight="1" spans="1:18">
      <c r="A5509" s="7"/>
      <c r="B5509" s="12"/>
      <c r="C5509" s="33"/>
      <c r="D5509" s="47"/>
      <c r="E5509" s="47"/>
      <c r="F5509" s="47"/>
      <c r="G5509" s="47" t="s">
        <v>541</v>
      </c>
      <c r="H5509" s="47" t="s">
        <v>542</v>
      </c>
      <c r="I5509" s="47" t="s">
        <v>543</v>
      </c>
      <c r="J5509" s="47" t="s">
        <v>544</v>
      </c>
      <c r="K5509" s="47" t="s">
        <v>561</v>
      </c>
      <c r="L5509" s="47" t="s">
        <v>382</v>
      </c>
      <c r="M5509" s="49" t="s">
        <v>546</v>
      </c>
      <c r="N5509" s="49"/>
      <c r="O5509" s="29"/>
      <c r="P5509" s="19"/>
      <c r="Q5509" s="14"/>
      <c r="R5509" s="11"/>
    </row>
    <row r="5510" s="1" customFormat="1" ht="21.95" customHeight="1" spans="1:18">
      <c r="A5510" s="7"/>
      <c r="B5510" s="12"/>
      <c r="C5510" s="33"/>
      <c r="D5510" s="207" t="s">
        <v>652</v>
      </c>
      <c r="E5510" s="207"/>
      <c r="F5510" s="207"/>
      <c r="G5510" s="50">
        <v>10</v>
      </c>
      <c r="H5510" s="50">
        <v>10</v>
      </c>
      <c r="I5510" s="50">
        <v>10</v>
      </c>
      <c r="J5510" s="50">
        <v>10</v>
      </c>
      <c r="K5510" s="50">
        <v>60</v>
      </c>
      <c r="L5510" s="50">
        <v>100</v>
      </c>
      <c r="M5510" s="49"/>
      <c r="N5510" s="49"/>
      <c r="O5510" s="29"/>
      <c r="P5510" s="19"/>
      <c r="Q5510" s="14"/>
      <c r="R5510" s="11"/>
    </row>
    <row r="5511" s="1" customFormat="1" ht="21.95" customHeight="1" spans="1:18">
      <c r="A5511" s="7"/>
      <c r="B5511" s="12"/>
      <c r="C5511" s="33"/>
      <c r="D5511" s="117" t="s">
        <v>668</v>
      </c>
      <c r="E5511" s="117"/>
      <c r="F5511" s="117"/>
      <c r="G5511" s="54" t="str">
        <f>IFERROR(VLOOKUP(F5494,'1to4-2.1-RR'!$A$12:$BG$111,9,0),"")</f>
        <v/>
      </c>
      <c r="H5511" s="54" t="str">
        <f>IFERROR(VLOOKUP(F5494,'1to4-2.1-RR'!$A$12:$BG$111,10,0),"")</f>
        <v/>
      </c>
      <c r="I5511" s="54" t="str">
        <f>IFERROR(VLOOKUP(F5494,'1to4-2.1-RR'!$A$12:$BG$111,11,0),"")</f>
        <v/>
      </c>
      <c r="J5511" s="54" t="str">
        <f>IFERROR(VLOOKUP(F5494,'1to4-2.1-RR'!$A$12:$BG$111,12,0),"")</f>
        <v/>
      </c>
      <c r="K5511" s="54" t="str">
        <f>IFERROR(VLOOKUP(F5494,'1to4-2.1-RR'!$A$12:$BG$111,13,0),"")</f>
        <v/>
      </c>
      <c r="L5511" s="55">
        <f>SUM(G5511:K5511)</f>
        <v>0</v>
      </c>
      <c r="M5511" s="56" t="str">
        <f>IF(F5494&gt;ENTRY!$D$24,"",IF(L5511=0,"Ab",IF(L5511&gt;80,"A",IF(L5511&gt;60,"B",IF(L5511&gt;44,"C",IF(L5511&gt;=33,"D",IF(L5511&lt;=32,"E","")))))))</f>
        <v/>
      </c>
      <c r="N5511" s="56"/>
      <c r="O5511" s="29"/>
      <c r="P5511" s="19"/>
      <c r="Q5511" s="14"/>
      <c r="R5511" s="11"/>
    </row>
    <row r="5512" s="1" customFormat="1" ht="21.95" customHeight="1" spans="1:18">
      <c r="A5512" s="7"/>
      <c r="B5512" s="12"/>
      <c r="C5512" s="33"/>
      <c r="D5512" s="117" t="s">
        <v>513</v>
      </c>
      <c r="E5512" s="117"/>
      <c r="F5512" s="117"/>
      <c r="G5512" s="54" t="str">
        <f>IFERROR(VLOOKUP(F5494,'1to4-2.1-RR'!$A$12:$BG$111,16,0),"")</f>
        <v/>
      </c>
      <c r="H5512" s="54" t="str">
        <f>IFERROR(VLOOKUP(F5494,'1to4-2.1-RR'!$A$12:$BG$111,17,0),"")</f>
        <v/>
      </c>
      <c r="I5512" s="54" t="str">
        <f>IFERROR(VLOOKUP(F5494,'1to4-2.1-RR'!$A$12:$BG$111,18,0),"")</f>
        <v/>
      </c>
      <c r="J5512" s="54" t="str">
        <f>IFERROR(VLOOKUP(F5494,'1to4-2.1-RR'!$A$12:$BG$111,19,0),"")</f>
        <v/>
      </c>
      <c r="K5512" s="54" t="str">
        <f>IFERROR(VLOOKUP(F5494,'1to4-2.1-RR'!$A$12:$BG$111,20,0),"")</f>
        <v/>
      </c>
      <c r="L5512" s="55">
        <f t="shared" ref="L5512:L5517" si="196">SUM(G5512:K5512)</f>
        <v>0</v>
      </c>
      <c r="M5512" s="56" t="str">
        <f>IF(F5494&gt;ENTRY!$D$24,"",IF(L5512=0,"Ab",IF(L5512&gt;80,"A",IF(L5512&gt;60,"B",IF(L5512&gt;44,"C",IF(L5512&gt;=33,"D",IF(L5512&lt;=32,"E","")))))))</f>
        <v/>
      </c>
      <c r="N5512" s="56"/>
      <c r="O5512" s="29"/>
      <c r="P5512" s="19"/>
      <c r="Q5512" s="14"/>
      <c r="R5512" s="11"/>
    </row>
    <row r="5513" s="1" customFormat="1" ht="21.95" customHeight="1" spans="1:18">
      <c r="A5513" s="7"/>
      <c r="B5513" s="12"/>
      <c r="C5513" s="33"/>
      <c r="D5513" s="117" t="s">
        <v>718</v>
      </c>
      <c r="E5513" s="117"/>
      <c r="F5513" s="117"/>
      <c r="G5513" s="54" t="str">
        <f>IFERROR(VLOOKUP(F5494,'1to4-2.1-RR'!$A$12:$BG$111,23,0),"")</f>
        <v/>
      </c>
      <c r="H5513" s="54" t="str">
        <f>IFERROR(VLOOKUP(F5494,'1to4-2.1-RR'!$A$12:$BG$111,24,0),"")</f>
        <v/>
      </c>
      <c r="I5513" s="54" t="str">
        <f>IFERROR(VLOOKUP(F5494,'1to4-2.1-RR'!$A$12:$BG$111,25,0),"")</f>
        <v/>
      </c>
      <c r="J5513" s="54" t="str">
        <f>IFERROR(VLOOKUP(F5494,'1to4-2.1-RR'!$A$12:$BG$111,26,0),"")</f>
        <v/>
      </c>
      <c r="K5513" s="54" t="str">
        <f>IFERROR(VLOOKUP(F5494,'1to4-2.1-RR'!$A$12:$BG$111,27,0),"")</f>
        <v/>
      </c>
      <c r="L5513" s="55">
        <f t="shared" si="196"/>
        <v>0</v>
      </c>
      <c r="M5513" s="56" t="str">
        <f>IF(F5494&gt;ENTRY!$D$24,"",IF(L5513=0,"Ab",IF(L5513&gt;80,"A",IF(L5513&gt;60,"B",IF(L5513&gt;44,"C",IF(L5513&gt;=33,"D",IF(L5513&lt;=32,"E","")))))))</f>
        <v/>
      </c>
      <c r="N5513" s="56"/>
      <c r="O5513" s="29"/>
      <c r="P5513" s="19"/>
      <c r="Q5513" s="14"/>
      <c r="R5513" s="11"/>
    </row>
    <row r="5514" s="1" customFormat="1" ht="21.95" customHeight="1" spans="1:18">
      <c r="A5514" s="7"/>
      <c r="B5514" s="12"/>
      <c r="C5514" s="33"/>
      <c r="D5514" s="117" t="s">
        <v>719</v>
      </c>
      <c r="E5514" s="117"/>
      <c r="F5514" s="117"/>
      <c r="G5514" s="54" t="str">
        <f>IFERROR(VLOOKUP(F5494,'1to4-2.1-RR'!$A$12:$BG$111,30,0),"")</f>
        <v/>
      </c>
      <c r="H5514" s="54" t="str">
        <f>IFERROR(VLOOKUP(F5494,'1to4-2.1-RR'!$A$12:$BG$111,31,0),"")</f>
        <v/>
      </c>
      <c r="I5514" s="54" t="str">
        <f>IFERROR(VLOOKUP(F5494,'1to4-2.1-RR'!$A$12:$BG$111,32,0),"")</f>
        <v/>
      </c>
      <c r="J5514" s="54" t="str">
        <f>IFERROR(VLOOKUP(F5494,'1to4-2.1-RR'!$A$12:$BG$111,33,0),"")</f>
        <v/>
      </c>
      <c r="K5514" s="54" t="str">
        <f>IFERROR(VLOOKUP(F5494,'1to4-2.1-RR'!$A$12:$BG$111,34,0),"")</f>
        <v/>
      </c>
      <c r="L5514" s="55">
        <f t="shared" si="196"/>
        <v>0</v>
      </c>
      <c r="M5514" s="56" t="str">
        <f>IF(F5494&gt;ENTRY!$D$24,"",IF(L5514=0,"Ab",IF(L5514&gt;80,"A",IF(L5514&gt;60,"B",IF(L5514&gt;44,"C",IF(L5514&gt;=33,"D",IF(L5514&lt;=32,"E","")))))))</f>
        <v/>
      </c>
      <c r="N5514" s="56"/>
      <c r="O5514" s="29"/>
      <c r="P5514" s="19"/>
      <c r="Q5514" s="14"/>
      <c r="R5514" s="11"/>
    </row>
    <row r="5515" s="1" customFormat="1" ht="21.95" customHeight="1" spans="1:18">
      <c r="A5515" s="7"/>
      <c r="B5515" s="12"/>
      <c r="C5515" s="33"/>
      <c r="D5515" s="117" t="s">
        <v>548</v>
      </c>
      <c r="E5515" s="117"/>
      <c r="F5515" s="117"/>
      <c r="G5515" s="54" t="str">
        <f>IFERROR(VLOOKUP(F5494,'1to4-2.1-RR'!$A$12:$BG$111,37,0),"")</f>
        <v/>
      </c>
      <c r="H5515" s="54" t="str">
        <f>IFERROR(VLOOKUP(F5494,'1to4-2.1-RR'!$A$12:$BG$111,38,0),"")</f>
        <v/>
      </c>
      <c r="I5515" s="54" t="str">
        <f>IFERROR(VLOOKUP(F5494,'1to4-2.1-RR'!$A$12:$BG$111,39,0),"")</f>
        <v/>
      </c>
      <c r="J5515" s="54" t="str">
        <f>IFERROR(VLOOKUP(F5494,'1to4-2.1-RR'!$A$12:$BG$111,40,0),"")</f>
        <v/>
      </c>
      <c r="K5515" s="54" t="str">
        <f>IFERROR(VLOOKUP(F5494,'1to4-2.1-RR'!$A$12:$BG$111,41,0),"")</f>
        <v/>
      </c>
      <c r="L5515" s="55">
        <f t="shared" si="196"/>
        <v>0</v>
      </c>
      <c r="M5515" s="56" t="str">
        <f>IF(F5494&gt;ENTRY!$D$24,"",IF(L5515=0,"Ab",IF(L5515&gt;80,"A",IF(L5515&gt;60,"B",IF(L5515&gt;44,"C",IF(L5515&gt;=33,"D",IF(L5515&lt;=32,"E","")))))))</f>
        <v/>
      </c>
      <c r="N5515" s="56"/>
      <c r="O5515" s="29"/>
      <c r="P5515" s="19"/>
      <c r="Q5515" s="14"/>
      <c r="R5515" s="11"/>
    </row>
    <row r="5516" s="1" customFormat="1" ht="21.95" customHeight="1" spans="1:18">
      <c r="A5516" s="7"/>
      <c r="B5516" s="12"/>
      <c r="C5516" s="33"/>
      <c r="D5516" s="117" t="s">
        <v>549</v>
      </c>
      <c r="E5516" s="117"/>
      <c r="F5516" s="117"/>
      <c r="G5516" s="54" t="str">
        <f>IFERROR(VLOOKUP(F5494,'1to4-2.1-RR'!$A$12:$BG$111,44,0),"")</f>
        <v/>
      </c>
      <c r="H5516" s="54" t="str">
        <f>IFERROR(VLOOKUP(F5494,'1to4-2.1-RR'!$A$12:$BG$111,45,0),"")</f>
        <v/>
      </c>
      <c r="I5516" s="54" t="str">
        <f>IFERROR(VLOOKUP(F5494,'1to4-2.1-RR'!$A$12:$BG$111,46,0),"")</f>
        <v/>
      </c>
      <c r="J5516" s="54" t="str">
        <f>IFERROR(VLOOKUP(F5494,'1to4-2.1-RR'!$A$12:$BG$111,47,0),"")</f>
        <v/>
      </c>
      <c r="K5516" s="54" t="str">
        <f>IFERROR(VLOOKUP(F5494,'1to4-2.1-RR'!$A$12:$BG$111,48,0),"")</f>
        <v/>
      </c>
      <c r="L5516" s="55">
        <f t="shared" si="196"/>
        <v>0</v>
      </c>
      <c r="M5516" s="56" t="str">
        <f>IF(F5494&gt;ENTRY!$D$24,"",IF(L5516=0,"Ab",IF(L5516&gt;80,"A",IF(L5516&gt;60,"B",IF(L5516&gt;44,"C",IF(L5516&gt;=33,"D",IF(L5516&lt;=32,"E","")))))))</f>
        <v/>
      </c>
      <c r="N5516" s="56"/>
      <c r="O5516" s="29"/>
      <c r="P5516" s="19"/>
      <c r="Q5516" s="14"/>
      <c r="R5516" s="11"/>
    </row>
    <row r="5517" s="1" customFormat="1" ht="21.95" customHeight="1" spans="1:18">
      <c r="A5517" s="7"/>
      <c r="B5517" s="12"/>
      <c r="C5517" s="33"/>
      <c r="D5517" s="117" t="s">
        <v>720</v>
      </c>
      <c r="E5517" s="117"/>
      <c r="F5517" s="117"/>
      <c r="G5517" s="54"/>
      <c r="H5517" s="54"/>
      <c r="I5517" s="54"/>
      <c r="J5517" s="54"/>
      <c r="K5517" s="54"/>
      <c r="L5517" s="55">
        <f t="shared" si="196"/>
        <v>0</v>
      </c>
      <c r="M5517" s="56" t="str">
        <f>IF(F5494&gt;ENTRY!$D$24,"",IF(L5517=0,"",IF(L5517&gt;79,"A",IF(L5517&gt;59,"B",IF(L5517&gt;44,"C",IF(L5517&gt;=33,"D",IF(L5517&lt;=32,"E","")))))))</f>
        <v/>
      </c>
      <c r="N5517" s="56"/>
      <c r="O5517" s="29"/>
      <c r="P5517" s="19"/>
      <c r="Q5517" s="14"/>
      <c r="R5517" s="11"/>
    </row>
    <row r="5518" s="1" customFormat="1" ht="21.95" customHeight="1" spans="1:18">
      <c r="A5518" s="7"/>
      <c r="B5518" s="12"/>
      <c r="C5518" s="33"/>
      <c r="D5518" s="207" t="s">
        <v>382</v>
      </c>
      <c r="E5518" s="207"/>
      <c r="F5518" s="207"/>
      <c r="G5518" s="54">
        <f t="shared" ref="G5518:L5518" si="197">IFERROR(SUM(G5511:G5517),"")</f>
        <v>0</v>
      </c>
      <c r="H5518" s="54">
        <f t="shared" si="197"/>
        <v>0</v>
      </c>
      <c r="I5518" s="54">
        <f t="shared" si="197"/>
        <v>0</v>
      </c>
      <c r="J5518" s="54">
        <f t="shared" si="197"/>
        <v>0</v>
      </c>
      <c r="K5518" s="54">
        <f t="shared" si="197"/>
        <v>0</v>
      </c>
      <c r="L5518" s="55">
        <f t="shared" si="197"/>
        <v>0</v>
      </c>
      <c r="M5518" s="61" t="str">
        <f>IF(F5494&gt;ENTRY!$D$24,"",IF(N5519="Ab","Ab",IF(N5519&gt;79.5,"A",IF(N5519&gt;59.5,"B",IF(N5519&gt;44.5,"C",IF(N5519&gt;=33,"D",IF(N5519&lt;33,"E","")))))))</f>
        <v/>
      </c>
      <c r="N5518" s="61"/>
      <c r="O5518" s="29"/>
      <c r="P5518" s="19"/>
      <c r="Q5518" s="14"/>
      <c r="R5518" s="11"/>
    </row>
    <row r="5519" s="1" customFormat="1" ht="21.95" customHeight="1" spans="1:18">
      <c r="A5519" s="7"/>
      <c r="B5519" s="12"/>
      <c r="C5519" s="33"/>
      <c r="D5519" s="63" t="s">
        <v>721</v>
      </c>
      <c r="E5519" s="63"/>
      <c r="F5519" s="63"/>
      <c r="G5519" s="63"/>
      <c r="H5519" s="63"/>
      <c r="I5519" s="63"/>
      <c r="J5519" s="63"/>
      <c r="K5519" s="63"/>
      <c r="L5519" s="63"/>
      <c r="M5519" s="209"/>
      <c r="N5519" s="64">
        <f>IF(L5518="Ab","Ab",L5518/6)</f>
        <v>0</v>
      </c>
      <c r="O5519" s="65"/>
      <c r="P5519" s="19"/>
      <c r="Q5519" s="14"/>
      <c r="R5519" s="11"/>
    </row>
    <row r="5520" s="1" customFormat="1" ht="21.95" customHeight="1" spans="1:18">
      <c r="A5520" s="7"/>
      <c r="B5520" s="12"/>
      <c r="C5520" s="33"/>
      <c r="D5520" s="29" t="s">
        <v>716</v>
      </c>
      <c r="E5520" s="18" t="str">
        <f>IFERROR(VLOOKUP(F5494,'1to4-2.1-RR'!$A$12:$BG$111,57,0),"")</f>
        <v/>
      </c>
      <c r="F5520" s="18"/>
      <c r="G5520" s="18"/>
      <c r="H5520" s="18"/>
      <c r="I5520" s="18"/>
      <c r="J5520" s="18"/>
      <c r="K5520" s="18"/>
      <c r="L5520" s="18"/>
      <c r="M5520" s="18"/>
      <c r="N5520" s="29"/>
      <c r="O5520" s="29"/>
      <c r="P5520" s="19"/>
      <c r="Q5520" s="14"/>
      <c r="R5520" s="11"/>
    </row>
    <row r="5521" s="1" customFormat="1" ht="9.95" customHeight="1" spans="1:19">
      <c r="A5521" s="7"/>
      <c r="B5521" s="12"/>
      <c r="C5521" s="39"/>
      <c r="D5521" s="40"/>
      <c r="E5521" s="40"/>
      <c r="F5521" s="40"/>
      <c r="G5521" s="40"/>
      <c r="H5521" s="40"/>
      <c r="I5521" s="40"/>
      <c r="J5521" s="40"/>
      <c r="K5521" s="40"/>
      <c r="L5521" s="40"/>
      <c r="M5521" s="40"/>
      <c r="N5521" s="40"/>
      <c r="O5521" s="40"/>
      <c r="P5521" s="41"/>
      <c r="Q5521" s="14"/>
      <c r="R5521" s="11"/>
    </row>
    <row r="5522" s="1" customFormat="1" ht="9.95" customHeight="1" spans="1:19">
      <c r="A5522" s="7"/>
      <c r="B5522" s="12"/>
      <c r="C5522" s="30"/>
      <c r="D5522" s="31"/>
      <c r="E5522" s="31"/>
      <c r="F5522" s="29"/>
      <c r="G5522" s="31"/>
      <c r="H5522" s="31"/>
      <c r="I5522" s="31"/>
      <c r="J5522" s="31"/>
      <c r="K5522" s="31"/>
      <c r="L5522" s="31"/>
      <c r="M5522" s="31"/>
      <c r="N5522" s="31"/>
      <c r="O5522" s="31"/>
      <c r="P5522" s="32"/>
      <c r="Q5522" s="14"/>
      <c r="R5522" s="11"/>
    </row>
    <row r="5523" s="1" customFormat="1" ht="9.95" customHeight="1" spans="1:19">
      <c r="A5523" s="7"/>
      <c r="B5523" s="12"/>
      <c r="C5523" s="33"/>
      <c r="D5523" s="29"/>
      <c r="E5523" s="29"/>
      <c r="F5523" s="29"/>
      <c r="G5523" s="29"/>
      <c r="H5523" s="29"/>
      <c r="I5523" s="29"/>
      <c r="J5523" s="29"/>
      <c r="K5523" s="29"/>
      <c r="L5523" s="29"/>
      <c r="M5523" s="29"/>
      <c r="N5523" s="29"/>
      <c r="O5523" s="29"/>
      <c r="P5523" s="19"/>
      <c r="Q5523" s="14"/>
      <c r="R5523" s="11"/>
    </row>
    <row r="5524" s="1" customFormat="1" ht="9.95" customHeight="1" spans="1:19">
      <c r="A5524" s="7"/>
      <c r="B5524" s="12"/>
      <c r="C5524" s="33"/>
      <c r="D5524" s="29"/>
      <c r="E5524" s="29"/>
      <c r="F5524" s="29"/>
      <c r="G5524" s="29"/>
      <c r="H5524" s="29"/>
      <c r="I5524" s="29"/>
      <c r="J5524" s="29"/>
      <c r="K5524" s="29"/>
      <c r="L5524" s="29"/>
      <c r="M5524" s="29"/>
      <c r="N5524" s="29"/>
      <c r="O5524" s="29"/>
      <c r="P5524" s="19"/>
      <c r="Q5524" s="14"/>
      <c r="R5524" s="11"/>
    </row>
    <row r="5525" s="1" customFormat="1" ht="21.95" customHeight="1" spans="1:19">
      <c r="A5525" s="7"/>
      <c r="B5525" s="12"/>
      <c r="C5525" s="210"/>
      <c r="D5525" s="211"/>
      <c r="E5525" s="211"/>
      <c r="F5525" s="211"/>
      <c r="G5525" s="211"/>
      <c r="H5525" s="211"/>
      <c r="I5525" s="211"/>
      <c r="J5525" s="211"/>
      <c r="K5525" s="211"/>
      <c r="L5525" s="211"/>
      <c r="M5525" s="211"/>
      <c r="N5525" s="211"/>
      <c r="O5525" s="211"/>
      <c r="P5525" s="212"/>
      <c r="Q5525" s="14"/>
      <c r="R5525" s="11"/>
      <c r="S5525" s="2"/>
    </row>
    <row r="5526" s="1" customFormat="1" ht="21.95" customHeight="1" spans="1:19">
      <c r="A5526" s="7"/>
      <c r="B5526" s="12"/>
      <c r="C5526" s="33"/>
      <c r="D5526" s="207" t="s">
        <v>722</v>
      </c>
      <c r="E5526" s="207"/>
      <c r="F5526" s="207"/>
      <c r="G5526" s="207"/>
      <c r="H5526" s="54">
        <f>IFERROR(VLOOKUP(F5494,PASHEET!$A$4:$CJ$103,88,0),"")</f>
        <v>0</v>
      </c>
      <c r="I5526" s="54"/>
      <c r="J5526" s="29"/>
      <c r="K5526" s="29"/>
      <c r="L5526" s="29"/>
      <c r="M5526" s="29"/>
      <c r="N5526" s="29"/>
      <c r="O5526" s="29"/>
      <c r="P5526" s="19"/>
      <c r="Q5526" s="14"/>
      <c r="R5526" s="11"/>
    </row>
    <row r="5527" s="1" customFormat="1" ht="21.95" customHeight="1" spans="1:19">
      <c r="A5527" s="7"/>
      <c r="B5527" s="12"/>
      <c r="C5527" s="213"/>
      <c r="D5527" s="207" t="s">
        <v>723</v>
      </c>
      <c r="E5527" s="207"/>
      <c r="F5527" s="207"/>
      <c r="G5527" s="207"/>
      <c r="H5527" s="54">
        <f>IFERROR(VLOOKUP(F5494,PASHEET!$A$4:$CJ$103,87,0),"")</f>
        <v>0</v>
      </c>
      <c r="I5527" s="54"/>
      <c r="J5527" s="214"/>
      <c r="K5527" s="214"/>
      <c r="L5527" s="207" t="s">
        <v>724</v>
      </c>
      <c r="M5527" s="207"/>
      <c r="N5527" s="117" t="str">
        <f>IF(F5494&gt;ENTRY!$D$24,"",IF(F5494&gt;0,L5518&amp;" / "&amp;600,""))</f>
        <v/>
      </c>
      <c r="O5527" s="117"/>
      <c r="P5527" s="215"/>
      <c r="Q5527" s="14"/>
      <c r="R5527" s="11"/>
    </row>
    <row r="5528" s="1" customFormat="1" ht="18" customHeight="1" spans="1:19">
      <c r="A5528" s="7"/>
      <c r="B5528" s="12"/>
      <c r="C5528" s="33"/>
      <c r="D5528" s="207" t="s">
        <v>725</v>
      </c>
      <c r="E5528" s="207"/>
      <c r="F5528" s="207"/>
      <c r="G5528" s="207"/>
      <c r="H5528" s="69" t="str">
        <f>IFERROR(IF(F5494&gt;0,H5527/H5526*100),"")</f>
        <v/>
      </c>
      <c r="I5528" s="69"/>
      <c r="J5528" s="29"/>
      <c r="K5528" s="29"/>
      <c r="L5528" s="207" t="s">
        <v>726</v>
      </c>
      <c r="M5528" s="207"/>
      <c r="N5528" s="216" t="str">
        <f>IF(F5494&gt;ENTRY!$D$24,"",IF(F5494&gt;0,L5518/600*100,""))</f>
        <v/>
      </c>
      <c r="O5528" s="216"/>
      <c r="P5528" s="19"/>
      <c r="Q5528" s="14"/>
      <c r="R5528" s="11"/>
    </row>
    <row r="5529" s="1" customFormat="1" ht="21.95" customHeight="1" spans="1:19">
      <c r="A5529" s="7"/>
      <c r="B5529" s="12"/>
      <c r="C5529" s="33"/>
      <c r="D5529" s="80"/>
      <c r="E5529" s="80"/>
      <c r="F5529" s="217"/>
      <c r="G5529" s="217"/>
      <c r="H5529" s="217"/>
      <c r="I5529" s="217"/>
      <c r="J5529" s="217"/>
      <c r="K5529" s="217"/>
      <c r="L5529" s="217"/>
      <c r="M5529" s="217"/>
      <c r="N5529" s="80"/>
      <c r="O5529" s="80"/>
      <c r="P5529" s="19"/>
      <c r="Q5529" s="14"/>
      <c r="R5529" s="11"/>
    </row>
    <row r="5530" s="1" customFormat="1" ht="21.95" customHeight="1" spans="1:19">
      <c r="A5530" s="7"/>
      <c r="B5530" s="12"/>
      <c r="C5530" s="33"/>
      <c r="D5530" s="80"/>
      <c r="E5530" s="218"/>
      <c r="F5530" s="218"/>
      <c r="G5530" s="218"/>
      <c r="H5530" s="80"/>
      <c r="I5530" s="218"/>
      <c r="J5530" s="218"/>
      <c r="K5530" s="218"/>
      <c r="L5530" s="218"/>
      <c r="M5530" s="80"/>
      <c r="N5530" s="219"/>
      <c r="O5530" s="219"/>
      <c r="P5530" s="19"/>
      <c r="Q5530" s="14"/>
      <c r="R5530" s="11"/>
    </row>
    <row r="5531" s="1" customFormat="1" ht="21.95" customHeight="1" spans="1:19">
      <c r="A5531" s="7"/>
      <c r="B5531" s="12"/>
      <c r="C5531" s="33"/>
      <c r="D5531" s="80"/>
      <c r="E5531" s="80"/>
      <c r="F5531" s="80"/>
      <c r="G5531" s="80"/>
      <c r="H5531" s="80"/>
      <c r="I5531" s="80"/>
      <c r="J5531" s="80"/>
      <c r="K5531" s="80"/>
      <c r="L5531" s="80"/>
      <c r="M5531" s="80"/>
      <c r="N5531" s="80"/>
      <c r="O5531" s="80"/>
      <c r="P5531" s="19"/>
      <c r="Q5531" s="14"/>
      <c r="R5531" s="11"/>
    </row>
    <row r="5532" s="1" customFormat="1" ht="21.95" customHeight="1" spans="1:19">
      <c r="A5532" s="7"/>
      <c r="B5532" s="12"/>
      <c r="C5532" s="33"/>
      <c r="D5532" s="218"/>
      <c r="E5532" s="218"/>
      <c r="F5532" s="218"/>
      <c r="G5532" s="218"/>
      <c r="H5532" s="218"/>
      <c r="I5532" s="218"/>
      <c r="J5532" s="218"/>
      <c r="K5532" s="218"/>
      <c r="L5532" s="218"/>
      <c r="M5532" s="80"/>
      <c r="N5532" s="217"/>
      <c r="O5532" s="217"/>
      <c r="P5532" s="85" t="s">
        <v>727</v>
      </c>
      <c r="Q5532" s="14"/>
      <c r="R5532" s="11"/>
    </row>
    <row r="5533" s="1" customFormat="1" ht="21.95" customHeight="1" spans="1:19">
      <c r="A5533" s="7"/>
      <c r="B5533" s="12"/>
      <c r="C5533" s="33"/>
      <c r="D5533" s="29"/>
      <c r="E5533" s="29"/>
      <c r="F5533" s="29"/>
      <c r="G5533" s="29"/>
      <c r="H5533" s="29"/>
      <c r="I5533" s="29"/>
      <c r="J5533" s="29"/>
      <c r="K5533" s="29"/>
      <c r="L5533" s="29"/>
      <c r="M5533" s="29"/>
      <c r="N5533" s="29"/>
      <c r="O5533" s="29"/>
      <c r="P5533" s="19"/>
      <c r="Q5533" s="14"/>
      <c r="R5533" s="11"/>
    </row>
    <row r="5534" s="1" customFormat="1" ht="21.95" customHeight="1" spans="1:19">
      <c r="A5534" s="7"/>
      <c r="B5534" s="12"/>
      <c r="C5534" s="33"/>
      <c r="D5534" s="29"/>
      <c r="E5534" s="29"/>
      <c r="F5534" s="29"/>
      <c r="G5534" s="29"/>
      <c r="H5534" s="29"/>
      <c r="I5534" s="29"/>
      <c r="J5534" s="29"/>
      <c r="K5534" s="29"/>
      <c r="L5534" s="29"/>
      <c r="M5534" s="29"/>
      <c r="N5534" s="29"/>
      <c r="O5534" s="29"/>
      <c r="P5534" s="19"/>
      <c r="Q5534" s="14"/>
      <c r="R5534" s="11"/>
    </row>
    <row r="5535" s="1" customFormat="1" ht="21.95" customHeight="1" spans="1:19">
      <c r="A5535" s="7"/>
      <c r="B5535" s="12"/>
      <c r="C5535" s="33"/>
      <c r="D5535" s="29"/>
      <c r="E5535" s="29"/>
      <c r="F5535" s="29"/>
      <c r="G5535" s="29"/>
      <c r="H5535" s="29"/>
      <c r="I5535" s="29"/>
      <c r="J5535" s="29"/>
      <c r="K5535" s="29"/>
      <c r="L5535" s="29"/>
      <c r="M5535" s="29"/>
      <c r="N5535" s="29"/>
      <c r="O5535" s="29"/>
      <c r="P5535" s="19"/>
      <c r="Q5535" s="14"/>
      <c r="R5535" s="11"/>
    </row>
    <row r="5536" s="1" customFormat="1" ht="21.95" customHeight="1" spans="1:19">
      <c r="A5536" s="7"/>
      <c r="B5536" s="12"/>
      <c r="C5536" s="33"/>
      <c r="D5536" s="29"/>
      <c r="E5536" s="29"/>
      <c r="F5536" s="29"/>
      <c r="G5536" s="29"/>
      <c r="H5536" s="29"/>
      <c r="I5536" s="29"/>
      <c r="J5536" s="29"/>
      <c r="K5536" s="29"/>
      <c r="L5536" s="29"/>
      <c r="M5536" s="29"/>
      <c r="N5536" s="29"/>
      <c r="O5536" s="29"/>
      <c r="P5536" s="19"/>
      <c r="Q5536" s="14"/>
      <c r="R5536" s="11"/>
    </row>
    <row r="5537" s="1" customFormat="1" ht="21.95" customHeight="1" spans="1:18">
      <c r="A5537" s="7"/>
      <c r="B5537" s="12"/>
      <c r="C5537" s="33"/>
      <c r="D5537" s="29"/>
      <c r="E5537" s="29"/>
      <c r="F5537" s="29"/>
      <c r="G5537" s="29"/>
      <c r="H5537" s="29"/>
      <c r="I5537" s="29"/>
      <c r="J5537" s="29"/>
      <c r="K5537" s="29"/>
      <c r="L5537" s="29"/>
      <c r="M5537" s="29"/>
      <c r="N5537" s="29"/>
      <c r="O5537" s="29"/>
      <c r="P5537" s="19"/>
      <c r="Q5537" s="14"/>
      <c r="R5537" s="11"/>
    </row>
    <row r="5538" s="1" customFormat="1" ht="21.95" customHeight="1" spans="1:18">
      <c r="A5538" s="7"/>
      <c r="B5538" s="12"/>
      <c r="C5538" s="33"/>
      <c r="D5538" s="80" t="s">
        <v>728</v>
      </c>
      <c r="E5538" s="220">
        <f>ENTRY!$D$27</f>
        <v>46102</v>
      </c>
      <c r="F5538" s="220"/>
      <c r="G5538" s="29"/>
      <c r="H5538" s="29"/>
      <c r="I5538" s="221" t="s">
        <v>729</v>
      </c>
      <c r="J5538" s="153"/>
      <c r="K5538" s="29"/>
      <c r="L5538" s="29"/>
      <c r="M5538" s="87" t="s">
        <v>730</v>
      </c>
      <c r="N5538" s="87"/>
      <c r="O5538" s="87"/>
      <c r="P5538" s="19"/>
      <c r="Q5538" s="14"/>
      <c r="R5538" s="11"/>
    </row>
    <row r="5539" s="1" customFormat="1" ht="21.95" customHeight="1" spans="1:18">
      <c r="A5539" s="7"/>
      <c r="B5539" s="12"/>
      <c r="C5539" s="33"/>
      <c r="D5539" s="80" t="s">
        <v>731</v>
      </c>
      <c r="E5539" s="88" t="str">
        <f>PROPER(ENTRY!$D$28)</f>
        <v>New Delhi</v>
      </c>
      <c r="F5539" s="88"/>
      <c r="G5539" s="29"/>
      <c r="H5539" s="29"/>
      <c r="I5539" s="153"/>
      <c r="J5539" s="153"/>
      <c r="K5539" s="29"/>
      <c r="L5539" s="29"/>
      <c r="M5539" s="79" t="s">
        <v>732</v>
      </c>
      <c r="N5539" s="79"/>
      <c r="O5539" s="79"/>
      <c r="P5539" s="19"/>
      <c r="Q5539" s="14"/>
      <c r="R5539" s="11"/>
    </row>
    <row r="5540" s="1" customFormat="1" ht="21.95" customHeight="1" spans="1:18">
      <c r="A5540" s="7"/>
      <c r="B5540" s="12"/>
      <c r="C5540" s="90"/>
      <c r="D5540" s="91"/>
      <c r="E5540" s="91"/>
      <c r="F5540" s="91"/>
      <c r="G5540" s="91"/>
      <c r="H5540" s="91"/>
      <c r="I5540" s="91"/>
      <c r="J5540" s="91"/>
      <c r="K5540" s="91"/>
      <c r="L5540" s="91"/>
      <c r="M5540" s="91"/>
      <c r="N5540" s="91"/>
      <c r="O5540" s="91"/>
      <c r="P5540" s="92"/>
      <c r="Q5540" s="14"/>
      <c r="R5540" s="11"/>
    </row>
    <row r="5541" s="1" customFormat="1" ht="5.1" customHeight="1" spans="1:18">
      <c r="A5541" s="7"/>
      <c r="B5541" s="90"/>
      <c r="C5541" s="91"/>
      <c r="D5541" s="91"/>
      <c r="E5541" s="91"/>
      <c r="F5541" s="91"/>
      <c r="G5541" s="91"/>
      <c r="H5541" s="91"/>
      <c r="I5541" s="91"/>
      <c r="J5541" s="91"/>
      <c r="K5541" s="91"/>
      <c r="L5541" s="91"/>
      <c r="M5541" s="91"/>
      <c r="N5541" s="91"/>
      <c r="O5541" s="91"/>
      <c r="P5541" s="91"/>
      <c r="Q5541" s="92"/>
      <c r="R5541" s="11"/>
    </row>
    <row r="5542" s="1" customFormat="1" ht="5.1" customHeight="1" spans="1:18">
      <c r="A5542" s="93"/>
      <c r="B5542" s="94"/>
      <c r="C5542" s="94"/>
      <c r="D5542" s="94"/>
      <c r="E5542" s="94"/>
      <c r="F5542" s="94"/>
      <c r="G5542" s="94"/>
      <c r="H5542" s="94"/>
      <c r="I5542" s="94"/>
      <c r="J5542" s="94"/>
      <c r="K5542" s="94"/>
      <c r="L5542" s="94"/>
      <c r="M5542" s="94"/>
      <c r="N5542" s="94"/>
      <c r="O5542" s="94"/>
      <c r="P5542" s="94"/>
      <c r="Q5542" s="94"/>
      <c r="R5542" s="95"/>
    </row>
    <row r="5543" s="1" customFormat="1" ht="21.95" customHeight="1"/>
    <row r="5544" ht="15.15"/>
    <row r="5545" s="1" customFormat="1" ht="5.1" customHeight="1" spans="1:18">
      <c r="A5545" s="4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6"/>
    </row>
    <row r="5546" s="1" customFormat="1" ht="15" customHeight="1" spans="1:18">
      <c r="A5546" s="7"/>
      <c r="B5546" s="8"/>
      <c r="C5546" s="9"/>
      <c r="D5546" s="9"/>
      <c r="E5546" s="9"/>
      <c r="F5546" s="9"/>
      <c r="G5546" s="9"/>
      <c r="H5546" s="9"/>
      <c r="I5546" s="9"/>
      <c r="J5546" s="9"/>
      <c r="K5546" s="9"/>
      <c r="L5546" s="9"/>
      <c r="M5546" s="9"/>
      <c r="N5546" s="9"/>
      <c r="O5546" s="9"/>
      <c r="P5546" s="9"/>
      <c r="Q5546" s="10"/>
      <c r="R5546" s="11"/>
    </row>
    <row r="5547" s="1" customFormat="1" ht="21.95" customHeight="1" spans="1:18">
      <c r="A5547" s="7"/>
      <c r="B5547" s="12"/>
      <c r="C5547" s="13" t="s">
        <v>7</v>
      </c>
      <c r="D5547" s="13"/>
      <c r="E5547" s="13"/>
      <c r="F5547" s="13"/>
      <c r="G5547" s="13"/>
      <c r="H5547" s="13"/>
      <c r="I5547" s="13"/>
      <c r="J5547" s="13"/>
      <c r="K5547" s="13"/>
      <c r="L5547" s="13"/>
      <c r="M5547" s="13"/>
      <c r="N5547" s="13"/>
      <c r="O5547" s="13"/>
      <c r="P5547" s="13"/>
      <c r="Q5547" s="14"/>
      <c r="R5547" s="11"/>
    </row>
    <row r="5548" s="1" customFormat="1" ht="21.95" customHeight="1" spans="1:18">
      <c r="A5548" s="7"/>
      <c r="B5548" s="1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14"/>
      <c r="R5548" s="11"/>
    </row>
    <row r="5549" s="1" customFormat="1" ht="21.95" customHeight="1" spans="1:18">
      <c r="A5549" s="7"/>
      <c r="B5549" s="12"/>
      <c r="C5549" s="15" t="str">
        <f>"SESSION-"&amp;ENTRY!$D$11</f>
        <v>SESSION-2026-27</v>
      </c>
      <c r="D5549" s="15"/>
      <c r="E5549" s="15"/>
      <c r="F5549" s="15"/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  <c r="Q5549" s="14"/>
      <c r="R5549" s="11"/>
    </row>
    <row r="5550" s="1" customFormat="1" ht="21.95" customHeight="1" spans="1:18">
      <c r="A5550" s="7"/>
      <c r="B5550" s="12"/>
      <c r="C5550" s="2"/>
      <c r="D5550" s="2"/>
      <c r="E5550" s="2"/>
      <c r="F5550" s="16">
        <f>F5494+1</f>
        <v>100</v>
      </c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14"/>
      <c r="R5550" s="11"/>
    </row>
    <row r="5551" s="1" customFormat="1" ht="21.95" customHeight="1" spans="1:18">
      <c r="A5551" s="7"/>
      <c r="B5551" s="12"/>
      <c r="C5551" s="17" t="s">
        <v>392</v>
      </c>
      <c r="D5551" s="17"/>
      <c r="E5551" s="17"/>
      <c r="F5551" s="18" t="str">
        <f>IF(F5550&gt;0,ENTRY!$D$6,"")</f>
        <v>MCP NITHARI NO 1 BOYS</v>
      </c>
      <c r="G5551" s="18"/>
      <c r="H5551" s="18"/>
      <c r="I5551" s="18"/>
      <c r="J5551" s="18"/>
      <c r="K5551" s="18"/>
      <c r="L5551" s="18"/>
      <c r="M5551" s="18"/>
      <c r="N5551" s="18"/>
      <c r="O5551" s="18"/>
      <c r="P5551" s="18"/>
      <c r="Q5551" s="14"/>
      <c r="R5551" s="11"/>
    </row>
    <row r="5552" s="1" customFormat="1" ht="21.95" customHeight="1" spans="1:18">
      <c r="A5552" s="7"/>
      <c r="B5552" s="12"/>
      <c r="C5552" s="17" t="s">
        <v>393</v>
      </c>
      <c r="D5552" s="17"/>
      <c r="E5552" s="17"/>
      <c r="F5552" s="18">
        <f>IF(F5550&gt;0,ENTRY!$D$7,"")</f>
        <v>0</v>
      </c>
      <c r="G5552" s="18"/>
      <c r="H5552" s="20" t="s">
        <v>702</v>
      </c>
      <c r="I5552" s="20"/>
      <c r="J5552" s="21">
        <f>IF(F5550&gt;0,ENTRY!$D$10,"")</f>
        <v>40</v>
      </c>
      <c r="K5552" s="20" t="s">
        <v>703</v>
      </c>
      <c r="L5552" s="22" t="str">
        <f>IF(F5550&gt;0,ENTRY!$D$5,"")</f>
        <v>ROHINI ZONE</v>
      </c>
      <c r="M5552" s="22"/>
      <c r="N5552" s="22"/>
      <c r="O5552" s="22"/>
      <c r="P5552" s="22"/>
      <c r="Q5552" s="14"/>
      <c r="R5552" s="11"/>
    </row>
    <row r="5553" s="1" customFormat="1" ht="21.95" customHeight="1" spans="1:18">
      <c r="A5553" s="7"/>
      <c r="B5553" s="12"/>
      <c r="C5553" s="17" t="s">
        <v>706</v>
      </c>
      <c r="D5553" s="17"/>
      <c r="E5553" s="17"/>
      <c r="F5553" s="23">
        <f>IFERROR(VLOOKUP(F5550,STUDENT!$A$2:$BP$101,5,0),"")</f>
        <v>0</v>
      </c>
      <c r="G5553" s="23"/>
      <c r="H5553" s="23"/>
      <c r="I5553" s="23"/>
      <c r="J5553" s="23"/>
      <c r="K5553" s="23"/>
      <c r="L5553" s="20" t="s">
        <v>707</v>
      </c>
      <c r="M5553" s="20"/>
      <c r="N5553" s="24" t="str">
        <f>IF(F5550&gt;0,ENTRY!$D$20&amp;"-"&amp;ENTRY!$D$21,"")</f>
        <v>III-A</v>
      </c>
      <c r="O5553" s="24"/>
      <c r="P5553" s="24"/>
      <c r="Q5553" s="14"/>
      <c r="R5553" s="11"/>
    </row>
    <row r="5554" s="1" customFormat="1" ht="21.95" customHeight="1" spans="1:18">
      <c r="A5554" s="7"/>
      <c r="B5554" s="12"/>
      <c r="C5554" s="17" t="s">
        <v>708</v>
      </c>
      <c r="D5554" s="17"/>
      <c r="E5554" s="17"/>
      <c r="F5554" s="25">
        <f>IFERROR(VLOOKUP(F5550,STUDENT!$A$2:$BP$101,6,0),"")</f>
        <v>0</v>
      </c>
      <c r="G5554" s="25"/>
      <c r="H5554" s="26" t="s">
        <v>709</v>
      </c>
      <c r="I5554" s="27" t="str">
        <f>IFERROR(VLOOKUP(F5550,STUDENT!$A$2:$BP$101,59,0),"")</f>
        <v/>
      </c>
      <c r="J5554" s="27"/>
      <c r="K5554" s="20" t="s">
        <v>710</v>
      </c>
      <c r="L5554" s="20"/>
      <c r="M5554" s="28">
        <f>IFERROR(VLOOKUP(F5550,STUDENT!$A$2:$BP$101,20,0),"")</f>
        <v>0</v>
      </c>
      <c r="N5554" s="28"/>
      <c r="O5554" s="28"/>
      <c r="P5554" s="28"/>
      <c r="Q5554" s="14"/>
      <c r="R5554" s="11"/>
    </row>
    <row r="5555" s="1" customFormat="1" ht="21.95" customHeight="1" spans="1:18">
      <c r="A5555" s="7"/>
      <c r="B5555" s="12"/>
      <c r="C5555" s="17" t="s">
        <v>711</v>
      </c>
      <c r="D5555" s="17"/>
      <c r="E5555" s="17"/>
      <c r="F5555" s="23">
        <f>IFERROR(VLOOKUP(F5550,STUDENT!$A$2:$BP$101,9,0),"")</f>
        <v>0</v>
      </c>
      <c r="G5555" s="23"/>
      <c r="H5555" s="23"/>
      <c r="I5555" s="23"/>
      <c r="J5555" s="17" t="s">
        <v>620</v>
      </c>
      <c r="K5555" s="17"/>
      <c r="L5555" s="23">
        <f>IFERROR(VLOOKUP(F5550,STUDENT!$A$2:$BP$101,8,0),"")</f>
        <v>0</v>
      </c>
      <c r="M5555" s="23"/>
      <c r="N5555" s="23"/>
      <c r="O5555" s="23"/>
      <c r="P5555" s="23"/>
      <c r="Q5555" s="14"/>
      <c r="R5555" s="11"/>
    </row>
    <row r="5556" s="1" customFormat="1" ht="21.95" customHeight="1" spans="1:18">
      <c r="A5556" s="7"/>
      <c r="B5556" s="12"/>
      <c r="C5556" s="17" t="s">
        <v>712</v>
      </c>
      <c r="D5556" s="17"/>
      <c r="E5556" s="17"/>
      <c r="F5556" s="23">
        <f>IFERROR(VLOOKUP(F5550,STUDENT!$A$2:$BP$101,22,0),"")</f>
        <v>0</v>
      </c>
      <c r="G5556" s="23"/>
      <c r="H5556" s="23"/>
      <c r="I5556" s="23"/>
      <c r="J5556" s="23"/>
      <c r="K5556" s="23"/>
      <c r="L5556" s="23"/>
      <c r="M5556" s="23"/>
      <c r="N5556" s="23"/>
      <c r="O5556" s="23"/>
      <c r="P5556" s="23"/>
      <c r="Q5556" s="14"/>
      <c r="R5556" s="11"/>
    </row>
    <row r="5557" s="1" customFormat="1" ht="9.95" customHeight="1" spans="1:18">
      <c r="A5557" s="7"/>
      <c r="B5557" s="12"/>
      <c r="C5557" s="29"/>
      <c r="D5557" s="29"/>
      <c r="E5557" s="29"/>
      <c r="F5557" s="29"/>
      <c r="G5557" s="29"/>
      <c r="H5557" s="29"/>
      <c r="I5557" s="29"/>
      <c r="J5557" s="29"/>
      <c r="K5557" s="29"/>
      <c r="L5557" s="29"/>
      <c r="M5557" s="29"/>
      <c r="N5557" s="29"/>
      <c r="O5557" s="29"/>
      <c r="P5557" s="29"/>
      <c r="Q5557" s="14"/>
      <c r="R5557" s="11"/>
    </row>
    <row r="5558" s="1" customFormat="1" ht="9.95" customHeight="1" spans="1:18">
      <c r="A5558" s="7"/>
      <c r="B5558" s="12"/>
      <c r="C5558" s="30"/>
      <c r="D5558" s="31"/>
      <c r="E5558" s="31"/>
      <c r="F5558" s="31"/>
      <c r="G5558" s="31"/>
      <c r="H5558" s="31"/>
      <c r="I5558" s="31"/>
      <c r="J5558" s="31"/>
      <c r="K5558" s="31"/>
      <c r="L5558" s="31"/>
      <c r="M5558" s="31"/>
      <c r="N5558" s="31"/>
      <c r="O5558" s="31"/>
      <c r="P5558" s="32"/>
      <c r="Q5558" s="14"/>
      <c r="R5558" s="11"/>
    </row>
    <row r="5559" s="1" customFormat="1" ht="21.95" customHeight="1" spans="1:18">
      <c r="A5559" s="7"/>
      <c r="B5559" s="12"/>
      <c r="C5559" s="33"/>
      <c r="D5559" s="34" t="s">
        <v>713</v>
      </c>
      <c r="E5559" s="20" t="s">
        <v>714</v>
      </c>
      <c r="F5559" s="35" t="str">
        <f>"Level - "&amp;IFERROR(VLOOKUP(F5550,FLN!$A$4:$K$103,9,0),"")</f>
        <v>Level - </v>
      </c>
      <c r="G5559" s="36"/>
      <c r="H5559" s="37" t="s">
        <v>715</v>
      </c>
      <c r="I5559" s="20"/>
      <c r="J5559" s="35" t="str">
        <f>"Level - "&amp;IFERROR(VLOOKUP(F5550,FLN!$A$4:$K$103,11,0),"")</f>
        <v>Level - </v>
      </c>
      <c r="K5559" s="36"/>
      <c r="L5559" s="37" t="s">
        <v>408</v>
      </c>
      <c r="M5559" s="20"/>
      <c r="N5559" s="35" t="str">
        <f>"Level - "&amp;IFERROR(VLOOKUP(F5550,FLN!$A$4:$K$103,10,0),"")</f>
        <v>Level - </v>
      </c>
      <c r="O5559" s="36"/>
      <c r="P5559" s="19"/>
      <c r="Q5559" s="14"/>
      <c r="R5559" s="11"/>
    </row>
    <row r="5560" s="1" customFormat="1" ht="21.95" customHeight="1" spans="1:18">
      <c r="A5560" s="7"/>
      <c r="B5560" s="12"/>
      <c r="C5560" s="33"/>
      <c r="D5560" s="38"/>
      <c r="E5560" s="20" t="s">
        <v>716</v>
      </c>
      <c r="F5560" s="18" t="str">
        <f>IF(L5574&gt;197,"PERFORMED WELL","")</f>
        <v/>
      </c>
      <c r="G5560" s="18"/>
      <c r="H5560" s="18"/>
      <c r="I5560" s="18"/>
      <c r="J5560" s="18"/>
      <c r="K5560" s="18"/>
      <c r="L5560" s="18"/>
      <c r="M5560" s="18"/>
      <c r="N5560" s="18"/>
      <c r="O5560" s="18"/>
      <c r="P5560" s="19"/>
      <c r="Q5560" s="14"/>
      <c r="R5560" s="11"/>
    </row>
    <row r="5561" s="1" customFormat="1" ht="9.95" customHeight="1" spans="1:18">
      <c r="A5561" s="7"/>
      <c r="B5561" s="12"/>
      <c r="C5561" s="39"/>
      <c r="D5561" s="40"/>
      <c r="E5561" s="40"/>
      <c r="F5561" s="40"/>
      <c r="G5561" s="40"/>
      <c r="H5561" s="40"/>
      <c r="I5561" s="40"/>
      <c r="J5561" s="40"/>
      <c r="K5561" s="40"/>
      <c r="L5561" s="40"/>
      <c r="M5561" s="40"/>
      <c r="N5561" s="40"/>
      <c r="O5561" s="40"/>
      <c r="P5561" s="41"/>
      <c r="Q5561" s="14"/>
      <c r="R5561" s="11"/>
    </row>
    <row r="5562" s="1" customFormat="1" ht="9.95" customHeight="1" spans="1:18">
      <c r="A5562" s="7"/>
      <c r="B5562" s="12"/>
      <c r="C5562" s="29"/>
      <c r="D5562" s="29"/>
      <c r="E5562" s="29"/>
      <c r="F5562" s="29"/>
      <c r="G5562" s="29"/>
      <c r="H5562" s="29"/>
      <c r="I5562" s="29"/>
      <c r="J5562" s="29"/>
      <c r="K5562" s="29"/>
      <c r="L5562" s="29"/>
      <c r="M5562" s="29"/>
      <c r="N5562" s="29"/>
      <c r="O5562" s="29"/>
      <c r="P5562" s="29"/>
      <c r="Q5562" s="14"/>
      <c r="R5562" s="11"/>
    </row>
    <row r="5563" s="1" customFormat="1" ht="9.95" customHeight="1" spans="1:18">
      <c r="A5563" s="7"/>
      <c r="B5563" s="12"/>
      <c r="C5563" s="30"/>
      <c r="D5563" s="31"/>
      <c r="E5563" s="31"/>
      <c r="F5563" s="31"/>
      <c r="G5563" s="31"/>
      <c r="H5563" s="31"/>
      <c r="I5563" s="31"/>
      <c r="J5563" s="31"/>
      <c r="K5563" s="31"/>
      <c r="L5563" s="31"/>
      <c r="M5563" s="31"/>
      <c r="N5563" s="31"/>
      <c r="O5563" s="31"/>
      <c r="P5563" s="32"/>
      <c r="Q5563" s="14"/>
      <c r="R5563" s="11"/>
    </row>
    <row r="5564" s="1" customFormat="1" ht="21.95" customHeight="1" spans="1:18">
      <c r="A5564" s="7"/>
      <c r="B5564" s="12"/>
      <c r="C5564" s="33"/>
      <c r="D5564" s="35"/>
      <c r="E5564" s="24"/>
      <c r="F5564" s="24"/>
      <c r="G5564" s="47" t="s">
        <v>717</v>
      </c>
      <c r="H5564" s="47"/>
      <c r="I5564" s="47"/>
      <c r="J5564" s="47"/>
      <c r="K5564" s="47"/>
      <c r="L5564" s="47"/>
      <c r="M5564" s="47"/>
      <c r="N5564" s="47"/>
      <c r="O5564" s="29"/>
      <c r="P5564" s="19"/>
      <c r="Q5564" s="14"/>
      <c r="R5564" s="11"/>
    </row>
    <row r="5565" s="1" customFormat="1" ht="21.95" customHeight="1" spans="1:18">
      <c r="A5565" s="7"/>
      <c r="B5565" s="12"/>
      <c r="C5565" s="33"/>
      <c r="D5565" s="47"/>
      <c r="E5565" s="47"/>
      <c r="F5565" s="47"/>
      <c r="G5565" s="47" t="s">
        <v>541</v>
      </c>
      <c r="H5565" s="47" t="s">
        <v>542</v>
      </c>
      <c r="I5565" s="47" t="s">
        <v>543</v>
      </c>
      <c r="J5565" s="47" t="s">
        <v>544</v>
      </c>
      <c r="K5565" s="47" t="s">
        <v>561</v>
      </c>
      <c r="L5565" s="47" t="s">
        <v>382</v>
      </c>
      <c r="M5565" s="49" t="s">
        <v>546</v>
      </c>
      <c r="N5565" s="49"/>
      <c r="O5565" s="29"/>
      <c r="P5565" s="19"/>
      <c r="Q5565" s="14"/>
      <c r="R5565" s="11"/>
    </row>
    <row r="5566" s="1" customFormat="1" ht="21.95" customHeight="1" spans="1:18">
      <c r="A5566" s="7"/>
      <c r="B5566" s="12"/>
      <c r="C5566" s="33"/>
      <c r="D5566" s="207" t="s">
        <v>652</v>
      </c>
      <c r="E5566" s="207"/>
      <c r="F5566" s="207"/>
      <c r="G5566" s="50">
        <v>10</v>
      </c>
      <c r="H5566" s="50">
        <v>10</v>
      </c>
      <c r="I5566" s="50">
        <v>10</v>
      </c>
      <c r="J5566" s="50">
        <v>10</v>
      </c>
      <c r="K5566" s="50">
        <v>60</v>
      </c>
      <c r="L5566" s="50">
        <v>100</v>
      </c>
      <c r="M5566" s="49"/>
      <c r="N5566" s="49"/>
      <c r="O5566" s="29"/>
      <c r="P5566" s="19"/>
      <c r="Q5566" s="14"/>
      <c r="R5566" s="11"/>
    </row>
    <row r="5567" s="1" customFormat="1" ht="21.95" customHeight="1" spans="1:18">
      <c r="A5567" s="7"/>
      <c r="B5567" s="12"/>
      <c r="C5567" s="33"/>
      <c r="D5567" s="117" t="s">
        <v>668</v>
      </c>
      <c r="E5567" s="117"/>
      <c r="F5567" s="117"/>
      <c r="G5567" s="54" t="str">
        <f>IFERROR(VLOOKUP(F5550,'1to4-2.1-RR'!$A$12:$BG$111,9,0),"")</f>
        <v/>
      </c>
      <c r="H5567" s="54" t="str">
        <f>IFERROR(VLOOKUP(F5550,'1to4-2.1-RR'!$A$12:$BG$111,10,0),"")</f>
        <v/>
      </c>
      <c r="I5567" s="54" t="str">
        <f>IFERROR(VLOOKUP(F5550,'1to4-2.1-RR'!$A$12:$BG$111,11,0),"")</f>
        <v/>
      </c>
      <c r="J5567" s="54" t="str">
        <f>IFERROR(VLOOKUP(F5550,'1to4-2.1-RR'!$A$12:$BG$111,12,0),"")</f>
        <v/>
      </c>
      <c r="K5567" s="54" t="str">
        <f>IFERROR(VLOOKUP(F5550,'1to4-2.1-RR'!$A$12:$BG$111,13,0),"")</f>
        <v/>
      </c>
      <c r="L5567" s="55">
        <f>SUM(G5567:K5567)</f>
        <v>0</v>
      </c>
      <c r="M5567" s="56" t="str">
        <f>IF(F5550&gt;ENTRY!$D$24,"",IF(L5567=0,"Ab",IF(L5567&gt;80,"A",IF(L5567&gt;60,"B",IF(L5567&gt;44,"C",IF(L5567&gt;=33,"D",IF(L5567&lt;=32,"E","")))))))</f>
        <v/>
      </c>
      <c r="N5567" s="56"/>
      <c r="O5567" s="29"/>
      <c r="P5567" s="19"/>
      <c r="Q5567" s="14"/>
      <c r="R5567" s="11"/>
    </row>
    <row r="5568" s="1" customFormat="1" ht="21.95" customHeight="1" spans="1:18">
      <c r="A5568" s="7"/>
      <c r="B5568" s="12"/>
      <c r="C5568" s="33"/>
      <c r="D5568" s="117" t="s">
        <v>513</v>
      </c>
      <c r="E5568" s="117"/>
      <c r="F5568" s="117"/>
      <c r="G5568" s="54" t="str">
        <f>IFERROR(VLOOKUP(F5550,'1to4-2.1-RR'!$A$12:$BG$111,16,0),"")</f>
        <v/>
      </c>
      <c r="H5568" s="54" t="str">
        <f>IFERROR(VLOOKUP(F5550,'1to4-2.1-RR'!$A$12:$BG$111,17,0),"")</f>
        <v/>
      </c>
      <c r="I5568" s="54" t="str">
        <f>IFERROR(VLOOKUP(F5550,'1to4-2.1-RR'!$A$12:$BG$111,18,0),"")</f>
        <v/>
      </c>
      <c r="J5568" s="54" t="str">
        <f>IFERROR(VLOOKUP(F5550,'1to4-2.1-RR'!$A$12:$BG$111,19,0),"")</f>
        <v/>
      </c>
      <c r="K5568" s="54" t="str">
        <f>IFERROR(VLOOKUP(F5550,'1to4-2.1-RR'!$A$12:$BG$111,20,0),"")</f>
        <v/>
      </c>
      <c r="L5568" s="55">
        <f t="shared" ref="L5568:L5573" si="198">SUM(G5568:K5568)</f>
        <v>0</v>
      </c>
      <c r="M5568" s="56" t="str">
        <f>IF(F5550&gt;ENTRY!$D$24,"",IF(L5568=0,"Ab",IF(L5568&gt;80,"A",IF(L5568&gt;60,"B",IF(L5568&gt;44,"C",IF(L5568&gt;=33,"D",IF(L5568&lt;=32,"E","")))))))</f>
        <v/>
      </c>
      <c r="N5568" s="56"/>
      <c r="O5568" s="29"/>
      <c r="P5568" s="19"/>
      <c r="Q5568" s="14"/>
      <c r="R5568" s="11"/>
    </row>
    <row r="5569" s="1" customFormat="1" ht="21.95" customHeight="1" spans="1:19">
      <c r="A5569" s="7"/>
      <c r="B5569" s="12"/>
      <c r="C5569" s="33"/>
      <c r="D5569" s="117" t="s">
        <v>718</v>
      </c>
      <c r="E5569" s="117"/>
      <c r="F5569" s="117"/>
      <c r="G5569" s="54" t="str">
        <f>IFERROR(VLOOKUP(F5550,'1to4-2.1-RR'!$A$12:$BG$111,23,0),"")</f>
        <v/>
      </c>
      <c r="H5569" s="54" t="str">
        <f>IFERROR(VLOOKUP(F5550,'1to4-2.1-RR'!$A$12:$BG$111,24,0),"")</f>
        <v/>
      </c>
      <c r="I5569" s="54" t="str">
        <f>IFERROR(VLOOKUP(F5550,'1to4-2.1-RR'!$A$12:$BG$111,25,0),"")</f>
        <v/>
      </c>
      <c r="J5569" s="54" t="str">
        <f>IFERROR(VLOOKUP(F5550,'1to4-2.1-RR'!$A$12:$BG$111,26,0),"")</f>
        <v/>
      </c>
      <c r="K5569" s="54" t="str">
        <f>IFERROR(VLOOKUP(F5550,'1to4-2.1-RR'!$A$12:$BG$111,27,0),"")</f>
        <v/>
      </c>
      <c r="L5569" s="55">
        <f t="shared" si="198"/>
        <v>0</v>
      </c>
      <c r="M5569" s="56" t="str">
        <f>IF(F5550&gt;ENTRY!$D$24,"",IF(L5569=0,"Ab",IF(L5569&gt;80,"A",IF(L5569&gt;60,"B",IF(L5569&gt;44,"C",IF(L5569&gt;=33,"D",IF(L5569&lt;=32,"E","")))))))</f>
        <v/>
      </c>
      <c r="N5569" s="56"/>
      <c r="O5569" s="29"/>
      <c r="P5569" s="19"/>
      <c r="Q5569" s="14"/>
      <c r="R5569" s="11"/>
    </row>
    <row r="5570" s="1" customFormat="1" ht="21.95" customHeight="1" spans="1:19">
      <c r="A5570" s="7"/>
      <c r="B5570" s="12"/>
      <c r="C5570" s="33"/>
      <c r="D5570" s="117" t="s">
        <v>719</v>
      </c>
      <c r="E5570" s="117"/>
      <c r="F5570" s="117"/>
      <c r="G5570" s="54" t="str">
        <f>IFERROR(VLOOKUP(F5550,'1to4-2.1-RR'!$A$12:$BG$111,30,0),"")</f>
        <v/>
      </c>
      <c r="H5570" s="54" t="str">
        <f>IFERROR(VLOOKUP(F5550,'1to4-2.1-RR'!$A$12:$BG$111,31,0),"")</f>
        <v/>
      </c>
      <c r="I5570" s="54" t="str">
        <f>IFERROR(VLOOKUP(F5550,'1to4-2.1-RR'!$A$12:$BG$111,32,0),"")</f>
        <v/>
      </c>
      <c r="J5570" s="54" t="str">
        <f>IFERROR(VLOOKUP(F5550,'1to4-2.1-RR'!$A$12:$BG$111,33,0),"")</f>
        <v/>
      </c>
      <c r="K5570" s="54" t="str">
        <f>IFERROR(VLOOKUP(F5550,'1to4-2.1-RR'!$A$12:$BG$111,34,0),"")</f>
        <v/>
      </c>
      <c r="L5570" s="55">
        <f t="shared" si="198"/>
        <v>0</v>
      </c>
      <c r="M5570" s="56" t="str">
        <f>IF(F5550&gt;ENTRY!$D$24,"",IF(L5570=0,"Ab",IF(L5570&gt;80,"A",IF(L5570&gt;60,"B",IF(L5570&gt;44,"C",IF(L5570&gt;=33,"D",IF(L5570&lt;=32,"E","")))))))</f>
        <v/>
      </c>
      <c r="N5570" s="56"/>
      <c r="O5570" s="29"/>
      <c r="P5570" s="19"/>
      <c r="Q5570" s="14"/>
      <c r="R5570" s="11"/>
    </row>
    <row r="5571" s="1" customFormat="1" ht="21.95" customHeight="1" spans="1:19">
      <c r="A5571" s="7"/>
      <c r="B5571" s="12"/>
      <c r="C5571" s="33"/>
      <c r="D5571" s="117" t="s">
        <v>548</v>
      </c>
      <c r="E5571" s="117"/>
      <c r="F5571" s="117"/>
      <c r="G5571" s="54" t="str">
        <f>IFERROR(VLOOKUP(F5550,'1to4-2.1-RR'!$A$12:$BG$111,37,0),"")</f>
        <v/>
      </c>
      <c r="H5571" s="54" t="str">
        <f>IFERROR(VLOOKUP(F5550,'1to4-2.1-RR'!$A$12:$BG$111,38,0),"")</f>
        <v/>
      </c>
      <c r="I5571" s="54" t="str">
        <f>IFERROR(VLOOKUP(F5550,'1to4-2.1-RR'!$A$12:$BG$111,39,0),"")</f>
        <v/>
      </c>
      <c r="J5571" s="54" t="str">
        <f>IFERROR(VLOOKUP(F5550,'1to4-2.1-RR'!$A$12:$BG$111,40,0),"")</f>
        <v/>
      </c>
      <c r="K5571" s="54" t="str">
        <f>IFERROR(VLOOKUP(F5550,'1to4-2.1-RR'!$A$12:$BG$111,41,0),"")</f>
        <v/>
      </c>
      <c r="L5571" s="55">
        <f t="shared" si="198"/>
        <v>0</v>
      </c>
      <c r="M5571" s="56" t="str">
        <f>IF(F5550&gt;ENTRY!$D$24,"",IF(L5571=0,"Ab",IF(L5571&gt;80,"A",IF(L5571&gt;60,"B",IF(L5571&gt;44,"C",IF(L5571&gt;=33,"D",IF(L5571&lt;=32,"E","")))))))</f>
        <v/>
      </c>
      <c r="N5571" s="56"/>
      <c r="O5571" s="29"/>
      <c r="P5571" s="19"/>
      <c r="Q5571" s="14"/>
      <c r="R5571" s="11"/>
    </row>
    <row r="5572" s="1" customFormat="1" ht="21.95" customHeight="1" spans="1:19">
      <c r="A5572" s="7"/>
      <c r="B5572" s="12"/>
      <c r="C5572" s="33"/>
      <c r="D5572" s="117" t="s">
        <v>549</v>
      </c>
      <c r="E5572" s="117"/>
      <c r="F5572" s="117"/>
      <c r="G5572" s="54" t="str">
        <f>IFERROR(VLOOKUP(F5550,'1to4-2.1-RR'!$A$12:$BG$111,44,0),"")</f>
        <v/>
      </c>
      <c r="H5572" s="54" t="str">
        <f>IFERROR(VLOOKUP(F5550,'1to4-2.1-RR'!$A$12:$BG$111,45,0),"")</f>
        <v/>
      </c>
      <c r="I5572" s="54" t="str">
        <f>IFERROR(VLOOKUP(F5550,'1to4-2.1-RR'!$A$12:$BG$111,46,0),"")</f>
        <v/>
      </c>
      <c r="J5572" s="54" t="str">
        <f>IFERROR(VLOOKUP(F5550,'1to4-2.1-RR'!$A$12:$BG$111,47,0),"")</f>
        <v/>
      </c>
      <c r="K5572" s="54" t="str">
        <f>IFERROR(VLOOKUP(F5550,'1to4-2.1-RR'!$A$12:$BG$111,48,0),"")</f>
        <v/>
      </c>
      <c r="L5572" s="55">
        <f t="shared" si="198"/>
        <v>0</v>
      </c>
      <c r="M5572" s="56" t="str">
        <f>IF(F5550&gt;ENTRY!$D$24,"",IF(L5572=0,"Ab",IF(L5572&gt;80,"A",IF(L5572&gt;60,"B",IF(L5572&gt;44,"C",IF(L5572&gt;=33,"D",IF(L5572&lt;=32,"E","")))))))</f>
        <v/>
      </c>
      <c r="N5572" s="56"/>
      <c r="O5572" s="29"/>
      <c r="P5572" s="19"/>
      <c r="Q5572" s="14"/>
      <c r="R5572" s="11"/>
    </row>
    <row r="5573" s="1" customFormat="1" ht="21.95" customHeight="1" spans="1:19">
      <c r="A5573" s="7"/>
      <c r="B5573" s="12"/>
      <c r="C5573" s="33"/>
      <c r="D5573" s="117" t="s">
        <v>720</v>
      </c>
      <c r="E5573" s="117"/>
      <c r="F5573" s="117"/>
      <c r="G5573" s="54"/>
      <c r="H5573" s="54"/>
      <c r="I5573" s="54"/>
      <c r="J5573" s="54"/>
      <c r="K5573" s="54"/>
      <c r="L5573" s="55">
        <f t="shared" si="198"/>
        <v>0</v>
      </c>
      <c r="M5573" s="56" t="str">
        <f>IF(F5550&gt;ENTRY!$D$24,"",IF(L5573=0,"",IF(L5573&gt;79,"A",IF(L5573&gt;59,"B",IF(L5573&gt;44,"C",IF(L5573&gt;=33,"D",IF(L5573&lt;=32,"E","")))))))</f>
        <v/>
      </c>
      <c r="N5573" s="56"/>
      <c r="O5573" s="29"/>
      <c r="P5573" s="19"/>
      <c r="Q5573" s="14"/>
      <c r="R5573" s="11"/>
    </row>
    <row r="5574" s="1" customFormat="1" ht="21.95" customHeight="1" spans="1:19">
      <c r="A5574" s="7"/>
      <c r="B5574" s="12"/>
      <c r="C5574" s="33"/>
      <c r="D5574" s="207" t="s">
        <v>382</v>
      </c>
      <c r="E5574" s="207"/>
      <c r="F5574" s="207"/>
      <c r="G5574" s="54">
        <f t="shared" ref="G5574:L5574" si="199">IFERROR(SUM(G5567:G5573),"")</f>
        <v>0</v>
      </c>
      <c r="H5574" s="54">
        <f t="shared" si="199"/>
        <v>0</v>
      </c>
      <c r="I5574" s="54">
        <f t="shared" si="199"/>
        <v>0</v>
      </c>
      <c r="J5574" s="54">
        <f t="shared" si="199"/>
        <v>0</v>
      </c>
      <c r="K5574" s="54">
        <f t="shared" si="199"/>
        <v>0</v>
      </c>
      <c r="L5574" s="55">
        <f t="shared" si="199"/>
        <v>0</v>
      </c>
      <c r="M5574" s="61" t="str">
        <f>IF(F5550&gt;ENTRY!$D$24,"",IF(N5575="Ab","Ab",IF(N5575&gt;79.5,"A",IF(N5575&gt;59.5,"B",IF(N5575&gt;44.5,"C",IF(N5575&gt;=33,"D",IF(N5575&lt;33,"E","")))))))</f>
        <v/>
      </c>
      <c r="N5574" s="61"/>
      <c r="O5574" s="29"/>
      <c r="P5574" s="19"/>
      <c r="Q5574" s="14"/>
      <c r="R5574" s="11"/>
    </row>
    <row r="5575" s="1" customFormat="1" ht="21.95" customHeight="1" spans="1:19">
      <c r="A5575" s="7"/>
      <c r="B5575" s="12"/>
      <c r="C5575" s="33"/>
      <c r="D5575" s="63" t="s">
        <v>721</v>
      </c>
      <c r="E5575" s="63"/>
      <c r="F5575" s="63"/>
      <c r="G5575" s="63"/>
      <c r="H5575" s="63"/>
      <c r="I5575" s="63"/>
      <c r="J5575" s="63"/>
      <c r="K5575" s="63"/>
      <c r="L5575" s="63"/>
      <c r="M5575" s="209"/>
      <c r="N5575" s="64">
        <f>IF(L5574="Ab","Ab",L5574/6)</f>
        <v>0</v>
      </c>
      <c r="O5575" s="65"/>
      <c r="P5575" s="19"/>
      <c r="Q5575" s="14"/>
      <c r="R5575" s="11"/>
    </row>
    <row r="5576" s="1" customFormat="1" ht="21.95" customHeight="1" spans="1:19">
      <c r="A5576" s="7"/>
      <c r="B5576" s="12"/>
      <c r="C5576" s="33"/>
      <c r="D5576" s="29" t="s">
        <v>716</v>
      </c>
      <c r="E5576" s="18" t="str">
        <f>IFERROR(VLOOKUP(F5550,'1to4-2.1-RR'!$A$12:$BG$111,57,0),"")</f>
        <v/>
      </c>
      <c r="F5576" s="18"/>
      <c r="G5576" s="18"/>
      <c r="H5576" s="18"/>
      <c r="I5576" s="18"/>
      <c r="J5576" s="18"/>
      <c r="K5576" s="18"/>
      <c r="L5576" s="18"/>
      <c r="M5576" s="18"/>
      <c r="N5576" s="29"/>
      <c r="O5576" s="29"/>
      <c r="P5576" s="19"/>
      <c r="Q5576" s="14"/>
      <c r="R5576" s="11"/>
    </row>
    <row r="5577" s="1" customFormat="1" ht="9.95" customHeight="1" spans="1:19">
      <c r="A5577" s="7"/>
      <c r="B5577" s="12"/>
      <c r="C5577" s="39"/>
      <c r="D5577" s="40"/>
      <c r="E5577" s="40"/>
      <c r="F5577" s="40"/>
      <c r="G5577" s="40"/>
      <c r="H5577" s="40"/>
      <c r="I5577" s="40"/>
      <c r="J5577" s="40"/>
      <c r="K5577" s="40"/>
      <c r="L5577" s="40"/>
      <c r="M5577" s="40"/>
      <c r="N5577" s="40"/>
      <c r="O5577" s="40"/>
      <c r="P5577" s="41"/>
      <c r="Q5577" s="14"/>
      <c r="R5577" s="11"/>
    </row>
    <row r="5578" s="1" customFormat="1" ht="9.95" customHeight="1" spans="1:19">
      <c r="A5578" s="7"/>
      <c r="B5578" s="12"/>
      <c r="C5578" s="30"/>
      <c r="D5578" s="31"/>
      <c r="E5578" s="31"/>
      <c r="F5578" s="29"/>
      <c r="G5578" s="31"/>
      <c r="H5578" s="31"/>
      <c r="I5578" s="31"/>
      <c r="J5578" s="31"/>
      <c r="K5578" s="31"/>
      <c r="L5578" s="31"/>
      <c r="M5578" s="31"/>
      <c r="N5578" s="31"/>
      <c r="O5578" s="31"/>
      <c r="P5578" s="32"/>
      <c r="Q5578" s="14"/>
      <c r="R5578" s="11"/>
    </row>
    <row r="5579" s="1" customFormat="1" ht="9.95" customHeight="1" spans="1:19">
      <c r="A5579" s="7"/>
      <c r="B5579" s="12"/>
      <c r="C5579" s="33"/>
      <c r="D5579" s="29"/>
      <c r="E5579" s="29"/>
      <c r="F5579" s="29"/>
      <c r="G5579" s="29"/>
      <c r="H5579" s="29"/>
      <c r="I5579" s="29"/>
      <c r="J5579" s="29"/>
      <c r="K5579" s="29"/>
      <c r="L5579" s="29"/>
      <c r="M5579" s="29"/>
      <c r="N5579" s="29"/>
      <c r="O5579" s="29"/>
      <c r="P5579" s="19"/>
      <c r="Q5579" s="14"/>
      <c r="R5579" s="11"/>
    </row>
    <row r="5580" s="1" customFormat="1" ht="9.95" customHeight="1" spans="1:19">
      <c r="A5580" s="7"/>
      <c r="B5580" s="12"/>
      <c r="C5580" s="33"/>
      <c r="D5580" s="29"/>
      <c r="E5580" s="29"/>
      <c r="F5580" s="29"/>
      <c r="G5580" s="29"/>
      <c r="H5580" s="29"/>
      <c r="I5580" s="29"/>
      <c r="J5580" s="29"/>
      <c r="K5580" s="29"/>
      <c r="L5580" s="29"/>
      <c r="M5580" s="29"/>
      <c r="N5580" s="29"/>
      <c r="O5580" s="29"/>
      <c r="P5580" s="19"/>
      <c r="Q5580" s="14"/>
      <c r="R5580" s="11"/>
    </row>
    <row r="5581" s="1" customFormat="1" ht="21.95" customHeight="1" spans="1:19">
      <c r="A5581" s="7"/>
      <c r="B5581" s="12"/>
      <c r="C5581" s="210"/>
      <c r="D5581" s="211"/>
      <c r="E5581" s="211"/>
      <c r="F5581" s="211"/>
      <c r="G5581" s="211"/>
      <c r="H5581" s="211"/>
      <c r="I5581" s="211"/>
      <c r="J5581" s="211"/>
      <c r="K5581" s="211"/>
      <c r="L5581" s="211"/>
      <c r="M5581" s="211"/>
      <c r="N5581" s="211"/>
      <c r="O5581" s="211"/>
      <c r="P5581" s="212"/>
      <c r="Q5581" s="14"/>
      <c r="R5581" s="11"/>
      <c r="S5581" s="2"/>
    </row>
    <row r="5582" s="1" customFormat="1" ht="21.95" customHeight="1" spans="1:19">
      <c r="A5582" s="7"/>
      <c r="B5582" s="12"/>
      <c r="C5582" s="33"/>
      <c r="D5582" s="207" t="s">
        <v>722</v>
      </c>
      <c r="E5582" s="207"/>
      <c r="F5582" s="207"/>
      <c r="G5582" s="207"/>
      <c r="H5582" s="54">
        <f>IFERROR(VLOOKUP(F5550,PASHEET!$A$4:$CJ$103,88,0),"")</f>
        <v>0</v>
      </c>
      <c r="I5582" s="54"/>
      <c r="J5582" s="29"/>
      <c r="K5582" s="29"/>
      <c r="L5582" s="29"/>
      <c r="M5582" s="29"/>
      <c r="N5582" s="29"/>
      <c r="O5582" s="29"/>
      <c r="P5582" s="19"/>
      <c r="Q5582" s="14"/>
      <c r="R5582" s="11"/>
    </row>
    <row r="5583" s="1" customFormat="1" ht="21.95" customHeight="1" spans="1:19">
      <c r="A5583" s="7"/>
      <c r="B5583" s="12"/>
      <c r="C5583" s="213"/>
      <c r="D5583" s="207" t="s">
        <v>723</v>
      </c>
      <c r="E5583" s="207"/>
      <c r="F5583" s="207"/>
      <c r="G5583" s="207"/>
      <c r="H5583" s="54">
        <f>IFERROR(VLOOKUP(F5550,PASHEET!$A$4:$CJ$103,87,0),"")</f>
        <v>0</v>
      </c>
      <c r="I5583" s="54"/>
      <c r="J5583" s="214"/>
      <c r="K5583" s="214"/>
      <c r="L5583" s="207" t="s">
        <v>724</v>
      </c>
      <c r="M5583" s="207"/>
      <c r="N5583" s="117" t="str">
        <f>IF(F5550&gt;ENTRY!$D$24,"",IF(F5550&gt;0,L5574&amp;" / "&amp;600,""))</f>
        <v/>
      </c>
      <c r="O5583" s="117"/>
      <c r="P5583" s="215"/>
      <c r="Q5583" s="14"/>
      <c r="R5583" s="11"/>
    </row>
    <row r="5584" s="1" customFormat="1" ht="18" customHeight="1" spans="1:19">
      <c r="A5584" s="7"/>
      <c r="B5584" s="12"/>
      <c r="C5584" s="33"/>
      <c r="D5584" s="207" t="s">
        <v>725</v>
      </c>
      <c r="E5584" s="207"/>
      <c r="F5584" s="207"/>
      <c r="G5584" s="207"/>
      <c r="H5584" s="69" t="str">
        <f>IFERROR(IF(F5550&gt;0,H5583/H5582*100),"")</f>
        <v/>
      </c>
      <c r="I5584" s="69"/>
      <c r="J5584" s="29"/>
      <c r="K5584" s="29"/>
      <c r="L5584" s="207" t="s">
        <v>726</v>
      </c>
      <c r="M5584" s="207"/>
      <c r="N5584" s="216" t="str">
        <f>IF(F5550&gt;ENTRY!$D$24,"",IF(F5550&gt;0,L5574/600*100,""))</f>
        <v/>
      </c>
      <c r="O5584" s="216"/>
      <c r="P5584" s="19"/>
      <c r="Q5584" s="14"/>
      <c r="R5584" s="11"/>
    </row>
    <row r="5585" s="1" customFormat="1" ht="21.95" customHeight="1" spans="1:18">
      <c r="A5585" s="7"/>
      <c r="B5585" s="12"/>
      <c r="C5585" s="33"/>
      <c r="D5585" s="80"/>
      <c r="E5585" s="80"/>
      <c r="F5585" s="217"/>
      <c r="G5585" s="217"/>
      <c r="H5585" s="217"/>
      <c r="I5585" s="217"/>
      <c r="J5585" s="217"/>
      <c r="K5585" s="217"/>
      <c r="L5585" s="217"/>
      <c r="M5585" s="217"/>
      <c r="N5585" s="80"/>
      <c r="O5585" s="80"/>
      <c r="P5585" s="19"/>
      <c r="Q5585" s="14"/>
      <c r="R5585" s="11"/>
    </row>
    <row r="5586" s="1" customFormat="1" ht="21.95" customHeight="1" spans="1:18">
      <c r="A5586" s="7"/>
      <c r="B5586" s="12"/>
      <c r="C5586" s="33"/>
      <c r="D5586" s="80"/>
      <c r="E5586" s="218"/>
      <c r="F5586" s="218"/>
      <c r="G5586" s="218"/>
      <c r="H5586" s="80"/>
      <c r="I5586" s="218"/>
      <c r="J5586" s="218"/>
      <c r="K5586" s="218"/>
      <c r="L5586" s="218"/>
      <c r="M5586" s="80"/>
      <c r="N5586" s="219"/>
      <c r="O5586" s="219"/>
      <c r="P5586" s="19"/>
      <c r="Q5586" s="14"/>
      <c r="R5586" s="11"/>
    </row>
    <row r="5587" s="1" customFormat="1" ht="21.95" customHeight="1" spans="1:18">
      <c r="A5587" s="7"/>
      <c r="B5587" s="12"/>
      <c r="C5587" s="33"/>
      <c r="D5587" s="80"/>
      <c r="E5587" s="80"/>
      <c r="F5587" s="80"/>
      <c r="G5587" s="80"/>
      <c r="H5587" s="80"/>
      <c r="I5587" s="80"/>
      <c r="J5587" s="80"/>
      <c r="K5587" s="80"/>
      <c r="L5587" s="80"/>
      <c r="M5587" s="80"/>
      <c r="N5587" s="80"/>
      <c r="O5587" s="80"/>
      <c r="P5587" s="19"/>
      <c r="Q5587" s="14"/>
      <c r="R5587" s="11"/>
    </row>
    <row r="5588" s="1" customFormat="1" ht="21.95" customHeight="1" spans="1:18">
      <c r="A5588" s="7"/>
      <c r="B5588" s="12"/>
      <c r="C5588" s="33"/>
      <c r="D5588" s="218"/>
      <c r="E5588" s="218"/>
      <c r="F5588" s="218"/>
      <c r="G5588" s="218"/>
      <c r="H5588" s="218"/>
      <c r="I5588" s="218"/>
      <c r="J5588" s="218"/>
      <c r="K5588" s="218"/>
      <c r="L5588" s="218"/>
      <c r="M5588" s="80"/>
      <c r="N5588" s="217"/>
      <c r="O5588" s="217"/>
      <c r="P5588" s="85" t="s">
        <v>727</v>
      </c>
      <c r="Q5588" s="14"/>
      <c r="R5588" s="11"/>
    </row>
    <row r="5589" s="1" customFormat="1" ht="21.95" customHeight="1" spans="1:18">
      <c r="A5589" s="7"/>
      <c r="B5589" s="12"/>
      <c r="C5589" s="33"/>
      <c r="D5589" s="29"/>
      <c r="E5589" s="29"/>
      <c r="F5589" s="29"/>
      <c r="G5589" s="29"/>
      <c r="H5589" s="29"/>
      <c r="I5589" s="29"/>
      <c r="J5589" s="29"/>
      <c r="K5589" s="29"/>
      <c r="L5589" s="29"/>
      <c r="M5589" s="29"/>
      <c r="N5589" s="29"/>
      <c r="O5589" s="29"/>
      <c r="P5589" s="19"/>
      <c r="Q5589" s="14"/>
      <c r="R5589" s="11"/>
    </row>
    <row r="5590" s="1" customFormat="1" ht="21.95" customHeight="1" spans="1:18">
      <c r="A5590" s="7"/>
      <c r="B5590" s="12"/>
      <c r="C5590" s="33"/>
      <c r="D5590" s="29"/>
      <c r="E5590" s="29"/>
      <c r="F5590" s="29"/>
      <c r="G5590" s="29"/>
      <c r="H5590" s="29"/>
      <c r="I5590" s="29"/>
      <c r="J5590" s="29"/>
      <c r="K5590" s="29"/>
      <c r="L5590" s="29"/>
      <c r="M5590" s="29"/>
      <c r="N5590" s="29"/>
      <c r="O5590" s="29"/>
      <c r="P5590" s="19"/>
      <c r="Q5590" s="14"/>
      <c r="R5590" s="11"/>
    </row>
    <row r="5591" s="1" customFormat="1" ht="21.95" customHeight="1" spans="1:18">
      <c r="A5591" s="7"/>
      <c r="B5591" s="12"/>
      <c r="C5591" s="33"/>
      <c r="D5591" s="29"/>
      <c r="E5591" s="29"/>
      <c r="F5591" s="29"/>
      <c r="G5591" s="29"/>
      <c r="H5591" s="29"/>
      <c r="I5591" s="29"/>
      <c r="J5591" s="29"/>
      <c r="K5591" s="29"/>
      <c r="L5591" s="29"/>
      <c r="M5591" s="29"/>
      <c r="N5591" s="29"/>
      <c r="O5591" s="29"/>
      <c r="P5591" s="19"/>
      <c r="Q5591" s="14"/>
      <c r="R5591" s="11"/>
    </row>
    <row r="5592" s="1" customFormat="1" ht="21.95" customHeight="1" spans="1:18">
      <c r="A5592" s="7"/>
      <c r="B5592" s="12"/>
      <c r="C5592" s="33"/>
      <c r="D5592" s="29"/>
      <c r="E5592" s="29"/>
      <c r="F5592" s="29"/>
      <c r="G5592" s="29"/>
      <c r="H5592" s="29"/>
      <c r="I5592" s="29"/>
      <c r="J5592" s="29"/>
      <c r="K5592" s="29"/>
      <c r="L5592" s="29"/>
      <c r="M5592" s="29"/>
      <c r="N5592" s="29"/>
      <c r="O5592" s="29"/>
      <c r="P5592" s="19"/>
      <c r="Q5592" s="14"/>
      <c r="R5592" s="11"/>
    </row>
    <row r="5593" s="1" customFormat="1" ht="21.95" customHeight="1" spans="1:18">
      <c r="A5593" s="7"/>
      <c r="B5593" s="12"/>
      <c r="C5593" s="33"/>
      <c r="D5593" s="29"/>
      <c r="E5593" s="29"/>
      <c r="F5593" s="29"/>
      <c r="G5593" s="29"/>
      <c r="H5593" s="29"/>
      <c r="I5593" s="29"/>
      <c r="J5593" s="29"/>
      <c r="K5593" s="29"/>
      <c r="L5593" s="29"/>
      <c r="M5593" s="29"/>
      <c r="N5593" s="29"/>
      <c r="O5593" s="29"/>
      <c r="P5593" s="19"/>
      <c r="Q5593" s="14"/>
      <c r="R5593" s="11"/>
    </row>
    <row r="5594" s="1" customFormat="1" ht="21.95" customHeight="1" spans="1:18">
      <c r="A5594" s="7"/>
      <c r="B5594" s="12"/>
      <c r="C5594" s="33"/>
      <c r="D5594" s="80" t="s">
        <v>728</v>
      </c>
      <c r="E5594" s="220">
        <f>ENTRY!$D$27</f>
        <v>46102</v>
      </c>
      <c r="F5594" s="220"/>
      <c r="G5594" s="29"/>
      <c r="H5594" s="29"/>
      <c r="I5594" s="221" t="s">
        <v>729</v>
      </c>
      <c r="J5594" s="153"/>
      <c r="K5594" s="29"/>
      <c r="L5594" s="29"/>
      <c r="M5594" s="87" t="s">
        <v>730</v>
      </c>
      <c r="N5594" s="87"/>
      <c r="O5594" s="87"/>
      <c r="P5594" s="19"/>
      <c r="Q5594" s="14"/>
      <c r="R5594" s="11"/>
    </row>
    <row r="5595" s="1" customFormat="1" ht="21.95" customHeight="1" spans="1:18">
      <c r="A5595" s="7"/>
      <c r="B5595" s="12"/>
      <c r="C5595" s="33"/>
      <c r="D5595" s="80" t="s">
        <v>731</v>
      </c>
      <c r="E5595" s="88" t="str">
        <f>PROPER(ENTRY!$D$28)</f>
        <v>New Delhi</v>
      </c>
      <c r="F5595" s="88"/>
      <c r="G5595" s="29"/>
      <c r="H5595" s="29"/>
      <c r="I5595" s="153"/>
      <c r="J5595" s="153"/>
      <c r="K5595" s="29"/>
      <c r="L5595" s="29"/>
      <c r="M5595" s="79" t="s">
        <v>732</v>
      </c>
      <c r="N5595" s="79"/>
      <c r="O5595" s="79"/>
      <c r="P5595" s="19"/>
      <c r="Q5595" s="14"/>
      <c r="R5595" s="11"/>
    </row>
    <row r="5596" s="1" customFormat="1" ht="21.95" customHeight="1" spans="1:18">
      <c r="A5596" s="7"/>
      <c r="B5596" s="12"/>
      <c r="C5596" s="90"/>
      <c r="D5596" s="91"/>
      <c r="E5596" s="91"/>
      <c r="F5596" s="91"/>
      <c r="G5596" s="91"/>
      <c r="H5596" s="91"/>
      <c r="I5596" s="91"/>
      <c r="J5596" s="91"/>
      <c r="K5596" s="91"/>
      <c r="L5596" s="91"/>
      <c r="M5596" s="91"/>
      <c r="N5596" s="91"/>
      <c r="O5596" s="91"/>
      <c r="P5596" s="92"/>
      <c r="Q5596" s="14"/>
      <c r="R5596" s="11"/>
    </row>
    <row r="5597" s="1" customFormat="1" ht="5.1" customHeight="1" spans="1:18">
      <c r="A5597" s="7"/>
      <c r="B5597" s="90"/>
      <c r="C5597" s="91"/>
      <c r="D5597" s="91"/>
      <c r="E5597" s="91"/>
      <c r="F5597" s="91"/>
      <c r="G5597" s="91"/>
      <c r="H5597" s="91"/>
      <c r="I5597" s="91"/>
      <c r="J5597" s="91"/>
      <c r="K5597" s="91"/>
      <c r="L5597" s="91"/>
      <c r="M5597" s="91"/>
      <c r="N5597" s="91"/>
      <c r="O5597" s="91"/>
      <c r="P5597" s="91"/>
      <c r="Q5597" s="92"/>
      <c r="R5597" s="11"/>
    </row>
    <row r="5598" s="1" customFormat="1" ht="5.1" customHeight="1" spans="1:18">
      <c r="A5598" s="93"/>
      <c r="B5598" s="94"/>
      <c r="C5598" s="94"/>
      <c r="D5598" s="94"/>
      <c r="E5598" s="94"/>
      <c r="F5598" s="94"/>
      <c r="G5598" s="94"/>
      <c r="H5598" s="94"/>
      <c r="I5598" s="94"/>
      <c r="J5598" s="94"/>
      <c r="K5598" s="94"/>
      <c r="L5598" s="94"/>
      <c r="M5598" s="94"/>
      <c r="N5598" s="94"/>
      <c r="O5598" s="94"/>
      <c r="P5598" s="94"/>
      <c r="Q5598" s="94"/>
      <c r="R5598" s="95"/>
    </row>
    <row r="5599" s="1" customFormat="1" ht="21.95" customHeight="1"/>
  </sheetData>
  <sheetProtection password="BF6F" sheet="1" formatCells="0" formatColumns="0" formatRows="0" objects="1" scenarios="1"/>
  <mergeCells count="6800">
    <mergeCell ref="C3:P3"/>
    <mergeCell ref="C5:P5"/>
    <mergeCell ref="C7:E7"/>
    <mergeCell ref="F7:P7"/>
    <mergeCell ref="C8:E8"/>
    <mergeCell ref="F8:G8"/>
    <mergeCell ref="H8:I8"/>
    <mergeCell ref="L8:P8"/>
    <mergeCell ref="C9:E9"/>
    <mergeCell ref="F9:K9"/>
    <mergeCell ref="L9:M9"/>
    <mergeCell ref="N9:P9"/>
    <mergeCell ref="C10:E10"/>
    <mergeCell ref="F10:G10"/>
    <mergeCell ref="I10:J10"/>
    <mergeCell ref="K10:L10"/>
    <mergeCell ref="M10:P10"/>
    <mergeCell ref="C11:E11"/>
    <mergeCell ref="F11:I11"/>
    <mergeCell ref="J11:K11"/>
    <mergeCell ref="L11:P11"/>
    <mergeCell ref="C12:E12"/>
    <mergeCell ref="F12:P12"/>
    <mergeCell ref="F15:G15"/>
    <mergeCell ref="H15:I15"/>
    <mergeCell ref="J15:K15"/>
    <mergeCell ref="L15:M15"/>
    <mergeCell ref="N15:O15"/>
    <mergeCell ref="F16:O16"/>
    <mergeCell ref="D20:F20"/>
    <mergeCell ref="G20:N20"/>
    <mergeCell ref="D21:F21"/>
    <mergeCell ref="D22:F22"/>
    <mergeCell ref="D23:F23"/>
    <mergeCell ref="M23:N23"/>
    <mergeCell ref="D24:F24"/>
    <mergeCell ref="M24:N24"/>
    <mergeCell ref="D25:F25"/>
    <mergeCell ref="M25:N25"/>
    <mergeCell ref="D26:F26"/>
    <mergeCell ref="M26:N26"/>
    <mergeCell ref="D27:F27"/>
    <mergeCell ref="M27:N27"/>
    <mergeCell ref="D28:F28"/>
    <mergeCell ref="M28:N28"/>
    <mergeCell ref="D29:F29"/>
    <mergeCell ref="M29:N29"/>
    <mergeCell ref="D30:F30"/>
    <mergeCell ref="M30:N30"/>
    <mergeCell ref="D31:M31"/>
    <mergeCell ref="E32:M32"/>
    <mergeCell ref="D38:G38"/>
    <mergeCell ref="H38:I38"/>
    <mergeCell ref="D39:G39"/>
    <mergeCell ref="H39:I39"/>
    <mergeCell ref="L39:M39"/>
    <mergeCell ref="N39:O39"/>
    <mergeCell ref="D40:G40"/>
    <mergeCell ref="H40:I40"/>
    <mergeCell ref="L40:M40"/>
    <mergeCell ref="N40:O40"/>
    <mergeCell ref="E50:F50"/>
    <mergeCell ref="M50:O50"/>
    <mergeCell ref="E51:F51"/>
    <mergeCell ref="M51:O51"/>
    <mergeCell ref="C59:P59"/>
    <mergeCell ref="C61:P61"/>
    <mergeCell ref="C63:E63"/>
    <mergeCell ref="F63:P63"/>
    <mergeCell ref="C64:E64"/>
    <mergeCell ref="F64:G64"/>
    <mergeCell ref="H64:I64"/>
    <mergeCell ref="L64:P64"/>
    <mergeCell ref="C65:E65"/>
    <mergeCell ref="F65:K65"/>
    <mergeCell ref="L65:M65"/>
    <mergeCell ref="N65:P65"/>
    <mergeCell ref="C66:E66"/>
    <mergeCell ref="F66:G66"/>
    <mergeCell ref="I66:J66"/>
    <mergeCell ref="K66:L66"/>
    <mergeCell ref="M66:P66"/>
    <mergeCell ref="C67:E67"/>
    <mergeCell ref="F67:I67"/>
    <mergeCell ref="J67:K67"/>
    <mergeCell ref="L67:P67"/>
    <mergeCell ref="C68:E68"/>
    <mergeCell ref="F68:P68"/>
    <mergeCell ref="F71:G71"/>
    <mergeCell ref="H71:I71"/>
    <mergeCell ref="J71:K71"/>
    <mergeCell ref="L71:M71"/>
    <mergeCell ref="N71:O71"/>
    <mergeCell ref="F72:O72"/>
    <mergeCell ref="D76:F76"/>
    <mergeCell ref="G76:N76"/>
    <mergeCell ref="D77:F77"/>
    <mergeCell ref="D78:F78"/>
    <mergeCell ref="D79:F79"/>
    <mergeCell ref="M79:N79"/>
    <mergeCell ref="D80:F80"/>
    <mergeCell ref="M80:N80"/>
    <mergeCell ref="D81:F81"/>
    <mergeCell ref="M81:N81"/>
    <mergeCell ref="D82:F82"/>
    <mergeCell ref="M82:N82"/>
    <mergeCell ref="D83:F83"/>
    <mergeCell ref="M83:N83"/>
    <mergeCell ref="D84:F84"/>
    <mergeCell ref="M84:N84"/>
    <mergeCell ref="D85:F85"/>
    <mergeCell ref="M85:N85"/>
    <mergeCell ref="D86:F86"/>
    <mergeCell ref="M86:N86"/>
    <mergeCell ref="D87:M87"/>
    <mergeCell ref="E88:M88"/>
    <mergeCell ref="D94:G94"/>
    <mergeCell ref="H94:I94"/>
    <mergeCell ref="D95:G95"/>
    <mergeCell ref="H95:I95"/>
    <mergeCell ref="L95:M95"/>
    <mergeCell ref="N95:O95"/>
    <mergeCell ref="D96:G96"/>
    <mergeCell ref="H96:I96"/>
    <mergeCell ref="L96:M96"/>
    <mergeCell ref="N96:O96"/>
    <mergeCell ref="E106:F106"/>
    <mergeCell ref="M106:O106"/>
    <mergeCell ref="E107:F107"/>
    <mergeCell ref="M107:O107"/>
    <mergeCell ref="C115:P115"/>
    <mergeCell ref="C117:P117"/>
    <mergeCell ref="C119:E119"/>
    <mergeCell ref="F119:P119"/>
    <mergeCell ref="C120:E120"/>
    <mergeCell ref="F120:G120"/>
    <mergeCell ref="H120:I120"/>
    <mergeCell ref="L120:P120"/>
    <mergeCell ref="C121:E121"/>
    <mergeCell ref="F121:K121"/>
    <mergeCell ref="L121:M121"/>
    <mergeCell ref="N121:P121"/>
    <mergeCell ref="C122:E122"/>
    <mergeCell ref="F122:G122"/>
    <mergeCell ref="I122:J122"/>
    <mergeCell ref="K122:L122"/>
    <mergeCell ref="M122:P122"/>
    <mergeCell ref="C123:E123"/>
    <mergeCell ref="F123:I123"/>
    <mergeCell ref="J123:K123"/>
    <mergeCell ref="L123:P123"/>
    <mergeCell ref="C124:E124"/>
    <mergeCell ref="F124:P124"/>
    <mergeCell ref="F127:G127"/>
    <mergeCell ref="H127:I127"/>
    <mergeCell ref="J127:K127"/>
    <mergeCell ref="L127:M127"/>
    <mergeCell ref="N127:O127"/>
    <mergeCell ref="F128:O128"/>
    <mergeCell ref="D132:F132"/>
    <mergeCell ref="G132:N132"/>
    <mergeCell ref="D133:F133"/>
    <mergeCell ref="D134:F134"/>
    <mergeCell ref="D135:F135"/>
    <mergeCell ref="M135:N135"/>
    <mergeCell ref="D136:F136"/>
    <mergeCell ref="M136:N136"/>
    <mergeCell ref="D137:F137"/>
    <mergeCell ref="M137:N137"/>
    <mergeCell ref="D138:F138"/>
    <mergeCell ref="M138:N138"/>
    <mergeCell ref="D139:F139"/>
    <mergeCell ref="M139:N139"/>
    <mergeCell ref="D140:F140"/>
    <mergeCell ref="M140:N140"/>
    <mergeCell ref="D141:F141"/>
    <mergeCell ref="M141:N141"/>
    <mergeCell ref="D142:F142"/>
    <mergeCell ref="M142:N142"/>
    <mergeCell ref="D143:M143"/>
    <mergeCell ref="E144:M144"/>
    <mergeCell ref="D150:G150"/>
    <mergeCell ref="H150:I150"/>
    <mergeCell ref="D151:G151"/>
    <mergeCell ref="H151:I151"/>
    <mergeCell ref="L151:M151"/>
    <mergeCell ref="N151:O151"/>
    <mergeCell ref="D152:G152"/>
    <mergeCell ref="H152:I152"/>
    <mergeCell ref="L152:M152"/>
    <mergeCell ref="N152:O152"/>
    <mergeCell ref="E162:F162"/>
    <mergeCell ref="M162:O162"/>
    <mergeCell ref="E163:F163"/>
    <mergeCell ref="M163:O163"/>
    <mergeCell ref="C171:P171"/>
    <mergeCell ref="C173:P173"/>
    <mergeCell ref="C175:E175"/>
    <mergeCell ref="F175:P175"/>
    <mergeCell ref="C176:E176"/>
    <mergeCell ref="F176:G176"/>
    <mergeCell ref="H176:I176"/>
    <mergeCell ref="L176:P176"/>
    <mergeCell ref="C177:E177"/>
    <mergeCell ref="F177:K177"/>
    <mergeCell ref="L177:M177"/>
    <mergeCell ref="N177:P177"/>
    <mergeCell ref="C178:E178"/>
    <mergeCell ref="F178:G178"/>
    <mergeCell ref="I178:J178"/>
    <mergeCell ref="K178:L178"/>
    <mergeCell ref="M178:P178"/>
    <mergeCell ref="C179:E179"/>
    <mergeCell ref="F179:I179"/>
    <mergeCell ref="J179:K179"/>
    <mergeCell ref="L179:P179"/>
    <mergeCell ref="C180:E180"/>
    <mergeCell ref="F180:P180"/>
    <mergeCell ref="F183:G183"/>
    <mergeCell ref="H183:I183"/>
    <mergeCell ref="J183:K183"/>
    <mergeCell ref="L183:M183"/>
    <mergeCell ref="N183:O183"/>
    <mergeCell ref="F184:O184"/>
    <mergeCell ref="D188:F188"/>
    <mergeCell ref="G188:N188"/>
    <mergeCell ref="D189:F189"/>
    <mergeCell ref="D190:F190"/>
    <mergeCell ref="D191:F191"/>
    <mergeCell ref="M191:N191"/>
    <mergeCell ref="D192:F192"/>
    <mergeCell ref="M192:N192"/>
    <mergeCell ref="D193:F193"/>
    <mergeCell ref="M193:N193"/>
    <mergeCell ref="D194:F194"/>
    <mergeCell ref="M194:N194"/>
    <mergeCell ref="D195:F195"/>
    <mergeCell ref="M195:N195"/>
    <mergeCell ref="D196:F196"/>
    <mergeCell ref="M196:N196"/>
    <mergeCell ref="D197:F197"/>
    <mergeCell ref="M197:N197"/>
    <mergeCell ref="D198:F198"/>
    <mergeCell ref="M198:N198"/>
    <mergeCell ref="D199:M199"/>
    <mergeCell ref="E200:M200"/>
    <mergeCell ref="D206:G206"/>
    <mergeCell ref="H206:I206"/>
    <mergeCell ref="D207:G207"/>
    <mergeCell ref="H207:I207"/>
    <mergeCell ref="L207:M207"/>
    <mergeCell ref="N207:O207"/>
    <mergeCell ref="D208:G208"/>
    <mergeCell ref="H208:I208"/>
    <mergeCell ref="L208:M208"/>
    <mergeCell ref="N208:O208"/>
    <mergeCell ref="E218:F218"/>
    <mergeCell ref="M218:O218"/>
    <mergeCell ref="E219:F219"/>
    <mergeCell ref="M219:O219"/>
    <mergeCell ref="C227:P227"/>
    <mergeCell ref="C229:P229"/>
    <mergeCell ref="C231:E231"/>
    <mergeCell ref="F231:P231"/>
    <mergeCell ref="C232:E232"/>
    <mergeCell ref="F232:G232"/>
    <mergeCell ref="H232:I232"/>
    <mergeCell ref="L232:P232"/>
    <mergeCell ref="C233:E233"/>
    <mergeCell ref="F233:K233"/>
    <mergeCell ref="L233:M233"/>
    <mergeCell ref="N233:P233"/>
    <mergeCell ref="C234:E234"/>
    <mergeCell ref="F234:G234"/>
    <mergeCell ref="I234:J234"/>
    <mergeCell ref="K234:L234"/>
    <mergeCell ref="M234:P234"/>
    <mergeCell ref="C235:E235"/>
    <mergeCell ref="F235:I235"/>
    <mergeCell ref="J235:K235"/>
    <mergeCell ref="L235:P235"/>
    <mergeCell ref="C236:E236"/>
    <mergeCell ref="F236:P236"/>
    <mergeCell ref="F239:G239"/>
    <mergeCell ref="H239:I239"/>
    <mergeCell ref="J239:K239"/>
    <mergeCell ref="L239:M239"/>
    <mergeCell ref="N239:O239"/>
    <mergeCell ref="F240:O240"/>
    <mergeCell ref="D244:F244"/>
    <mergeCell ref="G244:N244"/>
    <mergeCell ref="D245:F245"/>
    <mergeCell ref="D246:F246"/>
    <mergeCell ref="D247:F247"/>
    <mergeCell ref="M247:N247"/>
    <mergeCell ref="D248:F248"/>
    <mergeCell ref="M248:N248"/>
    <mergeCell ref="D249:F249"/>
    <mergeCell ref="M249:N249"/>
    <mergeCell ref="D250:F250"/>
    <mergeCell ref="M250:N250"/>
    <mergeCell ref="D251:F251"/>
    <mergeCell ref="M251:N251"/>
    <mergeCell ref="D252:F252"/>
    <mergeCell ref="M252:N252"/>
    <mergeCell ref="D253:F253"/>
    <mergeCell ref="M253:N253"/>
    <mergeCell ref="D254:F254"/>
    <mergeCell ref="M254:N254"/>
    <mergeCell ref="D255:M255"/>
    <mergeCell ref="E256:M256"/>
    <mergeCell ref="D262:G262"/>
    <mergeCell ref="H262:I262"/>
    <mergeCell ref="D263:G263"/>
    <mergeCell ref="H263:I263"/>
    <mergeCell ref="L263:M263"/>
    <mergeCell ref="N263:O263"/>
    <mergeCell ref="D264:G264"/>
    <mergeCell ref="H264:I264"/>
    <mergeCell ref="L264:M264"/>
    <mergeCell ref="N264:O264"/>
    <mergeCell ref="E274:F274"/>
    <mergeCell ref="M274:O274"/>
    <mergeCell ref="E275:F275"/>
    <mergeCell ref="M275:O275"/>
    <mergeCell ref="C283:P283"/>
    <mergeCell ref="C285:P285"/>
    <mergeCell ref="C287:E287"/>
    <mergeCell ref="F287:P287"/>
    <mergeCell ref="C288:E288"/>
    <mergeCell ref="F288:G288"/>
    <mergeCell ref="H288:I288"/>
    <mergeCell ref="L288:P288"/>
    <mergeCell ref="C289:E289"/>
    <mergeCell ref="F289:K289"/>
    <mergeCell ref="L289:M289"/>
    <mergeCell ref="N289:P289"/>
    <mergeCell ref="C290:E290"/>
    <mergeCell ref="F290:G290"/>
    <mergeCell ref="I290:J290"/>
    <mergeCell ref="K290:L290"/>
    <mergeCell ref="M290:P290"/>
    <mergeCell ref="C291:E291"/>
    <mergeCell ref="F291:I291"/>
    <mergeCell ref="J291:K291"/>
    <mergeCell ref="L291:P291"/>
    <mergeCell ref="C292:E292"/>
    <mergeCell ref="F292:P292"/>
    <mergeCell ref="F295:G295"/>
    <mergeCell ref="H295:I295"/>
    <mergeCell ref="J295:K295"/>
    <mergeCell ref="L295:M295"/>
    <mergeCell ref="N295:O295"/>
    <mergeCell ref="F296:O296"/>
    <mergeCell ref="D300:F300"/>
    <mergeCell ref="G300:N300"/>
    <mergeCell ref="D301:F301"/>
    <mergeCell ref="D302:F302"/>
    <mergeCell ref="D303:F303"/>
    <mergeCell ref="M303:N303"/>
    <mergeCell ref="D304:F304"/>
    <mergeCell ref="M304:N304"/>
    <mergeCell ref="D305:F305"/>
    <mergeCell ref="M305:N305"/>
    <mergeCell ref="D306:F306"/>
    <mergeCell ref="M306:N306"/>
    <mergeCell ref="D307:F307"/>
    <mergeCell ref="M307:N307"/>
    <mergeCell ref="D308:F308"/>
    <mergeCell ref="M308:N308"/>
    <mergeCell ref="D309:F309"/>
    <mergeCell ref="M309:N309"/>
    <mergeCell ref="D310:F310"/>
    <mergeCell ref="M310:N310"/>
    <mergeCell ref="D311:M311"/>
    <mergeCell ref="E312:M312"/>
    <mergeCell ref="D318:G318"/>
    <mergeCell ref="H318:I318"/>
    <mergeCell ref="D319:G319"/>
    <mergeCell ref="H319:I319"/>
    <mergeCell ref="L319:M319"/>
    <mergeCell ref="N319:O319"/>
    <mergeCell ref="D320:G320"/>
    <mergeCell ref="H320:I320"/>
    <mergeCell ref="L320:M320"/>
    <mergeCell ref="N320:O320"/>
    <mergeCell ref="E330:F330"/>
    <mergeCell ref="M330:O330"/>
    <mergeCell ref="E331:F331"/>
    <mergeCell ref="M331:O331"/>
    <mergeCell ref="C339:P339"/>
    <mergeCell ref="C341:P341"/>
    <mergeCell ref="C343:E343"/>
    <mergeCell ref="F343:P343"/>
    <mergeCell ref="C344:E344"/>
    <mergeCell ref="F344:G344"/>
    <mergeCell ref="H344:I344"/>
    <mergeCell ref="L344:P344"/>
    <mergeCell ref="C345:E345"/>
    <mergeCell ref="F345:K345"/>
    <mergeCell ref="L345:M345"/>
    <mergeCell ref="N345:P345"/>
    <mergeCell ref="C346:E346"/>
    <mergeCell ref="F346:G346"/>
    <mergeCell ref="I346:J346"/>
    <mergeCell ref="K346:L346"/>
    <mergeCell ref="M346:P346"/>
    <mergeCell ref="C347:E347"/>
    <mergeCell ref="F347:I347"/>
    <mergeCell ref="J347:K347"/>
    <mergeCell ref="L347:P347"/>
    <mergeCell ref="C348:E348"/>
    <mergeCell ref="F348:P348"/>
    <mergeCell ref="F351:G351"/>
    <mergeCell ref="H351:I351"/>
    <mergeCell ref="J351:K351"/>
    <mergeCell ref="L351:M351"/>
    <mergeCell ref="N351:O351"/>
    <mergeCell ref="F352:O352"/>
    <mergeCell ref="D356:F356"/>
    <mergeCell ref="G356:N356"/>
    <mergeCell ref="D357:F357"/>
    <mergeCell ref="D358:F358"/>
    <mergeCell ref="D359:F359"/>
    <mergeCell ref="M359:N359"/>
    <mergeCell ref="D360:F360"/>
    <mergeCell ref="M360:N360"/>
    <mergeCell ref="D361:F361"/>
    <mergeCell ref="M361:N361"/>
    <mergeCell ref="D362:F362"/>
    <mergeCell ref="M362:N362"/>
    <mergeCell ref="D363:F363"/>
    <mergeCell ref="M363:N363"/>
    <mergeCell ref="D364:F364"/>
    <mergeCell ref="M364:N364"/>
    <mergeCell ref="D365:F365"/>
    <mergeCell ref="M365:N365"/>
    <mergeCell ref="D366:F366"/>
    <mergeCell ref="M366:N366"/>
    <mergeCell ref="D367:M367"/>
    <mergeCell ref="E368:M368"/>
    <mergeCell ref="D374:G374"/>
    <mergeCell ref="H374:I374"/>
    <mergeCell ref="D375:G375"/>
    <mergeCell ref="H375:I375"/>
    <mergeCell ref="L375:M375"/>
    <mergeCell ref="N375:O375"/>
    <mergeCell ref="D376:G376"/>
    <mergeCell ref="H376:I376"/>
    <mergeCell ref="L376:M376"/>
    <mergeCell ref="N376:O376"/>
    <mergeCell ref="E386:F386"/>
    <mergeCell ref="M386:O386"/>
    <mergeCell ref="E387:F387"/>
    <mergeCell ref="M387:O387"/>
    <mergeCell ref="C395:P395"/>
    <mergeCell ref="C397:P397"/>
    <mergeCell ref="C399:E399"/>
    <mergeCell ref="F399:P399"/>
    <mergeCell ref="C400:E400"/>
    <mergeCell ref="F400:G400"/>
    <mergeCell ref="H400:I400"/>
    <mergeCell ref="L400:P400"/>
    <mergeCell ref="C401:E401"/>
    <mergeCell ref="F401:K401"/>
    <mergeCell ref="L401:M401"/>
    <mergeCell ref="N401:P401"/>
    <mergeCell ref="C402:E402"/>
    <mergeCell ref="F402:G402"/>
    <mergeCell ref="I402:J402"/>
    <mergeCell ref="K402:L402"/>
    <mergeCell ref="M402:P402"/>
    <mergeCell ref="C403:E403"/>
    <mergeCell ref="F403:I403"/>
    <mergeCell ref="J403:K403"/>
    <mergeCell ref="L403:P403"/>
    <mergeCell ref="C404:E404"/>
    <mergeCell ref="F404:P404"/>
    <mergeCell ref="F407:G407"/>
    <mergeCell ref="H407:I407"/>
    <mergeCell ref="J407:K407"/>
    <mergeCell ref="L407:M407"/>
    <mergeCell ref="N407:O407"/>
    <mergeCell ref="F408:O408"/>
    <mergeCell ref="D412:F412"/>
    <mergeCell ref="G412:N412"/>
    <mergeCell ref="D413:F413"/>
    <mergeCell ref="D414:F414"/>
    <mergeCell ref="D415:F415"/>
    <mergeCell ref="M415:N415"/>
    <mergeCell ref="D416:F416"/>
    <mergeCell ref="M416:N416"/>
    <mergeCell ref="D417:F417"/>
    <mergeCell ref="M417:N417"/>
    <mergeCell ref="D418:F418"/>
    <mergeCell ref="M418:N418"/>
    <mergeCell ref="D419:F419"/>
    <mergeCell ref="M419:N419"/>
    <mergeCell ref="D420:F420"/>
    <mergeCell ref="M420:N420"/>
    <mergeCell ref="D421:F421"/>
    <mergeCell ref="M421:N421"/>
    <mergeCell ref="D422:F422"/>
    <mergeCell ref="M422:N422"/>
    <mergeCell ref="D423:M423"/>
    <mergeCell ref="E424:M424"/>
    <mergeCell ref="D430:G430"/>
    <mergeCell ref="H430:I430"/>
    <mergeCell ref="D431:G431"/>
    <mergeCell ref="H431:I431"/>
    <mergeCell ref="L431:M431"/>
    <mergeCell ref="N431:O431"/>
    <mergeCell ref="D432:G432"/>
    <mergeCell ref="H432:I432"/>
    <mergeCell ref="L432:M432"/>
    <mergeCell ref="N432:O432"/>
    <mergeCell ref="E442:F442"/>
    <mergeCell ref="M442:O442"/>
    <mergeCell ref="E443:F443"/>
    <mergeCell ref="M443:O443"/>
    <mergeCell ref="C451:P451"/>
    <mergeCell ref="C453:P453"/>
    <mergeCell ref="C455:E455"/>
    <mergeCell ref="F455:P455"/>
    <mergeCell ref="C456:E456"/>
    <mergeCell ref="F456:G456"/>
    <mergeCell ref="H456:I456"/>
    <mergeCell ref="L456:P456"/>
    <mergeCell ref="C457:E457"/>
    <mergeCell ref="F457:K457"/>
    <mergeCell ref="L457:M457"/>
    <mergeCell ref="N457:P457"/>
    <mergeCell ref="C458:E458"/>
    <mergeCell ref="F458:G458"/>
    <mergeCell ref="I458:J458"/>
    <mergeCell ref="K458:L458"/>
    <mergeCell ref="M458:P458"/>
    <mergeCell ref="C459:E459"/>
    <mergeCell ref="F459:I459"/>
    <mergeCell ref="J459:K459"/>
    <mergeCell ref="L459:P459"/>
    <mergeCell ref="C460:E460"/>
    <mergeCell ref="F460:P460"/>
    <mergeCell ref="F463:G463"/>
    <mergeCell ref="H463:I463"/>
    <mergeCell ref="J463:K463"/>
    <mergeCell ref="L463:M463"/>
    <mergeCell ref="N463:O463"/>
    <mergeCell ref="F464:O464"/>
    <mergeCell ref="D468:F468"/>
    <mergeCell ref="G468:N468"/>
    <mergeCell ref="D469:F469"/>
    <mergeCell ref="D470:F470"/>
    <mergeCell ref="D471:F471"/>
    <mergeCell ref="M471:N471"/>
    <mergeCell ref="D472:F472"/>
    <mergeCell ref="M472:N472"/>
    <mergeCell ref="D473:F473"/>
    <mergeCell ref="M473:N473"/>
    <mergeCell ref="D474:F474"/>
    <mergeCell ref="M474:N474"/>
    <mergeCell ref="D475:F475"/>
    <mergeCell ref="M475:N475"/>
    <mergeCell ref="D476:F476"/>
    <mergeCell ref="M476:N476"/>
    <mergeCell ref="D477:F477"/>
    <mergeCell ref="M477:N477"/>
    <mergeCell ref="D478:F478"/>
    <mergeCell ref="M478:N478"/>
    <mergeCell ref="D479:M479"/>
    <mergeCell ref="E480:M480"/>
    <mergeCell ref="D486:G486"/>
    <mergeCell ref="H486:I486"/>
    <mergeCell ref="D487:G487"/>
    <mergeCell ref="H487:I487"/>
    <mergeCell ref="L487:M487"/>
    <mergeCell ref="N487:O487"/>
    <mergeCell ref="D488:G488"/>
    <mergeCell ref="H488:I488"/>
    <mergeCell ref="L488:M488"/>
    <mergeCell ref="N488:O488"/>
    <mergeCell ref="E498:F498"/>
    <mergeCell ref="M498:O498"/>
    <mergeCell ref="E499:F499"/>
    <mergeCell ref="M499:O499"/>
    <mergeCell ref="C507:P507"/>
    <mergeCell ref="C509:P509"/>
    <mergeCell ref="C511:E511"/>
    <mergeCell ref="F511:P511"/>
    <mergeCell ref="C512:E512"/>
    <mergeCell ref="F512:G512"/>
    <mergeCell ref="H512:I512"/>
    <mergeCell ref="L512:P512"/>
    <mergeCell ref="C513:E513"/>
    <mergeCell ref="F513:K513"/>
    <mergeCell ref="L513:M513"/>
    <mergeCell ref="N513:P513"/>
    <mergeCell ref="C514:E514"/>
    <mergeCell ref="F514:G514"/>
    <mergeCell ref="I514:J514"/>
    <mergeCell ref="K514:L514"/>
    <mergeCell ref="M514:P514"/>
    <mergeCell ref="C515:E515"/>
    <mergeCell ref="F515:I515"/>
    <mergeCell ref="J515:K515"/>
    <mergeCell ref="L515:P515"/>
    <mergeCell ref="C516:E516"/>
    <mergeCell ref="F516:P516"/>
    <mergeCell ref="F519:G519"/>
    <mergeCell ref="H519:I519"/>
    <mergeCell ref="J519:K519"/>
    <mergeCell ref="L519:M519"/>
    <mergeCell ref="N519:O519"/>
    <mergeCell ref="F520:O520"/>
    <mergeCell ref="D524:F524"/>
    <mergeCell ref="G524:N524"/>
    <mergeCell ref="D525:F525"/>
    <mergeCell ref="D526:F526"/>
    <mergeCell ref="D527:F527"/>
    <mergeCell ref="M527:N527"/>
    <mergeCell ref="D528:F528"/>
    <mergeCell ref="M528:N528"/>
    <mergeCell ref="D529:F529"/>
    <mergeCell ref="M529:N529"/>
    <mergeCell ref="D530:F530"/>
    <mergeCell ref="M530:N530"/>
    <mergeCell ref="D531:F531"/>
    <mergeCell ref="M531:N531"/>
    <mergeCell ref="D532:F532"/>
    <mergeCell ref="M532:N532"/>
    <mergeCell ref="D533:F533"/>
    <mergeCell ref="M533:N533"/>
    <mergeCell ref="D534:F534"/>
    <mergeCell ref="M534:N534"/>
    <mergeCell ref="D535:M535"/>
    <mergeCell ref="E536:M536"/>
    <mergeCell ref="D542:G542"/>
    <mergeCell ref="H542:I542"/>
    <mergeCell ref="D543:G543"/>
    <mergeCell ref="H543:I543"/>
    <mergeCell ref="L543:M543"/>
    <mergeCell ref="N543:O543"/>
    <mergeCell ref="D544:G544"/>
    <mergeCell ref="H544:I544"/>
    <mergeCell ref="L544:M544"/>
    <mergeCell ref="N544:O544"/>
    <mergeCell ref="E554:F554"/>
    <mergeCell ref="M554:O554"/>
    <mergeCell ref="E555:F555"/>
    <mergeCell ref="M555:O555"/>
    <mergeCell ref="C563:P563"/>
    <mergeCell ref="C565:P565"/>
    <mergeCell ref="C567:E567"/>
    <mergeCell ref="F567:P567"/>
    <mergeCell ref="C568:E568"/>
    <mergeCell ref="F568:G568"/>
    <mergeCell ref="H568:I568"/>
    <mergeCell ref="L568:P568"/>
    <mergeCell ref="C569:E569"/>
    <mergeCell ref="F569:K569"/>
    <mergeCell ref="L569:M569"/>
    <mergeCell ref="N569:P569"/>
    <mergeCell ref="C570:E570"/>
    <mergeCell ref="F570:G570"/>
    <mergeCell ref="I570:J570"/>
    <mergeCell ref="K570:L570"/>
    <mergeCell ref="M570:P570"/>
    <mergeCell ref="C571:E571"/>
    <mergeCell ref="F571:I571"/>
    <mergeCell ref="J571:K571"/>
    <mergeCell ref="L571:P571"/>
    <mergeCell ref="C572:E572"/>
    <mergeCell ref="F572:P572"/>
    <mergeCell ref="F575:G575"/>
    <mergeCell ref="H575:I575"/>
    <mergeCell ref="J575:K575"/>
    <mergeCell ref="L575:M575"/>
    <mergeCell ref="N575:O575"/>
    <mergeCell ref="F576:O576"/>
    <mergeCell ref="D580:F580"/>
    <mergeCell ref="G580:N580"/>
    <mergeCell ref="D581:F581"/>
    <mergeCell ref="D582:F582"/>
    <mergeCell ref="D583:F583"/>
    <mergeCell ref="M583:N583"/>
    <mergeCell ref="D584:F584"/>
    <mergeCell ref="M584:N584"/>
    <mergeCell ref="D585:F585"/>
    <mergeCell ref="M585:N585"/>
    <mergeCell ref="D586:F586"/>
    <mergeCell ref="M586:N586"/>
    <mergeCell ref="D587:F587"/>
    <mergeCell ref="M587:N587"/>
    <mergeCell ref="D588:F588"/>
    <mergeCell ref="M588:N588"/>
    <mergeCell ref="D589:F589"/>
    <mergeCell ref="M589:N589"/>
    <mergeCell ref="D590:F590"/>
    <mergeCell ref="M590:N590"/>
    <mergeCell ref="D591:M591"/>
    <mergeCell ref="E592:M592"/>
    <mergeCell ref="D598:G598"/>
    <mergeCell ref="H598:I598"/>
    <mergeCell ref="D599:G599"/>
    <mergeCell ref="H599:I599"/>
    <mergeCell ref="L599:M599"/>
    <mergeCell ref="N599:O599"/>
    <mergeCell ref="D600:G600"/>
    <mergeCell ref="H600:I600"/>
    <mergeCell ref="L600:M600"/>
    <mergeCell ref="N600:O600"/>
    <mergeCell ref="E610:F610"/>
    <mergeCell ref="M610:O610"/>
    <mergeCell ref="E611:F611"/>
    <mergeCell ref="M611:O611"/>
    <mergeCell ref="C619:P619"/>
    <mergeCell ref="C621:P621"/>
    <mergeCell ref="C623:E623"/>
    <mergeCell ref="F623:P623"/>
    <mergeCell ref="C624:E624"/>
    <mergeCell ref="F624:G624"/>
    <mergeCell ref="H624:I624"/>
    <mergeCell ref="L624:P624"/>
    <mergeCell ref="C625:E625"/>
    <mergeCell ref="F625:K625"/>
    <mergeCell ref="L625:M625"/>
    <mergeCell ref="N625:P625"/>
    <mergeCell ref="C626:E626"/>
    <mergeCell ref="F626:G626"/>
    <mergeCell ref="I626:J626"/>
    <mergeCell ref="K626:L626"/>
    <mergeCell ref="M626:P626"/>
    <mergeCell ref="C627:E627"/>
    <mergeCell ref="F627:I627"/>
    <mergeCell ref="J627:K627"/>
    <mergeCell ref="L627:P627"/>
    <mergeCell ref="C628:E628"/>
    <mergeCell ref="F628:P628"/>
    <mergeCell ref="F631:G631"/>
    <mergeCell ref="H631:I631"/>
    <mergeCell ref="J631:K631"/>
    <mergeCell ref="L631:M631"/>
    <mergeCell ref="N631:O631"/>
    <mergeCell ref="F632:O632"/>
    <mergeCell ref="D636:F636"/>
    <mergeCell ref="G636:N636"/>
    <mergeCell ref="D637:F637"/>
    <mergeCell ref="D638:F638"/>
    <mergeCell ref="D639:F639"/>
    <mergeCell ref="M639:N639"/>
    <mergeCell ref="D640:F640"/>
    <mergeCell ref="M640:N640"/>
    <mergeCell ref="D641:F641"/>
    <mergeCell ref="M641:N641"/>
    <mergeCell ref="D642:F642"/>
    <mergeCell ref="M642:N642"/>
    <mergeCell ref="D643:F643"/>
    <mergeCell ref="M643:N643"/>
    <mergeCell ref="D644:F644"/>
    <mergeCell ref="M644:N644"/>
    <mergeCell ref="D645:F645"/>
    <mergeCell ref="M645:N645"/>
    <mergeCell ref="D646:F646"/>
    <mergeCell ref="M646:N646"/>
    <mergeCell ref="D647:M647"/>
    <mergeCell ref="E648:M648"/>
    <mergeCell ref="D654:G654"/>
    <mergeCell ref="H654:I654"/>
    <mergeCell ref="D655:G655"/>
    <mergeCell ref="H655:I655"/>
    <mergeCell ref="L655:M655"/>
    <mergeCell ref="N655:O655"/>
    <mergeCell ref="D656:G656"/>
    <mergeCell ref="H656:I656"/>
    <mergeCell ref="L656:M656"/>
    <mergeCell ref="N656:O656"/>
    <mergeCell ref="E666:F666"/>
    <mergeCell ref="M666:O666"/>
    <mergeCell ref="E667:F667"/>
    <mergeCell ref="M667:O667"/>
    <mergeCell ref="C675:P675"/>
    <mergeCell ref="C677:P677"/>
    <mergeCell ref="C679:E679"/>
    <mergeCell ref="F679:P679"/>
    <mergeCell ref="C680:E680"/>
    <mergeCell ref="F680:G680"/>
    <mergeCell ref="H680:I680"/>
    <mergeCell ref="L680:P680"/>
    <mergeCell ref="C681:E681"/>
    <mergeCell ref="F681:K681"/>
    <mergeCell ref="L681:M681"/>
    <mergeCell ref="N681:P681"/>
    <mergeCell ref="C682:E682"/>
    <mergeCell ref="F682:G682"/>
    <mergeCell ref="I682:J682"/>
    <mergeCell ref="K682:L682"/>
    <mergeCell ref="M682:P682"/>
    <mergeCell ref="C683:E683"/>
    <mergeCell ref="F683:I683"/>
    <mergeCell ref="J683:K683"/>
    <mergeCell ref="L683:P683"/>
    <mergeCell ref="C684:E684"/>
    <mergeCell ref="F684:P684"/>
    <mergeCell ref="F687:G687"/>
    <mergeCell ref="H687:I687"/>
    <mergeCell ref="J687:K687"/>
    <mergeCell ref="L687:M687"/>
    <mergeCell ref="N687:O687"/>
    <mergeCell ref="F688:O688"/>
    <mergeCell ref="D692:F692"/>
    <mergeCell ref="G692:N692"/>
    <mergeCell ref="D693:F693"/>
    <mergeCell ref="D694:F694"/>
    <mergeCell ref="D695:F695"/>
    <mergeCell ref="M695:N695"/>
    <mergeCell ref="D696:F696"/>
    <mergeCell ref="M696:N696"/>
    <mergeCell ref="D697:F697"/>
    <mergeCell ref="M697:N697"/>
    <mergeCell ref="D698:F698"/>
    <mergeCell ref="M698:N698"/>
    <mergeCell ref="D699:F699"/>
    <mergeCell ref="M699:N699"/>
    <mergeCell ref="D700:F700"/>
    <mergeCell ref="M700:N700"/>
    <mergeCell ref="D701:F701"/>
    <mergeCell ref="M701:N701"/>
    <mergeCell ref="D702:F702"/>
    <mergeCell ref="M702:N702"/>
    <mergeCell ref="D703:M703"/>
    <mergeCell ref="E704:M704"/>
    <mergeCell ref="D710:G710"/>
    <mergeCell ref="H710:I710"/>
    <mergeCell ref="D711:G711"/>
    <mergeCell ref="H711:I711"/>
    <mergeCell ref="L711:M711"/>
    <mergeCell ref="N711:O711"/>
    <mergeCell ref="D712:G712"/>
    <mergeCell ref="H712:I712"/>
    <mergeCell ref="L712:M712"/>
    <mergeCell ref="N712:O712"/>
    <mergeCell ref="E722:F722"/>
    <mergeCell ref="M722:O722"/>
    <mergeCell ref="E723:F723"/>
    <mergeCell ref="M723:O723"/>
    <mergeCell ref="C731:P731"/>
    <mergeCell ref="C733:P733"/>
    <mergeCell ref="C735:E735"/>
    <mergeCell ref="F735:P735"/>
    <mergeCell ref="C736:E736"/>
    <mergeCell ref="F736:G736"/>
    <mergeCell ref="H736:I736"/>
    <mergeCell ref="L736:P736"/>
    <mergeCell ref="C737:E737"/>
    <mergeCell ref="F737:K737"/>
    <mergeCell ref="L737:M737"/>
    <mergeCell ref="N737:P737"/>
    <mergeCell ref="C738:E738"/>
    <mergeCell ref="F738:G738"/>
    <mergeCell ref="I738:J738"/>
    <mergeCell ref="K738:L738"/>
    <mergeCell ref="M738:P738"/>
    <mergeCell ref="C739:E739"/>
    <mergeCell ref="F739:I739"/>
    <mergeCell ref="J739:K739"/>
    <mergeCell ref="L739:P739"/>
    <mergeCell ref="C740:E740"/>
    <mergeCell ref="F740:P740"/>
    <mergeCell ref="F743:G743"/>
    <mergeCell ref="H743:I743"/>
    <mergeCell ref="J743:K743"/>
    <mergeCell ref="L743:M743"/>
    <mergeCell ref="N743:O743"/>
    <mergeCell ref="F744:O744"/>
    <mergeCell ref="D748:F748"/>
    <mergeCell ref="G748:N748"/>
    <mergeCell ref="D749:F749"/>
    <mergeCell ref="D750:F750"/>
    <mergeCell ref="D751:F751"/>
    <mergeCell ref="M751:N751"/>
    <mergeCell ref="D752:F752"/>
    <mergeCell ref="M752:N752"/>
    <mergeCell ref="D753:F753"/>
    <mergeCell ref="M753:N753"/>
    <mergeCell ref="D754:F754"/>
    <mergeCell ref="M754:N754"/>
    <mergeCell ref="D755:F755"/>
    <mergeCell ref="M755:N755"/>
    <mergeCell ref="D756:F756"/>
    <mergeCell ref="M756:N756"/>
    <mergeCell ref="D757:F757"/>
    <mergeCell ref="M757:N757"/>
    <mergeCell ref="D758:F758"/>
    <mergeCell ref="M758:N758"/>
    <mergeCell ref="D759:M759"/>
    <mergeCell ref="E760:M760"/>
    <mergeCell ref="D766:G766"/>
    <mergeCell ref="H766:I766"/>
    <mergeCell ref="D767:G767"/>
    <mergeCell ref="H767:I767"/>
    <mergeCell ref="L767:M767"/>
    <mergeCell ref="N767:O767"/>
    <mergeCell ref="D768:G768"/>
    <mergeCell ref="H768:I768"/>
    <mergeCell ref="L768:M768"/>
    <mergeCell ref="N768:O768"/>
    <mergeCell ref="E778:F778"/>
    <mergeCell ref="M778:O778"/>
    <mergeCell ref="E779:F779"/>
    <mergeCell ref="M779:O779"/>
    <mergeCell ref="C787:P787"/>
    <mergeCell ref="C789:P789"/>
    <mergeCell ref="C791:E791"/>
    <mergeCell ref="F791:P791"/>
    <mergeCell ref="C792:E792"/>
    <mergeCell ref="F792:G792"/>
    <mergeCell ref="H792:I792"/>
    <mergeCell ref="L792:P792"/>
    <mergeCell ref="C793:E793"/>
    <mergeCell ref="F793:K793"/>
    <mergeCell ref="L793:M793"/>
    <mergeCell ref="N793:P793"/>
    <mergeCell ref="C794:E794"/>
    <mergeCell ref="F794:G794"/>
    <mergeCell ref="I794:J794"/>
    <mergeCell ref="K794:L794"/>
    <mergeCell ref="M794:P794"/>
    <mergeCell ref="C795:E795"/>
    <mergeCell ref="F795:I795"/>
    <mergeCell ref="J795:K795"/>
    <mergeCell ref="L795:P795"/>
    <mergeCell ref="C796:E796"/>
    <mergeCell ref="F796:P796"/>
    <mergeCell ref="F799:G799"/>
    <mergeCell ref="H799:I799"/>
    <mergeCell ref="J799:K799"/>
    <mergeCell ref="L799:M799"/>
    <mergeCell ref="N799:O799"/>
    <mergeCell ref="F800:O800"/>
    <mergeCell ref="D804:F804"/>
    <mergeCell ref="G804:N804"/>
    <mergeCell ref="D805:F805"/>
    <mergeCell ref="D806:F806"/>
    <mergeCell ref="D807:F807"/>
    <mergeCell ref="M807:N807"/>
    <mergeCell ref="D808:F808"/>
    <mergeCell ref="M808:N808"/>
    <mergeCell ref="D809:F809"/>
    <mergeCell ref="M809:N809"/>
    <mergeCell ref="D810:F810"/>
    <mergeCell ref="M810:N810"/>
    <mergeCell ref="D811:F811"/>
    <mergeCell ref="M811:N811"/>
    <mergeCell ref="D812:F812"/>
    <mergeCell ref="M812:N812"/>
    <mergeCell ref="D813:F813"/>
    <mergeCell ref="M813:N813"/>
    <mergeCell ref="D814:F814"/>
    <mergeCell ref="M814:N814"/>
    <mergeCell ref="D815:M815"/>
    <mergeCell ref="E816:M816"/>
    <mergeCell ref="D822:G822"/>
    <mergeCell ref="H822:I822"/>
    <mergeCell ref="D823:G823"/>
    <mergeCell ref="H823:I823"/>
    <mergeCell ref="L823:M823"/>
    <mergeCell ref="N823:O823"/>
    <mergeCell ref="D824:G824"/>
    <mergeCell ref="H824:I824"/>
    <mergeCell ref="L824:M824"/>
    <mergeCell ref="N824:O824"/>
    <mergeCell ref="E834:F834"/>
    <mergeCell ref="M834:O834"/>
    <mergeCell ref="E835:F835"/>
    <mergeCell ref="M835:O835"/>
    <mergeCell ref="C843:P843"/>
    <mergeCell ref="C845:P845"/>
    <mergeCell ref="C847:E847"/>
    <mergeCell ref="F847:P847"/>
    <mergeCell ref="C848:E848"/>
    <mergeCell ref="F848:G848"/>
    <mergeCell ref="H848:I848"/>
    <mergeCell ref="L848:P848"/>
    <mergeCell ref="C849:E849"/>
    <mergeCell ref="F849:K849"/>
    <mergeCell ref="L849:M849"/>
    <mergeCell ref="N849:P849"/>
    <mergeCell ref="C850:E850"/>
    <mergeCell ref="F850:G850"/>
    <mergeCell ref="I850:J850"/>
    <mergeCell ref="K850:L850"/>
    <mergeCell ref="M850:P850"/>
    <mergeCell ref="C851:E851"/>
    <mergeCell ref="F851:I851"/>
    <mergeCell ref="J851:K851"/>
    <mergeCell ref="L851:P851"/>
    <mergeCell ref="C852:E852"/>
    <mergeCell ref="F852:P852"/>
    <mergeCell ref="F855:G855"/>
    <mergeCell ref="H855:I855"/>
    <mergeCell ref="J855:K855"/>
    <mergeCell ref="L855:M855"/>
    <mergeCell ref="N855:O855"/>
    <mergeCell ref="F856:O856"/>
    <mergeCell ref="D860:F860"/>
    <mergeCell ref="G860:N860"/>
    <mergeCell ref="D861:F861"/>
    <mergeCell ref="D862:F862"/>
    <mergeCell ref="D863:F863"/>
    <mergeCell ref="M863:N863"/>
    <mergeCell ref="D864:F864"/>
    <mergeCell ref="M864:N864"/>
    <mergeCell ref="D865:F865"/>
    <mergeCell ref="M865:N865"/>
    <mergeCell ref="D866:F866"/>
    <mergeCell ref="M866:N866"/>
    <mergeCell ref="D867:F867"/>
    <mergeCell ref="M867:N867"/>
    <mergeCell ref="D868:F868"/>
    <mergeCell ref="M868:N868"/>
    <mergeCell ref="D869:F869"/>
    <mergeCell ref="M869:N869"/>
    <mergeCell ref="D870:F870"/>
    <mergeCell ref="M870:N870"/>
    <mergeCell ref="D871:M871"/>
    <mergeCell ref="E872:M872"/>
    <mergeCell ref="D878:G878"/>
    <mergeCell ref="H878:I878"/>
    <mergeCell ref="D879:G879"/>
    <mergeCell ref="H879:I879"/>
    <mergeCell ref="L879:M879"/>
    <mergeCell ref="N879:O879"/>
    <mergeCell ref="D880:G880"/>
    <mergeCell ref="H880:I880"/>
    <mergeCell ref="L880:M880"/>
    <mergeCell ref="N880:O880"/>
    <mergeCell ref="E890:F890"/>
    <mergeCell ref="M890:O890"/>
    <mergeCell ref="E891:F891"/>
    <mergeCell ref="M891:O891"/>
    <mergeCell ref="C899:P899"/>
    <mergeCell ref="C901:P901"/>
    <mergeCell ref="C903:E903"/>
    <mergeCell ref="F903:P903"/>
    <mergeCell ref="C904:E904"/>
    <mergeCell ref="F904:G904"/>
    <mergeCell ref="H904:I904"/>
    <mergeCell ref="L904:P904"/>
    <mergeCell ref="C905:E905"/>
    <mergeCell ref="F905:K905"/>
    <mergeCell ref="L905:M905"/>
    <mergeCell ref="N905:P905"/>
    <mergeCell ref="C906:E906"/>
    <mergeCell ref="F906:G906"/>
    <mergeCell ref="I906:J906"/>
    <mergeCell ref="K906:L906"/>
    <mergeCell ref="M906:P906"/>
    <mergeCell ref="C907:E907"/>
    <mergeCell ref="F907:I907"/>
    <mergeCell ref="J907:K907"/>
    <mergeCell ref="L907:P907"/>
    <mergeCell ref="C908:E908"/>
    <mergeCell ref="F908:P908"/>
    <mergeCell ref="F911:G911"/>
    <mergeCell ref="H911:I911"/>
    <mergeCell ref="J911:K911"/>
    <mergeCell ref="L911:M911"/>
    <mergeCell ref="N911:O911"/>
    <mergeCell ref="F912:O912"/>
    <mergeCell ref="D916:F916"/>
    <mergeCell ref="G916:N916"/>
    <mergeCell ref="D917:F917"/>
    <mergeCell ref="D918:F918"/>
    <mergeCell ref="D919:F919"/>
    <mergeCell ref="M919:N919"/>
    <mergeCell ref="D920:F920"/>
    <mergeCell ref="M920:N920"/>
    <mergeCell ref="D921:F921"/>
    <mergeCell ref="M921:N921"/>
    <mergeCell ref="D922:F922"/>
    <mergeCell ref="M922:N922"/>
    <mergeCell ref="D923:F923"/>
    <mergeCell ref="M923:N923"/>
    <mergeCell ref="D924:F924"/>
    <mergeCell ref="M924:N924"/>
    <mergeCell ref="D925:F925"/>
    <mergeCell ref="M925:N925"/>
    <mergeCell ref="D926:F926"/>
    <mergeCell ref="M926:N926"/>
    <mergeCell ref="D927:M927"/>
    <mergeCell ref="E928:M928"/>
    <mergeCell ref="D934:G934"/>
    <mergeCell ref="H934:I934"/>
    <mergeCell ref="D935:G935"/>
    <mergeCell ref="H935:I935"/>
    <mergeCell ref="L935:M935"/>
    <mergeCell ref="N935:O935"/>
    <mergeCell ref="D936:G936"/>
    <mergeCell ref="H936:I936"/>
    <mergeCell ref="L936:M936"/>
    <mergeCell ref="N936:O936"/>
    <mergeCell ref="E946:F946"/>
    <mergeCell ref="M946:O946"/>
    <mergeCell ref="E947:F947"/>
    <mergeCell ref="M947:O947"/>
    <mergeCell ref="C955:P955"/>
    <mergeCell ref="C957:P957"/>
    <mergeCell ref="C959:E959"/>
    <mergeCell ref="F959:P959"/>
    <mergeCell ref="C960:E960"/>
    <mergeCell ref="F960:G960"/>
    <mergeCell ref="H960:I960"/>
    <mergeCell ref="L960:P960"/>
    <mergeCell ref="C961:E961"/>
    <mergeCell ref="F961:K961"/>
    <mergeCell ref="L961:M961"/>
    <mergeCell ref="N961:P961"/>
    <mergeCell ref="C962:E962"/>
    <mergeCell ref="F962:G962"/>
    <mergeCell ref="I962:J962"/>
    <mergeCell ref="K962:L962"/>
    <mergeCell ref="M962:P962"/>
    <mergeCell ref="C963:E963"/>
    <mergeCell ref="F963:I963"/>
    <mergeCell ref="J963:K963"/>
    <mergeCell ref="L963:P963"/>
    <mergeCell ref="C964:E964"/>
    <mergeCell ref="F964:P964"/>
    <mergeCell ref="F967:G967"/>
    <mergeCell ref="H967:I967"/>
    <mergeCell ref="J967:K967"/>
    <mergeCell ref="L967:M967"/>
    <mergeCell ref="N967:O967"/>
    <mergeCell ref="F968:O968"/>
    <mergeCell ref="D972:F972"/>
    <mergeCell ref="G972:N972"/>
    <mergeCell ref="D973:F973"/>
    <mergeCell ref="D974:F974"/>
    <mergeCell ref="D975:F975"/>
    <mergeCell ref="M975:N975"/>
    <mergeCell ref="D976:F976"/>
    <mergeCell ref="M976:N976"/>
    <mergeCell ref="D977:F977"/>
    <mergeCell ref="M977:N977"/>
    <mergeCell ref="D978:F978"/>
    <mergeCell ref="M978:N978"/>
    <mergeCell ref="D979:F979"/>
    <mergeCell ref="M979:N979"/>
    <mergeCell ref="D980:F980"/>
    <mergeCell ref="M980:N980"/>
    <mergeCell ref="D981:F981"/>
    <mergeCell ref="M981:N981"/>
    <mergeCell ref="D982:F982"/>
    <mergeCell ref="M982:N982"/>
    <mergeCell ref="D983:M983"/>
    <mergeCell ref="E984:M984"/>
    <mergeCell ref="D990:G990"/>
    <mergeCell ref="H990:I990"/>
    <mergeCell ref="D991:G991"/>
    <mergeCell ref="H991:I991"/>
    <mergeCell ref="L991:M991"/>
    <mergeCell ref="N991:O991"/>
    <mergeCell ref="D992:G992"/>
    <mergeCell ref="H992:I992"/>
    <mergeCell ref="L992:M992"/>
    <mergeCell ref="N992:O992"/>
    <mergeCell ref="E1002:F1002"/>
    <mergeCell ref="M1002:O1002"/>
    <mergeCell ref="E1003:F1003"/>
    <mergeCell ref="M1003:O1003"/>
    <mergeCell ref="C1011:P1011"/>
    <mergeCell ref="C1013:P1013"/>
    <mergeCell ref="C1015:E1015"/>
    <mergeCell ref="F1015:P1015"/>
    <mergeCell ref="C1016:E1016"/>
    <mergeCell ref="F1016:G1016"/>
    <mergeCell ref="H1016:I1016"/>
    <mergeCell ref="L1016:P1016"/>
    <mergeCell ref="C1017:E1017"/>
    <mergeCell ref="F1017:K1017"/>
    <mergeCell ref="L1017:M1017"/>
    <mergeCell ref="N1017:P1017"/>
    <mergeCell ref="C1018:E1018"/>
    <mergeCell ref="F1018:G1018"/>
    <mergeCell ref="I1018:J1018"/>
    <mergeCell ref="K1018:L1018"/>
    <mergeCell ref="M1018:P1018"/>
    <mergeCell ref="C1019:E1019"/>
    <mergeCell ref="F1019:I1019"/>
    <mergeCell ref="J1019:K1019"/>
    <mergeCell ref="L1019:P1019"/>
    <mergeCell ref="C1020:E1020"/>
    <mergeCell ref="F1020:P1020"/>
    <mergeCell ref="F1023:G1023"/>
    <mergeCell ref="H1023:I1023"/>
    <mergeCell ref="J1023:K1023"/>
    <mergeCell ref="L1023:M1023"/>
    <mergeCell ref="N1023:O1023"/>
    <mergeCell ref="F1024:O1024"/>
    <mergeCell ref="D1028:F1028"/>
    <mergeCell ref="G1028:N1028"/>
    <mergeCell ref="D1029:F1029"/>
    <mergeCell ref="D1030:F1030"/>
    <mergeCell ref="D1031:F1031"/>
    <mergeCell ref="M1031:N1031"/>
    <mergeCell ref="D1032:F1032"/>
    <mergeCell ref="M1032:N1032"/>
    <mergeCell ref="D1033:F1033"/>
    <mergeCell ref="M1033:N1033"/>
    <mergeCell ref="D1034:F1034"/>
    <mergeCell ref="M1034:N1034"/>
    <mergeCell ref="D1035:F1035"/>
    <mergeCell ref="M1035:N1035"/>
    <mergeCell ref="D1036:F1036"/>
    <mergeCell ref="M1036:N1036"/>
    <mergeCell ref="D1037:F1037"/>
    <mergeCell ref="M1037:N1037"/>
    <mergeCell ref="D1038:F1038"/>
    <mergeCell ref="M1038:N1038"/>
    <mergeCell ref="D1039:M1039"/>
    <mergeCell ref="E1040:M1040"/>
    <mergeCell ref="D1046:G1046"/>
    <mergeCell ref="H1046:I1046"/>
    <mergeCell ref="D1047:G1047"/>
    <mergeCell ref="H1047:I1047"/>
    <mergeCell ref="L1047:M1047"/>
    <mergeCell ref="N1047:O1047"/>
    <mergeCell ref="D1048:G1048"/>
    <mergeCell ref="H1048:I1048"/>
    <mergeCell ref="L1048:M1048"/>
    <mergeCell ref="N1048:O1048"/>
    <mergeCell ref="E1058:F1058"/>
    <mergeCell ref="M1058:O1058"/>
    <mergeCell ref="E1059:F1059"/>
    <mergeCell ref="M1059:O1059"/>
    <mergeCell ref="C1067:P1067"/>
    <mergeCell ref="C1069:P1069"/>
    <mergeCell ref="C1071:E1071"/>
    <mergeCell ref="F1071:P1071"/>
    <mergeCell ref="C1072:E1072"/>
    <mergeCell ref="F1072:G1072"/>
    <mergeCell ref="H1072:I1072"/>
    <mergeCell ref="L1072:P1072"/>
    <mergeCell ref="C1073:E1073"/>
    <mergeCell ref="F1073:K1073"/>
    <mergeCell ref="L1073:M1073"/>
    <mergeCell ref="N1073:P1073"/>
    <mergeCell ref="C1074:E1074"/>
    <mergeCell ref="F1074:G1074"/>
    <mergeCell ref="I1074:J1074"/>
    <mergeCell ref="K1074:L1074"/>
    <mergeCell ref="M1074:P1074"/>
    <mergeCell ref="C1075:E1075"/>
    <mergeCell ref="F1075:I1075"/>
    <mergeCell ref="J1075:K1075"/>
    <mergeCell ref="L1075:P1075"/>
    <mergeCell ref="C1076:E1076"/>
    <mergeCell ref="F1076:P1076"/>
    <mergeCell ref="F1079:G1079"/>
    <mergeCell ref="H1079:I1079"/>
    <mergeCell ref="J1079:K1079"/>
    <mergeCell ref="L1079:M1079"/>
    <mergeCell ref="N1079:O1079"/>
    <mergeCell ref="F1080:O1080"/>
    <mergeCell ref="D1084:F1084"/>
    <mergeCell ref="G1084:N1084"/>
    <mergeCell ref="D1085:F1085"/>
    <mergeCell ref="D1086:F1086"/>
    <mergeCell ref="D1087:F1087"/>
    <mergeCell ref="M1087:N1087"/>
    <mergeCell ref="D1088:F1088"/>
    <mergeCell ref="M1088:N1088"/>
    <mergeCell ref="D1089:F1089"/>
    <mergeCell ref="M1089:N1089"/>
    <mergeCell ref="D1090:F1090"/>
    <mergeCell ref="M1090:N1090"/>
    <mergeCell ref="D1091:F1091"/>
    <mergeCell ref="M1091:N1091"/>
    <mergeCell ref="D1092:F1092"/>
    <mergeCell ref="M1092:N1092"/>
    <mergeCell ref="D1093:F1093"/>
    <mergeCell ref="M1093:N1093"/>
    <mergeCell ref="D1094:F1094"/>
    <mergeCell ref="M1094:N1094"/>
    <mergeCell ref="D1095:M1095"/>
    <mergeCell ref="E1096:M1096"/>
    <mergeCell ref="D1102:G1102"/>
    <mergeCell ref="H1102:I1102"/>
    <mergeCell ref="D1103:G1103"/>
    <mergeCell ref="H1103:I1103"/>
    <mergeCell ref="L1103:M1103"/>
    <mergeCell ref="N1103:O1103"/>
    <mergeCell ref="D1104:G1104"/>
    <mergeCell ref="H1104:I1104"/>
    <mergeCell ref="L1104:M1104"/>
    <mergeCell ref="N1104:O1104"/>
    <mergeCell ref="E1114:F1114"/>
    <mergeCell ref="M1114:O1114"/>
    <mergeCell ref="E1115:F1115"/>
    <mergeCell ref="M1115:O1115"/>
    <mergeCell ref="C1123:P1123"/>
    <mergeCell ref="C1125:P1125"/>
    <mergeCell ref="C1127:E1127"/>
    <mergeCell ref="F1127:P1127"/>
    <mergeCell ref="C1128:E1128"/>
    <mergeCell ref="F1128:G1128"/>
    <mergeCell ref="H1128:I1128"/>
    <mergeCell ref="L1128:P1128"/>
    <mergeCell ref="C1129:E1129"/>
    <mergeCell ref="F1129:K1129"/>
    <mergeCell ref="L1129:M1129"/>
    <mergeCell ref="N1129:P1129"/>
    <mergeCell ref="C1130:E1130"/>
    <mergeCell ref="F1130:G1130"/>
    <mergeCell ref="I1130:J1130"/>
    <mergeCell ref="K1130:L1130"/>
    <mergeCell ref="M1130:P1130"/>
    <mergeCell ref="C1131:E1131"/>
    <mergeCell ref="F1131:I1131"/>
    <mergeCell ref="J1131:K1131"/>
    <mergeCell ref="L1131:P1131"/>
    <mergeCell ref="C1132:E1132"/>
    <mergeCell ref="F1132:P1132"/>
    <mergeCell ref="F1135:G1135"/>
    <mergeCell ref="H1135:I1135"/>
    <mergeCell ref="J1135:K1135"/>
    <mergeCell ref="L1135:M1135"/>
    <mergeCell ref="N1135:O1135"/>
    <mergeCell ref="F1136:O1136"/>
    <mergeCell ref="D1140:F1140"/>
    <mergeCell ref="G1140:N1140"/>
    <mergeCell ref="D1141:F1141"/>
    <mergeCell ref="D1142:F1142"/>
    <mergeCell ref="D1143:F1143"/>
    <mergeCell ref="M1143:N1143"/>
    <mergeCell ref="D1144:F1144"/>
    <mergeCell ref="M1144:N1144"/>
    <mergeCell ref="D1145:F1145"/>
    <mergeCell ref="M1145:N1145"/>
    <mergeCell ref="D1146:F1146"/>
    <mergeCell ref="M1146:N1146"/>
    <mergeCell ref="D1147:F1147"/>
    <mergeCell ref="M1147:N1147"/>
    <mergeCell ref="D1148:F1148"/>
    <mergeCell ref="M1148:N1148"/>
    <mergeCell ref="D1149:F1149"/>
    <mergeCell ref="M1149:N1149"/>
    <mergeCell ref="D1150:F1150"/>
    <mergeCell ref="M1150:N1150"/>
    <mergeCell ref="D1151:M1151"/>
    <mergeCell ref="E1152:M1152"/>
    <mergeCell ref="D1158:G1158"/>
    <mergeCell ref="H1158:I1158"/>
    <mergeCell ref="D1159:G1159"/>
    <mergeCell ref="H1159:I1159"/>
    <mergeCell ref="L1159:M1159"/>
    <mergeCell ref="N1159:O1159"/>
    <mergeCell ref="D1160:G1160"/>
    <mergeCell ref="H1160:I1160"/>
    <mergeCell ref="L1160:M1160"/>
    <mergeCell ref="N1160:O1160"/>
    <mergeCell ref="E1170:F1170"/>
    <mergeCell ref="M1170:O1170"/>
    <mergeCell ref="E1171:F1171"/>
    <mergeCell ref="M1171:O1171"/>
    <mergeCell ref="C1179:P1179"/>
    <mergeCell ref="C1181:P1181"/>
    <mergeCell ref="C1183:E1183"/>
    <mergeCell ref="F1183:P1183"/>
    <mergeCell ref="C1184:E1184"/>
    <mergeCell ref="F1184:G1184"/>
    <mergeCell ref="H1184:I1184"/>
    <mergeCell ref="L1184:P1184"/>
    <mergeCell ref="C1185:E1185"/>
    <mergeCell ref="F1185:K1185"/>
    <mergeCell ref="L1185:M1185"/>
    <mergeCell ref="N1185:P1185"/>
    <mergeCell ref="C1186:E1186"/>
    <mergeCell ref="F1186:G1186"/>
    <mergeCell ref="I1186:J1186"/>
    <mergeCell ref="K1186:L1186"/>
    <mergeCell ref="M1186:P1186"/>
    <mergeCell ref="C1187:E1187"/>
    <mergeCell ref="F1187:I1187"/>
    <mergeCell ref="J1187:K1187"/>
    <mergeCell ref="L1187:P1187"/>
    <mergeCell ref="C1188:E1188"/>
    <mergeCell ref="F1188:P1188"/>
    <mergeCell ref="F1191:G1191"/>
    <mergeCell ref="H1191:I1191"/>
    <mergeCell ref="J1191:K1191"/>
    <mergeCell ref="L1191:M1191"/>
    <mergeCell ref="N1191:O1191"/>
    <mergeCell ref="F1192:O1192"/>
    <mergeCell ref="D1196:F1196"/>
    <mergeCell ref="G1196:N1196"/>
    <mergeCell ref="D1197:F1197"/>
    <mergeCell ref="D1198:F1198"/>
    <mergeCell ref="D1199:F1199"/>
    <mergeCell ref="M1199:N1199"/>
    <mergeCell ref="D1200:F1200"/>
    <mergeCell ref="M1200:N1200"/>
    <mergeCell ref="D1201:F1201"/>
    <mergeCell ref="M1201:N1201"/>
    <mergeCell ref="D1202:F1202"/>
    <mergeCell ref="M1202:N1202"/>
    <mergeCell ref="D1203:F1203"/>
    <mergeCell ref="M1203:N1203"/>
    <mergeCell ref="D1204:F1204"/>
    <mergeCell ref="M1204:N1204"/>
    <mergeCell ref="D1205:F1205"/>
    <mergeCell ref="M1205:N1205"/>
    <mergeCell ref="D1206:F1206"/>
    <mergeCell ref="M1206:N1206"/>
    <mergeCell ref="D1207:M1207"/>
    <mergeCell ref="E1208:M1208"/>
    <mergeCell ref="D1214:G1214"/>
    <mergeCell ref="H1214:I1214"/>
    <mergeCell ref="D1215:G1215"/>
    <mergeCell ref="H1215:I1215"/>
    <mergeCell ref="L1215:M1215"/>
    <mergeCell ref="N1215:O1215"/>
    <mergeCell ref="D1216:G1216"/>
    <mergeCell ref="H1216:I1216"/>
    <mergeCell ref="L1216:M1216"/>
    <mergeCell ref="N1216:O1216"/>
    <mergeCell ref="E1226:F1226"/>
    <mergeCell ref="M1226:O1226"/>
    <mergeCell ref="E1227:F1227"/>
    <mergeCell ref="M1227:O1227"/>
    <mergeCell ref="C1235:P1235"/>
    <mergeCell ref="C1237:P1237"/>
    <mergeCell ref="C1239:E1239"/>
    <mergeCell ref="F1239:P1239"/>
    <mergeCell ref="C1240:E1240"/>
    <mergeCell ref="F1240:G1240"/>
    <mergeCell ref="H1240:I1240"/>
    <mergeCell ref="L1240:P1240"/>
    <mergeCell ref="C1241:E1241"/>
    <mergeCell ref="F1241:K1241"/>
    <mergeCell ref="L1241:M1241"/>
    <mergeCell ref="N1241:P1241"/>
    <mergeCell ref="C1242:E1242"/>
    <mergeCell ref="F1242:G1242"/>
    <mergeCell ref="I1242:J1242"/>
    <mergeCell ref="K1242:L1242"/>
    <mergeCell ref="M1242:P1242"/>
    <mergeCell ref="C1243:E1243"/>
    <mergeCell ref="F1243:I1243"/>
    <mergeCell ref="J1243:K1243"/>
    <mergeCell ref="L1243:P1243"/>
    <mergeCell ref="C1244:E1244"/>
    <mergeCell ref="F1244:P1244"/>
    <mergeCell ref="F1247:G1247"/>
    <mergeCell ref="H1247:I1247"/>
    <mergeCell ref="J1247:K1247"/>
    <mergeCell ref="L1247:M1247"/>
    <mergeCell ref="N1247:O1247"/>
    <mergeCell ref="F1248:O1248"/>
    <mergeCell ref="D1252:F1252"/>
    <mergeCell ref="G1252:N1252"/>
    <mergeCell ref="D1253:F1253"/>
    <mergeCell ref="D1254:F1254"/>
    <mergeCell ref="D1255:F1255"/>
    <mergeCell ref="M1255:N1255"/>
    <mergeCell ref="D1256:F1256"/>
    <mergeCell ref="M1256:N1256"/>
    <mergeCell ref="D1257:F1257"/>
    <mergeCell ref="M1257:N1257"/>
    <mergeCell ref="D1258:F1258"/>
    <mergeCell ref="M1258:N1258"/>
    <mergeCell ref="D1259:F1259"/>
    <mergeCell ref="M1259:N1259"/>
    <mergeCell ref="D1260:F1260"/>
    <mergeCell ref="M1260:N1260"/>
    <mergeCell ref="D1261:F1261"/>
    <mergeCell ref="M1261:N1261"/>
    <mergeCell ref="D1262:F1262"/>
    <mergeCell ref="M1262:N1262"/>
    <mergeCell ref="D1263:M1263"/>
    <mergeCell ref="E1264:M1264"/>
    <mergeCell ref="D1270:G1270"/>
    <mergeCell ref="H1270:I1270"/>
    <mergeCell ref="D1271:G1271"/>
    <mergeCell ref="H1271:I1271"/>
    <mergeCell ref="L1271:M1271"/>
    <mergeCell ref="N1271:O1271"/>
    <mergeCell ref="D1272:G1272"/>
    <mergeCell ref="H1272:I1272"/>
    <mergeCell ref="L1272:M1272"/>
    <mergeCell ref="N1272:O1272"/>
    <mergeCell ref="E1282:F1282"/>
    <mergeCell ref="M1282:O1282"/>
    <mergeCell ref="E1283:F1283"/>
    <mergeCell ref="M1283:O1283"/>
    <mergeCell ref="C1291:P1291"/>
    <mergeCell ref="C1293:P1293"/>
    <mergeCell ref="C1295:E1295"/>
    <mergeCell ref="F1295:P1295"/>
    <mergeCell ref="C1296:E1296"/>
    <mergeCell ref="F1296:G1296"/>
    <mergeCell ref="H1296:I1296"/>
    <mergeCell ref="L1296:P1296"/>
    <mergeCell ref="C1297:E1297"/>
    <mergeCell ref="F1297:K1297"/>
    <mergeCell ref="L1297:M1297"/>
    <mergeCell ref="N1297:P1297"/>
    <mergeCell ref="C1298:E1298"/>
    <mergeCell ref="F1298:G1298"/>
    <mergeCell ref="I1298:J1298"/>
    <mergeCell ref="K1298:L1298"/>
    <mergeCell ref="M1298:P1298"/>
    <mergeCell ref="C1299:E1299"/>
    <mergeCell ref="F1299:I1299"/>
    <mergeCell ref="J1299:K1299"/>
    <mergeCell ref="L1299:P1299"/>
    <mergeCell ref="C1300:E1300"/>
    <mergeCell ref="F1300:P1300"/>
    <mergeCell ref="F1303:G1303"/>
    <mergeCell ref="H1303:I1303"/>
    <mergeCell ref="J1303:K1303"/>
    <mergeCell ref="L1303:M1303"/>
    <mergeCell ref="N1303:O1303"/>
    <mergeCell ref="F1304:O1304"/>
    <mergeCell ref="D1308:F1308"/>
    <mergeCell ref="G1308:N1308"/>
    <mergeCell ref="D1309:F1309"/>
    <mergeCell ref="D1310:F1310"/>
    <mergeCell ref="D1311:F1311"/>
    <mergeCell ref="M1311:N1311"/>
    <mergeCell ref="D1312:F1312"/>
    <mergeCell ref="M1312:N1312"/>
    <mergeCell ref="D1313:F1313"/>
    <mergeCell ref="M1313:N1313"/>
    <mergeCell ref="D1314:F1314"/>
    <mergeCell ref="M1314:N1314"/>
    <mergeCell ref="D1315:F1315"/>
    <mergeCell ref="M1315:N1315"/>
    <mergeCell ref="D1316:F1316"/>
    <mergeCell ref="M1316:N1316"/>
    <mergeCell ref="D1317:F1317"/>
    <mergeCell ref="M1317:N1317"/>
    <mergeCell ref="D1318:F1318"/>
    <mergeCell ref="M1318:N1318"/>
    <mergeCell ref="D1319:M1319"/>
    <mergeCell ref="E1320:M1320"/>
    <mergeCell ref="D1326:G1326"/>
    <mergeCell ref="H1326:I1326"/>
    <mergeCell ref="D1327:G1327"/>
    <mergeCell ref="H1327:I1327"/>
    <mergeCell ref="L1327:M1327"/>
    <mergeCell ref="N1327:O1327"/>
    <mergeCell ref="D1328:G1328"/>
    <mergeCell ref="H1328:I1328"/>
    <mergeCell ref="L1328:M1328"/>
    <mergeCell ref="N1328:O1328"/>
    <mergeCell ref="E1338:F1338"/>
    <mergeCell ref="M1338:O1338"/>
    <mergeCell ref="E1339:F1339"/>
    <mergeCell ref="M1339:O1339"/>
    <mergeCell ref="C1347:P1347"/>
    <mergeCell ref="C1349:P1349"/>
    <mergeCell ref="C1351:E1351"/>
    <mergeCell ref="F1351:P1351"/>
    <mergeCell ref="C1352:E1352"/>
    <mergeCell ref="F1352:G1352"/>
    <mergeCell ref="H1352:I1352"/>
    <mergeCell ref="L1352:P1352"/>
    <mergeCell ref="C1353:E1353"/>
    <mergeCell ref="F1353:K1353"/>
    <mergeCell ref="L1353:M1353"/>
    <mergeCell ref="N1353:P1353"/>
    <mergeCell ref="C1354:E1354"/>
    <mergeCell ref="F1354:G1354"/>
    <mergeCell ref="I1354:J1354"/>
    <mergeCell ref="K1354:L1354"/>
    <mergeCell ref="M1354:P1354"/>
    <mergeCell ref="C1355:E1355"/>
    <mergeCell ref="F1355:I1355"/>
    <mergeCell ref="J1355:K1355"/>
    <mergeCell ref="L1355:P1355"/>
    <mergeCell ref="C1356:E1356"/>
    <mergeCell ref="F1356:P1356"/>
    <mergeCell ref="F1359:G1359"/>
    <mergeCell ref="H1359:I1359"/>
    <mergeCell ref="J1359:K1359"/>
    <mergeCell ref="L1359:M1359"/>
    <mergeCell ref="N1359:O1359"/>
    <mergeCell ref="F1360:O1360"/>
    <mergeCell ref="D1364:F1364"/>
    <mergeCell ref="G1364:N1364"/>
    <mergeCell ref="D1365:F1365"/>
    <mergeCell ref="D1366:F1366"/>
    <mergeCell ref="D1367:F1367"/>
    <mergeCell ref="M1367:N1367"/>
    <mergeCell ref="D1368:F1368"/>
    <mergeCell ref="M1368:N1368"/>
    <mergeCell ref="D1369:F1369"/>
    <mergeCell ref="M1369:N1369"/>
    <mergeCell ref="D1370:F1370"/>
    <mergeCell ref="M1370:N1370"/>
    <mergeCell ref="D1371:F1371"/>
    <mergeCell ref="M1371:N1371"/>
    <mergeCell ref="D1372:F1372"/>
    <mergeCell ref="M1372:N1372"/>
    <mergeCell ref="D1373:F1373"/>
    <mergeCell ref="M1373:N1373"/>
    <mergeCell ref="D1374:F1374"/>
    <mergeCell ref="M1374:N1374"/>
    <mergeCell ref="D1375:M1375"/>
    <mergeCell ref="E1376:M1376"/>
    <mergeCell ref="D1382:G1382"/>
    <mergeCell ref="H1382:I1382"/>
    <mergeCell ref="D1383:G1383"/>
    <mergeCell ref="H1383:I1383"/>
    <mergeCell ref="L1383:M1383"/>
    <mergeCell ref="N1383:O1383"/>
    <mergeCell ref="D1384:G1384"/>
    <mergeCell ref="H1384:I1384"/>
    <mergeCell ref="L1384:M1384"/>
    <mergeCell ref="N1384:O1384"/>
    <mergeCell ref="E1394:F1394"/>
    <mergeCell ref="M1394:O1394"/>
    <mergeCell ref="E1395:F1395"/>
    <mergeCell ref="M1395:O1395"/>
    <mergeCell ref="C1403:P1403"/>
    <mergeCell ref="C1405:P1405"/>
    <mergeCell ref="C1407:E1407"/>
    <mergeCell ref="F1407:P1407"/>
    <mergeCell ref="C1408:E1408"/>
    <mergeCell ref="F1408:G1408"/>
    <mergeCell ref="H1408:I1408"/>
    <mergeCell ref="L1408:P1408"/>
    <mergeCell ref="C1409:E1409"/>
    <mergeCell ref="F1409:K1409"/>
    <mergeCell ref="L1409:M1409"/>
    <mergeCell ref="N1409:P1409"/>
    <mergeCell ref="C1410:E1410"/>
    <mergeCell ref="F1410:G1410"/>
    <mergeCell ref="I1410:J1410"/>
    <mergeCell ref="K1410:L1410"/>
    <mergeCell ref="M1410:P1410"/>
    <mergeCell ref="C1411:E1411"/>
    <mergeCell ref="F1411:I1411"/>
    <mergeCell ref="J1411:K1411"/>
    <mergeCell ref="L1411:P1411"/>
    <mergeCell ref="C1412:E1412"/>
    <mergeCell ref="F1412:P1412"/>
    <mergeCell ref="F1415:G1415"/>
    <mergeCell ref="H1415:I1415"/>
    <mergeCell ref="J1415:K1415"/>
    <mergeCell ref="L1415:M1415"/>
    <mergeCell ref="N1415:O1415"/>
    <mergeCell ref="F1416:O1416"/>
    <mergeCell ref="D1420:F1420"/>
    <mergeCell ref="G1420:N1420"/>
    <mergeCell ref="D1421:F1421"/>
    <mergeCell ref="D1422:F1422"/>
    <mergeCell ref="D1423:F1423"/>
    <mergeCell ref="M1423:N1423"/>
    <mergeCell ref="D1424:F1424"/>
    <mergeCell ref="M1424:N1424"/>
    <mergeCell ref="D1425:F1425"/>
    <mergeCell ref="M1425:N1425"/>
    <mergeCell ref="D1426:F1426"/>
    <mergeCell ref="M1426:N1426"/>
    <mergeCell ref="D1427:F1427"/>
    <mergeCell ref="M1427:N1427"/>
    <mergeCell ref="D1428:F1428"/>
    <mergeCell ref="M1428:N1428"/>
    <mergeCell ref="D1429:F1429"/>
    <mergeCell ref="M1429:N1429"/>
    <mergeCell ref="D1430:F1430"/>
    <mergeCell ref="M1430:N1430"/>
    <mergeCell ref="D1431:M1431"/>
    <mergeCell ref="E1432:M1432"/>
    <mergeCell ref="D1438:G1438"/>
    <mergeCell ref="H1438:I1438"/>
    <mergeCell ref="D1439:G1439"/>
    <mergeCell ref="H1439:I1439"/>
    <mergeCell ref="L1439:M1439"/>
    <mergeCell ref="N1439:O1439"/>
    <mergeCell ref="D1440:G1440"/>
    <mergeCell ref="H1440:I1440"/>
    <mergeCell ref="L1440:M1440"/>
    <mergeCell ref="N1440:O1440"/>
    <mergeCell ref="E1450:F1450"/>
    <mergeCell ref="M1450:O1450"/>
    <mergeCell ref="E1451:F1451"/>
    <mergeCell ref="M1451:O1451"/>
    <mergeCell ref="C1459:P1459"/>
    <mergeCell ref="C1461:P1461"/>
    <mergeCell ref="C1463:E1463"/>
    <mergeCell ref="F1463:P1463"/>
    <mergeCell ref="C1464:E1464"/>
    <mergeCell ref="F1464:G1464"/>
    <mergeCell ref="H1464:I1464"/>
    <mergeCell ref="L1464:P1464"/>
    <mergeCell ref="C1465:E1465"/>
    <mergeCell ref="F1465:K1465"/>
    <mergeCell ref="L1465:M1465"/>
    <mergeCell ref="N1465:P1465"/>
    <mergeCell ref="C1466:E1466"/>
    <mergeCell ref="F1466:G1466"/>
    <mergeCell ref="I1466:J1466"/>
    <mergeCell ref="K1466:L1466"/>
    <mergeCell ref="M1466:P1466"/>
    <mergeCell ref="C1467:E1467"/>
    <mergeCell ref="F1467:I1467"/>
    <mergeCell ref="J1467:K1467"/>
    <mergeCell ref="L1467:P1467"/>
    <mergeCell ref="C1468:E1468"/>
    <mergeCell ref="F1468:P1468"/>
    <mergeCell ref="F1471:G1471"/>
    <mergeCell ref="H1471:I1471"/>
    <mergeCell ref="J1471:K1471"/>
    <mergeCell ref="L1471:M1471"/>
    <mergeCell ref="N1471:O1471"/>
    <mergeCell ref="F1472:O1472"/>
    <mergeCell ref="D1476:F1476"/>
    <mergeCell ref="G1476:N1476"/>
    <mergeCell ref="D1477:F1477"/>
    <mergeCell ref="D1478:F1478"/>
    <mergeCell ref="D1479:F1479"/>
    <mergeCell ref="M1479:N1479"/>
    <mergeCell ref="D1480:F1480"/>
    <mergeCell ref="M1480:N1480"/>
    <mergeCell ref="D1481:F1481"/>
    <mergeCell ref="M1481:N1481"/>
    <mergeCell ref="D1482:F1482"/>
    <mergeCell ref="M1482:N1482"/>
    <mergeCell ref="D1483:F1483"/>
    <mergeCell ref="M1483:N1483"/>
    <mergeCell ref="D1484:F1484"/>
    <mergeCell ref="M1484:N1484"/>
    <mergeCell ref="D1485:F1485"/>
    <mergeCell ref="M1485:N1485"/>
    <mergeCell ref="D1486:F1486"/>
    <mergeCell ref="M1486:N1486"/>
    <mergeCell ref="D1487:M1487"/>
    <mergeCell ref="E1488:M1488"/>
    <mergeCell ref="D1494:G1494"/>
    <mergeCell ref="H1494:I1494"/>
    <mergeCell ref="D1495:G1495"/>
    <mergeCell ref="H1495:I1495"/>
    <mergeCell ref="L1495:M1495"/>
    <mergeCell ref="N1495:O1495"/>
    <mergeCell ref="D1496:G1496"/>
    <mergeCell ref="H1496:I1496"/>
    <mergeCell ref="L1496:M1496"/>
    <mergeCell ref="N1496:O1496"/>
    <mergeCell ref="E1506:F1506"/>
    <mergeCell ref="M1506:O1506"/>
    <mergeCell ref="E1507:F1507"/>
    <mergeCell ref="M1507:O1507"/>
    <mergeCell ref="C1515:P1515"/>
    <mergeCell ref="C1517:P1517"/>
    <mergeCell ref="C1519:E1519"/>
    <mergeCell ref="F1519:P1519"/>
    <mergeCell ref="C1520:E1520"/>
    <mergeCell ref="F1520:G1520"/>
    <mergeCell ref="H1520:I1520"/>
    <mergeCell ref="L1520:P1520"/>
    <mergeCell ref="C1521:E1521"/>
    <mergeCell ref="F1521:K1521"/>
    <mergeCell ref="L1521:M1521"/>
    <mergeCell ref="N1521:P1521"/>
    <mergeCell ref="C1522:E1522"/>
    <mergeCell ref="F1522:G1522"/>
    <mergeCell ref="I1522:J1522"/>
    <mergeCell ref="K1522:L1522"/>
    <mergeCell ref="M1522:P1522"/>
    <mergeCell ref="C1523:E1523"/>
    <mergeCell ref="F1523:I1523"/>
    <mergeCell ref="J1523:K1523"/>
    <mergeCell ref="L1523:P1523"/>
    <mergeCell ref="C1524:E1524"/>
    <mergeCell ref="F1524:P1524"/>
    <mergeCell ref="F1527:G1527"/>
    <mergeCell ref="H1527:I1527"/>
    <mergeCell ref="J1527:K1527"/>
    <mergeCell ref="L1527:M1527"/>
    <mergeCell ref="N1527:O1527"/>
    <mergeCell ref="F1528:O1528"/>
    <mergeCell ref="D1532:F1532"/>
    <mergeCell ref="G1532:N1532"/>
    <mergeCell ref="D1533:F1533"/>
    <mergeCell ref="D1534:F1534"/>
    <mergeCell ref="D1535:F1535"/>
    <mergeCell ref="M1535:N1535"/>
    <mergeCell ref="D1536:F1536"/>
    <mergeCell ref="M1536:N1536"/>
    <mergeCell ref="D1537:F1537"/>
    <mergeCell ref="M1537:N1537"/>
    <mergeCell ref="D1538:F1538"/>
    <mergeCell ref="M1538:N1538"/>
    <mergeCell ref="D1539:F1539"/>
    <mergeCell ref="M1539:N1539"/>
    <mergeCell ref="D1540:F1540"/>
    <mergeCell ref="M1540:N1540"/>
    <mergeCell ref="D1541:F1541"/>
    <mergeCell ref="M1541:N1541"/>
    <mergeCell ref="D1542:F1542"/>
    <mergeCell ref="M1542:N1542"/>
    <mergeCell ref="D1543:M1543"/>
    <mergeCell ref="E1544:M1544"/>
    <mergeCell ref="D1550:G1550"/>
    <mergeCell ref="H1550:I1550"/>
    <mergeCell ref="D1551:G1551"/>
    <mergeCell ref="H1551:I1551"/>
    <mergeCell ref="L1551:M1551"/>
    <mergeCell ref="N1551:O1551"/>
    <mergeCell ref="D1552:G1552"/>
    <mergeCell ref="H1552:I1552"/>
    <mergeCell ref="L1552:M1552"/>
    <mergeCell ref="N1552:O1552"/>
    <mergeCell ref="E1562:F1562"/>
    <mergeCell ref="M1562:O1562"/>
    <mergeCell ref="E1563:F1563"/>
    <mergeCell ref="M1563:O1563"/>
    <mergeCell ref="C1571:P1571"/>
    <mergeCell ref="C1573:P1573"/>
    <mergeCell ref="C1575:E1575"/>
    <mergeCell ref="F1575:P1575"/>
    <mergeCell ref="C1576:E1576"/>
    <mergeCell ref="F1576:G1576"/>
    <mergeCell ref="H1576:I1576"/>
    <mergeCell ref="L1576:P1576"/>
    <mergeCell ref="C1577:E1577"/>
    <mergeCell ref="F1577:K1577"/>
    <mergeCell ref="L1577:M1577"/>
    <mergeCell ref="N1577:P1577"/>
    <mergeCell ref="C1578:E1578"/>
    <mergeCell ref="F1578:G1578"/>
    <mergeCell ref="I1578:J1578"/>
    <mergeCell ref="K1578:L1578"/>
    <mergeCell ref="M1578:P1578"/>
    <mergeCell ref="C1579:E1579"/>
    <mergeCell ref="F1579:I1579"/>
    <mergeCell ref="J1579:K1579"/>
    <mergeCell ref="L1579:P1579"/>
    <mergeCell ref="C1580:E1580"/>
    <mergeCell ref="F1580:P1580"/>
    <mergeCell ref="F1583:G1583"/>
    <mergeCell ref="H1583:I1583"/>
    <mergeCell ref="J1583:K1583"/>
    <mergeCell ref="L1583:M1583"/>
    <mergeCell ref="N1583:O1583"/>
    <mergeCell ref="F1584:O1584"/>
    <mergeCell ref="D1588:F1588"/>
    <mergeCell ref="G1588:N1588"/>
    <mergeCell ref="D1589:F1589"/>
    <mergeCell ref="D1590:F1590"/>
    <mergeCell ref="D1591:F1591"/>
    <mergeCell ref="M1591:N1591"/>
    <mergeCell ref="D1592:F1592"/>
    <mergeCell ref="M1592:N1592"/>
    <mergeCell ref="D1593:F1593"/>
    <mergeCell ref="M1593:N1593"/>
    <mergeCell ref="D1594:F1594"/>
    <mergeCell ref="M1594:N1594"/>
    <mergeCell ref="D1595:F1595"/>
    <mergeCell ref="M1595:N1595"/>
    <mergeCell ref="D1596:F1596"/>
    <mergeCell ref="M1596:N1596"/>
    <mergeCell ref="D1597:F1597"/>
    <mergeCell ref="M1597:N1597"/>
    <mergeCell ref="D1598:F1598"/>
    <mergeCell ref="M1598:N1598"/>
    <mergeCell ref="D1599:M1599"/>
    <mergeCell ref="E1600:M1600"/>
    <mergeCell ref="D1606:G1606"/>
    <mergeCell ref="H1606:I1606"/>
    <mergeCell ref="D1607:G1607"/>
    <mergeCell ref="H1607:I1607"/>
    <mergeCell ref="L1607:M1607"/>
    <mergeCell ref="N1607:O1607"/>
    <mergeCell ref="D1608:G1608"/>
    <mergeCell ref="H1608:I1608"/>
    <mergeCell ref="L1608:M1608"/>
    <mergeCell ref="N1608:O1608"/>
    <mergeCell ref="E1618:F1618"/>
    <mergeCell ref="M1618:O1618"/>
    <mergeCell ref="E1619:F1619"/>
    <mergeCell ref="M1619:O1619"/>
    <mergeCell ref="C1627:P1627"/>
    <mergeCell ref="C1629:P1629"/>
    <mergeCell ref="C1631:E1631"/>
    <mergeCell ref="F1631:P1631"/>
    <mergeCell ref="C1632:E1632"/>
    <mergeCell ref="F1632:G1632"/>
    <mergeCell ref="H1632:I1632"/>
    <mergeCell ref="L1632:P1632"/>
    <mergeCell ref="C1633:E1633"/>
    <mergeCell ref="F1633:K1633"/>
    <mergeCell ref="L1633:M1633"/>
    <mergeCell ref="N1633:P1633"/>
    <mergeCell ref="C1634:E1634"/>
    <mergeCell ref="F1634:G1634"/>
    <mergeCell ref="I1634:J1634"/>
    <mergeCell ref="K1634:L1634"/>
    <mergeCell ref="M1634:P1634"/>
    <mergeCell ref="C1635:E1635"/>
    <mergeCell ref="F1635:I1635"/>
    <mergeCell ref="J1635:K1635"/>
    <mergeCell ref="L1635:P1635"/>
    <mergeCell ref="C1636:E1636"/>
    <mergeCell ref="F1636:P1636"/>
    <mergeCell ref="F1639:G1639"/>
    <mergeCell ref="H1639:I1639"/>
    <mergeCell ref="J1639:K1639"/>
    <mergeCell ref="L1639:M1639"/>
    <mergeCell ref="N1639:O1639"/>
    <mergeCell ref="F1640:O1640"/>
    <mergeCell ref="D1644:F1644"/>
    <mergeCell ref="G1644:N1644"/>
    <mergeCell ref="D1645:F1645"/>
    <mergeCell ref="D1646:F1646"/>
    <mergeCell ref="D1647:F1647"/>
    <mergeCell ref="M1647:N1647"/>
    <mergeCell ref="D1648:F1648"/>
    <mergeCell ref="M1648:N1648"/>
    <mergeCell ref="D1649:F1649"/>
    <mergeCell ref="M1649:N1649"/>
    <mergeCell ref="D1650:F1650"/>
    <mergeCell ref="M1650:N1650"/>
    <mergeCell ref="D1651:F1651"/>
    <mergeCell ref="M1651:N1651"/>
    <mergeCell ref="D1652:F1652"/>
    <mergeCell ref="M1652:N1652"/>
    <mergeCell ref="D1653:F1653"/>
    <mergeCell ref="M1653:N1653"/>
    <mergeCell ref="D1654:F1654"/>
    <mergeCell ref="M1654:N1654"/>
    <mergeCell ref="D1655:M1655"/>
    <mergeCell ref="E1656:M1656"/>
    <mergeCell ref="D1662:G1662"/>
    <mergeCell ref="H1662:I1662"/>
    <mergeCell ref="D1663:G1663"/>
    <mergeCell ref="H1663:I1663"/>
    <mergeCell ref="L1663:M1663"/>
    <mergeCell ref="N1663:O1663"/>
    <mergeCell ref="D1664:G1664"/>
    <mergeCell ref="H1664:I1664"/>
    <mergeCell ref="L1664:M1664"/>
    <mergeCell ref="N1664:O1664"/>
    <mergeCell ref="E1674:F1674"/>
    <mergeCell ref="M1674:O1674"/>
    <mergeCell ref="E1675:F1675"/>
    <mergeCell ref="M1675:O1675"/>
    <mergeCell ref="C1683:P1683"/>
    <mergeCell ref="C1685:P1685"/>
    <mergeCell ref="C1687:E1687"/>
    <mergeCell ref="F1687:P1687"/>
    <mergeCell ref="C1688:E1688"/>
    <mergeCell ref="F1688:G1688"/>
    <mergeCell ref="H1688:I1688"/>
    <mergeCell ref="L1688:P1688"/>
    <mergeCell ref="C1689:E1689"/>
    <mergeCell ref="F1689:K1689"/>
    <mergeCell ref="L1689:M1689"/>
    <mergeCell ref="N1689:P1689"/>
    <mergeCell ref="C1690:E1690"/>
    <mergeCell ref="F1690:G1690"/>
    <mergeCell ref="I1690:J1690"/>
    <mergeCell ref="K1690:L1690"/>
    <mergeCell ref="M1690:P1690"/>
    <mergeCell ref="C1691:E1691"/>
    <mergeCell ref="F1691:I1691"/>
    <mergeCell ref="J1691:K1691"/>
    <mergeCell ref="L1691:P1691"/>
    <mergeCell ref="C1692:E1692"/>
    <mergeCell ref="F1692:P1692"/>
    <mergeCell ref="F1695:G1695"/>
    <mergeCell ref="H1695:I1695"/>
    <mergeCell ref="J1695:K1695"/>
    <mergeCell ref="L1695:M1695"/>
    <mergeCell ref="N1695:O1695"/>
    <mergeCell ref="F1696:O1696"/>
    <mergeCell ref="D1700:F1700"/>
    <mergeCell ref="G1700:N1700"/>
    <mergeCell ref="D1701:F1701"/>
    <mergeCell ref="D1702:F1702"/>
    <mergeCell ref="D1703:F1703"/>
    <mergeCell ref="M1703:N1703"/>
    <mergeCell ref="D1704:F1704"/>
    <mergeCell ref="M1704:N1704"/>
    <mergeCell ref="D1705:F1705"/>
    <mergeCell ref="M1705:N1705"/>
    <mergeCell ref="D1706:F1706"/>
    <mergeCell ref="M1706:N1706"/>
    <mergeCell ref="D1707:F1707"/>
    <mergeCell ref="M1707:N1707"/>
    <mergeCell ref="D1708:F1708"/>
    <mergeCell ref="M1708:N1708"/>
    <mergeCell ref="D1709:F1709"/>
    <mergeCell ref="M1709:N1709"/>
    <mergeCell ref="D1710:F1710"/>
    <mergeCell ref="M1710:N1710"/>
    <mergeCell ref="D1711:M1711"/>
    <mergeCell ref="E1712:M1712"/>
    <mergeCell ref="D1718:G1718"/>
    <mergeCell ref="H1718:I1718"/>
    <mergeCell ref="D1719:G1719"/>
    <mergeCell ref="H1719:I1719"/>
    <mergeCell ref="L1719:M1719"/>
    <mergeCell ref="N1719:O1719"/>
    <mergeCell ref="D1720:G1720"/>
    <mergeCell ref="H1720:I1720"/>
    <mergeCell ref="L1720:M1720"/>
    <mergeCell ref="N1720:O1720"/>
    <mergeCell ref="E1730:F1730"/>
    <mergeCell ref="M1730:O1730"/>
    <mergeCell ref="E1731:F1731"/>
    <mergeCell ref="M1731:O1731"/>
    <mergeCell ref="C1739:P1739"/>
    <mergeCell ref="C1741:P1741"/>
    <mergeCell ref="C1743:E1743"/>
    <mergeCell ref="F1743:P1743"/>
    <mergeCell ref="C1744:E1744"/>
    <mergeCell ref="F1744:G1744"/>
    <mergeCell ref="H1744:I1744"/>
    <mergeCell ref="L1744:P1744"/>
    <mergeCell ref="C1745:E1745"/>
    <mergeCell ref="F1745:K1745"/>
    <mergeCell ref="L1745:M1745"/>
    <mergeCell ref="N1745:P1745"/>
    <mergeCell ref="C1746:E1746"/>
    <mergeCell ref="F1746:G1746"/>
    <mergeCell ref="I1746:J1746"/>
    <mergeCell ref="K1746:L1746"/>
    <mergeCell ref="M1746:P1746"/>
    <mergeCell ref="C1747:E1747"/>
    <mergeCell ref="F1747:I1747"/>
    <mergeCell ref="J1747:K1747"/>
    <mergeCell ref="L1747:P1747"/>
    <mergeCell ref="C1748:E1748"/>
    <mergeCell ref="F1748:P1748"/>
    <mergeCell ref="F1751:G1751"/>
    <mergeCell ref="H1751:I1751"/>
    <mergeCell ref="J1751:K1751"/>
    <mergeCell ref="L1751:M1751"/>
    <mergeCell ref="N1751:O1751"/>
    <mergeCell ref="F1752:O1752"/>
    <mergeCell ref="D1756:F1756"/>
    <mergeCell ref="G1756:N1756"/>
    <mergeCell ref="D1757:F1757"/>
    <mergeCell ref="D1758:F1758"/>
    <mergeCell ref="D1759:F1759"/>
    <mergeCell ref="M1759:N1759"/>
    <mergeCell ref="D1760:F1760"/>
    <mergeCell ref="M1760:N1760"/>
    <mergeCell ref="D1761:F1761"/>
    <mergeCell ref="M1761:N1761"/>
    <mergeCell ref="D1762:F1762"/>
    <mergeCell ref="M1762:N1762"/>
    <mergeCell ref="D1763:F1763"/>
    <mergeCell ref="M1763:N1763"/>
    <mergeCell ref="D1764:F1764"/>
    <mergeCell ref="M1764:N1764"/>
    <mergeCell ref="D1765:F1765"/>
    <mergeCell ref="M1765:N1765"/>
    <mergeCell ref="D1766:F1766"/>
    <mergeCell ref="M1766:N1766"/>
    <mergeCell ref="D1767:M1767"/>
    <mergeCell ref="E1768:M1768"/>
    <mergeCell ref="D1774:G1774"/>
    <mergeCell ref="H1774:I1774"/>
    <mergeCell ref="D1775:G1775"/>
    <mergeCell ref="H1775:I1775"/>
    <mergeCell ref="L1775:M1775"/>
    <mergeCell ref="N1775:O1775"/>
    <mergeCell ref="D1776:G1776"/>
    <mergeCell ref="H1776:I1776"/>
    <mergeCell ref="L1776:M1776"/>
    <mergeCell ref="N1776:O1776"/>
    <mergeCell ref="E1786:F1786"/>
    <mergeCell ref="M1786:O1786"/>
    <mergeCell ref="E1787:F1787"/>
    <mergeCell ref="M1787:O1787"/>
    <mergeCell ref="C1795:P1795"/>
    <mergeCell ref="C1797:P1797"/>
    <mergeCell ref="C1799:E1799"/>
    <mergeCell ref="F1799:P1799"/>
    <mergeCell ref="C1800:E1800"/>
    <mergeCell ref="F1800:G1800"/>
    <mergeCell ref="H1800:I1800"/>
    <mergeCell ref="L1800:P1800"/>
    <mergeCell ref="C1801:E1801"/>
    <mergeCell ref="F1801:K1801"/>
    <mergeCell ref="L1801:M1801"/>
    <mergeCell ref="N1801:P1801"/>
    <mergeCell ref="C1802:E1802"/>
    <mergeCell ref="F1802:G1802"/>
    <mergeCell ref="I1802:J1802"/>
    <mergeCell ref="K1802:L1802"/>
    <mergeCell ref="M1802:P1802"/>
    <mergeCell ref="C1803:E1803"/>
    <mergeCell ref="F1803:I1803"/>
    <mergeCell ref="J1803:K1803"/>
    <mergeCell ref="L1803:P1803"/>
    <mergeCell ref="C1804:E1804"/>
    <mergeCell ref="F1804:P1804"/>
    <mergeCell ref="F1807:G1807"/>
    <mergeCell ref="H1807:I1807"/>
    <mergeCell ref="J1807:K1807"/>
    <mergeCell ref="L1807:M1807"/>
    <mergeCell ref="N1807:O1807"/>
    <mergeCell ref="F1808:O1808"/>
    <mergeCell ref="D1812:F1812"/>
    <mergeCell ref="G1812:N1812"/>
    <mergeCell ref="D1813:F1813"/>
    <mergeCell ref="D1814:F1814"/>
    <mergeCell ref="D1815:F1815"/>
    <mergeCell ref="M1815:N1815"/>
    <mergeCell ref="D1816:F1816"/>
    <mergeCell ref="M1816:N1816"/>
    <mergeCell ref="D1817:F1817"/>
    <mergeCell ref="M1817:N1817"/>
    <mergeCell ref="D1818:F1818"/>
    <mergeCell ref="M1818:N1818"/>
    <mergeCell ref="D1819:F1819"/>
    <mergeCell ref="M1819:N1819"/>
    <mergeCell ref="D1820:F1820"/>
    <mergeCell ref="M1820:N1820"/>
    <mergeCell ref="D1821:F1821"/>
    <mergeCell ref="M1821:N1821"/>
    <mergeCell ref="D1822:F1822"/>
    <mergeCell ref="M1822:N1822"/>
    <mergeCell ref="D1823:M1823"/>
    <mergeCell ref="E1824:M1824"/>
    <mergeCell ref="D1830:G1830"/>
    <mergeCell ref="H1830:I1830"/>
    <mergeCell ref="D1831:G1831"/>
    <mergeCell ref="H1831:I1831"/>
    <mergeCell ref="L1831:M1831"/>
    <mergeCell ref="N1831:O1831"/>
    <mergeCell ref="D1832:G1832"/>
    <mergeCell ref="H1832:I1832"/>
    <mergeCell ref="L1832:M1832"/>
    <mergeCell ref="N1832:O1832"/>
    <mergeCell ref="E1842:F1842"/>
    <mergeCell ref="M1842:O1842"/>
    <mergeCell ref="E1843:F1843"/>
    <mergeCell ref="M1843:O1843"/>
    <mergeCell ref="C1851:P1851"/>
    <mergeCell ref="C1853:P1853"/>
    <mergeCell ref="C1855:E1855"/>
    <mergeCell ref="F1855:P1855"/>
    <mergeCell ref="C1856:E1856"/>
    <mergeCell ref="F1856:G1856"/>
    <mergeCell ref="H1856:I1856"/>
    <mergeCell ref="L1856:P1856"/>
    <mergeCell ref="C1857:E1857"/>
    <mergeCell ref="F1857:K1857"/>
    <mergeCell ref="L1857:M1857"/>
    <mergeCell ref="N1857:P1857"/>
    <mergeCell ref="C1858:E1858"/>
    <mergeCell ref="F1858:G1858"/>
    <mergeCell ref="I1858:J1858"/>
    <mergeCell ref="K1858:L1858"/>
    <mergeCell ref="M1858:P1858"/>
    <mergeCell ref="C1859:E1859"/>
    <mergeCell ref="F1859:I1859"/>
    <mergeCell ref="J1859:K1859"/>
    <mergeCell ref="L1859:P1859"/>
    <mergeCell ref="C1860:E1860"/>
    <mergeCell ref="F1860:P1860"/>
    <mergeCell ref="F1863:G1863"/>
    <mergeCell ref="H1863:I1863"/>
    <mergeCell ref="J1863:K1863"/>
    <mergeCell ref="L1863:M1863"/>
    <mergeCell ref="N1863:O1863"/>
    <mergeCell ref="F1864:O1864"/>
    <mergeCell ref="D1868:F1868"/>
    <mergeCell ref="G1868:N1868"/>
    <mergeCell ref="D1869:F1869"/>
    <mergeCell ref="D1870:F1870"/>
    <mergeCell ref="D1871:F1871"/>
    <mergeCell ref="M1871:N1871"/>
    <mergeCell ref="D1872:F1872"/>
    <mergeCell ref="M1872:N1872"/>
    <mergeCell ref="D1873:F1873"/>
    <mergeCell ref="M1873:N1873"/>
    <mergeCell ref="D1874:F1874"/>
    <mergeCell ref="M1874:N1874"/>
    <mergeCell ref="D1875:F1875"/>
    <mergeCell ref="M1875:N1875"/>
    <mergeCell ref="D1876:F1876"/>
    <mergeCell ref="M1876:N1876"/>
    <mergeCell ref="D1877:F1877"/>
    <mergeCell ref="M1877:N1877"/>
    <mergeCell ref="D1878:F1878"/>
    <mergeCell ref="M1878:N1878"/>
    <mergeCell ref="D1879:M1879"/>
    <mergeCell ref="E1880:M1880"/>
    <mergeCell ref="D1886:G1886"/>
    <mergeCell ref="H1886:I1886"/>
    <mergeCell ref="D1887:G1887"/>
    <mergeCell ref="H1887:I1887"/>
    <mergeCell ref="L1887:M1887"/>
    <mergeCell ref="N1887:O1887"/>
    <mergeCell ref="D1888:G1888"/>
    <mergeCell ref="H1888:I1888"/>
    <mergeCell ref="L1888:M1888"/>
    <mergeCell ref="N1888:O1888"/>
    <mergeCell ref="E1898:F1898"/>
    <mergeCell ref="M1898:O1898"/>
    <mergeCell ref="E1899:F1899"/>
    <mergeCell ref="M1899:O1899"/>
    <mergeCell ref="C1907:P1907"/>
    <mergeCell ref="C1909:P1909"/>
    <mergeCell ref="C1911:E1911"/>
    <mergeCell ref="F1911:P1911"/>
    <mergeCell ref="C1912:E1912"/>
    <mergeCell ref="F1912:G1912"/>
    <mergeCell ref="H1912:I1912"/>
    <mergeCell ref="L1912:P1912"/>
    <mergeCell ref="C1913:E1913"/>
    <mergeCell ref="F1913:K1913"/>
    <mergeCell ref="L1913:M1913"/>
    <mergeCell ref="N1913:P1913"/>
    <mergeCell ref="C1914:E1914"/>
    <mergeCell ref="F1914:G1914"/>
    <mergeCell ref="I1914:J1914"/>
    <mergeCell ref="K1914:L1914"/>
    <mergeCell ref="M1914:P1914"/>
    <mergeCell ref="C1915:E1915"/>
    <mergeCell ref="F1915:I1915"/>
    <mergeCell ref="J1915:K1915"/>
    <mergeCell ref="L1915:P1915"/>
    <mergeCell ref="C1916:E1916"/>
    <mergeCell ref="F1916:P1916"/>
    <mergeCell ref="F1919:G1919"/>
    <mergeCell ref="H1919:I1919"/>
    <mergeCell ref="J1919:K1919"/>
    <mergeCell ref="L1919:M1919"/>
    <mergeCell ref="N1919:O1919"/>
    <mergeCell ref="F1920:O1920"/>
    <mergeCell ref="D1924:F1924"/>
    <mergeCell ref="G1924:N1924"/>
    <mergeCell ref="D1925:F1925"/>
    <mergeCell ref="D1926:F1926"/>
    <mergeCell ref="D1927:F1927"/>
    <mergeCell ref="M1927:N1927"/>
    <mergeCell ref="D1928:F1928"/>
    <mergeCell ref="M1928:N1928"/>
    <mergeCell ref="D1929:F1929"/>
    <mergeCell ref="M1929:N1929"/>
    <mergeCell ref="D1930:F1930"/>
    <mergeCell ref="M1930:N1930"/>
    <mergeCell ref="D1931:F1931"/>
    <mergeCell ref="M1931:N1931"/>
    <mergeCell ref="D1932:F1932"/>
    <mergeCell ref="M1932:N1932"/>
    <mergeCell ref="D1933:F1933"/>
    <mergeCell ref="M1933:N1933"/>
    <mergeCell ref="D1934:F1934"/>
    <mergeCell ref="M1934:N1934"/>
    <mergeCell ref="D1935:M1935"/>
    <mergeCell ref="E1936:M1936"/>
    <mergeCell ref="D1942:G1942"/>
    <mergeCell ref="H1942:I1942"/>
    <mergeCell ref="D1943:G1943"/>
    <mergeCell ref="H1943:I1943"/>
    <mergeCell ref="L1943:M1943"/>
    <mergeCell ref="N1943:O1943"/>
    <mergeCell ref="D1944:G1944"/>
    <mergeCell ref="H1944:I1944"/>
    <mergeCell ref="L1944:M1944"/>
    <mergeCell ref="N1944:O1944"/>
    <mergeCell ref="E1954:F1954"/>
    <mergeCell ref="M1954:O1954"/>
    <mergeCell ref="E1955:F1955"/>
    <mergeCell ref="M1955:O1955"/>
    <mergeCell ref="C1963:P1963"/>
    <mergeCell ref="C1965:P1965"/>
    <mergeCell ref="C1967:E1967"/>
    <mergeCell ref="F1967:P1967"/>
    <mergeCell ref="C1968:E1968"/>
    <mergeCell ref="F1968:G1968"/>
    <mergeCell ref="H1968:I1968"/>
    <mergeCell ref="L1968:P1968"/>
    <mergeCell ref="C1969:E1969"/>
    <mergeCell ref="F1969:K1969"/>
    <mergeCell ref="L1969:M1969"/>
    <mergeCell ref="N1969:P1969"/>
    <mergeCell ref="C1970:E1970"/>
    <mergeCell ref="F1970:G1970"/>
    <mergeCell ref="I1970:J1970"/>
    <mergeCell ref="K1970:L1970"/>
    <mergeCell ref="M1970:P1970"/>
    <mergeCell ref="C1971:E1971"/>
    <mergeCell ref="F1971:I1971"/>
    <mergeCell ref="J1971:K1971"/>
    <mergeCell ref="L1971:P1971"/>
    <mergeCell ref="C1972:E1972"/>
    <mergeCell ref="F1972:P1972"/>
    <mergeCell ref="F1975:G1975"/>
    <mergeCell ref="H1975:I1975"/>
    <mergeCell ref="J1975:K1975"/>
    <mergeCell ref="L1975:M1975"/>
    <mergeCell ref="N1975:O1975"/>
    <mergeCell ref="F1976:O1976"/>
    <mergeCell ref="D1980:F1980"/>
    <mergeCell ref="G1980:N1980"/>
    <mergeCell ref="D1981:F1981"/>
    <mergeCell ref="D1982:F1982"/>
    <mergeCell ref="D1983:F1983"/>
    <mergeCell ref="M1983:N1983"/>
    <mergeCell ref="D1984:F1984"/>
    <mergeCell ref="M1984:N1984"/>
    <mergeCell ref="D1985:F1985"/>
    <mergeCell ref="M1985:N1985"/>
    <mergeCell ref="D1986:F1986"/>
    <mergeCell ref="M1986:N1986"/>
    <mergeCell ref="D1987:F1987"/>
    <mergeCell ref="M1987:N1987"/>
    <mergeCell ref="D1988:F1988"/>
    <mergeCell ref="M1988:N1988"/>
    <mergeCell ref="D1989:F1989"/>
    <mergeCell ref="M1989:N1989"/>
    <mergeCell ref="D1990:F1990"/>
    <mergeCell ref="M1990:N1990"/>
    <mergeCell ref="D1991:M1991"/>
    <mergeCell ref="E1992:M1992"/>
    <mergeCell ref="D1998:G1998"/>
    <mergeCell ref="H1998:I1998"/>
    <mergeCell ref="D1999:G1999"/>
    <mergeCell ref="H1999:I1999"/>
    <mergeCell ref="L1999:M1999"/>
    <mergeCell ref="N1999:O1999"/>
    <mergeCell ref="D2000:G2000"/>
    <mergeCell ref="H2000:I2000"/>
    <mergeCell ref="L2000:M2000"/>
    <mergeCell ref="N2000:O2000"/>
    <mergeCell ref="E2010:F2010"/>
    <mergeCell ref="M2010:O2010"/>
    <mergeCell ref="E2011:F2011"/>
    <mergeCell ref="M2011:O2011"/>
    <mergeCell ref="C2019:P2019"/>
    <mergeCell ref="C2021:P2021"/>
    <mergeCell ref="C2023:E2023"/>
    <mergeCell ref="F2023:P2023"/>
    <mergeCell ref="C2024:E2024"/>
    <mergeCell ref="F2024:G2024"/>
    <mergeCell ref="H2024:I2024"/>
    <mergeCell ref="L2024:P2024"/>
    <mergeCell ref="C2025:E2025"/>
    <mergeCell ref="F2025:K2025"/>
    <mergeCell ref="L2025:M2025"/>
    <mergeCell ref="N2025:P2025"/>
    <mergeCell ref="C2026:E2026"/>
    <mergeCell ref="F2026:G2026"/>
    <mergeCell ref="I2026:J2026"/>
    <mergeCell ref="K2026:L2026"/>
    <mergeCell ref="M2026:P2026"/>
    <mergeCell ref="C2027:E2027"/>
    <mergeCell ref="F2027:I2027"/>
    <mergeCell ref="J2027:K2027"/>
    <mergeCell ref="L2027:P2027"/>
    <mergeCell ref="C2028:E2028"/>
    <mergeCell ref="F2028:P2028"/>
    <mergeCell ref="F2031:G2031"/>
    <mergeCell ref="H2031:I2031"/>
    <mergeCell ref="J2031:K2031"/>
    <mergeCell ref="L2031:M2031"/>
    <mergeCell ref="N2031:O2031"/>
    <mergeCell ref="F2032:O2032"/>
    <mergeCell ref="D2036:F2036"/>
    <mergeCell ref="G2036:N2036"/>
    <mergeCell ref="D2037:F2037"/>
    <mergeCell ref="D2038:F2038"/>
    <mergeCell ref="D2039:F2039"/>
    <mergeCell ref="M2039:N2039"/>
    <mergeCell ref="D2040:F2040"/>
    <mergeCell ref="M2040:N2040"/>
    <mergeCell ref="D2041:F2041"/>
    <mergeCell ref="M2041:N2041"/>
    <mergeCell ref="D2042:F2042"/>
    <mergeCell ref="M2042:N2042"/>
    <mergeCell ref="D2043:F2043"/>
    <mergeCell ref="M2043:N2043"/>
    <mergeCell ref="D2044:F2044"/>
    <mergeCell ref="M2044:N2044"/>
    <mergeCell ref="D2045:F2045"/>
    <mergeCell ref="M2045:N2045"/>
    <mergeCell ref="D2046:F2046"/>
    <mergeCell ref="M2046:N2046"/>
    <mergeCell ref="D2047:M2047"/>
    <mergeCell ref="E2048:M2048"/>
    <mergeCell ref="D2054:G2054"/>
    <mergeCell ref="H2054:I2054"/>
    <mergeCell ref="D2055:G2055"/>
    <mergeCell ref="H2055:I2055"/>
    <mergeCell ref="L2055:M2055"/>
    <mergeCell ref="N2055:O2055"/>
    <mergeCell ref="D2056:G2056"/>
    <mergeCell ref="H2056:I2056"/>
    <mergeCell ref="L2056:M2056"/>
    <mergeCell ref="N2056:O2056"/>
    <mergeCell ref="E2066:F2066"/>
    <mergeCell ref="M2066:O2066"/>
    <mergeCell ref="E2067:F2067"/>
    <mergeCell ref="M2067:O2067"/>
    <mergeCell ref="C2075:P2075"/>
    <mergeCell ref="C2077:P2077"/>
    <mergeCell ref="C2079:E2079"/>
    <mergeCell ref="F2079:P2079"/>
    <mergeCell ref="C2080:E2080"/>
    <mergeCell ref="F2080:G2080"/>
    <mergeCell ref="H2080:I2080"/>
    <mergeCell ref="L2080:P2080"/>
    <mergeCell ref="C2081:E2081"/>
    <mergeCell ref="F2081:K2081"/>
    <mergeCell ref="L2081:M2081"/>
    <mergeCell ref="N2081:P2081"/>
    <mergeCell ref="C2082:E2082"/>
    <mergeCell ref="F2082:G2082"/>
    <mergeCell ref="I2082:J2082"/>
    <mergeCell ref="K2082:L2082"/>
    <mergeCell ref="M2082:P2082"/>
    <mergeCell ref="C2083:E2083"/>
    <mergeCell ref="F2083:I2083"/>
    <mergeCell ref="J2083:K2083"/>
    <mergeCell ref="L2083:P2083"/>
    <mergeCell ref="C2084:E2084"/>
    <mergeCell ref="F2084:P2084"/>
    <mergeCell ref="F2087:G2087"/>
    <mergeCell ref="H2087:I2087"/>
    <mergeCell ref="J2087:K2087"/>
    <mergeCell ref="L2087:M2087"/>
    <mergeCell ref="N2087:O2087"/>
    <mergeCell ref="F2088:O2088"/>
    <mergeCell ref="D2092:F2092"/>
    <mergeCell ref="G2092:N2092"/>
    <mergeCell ref="D2093:F2093"/>
    <mergeCell ref="D2094:F2094"/>
    <mergeCell ref="D2095:F2095"/>
    <mergeCell ref="M2095:N2095"/>
    <mergeCell ref="D2096:F2096"/>
    <mergeCell ref="M2096:N2096"/>
    <mergeCell ref="D2097:F2097"/>
    <mergeCell ref="M2097:N2097"/>
    <mergeCell ref="D2098:F2098"/>
    <mergeCell ref="M2098:N2098"/>
    <mergeCell ref="D2099:F2099"/>
    <mergeCell ref="M2099:N2099"/>
    <mergeCell ref="D2100:F2100"/>
    <mergeCell ref="M2100:N2100"/>
    <mergeCell ref="D2101:F2101"/>
    <mergeCell ref="M2101:N2101"/>
    <mergeCell ref="D2102:F2102"/>
    <mergeCell ref="M2102:N2102"/>
    <mergeCell ref="D2103:M2103"/>
    <mergeCell ref="E2104:M2104"/>
    <mergeCell ref="D2110:G2110"/>
    <mergeCell ref="H2110:I2110"/>
    <mergeCell ref="D2111:G2111"/>
    <mergeCell ref="H2111:I2111"/>
    <mergeCell ref="L2111:M2111"/>
    <mergeCell ref="N2111:O2111"/>
    <mergeCell ref="D2112:G2112"/>
    <mergeCell ref="H2112:I2112"/>
    <mergeCell ref="L2112:M2112"/>
    <mergeCell ref="N2112:O2112"/>
    <mergeCell ref="E2122:F2122"/>
    <mergeCell ref="M2122:O2122"/>
    <mergeCell ref="E2123:F2123"/>
    <mergeCell ref="M2123:O2123"/>
    <mergeCell ref="C2131:P2131"/>
    <mergeCell ref="C2133:P2133"/>
    <mergeCell ref="C2135:E2135"/>
    <mergeCell ref="F2135:P2135"/>
    <mergeCell ref="C2136:E2136"/>
    <mergeCell ref="F2136:G2136"/>
    <mergeCell ref="H2136:I2136"/>
    <mergeCell ref="L2136:P2136"/>
    <mergeCell ref="C2137:E2137"/>
    <mergeCell ref="F2137:K2137"/>
    <mergeCell ref="L2137:M2137"/>
    <mergeCell ref="N2137:P2137"/>
    <mergeCell ref="C2138:E2138"/>
    <mergeCell ref="F2138:G2138"/>
    <mergeCell ref="I2138:J2138"/>
    <mergeCell ref="K2138:L2138"/>
    <mergeCell ref="M2138:P2138"/>
    <mergeCell ref="C2139:E2139"/>
    <mergeCell ref="F2139:I2139"/>
    <mergeCell ref="J2139:K2139"/>
    <mergeCell ref="L2139:P2139"/>
    <mergeCell ref="C2140:E2140"/>
    <mergeCell ref="F2140:P2140"/>
    <mergeCell ref="F2143:G2143"/>
    <mergeCell ref="H2143:I2143"/>
    <mergeCell ref="J2143:K2143"/>
    <mergeCell ref="L2143:M2143"/>
    <mergeCell ref="N2143:O2143"/>
    <mergeCell ref="F2144:O2144"/>
    <mergeCell ref="D2148:F2148"/>
    <mergeCell ref="G2148:N2148"/>
    <mergeCell ref="D2149:F2149"/>
    <mergeCell ref="D2150:F2150"/>
    <mergeCell ref="D2151:F2151"/>
    <mergeCell ref="M2151:N2151"/>
    <mergeCell ref="D2152:F2152"/>
    <mergeCell ref="M2152:N2152"/>
    <mergeCell ref="D2153:F2153"/>
    <mergeCell ref="M2153:N2153"/>
    <mergeCell ref="D2154:F2154"/>
    <mergeCell ref="M2154:N2154"/>
    <mergeCell ref="D2155:F2155"/>
    <mergeCell ref="M2155:N2155"/>
    <mergeCell ref="D2156:F2156"/>
    <mergeCell ref="M2156:N2156"/>
    <mergeCell ref="D2157:F2157"/>
    <mergeCell ref="M2157:N2157"/>
    <mergeCell ref="D2158:F2158"/>
    <mergeCell ref="M2158:N2158"/>
    <mergeCell ref="D2159:M2159"/>
    <mergeCell ref="E2160:M2160"/>
    <mergeCell ref="D2166:G2166"/>
    <mergeCell ref="H2166:I2166"/>
    <mergeCell ref="D2167:G2167"/>
    <mergeCell ref="H2167:I2167"/>
    <mergeCell ref="L2167:M2167"/>
    <mergeCell ref="N2167:O2167"/>
    <mergeCell ref="D2168:G2168"/>
    <mergeCell ref="H2168:I2168"/>
    <mergeCell ref="L2168:M2168"/>
    <mergeCell ref="N2168:O2168"/>
    <mergeCell ref="E2178:F2178"/>
    <mergeCell ref="M2178:O2178"/>
    <mergeCell ref="E2179:F2179"/>
    <mergeCell ref="M2179:O2179"/>
    <mergeCell ref="C2187:P2187"/>
    <mergeCell ref="C2189:P2189"/>
    <mergeCell ref="C2191:E2191"/>
    <mergeCell ref="F2191:P2191"/>
    <mergeCell ref="C2192:E2192"/>
    <mergeCell ref="F2192:G2192"/>
    <mergeCell ref="H2192:I2192"/>
    <mergeCell ref="L2192:P2192"/>
    <mergeCell ref="C2193:E2193"/>
    <mergeCell ref="F2193:K2193"/>
    <mergeCell ref="L2193:M2193"/>
    <mergeCell ref="N2193:P2193"/>
    <mergeCell ref="C2194:E2194"/>
    <mergeCell ref="F2194:G2194"/>
    <mergeCell ref="I2194:J2194"/>
    <mergeCell ref="K2194:L2194"/>
    <mergeCell ref="M2194:P2194"/>
    <mergeCell ref="C2195:E2195"/>
    <mergeCell ref="F2195:I2195"/>
    <mergeCell ref="J2195:K2195"/>
    <mergeCell ref="L2195:P2195"/>
    <mergeCell ref="C2196:E2196"/>
    <mergeCell ref="F2196:P2196"/>
    <mergeCell ref="F2199:G2199"/>
    <mergeCell ref="H2199:I2199"/>
    <mergeCell ref="J2199:K2199"/>
    <mergeCell ref="L2199:M2199"/>
    <mergeCell ref="N2199:O2199"/>
    <mergeCell ref="F2200:O2200"/>
    <mergeCell ref="D2204:F2204"/>
    <mergeCell ref="G2204:N2204"/>
    <mergeCell ref="D2205:F2205"/>
    <mergeCell ref="D2206:F2206"/>
    <mergeCell ref="D2207:F2207"/>
    <mergeCell ref="M2207:N2207"/>
    <mergeCell ref="D2208:F2208"/>
    <mergeCell ref="M2208:N2208"/>
    <mergeCell ref="D2209:F2209"/>
    <mergeCell ref="M2209:N2209"/>
    <mergeCell ref="D2210:F2210"/>
    <mergeCell ref="M2210:N2210"/>
    <mergeCell ref="D2211:F2211"/>
    <mergeCell ref="M2211:N2211"/>
    <mergeCell ref="D2212:F2212"/>
    <mergeCell ref="M2212:N2212"/>
    <mergeCell ref="D2213:F2213"/>
    <mergeCell ref="M2213:N2213"/>
    <mergeCell ref="D2214:F2214"/>
    <mergeCell ref="M2214:N2214"/>
    <mergeCell ref="D2215:M2215"/>
    <mergeCell ref="E2216:M2216"/>
    <mergeCell ref="D2222:G2222"/>
    <mergeCell ref="H2222:I2222"/>
    <mergeCell ref="D2223:G2223"/>
    <mergeCell ref="H2223:I2223"/>
    <mergeCell ref="L2223:M2223"/>
    <mergeCell ref="N2223:O2223"/>
    <mergeCell ref="D2224:G2224"/>
    <mergeCell ref="H2224:I2224"/>
    <mergeCell ref="L2224:M2224"/>
    <mergeCell ref="N2224:O2224"/>
    <mergeCell ref="E2234:F2234"/>
    <mergeCell ref="M2234:O2234"/>
    <mergeCell ref="E2235:F2235"/>
    <mergeCell ref="M2235:O2235"/>
    <mergeCell ref="C2243:P2243"/>
    <mergeCell ref="C2245:P2245"/>
    <mergeCell ref="C2247:E2247"/>
    <mergeCell ref="F2247:P2247"/>
    <mergeCell ref="C2248:E2248"/>
    <mergeCell ref="F2248:G2248"/>
    <mergeCell ref="H2248:I2248"/>
    <mergeCell ref="L2248:P2248"/>
    <mergeCell ref="C2249:E2249"/>
    <mergeCell ref="F2249:K2249"/>
    <mergeCell ref="L2249:M2249"/>
    <mergeCell ref="N2249:P2249"/>
    <mergeCell ref="C2250:E2250"/>
    <mergeCell ref="F2250:G2250"/>
    <mergeCell ref="I2250:J2250"/>
    <mergeCell ref="K2250:L2250"/>
    <mergeCell ref="M2250:P2250"/>
    <mergeCell ref="C2251:E2251"/>
    <mergeCell ref="F2251:I2251"/>
    <mergeCell ref="J2251:K2251"/>
    <mergeCell ref="L2251:P2251"/>
    <mergeCell ref="C2252:E2252"/>
    <mergeCell ref="F2252:P2252"/>
    <mergeCell ref="F2255:G2255"/>
    <mergeCell ref="H2255:I2255"/>
    <mergeCell ref="J2255:K2255"/>
    <mergeCell ref="L2255:M2255"/>
    <mergeCell ref="N2255:O2255"/>
    <mergeCell ref="F2256:O2256"/>
    <mergeCell ref="D2260:F2260"/>
    <mergeCell ref="G2260:N2260"/>
    <mergeCell ref="D2261:F2261"/>
    <mergeCell ref="D2262:F2262"/>
    <mergeCell ref="D2263:F2263"/>
    <mergeCell ref="M2263:N2263"/>
    <mergeCell ref="D2264:F2264"/>
    <mergeCell ref="M2264:N2264"/>
    <mergeCell ref="D2265:F2265"/>
    <mergeCell ref="M2265:N2265"/>
    <mergeCell ref="D2266:F2266"/>
    <mergeCell ref="M2266:N2266"/>
    <mergeCell ref="D2267:F2267"/>
    <mergeCell ref="M2267:N2267"/>
    <mergeCell ref="D2268:F2268"/>
    <mergeCell ref="M2268:N2268"/>
    <mergeCell ref="D2269:F2269"/>
    <mergeCell ref="M2269:N2269"/>
    <mergeCell ref="D2270:F2270"/>
    <mergeCell ref="M2270:N2270"/>
    <mergeCell ref="D2271:M2271"/>
    <mergeCell ref="E2272:M2272"/>
    <mergeCell ref="D2278:G2278"/>
    <mergeCell ref="H2278:I2278"/>
    <mergeCell ref="D2279:G2279"/>
    <mergeCell ref="H2279:I2279"/>
    <mergeCell ref="L2279:M2279"/>
    <mergeCell ref="N2279:O2279"/>
    <mergeCell ref="D2280:G2280"/>
    <mergeCell ref="H2280:I2280"/>
    <mergeCell ref="L2280:M2280"/>
    <mergeCell ref="N2280:O2280"/>
    <mergeCell ref="E2290:F2290"/>
    <mergeCell ref="M2290:O2290"/>
    <mergeCell ref="E2291:F2291"/>
    <mergeCell ref="M2291:O2291"/>
    <mergeCell ref="C2299:P2299"/>
    <mergeCell ref="C2301:P2301"/>
    <mergeCell ref="C2303:E2303"/>
    <mergeCell ref="F2303:P2303"/>
    <mergeCell ref="C2304:E2304"/>
    <mergeCell ref="F2304:G2304"/>
    <mergeCell ref="H2304:I2304"/>
    <mergeCell ref="L2304:P2304"/>
    <mergeCell ref="C2305:E2305"/>
    <mergeCell ref="F2305:K2305"/>
    <mergeCell ref="L2305:M2305"/>
    <mergeCell ref="N2305:P2305"/>
    <mergeCell ref="C2306:E2306"/>
    <mergeCell ref="F2306:G2306"/>
    <mergeCell ref="I2306:J2306"/>
    <mergeCell ref="K2306:L2306"/>
    <mergeCell ref="M2306:P2306"/>
    <mergeCell ref="C2307:E2307"/>
    <mergeCell ref="F2307:I2307"/>
    <mergeCell ref="J2307:K2307"/>
    <mergeCell ref="L2307:P2307"/>
    <mergeCell ref="C2308:E2308"/>
    <mergeCell ref="F2308:P2308"/>
    <mergeCell ref="F2311:G2311"/>
    <mergeCell ref="H2311:I2311"/>
    <mergeCell ref="J2311:K2311"/>
    <mergeCell ref="L2311:M2311"/>
    <mergeCell ref="N2311:O2311"/>
    <mergeCell ref="F2312:O2312"/>
    <mergeCell ref="D2316:F2316"/>
    <mergeCell ref="G2316:N2316"/>
    <mergeCell ref="D2317:F2317"/>
    <mergeCell ref="D2318:F2318"/>
    <mergeCell ref="D2319:F2319"/>
    <mergeCell ref="M2319:N2319"/>
    <mergeCell ref="D2320:F2320"/>
    <mergeCell ref="M2320:N2320"/>
    <mergeCell ref="D2321:F2321"/>
    <mergeCell ref="M2321:N2321"/>
    <mergeCell ref="D2322:F2322"/>
    <mergeCell ref="M2322:N2322"/>
    <mergeCell ref="D2323:F2323"/>
    <mergeCell ref="M2323:N2323"/>
    <mergeCell ref="D2324:F2324"/>
    <mergeCell ref="M2324:N2324"/>
    <mergeCell ref="D2325:F2325"/>
    <mergeCell ref="M2325:N2325"/>
    <mergeCell ref="D2326:F2326"/>
    <mergeCell ref="M2326:N2326"/>
    <mergeCell ref="D2327:M2327"/>
    <mergeCell ref="E2328:M2328"/>
    <mergeCell ref="D2334:G2334"/>
    <mergeCell ref="H2334:I2334"/>
    <mergeCell ref="D2335:G2335"/>
    <mergeCell ref="H2335:I2335"/>
    <mergeCell ref="L2335:M2335"/>
    <mergeCell ref="N2335:O2335"/>
    <mergeCell ref="D2336:G2336"/>
    <mergeCell ref="H2336:I2336"/>
    <mergeCell ref="L2336:M2336"/>
    <mergeCell ref="N2336:O2336"/>
    <mergeCell ref="E2346:F2346"/>
    <mergeCell ref="M2346:O2346"/>
    <mergeCell ref="E2347:F2347"/>
    <mergeCell ref="M2347:O2347"/>
    <mergeCell ref="C2355:P2355"/>
    <mergeCell ref="C2357:P2357"/>
    <mergeCell ref="C2359:E2359"/>
    <mergeCell ref="F2359:P2359"/>
    <mergeCell ref="C2360:E2360"/>
    <mergeCell ref="F2360:G2360"/>
    <mergeCell ref="H2360:I2360"/>
    <mergeCell ref="L2360:P2360"/>
    <mergeCell ref="C2361:E2361"/>
    <mergeCell ref="F2361:K2361"/>
    <mergeCell ref="L2361:M2361"/>
    <mergeCell ref="N2361:P2361"/>
    <mergeCell ref="C2362:E2362"/>
    <mergeCell ref="F2362:G2362"/>
    <mergeCell ref="I2362:J2362"/>
    <mergeCell ref="K2362:L2362"/>
    <mergeCell ref="M2362:P2362"/>
    <mergeCell ref="C2363:E2363"/>
    <mergeCell ref="F2363:I2363"/>
    <mergeCell ref="J2363:K2363"/>
    <mergeCell ref="L2363:P2363"/>
    <mergeCell ref="C2364:E2364"/>
    <mergeCell ref="F2364:P2364"/>
    <mergeCell ref="F2367:G2367"/>
    <mergeCell ref="H2367:I2367"/>
    <mergeCell ref="J2367:K2367"/>
    <mergeCell ref="L2367:M2367"/>
    <mergeCell ref="N2367:O2367"/>
    <mergeCell ref="F2368:O2368"/>
    <mergeCell ref="D2372:F2372"/>
    <mergeCell ref="G2372:N2372"/>
    <mergeCell ref="D2373:F2373"/>
    <mergeCell ref="D2374:F2374"/>
    <mergeCell ref="D2375:F2375"/>
    <mergeCell ref="M2375:N2375"/>
    <mergeCell ref="D2376:F2376"/>
    <mergeCell ref="M2376:N2376"/>
    <mergeCell ref="D2377:F2377"/>
    <mergeCell ref="M2377:N2377"/>
    <mergeCell ref="D2378:F2378"/>
    <mergeCell ref="M2378:N2378"/>
    <mergeCell ref="D2379:F2379"/>
    <mergeCell ref="M2379:N2379"/>
    <mergeCell ref="D2380:F2380"/>
    <mergeCell ref="M2380:N2380"/>
    <mergeCell ref="D2381:F2381"/>
    <mergeCell ref="M2381:N2381"/>
    <mergeCell ref="D2382:F2382"/>
    <mergeCell ref="M2382:N2382"/>
    <mergeCell ref="D2383:M2383"/>
    <mergeCell ref="E2384:M2384"/>
    <mergeCell ref="D2390:G2390"/>
    <mergeCell ref="H2390:I2390"/>
    <mergeCell ref="D2391:G2391"/>
    <mergeCell ref="H2391:I2391"/>
    <mergeCell ref="L2391:M2391"/>
    <mergeCell ref="N2391:O2391"/>
    <mergeCell ref="D2392:G2392"/>
    <mergeCell ref="H2392:I2392"/>
    <mergeCell ref="L2392:M2392"/>
    <mergeCell ref="N2392:O2392"/>
    <mergeCell ref="E2402:F2402"/>
    <mergeCell ref="M2402:O2402"/>
    <mergeCell ref="E2403:F2403"/>
    <mergeCell ref="M2403:O2403"/>
    <mergeCell ref="C2411:P2411"/>
    <mergeCell ref="C2413:P2413"/>
    <mergeCell ref="C2415:E2415"/>
    <mergeCell ref="F2415:P2415"/>
    <mergeCell ref="C2416:E2416"/>
    <mergeCell ref="F2416:G2416"/>
    <mergeCell ref="H2416:I2416"/>
    <mergeCell ref="L2416:P2416"/>
    <mergeCell ref="C2417:E2417"/>
    <mergeCell ref="F2417:K2417"/>
    <mergeCell ref="L2417:M2417"/>
    <mergeCell ref="N2417:P2417"/>
    <mergeCell ref="C2418:E2418"/>
    <mergeCell ref="F2418:G2418"/>
    <mergeCell ref="I2418:J2418"/>
    <mergeCell ref="K2418:L2418"/>
    <mergeCell ref="M2418:P2418"/>
    <mergeCell ref="C2419:E2419"/>
    <mergeCell ref="F2419:I2419"/>
    <mergeCell ref="J2419:K2419"/>
    <mergeCell ref="L2419:P2419"/>
    <mergeCell ref="C2420:E2420"/>
    <mergeCell ref="F2420:P2420"/>
    <mergeCell ref="F2423:G2423"/>
    <mergeCell ref="H2423:I2423"/>
    <mergeCell ref="J2423:K2423"/>
    <mergeCell ref="L2423:M2423"/>
    <mergeCell ref="N2423:O2423"/>
    <mergeCell ref="F2424:O2424"/>
    <mergeCell ref="D2428:F2428"/>
    <mergeCell ref="G2428:N2428"/>
    <mergeCell ref="D2429:F2429"/>
    <mergeCell ref="D2430:F2430"/>
    <mergeCell ref="D2431:F2431"/>
    <mergeCell ref="M2431:N2431"/>
    <mergeCell ref="D2432:F2432"/>
    <mergeCell ref="M2432:N2432"/>
    <mergeCell ref="D2433:F2433"/>
    <mergeCell ref="M2433:N2433"/>
    <mergeCell ref="D2434:F2434"/>
    <mergeCell ref="M2434:N2434"/>
    <mergeCell ref="D2435:F2435"/>
    <mergeCell ref="M2435:N2435"/>
    <mergeCell ref="D2436:F2436"/>
    <mergeCell ref="M2436:N2436"/>
    <mergeCell ref="D2437:F2437"/>
    <mergeCell ref="M2437:N2437"/>
    <mergeCell ref="D2438:F2438"/>
    <mergeCell ref="M2438:N2438"/>
    <mergeCell ref="D2439:M2439"/>
    <mergeCell ref="E2440:M2440"/>
    <mergeCell ref="D2446:G2446"/>
    <mergeCell ref="H2446:I2446"/>
    <mergeCell ref="D2447:G2447"/>
    <mergeCell ref="H2447:I2447"/>
    <mergeCell ref="L2447:M2447"/>
    <mergeCell ref="N2447:O2447"/>
    <mergeCell ref="D2448:G2448"/>
    <mergeCell ref="H2448:I2448"/>
    <mergeCell ref="L2448:M2448"/>
    <mergeCell ref="N2448:O2448"/>
    <mergeCell ref="E2458:F2458"/>
    <mergeCell ref="M2458:O2458"/>
    <mergeCell ref="E2459:F2459"/>
    <mergeCell ref="M2459:O2459"/>
    <mergeCell ref="C2467:P2467"/>
    <mergeCell ref="C2469:P2469"/>
    <mergeCell ref="C2471:E2471"/>
    <mergeCell ref="F2471:P2471"/>
    <mergeCell ref="C2472:E2472"/>
    <mergeCell ref="F2472:G2472"/>
    <mergeCell ref="H2472:I2472"/>
    <mergeCell ref="L2472:P2472"/>
    <mergeCell ref="C2473:E2473"/>
    <mergeCell ref="F2473:K2473"/>
    <mergeCell ref="L2473:M2473"/>
    <mergeCell ref="N2473:P2473"/>
    <mergeCell ref="C2474:E2474"/>
    <mergeCell ref="F2474:G2474"/>
    <mergeCell ref="I2474:J2474"/>
    <mergeCell ref="K2474:L2474"/>
    <mergeCell ref="M2474:P2474"/>
    <mergeCell ref="C2475:E2475"/>
    <mergeCell ref="F2475:I2475"/>
    <mergeCell ref="J2475:K2475"/>
    <mergeCell ref="L2475:P2475"/>
    <mergeCell ref="C2476:E2476"/>
    <mergeCell ref="F2476:P2476"/>
    <mergeCell ref="F2479:G2479"/>
    <mergeCell ref="H2479:I2479"/>
    <mergeCell ref="J2479:K2479"/>
    <mergeCell ref="L2479:M2479"/>
    <mergeCell ref="N2479:O2479"/>
    <mergeCell ref="F2480:O2480"/>
    <mergeCell ref="D2484:F2484"/>
    <mergeCell ref="G2484:N2484"/>
    <mergeCell ref="D2485:F2485"/>
    <mergeCell ref="D2486:F2486"/>
    <mergeCell ref="D2487:F2487"/>
    <mergeCell ref="M2487:N2487"/>
    <mergeCell ref="D2488:F2488"/>
    <mergeCell ref="M2488:N2488"/>
    <mergeCell ref="D2489:F2489"/>
    <mergeCell ref="M2489:N2489"/>
    <mergeCell ref="D2490:F2490"/>
    <mergeCell ref="M2490:N2490"/>
    <mergeCell ref="D2491:F2491"/>
    <mergeCell ref="M2491:N2491"/>
    <mergeCell ref="D2492:F2492"/>
    <mergeCell ref="M2492:N2492"/>
    <mergeCell ref="D2493:F2493"/>
    <mergeCell ref="M2493:N2493"/>
    <mergeCell ref="D2494:F2494"/>
    <mergeCell ref="M2494:N2494"/>
    <mergeCell ref="D2495:M2495"/>
    <mergeCell ref="E2496:M2496"/>
    <mergeCell ref="D2502:G2502"/>
    <mergeCell ref="H2502:I2502"/>
    <mergeCell ref="D2503:G2503"/>
    <mergeCell ref="H2503:I2503"/>
    <mergeCell ref="L2503:M2503"/>
    <mergeCell ref="N2503:O2503"/>
    <mergeCell ref="D2504:G2504"/>
    <mergeCell ref="H2504:I2504"/>
    <mergeCell ref="L2504:M2504"/>
    <mergeCell ref="N2504:O2504"/>
    <mergeCell ref="E2514:F2514"/>
    <mergeCell ref="M2514:O2514"/>
    <mergeCell ref="E2515:F2515"/>
    <mergeCell ref="M2515:O2515"/>
    <mergeCell ref="C2523:P2523"/>
    <mergeCell ref="C2525:P2525"/>
    <mergeCell ref="C2527:E2527"/>
    <mergeCell ref="F2527:P2527"/>
    <mergeCell ref="C2528:E2528"/>
    <mergeCell ref="F2528:G2528"/>
    <mergeCell ref="H2528:I2528"/>
    <mergeCell ref="L2528:P2528"/>
    <mergeCell ref="C2529:E2529"/>
    <mergeCell ref="F2529:K2529"/>
    <mergeCell ref="L2529:M2529"/>
    <mergeCell ref="N2529:P2529"/>
    <mergeCell ref="C2530:E2530"/>
    <mergeCell ref="F2530:G2530"/>
    <mergeCell ref="I2530:J2530"/>
    <mergeCell ref="K2530:L2530"/>
    <mergeCell ref="M2530:P2530"/>
    <mergeCell ref="C2531:E2531"/>
    <mergeCell ref="F2531:I2531"/>
    <mergeCell ref="J2531:K2531"/>
    <mergeCell ref="L2531:P2531"/>
    <mergeCell ref="C2532:E2532"/>
    <mergeCell ref="F2532:P2532"/>
    <mergeCell ref="F2535:G2535"/>
    <mergeCell ref="H2535:I2535"/>
    <mergeCell ref="J2535:K2535"/>
    <mergeCell ref="L2535:M2535"/>
    <mergeCell ref="N2535:O2535"/>
    <mergeCell ref="F2536:O2536"/>
    <mergeCell ref="D2540:F2540"/>
    <mergeCell ref="G2540:N2540"/>
    <mergeCell ref="D2541:F2541"/>
    <mergeCell ref="D2542:F2542"/>
    <mergeCell ref="D2543:F2543"/>
    <mergeCell ref="M2543:N2543"/>
    <mergeCell ref="D2544:F2544"/>
    <mergeCell ref="M2544:N2544"/>
    <mergeCell ref="D2545:F2545"/>
    <mergeCell ref="M2545:N2545"/>
    <mergeCell ref="D2546:F2546"/>
    <mergeCell ref="M2546:N2546"/>
    <mergeCell ref="D2547:F2547"/>
    <mergeCell ref="M2547:N2547"/>
    <mergeCell ref="D2548:F2548"/>
    <mergeCell ref="M2548:N2548"/>
    <mergeCell ref="D2549:F2549"/>
    <mergeCell ref="M2549:N2549"/>
    <mergeCell ref="D2550:F2550"/>
    <mergeCell ref="M2550:N2550"/>
    <mergeCell ref="D2551:M2551"/>
    <mergeCell ref="E2552:M2552"/>
    <mergeCell ref="D2558:G2558"/>
    <mergeCell ref="H2558:I2558"/>
    <mergeCell ref="D2559:G2559"/>
    <mergeCell ref="H2559:I2559"/>
    <mergeCell ref="L2559:M2559"/>
    <mergeCell ref="N2559:O2559"/>
    <mergeCell ref="D2560:G2560"/>
    <mergeCell ref="H2560:I2560"/>
    <mergeCell ref="L2560:M2560"/>
    <mergeCell ref="N2560:O2560"/>
    <mergeCell ref="E2570:F2570"/>
    <mergeCell ref="M2570:O2570"/>
    <mergeCell ref="E2571:F2571"/>
    <mergeCell ref="M2571:O2571"/>
    <mergeCell ref="C2579:P2579"/>
    <mergeCell ref="C2581:P2581"/>
    <mergeCell ref="C2583:E2583"/>
    <mergeCell ref="F2583:P2583"/>
    <mergeCell ref="C2584:E2584"/>
    <mergeCell ref="F2584:G2584"/>
    <mergeCell ref="H2584:I2584"/>
    <mergeCell ref="L2584:P2584"/>
    <mergeCell ref="C2585:E2585"/>
    <mergeCell ref="F2585:K2585"/>
    <mergeCell ref="L2585:M2585"/>
    <mergeCell ref="N2585:P2585"/>
    <mergeCell ref="C2586:E2586"/>
    <mergeCell ref="F2586:G2586"/>
    <mergeCell ref="I2586:J2586"/>
    <mergeCell ref="K2586:L2586"/>
    <mergeCell ref="M2586:P2586"/>
    <mergeCell ref="C2587:E2587"/>
    <mergeCell ref="F2587:I2587"/>
    <mergeCell ref="J2587:K2587"/>
    <mergeCell ref="L2587:P2587"/>
    <mergeCell ref="C2588:E2588"/>
    <mergeCell ref="F2588:P2588"/>
    <mergeCell ref="F2591:G2591"/>
    <mergeCell ref="H2591:I2591"/>
    <mergeCell ref="J2591:K2591"/>
    <mergeCell ref="L2591:M2591"/>
    <mergeCell ref="N2591:O2591"/>
    <mergeCell ref="F2592:O2592"/>
    <mergeCell ref="D2596:F2596"/>
    <mergeCell ref="G2596:N2596"/>
    <mergeCell ref="D2597:F2597"/>
    <mergeCell ref="D2598:F2598"/>
    <mergeCell ref="D2599:F2599"/>
    <mergeCell ref="M2599:N2599"/>
    <mergeCell ref="D2600:F2600"/>
    <mergeCell ref="M2600:N2600"/>
    <mergeCell ref="D2601:F2601"/>
    <mergeCell ref="M2601:N2601"/>
    <mergeCell ref="D2602:F2602"/>
    <mergeCell ref="M2602:N2602"/>
    <mergeCell ref="D2603:F2603"/>
    <mergeCell ref="M2603:N2603"/>
    <mergeCell ref="D2604:F2604"/>
    <mergeCell ref="M2604:N2604"/>
    <mergeCell ref="D2605:F2605"/>
    <mergeCell ref="M2605:N2605"/>
    <mergeCell ref="D2606:F2606"/>
    <mergeCell ref="M2606:N2606"/>
    <mergeCell ref="D2607:M2607"/>
    <mergeCell ref="E2608:M2608"/>
    <mergeCell ref="D2614:G2614"/>
    <mergeCell ref="H2614:I2614"/>
    <mergeCell ref="D2615:G2615"/>
    <mergeCell ref="H2615:I2615"/>
    <mergeCell ref="L2615:M2615"/>
    <mergeCell ref="N2615:O2615"/>
    <mergeCell ref="D2616:G2616"/>
    <mergeCell ref="H2616:I2616"/>
    <mergeCell ref="L2616:M2616"/>
    <mergeCell ref="N2616:O2616"/>
    <mergeCell ref="E2626:F2626"/>
    <mergeCell ref="M2626:O2626"/>
    <mergeCell ref="E2627:F2627"/>
    <mergeCell ref="M2627:O2627"/>
    <mergeCell ref="C2635:P2635"/>
    <mergeCell ref="C2637:P2637"/>
    <mergeCell ref="C2639:E2639"/>
    <mergeCell ref="F2639:P2639"/>
    <mergeCell ref="C2640:E2640"/>
    <mergeCell ref="F2640:G2640"/>
    <mergeCell ref="H2640:I2640"/>
    <mergeCell ref="L2640:P2640"/>
    <mergeCell ref="C2641:E2641"/>
    <mergeCell ref="F2641:K2641"/>
    <mergeCell ref="L2641:M2641"/>
    <mergeCell ref="N2641:P2641"/>
    <mergeCell ref="C2642:E2642"/>
    <mergeCell ref="F2642:G2642"/>
    <mergeCell ref="I2642:J2642"/>
    <mergeCell ref="K2642:L2642"/>
    <mergeCell ref="M2642:P2642"/>
    <mergeCell ref="C2643:E2643"/>
    <mergeCell ref="F2643:I2643"/>
    <mergeCell ref="J2643:K2643"/>
    <mergeCell ref="L2643:P2643"/>
    <mergeCell ref="C2644:E2644"/>
    <mergeCell ref="F2644:P2644"/>
    <mergeCell ref="F2647:G2647"/>
    <mergeCell ref="H2647:I2647"/>
    <mergeCell ref="J2647:K2647"/>
    <mergeCell ref="L2647:M2647"/>
    <mergeCell ref="N2647:O2647"/>
    <mergeCell ref="F2648:O2648"/>
    <mergeCell ref="D2652:F2652"/>
    <mergeCell ref="G2652:N2652"/>
    <mergeCell ref="D2653:F2653"/>
    <mergeCell ref="D2654:F2654"/>
    <mergeCell ref="D2655:F2655"/>
    <mergeCell ref="M2655:N2655"/>
    <mergeCell ref="D2656:F2656"/>
    <mergeCell ref="M2656:N2656"/>
    <mergeCell ref="D2657:F2657"/>
    <mergeCell ref="M2657:N2657"/>
    <mergeCell ref="D2658:F2658"/>
    <mergeCell ref="M2658:N2658"/>
    <mergeCell ref="D2659:F2659"/>
    <mergeCell ref="M2659:N2659"/>
    <mergeCell ref="D2660:F2660"/>
    <mergeCell ref="M2660:N2660"/>
    <mergeCell ref="D2661:F2661"/>
    <mergeCell ref="M2661:N2661"/>
    <mergeCell ref="D2662:F2662"/>
    <mergeCell ref="M2662:N2662"/>
    <mergeCell ref="D2663:M2663"/>
    <mergeCell ref="E2664:M2664"/>
    <mergeCell ref="D2670:G2670"/>
    <mergeCell ref="H2670:I2670"/>
    <mergeCell ref="D2671:G2671"/>
    <mergeCell ref="H2671:I2671"/>
    <mergeCell ref="L2671:M2671"/>
    <mergeCell ref="N2671:O2671"/>
    <mergeCell ref="D2672:G2672"/>
    <mergeCell ref="H2672:I2672"/>
    <mergeCell ref="L2672:M2672"/>
    <mergeCell ref="N2672:O2672"/>
    <mergeCell ref="E2682:F2682"/>
    <mergeCell ref="M2682:O2682"/>
    <mergeCell ref="E2683:F2683"/>
    <mergeCell ref="M2683:O2683"/>
    <mergeCell ref="C2691:P2691"/>
    <mergeCell ref="C2693:P2693"/>
    <mergeCell ref="C2695:E2695"/>
    <mergeCell ref="F2695:P2695"/>
    <mergeCell ref="C2696:E2696"/>
    <mergeCell ref="F2696:G2696"/>
    <mergeCell ref="H2696:I2696"/>
    <mergeCell ref="L2696:P2696"/>
    <mergeCell ref="C2697:E2697"/>
    <mergeCell ref="F2697:K2697"/>
    <mergeCell ref="L2697:M2697"/>
    <mergeCell ref="N2697:P2697"/>
    <mergeCell ref="C2698:E2698"/>
    <mergeCell ref="F2698:G2698"/>
    <mergeCell ref="I2698:J2698"/>
    <mergeCell ref="K2698:L2698"/>
    <mergeCell ref="M2698:P2698"/>
    <mergeCell ref="C2699:E2699"/>
    <mergeCell ref="F2699:I2699"/>
    <mergeCell ref="J2699:K2699"/>
    <mergeCell ref="L2699:P2699"/>
    <mergeCell ref="C2700:E2700"/>
    <mergeCell ref="F2700:P2700"/>
    <mergeCell ref="F2703:G2703"/>
    <mergeCell ref="H2703:I2703"/>
    <mergeCell ref="J2703:K2703"/>
    <mergeCell ref="L2703:M2703"/>
    <mergeCell ref="N2703:O2703"/>
    <mergeCell ref="F2704:O2704"/>
    <mergeCell ref="D2708:F2708"/>
    <mergeCell ref="G2708:N2708"/>
    <mergeCell ref="D2709:F2709"/>
    <mergeCell ref="D2710:F2710"/>
    <mergeCell ref="D2711:F2711"/>
    <mergeCell ref="M2711:N2711"/>
    <mergeCell ref="D2712:F2712"/>
    <mergeCell ref="M2712:N2712"/>
    <mergeCell ref="D2713:F2713"/>
    <mergeCell ref="M2713:N2713"/>
    <mergeCell ref="D2714:F2714"/>
    <mergeCell ref="M2714:N2714"/>
    <mergeCell ref="D2715:F2715"/>
    <mergeCell ref="M2715:N2715"/>
    <mergeCell ref="D2716:F2716"/>
    <mergeCell ref="M2716:N2716"/>
    <mergeCell ref="D2717:F2717"/>
    <mergeCell ref="M2717:N2717"/>
    <mergeCell ref="D2718:F2718"/>
    <mergeCell ref="M2718:N2718"/>
    <mergeCell ref="D2719:M2719"/>
    <mergeCell ref="E2720:M2720"/>
    <mergeCell ref="D2726:G2726"/>
    <mergeCell ref="H2726:I2726"/>
    <mergeCell ref="D2727:G2727"/>
    <mergeCell ref="H2727:I2727"/>
    <mergeCell ref="L2727:M2727"/>
    <mergeCell ref="N2727:O2727"/>
    <mergeCell ref="D2728:G2728"/>
    <mergeCell ref="H2728:I2728"/>
    <mergeCell ref="L2728:M2728"/>
    <mergeCell ref="N2728:O2728"/>
    <mergeCell ref="E2738:F2738"/>
    <mergeCell ref="M2738:O2738"/>
    <mergeCell ref="E2739:F2739"/>
    <mergeCell ref="M2739:O2739"/>
    <mergeCell ref="C2747:P2747"/>
    <mergeCell ref="C2749:P2749"/>
    <mergeCell ref="C2751:E2751"/>
    <mergeCell ref="F2751:P2751"/>
    <mergeCell ref="C2752:E2752"/>
    <mergeCell ref="F2752:G2752"/>
    <mergeCell ref="H2752:I2752"/>
    <mergeCell ref="L2752:P2752"/>
    <mergeCell ref="C2753:E2753"/>
    <mergeCell ref="F2753:K2753"/>
    <mergeCell ref="L2753:M2753"/>
    <mergeCell ref="N2753:P2753"/>
    <mergeCell ref="C2754:E2754"/>
    <mergeCell ref="F2754:G2754"/>
    <mergeCell ref="I2754:J2754"/>
    <mergeCell ref="K2754:L2754"/>
    <mergeCell ref="M2754:P2754"/>
    <mergeCell ref="C2755:E2755"/>
    <mergeCell ref="F2755:I2755"/>
    <mergeCell ref="J2755:K2755"/>
    <mergeCell ref="L2755:P2755"/>
    <mergeCell ref="C2756:E2756"/>
    <mergeCell ref="F2756:P2756"/>
    <mergeCell ref="F2759:G2759"/>
    <mergeCell ref="H2759:I2759"/>
    <mergeCell ref="J2759:K2759"/>
    <mergeCell ref="L2759:M2759"/>
    <mergeCell ref="N2759:O2759"/>
    <mergeCell ref="F2760:O2760"/>
    <mergeCell ref="D2764:F2764"/>
    <mergeCell ref="G2764:N2764"/>
    <mergeCell ref="D2765:F2765"/>
    <mergeCell ref="D2766:F2766"/>
    <mergeCell ref="D2767:F2767"/>
    <mergeCell ref="M2767:N2767"/>
    <mergeCell ref="D2768:F2768"/>
    <mergeCell ref="M2768:N2768"/>
    <mergeCell ref="D2769:F2769"/>
    <mergeCell ref="M2769:N2769"/>
    <mergeCell ref="D2770:F2770"/>
    <mergeCell ref="M2770:N2770"/>
    <mergeCell ref="D2771:F2771"/>
    <mergeCell ref="M2771:N2771"/>
    <mergeCell ref="D2772:F2772"/>
    <mergeCell ref="M2772:N2772"/>
    <mergeCell ref="D2773:F2773"/>
    <mergeCell ref="M2773:N2773"/>
    <mergeCell ref="D2774:F2774"/>
    <mergeCell ref="M2774:N2774"/>
    <mergeCell ref="D2775:M2775"/>
    <mergeCell ref="E2776:M2776"/>
    <mergeCell ref="D2782:G2782"/>
    <mergeCell ref="H2782:I2782"/>
    <mergeCell ref="D2783:G2783"/>
    <mergeCell ref="H2783:I2783"/>
    <mergeCell ref="L2783:M2783"/>
    <mergeCell ref="N2783:O2783"/>
    <mergeCell ref="D2784:G2784"/>
    <mergeCell ref="H2784:I2784"/>
    <mergeCell ref="L2784:M2784"/>
    <mergeCell ref="N2784:O2784"/>
    <mergeCell ref="E2794:F2794"/>
    <mergeCell ref="M2794:O2794"/>
    <mergeCell ref="E2795:F2795"/>
    <mergeCell ref="M2795:O2795"/>
    <mergeCell ref="C2803:P2803"/>
    <mergeCell ref="C2805:P2805"/>
    <mergeCell ref="C2807:E2807"/>
    <mergeCell ref="F2807:P2807"/>
    <mergeCell ref="C2808:E2808"/>
    <mergeCell ref="F2808:G2808"/>
    <mergeCell ref="H2808:I2808"/>
    <mergeCell ref="L2808:P2808"/>
    <mergeCell ref="C2809:E2809"/>
    <mergeCell ref="F2809:K2809"/>
    <mergeCell ref="L2809:M2809"/>
    <mergeCell ref="N2809:P2809"/>
    <mergeCell ref="C2810:E2810"/>
    <mergeCell ref="F2810:G2810"/>
    <mergeCell ref="I2810:J2810"/>
    <mergeCell ref="K2810:L2810"/>
    <mergeCell ref="M2810:P2810"/>
    <mergeCell ref="C2811:E2811"/>
    <mergeCell ref="F2811:I2811"/>
    <mergeCell ref="J2811:K2811"/>
    <mergeCell ref="L2811:P2811"/>
    <mergeCell ref="C2812:E2812"/>
    <mergeCell ref="F2812:P2812"/>
    <mergeCell ref="F2815:G2815"/>
    <mergeCell ref="H2815:I2815"/>
    <mergeCell ref="J2815:K2815"/>
    <mergeCell ref="L2815:M2815"/>
    <mergeCell ref="N2815:O2815"/>
    <mergeCell ref="F2816:O2816"/>
    <mergeCell ref="D2820:F2820"/>
    <mergeCell ref="G2820:N2820"/>
    <mergeCell ref="D2821:F2821"/>
    <mergeCell ref="D2822:F2822"/>
    <mergeCell ref="D2823:F2823"/>
    <mergeCell ref="M2823:N2823"/>
    <mergeCell ref="D2824:F2824"/>
    <mergeCell ref="M2824:N2824"/>
    <mergeCell ref="D2825:F2825"/>
    <mergeCell ref="M2825:N2825"/>
    <mergeCell ref="D2826:F2826"/>
    <mergeCell ref="M2826:N2826"/>
    <mergeCell ref="D2827:F2827"/>
    <mergeCell ref="M2827:N2827"/>
    <mergeCell ref="D2828:F2828"/>
    <mergeCell ref="M2828:N2828"/>
    <mergeCell ref="D2829:F2829"/>
    <mergeCell ref="M2829:N2829"/>
    <mergeCell ref="D2830:F2830"/>
    <mergeCell ref="M2830:N2830"/>
    <mergeCell ref="D2831:M2831"/>
    <mergeCell ref="E2832:M2832"/>
    <mergeCell ref="D2838:G2838"/>
    <mergeCell ref="H2838:I2838"/>
    <mergeCell ref="D2839:G2839"/>
    <mergeCell ref="H2839:I2839"/>
    <mergeCell ref="L2839:M2839"/>
    <mergeCell ref="N2839:O2839"/>
    <mergeCell ref="D2840:G2840"/>
    <mergeCell ref="H2840:I2840"/>
    <mergeCell ref="L2840:M2840"/>
    <mergeCell ref="N2840:O2840"/>
    <mergeCell ref="E2850:F2850"/>
    <mergeCell ref="M2850:O2850"/>
    <mergeCell ref="E2851:F2851"/>
    <mergeCell ref="M2851:O2851"/>
    <mergeCell ref="C2859:P2859"/>
    <mergeCell ref="C2861:P2861"/>
    <mergeCell ref="C2863:E2863"/>
    <mergeCell ref="F2863:P2863"/>
    <mergeCell ref="C2864:E2864"/>
    <mergeCell ref="F2864:G2864"/>
    <mergeCell ref="H2864:I2864"/>
    <mergeCell ref="L2864:P2864"/>
    <mergeCell ref="C2865:E2865"/>
    <mergeCell ref="F2865:K2865"/>
    <mergeCell ref="L2865:M2865"/>
    <mergeCell ref="N2865:P2865"/>
    <mergeCell ref="C2866:E2866"/>
    <mergeCell ref="F2866:G2866"/>
    <mergeCell ref="I2866:J2866"/>
    <mergeCell ref="K2866:L2866"/>
    <mergeCell ref="M2866:P2866"/>
    <mergeCell ref="C2867:E2867"/>
    <mergeCell ref="F2867:I2867"/>
    <mergeCell ref="J2867:K2867"/>
    <mergeCell ref="L2867:P2867"/>
    <mergeCell ref="C2868:E2868"/>
    <mergeCell ref="F2868:P2868"/>
    <mergeCell ref="F2871:G2871"/>
    <mergeCell ref="H2871:I2871"/>
    <mergeCell ref="J2871:K2871"/>
    <mergeCell ref="L2871:M2871"/>
    <mergeCell ref="N2871:O2871"/>
    <mergeCell ref="F2872:O2872"/>
    <mergeCell ref="D2876:F2876"/>
    <mergeCell ref="G2876:N2876"/>
    <mergeCell ref="D2877:F2877"/>
    <mergeCell ref="D2878:F2878"/>
    <mergeCell ref="D2879:F2879"/>
    <mergeCell ref="M2879:N2879"/>
    <mergeCell ref="D2880:F2880"/>
    <mergeCell ref="M2880:N2880"/>
    <mergeCell ref="D2881:F2881"/>
    <mergeCell ref="M2881:N2881"/>
    <mergeCell ref="D2882:F2882"/>
    <mergeCell ref="M2882:N2882"/>
    <mergeCell ref="D2883:F2883"/>
    <mergeCell ref="M2883:N2883"/>
    <mergeCell ref="D2884:F2884"/>
    <mergeCell ref="M2884:N2884"/>
    <mergeCell ref="D2885:F2885"/>
    <mergeCell ref="M2885:N2885"/>
    <mergeCell ref="D2886:F2886"/>
    <mergeCell ref="M2886:N2886"/>
    <mergeCell ref="D2887:M2887"/>
    <mergeCell ref="E2888:M2888"/>
    <mergeCell ref="D2894:G2894"/>
    <mergeCell ref="H2894:I2894"/>
    <mergeCell ref="D2895:G2895"/>
    <mergeCell ref="H2895:I2895"/>
    <mergeCell ref="L2895:M2895"/>
    <mergeCell ref="N2895:O2895"/>
    <mergeCell ref="D2896:G2896"/>
    <mergeCell ref="H2896:I2896"/>
    <mergeCell ref="L2896:M2896"/>
    <mergeCell ref="N2896:O2896"/>
    <mergeCell ref="E2906:F2906"/>
    <mergeCell ref="M2906:O2906"/>
    <mergeCell ref="E2907:F2907"/>
    <mergeCell ref="M2907:O2907"/>
    <mergeCell ref="C2915:P2915"/>
    <mergeCell ref="C2917:P2917"/>
    <mergeCell ref="C2919:E2919"/>
    <mergeCell ref="F2919:P2919"/>
    <mergeCell ref="C2920:E2920"/>
    <mergeCell ref="F2920:G2920"/>
    <mergeCell ref="H2920:I2920"/>
    <mergeCell ref="L2920:P2920"/>
    <mergeCell ref="C2921:E2921"/>
    <mergeCell ref="F2921:K2921"/>
    <mergeCell ref="L2921:M2921"/>
    <mergeCell ref="N2921:P2921"/>
    <mergeCell ref="C2922:E2922"/>
    <mergeCell ref="F2922:G2922"/>
    <mergeCell ref="I2922:J2922"/>
    <mergeCell ref="K2922:L2922"/>
    <mergeCell ref="M2922:P2922"/>
    <mergeCell ref="C2923:E2923"/>
    <mergeCell ref="F2923:I2923"/>
    <mergeCell ref="J2923:K2923"/>
    <mergeCell ref="L2923:P2923"/>
    <mergeCell ref="C2924:E2924"/>
    <mergeCell ref="F2924:P2924"/>
    <mergeCell ref="F2927:G2927"/>
    <mergeCell ref="H2927:I2927"/>
    <mergeCell ref="J2927:K2927"/>
    <mergeCell ref="L2927:M2927"/>
    <mergeCell ref="N2927:O2927"/>
    <mergeCell ref="F2928:O2928"/>
    <mergeCell ref="D2932:F2932"/>
    <mergeCell ref="G2932:N2932"/>
    <mergeCell ref="D2933:F2933"/>
    <mergeCell ref="D2934:F2934"/>
    <mergeCell ref="D2935:F2935"/>
    <mergeCell ref="M2935:N2935"/>
    <mergeCell ref="D2936:F2936"/>
    <mergeCell ref="M2936:N2936"/>
    <mergeCell ref="D2937:F2937"/>
    <mergeCell ref="M2937:N2937"/>
    <mergeCell ref="D2938:F2938"/>
    <mergeCell ref="M2938:N2938"/>
    <mergeCell ref="D2939:F2939"/>
    <mergeCell ref="M2939:N2939"/>
    <mergeCell ref="D2940:F2940"/>
    <mergeCell ref="M2940:N2940"/>
    <mergeCell ref="D2941:F2941"/>
    <mergeCell ref="M2941:N2941"/>
    <mergeCell ref="D2942:F2942"/>
    <mergeCell ref="M2942:N2942"/>
    <mergeCell ref="D2943:M2943"/>
    <mergeCell ref="E2944:M2944"/>
    <mergeCell ref="D2950:G2950"/>
    <mergeCell ref="H2950:I2950"/>
    <mergeCell ref="D2951:G2951"/>
    <mergeCell ref="H2951:I2951"/>
    <mergeCell ref="L2951:M2951"/>
    <mergeCell ref="N2951:O2951"/>
    <mergeCell ref="D2952:G2952"/>
    <mergeCell ref="H2952:I2952"/>
    <mergeCell ref="L2952:M2952"/>
    <mergeCell ref="N2952:O2952"/>
    <mergeCell ref="E2962:F2962"/>
    <mergeCell ref="M2962:O2962"/>
    <mergeCell ref="E2963:F2963"/>
    <mergeCell ref="M2963:O2963"/>
    <mergeCell ref="C2971:P2971"/>
    <mergeCell ref="C2973:P2973"/>
    <mergeCell ref="C2975:E2975"/>
    <mergeCell ref="F2975:P2975"/>
    <mergeCell ref="C2976:E2976"/>
    <mergeCell ref="F2976:G2976"/>
    <mergeCell ref="H2976:I2976"/>
    <mergeCell ref="L2976:P2976"/>
    <mergeCell ref="C2977:E2977"/>
    <mergeCell ref="F2977:K2977"/>
    <mergeCell ref="L2977:M2977"/>
    <mergeCell ref="N2977:P2977"/>
    <mergeCell ref="C2978:E2978"/>
    <mergeCell ref="F2978:G2978"/>
    <mergeCell ref="I2978:J2978"/>
    <mergeCell ref="K2978:L2978"/>
    <mergeCell ref="M2978:P2978"/>
    <mergeCell ref="C2979:E2979"/>
    <mergeCell ref="F2979:I2979"/>
    <mergeCell ref="J2979:K2979"/>
    <mergeCell ref="L2979:P2979"/>
    <mergeCell ref="C2980:E2980"/>
    <mergeCell ref="F2980:P2980"/>
    <mergeCell ref="F2983:G2983"/>
    <mergeCell ref="H2983:I2983"/>
    <mergeCell ref="J2983:K2983"/>
    <mergeCell ref="L2983:M2983"/>
    <mergeCell ref="N2983:O2983"/>
    <mergeCell ref="F2984:O2984"/>
    <mergeCell ref="D2988:F2988"/>
    <mergeCell ref="G2988:N2988"/>
    <mergeCell ref="D2989:F2989"/>
    <mergeCell ref="D2990:F2990"/>
    <mergeCell ref="D2991:F2991"/>
    <mergeCell ref="M2991:N2991"/>
    <mergeCell ref="D2992:F2992"/>
    <mergeCell ref="M2992:N2992"/>
    <mergeCell ref="D2993:F2993"/>
    <mergeCell ref="M2993:N2993"/>
    <mergeCell ref="D2994:F2994"/>
    <mergeCell ref="M2994:N2994"/>
    <mergeCell ref="D2995:F2995"/>
    <mergeCell ref="M2995:N2995"/>
    <mergeCell ref="D2996:F2996"/>
    <mergeCell ref="M2996:N2996"/>
    <mergeCell ref="D2997:F2997"/>
    <mergeCell ref="M2997:N2997"/>
    <mergeCell ref="D2998:F2998"/>
    <mergeCell ref="M2998:N2998"/>
    <mergeCell ref="D2999:M2999"/>
    <mergeCell ref="E3000:M3000"/>
    <mergeCell ref="D3006:G3006"/>
    <mergeCell ref="H3006:I3006"/>
    <mergeCell ref="D3007:G3007"/>
    <mergeCell ref="H3007:I3007"/>
    <mergeCell ref="L3007:M3007"/>
    <mergeCell ref="N3007:O3007"/>
    <mergeCell ref="D3008:G3008"/>
    <mergeCell ref="H3008:I3008"/>
    <mergeCell ref="L3008:M3008"/>
    <mergeCell ref="N3008:O3008"/>
    <mergeCell ref="E3018:F3018"/>
    <mergeCell ref="M3018:O3018"/>
    <mergeCell ref="E3019:F3019"/>
    <mergeCell ref="M3019:O3019"/>
    <mergeCell ref="C3027:P3027"/>
    <mergeCell ref="C3029:P3029"/>
    <mergeCell ref="C3031:E3031"/>
    <mergeCell ref="F3031:P3031"/>
    <mergeCell ref="C3032:E3032"/>
    <mergeCell ref="F3032:G3032"/>
    <mergeCell ref="H3032:I3032"/>
    <mergeCell ref="L3032:P3032"/>
    <mergeCell ref="C3033:E3033"/>
    <mergeCell ref="F3033:K3033"/>
    <mergeCell ref="L3033:M3033"/>
    <mergeCell ref="N3033:P3033"/>
    <mergeCell ref="C3034:E3034"/>
    <mergeCell ref="F3034:G3034"/>
    <mergeCell ref="I3034:J3034"/>
    <mergeCell ref="K3034:L3034"/>
    <mergeCell ref="M3034:P3034"/>
    <mergeCell ref="C3035:E3035"/>
    <mergeCell ref="F3035:I3035"/>
    <mergeCell ref="J3035:K3035"/>
    <mergeCell ref="L3035:P3035"/>
    <mergeCell ref="C3036:E3036"/>
    <mergeCell ref="F3036:P3036"/>
    <mergeCell ref="F3039:G3039"/>
    <mergeCell ref="H3039:I3039"/>
    <mergeCell ref="J3039:K3039"/>
    <mergeCell ref="L3039:M3039"/>
    <mergeCell ref="N3039:O3039"/>
    <mergeCell ref="F3040:O3040"/>
    <mergeCell ref="D3044:F3044"/>
    <mergeCell ref="G3044:N3044"/>
    <mergeCell ref="D3045:F3045"/>
    <mergeCell ref="D3046:F3046"/>
    <mergeCell ref="D3047:F3047"/>
    <mergeCell ref="M3047:N3047"/>
    <mergeCell ref="D3048:F3048"/>
    <mergeCell ref="M3048:N3048"/>
    <mergeCell ref="D3049:F3049"/>
    <mergeCell ref="M3049:N3049"/>
    <mergeCell ref="D3050:F3050"/>
    <mergeCell ref="M3050:N3050"/>
    <mergeCell ref="D3051:F3051"/>
    <mergeCell ref="M3051:N3051"/>
    <mergeCell ref="D3052:F3052"/>
    <mergeCell ref="M3052:N3052"/>
    <mergeCell ref="D3053:F3053"/>
    <mergeCell ref="M3053:N3053"/>
    <mergeCell ref="D3054:F3054"/>
    <mergeCell ref="M3054:N3054"/>
    <mergeCell ref="D3055:M3055"/>
    <mergeCell ref="E3056:M3056"/>
    <mergeCell ref="D3062:G3062"/>
    <mergeCell ref="H3062:I3062"/>
    <mergeCell ref="D3063:G3063"/>
    <mergeCell ref="H3063:I3063"/>
    <mergeCell ref="L3063:M3063"/>
    <mergeCell ref="N3063:O3063"/>
    <mergeCell ref="D3064:G3064"/>
    <mergeCell ref="H3064:I3064"/>
    <mergeCell ref="L3064:M3064"/>
    <mergeCell ref="N3064:O3064"/>
    <mergeCell ref="E3074:F3074"/>
    <mergeCell ref="M3074:O3074"/>
    <mergeCell ref="E3075:F3075"/>
    <mergeCell ref="M3075:O3075"/>
    <mergeCell ref="C3083:P3083"/>
    <mergeCell ref="C3085:P3085"/>
    <mergeCell ref="C3087:E3087"/>
    <mergeCell ref="F3087:P3087"/>
    <mergeCell ref="C3088:E3088"/>
    <mergeCell ref="F3088:G3088"/>
    <mergeCell ref="H3088:I3088"/>
    <mergeCell ref="L3088:P3088"/>
    <mergeCell ref="C3089:E3089"/>
    <mergeCell ref="F3089:K3089"/>
    <mergeCell ref="L3089:M3089"/>
    <mergeCell ref="N3089:P3089"/>
    <mergeCell ref="C3090:E3090"/>
    <mergeCell ref="F3090:G3090"/>
    <mergeCell ref="I3090:J3090"/>
    <mergeCell ref="K3090:L3090"/>
    <mergeCell ref="M3090:P3090"/>
    <mergeCell ref="C3091:E3091"/>
    <mergeCell ref="F3091:I3091"/>
    <mergeCell ref="J3091:K3091"/>
    <mergeCell ref="L3091:P3091"/>
    <mergeCell ref="C3092:E3092"/>
    <mergeCell ref="F3092:P3092"/>
    <mergeCell ref="F3095:G3095"/>
    <mergeCell ref="H3095:I3095"/>
    <mergeCell ref="J3095:K3095"/>
    <mergeCell ref="L3095:M3095"/>
    <mergeCell ref="N3095:O3095"/>
    <mergeCell ref="F3096:O3096"/>
    <mergeCell ref="D3100:F3100"/>
    <mergeCell ref="G3100:N3100"/>
    <mergeCell ref="D3101:F3101"/>
    <mergeCell ref="D3102:F3102"/>
    <mergeCell ref="D3103:F3103"/>
    <mergeCell ref="M3103:N3103"/>
    <mergeCell ref="D3104:F3104"/>
    <mergeCell ref="M3104:N3104"/>
    <mergeCell ref="D3105:F3105"/>
    <mergeCell ref="M3105:N3105"/>
    <mergeCell ref="D3106:F3106"/>
    <mergeCell ref="M3106:N3106"/>
    <mergeCell ref="D3107:F3107"/>
    <mergeCell ref="M3107:N3107"/>
    <mergeCell ref="D3108:F3108"/>
    <mergeCell ref="M3108:N3108"/>
    <mergeCell ref="D3109:F3109"/>
    <mergeCell ref="M3109:N3109"/>
    <mergeCell ref="D3110:F3110"/>
    <mergeCell ref="M3110:N3110"/>
    <mergeCell ref="D3111:M3111"/>
    <mergeCell ref="E3112:M3112"/>
    <mergeCell ref="D3118:G3118"/>
    <mergeCell ref="H3118:I3118"/>
    <mergeCell ref="D3119:G3119"/>
    <mergeCell ref="H3119:I3119"/>
    <mergeCell ref="L3119:M3119"/>
    <mergeCell ref="N3119:O3119"/>
    <mergeCell ref="D3120:G3120"/>
    <mergeCell ref="H3120:I3120"/>
    <mergeCell ref="L3120:M3120"/>
    <mergeCell ref="N3120:O3120"/>
    <mergeCell ref="E3130:F3130"/>
    <mergeCell ref="M3130:O3130"/>
    <mergeCell ref="E3131:F3131"/>
    <mergeCell ref="M3131:O3131"/>
    <mergeCell ref="C3139:P3139"/>
    <mergeCell ref="C3141:P3141"/>
    <mergeCell ref="C3143:E3143"/>
    <mergeCell ref="F3143:P3143"/>
    <mergeCell ref="C3144:E3144"/>
    <mergeCell ref="F3144:G3144"/>
    <mergeCell ref="H3144:I3144"/>
    <mergeCell ref="L3144:P3144"/>
    <mergeCell ref="C3145:E3145"/>
    <mergeCell ref="F3145:K3145"/>
    <mergeCell ref="L3145:M3145"/>
    <mergeCell ref="N3145:P3145"/>
    <mergeCell ref="C3146:E3146"/>
    <mergeCell ref="F3146:G3146"/>
    <mergeCell ref="I3146:J3146"/>
    <mergeCell ref="K3146:L3146"/>
    <mergeCell ref="M3146:P3146"/>
    <mergeCell ref="C3147:E3147"/>
    <mergeCell ref="F3147:I3147"/>
    <mergeCell ref="J3147:K3147"/>
    <mergeCell ref="L3147:P3147"/>
    <mergeCell ref="C3148:E3148"/>
    <mergeCell ref="F3148:P3148"/>
    <mergeCell ref="F3151:G3151"/>
    <mergeCell ref="H3151:I3151"/>
    <mergeCell ref="J3151:K3151"/>
    <mergeCell ref="L3151:M3151"/>
    <mergeCell ref="N3151:O3151"/>
    <mergeCell ref="F3152:O3152"/>
    <mergeCell ref="D3156:F3156"/>
    <mergeCell ref="G3156:N3156"/>
    <mergeCell ref="D3157:F3157"/>
    <mergeCell ref="D3158:F3158"/>
    <mergeCell ref="D3159:F3159"/>
    <mergeCell ref="M3159:N3159"/>
    <mergeCell ref="D3160:F3160"/>
    <mergeCell ref="M3160:N3160"/>
    <mergeCell ref="D3161:F3161"/>
    <mergeCell ref="M3161:N3161"/>
    <mergeCell ref="D3162:F3162"/>
    <mergeCell ref="M3162:N3162"/>
    <mergeCell ref="D3163:F3163"/>
    <mergeCell ref="M3163:N3163"/>
    <mergeCell ref="D3164:F3164"/>
    <mergeCell ref="M3164:N3164"/>
    <mergeCell ref="D3165:F3165"/>
    <mergeCell ref="M3165:N3165"/>
    <mergeCell ref="D3166:F3166"/>
    <mergeCell ref="M3166:N3166"/>
    <mergeCell ref="D3167:M3167"/>
    <mergeCell ref="E3168:M3168"/>
    <mergeCell ref="D3174:G3174"/>
    <mergeCell ref="H3174:I3174"/>
    <mergeCell ref="D3175:G3175"/>
    <mergeCell ref="H3175:I3175"/>
    <mergeCell ref="L3175:M3175"/>
    <mergeCell ref="N3175:O3175"/>
    <mergeCell ref="D3176:G3176"/>
    <mergeCell ref="H3176:I3176"/>
    <mergeCell ref="L3176:M3176"/>
    <mergeCell ref="N3176:O3176"/>
    <mergeCell ref="E3186:F3186"/>
    <mergeCell ref="M3186:O3186"/>
    <mergeCell ref="E3187:F3187"/>
    <mergeCell ref="M3187:O3187"/>
    <mergeCell ref="C3195:P3195"/>
    <mergeCell ref="C3197:P3197"/>
    <mergeCell ref="C3199:E3199"/>
    <mergeCell ref="F3199:P3199"/>
    <mergeCell ref="C3200:E3200"/>
    <mergeCell ref="F3200:G3200"/>
    <mergeCell ref="H3200:I3200"/>
    <mergeCell ref="L3200:P3200"/>
    <mergeCell ref="C3201:E3201"/>
    <mergeCell ref="F3201:K3201"/>
    <mergeCell ref="L3201:M3201"/>
    <mergeCell ref="N3201:P3201"/>
    <mergeCell ref="C3202:E3202"/>
    <mergeCell ref="F3202:G3202"/>
    <mergeCell ref="I3202:J3202"/>
    <mergeCell ref="K3202:L3202"/>
    <mergeCell ref="M3202:P3202"/>
    <mergeCell ref="C3203:E3203"/>
    <mergeCell ref="F3203:I3203"/>
    <mergeCell ref="J3203:K3203"/>
    <mergeCell ref="L3203:P3203"/>
    <mergeCell ref="C3204:E3204"/>
    <mergeCell ref="F3204:P3204"/>
    <mergeCell ref="F3207:G3207"/>
    <mergeCell ref="H3207:I3207"/>
    <mergeCell ref="J3207:K3207"/>
    <mergeCell ref="L3207:M3207"/>
    <mergeCell ref="N3207:O3207"/>
    <mergeCell ref="F3208:O3208"/>
    <mergeCell ref="D3212:F3212"/>
    <mergeCell ref="G3212:N3212"/>
    <mergeCell ref="D3213:F3213"/>
    <mergeCell ref="D3214:F3214"/>
    <mergeCell ref="D3215:F3215"/>
    <mergeCell ref="M3215:N3215"/>
    <mergeCell ref="D3216:F3216"/>
    <mergeCell ref="M3216:N3216"/>
    <mergeCell ref="D3217:F3217"/>
    <mergeCell ref="M3217:N3217"/>
    <mergeCell ref="D3218:F3218"/>
    <mergeCell ref="M3218:N3218"/>
    <mergeCell ref="D3219:F3219"/>
    <mergeCell ref="M3219:N3219"/>
    <mergeCell ref="D3220:F3220"/>
    <mergeCell ref="M3220:N3220"/>
    <mergeCell ref="D3221:F3221"/>
    <mergeCell ref="M3221:N3221"/>
    <mergeCell ref="D3222:F3222"/>
    <mergeCell ref="M3222:N3222"/>
    <mergeCell ref="D3223:M3223"/>
    <mergeCell ref="E3224:M3224"/>
    <mergeCell ref="D3230:G3230"/>
    <mergeCell ref="H3230:I3230"/>
    <mergeCell ref="D3231:G3231"/>
    <mergeCell ref="H3231:I3231"/>
    <mergeCell ref="L3231:M3231"/>
    <mergeCell ref="N3231:O3231"/>
    <mergeCell ref="D3232:G3232"/>
    <mergeCell ref="H3232:I3232"/>
    <mergeCell ref="L3232:M3232"/>
    <mergeCell ref="N3232:O3232"/>
    <mergeCell ref="E3242:F3242"/>
    <mergeCell ref="M3242:O3242"/>
    <mergeCell ref="E3243:F3243"/>
    <mergeCell ref="M3243:O3243"/>
    <mergeCell ref="C3251:P3251"/>
    <mergeCell ref="C3253:P3253"/>
    <mergeCell ref="C3255:E3255"/>
    <mergeCell ref="F3255:P3255"/>
    <mergeCell ref="C3256:E3256"/>
    <mergeCell ref="F3256:G3256"/>
    <mergeCell ref="H3256:I3256"/>
    <mergeCell ref="L3256:P3256"/>
    <mergeCell ref="C3257:E3257"/>
    <mergeCell ref="F3257:K3257"/>
    <mergeCell ref="L3257:M3257"/>
    <mergeCell ref="N3257:P3257"/>
    <mergeCell ref="C3258:E3258"/>
    <mergeCell ref="F3258:G3258"/>
    <mergeCell ref="I3258:J3258"/>
    <mergeCell ref="K3258:L3258"/>
    <mergeCell ref="M3258:P3258"/>
    <mergeCell ref="C3259:E3259"/>
    <mergeCell ref="F3259:I3259"/>
    <mergeCell ref="J3259:K3259"/>
    <mergeCell ref="L3259:P3259"/>
    <mergeCell ref="C3260:E3260"/>
    <mergeCell ref="F3260:P3260"/>
    <mergeCell ref="F3263:G3263"/>
    <mergeCell ref="H3263:I3263"/>
    <mergeCell ref="J3263:K3263"/>
    <mergeCell ref="L3263:M3263"/>
    <mergeCell ref="N3263:O3263"/>
    <mergeCell ref="F3264:O3264"/>
    <mergeCell ref="D3268:F3268"/>
    <mergeCell ref="G3268:N3268"/>
    <mergeCell ref="D3269:F3269"/>
    <mergeCell ref="D3270:F3270"/>
    <mergeCell ref="D3271:F3271"/>
    <mergeCell ref="M3271:N3271"/>
    <mergeCell ref="D3272:F3272"/>
    <mergeCell ref="M3272:N3272"/>
    <mergeCell ref="D3273:F3273"/>
    <mergeCell ref="M3273:N3273"/>
    <mergeCell ref="D3274:F3274"/>
    <mergeCell ref="M3274:N3274"/>
    <mergeCell ref="D3275:F3275"/>
    <mergeCell ref="M3275:N3275"/>
    <mergeCell ref="D3276:F3276"/>
    <mergeCell ref="M3276:N3276"/>
    <mergeCell ref="D3277:F3277"/>
    <mergeCell ref="M3277:N3277"/>
    <mergeCell ref="D3278:F3278"/>
    <mergeCell ref="M3278:N3278"/>
    <mergeCell ref="D3279:M3279"/>
    <mergeCell ref="E3280:M3280"/>
    <mergeCell ref="D3286:G3286"/>
    <mergeCell ref="H3286:I3286"/>
    <mergeCell ref="D3287:G3287"/>
    <mergeCell ref="H3287:I3287"/>
    <mergeCell ref="L3287:M3287"/>
    <mergeCell ref="N3287:O3287"/>
    <mergeCell ref="D3288:G3288"/>
    <mergeCell ref="H3288:I3288"/>
    <mergeCell ref="L3288:M3288"/>
    <mergeCell ref="N3288:O3288"/>
    <mergeCell ref="E3298:F3298"/>
    <mergeCell ref="M3298:O3298"/>
    <mergeCell ref="E3299:F3299"/>
    <mergeCell ref="M3299:O3299"/>
    <mergeCell ref="C3307:P3307"/>
    <mergeCell ref="C3309:P3309"/>
    <mergeCell ref="C3311:E3311"/>
    <mergeCell ref="F3311:P3311"/>
    <mergeCell ref="C3312:E3312"/>
    <mergeCell ref="F3312:G3312"/>
    <mergeCell ref="H3312:I3312"/>
    <mergeCell ref="L3312:P3312"/>
    <mergeCell ref="C3313:E3313"/>
    <mergeCell ref="F3313:K3313"/>
    <mergeCell ref="L3313:M3313"/>
    <mergeCell ref="N3313:P3313"/>
    <mergeCell ref="C3314:E3314"/>
    <mergeCell ref="F3314:G3314"/>
    <mergeCell ref="I3314:J3314"/>
    <mergeCell ref="K3314:L3314"/>
    <mergeCell ref="M3314:P3314"/>
    <mergeCell ref="C3315:E3315"/>
    <mergeCell ref="F3315:I3315"/>
    <mergeCell ref="J3315:K3315"/>
    <mergeCell ref="L3315:P3315"/>
    <mergeCell ref="C3316:E3316"/>
    <mergeCell ref="F3316:P3316"/>
    <mergeCell ref="F3319:G3319"/>
    <mergeCell ref="H3319:I3319"/>
    <mergeCell ref="J3319:K3319"/>
    <mergeCell ref="L3319:M3319"/>
    <mergeCell ref="N3319:O3319"/>
    <mergeCell ref="F3320:O3320"/>
    <mergeCell ref="D3324:F3324"/>
    <mergeCell ref="G3324:N3324"/>
    <mergeCell ref="D3325:F3325"/>
    <mergeCell ref="D3326:F3326"/>
    <mergeCell ref="D3327:F3327"/>
    <mergeCell ref="M3327:N3327"/>
    <mergeCell ref="D3328:F3328"/>
    <mergeCell ref="M3328:N3328"/>
    <mergeCell ref="D3329:F3329"/>
    <mergeCell ref="M3329:N3329"/>
    <mergeCell ref="D3330:F3330"/>
    <mergeCell ref="M3330:N3330"/>
    <mergeCell ref="D3331:F3331"/>
    <mergeCell ref="M3331:N3331"/>
    <mergeCell ref="D3332:F3332"/>
    <mergeCell ref="M3332:N3332"/>
    <mergeCell ref="D3333:F3333"/>
    <mergeCell ref="M3333:N3333"/>
    <mergeCell ref="D3334:F3334"/>
    <mergeCell ref="M3334:N3334"/>
    <mergeCell ref="D3335:M3335"/>
    <mergeCell ref="E3336:M3336"/>
    <mergeCell ref="D3342:G3342"/>
    <mergeCell ref="H3342:I3342"/>
    <mergeCell ref="D3343:G3343"/>
    <mergeCell ref="H3343:I3343"/>
    <mergeCell ref="L3343:M3343"/>
    <mergeCell ref="N3343:O3343"/>
    <mergeCell ref="D3344:G3344"/>
    <mergeCell ref="H3344:I3344"/>
    <mergeCell ref="L3344:M3344"/>
    <mergeCell ref="N3344:O3344"/>
    <mergeCell ref="E3354:F3354"/>
    <mergeCell ref="M3354:O3354"/>
    <mergeCell ref="E3355:F3355"/>
    <mergeCell ref="M3355:O3355"/>
    <mergeCell ref="C3363:P3363"/>
    <mergeCell ref="C3365:P3365"/>
    <mergeCell ref="C3367:E3367"/>
    <mergeCell ref="F3367:P3367"/>
    <mergeCell ref="C3368:E3368"/>
    <mergeCell ref="F3368:G3368"/>
    <mergeCell ref="H3368:I3368"/>
    <mergeCell ref="L3368:P3368"/>
    <mergeCell ref="C3369:E3369"/>
    <mergeCell ref="F3369:K3369"/>
    <mergeCell ref="L3369:M3369"/>
    <mergeCell ref="N3369:P3369"/>
    <mergeCell ref="C3370:E3370"/>
    <mergeCell ref="F3370:G3370"/>
    <mergeCell ref="I3370:J3370"/>
    <mergeCell ref="K3370:L3370"/>
    <mergeCell ref="M3370:P3370"/>
    <mergeCell ref="C3371:E3371"/>
    <mergeCell ref="F3371:I3371"/>
    <mergeCell ref="J3371:K3371"/>
    <mergeCell ref="L3371:P3371"/>
    <mergeCell ref="C3372:E3372"/>
    <mergeCell ref="F3372:P3372"/>
    <mergeCell ref="F3375:G3375"/>
    <mergeCell ref="H3375:I3375"/>
    <mergeCell ref="J3375:K3375"/>
    <mergeCell ref="L3375:M3375"/>
    <mergeCell ref="N3375:O3375"/>
    <mergeCell ref="F3376:O3376"/>
    <mergeCell ref="D3380:F3380"/>
    <mergeCell ref="G3380:N3380"/>
    <mergeCell ref="D3381:F3381"/>
    <mergeCell ref="D3382:F3382"/>
    <mergeCell ref="D3383:F3383"/>
    <mergeCell ref="M3383:N3383"/>
    <mergeCell ref="D3384:F3384"/>
    <mergeCell ref="M3384:N3384"/>
    <mergeCell ref="D3385:F3385"/>
    <mergeCell ref="M3385:N3385"/>
    <mergeCell ref="D3386:F3386"/>
    <mergeCell ref="M3386:N3386"/>
    <mergeCell ref="D3387:F3387"/>
    <mergeCell ref="M3387:N3387"/>
    <mergeCell ref="D3388:F3388"/>
    <mergeCell ref="M3388:N3388"/>
    <mergeCell ref="D3389:F3389"/>
    <mergeCell ref="M3389:N3389"/>
    <mergeCell ref="D3390:F3390"/>
    <mergeCell ref="M3390:N3390"/>
    <mergeCell ref="D3391:M3391"/>
    <mergeCell ref="E3392:M3392"/>
    <mergeCell ref="D3398:G3398"/>
    <mergeCell ref="H3398:I3398"/>
    <mergeCell ref="D3399:G3399"/>
    <mergeCell ref="H3399:I3399"/>
    <mergeCell ref="L3399:M3399"/>
    <mergeCell ref="N3399:O3399"/>
    <mergeCell ref="D3400:G3400"/>
    <mergeCell ref="H3400:I3400"/>
    <mergeCell ref="L3400:M3400"/>
    <mergeCell ref="N3400:O3400"/>
    <mergeCell ref="E3410:F3410"/>
    <mergeCell ref="M3410:O3410"/>
    <mergeCell ref="E3411:F3411"/>
    <mergeCell ref="M3411:O3411"/>
    <mergeCell ref="C3419:P3419"/>
    <mergeCell ref="C3421:P3421"/>
    <mergeCell ref="C3423:E3423"/>
    <mergeCell ref="F3423:P3423"/>
    <mergeCell ref="C3424:E3424"/>
    <mergeCell ref="F3424:G3424"/>
    <mergeCell ref="H3424:I3424"/>
    <mergeCell ref="L3424:P3424"/>
    <mergeCell ref="C3425:E3425"/>
    <mergeCell ref="F3425:K3425"/>
    <mergeCell ref="L3425:M3425"/>
    <mergeCell ref="N3425:P3425"/>
    <mergeCell ref="C3426:E3426"/>
    <mergeCell ref="F3426:G3426"/>
    <mergeCell ref="I3426:J3426"/>
    <mergeCell ref="K3426:L3426"/>
    <mergeCell ref="M3426:P3426"/>
    <mergeCell ref="C3427:E3427"/>
    <mergeCell ref="F3427:I3427"/>
    <mergeCell ref="J3427:K3427"/>
    <mergeCell ref="L3427:P3427"/>
    <mergeCell ref="C3428:E3428"/>
    <mergeCell ref="F3428:P3428"/>
    <mergeCell ref="F3431:G3431"/>
    <mergeCell ref="H3431:I3431"/>
    <mergeCell ref="J3431:K3431"/>
    <mergeCell ref="L3431:M3431"/>
    <mergeCell ref="N3431:O3431"/>
    <mergeCell ref="F3432:O3432"/>
    <mergeCell ref="D3436:F3436"/>
    <mergeCell ref="G3436:N3436"/>
    <mergeCell ref="D3437:F3437"/>
    <mergeCell ref="D3438:F3438"/>
    <mergeCell ref="D3439:F3439"/>
    <mergeCell ref="M3439:N3439"/>
    <mergeCell ref="D3440:F3440"/>
    <mergeCell ref="M3440:N3440"/>
    <mergeCell ref="D3441:F3441"/>
    <mergeCell ref="M3441:N3441"/>
    <mergeCell ref="D3442:F3442"/>
    <mergeCell ref="M3442:N3442"/>
    <mergeCell ref="D3443:F3443"/>
    <mergeCell ref="M3443:N3443"/>
    <mergeCell ref="D3444:F3444"/>
    <mergeCell ref="M3444:N3444"/>
    <mergeCell ref="D3445:F3445"/>
    <mergeCell ref="M3445:N3445"/>
    <mergeCell ref="D3446:F3446"/>
    <mergeCell ref="M3446:N3446"/>
    <mergeCell ref="D3447:M3447"/>
    <mergeCell ref="E3448:M3448"/>
    <mergeCell ref="D3454:G3454"/>
    <mergeCell ref="H3454:I3454"/>
    <mergeCell ref="D3455:G3455"/>
    <mergeCell ref="H3455:I3455"/>
    <mergeCell ref="L3455:M3455"/>
    <mergeCell ref="N3455:O3455"/>
    <mergeCell ref="D3456:G3456"/>
    <mergeCell ref="H3456:I3456"/>
    <mergeCell ref="L3456:M3456"/>
    <mergeCell ref="N3456:O3456"/>
    <mergeCell ref="E3466:F3466"/>
    <mergeCell ref="M3466:O3466"/>
    <mergeCell ref="E3467:F3467"/>
    <mergeCell ref="M3467:O3467"/>
    <mergeCell ref="C3475:P3475"/>
    <mergeCell ref="C3477:P3477"/>
    <mergeCell ref="C3479:E3479"/>
    <mergeCell ref="F3479:P3479"/>
    <mergeCell ref="C3480:E3480"/>
    <mergeCell ref="F3480:G3480"/>
    <mergeCell ref="H3480:I3480"/>
    <mergeCell ref="L3480:P3480"/>
    <mergeCell ref="C3481:E3481"/>
    <mergeCell ref="F3481:K3481"/>
    <mergeCell ref="L3481:M3481"/>
    <mergeCell ref="N3481:P3481"/>
    <mergeCell ref="C3482:E3482"/>
    <mergeCell ref="F3482:G3482"/>
    <mergeCell ref="I3482:J3482"/>
    <mergeCell ref="K3482:L3482"/>
    <mergeCell ref="M3482:P3482"/>
    <mergeCell ref="C3483:E3483"/>
    <mergeCell ref="F3483:I3483"/>
    <mergeCell ref="J3483:K3483"/>
    <mergeCell ref="L3483:P3483"/>
    <mergeCell ref="C3484:E3484"/>
    <mergeCell ref="F3484:P3484"/>
    <mergeCell ref="F3487:G3487"/>
    <mergeCell ref="H3487:I3487"/>
    <mergeCell ref="J3487:K3487"/>
    <mergeCell ref="L3487:M3487"/>
    <mergeCell ref="N3487:O3487"/>
    <mergeCell ref="F3488:O3488"/>
    <mergeCell ref="D3492:F3492"/>
    <mergeCell ref="G3492:N3492"/>
    <mergeCell ref="D3493:F3493"/>
    <mergeCell ref="D3494:F3494"/>
    <mergeCell ref="D3495:F3495"/>
    <mergeCell ref="M3495:N3495"/>
    <mergeCell ref="D3496:F3496"/>
    <mergeCell ref="M3496:N3496"/>
    <mergeCell ref="D3497:F3497"/>
    <mergeCell ref="M3497:N3497"/>
    <mergeCell ref="D3498:F3498"/>
    <mergeCell ref="M3498:N3498"/>
    <mergeCell ref="D3499:F3499"/>
    <mergeCell ref="M3499:N3499"/>
    <mergeCell ref="D3500:F3500"/>
    <mergeCell ref="M3500:N3500"/>
    <mergeCell ref="D3501:F3501"/>
    <mergeCell ref="M3501:N3501"/>
    <mergeCell ref="D3502:F3502"/>
    <mergeCell ref="M3502:N3502"/>
    <mergeCell ref="D3503:M3503"/>
    <mergeCell ref="E3504:M3504"/>
    <mergeCell ref="D3510:G3510"/>
    <mergeCell ref="H3510:I3510"/>
    <mergeCell ref="D3511:G3511"/>
    <mergeCell ref="H3511:I3511"/>
    <mergeCell ref="L3511:M3511"/>
    <mergeCell ref="N3511:O3511"/>
    <mergeCell ref="D3512:G3512"/>
    <mergeCell ref="H3512:I3512"/>
    <mergeCell ref="L3512:M3512"/>
    <mergeCell ref="N3512:O3512"/>
    <mergeCell ref="E3522:F3522"/>
    <mergeCell ref="M3522:O3522"/>
    <mergeCell ref="E3523:F3523"/>
    <mergeCell ref="M3523:O3523"/>
    <mergeCell ref="C3531:P3531"/>
    <mergeCell ref="C3533:P3533"/>
    <mergeCell ref="C3535:E3535"/>
    <mergeCell ref="F3535:P3535"/>
    <mergeCell ref="C3536:E3536"/>
    <mergeCell ref="F3536:G3536"/>
    <mergeCell ref="H3536:I3536"/>
    <mergeCell ref="L3536:P3536"/>
    <mergeCell ref="C3537:E3537"/>
    <mergeCell ref="F3537:K3537"/>
    <mergeCell ref="L3537:M3537"/>
    <mergeCell ref="N3537:P3537"/>
    <mergeCell ref="C3538:E3538"/>
    <mergeCell ref="F3538:G3538"/>
    <mergeCell ref="I3538:J3538"/>
    <mergeCell ref="K3538:L3538"/>
    <mergeCell ref="M3538:P3538"/>
    <mergeCell ref="C3539:E3539"/>
    <mergeCell ref="F3539:I3539"/>
    <mergeCell ref="J3539:K3539"/>
    <mergeCell ref="L3539:P3539"/>
    <mergeCell ref="C3540:E3540"/>
    <mergeCell ref="F3540:P3540"/>
    <mergeCell ref="F3543:G3543"/>
    <mergeCell ref="H3543:I3543"/>
    <mergeCell ref="J3543:K3543"/>
    <mergeCell ref="L3543:M3543"/>
    <mergeCell ref="N3543:O3543"/>
    <mergeCell ref="F3544:O3544"/>
    <mergeCell ref="D3548:F3548"/>
    <mergeCell ref="G3548:N3548"/>
    <mergeCell ref="D3549:F3549"/>
    <mergeCell ref="D3550:F3550"/>
    <mergeCell ref="D3551:F3551"/>
    <mergeCell ref="M3551:N3551"/>
    <mergeCell ref="D3552:F3552"/>
    <mergeCell ref="M3552:N3552"/>
    <mergeCell ref="D3553:F3553"/>
    <mergeCell ref="M3553:N3553"/>
    <mergeCell ref="D3554:F3554"/>
    <mergeCell ref="M3554:N3554"/>
    <mergeCell ref="D3555:F3555"/>
    <mergeCell ref="M3555:N3555"/>
    <mergeCell ref="D3556:F3556"/>
    <mergeCell ref="M3556:N3556"/>
    <mergeCell ref="D3557:F3557"/>
    <mergeCell ref="M3557:N3557"/>
    <mergeCell ref="D3558:F3558"/>
    <mergeCell ref="M3558:N3558"/>
    <mergeCell ref="D3559:M3559"/>
    <mergeCell ref="E3560:M3560"/>
    <mergeCell ref="D3566:G3566"/>
    <mergeCell ref="H3566:I3566"/>
    <mergeCell ref="D3567:G3567"/>
    <mergeCell ref="H3567:I3567"/>
    <mergeCell ref="L3567:M3567"/>
    <mergeCell ref="N3567:O3567"/>
    <mergeCell ref="D3568:G3568"/>
    <mergeCell ref="H3568:I3568"/>
    <mergeCell ref="L3568:M3568"/>
    <mergeCell ref="N3568:O3568"/>
    <mergeCell ref="E3578:F3578"/>
    <mergeCell ref="M3578:O3578"/>
    <mergeCell ref="E3579:F3579"/>
    <mergeCell ref="M3579:O3579"/>
    <mergeCell ref="C3587:P3587"/>
    <mergeCell ref="C3589:P3589"/>
    <mergeCell ref="C3591:E3591"/>
    <mergeCell ref="F3591:P3591"/>
    <mergeCell ref="C3592:E3592"/>
    <mergeCell ref="F3592:G3592"/>
    <mergeCell ref="H3592:I3592"/>
    <mergeCell ref="L3592:P3592"/>
    <mergeCell ref="C3593:E3593"/>
    <mergeCell ref="F3593:K3593"/>
    <mergeCell ref="L3593:M3593"/>
    <mergeCell ref="N3593:P3593"/>
    <mergeCell ref="C3594:E3594"/>
    <mergeCell ref="F3594:G3594"/>
    <mergeCell ref="I3594:J3594"/>
    <mergeCell ref="K3594:L3594"/>
    <mergeCell ref="M3594:P3594"/>
    <mergeCell ref="C3595:E3595"/>
    <mergeCell ref="F3595:I3595"/>
    <mergeCell ref="J3595:K3595"/>
    <mergeCell ref="L3595:P3595"/>
    <mergeCell ref="C3596:E3596"/>
    <mergeCell ref="F3596:P3596"/>
    <mergeCell ref="F3599:G3599"/>
    <mergeCell ref="H3599:I3599"/>
    <mergeCell ref="J3599:K3599"/>
    <mergeCell ref="L3599:M3599"/>
    <mergeCell ref="N3599:O3599"/>
    <mergeCell ref="F3600:O3600"/>
    <mergeCell ref="D3604:F3604"/>
    <mergeCell ref="G3604:N3604"/>
    <mergeCell ref="D3605:F3605"/>
    <mergeCell ref="D3606:F3606"/>
    <mergeCell ref="D3607:F3607"/>
    <mergeCell ref="M3607:N3607"/>
    <mergeCell ref="D3608:F3608"/>
    <mergeCell ref="M3608:N3608"/>
    <mergeCell ref="D3609:F3609"/>
    <mergeCell ref="M3609:N3609"/>
    <mergeCell ref="D3610:F3610"/>
    <mergeCell ref="M3610:N3610"/>
    <mergeCell ref="D3611:F3611"/>
    <mergeCell ref="M3611:N3611"/>
    <mergeCell ref="D3612:F3612"/>
    <mergeCell ref="M3612:N3612"/>
    <mergeCell ref="D3613:F3613"/>
    <mergeCell ref="M3613:N3613"/>
    <mergeCell ref="D3614:F3614"/>
    <mergeCell ref="M3614:N3614"/>
    <mergeCell ref="D3615:M3615"/>
    <mergeCell ref="E3616:M3616"/>
    <mergeCell ref="D3622:G3622"/>
    <mergeCell ref="H3622:I3622"/>
    <mergeCell ref="D3623:G3623"/>
    <mergeCell ref="H3623:I3623"/>
    <mergeCell ref="L3623:M3623"/>
    <mergeCell ref="N3623:O3623"/>
    <mergeCell ref="D3624:G3624"/>
    <mergeCell ref="H3624:I3624"/>
    <mergeCell ref="L3624:M3624"/>
    <mergeCell ref="N3624:O3624"/>
    <mergeCell ref="E3634:F3634"/>
    <mergeCell ref="M3634:O3634"/>
    <mergeCell ref="E3635:F3635"/>
    <mergeCell ref="M3635:O3635"/>
    <mergeCell ref="C3643:P3643"/>
    <mergeCell ref="C3645:P3645"/>
    <mergeCell ref="C3647:E3647"/>
    <mergeCell ref="F3647:P3647"/>
    <mergeCell ref="C3648:E3648"/>
    <mergeCell ref="F3648:G3648"/>
    <mergeCell ref="H3648:I3648"/>
    <mergeCell ref="L3648:P3648"/>
    <mergeCell ref="C3649:E3649"/>
    <mergeCell ref="F3649:K3649"/>
    <mergeCell ref="L3649:M3649"/>
    <mergeCell ref="N3649:P3649"/>
    <mergeCell ref="C3650:E3650"/>
    <mergeCell ref="F3650:G3650"/>
    <mergeCell ref="I3650:J3650"/>
    <mergeCell ref="K3650:L3650"/>
    <mergeCell ref="M3650:P3650"/>
    <mergeCell ref="C3651:E3651"/>
    <mergeCell ref="F3651:I3651"/>
    <mergeCell ref="J3651:K3651"/>
    <mergeCell ref="L3651:P3651"/>
    <mergeCell ref="C3652:E3652"/>
    <mergeCell ref="F3652:P3652"/>
    <mergeCell ref="F3655:G3655"/>
    <mergeCell ref="H3655:I3655"/>
    <mergeCell ref="J3655:K3655"/>
    <mergeCell ref="L3655:M3655"/>
    <mergeCell ref="N3655:O3655"/>
    <mergeCell ref="F3656:O3656"/>
    <mergeCell ref="D3660:F3660"/>
    <mergeCell ref="G3660:N3660"/>
    <mergeCell ref="D3661:F3661"/>
    <mergeCell ref="D3662:F3662"/>
    <mergeCell ref="D3663:F3663"/>
    <mergeCell ref="M3663:N3663"/>
    <mergeCell ref="D3664:F3664"/>
    <mergeCell ref="M3664:N3664"/>
    <mergeCell ref="D3665:F3665"/>
    <mergeCell ref="M3665:N3665"/>
    <mergeCell ref="D3666:F3666"/>
    <mergeCell ref="M3666:N3666"/>
    <mergeCell ref="D3667:F3667"/>
    <mergeCell ref="M3667:N3667"/>
    <mergeCell ref="D3668:F3668"/>
    <mergeCell ref="M3668:N3668"/>
    <mergeCell ref="D3669:F3669"/>
    <mergeCell ref="M3669:N3669"/>
    <mergeCell ref="D3670:F3670"/>
    <mergeCell ref="M3670:N3670"/>
    <mergeCell ref="D3671:M3671"/>
    <mergeCell ref="E3672:M3672"/>
    <mergeCell ref="D3678:G3678"/>
    <mergeCell ref="H3678:I3678"/>
    <mergeCell ref="D3679:G3679"/>
    <mergeCell ref="H3679:I3679"/>
    <mergeCell ref="L3679:M3679"/>
    <mergeCell ref="N3679:O3679"/>
    <mergeCell ref="D3680:G3680"/>
    <mergeCell ref="H3680:I3680"/>
    <mergeCell ref="L3680:M3680"/>
    <mergeCell ref="N3680:O3680"/>
    <mergeCell ref="E3690:F3690"/>
    <mergeCell ref="M3690:O3690"/>
    <mergeCell ref="E3691:F3691"/>
    <mergeCell ref="M3691:O3691"/>
    <mergeCell ref="C3699:P3699"/>
    <mergeCell ref="C3701:P3701"/>
    <mergeCell ref="C3703:E3703"/>
    <mergeCell ref="F3703:P3703"/>
    <mergeCell ref="C3704:E3704"/>
    <mergeCell ref="F3704:G3704"/>
    <mergeCell ref="H3704:I3704"/>
    <mergeCell ref="L3704:P3704"/>
    <mergeCell ref="C3705:E3705"/>
    <mergeCell ref="F3705:K3705"/>
    <mergeCell ref="L3705:M3705"/>
    <mergeCell ref="N3705:P3705"/>
    <mergeCell ref="C3706:E3706"/>
    <mergeCell ref="F3706:G3706"/>
    <mergeCell ref="I3706:J3706"/>
    <mergeCell ref="K3706:L3706"/>
    <mergeCell ref="M3706:P3706"/>
    <mergeCell ref="C3707:E3707"/>
    <mergeCell ref="F3707:I3707"/>
    <mergeCell ref="J3707:K3707"/>
    <mergeCell ref="L3707:P3707"/>
    <mergeCell ref="C3708:E3708"/>
    <mergeCell ref="F3708:P3708"/>
    <mergeCell ref="F3711:G3711"/>
    <mergeCell ref="H3711:I3711"/>
    <mergeCell ref="J3711:K3711"/>
    <mergeCell ref="L3711:M3711"/>
    <mergeCell ref="N3711:O3711"/>
    <mergeCell ref="F3712:O3712"/>
    <mergeCell ref="D3716:F3716"/>
    <mergeCell ref="G3716:N3716"/>
    <mergeCell ref="D3717:F3717"/>
    <mergeCell ref="D3718:F3718"/>
    <mergeCell ref="D3719:F3719"/>
    <mergeCell ref="M3719:N3719"/>
    <mergeCell ref="D3720:F3720"/>
    <mergeCell ref="M3720:N3720"/>
    <mergeCell ref="D3721:F3721"/>
    <mergeCell ref="M3721:N3721"/>
    <mergeCell ref="D3722:F3722"/>
    <mergeCell ref="M3722:N3722"/>
    <mergeCell ref="D3723:F3723"/>
    <mergeCell ref="M3723:N3723"/>
    <mergeCell ref="D3724:F3724"/>
    <mergeCell ref="M3724:N3724"/>
    <mergeCell ref="D3725:F3725"/>
    <mergeCell ref="M3725:N3725"/>
    <mergeCell ref="D3726:F3726"/>
    <mergeCell ref="M3726:N3726"/>
    <mergeCell ref="D3727:M3727"/>
    <mergeCell ref="E3728:M3728"/>
    <mergeCell ref="D3734:G3734"/>
    <mergeCell ref="H3734:I3734"/>
    <mergeCell ref="D3735:G3735"/>
    <mergeCell ref="H3735:I3735"/>
    <mergeCell ref="L3735:M3735"/>
    <mergeCell ref="N3735:O3735"/>
    <mergeCell ref="D3736:G3736"/>
    <mergeCell ref="H3736:I3736"/>
    <mergeCell ref="L3736:M3736"/>
    <mergeCell ref="N3736:O3736"/>
    <mergeCell ref="E3746:F3746"/>
    <mergeCell ref="M3746:O3746"/>
    <mergeCell ref="E3747:F3747"/>
    <mergeCell ref="M3747:O3747"/>
    <mergeCell ref="C3755:P3755"/>
    <mergeCell ref="C3757:P3757"/>
    <mergeCell ref="C3759:E3759"/>
    <mergeCell ref="F3759:P3759"/>
    <mergeCell ref="C3760:E3760"/>
    <mergeCell ref="F3760:G3760"/>
    <mergeCell ref="H3760:I3760"/>
    <mergeCell ref="L3760:P3760"/>
    <mergeCell ref="C3761:E3761"/>
    <mergeCell ref="F3761:K3761"/>
    <mergeCell ref="L3761:M3761"/>
    <mergeCell ref="N3761:P3761"/>
    <mergeCell ref="C3762:E3762"/>
    <mergeCell ref="F3762:G3762"/>
    <mergeCell ref="I3762:J3762"/>
    <mergeCell ref="K3762:L3762"/>
    <mergeCell ref="M3762:P3762"/>
    <mergeCell ref="C3763:E3763"/>
    <mergeCell ref="F3763:I3763"/>
    <mergeCell ref="J3763:K3763"/>
    <mergeCell ref="L3763:P3763"/>
    <mergeCell ref="C3764:E3764"/>
    <mergeCell ref="F3764:P3764"/>
    <mergeCell ref="F3767:G3767"/>
    <mergeCell ref="H3767:I3767"/>
    <mergeCell ref="J3767:K3767"/>
    <mergeCell ref="L3767:M3767"/>
    <mergeCell ref="N3767:O3767"/>
    <mergeCell ref="F3768:O3768"/>
    <mergeCell ref="D3772:F3772"/>
    <mergeCell ref="G3772:N3772"/>
    <mergeCell ref="D3773:F3773"/>
    <mergeCell ref="D3774:F3774"/>
    <mergeCell ref="D3775:F3775"/>
    <mergeCell ref="M3775:N3775"/>
    <mergeCell ref="D3776:F3776"/>
    <mergeCell ref="M3776:N3776"/>
    <mergeCell ref="D3777:F3777"/>
    <mergeCell ref="M3777:N3777"/>
    <mergeCell ref="D3778:F3778"/>
    <mergeCell ref="M3778:N3778"/>
    <mergeCell ref="D3779:F3779"/>
    <mergeCell ref="M3779:N3779"/>
    <mergeCell ref="D3780:F3780"/>
    <mergeCell ref="M3780:N3780"/>
    <mergeCell ref="D3781:F3781"/>
    <mergeCell ref="M3781:N3781"/>
    <mergeCell ref="D3782:F3782"/>
    <mergeCell ref="M3782:N3782"/>
    <mergeCell ref="D3783:M3783"/>
    <mergeCell ref="E3784:M3784"/>
    <mergeCell ref="D3790:G3790"/>
    <mergeCell ref="H3790:I3790"/>
    <mergeCell ref="D3791:G3791"/>
    <mergeCell ref="H3791:I3791"/>
    <mergeCell ref="L3791:M3791"/>
    <mergeCell ref="N3791:O3791"/>
    <mergeCell ref="D3792:G3792"/>
    <mergeCell ref="H3792:I3792"/>
    <mergeCell ref="L3792:M3792"/>
    <mergeCell ref="N3792:O3792"/>
    <mergeCell ref="E3802:F3802"/>
    <mergeCell ref="M3802:O3802"/>
    <mergeCell ref="E3803:F3803"/>
    <mergeCell ref="M3803:O3803"/>
    <mergeCell ref="C3811:P3811"/>
    <mergeCell ref="C3813:P3813"/>
    <mergeCell ref="C3815:E3815"/>
    <mergeCell ref="F3815:P3815"/>
    <mergeCell ref="C3816:E3816"/>
    <mergeCell ref="F3816:G3816"/>
    <mergeCell ref="H3816:I3816"/>
    <mergeCell ref="L3816:P3816"/>
    <mergeCell ref="C3817:E3817"/>
    <mergeCell ref="F3817:K3817"/>
    <mergeCell ref="L3817:M3817"/>
    <mergeCell ref="N3817:P3817"/>
    <mergeCell ref="C3818:E3818"/>
    <mergeCell ref="F3818:G3818"/>
    <mergeCell ref="I3818:J3818"/>
    <mergeCell ref="K3818:L3818"/>
    <mergeCell ref="M3818:P3818"/>
    <mergeCell ref="C3819:E3819"/>
    <mergeCell ref="F3819:I3819"/>
    <mergeCell ref="J3819:K3819"/>
    <mergeCell ref="L3819:P3819"/>
    <mergeCell ref="C3820:E3820"/>
    <mergeCell ref="F3820:P3820"/>
    <mergeCell ref="F3823:G3823"/>
    <mergeCell ref="H3823:I3823"/>
    <mergeCell ref="J3823:K3823"/>
    <mergeCell ref="L3823:M3823"/>
    <mergeCell ref="N3823:O3823"/>
    <mergeCell ref="F3824:O3824"/>
    <mergeCell ref="D3828:F3828"/>
    <mergeCell ref="G3828:N3828"/>
    <mergeCell ref="D3829:F3829"/>
    <mergeCell ref="D3830:F3830"/>
    <mergeCell ref="D3831:F3831"/>
    <mergeCell ref="M3831:N3831"/>
    <mergeCell ref="D3832:F3832"/>
    <mergeCell ref="M3832:N3832"/>
    <mergeCell ref="D3833:F3833"/>
    <mergeCell ref="M3833:N3833"/>
    <mergeCell ref="D3834:F3834"/>
    <mergeCell ref="M3834:N3834"/>
    <mergeCell ref="D3835:F3835"/>
    <mergeCell ref="M3835:N3835"/>
    <mergeCell ref="D3836:F3836"/>
    <mergeCell ref="M3836:N3836"/>
    <mergeCell ref="D3837:F3837"/>
    <mergeCell ref="M3837:N3837"/>
    <mergeCell ref="D3838:F3838"/>
    <mergeCell ref="M3838:N3838"/>
    <mergeCell ref="D3839:M3839"/>
    <mergeCell ref="E3840:M3840"/>
    <mergeCell ref="D3846:G3846"/>
    <mergeCell ref="H3846:I3846"/>
    <mergeCell ref="D3847:G3847"/>
    <mergeCell ref="H3847:I3847"/>
    <mergeCell ref="L3847:M3847"/>
    <mergeCell ref="N3847:O3847"/>
    <mergeCell ref="D3848:G3848"/>
    <mergeCell ref="H3848:I3848"/>
    <mergeCell ref="L3848:M3848"/>
    <mergeCell ref="N3848:O3848"/>
    <mergeCell ref="E3858:F3858"/>
    <mergeCell ref="M3858:O3858"/>
    <mergeCell ref="E3859:F3859"/>
    <mergeCell ref="M3859:O3859"/>
    <mergeCell ref="C3867:P3867"/>
    <mergeCell ref="C3869:P3869"/>
    <mergeCell ref="C3871:E3871"/>
    <mergeCell ref="F3871:P3871"/>
    <mergeCell ref="C3872:E3872"/>
    <mergeCell ref="F3872:G3872"/>
    <mergeCell ref="H3872:I3872"/>
    <mergeCell ref="L3872:P3872"/>
    <mergeCell ref="C3873:E3873"/>
    <mergeCell ref="F3873:K3873"/>
    <mergeCell ref="L3873:M3873"/>
    <mergeCell ref="N3873:P3873"/>
    <mergeCell ref="C3874:E3874"/>
    <mergeCell ref="F3874:G3874"/>
    <mergeCell ref="I3874:J3874"/>
    <mergeCell ref="K3874:L3874"/>
    <mergeCell ref="M3874:P3874"/>
    <mergeCell ref="C3875:E3875"/>
    <mergeCell ref="F3875:I3875"/>
    <mergeCell ref="J3875:K3875"/>
    <mergeCell ref="L3875:P3875"/>
    <mergeCell ref="C3876:E3876"/>
    <mergeCell ref="F3876:P3876"/>
    <mergeCell ref="F3879:G3879"/>
    <mergeCell ref="H3879:I3879"/>
    <mergeCell ref="J3879:K3879"/>
    <mergeCell ref="L3879:M3879"/>
    <mergeCell ref="N3879:O3879"/>
    <mergeCell ref="F3880:O3880"/>
    <mergeCell ref="D3884:F3884"/>
    <mergeCell ref="G3884:N3884"/>
    <mergeCell ref="D3885:F3885"/>
    <mergeCell ref="D3886:F3886"/>
    <mergeCell ref="D3887:F3887"/>
    <mergeCell ref="M3887:N3887"/>
    <mergeCell ref="D3888:F3888"/>
    <mergeCell ref="M3888:N3888"/>
    <mergeCell ref="D3889:F3889"/>
    <mergeCell ref="M3889:N3889"/>
    <mergeCell ref="D3890:F3890"/>
    <mergeCell ref="M3890:N3890"/>
    <mergeCell ref="D3891:F3891"/>
    <mergeCell ref="M3891:N3891"/>
    <mergeCell ref="D3892:F3892"/>
    <mergeCell ref="M3892:N3892"/>
    <mergeCell ref="D3893:F3893"/>
    <mergeCell ref="M3893:N3893"/>
    <mergeCell ref="D3894:F3894"/>
    <mergeCell ref="M3894:N3894"/>
    <mergeCell ref="D3895:M3895"/>
    <mergeCell ref="E3896:M3896"/>
    <mergeCell ref="D3902:G3902"/>
    <mergeCell ref="H3902:I3902"/>
    <mergeCell ref="D3903:G3903"/>
    <mergeCell ref="H3903:I3903"/>
    <mergeCell ref="L3903:M3903"/>
    <mergeCell ref="N3903:O3903"/>
    <mergeCell ref="D3904:G3904"/>
    <mergeCell ref="H3904:I3904"/>
    <mergeCell ref="L3904:M3904"/>
    <mergeCell ref="N3904:O3904"/>
    <mergeCell ref="E3914:F3914"/>
    <mergeCell ref="M3914:O3914"/>
    <mergeCell ref="E3915:F3915"/>
    <mergeCell ref="M3915:O3915"/>
    <mergeCell ref="C3923:P3923"/>
    <mergeCell ref="C3925:P3925"/>
    <mergeCell ref="C3927:E3927"/>
    <mergeCell ref="F3927:P3927"/>
    <mergeCell ref="C3928:E3928"/>
    <mergeCell ref="F3928:G3928"/>
    <mergeCell ref="H3928:I3928"/>
    <mergeCell ref="L3928:P3928"/>
    <mergeCell ref="C3929:E3929"/>
    <mergeCell ref="F3929:K3929"/>
    <mergeCell ref="L3929:M3929"/>
    <mergeCell ref="N3929:P3929"/>
    <mergeCell ref="C3930:E3930"/>
    <mergeCell ref="F3930:G3930"/>
    <mergeCell ref="I3930:J3930"/>
    <mergeCell ref="K3930:L3930"/>
    <mergeCell ref="M3930:P3930"/>
    <mergeCell ref="C3931:E3931"/>
    <mergeCell ref="F3931:I3931"/>
    <mergeCell ref="J3931:K3931"/>
    <mergeCell ref="L3931:P3931"/>
    <mergeCell ref="C3932:E3932"/>
    <mergeCell ref="F3932:P3932"/>
    <mergeCell ref="F3935:G3935"/>
    <mergeCell ref="H3935:I3935"/>
    <mergeCell ref="J3935:K3935"/>
    <mergeCell ref="L3935:M3935"/>
    <mergeCell ref="N3935:O3935"/>
    <mergeCell ref="F3936:O3936"/>
    <mergeCell ref="D3940:F3940"/>
    <mergeCell ref="G3940:N3940"/>
    <mergeCell ref="D3941:F3941"/>
    <mergeCell ref="D3942:F3942"/>
    <mergeCell ref="D3943:F3943"/>
    <mergeCell ref="M3943:N3943"/>
    <mergeCell ref="D3944:F3944"/>
    <mergeCell ref="M3944:N3944"/>
    <mergeCell ref="D3945:F3945"/>
    <mergeCell ref="M3945:N3945"/>
    <mergeCell ref="D3946:F3946"/>
    <mergeCell ref="M3946:N3946"/>
    <mergeCell ref="D3947:F3947"/>
    <mergeCell ref="M3947:N3947"/>
    <mergeCell ref="D3948:F3948"/>
    <mergeCell ref="M3948:N3948"/>
    <mergeCell ref="D3949:F3949"/>
    <mergeCell ref="M3949:N3949"/>
    <mergeCell ref="D3950:F3950"/>
    <mergeCell ref="M3950:N3950"/>
    <mergeCell ref="D3951:M3951"/>
    <mergeCell ref="E3952:M3952"/>
    <mergeCell ref="D3958:G3958"/>
    <mergeCell ref="H3958:I3958"/>
    <mergeCell ref="D3959:G3959"/>
    <mergeCell ref="H3959:I3959"/>
    <mergeCell ref="L3959:M3959"/>
    <mergeCell ref="N3959:O3959"/>
    <mergeCell ref="D3960:G3960"/>
    <mergeCell ref="H3960:I3960"/>
    <mergeCell ref="L3960:M3960"/>
    <mergeCell ref="N3960:O3960"/>
    <mergeCell ref="E3970:F3970"/>
    <mergeCell ref="M3970:O3970"/>
    <mergeCell ref="E3971:F3971"/>
    <mergeCell ref="M3971:O3971"/>
    <mergeCell ref="C3979:P3979"/>
    <mergeCell ref="C3981:P3981"/>
    <mergeCell ref="C3983:E3983"/>
    <mergeCell ref="F3983:P3983"/>
    <mergeCell ref="C3984:E3984"/>
    <mergeCell ref="F3984:G3984"/>
    <mergeCell ref="H3984:I3984"/>
    <mergeCell ref="L3984:P3984"/>
    <mergeCell ref="C3985:E3985"/>
    <mergeCell ref="F3985:K3985"/>
    <mergeCell ref="L3985:M3985"/>
    <mergeCell ref="N3985:P3985"/>
    <mergeCell ref="C3986:E3986"/>
    <mergeCell ref="F3986:G3986"/>
    <mergeCell ref="I3986:J3986"/>
    <mergeCell ref="K3986:L3986"/>
    <mergeCell ref="M3986:P3986"/>
    <mergeCell ref="C3987:E3987"/>
    <mergeCell ref="F3987:I3987"/>
    <mergeCell ref="J3987:K3987"/>
    <mergeCell ref="L3987:P3987"/>
    <mergeCell ref="C3988:E3988"/>
    <mergeCell ref="F3988:P3988"/>
    <mergeCell ref="F3991:G3991"/>
    <mergeCell ref="H3991:I3991"/>
    <mergeCell ref="J3991:K3991"/>
    <mergeCell ref="L3991:M3991"/>
    <mergeCell ref="N3991:O3991"/>
    <mergeCell ref="F3992:O3992"/>
    <mergeCell ref="D3996:F3996"/>
    <mergeCell ref="G3996:N3996"/>
    <mergeCell ref="D3997:F3997"/>
    <mergeCell ref="D3998:F3998"/>
    <mergeCell ref="D3999:F3999"/>
    <mergeCell ref="M3999:N3999"/>
    <mergeCell ref="D4000:F4000"/>
    <mergeCell ref="M4000:N4000"/>
    <mergeCell ref="D4001:F4001"/>
    <mergeCell ref="M4001:N4001"/>
    <mergeCell ref="D4002:F4002"/>
    <mergeCell ref="M4002:N4002"/>
    <mergeCell ref="D4003:F4003"/>
    <mergeCell ref="M4003:N4003"/>
    <mergeCell ref="D4004:F4004"/>
    <mergeCell ref="M4004:N4004"/>
    <mergeCell ref="D4005:F4005"/>
    <mergeCell ref="M4005:N4005"/>
    <mergeCell ref="D4006:F4006"/>
    <mergeCell ref="M4006:N4006"/>
    <mergeCell ref="D4007:M4007"/>
    <mergeCell ref="E4008:M4008"/>
    <mergeCell ref="D4014:G4014"/>
    <mergeCell ref="H4014:I4014"/>
    <mergeCell ref="D4015:G4015"/>
    <mergeCell ref="H4015:I4015"/>
    <mergeCell ref="L4015:M4015"/>
    <mergeCell ref="N4015:O4015"/>
    <mergeCell ref="D4016:G4016"/>
    <mergeCell ref="H4016:I4016"/>
    <mergeCell ref="L4016:M4016"/>
    <mergeCell ref="N4016:O4016"/>
    <mergeCell ref="E4026:F4026"/>
    <mergeCell ref="M4026:O4026"/>
    <mergeCell ref="E4027:F4027"/>
    <mergeCell ref="M4027:O4027"/>
    <mergeCell ref="C4035:P4035"/>
    <mergeCell ref="C4037:P4037"/>
    <mergeCell ref="C4039:E4039"/>
    <mergeCell ref="F4039:P4039"/>
    <mergeCell ref="C4040:E4040"/>
    <mergeCell ref="F4040:G4040"/>
    <mergeCell ref="H4040:I4040"/>
    <mergeCell ref="L4040:P4040"/>
    <mergeCell ref="C4041:E4041"/>
    <mergeCell ref="F4041:K4041"/>
    <mergeCell ref="L4041:M4041"/>
    <mergeCell ref="N4041:P4041"/>
    <mergeCell ref="C4042:E4042"/>
    <mergeCell ref="F4042:G4042"/>
    <mergeCell ref="I4042:J4042"/>
    <mergeCell ref="K4042:L4042"/>
    <mergeCell ref="M4042:P4042"/>
    <mergeCell ref="C4043:E4043"/>
    <mergeCell ref="F4043:I4043"/>
    <mergeCell ref="J4043:K4043"/>
    <mergeCell ref="L4043:P4043"/>
    <mergeCell ref="C4044:E4044"/>
    <mergeCell ref="F4044:P4044"/>
    <mergeCell ref="F4047:G4047"/>
    <mergeCell ref="H4047:I4047"/>
    <mergeCell ref="J4047:K4047"/>
    <mergeCell ref="L4047:M4047"/>
    <mergeCell ref="N4047:O4047"/>
    <mergeCell ref="F4048:O4048"/>
    <mergeCell ref="D4052:F4052"/>
    <mergeCell ref="G4052:N4052"/>
    <mergeCell ref="D4053:F4053"/>
    <mergeCell ref="D4054:F4054"/>
    <mergeCell ref="D4055:F4055"/>
    <mergeCell ref="M4055:N4055"/>
    <mergeCell ref="D4056:F4056"/>
    <mergeCell ref="M4056:N4056"/>
    <mergeCell ref="D4057:F4057"/>
    <mergeCell ref="M4057:N4057"/>
    <mergeCell ref="D4058:F4058"/>
    <mergeCell ref="M4058:N4058"/>
    <mergeCell ref="D4059:F4059"/>
    <mergeCell ref="M4059:N4059"/>
    <mergeCell ref="D4060:F4060"/>
    <mergeCell ref="M4060:N4060"/>
    <mergeCell ref="D4061:F4061"/>
    <mergeCell ref="M4061:N4061"/>
    <mergeCell ref="D4062:F4062"/>
    <mergeCell ref="M4062:N4062"/>
    <mergeCell ref="D4063:M4063"/>
    <mergeCell ref="E4064:M4064"/>
    <mergeCell ref="D4070:G4070"/>
    <mergeCell ref="H4070:I4070"/>
    <mergeCell ref="D4071:G4071"/>
    <mergeCell ref="H4071:I4071"/>
    <mergeCell ref="L4071:M4071"/>
    <mergeCell ref="N4071:O4071"/>
    <mergeCell ref="D4072:G4072"/>
    <mergeCell ref="H4072:I4072"/>
    <mergeCell ref="L4072:M4072"/>
    <mergeCell ref="N4072:O4072"/>
    <mergeCell ref="E4082:F4082"/>
    <mergeCell ref="M4082:O4082"/>
    <mergeCell ref="E4083:F4083"/>
    <mergeCell ref="M4083:O4083"/>
    <mergeCell ref="C4091:P4091"/>
    <mergeCell ref="C4093:P4093"/>
    <mergeCell ref="C4095:E4095"/>
    <mergeCell ref="F4095:P4095"/>
    <mergeCell ref="C4096:E4096"/>
    <mergeCell ref="F4096:G4096"/>
    <mergeCell ref="H4096:I4096"/>
    <mergeCell ref="L4096:P4096"/>
    <mergeCell ref="C4097:E4097"/>
    <mergeCell ref="F4097:K4097"/>
    <mergeCell ref="L4097:M4097"/>
    <mergeCell ref="N4097:P4097"/>
    <mergeCell ref="C4098:E4098"/>
    <mergeCell ref="F4098:G4098"/>
    <mergeCell ref="I4098:J4098"/>
    <mergeCell ref="K4098:L4098"/>
    <mergeCell ref="M4098:P4098"/>
    <mergeCell ref="C4099:E4099"/>
    <mergeCell ref="F4099:I4099"/>
    <mergeCell ref="J4099:K4099"/>
    <mergeCell ref="L4099:P4099"/>
    <mergeCell ref="C4100:E4100"/>
    <mergeCell ref="F4100:P4100"/>
    <mergeCell ref="F4103:G4103"/>
    <mergeCell ref="H4103:I4103"/>
    <mergeCell ref="J4103:K4103"/>
    <mergeCell ref="L4103:M4103"/>
    <mergeCell ref="N4103:O4103"/>
    <mergeCell ref="F4104:O4104"/>
    <mergeCell ref="D4108:F4108"/>
    <mergeCell ref="G4108:N4108"/>
    <mergeCell ref="D4109:F4109"/>
    <mergeCell ref="D4110:F4110"/>
    <mergeCell ref="D4111:F4111"/>
    <mergeCell ref="M4111:N4111"/>
    <mergeCell ref="D4112:F4112"/>
    <mergeCell ref="M4112:N4112"/>
    <mergeCell ref="D4113:F4113"/>
    <mergeCell ref="M4113:N4113"/>
    <mergeCell ref="D4114:F4114"/>
    <mergeCell ref="M4114:N4114"/>
    <mergeCell ref="D4115:F4115"/>
    <mergeCell ref="M4115:N4115"/>
    <mergeCell ref="D4116:F4116"/>
    <mergeCell ref="M4116:N4116"/>
    <mergeCell ref="D4117:F4117"/>
    <mergeCell ref="M4117:N4117"/>
    <mergeCell ref="D4118:F4118"/>
    <mergeCell ref="M4118:N4118"/>
    <mergeCell ref="D4119:M4119"/>
    <mergeCell ref="E4120:M4120"/>
    <mergeCell ref="D4126:G4126"/>
    <mergeCell ref="H4126:I4126"/>
    <mergeCell ref="D4127:G4127"/>
    <mergeCell ref="H4127:I4127"/>
    <mergeCell ref="L4127:M4127"/>
    <mergeCell ref="N4127:O4127"/>
    <mergeCell ref="D4128:G4128"/>
    <mergeCell ref="H4128:I4128"/>
    <mergeCell ref="L4128:M4128"/>
    <mergeCell ref="N4128:O4128"/>
    <mergeCell ref="E4138:F4138"/>
    <mergeCell ref="M4138:O4138"/>
    <mergeCell ref="E4139:F4139"/>
    <mergeCell ref="M4139:O4139"/>
    <mergeCell ref="C4147:P4147"/>
    <mergeCell ref="C4149:P4149"/>
    <mergeCell ref="C4151:E4151"/>
    <mergeCell ref="F4151:P4151"/>
    <mergeCell ref="C4152:E4152"/>
    <mergeCell ref="F4152:G4152"/>
    <mergeCell ref="H4152:I4152"/>
    <mergeCell ref="L4152:P4152"/>
    <mergeCell ref="C4153:E4153"/>
    <mergeCell ref="F4153:K4153"/>
    <mergeCell ref="L4153:M4153"/>
    <mergeCell ref="N4153:P4153"/>
    <mergeCell ref="C4154:E4154"/>
    <mergeCell ref="F4154:G4154"/>
    <mergeCell ref="I4154:J4154"/>
    <mergeCell ref="K4154:L4154"/>
    <mergeCell ref="M4154:P4154"/>
    <mergeCell ref="C4155:E4155"/>
    <mergeCell ref="F4155:I4155"/>
    <mergeCell ref="J4155:K4155"/>
    <mergeCell ref="L4155:P4155"/>
    <mergeCell ref="C4156:E4156"/>
    <mergeCell ref="F4156:P4156"/>
    <mergeCell ref="F4159:G4159"/>
    <mergeCell ref="H4159:I4159"/>
    <mergeCell ref="J4159:K4159"/>
    <mergeCell ref="L4159:M4159"/>
    <mergeCell ref="N4159:O4159"/>
    <mergeCell ref="F4160:O4160"/>
    <mergeCell ref="D4164:F4164"/>
    <mergeCell ref="G4164:N4164"/>
    <mergeCell ref="D4165:F4165"/>
    <mergeCell ref="D4166:F4166"/>
    <mergeCell ref="D4167:F4167"/>
    <mergeCell ref="M4167:N4167"/>
    <mergeCell ref="D4168:F4168"/>
    <mergeCell ref="M4168:N4168"/>
    <mergeCell ref="D4169:F4169"/>
    <mergeCell ref="M4169:N4169"/>
    <mergeCell ref="D4170:F4170"/>
    <mergeCell ref="M4170:N4170"/>
    <mergeCell ref="D4171:F4171"/>
    <mergeCell ref="M4171:N4171"/>
    <mergeCell ref="D4172:F4172"/>
    <mergeCell ref="M4172:N4172"/>
    <mergeCell ref="D4173:F4173"/>
    <mergeCell ref="M4173:N4173"/>
    <mergeCell ref="D4174:F4174"/>
    <mergeCell ref="M4174:N4174"/>
    <mergeCell ref="D4175:M4175"/>
    <mergeCell ref="E4176:M4176"/>
    <mergeCell ref="D4182:G4182"/>
    <mergeCell ref="H4182:I4182"/>
    <mergeCell ref="D4183:G4183"/>
    <mergeCell ref="H4183:I4183"/>
    <mergeCell ref="L4183:M4183"/>
    <mergeCell ref="N4183:O4183"/>
    <mergeCell ref="D4184:G4184"/>
    <mergeCell ref="H4184:I4184"/>
    <mergeCell ref="L4184:M4184"/>
    <mergeCell ref="N4184:O4184"/>
    <mergeCell ref="E4194:F4194"/>
    <mergeCell ref="M4194:O4194"/>
    <mergeCell ref="E4195:F4195"/>
    <mergeCell ref="M4195:O4195"/>
    <mergeCell ref="C4203:P4203"/>
    <mergeCell ref="C4205:P4205"/>
    <mergeCell ref="C4207:E4207"/>
    <mergeCell ref="F4207:P4207"/>
    <mergeCell ref="C4208:E4208"/>
    <mergeCell ref="F4208:G4208"/>
    <mergeCell ref="H4208:I4208"/>
    <mergeCell ref="L4208:P4208"/>
    <mergeCell ref="C4209:E4209"/>
    <mergeCell ref="F4209:K4209"/>
    <mergeCell ref="L4209:M4209"/>
    <mergeCell ref="N4209:P4209"/>
    <mergeCell ref="C4210:E4210"/>
    <mergeCell ref="F4210:G4210"/>
    <mergeCell ref="I4210:J4210"/>
    <mergeCell ref="K4210:L4210"/>
    <mergeCell ref="M4210:P4210"/>
    <mergeCell ref="C4211:E4211"/>
    <mergeCell ref="F4211:I4211"/>
    <mergeCell ref="J4211:K4211"/>
    <mergeCell ref="L4211:P4211"/>
    <mergeCell ref="C4212:E4212"/>
    <mergeCell ref="F4212:P4212"/>
    <mergeCell ref="F4215:G4215"/>
    <mergeCell ref="H4215:I4215"/>
    <mergeCell ref="J4215:K4215"/>
    <mergeCell ref="L4215:M4215"/>
    <mergeCell ref="N4215:O4215"/>
    <mergeCell ref="F4216:O4216"/>
    <mergeCell ref="D4220:F4220"/>
    <mergeCell ref="G4220:N4220"/>
    <mergeCell ref="D4221:F4221"/>
    <mergeCell ref="D4222:F4222"/>
    <mergeCell ref="D4223:F4223"/>
    <mergeCell ref="M4223:N4223"/>
    <mergeCell ref="D4224:F4224"/>
    <mergeCell ref="M4224:N4224"/>
    <mergeCell ref="D4225:F4225"/>
    <mergeCell ref="M4225:N4225"/>
    <mergeCell ref="D4226:F4226"/>
    <mergeCell ref="M4226:N4226"/>
    <mergeCell ref="D4227:F4227"/>
    <mergeCell ref="M4227:N4227"/>
    <mergeCell ref="D4228:F4228"/>
    <mergeCell ref="M4228:N4228"/>
    <mergeCell ref="D4229:F4229"/>
    <mergeCell ref="M4229:N4229"/>
    <mergeCell ref="D4230:F4230"/>
    <mergeCell ref="M4230:N4230"/>
    <mergeCell ref="D4231:M4231"/>
    <mergeCell ref="E4232:M4232"/>
    <mergeCell ref="D4238:G4238"/>
    <mergeCell ref="H4238:I4238"/>
    <mergeCell ref="D4239:G4239"/>
    <mergeCell ref="H4239:I4239"/>
    <mergeCell ref="L4239:M4239"/>
    <mergeCell ref="N4239:O4239"/>
    <mergeCell ref="D4240:G4240"/>
    <mergeCell ref="H4240:I4240"/>
    <mergeCell ref="L4240:M4240"/>
    <mergeCell ref="N4240:O4240"/>
    <mergeCell ref="E4250:F4250"/>
    <mergeCell ref="M4250:O4250"/>
    <mergeCell ref="E4251:F4251"/>
    <mergeCell ref="M4251:O4251"/>
    <mergeCell ref="C4259:P4259"/>
    <mergeCell ref="C4261:P4261"/>
    <mergeCell ref="C4263:E4263"/>
    <mergeCell ref="F4263:P4263"/>
    <mergeCell ref="C4264:E4264"/>
    <mergeCell ref="F4264:G4264"/>
    <mergeCell ref="H4264:I4264"/>
    <mergeCell ref="L4264:P4264"/>
    <mergeCell ref="C4265:E4265"/>
    <mergeCell ref="F4265:K4265"/>
    <mergeCell ref="L4265:M4265"/>
    <mergeCell ref="N4265:P4265"/>
    <mergeCell ref="C4266:E4266"/>
    <mergeCell ref="F4266:G4266"/>
    <mergeCell ref="I4266:J4266"/>
    <mergeCell ref="K4266:L4266"/>
    <mergeCell ref="M4266:P4266"/>
    <mergeCell ref="C4267:E4267"/>
    <mergeCell ref="F4267:I4267"/>
    <mergeCell ref="J4267:K4267"/>
    <mergeCell ref="L4267:P4267"/>
    <mergeCell ref="C4268:E4268"/>
    <mergeCell ref="F4268:P4268"/>
    <mergeCell ref="F4271:G4271"/>
    <mergeCell ref="H4271:I4271"/>
    <mergeCell ref="J4271:K4271"/>
    <mergeCell ref="L4271:M4271"/>
    <mergeCell ref="N4271:O4271"/>
    <mergeCell ref="F4272:O4272"/>
    <mergeCell ref="D4276:F4276"/>
    <mergeCell ref="G4276:N4276"/>
    <mergeCell ref="D4277:F4277"/>
    <mergeCell ref="D4278:F4278"/>
    <mergeCell ref="D4279:F4279"/>
    <mergeCell ref="M4279:N4279"/>
    <mergeCell ref="D4280:F4280"/>
    <mergeCell ref="M4280:N4280"/>
    <mergeCell ref="D4281:F4281"/>
    <mergeCell ref="M4281:N4281"/>
    <mergeCell ref="D4282:F4282"/>
    <mergeCell ref="M4282:N4282"/>
    <mergeCell ref="D4283:F4283"/>
    <mergeCell ref="M4283:N4283"/>
    <mergeCell ref="D4284:F4284"/>
    <mergeCell ref="M4284:N4284"/>
    <mergeCell ref="D4285:F4285"/>
    <mergeCell ref="M4285:N4285"/>
    <mergeCell ref="D4286:F4286"/>
    <mergeCell ref="M4286:N4286"/>
    <mergeCell ref="D4287:M4287"/>
    <mergeCell ref="E4288:M4288"/>
    <mergeCell ref="D4294:G4294"/>
    <mergeCell ref="H4294:I4294"/>
    <mergeCell ref="D4295:G4295"/>
    <mergeCell ref="H4295:I4295"/>
    <mergeCell ref="L4295:M4295"/>
    <mergeCell ref="N4295:O4295"/>
    <mergeCell ref="D4296:G4296"/>
    <mergeCell ref="H4296:I4296"/>
    <mergeCell ref="L4296:M4296"/>
    <mergeCell ref="N4296:O4296"/>
    <mergeCell ref="E4306:F4306"/>
    <mergeCell ref="M4306:O4306"/>
    <mergeCell ref="E4307:F4307"/>
    <mergeCell ref="M4307:O4307"/>
    <mergeCell ref="C4315:P4315"/>
    <mergeCell ref="C4317:P4317"/>
    <mergeCell ref="C4319:E4319"/>
    <mergeCell ref="F4319:P4319"/>
    <mergeCell ref="C4320:E4320"/>
    <mergeCell ref="F4320:G4320"/>
    <mergeCell ref="H4320:I4320"/>
    <mergeCell ref="L4320:P4320"/>
    <mergeCell ref="C4321:E4321"/>
    <mergeCell ref="F4321:K4321"/>
    <mergeCell ref="L4321:M4321"/>
    <mergeCell ref="N4321:P4321"/>
    <mergeCell ref="C4322:E4322"/>
    <mergeCell ref="F4322:G4322"/>
    <mergeCell ref="I4322:J4322"/>
    <mergeCell ref="K4322:L4322"/>
    <mergeCell ref="M4322:P4322"/>
    <mergeCell ref="C4323:E4323"/>
    <mergeCell ref="F4323:I4323"/>
    <mergeCell ref="J4323:K4323"/>
    <mergeCell ref="L4323:P4323"/>
    <mergeCell ref="C4324:E4324"/>
    <mergeCell ref="F4324:P4324"/>
    <mergeCell ref="F4327:G4327"/>
    <mergeCell ref="H4327:I4327"/>
    <mergeCell ref="J4327:K4327"/>
    <mergeCell ref="L4327:M4327"/>
    <mergeCell ref="N4327:O4327"/>
    <mergeCell ref="F4328:O4328"/>
    <mergeCell ref="D4332:F4332"/>
    <mergeCell ref="G4332:N4332"/>
    <mergeCell ref="D4333:F4333"/>
    <mergeCell ref="D4334:F4334"/>
    <mergeCell ref="D4335:F4335"/>
    <mergeCell ref="M4335:N4335"/>
    <mergeCell ref="D4336:F4336"/>
    <mergeCell ref="M4336:N4336"/>
    <mergeCell ref="D4337:F4337"/>
    <mergeCell ref="M4337:N4337"/>
    <mergeCell ref="D4338:F4338"/>
    <mergeCell ref="M4338:N4338"/>
    <mergeCell ref="D4339:F4339"/>
    <mergeCell ref="M4339:N4339"/>
    <mergeCell ref="D4340:F4340"/>
    <mergeCell ref="M4340:N4340"/>
    <mergeCell ref="D4341:F4341"/>
    <mergeCell ref="M4341:N4341"/>
    <mergeCell ref="D4342:F4342"/>
    <mergeCell ref="M4342:N4342"/>
    <mergeCell ref="D4343:M4343"/>
    <mergeCell ref="E4344:M4344"/>
    <mergeCell ref="D4350:G4350"/>
    <mergeCell ref="H4350:I4350"/>
    <mergeCell ref="D4351:G4351"/>
    <mergeCell ref="H4351:I4351"/>
    <mergeCell ref="L4351:M4351"/>
    <mergeCell ref="N4351:O4351"/>
    <mergeCell ref="D4352:G4352"/>
    <mergeCell ref="H4352:I4352"/>
    <mergeCell ref="L4352:M4352"/>
    <mergeCell ref="N4352:O4352"/>
    <mergeCell ref="E4362:F4362"/>
    <mergeCell ref="M4362:O4362"/>
    <mergeCell ref="E4363:F4363"/>
    <mergeCell ref="M4363:O4363"/>
    <mergeCell ref="C4371:P4371"/>
    <mergeCell ref="C4373:P4373"/>
    <mergeCell ref="C4375:E4375"/>
    <mergeCell ref="F4375:P4375"/>
    <mergeCell ref="C4376:E4376"/>
    <mergeCell ref="F4376:G4376"/>
    <mergeCell ref="H4376:I4376"/>
    <mergeCell ref="L4376:P4376"/>
    <mergeCell ref="C4377:E4377"/>
    <mergeCell ref="F4377:K4377"/>
    <mergeCell ref="L4377:M4377"/>
    <mergeCell ref="N4377:P4377"/>
    <mergeCell ref="C4378:E4378"/>
    <mergeCell ref="F4378:G4378"/>
    <mergeCell ref="I4378:J4378"/>
    <mergeCell ref="K4378:L4378"/>
    <mergeCell ref="M4378:P4378"/>
    <mergeCell ref="C4379:E4379"/>
    <mergeCell ref="F4379:I4379"/>
    <mergeCell ref="J4379:K4379"/>
    <mergeCell ref="L4379:P4379"/>
    <mergeCell ref="C4380:E4380"/>
    <mergeCell ref="F4380:P4380"/>
    <mergeCell ref="F4383:G4383"/>
    <mergeCell ref="H4383:I4383"/>
    <mergeCell ref="J4383:K4383"/>
    <mergeCell ref="L4383:M4383"/>
    <mergeCell ref="N4383:O4383"/>
    <mergeCell ref="F4384:O4384"/>
    <mergeCell ref="D4388:F4388"/>
    <mergeCell ref="G4388:N4388"/>
    <mergeCell ref="D4389:F4389"/>
    <mergeCell ref="D4390:F4390"/>
    <mergeCell ref="D4391:F4391"/>
    <mergeCell ref="M4391:N4391"/>
    <mergeCell ref="D4392:F4392"/>
    <mergeCell ref="M4392:N4392"/>
    <mergeCell ref="D4393:F4393"/>
    <mergeCell ref="M4393:N4393"/>
    <mergeCell ref="D4394:F4394"/>
    <mergeCell ref="M4394:N4394"/>
    <mergeCell ref="D4395:F4395"/>
    <mergeCell ref="M4395:N4395"/>
    <mergeCell ref="D4396:F4396"/>
    <mergeCell ref="M4396:N4396"/>
    <mergeCell ref="D4397:F4397"/>
    <mergeCell ref="M4397:N4397"/>
    <mergeCell ref="D4398:F4398"/>
    <mergeCell ref="M4398:N4398"/>
    <mergeCell ref="D4399:M4399"/>
    <mergeCell ref="E4400:M4400"/>
    <mergeCell ref="D4406:G4406"/>
    <mergeCell ref="H4406:I4406"/>
    <mergeCell ref="D4407:G4407"/>
    <mergeCell ref="H4407:I4407"/>
    <mergeCell ref="L4407:M4407"/>
    <mergeCell ref="N4407:O4407"/>
    <mergeCell ref="D4408:G4408"/>
    <mergeCell ref="H4408:I4408"/>
    <mergeCell ref="L4408:M4408"/>
    <mergeCell ref="N4408:O4408"/>
    <mergeCell ref="E4418:F4418"/>
    <mergeCell ref="M4418:O4418"/>
    <mergeCell ref="E4419:F4419"/>
    <mergeCell ref="M4419:O4419"/>
    <mergeCell ref="C4427:P4427"/>
    <mergeCell ref="C4429:P4429"/>
    <mergeCell ref="C4431:E4431"/>
    <mergeCell ref="F4431:P4431"/>
    <mergeCell ref="C4432:E4432"/>
    <mergeCell ref="F4432:G4432"/>
    <mergeCell ref="H4432:I4432"/>
    <mergeCell ref="L4432:P4432"/>
    <mergeCell ref="C4433:E4433"/>
    <mergeCell ref="F4433:K4433"/>
    <mergeCell ref="L4433:M4433"/>
    <mergeCell ref="N4433:P4433"/>
    <mergeCell ref="C4434:E4434"/>
    <mergeCell ref="F4434:G4434"/>
    <mergeCell ref="I4434:J4434"/>
    <mergeCell ref="K4434:L4434"/>
    <mergeCell ref="M4434:P4434"/>
    <mergeCell ref="C4435:E4435"/>
    <mergeCell ref="F4435:I4435"/>
    <mergeCell ref="J4435:K4435"/>
    <mergeCell ref="L4435:P4435"/>
    <mergeCell ref="C4436:E4436"/>
    <mergeCell ref="F4436:P4436"/>
    <mergeCell ref="F4439:G4439"/>
    <mergeCell ref="H4439:I4439"/>
    <mergeCell ref="J4439:K4439"/>
    <mergeCell ref="L4439:M4439"/>
    <mergeCell ref="N4439:O4439"/>
    <mergeCell ref="F4440:O4440"/>
    <mergeCell ref="D4444:F4444"/>
    <mergeCell ref="G4444:N4444"/>
    <mergeCell ref="D4445:F4445"/>
    <mergeCell ref="D4446:F4446"/>
    <mergeCell ref="D4447:F4447"/>
    <mergeCell ref="M4447:N4447"/>
    <mergeCell ref="D4448:F4448"/>
    <mergeCell ref="M4448:N4448"/>
    <mergeCell ref="D4449:F4449"/>
    <mergeCell ref="M4449:N4449"/>
    <mergeCell ref="D4450:F4450"/>
    <mergeCell ref="M4450:N4450"/>
    <mergeCell ref="D4451:F4451"/>
    <mergeCell ref="M4451:N4451"/>
    <mergeCell ref="D4452:F4452"/>
    <mergeCell ref="M4452:N4452"/>
    <mergeCell ref="D4453:F4453"/>
    <mergeCell ref="M4453:N4453"/>
    <mergeCell ref="D4454:F4454"/>
    <mergeCell ref="M4454:N4454"/>
    <mergeCell ref="D4455:M4455"/>
    <mergeCell ref="E4456:M4456"/>
    <mergeCell ref="D4462:G4462"/>
    <mergeCell ref="H4462:I4462"/>
    <mergeCell ref="D4463:G4463"/>
    <mergeCell ref="H4463:I4463"/>
    <mergeCell ref="L4463:M4463"/>
    <mergeCell ref="N4463:O4463"/>
    <mergeCell ref="D4464:G4464"/>
    <mergeCell ref="H4464:I4464"/>
    <mergeCell ref="L4464:M4464"/>
    <mergeCell ref="N4464:O4464"/>
    <mergeCell ref="E4474:F4474"/>
    <mergeCell ref="M4474:O4474"/>
    <mergeCell ref="E4475:F4475"/>
    <mergeCell ref="M4475:O4475"/>
    <mergeCell ref="C4483:P4483"/>
    <mergeCell ref="C4485:P4485"/>
    <mergeCell ref="C4487:E4487"/>
    <mergeCell ref="F4487:P4487"/>
    <mergeCell ref="C4488:E4488"/>
    <mergeCell ref="F4488:G4488"/>
    <mergeCell ref="H4488:I4488"/>
    <mergeCell ref="L4488:P4488"/>
    <mergeCell ref="C4489:E4489"/>
    <mergeCell ref="F4489:K4489"/>
    <mergeCell ref="L4489:M4489"/>
    <mergeCell ref="N4489:P4489"/>
    <mergeCell ref="C4490:E4490"/>
    <mergeCell ref="F4490:G4490"/>
    <mergeCell ref="I4490:J4490"/>
    <mergeCell ref="K4490:L4490"/>
    <mergeCell ref="M4490:P4490"/>
    <mergeCell ref="C4491:E4491"/>
    <mergeCell ref="F4491:I4491"/>
    <mergeCell ref="J4491:K4491"/>
    <mergeCell ref="L4491:P4491"/>
    <mergeCell ref="C4492:E4492"/>
    <mergeCell ref="F4492:P4492"/>
    <mergeCell ref="F4495:G4495"/>
    <mergeCell ref="H4495:I4495"/>
    <mergeCell ref="J4495:K4495"/>
    <mergeCell ref="L4495:M4495"/>
    <mergeCell ref="N4495:O4495"/>
    <mergeCell ref="F4496:O4496"/>
    <mergeCell ref="D4500:F4500"/>
    <mergeCell ref="G4500:N4500"/>
    <mergeCell ref="D4501:F4501"/>
    <mergeCell ref="D4502:F4502"/>
    <mergeCell ref="D4503:F4503"/>
    <mergeCell ref="M4503:N4503"/>
    <mergeCell ref="D4504:F4504"/>
    <mergeCell ref="M4504:N4504"/>
    <mergeCell ref="D4505:F4505"/>
    <mergeCell ref="M4505:N4505"/>
    <mergeCell ref="D4506:F4506"/>
    <mergeCell ref="M4506:N4506"/>
    <mergeCell ref="D4507:F4507"/>
    <mergeCell ref="M4507:N4507"/>
    <mergeCell ref="D4508:F4508"/>
    <mergeCell ref="M4508:N4508"/>
    <mergeCell ref="D4509:F4509"/>
    <mergeCell ref="M4509:N4509"/>
    <mergeCell ref="D4510:F4510"/>
    <mergeCell ref="M4510:N4510"/>
    <mergeCell ref="D4511:M4511"/>
    <mergeCell ref="E4512:M4512"/>
    <mergeCell ref="D4518:G4518"/>
    <mergeCell ref="H4518:I4518"/>
    <mergeCell ref="D4519:G4519"/>
    <mergeCell ref="H4519:I4519"/>
    <mergeCell ref="L4519:M4519"/>
    <mergeCell ref="N4519:O4519"/>
    <mergeCell ref="D4520:G4520"/>
    <mergeCell ref="H4520:I4520"/>
    <mergeCell ref="L4520:M4520"/>
    <mergeCell ref="N4520:O4520"/>
    <mergeCell ref="E4530:F4530"/>
    <mergeCell ref="M4530:O4530"/>
    <mergeCell ref="E4531:F4531"/>
    <mergeCell ref="M4531:O4531"/>
    <mergeCell ref="C4539:P4539"/>
    <mergeCell ref="C4541:P4541"/>
    <mergeCell ref="C4543:E4543"/>
    <mergeCell ref="F4543:P4543"/>
    <mergeCell ref="C4544:E4544"/>
    <mergeCell ref="F4544:G4544"/>
    <mergeCell ref="H4544:I4544"/>
    <mergeCell ref="L4544:P4544"/>
    <mergeCell ref="C4545:E4545"/>
    <mergeCell ref="F4545:K4545"/>
    <mergeCell ref="L4545:M4545"/>
    <mergeCell ref="N4545:P4545"/>
    <mergeCell ref="C4546:E4546"/>
    <mergeCell ref="F4546:G4546"/>
    <mergeCell ref="I4546:J4546"/>
    <mergeCell ref="K4546:L4546"/>
    <mergeCell ref="M4546:P4546"/>
    <mergeCell ref="C4547:E4547"/>
    <mergeCell ref="F4547:I4547"/>
    <mergeCell ref="J4547:K4547"/>
    <mergeCell ref="L4547:P4547"/>
    <mergeCell ref="C4548:E4548"/>
    <mergeCell ref="F4548:P4548"/>
    <mergeCell ref="F4551:G4551"/>
    <mergeCell ref="H4551:I4551"/>
    <mergeCell ref="J4551:K4551"/>
    <mergeCell ref="L4551:M4551"/>
    <mergeCell ref="N4551:O4551"/>
    <mergeCell ref="F4552:O4552"/>
    <mergeCell ref="D4556:F4556"/>
    <mergeCell ref="G4556:N4556"/>
    <mergeCell ref="D4557:F4557"/>
    <mergeCell ref="D4558:F4558"/>
    <mergeCell ref="D4559:F4559"/>
    <mergeCell ref="M4559:N4559"/>
    <mergeCell ref="D4560:F4560"/>
    <mergeCell ref="M4560:N4560"/>
    <mergeCell ref="D4561:F4561"/>
    <mergeCell ref="M4561:N4561"/>
    <mergeCell ref="D4562:F4562"/>
    <mergeCell ref="M4562:N4562"/>
    <mergeCell ref="D4563:F4563"/>
    <mergeCell ref="M4563:N4563"/>
    <mergeCell ref="D4564:F4564"/>
    <mergeCell ref="M4564:N4564"/>
    <mergeCell ref="D4565:F4565"/>
    <mergeCell ref="M4565:N4565"/>
    <mergeCell ref="D4566:F4566"/>
    <mergeCell ref="M4566:N4566"/>
    <mergeCell ref="D4567:M4567"/>
    <mergeCell ref="E4568:M4568"/>
    <mergeCell ref="D4574:G4574"/>
    <mergeCell ref="H4574:I4574"/>
    <mergeCell ref="D4575:G4575"/>
    <mergeCell ref="H4575:I4575"/>
    <mergeCell ref="L4575:M4575"/>
    <mergeCell ref="N4575:O4575"/>
    <mergeCell ref="D4576:G4576"/>
    <mergeCell ref="H4576:I4576"/>
    <mergeCell ref="L4576:M4576"/>
    <mergeCell ref="N4576:O4576"/>
    <mergeCell ref="E4586:F4586"/>
    <mergeCell ref="M4586:O4586"/>
    <mergeCell ref="E4587:F4587"/>
    <mergeCell ref="M4587:O4587"/>
    <mergeCell ref="C4595:P4595"/>
    <mergeCell ref="C4597:P4597"/>
    <mergeCell ref="C4599:E4599"/>
    <mergeCell ref="F4599:P4599"/>
    <mergeCell ref="C4600:E4600"/>
    <mergeCell ref="F4600:G4600"/>
    <mergeCell ref="H4600:I4600"/>
    <mergeCell ref="L4600:P4600"/>
    <mergeCell ref="C4601:E4601"/>
    <mergeCell ref="F4601:K4601"/>
    <mergeCell ref="L4601:M4601"/>
    <mergeCell ref="N4601:P4601"/>
    <mergeCell ref="C4602:E4602"/>
    <mergeCell ref="F4602:G4602"/>
    <mergeCell ref="I4602:J4602"/>
    <mergeCell ref="K4602:L4602"/>
    <mergeCell ref="M4602:P4602"/>
    <mergeCell ref="C4603:E4603"/>
    <mergeCell ref="F4603:I4603"/>
    <mergeCell ref="J4603:K4603"/>
    <mergeCell ref="L4603:P4603"/>
    <mergeCell ref="C4604:E4604"/>
    <mergeCell ref="F4604:P4604"/>
    <mergeCell ref="F4607:G4607"/>
    <mergeCell ref="H4607:I4607"/>
    <mergeCell ref="J4607:K4607"/>
    <mergeCell ref="L4607:M4607"/>
    <mergeCell ref="N4607:O4607"/>
    <mergeCell ref="F4608:O4608"/>
    <mergeCell ref="D4612:F4612"/>
    <mergeCell ref="G4612:N4612"/>
    <mergeCell ref="D4613:F4613"/>
    <mergeCell ref="D4614:F4614"/>
    <mergeCell ref="D4615:F4615"/>
    <mergeCell ref="M4615:N4615"/>
    <mergeCell ref="D4616:F4616"/>
    <mergeCell ref="M4616:N4616"/>
    <mergeCell ref="D4617:F4617"/>
    <mergeCell ref="M4617:N4617"/>
    <mergeCell ref="D4618:F4618"/>
    <mergeCell ref="M4618:N4618"/>
    <mergeCell ref="D4619:F4619"/>
    <mergeCell ref="M4619:N4619"/>
    <mergeCell ref="D4620:F4620"/>
    <mergeCell ref="M4620:N4620"/>
    <mergeCell ref="D4621:F4621"/>
    <mergeCell ref="M4621:N4621"/>
    <mergeCell ref="D4622:F4622"/>
    <mergeCell ref="M4622:N4622"/>
    <mergeCell ref="D4623:M4623"/>
    <mergeCell ref="E4624:M4624"/>
    <mergeCell ref="D4630:G4630"/>
    <mergeCell ref="H4630:I4630"/>
    <mergeCell ref="D4631:G4631"/>
    <mergeCell ref="H4631:I4631"/>
    <mergeCell ref="L4631:M4631"/>
    <mergeCell ref="N4631:O4631"/>
    <mergeCell ref="D4632:G4632"/>
    <mergeCell ref="H4632:I4632"/>
    <mergeCell ref="L4632:M4632"/>
    <mergeCell ref="N4632:O4632"/>
    <mergeCell ref="E4642:F4642"/>
    <mergeCell ref="M4642:O4642"/>
    <mergeCell ref="E4643:F4643"/>
    <mergeCell ref="M4643:O4643"/>
    <mergeCell ref="C4651:P4651"/>
    <mergeCell ref="C4653:P4653"/>
    <mergeCell ref="C4655:E4655"/>
    <mergeCell ref="F4655:P4655"/>
    <mergeCell ref="C4656:E4656"/>
    <mergeCell ref="F4656:G4656"/>
    <mergeCell ref="H4656:I4656"/>
    <mergeCell ref="L4656:P4656"/>
    <mergeCell ref="C4657:E4657"/>
    <mergeCell ref="F4657:K4657"/>
    <mergeCell ref="L4657:M4657"/>
    <mergeCell ref="N4657:P4657"/>
    <mergeCell ref="C4658:E4658"/>
    <mergeCell ref="F4658:G4658"/>
    <mergeCell ref="I4658:J4658"/>
    <mergeCell ref="K4658:L4658"/>
    <mergeCell ref="M4658:P4658"/>
    <mergeCell ref="C4659:E4659"/>
    <mergeCell ref="F4659:I4659"/>
    <mergeCell ref="J4659:K4659"/>
    <mergeCell ref="L4659:P4659"/>
    <mergeCell ref="C4660:E4660"/>
    <mergeCell ref="F4660:P4660"/>
    <mergeCell ref="F4663:G4663"/>
    <mergeCell ref="H4663:I4663"/>
    <mergeCell ref="J4663:K4663"/>
    <mergeCell ref="L4663:M4663"/>
    <mergeCell ref="N4663:O4663"/>
    <mergeCell ref="F4664:O4664"/>
    <mergeCell ref="D4668:F4668"/>
    <mergeCell ref="G4668:N4668"/>
    <mergeCell ref="D4669:F4669"/>
    <mergeCell ref="D4670:F4670"/>
    <mergeCell ref="D4671:F4671"/>
    <mergeCell ref="M4671:N4671"/>
    <mergeCell ref="D4672:F4672"/>
    <mergeCell ref="M4672:N4672"/>
    <mergeCell ref="D4673:F4673"/>
    <mergeCell ref="M4673:N4673"/>
    <mergeCell ref="D4674:F4674"/>
    <mergeCell ref="M4674:N4674"/>
    <mergeCell ref="D4675:F4675"/>
    <mergeCell ref="M4675:N4675"/>
    <mergeCell ref="D4676:F4676"/>
    <mergeCell ref="M4676:N4676"/>
    <mergeCell ref="D4677:F4677"/>
    <mergeCell ref="M4677:N4677"/>
    <mergeCell ref="D4678:F4678"/>
    <mergeCell ref="M4678:N4678"/>
    <mergeCell ref="D4679:M4679"/>
    <mergeCell ref="E4680:M4680"/>
    <mergeCell ref="D4686:G4686"/>
    <mergeCell ref="H4686:I4686"/>
    <mergeCell ref="D4687:G4687"/>
    <mergeCell ref="H4687:I4687"/>
    <mergeCell ref="L4687:M4687"/>
    <mergeCell ref="N4687:O4687"/>
    <mergeCell ref="D4688:G4688"/>
    <mergeCell ref="H4688:I4688"/>
    <mergeCell ref="L4688:M4688"/>
    <mergeCell ref="N4688:O4688"/>
    <mergeCell ref="E4698:F4698"/>
    <mergeCell ref="M4698:O4698"/>
    <mergeCell ref="E4699:F4699"/>
    <mergeCell ref="M4699:O4699"/>
    <mergeCell ref="C4707:P4707"/>
    <mergeCell ref="C4709:P4709"/>
    <mergeCell ref="C4711:E4711"/>
    <mergeCell ref="F4711:P4711"/>
    <mergeCell ref="C4712:E4712"/>
    <mergeCell ref="F4712:G4712"/>
    <mergeCell ref="H4712:I4712"/>
    <mergeCell ref="L4712:P4712"/>
    <mergeCell ref="C4713:E4713"/>
    <mergeCell ref="F4713:K4713"/>
    <mergeCell ref="L4713:M4713"/>
    <mergeCell ref="N4713:P4713"/>
    <mergeCell ref="C4714:E4714"/>
    <mergeCell ref="F4714:G4714"/>
    <mergeCell ref="I4714:J4714"/>
    <mergeCell ref="K4714:L4714"/>
    <mergeCell ref="M4714:P4714"/>
    <mergeCell ref="C4715:E4715"/>
    <mergeCell ref="F4715:I4715"/>
    <mergeCell ref="J4715:K4715"/>
    <mergeCell ref="L4715:P4715"/>
    <mergeCell ref="C4716:E4716"/>
    <mergeCell ref="F4716:P4716"/>
    <mergeCell ref="F4719:G4719"/>
    <mergeCell ref="H4719:I4719"/>
    <mergeCell ref="J4719:K4719"/>
    <mergeCell ref="L4719:M4719"/>
    <mergeCell ref="N4719:O4719"/>
    <mergeCell ref="F4720:O4720"/>
    <mergeCell ref="D4724:F4724"/>
    <mergeCell ref="G4724:N4724"/>
    <mergeCell ref="D4725:F4725"/>
    <mergeCell ref="D4726:F4726"/>
    <mergeCell ref="D4727:F4727"/>
    <mergeCell ref="M4727:N4727"/>
    <mergeCell ref="D4728:F4728"/>
    <mergeCell ref="M4728:N4728"/>
    <mergeCell ref="D4729:F4729"/>
    <mergeCell ref="M4729:N4729"/>
    <mergeCell ref="D4730:F4730"/>
    <mergeCell ref="M4730:N4730"/>
    <mergeCell ref="D4731:F4731"/>
    <mergeCell ref="M4731:N4731"/>
    <mergeCell ref="D4732:F4732"/>
    <mergeCell ref="M4732:N4732"/>
    <mergeCell ref="D4733:F4733"/>
    <mergeCell ref="M4733:N4733"/>
    <mergeCell ref="D4734:F4734"/>
    <mergeCell ref="M4734:N4734"/>
    <mergeCell ref="D4735:M4735"/>
    <mergeCell ref="E4736:M4736"/>
    <mergeCell ref="D4742:G4742"/>
    <mergeCell ref="H4742:I4742"/>
    <mergeCell ref="D4743:G4743"/>
    <mergeCell ref="H4743:I4743"/>
    <mergeCell ref="L4743:M4743"/>
    <mergeCell ref="N4743:O4743"/>
    <mergeCell ref="D4744:G4744"/>
    <mergeCell ref="H4744:I4744"/>
    <mergeCell ref="L4744:M4744"/>
    <mergeCell ref="N4744:O4744"/>
    <mergeCell ref="E4754:F4754"/>
    <mergeCell ref="M4754:O4754"/>
    <mergeCell ref="E4755:F4755"/>
    <mergeCell ref="M4755:O4755"/>
    <mergeCell ref="C4763:P4763"/>
    <mergeCell ref="C4765:P4765"/>
    <mergeCell ref="C4767:E4767"/>
    <mergeCell ref="F4767:P4767"/>
    <mergeCell ref="C4768:E4768"/>
    <mergeCell ref="F4768:G4768"/>
    <mergeCell ref="H4768:I4768"/>
    <mergeCell ref="L4768:P4768"/>
    <mergeCell ref="C4769:E4769"/>
    <mergeCell ref="F4769:K4769"/>
    <mergeCell ref="L4769:M4769"/>
    <mergeCell ref="N4769:P4769"/>
    <mergeCell ref="C4770:E4770"/>
    <mergeCell ref="F4770:G4770"/>
    <mergeCell ref="I4770:J4770"/>
    <mergeCell ref="K4770:L4770"/>
    <mergeCell ref="M4770:P4770"/>
    <mergeCell ref="C4771:E4771"/>
    <mergeCell ref="F4771:I4771"/>
    <mergeCell ref="J4771:K4771"/>
    <mergeCell ref="L4771:P4771"/>
    <mergeCell ref="C4772:E4772"/>
    <mergeCell ref="F4772:P4772"/>
    <mergeCell ref="F4775:G4775"/>
    <mergeCell ref="H4775:I4775"/>
    <mergeCell ref="J4775:K4775"/>
    <mergeCell ref="L4775:M4775"/>
    <mergeCell ref="N4775:O4775"/>
    <mergeCell ref="F4776:O4776"/>
    <mergeCell ref="D4780:F4780"/>
    <mergeCell ref="G4780:N4780"/>
    <mergeCell ref="D4781:F4781"/>
    <mergeCell ref="D4782:F4782"/>
    <mergeCell ref="D4783:F4783"/>
    <mergeCell ref="M4783:N4783"/>
    <mergeCell ref="D4784:F4784"/>
    <mergeCell ref="M4784:N4784"/>
    <mergeCell ref="D4785:F4785"/>
    <mergeCell ref="M4785:N4785"/>
    <mergeCell ref="D4786:F4786"/>
    <mergeCell ref="M4786:N4786"/>
    <mergeCell ref="D4787:F4787"/>
    <mergeCell ref="M4787:N4787"/>
    <mergeCell ref="D4788:F4788"/>
    <mergeCell ref="M4788:N4788"/>
    <mergeCell ref="D4789:F4789"/>
    <mergeCell ref="M4789:N4789"/>
    <mergeCell ref="D4790:F4790"/>
    <mergeCell ref="M4790:N4790"/>
    <mergeCell ref="D4791:M4791"/>
    <mergeCell ref="E4792:M4792"/>
    <mergeCell ref="D4798:G4798"/>
    <mergeCell ref="H4798:I4798"/>
    <mergeCell ref="D4799:G4799"/>
    <mergeCell ref="H4799:I4799"/>
    <mergeCell ref="L4799:M4799"/>
    <mergeCell ref="N4799:O4799"/>
    <mergeCell ref="D4800:G4800"/>
    <mergeCell ref="H4800:I4800"/>
    <mergeCell ref="L4800:M4800"/>
    <mergeCell ref="N4800:O4800"/>
    <mergeCell ref="E4810:F4810"/>
    <mergeCell ref="M4810:O4810"/>
    <mergeCell ref="E4811:F4811"/>
    <mergeCell ref="M4811:O4811"/>
    <mergeCell ref="C4819:P4819"/>
    <mergeCell ref="C4821:P4821"/>
    <mergeCell ref="C4823:E4823"/>
    <mergeCell ref="F4823:P4823"/>
    <mergeCell ref="C4824:E4824"/>
    <mergeCell ref="F4824:G4824"/>
    <mergeCell ref="H4824:I4824"/>
    <mergeCell ref="L4824:P4824"/>
    <mergeCell ref="C4825:E4825"/>
    <mergeCell ref="F4825:K4825"/>
    <mergeCell ref="L4825:M4825"/>
    <mergeCell ref="N4825:P4825"/>
    <mergeCell ref="C4826:E4826"/>
    <mergeCell ref="F4826:G4826"/>
    <mergeCell ref="I4826:J4826"/>
    <mergeCell ref="K4826:L4826"/>
    <mergeCell ref="M4826:P4826"/>
    <mergeCell ref="C4827:E4827"/>
    <mergeCell ref="F4827:I4827"/>
    <mergeCell ref="J4827:K4827"/>
    <mergeCell ref="L4827:P4827"/>
    <mergeCell ref="C4828:E4828"/>
    <mergeCell ref="F4828:P4828"/>
    <mergeCell ref="F4831:G4831"/>
    <mergeCell ref="H4831:I4831"/>
    <mergeCell ref="J4831:K4831"/>
    <mergeCell ref="L4831:M4831"/>
    <mergeCell ref="N4831:O4831"/>
    <mergeCell ref="F4832:O4832"/>
    <mergeCell ref="D4836:F4836"/>
    <mergeCell ref="G4836:N4836"/>
    <mergeCell ref="D4837:F4837"/>
    <mergeCell ref="D4838:F4838"/>
    <mergeCell ref="D4839:F4839"/>
    <mergeCell ref="M4839:N4839"/>
    <mergeCell ref="D4840:F4840"/>
    <mergeCell ref="M4840:N4840"/>
    <mergeCell ref="D4841:F4841"/>
    <mergeCell ref="M4841:N4841"/>
    <mergeCell ref="D4842:F4842"/>
    <mergeCell ref="M4842:N4842"/>
    <mergeCell ref="D4843:F4843"/>
    <mergeCell ref="M4843:N4843"/>
    <mergeCell ref="D4844:F4844"/>
    <mergeCell ref="M4844:N4844"/>
    <mergeCell ref="D4845:F4845"/>
    <mergeCell ref="M4845:N4845"/>
    <mergeCell ref="D4846:F4846"/>
    <mergeCell ref="M4846:N4846"/>
    <mergeCell ref="D4847:M4847"/>
    <mergeCell ref="E4848:M4848"/>
    <mergeCell ref="D4854:G4854"/>
    <mergeCell ref="H4854:I4854"/>
    <mergeCell ref="D4855:G4855"/>
    <mergeCell ref="H4855:I4855"/>
    <mergeCell ref="L4855:M4855"/>
    <mergeCell ref="N4855:O4855"/>
    <mergeCell ref="D4856:G4856"/>
    <mergeCell ref="H4856:I4856"/>
    <mergeCell ref="L4856:M4856"/>
    <mergeCell ref="N4856:O4856"/>
    <mergeCell ref="E4866:F4866"/>
    <mergeCell ref="M4866:O4866"/>
    <mergeCell ref="E4867:F4867"/>
    <mergeCell ref="M4867:O4867"/>
    <mergeCell ref="C4875:P4875"/>
    <mergeCell ref="C4877:P4877"/>
    <mergeCell ref="C4879:E4879"/>
    <mergeCell ref="F4879:P4879"/>
    <mergeCell ref="C4880:E4880"/>
    <mergeCell ref="F4880:G4880"/>
    <mergeCell ref="H4880:I4880"/>
    <mergeCell ref="L4880:P4880"/>
    <mergeCell ref="C4881:E4881"/>
    <mergeCell ref="F4881:K4881"/>
    <mergeCell ref="L4881:M4881"/>
    <mergeCell ref="N4881:P4881"/>
    <mergeCell ref="C4882:E4882"/>
    <mergeCell ref="F4882:G4882"/>
    <mergeCell ref="I4882:J4882"/>
    <mergeCell ref="K4882:L4882"/>
    <mergeCell ref="M4882:P4882"/>
    <mergeCell ref="C4883:E4883"/>
    <mergeCell ref="F4883:I4883"/>
    <mergeCell ref="J4883:K4883"/>
    <mergeCell ref="L4883:P4883"/>
    <mergeCell ref="C4884:E4884"/>
    <mergeCell ref="F4884:P4884"/>
    <mergeCell ref="F4887:G4887"/>
    <mergeCell ref="H4887:I4887"/>
    <mergeCell ref="J4887:K4887"/>
    <mergeCell ref="L4887:M4887"/>
    <mergeCell ref="N4887:O4887"/>
    <mergeCell ref="F4888:O4888"/>
    <mergeCell ref="D4892:F4892"/>
    <mergeCell ref="G4892:N4892"/>
    <mergeCell ref="D4893:F4893"/>
    <mergeCell ref="D4894:F4894"/>
    <mergeCell ref="D4895:F4895"/>
    <mergeCell ref="M4895:N4895"/>
    <mergeCell ref="D4896:F4896"/>
    <mergeCell ref="M4896:N4896"/>
    <mergeCell ref="D4897:F4897"/>
    <mergeCell ref="M4897:N4897"/>
    <mergeCell ref="D4898:F4898"/>
    <mergeCell ref="M4898:N4898"/>
    <mergeCell ref="D4899:F4899"/>
    <mergeCell ref="M4899:N4899"/>
    <mergeCell ref="D4900:F4900"/>
    <mergeCell ref="M4900:N4900"/>
    <mergeCell ref="D4901:F4901"/>
    <mergeCell ref="M4901:N4901"/>
    <mergeCell ref="D4902:F4902"/>
    <mergeCell ref="M4902:N4902"/>
    <mergeCell ref="D4903:M4903"/>
    <mergeCell ref="E4904:M4904"/>
    <mergeCell ref="D4910:G4910"/>
    <mergeCell ref="H4910:I4910"/>
    <mergeCell ref="D4911:G4911"/>
    <mergeCell ref="H4911:I4911"/>
    <mergeCell ref="L4911:M4911"/>
    <mergeCell ref="N4911:O4911"/>
    <mergeCell ref="D4912:G4912"/>
    <mergeCell ref="H4912:I4912"/>
    <mergeCell ref="L4912:M4912"/>
    <mergeCell ref="N4912:O4912"/>
    <mergeCell ref="E4922:F4922"/>
    <mergeCell ref="M4922:O4922"/>
    <mergeCell ref="E4923:F4923"/>
    <mergeCell ref="M4923:O4923"/>
    <mergeCell ref="C4931:P4931"/>
    <mergeCell ref="C4933:P4933"/>
    <mergeCell ref="C4935:E4935"/>
    <mergeCell ref="F4935:P4935"/>
    <mergeCell ref="C4936:E4936"/>
    <mergeCell ref="F4936:G4936"/>
    <mergeCell ref="H4936:I4936"/>
    <mergeCell ref="L4936:P4936"/>
    <mergeCell ref="C4937:E4937"/>
    <mergeCell ref="F4937:K4937"/>
    <mergeCell ref="L4937:M4937"/>
    <mergeCell ref="N4937:P4937"/>
    <mergeCell ref="C4938:E4938"/>
    <mergeCell ref="F4938:G4938"/>
    <mergeCell ref="I4938:J4938"/>
    <mergeCell ref="K4938:L4938"/>
    <mergeCell ref="M4938:P4938"/>
    <mergeCell ref="C4939:E4939"/>
    <mergeCell ref="F4939:I4939"/>
    <mergeCell ref="J4939:K4939"/>
    <mergeCell ref="L4939:P4939"/>
    <mergeCell ref="C4940:E4940"/>
    <mergeCell ref="F4940:P4940"/>
    <mergeCell ref="F4943:G4943"/>
    <mergeCell ref="H4943:I4943"/>
    <mergeCell ref="J4943:K4943"/>
    <mergeCell ref="L4943:M4943"/>
    <mergeCell ref="N4943:O4943"/>
    <mergeCell ref="F4944:O4944"/>
    <mergeCell ref="D4948:F4948"/>
    <mergeCell ref="G4948:N4948"/>
    <mergeCell ref="D4949:F4949"/>
    <mergeCell ref="D4950:F4950"/>
    <mergeCell ref="D4951:F4951"/>
    <mergeCell ref="M4951:N4951"/>
    <mergeCell ref="D4952:F4952"/>
    <mergeCell ref="M4952:N4952"/>
    <mergeCell ref="D4953:F4953"/>
    <mergeCell ref="M4953:N4953"/>
    <mergeCell ref="D4954:F4954"/>
    <mergeCell ref="M4954:N4954"/>
    <mergeCell ref="D4955:F4955"/>
    <mergeCell ref="M4955:N4955"/>
    <mergeCell ref="D4956:F4956"/>
    <mergeCell ref="M4956:N4956"/>
    <mergeCell ref="D4957:F4957"/>
    <mergeCell ref="M4957:N4957"/>
    <mergeCell ref="D4958:F4958"/>
    <mergeCell ref="M4958:N4958"/>
    <mergeCell ref="D4959:M4959"/>
    <mergeCell ref="E4960:M4960"/>
    <mergeCell ref="D4966:G4966"/>
    <mergeCell ref="H4966:I4966"/>
    <mergeCell ref="D4967:G4967"/>
    <mergeCell ref="H4967:I4967"/>
    <mergeCell ref="L4967:M4967"/>
    <mergeCell ref="N4967:O4967"/>
    <mergeCell ref="D4968:G4968"/>
    <mergeCell ref="H4968:I4968"/>
    <mergeCell ref="L4968:M4968"/>
    <mergeCell ref="N4968:O4968"/>
    <mergeCell ref="E4978:F4978"/>
    <mergeCell ref="M4978:O4978"/>
    <mergeCell ref="E4979:F4979"/>
    <mergeCell ref="M4979:O4979"/>
    <mergeCell ref="C4987:P4987"/>
    <mergeCell ref="C4989:P4989"/>
    <mergeCell ref="C4991:E4991"/>
    <mergeCell ref="F4991:P4991"/>
    <mergeCell ref="C4992:E4992"/>
    <mergeCell ref="F4992:G4992"/>
    <mergeCell ref="H4992:I4992"/>
    <mergeCell ref="L4992:P4992"/>
    <mergeCell ref="C4993:E4993"/>
    <mergeCell ref="F4993:K4993"/>
    <mergeCell ref="L4993:M4993"/>
    <mergeCell ref="N4993:P4993"/>
    <mergeCell ref="C4994:E4994"/>
    <mergeCell ref="F4994:G4994"/>
    <mergeCell ref="I4994:J4994"/>
    <mergeCell ref="K4994:L4994"/>
    <mergeCell ref="M4994:P4994"/>
    <mergeCell ref="C4995:E4995"/>
    <mergeCell ref="F4995:I4995"/>
    <mergeCell ref="J4995:K4995"/>
    <mergeCell ref="L4995:P4995"/>
    <mergeCell ref="C4996:E4996"/>
    <mergeCell ref="F4996:P4996"/>
    <mergeCell ref="F4999:G4999"/>
    <mergeCell ref="H4999:I4999"/>
    <mergeCell ref="J4999:K4999"/>
    <mergeCell ref="L4999:M4999"/>
    <mergeCell ref="N4999:O4999"/>
    <mergeCell ref="F5000:O5000"/>
    <mergeCell ref="D5004:F5004"/>
    <mergeCell ref="G5004:N5004"/>
    <mergeCell ref="D5005:F5005"/>
    <mergeCell ref="D5006:F5006"/>
    <mergeCell ref="D5007:F5007"/>
    <mergeCell ref="M5007:N5007"/>
    <mergeCell ref="D5008:F5008"/>
    <mergeCell ref="M5008:N5008"/>
    <mergeCell ref="D5009:F5009"/>
    <mergeCell ref="M5009:N5009"/>
    <mergeCell ref="D5010:F5010"/>
    <mergeCell ref="M5010:N5010"/>
    <mergeCell ref="D5011:F5011"/>
    <mergeCell ref="M5011:N5011"/>
    <mergeCell ref="D5012:F5012"/>
    <mergeCell ref="M5012:N5012"/>
    <mergeCell ref="D5013:F5013"/>
    <mergeCell ref="M5013:N5013"/>
    <mergeCell ref="D5014:F5014"/>
    <mergeCell ref="M5014:N5014"/>
    <mergeCell ref="D5015:M5015"/>
    <mergeCell ref="E5016:M5016"/>
    <mergeCell ref="D5022:G5022"/>
    <mergeCell ref="H5022:I5022"/>
    <mergeCell ref="D5023:G5023"/>
    <mergeCell ref="H5023:I5023"/>
    <mergeCell ref="L5023:M5023"/>
    <mergeCell ref="N5023:O5023"/>
    <mergeCell ref="D5024:G5024"/>
    <mergeCell ref="H5024:I5024"/>
    <mergeCell ref="L5024:M5024"/>
    <mergeCell ref="N5024:O5024"/>
    <mergeCell ref="E5034:F5034"/>
    <mergeCell ref="M5034:O5034"/>
    <mergeCell ref="E5035:F5035"/>
    <mergeCell ref="M5035:O5035"/>
    <mergeCell ref="C5043:P5043"/>
    <mergeCell ref="C5045:P5045"/>
    <mergeCell ref="C5047:E5047"/>
    <mergeCell ref="F5047:P5047"/>
    <mergeCell ref="C5048:E5048"/>
    <mergeCell ref="F5048:G5048"/>
    <mergeCell ref="H5048:I5048"/>
    <mergeCell ref="L5048:P5048"/>
    <mergeCell ref="C5049:E5049"/>
    <mergeCell ref="F5049:K5049"/>
    <mergeCell ref="L5049:M5049"/>
    <mergeCell ref="N5049:P5049"/>
    <mergeCell ref="C5050:E5050"/>
    <mergeCell ref="F5050:G5050"/>
    <mergeCell ref="I5050:J5050"/>
    <mergeCell ref="K5050:L5050"/>
    <mergeCell ref="M5050:P5050"/>
    <mergeCell ref="C5051:E5051"/>
    <mergeCell ref="F5051:I5051"/>
    <mergeCell ref="J5051:K5051"/>
    <mergeCell ref="L5051:P5051"/>
    <mergeCell ref="C5052:E5052"/>
    <mergeCell ref="F5052:P5052"/>
    <mergeCell ref="F5055:G5055"/>
    <mergeCell ref="H5055:I5055"/>
    <mergeCell ref="J5055:K5055"/>
    <mergeCell ref="L5055:M5055"/>
    <mergeCell ref="N5055:O5055"/>
    <mergeCell ref="F5056:O5056"/>
    <mergeCell ref="D5060:F5060"/>
    <mergeCell ref="G5060:N5060"/>
    <mergeCell ref="D5061:F5061"/>
    <mergeCell ref="D5062:F5062"/>
    <mergeCell ref="D5063:F5063"/>
    <mergeCell ref="M5063:N5063"/>
    <mergeCell ref="D5064:F5064"/>
    <mergeCell ref="M5064:N5064"/>
    <mergeCell ref="D5065:F5065"/>
    <mergeCell ref="M5065:N5065"/>
    <mergeCell ref="D5066:F5066"/>
    <mergeCell ref="M5066:N5066"/>
    <mergeCell ref="D5067:F5067"/>
    <mergeCell ref="M5067:N5067"/>
    <mergeCell ref="D5068:F5068"/>
    <mergeCell ref="M5068:N5068"/>
    <mergeCell ref="D5069:F5069"/>
    <mergeCell ref="M5069:N5069"/>
    <mergeCell ref="D5070:F5070"/>
    <mergeCell ref="M5070:N5070"/>
    <mergeCell ref="D5071:M5071"/>
    <mergeCell ref="E5072:M5072"/>
    <mergeCell ref="D5078:G5078"/>
    <mergeCell ref="H5078:I5078"/>
    <mergeCell ref="D5079:G5079"/>
    <mergeCell ref="H5079:I5079"/>
    <mergeCell ref="L5079:M5079"/>
    <mergeCell ref="N5079:O5079"/>
    <mergeCell ref="D5080:G5080"/>
    <mergeCell ref="H5080:I5080"/>
    <mergeCell ref="L5080:M5080"/>
    <mergeCell ref="N5080:O5080"/>
    <mergeCell ref="E5090:F5090"/>
    <mergeCell ref="M5090:O5090"/>
    <mergeCell ref="E5091:F5091"/>
    <mergeCell ref="M5091:O5091"/>
    <mergeCell ref="C5099:P5099"/>
    <mergeCell ref="C5101:P5101"/>
    <mergeCell ref="C5103:E5103"/>
    <mergeCell ref="F5103:P5103"/>
    <mergeCell ref="C5104:E5104"/>
    <mergeCell ref="F5104:G5104"/>
    <mergeCell ref="H5104:I5104"/>
    <mergeCell ref="L5104:P5104"/>
    <mergeCell ref="C5105:E5105"/>
    <mergeCell ref="F5105:K5105"/>
    <mergeCell ref="L5105:M5105"/>
    <mergeCell ref="N5105:P5105"/>
    <mergeCell ref="C5106:E5106"/>
    <mergeCell ref="F5106:G5106"/>
    <mergeCell ref="I5106:J5106"/>
    <mergeCell ref="K5106:L5106"/>
    <mergeCell ref="M5106:P5106"/>
    <mergeCell ref="C5107:E5107"/>
    <mergeCell ref="F5107:I5107"/>
    <mergeCell ref="J5107:K5107"/>
    <mergeCell ref="L5107:P5107"/>
    <mergeCell ref="C5108:E5108"/>
    <mergeCell ref="F5108:P5108"/>
    <mergeCell ref="F5111:G5111"/>
    <mergeCell ref="H5111:I5111"/>
    <mergeCell ref="J5111:K5111"/>
    <mergeCell ref="L5111:M5111"/>
    <mergeCell ref="N5111:O5111"/>
    <mergeCell ref="F5112:O5112"/>
    <mergeCell ref="D5116:F5116"/>
    <mergeCell ref="G5116:N5116"/>
    <mergeCell ref="D5117:F5117"/>
    <mergeCell ref="D5118:F5118"/>
    <mergeCell ref="D5119:F5119"/>
    <mergeCell ref="M5119:N5119"/>
    <mergeCell ref="D5120:F5120"/>
    <mergeCell ref="M5120:N5120"/>
    <mergeCell ref="D5121:F5121"/>
    <mergeCell ref="M5121:N5121"/>
    <mergeCell ref="D5122:F5122"/>
    <mergeCell ref="M5122:N5122"/>
    <mergeCell ref="D5123:F5123"/>
    <mergeCell ref="M5123:N5123"/>
    <mergeCell ref="D5124:F5124"/>
    <mergeCell ref="M5124:N5124"/>
    <mergeCell ref="D5125:F5125"/>
    <mergeCell ref="M5125:N5125"/>
    <mergeCell ref="D5126:F5126"/>
    <mergeCell ref="M5126:N5126"/>
    <mergeCell ref="D5127:M5127"/>
    <mergeCell ref="E5128:M5128"/>
    <mergeCell ref="D5134:G5134"/>
    <mergeCell ref="H5134:I5134"/>
    <mergeCell ref="D5135:G5135"/>
    <mergeCell ref="H5135:I5135"/>
    <mergeCell ref="L5135:M5135"/>
    <mergeCell ref="N5135:O5135"/>
    <mergeCell ref="D5136:G5136"/>
    <mergeCell ref="H5136:I5136"/>
    <mergeCell ref="L5136:M5136"/>
    <mergeCell ref="N5136:O5136"/>
    <mergeCell ref="E5146:F5146"/>
    <mergeCell ref="M5146:O5146"/>
    <mergeCell ref="E5147:F5147"/>
    <mergeCell ref="M5147:O5147"/>
    <mergeCell ref="C5155:P5155"/>
    <mergeCell ref="C5157:P5157"/>
    <mergeCell ref="C5159:E5159"/>
    <mergeCell ref="F5159:P5159"/>
    <mergeCell ref="C5160:E5160"/>
    <mergeCell ref="F5160:G5160"/>
    <mergeCell ref="H5160:I5160"/>
    <mergeCell ref="L5160:P5160"/>
    <mergeCell ref="C5161:E5161"/>
    <mergeCell ref="F5161:K5161"/>
    <mergeCell ref="L5161:M5161"/>
    <mergeCell ref="N5161:P5161"/>
    <mergeCell ref="C5162:E5162"/>
    <mergeCell ref="F5162:G5162"/>
    <mergeCell ref="I5162:J5162"/>
    <mergeCell ref="K5162:L5162"/>
    <mergeCell ref="M5162:P5162"/>
    <mergeCell ref="C5163:E5163"/>
    <mergeCell ref="F5163:I5163"/>
    <mergeCell ref="J5163:K5163"/>
    <mergeCell ref="L5163:P5163"/>
    <mergeCell ref="C5164:E5164"/>
    <mergeCell ref="F5164:P5164"/>
    <mergeCell ref="F5167:G5167"/>
    <mergeCell ref="H5167:I5167"/>
    <mergeCell ref="J5167:K5167"/>
    <mergeCell ref="L5167:M5167"/>
    <mergeCell ref="N5167:O5167"/>
    <mergeCell ref="F5168:O5168"/>
    <mergeCell ref="D5172:F5172"/>
    <mergeCell ref="G5172:N5172"/>
    <mergeCell ref="D5173:F5173"/>
    <mergeCell ref="D5174:F5174"/>
    <mergeCell ref="D5175:F5175"/>
    <mergeCell ref="M5175:N5175"/>
    <mergeCell ref="D5176:F5176"/>
    <mergeCell ref="M5176:N5176"/>
    <mergeCell ref="D5177:F5177"/>
    <mergeCell ref="M5177:N5177"/>
    <mergeCell ref="D5178:F5178"/>
    <mergeCell ref="M5178:N5178"/>
    <mergeCell ref="D5179:F5179"/>
    <mergeCell ref="M5179:N5179"/>
    <mergeCell ref="D5180:F5180"/>
    <mergeCell ref="M5180:N5180"/>
    <mergeCell ref="D5181:F5181"/>
    <mergeCell ref="M5181:N5181"/>
    <mergeCell ref="D5182:F5182"/>
    <mergeCell ref="M5182:N5182"/>
    <mergeCell ref="D5183:M5183"/>
    <mergeCell ref="E5184:M5184"/>
    <mergeCell ref="D5190:G5190"/>
    <mergeCell ref="H5190:I5190"/>
    <mergeCell ref="D5191:G5191"/>
    <mergeCell ref="H5191:I5191"/>
    <mergeCell ref="L5191:M5191"/>
    <mergeCell ref="N5191:O5191"/>
    <mergeCell ref="D5192:G5192"/>
    <mergeCell ref="H5192:I5192"/>
    <mergeCell ref="L5192:M5192"/>
    <mergeCell ref="N5192:O5192"/>
    <mergeCell ref="E5202:F5202"/>
    <mergeCell ref="M5202:O5202"/>
    <mergeCell ref="E5203:F5203"/>
    <mergeCell ref="M5203:O5203"/>
    <mergeCell ref="C5211:P5211"/>
    <mergeCell ref="C5213:P5213"/>
    <mergeCell ref="C5215:E5215"/>
    <mergeCell ref="F5215:P5215"/>
    <mergeCell ref="C5216:E5216"/>
    <mergeCell ref="F5216:G5216"/>
    <mergeCell ref="H5216:I5216"/>
    <mergeCell ref="L5216:P5216"/>
    <mergeCell ref="C5217:E5217"/>
    <mergeCell ref="F5217:K5217"/>
    <mergeCell ref="L5217:M5217"/>
    <mergeCell ref="N5217:P5217"/>
    <mergeCell ref="C5218:E5218"/>
    <mergeCell ref="F5218:G5218"/>
    <mergeCell ref="I5218:J5218"/>
    <mergeCell ref="K5218:L5218"/>
    <mergeCell ref="M5218:P5218"/>
    <mergeCell ref="C5219:E5219"/>
    <mergeCell ref="F5219:I5219"/>
    <mergeCell ref="J5219:K5219"/>
    <mergeCell ref="L5219:P5219"/>
    <mergeCell ref="C5220:E5220"/>
    <mergeCell ref="F5220:P5220"/>
    <mergeCell ref="F5223:G5223"/>
    <mergeCell ref="H5223:I5223"/>
    <mergeCell ref="J5223:K5223"/>
    <mergeCell ref="L5223:M5223"/>
    <mergeCell ref="N5223:O5223"/>
    <mergeCell ref="F5224:O5224"/>
    <mergeCell ref="D5228:F5228"/>
    <mergeCell ref="G5228:N5228"/>
    <mergeCell ref="D5229:F5229"/>
    <mergeCell ref="D5230:F5230"/>
    <mergeCell ref="D5231:F5231"/>
    <mergeCell ref="M5231:N5231"/>
    <mergeCell ref="D5232:F5232"/>
    <mergeCell ref="M5232:N5232"/>
    <mergeCell ref="D5233:F5233"/>
    <mergeCell ref="M5233:N5233"/>
    <mergeCell ref="D5234:F5234"/>
    <mergeCell ref="M5234:N5234"/>
    <mergeCell ref="D5235:F5235"/>
    <mergeCell ref="M5235:N5235"/>
    <mergeCell ref="D5236:F5236"/>
    <mergeCell ref="M5236:N5236"/>
    <mergeCell ref="D5237:F5237"/>
    <mergeCell ref="M5237:N5237"/>
    <mergeCell ref="D5238:F5238"/>
    <mergeCell ref="M5238:N5238"/>
    <mergeCell ref="D5239:M5239"/>
    <mergeCell ref="E5240:M5240"/>
    <mergeCell ref="D5246:G5246"/>
    <mergeCell ref="H5246:I5246"/>
    <mergeCell ref="D5247:G5247"/>
    <mergeCell ref="H5247:I5247"/>
    <mergeCell ref="L5247:M5247"/>
    <mergeCell ref="N5247:O5247"/>
    <mergeCell ref="D5248:G5248"/>
    <mergeCell ref="H5248:I5248"/>
    <mergeCell ref="L5248:M5248"/>
    <mergeCell ref="N5248:O5248"/>
    <mergeCell ref="E5258:F5258"/>
    <mergeCell ref="M5258:O5258"/>
    <mergeCell ref="E5259:F5259"/>
    <mergeCell ref="M5259:O5259"/>
    <mergeCell ref="C5267:P5267"/>
    <mergeCell ref="C5269:P5269"/>
    <mergeCell ref="C5271:E5271"/>
    <mergeCell ref="F5271:P5271"/>
    <mergeCell ref="C5272:E5272"/>
    <mergeCell ref="F5272:G5272"/>
    <mergeCell ref="H5272:I5272"/>
    <mergeCell ref="L5272:P5272"/>
    <mergeCell ref="C5273:E5273"/>
    <mergeCell ref="F5273:K5273"/>
    <mergeCell ref="L5273:M5273"/>
    <mergeCell ref="N5273:P5273"/>
    <mergeCell ref="C5274:E5274"/>
    <mergeCell ref="F5274:G5274"/>
    <mergeCell ref="I5274:J5274"/>
    <mergeCell ref="K5274:L5274"/>
    <mergeCell ref="M5274:P5274"/>
    <mergeCell ref="C5275:E5275"/>
    <mergeCell ref="F5275:I5275"/>
    <mergeCell ref="J5275:K5275"/>
    <mergeCell ref="L5275:P5275"/>
    <mergeCell ref="C5276:E5276"/>
    <mergeCell ref="F5276:P5276"/>
    <mergeCell ref="F5279:G5279"/>
    <mergeCell ref="H5279:I5279"/>
    <mergeCell ref="J5279:K5279"/>
    <mergeCell ref="L5279:M5279"/>
    <mergeCell ref="N5279:O5279"/>
    <mergeCell ref="F5280:O5280"/>
    <mergeCell ref="D5284:F5284"/>
    <mergeCell ref="G5284:N5284"/>
    <mergeCell ref="D5285:F5285"/>
    <mergeCell ref="D5286:F5286"/>
    <mergeCell ref="D5287:F5287"/>
    <mergeCell ref="M5287:N5287"/>
    <mergeCell ref="D5288:F5288"/>
    <mergeCell ref="M5288:N5288"/>
    <mergeCell ref="D5289:F5289"/>
    <mergeCell ref="M5289:N5289"/>
    <mergeCell ref="D5290:F5290"/>
    <mergeCell ref="M5290:N5290"/>
    <mergeCell ref="D5291:F5291"/>
    <mergeCell ref="M5291:N5291"/>
    <mergeCell ref="D5292:F5292"/>
    <mergeCell ref="M5292:N5292"/>
    <mergeCell ref="D5293:F5293"/>
    <mergeCell ref="M5293:N5293"/>
    <mergeCell ref="D5294:F5294"/>
    <mergeCell ref="M5294:N5294"/>
    <mergeCell ref="D5295:M5295"/>
    <mergeCell ref="E5296:M5296"/>
    <mergeCell ref="D5302:G5302"/>
    <mergeCell ref="H5302:I5302"/>
    <mergeCell ref="D5303:G5303"/>
    <mergeCell ref="H5303:I5303"/>
    <mergeCell ref="L5303:M5303"/>
    <mergeCell ref="N5303:O5303"/>
    <mergeCell ref="D5304:G5304"/>
    <mergeCell ref="H5304:I5304"/>
    <mergeCell ref="L5304:M5304"/>
    <mergeCell ref="N5304:O5304"/>
    <mergeCell ref="E5314:F5314"/>
    <mergeCell ref="M5314:O5314"/>
    <mergeCell ref="E5315:F5315"/>
    <mergeCell ref="M5315:O5315"/>
    <mergeCell ref="C5323:P5323"/>
    <mergeCell ref="C5325:P5325"/>
    <mergeCell ref="C5327:E5327"/>
    <mergeCell ref="F5327:P5327"/>
    <mergeCell ref="C5328:E5328"/>
    <mergeCell ref="F5328:G5328"/>
    <mergeCell ref="H5328:I5328"/>
    <mergeCell ref="L5328:P5328"/>
    <mergeCell ref="C5329:E5329"/>
    <mergeCell ref="F5329:K5329"/>
    <mergeCell ref="L5329:M5329"/>
    <mergeCell ref="N5329:P5329"/>
    <mergeCell ref="C5330:E5330"/>
    <mergeCell ref="F5330:G5330"/>
    <mergeCell ref="I5330:J5330"/>
    <mergeCell ref="K5330:L5330"/>
    <mergeCell ref="M5330:P5330"/>
    <mergeCell ref="C5331:E5331"/>
    <mergeCell ref="F5331:I5331"/>
    <mergeCell ref="J5331:K5331"/>
    <mergeCell ref="L5331:P5331"/>
    <mergeCell ref="C5332:E5332"/>
    <mergeCell ref="F5332:P5332"/>
    <mergeCell ref="F5335:G5335"/>
    <mergeCell ref="H5335:I5335"/>
    <mergeCell ref="J5335:K5335"/>
    <mergeCell ref="L5335:M5335"/>
    <mergeCell ref="N5335:O5335"/>
    <mergeCell ref="F5336:O5336"/>
    <mergeCell ref="D5340:F5340"/>
    <mergeCell ref="G5340:N5340"/>
    <mergeCell ref="D5341:F5341"/>
    <mergeCell ref="D5342:F5342"/>
    <mergeCell ref="D5343:F5343"/>
    <mergeCell ref="M5343:N5343"/>
    <mergeCell ref="D5344:F5344"/>
    <mergeCell ref="M5344:N5344"/>
    <mergeCell ref="D5345:F5345"/>
    <mergeCell ref="M5345:N5345"/>
    <mergeCell ref="D5346:F5346"/>
    <mergeCell ref="M5346:N5346"/>
    <mergeCell ref="D5347:F5347"/>
    <mergeCell ref="M5347:N5347"/>
    <mergeCell ref="D5348:F5348"/>
    <mergeCell ref="M5348:N5348"/>
    <mergeCell ref="D5349:F5349"/>
    <mergeCell ref="M5349:N5349"/>
    <mergeCell ref="D5350:F5350"/>
    <mergeCell ref="M5350:N5350"/>
    <mergeCell ref="D5351:M5351"/>
    <mergeCell ref="E5352:M5352"/>
    <mergeCell ref="D5358:G5358"/>
    <mergeCell ref="H5358:I5358"/>
    <mergeCell ref="D5359:G5359"/>
    <mergeCell ref="H5359:I5359"/>
    <mergeCell ref="L5359:M5359"/>
    <mergeCell ref="N5359:O5359"/>
    <mergeCell ref="D5360:G5360"/>
    <mergeCell ref="H5360:I5360"/>
    <mergeCell ref="L5360:M5360"/>
    <mergeCell ref="N5360:O5360"/>
    <mergeCell ref="E5370:F5370"/>
    <mergeCell ref="M5370:O5370"/>
    <mergeCell ref="E5371:F5371"/>
    <mergeCell ref="M5371:O5371"/>
    <mergeCell ref="C5379:P5379"/>
    <mergeCell ref="C5381:P5381"/>
    <mergeCell ref="C5383:E5383"/>
    <mergeCell ref="F5383:P5383"/>
    <mergeCell ref="C5384:E5384"/>
    <mergeCell ref="F5384:G5384"/>
    <mergeCell ref="H5384:I5384"/>
    <mergeCell ref="L5384:P5384"/>
    <mergeCell ref="C5385:E5385"/>
    <mergeCell ref="F5385:K5385"/>
    <mergeCell ref="L5385:M5385"/>
    <mergeCell ref="N5385:P5385"/>
    <mergeCell ref="C5386:E5386"/>
    <mergeCell ref="F5386:G5386"/>
    <mergeCell ref="I5386:J5386"/>
    <mergeCell ref="K5386:L5386"/>
    <mergeCell ref="M5386:P5386"/>
    <mergeCell ref="C5387:E5387"/>
    <mergeCell ref="F5387:I5387"/>
    <mergeCell ref="J5387:K5387"/>
    <mergeCell ref="L5387:P5387"/>
    <mergeCell ref="C5388:E5388"/>
    <mergeCell ref="F5388:P5388"/>
    <mergeCell ref="F5391:G5391"/>
    <mergeCell ref="H5391:I5391"/>
    <mergeCell ref="J5391:K5391"/>
    <mergeCell ref="L5391:M5391"/>
    <mergeCell ref="N5391:O5391"/>
    <mergeCell ref="F5392:O5392"/>
    <mergeCell ref="D5396:F5396"/>
    <mergeCell ref="G5396:N5396"/>
    <mergeCell ref="D5397:F5397"/>
    <mergeCell ref="D5398:F5398"/>
    <mergeCell ref="D5399:F5399"/>
    <mergeCell ref="M5399:N5399"/>
    <mergeCell ref="D5400:F5400"/>
    <mergeCell ref="M5400:N5400"/>
    <mergeCell ref="D5401:F5401"/>
    <mergeCell ref="M5401:N5401"/>
    <mergeCell ref="D5402:F5402"/>
    <mergeCell ref="M5402:N5402"/>
    <mergeCell ref="D5403:F5403"/>
    <mergeCell ref="M5403:N5403"/>
    <mergeCell ref="D5404:F5404"/>
    <mergeCell ref="M5404:N5404"/>
    <mergeCell ref="D5405:F5405"/>
    <mergeCell ref="M5405:N5405"/>
    <mergeCell ref="D5406:F5406"/>
    <mergeCell ref="M5406:N5406"/>
    <mergeCell ref="D5407:M5407"/>
    <mergeCell ref="E5408:M5408"/>
    <mergeCell ref="D5414:G5414"/>
    <mergeCell ref="H5414:I5414"/>
    <mergeCell ref="D5415:G5415"/>
    <mergeCell ref="H5415:I5415"/>
    <mergeCell ref="L5415:M5415"/>
    <mergeCell ref="N5415:O5415"/>
    <mergeCell ref="D5416:G5416"/>
    <mergeCell ref="H5416:I5416"/>
    <mergeCell ref="L5416:M5416"/>
    <mergeCell ref="N5416:O5416"/>
    <mergeCell ref="E5426:F5426"/>
    <mergeCell ref="M5426:O5426"/>
    <mergeCell ref="E5427:F5427"/>
    <mergeCell ref="M5427:O5427"/>
    <mergeCell ref="C5435:P5435"/>
    <mergeCell ref="C5437:P5437"/>
    <mergeCell ref="C5439:E5439"/>
    <mergeCell ref="F5439:P5439"/>
    <mergeCell ref="C5440:E5440"/>
    <mergeCell ref="F5440:G5440"/>
    <mergeCell ref="H5440:I5440"/>
    <mergeCell ref="L5440:P5440"/>
    <mergeCell ref="C5441:E5441"/>
    <mergeCell ref="F5441:K5441"/>
    <mergeCell ref="L5441:M5441"/>
    <mergeCell ref="N5441:P5441"/>
    <mergeCell ref="C5442:E5442"/>
    <mergeCell ref="F5442:G5442"/>
    <mergeCell ref="I5442:J5442"/>
    <mergeCell ref="K5442:L5442"/>
    <mergeCell ref="M5442:P5442"/>
    <mergeCell ref="C5443:E5443"/>
    <mergeCell ref="F5443:I5443"/>
    <mergeCell ref="J5443:K5443"/>
    <mergeCell ref="L5443:P5443"/>
    <mergeCell ref="C5444:E5444"/>
    <mergeCell ref="F5444:P5444"/>
    <mergeCell ref="F5447:G5447"/>
    <mergeCell ref="H5447:I5447"/>
    <mergeCell ref="J5447:K5447"/>
    <mergeCell ref="L5447:M5447"/>
    <mergeCell ref="N5447:O5447"/>
    <mergeCell ref="F5448:O5448"/>
    <mergeCell ref="D5452:F5452"/>
    <mergeCell ref="G5452:N5452"/>
    <mergeCell ref="D5453:F5453"/>
    <mergeCell ref="D5454:F5454"/>
    <mergeCell ref="D5455:F5455"/>
    <mergeCell ref="M5455:N5455"/>
    <mergeCell ref="D5456:F5456"/>
    <mergeCell ref="M5456:N5456"/>
    <mergeCell ref="D5457:F5457"/>
    <mergeCell ref="M5457:N5457"/>
    <mergeCell ref="D5458:F5458"/>
    <mergeCell ref="M5458:N5458"/>
    <mergeCell ref="D5459:F5459"/>
    <mergeCell ref="M5459:N5459"/>
    <mergeCell ref="D5460:F5460"/>
    <mergeCell ref="M5460:N5460"/>
    <mergeCell ref="D5461:F5461"/>
    <mergeCell ref="M5461:N5461"/>
    <mergeCell ref="D5462:F5462"/>
    <mergeCell ref="M5462:N5462"/>
    <mergeCell ref="D5463:M5463"/>
    <mergeCell ref="E5464:M5464"/>
    <mergeCell ref="D5470:G5470"/>
    <mergeCell ref="H5470:I5470"/>
    <mergeCell ref="D5471:G5471"/>
    <mergeCell ref="H5471:I5471"/>
    <mergeCell ref="L5471:M5471"/>
    <mergeCell ref="N5471:O5471"/>
    <mergeCell ref="D5472:G5472"/>
    <mergeCell ref="H5472:I5472"/>
    <mergeCell ref="L5472:M5472"/>
    <mergeCell ref="N5472:O5472"/>
    <mergeCell ref="E5482:F5482"/>
    <mergeCell ref="M5482:O5482"/>
    <mergeCell ref="E5483:F5483"/>
    <mergeCell ref="M5483:O5483"/>
    <mergeCell ref="C5491:P5491"/>
    <mergeCell ref="C5493:P5493"/>
    <mergeCell ref="C5495:E5495"/>
    <mergeCell ref="F5495:P5495"/>
    <mergeCell ref="C5496:E5496"/>
    <mergeCell ref="F5496:G5496"/>
    <mergeCell ref="H5496:I5496"/>
    <mergeCell ref="L5496:P5496"/>
    <mergeCell ref="C5497:E5497"/>
    <mergeCell ref="F5497:K5497"/>
    <mergeCell ref="L5497:M5497"/>
    <mergeCell ref="N5497:P5497"/>
    <mergeCell ref="C5498:E5498"/>
    <mergeCell ref="F5498:G5498"/>
    <mergeCell ref="I5498:J5498"/>
    <mergeCell ref="K5498:L5498"/>
    <mergeCell ref="M5498:P5498"/>
    <mergeCell ref="C5499:E5499"/>
    <mergeCell ref="F5499:I5499"/>
    <mergeCell ref="J5499:K5499"/>
    <mergeCell ref="L5499:P5499"/>
    <mergeCell ref="C5500:E5500"/>
    <mergeCell ref="F5500:P5500"/>
    <mergeCell ref="F5503:G5503"/>
    <mergeCell ref="H5503:I5503"/>
    <mergeCell ref="J5503:K5503"/>
    <mergeCell ref="L5503:M5503"/>
    <mergeCell ref="N5503:O5503"/>
    <mergeCell ref="F5504:O5504"/>
    <mergeCell ref="D5508:F5508"/>
    <mergeCell ref="G5508:N5508"/>
    <mergeCell ref="D5509:F5509"/>
    <mergeCell ref="D5510:F5510"/>
    <mergeCell ref="D5511:F5511"/>
    <mergeCell ref="M5511:N5511"/>
    <mergeCell ref="D5512:F5512"/>
    <mergeCell ref="M5512:N5512"/>
    <mergeCell ref="D5513:F5513"/>
    <mergeCell ref="M5513:N5513"/>
    <mergeCell ref="D5514:F5514"/>
    <mergeCell ref="M5514:N5514"/>
    <mergeCell ref="D5515:F5515"/>
    <mergeCell ref="M5515:N5515"/>
    <mergeCell ref="D5516:F5516"/>
    <mergeCell ref="M5516:N5516"/>
    <mergeCell ref="D5517:F5517"/>
    <mergeCell ref="M5517:N5517"/>
    <mergeCell ref="D5518:F5518"/>
    <mergeCell ref="M5518:N5518"/>
    <mergeCell ref="D5519:M5519"/>
    <mergeCell ref="E5520:M5520"/>
    <mergeCell ref="D5526:G5526"/>
    <mergeCell ref="H5526:I5526"/>
    <mergeCell ref="D5527:G5527"/>
    <mergeCell ref="H5527:I5527"/>
    <mergeCell ref="L5527:M5527"/>
    <mergeCell ref="N5527:O5527"/>
    <mergeCell ref="D5528:G5528"/>
    <mergeCell ref="H5528:I5528"/>
    <mergeCell ref="L5528:M5528"/>
    <mergeCell ref="N5528:O5528"/>
    <mergeCell ref="E5538:F5538"/>
    <mergeCell ref="M5538:O5538"/>
    <mergeCell ref="E5539:F5539"/>
    <mergeCell ref="M5539:O5539"/>
    <mergeCell ref="C5547:P5547"/>
    <mergeCell ref="C5549:P5549"/>
    <mergeCell ref="C5551:E5551"/>
    <mergeCell ref="F5551:P5551"/>
    <mergeCell ref="C5552:E5552"/>
    <mergeCell ref="F5552:G5552"/>
    <mergeCell ref="H5552:I5552"/>
    <mergeCell ref="L5552:P5552"/>
    <mergeCell ref="C5553:E5553"/>
    <mergeCell ref="F5553:K5553"/>
    <mergeCell ref="L5553:M5553"/>
    <mergeCell ref="N5553:P5553"/>
    <mergeCell ref="C5554:E5554"/>
    <mergeCell ref="F5554:G5554"/>
    <mergeCell ref="I5554:J5554"/>
    <mergeCell ref="K5554:L5554"/>
    <mergeCell ref="M5554:P5554"/>
    <mergeCell ref="C5555:E5555"/>
    <mergeCell ref="F5555:I5555"/>
    <mergeCell ref="J5555:K5555"/>
    <mergeCell ref="L5555:P5555"/>
    <mergeCell ref="C5556:E5556"/>
    <mergeCell ref="F5556:P5556"/>
    <mergeCell ref="F5559:G5559"/>
    <mergeCell ref="H5559:I5559"/>
    <mergeCell ref="J5559:K5559"/>
    <mergeCell ref="L5559:M5559"/>
    <mergeCell ref="N5559:O5559"/>
    <mergeCell ref="F5560:O5560"/>
    <mergeCell ref="D5564:F5564"/>
    <mergeCell ref="G5564:N5564"/>
    <mergeCell ref="D5565:F5565"/>
    <mergeCell ref="D5566:F5566"/>
    <mergeCell ref="D5567:F5567"/>
    <mergeCell ref="M5567:N5567"/>
    <mergeCell ref="D5568:F5568"/>
    <mergeCell ref="M5568:N5568"/>
    <mergeCell ref="D5569:F5569"/>
    <mergeCell ref="M5569:N5569"/>
    <mergeCell ref="D5570:F5570"/>
    <mergeCell ref="M5570:N5570"/>
    <mergeCell ref="D5571:F5571"/>
    <mergeCell ref="M5571:N5571"/>
    <mergeCell ref="D5572:F5572"/>
    <mergeCell ref="M5572:N5572"/>
    <mergeCell ref="D5573:F5573"/>
    <mergeCell ref="M5573:N5573"/>
    <mergeCell ref="D5574:F5574"/>
    <mergeCell ref="M5574:N5574"/>
    <mergeCell ref="D5575:M5575"/>
    <mergeCell ref="E5576:M5576"/>
    <mergeCell ref="D5582:G5582"/>
    <mergeCell ref="H5582:I5582"/>
    <mergeCell ref="D5583:G5583"/>
    <mergeCell ref="H5583:I5583"/>
    <mergeCell ref="L5583:M5583"/>
    <mergeCell ref="N5583:O5583"/>
    <mergeCell ref="D5584:G5584"/>
    <mergeCell ref="H5584:I5584"/>
    <mergeCell ref="L5584:M5584"/>
    <mergeCell ref="N5584:O5584"/>
    <mergeCell ref="E5594:F5594"/>
    <mergeCell ref="M5594:O5594"/>
    <mergeCell ref="E5595:F5595"/>
    <mergeCell ref="M5595:O5595"/>
    <mergeCell ref="D15:D16"/>
    <mergeCell ref="D71:D72"/>
    <mergeCell ref="D127:D128"/>
    <mergeCell ref="D183:D184"/>
    <mergeCell ref="D239:D240"/>
    <mergeCell ref="D295:D296"/>
    <mergeCell ref="D351:D352"/>
    <mergeCell ref="D407:D408"/>
    <mergeCell ref="D463:D464"/>
    <mergeCell ref="D519:D520"/>
    <mergeCell ref="D575:D576"/>
    <mergeCell ref="D631:D632"/>
    <mergeCell ref="D687:D688"/>
    <mergeCell ref="D743:D744"/>
    <mergeCell ref="D799:D800"/>
    <mergeCell ref="D855:D856"/>
    <mergeCell ref="D911:D912"/>
    <mergeCell ref="D967:D968"/>
    <mergeCell ref="D1023:D1024"/>
    <mergeCell ref="D1079:D1080"/>
    <mergeCell ref="D1135:D1136"/>
    <mergeCell ref="D1191:D1192"/>
    <mergeCell ref="D1247:D1248"/>
    <mergeCell ref="D1303:D1304"/>
    <mergeCell ref="D1359:D1360"/>
    <mergeCell ref="D1415:D1416"/>
    <mergeCell ref="D1471:D1472"/>
    <mergeCell ref="D1527:D1528"/>
    <mergeCell ref="D1583:D1584"/>
    <mergeCell ref="D1639:D1640"/>
    <mergeCell ref="D1695:D1696"/>
    <mergeCell ref="D1751:D1752"/>
    <mergeCell ref="D1807:D1808"/>
    <mergeCell ref="D1863:D1864"/>
    <mergeCell ref="D1919:D1920"/>
    <mergeCell ref="D1975:D1976"/>
    <mergeCell ref="D2031:D2032"/>
    <mergeCell ref="D2087:D2088"/>
    <mergeCell ref="D2143:D2144"/>
    <mergeCell ref="D2199:D2200"/>
    <mergeCell ref="D2255:D2256"/>
    <mergeCell ref="D2311:D2312"/>
    <mergeCell ref="D2367:D2368"/>
    <mergeCell ref="D2423:D2424"/>
    <mergeCell ref="D2479:D2480"/>
    <mergeCell ref="D2535:D2536"/>
    <mergeCell ref="D2591:D2592"/>
    <mergeCell ref="D2647:D2648"/>
    <mergeCell ref="D2703:D2704"/>
    <mergeCell ref="D2759:D2760"/>
    <mergeCell ref="D2815:D2816"/>
    <mergeCell ref="D2871:D2872"/>
    <mergeCell ref="D2927:D2928"/>
    <mergeCell ref="D2983:D2984"/>
    <mergeCell ref="D3039:D3040"/>
    <mergeCell ref="D3095:D3096"/>
    <mergeCell ref="D3151:D3152"/>
    <mergeCell ref="D3207:D3208"/>
    <mergeCell ref="D3263:D3264"/>
    <mergeCell ref="D3319:D3320"/>
    <mergeCell ref="D3375:D3376"/>
    <mergeCell ref="D3431:D3432"/>
    <mergeCell ref="D3487:D3488"/>
    <mergeCell ref="D3543:D3544"/>
    <mergeCell ref="D3599:D3600"/>
    <mergeCell ref="D3655:D3656"/>
    <mergeCell ref="D3711:D3712"/>
    <mergeCell ref="D3767:D3768"/>
    <mergeCell ref="D3823:D3824"/>
    <mergeCell ref="D3879:D3880"/>
    <mergeCell ref="D3935:D3936"/>
    <mergeCell ref="D3991:D3992"/>
    <mergeCell ref="D4047:D4048"/>
    <mergeCell ref="D4103:D4104"/>
    <mergeCell ref="D4159:D4160"/>
    <mergeCell ref="D4215:D4216"/>
    <mergeCell ref="D4271:D4272"/>
    <mergeCell ref="D4327:D4328"/>
    <mergeCell ref="D4383:D4384"/>
    <mergeCell ref="D4439:D4440"/>
    <mergeCell ref="D4495:D4496"/>
    <mergeCell ref="D4551:D4552"/>
    <mergeCell ref="D4607:D4608"/>
    <mergeCell ref="D4663:D4664"/>
    <mergeCell ref="D4719:D4720"/>
    <mergeCell ref="D4775:D4776"/>
    <mergeCell ref="D4831:D4832"/>
    <mergeCell ref="D4887:D4888"/>
    <mergeCell ref="D4943:D4944"/>
    <mergeCell ref="D4999:D5000"/>
    <mergeCell ref="D5055:D5056"/>
    <mergeCell ref="D5111:D5112"/>
    <mergeCell ref="D5167:D5168"/>
    <mergeCell ref="D5223:D5224"/>
    <mergeCell ref="D5279:D5280"/>
    <mergeCell ref="D5335:D5336"/>
    <mergeCell ref="D5391:D5392"/>
    <mergeCell ref="D5447:D5448"/>
    <mergeCell ref="D5503:D5504"/>
    <mergeCell ref="D5559:D5560"/>
    <mergeCell ref="I5594:J5595"/>
    <mergeCell ref="M5565:N5566"/>
    <mergeCell ref="I5538:J5539"/>
    <mergeCell ref="M5509:N5510"/>
    <mergeCell ref="I5482:J5483"/>
    <mergeCell ref="M5453:N5454"/>
    <mergeCell ref="I5426:J5427"/>
    <mergeCell ref="M5397:N5398"/>
    <mergeCell ref="I5370:J5371"/>
    <mergeCell ref="M5341:N5342"/>
    <mergeCell ref="I5314:J5315"/>
    <mergeCell ref="M5285:N5286"/>
    <mergeCell ref="I5258:J5259"/>
    <mergeCell ref="M5229:N5230"/>
    <mergeCell ref="I5202:J5203"/>
    <mergeCell ref="M5173:N5174"/>
    <mergeCell ref="I5146:J5147"/>
    <mergeCell ref="M5117:N5118"/>
    <mergeCell ref="I5090:J5091"/>
    <mergeCell ref="M5061:N5062"/>
    <mergeCell ref="I5034:J5035"/>
    <mergeCell ref="M5005:N5006"/>
    <mergeCell ref="I4978:J4979"/>
    <mergeCell ref="M4949:N4950"/>
    <mergeCell ref="I4922:J4923"/>
    <mergeCell ref="M4893:N4894"/>
    <mergeCell ref="I4866:J4867"/>
    <mergeCell ref="M4837:N4838"/>
    <mergeCell ref="I4810:J4811"/>
    <mergeCell ref="M4781:N4782"/>
    <mergeCell ref="I4754:J4755"/>
    <mergeCell ref="M4725:N4726"/>
    <mergeCell ref="I4698:J4699"/>
    <mergeCell ref="M4669:N4670"/>
    <mergeCell ref="I4642:J4643"/>
    <mergeCell ref="M4613:N4614"/>
    <mergeCell ref="I4586:J4587"/>
    <mergeCell ref="M4557:N4558"/>
    <mergeCell ref="I4530:J4531"/>
    <mergeCell ref="M4501:N4502"/>
    <mergeCell ref="I4474:J4475"/>
    <mergeCell ref="M4445:N4446"/>
    <mergeCell ref="I4418:J4419"/>
    <mergeCell ref="M4389:N4390"/>
    <mergeCell ref="I4362:J4363"/>
    <mergeCell ref="M4333:N4334"/>
    <mergeCell ref="I4306:J4307"/>
    <mergeCell ref="M4277:N4278"/>
    <mergeCell ref="I4250:J4251"/>
    <mergeCell ref="M4221:N4222"/>
    <mergeCell ref="I4194:J4195"/>
    <mergeCell ref="M4165:N4166"/>
    <mergeCell ref="I4138:J4139"/>
    <mergeCell ref="M4109:N4110"/>
    <mergeCell ref="I4082:J4083"/>
    <mergeCell ref="M4053:N4054"/>
    <mergeCell ref="I4026:J4027"/>
    <mergeCell ref="M3997:N3998"/>
    <mergeCell ref="I3970:J3971"/>
    <mergeCell ref="M3941:N3942"/>
    <mergeCell ref="I3914:J3915"/>
    <mergeCell ref="M3885:N3886"/>
    <mergeCell ref="I3858:J3859"/>
    <mergeCell ref="M3829:N3830"/>
    <mergeCell ref="I3802:J3803"/>
    <mergeCell ref="M3773:N3774"/>
    <mergeCell ref="I3746:J3747"/>
    <mergeCell ref="M3717:N3718"/>
    <mergeCell ref="I3690:J3691"/>
    <mergeCell ref="M3661:N3662"/>
    <mergeCell ref="I3634:J3635"/>
    <mergeCell ref="M3605:N3606"/>
    <mergeCell ref="I3578:J3579"/>
    <mergeCell ref="M3549:N3550"/>
    <mergeCell ref="I3522:J3523"/>
    <mergeCell ref="M3493:N3494"/>
    <mergeCell ref="I3466:J3467"/>
    <mergeCell ref="M3437:N3438"/>
    <mergeCell ref="I3410:J3411"/>
    <mergeCell ref="M3381:N3382"/>
    <mergeCell ref="I3354:J3355"/>
    <mergeCell ref="M3325:N3326"/>
    <mergeCell ref="I3298:J3299"/>
    <mergeCell ref="M3269:N3270"/>
    <mergeCell ref="I3242:J3243"/>
    <mergeCell ref="M3213:N3214"/>
    <mergeCell ref="I3186:J3187"/>
    <mergeCell ref="M3157:N3158"/>
    <mergeCell ref="I3130:J3131"/>
    <mergeCell ref="M3101:N3102"/>
    <mergeCell ref="I3074:J3075"/>
    <mergeCell ref="M3045:N3046"/>
    <mergeCell ref="I3018:J3019"/>
    <mergeCell ref="M2989:N2990"/>
    <mergeCell ref="I2962:J2963"/>
    <mergeCell ref="M2933:N2934"/>
    <mergeCell ref="I2906:J2907"/>
    <mergeCell ref="M2877:N2878"/>
    <mergeCell ref="I2850:J2851"/>
    <mergeCell ref="M2821:N2822"/>
    <mergeCell ref="I2794:J2795"/>
    <mergeCell ref="M2765:N2766"/>
    <mergeCell ref="I2738:J2739"/>
    <mergeCell ref="M2709:N2710"/>
    <mergeCell ref="I2682:J2683"/>
    <mergeCell ref="M2653:N2654"/>
    <mergeCell ref="I2626:J2627"/>
    <mergeCell ref="M2597:N2598"/>
    <mergeCell ref="I2570:J2571"/>
    <mergeCell ref="M2541:N2542"/>
    <mergeCell ref="I2514:J2515"/>
    <mergeCell ref="M2485:N2486"/>
    <mergeCell ref="I2458:J2459"/>
    <mergeCell ref="M2429:N2430"/>
    <mergeCell ref="I2402:J2403"/>
    <mergeCell ref="M2373:N2374"/>
    <mergeCell ref="I2346:J2347"/>
    <mergeCell ref="M2317:N2318"/>
    <mergeCell ref="I2290:J2291"/>
    <mergeCell ref="M2261:N2262"/>
    <mergeCell ref="I2234:J2235"/>
    <mergeCell ref="M2205:N2206"/>
    <mergeCell ref="I2178:J2179"/>
    <mergeCell ref="M2149:N2150"/>
    <mergeCell ref="I2122:J2123"/>
    <mergeCell ref="M2093:N2094"/>
    <mergeCell ref="I2066:J2067"/>
    <mergeCell ref="M2037:N2038"/>
    <mergeCell ref="I2010:J2011"/>
    <mergeCell ref="M1981:N1982"/>
    <mergeCell ref="I1954:J1955"/>
    <mergeCell ref="M1925:N1926"/>
    <mergeCell ref="I1898:J1899"/>
    <mergeCell ref="M1869:N1870"/>
    <mergeCell ref="I1842:J1843"/>
    <mergeCell ref="M1813:N1814"/>
    <mergeCell ref="I1786:J1787"/>
    <mergeCell ref="M1757:N1758"/>
    <mergeCell ref="I1730:J1731"/>
    <mergeCell ref="M1701:N1702"/>
    <mergeCell ref="I1674:J1675"/>
    <mergeCell ref="M1645:N1646"/>
    <mergeCell ref="I1618:J1619"/>
    <mergeCell ref="M1589:N1590"/>
    <mergeCell ref="I1562:J1563"/>
    <mergeCell ref="M1533:N1534"/>
    <mergeCell ref="I1506:J1507"/>
    <mergeCell ref="M1477:N1478"/>
    <mergeCell ref="I1450:J1451"/>
    <mergeCell ref="M1421:N1422"/>
    <mergeCell ref="I1394:J1395"/>
    <mergeCell ref="M1365:N1366"/>
    <mergeCell ref="I1338:J1339"/>
    <mergeCell ref="M1309:N1310"/>
    <mergeCell ref="I1282:J1283"/>
    <mergeCell ref="M1253:N1254"/>
    <mergeCell ref="I1226:J1227"/>
    <mergeCell ref="M1197:N1198"/>
    <mergeCell ref="I1170:J1171"/>
    <mergeCell ref="M1141:N1142"/>
    <mergeCell ref="I1114:J1115"/>
    <mergeCell ref="M1085:N1086"/>
    <mergeCell ref="I1058:J1059"/>
    <mergeCell ref="M1029:N1030"/>
    <mergeCell ref="I1002:J1003"/>
    <mergeCell ref="M973:N974"/>
    <mergeCell ref="I946:J947"/>
    <mergeCell ref="M917:N918"/>
    <mergeCell ref="I890:J891"/>
    <mergeCell ref="M861:N862"/>
    <mergeCell ref="I834:J835"/>
    <mergeCell ref="M805:N806"/>
    <mergeCell ref="I778:J779"/>
    <mergeCell ref="M749:N750"/>
    <mergeCell ref="I722:J723"/>
    <mergeCell ref="M693:N694"/>
    <mergeCell ref="I666:J667"/>
    <mergeCell ref="M637:N638"/>
    <mergeCell ref="I610:J611"/>
    <mergeCell ref="M581:N582"/>
    <mergeCell ref="I554:J555"/>
    <mergeCell ref="M525:N526"/>
    <mergeCell ref="I498:J499"/>
    <mergeCell ref="M469:N470"/>
    <mergeCell ref="I442:J443"/>
    <mergeCell ref="M413:N414"/>
    <mergeCell ref="I386:J387"/>
    <mergeCell ref="M357:N358"/>
    <mergeCell ref="I330:J331"/>
    <mergeCell ref="M301:N302"/>
    <mergeCell ref="I274:J275"/>
    <mergeCell ref="M245:N246"/>
    <mergeCell ref="I218:J219"/>
    <mergeCell ref="M189:N190"/>
    <mergeCell ref="I162:J163"/>
    <mergeCell ref="M133:N134"/>
    <mergeCell ref="I106:J107"/>
    <mergeCell ref="M77:N78"/>
    <mergeCell ref="I50:J51"/>
    <mergeCell ref="M21:N22"/>
  </mergeCells>
  <pageMargins left="0.27" right="0.25" top="0.46" bottom="0.48" header="0.3" footer="0.3"/>
  <pageSetup paperSize="9" scale="77" orientation="portrait" horizontalDpi="300" verticalDpi="300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BN124"/>
  <sheetViews>
    <sheetView workbookViewId="0">
      <selection activeCell="J16" sqref="J16"/>
    </sheetView>
  </sheetViews>
  <sheetFormatPr defaultColWidth="9.13888888888889" defaultRowHeight="13.8"/>
  <cols>
    <col min="1" max="1" width="6.71296296296296" style="100" customWidth="1"/>
    <col min="2" max="2" width="16.712962962963" style="100" customWidth="1"/>
    <col min="3" max="4" width="26.712962962963" style="100" customWidth="1"/>
    <col min="5" max="5" width="5.71296296296296" style="100" customWidth="1"/>
    <col min="6" max="6" width="6.71296296296296" style="100" customWidth="1"/>
    <col min="7" max="7" width="16.712962962963" style="100" customWidth="1"/>
    <col min="8" max="8" width="7.71296296296296" style="100" customWidth="1"/>
    <col min="9" max="58" width="5.71296296296296" style="100" customWidth="1"/>
    <col min="59" max="59" width="8.86111111111111" style="100" customWidth="1"/>
    <col min="60" max="60" width="5.71296296296296" style="100" customWidth="1"/>
    <col min="61" max="63" width="7.71296296296296" style="100" customWidth="1"/>
    <col min="64" max="64" width="15.5740740740741" style="100" customWidth="1"/>
    <col min="65" max="66" width="9.13888888888889" style="141"/>
    <col min="67" max="67" width="10.712962962963" style="100" customWidth="1"/>
    <col min="68" max="16384" width="9.13888888888889" style="100"/>
  </cols>
  <sheetData>
    <row r="2" s="136" customFormat="1" ht="22.2" spans="1:66">
      <c r="A2" s="142" t="s">
        <v>7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3"/>
      <c r="BN2" s="143"/>
    </row>
    <row r="3" s="137" customFormat="1" ht="20.1" customHeight="1" spans="1:66">
      <c r="A3" s="144" t="str">
        <f>"EDUCATION DEPARTMENT - "&amp;ENTRY!$D$5</f>
        <v>EDUCATION DEPARTMENT - ROHINI ZONE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5"/>
      <c r="BN3" s="145"/>
    </row>
    <row r="4" s="137" customFormat="1" ht="21.95" customHeight="1" spans="1:66">
      <c r="A4" s="146" t="str">
        <f>"ANNUAL ASSESSMENT SHEET - SESSION : "&amp;ENTRY!$D$11</f>
        <v>ANNUAL ASSESSMENT SHEET - SESSION : 2026-27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  <c r="AM4" s="146"/>
      <c r="AN4" s="146"/>
      <c r="AO4" s="146"/>
      <c r="AP4" s="146"/>
      <c r="AQ4" s="146"/>
      <c r="AR4" s="146"/>
      <c r="AS4" s="146"/>
      <c r="AT4" s="146"/>
      <c r="AU4" s="146"/>
      <c r="AV4" s="146"/>
      <c r="AW4" s="146"/>
      <c r="AX4" s="146"/>
      <c r="AY4" s="146"/>
      <c r="AZ4" s="146"/>
      <c r="BA4" s="146"/>
      <c r="BB4" s="146"/>
      <c r="BC4" s="146"/>
      <c r="BD4" s="146"/>
      <c r="BE4" s="146"/>
      <c r="BF4" s="146"/>
      <c r="BG4" s="146"/>
      <c r="BH4" s="146"/>
      <c r="BI4" s="146"/>
      <c r="BJ4" s="146"/>
      <c r="BK4" s="146"/>
      <c r="BL4" s="146"/>
      <c r="BM4" s="145"/>
      <c r="BN4" s="145"/>
    </row>
    <row r="5" s="138" customFormat="1" ht="17.4" spans="1:66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02"/>
      <c r="BG5" s="102"/>
      <c r="BH5" s="102"/>
      <c r="BI5" s="102"/>
      <c r="BJ5" s="147" t="s">
        <v>733</v>
      </c>
      <c r="BK5" s="147"/>
      <c r="BL5" s="147"/>
      <c r="BM5" s="148"/>
      <c r="BN5" s="148"/>
    </row>
    <row r="7" s="97" customFormat="1" ht="20.1" customHeight="1" spans="1:66">
      <c r="A7" s="99" t="s">
        <v>419</v>
      </c>
      <c r="B7" s="99"/>
      <c r="C7" s="106" t="str">
        <f>ENTRY!$D$6</f>
        <v>MCP NITHARI NO 1 BOYS</v>
      </c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R7" s="149" t="s">
        <v>437</v>
      </c>
      <c r="S7" s="149"/>
      <c r="T7" s="149"/>
      <c r="U7" s="106">
        <f>ENTRY!$D$7</f>
        <v>0</v>
      </c>
      <c r="V7" s="106"/>
      <c r="W7" s="106"/>
      <c r="X7" s="150"/>
      <c r="Y7" s="151" t="s">
        <v>438</v>
      </c>
      <c r="Z7" s="151"/>
      <c r="AA7" s="151"/>
      <c r="AB7" s="152">
        <f>ENTRY!$D$10</f>
        <v>40</v>
      </c>
      <c r="AC7" s="152"/>
      <c r="AD7" s="153"/>
      <c r="AG7" s="154" t="s">
        <v>638</v>
      </c>
      <c r="AH7" s="154"/>
      <c r="AI7" s="154"/>
      <c r="AJ7" s="154"/>
      <c r="AK7" s="154"/>
      <c r="AL7" s="154"/>
      <c r="AM7" s="154"/>
      <c r="AN7" s="106" t="str">
        <f>ENTRY!$D$19</f>
        <v>INDRAJEET</v>
      </c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50"/>
      <c r="AZ7" s="150"/>
      <c r="BA7" s="149" t="s">
        <v>639</v>
      </c>
      <c r="BB7" s="149"/>
      <c r="BC7" s="149"/>
      <c r="BD7" s="149"/>
      <c r="BE7" s="149"/>
      <c r="BF7" s="149"/>
      <c r="BG7" s="152" t="str">
        <f>ENTRY!$D$20&amp;"-"&amp;ENTRY!$D$21</f>
        <v>III-A</v>
      </c>
      <c r="BH7" s="152"/>
      <c r="BM7" s="155"/>
      <c r="BN7" s="155"/>
    </row>
    <row r="9" s="139" customFormat="1" ht="20.1" customHeight="1" spans="1:66">
      <c r="A9" s="156" t="s">
        <v>640</v>
      </c>
      <c r="B9" s="120" t="s">
        <v>641</v>
      </c>
      <c r="C9" s="47" t="s">
        <v>642</v>
      </c>
      <c r="D9" s="120" t="s">
        <v>643</v>
      </c>
      <c r="E9" s="157" t="s">
        <v>473</v>
      </c>
      <c r="F9" s="158" t="s">
        <v>474</v>
      </c>
      <c r="G9" s="158" t="s">
        <v>644</v>
      </c>
      <c r="H9" s="157" t="s">
        <v>38</v>
      </c>
      <c r="I9" s="159" t="s">
        <v>734</v>
      </c>
      <c r="J9" s="50"/>
      <c r="K9" s="50"/>
      <c r="L9" s="50"/>
      <c r="M9" s="50"/>
      <c r="N9" s="50"/>
      <c r="O9" s="50"/>
      <c r="P9" s="50"/>
      <c r="Q9" s="50" t="s">
        <v>89</v>
      </c>
      <c r="R9" s="50"/>
      <c r="S9" s="50"/>
      <c r="T9" s="50"/>
      <c r="U9" s="50"/>
      <c r="V9" s="50"/>
      <c r="W9" s="50"/>
      <c r="X9" s="50"/>
      <c r="Y9" s="50" t="s">
        <v>88</v>
      </c>
      <c r="Z9" s="50"/>
      <c r="AA9" s="50"/>
      <c r="AB9" s="50"/>
      <c r="AC9" s="50"/>
      <c r="AD9" s="50"/>
      <c r="AE9" s="50"/>
      <c r="AF9" s="50"/>
      <c r="AG9" s="50" t="s">
        <v>351</v>
      </c>
      <c r="AH9" s="50"/>
      <c r="AI9" s="50"/>
      <c r="AJ9" s="50"/>
      <c r="AK9" s="50"/>
      <c r="AL9" s="50"/>
      <c r="AM9" s="50"/>
      <c r="AN9" s="50"/>
      <c r="AO9" s="50" t="s">
        <v>646</v>
      </c>
      <c r="AP9" s="50"/>
      <c r="AQ9" s="50"/>
      <c r="AR9" s="50"/>
      <c r="AS9" s="50"/>
      <c r="AT9" s="50"/>
      <c r="AU9" s="50"/>
      <c r="AV9" s="50"/>
      <c r="AW9" s="50" t="s">
        <v>647</v>
      </c>
      <c r="AX9" s="50"/>
      <c r="AY9" s="50"/>
      <c r="AZ9" s="50"/>
      <c r="BA9" s="50"/>
      <c r="BB9" s="50"/>
      <c r="BC9" s="50"/>
      <c r="BD9" s="50"/>
      <c r="BE9" s="160" t="s">
        <v>735</v>
      </c>
      <c r="BF9" s="161"/>
      <c r="BG9" s="162"/>
      <c r="BH9" s="162"/>
      <c r="BI9" s="161"/>
      <c r="BJ9" s="163"/>
      <c r="BK9" s="163"/>
      <c r="BL9" s="162"/>
      <c r="BM9" s="164"/>
      <c r="BN9" s="164"/>
    </row>
    <row r="10" ht="108.65" spans="1:66">
      <c r="A10" s="156"/>
      <c r="B10" s="120"/>
      <c r="C10" s="47"/>
      <c r="D10" s="120"/>
      <c r="E10" s="157"/>
      <c r="F10" s="165"/>
      <c r="G10" s="165"/>
      <c r="H10" s="158"/>
      <c r="I10" s="166" t="s">
        <v>648</v>
      </c>
      <c r="J10" s="166" t="s">
        <v>649</v>
      </c>
      <c r="K10" s="166" t="s">
        <v>543</v>
      </c>
      <c r="L10" s="166" t="s">
        <v>650</v>
      </c>
      <c r="M10" s="166" t="s">
        <v>651</v>
      </c>
      <c r="N10" s="160" t="s">
        <v>735</v>
      </c>
      <c r="O10" s="157" t="s">
        <v>382</v>
      </c>
      <c r="P10" s="165" t="s">
        <v>546</v>
      </c>
      <c r="Q10" s="166" t="s">
        <v>648</v>
      </c>
      <c r="R10" s="166" t="s">
        <v>649</v>
      </c>
      <c r="S10" s="166" t="s">
        <v>543</v>
      </c>
      <c r="T10" s="166" t="s">
        <v>650</v>
      </c>
      <c r="U10" s="166" t="s">
        <v>651</v>
      </c>
      <c r="V10" s="160" t="s">
        <v>735</v>
      </c>
      <c r="W10" s="157" t="s">
        <v>382</v>
      </c>
      <c r="X10" s="165" t="s">
        <v>546</v>
      </c>
      <c r="Y10" s="166" t="s">
        <v>648</v>
      </c>
      <c r="Z10" s="166" t="s">
        <v>649</v>
      </c>
      <c r="AA10" s="166" t="s">
        <v>543</v>
      </c>
      <c r="AB10" s="166" t="s">
        <v>650</v>
      </c>
      <c r="AC10" s="166" t="s">
        <v>651</v>
      </c>
      <c r="AD10" s="160" t="s">
        <v>735</v>
      </c>
      <c r="AE10" s="157" t="s">
        <v>382</v>
      </c>
      <c r="AF10" s="165" t="s">
        <v>546</v>
      </c>
      <c r="AG10" s="166" t="s">
        <v>648</v>
      </c>
      <c r="AH10" s="166" t="s">
        <v>649</v>
      </c>
      <c r="AI10" s="166" t="s">
        <v>543</v>
      </c>
      <c r="AJ10" s="166" t="s">
        <v>650</v>
      </c>
      <c r="AK10" s="166" t="s">
        <v>651</v>
      </c>
      <c r="AL10" s="160" t="s">
        <v>735</v>
      </c>
      <c r="AM10" s="157" t="s">
        <v>382</v>
      </c>
      <c r="AN10" s="165" t="s">
        <v>546</v>
      </c>
      <c r="AO10" s="166" t="s">
        <v>648</v>
      </c>
      <c r="AP10" s="166" t="s">
        <v>649</v>
      </c>
      <c r="AQ10" s="166" t="s">
        <v>543</v>
      </c>
      <c r="AR10" s="166" t="s">
        <v>650</v>
      </c>
      <c r="AS10" s="166" t="s">
        <v>651</v>
      </c>
      <c r="AT10" s="160" t="s">
        <v>735</v>
      </c>
      <c r="AU10" s="157" t="s">
        <v>382</v>
      </c>
      <c r="AV10" s="165" t="s">
        <v>546</v>
      </c>
      <c r="AW10" s="166" t="s">
        <v>648</v>
      </c>
      <c r="AX10" s="166" t="s">
        <v>649</v>
      </c>
      <c r="AY10" s="166" t="s">
        <v>543</v>
      </c>
      <c r="AZ10" s="166" t="s">
        <v>650</v>
      </c>
      <c r="BA10" s="166" t="s">
        <v>651</v>
      </c>
      <c r="BB10" s="160" t="s">
        <v>735</v>
      </c>
      <c r="BC10" s="157" t="s">
        <v>382</v>
      </c>
      <c r="BD10" s="165" t="s">
        <v>546</v>
      </c>
      <c r="BE10" s="167"/>
      <c r="BF10" s="168" t="s">
        <v>652</v>
      </c>
      <c r="BG10" s="169" t="s">
        <v>653</v>
      </c>
      <c r="BH10" s="169" t="s">
        <v>654</v>
      </c>
      <c r="BI10" s="168" t="s">
        <v>655</v>
      </c>
      <c r="BJ10" s="170"/>
      <c r="BK10" s="170"/>
      <c r="BL10" s="171" t="s">
        <v>656</v>
      </c>
    </row>
    <row r="11" s="98" customFormat="1" ht="20.1" customHeight="1" spans="1:66">
      <c r="A11" s="156"/>
      <c r="B11" s="120"/>
      <c r="C11" s="47"/>
      <c r="D11" s="120"/>
      <c r="E11" s="47" t="s">
        <v>657</v>
      </c>
      <c r="F11" s="172"/>
      <c r="G11" s="172"/>
      <c r="H11" s="47" t="s">
        <v>658</v>
      </c>
      <c r="I11" s="47">
        <v>10</v>
      </c>
      <c r="J11" s="47">
        <v>10</v>
      </c>
      <c r="K11" s="47">
        <v>10</v>
      </c>
      <c r="L11" s="47">
        <v>10</v>
      </c>
      <c r="M11" s="50">
        <v>60</v>
      </c>
      <c r="N11" s="173"/>
      <c r="O11" s="50">
        <v>100</v>
      </c>
      <c r="P11" s="51"/>
      <c r="Q11" s="47">
        <v>10</v>
      </c>
      <c r="R11" s="47">
        <v>10</v>
      </c>
      <c r="S11" s="47">
        <v>10</v>
      </c>
      <c r="T11" s="47">
        <v>10</v>
      </c>
      <c r="U11" s="50">
        <v>60</v>
      </c>
      <c r="V11" s="173"/>
      <c r="W11" s="50">
        <v>100</v>
      </c>
      <c r="X11" s="51"/>
      <c r="Y11" s="47">
        <v>10</v>
      </c>
      <c r="Z11" s="47">
        <v>10</v>
      </c>
      <c r="AA11" s="47">
        <v>10</v>
      </c>
      <c r="AB11" s="47">
        <v>10</v>
      </c>
      <c r="AC11" s="50">
        <v>60</v>
      </c>
      <c r="AD11" s="173"/>
      <c r="AE11" s="50">
        <v>100</v>
      </c>
      <c r="AF11" s="51"/>
      <c r="AG11" s="47">
        <v>10</v>
      </c>
      <c r="AH11" s="47">
        <v>10</v>
      </c>
      <c r="AI11" s="47">
        <v>10</v>
      </c>
      <c r="AJ11" s="47">
        <v>10</v>
      </c>
      <c r="AK11" s="50">
        <v>60</v>
      </c>
      <c r="AL11" s="173"/>
      <c r="AM11" s="50">
        <v>100</v>
      </c>
      <c r="AN11" s="51"/>
      <c r="AO11" s="47">
        <v>10</v>
      </c>
      <c r="AP11" s="47">
        <v>10</v>
      </c>
      <c r="AQ11" s="47">
        <v>10</v>
      </c>
      <c r="AR11" s="47">
        <v>10</v>
      </c>
      <c r="AS11" s="50">
        <v>60</v>
      </c>
      <c r="AT11" s="173"/>
      <c r="AU11" s="50">
        <v>100</v>
      </c>
      <c r="AV11" s="51"/>
      <c r="AW11" s="47">
        <v>10</v>
      </c>
      <c r="AX11" s="47">
        <v>10</v>
      </c>
      <c r="AY11" s="47">
        <v>10</v>
      </c>
      <c r="AZ11" s="47">
        <v>10</v>
      </c>
      <c r="BA11" s="50">
        <v>60</v>
      </c>
      <c r="BB11" s="173"/>
      <c r="BC11" s="50">
        <v>100</v>
      </c>
      <c r="BD11" s="51"/>
      <c r="BE11" s="173"/>
      <c r="BF11" s="50">
        <v>600</v>
      </c>
      <c r="BG11" s="51"/>
      <c r="BH11" s="51"/>
      <c r="BI11" s="174" t="s">
        <v>87</v>
      </c>
      <c r="BJ11" s="174" t="s">
        <v>350</v>
      </c>
      <c r="BK11" s="175" t="s">
        <v>88</v>
      </c>
      <c r="BL11" s="51"/>
      <c r="BM11" s="130"/>
      <c r="BN11" s="130"/>
    </row>
    <row r="12" s="98" customFormat="1" ht="27" customHeight="1" spans="1:66">
      <c r="A12" s="47">
        <f>IF(ENTRY!D24&gt;0,1,0)</f>
        <v>1</v>
      </c>
      <c r="B12" s="47">
        <f>IF(A12&gt;0,STUDENT!F2,"")</f>
        <v>14779</v>
      </c>
      <c r="C12" s="176" t="str">
        <f>IF(A12&gt;0,UPPER(STUDENT!E2),"")</f>
        <v>NAKSH</v>
      </c>
      <c r="D12" s="176" t="str">
        <f>IF(A12&gt;0,UPPER(STUDENT!H2),"")</f>
        <v>NARESH</v>
      </c>
      <c r="E12" s="47" t="str">
        <f>IF(A12&gt;0,UPPER(STUDENT!BP2),"")</f>
        <v/>
      </c>
      <c r="F12" s="47" t="str">
        <f>IF(A12&gt;0,UPPER(STUDENT!BO2),"")</f>
        <v>FALSE</v>
      </c>
      <c r="G12" s="47" t="str">
        <f>IF(A12&gt;0,UPPER(STUDENT!Q2),"")</f>
        <v/>
      </c>
      <c r="H12" s="69">
        <f>IF(A12&gt;0,PASHEET!CI4/PASHEET!CJ4*100,"")</f>
        <v>83.9328537170264</v>
      </c>
      <c r="I12" s="177">
        <f>IF(A12&gt;0,SUM(PASHEET!AL4,PASHEET!AT4),"")</f>
        <v>1</v>
      </c>
      <c r="J12" s="177">
        <f>IF(A12&gt;0,SUM(MARKS!F4,MARKS!AL4),"")</f>
        <v>0</v>
      </c>
      <c r="K12" s="177">
        <f>IF(A12&gt;0,SUM(MARKS!N4,MARKS!AT4),"")</f>
        <v>0</v>
      </c>
      <c r="L12" s="177">
        <f>IF(A12&gt;0,SUM(MARKS!V4,MARKS!BB4),"")</f>
        <v>0</v>
      </c>
      <c r="M12" s="177">
        <f>IF(A12&gt;0,SUM(MARKS!AD4,MARKS!BJ4),"")</f>
        <v>50</v>
      </c>
      <c r="N12" s="178"/>
      <c r="O12" s="177">
        <f>IF(A12&gt;0,SUM(I12,J12,K12,L12,M12,N12),"")</f>
        <v>51</v>
      </c>
      <c r="P12" s="177" t="str">
        <f>IF(O12="","",IF(O12=0,"Ab",IF(O12&gt;80,"A",IF(O12&gt;60,"B",IF(O12&gt;44,"C",IF(O12&gt;=33,"D",IF(O12&lt;=32,"E","")))))))</f>
        <v>C</v>
      </c>
      <c r="Q12" s="177">
        <f>IF(A12&gt;0,SUM(PASHEET!AM4,PASHEET!AU4),"")</f>
        <v>1</v>
      </c>
      <c r="R12" s="177">
        <f>IF(A12&gt;0,SUM(MARKS!G4,MARKS!AM4),"")</f>
        <v>0</v>
      </c>
      <c r="S12" s="177">
        <f>IF(A12&gt;0,SUM(MARKS!O4,MARKS!AU4),"")</f>
        <v>0</v>
      </c>
      <c r="T12" s="177">
        <f>IF(A12&gt;0,SUM(MARKS!W4,MARKS!BC4),"")</f>
        <v>0</v>
      </c>
      <c r="U12" s="177">
        <f>IF(A12&gt;0,SUM(MARKS!AE4,MARKS!BK4),"")</f>
        <v>19</v>
      </c>
      <c r="V12" s="178"/>
      <c r="W12" s="177">
        <f>IF(A12&gt;0,SUM(Q12,R12,S12,T12,U12,V12),"")</f>
        <v>20</v>
      </c>
      <c r="X12" s="177" t="str">
        <f>IF(W12="","",IF(W12=0,"Ab",IF(W12&gt;80,"A",IF(W12&gt;60,"B",IF(W12&gt;44,"C",IF(W12&gt;=33,"D",IF(W12&lt;=32,"E","")))))))</f>
        <v>E</v>
      </c>
      <c r="Y12" s="177">
        <f>IF(A12&gt;0,SUM(PASHEET!AN4,PASHEET!AV4),"")</f>
        <v>1</v>
      </c>
      <c r="Z12" s="177">
        <f>IF(A12&gt;0,SUM(MARKS!H4,MARKS!AN4),"")</f>
        <v>0</v>
      </c>
      <c r="AA12" s="177">
        <f>IF(A12&gt;0,SUM(MARKS!P4,MARKS!AV4),"")</f>
        <v>0</v>
      </c>
      <c r="AB12" s="177">
        <f>IF(A12&gt;0,SUM(MARKS!X4,MARKS!BD4),"")</f>
        <v>0</v>
      </c>
      <c r="AC12" s="177">
        <f>IF(A12&gt;0,SUM(MARKS!AF4,MARKS!BL4),"")</f>
        <v>21</v>
      </c>
      <c r="AD12" s="178"/>
      <c r="AE12" s="177">
        <f>IF(A12&gt;0,SUM(Y12,Z12,AA12,AB12,AC12,AD12),"")</f>
        <v>22</v>
      </c>
      <c r="AF12" s="177" t="str">
        <f>IF(AE12="","",IF(AE12=0,"Ab",IF(AE12&gt;80,"A",IF(AE12&gt;60,"B",IF(AE12&gt;44,"C",IF(AE12&gt;=33,"D",IF(AE12&lt;=32,"E","")))))))</f>
        <v>E</v>
      </c>
      <c r="AG12" s="177">
        <f>IF(A12&gt;0,SUM(PASHEET!AO4,PASHEET!AW4),"")</f>
        <v>2</v>
      </c>
      <c r="AH12" s="177">
        <f>IF(A12&gt;0,SUM(MARKS!I4,MARKS!AO4),"")</f>
        <v>0</v>
      </c>
      <c r="AI12" s="177">
        <f>IF(A12&gt;0,SUM(MARKS!Q4,MARKS!AW4),"")</f>
        <v>0</v>
      </c>
      <c r="AJ12" s="177">
        <f>IF(A12&gt;0,SUM(MARKS!Y4,MARKS!BE4),"")</f>
        <v>0</v>
      </c>
      <c r="AK12" s="177">
        <f>IF(A12&gt;0,SUM(MARKS!AG4,MARKS!BM4),"")</f>
        <v>23</v>
      </c>
      <c r="AL12" s="178"/>
      <c r="AM12" s="177">
        <f>IF(A12&gt;0,SUM(AG12,AH12,AI12,AJ12,AK12,AL12),"")</f>
        <v>25</v>
      </c>
      <c r="AN12" s="177" t="str">
        <f>IF(AM12="","",IF(AM12=0,"Ab",IF(AM12&gt;80,"A",IF(AM12&gt;60,"B",IF(AM12&gt;44,"C",IF(AM12&gt;=33,"D",IF(AM12&lt;=32,"E","")))))))</f>
        <v>E</v>
      </c>
      <c r="AO12" s="177">
        <f>IF(A12&gt;0,SUM(PASHEET!AP4,PASHEET!AX4),"")</f>
        <v>0</v>
      </c>
      <c r="AP12" s="177">
        <f>IF(A12&gt;0,SUM(MARKS!J4,MARKS!AP4),"")</f>
        <v>0</v>
      </c>
      <c r="AQ12" s="177">
        <f>IF(A12&gt;0,SUM(MARKS!R4,MARKS!AX4),"")</f>
        <v>0</v>
      </c>
      <c r="AR12" s="177">
        <f>IF(A12&gt;0,SUM(MARKS!Z4,MARKS!BF4),"")</f>
        <v>0</v>
      </c>
      <c r="AS12" s="177">
        <f>IF(A12&gt;0,SUM(MARKS!AH4,MARKS!BN4),"")</f>
        <v>21</v>
      </c>
      <c r="AT12" s="178"/>
      <c r="AU12" s="177">
        <f>IF(A12&gt;0,SUM(AO12,AP12,AQ12,AR12,AS12,AT12),"")</f>
        <v>21</v>
      </c>
      <c r="AV12" s="177" t="str">
        <f>IF(AU12="","",IF(AU12=0,"Ab",IF(AU12&gt;80,"A",IF(AU12&gt;60,"B",IF(AU12&gt;44,"C",IF(AU12&gt;=33,"D",IF(AU12&lt;=32,"E","")))))))</f>
        <v>E</v>
      </c>
      <c r="AW12" s="177">
        <f>IF(A12&gt;0,SUM(PASHEET!AQ4,PASHEET!AY4),"")</f>
        <v>2</v>
      </c>
      <c r="AX12" s="177">
        <f>IF(A12&gt;0,SUM(MARKS!K4,MARKS!AQ4),"")</f>
        <v>0</v>
      </c>
      <c r="AY12" s="177">
        <f>IF(A12&gt;0,SUM(MARKS!S4,MARKS!AY4),"")</f>
        <v>0</v>
      </c>
      <c r="AZ12" s="177">
        <f>IF(A12&gt;0,SUM(MARKS!AA4,MARKS!BG4),"")</f>
        <v>0</v>
      </c>
      <c r="BA12" s="177">
        <f>IF(A12&gt;0,SUM(MARKS!AI4,MARKS!BO4),"")</f>
        <v>27</v>
      </c>
      <c r="BB12" s="178"/>
      <c r="BC12" s="177">
        <f>IF(A12&gt;0,SUM(AW12,AX12,AY12,AZ12,BA12,BB12),"")</f>
        <v>29</v>
      </c>
      <c r="BD12" s="177" t="str">
        <f>IF(BC12="","",IF(BC12=0,"Ab",IF(BC12&gt;80,"A",IF(BC12&gt;60,"B",IF(BC12&gt;44,"C",IF(BC12&gt;=33,"D",IF(BC12&lt;=32,"E","")))))))</f>
        <v>E</v>
      </c>
      <c r="BE12" s="177">
        <f>IF(A12&gt;0,SUM(N12,V12,AD12,AL12,AT12,BB12),"")</f>
        <v>0</v>
      </c>
      <c r="BF12" s="47">
        <f>IF(A12&gt;0,SUM(O12,W12,AE12,AM12,AU12,BC12,BE12),"")</f>
        <v>168</v>
      </c>
      <c r="BG12" s="70">
        <f>IFERROR(IF(A12&gt;0,BF12/$BF$11*100,""),"")</f>
        <v>28</v>
      </c>
      <c r="BH12" s="177" t="str">
        <f>IF(BG12="","",IF(BG12=0,"Ab",IF(BG12&gt;80,"A",IF(BG12&gt;60,"B",IF(BG12&gt;44,"C",IF(BG12&gt;=33,"D",IF(BG12&lt;=32,"E","")))))))</f>
        <v>E</v>
      </c>
      <c r="BI12" s="47">
        <f>IF(A12&gt;0,FLN!I4,"")</f>
        <v>2</v>
      </c>
      <c r="BJ12" s="47">
        <f>IF(A12&gt;0,FLN!J4,"")</f>
        <v>2</v>
      </c>
      <c r="BK12" s="47">
        <f>IF(A12&gt;0,FLN!K4,"")</f>
        <v>3</v>
      </c>
      <c r="BL12" s="47" t="str">
        <f>IF(BG12="","",IF(BG12="Ab","PROMOTED",IF(BM12=1,"FIRST",IF(BM12=2,"SECOND",IF(BM12=3,"THIRD",IF(AND(O12&lt;33),"PROMOTED",IF(AND(W12&lt;33),"PROMOTED",IF(AND(AE12&lt;33),"PROMOTED",IF(AND(AM12&lt;33),"PROMOTED",IF(AND(AU12&lt;33),"PROMOTED",IF(AND(BC12&lt;33),"PROMOTED",IF(AND(BG12&lt;33),"PROMOTED",IF(AND(BG12&gt;32.99),"PASSED")))))))))))))</f>
        <v>PROMOTED</v>
      </c>
      <c r="BM12" s="130">
        <f>IF(BF12="","",IFERROR(RANK(BF12,$BF$12:$BF$111,0)+COUNTIFS($BF$12:BF12,BF12)-1,0))</f>
        <v>8</v>
      </c>
      <c r="BN12" s="130">
        <f>IF(BF12="","",BF12)</f>
        <v>168</v>
      </c>
    </row>
    <row r="13" s="98" customFormat="1" ht="27" customHeight="1" spans="1:66">
      <c r="A13" s="47">
        <f>IF(A12=0,0,IF(A12&lt;ENTRY!$D$24,A12+1,0))</f>
        <v>2</v>
      </c>
      <c r="B13" s="47">
        <f>IF(A13&gt;0,STUDENT!F3,"")</f>
        <v>14733</v>
      </c>
      <c r="C13" s="176" t="str">
        <f>IF(A13&gt;0,UPPER(STUDENT!E3),"")</f>
        <v>NAVEEN</v>
      </c>
      <c r="D13" s="176" t="str">
        <f>IF(A13&gt;0,UPPER(STUDENT!H3),"")</f>
        <v>SANJAY</v>
      </c>
      <c r="E13" s="47" t="str">
        <f>IF(A13&gt;0,UPPER(STUDENT!BP3),"")</f>
        <v/>
      </c>
      <c r="F13" s="47" t="str">
        <f>IF(A13&gt;0,UPPER(STUDENT!BO3),"")</f>
        <v>FALSE</v>
      </c>
      <c r="G13" s="47" t="str">
        <f>IF(A13&gt;0,UPPER(STUDENT!Q3),"")</f>
        <v/>
      </c>
      <c r="H13" s="69">
        <f>IF(A13&gt;0,PASHEET!CI5/PASHEET!CJ5*100,"")</f>
        <v>69.5443645083933</v>
      </c>
      <c r="I13" s="177">
        <f>IF(A13&gt;0,SUM(PASHEET!AL5,PASHEET!AT5),"")</f>
        <v>1</v>
      </c>
      <c r="J13" s="177">
        <f>IF(A13&gt;0,SUM(MARKS!F5,MARKS!AL5),"")</f>
        <v>0</v>
      </c>
      <c r="K13" s="177">
        <f>IF(A13&gt;0,SUM(MARKS!N5,MARKS!AT5),"")</f>
        <v>0</v>
      </c>
      <c r="L13" s="177">
        <f>IF(A13&gt;0,SUM(MARKS!V5,MARKS!BB5),"")</f>
        <v>0</v>
      </c>
      <c r="M13" s="177">
        <f>IF(A13&gt;0,SUM(MARKS!AD5,MARKS!BJ5),"")</f>
        <v>27</v>
      </c>
      <c r="N13" s="178"/>
      <c r="O13" s="177">
        <f t="shared" ref="O13:O76" si="0">IF(A13&gt;0,SUM(I13,J13,K13,L13,M13,N13),"")</f>
        <v>28</v>
      </c>
      <c r="P13" s="177" t="str">
        <f t="shared" ref="P13:P76" si="1">IF(O13="","",IF(O13=0,"Ab",IF(O13&gt;80,"A",IF(O13&gt;60,"B",IF(O13&gt;44,"C",IF(O13&gt;=33,"D",IF(O13&lt;=32,"E","")))))))</f>
        <v>E</v>
      </c>
      <c r="Q13" s="177">
        <f>IF(A13&gt;0,SUM(PASHEET!AM5,PASHEET!AU5),"")</f>
        <v>1</v>
      </c>
      <c r="R13" s="177">
        <f>IF(A13&gt;0,SUM(MARKS!G5,MARKS!AM5),"")</f>
        <v>0</v>
      </c>
      <c r="S13" s="177">
        <f>IF(A13&gt;0,SUM(MARKS!O5,MARKS!AU5),"")</f>
        <v>0</v>
      </c>
      <c r="T13" s="177">
        <f>IF(A13&gt;0,SUM(MARKS!W5,MARKS!BC5),"")</f>
        <v>0</v>
      </c>
      <c r="U13" s="177">
        <f>IF(A13&gt;0,SUM(MARKS!AE5,MARKS!BK5),"")</f>
        <v>11</v>
      </c>
      <c r="V13" s="178"/>
      <c r="W13" s="177">
        <f t="shared" ref="W13:W76" si="2">IF(A13&gt;0,SUM(Q13,R13,S13,T13,U13,V13),"")</f>
        <v>12</v>
      </c>
      <c r="X13" s="177" t="str">
        <f t="shared" ref="X13:X76" si="3">IF(W13="","",IF(W13=0,"Ab",IF(W13&gt;80,"A",IF(W13&gt;60,"B",IF(W13&gt;44,"C",IF(W13&gt;=33,"D",IF(W13&lt;=32,"E","")))))))</f>
        <v>E</v>
      </c>
      <c r="Y13" s="177">
        <f>IF(A13&gt;0,SUM(PASHEET!AN5,PASHEET!AV5),"")</f>
        <v>1</v>
      </c>
      <c r="Z13" s="177">
        <f>IF(A13&gt;0,SUM(MARKS!H5,MARKS!AN5),"")</f>
        <v>0</v>
      </c>
      <c r="AA13" s="177">
        <f>IF(A13&gt;0,SUM(MARKS!P5,MARKS!AV5),"")</f>
        <v>0</v>
      </c>
      <c r="AB13" s="177">
        <f>IF(A13&gt;0,SUM(MARKS!X5,MARKS!BD5),"")</f>
        <v>0</v>
      </c>
      <c r="AC13" s="177">
        <f>IF(A13&gt;0,SUM(MARKS!AF5,MARKS!BL5),"")</f>
        <v>13</v>
      </c>
      <c r="AD13" s="178"/>
      <c r="AE13" s="177">
        <f t="shared" ref="AE13:AE76" si="4">IF(A13&gt;0,SUM(Y13,Z13,AA13,AB13,AC13,AD13),"")</f>
        <v>14</v>
      </c>
      <c r="AF13" s="177" t="str">
        <f t="shared" ref="AF13:AF76" si="5">IF(AE13="","",IF(AE13=0,"Ab",IF(AE13&gt;80,"A",IF(AE13&gt;60,"B",IF(AE13&gt;44,"C",IF(AE13&gt;=33,"D",IF(AE13&lt;=32,"E","")))))))</f>
        <v>E</v>
      </c>
      <c r="AG13" s="177">
        <f>IF(A13&gt;0,SUM(PASHEET!AO5,PASHEET!AW5),"")</f>
        <v>2</v>
      </c>
      <c r="AH13" s="177">
        <f>IF(A13&gt;0,SUM(MARKS!I5,MARKS!AO5),"")</f>
        <v>0</v>
      </c>
      <c r="AI13" s="177">
        <f>IF(A13&gt;0,SUM(MARKS!Q5,MARKS!AW5),"")</f>
        <v>0</v>
      </c>
      <c r="AJ13" s="177">
        <f>IF(A13&gt;0,SUM(MARKS!Y5,MARKS!BE5),"")</f>
        <v>0</v>
      </c>
      <c r="AK13" s="177">
        <f>IF(A13&gt;0,SUM(MARKS!AG5,MARKS!BM5),"")</f>
        <v>13</v>
      </c>
      <c r="AL13" s="178"/>
      <c r="AM13" s="177">
        <f t="shared" ref="AM13:AM76" si="6">IF(A13&gt;0,SUM(AG13,AH13,AI13,AJ13,AK13,AL13),"")</f>
        <v>15</v>
      </c>
      <c r="AN13" s="177" t="str">
        <f t="shared" ref="AN13:AN76" si="7">IF(AM13="","",IF(AM13=0,"Ab",IF(AM13&gt;80,"A",IF(AM13&gt;60,"B",IF(AM13&gt;44,"C",IF(AM13&gt;=33,"D",IF(AM13&lt;=32,"E","")))))))</f>
        <v>E</v>
      </c>
      <c r="AO13" s="177">
        <f>IF(A13&gt;0,SUM(PASHEET!AP5,PASHEET!AX5),"")</f>
        <v>0</v>
      </c>
      <c r="AP13" s="177">
        <f>IF(A13&gt;0,SUM(MARKS!J5,MARKS!AP5),"")</f>
        <v>0</v>
      </c>
      <c r="AQ13" s="177">
        <f>IF(A13&gt;0,SUM(MARKS!R5,MARKS!AX5),"")</f>
        <v>0</v>
      </c>
      <c r="AR13" s="177">
        <f>IF(A13&gt;0,SUM(MARKS!Z5,MARKS!BF5),"")</f>
        <v>0</v>
      </c>
      <c r="AS13" s="177">
        <f>IF(A13&gt;0,SUM(MARKS!AH5,MARKS!BN5),"")</f>
        <v>15</v>
      </c>
      <c r="AT13" s="178"/>
      <c r="AU13" s="177">
        <f t="shared" ref="AU13:AU76" si="8">IF(A13&gt;0,SUM(AO13,AP13,AQ13,AR13,AS13,AT13),"")</f>
        <v>15</v>
      </c>
      <c r="AV13" s="177" t="str">
        <f t="shared" ref="AV13:AV76" si="9">IF(AU13="","",IF(AU13=0,"Ab",IF(AU13&gt;80,"A",IF(AU13&gt;60,"B",IF(AU13&gt;44,"C",IF(AU13&gt;=33,"D",IF(AU13&lt;=32,"E","")))))))</f>
        <v>E</v>
      </c>
      <c r="AW13" s="177">
        <f>IF(A13&gt;0,SUM(PASHEET!AQ5,PASHEET!AY5),"")</f>
        <v>2</v>
      </c>
      <c r="AX13" s="177">
        <f>IF(A13&gt;0,SUM(MARKS!K5,MARKS!AQ5),"")</f>
        <v>0</v>
      </c>
      <c r="AY13" s="177">
        <f>IF(A13&gt;0,SUM(MARKS!S5,MARKS!AY5),"")</f>
        <v>0</v>
      </c>
      <c r="AZ13" s="177">
        <f>IF(A13&gt;0,SUM(MARKS!AA5,MARKS!BG5),"")</f>
        <v>0</v>
      </c>
      <c r="BA13" s="177">
        <f>IF(A13&gt;0,SUM(MARKS!AI5,MARKS!BO5),"")</f>
        <v>25</v>
      </c>
      <c r="BB13" s="178"/>
      <c r="BC13" s="177">
        <f t="shared" ref="BC13:BC76" si="10">IF(A13&gt;0,SUM(AW13,AX13,AY13,AZ13,BA13,BB13),"")</f>
        <v>27</v>
      </c>
      <c r="BD13" s="177" t="str">
        <f t="shared" ref="BD13:BD76" si="11">IF(BC13="","",IF(BC13=0,"Ab",IF(BC13&gt;80,"A",IF(BC13&gt;60,"B",IF(BC13&gt;44,"C",IF(BC13&gt;=33,"D",IF(BC13&lt;=32,"E","")))))))</f>
        <v>E</v>
      </c>
      <c r="BE13" s="177">
        <f t="shared" ref="BE13:BE76" si="12">IF(A13&gt;0,SUM(N13,V13,AD13,AL13,AT13,BB13),"")</f>
        <v>0</v>
      </c>
      <c r="BF13" s="47">
        <f t="shared" ref="BF13:BF76" si="13">IF(A13&gt;0,SUM(O13,W13,AE13,AM13,AU13,BC13,BE13),"")</f>
        <v>111</v>
      </c>
      <c r="BG13" s="70">
        <f t="shared" ref="BG13:BG76" si="14">IFERROR(IF(A13&gt;0,BF13/$BF$11*100,""),"")</f>
        <v>18.5</v>
      </c>
      <c r="BH13" s="177" t="str">
        <f t="shared" ref="BH13:BH76" si="15">IF(BG13="","",IF(BG13=0,"Ab",IF(BG13&gt;80,"A",IF(BG13&gt;60,"B",IF(BG13&gt;44,"C",IF(BG13&gt;=33,"D",IF(BG13&lt;=32,"E","")))))))</f>
        <v>E</v>
      </c>
      <c r="BI13" s="47">
        <f>IF(A13&gt;0,FLN!I5,"")</f>
        <v>3</v>
      </c>
      <c r="BJ13" s="47">
        <f>IF(A13&gt;0,FLN!J5,"")</f>
        <v>2</v>
      </c>
      <c r="BK13" s="47">
        <f>IF(A13&gt;0,FLN!K5,"")</f>
        <v>3</v>
      </c>
      <c r="BL13" s="47" t="str">
        <f t="shared" ref="BL13:BL76" si="16">IF(BG13="","",IF(BG13="Ab","PROMOTED",IF(BM13=1,"FIRST",IF(BM13=2,"SECOND",IF(BM13=3,"THIRD",IF(AND(O13&lt;33),"PROMOTED",IF(AND(W13&lt;33),"PROMOTED",IF(AND(AE13&lt;33),"PROMOTED",IF(AND(AM13&lt;33),"PROMOTED",IF(AND(AU13&lt;33),"PROMOTED",IF(AND(BC13&lt;33),"PROMOTED",IF(AND(BG13&lt;33),"PROMOTED",IF(AND(BG13&gt;32.99),"PASSED")))))))))))))</f>
        <v>PROMOTED</v>
      </c>
      <c r="BM13" s="130">
        <f>IF(BF13="","",IFERROR(RANK(BF13,$BF$12:$BF$111,0)+COUNTIFS($BF$12:BF13,BF13)-1,0))</f>
        <v>31</v>
      </c>
      <c r="BN13" s="130">
        <f t="shared" ref="BN13:BN76" si="17">IF(BF13="","",BF13)</f>
        <v>111</v>
      </c>
    </row>
    <row r="14" s="98" customFormat="1" ht="27" customHeight="1" spans="1:66">
      <c r="A14" s="47">
        <f>IF(A13=0,0,IF(A13&lt;ENTRY!$D$24,A13+1,0))</f>
        <v>3</v>
      </c>
      <c r="B14" s="47">
        <f>IF(A14&gt;0,STUDENT!F4,"")</f>
        <v>14757</v>
      </c>
      <c r="C14" s="176" t="str">
        <f>IF(A14&gt;0,UPPER(STUDENT!E4),"")</f>
        <v>AADITYA KUMAR</v>
      </c>
      <c r="D14" s="176" t="str">
        <f>IF(A14&gt;0,UPPER(STUDENT!H4),"")</f>
        <v>DHARMENDRA KUMAR</v>
      </c>
      <c r="E14" s="47" t="str">
        <f>IF(A14&gt;0,UPPER(STUDENT!BP4),"")</f>
        <v/>
      </c>
      <c r="F14" s="47" t="str">
        <f>IF(A14&gt;0,UPPER(STUDENT!BO4),"")</f>
        <v>FALSE</v>
      </c>
      <c r="G14" s="47" t="str">
        <f>IF(A14&gt;0,UPPER(STUDENT!Q4),"")</f>
        <v/>
      </c>
      <c r="H14" s="69">
        <f>IF(A14&gt;0,PASHEET!CI6/PASHEET!CJ6*100,"")</f>
        <v>43.1654676258993</v>
      </c>
      <c r="I14" s="177">
        <f>IF(A14&gt;0,SUM(PASHEET!AL6,PASHEET!AT6),"")</f>
        <v>2</v>
      </c>
      <c r="J14" s="177">
        <f>IF(A14&gt;0,SUM(MARKS!F6,MARKS!AL6),"")</f>
        <v>0</v>
      </c>
      <c r="K14" s="177">
        <f>IF(A14&gt;0,SUM(MARKS!N6,MARKS!AT6),"")</f>
        <v>0</v>
      </c>
      <c r="L14" s="177">
        <f>IF(A14&gt;0,SUM(MARKS!V6,MARKS!BB6),"")</f>
        <v>0</v>
      </c>
      <c r="M14" s="177">
        <f>IF(A14&gt;0,SUM(MARKS!AD6,MARKS!BJ6),"")</f>
        <v>46</v>
      </c>
      <c r="N14" s="178"/>
      <c r="O14" s="177">
        <f t="shared" si="0"/>
        <v>48</v>
      </c>
      <c r="P14" s="177" t="str">
        <f t="shared" si="1"/>
        <v>C</v>
      </c>
      <c r="Q14" s="177">
        <f>IF(A14&gt;0,SUM(PASHEET!AM6,PASHEET!AU6),"")</f>
        <v>1</v>
      </c>
      <c r="R14" s="177">
        <f>IF(A14&gt;0,SUM(MARKS!G6,MARKS!AM6),"")</f>
        <v>0</v>
      </c>
      <c r="S14" s="177">
        <f>IF(A14&gt;0,SUM(MARKS!O6,MARKS!AU6),"")</f>
        <v>0</v>
      </c>
      <c r="T14" s="177">
        <f>IF(A14&gt;0,SUM(MARKS!W6,MARKS!BC6),"")</f>
        <v>0</v>
      </c>
      <c r="U14" s="177">
        <f>IF(A14&gt;0,SUM(MARKS!AE6,MARKS!BK6),"")</f>
        <v>16</v>
      </c>
      <c r="V14" s="178"/>
      <c r="W14" s="177">
        <f t="shared" si="2"/>
        <v>17</v>
      </c>
      <c r="X14" s="177" t="str">
        <f t="shared" si="3"/>
        <v>E</v>
      </c>
      <c r="Y14" s="177">
        <f>IF(A14&gt;0,SUM(PASHEET!AN6,PASHEET!AV6),"")</f>
        <v>2</v>
      </c>
      <c r="Z14" s="177">
        <f>IF(A14&gt;0,SUM(MARKS!H6,MARKS!AN6),"")</f>
        <v>0</v>
      </c>
      <c r="AA14" s="177">
        <f>IF(A14&gt;0,SUM(MARKS!P6,MARKS!AV6),"")</f>
        <v>0</v>
      </c>
      <c r="AB14" s="177">
        <f>IF(A14&gt;0,SUM(MARKS!X6,MARKS!BD6),"")</f>
        <v>0</v>
      </c>
      <c r="AC14" s="177">
        <f>IF(A14&gt;0,SUM(MARKS!AF6,MARKS!BL6),"")</f>
        <v>12</v>
      </c>
      <c r="AD14" s="178"/>
      <c r="AE14" s="177">
        <f t="shared" si="4"/>
        <v>14</v>
      </c>
      <c r="AF14" s="177" t="str">
        <f t="shared" si="5"/>
        <v>E</v>
      </c>
      <c r="AG14" s="177">
        <f>IF(A14&gt;0,SUM(PASHEET!AO6,PASHEET!AW6),"")</f>
        <v>1</v>
      </c>
      <c r="AH14" s="177">
        <f>IF(A14&gt;0,SUM(MARKS!I6,MARKS!AO6),"")</f>
        <v>0</v>
      </c>
      <c r="AI14" s="177">
        <f>IF(A14&gt;0,SUM(MARKS!Q6,MARKS!AW6),"")</f>
        <v>0</v>
      </c>
      <c r="AJ14" s="177">
        <f>IF(A14&gt;0,SUM(MARKS!Y6,MARKS!BE6),"")</f>
        <v>0</v>
      </c>
      <c r="AK14" s="177">
        <f>IF(A14&gt;0,SUM(MARKS!AG6,MARKS!BM6),"")</f>
        <v>23</v>
      </c>
      <c r="AL14" s="178"/>
      <c r="AM14" s="177">
        <f t="shared" si="6"/>
        <v>24</v>
      </c>
      <c r="AN14" s="177" t="str">
        <f t="shared" si="7"/>
        <v>E</v>
      </c>
      <c r="AO14" s="177">
        <f>IF(A14&gt;0,SUM(PASHEET!AP6,PASHEET!AX6),"")</f>
        <v>0</v>
      </c>
      <c r="AP14" s="177">
        <f>IF(A14&gt;0,SUM(MARKS!J6,MARKS!AP6),"")</f>
        <v>0</v>
      </c>
      <c r="AQ14" s="177">
        <f>IF(A14&gt;0,SUM(MARKS!R6,MARKS!AX6),"")</f>
        <v>0</v>
      </c>
      <c r="AR14" s="177">
        <f>IF(A14&gt;0,SUM(MARKS!Z6,MARKS!BF6),"")</f>
        <v>0</v>
      </c>
      <c r="AS14" s="177">
        <f>IF(A14&gt;0,SUM(MARKS!AH6,MARKS!BN6),"")</f>
        <v>20</v>
      </c>
      <c r="AT14" s="178"/>
      <c r="AU14" s="177">
        <f t="shared" si="8"/>
        <v>20</v>
      </c>
      <c r="AV14" s="177" t="str">
        <f t="shared" si="9"/>
        <v>E</v>
      </c>
      <c r="AW14" s="177">
        <f>IF(A14&gt;0,SUM(PASHEET!AQ6,PASHEET!AY6),"")</f>
        <v>2</v>
      </c>
      <c r="AX14" s="177">
        <f>IF(A14&gt;0,SUM(MARKS!K6,MARKS!AQ6),"")</f>
        <v>0</v>
      </c>
      <c r="AY14" s="177">
        <f>IF(A14&gt;0,SUM(MARKS!S6,MARKS!AY6),"")</f>
        <v>0</v>
      </c>
      <c r="AZ14" s="177">
        <f>IF(A14&gt;0,SUM(MARKS!AA6,MARKS!BG6),"")</f>
        <v>0</v>
      </c>
      <c r="BA14" s="177">
        <f>IF(A14&gt;0,SUM(MARKS!AI6,MARKS!BO6),"")</f>
        <v>25</v>
      </c>
      <c r="BB14" s="178"/>
      <c r="BC14" s="177">
        <f t="shared" si="10"/>
        <v>27</v>
      </c>
      <c r="BD14" s="177" t="str">
        <f t="shared" si="11"/>
        <v>E</v>
      </c>
      <c r="BE14" s="177">
        <f t="shared" si="12"/>
        <v>0</v>
      </c>
      <c r="BF14" s="47">
        <f t="shared" si="13"/>
        <v>150</v>
      </c>
      <c r="BG14" s="70">
        <f t="shared" si="14"/>
        <v>25</v>
      </c>
      <c r="BH14" s="177" t="str">
        <f t="shared" si="15"/>
        <v>E</v>
      </c>
      <c r="BI14" s="47">
        <f>IF(A14&gt;0,FLN!I6,"")</f>
        <v>3</v>
      </c>
      <c r="BJ14" s="47">
        <f>IF(A14&gt;0,FLN!J6,"")</f>
        <v>3</v>
      </c>
      <c r="BK14" s="47">
        <f>IF(A14&gt;0,FLN!K6,"")</f>
        <v>4</v>
      </c>
      <c r="BL14" s="47" t="str">
        <f t="shared" si="16"/>
        <v>PROMOTED</v>
      </c>
      <c r="BM14" s="130">
        <f>IF(BF14="","",IFERROR(RANK(BF14,$BF$12:$BF$111,0)+COUNTIFS($BF$12:BF14,BF14)-1,0))</f>
        <v>14</v>
      </c>
      <c r="BN14" s="130">
        <f t="shared" si="17"/>
        <v>150</v>
      </c>
    </row>
    <row r="15" s="98" customFormat="1" ht="27" customHeight="1" spans="1:66">
      <c r="A15" s="47">
        <f>IF(A14=0,0,IF(A14&lt;ENTRY!$D$24,A14+1,0))</f>
        <v>4</v>
      </c>
      <c r="B15" s="47">
        <f>IF(A15&gt;0,STUDENT!F5,"")</f>
        <v>14778</v>
      </c>
      <c r="C15" s="176" t="str">
        <f>IF(A15&gt;0,UPPER(STUDENT!E5),"")</f>
        <v>PRINCE KUMAR RAY</v>
      </c>
      <c r="D15" s="176" t="str">
        <f>IF(A15&gt;0,UPPER(STUDENT!H5),"")</f>
        <v>RAMSHARAN RAY</v>
      </c>
      <c r="E15" s="47" t="str">
        <f>IF(A15&gt;0,UPPER(STUDENT!BP5),"")</f>
        <v/>
      </c>
      <c r="F15" s="47" t="str">
        <f>IF(A15&gt;0,UPPER(STUDENT!BO5),"")</f>
        <v>FALSE</v>
      </c>
      <c r="G15" s="47" t="str">
        <f>IF(A15&gt;0,UPPER(STUDENT!Q5),"")</f>
        <v/>
      </c>
      <c r="H15" s="69">
        <f>IF(A15&gt;0,PASHEET!CI7/PASHEET!CJ7*100,"")</f>
        <v>52.757793764988</v>
      </c>
      <c r="I15" s="177">
        <f>IF(A15&gt;0,SUM(PASHEET!AL7,PASHEET!AT7),"")</f>
        <v>2</v>
      </c>
      <c r="J15" s="177">
        <f>IF(A15&gt;0,SUM(MARKS!F7,MARKS!AL7),"")</f>
        <v>0</v>
      </c>
      <c r="K15" s="177">
        <f>IF(A15&gt;0,SUM(MARKS!N7,MARKS!AT7),"")</f>
        <v>0</v>
      </c>
      <c r="L15" s="177">
        <f>IF(A15&gt;0,SUM(MARKS!V7,MARKS!BB7),"")</f>
        <v>0</v>
      </c>
      <c r="M15" s="177">
        <f>IF(A15&gt;0,SUM(MARKS!AD7,MARKS!BJ7),"")</f>
        <v>25</v>
      </c>
      <c r="N15" s="178"/>
      <c r="O15" s="177">
        <f t="shared" si="0"/>
        <v>27</v>
      </c>
      <c r="P15" s="177" t="str">
        <f t="shared" si="1"/>
        <v>E</v>
      </c>
      <c r="Q15" s="177">
        <f>IF(A15&gt;0,SUM(PASHEET!AM7,PASHEET!AU7),"")</f>
        <v>1</v>
      </c>
      <c r="R15" s="177">
        <f>IF(A15&gt;0,SUM(MARKS!G7,MARKS!AM7),"")</f>
        <v>0</v>
      </c>
      <c r="S15" s="177">
        <f>IF(A15&gt;0,SUM(MARKS!O7,MARKS!AU7),"")</f>
        <v>0</v>
      </c>
      <c r="T15" s="177">
        <f>IF(A15&gt;0,SUM(MARKS!W7,MARKS!BC7),"")</f>
        <v>0</v>
      </c>
      <c r="U15" s="177">
        <f>IF(A15&gt;0,SUM(MARKS!AE7,MARKS!BK7),"")</f>
        <v>11</v>
      </c>
      <c r="V15" s="178"/>
      <c r="W15" s="177">
        <f t="shared" si="2"/>
        <v>12</v>
      </c>
      <c r="X15" s="177" t="str">
        <f t="shared" si="3"/>
        <v>E</v>
      </c>
      <c r="Y15" s="177">
        <f>IF(A15&gt;0,SUM(PASHEET!AN7,PASHEET!AV7),"")</f>
        <v>2</v>
      </c>
      <c r="Z15" s="177">
        <f>IF(A15&gt;0,SUM(MARKS!H7,MARKS!AN7),"")</f>
        <v>0</v>
      </c>
      <c r="AA15" s="177">
        <f>IF(A15&gt;0,SUM(MARKS!P7,MARKS!AV7),"")</f>
        <v>0</v>
      </c>
      <c r="AB15" s="177">
        <f>IF(A15&gt;0,SUM(MARKS!X7,MARKS!BD7),"")</f>
        <v>0</v>
      </c>
      <c r="AC15" s="177">
        <f>IF(A15&gt;0,SUM(MARKS!AF7,MARKS!BL7),"")</f>
        <v>15</v>
      </c>
      <c r="AD15" s="178"/>
      <c r="AE15" s="177">
        <f t="shared" si="4"/>
        <v>17</v>
      </c>
      <c r="AF15" s="177" t="str">
        <f t="shared" si="5"/>
        <v>E</v>
      </c>
      <c r="AG15" s="177">
        <f>IF(A15&gt;0,SUM(PASHEET!AO7,PASHEET!AW7),"")</f>
        <v>2</v>
      </c>
      <c r="AH15" s="177">
        <f>IF(A15&gt;0,SUM(MARKS!I7,MARKS!AO7),"")</f>
        <v>0</v>
      </c>
      <c r="AI15" s="177">
        <f>IF(A15&gt;0,SUM(MARKS!Q7,MARKS!AW7),"")</f>
        <v>0</v>
      </c>
      <c r="AJ15" s="177">
        <f>IF(A15&gt;0,SUM(MARKS!Y7,MARKS!BE7),"")</f>
        <v>0</v>
      </c>
      <c r="AK15" s="177">
        <f>IF(A15&gt;0,SUM(MARKS!AG7,MARKS!BM7),"")</f>
        <v>15</v>
      </c>
      <c r="AL15" s="178"/>
      <c r="AM15" s="177">
        <f t="shared" si="6"/>
        <v>17</v>
      </c>
      <c r="AN15" s="177" t="str">
        <f t="shared" si="7"/>
        <v>E</v>
      </c>
      <c r="AO15" s="177">
        <f>IF(A15&gt;0,SUM(PASHEET!AP7,PASHEET!AX7),"")</f>
        <v>0</v>
      </c>
      <c r="AP15" s="177">
        <f>IF(A15&gt;0,SUM(MARKS!J7,MARKS!AP7),"")</f>
        <v>0</v>
      </c>
      <c r="AQ15" s="177">
        <f>IF(A15&gt;0,SUM(MARKS!R7,MARKS!AX7),"")</f>
        <v>0</v>
      </c>
      <c r="AR15" s="177">
        <f>IF(A15&gt;0,SUM(MARKS!Z7,MARKS!BF7),"")</f>
        <v>0</v>
      </c>
      <c r="AS15" s="177">
        <f>IF(A15&gt;0,SUM(MARKS!AH7,MARKS!BN7),"")</f>
        <v>11</v>
      </c>
      <c r="AT15" s="178"/>
      <c r="AU15" s="177">
        <f t="shared" si="8"/>
        <v>11</v>
      </c>
      <c r="AV15" s="177" t="str">
        <f t="shared" si="9"/>
        <v>E</v>
      </c>
      <c r="AW15" s="177">
        <f>IF(A15&gt;0,SUM(PASHEET!AQ7,PASHEET!AY7),"")</f>
        <v>1</v>
      </c>
      <c r="AX15" s="177">
        <f>IF(A15&gt;0,SUM(MARKS!K7,MARKS!AQ7),"")</f>
        <v>0</v>
      </c>
      <c r="AY15" s="177">
        <f>IF(A15&gt;0,SUM(MARKS!S7,MARKS!AY7),"")</f>
        <v>0</v>
      </c>
      <c r="AZ15" s="177">
        <f>IF(A15&gt;0,SUM(MARKS!AA7,MARKS!BG7),"")</f>
        <v>0</v>
      </c>
      <c r="BA15" s="177">
        <f>IF(A15&gt;0,SUM(MARKS!AI7,MARKS!BO7),"")</f>
        <v>25</v>
      </c>
      <c r="BB15" s="178"/>
      <c r="BC15" s="177">
        <f t="shared" si="10"/>
        <v>26</v>
      </c>
      <c r="BD15" s="177" t="str">
        <f t="shared" si="11"/>
        <v>E</v>
      </c>
      <c r="BE15" s="177">
        <f t="shared" si="12"/>
        <v>0</v>
      </c>
      <c r="BF15" s="47">
        <f t="shared" si="13"/>
        <v>110</v>
      </c>
      <c r="BG15" s="70">
        <f t="shared" si="14"/>
        <v>18.3333333333333</v>
      </c>
      <c r="BH15" s="177" t="str">
        <f t="shared" si="15"/>
        <v>E</v>
      </c>
      <c r="BI15" s="47">
        <f>IF(A15&gt;0,FLN!I7,"")</f>
        <v>3</v>
      </c>
      <c r="BJ15" s="47">
        <f>IF(A15&gt;0,FLN!J7,"")</f>
        <v>2</v>
      </c>
      <c r="BK15" s="47">
        <f>IF(A15&gt;0,FLN!K7,"")</f>
        <v>3</v>
      </c>
      <c r="BL15" s="47" t="str">
        <f t="shared" si="16"/>
        <v>PROMOTED</v>
      </c>
      <c r="BM15" s="130">
        <f>IF(BF15="","",IFERROR(RANK(BF15,$BF$12:$BF$111,0)+COUNTIFS($BF$12:BF15,BF15)-1,0))</f>
        <v>32</v>
      </c>
      <c r="BN15" s="130">
        <f t="shared" si="17"/>
        <v>110</v>
      </c>
    </row>
    <row r="16" s="98" customFormat="1" ht="27" customHeight="1" spans="1:66">
      <c r="A16" s="47">
        <f>IF(A15=0,0,IF(A15&lt;ENTRY!$D$24,A15+1,0))</f>
        <v>5</v>
      </c>
      <c r="B16" s="47">
        <f>IF(A16&gt;0,STUDENT!F6,"")</f>
        <v>14785</v>
      </c>
      <c r="C16" s="176" t="str">
        <f>IF(A16&gt;0,UPPER(STUDENT!E6),"")</f>
        <v>KIRSHNA</v>
      </c>
      <c r="D16" s="176" t="str">
        <f>IF(A16&gt;0,UPPER(STUDENT!H6),"")</f>
        <v>VISHNU KASHYAP</v>
      </c>
      <c r="E16" s="47" t="str">
        <f>IF(A16&gt;0,UPPER(STUDENT!BP6),"")</f>
        <v/>
      </c>
      <c r="F16" s="47" t="str">
        <f>IF(A16&gt;0,UPPER(STUDENT!BO6),"")</f>
        <v>FALSE</v>
      </c>
      <c r="G16" s="47" t="str">
        <f>IF(A16&gt;0,UPPER(STUDENT!Q6),"")</f>
        <v/>
      </c>
      <c r="H16" s="69">
        <f>IF(A16&gt;0,PASHEET!CI8/PASHEET!CJ8*100,"")</f>
        <v>70</v>
      </c>
      <c r="I16" s="177">
        <f>IF(A16&gt;0,SUM(PASHEET!AL8,PASHEET!AT8),"")</f>
        <v>2</v>
      </c>
      <c r="J16" s="177">
        <f>IF(A16&gt;0,SUM(MARKS!F8,MARKS!AL8),"")</f>
        <v>0</v>
      </c>
      <c r="K16" s="177">
        <f>IF(A16&gt;0,SUM(MARKS!N8,MARKS!AT8),"")</f>
        <v>0</v>
      </c>
      <c r="L16" s="177">
        <f>IF(A16&gt;0,SUM(MARKS!V8,MARKS!BB8),"")</f>
        <v>0</v>
      </c>
      <c r="M16" s="177">
        <f>IF(A16&gt;0,SUM(MARKS!AD8,MARKS!BJ8),"")</f>
        <v>35</v>
      </c>
      <c r="N16" s="178"/>
      <c r="O16" s="177">
        <f t="shared" si="0"/>
        <v>37</v>
      </c>
      <c r="P16" s="177" t="str">
        <f t="shared" si="1"/>
        <v>D</v>
      </c>
      <c r="Q16" s="177">
        <f>IF(A16&gt;0,SUM(PASHEET!AM8,PASHEET!AU8),"")</f>
        <v>1</v>
      </c>
      <c r="R16" s="177">
        <f>IF(A16&gt;0,SUM(MARKS!G8,MARKS!AM8),"")</f>
        <v>0</v>
      </c>
      <c r="S16" s="177">
        <f>IF(A16&gt;0,SUM(MARKS!O8,MARKS!AU8),"")</f>
        <v>0</v>
      </c>
      <c r="T16" s="177">
        <f>IF(A16&gt;0,SUM(MARKS!W8,MARKS!BC8),"")</f>
        <v>0</v>
      </c>
      <c r="U16" s="177">
        <f>IF(A16&gt;0,SUM(MARKS!AE8,MARKS!BK8),"")</f>
        <v>19</v>
      </c>
      <c r="V16" s="178"/>
      <c r="W16" s="177">
        <f t="shared" si="2"/>
        <v>20</v>
      </c>
      <c r="X16" s="177" t="str">
        <f t="shared" si="3"/>
        <v>E</v>
      </c>
      <c r="Y16" s="177">
        <f>IF(A16&gt;0,SUM(PASHEET!AN8,PASHEET!AV8),"")</f>
        <v>1</v>
      </c>
      <c r="Z16" s="177">
        <f>IF(A16&gt;0,SUM(MARKS!H8,MARKS!AN8),"")</f>
        <v>0</v>
      </c>
      <c r="AA16" s="177">
        <f>IF(A16&gt;0,SUM(MARKS!P8,MARKS!AV8),"")</f>
        <v>0</v>
      </c>
      <c r="AB16" s="177">
        <f>IF(A16&gt;0,SUM(MARKS!X8,MARKS!BD8),"")</f>
        <v>0</v>
      </c>
      <c r="AC16" s="177">
        <f>IF(A16&gt;0,SUM(MARKS!AF8,MARKS!BL8),"")</f>
        <v>20</v>
      </c>
      <c r="AD16" s="178"/>
      <c r="AE16" s="177">
        <f t="shared" si="4"/>
        <v>21</v>
      </c>
      <c r="AF16" s="177" t="str">
        <f t="shared" si="5"/>
        <v>E</v>
      </c>
      <c r="AG16" s="177">
        <f>IF(A16&gt;0,SUM(PASHEET!AO8,PASHEET!AW8),"")</f>
        <v>2</v>
      </c>
      <c r="AH16" s="177">
        <f>IF(A16&gt;0,SUM(MARKS!I8,MARKS!AO8),"")</f>
        <v>0</v>
      </c>
      <c r="AI16" s="177">
        <f>IF(A16&gt;0,SUM(MARKS!Q8,MARKS!AW8),"")</f>
        <v>0</v>
      </c>
      <c r="AJ16" s="177">
        <f>IF(A16&gt;0,SUM(MARKS!Y8,MARKS!BE8),"")</f>
        <v>0</v>
      </c>
      <c r="AK16" s="177">
        <f>IF(A16&gt;0,SUM(MARKS!AG8,MARKS!BM8),"")</f>
        <v>15</v>
      </c>
      <c r="AL16" s="178"/>
      <c r="AM16" s="177">
        <f t="shared" si="6"/>
        <v>17</v>
      </c>
      <c r="AN16" s="177" t="str">
        <f t="shared" si="7"/>
        <v>E</v>
      </c>
      <c r="AO16" s="177">
        <f>IF(A16&gt;0,SUM(PASHEET!AP8,PASHEET!AX8),"")</f>
        <v>0</v>
      </c>
      <c r="AP16" s="177">
        <f>IF(A16&gt;0,SUM(MARKS!J8,MARKS!AP8),"")</f>
        <v>0</v>
      </c>
      <c r="AQ16" s="177">
        <f>IF(A16&gt;0,SUM(MARKS!R8,MARKS!AX8),"")</f>
        <v>0</v>
      </c>
      <c r="AR16" s="177">
        <f>IF(A16&gt;0,SUM(MARKS!Z8,MARKS!BF8),"")</f>
        <v>0</v>
      </c>
      <c r="AS16" s="177">
        <f>IF(A16&gt;0,SUM(MARKS!AH8,MARKS!BN8),"")</f>
        <v>18</v>
      </c>
      <c r="AT16" s="178"/>
      <c r="AU16" s="177">
        <f t="shared" si="8"/>
        <v>18</v>
      </c>
      <c r="AV16" s="177" t="str">
        <f t="shared" si="9"/>
        <v>E</v>
      </c>
      <c r="AW16" s="177">
        <f>IF(A16&gt;0,SUM(PASHEET!AQ8,PASHEET!AY8),"")</f>
        <v>2</v>
      </c>
      <c r="AX16" s="177">
        <f>IF(A16&gt;0,SUM(MARKS!K8,MARKS!AQ8),"")</f>
        <v>0</v>
      </c>
      <c r="AY16" s="177">
        <f>IF(A16&gt;0,SUM(MARKS!S8,MARKS!AY8),"")</f>
        <v>0</v>
      </c>
      <c r="AZ16" s="177">
        <f>IF(A16&gt;0,SUM(MARKS!AA8,MARKS!BG8),"")</f>
        <v>0</v>
      </c>
      <c r="BA16" s="177">
        <f>IF(A16&gt;0,SUM(MARKS!AI8,MARKS!BO8),"")</f>
        <v>28</v>
      </c>
      <c r="BB16" s="178"/>
      <c r="BC16" s="177">
        <f t="shared" si="10"/>
        <v>30</v>
      </c>
      <c r="BD16" s="177" t="str">
        <f t="shared" si="11"/>
        <v>E</v>
      </c>
      <c r="BE16" s="177">
        <f t="shared" si="12"/>
        <v>0</v>
      </c>
      <c r="BF16" s="47">
        <f t="shared" si="13"/>
        <v>143</v>
      </c>
      <c r="BG16" s="70">
        <f t="shared" si="14"/>
        <v>23.8333333333333</v>
      </c>
      <c r="BH16" s="177" t="str">
        <f t="shared" si="15"/>
        <v>E</v>
      </c>
      <c r="BI16" s="47">
        <f>IF(A16&gt;0,FLN!I8,"")</f>
        <v>2</v>
      </c>
      <c r="BJ16" s="47">
        <f>IF(A16&gt;0,FLN!J8,"")</f>
        <v>2</v>
      </c>
      <c r="BK16" s="47">
        <f>IF(A16&gt;0,FLN!K8,"")</f>
        <v>3</v>
      </c>
      <c r="BL16" s="47" t="str">
        <f t="shared" si="16"/>
        <v>PROMOTED</v>
      </c>
      <c r="BM16" s="130">
        <f>IF(BF16="","",IFERROR(RANK(BF16,$BF$12:$BF$111,0)+COUNTIFS($BF$12:BF16,BF16)-1,0))</f>
        <v>16</v>
      </c>
      <c r="BN16" s="130">
        <f t="shared" si="17"/>
        <v>143</v>
      </c>
    </row>
    <row r="17" s="98" customFormat="1" ht="27" customHeight="1" spans="1:66">
      <c r="A17" s="47">
        <f>IF(A16=0,0,IF(A16&lt;ENTRY!$D$24,A16+1,0))</f>
        <v>6</v>
      </c>
      <c r="B17" s="47">
        <f>IF(A17&gt;0,STUDENT!F7,"")</f>
        <v>14780</v>
      </c>
      <c r="C17" s="176" t="str">
        <f>IF(A17&gt;0,UPPER(STUDENT!E7),"")</f>
        <v>MD SOPHIYAN ALAM</v>
      </c>
      <c r="D17" s="176" t="str">
        <f>IF(A17&gt;0,UPPER(STUDENT!H7),"")</f>
        <v>MD TABREJ ALAM</v>
      </c>
      <c r="E17" s="47" t="str">
        <f>IF(A17&gt;0,UPPER(STUDENT!BP7),"")</f>
        <v/>
      </c>
      <c r="F17" s="47" t="str">
        <f>IF(A17&gt;0,UPPER(STUDENT!BO7),"")</f>
        <v>FALSE</v>
      </c>
      <c r="G17" s="47" t="str">
        <f>IF(A17&gt;0,UPPER(STUDENT!Q7),"")</f>
        <v/>
      </c>
      <c r="H17" s="69">
        <f>IF(A17&gt;0,PASHEET!CI9/PASHEET!CJ9*100,"")</f>
        <v>89.4736842105263</v>
      </c>
      <c r="I17" s="177">
        <f>IF(A17&gt;0,SUM(PASHEET!AL9,PASHEET!AT9),"")</f>
        <v>2</v>
      </c>
      <c r="J17" s="177">
        <f>IF(A17&gt;0,SUM(MARKS!F9,MARKS!AL9),"")</f>
        <v>0</v>
      </c>
      <c r="K17" s="177">
        <f>IF(A17&gt;0,SUM(MARKS!N9,MARKS!AT9),"")</f>
        <v>0</v>
      </c>
      <c r="L17" s="177">
        <f>IF(A17&gt;0,SUM(MARKS!V9,MARKS!BB9),"")</f>
        <v>0</v>
      </c>
      <c r="M17" s="177">
        <f>IF(A17&gt;0,SUM(MARKS!AD9,MARKS!BJ9),"")</f>
        <v>30</v>
      </c>
      <c r="N17" s="178"/>
      <c r="O17" s="177">
        <f t="shared" si="0"/>
        <v>32</v>
      </c>
      <c r="P17" s="177" t="str">
        <f t="shared" si="1"/>
        <v>E</v>
      </c>
      <c r="Q17" s="177">
        <f>IF(A17&gt;0,SUM(PASHEET!AM9,PASHEET!AU9),"")</f>
        <v>2</v>
      </c>
      <c r="R17" s="177">
        <f>IF(A17&gt;0,SUM(MARKS!G9,MARKS!AM9),"")</f>
        <v>0</v>
      </c>
      <c r="S17" s="177">
        <f>IF(A17&gt;0,SUM(MARKS!O9,MARKS!AU9),"")</f>
        <v>0</v>
      </c>
      <c r="T17" s="177">
        <f>IF(A17&gt;0,SUM(MARKS!W9,MARKS!BC9),"")</f>
        <v>0</v>
      </c>
      <c r="U17" s="177">
        <f>IF(A17&gt;0,SUM(MARKS!AE9,MARKS!BK9),"")</f>
        <v>16</v>
      </c>
      <c r="V17" s="178"/>
      <c r="W17" s="177">
        <f t="shared" si="2"/>
        <v>18</v>
      </c>
      <c r="X17" s="177" t="str">
        <f t="shared" si="3"/>
        <v>E</v>
      </c>
      <c r="Y17" s="177">
        <f>IF(A17&gt;0,SUM(PASHEET!AN9,PASHEET!AV9),"")</f>
        <v>2</v>
      </c>
      <c r="Z17" s="177">
        <f>IF(A17&gt;0,SUM(MARKS!H9,MARKS!AN9),"")</f>
        <v>0</v>
      </c>
      <c r="AA17" s="177">
        <f>IF(A17&gt;0,SUM(MARKS!P9,MARKS!AV9),"")</f>
        <v>0</v>
      </c>
      <c r="AB17" s="177">
        <f>IF(A17&gt;0,SUM(MARKS!X9,MARKS!BD9),"")</f>
        <v>0</v>
      </c>
      <c r="AC17" s="177">
        <f>IF(A17&gt;0,SUM(MARKS!AF9,MARKS!BL9),"")</f>
        <v>12</v>
      </c>
      <c r="AD17" s="178"/>
      <c r="AE17" s="177">
        <f t="shared" si="4"/>
        <v>14</v>
      </c>
      <c r="AF17" s="177" t="str">
        <f t="shared" si="5"/>
        <v>E</v>
      </c>
      <c r="AG17" s="177">
        <f>IF(A17&gt;0,SUM(PASHEET!AO9,PASHEET!AW9),"")</f>
        <v>2</v>
      </c>
      <c r="AH17" s="177">
        <f>IF(A17&gt;0,SUM(MARKS!I9,MARKS!AO9),"")</f>
        <v>0</v>
      </c>
      <c r="AI17" s="177">
        <f>IF(A17&gt;0,SUM(MARKS!Q9,MARKS!AW9),"")</f>
        <v>0</v>
      </c>
      <c r="AJ17" s="177">
        <f>IF(A17&gt;0,SUM(MARKS!Y9,MARKS!BE9),"")</f>
        <v>0</v>
      </c>
      <c r="AK17" s="177">
        <f>IF(A17&gt;0,SUM(MARKS!AG9,MARKS!BM9),"")</f>
        <v>13</v>
      </c>
      <c r="AL17" s="178"/>
      <c r="AM17" s="177">
        <f t="shared" si="6"/>
        <v>15</v>
      </c>
      <c r="AN17" s="177" t="str">
        <f t="shared" si="7"/>
        <v>E</v>
      </c>
      <c r="AO17" s="177">
        <f>IF(A17&gt;0,SUM(PASHEET!AP9,PASHEET!AX9),"")</f>
        <v>0</v>
      </c>
      <c r="AP17" s="177">
        <f>IF(A17&gt;0,SUM(MARKS!J9,MARKS!AP9),"")</f>
        <v>0</v>
      </c>
      <c r="AQ17" s="177">
        <f>IF(A17&gt;0,SUM(MARKS!R9,MARKS!AX9),"")</f>
        <v>0</v>
      </c>
      <c r="AR17" s="177">
        <f>IF(A17&gt;0,SUM(MARKS!Z9,MARKS!BF9),"")</f>
        <v>0</v>
      </c>
      <c r="AS17" s="177">
        <f>IF(A17&gt;0,SUM(MARKS!AH9,MARKS!BN9),"")</f>
        <v>15</v>
      </c>
      <c r="AT17" s="178"/>
      <c r="AU17" s="177">
        <f t="shared" si="8"/>
        <v>15</v>
      </c>
      <c r="AV17" s="177" t="str">
        <f t="shared" si="9"/>
        <v>E</v>
      </c>
      <c r="AW17" s="177">
        <f>IF(A17&gt;0,SUM(PASHEET!AQ9,PASHEET!AY9),"")</f>
        <v>2</v>
      </c>
      <c r="AX17" s="177">
        <f>IF(A17&gt;0,SUM(MARKS!K9,MARKS!AQ9),"")</f>
        <v>0</v>
      </c>
      <c r="AY17" s="177">
        <f>IF(A17&gt;0,SUM(MARKS!S9,MARKS!AY9),"")</f>
        <v>0</v>
      </c>
      <c r="AZ17" s="177">
        <f>IF(A17&gt;0,SUM(MARKS!AA9,MARKS!BG9),"")</f>
        <v>0</v>
      </c>
      <c r="BA17" s="177">
        <f>IF(A17&gt;0,SUM(MARKS!AI9,MARKS!BO9),"")</f>
        <v>16</v>
      </c>
      <c r="BB17" s="178"/>
      <c r="BC17" s="177">
        <f t="shared" si="10"/>
        <v>18</v>
      </c>
      <c r="BD17" s="177" t="str">
        <f t="shared" si="11"/>
        <v>E</v>
      </c>
      <c r="BE17" s="177">
        <f t="shared" si="12"/>
        <v>0</v>
      </c>
      <c r="BF17" s="47">
        <f t="shared" si="13"/>
        <v>112</v>
      </c>
      <c r="BG17" s="70">
        <f t="shared" si="14"/>
        <v>18.6666666666667</v>
      </c>
      <c r="BH17" s="177" t="str">
        <f t="shared" si="15"/>
        <v>E</v>
      </c>
      <c r="BI17" s="47">
        <f>IF(A17&gt;0,FLN!I9,"")</f>
        <v>4</v>
      </c>
      <c r="BJ17" s="47">
        <f>IF(A17&gt;0,FLN!J9,"")</f>
        <v>3</v>
      </c>
      <c r="BK17" s="47">
        <f>IF(A17&gt;0,FLN!K9,"")</f>
        <v>4</v>
      </c>
      <c r="BL17" s="47" t="str">
        <f t="shared" si="16"/>
        <v>PROMOTED</v>
      </c>
      <c r="BM17" s="130">
        <f>IF(BF17="","",IFERROR(RANK(BF17,$BF$12:$BF$111,0)+COUNTIFS($BF$12:BF17,BF17)-1,0))</f>
        <v>29</v>
      </c>
      <c r="BN17" s="130">
        <f t="shared" si="17"/>
        <v>112</v>
      </c>
    </row>
    <row r="18" s="98" customFormat="1" ht="27" customHeight="1" spans="1:66">
      <c r="A18" s="47">
        <f>IF(A17=0,0,IF(A17&lt;ENTRY!$D$24,A17+1,0))</f>
        <v>7</v>
      </c>
      <c r="B18" s="47">
        <f>IF(A18&gt;0,STUDENT!F8,"")</f>
        <v>14773</v>
      </c>
      <c r="C18" s="176" t="str">
        <f>IF(A18&gt;0,UPPER(STUDENT!E8),"")</f>
        <v>MD SAUBAN</v>
      </c>
      <c r="D18" s="176" t="str">
        <f>IF(A18&gt;0,UPPER(STUDENT!H8),"")</f>
        <v>MD IRSHAD</v>
      </c>
      <c r="E18" s="47" t="str">
        <f>IF(A18&gt;0,UPPER(STUDENT!BP8),"")</f>
        <v/>
      </c>
      <c r="F18" s="47" t="str">
        <f>IF(A18&gt;0,UPPER(STUDENT!BO8),"")</f>
        <v>FALSE</v>
      </c>
      <c r="G18" s="47" t="str">
        <f>IF(A18&gt;0,UPPER(STUDENT!Q8),"")</f>
        <v/>
      </c>
      <c r="H18" s="69" t="e">
        <f>IF(A18&gt;0,PASHEET!CI10/PASHEET!CJ10*100,"")</f>
        <v>#DIV/0!</v>
      </c>
      <c r="I18" s="177">
        <f>IF(A18&gt;0,SUM(PASHEET!AL10,PASHEET!AT10),"")</f>
        <v>2</v>
      </c>
      <c r="J18" s="177">
        <f>IF(A18&gt;0,SUM(MARKS!F10,MARKS!AL10),"")</f>
        <v>0</v>
      </c>
      <c r="K18" s="177">
        <f>IF(A18&gt;0,SUM(MARKS!N10,MARKS!AT10),"")</f>
        <v>0</v>
      </c>
      <c r="L18" s="177">
        <f>IF(A18&gt;0,SUM(MARKS!V10,MARKS!BB10),"")</f>
        <v>0</v>
      </c>
      <c r="M18" s="177">
        <f>IF(A18&gt;0,SUM(MARKS!AD10,MARKS!BJ10),"")</f>
        <v>25</v>
      </c>
      <c r="N18" s="178"/>
      <c r="O18" s="177">
        <f t="shared" si="0"/>
        <v>27</v>
      </c>
      <c r="P18" s="177" t="str">
        <f t="shared" si="1"/>
        <v>E</v>
      </c>
      <c r="Q18" s="177">
        <f>IF(A18&gt;0,SUM(PASHEET!AM10,PASHEET!AU10),"")</f>
        <v>1</v>
      </c>
      <c r="R18" s="177">
        <f>IF(A18&gt;0,SUM(MARKS!G10,MARKS!AM10),"")</f>
        <v>0</v>
      </c>
      <c r="S18" s="177">
        <f>IF(A18&gt;0,SUM(MARKS!O10,MARKS!AU10),"")</f>
        <v>0</v>
      </c>
      <c r="T18" s="177">
        <f>IF(A18&gt;0,SUM(MARKS!W10,MARKS!BC10),"")</f>
        <v>0</v>
      </c>
      <c r="U18" s="177">
        <f>IF(A18&gt;0,SUM(MARKS!AE10,MARKS!BK10),"")</f>
        <v>11</v>
      </c>
      <c r="V18" s="178"/>
      <c r="W18" s="177">
        <f t="shared" si="2"/>
        <v>12</v>
      </c>
      <c r="X18" s="177" t="str">
        <f t="shared" si="3"/>
        <v>E</v>
      </c>
      <c r="Y18" s="177">
        <f>IF(A18&gt;0,SUM(PASHEET!AN10,PASHEET!AV10),"")</f>
        <v>2</v>
      </c>
      <c r="Z18" s="177">
        <f>IF(A18&gt;0,SUM(MARKS!H10,MARKS!AN10),"")</f>
        <v>0</v>
      </c>
      <c r="AA18" s="177">
        <f>IF(A18&gt;0,SUM(MARKS!P10,MARKS!AV10),"")</f>
        <v>0</v>
      </c>
      <c r="AB18" s="177">
        <f>IF(A18&gt;0,SUM(MARKS!X10,MARKS!BD10),"")</f>
        <v>0</v>
      </c>
      <c r="AC18" s="177">
        <f>IF(A18&gt;0,SUM(MARKS!AF10,MARKS!BL10),"")</f>
        <v>11</v>
      </c>
      <c r="AD18" s="178"/>
      <c r="AE18" s="177">
        <f t="shared" si="4"/>
        <v>13</v>
      </c>
      <c r="AF18" s="177" t="str">
        <f t="shared" si="5"/>
        <v>E</v>
      </c>
      <c r="AG18" s="177">
        <f>IF(A18&gt;0,SUM(PASHEET!AO10,PASHEET!AW10),"")</f>
        <v>2</v>
      </c>
      <c r="AH18" s="177">
        <f>IF(A18&gt;0,SUM(MARKS!I10,MARKS!AO10),"")</f>
        <v>0</v>
      </c>
      <c r="AI18" s="177">
        <f>IF(A18&gt;0,SUM(MARKS!Q10,MARKS!AW10),"")</f>
        <v>0</v>
      </c>
      <c r="AJ18" s="177">
        <f>IF(A18&gt;0,SUM(MARKS!Y10,MARKS!BE10),"")</f>
        <v>0</v>
      </c>
      <c r="AK18" s="177">
        <f>IF(A18&gt;0,SUM(MARKS!AG10,MARKS!BM10),"")</f>
        <v>13</v>
      </c>
      <c r="AL18" s="178"/>
      <c r="AM18" s="177">
        <f t="shared" si="6"/>
        <v>15</v>
      </c>
      <c r="AN18" s="177" t="str">
        <f t="shared" si="7"/>
        <v>E</v>
      </c>
      <c r="AO18" s="177">
        <f>IF(A18&gt;0,SUM(PASHEET!AP10,PASHEET!AX10),"")</f>
        <v>0</v>
      </c>
      <c r="AP18" s="177">
        <f>IF(A18&gt;0,SUM(MARKS!J10,MARKS!AP10),"")</f>
        <v>0</v>
      </c>
      <c r="AQ18" s="177">
        <f>IF(A18&gt;0,SUM(MARKS!R10,MARKS!AX10),"")</f>
        <v>0</v>
      </c>
      <c r="AR18" s="177">
        <f>IF(A18&gt;0,SUM(MARKS!Z10,MARKS!BF10),"")</f>
        <v>0</v>
      </c>
      <c r="AS18" s="177">
        <f>IF(A18&gt;0,SUM(MARKS!AH10,MARKS!BN10),"")</f>
        <v>15</v>
      </c>
      <c r="AT18" s="178"/>
      <c r="AU18" s="177">
        <f t="shared" si="8"/>
        <v>15</v>
      </c>
      <c r="AV18" s="177" t="str">
        <f t="shared" si="9"/>
        <v>E</v>
      </c>
      <c r="AW18" s="177">
        <f>IF(A18&gt;0,SUM(PASHEET!AQ10,PASHEET!AY10),"")</f>
        <v>2</v>
      </c>
      <c r="AX18" s="177">
        <f>IF(A18&gt;0,SUM(MARKS!K10,MARKS!AQ10),"")</f>
        <v>0</v>
      </c>
      <c r="AY18" s="177">
        <f>IF(A18&gt;0,SUM(MARKS!S10,MARKS!AY10),"")</f>
        <v>0</v>
      </c>
      <c r="AZ18" s="177">
        <f>IF(A18&gt;0,SUM(MARKS!AA10,MARKS!BG10),"")</f>
        <v>0</v>
      </c>
      <c r="BA18" s="177">
        <f>IF(A18&gt;0,SUM(MARKS!AI10,MARKS!BO10),"")</f>
        <v>20</v>
      </c>
      <c r="BB18" s="178"/>
      <c r="BC18" s="177">
        <f t="shared" si="10"/>
        <v>22</v>
      </c>
      <c r="BD18" s="177" t="str">
        <f t="shared" si="11"/>
        <v>E</v>
      </c>
      <c r="BE18" s="177">
        <f t="shared" si="12"/>
        <v>0</v>
      </c>
      <c r="BF18" s="47">
        <f t="shared" si="13"/>
        <v>104</v>
      </c>
      <c r="BG18" s="70">
        <f t="shared" si="14"/>
        <v>17.3333333333333</v>
      </c>
      <c r="BH18" s="177" t="str">
        <f t="shared" si="15"/>
        <v>E</v>
      </c>
      <c r="BI18" s="47">
        <f>IF(A18&gt;0,FLN!I10,"")</f>
        <v>4</v>
      </c>
      <c r="BJ18" s="47">
        <f>IF(A18&gt;0,FLN!J10,"")</f>
        <v>3</v>
      </c>
      <c r="BK18" s="47">
        <f>IF(A18&gt;0,FLN!K10,"")</f>
        <v>4</v>
      </c>
      <c r="BL18" s="47" t="str">
        <f t="shared" si="16"/>
        <v>PROMOTED</v>
      </c>
      <c r="BM18" s="130">
        <f>IF(BF18="","",IFERROR(RANK(BF18,$BF$12:$BF$111,0)+COUNTIFS($BF$12:BF18,BF18)-1,0))</f>
        <v>37</v>
      </c>
      <c r="BN18" s="130">
        <f t="shared" si="17"/>
        <v>104</v>
      </c>
    </row>
    <row r="19" s="98" customFormat="1" ht="27" customHeight="1" spans="1:66">
      <c r="A19" s="47">
        <f>IF(A18=0,0,IF(A18&lt;ENTRY!$D$24,A18+1,0))</f>
        <v>8</v>
      </c>
      <c r="B19" s="47">
        <f>IF(A19&gt;0,STUDENT!F9,"")</f>
        <v>14769</v>
      </c>
      <c r="C19" s="176" t="str">
        <f>IF(A19&gt;0,UPPER(STUDENT!E9),"")</f>
        <v>DEEPANSHU</v>
      </c>
      <c r="D19" s="176" t="str">
        <f>IF(A19&gt;0,UPPER(STUDENT!H9),"")</f>
        <v>AKHILESH KUMAR</v>
      </c>
      <c r="E19" s="47" t="str">
        <f>IF(A19&gt;0,UPPER(STUDENT!BP9),"")</f>
        <v/>
      </c>
      <c r="F19" s="47" t="str">
        <f>IF(A19&gt;0,UPPER(STUDENT!BO9),"")</f>
        <v>FALSE</v>
      </c>
      <c r="G19" s="47" t="str">
        <f>IF(A19&gt;0,UPPER(STUDENT!Q9),"")</f>
        <v/>
      </c>
      <c r="H19" s="69" t="e">
        <f>IF(A19&gt;0,PASHEET!CI11/PASHEET!CJ11*100,"")</f>
        <v>#DIV/0!</v>
      </c>
      <c r="I19" s="177">
        <f>IF(A19&gt;0,SUM(PASHEET!AL11,PASHEET!AT11),"")</f>
        <v>2</v>
      </c>
      <c r="J19" s="177">
        <f>IF(A19&gt;0,SUM(MARKS!F11,MARKS!AL11),"")</f>
        <v>0</v>
      </c>
      <c r="K19" s="177">
        <f>IF(A19&gt;0,SUM(MARKS!N11,MARKS!AT11),"")</f>
        <v>0</v>
      </c>
      <c r="L19" s="177">
        <f>IF(A19&gt;0,SUM(MARKS!V11,MARKS!BB11),"")</f>
        <v>0</v>
      </c>
      <c r="M19" s="177">
        <f>IF(A19&gt;0,SUM(MARKS!AD11,MARKS!BJ11),"")</f>
        <v>45</v>
      </c>
      <c r="N19" s="178"/>
      <c r="O19" s="177">
        <f t="shared" si="0"/>
        <v>47</v>
      </c>
      <c r="P19" s="177" t="str">
        <f t="shared" si="1"/>
        <v>C</v>
      </c>
      <c r="Q19" s="177">
        <f>IF(A19&gt;0,SUM(PASHEET!AM11,PASHEET!AU11),"")</f>
        <v>1</v>
      </c>
      <c r="R19" s="177">
        <f>IF(A19&gt;0,SUM(MARKS!G11,MARKS!AM11),"")</f>
        <v>0</v>
      </c>
      <c r="S19" s="177">
        <f>IF(A19&gt;0,SUM(MARKS!O11,MARKS!AU11),"")</f>
        <v>0</v>
      </c>
      <c r="T19" s="177">
        <f>IF(A19&gt;0,SUM(MARKS!W11,MARKS!BC11),"")</f>
        <v>0</v>
      </c>
      <c r="U19" s="177">
        <f>IF(A19&gt;0,SUM(MARKS!AE11,MARKS!BK11),"")</f>
        <v>17</v>
      </c>
      <c r="V19" s="178"/>
      <c r="W19" s="177">
        <f t="shared" si="2"/>
        <v>18</v>
      </c>
      <c r="X19" s="177" t="str">
        <f t="shared" si="3"/>
        <v>E</v>
      </c>
      <c r="Y19" s="177">
        <f>IF(A19&gt;0,SUM(PASHEET!AN11,PASHEET!AV11),"")</f>
        <v>2</v>
      </c>
      <c r="Z19" s="177">
        <f>IF(A19&gt;0,SUM(MARKS!H11,MARKS!AN11),"")</f>
        <v>0</v>
      </c>
      <c r="AA19" s="177">
        <f>IF(A19&gt;0,SUM(MARKS!P11,MARKS!AV11),"")</f>
        <v>0</v>
      </c>
      <c r="AB19" s="177">
        <f>IF(A19&gt;0,SUM(MARKS!X11,MARKS!BD11),"")</f>
        <v>0</v>
      </c>
      <c r="AC19" s="177">
        <f>IF(A19&gt;0,SUM(MARKS!AF11,MARKS!BL11),"")</f>
        <v>21</v>
      </c>
      <c r="AD19" s="178"/>
      <c r="AE19" s="177">
        <f t="shared" si="4"/>
        <v>23</v>
      </c>
      <c r="AF19" s="177" t="str">
        <f t="shared" si="5"/>
        <v>E</v>
      </c>
      <c r="AG19" s="177">
        <f>IF(A19&gt;0,SUM(PASHEET!AO11,PASHEET!AW11),"")</f>
        <v>2</v>
      </c>
      <c r="AH19" s="177">
        <f>IF(A19&gt;0,SUM(MARKS!I11,MARKS!AO11),"")</f>
        <v>0</v>
      </c>
      <c r="AI19" s="177">
        <f>IF(A19&gt;0,SUM(MARKS!Q11,MARKS!AW11),"")</f>
        <v>0</v>
      </c>
      <c r="AJ19" s="177">
        <f>IF(A19&gt;0,SUM(MARKS!Y11,MARKS!BE11),"")</f>
        <v>0</v>
      </c>
      <c r="AK19" s="177">
        <f>IF(A19&gt;0,SUM(MARKS!AG11,MARKS!BM11),"")</f>
        <v>21</v>
      </c>
      <c r="AL19" s="178"/>
      <c r="AM19" s="177">
        <f t="shared" si="6"/>
        <v>23</v>
      </c>
      <c r="AN19" s="177" t="str">
        <f t="shared" si="7"/>
        <v>E</v>
      </c>
      <c r="AO19" s="177">
        <f>IF(A19&gt;0,SUM(PASHEET!AP11,PASHEET!AX11),"")</f>
        <v>0</v>
      </c>
      <c r="AP19" s="177">
        <f>IF(A19&gt;0,SUM(MARKS!J11,MARKS!AP11),"")</f>
        <v>0</v>
      </c>
      <c r="AQ19" s="177">
        <f>IF(A19&gt;0,SUM(MARKS!R11,MARKS!AX11),"")</f>
        <v>0</v>
      </c>
      <c r="AR19" s="177">
        <f>IF(A19&gt;0,SUM(MARKS!Z11,MARKS!BF11),"")</f>
        <v>0</v>
      </c>
      <c r="AS19" s="177">
        <f>IF(A19&gt;0,SUM(MARKS!AH11,MARKS!BN11),"")</f>
        <v>22</v>
      </c>
      <c r="AT19" s="178"/>
      <c r="AU19" s="177">
        <f t="shared" si="8"/>
        <v>22</v>
      </c>
      <c r="AV19" s="177" t="str">
        <f t="shared" si="9"/>
        <v>E</v>
      </c>
      <c r="AW19" s="177">
        <f>IF(A19&gt;0,SUM(PASHEET!AQ11,PASHEET!AY11),"")</f>
        <v>2</v>
      </c>
      <c r="AX19" s="177">
        <f>IF(A19&gt;0,SUM(MARKS!K11,MARKS!AQ11),"")</f>
        <v>0</v>
      </c>
      <c r="AY19" s="177">
        <f>IF(A19&gt;0,SUM(MARKS!S11,MARKS!AY11),"")</f>
        <v>0</v>
      </c>
      <c r="AZ19" s="177">
        <f>IF(A19&gt;0,SUM(MARKS!AA11,MARKS!BG11),"")</f>
        <v>0</v>
      </c>
      <c r="BA19" s="177">
        <f>IF(A19&gt;0,SUM(MARKS!AI11,MARKS!BO11),"")</f>
        <v>28</v>
      </c>
      <c r="BB19" s="178"/>
      <c r="BC19" s="177">
        <f t="shared" si="10"/>
        <v>30</v>
      </c>
      <c r="BD19" s="177" t="str">
        <f t="shared" si="11"/>
        <v>E</v>
      </c>
      <c r="BE19" s="177">
        <f t="shared" si="12"/>
        <v>0</v>
      </c>
      <c r="BF19" s="47">
        <f t="shared" si="13"/>
        <v>163</v>
      </c>
      <c r="BG19" s="70">
        <f t="shared" si="14"/>
        <v>27.1666666666667</v>
      </c>
      <c r="BH19" s="177" t="str">
        <f t="shared" si="15"/>
        <v>E</v>
      </c>
      <c r="BI19" s="47">
        <f>IF(A19&gt;0,FLN!I11,"")</f>
        <v>2</v>
      </c>
      <c r="BJ19" s="47">
        <f>IF(A19&gt;0,FLN!J11,"")</f>
        <v>2</v>
      </c>
      <c r="BK19" s="47">
        <f>IF(A19&gt;0,FLN!K11,"")</f>
        <v>3</v>
      </c>
      <c r="BL19" s="47" t="str">
        <f t="shared" si="16"/>
        <v>PROMOTED</v>
      </c>
      <c r="BM19" s="130">
        <f>IF(BF19="","",IFERROR(RANK(BF19,$BF$12:$BF$111,0)+COUNTIFS($BF$12:BF19,BF19)-1,0))</f>
        <v>9</v>
      </c>
      <c r="BN19" s="130">
        <f t="shared" si="17"/>
        <v>163</v>
      </c>
    </row>
    <row r="20" s="98" customFormat="1" ht="27" customHeight="1" spans="1:66">
      <c r="A20" s="47">
        <f>IF(A19=0,0,IF(A19&lt;ENTRY!$D$24,A19+1,0))</f>
        <v>9</v>
      </c>
      <c r="B20" s="47">
        <f>IF(A20&gt;0,STUDENT!F10,"")</f>
        <v>14754</v>
      </c>
      <c r="C20" s="176" t="str">
        <f>IF(A20&gt;0,UPPER(STUDENT!E10),"")</f>
        <v>ANUJ</v>
      </c>
      <c r="D20" s="176" t="str">
        <f>IF(A20&gt;0,UPPER(STUDENT!H10),"")</f>
        <v>RANJEET DAS</v>
      </c>
      <c r="E20" s="47" t="str">
        <f>IF(A20&gt;0,UPPER(STUDENT!BP10),"")</f>
        <v/>
      </c>
      <c r="F20" s="47" t="str">
        <f>IF(A20&gt;0,UPPER(STUDENT!BO10),"")</f>
        <v>FALSE</v>
      </c>
      <c r="G20" s="47" t="str">
        <f>IF(A20&gt;0,UPPER(STUDENT!Q10),"")</f>
        <v/>
      </c>
      <c r="H20" s="69" t="e">
        <f>IF(A20&gt;0,PASHEET!CI12/PASHEET!CJ12*100,"")</f>
        <v>#DIV/0!</v>
      </c>
      <c r="I20" s="177">
        <f>IF(A20&gt;0,SUM(PASHEET!AL12,PASHEET!AT12),"")</f>
        <v>2</v>
      </c>
      <c r="J20" s="177">
        <f>IF(A20&gt;0,SUM(MARKS!F12,MARKS!AL12),"")</f>
        <v>0</v>
      </c>
      <c r="K20" s="177">
        <f>IF(A20&gt;0,SUM(MARKS!N12,MARKS!AT12),"")</f>
        <v>0</v>
      </c>
      <c r="L20" s="177">
        <f>IF(A20&gt;0,SUM(MARKS!V12,MARKS!BB12),"")</f>
        <v>0</v>
      </c>
      <c r="M20" s="177">
        <f>IF(A20&gt;0,SUM(MARKS!AD12,MARKS!BJ12),"")</f>
        <v>44</v>
      </c>
      <c r="N20" s="178"/>
      <c r="O20" s="177">
        <f t="shared" si="0"/>
        <v>46</v>
      </c>
      <c r="P20" s="177" t="str">
        <f t="shared" si="1"/>
        <v>C</v>
      </c>
      <c r="Q20" s="177">
        <f>IF(A20&gt;0,SUM(PASHEET!AM12,PASHEET!AU12),"")</f>
        <v>2</v>
      </c>
      <c r="R20" s="177">
        <f>IF(A20&gt;0,SUM(MARKS!G12,MARKS!AM12),"")</f>
        <v>0</v>
      </c>
      <c r="S20" s="177">
        <f>IF(A20&gt;0,SUM(MARKS!O12,MARKS!AU12),"")</f>
        <v>0</v>
      </c>
      <c r="T20" s="177">
        <f>IF(A20&gt;0,SUM(MARKS!W12,MARKS!BC12),"")</f>
        <v>0</v>
      </c>
      <c r="U20" s="177">
        <f>IF(A20&gt;0,SUM(MARKS!AE12,MARKS!BK12),"")</f>
        <v>21</v>
      </c>
      <c r="V20" s="178"/>
      <c r="W20" s="177">
        <f t="shared" si="2"/>
        <v>23</v>
      </c>
      <c r="X20" s="177" t="str">
        <f t="shared" si="3"/>
        <v>E</v>
      </c>
      <c r="Y20" s="177">
        <f>IF(A20&gt;0,SUM(PASHEET!AN12,PASHEET!AV12),"")</f>
        <v>1</v>
      </c>
      <c r="Z20" s="177">
        <f>IF(A20&gt;0,SUM(MARKS!H12,MARKS!AN12),"")</f>
        <v>0</v>
      </c>
      <c r="AA20" s="177">
        <f>IF(A20&gt;0,SUM(MARKS!P12,MARKS!AV12),"")</f>
        <v>0</v>
      </c>
      <c r="AB20" s="177">
        <f>IF(A20&gt;0,SUM(MARKS!X12,MARKS!BD12),"")</f>
        <v>0</v>
      </c>
      <c r="AC20" s="177">
        <f>IF(A20&gt;0,SUM(MARKS!AF12,MARKS!BL12),"")</f>
        <v>22</v>
      </c>
      <c r="AD20" s="178"/>
      <c r="AE20" s="177">
        <f t="shared" si="4"/>
        <v>23</v>
      </c>
      <c r="AF20" s="177" t="str">
        <f t="shared" si="5"/>
        <v>E</v>
      </c>
      <c r="AG20" s="177">
        <f>IF(A20&gt;0,SUM(PASHEET!AO12,PASHEET!AW12),"")</f>
        <v>1</v>
      </c>
      <c r="AH20" s="177">
        <f>IF(A20&gt;0,SUM(MARKS!I12,MARKS!AO12),"")</f>
        <v>0</v>
      </c>
      <c r="AI20" s="177">
        <f>IF(A20&gt;0,SUM(MARKS!Q12,MARKS!AW12),"")</f>
        <v>0</v>
      </c>
      <c r="AJ20" s="177">
        <f>IF(A20&gt;0,SUM(MARKS!Y12,MARKS!BE12),"")</f>
        <v>0</v>
      </c>
      <c r="AK20" s="177">
        <f>IF(A20&gt;0,SUM(MARKS!AG12,MARKS!BM12),"")</f>
        <v>23</v>
      </c>
      <c r="AL20" s="178"/>
      <c r="AM20" s="177">
        <f t="shared" si="6"/>
        <v>24</v>
      </c>
      <c r="AN20" s="177" t="str">
        <f t="shared" si="7"/>
        <v>E</v>
      </c>
      <c r="AO20" s="177">
        <f>IF(A20&gt;0,SUM(PASHEET!AP12,PASHEET!AX12),"")</f>
        <v>0</v>
      </c>
      <c r="AP20" s="177">
        <f>IF(A20&gt;0,SUM(MARKS!J12,MARKS!AP12),"")</f>
        <v>0</v>
      </c>
      <c r="AQ20" s="177">
        <f>IF(A20&gt;0,SUM(MARKS!R12,MARKS!AX12),"")</f>
        <v>0</v>
      </c>
      <c r="AR20" s="177">
        <f>IF(A20&gt;0,SUM(MARKS!Z12,MARKS!BF12),"")</f>
        <v>0</v>
      </c>
      <c r="AS20" s="177">
        <f>IF(A20&gt;0,SUM(MARKS!AH12,MARKS!BN12),"")</f>
        <v>23</v>
      </c>
      <c r="AT20" s="178"/>
      <c r="AU20" s="177">
        <f t="shared" si="8"/>
        <v>23</v>
      </c>
      <c r="AV20" s="177" t="str">
        <f t="shared" si="9"/>
        <v>E</v>
      </c>
      <c r="AW20" s="177">
        <f>IF(A20&gt;0,SUM(PASHEET!AQ12,PASHEET!AY12),"")</f>
        <v>2</v>
      </c>
      <c r="AX20" s="177">
        <f>IF(A20&gt;0,SUM(MARKS!K12,MARKS!AQ12),"")</f>
        <v>0</v>
      </c>
      <c r="AY20" s="177">
        <f>IF(A20&gt;0,SUM(MARKS!S12,MARKS!AY12),"")</f>
        <v>0</v>
      </c>
      <c r="AZ20" s="177">
        <f>IF(A20&gt;0,SUM(MARKS!AA12,MARKS!BG12),"")</f>
        <v>0</v>
      </c>
      <c r="BA20" s="177">
        <f>IF(A20&gt;0,SUM(MARKS!AI12,MARKS!BO12),"")</f>
        <v>18</v>
      </c>
      <c r="BB20" s="178"/>
      <c r="BC20" s="177">
        <f t="shared" si="10"/>
        <v>20</v>
      </c>
      <c r="BD20" s="177" t="str">
        <f t="shared" si="11"/>
        <v>E</v>
      </c>
      <c r="BE20" s="177">
        <f t="shared" si="12"/>
        <v>0</v>
      </c>
      <c r="BF20" s="47">
        <f t="shared" si="13"/>
        <v>159</v>
      </c>
      <c r="BG20" s="70">
        <f t="shared" si="14"/>
        <v>26.5</v>
      </c>
      <c r="BH20" s="177" t="str">
        <f t="shared" si="15"/>
        <v>E</v>
      </c>
      <c r="BI20" s="47">
        <f>IF(A20&gt;0,FLN!I12,"")</f>
        <v>2</v>
      </c>
      <c r="BJ20" s="47">
        <f>IF(A20&gt;0,FLN!J12,"")</f>
        <v>2</v>
      </c>
      <c r="BK20" s="47">
        <f>IF(A20&gt;0,FLN!K12,"")</f>
        <v>3</v>
      </c>
      <c r="BL20" s="47" t="str">
        <f t="shared" si="16"/>
        <v>PROMOTED</v>
      </c>
      <c r="BM20" s="130">
        <f>IF(BF20="","",IFERROR(RANK(BF20,$BF$12:$BF$111,0)+COUNTIFS($BF$12:BF20,BF20)-1,0))</f>
        <v>12</v>
      </c>
      <c r="BN20" s="130">
        <f t="shared" si="17"/>
        <v>159</v>
      </c>
    </row>
    <row r="21" s="98" customFormat="1" ht="27" customHeight="1" spans="1:66">
      <c r="A21" s="47">
        <f>IF(A20=0,0,IF(A20&lt;ENTRY!$D$24,A20+1,0))</f>
        <v>10</v>
      </c>
      <c r="B21" s="47">
        <f>IF(A21&gt;0,STUDENT!F11,"")</f>
        <v>14774</v>
      </c>
      <c r="C21" s="176" t="str">
        <f>IF(A21&gt;0,UPPER(STUDENT!E11),"")</f>
        <v>PIYUSH KUMAR</v>
      </c>
      <c r="D21" s="176" t="str">
        <f>IF(A21&gt;0,UPPER(STUDENT!H11),"")</f>
        <v>MUNNA LAL</v>
      </c>
      <c r="E21" s="47" t="str">
        <f>IF(A21&gt;0,UPPER(STUDENT!BP11),"")</f>
        <v/>
      </c>
      <c r="F21" s="47" t="str">
        <f>IF(A21&gt;0,UPPER(STUDENT!BO11),"")</f>
        <v>FALSE</v>
      </c>
      <c r="G21" s="47" t="str">
        <f>IF(A21&gt;0,UPPER(STUDENT!Q11),"")</f>
        <v/>
      </c>
      <c r="H21" s="69" t="e">
        <f>IF(A21&gt;0,PASHEET!CI13/PASHEET!CJ13*100,"")</f>
        <v>#DIV/0!</v>
      </c>
      <c r="I21" s="177">
        <f>IF(A21&gt;0,SUM(PASHEET!AL13,PASHEET!AT13),"")</f>
        <v>2</v>
      </c>
      <c r="J21" s="177">
        <f>IF(A21&gt;0,SUM(MARKS!F13,MARKS!AL13),"")</f>
        <v>0</v>
      </c>
      <c r="K21" s="177">
        <f>IF(A21&gt;0,SUM(MARKS!N13,MARKS!AT13),"")</f>
        <v>0</v>
      </c>
      <c r="L21" s="177">
        <f>IF(A21&gt;0,SUM(MARKS!V13,MARKS!BB13),"")</f>
        <v>0</v>
      </c>
      <c r="M21" s="177">
        <f>IF(A21&gt;0,SUM(MARKS!AD13,MARKS!BJ13),"")</f>
        <v>44</v>
      </c>
      <c r="N21" s="178"/>
      <c r="O21" s="177">
        <f t="shared" si="0"/>
        <v>46</v>
      </c>
      <c r="P21" s="177" t="str">
        <f t="shared" si="1"/>
        <v>C</v>
      </c>
      <c r="Q21" s="177">
        <f>IF(A21&gt;0,SUM(PASHEET!AM13,PASHEET!AU13),"")</f>
        <v>1</v>
      </c>
      <c r="R21" s="177">
        <f>IF(A21&gt;0,SUM(MARKS!G13,MARKS!AM13),"")</f>
        <v>0</v>
      </c>
      <c r="S21" s="177">
        <f>IF(A21&gt;0,SUM(MARKS!O13,MARKS!AU13),"")</f>
        <v>0</v>
      </c>
      <c r="T21" s="177">
        <f>IF(A21&gt;0,SUM(MARKS!W13,MARKS!BC13),"")</f>
        <v>0</v>
      </c>
      <c r="U21" s="177">
        <f>IF(A21&gt;0,SUM(MARKS!AE13,MARKS!BK13),"")</f>
        <v>22</v>
      </c>
      <c r="V21" s="178"/>
      <c r="W21" s="177">
        <f t="shared" si="2"/>
        <v>23</v>
      </c>
      <c r="X21" s="177" t="str">
        <f t="shared" si="3"/>
        <v>E</v>
      </c>
      <c r="Y21" s="177">
        <f>IF(A21&gt;0,SUM(PASHEET!AN13,PASHEET!AV13),"")</f>
        <v>2</v>
      </c>
      <c r="Z21" s="177">
        <f>IF(A21&gt;0,SUM(MARKS!H13,MARKS!AN13),"")</f>
        <v>0</v>
      </c>
      <c r="AA21" s="177">
        <f>IF(A21&gt;0,SUM(MARKS!P13,MARKS!AV13),"")</f>
        <v>0</v>
      </c>
      <c r="AB21" s="177">
        <f>IF(A21&gt;0,SUM(MARKS!X13,MARKS!BD13),"")</f>
        <v>0</v>
      </c>
      <c r="AC21" s="177">
        <f>IF(A21&gt;0,SUM(MARKS!AF13,MARKS!BL13),"")</f>
        <v>22</v>
      </c>
      <c r="AD21" s="178"/>
      <c r="AE21" s="177">
        <f t="shared" si="4"/>
        <v>24</v>
      </c>
      <c r="AF21" s="177" t="str">
        <f t="shared" si="5"/>
        <v>E</v>
      </c>
      <c r="AG21" s="177">
        <f>IF(A21&gt;0,SUM(PASHEET!AO13,PASHEET!AW13),"")</f>
        <v>2</v>
      </c>
      <c r="AH21" s="177">
        <f>IF(A21&gt;0,SUM(MARKS!I13,MARKS!AO13),"")</f>
        <v>0</v>
      </c>
      <c r="AI21" s="177">
        <f>IF(A21&gt;0,SUM(MARKS!Q13,MARKS!AW13),"")</f>
        <v>0</v>
      </c>
      <c r="AJ21" s="177">
        <f>IF(A21&gt;0,SUM(MARKS!Y13,MARKS!BE13),"")</f>
        <v>0</v>
      </c>
      <c r="AK21" s="177">
        <f>IF(A21&gt;0,SUM(MARKS!AG13,MARKS!BM13),"")</f>
        <v>21</v>
      </c>
      <c r="AL21" s="178"/>
      <c r="AM21" s="177">
        <f t="shared" si="6"/>
        <v>23</v>
      </c>
      <c r="AN21" s="177" t="str">
        <f t="shared" si="7"/>
        <v>E</v>
      </c>
      <c r="AO21" s="177">
        <f>IF(A21&gt;0,SUM(PASHEET!AP13,PASHEET!AX13),"")</f>
        <v>0</v>
      </c>
      <c r="AP21" s="177">
        <f>IF(A21&gt;0,SUM(MARKS!J13,MARKS!AP13),"")</f>
        <v>0</v>
      </c>
      <c r="AQ21" s="177">
        <f>IF(A21&gt;0,SUM(MARKS!R13,MARKS!AX13),"")</f>
        <v>0</v>
      </c>
      <c r="AR21" s="177">
        <f>IF(A21&gt;0,SUM(MARKS!Z13,MARKS!BF13),"")</f>
        <v>0</v>
      </c>
      <c r="AS21" s="177">
        <f>IF(A21&gt;0,SUM(MARKS!AH13,MARKS!BN13),"")</f>
        <v>21</v>
      </c>
      <c r="AT21" s="178"/>
      <c r="AU21" s="177">
        <f t="shared" si="8"/>
        <v>21</v>
      </c>
      <c r="AV21" s="177" t="str">
        <f t="shared" si="9"/>
        <v>E</v>
      </c>
      <c r="AW21" s="177">
        <f>IF(A21&gt;0,SUM(PASHEET!AQ13,PASHEET!AY13),"")</f>
        <v>2</v>
      </c>
      <c r="AX21" s="177">
        <f>IF(A21&gt;0,SUM(MARKS!K13,MARKS!AQ13),"")</f>
        <v>0</v>
      </c>
      <c r="AY21" s="177">
        <f>IF(A21&gt;0,SUM(MARKS!S13,MARKS!AY13),"")</f>
        <v>0</v>
      </c>
      <c r="AZ21" s="177">
        <f>IF(A21&gt;0,SUM(MARKS!AA13,MARKS!BG13),"")</f>
        <v>0</v>
      </c>
      <c r="BA21" s="177">
        <f>IF(A21&gt;0,SUM(MARKS!AI13,MARKS!BO13),"")</f>
        <v>20</v>
      </c>
      <c r="BB21" s="178"/>
      <c r="BC21" s="177">
        <f t="shared" si="10"/>
        <v>22</v>
      </c>
      <c r="BD21" s="177" t="str">
        <f t="shared" si="11"/>
        <v>E</v>
      </c>
      <c r="BE21" s="177">
        <f t="shared" si="12"/>
        <v>0</v>
      </c>
      <c r="BF21" s="47">
        <f t="shared" si="13"/>
        <v>159</v>
      </c>
      <c r="BG21" s="70">
        <f t="shared" si="14"/>
        <v>26.5</v>
      </c>
      <c r="BH21" s="177" t="str">
        <f t="shared" si="15"/>
        <v>E</v>
      </c>
      <c r="BI21" s="47">
        <f>IF(A21&gt;0,FLN!I13,"")</f>
        <v>2</v>
      </c>
      <c r="BJ21" s="47">
        <f>IF(A21&gt;0,FLN!J13,"")</f>
        <v>2</v>
      </c>
      <c r="BK21" s="47">
        <f>IF(A21&gt;0,FLN!K13,"")</f>
        <v>3</v>
      </c>
      <c r="BL21" s="47" t="str">
        <f t="shared" si="16"/>
        <v>PROMOTED</v>
      </c>
      <c r="BM21" s="130">
        <f>IF(BF21="","",IFERROR(RANK(BF21,$BF$12:$BF$111,0)+COUNTIFS($BF$12:BF21,BF21)-1,0))</f>
        <v>13</v>
      </c>
      <c r="BN21" s="130">
        <f t="shared" si="17"/>
        <v>159</v>
      </c>
    </row>
    <row r="22" s="98" customFormat="1" ht="27" customHeight="1" spans="1:66">
      <c r="A22" s="47">
        <f>IF(A21=0,0,IF(A21&lt;ENTRY!$D$24,A21+1,0))</f>
        <v>11</v>
      </c>
      <c r="B22" s="47">
        <f>IF(A22&gt;0,STUDENT!F12,"")</f>
        <v>14775</v>
      </c>
      <c r="C22" s="176" t="str">
        <f>IF(A22&gt;0,UPPER(STUDENT!E12),"")</f>
        <v>MD MAHTAB</v>
      </c>
      <c r="D22" s="176" t="str">
        <f>IF(A22&gt;0,UPPER(STUDENT!H12),"")</f>
        <v>MD ASRAF</v>
      </c>
      <c r="E22" s="47" t="str">
        <f>IF(A22&gt;0,UPPER(STUDENT!BP12),"")</f>
        <v/>
      </c>
      <c r="F22" s="47" t="str">
        <f>IF(A22&gt;0,UPPER(STUDENT!BO12),"")</f>
        <v>FALSE</v>
      </c>
      <c r="G22" s="47" t="str">
        <f>IF(A22&gt;0,UPPER(STUDENT!Q12),"")</f>
        <v/>
      </c>
      <c r="H22" s="69" t="e">
        <f>IF(A22&gt;0,PASHEET!CI14/PASHEET!CJ14*100,"")</f>
        <v>#DIV/0!</v>
      </c>
      <c r="I22" s="177">
        <f>IF(A22&gt;0,SUM(PASHEET!AL14,PASHEET!AT14),"")</f>
        <v>0</v>
      </c>
      <c r="J22" s="177">
        <f>IF(A22&gt;0,SUM(MARKS!F14,MARKS!AL14),"")</f>
        <v>0</v>
      </c>
      <c r="K22" s="177">
        <f>IF(A22&gt;0,SUM(MARKS!N14,MARKS!AT14),"")</f>
        <v>0</v>
      </c>
      <c r="L22" s="177">
        <f>IF(A22&gt;0,SUM(MARKS!V14,MARKS!BB14),"")</f>
        <v>0</v>
      </c>
      <c r="M22" s="177">
        <f>IF(A22&gt;0,SUM(MARKS!AD14,MARKS!BJ14),"")</f>
        <v>35</v>
      </c>
      <c r="N22" s="178"/>
      <c r="O22" s="177">
        <f t="shared" si="0"/>
        <v>35</v>
      </c>
      <c r="P22" s="177" t="str">
        <f t="shared" si="1"/>
        <v>D</v>
      </c>
      <c r="Q22" s="177">
        <f>IF(A22&gt;0,SUM(PASHEET!AM14,PASHEET!AU14),"")</f>
        <v>0</v>
      </c>
      <c r="R22" s="177">
        <f>IF(A22&gt;0,SUM(MARKS!G14,MARKS!AM14),"")</f>
        <v>0</v>
      </c>
      <c r="S22" s="177">
        <f>IF(A22&gt;0,SUM(MARKS!O14,MARKS!AU14),"")</f>
        <v>0</v>
      </c>
      <c r="T22" s="177">
        <f>IF(A22&gt;0,SUM(MARKS!W14,MARKS!BC14),"")</f>
        <v>0</v>
      </c>
      <c r="U22" s="177">
        <f>IF(A22&gt;0,SUM(MARKS!AE14,MARKS!BK14),"")</f>
        <v>12</v>
      </c>
      <c r="V22" s="178"/>
      <c r="W22" s="177">
        <f t="shared" si="2"/>
        <v>12</v>
      </c>
      <c r="X22" s="177" t="str">
        <f t="shared" si="3"/>
        <v>E</v>
      </c>
      <c r="Y22" s="177">
        <f>IF(A22&gt;0,SUM(PASHEET!AN14,PASHEET!AV14),"")</f>
        <v>0</v>
      </c>
      <c r="Z22" s="177">
        <f>IF(A22&gt;0,SUM(MARKS!H14,MARKS!AN14),"")</f>
        <v>0</v>
      </c>
      <c r="AA22" s="177">
        <f>IF(A22&gt;0,SUM(MARKS!P14,MARKS!AV14),"")</f>
        <v>0</v>
      </c>
      <c r="AB22" s="177">
        <f>IF(A22&gt;0,SUM(MARKS!X14,MARKS!BD14),"")</f>
        <v>0</v>
      </c>
      <c r="AC22" s="177">
        <f>IF(A22&gt;0,SUM(MARKS!AF14,MARKS!BL14),"")</f>
        <v>17</v>
      </c>
      <c r="AD22" s="178"/>
      <c r="AE22" s="177">
        <f t="shared" si="4"/>
        <v>17</v>
      </c>
      <c r="AF22" s="177" t="str">
        <f t="shared" si="5"/>
        <v>E</v>
      </c>
      <c r="AG22" s="177">
        <f>IF(A22&gt;0,SUM(PASHEET!AO14,PASHEET!AW14),"")</f>
        <v>0</v>
      </c>
      <c r="AH22" s="177">
        <f>IF(A22&gt;0,SUM(MARKS!I14,MARKS!AO14),"")</f>
        <v>0</v>
      </c>
      <c r="AI22" s="177">
        <f>IF(A22&gt;0,SUM(MARKS!Q14,MARKS!AW14),"")</f>
        <v>0</v>
      </c>
      <c r="AJ22" s="177">
        <f>IF(A22&gt;0,SUM(MARKS!Y14,MARKS!BE14),"")</f>
        <v>0</v>
      </c>
      <c r="AK22" s="177">
        <f>IF(A22&gt;0,SUM(MARKS!AG14,MARKS!BM14),"")</f>
        <v>18</v>
      </c>
      <c r="AL22" s="178"/>
      <c r="AM22" s="177">
        <f t="shared" si="6"/>
        <v>18</v>
      </c>
      <c r="AN22" s="177" t="str">
        <f t="shared" si="7"/>
        <v>E</v>
      </c>
      <c r="AO22" s="177">
        <f>IF(A22&gt;0,SUM(PASHEET!AP14,PASHEET!AX14),"")</f>
        <v>0</v>
      </c>
      <c r="AP22" s="177">
        <f>IF(A22&gt;0,SUM(MARKS!J14,MARKS!AP14),"")</f>
        <v>0</v>
      </c>
      <c r="AQ22" s="177">
        <f>IF(A22&gt;0,SUM(MARKS!R14,MARKS!AX14),"")</f>
        <v>0</v>
      </c>
      <c r="AR22" s="177">
        <f>IF(A22&gt;0,SUM(MARKS!Z14,MARKS!BF14),"")</f>
        <v>0</v>
      </c>
      <c r="AS22" s="177">
        <f>IF(A22&gt;0,SUM(MARKS!AH14,MARKS!BN14),"")</f>
        <v>18</v>
      </c>
      <c r="AT22" s="178"/>
      <c r="AU22" s="177">
        <f t="shared" si="8"/>
        <v>18</v>
      </c>
      <c r="AV22" s="177" t="str">
        <f t="shared" si="9"/>
        <v>E</v>
      </c>
      <c r="AW22" s="177">
        <f>IF(A22&gt;0,SUM(PASHEET!AQ14,PASHEET!AY14),"")</f>
        <v>0</v>
      </c>
      <c r="AX22" s="177">
        <f>IF(A22&gt;0,SUM(MARKS!K14,MARKS!AQ14),"")</f>
        <v>0</v>
      </c>
      <c r="AY22" s="177">
        <f>IF(A22&gt;0,SUM(MARKS!S14,MARKS!AY14),"")</f>
        <v>0</v>
      </c>
      <c r="AZ22" s="177">
        <f>IF(A22&gt;0,SUM(MARKS!AA14,MARKS!BG14),"")</f>
        <v>0</v>
      </c>
      <c r="BA22" s="177">
        <f>IF(A22&gt;0,SUM(MARKS!AI14,MARKS!BO14),"")</f>
        <v>20</v>
      </c>
      <c r="BB22" s="178"/>
      <c r="BC22" s="177">
        <f t="shared" si="10"/>
        <v>20</v>
      </c>
      <c r="BD22" s="177" t="str">
        <f t="shared" si="11"/>
        <v>E</v>
      </c>
      <c r="BE22" s="177">
        <f t="shared" si="12"/>
        <v>0</v>
      </c>
      <c r="BF22" s="47">
        <f t="shared" si="13"/>
        <v>120</v>
      </c>
      <c r="BG22" s="70">
        <f t="shared" si="14"/>
        <v>20</v>
      </c>
      <c r="BH22" s="177" t="str">
        <f t="shared" si="15"/>
        <v>E</v>
      </c>
      <c r="BI22" s="47" t="str">
        <f>IF(A22&gt;0,FLN!I14,"")</f>
        <v/>
      </c>
      <c r="BJ22" s="47" t="str">
        <f>IF(A22&gt;0,FLN!J14,"")</f>
        <v/>
      </c>
      <c r="BK22" s="47" t="str">
        <f>IF(A22&gt;0,FLN!K14,"")</f>
        <v/>
      </c>
      <c r="BL22" s="47" t="str">
        <f t="shared" si="16"/>
        <v>PROMOTED</v>
      </c>
      <c r="BM22" s="130">
        <f>IF(BF22="","",IFERROR(RANK(BF22,$BF$12:$BF$111,0)+COUNTIFS($BF$12:BF22,BF22)-1,0))</f>
        <v>23</v>
      </c>
      <c r="BN22" s="130">
        <f t="shared" si="17"/>
        <v>120</v>
      </c>
    </row>
    <row r="23" s="98" customFormat="1" ht="27" customHeight="1" spans="1:66">
      <c r="A23" s="47">
        <f>IF(A22=0,0,IF(A22&lt;ENTRY!$D$24,A22+1,0))</f>
        <v>12</v>
      </c>
      <c r="B23" s="47">
        <f>IF(A23&gt;0,STUDENT!F13,"")</f>
        <v>14734</v>
      </c>
      <c r="C23" s="176" t="str">
        <f>IF(A23&gt;0,UPPER(STUDENT!E13),"")</f>
        <v>PRADEEP</v>
      </c>
      <c r="D23" s="176" t="str">
        <f>IF(A23&gt;0,UPPER(STUDENT!H13),"")</f>
        <v>RAM BHAWAN</v>
      </c>
      <c r="E23" s="47" t="str">
        <f>IF(A23&gt;0,UPPER(STUDENT!BP13),"")</f>
        <v/>
      </c>
      <c r="F23" s="47" t="str">
        <f>IF(A23&gt;0,UPPER(STUDENT!BO13),"")</f>
        <v>FALSE</v>
      </c>
      <c r="G23" s="47" t="str">
        <f>IF(A23&gt;0,UPPER(STUDENT!Q13),"")</f>
        <v/>
      </c>
      <c r="H23" s="69" t="e">
        <f>IF(A23&gt;0,PASHEET!CI15/PASHEET!CJ15*100,"")</f>
        <v>#DIV/0!</v>
      </c>
      <c r="I23" s="177">
        <f>IF(A23&gt;0,SUM(PASHEET!AL15,PASHEET!AT15),"")</f>
        <v>1</v>
      </c>
      <c r="J23" s="177">
        <f>IF(A23&gt;0,SUM(MARKS!F15,MARKS!AL15),"")</f>
        <v>0</v>
      </c>
      <c r="K23" s="177">
        <f>IF(A23&gt;0,SUM(MARKS!N15,MARKS!AT15),"")</f>
        <v>0</v>
      </c>
      <c r="L23" s="177">
        <f>IF(A23&gt;0,SUM(MARKS!V15,MARKS!BB15),"")</f>
        <v>0</v>
      </c>
      <c r="M23" s="177">
        <f>IF(A23&gt;0,SUM(MARKS!AD15,MARKS!BJ15),"")</f>
        <v>34</v>
      </c>
      <c r="N23" s="178"/>
      <c r="O23" s="177">
        <f t="shared" si="0"/>
        <v>35</v>
      </c>
      <c r="P23" s="177" t="str">
        <f t="shared" si="1"/>
        <v>D</v>
      </c>
      <c r="Q23" s="177">
        <f>IF(A23&gt;0,SUM(PASHEET!AM15,PASHEET!AU15),"")</f>
        <v>1</v>
      </c>
      <c r="R23" s="177">
        <f>IF(A23&gt;0,SUM(MARKS!G15,MARKS!AM15),"")</f>
        <v>0</v>
      </c>
      <c r="S23" s="177">
        <f>IF(A23&gt;0,SUM(MARKS!O15,MARKS!AU15),"")</f>
        <v>0</v>
      </c>
      <c r="T23" s="177">
        <f>IF(A23&gt;0,SUM(MARKS!W15,MARKS!BC15),"")</f>
        <v>0</v>
      </c>
      <c r="U23" s="177">
        <f>IF(A23&gt;0,SUM(MARKS!AE15,MARKS!BK15),"")</f>
        <v>11</v>
      </c>
      <c r="V23" s="178"/>
      <c r="W23" s="177">
        <f t="shared" si="2"/>
        <v>12</v>
      </c>
      <c r="X23" s="177" t="str">
        <f t="shared" si="3"/>
        <v>E</v>
      </c>
      <c r="Y23" s="177">
        <f>IF(A23&gt;0,SUM(PASHEET!AN15,PASHEET!AV15),"")</f>
        <v>1</v>
      </c>
      <c r="Z23" s="177">
        <f>IF(A23&gt;0,SUM(MARKS!H15,MARKS!AN15),"")</f>
        <v>0</v>
      </c>
      <c r="AA23" s="177">
        <f>IF(A23&gt;0,SUM(MARKS!P15,MARKS!AV15),"")</f>
        <v>0</v>
      </c>
      <c r="AB23" s="177">
        <f>IF(A23&gt;0,SUM(MARKS!X15,MARKS!BD15),"")</f>
        <v>0</v>
      </c>
      <c r="AC23" s="177">
        <f>IF(A23&gt;0,SUM(MARKS!AF15,MARKS!BL15),"")</f>
        <v>23</v>
      </c>
      <c r="AD23" s="178"/>
      <c r="AE23" s="177">
        <f t="shared" si="4"/>
        <v>24</v>
      </c>
      <c r="AF23" s="177" t="str">
        <f t="shared" si="5"/>
        <v>E</v>
      </c>
      <c r="AG23" s="177">
        <f>IF(A23&gt;0,SUM(PASHEET!AO15,PASHEET!AW15),"")</f>
        <v>1</v>
      </c>
      <c r="AH23" s="177">
        <f>IF(A23&gt;0,SUM(MARKS!I15,MARKS!AO15),"")</f>
        <v>0</v>
      </c>
      <c r="AI23" s="177">
        <f>IF(A23&gt;0,SUM(MARKS!Q15,MARKS!AW15),"")</f>
        <v>0</v>
      </c>
      <c r="AJ23" s="177">
        <f>IF(A23&gt;0,SUM(MARKS!Y15,MARKS!BE15),"")</f>
        <v>0</v>
      </c>
      <c r="AK23" s="177">
        <f>IF(A23&gt;0,SUM(MARKS!AG15,MARKS!BM15),"")</f>
        <v>24</v>
      </c>
      <c r="AL23" s="178"/>
      <c r="AM23" s="177">
        <f t="shared" si="6"/>
        <v>25</v>
      </c>
      <c r="AN23" s="177" t="str">
        <f t="shared" si="7"/>
        <v>E</v>
      </c>
      <c r="AO23" s="177">
        <f>IF(A23&gt;0,SUM(PASHEET!AP15,PASHEET!AX15),"")</f>
        <v>0</v>
      </c>
      <c r="AP23" s="177">
        <f>IF(A23&gt;0,SUM(MARKS!J15,MARKS!AP15),"")</f>
        <v>0</v>
      </c>
      <c r="AQ23" s="177">
        <f>IF(A23&gt;0,SUM(MARKS!R15,MARKS!AX15),"")</f>
        <v>0</v>
      </c>
      <c r="AR23" s="177">
        <f>IF(A23&gt;0,SUM(MARKS!Z15,MARKS!BF15),"")</f>
        <v>0</v>
      </c>
      <c r="AS23" s="177">
        <f>IF(A23&gt;0,SUM(MARKS!AH15,MARKS!BN15),"")</f>
        <v>23</v>
      </c>
      <c r="AT23" s="178"/>
      <c r="AU23" s="177">
        <f t="shared" si="8"/>
        <v>23</v>
      </c>
      <c r="AV23" s="177" t="str">
        <f t="shared" si="9"/>
        <v>E</v>
      </c>
      <c r="AW23" s="177">
        <f>IF(A23&gt;0,SUM(PASHEET!AQ15,PASHEET!AY15),"")</f>
        <v>2</v>
      </c>
      <c r="AX23" s="177">
        <f>IF(A23&gt;0,SUM(MARKS!K15,MARKS!AQ15),"")</f>
        <v>0</v>
      </c>
      <c r="AY23" s="177">
        <f>IF(A23&gt;0,SUM(MARKS!S15,MARKS!AY15),"")</f>
        <v>0</v>
      </c>
      <c r="AZ23" s="177">
        <f>IF(A23&gt;0,SUM(MARKS!AA15,MARKS!BG15),"")</f>
        <v>0</v>
      </c>
      <c r="BA23" s="177">
        <f>IF(A23&gt;0,SUM(MARKS!AI15,MARKS!BO15),"")</f>
        <v>18</v>
      </c>
      <c r="BB23" s="178"/>
      <c r="BC23" s="177">
        <f t="shared" si="10"/>
        <v>20</v>
      </c>
      <c r="BD23" s="177" t="str">
        <f t="shared" si="11"/>
        <v>E</v>
      </c>
      <c r="BE23" s="177">
        <f t="shared" si="12"/>
        <v>0</v>
      </c>
      <c r="BF23" s="47">
        <f t="shared" si="13"/>
        <v>139</v>
      </c>
      <c r="BG23" s="70">
        <f t="shared" si="14"/>
        <v>23.1666666666667</v>
      </c>
      <c r="BH23" s="177" t="str">
        <f t="shared" si="15"/>
        <v>E</v>
      </c>
      <c r="BI23" s="47">
        <f>IF(A23&gt;0,FLN!I15,"")</f>
        <v>2</v>
      </c>
      <c r="BJ23" s="47">
        <f>IF(A23&gt;0,FLN!J15,"")</f>
        <v>2</v>
      </c>
      <c r="BK23" s="47">
        <f>IF(A23&gt;0,FLN!K15,"")</f>
        <v>4</v>
      </c>
      <c r="BL23" s="47" t="str">
        <f t="shared" si="16"/>
        <v>PROMOTED</v>
      </c>
      <c r="BM23" s="130">
        <f>IF(BF23="","",IFERROR(RANK(BF23,$BF$12:$BF$111,0)+COUNTIFS($BF$12:BF23,BF23)-1,0))</f>
        <v>17</v>
      </c>
      <c r="BN23" s="130">
        <f t="shared" si="17"/>
        <v>139</v>
      </c>
    </row>
    <row r="24" s="98" customFormat="1" ht="27" customHeight="1" spans="1:66">
      <c r="A24" s="47">
        <f>IF(A23=0,0,IF(A23&lt;ENTRY!$D$24,A23+1,0))</f>
        <v>13</v>
      </c>
      <c r="B24" s="47">
        <f>IF(A24&gt;0,STUDENT!F14,"")</f>
        <v>14735</v>
      </c>
      <c r="C24" s="176" t="str">
        <f>IF(A24&gt;0,UPPER(STUDENT!E14),"")</f>
        <v>MOHD JISAN</v>
      </c>
      <c r="D24" s="176" t="str">
        <f>IF(A24&gt;0,UPPER(STUDENT!H14),"")</f>
        <v>MD ZAMEEL</v>
      </c>
      <c r="E24" s="47" t="str">
        <f>IF(A24&gt;0,UPPER(STUDENT!BP14),"")</f>
        <v/>
      </c>
      <c r="F24" s="47" t="str">
        <f>IF(A24&gt;0,UPPER(STUDENT!BO14),"")</f>
        <v>FALSE</v>
      </c>
      <c r="G24" s="47" t="str">
        <f>IF(A24&gt;0,UPPER(STUDENT!Q14),"")</f>
        <v/>
      </c>
      <c r="H24" s="69" t="e">
        <f>IF(A24&gt;0,PASHEET!CI16/PASHEET!CJ16*100,"")</f>
        <v>#DIV/0!</v>
      </c>
      <c r="I24" s="177">
        <f>IF(A24&gt;0,SUM(PASHEET!AL16,PASHEET!AT16),"")</f>
        <v>1</v>
      </c>
      <c r="J24" s="177">
        <f>IF(A24&gt;0,SUM(MARKS!F16,MARKS!AL16),"")</f>
        <v>0</v>
      </c>
      <c r="K24" s="177">
        <f>IF(A24&gt;0,SUM(MARKS!N16,MARKS!AT16),"")</f>
        <v>0</v>
      </c>
      <c r="L24" s="177">
        <f>IF(A24&gt;0,SUM(MARKS!V16,MARKS!BB16),"")</f>
        <v>0</v>
      </c>
      <c r="M24" s="177">
        <f>IF(A24&gt;0,SUM(MARKS!AD16,MARKS!BJ16),"")</f>
        <v>48</v>
      </c>
      <c r="N24" s="178"/>
      <c r="O24" s="177">
        <f t="shared" si="0"/>
        <v>49</v>
      </c>
      <c r="P24" s="177" t="str">
        <f t="shared" si="1"/>
        <v>C</v>
      </c>
      <c r="Q24" s="177">
        <f>IF(A24&gt;0,SUM(PASHEET!AM16,PASHEET!AU16),"")</f>
        <v>1</v>
      </c>
      <c r="R24" s="177">
        <f>IF(A24&gt;0,SUM(MARKS!G16,MARKS!AM16),"")</f>
        <v>0</v>
      </c>
      <c r="S24" s="177">
        <f>IF(A24&gt;0,SUM(MARKS!O16,MARKS!AU16),"")</f>
        <v>0</v>
      </c>
      <c r="T24" s="177">
        <f>IF(A24&gt;0,SUM(MARKS!W16,MARKS!BC16),"")</f>
        <v>0</v>
      </c>
      <c r="U24" s="177">
        <f>IF(A24&gt;0,SUM(MARKS!AE16,MARKS!BK16),"")</f>
        <v>17</v>
      </c>
      <c r="V24" s="178"/>
      <c r="W24" s="177">
        <f t="shared" si="2"/>
        <v>18</v>
      </c>
      <c r="X24" s="177" t="str">
        <f t="shared" si="3"/>
        <v>E</v>
      </c>
      <c r="Y24" s="177">
        <f>IF(A24&gt;0,SUM(PASHEET!AN16,PASHEET!AV16),"")</f>
        <v>1</v>
      </c>
      <c r="Z24" s="177">
        <f>IF(A24&gt;0,SUM(MARKS!H16,MARKS!AN16),"")</f>
        <v>0</v>
      </c>
      <c r="AA24" s="177">
        <f>IF(A24&gt;0,SUM(MARKS!P16,MARKS!AV16),"")</f>
        <v>0</v>
      </c>
      <c r="AB24" s="177">
        <f>IF(A24&gt;0,SUM(MARKS!X16,MARKS!BD16),"")</f>
        <v>0</v>
      </c>
      <c r="AC24" s="177">
        <f>IF(A24&gt;0,SUM(MARKS!AF16,MARKS!BL16),"")</f>
        <v>15</v>
      </c>
      <c r="AD24" s="178"/>
      <c r="AE24" s="177">
        <f t="shared" si="4"/>
        <v>16</v>
      </c>
      <c r="AF24" s="177" t="str">
        <f t="shared" si="5"/>
        <v>E</v>
      </c>
      <c r="AG24" s="177">
        <f>IF(A24&gt;0,SUM(PASHEET!AO16,PASHEET!AW16),"")</f>
        <v>2</v>
      </c>
      <c r="AH24" s="177">
        <f>IF(A24&gt;0,SUM(MARKS!I16,MARKS!AO16),"")</f>
        <v>0</v>
      </c>
      <c r="AI24" s="177">
        <f>IF(A24&gt;0,SUM(MARKS!Q16,MARKS!AW16),"")</f>
        <v>0</v>
      </c>
      <c r="AJ24" s="177">
        <f>IF(A24&gt;0,SUM(MARKS!Y16,MARKS!BE16),"")</f>
        <v>0</v>
      </c>
      <c r="AK24" s="177">
        <f>IF(A24&gt;0,SUM(MARKS!AG16,MARKS!BM16),"")</f>
        <v>15</v>
      </c>
      <c r="AL24" s="178"/>
      <c r="AM24" s="177">
        <f t="shared" si="6"/>
        <v>17</v>
      </c>
      <c r="AN24" s="177" t="str">
        <f t="shared" si="7"/>
        <v>E</v>
      </c>
      <c r="AO24" s="177">
        <f>IF(A24&gt;0,SUM(PASHEET!AP16,PASHEET!AX16),"")</f>
        <v>0</v>
      </c>
      <c r="AP24" s="177">
        <f>IF(A24&gt;0,SUM(MARKS!J16,MARKS!AP16),"")</f>
        <v>0</v>
      </c>
      <c r="AQ24" s="177">
        <f>IF(A24&gt;0,SUM(MARKS!R16,MARKS!AX16),"")</f>
        <v>0</v>
      </c>
      <c r="AR24" s="177">
        <f>IF(A24&gt;0,SUM(MARKS!Z16,MARKS!BF16),"")</f>
        <v>0</v>
      </c>
      <c r="AS24" s="177">
        <f>IF(A24&gt;0,SUM(MARKS!AH16,MARKS!BN16),"")</f>
        <v>15</v>
      </c>
      <c r="AT24" s="178"/>
      <c r="AU24" s="177">
        <f t="shared" si="8"/>
        <v>15</v>
      </c>
      <c r="AV24" s="177" t="str">
        <f t="shared" si="9"/>
        <v>E</v>
      </c>
      <c r="AW24" s="177">
        <f>IF(A24&gt;0,SUM(PASHEET!AQ16,PASHEET!AY16),"")</f>
        <v>1</v>
      </c>
      <c r="AX24" s="177">
        <f>IF(A24&gt;0,SUM(MARKS!K16,MARKS!AQ16),"")</f>
        <v>0</v>
      </c>
      <c r="AY24" s="177">
        <f>IF(A24&gt;0,SUM(MARKS!S16,MARKS!AY16),"")</f>
        <v>0</v>
      </c>
      <c r="AZ24" s="177">
        <f>IF(A24&gt;0,SUM(MARKS!AA16,MARKS!BG16),"")</f>
        <v>0</v>
      </c>
      <c r="BA24" s="177">
        <f>IF(A24&gt;0,SUM(MARKS!AI16,MARKS!BO16),"")</f>
        <v>28</v>
      </c>
      <c r="BB24" s="178"/>
      <c r="BC24" s="177">
        <f t="shared" si="10"/>
        <v>29</v>
      </c>
      <c r="BD24" s="177" t="str">
        <f t="shared" si="11"/>
        <v>E</v>
      </c>
      <c r="BE24" s="177">
        <f t="shared" si="12"/>
        <v>0</v>
      </c>
      <c r="BF24" s="47">
        <f t="shared" si="13"/>
        <v>144</v>
      </c>
      <c r="BG24" s="70">
        <f t="shared" si="14"/>
        <v>24</v>
      </c>
      <c r="BH24" s="177" t="str">
        <f t="shared" si="15"/>
        <v>E</v>
      </c>
      <c r="BI24" s="47">
        <f>IF(A24&gt;0,FLN!I16,"")</f>
        <v>2</v>
      </c>
      <c r="BJ24" s="47">
        <f>IF(A24&gt;0,FLN!J16,"")</f>
        <v>2</v>
      </c>
      <c r="BK24" s="47">
        <f>IF(A24&gt;0,FLN!K16,"")</f>
        <v>3</v>
      </c>
      <c r="BL24" s="47" t="str">
        <f t="shared" si="16"/>
        <v>PROMOTED</v>
      </c>
      <c r="BM24" s="130">
        <f>IF(BF24="","",IFERROR(RANK(BF24,$BF$12:$BF$111,0)+COUNTIFS($BF$12:BF24,BF24)-1,0))</f>
        <v>15</v>
      </c>
      <c r="BN24" s="130">
        <f t="shared" si="17"/>
        <v>144</v>
      </c>
    </row>
    <row r="25" s="98" customFormat="1" ht="27" customHeight="1" spans="1:66">
      <c r="A25" s="47">
        <f>IF(A24=0,0,IF(A24&lt;ENTRY!$D$24,A24+1,0))</f>
        <v>14</v>
      </c>
      <c r="B25" s="47">
        <f>IF(A25&gt;0,STUDENT!F15,"")</f>
        <v>14745</v>
      </c>
      <c r="C25" s="176" t="str">
        <f>IF(A25&gt;0,UPPER(STUDENT!E15),"")</f>
        <v>KARN KUMAR</v>
      </c>
      <c r="D25" s="176" t="str">
        <f>IF(A25&gt;0,UPPER(STUDENT!H15),"")</f>
        <v>MUKESH RAY</v>
      </c>
      <c r="E25" s="47" t="str">
        <f>IF(A25&gt;0,UPPER(STUDENT!BP15),"")</f>
        <v/>
      </c>
      <c r="F25" s="47" t="str">
        <f>IF(A25&gt;0,UPPER(STUDENT!BO15),"")</f>
        <v>FALSE</v>
      </c>
      <c r="G25" s="47" t="str">
        <f>IF(A25&gt;0,UPPER(STUDENT!Q15),"")</f>
        <v/>
      </c>
      <c r="H25" s="69" t="e">
        <f>IF(A25&gt;0,PASHEET!CI17/PASHEET!CJ17*100,"")</f>
        <v>#DIV/0!</v>
      </c>
      <c r="I25" s="177">
        <f>IF(A25&gt;0,SUM(PASHEET!AL17,PASHEET!AT17),"")</f>
        <v>1</v>
      </c>
      <c r="J25" s="177">
        <f>IF(A25&gt;0,SUM(MARKS!F17,MARKS!AL17),"")</f>
        <v>0</v>
      </c>
      <c r="K25" s="177">
        <f>IF(A25&gt;0,SUM(MARKS!N17,MARKS!AT17),"")</f>
        <v>0</v>
      </c>
      <c r="L25" s="177">
        <f>IF(A25&gt;0,SUM(MARKS!V17,MARKS!BB17),"")</f>
        <v>0</v>
      </c>
      <c r="M25" s="177">
        <f>IF(A25&gt;0,SUM(MARKS!AD17,MARKS!BJ17),"")</f>
        <v>31</v>
      </c>
      <c r="N25" s="178"/>
      <c r="O25" s="177">
        <f t="shared" si="0"/>
        <v>32</v>
      </c>
      <c r="P25" s="177" t="str">
        <f t="shared" si="1"/>
        <v>E</v>
      </c>
      <c r="Q25" s="177">
        <f>IF(A25&gt;0,SUM(PASHEET!AM17,PASHEET!AU17),"")</f>
        <v>1</v>
      </c>
      <c r="R25" s="177">
        <f>IF(A25&gt;0,SUM(MARKS!G17,MARKS!AM17),"")</f>
        <v>0</v>
      </c>
      <c r="S25" s="177">
        <f>IF(A25&gt;0,SUM(MARKS!O17,MARKS!AU17),"")</f>
        <v>0</v>
      </c>
      <c r="T25" s="177">
        <f>IF(A25&gt;0,SUM(MARKS!W17,MARKS!BC17),"")</f>
        <v>0</v>
      </c>
      <c r="U25" s="177">
        <f>IF(A25&gt;0,SUM(MARKS!AE17,MARKS!BK17),"")</f>
        <v>15</v>
      </c>
      <c r="V25" s="178"/>
      <c r="W25" s="177">
        <f t="shared" si="2"/>
        <v>16</v>
      </c>
      <c r="X25" s="177" t="str">
        <f t="shared" si="3"/>
        <v>E</v>
      </c>
      <c r="Y25" s="177">
        <f>IF(A25&gt;0,SUM(PASHEET!AN17,PASHEET!AV17),"")</f>
        <v>1</v>
      </c>
      <c r="Z25" s="177">
        <f>IF(A25&gt;0,SUM(MARKS!H17,MARKS!AN17),"")</f>
        <v>0</v>
      </c>
      <c r="AA25" s="177">
        <f>IF(A25&gt;0,SUM(MARKS!P17,MARKS!AV17),"")</f>
        <v>0</v>
      </c>
      <c r="AB25" s="177">
        <f>IF(A25&gt;0,SUM(MARKS!X17,MARKS!BD17),"")</f>
        <v>0</v>
      </c>
      <c r="AC25" s="177">
        <f>IF(A25&gt;0,SUM(MARKS!AF17,MARKS!BL17),"")</f>
        <v>15</v>
      </c>
      <c r="AD25" s="178"/>
      <c r="AE25" s="177">
        <f t="shared" si="4"/>
        <v>16</v>
      </c>
      <c r="AF25" s="177" t="str">
        <f t="shared" si="5"/>
        <v>E</v>
      </c>
      <c r="AG25" s="177">
        <f>IF(A25&gt;0,SUM(PASHEET!AO17,PASHEET!AW17),"")</f>
        <v>1</v>
      </c>
      <c r="AH25" s="177">
        <f>IF(A25&gt;0,SUM(MARKS!I17,MARKS!AO17),"")</f>
        <v>0</v>
      </c>
      <c r="AI25" s="177">
        <f>IF(A25&gt;0,SUM(MARKS!Q17,MARKS!AW17),"")</f>
        <v>0</v>
      </c>
      <c r="AJ25" s="177">
        <f>IF(A25&gt;0,SUM(MARKS!Y17,MARKS!BE17),"")</f>
        <v>0</v>
      </c>
      <c r="AK25" s="177">
        <f>IF(A25&gt;0,SUM(MARKS!AG17,MARKS!BM17),"")</f>
        <v>20</v>
      </c>
      <c r="AL25" s="178"/>
      <c r="AM25" s="177">
        <f t="shared" si="6"/>
        <v>21</v>
      </c>
      <c r="AN25" s="177" t="str">
        <f t="shared" si="7"/>
        <v>E</v>
      </c>
      <c r="AO25" s="177">
        <f>IF(A25&gt;0,SUM(PASHEET!AP17,PASHEET!AX17),"")</f>
        <v>0</v>
      </c>
      <c r="AP25" s="177">
        <f>IF(A25&gt;0,SUM(MARKS!J17,MARKS!AP17),"")</f>
        <v>0</v>
      </c>
      <c r="AQ25" s="177">
        <f>IF(A25&gt;0,SUM(MARKS!R17,MARKS!AX17),"")</f>
        <v>0</v>
      </c>
      <c r="AR25" s="177">
        <f>IF(A25&gt;0,SUM(MARKS!Z17,MARKS!BF17),"")</f>
        <v>0</v>
      </c>
      <c r="AS25" s="177">
        <f>IF(A25&gt;0,SUM(MARKS!AH17,MARKS!BN17),"")</f>
        <v>21</v>
      </c>
      <c r="AT25" s="178"/>
      <c r="AU25" s="177">
        <f t="shared" si="8"/>
        <v>21</v>
      </c>
      <c r="AV25" s="177" t="str">
        <f t="shared" si="9"/>
        <v>E</v>
      </c>
      <c r="AW25" s="177">
        <f>IF(A25&gt;0,SUM(PASHEET!AQ17,PASHEET!AY17),"")</f>
        <v>2</v>
      </c>
      <c r="AX25" s="177">
        <f>IF(A25&gt;0,SUM(MARKS!K17,MARKS!AQ17),"")</f>
        <v>0</v>
      </c>
      <c r="AY25" s="177">
        <f>IF(A25&gt;0,SUM(MARKS!S17,MARKS!AY17),"")</f>
        <v>0</v>
      </c>
      <c r="AZ25" s="177">
        <f>IF(A25&gt;0,SUM(MARKS!AA17,MARKS!BG17),"")</f>
        <v>0</v>
      </c>
      <c r="BA25" s="177">
        <f>IF(A25&gt;0,SUM(MARKS!AI17,MARKS!BO17),"")</f>
        <v>25</v>
      </c>
      <c r="BB25" s="178"/>
      <c r="BC25" s="177">
        <f t="shared" si="10"/>
        <v>27</v>
      </c>
      <c r="BD25" s="177" t="str">
        <f t="shared" si="11"/>
        <v>E</v>
      </c>
      <c r="BE25" s="177">
        <f t="shared" si="12"/>
        <v>0</v>
      </c>
      <c r="BF25" s="47">
        <f t="shared" si="13"/>
        <v>133</v>
      </c>
      <c r="BG25" s="70">
        <f t="shared" si="14"/>
        <v>22.1666666666667</v>
      </c>
      <c r="BH25" s="177" t="str">
        <f t="shared" si="15"/>
        <v>E</v>
      </c>
      <c r="BI25" s="47">
        <f>IF(A25&gt;0,FLN!I17,"")</f>
        <v>2</v>
      </c>
      <c r="BJ25" s="47">
        <f>IF(A25&gt;0,FLN!J17,"")</f>
        <v>2</v>
      </c>
      <c r="BK25" s="47">
        <f>IF(A25&gt;0,FLN!K17,"")</f>
        <v>3</v>
      </c>
      <c r="BL25" s="47" t="str">
        <f t="shared" si="16"/>
        <v>PROMOTED</v>
      </c>
      <c r="BM25" s="130">
        <f>IF(BF25="","",IFERROR(RANK(BF25,$BF$12:$BF$111,0)+COUNTIFS($BF$12:BF25,BF25)-1,0))</f>
        <v>18</v>
      </c>
      <c r="BN25" s="130">
        <f t="shared" si="17"/>
        <v>133</v>
      </c>
    </row>
    <row r="26" s="98" customFormat="1" ht="27" customHeight="1" spans="1:66">
      <c r="A26" s="47">
        <f>IF(A25=0,0,IF(A25&lt;ENTRY!$D$24,A25+1,0))</f>
        <v>15</v>
      </c>
      <c r="B26" s="47">
        <f>IF(A26&gt;0,STUDENT!F16,"")</f>
        <v>14746</v>
      </c>
      <c r="C26" s="176" t="str">
        <f>IF(A26&gt;0,UPPER(STUDENT!E16),"")</f>
        <v>ROKI</v>
      </c>
      <c r="D26" s="176" t="str">
        <f>IF(A26&gt;0,UPPER(STUDENT!H16),"")</f>
        <v>KUAR SINGH</v>
      </c>
      <c r="E26" s="47" t="str">
        <f>IF(A26&gt;0,UPPER(STUDENT!BP16),"")</f>
        <v/>
      </c>
      <c r="F26" s="47" t="str">
        <f>IF(A26&gt;0,UPPER(STUDENT!BO16),"")</f>
        <v>FALSE</v>
      </c>
      <c r="G26" s="47" t="str">
        <f>IF(A26&gt;0,UPPER(STUDENT!Q16),"")</f>
        <v/>
      </c>
      <c r="H26" s="69" t="e">
        <f>IF(A26&gt;0,PASHEET!CI18/PASHEET!CJ18*100,"")</f>
        <v>#DIV/0!</v>
      </c>
      <c r="I26" s="177">
        <f>IF(A26&gt;0,SUM(PASHEET!AL18,PASHEET!AT18),"")</f>
        <v>2</v>
      </c>
      <c r="J26" s="177">
        <f>IF(A26&gt;0,SUM(MARKS!F18,MARKS!AL18),"")</f>
        <v>0</v>
      </c>
      <c r="K26" s="177">
        <f>IF(A26&gt;0,SUM(MARKS!N18,MARKS!AT18),"")</f>
        <v>0</v>
      </c>
      <c r="L26" s="177">
        <f>IF(A26&gt;0,SUM(MARKS!V18,MARKS!BB18),"")</f>
        <v>0</v>
      </c>
      <c r="M26" s="177">
        <f>IF(A26&gt;0,SUM(MARKS!AD18,MARKS!BJ18),"")</f>
        <v>32</v>
      </c>
      <c r="N26" s="178"/>
      <c r="O26" s="177">
        <f t="shared" si="0"/>
        <v>34</v>
      </c>
      <c r="P26" s="177" t="str">
        <f t="shared" si="1"/>
        <v>D</v>
      </c>
      <c r="Q26" s="177">
        <f>IF(A26&gt;0,SUM(PASHEET!AM18,PASHEET!AU18),"")</f>
        <v>1</v>
      </c>
      <c r="R26" s="177">
        <f>IF(A26&gt;0,SUM(MARKS!G18,MARKS!AM18),"")</f>
        <v>0</v>
      </c>
      <c r="S26" s="177">
        <f>IF(A26&gt;0,SUM(MARKS!O18,MARKS!AU18),"")</f>
        <v>0</v>
      </c>
      <c r="T26" s="177">
        <f>IF(A26&gt;0,SUM(MARKS!W18,MARKS!BC18),"")</f>
        <v>0</v>
      </c>
      <c r="U26" s="177">
        <f>IF(A26&gt;0,SUM(MARKS!AE18,MARKS!BK18),"")</f>
        <v>16</v>
      </c>
      <c r="V26" s="178"/>
      <c r="W26" s="177">
        <f t="shared" si="2"/>
        <v>17</v>
      </c>
      <c r="X26" s="177" t="str">
        <f t="shared" si="3"/>
        <v>E</v>
      </c>
      <c r="Y26" s="177">
        <f>IF(A26&gt;0,SUM(PASHEET!AN18,PASHEET!AV18),"")</f>
        <v>2</v>
      </c>
      <c r="Z26" s="177">
        <f>IF(A26&gt;0,SUM(MARKS!H18,MARKS!AN18),"")</f>
        <v>0</v>
      </c>
      <c r="AA26" s="177">
        <f>IF(A26&gt;0,SUM(MARKS!P18,MARKS!AV18),"")</f>
        <v>0</v>
      </c>
      <c r="AB26" s="177">
        <f>IF(A26&gt;0,SUM(MARKS!X18,MARKS!BD18),"")</f>
        <v>0</v>
      </c>
      <c r="AC26" s="177">
        <f>IF(A26&gt;0,SUM(MARKS!AF18,MARKS!BL18),"")</f>
        <v>11</v>
      </c>
      <c r="AD26" s="178"/>
      <c r="AE26" s="177">
        <f t="shared" si="4"/>
        <v>13</v>
      </c>
      <c r="AF26" s="177" t="str">
        <f t="shared" si="5"/>
        <v>E</v>
      </c>
      <c r="AG26" s="177">
        <f>IF(A26&gt;0,SUM(PASHEET!AO18,PASHEET!AW18),"")</f>
        <v>1</v>
      </c>
      <c r="AH26" s="177">
        <f>IF(A26&gt;0,SUM(MARKS!I18,MARKS!AO18),"")</f>
        <v>0</v>
      </c>
      <c r="AI26" s="177">
        <f>IF(A26&gt;0,SUM(MARKS!Q18,MARKS!AW18),"")</f>
        <v>0</v>
      </c>
      <c r="AJ26" s="177">
        <f>IF(A26&gt;0,SUM(MARKS!Y18,MARKS!BE18),"")</f>
        <v>0</v>
      </c>
      <c r="AK26" s="177">
        <f>IF(A26&gt;0,SUM(MARKS!AG18,MARKS!BM18),"")</f>
        <v>13</v>
      </c>
      <c r="AL26" s="178"/>
      <c r="AM26" s="177">
        <f t="shared" si="6"/>
        <v>14</v>
      </c>
      <c r="AN26" s="177" t="str">
        <f t="shared" si="7"/>
        <v>E</v>
      </c>
      <c r="AO26" s="177">
        <f>IF(A26&gt;0,SUM(PASHEET!AP18,PASHEET!AX18),"")</f>
        <v>0</v>
      </c>
      <c r="AP26" s="177">
        <f>IF(A26&gt;0,SUM(MARKS!J18,MARKS!AP18),"")</f>
        <v>0</v>
      </c>
      <c r="AQ26" s="177">
        <f>IF(A26&gt;0,SUM(MARKS!R18,MARKS!AX18),"")</f>
        <v>0</v>
      </c>
      <c r="AR26" s="177">
        <f>IF(A26&gt;0,SUM(MARKS!Z18,MARKS!BF18),"")</f>
        <v>0</v>
      </c>
      <c r="AS26" s="177">
        <f>IF(A26&gt;0,SUM(MARKS!AH18,MARKS!BN18),"")</f>
        <v>13</v>
      </c>
      <c r="AT26" s="178"/>
      <c r="AU26" s="177">
        <f t="shared" si="8"/>
        <v>13</v>
      </c>
      <c r="AV26" s="177" t="str">
        <f t="shared" si="9"/>
        <v>E</v>
      </c>
      <c r="AW26" s="177">
        <f>IF(A26&gt;0,SUM(PASHEET!AQ18,PASHEET!AY18),"")</f>
        <v>2</v>
      </c>
      <c r="AX26" s="177">
        <f>IF(A26&gt;0,SUM(MARKS!K18,MARKS!AQ18),"")</f>
        <v>0</v>
      </c>
      <c r="AY26" s="177">
        <f>IF(A26&gt;0,SUM(MARKS!S18,MARKS!AY18),"")</f>
        <v>0</v>
      </c>
      <c r="AZ26" s="177">
        <f>IF(A26&gt;0,SUM(MARKS!AA18,MARKS!BG18),"")</f>
        <v>0</v>
      </c>
      <c r="BA26" s="177">
        <f>IF(A26&gt;0,SUM(MARKS!AI18,MARKS!BO18),"")</f>
        <v>19</v>
      </c>
      <c r="BB26" s="178"/>
      <c r="BC26" s="177">
        <f t="shared" si="10"/>
        <v>21</v>
      </c>
      <c r="BD26" s="177" t="str">
        <f t="shared" si="11"/>
        <v>E</v>
      </c>
      <c r="BE26" s="177">
        <f t="shared" si="12"/>
        <v>0</v>
      </c>
      <c r="BF26" s="47">
        <f t="shared" si="13"/>
        <v>112</v>
      </c>
      <c r="BG26" s="70">
        <f t="shared" si="14"/>
        <v>18.6666666666667</v>
      </c>
      <c r="BH26" s="177" t="str">
        <f t="shared" si="15"/>
        <v>E</v>
      </c>
      <c r="BI26" s="47">
        <f>IF(A26&gt;0,FLN!I18,"")</f>
        <v>3</v>
      </c>
      <c r="BJ26" s="47">
        <f>IF(A26&gt;0,FLN!J18,"")</f>
        <v>3</v>
      </c>
      <c r="BK26" s="47">
        <f>IF(A26&gt;0,FLN!K18,"")</f>
        <v>4</v>
      </c>
      <c r="BL26" s="47" t="str">
        <f t="shared" si="16"/>
        <v>PROMOTED</v>
      </c>
      <c r="BM26" s="130">
        <f>IF(BF26="","",IFERROR(RANK(BF26,$BF$12:$BF$111,0)+COUNTIFS($BF$12:BF26,BF26)-1,0))</f>
        <v>30</v>
      </c>
      <c r="BN26" s="130">
        <f t="shared" si="17"/>
        <v>112</v>
      </c>
    </row>
    <row r="27" s="98" customFormat="1" ht="27" customHeight="1" spans="1:66">
      <c r="A27" s="47">
        <f>IF(A26=0,0,IF(A26&lt;ENTRY!$D$24,A26+1,0))</f>
        <v>16</v>
      </c>
      <c r="B27" s="47">
        <f>IF(A27&gt;0,STUDENT!F17,"")</f>
        <v>14748</v>
      </c>
      <c r="C27" s="176" t="str">
        <f>IF(A27&gt;0,UPPER(STUDENT!E17),"")</f>
        <v>MD BILAL</v>
      </c>
      <c r="D27" s="176" t="str">
        <f>IF(A27&gt;0,UPPER(STUDENT!H17),"")</f>
        <v>MD AFROJ</v>
      </c>
      <c r="E27" s="47" t="str">
        <f>IF(A27&gt;0,UPPER(STUDENT!BP17),"")</f>
        <v/>
      </c>
      <c r="F27" s="47" t="str">
        <f>IF(A27&gt;0,UPPER(STUDENT!BO17),"")</f>
        <v>FALSE</v>
      </c>
      <c r="G27" s="47" t="str">
        <f>IF(A27&gt;0,UPPER(STUDENT!Q17),"")</f>
        <v/>
      </c>
      <c r="H27" s="69" t="e">
        <f>IF(A27&gt;0,PASHEET!CI19/PASHEET!CJ19*100,"")</f>
        <v>#DIV/0!</v>
      </c>
      <c r="I27" s="177">
        <f>IF(A27&gt;0,SUM(PASHEET!AL19,PASHEET!AT19),"")</f>
        <v>2</v>
      </c>
      <c r="J27" s="177">
        <f>IF(A27&gt;0,SUM(MARKS!F19,MARKS!AL19),"")</f>
        <v>0</v>
      </c>
      <c r="K27" s="177">
        <f>IF(A27&gt;0,SUM(MARKS!N19,MARKS!AT19),"")</f>
        <v>0</v>
      </c>
      <c r="L27" s="177">
        <f>IF(A27&gt;0,SUM(MARKS!V19,MARKS!BB19),"")</f>
        <v>0</v>
      </c>
      <c r="M27" s="177">
        <f>IF(A27&gt;0,SUM(MARKS!AD19,MARKS!BJ19),"")</f>
        <v>51</v>
      </c>
      <c r="N27" s="178"/>
      <c r="O27" s="177">
        <f t="shared" si="0"/>
        <v>53</v>
      </c>
      <c r="P27" s="177" t="str">
        <f t="shared" si="1"/>
        <v>C</v>
      </c>
      <c r="Q27" s="177">
        <f>IF(A27&gt;0,SUM(PASHEET!AM19,PASHEET!AU19),"")</f>
        <v>1</v>
      </c>
      <c r="R27" s="177">
        <f>IF(A27&gt;0,SUM(MARKS!G19,MARKS!AM19),"")</f>
        <v>0</v>
      </c>
      <c r="S27" s="177">
        <f>IF(A27&gt;0,SUM(MARKS!O19,MARKS!AU19),"")</f>
        <v>0</v>
      </c>
      <c r="T27" s="177">
        <f>IF(A27&gt;0,SUM(MARKS!W19,MARKS!BC19),"")</f>
        <v>0</v>
      </c>
      <c r="U27" s="177">
        <f>IF(A27&gt;0,SUM(MARKS!AE19,MARKS!BK19),"")</f>
        <v>15</v>
      </c>
      <c r="V27" s="178"/>
      <c r="W27" s="177">
        <f t="shared" si="2"/>
        <v>16</v>
      </c>
      <c r="X27" s="177" t="str">
        <f t="shared" si="3"/>
        <v>E</v>
      </c>
      <c r="Y27" s="177">
        <f>IF(A27&gt;0,SUM(PASHEET!AN19,PASHEET!AV19),"")</f>
        <v>2</v>
      </c>
      <c r="Z27" s="177">
        <f>IF(A27&gt;0,SUM(MARKS!H19,MARKS!AN19),"")</f>
        <v>0</v>
      </c>
      <c r="AA27" s="177">
        <f>IF(A27&gt;0,SUM(MARKS!P19,MARKS!AV19),"")</f>
        <v>0</v>
      </c>
      <c r="AB27" s="177">
        <f>IF(A27&gt;0,SUM(MARKS!X19,MARKS!BD19),"")</f>
        <v>0</v>
      </c>
      <c r="AC27" s="177">
        <f>IF(A27&gt;0,SUM(MARKS!AF19,MARKS!BL19),"")</f>
        <v>22</v>
      </c>
      <c r="AD27" s="178"/>
      <c r="AE27" s="177">
        <f t="shared" si="4"/>
        <v>24</v>
      </c>
      <c r="AF27" s="177" t="str">
        <f t="shared" si="5"/>
        <v>E</v>
      </c>
      <c r="AG27" s="177">
        <f>IF(A27&gt;0,SUM(PASHEET!AO19,PASHEET!AW19),"")</f>
        <v>1</v>
      </c>
      <c r="AH27" s="177">
        <f>IF(A27&gt;0,SUM(MARKS!I19,MARKS!AO19),"")</f>
        <v>0</v>
      </c>
      <c r="AI27" s="177">
        <f>IF(A27&gt;0,SUM(MARKS!Q19,MARKS!AW19),"")</f>
        <v>0</v>
      </c>
      <c r="AJ27" s="177">
        <f>IF(A27&gt;0,SUM(MARKS!Y19,MARKS!BE19),"")</f>
        <v>0</v>
      </c>
      <c r="AK27" s="177">
        <f>IF(A27&gt;0,SUM(MARKS!AG19,MARKS!BM19),"")</f>
        <v>23</v>
      </c>
      <c r="AL27" s="178"/>
      <c r="AM27" s="177">
        <f t="shared" si="6"/>
        <v>24</v>
      </c>
      <c r="AN27" s="177" t="str">
        <f t="shared" si="7"/>
        <v>E</v>
      </c>
      <c r="AO27" s="177">
        <f>IF(A27&gt;0,SUM(PASHEET!AP19,PASHEET!AX19),"")</f>
        <v>0</v>
      </c>
      <c r="AP27" s="177">
        <f>IF(A27&gt;0,SUM(MARKS!J19,MARKS!AP19),"")</f>
        <v>0</v>
      </c>
      <c r="AQ27" s="177">
        <f>IF(A27&gt;0,SUM(MARKS!R19,MARKS!AX19),"")</f>
        <v>0</v>
      </c>
      <c r="AR27" s="177">
        <f>IF(A27&gt;0,SUM(MARKS!Z19,MARKS!BF19),"")</f>
        <v>0</v>
      </c>
      <c r="AS27" s="177">
        <f>IF(A27&gt;0,SUM(MARKS!AH19,MARKS!BN19),"")</f>
        <v>25</v>
      </c>
      <c r="AT27" s="178"/>
      <c r="AU27" s="177">
        <f t="shared" si="8"/>
        <v>25</v>
      </c>
      <c r="AV27" s="177" t="str">
        <f t="shared" si="9"/>
        <v>E</v>
      </c>
      <c r="AW27" s="177">
        <f>IF(A27&gt;0,SUM(PASHEET!AQ19,PASHEET!AY19),"")</f>
        <v>2</v>
      </c>
      <c r="AX27" s="177">
        <f>IF(A27&gt;0,SUM(MARKS!K19,MARKS!AQ19),"")</f>
        <v>0</v>
      </c>
      <c r="AY27" s="177">
        <f>IF(A27&gt;0,SUM(MARKS!S19,MARKS!AY19),"")</f>
        <v>0</v>
      </c>
      <c r="AZ27" s="177">
        <f>IF(A27&gt;0,SUM(MARKS!AA19,MARKS!BG19),"")</f>
        <v>0</v>
      </c>
      <c r="BA27" s="177">
        <f>IF(A27&gt;0,SUM(MARKS!AI19,MARKS!BO19),"")</f>
        <v>25</v>
      </c>
      <c r="BB27" s="178"/>
      <c r="BC27" s="177">
        <f t="shared" si="10"/>
        <v>27</v>
      </c>
      <c r="BD27" s="177" t="str">
        <f t="shared" si="11"/>
        <v>E</v>
      </c>
      <c r="BE27" s="177">
        <f t="shared" si="12"/>
        <v>0</v>
      </c>
      <c r="BF27" s="47">
        <f t="shared" si="13"/>
        <v>169</v>
      </c>
      <c r="BG27" s="70">
        <f t="shared" si="14"/>
        <v>28.1666666666667</v>
      </c>
      <c r="BH27" s="177" t="str">
        <f t="shared" si="15"/>
        <v>E</v>
      </c>
      <c r="BI27" s="47">
        <f>IF(A27&gt;0,FLN!I19,"")</f>
        <v>2</v>
      </c>
      <c r="BJ27" s="47">
        <f>IF(A27&gt;0,FLN!J19,"")</f>
        <v>2</v>
      </c>
      <c r="BK27" s="47">
        <f>IF(A27&gt;0,FLN!K19,"")</f>
        <v>3</v>
      </c>
      <c r="BL27" s="47" t="str">
        <f t="shared" si="16"/>
        <v>PROMOTED</v>
      </c>
      <c r="BM27" s="130">
        <f>IF(BF27="","",IFERROR(RANK(BF27,$BF$12:$BF$111,0)+COUNTIFS($BF$12:BF27,BF27)-1,0))</f>
        <v>6</v>
      </c>
      <c r="BN27" s="130">
        <f t="shared" si="17"/>
        <v>169</v>
      </c>
    </row>
    <row r="28" s="98" customFormat="1" ht="27" customHeight="1" spans="1:66">
      <c r="A28" s="47">
        <f>IF(A27=0,0,IF(A27&lt;ENTRY!$D$24,A27+1,0))</f>
        <v>17</v>
      </c>
      <c r="B28" s="47">
        <f>IF(A28&gt;0,STUDENT!F18,"")</f>
        <v>14755</v>
      </c>
      <c r="C28" s="176" t="str">
        <f>IF(A28&gt;0,UPPER(STUDENT!E18),"")</f>
        <v>GAURAV KUMAR</v>
      </c>
      <c r="D28" s="176" t="str">
        <f>IF(A28&gt;0,UPPER(STUDENT!H18),"")</f>
        <v>HARINDER YADAV</v>
      </c>
      <c r="E28" s="47" t="str">
        <f>IF(A28&gt;0,UPPER(STUDENT!BP18),"")</f>
        <v/>
      </c>
      <c r="F28" s="47" t="str">
        <f>IF(A28&gt;0,UPPER(STUDENT!BO18),"")</f>
        <v>FALSE</v>
      </c>
      <c r="G28" s="47" t="str">
        <f>IF(A28&gt;0,UPPER(STUDENT!Q18),"")</f>
        <v/>
      </c>
      <c r="H28" s="69" t="e">
        <f>IF(A28&gt;0,PASHEET!CI20/PASHEET!CJ20*100,"")</f>
        <v>#DIV/0!</v>
      </c>
      <c r="I28" s="177">
        <f>IF(A28&gt;0,SUM(PASHEET!AL20,PASHEET!AT20),"")</f>
        <v>2</v>
      </c>
      <c r="J28" s="177">
        <f>IF(A28&gt;0,SUM(MARKS!F20,MARKS!AL20),"")</f>
        <v>0</v>
      </c>
      <c r="K28" s="177">
        <f>IF(A28&gt;0,SUM(MARKS!N20,MARKS!AT20),"")</f>
        <v>0</v>
      </c>
      <c r="L28" s="177">
        <f>IF(A28&gt;0,SUM(MARKS!V20,MARKS!BB20),"")</f>
        <v>0</v>
      </c>
      <c r="M28" s="177">
        <f>IF(A28&gt;0,SUM(MARKS!AD20,MARKS!BJ20),"")</f>
        <v>26</v>
      </c>
      <c r="N28" s="178"/>
      <c r="O28" s="177">
        <f t="shared" si="0"/>
        <v>28</v>
      </c>
      <c r="P28" s="177" t="str">
        <f t="shared" si="1"/>
        <v>E</v>
      </c>
      <c r="Q28" s="177">
        <f>IF(A28&gt;0,SUM(PASHEET!AM20,PASHEET!AU20),"")</f>
        <v>1</v>
      </c>
      <c r="R28" s="177">
        <f>IF(A28&gt;0,SUM(MARKS!G20,MARKS!AM20),"")</f>
        <v>0</v>
      </c>
      <c r="S28" s="177">
        <f>IF(A28&gt;0,SUM(MARKS!O20,MARKS!AU20),"")</f>
        <v>0</v>
      </c>
      <c r="T28" s="177">
        <f>IF(A28&gt;0,SUM(MARKS!W20,MARKS!BC20),"")</f>
        <v>0</v>
      </c>
      <c r="U28" s="177">
        <f>IF(A28&gt;0,SUM(MARKS!AE20,MARKS!BK20),"")</f>
        <v>16</v>
      </c>
      <c r="V28" s="178"/>
      <c r="W28" s="177">
        <f t="shared" si="2"/>
        <v>17</v>
      </c>
      <c r="X28" s="177" t="str">
        <f t="shared" si="3"/>
        <v>E</v>
      </c>
      <c r="Y28" s="177">
        <f>IF(A28&gt;0,SUM(PASHEET!AN20,PASHEET!AV20),"")</f>
        <v>1</v>
      </c>
      <c r="Z28" s="177">
        <f>IF(A28&gt;0,SUM(MARKS!H20,MARKS!AN20),"")</f>
        <v>0</v>
      </c>
      <c r="AA28" s="177">
        <f>IF(A28&gt;0,SUM(MARKS!P20,MARKS!AV20),"")</f>
        <v>0</v>
      </c>
      <c r="AB28" s="177">
        <f>IF(A28&gt;0,SUM(MARKS!X20,MARKS!BD20),"")</f>
        <v>0</v>
      </c>
      <c r="AC28" s="177">
        <f>IF(A28&gt;0,SUM(MARKS!AF20,MARKS!BL20),"")</f>
        <v>11</v>
      </c>
      <c r="AD28" s="178"/>
      <c r="AE28" s="177">
        <f t="shared" si="4"/>
        <v>12</v>
      </c>
      <c r="AF28" s="177" t="str">
        <f t="shared" si="5"/>
        <v>E</v>
      </c>
      <c r="AG28" s="177">
        <f>IF(A28&gt;0,SUM(PASHEET!AO20,PASHEET!AW20),"")</f>
        <v>1</v>
      </c>
      <c r="AH28" s="177">
        <f>IF(A28&gt;0,SUM(MARKS!I20,MARKS!AO20),"")</f>
        <v>0</v>
      </c>
      <c r="AI28" s="177">
        <f>IF(A28&gt;0,SUM(MARKS!Q20,MARKS!AW20),"")</f>
        <v>0</v>
      </c>
      <c r="AJ28" s="177">
        <f>IF(A28&gt;0,SUM(MARKS!Y20,MARKS!BE20),"")</f>
        <v>0</v>
      </c>
      <c r="AK28" s="177">
        <f>IF(A28&gt;0,SUM(MARKS!AG20,MARKS!BM20),"")</f>
        <v>13</v>
      </c>
      <c r="AL28" s="178"/>
      <c r="AM28" s="177">
        <f t="shared" si="6"/>
        <v>14</v>
      </c>
      <c r="AN28" s="177" t="str">
        <f t="shared" si="7"/>
        <v>E</v>
      </c>
      <c r="AO28" s="177">
        <f>IF(A28&gt;0,SUM(PASHEET!AP20,PASHEET!AX20),"")</f>
        <v>0</v>
      </c>
      <c r="AP28" s="177">
        <f>IF(A28&gt;0,SUM(MARKS!J20,MARKS!AP20),"")</f>
        <v>0</v>
      </c>
      <c r="AQ28" s="177">
        <f>IF(A28&gt;0,SUM(MARKS!R20,MARKS!AX20),"")</f>
        <v>0</v>
      </c>
      <c r="AR28" s="177">
        <f>IF(A28&gt;0,SUM(MARKS!Z20,MARKS!BF20),"")</f>
        <v>0</v>
      </c>
      <c r="AS28" s="177">
        <f>IF(A28&gt;0,SUM(MARKS!AH20,MARKS!BN20),"")</f>
        <v>12</v>
      </c>
      <c r="AT28" s="178"/>
      <c r="AU28" s="177">
        <f t="shared" si="8"/>
        <v>12</v>
      </c>
      <c r="AV28" s="177" t="str">
        <f t="shared" si="9"/>
        <v>E</v>
      </c>
      <c r="AW28" s="177">
        <f>IF(A28&gt;0,SUM(PASHEET!AQ20,PASHEET!AY20),"")</f>
        <v>2</v>
      </c>
      <c r="AX28" s="177">
        <f>IF(A28&gt;0,SUM(MARKS!K20,MARKS!AQ20),"")</f>
        <v>0</v>
      </c>
      <c r="AY28" s="177">
        <f>IF(A28&gt;0,SUM(MARKS!S20,MARKS!AY20),"")</f>
        <v>0</v>
      </c>
      <c r="AZ28" s="177">
        <f>IF(A28&gt;0,SUM(MARKS!AA20,MARKS!BG20),"")</f>
        <v>0</v>
      </c>
      <c r="BA28" s="177">
        <f>IF(A28&gt;0,SUM(MARKS!AI20,MARKS!BO20),"")</f>
        <v>22</v>
      </c>
      <c r="BB28" s="178"/>
      <c r="BC28" s="177">
        <f t="shared" si="10"/>
        <v>24</v>
      </c>
      <c r="BD28" s="177" t="str">
        <f t="shared" si="11"/>
        <v>E</v>
      </c>
      <c r="BE28" s="177">
        <f t="shared" si="12"/>
        <v>0</v>
      </c>
      <c r="BF28" s="47">
        <f t="shared" si="13"/>
        <v>107</v>
      </c>
      <c r="BG28" s="70">
        <f t="shared" si="14"/>
        <v>17.8333333333333</v>
      </c>
      <c r="BH28" s="177" t="str">
        <f t="shared" si="15"/>
        <v>E</v>
      </c>
      <c r="BI28" s="47">
        <f>IF(A28&gt;0,FLN!I20,"")</f>
        <v>2</v>
      </c>
      <c r="BJ28" s="47">
        <f>IF(A28&gt;0,FLN!J20,"")</f>
        <v>2</v>
      </c>
      <c r="BK28" s="47">
        <f>IF(A28&gt;0,FLN!K20,"")</f>
        <v>4</v>
      </c>
      <c r="BL28" s="47" t="str">
        <f t="shared" si="16"/>
        <v>PROMOTED</v>
      </c>
      <c r="BM28" s="130">
        <f>IF(BF28="","",IFERROR(RANK(BF28,$BF$12:$BF$111,0)+COUNTIFS($BF$12:BF28,BF28)-1,0))</f>
        <v>34</v>
      </c>
      <c r="BN28" s="130">
        <f t="shared" si="17"/>
        <v>107</v>
      </c>
    </row>
    <row r="29" s="98" customFormat="1" ht="27" customHeight="1" spans="1:66">
      <c r="A29" s="47">
        <f>IF(A28=0,0,IF(A28&lt;ENTRY!$D$24,A28+1,0))</f>
        <v>18</v>
      </c>
      <c r="B29" s="47">
        <f>IF(A29&gt;0,STUDENT!F19,"")</f>
        <v>14756</v>
      </c>
      <c r="C29" s="176" t="str">
        <f>IF(A29&gt;0,UPPER(STUDENT!E19),"")</f>
        <v>SAURAV KUMAR</v>
      </c>
      <c r="D29" s="176" t="str">
        <f>IF(A29&gt;0,UPPER(STUDENT!H19),"")</f>
        <v>HARINDER YADAV</v>
      </c>
      <c r="E29" s="47" t="str">
        <f>IF(A29&gt;0,UPPER(STUDENT!BP19),"")</f>
        <v/>
      </c>
      <c r="F29" s="47" t="str">
        <f>IF(A29&gt;0,UPPER(STUDENT!BO19),"")</f>
        <v>FALSE</v>
      </c>
      <c r="G29" s="47" t="str">
        <f>IF(A29&gt;0,UPPER(STUDENT!Q19),"")</f>
        <v/>
      </c>
      <c r="H29" s="69" t="e">
        <f>IF(A29&gt;0,PASHEET!CI21/PASHEET!CJ21*100,"")</f>
        <v>#DIV/0!</v>
      </c>
      <c r="I29" s="177">
        <f>IF(A29&gt;0,SUM(PASHEET!AL21,PASHEET!AT21),"")</f>
        <v>1</v>
      </c>
      <c r="J29" s="177">
        <f>IF(A29&gt;0,SUM(MARKS!F21,MARKS!AL21),"")</f>
        <v>0</v>
      </c>
      <c r="K29" s="177">
        <f>IF(A29&gt;0,SUM(MARKS!N21,MARKS!AT21),"")</f>
        <v>0</v>
      </c>
      <c r="L29" s="177">
        <f>IF(A29&gt;0,SUM(MARKS!V21,MARKS!BB21),"")</f>
        <v>0</v>
      </c>
      <c r="M29" s="177">
        <f>IF(A29&gt;0,SUM(MARKS!AD21,MARKS!BJ21),"")</f>
        <v>25</v>
      </c>
      <c r="N29" s="178"/>
      <c r="O29" s="177">
        <f t="shared" si="0"/>
        <v>26</v>
      </c>
      <c r="P29" s="177" t="str">
        <f t="shared" si="1"/>
        <v>E</v>
      </c>
      <c r="Q29" s="177">
        <f>IF(A29&gt;0,SUM(PASHEET!AM21,PASHEET!AU21),"")</f>
        <v>1</v>
      </c>
      <c r="R29" s="177">
        <f>IF(A29&gt;0,SUM(MARKS!G21,MARKS!AM21),"")</f>
        <v>0</v>
      </c>
      <c r="S29" s="177">
        <f>IF(A29&gt;0,SUM(MARKS!O21,MARKS!AU21),"")</f>
        <v>0</v>
      </c>
      <c r="T29" s="177">
        <f>IF(A29&gt;0,SUM(MARKS!W21,MARKS!BC21),"")</f>
        <v>0</v>
      </c>
      <c r="U29" s="177">
        <f>IF(A29&gt;0,SUM(MARKS!AE21,MARKS!BK21),"")</f>
        <v>13</v>
      </c>
      <c r="V29" s="178"/>
      <c r="W29" s="177">
        <f t="shared" si="2"/>
        <v>14</v>
      </c>
      <c r="X29" s="177" t="str">
        <f t="shared" si="3"/>
        <v>E</v>
      </c>
      <c r="Y29" s="177">
        <f>IF(A29&gt;0,SUM(PASHEET!AN21,PASHEET!AV21),"")</f>
        <v>1</v>
      </c>
      <c r="Z29" s="177">
        <f>IF(A29&gt;0,SUM(MARKS!H21,MARKS!AN21),"")</f>
        <v>0</v>
      </c>
      <c r="AA29" s="177">
        <f>IF(A29&gt;0,SUM(MARKS!P21,MARKS!AV21),"")</f>
        <v>0</v>
      </c>
      <c r="AB29" s="177">
        <f>IF(A29&gt;0,SUM(MARKS!X21,MARKS!BD21),"")</f>
        <v>0</v>
      </c>
      <c r="AC29" s="177">
        <f>IF(A29&gt;0,SUM(MARKS!AF21,MARKS!BL21),"")</f>
        <v>17</v>
      </c>
      <c r="AD29" s="178"/>
      <c r="AE29" s="177">
        <f t="shared" si="4"/>
        <v>18</v>
      </c>
      <c r="AF29" s="177" t="str">
        <f t="shared" si="5"/>
        <v>E</v>
      </c>
      <c r="AG29" s="177">
        <f>IF(A29&gt;0,SUM(PASHEET!AO21,PASHEET!AW21),"")</f>
        <v>1</v>
      </c>
      <c r="AH29" s="177">
        <f>IF(A29&gt;0,SUM(MARKS!I21,MARKS!AO21),"")</f>
        <v>0</v>
      </c>
      <c r="AI29" s="177">
        <f>IF(A29&gt;0,SUM(MARKS!Q21,MARKS!AW21),"")</f>
        <v>0</v>
      </c>
      <c r="AJ29" s="177">
        <f>IF(A29&gt;0,SUM(MARKS!Y21,MARKS!BE21),"")</f>
        <v>0</v>
      </c>
      <c r="AK29" s="177">
        <f>IF(A29&gt;0,SUM(MARKS!AG21,MARKS!BM21),"")</f>
        <v>13</v>
      </c>
      <c r="AL29" s="178"/>
      <c r="AM29" s="177">
        <f t="shared" si="6"/>
        <v>14</v>
      </c>
      <c r="AN29" s="177" t="str">
        <f t="shared" si="7"/>
        <v>E</v>
      </c>
      <c r="AO29" s="177">
        <f>IF(A29&gt;0,SUM(PASHEET!AP21,PASHEET!AX21),"")</f>
        <v>0</v>
      </c>
      <c r="AP29" s="177">
        <f>IF(A29&gt;0,SUM(MARKS!J21,MARKS!AP21),"")</f>
        <v>0</v>
      </c>
      <c r="AQ29" s="177">
        <f>IF(A29&gt;0,SUM(MARKS!R21,MARKS!AX21),"")</f>
        <v>0</v>
      </c>
      <c r="AR29" s="177">
        <f>IF(A29&gt;0,SUM(MARKS!Z21,MARKS!BF21),"")</f>
        <v>0</v>
      </c>
      <c r="AS29" s="177">
        <f>IF(A29&gt;0,SUM(MARKS!AH21,MARKS!BN21),"")</f>
        <v>13</v>
      </c>
      <c r="AT29" s="178"/>
      <c r="AU29" s="177">
        <f t="shared" si="8"/>
        <v>13</v>
      </c>
      <c r="AV29" s="177" t="str">
        <f t="shared" si="9"/>
        <v>E</v>
      </c>
      <c r="AW29" s="177">
        <f>IF(A29&gt;0,SUM(PASHEET!AQ21,PASHEET!AY21),"")</f>
        <v>1</v>
      </c>
      <c r="AX29" s="177">
        <f>IF(A29&gt;0,SUM(MARKS!K21,MARKS!AQ21),"")</f>
        <v>0</v>
      </c>
      <c r="AY29" s="177">
        <f>IF(A29&gt;0,SUM(MARKS!S21,MARKS!AY21),"")</f>
        <v>0</v>
      </c>
      <c r="AZ29" s="177">
        <f>IF(A29&gt;0,SUM(MARKS!AA21,MARKS!BG21),"")</f>
        <v>0</v>
      </c>
      <c r="BA29" s="177">
        <f>IF(A29&gt;0,SUM(MARKS!AI21,MARKS!BO21),"")</f>
        <v>23</v>
      </c>
      <c r="BB29" s="178"/>
      <c r="BC29" s="177">
        <f t="shared" si="10"/>
        <v>24</v>
      </c>
      <c r="BD29" s="177" t="str">
        <f t="shared" si="11"/>
        <v>E</v>
      </c>
      <c r="BE29" s="177">
        <f t="shared" si="12"/>
        <v>0</v>
      </c>
      <c r="BF29" s="47">
        <f t="shared" si="13"/>
        <v>109</v>
      </c>
      <c r="BG29" s="70">
        <f t="shared" si="14"/>
        <v>18.1666666666667</v>
      </c>
      <c r="BH29" s="177" t="str">
        <f t="shared" si="15"/>
        <v>E</v>
      </c>
      <c r="BI29" s="47">
        <f>IF(A29&gt;0,FLN!I21,"")</f>
        <v>2</v>
      </c>
      <c r="BJ29" s="47">
        <f>IF(A29&gt;0,FLN!J21,"")</f>
        <v>2</v>
      </c>
      <c r="BK29" s="47">
        <f>IF(A29&gt;0,FLN!K21,"")</f>
        <v>4</v>
      </c>
      <c r="BL29" s="47" t="str">
        <f t="shared" si="16"/>
        <v>PROMOTED</v>
      </c>
      <c r="BM29" s="130">
        <f>IF(BF29="","",IFERROR(RANK(BF29,$BF$12:$BF$111,0)+COUNTIFS($BF$12:BF29,BF29)-1,0))</f>
        <v>33</v>
      </c>
      <c r="BN29" s="130">
        <f t="shared" si="17"/>
        <v>109</v>
      </c>
    </row>
    <row r="30" s="98" customFormat="1" ht="27" customHeight="1" spans="1:66">
      <c r="A30" s="47">
        <f>IF(A29=0,0,IF(A29&lt;ENTRY!$D$24,A29+1,0))</f>
        <v>19</v>
      </c>
      <c r="B30" s="47">
        <f>IF(A30&gt;0,STUDENT!F20,"")</f>
        <v>14758</v>
      </c>
      <c r="C30" s="176" t="str">
        <f>IF(A30&gt;0,UPPER(STUDENT!E20),"")</f>
        <v>HANAM AYUBI</v>
      </c>
      <c r="D30" s="176" t="str">
        <f>IF(A30&gt;0,UPPER(STUDENT!H20),"")</f>
        <v>MD PARWEZ</v>
      </c>
      <c r="E30" s="47" t="str">
        <f>IF(A30&gt;0,UPPER(STUDENT!BP20),"")</f>
        <v/>
      </c>
      <c r="F30" s="47" t="str">
        <f>IF(A30&gt;0,UPPER(STUDENT!BO20),"")</f>
        <v>FALSE</v>
      </c>
      <c r="G30" s="47" t="str">
        <f>IF(A30&gt;0,UPPER(STUDENT!Q20),"")</f>
        <v/>
      </c>
      <c r="H30" s="69" t="e">
        <f>IF(A30&gt;0,PASHEET!CI22/PASHEET!CJ22*100,"")</f>
        <v>#DIV/0!</v>
      </c>
      <c r="I30" s="177">
        <f>IF(A30&gt;0,SUM(PASHEET!AL22,PASHEET!AT22),"")</f>
        <v>1</v>
      </c>
      <c r="J30" s="177">
        <f>IF(A30&gt;0,SUM(MARKS!F22,MARKS!AL22),"")</f>
        <v>0</v>
      </c>
      <c r="K30" s="177">
        <f>IF(A30&gt;0,SUM(MARKS!N22,MARKS!AT22),"")</f>
        <v>0</v>
      </c>
      <c r="L30" s="177">
        <f>IF(A30&gt;0,SUM(MARKS!V22,MARKS!BB22),"")</f>
        <v>0</v>
      </c>
      <c r="M30" s="177">
        <f>IF(A30&gt;0,SUM(MARKS!AD22,MARKS!BJ22),"")</f>
        <v>51</v>
      </c>
      <c r="N30" s="178"/>
      <c r="O30" s="177">
        <f t="shared" si="0"/>
        <v>52</v>
      </c>
      <c r="P30" s="177" t="str">
        <f t="shared" si="1"/>
        <v>C</v>
      </c>
      <c r="Q30" s="177">
        <f>IF(A30&gt;0,SUM(PASHEET!AM22,PASHEET!AU22),"")</f>
        <v>1</v>
      </c>
      <c r="R30" s="177">
        <f>IF(A30&gt;0,SUM(MARKS!G22,MARKS!AM22),"")</f>
        <v>0</v>
      </c>
      <c r="S30" s="177">
        <f>IF(A30&gt;0,SUM(MARKS!O22,MARKS!AU22),"")</f>
        <v>0</v>
      </c>
      <c r="T30" s="177">
        <f>IF(A30&gt;0,SUM(MARKS!W22,MARKS!BC22),"")</f>
        <v>0</v>
      </c>
      <c r="U30" s="177">
        <f>IF(A30&gt;0,SUM(MARKS!AE22,MARKS!BK22),"")</f>
        <v>27</v>
      </c>
      <c r="V30" s="178"/>
      <c r="W30" s="177">
        <f t="shared" si="2"/>
        <v>28</v>
      </c>
      <c r="X30" s="177" t="str">
        <f t="shared" si="3"/>
        <v>E</v>
      </c>
      <c r="Y30" s="177">
        <f>IF(A30&gt;0,SUM(PASHEET!AN22,PASHEET!AV22),"")</f>
        <v>1</v>
      </c>
      <c r="Z30" s="177">
        <f>IF(A30&gt;0,SUM(MARKS!H22,MARKS!AN22),"")</f>
        <v>0</v>
      </c>
      <c r="AA30" s="177">
        <f>IF(A30&gt;0,SUM(MARKS!P22,MARKS!AV22),"")</f>
        <v>0</v>
      </c>
      <c r="AB30" s="177">
        <f>IF(A30&gt;0,SUM(MARKS!X22,MARKS!BD22),"")</f>
        <v>0</v>
      </c>
      <c r="AC30" s="177">
        <f>IF(A30&gt;0,SUM(MARKS!AF22,MARKS!BL22),"")</f>
        <v>22</v>
      </c>
      <c r="AD30" s="178"/>
      <c r="AE30" s="177">
        <f t="shared" si="4"/>
        <v>23</v>
      </c>
      <c r="AF30" s="177" t="str">
        <f t="shared" si="5"/>
        <v>E</v>
      </c>
      <c r="AG30" s="177">
        <f>IF(A30&gt;0,SUM(PASHEET!AO22,PASHEET!AW22),"")</f>
        <v>1</v>
      </c>
      <c r="AH30" s="177">
        <f>IF(A30&gt;0,SUM(MARKS!I22,MARKS!AO22),"")</f>
        <v>0</v>
      </c>
      <c r="AI30" s="177">
        <f>IF(A30&gt;0,SUM(MARKS!Q22,MARKS!AW22),"")</f>
        <v>0</v>
      </c>
      <c r="AJ30" s="177">
        <f>IF(A30&gt;0,SUM(MARKS!Y22,MARKS!BE22),"")</f>
        <v>0</v>
      </c>
      <c r="AK30" s="177">
        <f>IF(A30&gt;0,SUM(MARKS!AG22,MARKS!BM22),"")</f>
        <v>26</v>
      </c>
      <c r="AL30" s="178"/>
      <c r="AM30" s="177">
        <f t="shared" si="6"/>
        <v>27</v>
      </c>
      <c r="AN30" s="177" t="str">
        <f t="shared" si="7"/>
        <v>E</v>
      </c>
      <c r="AO30" s="177">
        <f>IF(A30&gt;0,SUM(PASHEET!AP22,PASHEET!AX22),"")</f>
        <v>0</v>
      </c>
      <c r="AP30" s="177">
        <f>IF(A30&gt;0,SUM(MARKS!J22,MARKS!AP22),"")</f>
        <v>0</v>
      </c>
      <c r="AQ30" s="177">
        <f>IF(A30&gt;0,SUM(MARKS!R22,MARKS!AX22),"")</f>
        <v>0</v>
      </c>
      <c r="AR30" s="177">
        <f>IF(A30&gt;0,SUM(MARKS!Z22,MARKS!BF22),"")</f>
        <v>0</v>
      </c>
      <c r="AS30" s="177">
        <f>IF(A30&gt;0,SUM(MARKS!AH22,MARKS!BN22),"")</f>
        <v>25</v>
      </c>
      <c r="AT30" s="178"/>
      <c r="AU30" s="177">
        <f t="shared" si="8"/>
        <v>25</v>
      </c>
      <c r="AV30" s="177" t="str">
        <f t="shared" si="9"/>
        <v>E</v>
      </c>
      <c r="AW30" s="177">
        <f>IF(A30&gt;0,SUM(PASHEET!AQ22,PASHEET!AY22),"")</f>
        <v>1</v>
      </c>
      <c r="AX30" s="177">
        <f>IF(A30&gt;0,SUM(MARKS!K22,MARKS!AQ22),"")</f>
        <v>0</v>
      </c>
      <c r="AY30" s="177">
        <f>IF(A30&gt;0,SUM(MARKS!S22,MARKS!AY22),"")</f>
        <v>0</v>
      </c>
      <c r="AZ30" s="177">
        <f>IF(A30&gt;0,SUM(MARKS!AA22,MARKS!BG22),"")</f>
        <v>0</v>
      </c>
      <c r="BA30" s="177">
        <f>IF(A30&gt;0,SUM(MARKS!AI22,MARKS!BO22),"")</f>
        <v>28</v>
      </c>
      <c r="BB30" s="178"/>
      <c r="BC30" s="177">
        <f t="shared" si="10"/>
        <v>29</v>
      </c>
      <c r="BD30" s="177" t="str">
        <f t="shared" si="11"/>
        <v>E</v>
      </c>
      <c r="BE30" s="177">
        <f t="shared" si="12"/>
        <v>0</v>
      </c>
      <c r="BF30" s="47">
        <f t="shared" si="13"/>
        <v>184</v>
      </c>
      <c r="BG30" s="70">
        <f t="shared" si="14"/>
        <v>30.6666666666667</v>
      </c>
      <c r="BH30" s="177" t="str">
        <f t="shared" si="15"/>
        <v>E</v>
      </c>
      <c r="BI30" s="47">
        <f>IF(A30&gt;0,FLN!I22,"")</f>
        <v>2</v>
      </c>
      <c r="BJ30" s="47">
        <f>IF(A30&gt;0,FLN!J22,"")</f>
        <v>2</v>
      </c>
      <c r="BK30" s="47">
        <f>IF(A30&gt;0,FLN!K22,"")</f>
        <v>3</v>
      </c>
      <c r="BL30" s="47" t="str">
        <f t="shared" si="16"/>
        <v>SECOND</v>
      </c>
      <c r="BM30" s="130">
        <f>IF(BF30="","",IFERROR(RANK(BF30,$BF$12:$BF$111,0)+COUNTIFS($BF$12:BF30,BF30)-1,0))</f>
        <v>2</v>
      </c>
      <c r="BN30" s="130">
        <f t="shared" si="17"/>
        <v>184</v>
      </c>
    </row>
    <row r="31" s="98" customFormat="1" ht="27" customHeight="1" spans="1:66">
      <c r="A31" s="47">
        <f>IF(A30=0,0,IF(A30&lt;ENTRY!$D$24,A30+1,0))</f>
        <v>20</v>
      </c>
      <c r="B31" s="47">
        <f>IF(A31&gt;0,STUDENT!F21,"")</f>
        <v>14768</v>
      </c>
      <c r="C31" s="176" t="str">
        <f>IF(A31&gt;0,UPPER(STUDENT!E21),"")</f>
        <v>ANKUR</v>
      </c>
      <c r="D31" s="176" t="str">
        <f>IF(A31&gt;0,UPPER(STUDENT!H21),"")</f>
        <v>ASHOK KUMAR GUPTA</v>
      </c>
      <c r="E31" s="47" t="str">
        <f>IF(A31&gt;0,UPPER(STUDENT!BP21),"")</f>
        <v/>
      </c>
      <c r="F31" s="47" t="str">
        <f>IF(A31&gt;0,UPPER(STUDENT!BO21),"")</f>
        <v>FALSE</v>
      </c>
      <c r="G31" s="47" t="str">
        <f>IF(A31&gt;0,UPPER(STUDENT!Q21),"")</f>
        <v/>
      </c>
      <c r="H31" s="69" t="e">
        <f>IF(A31&gt;0,PASHEET!CI23/PASHEET!CJ23*100,"")</f>
        <v>#DIV/0!</v>
      </c>
      <c r="I31" s="177">
        <f>IF(A31&gt;0,SUM(PASHEET!AL23,PASHEET!AT23),"")</f>
        <v>1</v>
      </c>
      <c r="J31" s="177">
        <f>IF(A31&gt;0,SUM(MARKS!F23,MARKS!AL23),"")</f>
        <v>0</v>
      </c>
      <c r="K31" s="177">
        <f>IF(A31&gt;0,SUM(MARKS!N23,MARKS!AT23),"")</f>
        <v>0</v>
      </c>
      <c r="L31" s="177">
        <f>IF(A31&gt;0,SUM(MARKS!V23,MARKS!BB23),"")</f>
        <v>0</v>
      </c>
      <c r="M31" s="177">
        <f>IF(A31&gt;0,SUM(MARKS!AD23,MARKS!BJ23),"")</f>
        <v>30</v>
      </c>
      <c r="N31" s="178"/>
      <c r="O31" s="177">
        <f t="shared" si="0"/>
        <v>31</v>
      </c>
      <c r="P31" s="177" t="str">
        <f t="shared" si="1"/>
        <v>E</v>
      </c>
      <c r="Q31" s="177">
        <f>IF(A31&gt;0,SUM(PASHEET!AM23,PASHEET!AU23),"")</f>
        <v>1</v>
      </c>
      <c r="R31" s="177">
        <f>IF(A31&gt;0,SUM(MARKS!G23,MARKS!AM23),"")</f>
        <v>0</v>
      </c>
      <c r="S31" s="177">
        <f>IF(A31&gt;0,SUM(MARKS!O23,MARKS!AU23),"")</f>
        <v>0</v>
      </c>
      <c r="T31" s="177">
        <f>IF(A31&gt;0,SUM(MARKS!W23,MARKS!BC23),"")</f>
        <v>0</v>
      </c>
      <c r="U31" s="177">
        <f>IF(A31&gt;0,SUM(MARKS!AE23,MARKS!BK23),"")</f>
        <v>13</v>
      </c>
      <c r="V31" s="178"/>
      <c r="W31" s="177">
        <f t="shared" si="2"/>
        <v>14</v>
      </c>
      <c r="X31" s="177" t="str">
        <f t="shared" si="3"/>
        <v>E</v>
      </c>
      <c r="Y31" s="177">
        <f>IF(A31&gt;0,SUM(PASHEET!AN23,PASHEET!AV23),"")</f>
        <v>1</v>
      </c>
      <c r="Z31" s="177">
        <f>IF(A31&gt;0,SUM(MARKS!H23,MARKS!AN23),"")</f>
        <v>0</v>
      </c>
      <c r="AA31" s="177">
        <f>IF(A31&gt;0,SUM(MARKS!P23,MARKS!AV23),"")</f>
        <v>0</v>
      </c>
      <c r="AB31" s="177">
        <f>IF(A31&gt;0,SUM(MARKS!X23,MARKS!BD23),"")</f>
        <v>0</v>
      </c>
      <c r="AC31" s="177">
        <f>IF(A31&gt;0,SUM(MARKS!AF23,MARKS!BL23),"")</f>
        <v>18</v>
      </c>
      <c r="AD31" s="178"/>
      <c r="AE31" s="177">
        <f t="shared" si="4"/>
        <v>19</v>
      </c>
      <c r="AF31" s="177" t="str">
        <f t="shared" si="5"/>
        <v>E</v>
      </c>
      <c r="AG31" s="177">
        <f>IF(A31&gt;0,SUM(PASHEET!AO23,PASHEET!AW23),"")</f>
        <v>1</v>
      </c>
      <c r="AH31" s="177">
        <f>IF(A31&gt;0,SUM(MARKS!I23,MARKS!AO23),"")</f>
        <v>0</v>
      </c>
      <c r="AI31" s="177">
        <f>IF(A31&gt;0,SUM(MARKS!Q23,MARKS!AW23),"")</f>
        <v>0</v>
      </c>
      <c r="AJ31" s="177">
        <f>IF(A31&gt;0,SUM(MARKS!Y23,MARKS!BE23),"")</f>
        <v>0</v>
      </c>
      <c r="AK31" s="177">
        <f>IF(A31&gt;0,SUM(MARKS!AG23,MARKS!BM23),"")</f>
        <v>18</v>
      </c>
      <c r="AL31" s="178"/>
      <c r="AM31" s="177">
        <f t="shared" si="6"/>
        <v>19</v>
      </c>
      <c r="AN31" s="177" t="str">
        <f t="shared" si="7"/>
        <v>E</v>
      </c>
      <c r="AO31" s="177">
        <f>IF(A31&gt;0,SUM(PASHEET!AP23,PASHEET!AX23),"")</f>
        <v>0</v>
      </c>
      <c r="AP31" s="177">
        <f>IF(A31&gt;0,SUM(MARKS!J23,MARKS!AP23),"")</f>
        <v>0</v>
      </c>
      <c r="AQ31" s="177">
        <f>IF(A31&gt;0,SUM(MARKS!R23,MARKS!AX23),"")</f>
        <v>0</v>
      </c>
      <c r="AR31" s="177">
        <f>IF(A31&gt;0,SUM(MARKS!Z23,MARKS!BF23),"")</f>
        <v>0</v>
      </c>
      <c r="AS31" s="177">
        <f>IF(A31&gt;0,SUM(MARKS!AH23,MARKS!BN23),"")</f>
        <v>22</v>
      </c>
      <c r="AT31" s="178"/>
      <c r="AU31" s="177">
        <f t="shared" si="8"/>
        <v>22</v>
      </c>
      <c r="AV31" s="177" t="str">
        <f t="shared" si="9"/>
        <v>E</v>
      </c>
      <c r="AW31" s="177">
        <f>IF(A31&gt;0,SUM(PASHEET!AQ23,PASHEET!AY23),"")</f>
        <v>2</v>
      </c>
      <c r="AX31" s="177">
        <f>IF(A31&gt;0,SUM(MARKS!K23,MARKS!AQ23),"")</f>
        <v>0</v>
      </c>
      <c r="AY31" s="177">
        <f>IF(A31&gt;0,SUM(MARKS!S23,MARKS!AY23),"")</f>
        <v>0</v>
      </c>
      <c r="AZ31" s="177">
        <f>IF(A31&gt;0,SUM(MARKS!AA23,MARKS!BG23),"")</f>
        <v>0</v>
      </c>
      <c r="BA31" s="177">
        <f>IF(A31&gt;0,SUM(MARKS!AI23,MARKS!BO23),"")</f>
        <v>20</v>
      </c>
      <c r="BB31" s="178"/>
      <c r="BC31" s="177">
        <f t="shared" si="10"/>
        <v>22</v>
      </c>
      <c r="BD31" s="177" t="str">
        <f t="shared" si="11"/>
        <v>E</v>
      </c>
      <c r="BE31" s="177">
        <f t="shared" si="12"/>
        <v>0</v>
      </c>
      <c r="BF31" s="47">
        <f t="shared" si="13"/>
        <v>127</v>
      </c>
      <c r="BG31" s="70">
        <f t="shared" si="14"/>
        <v>21.1666666666667</v>
      </c>
      <c r="BH31" s="177" t="str">
        <f t="shared" si="15"/>
        <v>E</v>
      </c>
      <c r="BI31" s="47">
        <f>IF(A31&gt;0,FLN!I23,"")</f>
        <v>2</v>
      </c>
      <c r="BJ31" s="47">
        <f>IF(A31&gt;0,FLN!J23,"")</f>
        <v>2</v>
      </c>
      <c r="BK31" s="47">
        <f>IF(A31&gt;0,FLN!K23,"")</f>
        <v>3</v>
      </c>
      <c r="BL31" s="47" t="str">
        <f t="shared" si="16"/>
        <v>PROMOTED</v>
      </c>
      <c r="BM31" s="130">
        <f>IF(BF31="","",IFERROR(RANK(BF31,$BF$12:$BF$111,0)+COUNTIFS($BF$12:BF31,BF31)-1,0))</f>
        <v>20</v>
      </c>
      <c r="BN31" s="130">
        <f t="shared" si="17"/>
        <v>127</v>
      </c>
    </row>
    <row r="32" s="98" customFormat="1" ht="27" customHeight="1" spans="1:66">
      <c r="A32" s="47">
        <f>IF(A31=0,0,IF(A31&lt;ENTRY!$D$24,A31+1,0))</f>
        <v>21</v>
      </c>
      <c r="B32" s="47">
        <f>IF(A32&gt;0,STUDENT!F22,"")</f>
        <v>14792</v>
      </c>
      <c r="C32" s="176" t="str">
        <f>IF(A32&gt;0,UPPER(STUDENT!E22),"")</f>
        <v>SOBHIT PASWAN</v>
      </c>
      <c r="D32" s="176" t="str">
        <f>IF(A32&gt;0,UPPER(STUDENT!H22),"")</f>
        <v>SHANKAR PASWAN</v>
      </c>
      <c r="E32" s="47" t="str">
        <f>IF(A32&gt;0,UPPER(STUDENT!BP22),"")</f>
        <v/>
      </c>
      <c r="F32" s="47" t="str">
        <f>IF(A32&gt;0,UPPER(STUDENT!BO22),"")</f>
        <v>FALSE</v>
      </c>
      <c r="G32" s="47" t="str">
        <f>IF(A32&gt;0,UPPER(STUDENT!Q22),"")</f>
        <v/>
      </c>
      <c r="H32" s="69" t="e">
        <f>IF(A32&gt;0,PASHEET!CI24/PASHEET!CJ24*100,"")</f>
        <v>#DIV/0!</v>
      </c>
      <c r="I32" s="177">
        <f>IF(A32&gt;0,SUM(PASHEET!AL24,PASHEET!AT24),"")</f>
        <v>1</v>
      </c>
      <c r="J32" s="177">
        <f>IF(A32&gt;0,SUM(MARKS!F24,MARKS!AL24),"")</f>
        <v>0</v>
      </c>
      <c r="K32" s="177">
        <f>IF(A32&gt;0,SUM(MARKS!N24,MARKS!AT24),"")</f>
        <v>0</v>
      </c>
      <c r="L32" s="177">
        <f>IF(A32&gt;0,SUM(MARKS!V24,MARKS!BB24),"")</f>
        <v>0</v>
      </c>
      <c r="M32" s="177">
        <f>IF(A32&gt;0,SUM(MARKS!AD24,MARKS!BJ24),"")</f>
        <v>30</v>
      </c>
      <c r="N32" s="178"/>
      <c r="O32" s="177">
        <f t="shared" si="0"/>
        <v>31</v>
      </c>
      <c r="P32" s="177" t="str">
        <f t="shared" si="1"/>
        <v>E</v>
      </c>
      <c r="Q32" s="177">
        <f>IF(A32&gt;0,SUM(PASHEET!AM24,PASHEET!AU24),"")</f>
        <v>1</v>
      </c>
      <c r="R32" s="177">
        <f>IF(A32&gt;0,SUM(MARKS!G24,MARKS!AM24),"")</f>
        <v>0</v>
      </c>
      <c r="S32" s="177">
        <f>IF(A32&gt;0,SUM(MARKS!O24,MARKS!AU24),"")</f>
        <v>0</v>
      </c>
      <c r="T32" s="177">
        <f>IF(A32&gt;0,SUM(MARKS!W24,MARKS!BC24),"")</f>
        <v>0</v>
      </c>
      <c r="U32" s="177">
        <f>IF(A32&gt;0,SUM(MARKS!AE24,MARKS!BK24),"")</f>
        <v>13</v>
      </c>
      <c r="V32" s="178"/>
      <c r="W32" s="177">
        <f t="shared" si="2"/>
        <v>14</v>
      </c>
      <c r="X32" s="177" t="str">
        <f t="shared" si="3"/>
        <v>E</v>
      </c>
      <c r="Y32" s="177">
        <f>IF(A32&gt;0,SUM(PASHEET!AN24,PASHEET!AV24),"")</f>
        <v>1</v>
      </c>
      <c r="Z32" s="177">
        <f>IF(A32&gt;0,SUM(MARKS!H24,MARKS!AN24),"")</f>
        <v>0</v>
      </c>
      <c r="AA32" s="177">
        <f>IF(A32&gt;0,SUM(MARKS!P24,MARKS!AV24),"")</f>
        <v>0</v>
      </c>
      <c r="AB32" s="177">
        <f>IF(A32&gt;0,SUM(MARKS!X24,MARKS!BD24),"")</f>
        <v>0</v>
      </c>
      <c r="AC32" s="177">
        <f>IF(A32&gt;0,SUM(MARKS!AF24,MARKS!BL24),"")</f>
        <v>13</v>
      </c>
      <c r="AD32" s="178"/>
      <c r="AE32" s="177">
        <f t="shared" si="4"/>
        <v>14</v>
      </c>
      <c r="AF32" s="177" t="str">
        <f t="shared" si="5"/>
        <v>E</v>
      </c>
      <c r="AG32" s="177">
        <f>IF(A32&gt;0,SUM(PASHEET!AO24,PASHEET!AW24),"")</f>
        <v>1</v>
      </c>
      <c r="AH32" s="177">
        <f>IF(A32&gt;0,SUM(MARKS!I24,MARKS!AO24),"")</f>
        <v>0</v>
      </c>
      <c r="AI32" s="177">
        <f>IF(A32&gt;0,SUM(MARKS!Q24,MARKS!AW24),"")</f>
        <v>0</v>
      </c>
      <c r="AJ32" s="177">
        <f>IF(A32&gt;0,SUM(MARKS!Y24,MARKS!BE24),"")</f>
        <v>0</v>
      </c>
      <c r="AK32" s="177">
        <f>IF(A32&gt;0,SUM(MARKS!AG24,MARKS!BM24),"")</f>
        <v>13</v>
      </c>
      <c r="AL32" s="178"/>
      <c r="AM32" s="177">
        <f t="shared" si="6"/>
        <v>14</v>
      </c>
      <c r="AN32" s="177" t="str">
        <f t="shared" si="7"/>
        <v>E</v>
      </c>
      <c r="AO32" s="177">
        <f>IF(A32&gt;0,SUM(PASHEET!AP24,PASHEET!AX24),"")</f>
        <v>0</v>
      </c>
      <c r="AP32" s="177">
        <f>IF(A32&gt;0,SUM(MARKS!J24,MARKS!AP24),"")</f>
        <v>0</v>
      </c>
      <c r="AQ32" s="177">
        <f>IF(A32&gt;0,SUM(MARKS!R24,MARKS!AX24),"")</f>
        <v>0</v>
      </c>
      <c r="AR32" s="177">
        <f>IF(A32&gt;0,SUM(MARKS!Z24,MARKS!BF24),"")</f>
        <v>0</v>
      </c>
      <c r="AS32" s="177">
        <f>IF(A32&gt;0,SUM(MARKS!AH24,MARKS!BN24),"")</f>
        <v>13</v>
      </c>
      <c r="AT32" s="178"/>
      <c r="AU32" s="177">
        <f t="shared" si="8"/>
        <v>13</v>
      </c>
      <c r="AV32" s="177" t="str">
        <f t="shared" si="9"/>
        <v>E</v>
      </c>
      <c r="AW32" s="177">
        <f>IF(A32&gt;0,SUM(PASHEET!AQ24,PASHEET!AY24),"")</f>
        <v>2</v>
      </c>
      <c r="AX32" s="177">
        <f>IF(A32&gt;0,SUM(MARKS!K24,MARKS!AQ24),"")</f>
        <v>0</v>
      </c>
      <c r="AY32" s="177">
        <f>IF(A32&gt;0,SUM(MARKS!S24,MARKS!AY24),"")</f>
        <v>0</v>
      </c>
      <c r="AZ32" s="177">
        <f>IF(A32&gt;0,SUM(MARKS!AA24,MARKS!BG24),"")</f>
        <v>0</v>
      </c>
      <c r="BA32" s="177">
        <f>IF(A32&gt;0,SUM(MARKS!AI24,MARKS!BO24),"")</f>
        <v>18</v>
      </c>
      <c r="BB32" s="178"/>
      <c r="BC32" s="177">
        <f t="shared" si="10"/>
        <v>20</v>
      </c>
      <c r="BD32" s="177" t="str">
        <f t="shared" si="11"/>
        <v>E</v>
      </c>
      <c r="BE32" s="177">
        <f t="shared" si="12"/>
        <v>0</v>
      </c>
      <c r="BF32" s="47">
        <f t="shared" si="13"/>
        <v>106</v>
      </c>
      <c r="BG32" s="70">
        <f t="shared" si="14"/>
        <v>17.6666666666667</v>
      </c>
      <c r="BH32" s="177" t="str">
        <f t="shared" si="15"/>
        <v>E</v>
      </c>
      <c r="BI32" s="47">
        <f>IF(A32&gt;0,FLN!I24,"")</f>
        <v>2</v>
      </c>
      <c r="BJ32" s="47">
        <f>IF(A32&gt;0,FLN!J24,"")</f>
        <v>2</v>
      </c>
      <c r="BK32" s="47">
        <f>IF(A32&gt;0,FLN!K24,"")</f>
        <v>3</v>
      </c>
      <c r="BL32" s="47" t="str">
        <f t="shared" si="16"/>
        <v>PROMOTED</v>
      </c>
      <c r="BM32" s="130">
        <f>IF(BF32="","",IFERROR(RANK(BF32,$BF$12:$BF$111,0)+COUNTIFS($BF$12:BF32,BF32)-1,0))</f>
        <v>36</v>
      </c>
      <c r="BN32" s="130">
        <f t="shared" si="17"/>
        <v>106</v>
      </c>
    </row>
    <row r="33" s="98" customFormat="1" ht="27" customHeight="1" spans="1:66">
      <c r="A33" s="47">
        <f>IF(A32=0,0,IF(A32&lt;ENTRY!$D$24,A32+1,0))</f>
        <v>22</v>
      </c>
      <c r="B33" s="47">
        <f>IF(A33&gt;0,STUDENT!F23,"")</f>
        <v>14804</v>
      </c>
      <c r="C33" s="176" t="str">
        <f>IF(A33&gt;0,UPPER(STUDENT!E23),"")</f>
        <v>ABHISHEK MUKHIYA</v>
      </c>
      <c r="D33" s="176" t="str">
        <f>IF(A33&gt;0,UPPER(STUDENT!H23),"")</f>
        <v>ARJUN MUKHIYA</v>
      </c>
      <c r="E33" s="47" t="str">
        <f>IF(A33&gt;0,UPPER(STUDENT!BP23),"")</f>
        <v/>
      </c>
      <c r="F33" s="47" t="str">
        <f>IF(A33&gt;0,UPPER(STUDENT!BO23),"")</f>
        <v>FALSE</v>
      </c>
      <c r="G33" s="47" t="str">
        <f>IF(A33&gt;0,UPPER(STUDENT!Q23),"")</f>
        <v/>
      </c>
      <c r="H33" s="69" t="e">
        <f>IF(A33&gt;0,PASHEET!CI25/PASHEET!CJ25*100,"")</f>
        <v>#DIV/0!</v>
      </c>
      <c r="I33" s="177">
        <f>IF(A33&gt;0,SUM(PASHEET!AL25,PASHEET!AT25),"")</f>
        <v>2</v>
      </c>
      <c r="J33" s="177">
        <f>IF(A33&gt;0,SUM(MARKS!F25,MARKS!AL25),"")</f>
        <v>0</v>
      </c>
      <c r="K33" s="177">
        <f>IF(A33&gt;0,SUM(MARKS!N25,MARKS!AT25),"")</f>
        <v>0</v>
      </c>
      <c r="L33" s="177">
        <f>IF(A33&gt;0,SUM(MARKS!V25,MARKS!BB25),"")</f>
        <v>0</v>
      </c>
      <c r="M33" s="177">
        <f>IF(A33&gt;0,SUM(MARKS!AD25,MARKS!BJ25),"")</f>
        <v>45</v>
      </c>
      <c r="N33" s="178"/>
      <c r="O33" s="177">
        <f t="shared" si="0"/>
        <v>47</v>
      </c>
      <c r="P33" s="177" t="str">
        <f t="shared" si="1"/>
        <v>C</v>
      </c>
      <c r="Q33" s="177">
        <f>IF(A33&gt;0,SUM(PASHEET!AM25,PASHEET!AU25),"")</f>
        <v>2</v>
      </c>
      <c r="R33" s="177">
        <f>IF(A33&gt;0,SUM(MARKS!G25,MARKS!AM25),"")</f>
        <v>0</v>
      </c>
      <c r="S33" s="177">
        <f>IF(A33&gt;0,SUM(MARKS!O25,MARKS!AU25),"")</f>
        <v>0</v>
      </c>
      <c r="T33" s="177">
        <f>IF(A33&gt;0,SUM(MARKS!W25,MARKS!BC25),"")</f>
        <v>0</v>
      </c>
      <c r="U33" s="177">
        <f>IF(A33&gt;0,SUM(MARKS!AE25,MARKS!BK25),"")</f>
        <v>26</v>
      </c>
      <c r="V33" s="178"/>
      <c r="W33" s="177">
        <f t="shared" si="2"/>
        <v>28</v>
      </c>
      <c r="X33" s="177" t="str">
        <f t="shared" si="3"/>
        <v>E</v>
      </c>
      <c r="Y33" s="177">
        <f>IF(A33&gt;0,SUM(PASHEET!AN25,PASHEET!AV25),"")</f>
        <v>2</v>
      </c>
      <c r="Z33" s="177">
        <f>IF(A33&gt;0,SUM(MARKS!H25,MARKS!AN25),"")</f>
        <v>0</v>
      </c>
      <c r="AA33" s="177">
        <f>IF(A33&gt;0,SUM(MARKS!P25,MARKS!AV25),"")</f>
        <v>0</v>
      </c>
      <c r="AB33" s="177">
        <f>IF(A33&gt;0,SUM(MARKS!X25,MARKS!BD25),"")</f>
        <v>0</v>
      </c>
      <c r="AC33" s="177">
        <f>IF(A33&gt;0,SUM(MARKS!AF25,MARKS!BL25),"")</f>
        <v>22</v>
      </c>
      <c r="AD33" s="178"/>
      <c r="AE33" s="177">
        <f t="shared" si="4"/>
        <v>24</v>
      </c>
      <c r="AF33" s="177" t="str">
        <f t="shared" si="5"/>
        <v>E</v>
      </c>
      <c r="AG33" s="177">
        <f>IF(A33&gt;0,SUM(PASHEET!AO25,PASHEET!AW25),"")</f>
        <v>2</v>
      </c>
      <c r="AH33" s="177">
        <f>IF(A33&gt;0,SUM(MARKS!I25,MARKS!AO25),"")</f>
        <v>0</v>
      </c>
      <c r="AI33" s="177">
        <f>IF(A33&gt;0,SUM(MARKS!Q25,MARKS!AW25),"")</f>
        <v>0</v>
      </c>
      <c r="AJ33" s="177">
        <f>IF(A33&gt;0,SUM(MARKS!Y25,MARKS!BE25),"")</f>
        <v>0</v>
      </c>
      <c r="AK33" s="177">
        <f>IF(A33&gt;0,SUM(MARKS!AG25,MARKS!BM25),"")</f>
        <v>23</v>
      </c>
      <c r="AL33" s="178"/>
      <c r="AM33" s="177">
        <f t="shared" si="6"/>
        <v>25</v>
      </c>
      <c r="AN33" s="177" t="str">
        <f t="shared" si="7"/>
        <v>E</v>
      </c>
      <c r="AO33" s="177">
        <f>IF(A33&gt;0,SUM(PASHEET!AP25,PASHEET!AX25),"")</f>
        <v>0</v>
      </c>
      <c r="AP33" s="177">
        <f>IF(A33&gt;0,SUM(MARKS!J25,MARKS!AP25),"")</f>
        <v>0</v>
      </c>
      <c r="AQ33" s="177">
        <f>IF(A33&gt;0,SUM(MARKS!R25,MARKS!AX25),"")</f>
        <v>0</v>
      </c>
      <c r="AR33" s="177">
        <f>IF(A33&gt;0,SUM(MARKS!Z25,MARKS!BF25),"")</f>
        <v>0</v>
      </c>
      <c r="AS33" s="177">
        <f>IF(A33&gt;0,SUM(MARKS!AH25,MARKS!BN25),"")</f>
        <v>25</v>
      </c>
      <c r="AT33" s="178"/>
      <c r="AU33" s="177">
        <f t="shared" si="8"/>
        <v>25</v>
      </c>
      <c r="AV33" s="177" t="str">
        <f t="shared" si="9"/>
        <v>E</v>
      </c>
      <c r="AW33" s="177">
        <f>IF(A33&gt;0,SUM(PASHEET!AQ25,PASHEET!AY25),"")</f>
        <v>2</v>
      </c>
      <c r="AX33" s="177">
        <f>IF(A33&gt;0,SUM(MARKS!K25,MARKS!AQ25),"")</f>
        <v>0</v>
      </c>
      <c r="AY33" s="177">
        <f>IF(A33&gt;0,SUM(MARKS!S25,MARKS!AY25),"")</f>
        <v>0</v>
      </c>
      <c r="AZ33" s="177">
        <f>IF(A33&gt;0,SUM(MARKS!AA25,MARKS!BG25),"")</f>
        <v>0</v>
      </c>
      <c r="BA33" s="177">
        <f>IF(A33&gt;0,SUM(MARKS!AI25,MARKS!BO25),"")</f>
        <v>25</v>
      </c>
      <c r="BB33" s="178"/>
      <c r="BC33" s="177">
        <f t="shared" si="10"/>
        <v>27</v>
      </c>
      <c r="BD33" s="177" t="str">
        <f t="shared" si="11"/>
        <v>E</v>
      </c>
      <c r="BE33" s="177">
        <f t="shared" si="12"/>
        <v>0</v>
      </c>
      <c r="BF33" s="47">
        <f t="shared" si="13"/>
        <v>176</v>
      </c>
      <c r="BG33" s="70">
        <f t="shared" si="14"/>
        <v>29.3333333333333</v>
      </c>
      <c r="BH33" s="177" t="str">
        <f t="shared" si="15"/>
        <v>E</v>
      </c>
      <c r="BI33" s="47">
        <f>IF(A33&gt;0,FLN!I25,"")</f>
        <v>2</v>
      </c>
      <c r="BJ33" s="47">
        <f>IF(A33&gt;0,FLN!J25,"")</f>
        <v>2</v>
      </c>
      <c r="BK33" s="47">
        <f>IF(A33&gt;0,FLN!K25,"")</f>
        <v>3</v>
      </c>
      <c r="BL33" s="47" t="str">
        <f t="shared" si="16"/>
        <v>PROMOTED</v>
      </c>
      <c r="BM33" s="130">
        <f>IF(BF33="","",IFERROR(RANK(BF33,$BF$12:$BF$111,0)+COUNTIFS($BF$12:BF33,BF33)-1,0))</f>
        <v>5</v>
      </c>
      <c r="BN33" s="130">
        <f t="shared" si="17"/>
        <v>176</v>
      </c>
    </row>
    <row r="34" s="98" customFormat="1" ht="27" customHeight="1" spans="1:66">
      <c r="A34" s="47">
        <f>IF(A33=0,0,IF(A33&lt;ENTRY!$D$24,A33+1,0))</f>
        <v>23</v>
      </c>
      <c r="B34" s="47">
        <f>IF(A34&gt;0,STUDENT!F24,"")</f>
        <v>14805</v>
      </c>
      <c r="C34" s="176" t="str">
        <f>IF(A34&gt;0,UPPER(STUDENT!E24),"")</f>
        <v>NITIN</v>
      </c>
      <c r="D34" s="176" t="str">
        <f>IF(A34&gt;0,UPPER(STUDENT!H24),"")</f>
        <v>AJAY</v>
      </c>
      <c r="E34" s="47" t="str">
        <f>IF(A34&gt;0,UPPER(STUDENT!BP24),"")</f>
        <v/>
      </c>
      <c r="F34" s="47" t="str">
        <f>IF(A34&gt;0,UPPER(STUDENT!BO24),"")</f>
        <v>FALSE</v>
      </c>
      <c r="G34" s="47" t="str">
        <f>IF(A34&gt;0,UPPER(STUDENT!Q24),"")</f>
        <v/>
      </c>
      <c r="H34" s="69" t="e">
        <f>IF(A34&gt;0,PASHEET!CI26/PASHEET!CJ26*100,"")</f>
        <v>#DIV/0!</v>
      </c>
      <c r="I34" s="177">
        <f>IF(A34&gt;0,SUM(PASHEET!AL26,PASHEET!AT26),"")</f>
        <v>2</v>
      </c>
      <c r="J34" s="177">
        <f>IF(A34&gt;0,SUM(MARKS!F26,MARKS!AL26),"")</f>
        <v>0</v>
      </c>
      <c r="K34" s="177">
        <f>IF(A34&gt;0,SUM(MARKS!N26,MARKS!AT26),"")</f>
        <v>0</v>
      </c>
      <c r="L34" s="177">
        <f>IF(A34&gt;0,SUM(MARKS!V26,MARKS!BB26),"")</f>
        <v>0</v>
      </c>
      <c r="M34" s="177">
        <f>IF(A34&gt;0,SUM(MARKS!AD26,MARKS!BJ26),"")</f>
        <v>45</v>
      </c>
      <c r="N34" s="178"/>
      <c r="O34" s="177">
        <f t="shared" si="0"/>
        <v>47</v>
      </c>
      <c r="P34" s="177" t="str">
        <f t="shared" si="1"/>
        <v>C</v>
      </c>
      <c r="Q34" s="177">
        <f>IF(A34&gt;0,SUM(PASHEET!AM26,PASHEET!AU26),"")</f>
        <v>2</v>
      </c>
      <c r="R34" s="177">
        <f>IF(A34&gt;0,SUM(MARKS!G26,MARKS!AM26),"")</f>
        <v>0</v>
      </c>
      <c r="S34" s="177">
        <f>IF(A34&gt;0,SUM(MARKS!O26,MARKS!AU26),"")</f>
        <v>0</v>
      </c>
      <c r="T34" s="177">
        <f>IF(A34&gt;0,SUM(MARKS!W26,MARKS!BC26),"")</f>
        <v>0</v>
      </c>
      <c r="U34" s="177">
        <f>IF(A34&gt;0,SUM(MARKS!AE26,MARKS!BK26),"")</f>
        <v>23</v>
      </c>
      <c r="V34" s="178"/>
      <c r="W34" s="177">
        <f t="shared" si="2"/>
        <v>25</v>
      </c>
      <c r="X34" s="177" t="str">
        <f t="shared" si="3"/>
        <v>E</v>
      </c>
      <c r="Y34" s="177">
        <f>IF(A34&gt;0,SUM(PASHEET!AN26,PASHEET!AV26),"")</f>
        <v>1</v>
      </c>
      <c r="Z34" s="177">
        <f>IF(A34&gt;0,SUM(MARKS!H26,MARKS!AN26),"")</f>
        <v>0</v>
      </c>
      <c r="AA34" s="177">
        <f>IF(A34&gt;0,SUM(MARKS!P26,MARKS!AV26),"")</f>
        <v>0</v>
      </c>
      <c r="AB34" s="177">
        <f>IF(A34&gt;0,SUM(MARKS!X26,MARKS!BD26),"")</f>
        <v>0</v>
      </c>
      <c r="AC34" s="177">
        <f>IF(A34&gt;0,SUM(MARKS!AF26,MARKS!BL26),"")</f>
        <v>22</v>
      </c>
      <c r="AD34" s="178"/>
      <c r="AE34" s="177">
        <f t="shared" si="4"/>
        <v>23</v>
      </c>
      <c r="AF34" s="177" t="str">
        <f t="shared" si="5"/>
        <v>E</v>
      </c>
      <c r="AG34" s="177">
        <f>IF(A34&gt;0,SUM(PASHEET!AO26,PASHEET!AW26),"")</f>
        <v>1</v>
      </c>
      <c r="AH34" s="177">
        <f>IF(A34&gt;0,SUM(MARKS!I26,MARKS!AO26),"")</f>
        <v>0</v>
      </c>
      <c r="AI34" s="177">
        <f>IF(A34&gt;0,SUM(MARKS!Q26,MARKS!AW26),"")</f>
        <v>0</v>
      </c>
      <c r="AJ34" s="177">
        <f>IF(A34&gt;0,SUM(MARKS!Y26,MARKS!BE26),"")</f>
        <v>0</v>
      </c>
      <c r="AK34" s="177">
        <f>IF(A34&gt;0,SUM(MARKS!AG26,MARKS!BM26),"")</f>
        <v>23</v>
      </c>
      <c r="AL34" s="178"/>
      <c r="AM34" s="177">
        <f t="shared" si="6"/>
        <v>24</v>
      </c>
      <c r="AN34" s="177" t="str">
        <f t="shared" si="7"/>
        <v>E</v>
      </c>
      <c r="AO34" s="177">
        <f>IF(A34&gt;0,SUM(PASHEET!AP26,PASHEET!AX26),"")</f>
        <v>0</v>
      </c>
      <c r="AP34" s="177">
        <f>IF(A34&gt;0,SUM(MARKS!J26,MARKS!AP26),"")</f>
        <v>0</v>
      </c>
      <c r="AQ34" s="177">
        <f>IF(A34&gt;0,SUM(MARKS!R26,MARKS!AX26),"")</f>
        <v>0</v>
      </c>
      <c r="AR34" s="177">
        <f>IF(A34&gt;0,SUM(MARKS!Z26,MARKS!BF26),"")</f>
        <v>0</v>
      </c>
      <c r="AS34" s="177">
        <f>IF(A34&gt;0,SUM(MARKS!AH26,MARKS!BN26),"")</f>
        <v>21</v>
      </c>
      <c r="AT34" s="178"/>
      <c r="AU34" s="177">
        <f t="shared" si="8"/>
        <v>21</v>
      </c>
      <c r="AV34" s="177" t="str">
        <f t="shared" si="9"/>
        <v>E</v>
      </c>
      <c r="AW34" s="177">
        <f>IF(A34&gt;0,SUM(PASHEET!AQ26,PASHEET!AY26),"")</f>
        <v>2</v>
      </c>
      <c r="AX34" s="177">
        <f>IF(A34&gt;0,SUM(MARKS!K26,MARKS!AQ26),"")</f>
        <v>0</v>
      </c>
      <c r="AY34" s="177">
        <f>IF(A34&gt;0,SUM(MARKS!S26,MARKS!AY26),"")</f>
        <v>0</v>
      </c>
      <c r="AZ34" s="177">
        <f>IF(A34&gt;0,SUM(MARKS!AA26,MARKS!BG26),"")</f>
        <v>0</v>
      </c>
      <c r="BA34" s="177">
        <f>IF(A34&gt;0,SUM(MARKS!AI26,MARKS!BO26),"")</f>
        <v>27</v>
      </c>
      <c r="BB34" s="178"/>
      <c r="BC34" s="177">
        <f t="shared" si="10"/>
        <v>29</v>
      </c>
      <c r="BD34" s="177" t="str">
        <f t="shared" si="11"/>
        <v>E</v>
      </c>
      <c r="BE34" s="177">
        <f t="shared" si="12"/>
        <v>0</v>
      </c>
      <c r="BF34" s="47">
        <f t="shared" si="13"/>
        <v>169</v>
      </c>
      <c r="BG34" s="70">
        <f t="shared" si="14"/>
        <v>28.1666666666667</v>
      </c>
      <c r="BH34" s="177" t="str">
        <f t="shared" si="15"/>
        <v>E</v>
      </c>
      <c r="BI34" s="47">
        <f>IF(A34&gt;0,FLN!I26,"")</f>
        <v>4</v>
      </c>
      <c r="BJ34" s="47">
        <f>IF(A34&gt;0,FLN!J26,"")</f>
        <v>3</v>
      </c>
      <c r="BK34" s="47">
        <f>IF(A34&gt;0,FLN!K26,"")</f>
        <v>4</v>
      </c>
      <c r="BL34" s="47" t="str">
        <f t="shared" si="16"/>
        <v>PROMOTED</v>
      </c>
      <c r="BM34" s="130">
        <f>IF(BF34="","",IFERROR(RANK(BF34,$BF$12:$BF$111,0)+COUNTIFS($BF$12:BF34,BF34)-1,0))</f>
        <v>7</v>
      </c>
      <c r="BN34" s="130">
        <f t="shared" si="17"/>
        <v>169</v>
      </c>
    </row>
    <row r="35" s="98" customFormat="1" ht="27" customHeight="1" spans="1:66">
      <c r="A35" s="47">
        <f>IF(A34=0,0,IF(A34&lt;ENTRY!$D$24,A34+1,0))</f>
        <v>24</v>
      </c>
      <c r="B35" s="47">
        <f>IF(A35&gt;0,STUDENT!F25,"")</f>
        <v>14806</v>
      </c>
      <c r="C35" s="176" t="str">
        <f>IF(A35&gt;0,UPPER(STUDENT!E25),"")</f>
        <v>SOORYA VANSHAL</v>
      </c>
      <c r="D35" s="176" t="str">
        <f>IF(A35&gt;0,UPPER(STUDENT!H25),"")</f>
        <v>KAMLESH KUMAR</v>
      </c>
      <c r="E35" s="47" t="str">
        <f>IF(A35&gt;0,UPPER(STUDENT!BP25),"")</f>
        <v/>
      </c>
      <c r="F35" s="47" t="str">
        <f>IF(A35&gt;0,UPPER(STUDENT!BO25),"")</f>
        <v>FALSE</v>
      </c>
      <c r="G35" s="47" t="str">
        <f>IF(A35&gt;0,UPPER(STUDENT!Q25),"")</f>
        <v/>
      </c>
      <c r="H35" s="69" t="e">
        <f>IF(A35&gt;0,PASHEET!CI27/PASHEET!CJ27*100,"")</f>
        <v>#DIV/0!</v>
      </c>
      <c r="I35" s="177">
        <f>IF(A35&gt;0,SUM(PASHEET!AL27,PASHEET!AT27),"")</f>
        <v>1</v>
      </c>
      <c r="J35" s="177">
        <f>IF(A35&gt;0,SUM(MARKS!F27,MARKS!AL27),"")</f>
        <v>0</v>
      </c>
      <c r="K35" s="177">
        <f>IF(A35&gt;0,SUM(MARKS!N27,MARKS!AT27),"")</f>
        <v>0</v>
      </c>
      <c r="L35" s="177">
        <f>IF(A35&gt;0,SUM(MARKS!V27,MARKS!BB27),"")</f>
        <v>0</v>
      </c>
      <c r="M35" s="177">
        <f>IF(A35&gt;0,SUM(MARKS!AD27,MARKS!BJ27),"")</f>
        <v>47</v>
      </c>
      <c r="N35" s="178"/>
      <c r="O35" s="177">
        <f t="shared" si="0"/>
        <v>48</v>
      </c>
      <c r="P35" s="177" t="str">
        <f t="shared" si="1"/>
        <v>C</v>
      </c>
      <c r="Q35" s="177">
        <f>IF(A35&gt;0,SUM(PASHEET!AM27,PASHEET!AU27),"")</f>
        <v>1</v>
      </c>
      <c r="R35" s="177">
        <f>IF(A35&gt;0,SUM(MARKS!G27,MARKS!AM27),"")</f>
        <v>0</v>
      </c>
      <c r="S35" s="177">
        <f>IF(A35&gt;0,SUM(MARKS!O27,MARKS!AU27),"")</f>
        <v>0</v>
      </c>
      <c r="T35" s="177">
        <f>IF(A35&gt;0,SUM(MARKS!W27,MARKS!BC27),"")</f>
        <v>0</v>
      </c>
      <c r="U35" s="177">
        <f>IF(A35&gt;0,SUM(MARKS!AE27,MARKS!BK27),"")</f>
        <v>22</v>
      </c>
      <c r="V35" s="178"/>
      <c r="W35" s="177">
        <f t="shared" si="2"/>
        <v>23</v>
      </c>
      <c r="X35" s="177" t="str">
        <f t="shared" si="3"/>
        <v>E</v>
      </c>
      <c r="Y35" s="177">
        <f>IF(A35&gt;0,SUM(PASHEET!AN27,PASHEET!AV27),"")</f>
        <v>1</v>
      </c>
      <c r="Z35" s="177">
        <f>IF(A35&gt;0,SUM(MARKS!H27,MARKS!AN27),"")</f>
        <v>0</v>
      </c>
      <c r="AA35" s="177">
        <f>IF(A35&gt;0,SUM(MARKS!P27,MARKS!AV27),"")</f>
        <v>0</v>
      </c>
      <c r="AB35" s="177">
        <f>IF(A35&gt;0,SUM(MARKS!X27,MARKS!BD27),"")</f>
        <v>0</v>
      </c>
      <c r="AC35" s="177">
        <f>IF(A35&gt;0,SUM(MARKS!AF27,MARKS!BL27),"")</f>
        <v>20</v>
      </c>
      <c r="AD35" s="178"/>
      <c r="AE35" s="177">
        <f t="shared" si="4"/>
        <v>21</v>
      </c>
      <c r="AF35" s="177" t="str">
        <f t="shared" si="5"/>
        <v>E</v>
      </c>
      <c r="AG35" s="177">
        <f>IF(A35&gt;0,SUM(PASHEET!AO27,PASHEET!AW27),"")</f>
        <v>1</v>
      </c>
      <c r="AH35" s="177">
        <f>IF(A35&gt;0,SUM(MARKS!I27,MARKS!AO27),"")</f>
        <v>0</v>
      </c>
      <c r="AI35" s="177">
        <f>IF(A35&gt;0,SUM(MARKS!Q27,MARKS!AW27),"")</f>
        <v>0</v>
      </c>
      <c r="AJ35" s="177">
        <f>IF(A35&gt;0,SUM(MARKS!Y27,MARKS!BE27),"")</f>
        <v>0</v>
      </c>
      <c r="AK35" s="177">
        <f>IF(A35&gt;0,SUM(MARKS!AG27,MARKS!BM27),"")</f>
        <v>21</v>
      </c>
      <c r="AL35" s="178"/>
      <c r="AM35" s="177">
        <f t="shared" si="6"/>
        <v>22</v>
      </c>
      <c r="AN35" s="177" t="str">
        <f t="shared" si="7"/>
        <v>E</v>
      </c>
      <c r="AO35" s="177">
        <f>IF(A35&gt;0,SUM(PASHEET!AP27,PASHEET!AX27),"")</f>
        <v>0</v>
      </c>
      <c r="AP35" s="177">
        <f>IF(A35&gt;0,SUM(MARKS!J27,MARKS!AP27),"")</f>
        <v>0</v>
      </c>
      <c r="AQ35" s="177">
        <f>IF(A35&gt;0,SUM(MARKS!R27,MARKS!AX27),"")</f>
        <v>0</v>
      </c>
      <c r="AR35" s="177">
        <f>IF(A35&gt;0,SUM(MARKS!Z27,MARKS!BF27),"")</f>
        <v>0</v>
      </c>
      <c r="AS35" s="177">
        <f>IF(A35&gt;0,SUM(MARKS!AH27,MARKS!BN27),"")</f>
        <v>21</v>
      </c>
      <c r="AT35" s="178"/>
      <c r="AU35" s="177">
        <f t="shared" si="8"/>
        <v>21</v>
      </c>
      <c r="AV35" s="177" t="str">
        <f t="shared" si="9"/>
        <v>E</v>
      </c>
      <c r="AW35" s="177">
        <f>IF(A35&gt;0,SUM(PASHEET!AQ27,PASHEET!AY27),"")</f>
        <v>2</v>
      </c>
      <c r="AX35" s="177">
        <f>IF(A35&gt;0,SUM(MARKS!K27,MARKS!AQ27),"")</f>
        <v>0</v>
      </c>
      <c r="AY35" s="177">
        <f>IF(A35&gt;0,SUM(MARKS!S27,MARKS!AY27),"")</f>
        <v>0</v>
      </c>
      <c r="AZ35" s="177">
        <f>IF(A35&gt;0,SUM(MARKS!AA27,MARKS!BG27),"")</f>
        <v>0</v>
      </c>
      <c r="BA35" s="177">
        <f>IF(A35&gt;0,SUM(MARKS!AI27,MARKS!BO27),"")</f>
        <v>26</v>
      </c>
      <c r="BB35" s="178"/>
      <c r="BC35" s="177">
        <f t="shared" si="10"/>
        <v>28</v>
      </c>
      <c r="BD35" s="177" t="str">
        <f t="shared" si="11"/>
        <v>E</v>
      </c>
      <c r="BE35" s="177">
        <f t="shared" si="12"/>
        <v>0</v>
      </c>
      <c r="BF35" s="47">
        <f t="shared" si="13"/>
        <v>163</v>
      </c>
      <c r="BG35" s="70">
        <f t="shared" si="14"/>
        <v>27.1666666666667</v>
      </c>
      <c r="BH35" s="177" t="str">
        <f t="shared" si="15"/>
        <v>E</v>
      </c>
      <c r="BI35" s="47">
        <f>IF(A35&gt;0,FLN!I27,"")</f>
        <v>2</v>
      </c>
      <c r="BJ35" s="47">
        <f>IF(A35&gt;0,FLN!J27,"")</f>
        <v>2</v>
      </c>
      <c r="BK35" s="47">
        <f>IF(A35&gt;0,FLN!K27,"")</f>
        <v>3</v>
      </c>
      <c r="BL35" s="47" t="str">
        <f t="shared" si="16"/>
        <v>PROMOTED</v>
      </c>
      <c r="BM35" s="130">
        <f>IF(BF35="","",IFERROR(RANK(BF35,$BF$12:$BF$111,0)+COUNTIFS($BF$12:BF35,BF35)-1,0))</f>
        <v>10</v>
      </c>
      <c r="BN35" s="130">
        <f t="shared" si="17"/>
        <v>163</v>
      </c>
    </row>
    <row r="36" s="98" customFormat="1" ht="27" customHeight="1" spans="1:66">
      <c r="A36" s="47">
        <f>IF(A35=0,0,IF(A35&lt;ENTRY!$D$24,A35+1,0))</f>
        <v>25</v>
      </c>
      <c r="B36" s="47">
        <f>IF(A36&gt;0,STUDENT!F26,"")</f>
        <v>14943</v>
      </c>
      <c r="C36" s="176" t="str">
        <f>IF(A36&gt;0,UPPER(STUDENT!E26),"")</f>
        <v>ANSHU KUMAR PANDIT</v>
      </c>
      <c r="D36" s="176" t="str">
        <f>IF(A36&gt;0,UPPER(STUDENT!H26),"")</f>
        <v>RAMESH KUMAR PANDIT</v>
      </c>
      <c r="E36" s="47" t="str">
        <f>IF(A36&gt;0,UPPER(STUDENT!BP26),"")</f>
        <v/>
      </c>
      <c r="F36" s="47" t="str">
        <f>IF(A36&gt;0,UPPER(STUDENT!BO26),"")</f>
        <v>FALSE</v>
      </c>
      <c r="G36" s="47" t="str">
        <f>IF(A36&gt;0,UPPER(STUDENT!Q26),"")</f>
        <v/>
      </c>
      <c r="H36" s="69" t="e">
        <f>IF(A36&gt;0,PASHEET!CI28/PASHEET!CJ28*100,"")</f>
        <v>#DIV/0!</v>
      </c>
      <c r="I36" s="177">
        <f>IF(A36&gt;0,SUM(PASHEET!AL28,PASHEET!AT28),"")</f>
        <v>2</v>
      </c>
      <c r="J36" s="177">
        <f>IF(A36&gt;0,SUM(MARKS!F28,MARKS!AL28),"")</f>
        <v>0</v>
      </c>
      <c r="K36" s="177">
        <f>IF(A36&gt;0,SUM(MARKS!N28,MARKS!AT28),"")</f>
        <v>0</v>
      </c>
      <c r="L36" s="177">
        <f>IF(A36&gt;0,SUM(MARKS!V28,MARKS!BB28),"")</f>
        <v>0</v>
      </c>
      <c r="M36" s="177">
        <f>IF(A36&gt;0,SUM(MARKS!AD28,MARKS!BJ28),"")</f>
        <v>48</v>
      </c>
      <c r="N36" s="178"/>
      <c r="O36" s="177">
        <f t="shared" si="0"/>
        <v>50</v>
      </c>
      <c r="P36" s="177" t="str">
        <f t="shared" si="1"/>
        <v>C</v>
      </c>
      <c r="Q36" s="177">
        <f>IF(A36&gt;0,SUM(PASHEET!AM28,PASHEET!AU28),"")</f>
        <v>2</v>
      </c>
      <c r="R36" s="177">
        <f>IF(A36&gt;0,SUM(MARKS!G28,MARKS!AM28),"")</f>
        <v>0</v>
      </c>
      <c r="S36" s="177">
        <f>IF(A36&gt;0,SUM(MARKS!O28,MARKS!AU28),"")</f>
        <v>0</v>
      </c>
      <c r="T36" s="177">
        <f>IF(A36&gt;0,SUM(MARKS!W28,MARKS!BC28),"")</f>
        <v>0</v>
      </c>
      <c r="U36" s="177">
        <f>IF(A36&gt;0,SUM(MARKS!AE28,MARKS!BK28),"")</f>
        <v>21</v>
      </c>
      <c r="V36" s="178"/>
      <c r="W36" s="177">
        <f t="shared" si="2"/>
        <v>23</v>
      </c>
      <c r="X36" s="177" t="str">
        <f t="shared" si="3"/>
        <v>E</v>
      </c>
      <c r="Y36" s="177">
        <f>IF(A36&gt;0,SUM(PASHEET!AN28,PASHEET!AV28),"")</f>
        <v>2</v>
      </c>
      <c r="Z36" s="177">
        <f>IF(A36&gt;0,SUM(MARKS!H28,MARKS!AN28),"")</f>
        <v>0</v>
      </c>
      <c r="AA36" s="177">
        <f>IF(A36&gt;0,SUM(MARKS!P28,MARKS!AV28),"")</f>
        <v>0</v>
      </c>
      <c r="AB36" s="177">
        <f>IF(A36&gt;0,SUM(MARKS!X28,MARKS!BD28),"")</f>
        <v>0</v>
      </c>
      <c r="AC36" s="177">
        <f>IF(A36&gt;0,SUM(MARKS!AF28,MARKS!BL28),"")</f>
        <v>25</v>
      </c>
      <c r="AD36" s="178"/>
      <c r="AE36" s="177">
        <f t="shared" si="4"/>
        <v>27</v>
      </c>
      <c r="AF36" s="177" t="str">
        <f t="shared" si="5"/>
        <v>E</v>
      </c>
      <c r="AG36" s="177">
        <f>IF(A36&gt;0,SUM(PASHEET!AO28,PASHEET!AW28),"")</f>
        <v>2</v>
      </c>
      <c r="AH36" s="177">
        <f>IF(A36&gt;0,SUM(MARKS!I28,MARKS!AO28),"")</f>
        <v>0</v>
      </c>
      <c r="AI36" s="177">
        <f>IF(A36&gt;0,SUM(MARKS!Q28,MARKS!AW28),"")</f>
        <v>0</v>
      </c>
      <c r="AJ36" s="177">
        <f>IF(A36&gt;0,SUM(MARKS!Y28,MARKS!BE28),"")</f>
        <v>0</v>
      </c>
      <c r="AK36" s="177">
        <f>IF(A36&gt;0,SUM(MARKS!AG28,MARKS!BM28),"")</f>
        <v>26</v>
      </c>
      <c r="AL36" s="178"/>
      <c r="AM36" s="177">
        <f t="shared" si="6"/>
        <v>28</v>
      </c>
      <c r="AN36" s="177" t="str">
        <f t="shared" si="7"/>
        <v>E</v>
      </c>
      <c r="AO36" s="177">
        <f>IF(A36&gt;0,SUM(PASHEET!AP28,PASHEET!AX28),"")</f>
        <v>0</v>
      </c>
      <c r="AP36" s="177">
        <f>IF(A36&gt;0,SUM(MARKS!J28,MARKS!AP28),"")</f>
        <v>0</v>
      </c>
      <c r="AQ36" s="177">
        <f>IF(A36&gt;0,SUM(MARKS!R28,MARKS!AX28),"")</f>
        <v>0</v>
      </c>
      <c r="AR36" s="177">
        <f>IF(A36&gt;0,SUM(MARKS!Z28,MARKS!BF28),"")</f>
        <v>0</v>
      </c>
      <c r="AS36" s="177">
        <f>IF(A36&gt;0,SUM(MARKS!AH28,MARKS!BN28),"")</f>
        <v>25</v>
      </c>
      <c r="AT36" s="178"/>
      <c r="AU36" s="177">
        <f t="shared" si="8"/>
        <v>25</v>
      </c>
      <c r="AV36" s="177" t="str">
        <f t="shared" si="9"/>
        <v>E</v>
      </c>
      <c r="AW36" s="177">
        <f>IF(A36&gt;0,SUM(PASHEET!AQ28,PASHEET!AY28),"")</f>
        <v>2</v>
      </c>
      <c r="AX36" s="177">
        <f>IF(A36&gt;0,SUM(MARKS!K28,MARKS!AQ28),"")</f>
        <v>0</v>
      </c>
      <c r="AY36" s="177">
        <f>IF(A36&gt;0,SUM(MARKS!S28,MARKS!AY28),"")</f>
        <v>0</v>
      </c>
      <c r="AZ36" s="177">
        <f>IF(A36&gt;0,SUM(MARKS!AA28,MARKS!BG28),"")</f>
        <v>0</v>
      </c>
      <c r="BA36" s="177">
        <f>IF(A36&gt;0,SUM(MARKS!AI28,MARKS!BO28),"")</f>
        <v>28</v>
      </c>
      <c r="BB36" s="178"/>
      <c r="BC36" s="177">
        <f t="shared" si="10"/>
        <v>30</v>
      </c>
      <c r="BD36" s="177" t="str">
        <f t="shared" si="11"/>
        <v>E</v>
      </c>
      <c r="BE36" s="177">
        <f t="shared" si="12"/>
        <v>0</v>
      </c>
      <c r="BF36" s="47">
        <f t="shared" si="13"/>
        <v>183</v>
      </c>
      <c r="BG36" s="70">
        <f t="shared" si="14"/>
        <v>30.5</v>
      </c>
      <c r="BH36" s="177" t="str">
        <f t="shared" si="15"/>
        <v>E</v>
      </c>
      <c r="BI36" s="47">
        <f>IF(A36&gt;0,FLN!I28,"")</f>
        <v>3</v>
      </c>
      <c r="BJ36" s="47">
        <f>IF(A36&gt;0,FLN!J28,"")</f>
        <v>2</v>
      </c>
      <c r="BK36" s="47">
        <f>IF(A36&gt;0,FLN!K28,"")</f>
        <v>4</v>
      </c>
      <c r="BL36" s="47" t="str">
        <f t="shared" si="16"/>
        <v>THIRD</v>
      </c>
      <c r="BM36" s="130">
        <f>IF(BF36="","",IFERROR(RANK(BF36,$BF$12:$BF$111,0)+COUNTIFS($BF$12:BF36,BF36)-1,0))</f>
        <v>3</v>
      </c>
      <c r="BN36" s="130">
        <f t="shared" si="17"/>
        <v>183</v>
      </c>
    </row>
    <row r="37" s="98" customFormat="1" ht="27" customHeight="1" spans="1:66">
      <c r="A37" s="47">
        <f>IF(A36=0,0,IF(A36&lt;ENTRY!$D$24,A36+1,0))</f>
        <v>26</v>
      </c>
      <c r="B37" s="47">
        <f>IF(A37&gt;0,STUDENT!F27,"")</f>
        <v>14960</v>
      </c>
      <c r="C37" s="176" t="str">
        <f>IF(A37&gt;0,UPPER(STUDENT!E27),"")</f>
        <v>MD ADAN SHEKH</v>
      </c>
      <c r="D37" s="176" t="str">
        <f>IF(A37&gt;0,UPPER(STUDENT!H27),"")</f>
        <v>MD ISHTIKHAR</v>
      </c>
      <c r="E37" s="47" t="str">
        <f>IF(A37&gt;0,UPPER(STUDENT!BP27),"")</f>
        <v/>
      </c>
      <c r="F37" s="47" t="str">
        <f>IF(A37&gt;0,UPPER(STUDENT!BO27),"")</f>
        <v>FALSE</v>
      </c>
      <c r="G37" s="47" t="str">
        <f>IF(A37&gt;0,UPPER(STUDENT!Q27),"")</f>
        <v/>
      </c>
      <c r="H37" s="69" t="e">
        <f>IF(A37&gt;0,PASHEET!CI29/PASHEET!CJ29*100,"")</f>
        <v>#DIV/0!</v>
      </c>
      <c r="I37" s="177">
        <f>IF(A37&gt;0,SUM(PASHEET!AL29,PASHEET!AT29),"")</f>
        <v>1</v>
      </c>
      <c r="J37" s="177">
        <f>IF(A37&gt;0,SUM(MARKS!F29,MARKS!AL29),"")</f>
        <v>0</v>
      </c>
      <c r="K37" s="177">
        <f>IF(A37&gt;0,SUM(MARKS!N29,MARKS!AT29),"")</f>
        <v>0</v>
      </c>
      <c r="L37" s="177">
        <f>IF(A37&gt;0,SUM(MARKS!V29,MARKS!BB29),"")</f>
        <v>0</v>
      </c>
      <c r="M37" s="177">
        <f>IF(A37&gt;0,SUM(MARKS!AD29,MARKS!BJ29),"")</f>
        <v>39</v>
      </c>
      <c r="N37" s="178"/>
      <c r="O37" s="177">
        <f t="shared" si="0"/>
        <v>40</v>
      </c>
      <c r="P37" s="177" t="str">
        <f t="shared" si="1"/>
        <v>D</v>
      </c>
      <c r="Q37" s="177">
        <f>IF(A37&gt;0,SUM(PASHEET!AM29,PASHEET!AU29),"")</f>
        <v>1</v>
      </c>
      <c r="R37" s="177">
        <f>IF(A37&gt;0,SUM(MARKS!G29,MARKS!AM29),"")</f>
        <v>0</v>
      </c>
      <c r="S37" s="177">
        <f>IF(A37&gt;0,SUM(MARKS!O29,MARKS!AU29),"")</f>
        <v>0</v>
      </c>
      <c r="T37" s="177">
        <f>IF(A37&gt;0,SUM(MARKS!W29,MARKS!BC29),"")</f>
        <v>0</v>
      </c>
      <c r="U37" s="177">
        <f>IF(A37&gt;0,SUM(MARKS!AE29,MARKS!BK29),"")</f>
        <v>21</v>
      </c>
      <c r="V37" s="178"/>
      <c r="W37" s="177">
        <f t="shared" si="2"/>
        <v>22</v>
      </c>
      <c r="X37" s="177" t="str">
        <f t="shared" si="3"/>
        <v>E</v>
      </c>
      <c r="Y37" s="177">
        <f>IF(A37&gt;0,SUM(PASHEET!AN29,PASHEET!AV29),"")</f>
        <v>1</v>
      </c>
      <c r="Z37" s="177">
        <f>IF(A37&gt;0,SUM(MARKS!H29,MARKS!AN29),"")</f>
        <v>0</v>
      </c>
      <c r="AA37" s="177">
        <f>IF(A37&gt;0,SUM(MARKS!P29,MARKS!AV29),"")</f>
        <v>0</v>
      </c>
      <c r="AB37" s="177">
        <f>IF(A37&gt;0,SUM(MARKS!X29,MARKS!BD29),"")</f>
        <v>0</v>
      </c>
      <c r="AC37" s="177">
        <f>IF(A37&gt;0,SUM(MARKS!AF29,MARKS!BL29),"")</f>
        <v>23</v>
      </c>
      <c r="AD37" s="178"/>
      <c r="AE37" s="177">
        <f t="shared" si="4"/>
        <v>24</v>
      </c>
      <c r="AF37" s="177" t="str">
        <f t="shared" si="5"/>
        <v>E</v>
      </c>
      <c r="AG37" s="177">
        <f>IF(A37&gt;0,SUM(PASHEET!AO29,PASHEET!AW29),"")</f>
        <v>1</v>
      </c>
      <c r="AH37" s="177">
        <f>IF(A37&gt;0,SUM(MARKS!I29,MARKS!AO29),"")</f>
        <v>0</v>
      </c>
      <c r="AI37" s="177">
        <f>IF(A37&gt;0,SUM(MARKS!Q29,MARKS!AW29),"")</f>
        <v>0</v>
      </c>
      <c r="AJ37" s="177">
        <f>IF(A37&gt;0,SUM(MARKS!Y29,MARKS!BE29),"")</f>
        <v>0</v>
      </c>
      <c r="AK37" s="177">
        <f>IF(A37&gt;0,SUM(MARKS!AG29,MARKS!BM29),"")</f>
        <v>25</v>
      </c>
      <c r="AL37" s="178"/>
      <c r="AM37" s="177">
        <f t="shared" si="6"/>
        <v>26</v>
      </c>
      <c r="AN37" s="177" t="str">
        <f t="shared" si="7"/>
        <v>E</v>
      </c>
      <c r="AO37" s="177">
        <f>IF(A37&gt;0,SUM(PASHEET!AP29,PASHEET!AX29),"")</f>
        <v>0</v>
      </c>
      <c r="AP37" s="177">
        <f>IF(A37&gt;0,SUM(MARKS!J29,MARKS!AP29),"")</f>
        <v>0</v>
      </c>
      <c r="AQ37" s="177">
        <f>IF(A37&gt;0,SUM(MARKS!R29,MARKS!AX29),"")</f>
        <v>0</v>
      </c>
      <c r="AR37" s="177">
        <f>IF(A37&gt;0,SUM(MARKS!Z29,MARKS!BF29),"")</f>
        <v>0</v>
      </c>
      <c r="AS37" s="177">
        <f>IF(A37&gt;0,SUM(MARKS!AH29,MARKS!BN29),"")</f>
        <v>23</v>
      </c>
      <c r="AT37" s="178"/>
      <c r="AU37" s="177">
        <f t="shared" si="8"/>
        <v>23</v>
      </c>
      <c r="AV37" s="177" t="str">
        <f t="shared" si="9"/>
        <v>E</v>
      </c>
      <c r="AW37" s="177">
        <f>IF(A37&gt;0,SUM(PASHEET!AQ29,PASHEET!AY29),"")</f>
        <v>1</v>
      </c>
      <c r="AX37" s="177">
        <f>IF(A37&gt;0,SUM(MARKS!K29,MARKS!AQ29),"")</f>
        <v>0</v>
      </c>
      <c r="AY37" s="177">
        <f>IF(A37&gt;0,SUM(MARKS!S29,MARKS!AY29),"")</f>
        <v>0</v>
      </c>
      <c r="AZ37" s="177">
        <f>IF(A37&gt;0,SUM(MARKS!AA29,MARKS!BG29),"")</f>
        <v>0</v>
      </c>
      <c r="BA37" s="177">
        <f>IF(A37&gt;0,SUM(MARKS!AI29,MARKS!BO29),"")</f>
        <v>27</v>
      </c>
      <c r="BB37" s="178"/>
      <c r="BC37" s="177">
        <f t="shared" si="10"/>
        <v>28</v>
      </c>
      <c r="BD37" s="177" t="str">
        <f t="shared" si="11"/>
        <v>E</v>
      </c>
      <c r="BE37" s="177">
        <f t="shared" si="12"/>
        <v>0</v>
      </c>
      <c r="BF37" s="47">
        <f t="shared" si="13"/>
        <v>163</v>
      </c>
      <c r="BG37" s="70">
        <f t="shared" si="14"/>
        <v>27.1666666666667</v>
      </c>
      <c r="BH37" s="177" t="str">
        <f t="shared" si="15"/>
        <v>E</v>
      </c>
      <c r="BI37" s="47">
        <f>IF(A37&gt;0,FLN!I29,"")</f>
        <v>2</v>
      </c>
      <c r="BJ37" s="47">
        <f>IF(A37&gt;0,FLN!J29,"")</f>
        <v>2</v>
      </c>
      <c r="BK37" s="47">
        <f>IF(A37&gt;0,FLN!K29,"")</f>
        <v>3</v>
      </c>
      <c r="BL37" s="47" t="str">
        <f t="shared" si="16"/>
        <v>PROMOTED</v>
      </c>
      <c r="BM37" s="130">
        <f>IF(BF37="","",IFERROR(RANK(BF37,$BF$12:$BF$111,0)+COUNTIFS($BF$12:BF37,BF37)-1,0))</f>
        <v>11</v>
      </c>
      <c r="BN37" s="130">
        <f t="shared" si="17"/>
        <v>163</v>
      </c>
    </row>
    <row r="38" s="98" customFormat="1" ht="27" customHeight="1" spans="1:66">
      <c r="A38" s="47">
        <f>IF(A37=0,0,IF(A37&lt;ENTRY!$D$24,A37+1,0))</f>
        <v>27</v>
      </c>
      <c r="B38" s="47">
        <f>IF(A38&gt;0,STUDENT!F28,"")</f>
        <v>14976</v>
      </c>
      <c r="C38" s="176" t="str">
        <f>IF(A38&gt;0,UPPER(STUDENT!E28),"")</f>
        <v>KARTIK</v>
      </c>
      <c r="D38" s="176" t="str">
        <f>IF(A38&gt;0,UPPER(STUDENT!H28),"")</f>
        <v>SUNIL</v>
      </c>
      <c r="E38" s="47" t="str">
        <f>IF(A38&gt;0,UPPER(STUDENT!BP28),"")</f>
        <v/>
      </c>
      <c r="F38" s="47" t="str">
        <f>IF(A38&gt;0,UPPER(STUDENT!BO28),"")</f>
        <v>FALSE</v>
      </c>
      <c r="G38" s="47" t="str">
        <f>IF(A38&gt;0,UPPER(STUDENT!Q28),"")</f>
        <v/>
      </c>
      <c r="H38" s="69" t="e">
        <f>IF(A38&gt;0,PASHEET!CI30/PASHEET!CJ30*100,"")</f>
        <v>#DIV/0!</v>
      </c>
      <c r="I38" s="177">
        <f>IF(A38&gt;0,SUM(PASHEET!AL30,PASHEET!AT30),"")</f>
        <v>1</v>
      </c>
      <c r="J38" s="177">
        <f>IF(A38&gt;0,SUM(MARKS!F30,MARKS!AL30),"")</f>
        <v>0</v>
      </c>
      <c r="K38" s="177">
        <f>IF(A38&gt;0,SUM(MARKS!N30,MARKS!AT30),"")</f>
        <v>0</v>
      </c>
      <c r="L38" s="177">
        <f>IF(A38&gt;0,SUM(MARKS!V30,MARKS!BB30),"")</f>
        <v>0</v>
      </c>
      <c r="M38" s="177">
        <f>IF(A38&gt;0,SUM(MARKS!AD30,MARKS!BJ30),"")</f>
        <v>29</v>
      </c>
      <c r="N38" s="178"/>
      <c r="O38" s="177">
        <f t="shared" si="0"/>
        <v>30</v>
      </c>
      <c r="P38" s="177" t="str">
        <f t="shared" si="1"/>
        <v>E</v>
      </c>
      <c r="Q38" s="177">
        <f>IF(A38&gt;0,SUM(PASHEET!AM30,PASHEET!AU30),"")</f>
        <v>1</v>
      </c>
      <c r="R38" s="177">
        <f>IF(A38&gt;0,SUM(MARKS!G30,MARKS!AM30),"")</f>
        <v>0</v>
      </c>
      <c r="S38" s="177">
        <f>IF(A38&gt;0,SUM(MARKS!O30,MARKS!AU30),"")</f>
        <v>0</v>
      </c>
      <c r="T38" s="177">
        <f>IF(A38&gt;0,SUM(MARKS!W30,MARKS!BC30),"")</f>
        <v>0</v>
      </c>
      <c r="U38" s="177">
        <f>IF(A38&gt;0,SUM(MARKS!AE30,MARKS!BK30),"")</f>
        <v>11</v>
      </c>
      <c r="V38" s="178"/>
      <c r="W38" s="177">
        <f t="shared" si="2"/>
        <v>12</v>
      </c>
      <c r="X38" s="177" t="str">
        <f t="shared" si="3"/>
        <v>E</v>
      </c>
      <c r="Y38" s="177">
        <f>IF(A38&gt;0,SUM(PASHEET!AN30,PASHEET!AV30),"")</f>
        <v>2</v>
      </c>
      <c r="Z38" s="177">
        <f>IF(A38&gt;0,SUM(MARKS!H30,MARKS!AN30),"")</f>
        <v>0</v>
      </c>
      <c r="AA38" s="177">
        <f>IF(A38&gt;0,SUM(MARKS!P30,MARKS!AV30),"")</f>
        <v>0</v>
      </c>
      <c r="AB38" s="177">
        <f>IF(A38&gt;0,SUM(MARKS!X30,MARKS!BD30),"")</f>
        <v>0</v>
      </c>
      <c r="AC38" s="177">
        <f>IF(A38&gt;0,SUM(MARKS!AF30,MARKS!BL30),"")</f>
        <v>15</v>
      </c>
      <c r="AD38" s="178"/>
      <c r="AE38" s="177">
        <f t="shared" si="4"/>
        <v>17</v>
      </c>
      <c r="AF38" s="177" t="str">
        <f t="shared" si="5"/>
        <v>E</v>
      </c>
      <c r="AG38" s="177">
        <f>IF(A38&gt;0,SUM(PASHEET!AO30,PASHEET!AW30),"")</f>
        <v>2</v>
      </c>
      <c r="AH38" s="177">
        <f>IF(A38&gt;0,SUM(MARKS!I30,MARKS!AO30),"")</f>
        <v>0</v>
      </c>
      <c r="AI38" s="177">
        <f>IF(A38&gt;0,SUM(MARKS!Q30,MARKS!AW30),"")</f>
        <v>0</v>
      </c>
      <c r="AJ38" s="177">
        <f>IF(A38&gt;0,SUM(MARKS!Y30,MARKS!BE30),"")</f>
        <v>0</v>
      </c>
      <c r="AK38" s="177">
        <f>IF(A38&gt;0,SUM(MARKS!AG30,MARKS!BM30),"")</f>
        <v>11</v>
      </c>
      <c r="AL38" s="178"/>
      <c r="AM38" s="177">
        <f t="shared" si="6"/>
        <v>13</v>
      </c>
      <c r="AN38" s="177" t="str">
        <f t="shared" si="7"/>
        <v>E</v>
      </c>
      <c r="AO38" s="177">
        <f>IF(A38&gt;0,SUM(PASHEET!AP30,PASHEET!AX30),"")</f>
        <v>0</v>
      </c>
      <c r="AP38" s="177">
        <f>IF(A38&gt;0,SUM(MARKS!J30,MARKS!AP30),"")</f>
        <v>0</v>
      </c>
      <c r="AQ38" s="177">
        <f>IF(A38&gt;0,SUM(MARKS!R30,MARKS!AX30),"")</f>
        <v>0</v>
      </c>
      <c r="AR38" s="177">
        <f>IF(A38&gt;0,SUM(MARKS!Z30,MARKS!BF30),"")</f>
        <v>0</v>
      </c>
      <c r="AS38" s="177">
        <f>IF(A38&gt;0,SUM(MARKS!AH30,MARKS!BN30),"")</f>
        <v>16</v>
      </c>
      <c r="AT38" s="178"/>
      <c r="AU38" s="177">
        <f t="shared" si="8"/>
        <v>16</v>
      </c>
      <c r="AV38" s="177" t="str">
        <f t="shared" si="9"/>
        <v>E</v>
      </c>
      <c r="AW38" s="177">
        <f>IF(A38&gt;0,SUM(PASHEET!AQ30,PASHEET!AY30),"")</f>
        <v>2</v>
      </c>
      <c r="AX38" s="177">
        <f>IF(A38&gt;0,SUM(MARKS!K30,MARKS!AQ30),"")</f>
        <v>0</v>
      </c>
      <c r="AY38" s="177">
        <f>IF(A38&gt;0,SUM(MARKS!S30,MARKS!AY30),"")</f>
        <v>0</v>
      </c>
      <c r="AZ38" s="177">
        <f>IF(A38&gt;0,SUM(MARKS!AA30,MARKS!BG30),"")</f>
        <v>0</v>
      </c>
      <c r="BA38" s="177">
        <f>IF(A38&gt;0,SUM(MARKS!AI30,MARKS!BO30),"")</f>
        <v>13</v>
      </c>
      <c r="BB38" s="178"/>
      <c r="BC38" s="177">
        <f t="shared" si="10"/>
        <v>15</v>
      </c>
      <c r="BD38" s="177" t="str">
        <f t="shared" si="11"/>
        <v>E</v>
      </c>
      <c r="BE38" s="177">
        <f t="shared" si="12"/>
        <v>0</v>
      </c>
      <c r="BF38" s="47">
        <f t="shared" si="13"/>
        <v>103</v>
      </c>
      <c r="BG38" s="70">
        <f t="shared" si="14"/>
        <v>17.1666666666667</v>
      </c>
      <c r="BH38" s="177" t="str">
        <f t="shared" si="15"/>
        <v>E</v>
      </c>
      <c r="BI38" s="47">
        <f>IF(A38&gt;0,FLN!I30,"")</f>
        <v>2</v>
      </c>
      <c r="BJ38" s="47">
        <f>IF(A38&gt;0,FLN!J30,"")</f>
        <v>2</v>
      </c>
      <c r="BK38" s="47">
        <f>IF(A38&gt;0,FLN!K30,"")</f>
        <v>3</v>
      </c>
      <c r="BL38" s="47" t="str">
        <f t="shared" si="16"/>
        <v>PROMOTED</v>
      </c>
      <c r="BM38" s="130">
        <f>IF(BF38="","",IFERROR(RANK(BF38,$BF$12:$BF$111,0)+COUNTIFS($BF$12:BF38,BF38)-1,0))</f>
        <v>38</v>
      </c>
      <c r="BN38" s="130">
        <f t="shared" si="17"/>
        <v>103</v>
      </c>
    </row>
    <row r="39" s="98" customFormat="1" ht="27" customHeight="1" spans="1:66">
      <c r="A39" s="47">
        <f>IF(A38=0,0,IF(A38&lt;ENTRY!$D$24,A38+1,0))</f>
        <v>28</v>
      </c>
      <c r="B39" s="47">
        <f>IF(A39&gt;0,STUDENT!F29,"")</f>
        <v>14999</v>
      </c>
      <c r="C39" s="176" t="str">
        <f>IF(A39&gt;0,UPPER(STUDENT!E29),"")</f>
        <v>ABDUL REHMAN</v>
      </c>
      <c r="D39" s="176" t="str">
        <f>IF(A39&gt;0,UPPER(STUDENT!H29),"")</f>
        <v>MD LAL BABU</v>
      </c>
      <c r="E39" s="47" t="str">
        <f>IF(A39&gt;0,UPPER(STUDENT!BP29),"")</f>
        <v/>
      </c>
      <c r="F39" s="47" t="str">
        <f>IF(A39&gt;0,UPPER(STUDENT!BO29),"")</f>
        <v>FALSE</v>
      </c>
      <c r="G39" s="47" t="str">
        <f>IF(A39&gt;0,UPPER(STUDENT!Q29),"")</f>
        <v/>
      </c>
      <c r="H39" s="69" t="e">
        <f>IF(A39&gt;0,PASHEET!CI31/PASHEET!CJ31*100,"")</f>
        <v>#DIV/0!</v>
      </c>
      <c r="I39" s="177">
        <f>IF(A39&gt;0,SUM(PASHEET!AL31,PASHEET!AT31),"")</f>
        <v>1</v>
      </c>
      <c r="J39" s="177">
        <f>IF(A39&gt;0,SUM(MARKS!F31,MARKS!AL31),"")</f>
        <v>0</v>
      </c>
      <c r="K39" s="177">
        <f>IF(A39&gt;0,SUM(MARKS!N31,MARKS!AT31),"")</f>
        <v>0</v>
      </c>
      <c r="L39" s="177">
        <f>IF(A39&gt;0,SUM(MARKS!V31,MARKS!BB31),"")</f>
        <v>0</v>
      </c>
      <c r="M39" s="177">
        <f>IF(A39&gt;0,SUM(MARKS!AD31,MARKS!BJ31),"")</f>
        <v>31</v>
      </c>
      <c r="N39" s="178"/>
      <c r="O39" s="177">
        <f t="shared" si="0"/>
        <v>32</v>
      </c>
      <c r="P39" s="177" t="str">
        <f t="shared" si="1"/>
        <v>E</v>
      </c>
      <c r="Q39" s="177">
        <f>IF(A39&gt;0,SUM(PASHEET!AM31,PASHEET!AU31),"")</f>
        <v>2</v>
      </c>
      <c r="R39" s="177">
        <f>IF(A39&gt;0,SUM(MARKS!G31,MARKS!AM31),"")</f>
        <v>0</v>
      </c>
      <c r="S39" s="177">
        <f>IF(A39&gt;0,SUM(MARKS!O31,MARKS!AU31),"")</f>
        <v>0</v>
      </c>
      <c r="T39" s="177">
        <f>IF(A39&gt;0,SUM(MARKS!W31,MARKS!BC31),"")</f>
        <v>0</v>
      </c>
      <c r="U39" s="177">
        <f>IF(A39&gt;0,SUM(MARKS!AE31,MARKS!BK31),"")</f>
        <v>11</v>
      </c>
      <c r="V39" s="178"/>
      <c r="W39" s="177">
        <f t="shared" si="2"/>
        <v>13</v>
      </c>
      <c r="X39" s="177" t="str">
        <f t="shared" si="3"/>
        <v>E</v>
      </c>
      <c r="Y39" s="177">
        <f>IF(A39&gt;0,SUM(PASHEET!AN31,PASHEET!AV31),"")</f>
        <v>1</v>
      </c>
      <c r="Z39" s="177">
        <f>IF(A39&gt;0,SUM(MARKS!H31,MARKS!AN31),"")</f>
        <v>0</v>
      </c>
      <c r="AA39" s="177">
        <f>IF(A39&gt;0,SUM(MARKS!P31,MARKS!AV31),"")</f>
        <v>0</v>
      </c>
      <c r="AB39" s="177">
        <f>IF(A39&gt;0,SUM(MARKS!X31,MARKS!BD31),"")</f>
        <v>0</v>
      </c>
      <c r="AC39" s="177">
        <f>IF(A39&gt;0,SUM(MARKS!AF31,MARKS!BL31),"")</f>
        <v>11</v>
      </c>
      <c r="AD39" s="178"/>
      <c r="AE39" s="177">
        <f t="shared" si="4"/>
        <v>12</v>
      </c>
      <c r="AF39" s="177" t="str">
        <f t="shared" si="5"/>
        <v>E</v>
      </c>
      <c r="AG39" s="177">
        <f>IF(A39&gt;0,SUM(PASHEET!AO31,PASHEET!AW31),"")</f>
        <v>1</v>
      </c>
      <c r="AH39" s="177">
        <f>IF(A39&gt;0,SUM(MARKS!I31,MARKS!AO31),"")</f>
        <v>0</v>
      </c>
      <c r="AI39" s="177">
        <f>IF(A39&gt;0,SUM(MARKS!Q31,MARKS!AW31),"")</f>
        <v>0</v>
      </c>
      <c r="AJ39" s="177">
        <f>IF(A39&gt;0,SUM(MARKS!Y31,MARKS!BE31),"")</f>
        <v>0</v>
      </c>
      <c r="AK39" s="177">
        <f>IF(A39&gt;0,SUM(MARKS!AG31,MARKS!BM31),"")</f>
        <v>13</v>
      </c>
      <c r="AL39" s="178"/>
      <c r="AM39" s="177">
        <f t="shared" si="6"/>
        <v>14</v>
      </c>
      <c r="AN39" s="177" t="str">
        <f t="shared" si="7"/>
        <v>E</v>
      </c>
      <c r="AO39" s="177">
        <f>IF(A39&gt;0,SUM(PASHEET!AP31,PASHEET!AX31),"")</f>
        <v>0</v>
      </c>
      <c r="AP39" s="177">
        <f>IF(A39&gt;0,SUM(MARKS!J31,MARKS!AP31),"")</f>
        <v>0</v>
      </c>
      <c r="AQ39" s="177">
        <f>IF(A39&gt;0,SUM(MARKS!R31,MARKS!AX31),"")</f>
        <v>0</v>
      </c>
      <c r="AR39" s="177">
        <f>IF(A39&gt;0,SUM(MARKS!Z31,MARKS!BF31),"")</f>
        <v>0</v>
      </c>
      <c r="AS39" s="177">
        <f>IF(A39&gt;0,SUM(MARKS!AH31,MARKS!BN31),"")</f>
        <v>16</v>
      </c>
      <c r="AT39" s="178"/>
      <c r="AU39" s="177">
        <f t="shared" si="8"/>
        <v>16</v>
      </c>
      <c r="AV39" s="177" t="str">
        <f t="shared" si="9"/>
        <v>E</v>
      </c>
      <c r="AW39" s="177">
        <f>IF(A39&gt;0,SUM(PASHEET!AQ31,PASHEET!AY31),"")</f>
        <v>2</v>
      </c>
      <c r="AX39" s="177">
        <f>IF(A39&gt;0,SUM(MARKS!K31,MARKS!AQ31),"")</f>
        <v>0</v>
      </c>
      <c r="AY39" s="177">
        <f>IF(A39&gt;0,SUM(MARKS!S31,MARKS!AY31),"")</f>
        <v>0</v>
      </c>
      <c r="AZ39" s="177">
        <f>IF(A39&gt;0,SUM(MARKS!AA31,MARKS!BG31),"")</f>
        <v>0</v>
      </c>
      <c r="BA39" s="177">
        <f>IF(A39&gt;0,SUM(MARKS!AI31,MARKS!BO31),"")</f>
        <v>13</v>
      </c>
      <c r="BB39" s="178"/>
      <c r="BC39" s="177">
        <f t="shared" si="10"/>
        <v>15</v>
      </c>
      <c r="BD39" s="177" t="str">
        <f t="shared" si="11"/>
        <v>E</v>
      </c>
      <c r="BE39" s="177">
        <f t="shared" si="12"/>
        <v>0</v>
      </c>
      <c r="BF39" s="47">
        <f t="shared" si="13"/>
        <v>102</v>
      </c>
      <c r="BG39" s="70">
        <f t="shared" si="14"/>
        <v>17</v>
      </c>
      <c r="BH39" s="177" t="str">
        <f t="shared" si="15"/>
        <v>E</v>
      </c>
      <c r="BI39" s="47">
        <f>IF(A39&gt;0,FLN!I31,"")</f>
        <v>2</v>
      </c>
      <c r="BJ39" s="47">
        <f>IF(A39&gt;0,FLN!J31,"")</f>
        <v>2</v>
      </c>
      <c r="BK39" s="47">
        <f>IF(A39&gt;0,FLN!K31,"")</f>
        <v>3</v>
      </c>
      <c r="BL39" s="47" t="str">
        <f t="shared" si="16"/>
        <v>PROMOTED</v>
      </c>
      <c r="BM39" s="130">
        <f>IF(BF39="","",IFERROR(RANK(BF39,$BF$12:$BF$111,0)+COUNTIFS($BF$12:BF39,BF39)-1,0))</f>
        <v>39</v>
      </c>
      <c r="BN39" s="130">
        <f t="shared" si="17"/>
        <v>102</v>
      </c>
    </row>
    <row r="40" s="98" customFormat="1" ht="27" customHeight="1" spans="1:66">
      <c r="A40" s="47">
        <f>IF(A39=0,0,IF(A39&lt;ENTRY!$D$24,A39+1,0))</f>
        <v>29</v>
      </c>
      <c r="B40" s="47">
        <f>IF(A40&gt;0,STUDENT!F30,"")</f>
        <v>15000</v>
      </c>
      <c r="C40" s="176" t="str">
        <f>IF(A40&gt;0,UPPER(STUDENT!E30),"")</f>
        <v>KARTIK</v>
      </c>
      <c r="D40" s="176" t="str">
        <f>IF(A40&gt;0,UPPER(STUDENT!H30),"")</f>
        <v>AMAN YADAV</v>
      </c>
      <c r="E40" s="47" t="str">
        <f>IF(A40&gt;0,UPPER(STUDENT!BP30),"")</f>
        <v/>
      </c>
      <c r="F40" s="47" t="str">
        <f>IF(A40&gt;0,UPPER(STUDENT!BO30),"")</f>
        <v>FALSE</v>
      </c>
      <c r="G40" s="47" t="str">
        <f>IF(A40&gt;0,UPPER(STUDENT!Q30),"")</f>
        <v/>
      </c>
      <c r="H40" s="69" t="e">
        <f>IF(A40&gt;0,PASHEET!CI32/PASHEET!CJ32*100,"")</f>
        <v>#DIV/0!</v>
      </c>
      <c r="I40" s="177">
        <f>IF(A40&gt;0,SUM(PASHEET!AL32,PASHEET!AT32),"")</f>
        <v>1</v>
      </c>
      <c r="J40" s="177">
        <f>IF(A40&gt;0,SUM(MARKS!F32,MARKS!AL32),"")</f>
        <v>0</v>
      </c>
      <c r="K40" s="177">
        <f>IF(A40&gt;0,SUM(MARKS!N32,MARKS!AT32),"")</f>
        <v>0</v>
      </c>
      <c r="L40" s="177">
        <f>IF(A40&gt;0,SUM(MARKS!V32,MARKS!BB32),"")</f>
        <v>0</v>
      </c>
      <c r="M40" s="177">
        <f>IF(A40&gt;0,SUM(MARKS!AD32,MARKS!BJ32),"")</f>
        <v>37</v>
      </c>
      <c r="N40" s="178"/>
      <c r="O40" s="177">
        <f t="shared" si="0"/>
        <v>38</v>
      </c>
      <c r="P40" s="177" t="str">
        <f t="shared" si="1"/>
        <v>D</v>
      </c>
      <c r="Q40" s="177">
        <f>IF(A40&gt;0,SUM(PASHEET!AM32,PASHEET!AU32),"")</f>
        <v>1</v>
      </c>
      <c r="R40" s="177">
        <f>IF(A40&gt;0,SUM(MARKS!G32,MARKS!AM32),"")</f>
        <v>0</v>
      </c>
      <c r="S40" s="177">
        <f>IF(A40&gt;0,SUM(MARKS!O32,MARKS!AU32),"")</f>
        <v>0</v>
      </c>
      <c r="T40" s="177">
        <f>IF(A40&gt;0,SUM(MARKS!W32,MARKS!BC32),"")</f>
        <v>0</v>
      </c>
      <c r="U40" s="177">
        <f>IF(A40&gt;0,SUM(MARKS!AE32,MARKS!BK32),"")</f>
        <v>13</v>
      </c>
      <c r="V40" s="178"/>
      <c r="W40" s="177">
        <f t="shared" si="2"/>
        <v>14</v>
      </c>
      <c r="X40" s="177" t="str">
        <f t="shared" si="3"/>
        <v>E</v>
      </c>
      <c r="Y40" s="177">
        <f>IF(A40&gt;0,SUM(PASHEET!AN32,PASHEET!AV32),"")</f>
        <v>1</v>
      </c>
      <c r="Z40" s="177">
        <f>IF(A40&gt;0,SUM(MARKS!H32,MARKS!AN32),"")</f>
        <v>0</v>
      </c>
      <c r="AA40" s="177">
        <f>IF(A40&gt;0,SUM(MARKS!P32,MARKS!AV32),"")</f>
        <v>0</v>
      </c>
      <c r="AB40" s="177">
        <f>IF(A40&gt;0,SUM(MARKS!X32,MARKS!BD32),"")</f>
        <v>0</v>
      </c>
      <c r="AC40" s="177">
        <f>IF(A40&gt;0,SUM(MARKS!AF32,MARKS!BL32),"")</f>
        <v>12</v>
      </c>
      <c r="AD40" s="178"/>
      <c r="AE40" s="177">
        <f t="shared" si="4"/>
        <v>13</v>
      </c>
      <c r="AF40" s="177" t="str">
        <f t="shared" si="5"/>
        <v>E</v>
      </c>
      <c r="AG40" s="177">
        <f>IF(A40&gt;0,SUM(PASHEET!AO32,PASHEET!AW32),"")</f>
        <v>1</v>
      </c>
      <c r="AH40" s="177">
        <f>IF(A40&gt;0,SUM(MARKS!I32,MARKS!AO32),"")</f>
        <v>0</v>
      </c>
      <c r="AI40" s="177">
        <f>IF(A40&gt;0,SUM(MARKS!Q32,MARKS!AW32),"")</f>
        <v>0</v>
      </c>
      <c r="AJ40" s="177">
        <f>IF(A40&gt;0,SUM(MARKS!Y32,MARKS!BE32),"")</f>
        <v>0</v>
      </c>
      <c r="AK40" s="177">
        <f>IF(A40&gt;0,SUM(MARKS!AG32,MARKS!BM32),"")</f>
        <v>13</v>
      </c>
      <c r="AL40" s="178"/>
      <c r="AM40" s="177">
        <f t="shared" si="6"/>
        <v>14</v>
      </c>
      <c r="AN40" s="177" t="str">
        <f t="shared" si="7"/>
        <v>E</v>
      </c>
      <c r="AO40" s="177">
        <f>IF(A40&gt;0,SUM(PASHEET!AP32,PASHEET!AX32),"")</f>
        <v>0</v>
      </c>
      <c r="AP40" s="177">
        <f>IF(A40&gt;0,SUM(MARKS!J32,MARKS!AP32),"")</f>
        <v>0</v>
      </c>
      <c r="AQ40" s="177">
        <f>IF(A40&gt;0,SUM(MARKS!R32,MARKS!AX32),"")</f>
        <v>0</v>
      </c>
      <c r="AR40" s="177">
        <f>IF(A40&gt;0,SUM(MARKS!Z32,MARKS!BF32),"")</f>
        <v>0</v>
      </c>
      <c r="AS40" s="177">
        <f>IF(A40&gt;0,SUM(MARKS!AH32,MARKS!BN32),"")</f>
        <v>13</v>
      </c>
      <c r="AT40" s="178"/>
      <c r="AU40" s="177">
        <f t="shared" si="8"/>
        <v>13</v>
      </c>
      <c r="AV40" s="177" t="str">
        <f t="shared" si="9"/>
        <v>E</v>
      </c>
      <c r="AW40" s="177">
        <f>IF(A40&gt;0,SUM(PASHEET!AQ32,PASHEET!AY32),"")</f>
        <v>1</v>
      </c>
      <c r="AX40" s="177">
        <f>IF(A40&gt;0,SUM(MARKS!K32,MARKS!AQ32),"")</f>
        <v>0</v>
      </c>
      <c r="AY40" s="177">
        <f>IF(A40&gt;0,SUM(MARKS!S32,MARKS!AY32),"")</f>
        <v>0</v>
      </c>
      <c r="AZ40" s="177">
        <f>IF(A40&gt;0,SUM(MARKS!AA32,MARKS!BG32),"")</f>
        <v>0</v>
      </c>
      <c r="BA40" s="177">
        <f>IF(A40&gt;0,SUM(MARKS!AI32,MARKS!BO32),"")</f>
        <v>27</v>
      </c>
      <c r="BB40" s="178"/>
      <c r="BC40" s="177">
        <f t="shared" si="10"/>
        <v>28</v>
      </c>
      <c r="BD40" s="177" t="str">
        <f t="shared" si="11"/>
        <v>E</v>
      </c>
      <c r="BE40" s="177">
        <f t="shared" si="12"/>
        <v>0</v>
      </c>
      <c r="BF40" s="47">
        <f t="shared" si="13"/>
        <v>120</v>
      </c>
      <c r="BG40" s="70">
        <f t="shared" si="14"/>
        <v>20</v>
      </c>
      <c r="BH40" s="177" t="str">
        <f t="shared" si="15"/>
        <v>E</v>
      </c>
      <c r="BI40" s="47">
        <f>IF(A40&gt;0,FLN!I32,"")</f>
        <v>2</v>
      </c>
      <c r="BJ40" s="47">
        <f>IF(A40&gt;0,FLN!J32,"")</f>
        <v>2</v>
      </c>
      <c r="BK40" s="47">
        <f>IF(A40&gt;0,FLN!K32,"")</f>
        <v>3</v>
      </c>
      <c r="BL40" s="47" t="str">
        <f t="shared" si="16"/>
        <v>PROMOTED</v>
      </c>
      <c r="BM40" s="130">
        <f>IF(BF40="","",IFERROR(RANK(BF40,$BF$12:$BF$111,0)+COUNTIFS($BF$12:BF40,BF40)-1,0))</f>
        <v>24</v>
      </c>
      <c r="BN40" s="130">
        <f t="shared" si="17"/>
        <v>120</v>
      </c>
    </row>
    <row r="41" s="98" customFormat="1" ht="27" customHeight="1" spans="1:66">
      <c r="A41" s="47">
        <f>IF(A40=0,0,IF(A40&lt;ENTRY!$D$24,A40+1,0))</f>
        <v>30</v>
      </c>
      <c r="B41" s="47">
        <f>IF(A41&gt;0,STUDENT!F31,"")</f>
        <v>15022</v>
      </c>
      <c r="C41" s="176" t="str">
        <f>IF(A41&gt;0,UPPER(STUDENT!E31),"")</f>
        <v>AYAN</v>
      </c>
      <c r="D41" s="176" t="str">
        <f>IF(A41&gt;0,UPPER(STUDENT!H31),"")</f>
        <v>BABU HASAN</v>
      </c>
      <c r="E41" s="47" t="str">
        <f>IF(A41&gt;0,UPPER(STUDENT!BP31),"")</f>
        <v/>
      </c>
      <c r="F41" s="47" t="str">
        <f>IF(A41&gt;0,UPPER(STUDENT!BO31),"")</f>
        <v>FALSE</v>
      </c>
      <c r="G41" s="47" t="str">
        <f>IF(A41&gt;0,UPPER(STUDENT!Q31),"")</f>
        <v/>
      </c>
      <c r="H41" s="69" t="e">
        <f>IF(A41&gt;0,PASHEET!CI33/PASHEET!CJ33*100,"")</f>
        <v>#DIV/0!</v>
      </c>
      <c r="I41" s="177">
        <f>IF(A41&gt;0,SUM(PASHEET!AL33,PASHEET!AT33),"")</f>
        <v>1</v>
      </c>
      <c r="J41" s="177">
        <f>IF(A41&gt;0,SUM(MARKS!F33,MARKS!AL33),"")</f>
        <v>0</v>
      </c>
      <c r="K41" s="177">
        <f>IF(A41&gt;0,SUM(MARKS!N33,MARKS!AT33),"")</f>
        <v>0</v>
      </c>
      <c r="L41" s="177">
        <f>IF(A41&gt;0,SUM(MARKS!V33,MARKS!BB33),"")</f>
        <v>0</v>
      </c>
      <c r="M41" s="177">
        <f>IF(A41&gt;0,SUM(MARKS!AD33,MARKS!BJ33),"")</f>
        <v>52</v>
      </c>
      <c r="N41" s="178"/>
      <c r="O41" s="177">
        <f t="shared" si="0"/>
        <v>53</v>
      </c>
      <c r="P41" s="177" t="str">
        <f t="shared" si="1"/>
        <v>C</v>
      </c>
      <c r="Q41" s="177">
        <f>IF(A41&gt;0,SUM(PASHEET!AM33,PASHEET!AU33),"")</f>
        <v>1</v>
      </c>
      <c r="R41" s="177">
        <f>IF(A41&gt;0,SUM(MARKS!G33,MARKS!AM33),"")</f>
        <v>0</v>
      </c>
      <c r="S41" s="177">
        <f>IF(A41&gt;0,SUM(MARKS!O33,MARKS!AU33),"")</f>
        <v>0</v>
      </c>
      <c r="T41" s="177">
        <f>IF(A41&gt;0,SUM(MARKS!W33,MARKS!BC33),"")</f>
        <v>0</v>
      </c>
      <c r="U41" s="177">
        <f>IF(A41&gt;0,SUM(MARKS!AE33,MARKS!BK33),"")</f>
        <v>25</v>
      </c>
      <c r="V41" s="178"/>
      <c r="W41" s="177">
        <f t="shared" si="2"/>
        <v>26</v>
      </c>
      <c r="X41" s="177" t="str">
        <f t="shared" si="3"/>
        <v>E</v>
      </c>
      <c r="Y41" s="177">
        <f>IF(A41&gt;0,SUM(PASHEET!AN33,PASHEET!AV33),"")</f>
        <v>1</v>
      </c>
      <c r="Z41" s="177">
        <f>IF(A41&gt;0,SUM(MARKS!H33,MARKS!AN33),"")</f>
        <v>0</v>
      </c>
      <c r="AA41" s="177">
        <f>IF(A41&gt;0,SUM(MARKS!P33,MARKS!AV33),"")</f>
        <v>0</v>
      </c>
      <c r="AB41" s="177">
        <f>IF(A41&gt;0,SUM(MARKS!X33,MARKS!BD33),"")</f>
        <v>0</v>
      </c>
      <c r="AC41" s="177">
        <f>IF(A41&gt;0,SUM(MARKS!AF33,MARKS!BL33),"")</f>
        <v>20</v>
      </c>
      <c r="AD41" s="178"/>
      <c r="AE41" s="177">
        <f t="shared" si="4"/>
        <v>21</v>
      </c>
      <c r="AF41" s="177" t="str">
        <f t="shared" si="5"/>
        <v>E</v>
      </c>
      <c r="AG41" s="177">
        <f>IF(A41&gt;0,SUM(PASHEET!AO33,PASHEET!AW33),"")</f>
        <v>2</v>
      </c>
      <c r="AH41" s="177">
        <f>IF(A41&gt;0,SUM(MARKS!I33,MARKS!AO33),"")</f>
        <v>0</v>
      </c>
      <c r="AI41" s="177">
        <f>IF(A41&gt;0,SUM(MARKS!Q33,MARKS!AW33),"")</f>
        <v>0</v>
      </c>
      <c r="AJ41" s="177">
        <f>IF(A41&gt;0,SUM(MARKS!Y33,MARKS!BE33),"")</f>
        <v>0</v>
      </c>
      <c r="AK41" s="177">
        <f>IF(A41&gt;0,SUM(MARKS!AG33,MARKS!BM33),"")</f>
        <v>26</v>
      </c>
      <c r="AL41" s="178"/>
      <c r="AM41" s="177">
        <f t="shared" si="6"/>
        <v>28</v>
      </c>
      <c r="AN41" s="177" t="str">
        <f t="shared" si="7"/>
        <v>E</v>
      </c>
      <c r="AO41" s="177">
        <f>IF(A41&gt;0,SUM(PASHEET!AP33,PASHEET!AX33),"")</f>
        <v>0</v>
      </c>
      <c r="AP41" s="177">
        <f>IF(A41&gt;0,SUM(MARKS!J33,MARKS!AP33),"")</f>
        <v>0</v>
      </c>
      <c r="AQ41" s="177">
        <f>IF(A41&gt;0,SUM(MARKS!R33,MARKS!AX33),"")</f>
        <v>0</v>
      </c>
      <c r="AR41" s="177">
        <f>IF(A41&gt;0,SUM(MARKS!Z33,MARKS!BF33),"")</f>
        <v>0</v>
      </c>
      <c r="AS41" s="177">
        <f>IF(A41&gt;0,SUM(MARKS!AH33,MARKS!BN33),"")</f>
        <v>25</v>
      </c>
      <c r="AT41" s="178"/>
      <c r="AU41" s="177">
        <f t="shared" si="8"/>
        <v>25</v>
      </c>
      <c r="AV41" s="177" t="str">
        <f t="shared" si="9"/>
        <v>E</v>
      </c>
      <c r="AW41" s="177">
        <f>IF(A41&gt;0,SUM(PASHEET!AQ33,PASHEET!AY33),"")</f>
        <v>2</v>
      </c>
      <c r="AX41" s="177">
        <f>IF(A41&gt;0,SUM(MARKS!K33,MARKS!AQ33),"")</f>
        <v>0</v>
      </c>
      <c r="AY41" s="177">
        <f>IF(A41&gt;0,SUM(MARKS!S33,MARKS!AY33),"")</f>
        <v>0</v>
      </c>
      <c r="AZ41" s="177">
        <f>IF(A41&gt;0,SUM(MARKS!AA33,MARKS!BG33),"")</f>
        <v>0</v>
      </c>
      <c r="BA41" s="177">
        <f>IF(A41&gt;0,SUM(MARKS!AI33,MARKS!BO33),"")</f>
        <v>27</v>
      </c>
      <c r="BB41" s="178"/>
      <c r="BC41" s="177">
        <f t="shared" si="10"/>
        <v>29</v>
      </c>
      <c r="BD41" s="177" t="str">
        <f t="shared" si="11"/>
        <v>E</v>
      </c>
      <c r="BE41" s="177">
        <f t="shared" si="12"/>
        <v>0</v>
      </c>
      <c r="BF41" s="47">
        <f t="shared" si="13"/>
        <v>182</v>
      </c>
      <c r="BG41" s="70">
        <f t="shared" si="14"/>
        <v>30.3333333333333</v>
      </c>
      <c r="BH41" s="177" t="str">
        <f t="shared" si="15"/>
        <v>E</v>
      </c>
      <c r="BI41" s="47">
        <f>IF(A41&gt;0,FLN!I33,"")</f>
        <v>2</v>
      </c>
      <c r="BJ41" s="47">
        <f>IF(A41&gt;0,FLN!J33,"")</f>
        <v>2</v>
      </c>
      <c r="BK41" s="47">
        <f>IF(A41&gt;0,FLN!K33,"")</f>
        <v>3</v>
      </c>
      <c r="BL41" s="47" t="str">
        <f t="shared" si="16"/>
        <v>PROMOTED</v>
      </c>
      <c r="BM41" s="130">
        <f>IF(BF41="","",IFERROR(RANK(BF41,$BF$12:$BF$111,0)+COUNTIFS($BF$12:BF41,BF41)-1,0))</f>
        <v>4</v>
      </c>
      <c r="BN41" s="130">
        <f t="shared" si="17"/>
        <v>182</v>
      </c>
    </row>
    <row r="42" s="98" customFormat="1" ht="27" customHeight="1" spans="1:66">
      <c r="A42" s="47">
        <f>IF(A41=0,0,IF(A41&lt;ENTRY!$D$24,A41+1,0))</f>
        <v>31</v>
      </c>
      <c r="B42" s="47">
        <f>IF(A42&gt;0,STUDENT!F32,"")</f>
        <v>15034</v>
      </c>
      <c r="C42" s="176" t="str">
        <f>IF(A42&gt;0,UPPER(STUDENT!E32),"")</f>
        <v>RAM CHANDER KUMAR</v>
      </c>
      <c r="D42" s="176" t="str">
        <f>IF(A42&gt;0,UPPER(STUDENT!H32),"")</f>
        <v>AKASH SHARMA</v>
      </c>
      <c r="E42" s="47" t="str">
        <f>IF(A42&gt;0,UPPER(STUDENT!BP32),"")</f>
        <v/>
      </c>
      <c r="F42" s="47" t="str">
        <f>IF(A42&gt;0,UPPER(STUDENT!BO32),"")</f>
        <v>FALSE</v>
      </c>
      <c r="G42" s="47" t="str">
        <f>IF(A42&gt;0,UPPER(STUDENT!Q32),"")</f>
        <v/>
      </c>
      <c r="H42" s="69" t="e">
        <f>IF(A42&gt;0,PASHEET!CI34/PASHEET!CJ34*100,"")</f>
        <v>#DIV/0!</v>
      </c>
      <c r="I42" s="177">
        <f>IF(A42&gt;0,SUM(PASHEET!AL34,PASHEET!AT34),"")</f>
        <v>1</v>
      </c>
      <c r="J42" s="177">
        <f>IF(A42&gt;0,SUM(MARKS!F34,MARKS!AL34),"")</f>
        <v>0</v>
      </c>
      <c r="K42" s="177">
        <f>IF(A42&gt;0,SUM(MARKS!N34,MARKS!AT34),"")</f>
        <v>0</v>
      </c>
      <c r="L42" s="177">
        <f>IF(A42&gt;0,SUM(MARKS!V34,MARKS!BB34),"")</f>
        <v>0</v>
      </c>
      <c r="M42" s="177">
        <f>IF(A42&gt;0,SUM(MARKS!AD34,MARKS!BJ34),"")</f>
        <v>34</v>
      </c>
      <c r="N42" s="178"/>
      <c r="O42" s="177">
        <f t="shared" si="0"/>
        <v>35</v>
      </c>
      <c r="P42" s="177" t="str">
        <f t="shared" si="1"/>
        <v>D</v>
      </c>
      <c r="Q42" s="177">
        <f>IF(A42&gt;0,SUM(PASHEET!AM34,PASHEET!AU34),"")</f>
        <v>1</v>
      </c>
      <c r="R42" s="177">
        <f>IF(A42&gt;0,SUM(MARKS!G34,MARKS!AM34),"")</f>
        <v>0</v>
      </c>
      <c r="S42" s="177">
        <f>IF(A42&gt;0,SUM(MARKS!O34,MARKS!AU34),"")</f>
        <v>0</v>
      </c>
      <c r="T42" s="177">
        <f>IF(A42&gt;0,SUM(MARKS!W34,MARKS!BC34),"")</f>
        <v>0</v>
      </c>
      <c r="U42" s="177">
        <f>IF(A42&gt;0,SUM(MARKS!AE34,MARKS!BK34),"")</f>
        <v>15</v>
      </c>
      <c r="V42" s="178"/>
      <c r="W42" s="177">
        <f t="shared" si="2"/>
        <v>16</v>
      </c>
      <c r="X42" s="177" t="str">
        <f t="shared" si="3"/>
        <v>E</v>
      </c>
      <c r="Y42" s="177">
        <f>IF(A42&gt;0,SUM(PASHEET!AN34,PASHEET!AV34),"")</f>
        <v>1</v>
      </c>
      <c r="Z42" s="177">
        <f>IF(A42&gt;0,SUM(MARKS!H34,MARKS!AN34),"")</f>
        <v>0</v>
      </c>
      <c r="AA42" s="177">
        <f>IF(A42&gt;0,SUM(MARKS!P34,MARKS!AV34),"")</f>
        <v>0</v>
      </c>
      <c r="AB42" s="177">
        <f>IF(A42&gt;0,SUM(MARKS!X34,MARKS!BD34),"")</f>
        <v>0</v>
      </c>
      <c r="AC42" s="177">
        <f>IF(A42&gt;0,SUM(MARKS!AF34,MARKS!BL34),"")</f>
        <v>15</v>
      </c>
      <c r="AD42" s="178"/>
      <c r="AE42" s="177">
        <f t="shared" si="4"/>
        <v>16</v>
      </c>
      <c r="AF42" s="177" t="str">
        <f t="shared" si="5"/>
        <v>E</v>
      </c>
      <c r="AG42" s="177">
        <f>IF(A42&gt;0,SUM(PASHEET!AO34,PASHEET!AW34),"")</f>
        <v>1</v>
      </c>
      <c r="AH42" s="177">
        <f>IF(A42&gt;0,SUM(MARKS!I34,MARKS!AO34),"")</f>
        <v>0</v>
      </c>
      <c r="AI42" s="177">
        <f>IF(A42&gt;0,SUM(MARKS!Q34,MARKS!AW34),"")</f>
        <v>0</v>
      </c>
      <c r="AJ42" s="177">
        <f>IF(A42&gt;0,SUM(MARKS!Y34,MARKS!BE34),"")</f>
        <v>0</v>
      </c>
      <c r="AK42" s="177">
        <f>IF(A42&gt;0,SUM(MARKS!AG34,MARKS!BM34),"")</f>
        <v>16</v>
      </c>
      <c r="AL42" s="178"/>
      <c r="AM42" s="177">
        <f t="shared" si="6"/>
        <v>17</v>
      </c>
      <c r="AN42" s="177" t="str">
        <f t="shared" si="7"/>
        <v>E</v>
      </c>
      <c r="AO42" s="177">
        <f>IF(A42&gt;0,SUM(PASHEET!AP34,PASHEET!AX34),"")</f>
        <v>0</v>
      </c>
      <c r="AP42" s="177">
        <f>IF(A42&gt;0,SUM(MARKS!J34,MARKS!AP34),"")</f>
        <v>0</v>
      </c>
      <c r="AQ42" s="177">
        <f>IF(A42&gt;0,SUM(MARKS!R34,MARKS!AX34),"")</f>
        <v>0</v>
      </c>
      <c r="AR42" s="177">
        <f>IF(A42&gt;0,SUM(MARKS!Z34,MARKS!BF34),"")</f>
        <v>0</v>
      </c>
      <c r="AS42" s="177">
        <f>IF(A42&gt;0,SUM(MARKS!AH34,MARKS!BN34),"")</f>
        <v>15</v>
      </c>
      <c r="AT42" s="178"/>
      <c r="AU42" s="177">
        <f t="shared" si="8"/>
        <v>15</v>
      </c>
      <c r="AV42" s="177" t="str">
        <f t="shared" si="9"/>
        <v>E</v>
      </c>
      <c r="AW42" s="177">
        <f>IF(A42&gt;0,SUM(PASHEET!AQ34,PASHEET!AY34),"")</f>
        <v>2</v>
      </c>
      <c r="AX42" s="177">
        <f>IF(A42&gt;0,SUM(MARKS!K34,MARKS!AQ34),"")</f>
        <v>0</v>
      </c>
      <c r="AY42" s="177">
        <f>IF(A42&gt;0,SUM(MARKS!S34,MARKS!AY34),"")</f>
        <v>0</v>
      </c>
      <c r="AZ42" s="177">
        <f>IF(A42&gt;0,SUM(MARKS!AA34,MARKS!BG34),"")</f>
        <v>0</v>
      </c>
      <c r="BA42" s="177">
        <f>IF(A42&gt;0,SUM(MARKS!AI34,MARKS!BO34),"")</f>
        <v>17</v>
      </c>
      <c r="BB42" s="178"/>
      <c r="BC42" s="177">
        <f t="shared" si="10"/>
        <v>19</v>
      </c>
      <c r="BD42" s="177" t="str">
        <f t="shared" si="11"/>
        <v>E</v>
      </c>
      <c r="BE42" s="177">
        <f t="shared" si="12"/>
        <v>0</v>
      </c>
      <c r="BF42" s="47">
        <f t="shared" si="13"/>
        <v>118</v>
      </c>
      <c r="BG42" s="70">
        <f t="shared" si="14"/>
        <v>19.6666666666667</v>
      </c>
      <c r="BH42" s="177" t="str">
        <f t="shared" si="15"/>
        <v>E</v>
      </c>
      <c r="BI42" s="47">
        <f>IF(A42&gt;0,FLN!I34,"")</f>
        <v>2</v>
      </c>
      <c r="BJ42" s="47">
        <f>IF(A42&gt;0,FLN!J34,"")</f>
        <v>2</v>
      </c>
      <c r="BK42" s="47">
        <f>IF(A42&gt;0,FLN!K34,"")</f>
        <v>3</v>
      </c>
      <c r="BL42" s="47" t="str">
        <f t="shared" si="16"/>
        <v>PROMOTED</v>
      </c>
      <c r="BM42" s="130">
        <f>IF(BF42="","",IFERROR(RANK(BF42,$BF$12:$BF$111,0)+COUNTIFS($BF$12:BF42,BF42)-1,0))</f>
        <v>25</v>
      </c>
      <c r="BN42" s="130">
        <f t="shared" si="17"/>
        <v>118</v>
      </c>
    </row>
    <row r="43" s="98" customFormat="1" ht="27" customHeight="1" spans="1:66">
      <c r="A43" s="47">
        <f>IF(A42=0,0,IF(A42&lt;ENTRY!$D$24,A42+1,0))</f>
        <v>32</v>
      </c>
      <c r="B43" s="47">
        <f>IF(A43&gt;0,STUDENT!F33,"")</f>
        <v>15035</v>
      </c>
      <c r="C43" s="176" t="str">
        <f>IF(A43&gt;0,UPPER(STUDENT!E33),"")</f>
        <v>HARSHIT</v>
      </c>
      <c r="D43" s="176" t="str">
        <f>IF(A43&gt;0,UPPER(STUDENT!H33),"")</f>
        <v>ANKIT SINGH</v>
      </c>
      <c r="E43" s="47" t="str">
        <f>IF(A43&gt;0,UPPER(STUDENT!BP33),"")</f>
        <v/>
      </c>
      <c r="F43" s="47" t="str">
        <f>IF(A43&gt;0,UPPER(STUDENT!BO33),"")</f>
        <v>FALSE</v>
      </c>
      <c r="G43" s="47" t="str">
        <f>IF(A43&gt;0,UPPER(STUDENT!Q33),"")</f>
        <v/>
      </c>
      <c r="H43" s="69" t="e">
        <f>IF(A43&gt;0,PASHEET!CI35/PASHEET!CJ35*100,"")</f>
        <v>#DIV/0!</v>
      </c>
      <c r="I43" s="177">
        <f>IF(A43&gt;0,SUM(PASHEET!AL35,PASHEET!AT35),"")</f>
        <v>2</v>
      </c>
      <c r="J43" s="177">
        <f>IF(A43&gt;0,SUM(MARKS!F35,MARKS!AL35),"")</f>
        <v>0</v>
      </c>
      <c r="K43" s="177">
        <f>IF(A43&gt;0,SUM(MARKS!N35,MARKS!AT35),"")</f>
        <v>0</v>
      </c>
      <c r="L43" s="177">
        <f>IF(A43&gt;0,SUM(MARKS!V35,MARKS!BB35),"")</f>
        <v>0</v>
      </c>
      <c r="M43" s="177">
        <f>IF(A43&gt;0,SUM(MARKS!AD35,MARKS!BJ35),"")</f>
        <v>56</v>
      </c>
      <c r="N43" s="178"/>
      <c r="O43" s="177">
        <f t="shared" si="0"/>
        <v>58</v>
      </c>
      <c r="P43" s="177" t="str">
        <f t="shared" si="1"/>
        <v>C</v>
      </c>
      <c r="Q43" s="177">
        <f>IF(A43&gt;0,SUM(PASHEET!AM35,PASHEET!AU35),"")</f>
        <v>2</v>
      </c>
      <c r="R43" s="177">
        <f>IF(A43&gt;0,SUM(MARKS!G35,MARKS!AM35),"")</f>
        <v>0</v>
      </c>
      <c r="S43" s="177">
        <f>IF(A43&gt;0,SUM(MARKS!O35,MARKS!AU35),"")</f>
        <v>0</v>
      </c>
      <c r="T43" s="177">
        <f>IF(A43&gt;0,SUM(MARKS!W35,MARKS!BC35),"")</f>
        <v>0</v>
      </c>
      <c r="U43" s="177">
        <f>IF(A43&gt;0,SUM(MARKS!AE35,MARKS!BK35),"")</f>
        <v>26</v>
      </c>
      <c r="V43" s="178"/>
      <c r="W43" s="177">
        <f t="shared" si="2"/>
        <v>28</v>
      </c>
      <c r="X43" s="177" t="str">
        <f t="shared" si="3"/>
        <v>E</v>
      </c>
      <c r="Y43" s="177">
        <f>IF(A43&gt;0,SUM(PASHEET!AN35,PASHEET!AV35),"")</f>
        <v>2</v>
      </c>
      <c r="Z43" s="177">
        <f>IF(A43&gt;0,SUM(MARKS!H35,MARKS!AN35),"")</f>
        <v>0</v>
      </c>
      <c r="AA43" s="177">
        <f>IF(A43&gt;0,SUM(MARKS!P35,MARKS!AV35),"")</f>
        <v>0</v>
      </c>
      <c r="AB43" s="177">
        <f>IF(A43&gt;0,SUM(MARKS!X35,MARKS!BD35),"")</f>
        <v>0</v>
      </c>
      <c r="AC43" s="177">
        <f>IF(A43&gt;0,SUM(MARKS!AF35,MARKS!BL35),"")</f>
        <v>26</v>
      </c>
      <c r="AD43" s="178"/>
      <c r="AE43" s="177">
        <f t="shared" si="4"/>
        <v>28</v>
      </c>
      <c r="AF43" s="177" t="str">
        <f t="shared" si="5"/>
        <v>E</v>
      </c>
      <c r="AG43" s="177">
        <f>IF(A43&gt;0,SUM(PASHEET!AO35,PASHEET!AW35),"")</f>
        <v>2</v>
      </c>
      <c r="AH43" s="177">
        <f>IF(A43&gt;0,SUM(MARKS!I35,MARKS!AO35),"")</f>
        <v>0</v>
      </c>
      <c r="AI43" s="177">
        <f>IF(A43&gt;0,SUM(MARKS!Q35,MARKS!AW35),"")</f>
        <v>0</v>
      </c>
      <c r="AJ43" s="177">
        <f>IF(A43&gt;0,SUM(MARKS!Y35,MARKS!BE35),"")</f>
        <v>0</v>
      </c>
      <c r="AK43" s="177">
        <f>IF(A43&gt;0,SUM(MARKS!AG35,MARKS!BM35),"")</f>
        <v>28</v>
      </c>
      <c r="AL43" s="178"/>
      <c r="AM43" s="177">
        <f t="shared" si="6"/>
        <v>30</v>
      </c>
      <c r="AN43" s="177" t="str">
        <f t="shared" si="7"/>
        <v>E</v>
      </c>
      <c r="AO43" s="177">
        <f>IF(A43&gt;0,SUM(PASHEET!AP35,PASHEET!AX35),"")</f>
        <v>0</v>
      </c>
      <c r="AP43" s="177">
        <f>IF(A43&gt;0,SUM(MARKS!J35,MARKS!AP35),"")</f>
        <v>0</v>
      </c>
      <c r="AQ43" s="177">
        <f>IF(A43&gt;0,SUM(MARKS!R35,MARKS!AX35),"")</f>
        <v>0</v>
      </c>
      <c r="AR43" s="177">
        <f>IF(A43&gt;0,SUM(MARKS!Z35,MARKS!BF35),"")</f>
        <v>0</v>
      </c>
      <c r="AS43" s="177">
        <f>IF(A43&gt;0,SUM(MARKS!AH35,MARKS!BN35),"")</f>
        <v>25</v>
      </c>
      <c r="AT43" s="178"/>
      <c r="AU43" s="177">
        <f t="shared" si="8"/>
        <v>25</v>
      </c>
      <c r="AV43" s="177" t="str">
        <f t="shared" si="9"/>
        <v>E</v>
      </c>
      <c r="AW43" s="177">
        <f>IF(A43&gt;0,SUM(PASHEET!AQ35,PASHEET!AY35),"")</f>
        <v>2</v>
      </c>
      <c r="AX43" s="177">
        <f>IF(A43&gt;0,SUM(MARKS!K35,MARKS!AQ35),"")</f>
        <v>0</v>
      </c>
      <c r="AY43" s="177">
        <f>IF(A43&gt;0,SUM(MARKS!S35,MARKS!AY35),"")</f>
        <v>0</v>
      </c>
      <c r="AZ43" s="177">
        <f>IF(A43&gt;0,SUM(MARKS!AA35,MARKS!BG35),"")</f>
        <v>0</v>
      </c>
      <c r="BA43" s="177">
        <f>IF(A43&gt;0,SUM(MARKS!AI35,MARKS!BO35),"")</f>
        <v>28</v>
      </c>
      <c r="BB43" s="178"/>
      <c r="BC43" s="177">
        <f t="shared" si="10"/>
        <v>30</v>
      </c>
      <c r="BD43" s="177" t="str">
        <f t="shared" si="11"/>
        <v>E</v>
      </c>
      <c r="BE43" s="177">
        <f t="shared" si="12"/>
        <v>0</v>
      </c>
      <c r="BF43" s="47">
        <f t="shared" si="13"/>
        <v>199</v>
      </c>
      <c r="BG43" s="70">
        <f t="shared" si="14"/>
        <v>33.1666666666667</v>
      </c>
      <c r="BH43" s="177" t="str">
        <f t="shared" si="15"/>
        <v>D</v>
      </c>
      <c r="BI43" s="47">
        <f>IF(A43&gt;0,FLN!I35,"")</f>
        <v>2</v>
      </c>
      <c r="BJ43" s="47">
        <f>IF(A43&gt;0,FLN!J35,"")</f>
        <v>2</v>
      </c>
      <c r="BK43" s="47">
        <f>IF(A43&gt;0,FLN!K35,"")</f>
        <v>3</v>
      </c>
      <c r="BL43" s="47" t="str">
        <f t="shared" si="16"/>
        <v>FIRST</v>
      </c>
      <c r="BM43" s="130">
        <f>IF(BF43="","",IFERROR(RANK(BF43,$BF$12:$BF$111,0)+COUNTIFS($BF$12:BF43,BF43)-1,0))</f>
        <v>1</v>
      </c>
      <c r="BN43" s="130">
        <f t="shared" si="17"/>
        <v>199</v>
      </c>
    </row>
    <row r="44" s="98" customFormat="1" ht="27" customHeight="1" spans="1:66">
      <c r="A44" s="47">
        <f>IF(A43=0,0,IF(A43&lt;ENTRY!$D$24,A43+1,0))</f>
        <v>33</v>
      </c>
      <c r="B44" s="47">
        <f>IF(A44&gt;0,STUDENT!F34,"")</f>
        <v>15077</v>
      </c>
      <c r="C44" s="176" t="str">
        <f>IF(A44&gt;0,UPPER(STUDENT!E34),"")</f>
        <v>HEMANT KUMAR</v>
      </c>
      <c r="D44" s="176" t="str">
        <f>IF(A44&gt;0,UPPER(STUDENT!H34),"")</f>
        <v>PRADEEP KUMAR</v>
      </c>
      <c r="E44" s="47" t="str">
        <f>IF(A44&gt;0,UPPER(STUDENT!BP34),"")</f>
        <v/>
      </c>
      <c r="F44" s="47" t="str">
        <f>IF(A44&gt;0,UPPER(STUDENT!BO34),"")</f>
        <v>FALSE</v>
      </c>
      <c r="G44" s="47" t="str">
        <f>IF(A44&gt;0,UPPER(STUDENT!Q34),"")</f>
        <v/>
      </c>
      <c r="H44" s="69" t="e">
        <f>IF(A44&gt;0,PASHEET!CI36/PASHEET!CJ36*100,"")</f>
        <v>#DIV/0!</v>
      </c>
      <c r="I44" s="177">
        <f>IF(A44&gt;0,SUM(PASHEET!AL36,PASHEET!AT36),"")</f>
        <v>2</v>
      </c>
      <c r="J44" s="177">
        <f>IF(A44&gt;0,SUM(MARKS!F36,MARKS!AL36),"")</f>
        <v>0</v>
      </c>
      <c r="K44" s="177">
        <f>IF(A44&gt;0,SUM(MARKS!N36,MARKS!AT36),"")</f>
        <v>0</v>
      </c>
      <c r="L44" s="177">
        <f>IF(A44&gt;0,SUM(MARKS!V36,MARKS!BB36),"")</f>
        <v>0</v>
      </c>
      <c r="M44" s="177">
        <f>IF(A44&gt;0,SUM(MARKS!AD36,MARKS!BJ36),"")</f>
        <v>43</v>
      </c>
      <c r="N44" s="178"/>
      <c r="O44" s="177">
        <f t="shared" si="0"/>
        <v>45</v>
      </c>
      <c r="P44" s="177" t="str">
        <f t="shared" si="1"/>
        <v>C</v>
      </c>
      <c r="Q44" s="177">
        <f>IF(A44&gt;0,SUM(PASHEET!AM36,PASHEET!AU36),"")</f>
        <v>2</v>
      </c>
      <c r="R44" s="177">
        <f>IF(A44&gt;0,SUM(MARKS!G36,MARKS!AM36),"")</f>
        <v>0</v>
      </c>
      <c r="S44" s="177">
        <f>IF(A44&gt;0,SUM(MARKS!O36,MARKS!AU36),"")</f>
        <v>0</v>
      </c>
      <c r="T44" s="177">
        <f>IF(A44&gt;0,SUM(MARKS!W36,MARKS!BC36),"")</f>
        <v>0</v>
      </c>
      <c r="U44" s="177">
        <f>IF(A44&gt;0,SUM(MARKS!AE36,MARKS!BK36),"")</f>
        <v>12</v>
      </c>
      <c r="V44" s="178"/>
      <c r="W44" s="177">
        <f t="shared" si="2"/>
        <v>14</v>
      </c>
      <c r="X44" s="177" t="str">
        <f t="shared" si="3"/>
        <v>E</v>
      </c>
      <c r="Y44" s="177">
        <f>IF(A44&gt;0,SUM(PASHEET!AN36,PASHEET!AV36),"")</f>
        <v>2</v>
      </c>
      <c r="Z44" s="177">
        <f>IF(A44&gt;0,SUM(MARKS!H36,MARKS!AN36),"")</f>
        <v>0</v>
      </c>
      <c r="AA44" s="177">
        <f>IF(A44&gt;0,SUM(MARKS!P36,MARKS!AV36),"")</f>
        <v>0</v>
      </c>
      <c r="AB44" s="177">
        <f>IF(A44&gt;0,SUM(MARKS!X36,MARKS!BD36),"")</f>
        <v>0</v>
      </c>
      <c r="AC44" s="177">
        <f>IF(A44&gt;0,SUM(MARKS!AF36,MARKS!BL36),"")</f>
        <v>15</v>
      </c>
      <c r="AD44" s="178"/>
      <c r="AE44" s="177">
        <f t="shared" si="4"/>
        <v>17</v>
      </c>
      <c r="AF44" s="177" t="str">
        <f t="shared" si="5"/>
        <v>E</v>
      </c>
      <c r="AG44" s="177">
        <f>IF(A44&gt;0,SUM(PASHEET!AO36,PASHEET!AW36),"")</f>
        <v>2</v>
      </c>
      <c r="AH44" s="177">
        <f>IF(A44&gt;0,SUM(MARKS!I36,MARKS!AO36),"")</f>
        <v>0</v>
      </c>
      <c r="AI44" s="177">
        <f>IF(A44&gt;0,SUM(MARKS!Q36,MARKS!AW36),"")</f>
        <v>0</v>
      </c>
      <c r="AJ44" s="177">
        <f>IF(A44&gt;0,SUM(MARKS!Y36,MARKS!BE36),"")</f>
        <v>0</v>
      </c>
      <c r="AK44" s="177">
        <f>IF(A44&gt;0,SUM(MARKS!AG36,MARKS!BM36),"")</f>
        <v>16</v>
      </c>
      <c r="AL44" s="178"/>
      <c r="AM44" s="177">
        <f t="shared" si="6"/>
        <v>18</v>
      </c>
      <c r="AN44" s="177" t="str">
        <f t="shared" si="7"/>
        <v>E</v>
      </c>
      <c r="AO44" s="177">
        <f>IF(A44&gt;0,SUM(PASHEET!AP36,PASHEET!AX36),"")</f>
        <v>0</v>
      </c>
      <c r="AP44" s="177">
        <f>IF(A44&gt;0,SUM(MARKS!J36,MARKS!AP36),"")</f>
        <v>0</v>
      </c>
      <c r="AQ44" s="177">
        <f>IF(A44&gt;0,SUM(MARKS!R36,MARKS!AX36),"")</f>
        <v>0</v>
      </c>
      <c r="AR44" s="177">
        <f>IF(A44&gt;0,SUM(MARKS!Z36,MARKS!BF36),"")</f>
        <v>0</v>
      </c>
      <c r="AS44" s="177">
        <f>IF(A44&gt;0,SUM(MARKS!AH36,MARKS!BN36),"")</f>
        <v>18</v>
      </c>
      <c r="AT44" s="178"/>
      <c r="AU44" s="177">
        <f t="shared" si="8"/>
        <v>18</v>
      </c>
      <c r="AV44" s="177" t="str">
        <f t="shared" si="9"/>
        <v>E</v>
      </c>
      <c r="AW44" s="177">
        <f>IF(A44&gt;0,SUM(PASHEET!AQ36,PASHEET!AY36),"")</f>
        <v>2</v>
      </c>
      <c r="AX44" s="177">
        <f>IF(A44&gt;0,SUM(MARKS!K36,MARKS!AQ36),"")</f>
        <v>0</v>
      </c>
      <c r="AY44" s="177">
        <f>IF(A44&gt;0,SUM(MARKS!S36,MARKS!AY36),"")</f>
        <v>0</v>
      </c>
      <c r="AZ44" s="177">
        <f>IF(A44&gt;0,SUM(MARKS!AA36,MARKS!BG36),"")</f>
        <v>0</v>
      </c>
      <c r="BA44" s="177">
        <f>IF(A44&gt;0,SUM(MARKS!AI36,MARKS!BO36),"")</f>
        <v>12</v>
      </c>
      <c r="BB44" s="178"/>
      <c r="BC44" s="177">
        <f t="shared" si="10"/>
        <v>14</v>
      </c>
      <c r="BD44" s="177" t="str">
        <f t="shared" si="11"/>
        <v>E</v>
      </c>
      <c r="BE44" s="177">
        <f t="shared" si="12"/>
        <v>0</v>
      </c>
      <c r="BF44" s="47">
        <f t="shared" si="13"/>
        <v>126</v>
      </c>
      <c r="BG44" s="70">
        <f t="shared" si="14"/>
        <v>21</v>
      </c>
      <c r="BH44" s="177" t="str">
        <f t="shared" si="15"/>
        <v>E</v>
      </c>
      <c r="BI44" s="47">
        <f>IF(A44&gt;0,FLN!I36,"")</f>
        <v>2</v>
      </c>
      <c r="BJ44" s="47">
        <f>IF(A44&gt;0,FLN!J36,"")</f>
        <v>2</v>
      </c>
      <c r="BK44" s="47">
        <f>IF(A44&gt;0,FLN!K36,"")</f>
        <v>3</v>
      </c>
      <c r="BL44" s="47" t="str">
        <f t="shared" si="16"/>
        <v>PROMOTED</v>
      </c>
      <c r="BM44" s="130">
        <f>IF(BF44="","",IFERROR(RANK(BF44,$BF$12:$BF$111,0)+COUNTIFS($BF$12:BF44,BF44)-1,0))</f>
        <v>21</v>
      </c>
      <c r="BN44" s="130">
        <f t="shared" si="17"/>
        <v>126</v>
      </c>
    </row>
    <row r="45" s="98" customFormat="1" ht="27" customHeight="1" spans="1:66">
      <c r="A45" s="47">
        <f>IF(A44=0,0,IF(A44&lt;ENTRY!$D$24,A44+1,0))</f>
        <v>34</v>
      </c>
      <c r="B45" s="47">
        <f>IF(A45&gt;0,STUDENT!F35,"")</f>
        <v>15088</v>
      </c>
      <c r="C45" s="176" t="str">
        <f>IF(A45&gt;0,UPPER(STUDENT!E35),"")</f>
        <v>VEERPARTAP SINGH</v>
      </c>
      <c r="D45" s="176" t="str">
        <f>IF(A45&gt;0,UPPER(STUDENT!H35),"")</f>
        <v>VIJAY SINGH</v>
      </c>
      <c r="E45" s="47" t="str">
        <f>IF(A45&gt;0,UPPER(STUDENT!BP35),"")</f>
        <v/>
      </c>
      <c r="F45" s="47" t="str">
        <f>IF(A45&gt;0,UPPER(STUDENT!BO35),"")</f>
        <v>FALSE</v>
      </c>
      <c r="G45" s="47" t="str">
        <f>IF(A45&gt;0,UPPER(STUDENT!Q35),"")</f>
        <v/>
      </c>
      <c r="H45" s="69" t="e">
        <f>IF(A45&gt;0,PASHEET!CI37/PASHEET!CJ37*100,"")</f>
        <v>#DIV/0!</v>
      </c>
      <c r="I45" s="177">
        <f>IF(A45&gt;0,SUM(PASHEET!AL37,PASHEET!AT37),"")</f>
        <v>0</v>
      </c>
      <c r="J45" s="177">
        <f>IF(A45&gt;0,SUM(MARKS!F37,MARKS!AL37),"")</f>
        <v>0</v>
      </c>
      <c r="K45" s="177">
        <f>IF(A45&gt;0,SUM(MARKS!N37,MARKS!AT37),"")</f>
        <v>0</v>
      </c>
      <c r="L45" s="177">
        <f>IF(A45&gt;0,SUM(MARKS!V37,MARKS!BB37),"")</f>
        <v>0</v>
      </c>
      <c r="M45" s="177">
        <f>IF(A45&gt;0,SUM(MARKS!AD37,MARKS!BJ37),"")</f>
        <v>38</v>
      </c>
      <c r="N45" s="178"/>
      <c r="O45" s="177">
        <f t="shared" si="0"/>
        <v>38</v>
      </c>
      <c r="P45" s="177" t="str">
        <f t="shared" si="1"/>
        <v>D</v>
      </c>
      <c r="Q45" s="177">
        <f>IF(A45&gt;0,SUM(PASHEET!AM37,PASHEET!AU37),"")</f>
        <v>0</v>
      </c>
      <c r="R45" s="177">
        <f>IF(A45&gt;0,SUM(MARKS!G37,MARKS!AM37),"")</f>
        <v>0</v>
      </c>
      <c r="S45" s="177">
        <f>IF(A45&gt;0,SUM(MARKS!O37,MARKS!AU37),"")</f>
        <v>0</v>
      </c>
      <c r="T45" s="177">
        <f>IF(A45&gt;0,SUM(MARKS!W37,MARKS!BC37),"")</f>
        <v>0</v>
      </c>
      <c r="U45" s="177">
        <f>IF(A45&gt;0,SUM(MARKS!AE37,MARKS!BK37),"")</f>
        <v>11</v>
      </c>
      <c r="V45" s="178"/>
      <c r="W45" s="177">
        <f t="shared" si="2"/>
        <v>11</v>
      </c>
      <c r="X45" s="177" t="str">
        <f t="shared" si="3"/>
        <v>E</v>
      </c>
      <c r="Y45" s="177">
        <f>IF(A45&gt;0,SUM(PASHEET!AN37,PASHEET!AV37),"")</f>
        <v>0</v>
      </c>
      <c r="Z45" s="177">
        <f>IF(A45&gt;0,SUM(MARKS!H37,MARKS!AN37),"")</f>
        <v>0</v>
      </c>
      <c r="AA45" s="177">
        <f>IF(A45&gt;0,SUM(MARKS!P37,MARKS!AV37),"")</f>
        <v>0</v>
      </c>
      <c r="AB45" s="177">
        <f>IF(A45&gt;0,SUM(MARKS!X37,MARKS!BD37),"")</f>
        <v>0</v>
      </c>
      <c r="AC45" s="177">
        <f>IF(A45&gt;0,SUM(MARKS!AF37,MARKS!BL37),"")</f>
        <v>17</v>
      </c>
      <c r="AD45" s="178"/>
      <c r="AE45" s="177">
        <f t="shared" si="4"/>
        <v>17</v>
      </c>
      <c r="AF45" s="177" t="str">
        <f t="shared" si="5"/>
        <v>E</v>
      </c>
      <c r="AG45" s="177">
        <f>IF(A45&gt;0,SUM(PASHEET!AO37,PASHEET!AW37),"")</f>
        <v>0</v>
      </c>
      <c r="AH45" s="177">
        <f>IF(A45&gt;0,SUM(MARKS!I37,MARKS!AO37),"")</f>
        <v>0</v>
      </c>
      <c r="AI45" s="177">
        <f>IF(A45&gt;0,SUM(MARKS!Q37,MARKS!AW37),"")</f>
        <v>0</v>
      </c>
      <c r="AJ45" s="177">
        <f>IF(A45&gt;0,SUM(MARKS!Y37,MARKS!BE37),"")</f>
        <v>0</v>
      </c>
      <c r="AK45" s="177">
        <f>IF(A45&gt;0,SUM(MARKS!AG37,MARKS!BM37),"")</f>
        <v>20</v>
      </c>
      <c r="AL45" s="178"/>
      <c r="AM45" s="177">
        <f t="shared" si="6"/>
        <v>20</v>
      </c>
      <c r="AN45" s="177" t="str">
        <f t="shared" si="7"/>
        <v>E</v>
      </c>
      <c r="AO45" s="177">
        <f>IF(A45&gt;0,SUM(PASHEET!AP37,PASHEET!AX37),"")</f>
        <v>0</v>
      </c>
      <c r="AP45" s="177">
        <f>IF(A45&gt;0,SUM(MARKS!J37,MARKS!AP37),"")</f>
        <v>0</v>
      </c>
      <c r="AQ45" s="177">
        <f>IF(A45&gt;0,SUM(MARKS!R37,MARKS!AX37),"")</f>
        <v>0</v>
      </c>
      <c r="AR45" s="177">
        <f>IF(A45&gt;0,SUM(MARKS!Z37,MARKS!BF37),"")</f>
        <v>0</v>
      </c>
      <c r="AS45" s="177">
        <f>IF(A45&gt;0,SUM(MARKS!AH37,MARKS!BN37),"")</f>
        <v>23</v>
      </c>
      <c r="AT45" s="178"/>
      <c r="AU45" s="177">
        <f t="shared" si="8"/>
        <v>23</v>
      </c>
      <c r="AV45" s="177" t="str">
        <f t="shared" si="9"/>
        <v>E</v>
      </c>
      <c r="AW45" s="177">
        <f>IF(A45&gt;0,SUM(PASHEET!AQ37,PASHEET!AY37),"")</f>
        <v>0</v>
      </c>
      <c r="AX45" s="177">
        <f>IF(A45&gt;0,SUM(MARKS!K37,MARKS!AQ37),"")</f>
        <v>0</v>
      </c>
      <c r="AY45" s="177">
        <f>IF(A45&gt;0,SUM(MARKS!S37,MARKS!AY37),"")</f>
        <v>0</v>
      </c>
      <c r="AZ45" s="177">
        <f>IF(A45&gt;0,SUM(MARKS!AA37,MARKS!BG37),"")</f>
        <v>0</v>
      </c>
      <c r="BA45" s="177">
        <f>IF(A45&gt;0,SUM(MARKS!AI37,MARKS!BO37),"")</f>
        <v>23</v>
      </c>
      <c r="BB45" s="178"/>
      <c r="BC45" s="177">
        <f t="shared" si="10"/>
        <v>23</v>
      </c>
      <c r="BD45" s="177" t="str">
        <f t="shared" si="11"/>
        <v>E</v>
      </c>
      <c r="BE45" s="177">
        <f t="shared" si="12"/>
        <v>0</v>
      </c>
      <c r="BF45" s="47">
        <f t="shared" si="13"/>
        <v>132</v>
      </c>
      <c r="BG45" s="70">
        <f t="shared" si="14"/>
        <v>22</v>
      </c>
      <c r="BH45" s="177" t="str">
        <f t="shared" si="15"/>
        <v>E</v>
      </c>
      <c r="BI45" s="47" t="str">
        <f>IF(A45&gt;0,FLN!I37,"")</f>
        <v/>
      </c>
      <c r="BJ45" s="47" t="str">
        <f>IF(A45&gt;0,FLN!J37,"")</f>
        <v/>
      </c>
      <c r="BK45" s="47" t="str">
        <f>IF(A45&gt;0,FLN!K37,"")</f>
        <v/>
      </c>
      <c r="BL45" s="47" t="str">
        <f t="shared" si="16"/>
        <v>PROMOTED</v>
      </c>
      <c r="BM45" s="130">
        <f>IF(BF45="","",IFERROR(RANK(BF45,$BF$12:$BF$111,0)+COUNTIFS($BF$12:BF45,BF45)-1,0))</f>
        <v>19</v>
      </c>
      <c r="BN45" s="130">
        <f t="shared" si="17"/>
        <v>132</v>
      </c>
    </row>
    <row r="46" s="98" customFormat="1" ht="27" customHeight="1" spans="1:66">
      <c r="A46" s="47">
        <f>IF(A45=0,0,IF(A45&lt;ENTRY!$D$24,A45+1,0))</f>
        <v>35</v>
      </c>
      <c r="B46" s="47">
        <f>IF(A46&gt;0,STUDENT!F36,"")</f>
        <v>15104</v>
      </c>
      <c r="C46" s="176" t="str">
        <f>IF(A46&gt;0,UPPER(STUDENT!E36),"")</f>
        <v>NIKHIL KUMAR</v>
      </c>
      <c r="D46" s="176" t="str">
        <f>IF(A46&gt;0,UPPER(STUDENT!H36),"")</f>
        <v>SUNIL KUMAR</v>
      </c>
      <c r="E46" s="47" t="str">
        <f>IF(A46&gt;0,UPPER(STUDENT!BP36),"")</f>
        <v/>
      </c>
      <c r="F46" s="47" t="str">
        <f>IF(A46&gt;0,UPPER(STUDENT!BO36),"")</f>
        <v>FALSE</v>
      </c>
      <c r="G46" s="47" t="str">
        <f>IF(A46&gt;0,UPPER(STUDENT!Q36),"")</f>
        <v/>
      </c>
      <c r="H46" s="69" t="e">
        <f>IF(A46&gt;0,PASHEET!CI38/PASHEET!CJ38*100,"")</f>
        <v>#DIV/0!</v>
      </c>
      <c r="I46" s="177">
        <f>IF(A46&gt;0,SUM(PASHEET!AL38,PASHEET!AT38),"")</f>
        <v>1</v>
      </c>
      <c r="J46" s="177">
        <f>IF(A46&gt;0,SUM(MARKS!F38,MARKS!AL38),"")</f>
        <v>0</v>
      </c>
      <c r="K46" s="177">
        <f>IF(A46&gt;0,SUM(MARKS!N38,MARKS!AT38),"")</f>
        <v>0</v>
      </c>
      <c r="L46" s="177">
        <f>IF(A46&gt;0,SUM(MARKS!V38,MARKS!BB38),"")</f>
        <v>0</v>
      </c>
      <c r="M46" s="177">
        <f>IF(A46&gt;0,SUM(MARKS!AD38,MARKS!BJ38),"")</f>
        <v>36</v>
      </c>
      <c r="N46" s="178"/>
      <c r="O46" s="177">
        <f t="shared" si="0"/>
        <v>37</v>
      </c>
      <c r="P46" s="177" t="str">
        <f t="shared" si="1"/>
        <v>D</v>
      </c>
      <c r="Q46" s="177">
        <f>IF(A46&gt;0,SUM(PASHEET!AM38,PASHEET!AU38),"")</f>
        <v>1</v>
      </c>
      <c r="R46" s="177">
        <f>IF(A46&gt;0,SUM(MARKS!G38,MARKS!AM38),"")</f>
        <v>0</v>
      </c>
      <c r="S46" s="177">
        <f>IF(A46&gt;0,SUM(MARKS!O38,MARKS!AU38),"")</f>
        <v>0</v>
      </c>
      <c r="T46" s="177">
        <f>IF(A46&gt;0,SUM(MARKS!W38,MARKS!BC38),"")</f>
        <v>0</v>
      </c>
      <c r="U46" s="177">
        <f>IF(A46&gt;0,SUM(MARKS!AE38,MARKS!BK38),"")</f>
        <v>11</v>
      </c>
      <c r="V46" s="178"/>
      <c r="W46" s="177">
        <f t="shared" si="2"/>
        <v>12</v>
      </c>
      <c r="X46" s="177" t="str">
        <f t="shared" si="3"/>
        <v>E</v>
      </c>
      <c r="Y46" s="177">
        <f>IF(A46&gt;0,SUM(PASHEET!AN38,PASHEET!AV38),"")</f>
        <v>2</v>
      </c>
      <c r="Z46" s="177">
        <f>IF(A46&gt;0,SUM(MARKS!H38,MARKS!AN38),"")</f>
        <v>0</v>
      </c>
      <c r="AA46" s="177">
        <f>IF(A46&gt;0,SUM(MARKS!P38,MARKS!AV38),"")</f>
        <v>0</v>
      </c>
      <c r="AB46" s="177">
        <f>IF(A46&gt;0,SUM(MARKS!X38,MARKS!BD38),"")</f>
        <v>0</v>
      </c>
      <c r="AC46" s="177">
        <f>IF(A46&gt;0,SUM(MARKS!AF38,MARKS!BL38),"")</f>
        <v>22</v>
      </c>
      <c r="AD46" s="178"/>
      <c r="AE46" s="177">
        <f t="shared" si="4"/>
        <v>24</v>
      </c>
      <c r="AF46" s="177" t="str">
        <f t="shared" si="5"/>
        <v>E</v>
      </c>
      <c r="AG46" s="177">
        <f>IF(A46&gt;0,SUM(PASHEET!AO38,PASHEET!AW38),"")</f>
        <v>1</v>
      </c>
      <c r="AH46" s="177">
        <f>IF(A46&gt;0,SUM(MARKS!I38,MARKS!AO38),"")</f>
        <v>0</v>
      </c>
      <c r="AI46" s="177">
        <f>IF(A46&gt;0,SUM(MARKS!Q38,MARKS!AW38),"")</f>
        <v>0</v>
      </c>
      <c r="AJ46" s="177">
        <f>IF(A46&gt;0,SUM(MARKS!Y38,MARKS!BE38),"")</f>
        <v>0</v>
      </c>
      <c r="AK46" s="177">
        <f>IF(A46&gt;0,SUM(MARKS!AG38,MARKS!BM38),"")</f>
        <v>13</v>
      </c>
      <c r="AL46" s="178"/>
      <c r="AM46" s="177">
        <f t="shared" si="6"/>
        <v>14</v>
      </c>
      <c r="AN46" s="177" t="str">
        <f t="shared" si="7"/>
        <v>E</v>
      </c>
      <c r="AO46" s="177">
        <f>IF(A46&gt;0,SUM(PASHEET!AP38,PASHEET!AX38),"")</f>
        <v>0</v>
      </c>
      <c r="AP46" s="177">
        <f>IF(A46&gt;0,SUM(MARKS!J38,MARKS!AP38),"")</f>
        <v>0</v>
      </c>
      <c r="AQ46" s="177">
        <f>IF(A46&gt;0,SUM(MARKS!R38,MARKS!AX38),"")</f>
        <v>0</v>
      </c>
      <c r="AR46" s="177">
        <f>IF(A46&gt;0,SUM(MARKS!Z38,MARKS!BF38),"")</f>
        <v>0</v>
      </c>
      <c r="AS46" s="177">
        <f>IF(A46&gt;0,SUM(MARKS!AH38,MARKS!BN38),"")</f>
        <v>14</v>
      </c>
      <c r="AT46" s="178"/>
      <c r="AU46" s="177">
        <f t="shared" si="8"/>
        <v>14</v>
      </c>
      <c r="AV46" s="177" t="str">
        <f t="shared" si="9"/>
        <v>E</v>
      </c>
      <c r="AW46" s="177">
        <f>IF(A46&gt;0,SUM(PASHEET!AQ38,PASHEET!AY38),"")</f>
        <v>2</v>
      </c>
      <c r="AX46" s="177">
        <f>IF(A46&gt;0,SUM(MARKS!K38,MARKS!AQ38),"")</f>
        <v>0</v>
      </c>
      <c r="AY46" s="177">
        <f>IF(A46&gt;0,SUM(MARKS!S38,MARKS!AY38),"")</f>
        <v>0</v>
      </c>
      <c r="AZ46" s="177">
        <f>IF(A46&gt;0,SUM(MARKS!AA38,MARKS!BG38),"")</f>
        <v>0</v>
      </c>
      <c r="BA46" s="177">
        <f>IF(A46&gt;0,SUM(MARKS!AI38,MARKS!BO38),"")</f>
        <v>22</v>
      </c>
      <c r="BB46" s="178"/>
      <c r="BC46" s="177">
        <f t="shared" si="10"/>
        <v>24</v>
      </c>
      <c r="BD46" s="177" t="str">
        <f t="shared" si="11"/>
        <v>E</v>
      </c>
      <c r="BE46" s="177">
        <f t="shared" si="12"/>
        <v>0</v>
      </c>
      <c r="BF46" s="47">
        <f t="shared" si="13"/>
        <v>125</v>
      </c>
      <c r="BG46" s="70">
        <f t="shared" si="14"/>
        <v>20.8333333333333</v>
      </c>
      <c r="BH46" s="177" t="str">
        <f t="shared" si="15"/>
        <v>E</v>
      </c>
      <c r="BI46" s="47">
        <f>IF(A46&gt;0,FLN!I38,"")</f>
        <v>2</v>
      </c>
      <c r="BJ46" s="47">
        <f>IF(A46&gt;0,FLN!J38,"")</f>
        <v>2</v>
      </c>
      <c r="BK46" s="47">
        <f>IF(A46&gt;0,FLN!K38,"")</f>
        <v>3</v>
      </c>
      <c r="BL46" s="47" t="str">
        <f t="shared" si="16"/>
        <v>PROMOTED</v>
      </c>
      <c r="BM46" s="130">
        <f>IF(BF46="","",IFERROR(RANK(BF46,$BF$12:$BF$111,0)+COUNTIFS($BF$12:BF46,BF46)-1,0))</f>
        <v>22</v>
      </c>
      <c r="BN46" s="130">
        <f t="shared" si="17"/>
        <v>125</v>
      </c>
    </row>
    <row r="47" s="98" customFormat="1" ht="27" customHeight="1" spans="1:66">
      <c r="A47" s="47">
        <f>IF(A46=0,0,IF(A46&lt;ENTRY!$D$24,A46+1,0))</f>
        <v>36</v>
      </c>
      <c r="B47" s="47">
        <f>IF(A47&gt;0,STUDENT!F37,"")</f>
        <v>15143</v>
      </c>
      <c r="C47" s="176" t="str">
        <f>IF(A47&gt;0,UPPER(STUDENT!E37),"")</f>
        <v>JITENDRA</v>
      </c>
      <c r="D47" s="176" t="str">
        <f>IF(A47&gt;0,UPPER(STUDENT!H37),"")</f>
        <v>RAM SUMAR</v>
      </c>
      <c r="E47" s="47" t="str">
        <f>IF(A47&gt;0,UPPER(STUDENT!BP37),"")</f>
        <v/>
      </c>
      <c r="F47" s="47" t="str">
        <f>IF(A47&gt;0,UPPER(STUDENT!BO37),"")</f>
        <v>FALSE</v>
      </c>
      <c r="G47" s="47" t="str">
        <f>IF(A47&gt;0,UPPER(STUDENT!Q37),"")</f>
        <v/>
      </c>
      <c r="H47" s="69" t="e">
        <f>IF(A47&gt;0,PASHEET!CI39/PASHEET!CJ39*100,"")</f>
        <v>#DIV/0!</v>
      </c>
      <c r="I47" s="177">
        <f>IF(A47&gt;0,SUM(PASHEET!AL39,PASHEET!AT39),"")</f>
        <v>2</v>
      </c>
      <c r="J47" s="177">
        <f>IF(A47&gt;0,SUM(MARKS!F39,MARKS!AL39),"")</f>
        <v>0</v>
      </c>
      <c r="K47" s="177">
        <f>IF(A47&gt;0,SUM(MARKS!N39,MARKS!AT39),"")</f>
        <v>0</v>
      </c>
      <c r="L47" s="177">
        <f>IF(A47&gt;0,SUM(MARKS!V39,MARKS!BB39),"")</f>
        <v>0</v>
      </c>
      <c r="M47" s="177">
        <f>IF(A47&gt;0,SUM(MARKS!AD39,MARKS!BJ39),"")</f>
        <v>33</v>
      </c>
      <c r="N47" s="178"/>
      <c r="O47" s="177">
        <f t="shared" si="0"/>
        <v>35</v>
      </c>
      <c r="P47" s="177" t="str">
        <f t="shared" si="1"/>
        <v>D</v>
      </c>
      <c r="Q47" s="177">
        <f>IF(A47&gt;0,SUM(PASHEET!AM39,PASHEET!AU39),"")</f>
        <v>1</v>
      </c>
      <c r="R47" s="177">
        <f>IF(A47&gt;0,SUM(MARKS!G39,MARKS!AM39),"")</f>
        <v>0</v>
      </c>
      <c r="S47" s="177">
        <f>IF(A47&gt;0,SUM(MARKS!O39,MARKS!AU39),"")</f>
        <v>0</v>
      </c>
      <c r="T47" s="177">
        <f>IF(A47&gt;0,SUM(MARKS!W39,MARKS!BC39),"")</f>
        <v>0</v>
      </c>
      <c r="U47" s="177">
        <f>IF(A47&gt;0,SUM(MARKS!AE39,MARKS!BK39),"")</f>
        <v>13</v>
      </c>
      <c r="V47" s="178"/>
      <c r="W47" s="177">
        <f t="shared" si="2"/>
        <v>14</v>
      </c>
      <c r="X47" s="177" t="str">
        <f t="shared" si="3"/>
        <v>E</v>
      </c>
      <c r="Y47" s="177">
        <f>IF(A47&gt;0,SUM(PASHEET!AN39,PASHEET!AV39),"")</f>
        <v>1</v>
      </c>
      <c r="Z47" s="177">
        <f>IF(A47&gt;0,SUM(MARKS!H39,MARKS!AN39),"")</f>
        <v>0</v>
      </c>
      <c r="AA47" s="177">
        <f>IF(A47&gt;0,SUM(MARKS!P39,MARKS!AV39),"")</f>
        <v>0</v>
      </c>
      <c r="AB47" s="177">
        <f>IF(A47&gt;0,SUM(MARKS!X39,MARKS!BD39),"")</f>
        <v>0</v>
      </c>
      <c r="AC47" s="177">
        <f>IF(A47&gt;0,SUM(MARKS!AF39,MARKS!BL39),"")</f>
        <v>13</v>
      </c>
      <c r="AD47" s="178"/>
      <c r="AE47" s="177">
        <f t="shared" si="4"/>
        <v>14</v>
      </c>
      <c r="AF47" s="177" t="str">
        <f t="shared" si="5"/>
        <v>E</v>
      </c>
      <c r="AG47" s="177">
        <f>IF(A47&gt;0,SUM(PASHEET!AO39,PASHEET!AW39),"")</f>
        <v>1</v>
      </c>
      <c r="AH47" s="177">
        <f>IF(A47&gt;0,SUM(MARKS!I39,MARKS!AO39),"")</f>
        <v>0</v>
      </c>
      <c r="AI47" s="177">
        <f>IF(A47&gt;0,SUM(MARKS!Q39,MARKS!AW39),"")</f>
        <v>0</v>
      </c>
      <c r="AJ47" s="177">
        <f>IF(A47&gt;0,SUM(MARKS!Y39,MARKS!BE39),"")</f>
        <v>0</v>
      </c>
      <c r="AK47" s="177">
        <f>IF(A47&gt;0,SUM(MARKS!AG39,MARKS!BM39),"")</f>
        <v>13</v>
      </c>
      <c r="AL47" s="178"/>
      <c r="AM47" s="177">
        <f t="shared" si="6"/>
        <v>14</v>
      </c>
      <c r="AN47" s="177" t="str">
        <f t="shared" si="7"/>
        <v>E</v>
      </c>
      <c r="AO47" s="177">
        <f>IF(A47&gt;0,SUM(PASHEET!AP39,PASHEET!AX39),"")</f>
        <v>0</v>
      </c>
      <c r="AP47" s="177">
        <f>IF(A47&gt;0,SUM(MARKS!J39,MARKS!AP39),"")</f>
        <v>0</v>
      </c>
      <c r="AQ47" s="177">
        <f>IF(A47&gt;0,SUM(MARKS!R39,MARKS!AX39),"")</f>
        <v>0</v>
      </c>
      <c r="AR47" s="177">
        <f>IF(A47&gt;0,SUM(MARKS!Z39,MARKS!BF39),"")</f>
        <v>0</v>
      </c>
      <c r="AS47" s="177">
        <f>IF(A47&gt;0,SUM(MARKS!AH39,MARKS!BN39),"")</f>
        <v>12</v>
      </c>
      <c r="AT47" s="178"/>
      <c r="AU47" s="177">
        <f t="shared" si="8"/>
        <v>12</v>
      </c>
      <c r="AV47" s="177" t="str">
        <f t="shared" si="9"/>
        <v>E</v>
      </c>
      <c r="AW47" s="177">
        <f>IF(A47&gt;0,SUM(PASHEET!AQ39,PASHEET!AY39),"")</f>
        <v>1</v>
      </c>
      <c r="AX47" s="177">
        <f>IF(A47&gt;0,SUM(MARKS!K39,MARKS!AQ39),"")</f>
        <v>0</v>
      </c>
      <c r="AY47" s="177">
        <f>IF(A47&gt;0,SUM(MARKS!S39,MARKS!AY39),"")</f>
        <v>0</v>
      </c>
      <c r="AZ47" s="177">
        <f>IF(A47&gt;0,SUM(MARKS!AA39,MARKS!BG39),"")</f>
        <v>0</v>
      </c>
      <c r="BA47" s="177">
        <f>IF(A47&gt;0,SUM(MARKS!AI39,MARKS!BO39),"")</f>
        <v>23</v>
      </c>
      <c r="BB47" s="178"/>
      <c r="BC47" s="177">
        <f t="shared" si="10"/>
        <v>24</v>
      </c>
      <c r="BD47" s="177" t="str">
        <f t="shared" si="11"/>
        <v>E</v>
      </c>
      <c r="BE47" s="177">
        <f t="shared" si="12"/>
        <v>0</v>
      </c>
      <c r="BF47" s="47">
        <f t="shared" si="13"/>
        <v>113</v>
      </c>
      <c r="BG47" s="70">
        <f t="shared" si="14"/>
        <v>18.8333333333333</v>
      </c>
      <c r="BH47" s="177" t="str">
        <f t="shared" si="15"/>
        <v>E</v>
      </c>
      <c r="BI47" s="47">
        <f>IF(A47&gt;0,FLN!I39,"")</f>
        <v>2</v>
      </c>
      <c r="BJ47" s="47">
        <f>IF(A47&gt;0,FLN!J39,"")</f>
        <v>2</v>
      </c>
      <c r="BK47" s="47">
        <f>IF(A47&gt;0,FLN!K39,"")</f>
        <v>3</v>
      </c>
      <c r="BL47" s="47" t="str">
        <f t="shared" si="16"/>
        <v>PROMOTED</v>
      </c>
      <c r="BM47" s="130">
        <f>IF(BF47="","",IFERROR(RANK(BF47,$BF$12:$BF$111,0)+COUNTIFS($BF$12:BF47,BF47)-1,0))</f>
        <v>28</v>
      </c>
      <c r="BN47" s="130">
        <f t="shared" si="17"/>
        <v>113</v>
      </c>
    </row>
    <row r="48" s="98" customFormat="1" ht="27" customHeight="1" spans="1:66">
      <c r="A48" s="47">
        <f>IF(A47=0,0,IF(A47&lt;ENTRY!$D$24,A47+1,0))</f>
        <v>37</v>
      </c>
      <c r="B48" s="47">
        <f>IF(A48&gt;0,STUDENT!F38,"")</f>
        <v>15144</v>
      </c>
      <c r="C48" s="176" t="str">
        <f>IF(A48&gt;0,UPPER(STUDENT!E38),"")</f>
        <v>MOHD AYAN</v>
      </c>
      <c r="D48" s="176" t="str">
        <f>IF(A48&gt;0,UPPER(STUDENT!H38),"")</f>
        <v>BUDHAN MIYAN</v>
      </c>
      <c r="E48" s="47" t="str">
        <f>IF(A48&gt;0,UPPER(STUDENT!BP38),"")</f>
        <v/>
      </c>
      <c r="F48" s="47" t="str">
        <f>IF(A48&gt;0,UPPER(STUDENT!BO38),"")</f>
        <v>FALSE</v>
      </c>
      <c r="G48" s="47" t="str">
        <f>IF(A48&gt;0,UPPER(STUDENT!Q38),"")</f>
        <v/>
      </c>
      <c r="H48" s="69" t="e">
        <f>IF(A48&gt;0,PASHEET!CI40/PASHEET!CJ40*100,"")</f>
        <v>#DIV/0!</v>
      </c>
      <c r="I48" s="177">
        <f>IF(A48&gt;0,SUM(PASHEET!AL40,PASHEET!AT40),"")</f>
        <v>0</v>
      </c>
      <c r="J48" s="177">
        <f>IF(A48&gt;0,SUM(MARKS!F40,MARKS!AL40),"")</f>
        <v>0</v>
      </c>
      <c r="K48" s="177">
        <f>IF(A48&gt;0,SUM(MARKS!N40,MARKS!AT40),"")</f>
        <v>0</v>
      </c>
      <c r="L48" s="177">
        <f>IF(A48&gt;0,SUM(MARKS!V40,MARKS!BB40),"")</f>
        <v>0</v>
      </c>
      <c r="M48" s="177">
        <f>IF(A48&gt;0,SUM(MARKS!AD40,MARKS!BJ40),"")</f>
        <v>33</v>
      </c>
      <c r="N48" s="178"/>
      <c r="O48" s="177">
        <f t="shared" si="0"/>
        <v>33</v>
      </c>
      <c r="P48" s="177" t="str">
        <f t="shared" si="1"/>
        <v>D</v>
      </c>
      <c r="Q48" s="177">
        <f>IF(A48&gt;0,SUM(PASHEET!AM40,PASHEET!AU40),"")</f>
        <v>0</v>
      </c>
      <c r="R48" s="177">
        <f>IF(A48&gt;0,SUM(MARKS!G40,MARKS!AM40),"")</f>
        <v>0</v>
      </c>
      <c r="S48" s="177">
        <f>IF(A48&gt;0,SUM(MARKS!O40,MARKS!AU40),"")</f>
        <v>0</v>
      </c>
      <c r="T48" s="177">
        <f>IF(A48&gt;0,SUM(MARKS!W40,MARKS!BC40),"")</f>
        <v>0</v>
      </c>
      <c r="U48" s="177">
        <f>IF(A48&gt;0,SUM(MARKS!AE40,MARKS!BK40),"")</f>
        <v>14</v>
      </c>
      <c r="V48" s="178"/>
      <c r="W48" s="177">
        <f t="shared" si="2"/>
        <v>14</v>
      </c>
      <c r="X48" s="177" t="str">
        <f t="shared" si="3"/>
        <v>E</v>
      </c>
      <c r="Y48" s="177">
        <f>IF(A48&gt;0,SUM(PASHEET!AN40,PASHEET!AV40),"")</f>
        <v>0</v>
      </c>
      <c r="Z48" s="177">
        <f>IF(A48&gt;0,SUM(MARKS!H40,MARKS!AN40),"")</f>
        <v>0</v>
      </c>
      <c r="AA48" s="177">
        <f>IF(A48&gt;0,SUM(MARKS!P40,MARKS!AV40),"")</f>
        <v>0</v>
      </c>
      <c r="AB48" s="177">
        <f>IF(A48&gt;0,SUM(MARKS!X40,MARKS!BD40),"")</f>
        <v>0</v>
      </c>
      <c r="AC48" s="177">
        <f>IF(A48&gt;0,SUM(MARKS!AF40,MARKS!BL40),"")</f>
        <v>15</v>
      </c>
      <c r="AD48" s="178"/>
      <c r="AE48" s="177">
        <f t="shared" si="4"/>
        <v>15</v>
      </c>
      <c r="AF48" s="177" t="str">
        <f t="shared" si="5"/>
        <v>E</v>
      </c>
      <c r="AG48" s="177">
        <f>IF(A48&gt;0,SUM(PASHEET!AO40,PASHEET!AW40),"")</f>
        <v>0</v>
      </c>
      <c r="AH48" s="177">
        <f>IF(A48&gt;0,SUM(MARKS!I40,MARKS!AO40),"")</f>
        <v>0</v>
      </c>
      <c r="AI48" s="177">
        <f>IF(A48&gt;0,SUM(MARKS!Q40,MARKS!AW40),"")</f>
        <v>0</v>
      </c>
      <c r="AJ48" s="177">
        <f>IF(A48&gt;0,SUM(MARKS!Y40,MARKS!BE40),"")</f>
        <v>0</v>
      </c>
      <c r="AK48" s="177">
        <f>IF(A48&gt;0,SUM(MARKS!AG40,MARKS!BM40),"")</f>
        <v>16</v>
      </c>
      <c r="AL48" s="178"/>
      <c r="AM48" s="177">
        <f t="shared" si="6"/>
        <v>16</v>
      </c>
      <c r="AN48" s="177" t="str">
        <f t="shared" si="7"/>
        <v>E</v>
      </c>
      <c r="AO48" s="177">
        <f>IF(A48&gt;0,SUM(PASHEET!AP40,PASHEET!AX40),"")</f>
        <v>0</v>
      </c>
      <c r="AP48" s="177">
        <f>IF(A48&gt;0,SUM(MARKS!J40,MARKS!AP40),"")</f>
        <v>0</v>
      </c>
      <c r="AQ48" s="177">
        <f>IF(A48&gt;0,SUM(MARKS!R40,MARKS!AX40),"")</f>
        <v>0</v>
      </c>
      <c r="AR48" s="177">
        <f>IF(A48&gt;0,SUM(MARKS!Z40,MARKS!BF40),"")</f>
        <v>0</v>
      </c>
      <c r="AS48" s="177">
        <f>IF(A48&gt;0,SUM(MARKS!AH40,MARKS!BN40),"")</f>
        <v>16</v>
      </c>
      <c r="AT48" s="178"/>
      <c r="AU48" s="177">
        <f t="shared" si="8"/>
        <v>16</v>
      </c>
      <c r="AV48" s="177" t="str">
        <f t="shared" si="9"/>
        <v>E</v>
      </c>
      <c r="AW48" s="177">
        <f>IF(A48&gt;0,SUM(PASHEET!AQ40,PASHEET!AY40),"")</f>
        <v>0</v>
      </c>
      <c r="AX48" s="177">
        <f>IF(A48&gt;0,SUM(MARKS!K40,MARKS!AQ40),"")</f>
        <v>0</v>
      </c>
      <c r="AY48" s="177">
        <f>IF(A48&gt;0,SUM(MARKS!S40,MARKS!AY40),"")</f>
        <v>0</v>
      </c>
      <c r="AZ48" s="177">
        <f>IF(A48&gt;0,SUM(MARKS!AA40,MARKS!BG40),"")</f>
        <v>0</v>
      </c>
      <c r="BA48" s="177">
        <f>IF(A48&gt;0,SUM(MARKS!AI40,MARKS!BO40),"")</f>
        <v>23</v>
      </c>
      <c r="BB48" s="178"/>
      <c r="BC48" s="177">
        <f t="shared" si="10"/>
        <v>23</v>
      </c>
      <c r="BD48" s="177" t="str">
        <f t="shared" si="11"/>
        <v>E</v>
      </c>
      <c r="BE48" s="177">
        <f t="shared" si="12"/>
        <v>0</v>
      </c>
      <c r="BF48" s="47">
        <f t="shared" si="13"/>
        <v>117</v>
      </c>
      <c r="BG48" s="70">
        <f t="shared" si="14"/>
        <v>19.5</v>
      </c>
      <c r="BH48" s="177" t="str">
        <f t="shared" si="15"/>
        <v>E</v>
      </c>
      <c r="BI48" s="47">
        <f>IF(A48&gt;0,FLN!I40,"")</f>
        <v>2</v>
      </c>
      <c r="BJ48" s="47">
        <f>IF(A48&gt;0,FLN!J40,"")</f>
        <v>2</v>
      </c>
      <c r="BK48" s="47">
        <f>IF(A48&gt;0,FLN!K40,"")</f>
        <v>3</v>
      </c>
      <c r="BL48" s="47" t="str">
        <f t="shared" si="16"/>
        <v>PROMOTED</v>
      </c>
      <c r="BM48" s="130">
        <f>IF(BF48="","",IFERROR(RANK(BF48,$BF$12:$BF$111,0)+COUNTIFS($BF$12:BF48,BF48)-1,0))</f>
        <v>26</v>
      </c>
      <c r="BN48" s="130">
        <f t="shared" si="17"/>
        <v>117</v>
      </c>
    </row>
    <row r="49" s="98" customFormat="1" ht="27" customHeight="1" spans="1:66">
      <c r="A49" s="47">
        <f>IF(A48=0,0,IF(A48&lt;ENTRY!$D$24,A48+1,0))</f>
        <v>38</v>
      </c>
      <c r="B49" s="47">
        <f>IF(A49&gt;0,STUDENT!F39,"")</f>
        <v>15145</v>
      </c>
      <c r="C49" s="176" t="str">
        <f>IF(A49&gt;0,UPPER(STUDENT!E39),"")</f>
        <v>RAJA KUMAR</v>
      </c>
      <c r="D49" s="176" t="str">
        <f>IF(A49&gt;0,UPPER(STUDENT!H39),"")</f>
        <v>AMAR PODDAR</v>
      </c>
      <c r="E49" s="47" t="str">
        <f>IF(A49&gt;0,UPPER(STUDENT!BP39),"")</f>
        <v/>
      </c>
      <c r="F49" s="47" t="str">
        <f>IF(A49&gt;0,UPPER(STUDENT!BO39),"")</f>
        <v>FALSE</v>
      </c>
      <c r="G49" s="47" t="str">
        <f>IF(A49&gt;0,UPPER(STUDENT!Q39),"")</f>
        <v/>
      </c>
      <c r="H49" s="69" t="e">
        <f>IF(A49&gt;0,PASHEET!CI41/PASHEET!CJ41*100,"")</f>
        <v>#DIV/0!</v>
      </c>
      <c r="I49" s="177">
        <f>IF(A49&gt;0,SUM(PASHEET!AL41,PASHEET!AT41),"")</f>
        <v>0</v>
      </c>
      <c r="J49" s="177">
        <f>IF(A49&gt;0,SUM(MARKS!F41,MARKS!AL41),"")</f>
        <v>0</v>
      </c>
      <c r="K49" s="177">
        <f>IF(A49&gt;0,SUM(MARKS!N41,MARKS!AT41),"")</f>
        <v>0</v>
      </c>
      <c r="L49" s="177">
        <f>IF(A49&gt;0,SUM(MARKS!V41,MARKS!BB41),"")</f>
        <v>0</v>
      </c>
      <c r="M49" s="177">
        <f>IF(A49&gt;0,SUM(MARKS!AD41,MARKS!BJ41),"")</f>
        <v>28</v>
      </c>
      <c r="N49" s="178"/>
      <c r="O49" s="177">
        <f t="shared" si="0"/>
        <v>28</v>
      </c>
      <c r="P49" s="177" t="str">
        <f t="shared" si="1"/>
        <v>E</v>
      </c>
      <c r="Q49" s="177">
        <f>IF(A49&gt;0,SUM(PASHEET!AM41,PASHEET!AU41),"")</f>
        <v>0</v>
      </c>
      <c r="R49" s="177">
        <f>IF(A49&gt;0,SUM(MARKS!G41,MARKS!AM41),"")</f>
        <v>0</v>
      </c>
      <c r="S49" s="177">
        <f>IF(A49&gt;0,SUM(MARKS!O41,MARKS!AU41),"")</f>
        <v>0</v>
      </c>
      <c r="T49" s="177">
        <f>IF(A49&gt;0,SUM(MARKS!W41,MARKS!BC41),"")</f>
        <v>0</v>
      </c>
      <c r="U49" s="177">
        <f>IF(A49&gt;0,SUM(MARKS!AE41,MARKS!BK41),"")</f>
        <v>12</v>
      </c>
      <c r="V49" s="178"/>
      <c r="W49" s="177">
        <f t="shared" si="2"/>
        <v>12</v>
      </c>
      <c r="X49" s="177" t="str">
        <f t="shared" si="3"/>
        <v>E</v>
      </c>
      <c r="Y49" s="177">
        <f>IF(A49&gt;0,SUM(PASHEET!AN41,PASHEET!AV41),"")</f>
        <v>0</v>
      </c>
      <c r="Z49" s="177">
        <f>IF(A49&gt;0,SUM(MARKS!H41,MARKS!AN41),"")</f>
        <v>0</v>
      </c>
      <c r="AA49" s="177">
        <f>IF(A49&gt;0,SUM(MARKS!P41,MARKS!AV41),"")</f>
        <v>0</v>
      </c>
      <c r="AB49" s="177">
        <f>IF(A49&gt;0,SUM(MARKS!X41,MARKS!BD41),"")</f>
        <v>0</v>
      </c>
      <c r="AC49" s="177">
        <f>IF(A49&gt;0,SUM(MARKS!AF41,MARKS!BL41),"")</f>
        <v>12</v>
      </c>
      <c r="AD49" s="178"/>
      <c r="AE49" s="177">
        <f t="shared" si="4"/>
        <v>12</v>
      </c>
      <c r="AF49" s="177" t="str">
        <f t="shared" si="5"/>
        <v>E</v>
      </c>
      <c r="AG49" s="177">
        <f>IF(A49&gt;0,SUM(PASHEET!AO41,PASHEET!AW41),"")</f>
        <v>0</v>
      </c>
      <c r="AH49" s="177">
        <f>IF(A49&gt;0,SUM(MARKS!I41,MARKS!AO41),"")</f>
        <v>0</v>
      </c>
      <c r="AI49" s="177">
        <f>IF(A49&gt;0,SUM(MARKS!Q41,MARKS!AW41),"")</f>
        <v>0</v>
      </c>
      <c r="AJ49" s="177">
        <f>IF(A49&gt;0,SUM(MARKS!Y41,MARKS!BE41),"")</f>
        <v>0</v>
      </c>
      <c r="AK49" s="177">
        <f>IF(A49&gt;0,SUM(MARKS!AG41,MARKS!BM41),"")</f>
        <v>13</v>
      </c>
      <c r="AL49" s="178"/>
      <c r="AM49" s="177">
        <f t="shared" si="6"/>
        <v>13</v>
      </c>
      <c r="AN49" s="177" t="str">
        <f t="shared" si="7"/>
        <v>E</v>
      </c>
      <c r="AO49" s="177">
        <f>IF(A49&gt;0,SUM(PASHEET!AP41,PASHEET!AX41),"")</f>
        <v>0</v>
      </c>
      <c r="AP49" s="177">
        <f>IF(A49&gt;0,SUM(MARKS!J41,MARKS!AP41),"")</f>
        <v>0</v>
      </c>
      <c r="AQ49" s="177">
        <f>IF(A49&gt;0,SUM(MARKS!R41,MARKS!AX41),"")</f>
        <v>0</v>
      </c>
      <c r="AR49" s="177">
        <f>IF(A49&gt;0,SUM(MARKS!Z41,MARKS!BF41),"")</f>
        <v>0</v>
      </c>
      <c r="AS49" s="177">
        <f>IF(A49&gt;0,SUM(MARKS!AH41,MARKS!BN41),"")</f>
        <v>17</v>
      </c>
      <c r="AT49" s="178"/>
      <c r="AU49" s="177">
        <f t="shared" si="8"/>
        <v>17</v>
      </c>
      <c r="AV49" s="177" t="str">
        <f t="shared" si="9"/>
        <v>E</v>
      </c>
      <c r="AW49" s="177">
        <f>IF(A49&gt;0,SUM(PASHEET!AQ41,PASHEET!AY41),"")</f>
        <v>0</v>
      </c>
      <c r="AX49" s="177">
        <f>IF(A49&gt;0,SUM(MARKS!K41,MARKS!AQ41),"")</f>
        <v>0</v>
      </c>
      <c r="AY49" s="177">
        <f>IF(A49&gt;0,SUM(MARKS!S41,MARKS!AY41),"")</f>
        <v>0</v>
      </c>
      <c r="AZ49" s="177">
        <f>IF(A49&gt;0,SUM(MARKS!AA41,MARKS!BG41),"")</f>
        <v>0</v>
      </c>
      <c r="BA49" s="177">
        <f>IF(A49&gt;0,SUM(MARKS!AI41,MARKS!BO41),"")</f>
        <v>25</v>
      </c>
      <c r="BB49" s="178"/>
      <c r="BC49" s="177">
        <f t="shared" si="10"/>
        <v>25</v>
      </c>
      <c r="BD49" s="177" t="str">
        <f t="shared" si="11"/>
        <v>E</v>
      </c>
      <c r="BE49" s="177">
        <f t="shared" si="12"/>
        <v>0</v>
      </c>
      <c r="BF49" s="47">
        <f t="shared" si="13"/>
        <v>107</v>
      </c>
      <c r="BG49" s="70">
        <f t="shared" si="14"/>
        <v>17.8333333333333</v>
      </c>
      <c r="BH49" s="177" t="str">
        <f t="shared" si="15"/>
        <v>E</v>
      </c>
      <c r="BI49" s="47">
        <f>IF(A49&gt;0,FLN!I41,"")</f>
        <v>2</v>
      </c>
      <c r="BJ49" s="47">
        <f>IF(A49&gt;0,FLN!J41,"")</f>
        <v>2</v>
      </c>
      <c r="BK49" s="47">
        <f>IF(A49&gt;0,FLN!K41,"")</f>
        <v>3</v>
      </c>
      <c r="BL49" s="47" t="str">
        <f t="shared" si="16"/>
        <v>PROMOTED</v>
      </c>
      <c r="BM49" s="130">
        <f>IF(BF49="","",IFERROR(RANK(BF49,$BF$12:$BF$111,0)+COUNTIFS($BF$12:BF49,BF49)-1,0))</f>
        <v>35</v>
      </c>
      <c r="BN49" s="130">
        <f t="shared" si="17"/>
        <v>107</v>
      </c>
    </row>
    <row r="50" s="98" customFormat="1" ht="27" customHeight="1" spans="1:66">
      <c r="A50" s="47">
        <f>IF(A49=0,0,IF(A49&lt;ENTRY!$D$24,A49+1,0))</f>
        <v>39</v>
      </c>
      <c r="B50" s="47">
        <f>IF(A50&gt;0,STUDENT!F40,"")</f>
        <v>15149</v>
      </c>
      <c r="C50" s="176" t="str">
        <f>IF(A50&gt;0,UPPER(STUDENT!E40),"")</f>
        <v>LOVECESH KUMAR</v>
      </c>
      <c r="D50" s="176" t="str">
        <f>IF(A50&gt;0,UPPER(STUDENT!H40),"")</f>
        <v>SANDEEP KUMAR</v>
      </c>
      <c r="E50" s="47" t="str">
        <f>IF(A50&gt;0,UPPER(STUDENT!BP40),"")</f>
        <v/>
      </c>
      <c r="F50" s="47" t="str">
        <f>IF(A50&gt;0,UPPER(STUDENT!BO40),"")</f>
        <v>FALSE</v>
      </c>
      <c r="G50" s="47" t="str">
        <f>IF(A50&gt;0,UPPER(STUDENT!Q40),"")</f>
        <v/>
      </c>
      <c r="H50" s="69" t="e">
        <f>IF(A50&gt;0,PASHEET!CI42/PASHEET!CJ42*100,"")</f>
        <v>#DIV/0!</v>
      </c>
      <c r="I50" s="177">
        <f>IF(A50&gt;0,SUM(PASHEET!AL42,PASHEET!AT42),"")</f>
        <v>0</v>
      </c>
      <c r="J50" s="177">
        <f>IF(A50&gt;0,SUM(MARKS!F42,MARKS!AL42),"")</f>
        <v>0</v>
      </c>
      <c r="K50" s="177">
        <f>IF(A50&gt;0,SUM(MARKS!N42,MARKS!AT42),"")</f>
        <v>0</v>
      </c>
      <c r="L50" s="177">
        <f>IF(A50&gt;0,SUM(MARKS!V42,MARKS!BB42),"")</f>
        <v>0</v>
      </c>
      <c r="M50" s="177">
        <f>IF(A50&gt;0,SUM(MARKS!AD42,MARKS!BJ42),"")</f>
        <v>31</v>
      </c>
      <c r="N50" s="178"/>
      <c r="O50" s="177">
        <f t="shared" si="0"/>
        <v>31</v>
      </c>
      <c r="P50" s="177" t="str">
        <f t="shared" si="1"/>
        <v>E</v>
      </c>
      <c r="Q50" s="177">
        <f>IF(A50&gt;0,SUM(PASHEET!AM42,PASHEET!AU42),"")</f>
        <v>0</v>
      </c>
      <c r="R50" s="177">
        <f>IF(A50&gt;0,SUM(MARKS!G42,MARKS!AM42),"")</f>
        <v>0</v>
      </c>
      <c r="S50" s="177">
        <f>IF(A50&gt;0,SUM(MARKS!O42,MARKS!AU42),"")</f>
        <v>0</v>
      </c>
      <c r="T50" s="177">
        <f>IF(A50&gt;0,SUM(MARKS!W42,MARKS!BC42),"")</f>
        <v>0</v>
      </c>
      <c r="U50" s="177">
        <f>IF(A50&gt;0,SUM(MARKS!AE42,MARKS!BK42),"")</f>
        <v>21</v>
      </c>
      <c r="V50" s="178"/>
      <c r="W50" s="177">
        <f t="shared" si="2"/>
        <v>21</v>
      </c>
      <c r="X50" s="177" t="str">
        <f t="shared" si="3"/>
        <v>E</v>
      </c>
      <c r="Y50" s="177">
        <f>IF(A50&gt;0,SUM(PASHEET!AN42,PASHEET!AV42),"")</f>
        <v>0</v>
      </c>
      <c r="Z50" s="177">
        <f>IF(A50&gt;0,SUM(MARKS!H42,MARKS!AN42),"")</f>
        <v>0</v>
      </c>
      <c r="AA50" s="177">
        <f>IF(A50&gt;0,SUM(MARKS!P42,MARKS!AV42),"")</f>
        <v>0</v>
      </c>
      <c r="AB50" s="177">
        <f>IF(A50&gt;0,SUM(MARKS!X42,MARKS!BD42),"")</f>
        <v>0</v>
      </c>
      <c r="AC50" s="177">
        <f>IF(A50&gt;0,SUM(MARKS!AF42,MARKS!BL42),"")</f>
        <v>15</v>
      </c>
      <c r="AD50" s="178"/>
      <c r="AE50" s="177">
        <f t="shared" si="4"/>
        <v>15</v>
      </c>
      <c r="AF50" s="177" t="str">
        <f t="shared" si="5"/>
        <v>E</v>
      </c>
      <c r="AG50" s="177">
        <f>IF(A50&gt;0,SUM(PASHEET!AO42,PASHEET!AW42),"")</f>
        <v>0</v>
      </c>
      <c r="AH50" s="177">
        <f>IF(A50&gt;0,SUM(MARKS!I42,MARKS!AO42),"")</f>
        <v>0</v>
      </c>
      <c r="AI50" s="177">
        <f>IF(A50&gt;0,SUM(MARKS!Q42,MARKS!AW42),"")</f>
        <v>0</v>
      </c>
      <c r="AJ50" s="177">
        <f>IF(A50&gt;0,SUM(MARKS!Y42,MARKS!BE42),"")</f>
        <v>0</v>
      </c>
      <c r="AK50" s="177">
        <f>IF(A50&gt;0,SUM(MARKS!AG42,MARKS!BM42),"")</f>
        <v>13</v>
      </c>
      <c r="AL50" s="178"/>
      <c r="AM50" s="177">
        <f t="shared" si="6"/>
        <v>13</v>
      </c>
      <c r="AN50" s="177" t="str">
        <f t="shared" si="7"/>
        <v>E</v>
      </c>
      <c r="AO50" s="177">
        <f>IF(A50&gt;0,SUM(PASHEET!AP42,PASHEET!AX42),"")</f>
        <v>0</v>
      </c>
      <c r="AP50" s="177">
        <f>IF(A50&gt;0,SUM(MARKS!J42,MARKS!AP42),"")</f>
        <v>0</v>
      </c>
      <c r="AQ50" s="177">
        <f>IF(A50&gt;0,SUM(MARKS!R42,MARKS!AX42),"")</f>
        <v>0</v>
      </c>
      <c r="AR50" s="177">
        <f>IF(A50&gt;0,SUM(MARKS!Z42,MARKS!BF42),"")</f>
        <v>0</v>
      </c>
      <c r="AS50" s="177">
        <f>IF(A50&gt;0,SUM(MARKS!AH42,MARKS!BN42),"")</f>
        <v>16</v>
      </c>
      <c r="AT50" s="178"/>
      <c r="AU50" s="177">
        <f t="shared" si="8"/>
        <v>16</v>
      </c>
      <c r="AV50" s="177" t="str">
        <f t="shared" si="9"/>
        <v>E</v>
      </c>
      <c r="AW50" s="177">
        <f>IF(A50&gt;0,SUM(PASHEET!AQ42,PASHEET!AY42),"")</f>
        <v>0</v>
      </c>
      <c r="AX50" s="177">
        <f>IF(A50&gt;0,SUM(MARKS!K42,MARKS!AQ42),"")</f>
        <v>0</v>
      </c>
      <c r="AY50" s="177">
        <f>IF(A50&gt;0,SUM(MARKS!S42,MARKS!AY42),"")</f>
        <v>0</v>
      </c>
      <c r="AZ50" s="177">
        <f>IF(A50&gt;0,SUM(MARKS!AA42,MARKS!BG42),"")</f>
        <v>0</v>
      </c>
      <c r="BA50" s="177">
        <f>IF(A50&gt;0,SUM(MARKS!AI42,MARKS!BO42),"")</f>
        <v>20</v>
      </c>
      <c r="BB50" s="178"/>
      <c r="BC50" s="177">
        <f t="shared" si="10"/>
        <v>20</v>
      </c>
      <c r="BD50" s="177" t="str">
        <f t="shared" si="11"/>
        <v>E</v>
      </c>
      <c r="BE50" s="177">
        <f t="shared" si="12"/>
        <v>0</v>
      </c>
      <c r="BF50" s="47">
        <f t="shared" si="13"/>
        <v>116</v>
      </c>
      <c r="BG50" s="70">
        <f t="shared" si="14"/>
        <v>19.3333333333333</v>
      </c>
      <c r="BH50" s="177" t="str">
        <f t="shared" si="15"/>
        <v>E</v>
      </c>
      <c r="BI50" s="47" t="str">
        <f>IF(A50&gt;0,FLN!I42,"")</f>
        <v/>
      </c>
      <c r="BJ50" s="47" t="str">
        <f>IF(A50&gt;0,FLN!J42,"")</f>
        <v/>
      </c>
      <c r="BK50" s="47" t="str">
        <f>IF(A50&gt;0,FLN!K42,"")</f>
        <v/>
      </c>
      <c r="BL50" s="47" t="str">
        <f t="shared" si="16"/>
        <v>PROMOTED</v>
      </c>
      <c r="BM50" s="130">
        <f>IF(BF50="","",IFERROR(RANK(BF50,$BF$12:$BF$111,0)+COUNTIFS($BF$12:BF50,BF50)-1,0))</f>
        <v>27</v>
      </c>
      <c r="BN50" s="130">
        <f t="shared" si="17"/>
        <v>116</v>
      </c>
    </row>
    <row r="51" s="98" customFormat="1" ht="27" customHeight="1" spans="1:66">
      <c r="A51" s="47">
        <f>IF(A50=0,0,IF(A50&lt;ENTRY!$D$24,A50+1,0))</f>
        <v>0</v>
      </c>
      <c r="B51" s="47" t="str">
        <f>IF(A51&gt;0,STUDENT!F41,"")</f>
        <v/>
      </c>
      <c r="C51" s="176" t="str">
        <f>IF(A51&gt;0,UPPER(STUDENT!E41),"")</f>
        <v/>
      </c>
      <c r="D51" s="176" t="str">
        <f>IF(A51&gt;0,UPPER(STUDENT!H41),"")</f>
        <v/>
      </c>
      <c r="E51" s="47" t="str">
        <f>IF(A51&gt;0,UPPER(STUDENT!BP41),"")</f>
        <v/>
      </c>
      <c r="F51" s="47" t="str">
        <f>IF(A51&gt;0,UPPER(STUDENT!BO41),"")</f>
        <v/>
      </c>
      <c r="G51" s="47" t="str">
        <f>IF(A51&gt;0,UPPER(STUDENT!Q41),"")</f>
        <v/>
      </c>
      <c r="H51" s="69" t="str">
        <f>IF(A51&gt;0,PASHEET!CI43/PASHEET!CJ43*100,"")</f>
        <v/>
      </c>
      <c r="I51" s="177" t="str">
        <f>IF(A51&gt;0,SUM(PASHEET!AL43,PASHEET!AT43),"")</f>
        <v/>
      </c>
      <c r="J51" s="177" t="str">
        <f>IF(A51&gt;0,SUM(MARKS!F43,MARKS!AL43),"")</f>
        <v/>
      </c>
      <c r="K51" s="177" t="str">
        <f>IF(A51&gt;0,SUM(MARKS!N43,MARKS!AT43),"")</f>
        <v/>
      </c>
      <c r="L51" s="177" t="str">
        <f>IF(A51&gt;0,SUM(MARKS!V43,MARKS!BB43),"")</f>
        <v/>
      </c>
      <c r="M51" s="177" t="str">
        <f>IF(A51&gt;0,SUM(MARKS!AD43,MARKS!BJ43),"")</f>
        <v/>
      </c>
      <c r="N51" s="178"/>
      <c r="O51" s="177" t="str">
        <f t="shared" si="0"/>
        <v/>
      </c>
      <c r="P51" s="177" t="str">
        <f t="shared" si="1"/>
        <v/>
      </c>
      <c r="Q51" s="177" t="str">
        <f>IF(A51&gt;0,SUM(PASHEET!AM43,PASHEET!AU43),"")</f>
        <v/>
      </c>
      <c r="R51" s="177" t="str">
        <f>IF(A51&gt;0,SUM(MARKS!G43,MARKS!AM43),"")</f>
        <v/>
      </c>
      <c r="S51" s="177" t="str">
        <f>IF(A51&gt;0,SUM(MARKS!O43,MARKS!AU43),"")</f>
        <v/>
      </c>
      <c r="T51" s="177" t="str">
        <f>IF(A51&gt;0,SUM(MARKS!W43,MARKS!BC43),"")</f>
        <v/>
      </c>
      <c r="U51" s="177" t="str">
        <f>IF(A51&gt;0,SUM(MARKS!AE43,MARKS!BK43),"")</f>
        <v/>
      </c>
      <c r="V51" s="178"/>
      <c r="W51" s="177" t="str">
        <f t="shared" si="2"/>
        <v/>
      </c>
      <c r="X51" s="177" t="str">
        <f t="shared" si="3"/>
        <v/>
      </c>
      <c r="Y51" s="177" t="str">
        <f>IF(A51&gt;0,SUM(PASHEET!AN43,PASHEET!AV43),"")</f>
        <v/>
      </c>
      <c r="Z51" s="177" t="str">
        <f>IF(A51&gt;0,SUM(MARKS!H43,MARKS!AN43),"")</f>
        <v/>
      </c>
      <c r="AA51" s="177" t="str">
        <f>IF(A51&gt;0,SUM(MARKS!P43,MARKS!AV43),"")</f>
        <v/>
      </c>
      <c r="AB51" s="177" t="str">
        <f>IF(A51&gt;0,SUM(MARKS!X43,MARKS!BD43),"")</f>
        <v/>
      </c>
      <c r="AC51" s="177" t="str">
        <f>IF(A51&gt;0,SUM(MARKS!AF43,MARKS!BL43),"")</f>
        <v/>
      </c>
      <c r="AD51" s="178"/>
      <c r="AE51" s="177" t="str">
        <f t="shared" si="4"/>
        <v/>
      </c>
      <c r="AF51" s="177" t="str">
        <f t="shared" si="5"/>
        <v/>
      </c>
      <c r="AG51" s="177" t="str">
        <f>IF(A51&gt;0,SUM(PASHEET!AO43,PASHEET!AW43),"")</f>
        <v/>
      </c>
      <c r="AH51" s="177" t="str">
        <f>IF(A51&gt;0,SUM(MARKS!I43,MARKS!AO43),"")</f>
        <v/>
      </c>
      <c r="AI51" s="177" t="str">
        <f>IF(A51&gt;0,SUM(MARKS!Q43,MARKS!AW43),"")</f>
        <v/>
      </c>
      <c r="AJ51" s="177" t="str">
        <f>IF(A51&gt;0,SUM(MARKS!Y43,MARKS!BE43),"")</f>
        <v/>
      </c>
      <c r="AK51" s="177" t="str">
        <f>IF(A51&gt;0,SUM(MARKS!AG43,MARKS!BM43),"")</f>
        <v/>
      </c>
      <c r="AL51" s="178"/>
      <c r="AM51" s="177" t="str">
        <f t="shared" si="6"/>
        <v/>
      </c>
      <c r="AN51" s="177" t="str">
        <f t="shared" si="7"/>
        <v/>
      </c>
      <c r="AO51" s="177" t="str">
        <f>IF(A51&gt;0,SUM(PASHEET!AP43,PASHEET!AX43),"")</f>
        <v/>
      </c>
      <c r="AP51" s="177" t="str">
        <f>IF(A51&gt;0,SUM(MARKS!J43,MARKS!AP43),"")</f>
        <v/>
      </c>
      <c r="AQ51" s="177" t="str">
        <f>IF(A51&gt;0,SUM(MARKS!R43,MARKS!AX43),"")</f>
        <v/>
      </c>
      <c r="AR51" s="177" t="str">
        <f>IF(A51&gt;0,SUM(MARKS!Z43,MARKS!BF43),"")</f>
        <v/>
      </c>
      <c r="AS51" s="177" t="str">
        <f>IF(A51&gt;0,SUM(MARKS!AH43,MARKS!BN43),"")</f>
        <v/>
      </c>
      <c r="AT51" s="178"/>
      <c r="AU51" s="177" t="str">
        <f t="shared" si="8"/>
        <v/>
      </c>
      <c r="AV51" s="177" t="str">
        <f t="shared" si="9"/>
        <v/>
      </c>
      <c r="AW51" s="177" t="str">
        <f>IF(A51&gt;0,SUM(PASHEET!AQ43,PASHEET!AY43),"")</f>
        <v/>
      </c>
      <c r="AX51" s="177" t="str">
        <f>IF(A51&gt;0,SUM(MARKS!K43,MARKS!AQ43),"")</f>
        <v/>
      </c>
      <c r="AY51" s="177" t="str">
        <f>IF(A51&gt;0,SUM(MARKS!S43,MARKS!AY43),"")</f>
        <v/>
      </c>
      <c r="AZ51" s="177" t="str">
        <f>IF(A51&gt;0,SUM(MARKS!AA43,MARKS!BG43),"")</f>
        <v/>
      </c>
      <c r="BA51" s="177" t="str">
        <f>IF(A51&gt;0,SUM(MARKS!AI43,MARKS!BO43),"")</f>
        <v/>
      </c>
      <c r="BB51" s="178"/>
      <c r="BC51" s="177" t="str">
        <f t="shared" si="10"/>
        <v/>
      </c>
      <c r="BD51" s="177" t="str">
        <f t="shared" si="11"/>
        <v/>
      </c>
      <c r="BE51" s="177" t="str">
        <f t="shared" si="12"/>
        <v/>
      </c>
      <c r="BF51" s="47" t="str">
        <f t="shared" si="13"/>
        <v/>
      </c>
      <c r="BG51" s="70" t="str">
        <f t="shared" si="14"/>
        <v/>
      </c>
      <c r="BH51" s="177" t="str">
        <f t="shared" si="15"/>
        <v/>
      </c>
      <c r="BI51" s="47" t="str">
        <f>IF(A51&gt;0,FLN!I43,"")</f>
        <v/>
      </c>
      <c r="BJ51" s="47" t="str">
        <f>IF(A51&gt;0,FLN!J43,"")</f>
        <v/>
      </c>
      <c r="BK51" s="47" t="str">
        <f>IF(A51&gt;0,FLN!K43,"")</f>
        <v/>
      </c>
      <c r="BL51" s="47" t="str">
        <f t="shared" si="16"/>
        <v/>
      </c>
      <c r="BM51" s="130" t="str">
        <f>IF(BF51="","",IFERROR(RANK(BF51,$BF$12:$BF$111,0)+COUNTIFS($BF$12:BF51,BF51)-1,0))</f>
        <v/>
      </c>
      <c r="BN51" s="130" t="str">
        <f t="shared" si="17"/>
        <v/>
      </c>
    </row>
    <row r="52" s="98" customFormat="1" ht="27" customHeight="1" spans="1:66">
      <c r="A52" s="47">
        <f>IF(A51=0,0,IF(A51&lt;ENTRY!$D$24,A51+1,0))</f>
        <v>0</v>
      </c>
      <c r="B52" s="47" t="str">
        <f>IF(A52&gt;0,STUDENT!F42,"")</f>
        <v/>
      </c>
      <c r="C52" s="176" t="str">
        <f>IF(A52&gt;0,UPPER(STUDENT!E42),"")</f>
        <v/>
      </c>
      <c r="D52" s="176" t="str">
        <f>IF(A52&gt;0,UPPER(STUDENT!H42),"")</f>
        <v/>
      </c>
      <c r="E52" s="47" t="str">
        <f>IF(A52&gt;0,UPPER(STUDENT!BP42),"")</f>
        <v/>
      </c>
      <c r="F52" s="47" t="str">
        <f>IF(A52&gt;0,UPPER(STUDENT!BO42),"")</f>
        <v/>
      </c>
      <c r="G52" s="47" t="str">
        <f>IF(A52&gt;0,UPPER(STUDENT!Q42),"")</f>
        <v/>
      </c>
      <c r="H52" s="69" t="str">
        <f>IF(A52&gt;0,PASHEET!CI44/PASHEET!CJ44*100,"")</f>
        <v/>
      </c>
      <c r="I52" s="177" t="str">
        <f>IF(A52&gt;0,SUM(PASHEET!AL44,PASHEET!AT44),"")</f>
        <v/>
      </c>
      <c r="J52" s="177" t="str">
        <f>IF(A52&gt;0,SUM(MARKS!F44,MARKS!AL44),"")</f>
        <v/>
      </c>
      <c r="K52" s="177" t="str">
        <f>IF(A52&gt;0,SUM(MARKS!N44,MARKS!AT44),"")</f>
        <v/>
      </c>
      <c r="L52" s="177" t="str">
        <f>IF(A52&gt;0,SUM(MARKS!V44,MARKS!BB44),"")</f>
        <v/>
      </c>
      <c r="M52" s="177" t="str">
        <f>IF(A52&gt;0,SUM(MARKS!AD44,MARKS!BJ44),"")</f>
        <v/>
      </c>
      <c r="N52" s="178"/>
      <c r="O52" s="177" t="str">
        <f t="shared" si="0"/>
        <v/>
      </c>
      <c r="P52" s="177" t="str">
        <f t="shared" si="1"/>
        <v/>
      </c>
      <c r="Q52" s="177" t="str">
        <f>IF(A52&gt;0,SUM(PASHEET!AM44,PASHEET!AU44),"")</f>
        <v/>
      </c>
      <c r="R52" s="177" t="str">
        <f>IF(A52&gt;0,SUM(MARKS!G44,MARKS!AM44),"")</f>
        <v/>
      </c>
      <c r="S52" s="177" t="str">
        <f>IF(A52&gt;0,SUM(MARKS!O44,MARKS!AU44),"")</f>
        <v/>
      </c>
      <c r="T52" s="177" t="str">
        <f>IF(A52&gt;0,SUM(MARKS!W44,MARKS!BC44),"")</f>
        <v/>
      </c>
      <c r="U52" s="177" t="str">
        <f>IF(A52&gt;0,SUM(MARKS!AE44,MARKS!BK44),"")</f>
        <v/>
      </c>
      <c r="V52" s="178"/>
      <c r="W52" s="177" t="str">
        <f t="shared" si="2"/>
        <v/>
      </c>
      <c r="X52" s="177" t="str">
        <f t="shared" si="3"/>
        <v/>
      </c>
      <c r="Y52" s="177" t="str">
        <f>IF(A52&gt;0,SUM(PASHEET!AN44,PASHEET!AV44),"")</f>
        <v/>
      </c>
      <c r="Z52" s="177" t="str">
        <f>IF(A52&gt;0,SUM(MARKS!H44,MARKS!AN44),"")</f>
        <v/>
      </c>
      <c r="AA52" s="177" t="str">
        <f>IF(A52&gt;0,SUM(MARKS!P44,MARKS!AV44),"")</f>
        <v/>
      </c>
      <c r="AB52" s="177" t="str">
        <f>IF(A52&gt;0,SUM(MARKS!X44,MARKS!BD44),"")</f>
        <v/>
      </c>
      <c r="AC52" s="177" t="str">
        <f>IF(A52&gt;0,SUM(MARKS!AF44,MARKS!BL44),"")</f>
        <v/>
      </c>
      <c r="AD52" s="178"/>
      <c r="AE52" s="177" t="str">
        <f t="shared" si="4"/>
        <v/>
      </c>
      <c r="AF52" s="177" t="str">
        <f t="shared" si="5"/>
        <v/>
      </c>
      <c r="AG52" s="177" t="str">
        <f>IF(A52&gt;0,SUM(PASHEET!AO44,PASHEET!AW44),"")</f>
        <v/>
      </c>
      <c r="AH52" s="177" t="str">
        <f>IF(A52&gt;0,SUM(MARKS!I44,MARKS!AO44),"")</f>
        <v/>
      </c>
      <c r="AI52" s="177" t="str">
        <f>IF(A52&gt;0,SUM(MARKS!Q44,MARKS!AW44),"")</f>
        <v/>
      </c>
      <c r="AJ52" s="177" t="str">
        <f>IF(A52&gt;0,SUM(MARKS!Y44,MARKS!BE44),"")</f>
        <v/>
      </c>
      <c r="AK52" s="177" t="str">
        <f>IF(A52&gt;0,SUM(MARKS!AG44,MARKS!BM44),"")</f>
        <v/>
      </c>
      <c r="AL52" s="178"/>
      <c r="AM52" s="177" t="str">
        <f t="shared" si="6"/>
        <v/>
      </c>
      <c r="AN52" s="177" t="str">
        <f t="shared" si="7"/>
        <v/>
      </c>
      <c r="AO52" s="177" t="str">
        <f>IF(A52&gt;0,SUM(PASHEET!AP44,PASHEET!AX44),"")</f>
        <v/>
      </c>
      <c r="AP52" s="177" t="str">
        <f>IF(A52&gt;0,SUM(MARKS!J44,MARKS!AP44),"")</f>
        <v/>
      </c>
      <c r="AQ52" s="177" t="str">
        <f>IF(A52&gt;0,SUM(MARKS!R44,MARKS!AX44),"")</f>
        <v/>
      </c>
      <c r="AR52" s="177" t="str">
        <f>IF(A52&gt;0,SUM(MARKS!Z44,MARKS!BF44),"")</f>
        <v/>
      </c>
      <c r="AS52" s="177" t="str">
        <f>IF(A52&gt;0,SUM(MARKS!AH44,MARKS!BN44),"")</f>
        <v/>
      </c>
      <c r="AT52" s="178"/>
      <c r="AU52" s="177" t="str">
        <f t="shared" si="8"/>
        <v/>
      </c>
      <c r="AV52" s="177" t="str">
        <f t="shared" si="9"/>
        <v/>
      </c>
      <c r="AW52" s="177" t="str">
        <f>IF(A52&gt;0,SUM(PASHEET!AQ44,PASHEET!AY44),"")</f>
        <v/>
      </c>
      <c r="AX52" s="177" t="str">
        <f>IF(A52&gt;0,SUM(MARKS!K44,MARKS!AQ44),"")</f>
        <v/>
      </c>
      <c r="AY52" s="177" t="str">
        <f>IF(A52&gt;0,SUM(MARKS!S44,MARKS!AY44),"")</f>
        <v/>
      </c>
      <c r="AZ52" s="177" t="str">
        <f>IF(A52&gt;0,SUM(MARKS!AA44,MARKS!BG44),"")</f>
        <v/>
      </c>
      <c r="BA52" s="177" t="str">
        <f>IF(A52&gt;0,SUM(MARKS!AI44,MARKS!BO44),"")</f>
        <v/>
      </c>
      <c r="BB52" s="178"/>
      <c r="BC52" s="177" t="str">
        <f t="shared" si="10"/>
        <v/>
      </c>
      <c r="BD52" s="177" t="str">
        <f t="shared" si="11"/>
        <v/>
      </c>
      <c r="BE52" s="177" t="str">
        <f t="shared" si="12"/>
        <v/>
      </c>
      <c r="BF52" s="47" t="str">
        <f t="shared" si="13"/>
        <v/>
      </c>
      <c r="BG52" s="70" t="str">
        <f t="shared" si="14"/>
        <v/>
      </c>
      <c r="BH52" s="177" t="str">
        <f t="shared" si="15"/>
        <v/>
      </c>
      <c r="BI52" s="47" t="str">
        <f>IF(A52&gt;0,FLN!I44,"")</f>
        <v/>
      </c>
      <c r="BJ52" s="47" t="str">
        <f>IF(A52&gt;0,FLN!J44,"")</f>
        <v/>
      </c>
      <c r="BK52" s="47" t="str">
        <f>IF(A52&gt;0,FLN!K44,"")</f>
        <v/>
      </c>
      <c r="BL52" s="47" t="str">
        <f t="shared" si="16"/>
        <v/>
      </c>
      <c r="BM52" s="130" t="str">
        <f>IF(BF52="","",IFERROR(RANK(BF52,$BF$12:$BF$111,0)+COUNTIFS($BF$12:BF52,BF52)-1,0))</f>
        <v/>
      </c>
      <c r="BN52" s="130" t="str">
        <f t="shared" si="17"/>
        <v/>
      </c>
    </row>
    <row r="53" s="98" customFormat="1" ht="27" customHeight="1" spans="1:66">
      <c r="A53" s="47">
        <f>IF(A52=0,0,IF(A52&lt;ENTRY!$D$24,A52+1,0))</f>
        <v>0</v>
      </c>
      <c r="B53" s="47" t="str">
        <f>IF(A53&gt;0,STUDENT!F43,"")</f>
        <v/>
      </c>
      <c r="C53" s="176" t="str">
        <f>IF(A53&gt;0,UPPER(STUDENT!E43),"")</f>
        <v/>
      </c>
      <c r="D53" s="176" t="str">
        <f>IF(A53&gt;0,UPPER(STUDENT!H43),"")</f>
        <v/>
      </c>
      <c r="E53" s="47" t="str">
        <f>IF(A53&gt;0,UPPER(STUDENT!BP43),"")</f>
        <v/>
      </c>
      <c r="F53" s="47" t="str">
        <f>IF(A53&gt;0,UPPER(STUDENT!BO43),"")</f>
        <v/>
      </c>
      <c r="G53" s="47" t="str">
        <f>IF(A53&gt;0,UPPER(STUDENT!Q43),"")</f>
        <v/>
      </c>
      <c r="H53" s="69" t="str">
        <f>IF(A53&gt;0,PASHEET!CI45/PASHEET!CJ45*100,"")</f>
        <v/>
      </c>
      <c r="I53" s="177" t="str">
        <f>IF(A53&gt;0,SUM(PASHEET!AL45,PASHEET!AT45),"")</f>
        <v/>
      </c>
      <c r="J53" s="177" t="str">
        <f>IF(A53&gt;0,SUM(MARKS!F45,MARKS!AL45),"")</f>
        <v/>
      </c>
      <c r="K53" s="177" t="str">
        <f>IF(A53&gt;0,SUM(MARKS!N45,MARKS!AT45),"")</f>
        <v/>
      </c>
      <c r="L53" s="177" t="str">
        <f>IF(A53&gt;0,SUM(MARKS!V45,MARKS!BB45),"")</f>
        <v/>
      </c>
      <c r="M53" s="177" t="str">
        <f>IF(A53&gt;0,SUM(MARKS!AD45,MARKS!BJ45),"")</f>
        <v/>
      </c>
      <c r="N53" s="178"/>
      <c r="O53" s="177" t="str">
        <f t="shared" si="0"/>
        <v/>
      </c>
      <c r="P53" s="177" t="str">
        <f t="shared" si="1"/>
        <v/>
      </c>
      <c r="Q53" s="177" t="str">
        <f>IF(A53&gt;0,SUM(PASHEET!AM45,PASHEET!AU45),"")</f>
        <v/>
      </c>
      <c r="R53" s="177" t="str">
        <f>IF(A53&gt;0,SUM(MARKS!G45,MARKS!AM45),"")</f>
        <v/>
      </c>
      <c r="S53" s="177" t="str">
        <f>IF(A53&gt;0,SUM(MARKS!O45,MARKS!AU45),"")</f>
        <v/>
      </c>
      <c r="T53" s="177" t="str">
        <f>IF(A53&gt;0,SUM(MARKS!W45,MARKS!BC45),"")</f>
        <v/>
      </c>
      <c r="U53" s="177" t="str">
        <f>IF(A53&gt;0,SUM(MARKS!AE45,MARKS!BK45),"")</f>
        <v/>
      </c>
      <c r="V53" s="178"/>
      <c r="W53" s="177" t="str">
        <f t="shared" si="2"/>
        <v/>
      </c>
      <c r="X53" s="177" t="str">
        <f t="shared" si="3"/>
        <v/>
      </c>
      <c r="Y53" s="177" t="str">
        <f>IF(A53&gt;0,SUM(PASHEET!AN45,PASHEET!AV45),"")</f>
        <v/>
      </c>
      <c r="Z53" s="177" t="str">
        <f>IF(A53&gt;0,SUM(MARKS!H45,MARKS!AN45),"")</f>
        <v/>
      </c>
      <c r="AA53" s="177" t="str">
        <f>IF(A53&gt;0,SUM(MARKS!P45,MARKS!AV45),"")</f>
        <v/>
      </c>
      <c r="AB53" s="177" t="str">
        <f>IF(A53&gt;0,SUM(MARKS!X45,MARKS!BD45),"")</f>
        <v/>
      </c>
      <c r="AC53" s="177" t="str">
        <f>IF(A53&gt;0,SUM(MARKS!AF45,MARKS!BL45),"")</f>
        <v/>
      </c>
      <c r="AD53" s="178"/>
      <c r="AE53" s="177" t="str">
        <f t="shared" si="4"/>
        <v/>
      </c>
      <c r="AF53" s="177" t="str">
        <f t="shared" si="5"/>
        <v/>
      </c>
      <c r="AG53" s="177" t="str">
        <f>IF(A53&gt;0,SUM(PASHEET!AO45,PASHEET!AW45),"")</f>
        <v/>
      </c>
      <c r="AH53" s="177" t="str">
        <f>IF(A53&gt;0,SUM(MARKS!I45,MARKS!AO45),"")</f>
        <v/>
      </c>
      <c r="AI53" s="177" t="str">
        <f>IF(A53&gt;0,SUM(MARKS!Q45,MARKS!AW45),"")</f>
        <v/>
      </c>
      <c r="AJ53" s="177" t="str">
        <f>IF(A53&gt;0,SUM(MARKS!Y45,MARKS!BE45),"")</f>
        <v/>
      </c>
      <c r="AK53" s="177" t="str">
        <f>IF(A53&gt;0,SUM(MARKS!AG45,MARKS!BM45),"")</f>
        <v/>
      </c>
      <c r="AL53" s="178"/>
      <c r="AM53" s="177" t="str">
        <f t="shared" si="6"/>
        <v/>
      </c>
      <c r="AN53" s="177" t="str">
        <f t="shared" si="7"/>
        <v/>
      </c>
      <c r="AO53" s="177" t="str">
        <f>IF(A53&gt;0,SUM(PASHEET!AP45,PASHEET!AX45),"")</f>
        <v/>
      </c>
      <c r="AP53" s="177" t="str">
        <f>IF(A53&gt;0,SUM(MARKS!J45,MARKS!AP45),"")</f>
        <v/>
      </c>
      <c r="AQ53" s="177" t="str">
        <f>IF(A53&gt;0,SUM(MARKS!R45,MARKS!AX45),"")</f>
        <v/>
      </c>
      <c r="AR53" s="177" t="str">
        <f>IF(A53&gt;0,SUM(MARKS!Z45,MARKS!BF45),"")</f>
        <v/>
      </c>
      <c r="AS53" s="177" t="str">
        <f>IF(A53&gt;0,SUM(MARKS!AH45,MARKS!BN45),"")</f>
        <v/>
      </c>
      <c r="AT53" s="178"/>
      <c r="AU53" s="177" t="str">
        <f t="shared" si="8"/>
        <v/>
      </c>
      <c r="AV53" s="177" t="str">
        <f t="shared" si="9"/>
        <v/>
      </c>
      <c r="AW53" s="177" t="str">
        <f>IF(A53&gt;0,SUM(PASHEET!AQ45,PASHEET!AY45),"")</f>
        <v/>
      </c>
      <c r="AX53" s="177" t="str">
        <f>IF(A53&gt;0,SUM(MARKS!K45,MARKS!AQ45),"")</f>
        <v/>
      </c>
      <c r="AY53" s="177" t="str">
        <f>IF(A53&gt;0,SUM(MARKS!S45,MARKS!AY45),"")</f>
        <v/>
      </c>
      <c r="AZ53" s="177" t="str">
        <f>IF(A53&gt;0,SUM(MARKS!AA45,MARKS!BG45),"")</f>
        <v/>
      </c>
      <c r="BA53" s="177" t="str">
        <f>IF(A53&gt;0,SUM(MARKS!AI45,MARKS!BO45),"")</f>
        <v/>
      </c>
      <c r="BB53" s="178"/>
      <c r="BC53" s="177" t="str">
        <f t="shared" si="10"/>
        <v/>
      </c>
      <c r="BD53" s="177" t="str">
        <f t="shared" si="11"/>
        <v/>
      </c>
      <c r="BE53" s="177" t="str">
        <f t="shared" si="12"/>
        <v/>
      </c>
      <c r="BF53" s="47" t="str">
        <f t="shared" si="13"/>
        <v/>
      </c>
      <c r="BG53" s="70" t="str">
        <f t="shared" si="14"/>
        <v/>
      </c>
      <c r="BH53" s="177" t="str">
        <f t="shared" si="15"/>
        <v/>
      </c>
      <c r="BI53" s="47" t="str">
        <f>IF(A53&gt;0,FLN!I45,"")</f>
        <v/>
      </c>
      <c r="BJ53" s="47" t="str">
        <f>IF(A53&gt;0,FLN!J45,"")</f>
        <v/>
      </c>
      <c r="BK53" s="47" t="str">
        <f>IF(A53&gt;0,FLN!K45,"")</f>
        <v/>
      </c>
      <c r="BL53" s="47" t="str">
        <f t="shared" si="16"/>
        <v/>
      </c>
      <c r="BM53" s="130" t="str">
        <f>IF(BF53="","",IFERROR(RANK(BF53,$BF$12:$BF$111,0)+COUNTIFS($BF$12:BF53,BF53)-1,0))</f>
        <v/>
      </c>
      <c r="BN53" s="130" t="str">
        <f t="shared" si="17"/>
        <v/>
      </c>
    </row>
    <row r="54" s="98" customFormat="1" ht="27" customHeight="1" spans="1:66">
      <c r="A54" s="47">
        <f>IF(A53=0,0,IF(A53&lt;ENTRY!$D$24,A53+1,0))</f>
        <v>0</v>
      </c>
      <c r="B54" s="47" t="str">
        <f>IF(A54&gt;0,STUDENT!F44,"")</f>
        <v/>
      </c>
      <c r="C54" s="176" t="str">
        <f>IF(A54&gt;0,UPPER(STUDENT!E44),"")</f>
        <v/>
      </c>
      <c r="D54" s="176" t="str">
        <f>IF(A54&gt;0,UPPER(STUDENT!H44),"")</f>
        <v/>
      </c>
      <c r="E54" s="47" t="str">
        <f>IF(A54&gt;0,UPPER(STUDENT!BP44),"")</f>
        <v/>
      </c>
      <c r="F54" s="47" t="str">
        <f>IF(A54&gt;0,UPPER(STUDENT!BO44),"")</f>
        <v/>
      </c>
      <c r="G54" s="47" t="str">
        <f>IF(A54&gt;0,UPPER(STUDENT!Q44),"")</f>
        <v/>
      </c>
      <c r="H54" s="69" t="str">
        <f>IF(A54&gt;0,PASHEET!CI46/PASHEET!CJ46*100,"")</f>
        <v/>
      </c>
      <c r="I54" s="177" t="str">
        <f>IF(A54&gt;0,SUM(PASHEET!AL46,PASHEET!AT46),"")</f>
        <v/>
      </c>
      <c r="J54" s="177" t="str">
        <f>IF(A54&gt;0,SUM(MARKS!F46,MARKS!AL46),"")</f>
        <v/>
      </c>
      <c r="K54" s="177" t="str">
        <f>IF(A54&gt;0,SUM(MARKS!N46,MARKS!AT46),"")</f>
        <v/>
      </c>
      <c r="L54" s="177" t="str">
        <f>IF(A54&gt;0,SUM(MARKS!V46,MARKS!BB46),"")</f>
        <v/>
      </c>
      <c r="M54" s="177" t="str">
        <f>IF(A54&gt;0,SUM(MARKS!AD46,MARKS!BJ46),"")</f>
        <v/>
      </c>
      <c r="N54" s="178"/>
      <c r="O54" s="177" t="str">
        <f t="shared" si="0"/>
        <v/>
      </c>
      <c r="P54" s="177" t="str">
        <f t="shared" si="1"/>
        <v/>
      </c>
      <c r="Q54" s="177" t="str">
        <f>IF(A54&gt;0,SUM(PASHEET!AM46,PASHEET!AU46),"")</f>
        <v/>
      </c>
      <c r="R54" s="177" t="str">
        <f>IF(A54&gt;0,SUM(MARKS!G46,MARKS!AM46),"")</f>
        <v/>
      </c>
      <c r="S54" s="177" t="str">
        <f>IF(A54&gt;0,SUM(MARKS!O46,MARKS!AU46),"")</f>
        <v/>
      </c>
      <c r="T54" s="177" t="str">
        <f>IF(A54&gt;0,SUM(MARKS!W46,MARKS!BC46),"")</f>
        <v/>
      </c>
      <c r="U54" s="177" t="str">
        <f>IF(A54&gt;0,SUM(MARKS!AE46,MARKS!BK46),"")</f>
        <v/>
      </c>
      <c r="V54" s="178"/>
      <c r="W54" s="177" t="str">
        <f t="shared" si="2"/>
        <v/>
      </c>
      <c r="X54" s="177" t="str">
        <f t="shared" si="3"/>
        <v/>
      </c>
      <c r="Y54" s="177" t="str">
        <f>IF(A54&gt;0,SUM(PASHEET!AN46,PASHEET!AV46),"")</f>
        <v/>
      </c>
      <c r="Z54" s="177" t="str">
        <f>IF(A54&gt;0,SUM(MARKS!H46,MARKS!AN46),"")</f>
        <v/>
      </c>
      <c r="AA54" s="177" t="str">
        <f>IF(A54&gt;0,SUM(MARKS!P46,MARKS!AV46),"")</f>
        <v/>
      </c>
      <c r="AB54" s="177" t="str">
        <f>IF(A54&gt;0,SUM(MARKS!X46,MARKS!BD46),"")</f>
        <v/>
      </c>
      <c r="AC54" s="177" t="str">
        <f>IF(A54&gt;0,SUM(MARKS!AF46,MARKS!BL46),"")</f>
        <v/>
      </c>
      <c r="AD54" s="178"/>
      <c r="AE54" s="177" t="str">
        <f t="shared" si="4"/>
        <v/>
      </c>
      <c r="AF54" s="177" t="str">
        <f t="shared" si="5"/>
        <v/>
      </c>
      <c r="AG54" s="177" t="str">
        <f>IF(A54&gt;0,SUM(PASHEET!AO46,PASHEET!AW46),"")</f>
        <v/>
      </c>
      <c r="AH54" s="177" t="str">
        <f>IF(A54&gt;0,SUM(MARKS!I46,MARKS!AO46),"")</f>
        <v/>
      </c>
      <c r="AI54" s="177" t="str">
        <f>IF(A54&gt;0,SUM(MARKS!Q46,MARKS!AW46),"")</f>
        <v/>
      </c>
      <c r="AJ54" s="177" t="str">
        <f>IF(A54&gt;0,SUM(MARKS!Y46,MARKS!BE46),"")</f>
        <v/>
      </c>
      <c r="AK54" s="177" t="str">
        <f>IF(A54&gt;0,SUM(MARKS!AG46,MARKS!BM46),"")</f>
        <v/>
      </c>
      <c r="AL54" s="178"/>
      <c r="AM54" s="177" t="str">
        <f t="shared" si="6"/>
        <v/>
      </c>
      <c r="AN54" s="177" t="str">
        <f t="shared" si="7"/>
        <v/>
      </c>
      <c r="AO54" s="177" t="str">
        <f>IF(A54&gt;0,SUM(PASHEET!AP46,PASHEET!AX46),"")</f>
        <v/>
      </c>
      <c r="AP54" s="177" t="str">
        <f>IF(A54&gt;0,SUM(MARKS!J46,MARKS!AP46),"")</f>
        <v/>
      </c>
      <c r="AQ54" s="177" t="str">
        <f>IF(A54&gt;0,SUM(MARKS!R46,MARKS!AX46),"")</f>
        <v/>
      </c>
      <c r="AR54" s="177" t="str">
        <f>IF(A54&gt;0,SUM(MARKS!Z46,MARKS!BF46),"")</f>
        <v/>
      </c>
      <c r="AS54" s="177" t="str">
        <f>IF(A54&gt;0,SUM(MARKS!AH46,MARKS!BN46),"")</f>
        <v/>
      </c>
      <c r="AT54" s="178"/>
      <c r="AU54" s="177" t="str">
        <f t="shared" si="8"/>
        <v/>
      </c>
      <c r="AV54" s="177" t="str">
        <f t="shared" si="9"/>
        <v/>
      </c>
      <c r="AW54" s="177" t="str">
        <f>IF(A54&gt;0,SUM(PASHEET!AQ46,PASHEET!AY46),"")</f>
        <v/>
      </c>
      <c r="AX54" s="177" t="str">
        <f>IF(A54&gt;0,SUM(MARKS!K46,MARKS!AQ46),"")</f>
        <v/>
      </c>
      <c r="AY54" s="177" t="str">
        <f>IF(A54&gt;0,SUM(MARKS!S46,MARKS!AY46),"")</f>
        <v/>
      </c>
      <c r="AZ54" s="177" t="str">
        <f>IF(A54&gt;0,SUM(MARKS!AA46,MARKS!BG46),"")</f>
        <v/>
      </c>
      <c r="BA54" s="177" t="str">
        <f>IF(A54&gt;0,SUM(MARKS!AI46,MARKS!BO46),"")</f>
        <v/>
      </c>
      <c r="BB54" s="178"/>
      <c r="BC54" s="177" t="str">
        <f t="shared" si="10"/>
        <v/>
      </c>
      <c r="BD54" s="177" t="str">
        <f t="shared" si="11"/>
        <v/>
      </c>
      <c r="BE54" s="177" t="str">
        <f t="shared" si="12"/>
        <v/>
      </c>
      <c r="BF54" s="47" t="str">
        <f t="shared" si="13"/>
        <v/>
      </c>
      <c r="BG54" s="70" t="str">
        <f t="shared" si="14"/>
        <v/>
      </c>
      <c r="BH54" s="177" t="str">
        <f t="shared" si="15"/>
        <v/>
      </c>
      <c r="BI54" s="47" t="str">
        <f>IF(A54&gt;0,FLN!I46,"")</f>
        <v/>
      </c>
      <c r="BJ54" s="47" t="str">
        <f>IF(A54&gt;0,FLN!J46,"")</f>
        <v/>
      </c>
      <c r="BK54" s="47" t="str">
        <f>IF(A54&gt;0,FLN!K46,"")</f>
        <v/>
      </c>
      <c r="BL54" s="47" t="str">
        <f t="shared" si="16"/>
        <v/>
      </c>
      <c r="BM54" s="130" t="str">
        <f>IF(BF54="","",IFERROR(RANK(BF54,$BF$12:$BF$111,0)+COUNTIFS($BF$12:BF54,BF54)-1,0))</f>
        <v/>
      </c>
      <c r="BN54" s="130" t="str">
        <f t="shared" si="17"/>
        <v/>
      </c>
    </row>
    <row r="55" s="98" customFormat="1" ht="27" customHeight="1" spans="1:66">
      <c r="A55" s="47">
        <f>IF(A54=0,0,IF(A54&lt;ENTRY!$D$24,A54+1,0))</f>
        <v>0</v>
      </c>
      <c r="B55" s="47" t="str">
        <f>IF(A55&gt;0,STUDENT!F45,"")</f>
        <v/>
      </c>
      <c r="C55" s="176" t="str">
        <f>IF(A55&gt;0,UPPER(STUDENT!E45),"")</f>
        <v/>
      </c>
      <c r="D55" s="176" t="str">
        <f>IF(A55&gt;0,UPPER(STUDENT!H45),"")</f>
        <v/>
      </c>
      <c r="E55" s="47" t="str">
        <f>IF(A55&gt;0,UPPER(STUDENT!BP45),"")</f>
        <v/>
      </c>
      <c r="F55" s="47" t="str">
        <f>IF(A55&gt;0,UPPER(STUDENT!BO45),"")</f>
        <v/>
      </c>
      <c r="G55" s="47" t="str">
        <f>IF(A55&gt;0,UPPER(STUDENT!Q45),"")</f>
        <v/>
      </c>
      <c r="H55" s="69" t="str">
        <f>IF(A55&gt;0,PASHEET!CI47/PASHEET!CJ47*100,"")</f>
        <v/>
      </c>
      <c r="I55" s="177" t="str">
        <f>IF(A55&gt;0,SUM(PASHEET!AL47,PASHEET!AT47),"")</f>
        <v/>
      </c>
      <c r="J55" s="177" t="str">
        <f>IF(A55&gt;0,SUM(MARKS!F47,MARKS!AL47),"")</f>
        <v/>
      </c>
      <c r="K55" s="177" t="str">
        <f>IF(A55&gt;0,SUM(MARKS!N47,MARKS!AT47),"")</f>
        <v/>
      </c>
      <c r="L55" s="177" t="str">
        <f>IF(A55&gt;0,SUM(MARKS!V47,MARKS!BB47),"")</f>
        <v/>
      </c>
      <c r="M55" s="177" t="str">
        <f>IF(A55&gt;0,SUM(MARKS!AD47,MARKS!BJ47),"")</f>
        <v/>
      </c>
      <c r="N55" s="178"/>
      <c r="O55" s="177" t="str">
        <f t="shared" si="0"/>
        <v/>
      </c>
      <c r="P55" s="177" t="str">
        <f t="shared" si="1"/>
        <v/>
      </c>
      <c r="Q55" s="177" t="str">
        <f>IF(A55&gt;0,SUM(PASHEET!AM47,PASHEET!AU47),"")</f>
        <v/>
      </c>
      <c r="R55" s="177" t="str">
        <f>IF(A55&gt;0,SUM(MARKS!G47,MARKS!AM47),"")</f>
        <v/>
      </c>
      <c r="S55" s="177" t="str">
        <f>IF(A55&gt;0,SUM(MARKS!O47,MARKS!AU47),"")</f>
        <v/>
      </c>
      <c r="T55" s="177" t="str">
        <f>IF(A55&gt;0,SUM(MARKS!W47,MARKS!BC47),"")</f>
        <v/>
      </c>
      <c r="U55" s="177" t="str">
        <f>IF(A55&gt;0,SUM(MARKS!AE47,MARKS!BK47),"")</f>
        <v/>
      </c>
      <c r="V55" s="178"/>
      <c r="W55" s="177" t="str">
        <f t="shared" si="2"/>
        <v/>
      </c>
      <c r="X55" s="177" t="str">
        <f t="shared" si="3"/>
        <v/>
      </c>
      <c r="Y55" s="177" t="str">
        <f>IF(A55&gt;0,SUM(PASHEET!AN47,PASHEET!AV47),"")</f>
        <v/>
      </c>
      <c r="Z55" s="177" t="str">
        <f>IF(A55&gt;0,SUM(MARKS!H47,MARKS!AN47),"")</f>
        <v/>
      </c>
      <c r="AA55" s="177" t="str">
        <f>IF(A55&gt;0,SUM(MARKS!P47,MARKS!AV47),"")</f>
        <v/>
      </c>
      <c r="AB55" s="177" t="str">
        <f>IF(A55&gt;0,SUM(MARKS!X47,MARKS!BD47),"")</f>
        <v/>
      </c>
      <c r="AC55" s="177" t="str">
        <f>IF(A55&gt;0,SUM(MARKS!AF47,MARKS!BL47),"")</f>
        <v/>
      </c>
      <c r="AD55" s="178"/>
      <c r="AE55" s="177" t="str">
        <f t="shared" si="4"/>
        <v/>
      </c>
      <c r="AF55" s="177" t="str">
        <f t="shared" si="5"/>
        <v/>
      </c>
      <c r="AG55" s="177" t="str">
        <f>IF(A55&gt;0,SUM(PASHEET!AO47,PASHEET!AW47),"")</f>
        <v/>
      </c>
      <c r="AH55" s="177" t="str">
        <f>IF(A55&gt;0,SUM(MARKS!I47,MARKS!AO47),"")</f>
        <v/>
      </c>
      <c r="AI55" s="177" t="str">
        <f>IF(A55&gt;0,SUM(MARKS!Q47,MARKS!AW47),"")</f>
        <v/>
      </c>
      <c r="AJ55" s="177" t="str">
        <f>IF(A55&gt;0,SUM(MARKS!Y47,MARKS!BE47),"")</f>
        <v/>
      </c>
      <c r="AK55" s="177" t="str">
        <f>IF(A55&gt;0,SUM(MARKS!AG47,MARKS!BM47),"")</f>
        <v/>
      </c>
      <c r="AL55" s="178"/>
      <c r="AM55" s="177" t="str">
        <f t="shared" si="6"/>
        <v/>
      </c>
      <c r="AN55" s="177" t="str">
        <f t="shared" si="7"/>
        <v/>
      </c>
      <c r="AO55" s="177" t="str">
        <f>IF(A55&gt;0,SUM(PASHEET!AP47,PASHEET!AX47),"")</f>
        <v/>
      </c>
      <c r="AP55" s="177" t="str">
        <f>IF(A55&gt;0,SUM(MARKS!J47,MARKS!AP47),"")</f>
        <v/>
      </c>
      <c r="AQ55" s="177" t="str">
        <f>IF(A55&gt;0,SUM(MARKS!R47,MARKS!AX47),"")</f>
        <v/>
      </c>
      <c r="AR55" s="177" t="str">
        <f>IF(A55&gt;0,SUM(MARKS!Z47,MARKS!BF47),"")</f>
        <v/>
      </c>
      <c r="AS55" s="177" t="str">
        <f>IF(A55&gt;0,SUM(MARKS!AH47,MARKS!BN47),"")</f>
        <v/>
      </c>
      <c r="AT55" s="178"/>
      <c r="AU55" s="177" t="str">
        <f t="shared" si="8"/>
        <v/>
      </c>
      <c r="AV55" s="177" t="str">
        <f t="shared" si="9"/>
        <v/>
      </c>
      <c r="AW55" s="177" t="str">
        <f>IF(A55&gt;0,SUM(PASHEET!AQ47,PASHEET!AY47),"")</f>
        <v/>
      </c>
      <c r="AX55" s="177" t="str">
        <f>IF(A55&gt;0,SUM(MARKS!K47,MARKS!AQ47),"")</f>
        <v/>
      </c>
      <c r="AY55" s="177" t="str">
        <f>IF(A55&gt;0,SUM(MARKS!S47,MARKS!AY47),"")</f>
        <v/>
      </c>
      <c r="AZ55" s="177" t="str">
        <f>IF(A55&gt;0,SUM(MARKS!AA47,MARKS!BG47),"")</f>
        <v/>
      </c>
      <c r="BA55" s="177" t="str">
        <f>IF(A55&gt;0,SUM(MARKS!AI47,MARKS!BO47),"")</f>
        <v/>
      </c>
      <c r="BB55" s="178"/>
      <c r="BC55" s="177" t="str">
        <f t="shared" si="10"/>
        <v/>
      </c>
      <c r="BD55" s="177" t="str">
        <f t="shared" si="11"/>
        <v/>
      </c>
      <c r="BE55" s="177" t="str">
        <f t="shared" si="12"/>
        <v/>
      </c>
      <c r="BF55" s="47" t="str">
        <f t="shared" si="13"/>
        <v/>
      </c>
      <c r="BG55" s="70" t="str">
        <f t="shared" si="14"/>
        <v/>
      </c>
      <c r="BH55" s="177" t="str">
        <f t="shared" si="15"/>
        <v/>
      </c>
      <c r="BI55" s="47" t="str">
        <f>IF(A55&gt;0,FLN!I47,"")</f>
        <v/>
      </c>
      <c r="BJ55" s="47" t="str">
        <f>IF(A55&gt;0,FLN!J47,"")</f>
        <v/>
      </c>
      <c r="BK55" s="47" t="str">
        <f>IF(A55&gt;0,FLN!K47,"")</f>
        <v/>
      </c>
      <c r="BL55" s="47" t="str">
        <f t="shared" si="16"/>
        <v/>
      </c>
      <c r="BM55" s="130" t="str">
        <f>IF(BF55="","",IFERROR(RANK(BF55,$BF$12:$BF$111,0)+COUNTIFS($BF$12:BF55,BF55)-1,0))</f>
        <v/>
      </c>
      <c r="BN55" s="130" t="str">
        <f t="shared" si="17"/>
        <v/>
      </c>
    </row>
    <row r="56" s="98" customFormat="1" ht="27" customHeight="1" spans="1:66">
      <c r="A56" s="47">
        <f>IF(A55=0,0,IF(A55&lt;ENTRY!$D$24,A55+1,0))</f>
        <v>0</v>
      </c>
      <c r="B56" s="47" t="str">
        <f>IF(A56&gt;0,STUDENT!F46,"")</f>
        <v/>
      </c>
      <c r="C56" s="176" t="str">
        <f>IF(A56&gt;0,UPPER(STUDENT!E46),"")</f>
        <v/>
      </c>
      <c r="D56" s="176" t="str">
        <f>IF(A56&gt;0,UPPER(STUDENT!H46),"")</f>
        <v/>
      </c>
      <c r="E56" s="47" t="str">
        <f>IF(A56&gt;0,UPPER(STUDENT!BP46),"")</f>
        <v/>
      </c>
      <c r="F56" s="47" t="str">
        <f>IF(A56&gt;0,UPPER(STUDENT!BO46),"")</f>
        <v/>
      </c>
      <c r="G56" s="47" t="str">
        <f>IF(A56&gt;0,UPPER(STUDENT!Q46),"")</f>
        <v/>
      </c>
      <c r="H56" s="69" t="str">
        <f>IF(A56&gt;0,PASHEET!CI48/PASHEET!CJ48*100,"")</f>
        <v/>
      </c>
      <c r="I56" s="177" t="str">
        <f>IF(A56&gt;0,SUM(PASHEET!AL48,PASHEET!AT48),"")</f>
        <v/>
      </c>
      <c r="J56" s="177" t="str">
        <f>IF(A56&gt;0,SUM(MARKS!F48,MARKS!AL48),"")</f>
        <v/>
      </c>
      <c r="K56" s="177" t="str">
        <f>IF(A56&gt;0,SUM(MARKS!N48,MARKS!AT48),"")</f>
        <v/>
      </c>
      <c r="L56" s="177" t="str">
        <f>IF(A56&gt;0,SUM(MARKS!V48,MARKS!BB48),"")</f>
        <v/>
      </c>
      <c r="M56" s="177" t="str">
        <f>IF(A56&gt;0,SUM(MARKS!AD48,MARKS!BJ48),"")</f>
        <v/>
      </c>
      <c r="N56" s="178"/>
      <c r="O56" s="177" t="str">
        <f t="shared" si="0"/>
        <v/>
      </c>
      <c r="P56" s="177" t="str">
        <f t="shared" si="1"/>
        <v/>
      </c>
      <c r="Q56" s="177" t="str">
        <f>IF(A56&gt;0,SUM(PASHEET!AM48,PASHEET!AU48),"")</f>
        <v/>
      </c>
      <c r="R56" s="177" t="str">
        <f>IF(A56&gt;0,SUM(MARKS!G48,MARKS!AM48),"")</f>
        <v/>
      </c>
      <c r="S56" s="177" t="str">
        <f>IF(A56&gt;0,SUM(MARKS!O48,MARKS!AU48),"")</f>
        <v/>
      </c>
      <c r="T56" s="177" t="str">
        <f>IF(A56&gt;0,SUM(MARKS!W48,MARKS!BC48),"")</f>
        <v/>
      </c>
      <c r="U56" s="177" t="str">
        <f>IF(A56&gt;0,SUM(MARKS!AE48,MARKS!BK48),"")</f>
        <v/>
      </c>
      <c r="V56" s="178"/>
      <c r="W56" s="177" t="str">
        <f t="shared" si="2"/>
        <v/>
      </c>
      <c r="X56" s="177" t="str">
        <f t="shared" si="3"/>
        <v/>
      </c>
      <c r="Y56" s="177" t="str">
        <f>IF(A56&gt;0,SUM(PASHEET!AN48,PASHEET!AV48),"")</f>
        <v/>
      </c>
      <c r="Z56" s="177" t="str">
        <f>IF(A56&gt;0,SUM(MARKS!H48,MARKS!AN48),"")</f>
        <v/>
      </c>
      <c r="AA56" s="177" t="str">
        <f>IF(A56&gt;0,SUM(MARKS!P48,MARKS!AV48),"")</f>
        <v/>
      </c>
      <c r="AB56" s="177" t="str">
        <f>IF(A56&gt;0,SUM(MARKS!X48,MARKS!BD48),"")</f>
        <v/>
      </c>
      <c r="AC56" s="177" t="str">
        <f>IF(A56&gt;0,SUM(MARKS!AF48,MARKS!BL48),"")</f>
        <v/>
      </c>
      <c r="AD56" s="178"/>
      <c r="AE56" s="177" t="str">
        <f t="shared" si="4"/>
        <v/>
      </c>
      <c r="AF56" s="177" t="str">
        <f t="shared" si="5"/>
        <v/>
      </c>
      <c r="AG56" s="177" t="str">
        <f>IF(A56&gt;0,SUM(PASHEET!AO48,PASHEET!AW48),"")</f>
        <v/>
      </c>
      <c r="AH56" s="177" t="str">
        <f>IF(A56&gt;0,SUM(MARKS!I48,MARKS!AO48),"")</f>
        <v/>
      </c>
      <c r="AI56" s="177" t="str">
        <f>IF(A56&gt;0,SUM(MARKS!Q48,MARKS!AW48),"")</f>
        <v/>
      </c>
      <c r="AJ56" s="177" t="str">
        <f>IF(A56&gt;0,SUM(MARKS!Y48,MARKS!BE48),"")</f>
        <v/>
      </c>
      <c r="AK56" s="177" t="str">
        <f>IF(A56&gt;0,SUM(MARKS!AG48,MARKS!BM48),"")</f>
        <v/>
      </c>
      <c r="AL56" s="178"/>
      <c r="AM56" s="177" t="str">
        <f t="shared" si="6"/>
        <v/>
      </c>
      <c r="AN56" s="177" t="str">
        <f t="shared" si="7"/>
        <v/>
      </c>
      <c r="AO56" s="177" t="str">
        <f>IF(A56&gt;0,SUM(PASHEET!AP48,PASHEET!AX48),"")</f>
        <v/>
      </c>
      <c r="AP56" s="177" t="str">
        <f>IF(A56&gt;0,SUM(MARKS!J48,MARKS!AP48),"")</f>
        <v/>
      </c>
      <c r="AQ56" s="177" t="str">
        <f>IF(A56&gt;0,SUM(MARKS!R48,MARKS!AX48),"")</f>
        <v/>
      </c>
      <c r="AR56" s="177" t="str">
        <f>IF(A56&gt;0,SUM(MARKS!Z48,MARKS!BF48),"")</f>
        <v/>
      </c>
      <c r="AS56" s="177" t="str">
        <f>IF(A56&gt;0,SUM(MARKS!AH48,MARKS!BN48),"")</f>
        <v/>
      </c>
      <c r="AT56" s="178"/>
      <c r="AU56" s="177" t="str">
        <f t="shared" si="8"/>
        <v/>
      </c>
      <c r="AV56" s="177" t="str">
        <f t="shared" si="9"/>
        <v/>
      </c>
      <c r="AW56" s="177" t="str">
        <f>IF(A56&gt;0,SUM(PASHEET!AQ48,PASHEET!AY48),"")</f>
        <v/>
      </c>
      <c r="AX56" s="177" t="str">
        <f>IF(A56&gt;0,SUM(MARKS!K48,MARKS!AQ48),"")</f>
        <v/>
      </c>
      <c r="AY56" s="177" t="str">
        <f>IF(A56&gt;0,SUM(MARKS!S48,MARKS!AY48),"")</f>
        <v/>
      </c>
      <c r="AZ56" s="177" t="str">
        <f>IF(A56&gt;0,SUM(MARKS!AA48,MARKS!BG48),"")</f>
        <v/>
      </c>
      <c r="BA56" s="177" t="str">
        <f>IF(A56&gt;0,SUM(MARKS!AI48,MARKS!BO48),"")</f>
        <v/>
      </c>
      <c r="BB56" s="178"/>
      <c r="BC56" s="177" t="str">
        <f t="shared" si="10"/>
        <v/>
      </c>
      <c r="BD56" s="177" t="str">
        <f t="shared" si="11"/>
        <v/>
      </c>
      <c r="BE56" s="177" t="str">
        <f t="shared" si="12"/>
        <v/>
      </c>
      <c r="BF56" s="47" t="str">
        <f t="shared" si="13"/>
        <v/>
      </c>
      <c r="BG56" s="70" t="str">
        <f t="shared" si="14"/>
        <v/>
      </c>
      <c r="BH56" s="177" t="str">
        <f t="shared" si="15"/>
        <v/>
      </c>
      <c r="BI56" s="47" t="str">
        <f>IF(A56&gt;0,FLN!I48,"")</f>
        <v/>
      </c>
      <c r="BJ56" s="47" t="str">
        <f>IF(A56&gt;0,FLN!J48,"")</f>
        <v/>
      </c>
      <c r="BK56" s="47" t="str">
        <f>IF(A56&gt;0,FLN!K48,"")</f>
        <v/>
      </c>
      <c r="BL56" s="47" t="str">
        <f t="shared" si="16"/>
        <v/>
      </c>
      <c r="BM56" s="130" t="str">
        <f>IF(BF56="","",IFERROR(RANK(BF56,$BF$12:$BF$111,0)+COUNTIFS($BF$12:BF56,BF56)-1,0))</f>
        <v/>
      </c>
      <c r="BN56" s="130" t="str">
        <f t="shared" si="17"/>
        <v/>
      </c>
    </row>
    <row r="57" s="98" customFormat="1" ht="27" customHeight="1" spans="1:66">
      <c r="A57" s="47">
        <f>IF(A56=0,0,IF(A56&lt;ENTRY!$D$24,A56+1,0))</f>
        <v>0</v>
      </c>
      <c r="B57" s="47" t="str">
        <f>IF(A57&gt;0,STUDENT!F47,"")</f>
        <v/>
      </c>
      <c r="C57" s="176" t="str">
        <f>IF(A57&gt;0,UPPER(STUDENT!E47),"")</f>
        <v/>
      </c>
      <c r="D57" s="176" t="str">
        <f>IF(A57&gt;0,UPPER(STUDENT!H47),"")</f>
        <v/>
      </c>
      <c r="E57" s="47" t="str">
        <f>IF(A57&gt;0,UPPER(STUDENT!BP47),"")</f>
        <v/>
      </c>
      <c r="F57" s="47" t="str">
        <f>IF(A57&gt;0,UPPER(STUDENT!BO47),"")</f>
        <v/>
      </c>
      <c r="G57" s="47" t="str">
        <f>IF(A57&gt;0,UPPER(STUDENT!Q47),"")</f>
        <v/>
      </c>
      <c r="H57" s="69" t="str">
        <f>IF(A57&gt;0,PASHEET!CI49/PASHEET!CJ49*100,"")</f>
        <v/>
      </c>
      <c r="I57" s="177" t="str">
        <f>IF(A57&gt;0,SUM(PASHEET!AL49,PASHEET!AT49),"")</f>
        <v/>
      </c>
      <c r="J57" s="177" t="str">
        <f>IF(A57&gt;0,SUM(MARKS!F49,MARKS!AL49),"")</f>
        <v/>
      </c>
      <c r="K57" s="177" t="str">
        <f>IF(A57&gt;0,SUM(MARKS!N49,MARKS!AT49),"")</f>
        <v/>
      </c>
      <c r="L57" s="177" t="str">
        <f>IF(A57&gt;0,SUM(MARKS!V49,MARKS!BB49),"")</f>
        <v/>
      </c>
      <c r="M57" s="177" t="str">
        <f>IF(A57&gt;0,SUM(MARKS!AD49,MARKS!BJ49),"")</f>
        <v/>
      </c>
      <c r="N57" s="178"/>
      <c r="O57" s="177" t="str">
        <f t="shared" si="0"/>
        <v/>
      </c>
      <c r="P57" s="177" t="str">
        <f t="shared" si="1"/>
        <v/>
      </c>
      <c r="Q57" s="177" t="str">
        <f>IF(A57&gt;0,SUM(PASHEET!AM49,PASHEET!AU49),"")</f>
        <v/>
      </c>
      <c r="R57" s="177" t="str">
        <f>IF(A57&gt;0,SUM(MARKS!G49,MARKS!AM49),"")</f>
        <v/>
      </c>
      <c r="S57" s="177" t="str">
        <f>IF(A57&gt;0,SUM(MARKS!O49,MARKS!AU49),"")</f>
        <v/>
      </c>
      <c r="T57" s="177" t="str">
        <f>IF(A57&gt;0,SUM(MARKS!W49,MARKS!BC49),"")</f>
        <v/>
      </c>
      <c r="U57" s="177" t="str">
        <f>IF(A57&gt;0,SUM(MARKS!AE49,MARKS!BK49),"")</f>
        <v/>
      </c>
      <c r="V57" s="178"/>
      <c r="W57" s="177" t="str">
        <f t="shared" si="2"/>
        <v/>
      </c>
      <c r="X57" s="177" t="str">
        <f t="shared" si="3"/>
        <v/>
      </c>
      <c r="Y57" s="177" t="str">
        <f>IF(A57&gt;0,SUM(PASHEET!AN49,PASHEET!AV49),"")</f>
        <v/>
      </c>
      <c r="Z57" s="177" t="str">
        <f>IF(A57&gt;0,SUM(MARKS!H49,MARKS!AN49),"")</f>
        <v/>
      </c>
      <c r="AA57" s="177" t="str">
        <f>IF(A57&gt;0,SUM(MARKS!P49,MARKS!AV49),"")</f>
        <v/>
      </c>
      <c r="AB57" s="177" t="str">
        <f>IF(A57&gt;0,SUM(MARKS!X49,MARKS!BD49),"")</f>
        <v/>
      </c>
      <c r="AC57" s="177" t="str">
        <f>IF(A57&gt;0,SUM(MARKS!AF49,MARKS!BL49),"")</f>
        <v/>
      </c>
      <c r="AD57" s="178"/>
      <c r="AE57" s="177" t="str">
        <f t="shared" si="4"/>
        <v/>
      </c>
      <c r="AF57" s="177" t="str">
        <f t="shared" si="5"/>
        <v/>
      </c>
      <c r="AG57" s="177" t="str">
        <f>IF(A57&gt;0,SUM(PASHEET!AO49,PASHEET!AW49),"")</f>
        <v/>
      </c>
      <c r="AH57" s="177" t="str">
        <f>IF(A57&gt;0,SUM(MARKS!I49,MARKS!AO49),"")</f>
        <v/>
      </c>
      <c r="AI57" s="177" t="str">
        <f>IF(A57&gt;0,SUM(MARKS!Q49,MARKS!AW49),"")</f>
        <v/>
      </c>
      <c r="AJ57" s="177" t="str">
        <f>IF(A57&gt;0,SUM(MARKS!Y49,MARKS!BE49),"")</f>
        <v/>
      </c>
      <c r="AK57" s="177" t="str">
        <f>IF(A57&gt;0,SUM(MARKS!AG49,MARKS!BM49),"")</f>
        <v/>
      </c>
      <c r="AL57" s="178"/>
      <c r="AM57" s="177" t="str">
        <f t="shared" si="6"/>
        <v/>
      </c>
      <c r="AN57" s="177" t="str">
        <f t="shared" si="7"/>
        <v/>
      </c>
      <c r="AO57" s="177" t="str">
        <f>IF(A57&gt;0,SUM(PASHEET!AP49,PASHEET!AX49),"")</f>
        <v/>
      </c>
      <c r="AP57" s="177" t="str">
        <f>IF(A57&gt;0,SUM(MARKS!J49,MARKS!AP49),"")</f>
        <v/>
      </c>
      <c r="AQ57" s="177" t="str">
        <f>IF(A57&gt;0,SUM(MARKS!R49,MARKS!AX49),"")</f>
        <v/>
      </c>
      <c r="AR57" s="177" t="str">
        <f>IF(A57&gt;0,SUM(MARKS!Z49,MARKS!BF49),"")</f>
        <v/>
      </c>
      <c r="AS57" s="177" t="str">
        <f>IF(A57&gt;0,SUM(MARKS!AH49,MARKS!BN49),"")</f>
        <v/>
      </c>
      <c r="AT57" s="178"/>
      <c r="AU57" s="177" t="str">
        <f t="shared" si="8"/>
        <v/>
      </c>
      <c r="AV57" s="177" t="str">
        <f t="shared" si="9"/>
        <v/>
      </c>
      <c r="AW57" s="177" t="str">
        <f>IF(A57&gt;0,SUM(PASHEET!AQ49,PASHEET!AY49),"")</f>
        <v/>
      </c>
      <c r="AX57" s="177" t="str">
        <f>IF(A57&gt;0,SUM(MARKS!K49,MARKS!AQ49),"")</f>
        <v/>
      </c>
      <c r="AY57" s="177" t="str">
        <f>IF(A57&gt;0,SUM(MARKS!S49,MARKS!AY49),"")</f>
        <v/>
      </c>
      <c r="AZ57" s="177" t="str">
        <f>IF(A57&gt;0,SUM(MARKS!AA49,MARKS!BG49),"")</f>
        <v/>
      </c>
      <c r="BA57" s="177" t="str">
        <f>IF(A57&gt;0,SUM(MARKS!AI49,MARKS!BO49),"")</f>
        <v/>
      </c>
      <c r="BB57" s="178"/>
      <c r="BC57" s="177" t="str">
        <f t="shared" si="10"/>
        <v/>
      </c>
      <c r="BD57" s="177" t="str">
        <f t="shared" si="11"/>
        <v/>
      </c>
      <c r="BE57" s="177" t="str">
        <f t="shared" si="12"/>
        <v/>
      </c>
      <c r="BF57" s="47" t="str">
        <f t="shared" si="13"/>
        <v/>
      </c>
      <c r="BG57" s="70" t="str">
        <f t="shared" si="14"/>
        <v/>
      </c>
      <c r="BH57" s="177" t="str">
        <f t="shared" si="15"/>
        <v/>
      </c>
      <c r="BI57" s="47" t="str">
        <f>IF(A57&gt;0,FLN!I49,"")</f>
        <v/>
      </c>
      <c r="BJ57" s="47" t="str">
        <f>IF(A57&gt;0,FLN!J49,"")</f>
        <v/>
      </c>
      <c r="BK57" s="47" t="str">
        <f>IF(A57&gt;0,FLN!K49,"")</f>
        <v/>
      </c>
      <c r="BL57" s="47" t="str">
        <f t="shared" si="16"/>
        <v/>
      </c>
      <c r="BM57" s="130" t="str">
        <f>IF(BF57="","",IFERROR(RANK(BF57,$BF$12:$BF$111,0)+COUNTIFS($BF$12:BF57,BF57)-1,0))</f>
        <v/>
      </c>
      <c r="BN57" s="130" t="str">
        <f t="shared" si="17"/>
        <v/>
      </c>
    </row>
    <row r="58" s="98" customFormat="1" ht="27" customHeight="1" spans="1:66">
      <c r="A58" s="47">
        <f>IF(A57=0,0,IF(A57&lt;ENTRY!$D$24,A57+1,0))</f>
        <v>0</v>
      </c>
      <c r="B58" s="47" t="str">
        <f>IF(A58&gt;0,STUDENT!F48,"")</f>
        <v/>
      </c>
      <c r="C58" s="176" t="str">
        <f>IF(A58&gt;0,UPPER(STUDENT!E48),"")</f>
        <v/>
      </c>
      <c r="D58" s="176" t="str">
        <f>IF(A58&gt;0,UPPER(STUDENT!H48),"")</f>
        <v/>
      </c>
      <c r="E58" s="47" t="str">
        <f>IF(A58&gt;0,UPPER(STUDENT!BP48),"")</f>
        <v/>
      </c>
      <c r="F58" s="47" t="str">
        <f>IF(A58&gt;0,UPPER(STUDENT!BO48),"")</f>
        <v/>
      </c>
      <c r="G58" s="47" t="str">
        <f>IF(A58&gt;0,UPPER(STUDENT!Q48),"")</f>
        <v/>
      </c>
      <c r="H58" s="69" t="str">
        <f>IF(A58&gt;0,PASHEET!CI50/PASHEET!CJ50*100,"")</f>
        <v/>
      </c>
      <c r="I58" s="177" t="str">
        <f>IF(A58&gt;0,SUM(PASHEET!AL50,PASHEET!AT50),"")</f>
        <v/>
      </c>
      <c r="J58" s="177" t="str">
        <f>IF(A58&gt;0,SUM(MARKS!F50,MARKS!AL50),"")</f>
        <v/>
      </c>
      <c r="K58" s="177" t="str">
        <f>IF(A58&gt;0,SUM(MARKS!N50,MARKS!AT50),"")</f>
        <v/>
      </c>
      <c r="L58" s="177" t="str">
        <f>IF(A58&gt;0,SUM(MARKS!V50,MARKS!BB50),"")</f>
        <v/>
      </c>
      <c r="M58" s="177" t="str">
        <f>IF(A58&gt;0,SUM(MARKS!AD50,MARKS!BJ50),"")</f>
        <v/>
      </c>
      <c r="N58" s="178"/>
      <c r="O58" s="177" t="str">
        <f t="shared" si="0"/>
        <v/>
      </c>
      <c r="P58" s="177" t="str">
        <f t="shared" si="1"/>
        <v/>
      </c>
      <c r="Q58" s="177" t="str">
        <f>IF(A58&gt;0,SUM(PASHEET!AM50,PASHEET!AU50),"")</f>
        <v/>
      </c>
      <c r="R58" s="177" t="str">
        <f>IF(A58&gt;0,SUM(MARKS!G50,MARKS!AM50),"")</f>
        <v/>
      </c>
      <c r="S58" s="177" t="str">
        <f>IF(A58&gt;0,SUM(MARKS!O50,MARKS!AU50),"")</f>
        <v/>
      </c>
      <c r="T58" s="177" t="str">
        <f>IF(A58&gt;0,SUM(MARKS!W50,MARKS!BC50),"")</f>
        <v/>
      </c>
      <c r="U58" s="177" t="str">
        <f>IF(A58&gt;0,SUM(MARKS!AE50,MARKS!BK50),"")</f>
        <v/>
      </c>
      <c r="V58" s="178"/>
      <c r="W58" s="177" t="str">
        <f t="shared" si="2"/>
        <v/>
      </c>
      <c r="X58" s="177" t="str">
        <f t="shared" si="3"/>
        <v/>
      </c>
      <c r="Y58" s="177" t="str">
        <f>IF(A58&gt;0,SUM(PASHEET!AN50,PASHEET!AV50),"")</f>
        <v/>
      </c>
      <c r="Z58" s="177" t="str">
        <f>IF(A58&gt;0,SUM(MARKS!H50,MARKS!AN50),"")</f>
        <v/>
      </c>
      <c r="AA58" s="177" t="str">
        <f>IF(A58&gt;0,SUM(MARKS!P50,MARKS!AV50),"")</f>
        <v/>
      </c>
      <c r="AB58" s="177" t="str">
        <f>IF(A58&gt;0,SUM(MARKS!X50,MARKS!BD50),"")</f>
        <v/>
      </c>
      <c r="AC58" s="177" t="str">
        <f>IF(A58&gt;0,SUM(MARKS!AF50,MARKS!BL50),"")</f>
        <v/>
      </c>
      <c r="AD58" s="178"/>
      <c r="AE58" s="177" t="str">
        <f t="shared" si="4"/>
        <v/>
      </c>
      <c r="AF58" s="177" t="str">
        <f t="shared" si="5"/>
        <v/>
      </c>
      <c r="AG58" s="177" t="str">
        <f>IF(A58&gt;0,SUM(PASHEET!AO50,PASHEET!AW50),"")</f>
        <v/>
      </c>
      <c r="AH58" s="177" t="str">
        <f>IF(A58&gt;0,SUM(MARKS!I50,MARKS!AO50),"")</f>
        <v/>
      </c>
      <c r="AI58" s="177" t="str">
        <f>IF(A58&gt;0,SUM(MARKS!Q50,MARKS!AW50),"")</f>
        <v/>
      </c>
      <c r="AJ58" s="177" t="str">
        <f>IF(A58&gt;0,SUM(MARKS!Y50,MARKS!BE50),"")</f>
        <v/>
      </c>
      <c r="AK58" s="177" t="str">
        <f>IF(A58&gt;0,SUM(MARKS!AG50,MARKS!BM50),"")</f>
        <v/>
      </c>
      <c r="AL58" s="178"/>
      <c r="AM58" s="177" t="str">
        <f t="shared" si="6"/>
        <v/>
      </c>
      <c r="AN58" s="177" t="str">
        <f t="shared" si="7"/>
        <v/>
      </c>
      <c r="AO58" s="177" t="str">
        <f>IF(A58&gt;0,SUM(PASHEET!AP50,PASHEET!AX50),"")</f>
        <v/>
      </c>
      <c r="AP58" s="177" t="str">
        <f>IF(A58&gt;0,SUM(MARKS!J50,MARKS!AP50),"")</f>
        <v/>
      </c>
      <c r="AQ58" s="177" t="str">
        <f>IF(A58&gt;0,SUM(MARKS!R50,MARKS!AX50),"")</f>
        <v/>
      </c>
      <c r="AR58" s="177" t="str">
        <f>IF(A58&gt;0,SUM(MARKS!Z50,MARKS!BF50),"")</f>
        <v/>
      </c>
      <c r="AS58" s="177" t="str">
        <f>IF(A58&gt;0,SUM(MARKS!AH50,MARKS!BN50),"")</f>
        <v/>
      </c>
      <c r="AT58" s="178"/>
      <c r="AU58" s="177" t="str">
        <f t="shared" si="8"/>
        <v/>
      </c>
      <c r="AV58" s="177" t="str">
        <f t="shared" si="9"/>
        <v/>
      </c>
      <c r="AW58" s="177" t="str">
        <f>IF(A58&gt;0,SUM(PASHEET!AQ50,PASHEET!AY50),"")</f>
        <v/>
      </c>
      <c r="AX58" s="177" t="str">
        <f>IF(A58&gt;0,SUM(MARKS!K50,MARKS!AQ50),"")</f>
        <v/>
      </c>
      <c r="AY58" s="177" t="str">
        <f>IF(A58&gt;0,SUM(MARKS!S50,MARKS!AY50),"")</f>
        <v/>
      </c>
      <c r="AZ58" s="177" t="str">
        <f>IF(A58&gt;0,SUM(MARKS!AA50,MARKS!BG50),"")</f>
        <v/>
      </c>
      <c r="BA58" s="177" t="str">
        <f>IF(A58&gt;0,SUM(MARKS!AI50,MARKS!BO50),"")</f>
        <v/>
      </c>
      <c r="BB58" s="178"/>
      <c r="BC58" s="177" t="str">
        <f t="shared" si="10"/>
        <v/>
      </c>
      <c r="BD58" s="177" t="str">
        <f t="shared" si="11"/>
        <v/>
      </c>
      <c r="BE58" s="177" t="str">
        <f t="shared" si="12"/>
        <v/>
      </c>
      <c r="BF58" s="47" t="str">
        <f t="shared" si="13"/>
        <v/>
      </c>
      <c r="BG58" s="70" t="str">
        <f t="shared" si="14"/>
        <v/>
      </c>
      <c r="BH58" s="177" t="str">
        <f t="shared" si="15"/>
        <v/>
      </c>
      <c r="BI58" s="47" t="str">
        <f>IF(A58&gt;0,FLN!I50,"")</f>
        <v/>
      </c>
      <c r="BJ58" s="47" t="str">
        <f>IF(A58&gt;0,FLN!J50,"")</f>
        <v/>
      </c>
      <c r="BK58" s="47" t="str">
        <f>IF(A58&gt;0,FLN!K50,"")</f>
        <v/>
      </c>
      <c r="BL58" s="47" t="str">
        <f t="shared" si="16"/>
        <v/>
      </c>
      <c r="BM58" s="130" t="str">
        <f>IF(BF58="","",IFERROR(RANK(BF58,$BF$12:$BF$111,0)+COUNTIFS($BF$12:BF58,BF58)-1,0))</f>
        <v/>
      </c>
      <c r="BN58" s="130" t="str">
        <f t="shared" si="17"/>
        <v/>
      </c>
    </row>
    <row r="59" s="98" customFormat="1" ht="27" customHeight="1" spans="1:66">
      <c r="A59" s="47">
        <f>IF(A58=0,0,IF(A58&lt;ENTRY!$D$24,A58+1,0))</f>
        <v>0</v>
      </c>
      <c r="B59" s="47" t="str">
        <f>IF(A59&gt;0,STUDENT!F49,"")</f>
        <v/>
      </c>
      <c r="C59" s="176" t="str">
        <f>IF(A59&gt;0,UPPER(STUDENT!E49),"")</f>
        <v/>
      </c>
      <c r="D59" s="176" t="str">
        <f>IF(A59&gt;0,UPPER(STUDENT!H49),"")</f>
        <v/>
      </c>
      <c r="E59" s="47" t="str">
        <f>IF(A59&gt;0,UPPER(STUDENT!BP49),"")</f>
        <v/>
      </c>
      <c r="F59" s="47" t="str">
        <f>IF(A59&gt;0,UPPER(STUDENT!BO49),"")</f>
        <v/>
      </c>
      <c r="G59" s="47" t="str">
        <f>IF(A59&gt;0,UPPER(STUDENT!Q49),"")</f>
        <v/>
      </c>
      <c r="H59" s="69" t="str">
        <f>IF(A59&gt;0,PASHEET!CI51/PASHEET!CJ51*100,"")</f>
        <v/>
      </c>
      <c r="I59" s="177" t="str">
        <f>IF(A59&gt;0,SUM(PASHEET!AL51,PASHEET!AT51),"")</f>
        <v/>
      </c>
      <c r="J59" s="177" t="str">
        <f>IF(A59&gt;0,SUM(MARKS!F51,MARKS!AL51),"")</f>
        <v/>
      </c>
      <c r="K59" s="177" t="str">
        <f>IF(A59&gt;0,SUM(MARKS!N51,MARKS!AT51),"")</f>
        <v/>
      </c>
      <c r="L59" s="177" t="str">
        <f>IF(A59&gt;0,SUM(MARKS!V51,MARKS!BB51),"")</f>
        <v/>
      </c>
      <c r="M59" s="177" t="str">
        <f>IF(A59&gt;0,SUM(MARKS!AD51,MARKS!BJ51),"")</f>
        <v/>
      </c>
      <c r="N59" s="178"/>
      <c r="O59" s="177" t="str">
        <f t="shared" si="0"/>
        <v/>
      </c>
      <c r="P59" s="177" t="str">
        <f t="shared" si="1"/>
        <v/>
      </c>
      <c r="Q59" s="177" t="str">
        <f>IF(A59&gt;0,SUM(PASHEET!AM51,PASHEET!AU51),"")</f>
        <v/>
      </c>
      <c r="R59" s="177" t="str">
        <f>IF(A59&gt;0,SUM(MARKS!G51,MARKS!AM51),"")</f>
        <v/>
      </c>
      <c r="S59" s="177" t="str">
        <f>IF(A59&gt;0,SUM(MARKS!O51,MARKS!AU51),"")</f>
        <v/>
      </c>
      <c r="T59" s="177" t="str">
        <f>IF(A59&gt;0,SUM(MARKS!W51,MARKS!BC51),"")</f>
        <v/>
      </c>
      <c r="U59" s="177" t="str">
        <f>IF(A59&gt;0,SUM(MARKS!AE51,MARKS!BK51),"")</f>
        <v/>
      </c>
      <c r="V59" s="178"/>
      <c r="W59" s="177" t="str">
        <f t="shared" si="2"/>
        <v/>
      </c>
      <c r="X59" s="177" t="str">
        <f t="shared" si="3"/>
        <v/>
      </c>
      <c r="Y59" s="177" t="str">
        <f>IF(A59&gt;0,SUM(PASHEET!AN51,PASHEET!AV51),"")</f>
        <v/>
      </c>
      <c r="Z59" s="177" t="str">
        <f>IF(A59&gt;0,SUM(MARKS!H51,MARKS!AN51),"")</f>
        <v/>
      </c>
      <c r="AA59" s="177" t="str">
        <f>IF(A59&gt;0,SUM(MARKS!P51,MARKS!AV51),"")</f>
        <v/>
      </c>
      <c r="AB59" s="177" t="str">
        <f>IF(A59&gt;0,SUM(MARKS!X51,MARKS!BD51),"")</f>
        <v/>
      </c>
      <c r="AC59" s="177" t="str">
        <f>IF(A59&gt;0,SUM(MARKS!AF51,MARKS!BL51),"")</f>
        <v/>
      </c>
      <c r="AD59" s="178"/>
      <c r="AE59" s="177" t="str">
        <f t="shared" si="4"/>
        <v/>
      </c>
      <c r="AF59" s="177" t="str">
        <f t="shared" si="5"/>
        <v/>
      </c>
      <c r="AG59" s="177" t="str">
        <f>IF(A59&gt;0,SUM(PASHEET!AO51,PASHEET!AW51),"")</f>
        <v/>
      </c>
      <c r="AH59" s="177" t="str">
        <f>IF(A59&gt;0,SUM(MARKS!I51,MARKS!AO51),"")</f>
        <v/>
      </c>
      <c r="AI59" s="177" t="str">
        <f>IF(A59&gt;0,SUM(MARKS!Q51,MARKS!AW51),"")</f>
        <v/>
      </c>
      <c r="AJ59" s="177" t="str">
        <f>IF(A59&gt;0,SUM(MARKS!Y51,MARKS!BE51),"")</f>
        <v/>
      </c>
      <c r="AK59" s="177" t="str">
        <f>IF(A59&gt;0,SUM(MARKS!AG51,MARKS!BM51),"")</f>
        <v/>
      </c>
      <c r="AL59" s="178"/>
      <c r="AM59" s="177" t="str">
        <f t="shared" si="6"/>
        <v/>
      </c>
      <c r="AN59" s="177" t="str">
        <f t="shared" si="7"/>
        <v/>
      </c>
      <c r="AO59" s="177" t="str">
        <f>IF(A59&gt;0,SUM(PASHEET!AP51,PASHEET!AX51),"")</f>
        <v/>
      </c>
      <c r="AP59" s="177" t="str">
        <f>IF(A59&gt;0,SUM(MARKS!J51,MARKS!AP51),"")</f>
        <v/>
      </c>
      <c r="AQ59" s="177" t="str">
        <f>IF(A59&gt;0,SUM(MARKS!R51,MARKS!AX51),"")</f>
        <v/>
      </c>
      <c r="AR59" s="177" t="str">
        <f>IF(A59&gt;0,SUM(MARKS!Z51,MARKS!BF51),"")</f>
        <v/>
      </c>
      <c r="AS59" s="177" t="str">
        <f>IF(A59&gt;0,SUM(MARKS!AH51,MARKS!BN51),"")</f>
        <v/>
      </c>
      <c r="AT59" s="178"/>
      <c r="AU59" s="177" t="str">
        <f t="shared" si="8"/>
        <v/>
      </c>
      <c r="AV59" s="177" t="str">
        <f t="shared" si="9"/>
        <v/>
      </c>
      <c r="AW59" s="177" t="str">
        <f>IF(A59&gt;0,SUM(PASHEET!AQ51,PASHEET!AY51),"")</f>
        <v/>
      </c>
      <c r="AX59" s="177" t="str">
        <f>IF(A59&gt;0,SUM(MARKS!K51,MARKS!AQ51),"")</f>
        <v/>
      </c>
      <c r="AY59" s="177" t="str">
        <f>IF(A59&gt;0,SUM(MARKS!S51,MARKS!AY51),"")</f>
        <v/>
      </c>
      <c r="AZ59" s="177" t="str">
        <f>IF(A59&gt;0,SUM(MARKS!AA51,MARKS!BG51),"")</f>
        <v/>
      </c>
      <c r="BA59" s="177" t="str">
        <f>IF(A59&gt;0,SUM(MARKS!AI51,MARKS!BO51),"")</f>
        <v/>
      </c>
      <c r="BB59" s="178"/>
      <c r="BC59" s="177" t="str">
        <f t="shared" si="10"/>
        <v/>
      </c>
      <c r="BD59" s="177" t="str">
        <f t="shared" si="11"/>
        <v/>
      </c>
      <c r="BE59" s="177" t="str">
        <f t="shared" si="12"/>
        <v/>
      </c>
      <c r="BF59" s="47" t="str">
        <f t="shared" si="13"/>
        <v/>
      </c>
      <c r="BG59" s="70" t="str">
        <f t="shared" si="14"/>
        <v/>
      </c>
      <c r="BH59" s="177" t="str">
        <f t="shared" si="15"/>
        <v/>
      </c>
      <c r="BI59" s="47" t="str">
        <f>IF(A59&gt;0,FLN!I51,"")</f>
        <v/>
      </c>
      <c r="BJ59" s="47" t="str">
        <f>IF(A59&gt;0,FLN!J51,"")</f>
        <v/>
      </c>
      <c r="BK59" s="47" t="str">
        <f>IF(A59&gt;0,FLN!K51,"")</f>
        <v/>
      </c>
      <c r="BL59" s="47" t="str">
        <f t="shared" si="16"/>
        <v/>
      </c>
      <c r="BM59" s="130" t="str">
        <f>IF(BF59="","",IFERROR(RANK(BF59,$BF$12:$BF$111,0)+COUNTIFS($BF$12:BF59,BF59)-1,0))</f>
        <v/>
      </c>
      <c r="BN59" s="130" t="str">
        <f t="shared" si="17"/>
        <v/>
      </c>
    </row>
    <row r="60" s="98" customFormat="1" ht="27" customHeight="1" spans="1:66">
      <c r="A60" s="47">
        <f>IF(A59=0,0,IF(A59&lt;ENTRY!$D$24,A59+1,0))</f>
        <v>0</v>
      </c>
      <c r="B60" s="47" t="str">
        <f>IF(A60&gt;0,STUDENT!F50,"")</f>
        <v/>
      </c>
      <c r="C60" s="176" t="str">
        <f>IF(A60&gt;0,UPPER(STUDENT!E50),"")</f>
        <v/>
      </c>
      <c r="D60" s="176" t="str">
        <f>IF(A60&gt;0,UPPER(STUDENT!H50),"")</f>
        <v/>
      </c>
      <c r="E60" s="47" t="str">
        <f>IF(A60&gt;0,UPPER(STUDENT!BP50),"")</f>
        <v/>
      </c>
      <c r="F60" s="47" t="str">
        <f>IF(A60&gt;0,UPPER(STUDENT!BO50),"")</f>
        <v/>
      </c>
      <c r="G60" s="47" t="str">
        <f>IF(A60&gt;0,UPPER(STUDENT!Q50),"")</f>
        <v/>
      </c>
      <c r="H60" s="69" t="str">
        <f>IF(A60&gt;0,PASHEET!CI52/PASHEET!CJ52*100,"")</f>
        <v/>
      </c>
      <c r="I60" s="177" t="str">
        <f>IF(A60&gt;0,SUM(PASHEET!AL52,PASHEET!AT52),"")</f>
        <v/>
      </c>
      <c r="J60" s="177" t="str">
        <f>IF(A60&gt;0,SUM(MARKS!F52,MARKS!AL52),"")</f>
        <v/>
      </c>
      <c r="K60" s="177" t="str">
        <f>IF(A60&gt;0,SUM(MARKS!N52,MARKS!AT52),"")</f>
        <v/>
      </c>
      <c r="L60" s="177" t="str">
        <f>IF(A60&gt;0,SUM(MARKS!V52,MARKS!BB52),"")</f>
        <v/>
      </c>
      <c r="M60" s="177" t="str">
        <f>IF(A60&gt;0,SUM(MARKS!AD52,MARKS!BJ52),"")</f>
        <v/>
      </c>
      <c r="N60" s="178"/>
      <c r="O60" s="177" t="str">
        <f t="shared" si="0"/>
        <v/>
      </c>
      <c r="P60" s="177" t="str">
        <f t="shared" si="1"/>
        <v/>
      </c>
      <c r="Q60" s="177" t="str">
        <f>IF(A60&gt;0,SUM(PASHEET!AM52,PASHEET!AU52),"")</f>
        <v/>
      </c>
      <c r="R60" s="177" t="str">
        <f>IF(A60&gt;0,SUM(MARKS!G52,MARKS!AM52),"")</f>
        <v/>
      </c>
      <c r="S60" s="177" t="str">
        <f>IF(A60&gt;0,SUM(MARKS!O52,MARKS!AU52),"")</f>
        <v/>
      </c>
      <c r="T60" s="177" t="str">
        <f>IF(A60&gt;0,SUM(MARKS!W52,MARKS!BC52),"")</f>
        <v/>
      </c>
      <c r="U60" s="177" t="str">
        <f>IF(A60&gt;0,SUM(MARKS!AE52,MARKS!BK52),"")</f>
        <v/>
      </c>
      <c r="V60" s="178"/>
      <c r="W60" s="177" t="str">
        <f t="shared" si="2"/>
        <v/>
      </c>
      <c r="X60" s="177" t="str">
        <f t="shared" si="3"/>
        <v/>
      </c>
      <c r="Y60" s="177" t="str">
        <f>IF(A60&gt;0,SUM(PASHEET!AN52,PASHEET!AV52),"")</f>
        <v/>
      </c>
      <c r="Z60" s="177" t="str">
        <f>IF(A60&gt;0,SUM(MARKS!H52,MARKS!AN52),"")</f>
        <v/>
      </c>
      <c r="AA60" s="177" t="str">
        <f>IF(A60&gt;0,SUM(MARKS!P52,MARKS!AV52),"")</f>
        <v/>
      </c>
      <c r="AB60" s="177" t="str">
        <f>IF(A60&gt;0,SUM(MARKS!X52,MARKS!BD52),"")</f>
        <v/>
      </c>
      <c r="AC60" s="177" t="str">
        <f>IF(A60&gt;0,SUM(MARKS!AF52,MARKS!BL52),"")</f>
        <v/>
      </c>
      <c r="AD60" s="178"/>
      <c r="AE60" s="177" t="str">
        <f t="shared" si="4"/>
        <v/>
      </c>
      <c r="AF60" s="177" t="str">
        <f t="shared" si="5"/>
        <v/>
      </c>
      <c r="AG60" s="177" t="str">
        <f>IF(A60&gt;0,SUM(PASHEET!AO52,PASHEET!AW52),"")</f>
        <v/>
      </c>
      <c r="AH60" s="177" t="str">
        <f>IF(A60&gt;0,SUM(MARKS!I52,MARKS!AO52),"")</f>
        <v/>
      </c>
      <c r="AI60" s="177" t="str">
        <f>IF(A60&gt;0,SUM(MARKS!Q52,MARKS!AW52),"")</f>
        <v/>
      </c>
      <c r="AJ60" s="177" t="str">
        <f>IF(A60&gt;0,SUM(MARKS!Y52,MARKS!BE52),"")</f>
        <v/>
      </c>
      <c r="AK60" s="177" t="str">
        <f>IF(A60&gt;0,SUM(MARKS!AG52,MARKS!BM52),"")</f>
        <v/>
      </c>
      <c r="AL60" s="178"/>
      <c r="AM60" s="177" t="str">
        <f t="shared" si="6"/>
        <v/>
      </c>
      <c r="AN60" s="177" t="str">
        <f t="shared" si="7"/>
        <v/>
      </c>
      <c r="AO60" s="177" t="str">
        <f>IF(A60&gt;0,SUM(PASHEET!AP52,PASHEET!AX52),"")</f>
        <v/>
      </c>
      <c r="AP60" s="177" t="str">
        <f>IF(A60&gt;0,SUM(MARKS!J52,MARKS!AP52),"")</f>
        <v/>
      </c>
      <c r="AQ60" s="177" t="str">
        <f>IF(A60&gt;0,SUM(MARKS!R52,MARKS!AX52),"")</f>
        <v/>
      </c>
      <c r="AR60" s="177" t="str">
        <f>IF(A60&gt;0,SUM(MARKS!Z52,MARKS!BF52),"")</f>
        <v/>
      </c>
      <c r="AS60" s="177" t="str">
        <f>IF(A60&gt;0,SUM(MARKS!AH52,MARKS!BN52),"")</f>
        <v/>
      </c>
      <c r="AT60" s="178"/>
      <c r="AU60" s="177" t="str">
        <f t="shared" si="8"/>
        <v/>
      </c>
      <c r="AV60" s="177" t="str">
        <f t="shared" si="9"/>
        <v/>
      </c>
      <c r="AW60" s="177" t="str">
        <f>IF(A60&gt;0,SUM(PASHEET!AQ52,PASHEET!AY52),"")</f>
        <v/>
      </c>
      <c r="AX60" s="177" t="str">
        <f>IF(A60&gt;0,SUM(MARKS!K52,MARKS!AQ52),"")</f>
        <v/>
      </c>
      <c r="AY60" s="177" t="str">
        <f>IF(A60&gt;0,SUM(MARKS!S52,MARKS!AY52),"")</f>
        <v/>
      </c>
      <c r="AZ60" s="177" t="str">
        <f>IF(A60&gt;0,SUM(MARKS!AA52,MARKS!BG52),"")</f>
        <v/>
      </c>
      <c r="BA60" s="177" t="str">
        <f>IF(A60&gt;0,SUM(MARKS!AI52,MARKS!BO52),"")</f>
        <v/>
      </c>
      <c r="BB60" s="178"/>
      <c r="BC60" s="177" t="str">
        <f t="shared" si="10"/>
        <v/>
      </c>
      <c r="BD60" s="177" t="str">
        <f t="shared" si="11"/>
        <v/>
      </c>
      <c r="BE60" s="177" t="str">
        <f t="shared" si="12"/>
        <v/>
      </c>
      <c r="BF60" s="47" t="str">
        <f t="shared" si="13"/>
        <v/>
      </c>
      <c r="BG60" s="70" t="str">
        <f t="shared" si="14"/>
        <v/>
      </c>
      <c r="BH60" s="177" t="str">
        <f t="shared" si="15"/>
        <v/>
      </c>
      <c r="BI60" s="47" t="str">
        <f>IF(A60&gt;0,FLN!I52,"")</f>
        <v/>
      </c>
      <c r="BJ60" s="47" t="str">
        <f>IF(A60&gt;0,FLN!J52,"")</f>
        <v/>
      </c>
      <c r="BK60" s="47" t="str">
        <f>IF(A60&gt;0,FLN!K52,"")</f>
        <v/>
      </c>
      <c r="BL60" s="47" t="str">
        <f t="shared" si="16"/>
        <v/>
      </c>
      <c r="BM60" s="130" t="str">
        <f>IF(BF60="","",IFERROR(RANK(BF60,$BF$12:$BF$111,0)+COUNTIFS($BF$12:BF60,BF60)-1,0))</f>
        <v/>
      </c>
      <c r="BN60" s="130" t="str">
        <f t="shared" si="17"/>
        <v/>
      </c>
    </row>
    <row r="61" s="98" customFormat="1" ht="27" customHeight="1" spans="1:66">
      <c r="A61" s="47">
        <f>IF(A60=0,0,IF(A60&lt;ENTRY!$D$24,A60+1,0))</f>
        <v>0</v>
      </c>
      <c r="B61" s="47" t="str">
        <f>IF(A61&gt;0,STUDENT!F51,"")</f>
        <v/>
      </c>
      <c r="C61" s="176" t="str">
        <f>IF(A61&gt;0,UPPER(STUDENT!E51),"")</f>
        <v/>
      </c>
      <c r="D61" s="176" t="str">
        <f>IF(A61&gt;0,UPPER(STUDENT!H51),"")</f>
        <v/>
      </c>
      <c r="E61" s="47" t="str">
        <f>IF(A61&gt;0,UPPER(STUDENT!BP51),"")</f>
        <v/>
      </c>
      <c r="F61" s="47" t="str">
        <f>IF(A61&gt;0,UPPER(STUDENT!BO51),"")</f>
        <v/>
      </c>
      <c r="G61" s="47" t="str">
        <f>IF(A61&gt;0,UPPER(STUDENT!Q51),"")</f>
        <v/>
      </c>
      <c r="H61" s="69" t="str">
        <f>IF(A61&gt;0,PASHEET!CI53/PASHEET!CJ53*100,"")</f>
        <v/>
      </c>
      <c r="I61" s="177" t="str">
        <f>IF(A61&gt;0,SUM(PASHEET!AL53,PASHEET!AT53),"")</f>
        <v/>
      </c>
      <c r="J61" s="177" t="str">
        <f>IF(A61&gt;0,SUM(MARKS!F53,MARKS!AL53),"")</f>
        <v/>
      </c>
      <c r="K61" s="177" t="str">
        <f>IF(A61&gt;0,SUM(MARKS!N53,MARKS!AT53),"")</f>
        <v/>
      </c>
      <c r="L61" s="177" t="str">
        <f>IF(A61&gt;0,SUM(MARKS!V53,MARKS!BB53),"")</f>
        <v/>
      </c>
      <c r="M61" s="177" t="str">
        <f>IF(A61&gt;0,SUM(MARKS!AD53,MARKS!BJ53),"")</f>
        <v/>
      </c>
      <c r="N61" s="178"/>
      <c r="O61" s="177" t="str">
        <f t="shared" si="0"/>
        <v/>
      </c>
      <c r="P61" s="177" t="str">
        <f t="shared" si="1"/>
        <v/>
      </c>
      <c r="Q61" s="177" t="str">
        <f>IF(A61&gt;0,SUM(PASHEET!AM53,PASHEET!AU53),"")</f>
        <v/>
      </c>
      <c r="R61" s="177" t="str">
        <f>IF(A61&gt;0,SUM(MARKS!G53,MARKS!AM53),"")</f>
        <v/>
      </c>
      <c r="S61" s="177" t="str">
        <f>IF(A61&gt;0,SUM(MARKS!O53,MARKS!AU53),"")</f>
        <v/>
      </c>
      <c r="T61" s="177" t="str">
        <f>IF(A61&gt;0,SUM(MARKS!W53,MARKS!BC53),"")</f>
        <v/>
      </c>
      <c r="U61" s="177" t="str">
        <f>IF(A61&gt;0,SUM(MARKS!AE53,MARKS!BK53),"")</f>
        <v/>
      </c>
      <c r="V61" s="178"/>
      <c r="W61" s="177" t="str">
        <f t="shared" si="2"/>
        <v/>
      </c>
      <c r="X61" s="177" t="str">
        <f t="shared" si="3"/>
        <v/>
      </c>
      <c r="Y61" s="177" t="str">
        <f>IF(A61&gt;0,SUM(PASHEET!AN53,PASHEET!AV53),"")</f>
        <v/>
      </c>
      <c r="Z61" s="177" t="str">
        <f>IF(A61&gt;0,SUM(MARKS!H53,MARKS!AN53),"")</f>
        <v/>
      </c>
      <c r="AA61" s="177" t="str">
        <f>IF(A61&gt;0,SUM(MARKS!P53,MARKS!AV53),"")</f>
        <v/>
      </c>
      <c r="AB61" s="177" t="str">
        <f>IF(A61&gt;0,SUM(MARKS!X53,MARKS!BD53),"")</f>
        <v/>
      </c>
      <c r="AC61" s="177" t="str">
        <f>IF(A61&gt;0,SUM(MARKS!AF53,MARKS!BL53),"")</f>
        <v/>
      </c>
      <c r="AD61" s="178"/>
      <c r="AE61" s="177" t="str">
        <f t="shared" si="4"/>
        <v/>
      </c>
      <c r="AF61" s="177" t="str">
        <f t="shared" si="5"/>
        <v/>
      </c>
      <c r="AG61" s="177" t="str">
        <f>IF(A61&gt;0,SUM(PASHEET!AO53,PASHEET!AW53),"")</f>
        <v/>
      </c>
      <c r="AH61" s="177" t="str">
        <f>IF(A61&gt;0,SUM(MARKS!I53,MARKS!AO53),"")</f>
        <v/>
      </c>
      <c r="AI61" s="177" t="str">
        <f>IF(A61&gt;0,SUM(MARKS!Q53,MARKS!AW53),"")</f>
        <v/>
      </c>
      <c r="AJ61" s="177" t="str">
        <f>IF(A61&gt;0,SUM(MARKS!Y53,MARKS!BE53),"")</f>
        <v/>
      </c>
      <c r="AK61" s="177" t="str">
        <f>IF(A61&gt;0,SUM(MARKS!AG53,MARKS!BM53),"")</f>
        <v/>
      </c>
      <c r="AL61" s="178"/>
      <c r="AM61" s="177" t="str">
        <f t="shared" si="6"/>
        <v/>
      </c>
      <c r="AN61" s="177" t="str">
        <f t="shared" si="7"/>
        <v/>
      </c>
      <c r="AO61" s="177" t="str">
        <f>IF(A61&gt;0,SUM(PASHEET!AP53,PASHEET!AX53),"")</f>
        <v/>
      </c>
      <c r="AP61" s="177" t="str">
        <f>IF(A61&gt;0,SUM(MARKS!J53,MARKS!AP53),"")</f>
        <v/>
      </c>
      <c r="AQ61" s="177" t="str">
        <f>IF(A61&gt;0,SUM(MARKS!R53,MARKS!AX53),"")</f>
        <v/>
      </c>
      <c r="AR61" s="177" t="str">
        <f>IF(A61&gt;0,SUM(MARKS!Z53,MARKS!BF53),"")</f>
        <v/>
      </c>
      <c r="AS61" s="177" t="str">
        <f>IF(A61&gt;0,SUM(MARKS!AH53,MARKS!BN53),"")</f>
        <v/>
      </c>
      <c r="AT61" s="178"/>
      <c r="AU61" s="177" t="str">
        <f t="shared" si="8"/>
        <v/>
      </c>
      <c r="AV61" s="177" t="str">
        <f t="shared" si="9"/>
        <v/>
      </c>
      <c r="AW61" s="177" t="str">
        <f>IF(A61&gt;0,SUM(PASHEET!AQ53,PASHEET!AY53),"")</f>
        <v/>
      </c>
      <c r="AX61" s="177" t="str">
        <f>IF(A61&gt;0,SUM(MARKS!K53,MARKS!AQ53),"")</f>
        <v/>
      </c>
      <c r="AY61" s="177" t="str">
        <f>IF(A61&gt;0,SUM(MARKS!S53,MARKS!AY53),"")</f>
        <v/>
      </c>
      <c r="AZ61" s="177" t="str">
        <f>IF(A61&gt;0,SUM(MARKS!AA53,MARKS!BG53),"")</f>
        <v/>
      </c>
      <c r="BA61" s="177" t="str">
        <f>IF(A61&gt;0,SUM(MARKS!AI53,MARKS!BO53),"")</f>
        <v/>
      </c>
      <c r="BB61" s="178"/>
      <c r="BC61" s="177" t="str">
        <f t="shared" si="10"/>
        <v/>
      </c>
      <c r="BD61" s="177" t="str">
        <f t="shared" si="11"/>
        <v/>
      </c>
      <c r="BE61" s="177" t="str">
        <f t="shared" si="12"/>
        <v/>
      </c>
      <c r="BF61" s="47" t="str">
        <f t="shared" si="13"/>
        <v/>
      </c>
      <c r="BG61" s="70" t="str">
        <f t="shared" si="14"/>
        <v/>
      </c>
      <c r="BH61" s="177" t="str">
        <f t="shared" si="15"/>
        <v/>
      </c>
      <c r="BI61" s="47" t="str">
        <f>IF(A61&gt;0,FLN!I53,"")</f>
        <v/>
      </c>
      <c r="BJ61" s="47" t="str">
        <f>IF(A61&gt;0,FLN!J53,"")</f>
        <v/>
      </c>
      <c r="BK61" s="47" t="str">
        <f>IF(A61&gt;0,FLN!K53,"")</f>
        <v/>
      </c>
      <c r="BL61" s="47" t="str">
        <f t="shared" si="16"/>
        <v/>
      </c>
      <c r="BM61" s="130" t="str">
        <f>IF(BF61="","",IFERROR(RANK(BF61,$BF$12:$BF$111,0)+COUNTIFS($BF$12:BF61,BF61)-1,0))</f>
        <v/>
      </c>
      <c r="BN61" s="130" t="str">
        <f t="shared" si="17"/>
        <v/>
      </c>
    </row>
    <row r="62" s="98" customFormat="1" ht="27" customHeight="1" spans="1:66">
      <c r="A62" s="47">
        <f>IF(A61=0,0,IF(A61&lt;ENTRY!$D$24,A61+1,0))</f>
        <v>0</v>
      </c>
      <c r="B62" s="47" t="str">
        <f>IF(A62&gt;0,STUDENT!F52,"")</f>
        <v/>
      </c>
      <c r="C62" s="176" t="str">
        <f>IF(A62&gt;0,UPPER(STUDENT!E52),"")</f>
        <v/>
      </c>
      <c r="D62" s="176" t="str">
        <f>IF(A62&gt;0,UPPER(STUDENT!H52),"")</f>
        <v/>
      </c>
      <c r="E62" s="47" t="str">
        <f>IF(A62&gt;0,UPPER(STUDENT!BP52),"")</f>
        <v/>
      </c>
      <c r="F62" s="47" t="str">
        <f>IF(A62&gt;0,UPPER(STUDENT!BO52),"")</f>
        <v/>
      </c>
      <c r="G62" s="47" t="str">
        <f>IF(A62&gt;0,UPPER(STUDENT!Q52),"")</f>
        <v/>
      </c>
      <c r="H62" s="69" t="str">
        <f>IF(A62&gt;0,PASHEET!CI54/PASHEET!CJ54*100,"")</f>
        <v/>
      </c>
      <c r="I62" s="177" t="str">
        <f>IF(A62&gt;0,SUM(PASHEET!AL54,PASHEET!AT54),"")</f>
        <v/>
      </c>
      <c r="J62" s="177" t="str">
        <f>IF(A62&gt;0,SUM(MARKS!F54,MARKS!AL54),"")</f>
        <v/>
      </c>
      <c r="K62" s="177" t="str">
        <f>IF(A62&gt;0,SUM(MARKS!N54,MARKS!AT54),"")</f>
        <v/>
      </c>
      <c r="L62" s="177" t="str">
        <f>IF(A62&gt;0,SUM(MARKS!V54,MARKS!BB54),"")</f>
        <v/>
      </c>
      <c r="M62" s="177" t="str">
        <f>IF(A62&gt;0,SUM(MARKS!AD54,MARKS!BJ54),"")</f>
        <v/>
      </c>
      <c r="N62" s="178"/>
      <c r="O62" s="177" t="str">
        <f t="shared" si="0"/>
        <v/>
      </c>
      <c r="P62" s="177" t="str">
        <f t="shared" si="1"/>
        <v/>
      </c>
      <c r="Q62" s="177" t="str">
        <f>IF(A62&gt;0,SUM(PASHEET!AM54,PASHEET!AU54),"")</f>
        <v/>
      </c>
      <c r="R62" s="177" t="str">
        <f>IF(A62&gt;0,SUM(MARKS!G54,MARKS!AM54),"")</f>
        <v/>
      </c>
      <c r="S62" s="177" t="str">
        <f>IF(A62&gt;0,SUM(MARKS!O54,MARKS!AU54),"")</f>
        <v/>
      </c>
      <c r="T62" s="177" t="str">
        <f>IF(A62&gt;0,SUM(MARKS!W54,MARKS!BC54),"")</f>
        <v/>
      </c>
      <c r="U62" s="177" t="str">
        <f>IF(A62&gt;0,SUM(MARKS!AE54,MARKS!BK54),"")</f>
        <v/>
      </c>
      <c r="V62" s="178"/>
      <c r="W62" s="177" t="str">
        <f t="shared" si="2"/>
        <v/>
      </c>
      <c r="X62" s="177" t="str">
        <f t="shared" si="3"/>
        <v/>
      </c>
      <c r="Y62" s="177" t="str">
        <f>IF(A62&gt;0,SUM(PASHEET!AN54,PASHEET!AV54),"")</f>
        <v/>
      </c>
      <c r="Z62" s="177" t="str">
        <f>IF(A62&gt;0,SUM(MARKS!H54,MARKS!AN54),"")</f>
        <v/>
      </c>
      <c r="AA62" s="177" t="str">
        <f>IF(A62&gt;0,SUM(MARKS!P54,MARKS!AV54),"")</f>
        <v/>
      </c>
      <c r="AB62" s="177" t="str">
        <f>IF(A62&gt;0,SUM(MARKS!X54,MARKS!BD54),"")</f>
        <v/>
      </c>
      <c r="AC62" s="177" t="str">
        <f>IF(A62&gt;0,SUM(MARKS!AF54,MARKS!BL54),"")</f>
        <v/>
      </c>
      <c r="AD62" s="178"/>
      <c r="AE62" s="177" t="str">
        <f t="shared" si="4"/>
        <v/>
      </c>
      <c r="AF62" s="177" t="str">
        <f t="shared" si="5"/>
        <v/>
      </c>
      <c r="AG62" s="177" t="str">
        <f>IF(A62&gt;0,SUM(PASHEET!AO54,PASHEET!AW54),"")</f>
        <v/>
      </c>
      <c r="AH62" s="177" t="str">
        <f>IF(A62&gt;0,SUM(MARKS!I54,MARKS!AO54),"")</f>
        <v/>
      </c>
      <c r="AI62" s="177" t="str">
        <f>IF(A62&gt;0,SUM(MARKS!Q54,MARKS!AW54),"")</f>
        <v/>
      </c>
      <c r="AJ62" s="177" t="str">
        <f>IF(A62&gt;0,SUM(MARKS!Y54,MARKS!BE54),"")</f>
        <v/>
      </c>
      <c r="AK62" s="177" t="str">
        <f>IF(A62&gt;0,SUM(MARKS!AG54,MARKS!BM54),"")</f>
        <v/>
      </c>
      <c r="AL62" s="178"/>
      <c r="AM62" s="177" t="str">
        <f t="shared" si="6"/>
        <v/>
      </c>
      <c r="AN62" s="177" t="str">
        <f t="shared" si="7"/>
        <v/>
      </c>
      <c r="AO62" s="177" t="str">
        <f>IF(A62&gt;0,SUM(PASHEET!AP54,PASHEET!AX54),"")</f>
        <v/>
      </c>
      <c r="AP62" s="177" t="str">
        <f>IF(A62&gt;0,SUM(MARKS!J54,MARKS!AP54),"")</f>
        <v/>
      </c>
      <c r="AQ62" s="177" t="str">
        <f>IF(A62&gt;0,SUM(MARKS!R54,MARKS!AX54),"")</f>
        <v/>
      </c>
      <c r="AR62" s="177" t="str">
        <f>IF(A62&gt;0,SUM(MARKS!Z54,MARKS!BF54),"")</f>
        <v/>
      </c>
      <c r="AS62" s="177" t="str">
        <f>IF(A62&gt;0,SUM(MARKS!AH54,MARKS!BN54),"")</f>
        <v/>
      </c>
      <c r="AT62" s="178"/>
      <c r="AU62" s="177" t="str">
        <f t="shared" si="8"/>
        <v/>
      </c>
      <c r="AV62" s="177" t="str">
        <f t="shared" si="9"/>
        <v/>
      </c>
      <c r="AW62" s="177" t="str">
        <f>IF(A62&gt;0,SUM(PASHEET!AQ54,PASHEET!AY54),"")</f>
        <v/>
      </c>
      <c r="AX62" s="177" t="str">
        <f>IF(A62&gt;0,SUM(MARKS!K54,MARKS!AQ54),"")</f>
        <v/>
      </c>
      <c r="AY62" s="177" t="str">
        <f>IF(A62&gt;0,SUM(MARKS!S54,MARKS!AY54),"")</f>
        <v/>
      </c>
      <c r="AZ62" s="177" t="str">
        <f>IF(A62&gt;0,SUM(MARKS!AA54,MARKS!BG54),"")</f>
        <v/>
      </c>
      <c r="BA62" s="177" t="str">
        <f>IF(A62&gt;0,SUM(MARKS!AI54,MARKS!BO54),"")</f>
        <v/>
      </c>
      <c r="BB62" s="178"/>
      <c r="BC62" s="177" t="str">
        <f t="shared" si="10"/>
        <v/>
      </c>
      <c r="BD62" s="177" t="str">
        <f t="shared" si="11"/>
        <v/>
      </c>
      <c r="BE62" s="177" t="str">
        <f t="shared" si="12"/>
        <v/>
      </c>
      <c r="BF62" s="47" t="str">
        <f t="shared" si="13"/>
        <v/>
      </c>
      <c r="BG62" s="70" t="str">
        <f t="shared" si="14"/>
        <v/>
      </c>
      <c r="BH62" s="177" t="str">
        <f t="shared" si="15"/>
        <v/>
      </c>
      <c r="BI62" s="47" t="str">
        <f>IF(A62&gt;0,FLN!I54,"")</f>
        <v/>
      </c>
      <c r="BJ62" s="47" t="str">
        <f>IF(A62&gt;0,FLN!J54,"")</f>
        <v/>
      </c>
      <c r="BK62" s="47" t="str">
        <f>IF(A62&gt;0,FLN!K54,"")</f>
        <v/>
      </c>
      <c r="BL62" s="47" t="str">
        <f t="shared" si="16"/>
        <v/>
      </c>
      <c r="BM62" s="130" t="str">
        <f>IF(BF62="","",IFERROR(RANK(BF62,$BF$12:$BF$111,0)+COUNTIFS($BF$12:BF62,BF62)-1,0))</f>
        <v/>
      </c>
      <c r="BN62" s="130" t="str">
        <f t="shared" si="17"/>
        <v/>
      </c>
    </row>
    <row r="63" s="98" customFormat="1" ht="27" customHeight="1" spans="1:66">
      <c r="A63" s="47">
        <f>IF(A62=0,0,IF(A62&lt;ENTRY!$D$24,A62+1,0))</f>
        <v>0</v>
      </c>
      <c r="B63" s="47" t="str">
        <f>IF(A63&gt;0,STUDENT!F53,"")</f>
        <v/>
      </c>
      <c r="C63" s="176" t="str">
        <f>IF(A63&gt;0,UPPER(STUDENT!E53),"")</f>
        <v/>
      </c>
      <c r="D63" s="176" t="str">
        <f>IF(A63&gt;0,UPPER(STUDENT!H53),"")</f>
        <v/>
      </c>
      <c r="E63" s="47" t="str">
        <f>IF(A63&gt;0,UPPER(STUDENT!BP53),"")</f>
        <v/>
      </c>
      <c r="F63" s="47" t="str">
        <f>IF(A63&gt;0,UPPER(STUDENT!BO53),"")</f>
        <v/>
      </c>
      <c r="G63" s="47" t="str">
        <f>IF(A63&gt;0,UPPER(STUDENT!Q53),"")</f>
        <v/>
      </c>
      <c r="H63" s="69" t="str">
        <f>IF(A63&gt;0,PASHEET!CI55/PASHEET!CJ55*100,"")</f>
        <v/>
      </c>
      <c r="I63" s="177" t="str">
        <f>IF(A63&gt;0,SUM(PASHEET!AL55,PASHEET!AT55),"")</f>
        <v/>
      </c>
      <c r="J63" s="177" t="str">
        <f>IF(A63&gt;0,SUM(MARKS!F55,MARKS!AL55),"")</f>
        <v/>
      </c>
      <c r="K63" s="177" t="str">
        <f>IF(A63&gt;0,SUM(MARKS!N55,MARKS!AT55),"")</f>
        <v/>
      </c>
      <c r="L63" s="177" t="str">
        <f>IF(A63&gt;0,SUM(MARKS!V55,MARKS!BB55),"")</f>
        <v/>
      </c>
      <c r="M63" s="177" t="str">
        <f>IF(A63&gt;0,SUM(MARKS!AD55,MARKS!BJ55),"")</f>
        <v/>
      </c>
      <c r="N63" s="178"/>
      <c r="O63" s="177" t="str">
        <f t="shared" si="0"/>
        <v/>
      </c>
      <c r="P63" s="177" t="str">
        <f t="shared" si="1"/>
        <v/>
      </c>
      <c r="Q63" s="177" t="str">
        <f>IF(A63&gt;0,SUM(PASHEET!AM55,PASHEET!AU55),"")</f>
        <v/>
      </c>
      <c r="R63" s="177" t="str">
        <f>IF(A63&gt;0,SUM(MARKS!G55,MARKS!AM55),"")</f>
        <v/>
      </c>
      <c r="S63" s="177" t="str">
        <f>IF(A63&gt;0,SUM(MARKS!O55,MARKS!AU55),"")</f>
        <v/>
      </c>
      <c r="T63" s="177" t="str">
        <f>IF(A63&gt;0,SUM(MARKS!W55,MARKS!BC55),"")</f>
        <v/>
      </c>
      <c r="U63" s="177" t="str">
        <f>IF(A63&gt;0,SUM(MARKS!AE55,MARKS!BK55),"")</f>
        <v/>
      </c>
      <c r="V63" s="178"/>
      <c r="W63" s="177" t="str">
        <f t="shared" si="2"/>
        <v/>
      </c>
      <c r="X63" s="177" t="str">
        <f t="shared" si="3"/>
        <v/>
      </c>
      <c r="Y63" s="177" t="str">
        <f>IF(A63&gt;0,SUM(PASHEET!AN55,PASHEET!AV55),"")</f>
        <v/>
      </c>
      <c r="Z63" s="177" t="str">
        <f>IF(A63&gt;0,SUM(MARKS!H55,MARKS!AN55),"")</f>
        <v/>
      </c>
      <c r="AA63" s="177" t="str">
        <f>IF(A63&gt;0,SUM(MARKS!P55,MARKS!AV55),"")</f>
        <v/>
      </c>
      <c r="AB63" s="177" t="str">
        <f>IF(A63&gt;0,SUM(MARKS!X55,MARKS!BD55),"")</f>
        <v/>
      </c>
      <c r="AC63" s="177" t="str">
        <f>IF(A63&gt;0,SUM(MARKS!AF55,MARKS!BL55),"")</f>
        <v/>
      </c>
      <c r="AD63" s="178"/>
      <c r="AE63" s="177" t="str">
        <f t="shared" si="4"/>
        <v/>
      </c>
      <c r="AF63" s="177" t="str">
        <f t="shared" si="5"/>
        <v/>
      </c>
      <c r="AG63" s="177" t="str">
        <f>IF(A63&gt;0,SUM(PASHEET!AO55,PASHEET!AW55),"")</f>
        <v/>
      </c>
      <c r="AH63" s="177" t="str">
        <f>IF(A63&gt;0,SUM(MARKS!I55,MARKS!AO55),"")</f>
        <v/>
      </c>
      <c r="AI63" s="177" t="str">
        <f>IF(A63&gt;0,SUM(MARKS!Q55,MARKS!AW55),"")</f>
        <v/>
      </c>
      <c r="AJ63" s="177" t="str">
        <f>IF(A63&gt;0,SUM(MARKS!Y55,MARKS!BE55),"")</f>
        <v/>
      </c>
      <c r="AK63" s="177" t="str">
        <f>IF(A63&gt;0,SUM(MARKS!AG55,MARKS!BM55),"")</f>
        <v/>
      </c>
      <c r="AL63" s="178"/>
      <c r="AM63" s="177" t="str">
        <f t="shared" si="6"/>
        <v/>
      </c>
      <c r="AN63" s="177" t="str">
        <f t="shared" si="7"/>
        <v/>
      </c>
      <c r="AO63" s="177" t="str">
        <f>IF(A63&gt;0,SUM(PASHEET!AP55,PASHEET!AX55),"")</f>
        <v/>
      </c>
      <c r="AP63" s="177" t="str">
        <f>IF(A63&gt;0,SUM(MARKS!J55,MARKS!AP55),"")</f>
        <v/>
      </c>
      <c r="AQ63" s="177" t="str">
        <f>IF(A63&gt;0,SUM(MARKS!R55,MARKS!AX55),"")</f>
        <v/>
      </c>
      <c r="AR63" s="177" t="str">
        <f>IF(A63&gt;0,SUM(MARKS!Z55,MARKS!BF55),"")</f>
        <v/>
      </c>
      <c r="AS63" s="177" t="str">
        <f>IF(A63&gt;0,SUM(MARKS!AH55,MARKS!BN55),"")</f>
        <v/>
      </c>
      <c r="AT63" s="178"/>
      <c r="AU63" s="177" t="str">
        <f t="shared" si="8"/>
        <v/>
      </c>
      <c r="AV63" s="177" t="str">
        <f t="shared" si="9"/>
        <v/>
      </c>
      <c r="AW63" s="177" t="str">
        <f>IF(A63&gt;0,SUM(PASHEET!AQ55,PASHEET!AY55),"")</f>
        <v/>
      </c>
      <c r="AX63" s="177" t="str">
        <f>IF(A63&gt;0,SUM(MARKS!K55,MARKS!AQ55),"")</f>
        <v/>
      </c>
      <c r="AY63" s="177" t="str">
        <f>IF(A63&gt;0,SUM(MARKS!S55,MARKS!AY55),"")</f>
        <v/>
      </c>
      <c r="AZ63" s="177" t="str">
        <f>IF(A63&gt;0,SUM(MARKS!AA55,MARKS!BG55),"")</f>
        <v/>
      </c>
      <c r="BA63" s="177" t="str">
        <f>IF(A63&gt;0,SUM(MARKS!AI55,MARKS!BO55),"")</f>
        <v/>
      </c>
      <c r="BB63" s="178"/>
      <c r="BC63" s="177" t="str">
        <f t="shared" si="10"/>
        <v/>
      </c>
      <c r="BD63" s="177" t="str">
        <f t="shared" si="11"/>
        <v/>
      </c>
      <c r="BE63" s="177" t="str">
        <f t="shared" si="12"/>
        <v/>
      </c>
      <c r="BF63" s="47" t="str">
        <f t="shared" si="13"/>
        <v/>
      </c>
      <c r="BG63" s="70" t="str">
        <f t="shared" si="14"/>
        <v/>
      </c>
      <c r="BH63" s="177" t="str">
        <f t="shared" si="15"/>
        <v/>
      </c>
      <c r="BI63" s="47" t="str">
        <f>IF(A63&gt;0,FLN!I55,"")</f>
        <v/>
      </c>
      <c r="BJ63" s="47" t="str">
        <f>IF(A63&gt;0,FLN!J55,"")</f>
        <v/>
      </c>
      <c r="BK63" s="47" t="str">
        <f>IF(A63&gt;0,FLN!K55,"")</f>
        <v/>
      </c>
      <c r="BL63" s="47" t="str">
        <f t="shared" si="16"/>
        <v/>
      </c>
      <c r="BM63" s="130" t="str">
        <f>IF(BF63="","",IFERROR(RANK(BF63,$BF$12:$BF$111,0)+COUNTIFS($BF$12:BF63,BF63)-1,0))</f>
        <v/>
      </c>
      <c r="BN63" s="130" t="str">
        <f t="shared" si="17"/>
        <v/>
      </c>
    </row>
    <row r="64" s="98" customFormat="1" ht="27" customHeight="1" spans="1:66">
      <c r="A64" s="47">
        <f>IF(A63=0,0,IF(A63&lt;ENTRY!$D$24,A63+1,0))</f>
        <v>0</v>
      </c>
      <c r="B64" s="47" t="str">
        <f>IF(A64&gt;0,STUDENT!F54,"")</f>
        <v/>
      </c>
      <c r="C64" s="176" t="str">
        <f>IF(A64&gt;0,UPPER(STUDENT!E54),"")</f>
        <v/>
      </c>
      <c r="D64" s="176" t="str">
        <f>IF(A64&gt;0,UPPER(STUDENT!H54),"")</f>
        <v/>
      </c>
      <c r="E64" s="47" t="str">
        <f>IF(A64&gt;0,UPPER(STUDENT!BP54),"")</f>
        <v/>
      </c>
      <c r="F64" s="47" t="str">
        <f>IF(A64&gt;0,UPPER(STUDENT!BO54),"")</f>
        <v/>
      </c>
      <c r="G64" s="47" t="str">
        <f>IF(A64&gt;0,UPPER(STUDENT!Q54),"")</f>
        <v/>
      </c>
      <c r="H64" s="69" t="str">
        <f>IF(A64&gt;0,PASHEET!CI56/PASHEET!CJ56*100,"")</f>
        <v/>
      </c>
      <c r="I64" s="177" t="str">
        <f>IF(A64&gt;0,SUM(PASHEET!AL56,PASHEET!AT56),"")</f>
        <v/>
      </c>
      <c r="J64" s="177" t="str">
        <f>IF(A64&gt;0,SUM(MARKS!F56,MARKS!AL56),"")</f>
        <v/>
      </c>
      <c r="K64" s="177" t="str">
        <f>IF(A64&gt;0,SUM(MARKS!N56,MARKS!AT56),"")</f>
        <v/>
      </c>
      <c r="L64" s="177" t="str">
        <f>IF(A64&gt;0,SUM(MARKS!V56,MARKS!BB56),"")</f>
        <v/>
      </c>
      <c r="M64" s="177" t="str">
        <f>IF(A64&gt;0,SUM(MARKS!AD56,MARKS!BJ56),"")</f>
        <v/>
      </c>
      <c r="N64" s="178"/>
      <c r="O64" s="177" t="str">
        <f t="shared" si="0"/>
        <v/>
      </c>
      <c r="P64" s="177" t="str">
        <f t="shared" si="1"/>
        <v/>
      </c>
      <c r="Q64" s="177" t="str">
        <f>IF(A64&gt;0,SUM(PASHEET!AM56,PASHEET!AU56),"")</f>
        <v/>
      </c>
      <c r="R64" s="177" t="str">
        <f>IF(A64&gt;0,SUM(MARKS!G56,MARKS!AM56),"")</f>
        <v/>
      </c>
      <c r="S64" s="177" t="str">
        <f>IF(A64&gt;0,SUM(MARKS!O56,MARKS!AU56),"")</f>
        <v/>
      </c>
      <c r="T64" s="177" t="str">
        <f>IF(A64&gt;0,SUM(MARKS!W56,MARKS!BC56),"")</f>
        <v/>
      </c>
      <c r="U64" s="177" t="str">
        <f>IF(A64&gt;0,SUM(MARKS!AE56,MARKS!BK56),"")</f>
        <v/>
      </c>
      <c r="V64" s="178"/>
      <c r="W64" s="177" t="str">
        <f t="shared" si="2"/>
        <v/>
      </c>
      <c r="X64" s="177" t="str">
        <f t="shared" si="3"/>
        <v/>
      </c>
      <c r="Y64" s="177" t="str">
        <f>IF(A64&gt;0,SUM(PASHEET!AN56,PASHEET!AV56),"")</f>
        <v/>
      </c>
      <c r="Z64" s="177" t="str">
        <f>IF(A64&gt;0,SUM(MARKS!H56,MARKS!AN56),"")</f>
        <v/>
      </c>
      <c r="AA64" s="177" t="str">
        <f>IF(A64&gt;0,SUM(MARKS!P56,MARKS!AV56),"")</f>
        <v/>
      </c>
      <c r="AB64" s="177" t="str">
        <f>IF(A64&gt;0,SUM(MARKS!X56,MARKS!BD56),"")</f>
        <v/>
      </c>
      <c r="AC64" s="177" t="str">
        <f>IF(A64&gt;0,SUM(MARKS!AF56,MARKS!BL56),"")</f>
        <v/>
      </c>
      <c r="AD64" s="178"/>
      <c r="AE64" s="177" t="str">
        <f t="shared" si="4"/>
        <v/>
      </c>
      <c r="AF64" s="177" t="str">
        <f t="shared" si="5"/>
        <v/>
      </c>
      <c r="AG64" s="177" t="str">
        <f>IF(A64&gt;0,SUM(PASHEET!AO56,PASHEET!AW56),"")</f>
        <v/>
      </c>
      <c r="AH64" s="177" t="str">
        <f>IF(A64&gt;0,SUM(MARKS!I56,MARKS!AO56),"")</f>
        <v/>
      </c>
      <c r="AI64" s="177" t="str">
        <f>IF(A64&gt;0,SUM(MARKS!Q56,MARKS!AW56),"")</f>
        <v/>
      </c>
      <c r="AJ64" s="177" t="str">
        <f>IF(A64&gt;0,SUM(MARKS!Y56,MARKS!BE56),"")</f>
        <v/>
      </c>
      <c r="AK64" s="177" t="str">
        <f>IF(A64&gt;0,SUM(MARKS!AG56,MARKS!BM56),"")</f>
        <v/>
      </c>
      <c r="AL64" s="178"/>
      <c r="AM64" s="177" t="str">
        <f t="shared" si="6"/>
        <v/>
      </c>
      <c r="AN64" s="177" t="str">
        <f t="shared" si="7"/>
        <v/>
      </c>
      <c r="AO64" s="177" t="str">
        <f>IF(A64&gt;0,SUM(PASHEET!AP56,PASHEET!AX56),"")</f>
        <v/>
      </c>
      <c r="AP64" s="177" t="str">
        <f>IF(A64&gt;0,SUM(MARKS!J56,MARKS!AP56),"")</f>
        <v/>
      </c>
      <c r="AQ64" s="177" t="str">
        <f>IF(A64&gt;0,SUM(MARKS!R56,MARKS!AX56),"")</f>
        <v/>
      </c>
      <c r="AR64" s="177" t="str">
        <f>IF(A64&gt;0,SUM(MARKS!Z56,MARKS!BF56),"")</f>
        <v/>
      </c>
      <c r="AS64" s="177" t="str">
        <f>IF(A64&gt;0,SUM(MARKS!AH56,MARKS!BN56),"")</f>
        <v/>
      </c>
      <c r="AT64" s="178"/>
      <c r="AU64" s="177" t="str">
        <f t="shared" si="8"/>
        <v/>
      </c>
      <c r="AV64" s="177" t="str">
        <f t="shared" si="9"/>
        <v/>
      </c>
      <c r="AW64" s="177" t="str">
        <f>IF(A64&gt;0,SUM(PASHEET!AQ56,PASHEET!AY56),"")</f>
        <v/>
      </c>
      <c r="AX64" s="177" t="str">
        <f>IF(A64&gt;0,SUM(MARKS!K56,MARKS!AQ56),"")</f>
        <v/>
      </c>
      <c r="AY64" s="177" t="str">
        <f>IF(A64&gt;0,SUM(MARKS!S56,MARKS!AY56),"")</f>
        <v/>
      </c>
      <c r="AZ64" s="177" t="str">
        <f>IF(A64&gt;0,SUM(MARKS!AA56,MARKS!BG56),"")</f>
        <v/>
      </c>
      <c r="BA64" s="177" t="str">
        <f>IF(A64&gt;0,SUM(MARKS!AI56,MARKS!BO56),"")</f>
        <v/>
      </c>
      <c r="BB64" s="178"/>
      <c r="BC64" s="177" t="str">
        <f t="shared" si="10"/>
        <v/>
      </c>
      <c r="BD64" s="177" t="str">
        <f t="shared" si="11"/>
        <v/>
      </c>
      <c r="BE64" s="177" t="str">
        <f t="shared" si="12"/>
        <v/>
      </c>
      <c r="BF64" s="47" t="str">
        <f t="shared" si="13"/>
        <v/>
      </c>
      <c r="BG64" s="70" t="str">
        <f t="shared" si="14"/>
        <v/>
      </c>
      <c r="BH64" s="177" t="str">
        <f t="shared" si="15"/>
        <v/>
      </c>
      <c r="BI64" s="47" t="str">
        <f>IF(A64&gt;0,FLN!I56,"")</f>
        <v/>
      </c>
      <c r="BJ64" s="47" t="str">
        <f>IF(A64&gt;0,FLN!J56,"")</f>
        <v/>
      </c>
      <c r="BK64" s="47" t="str">
        <f>IF(A64&gt;0,FLN!K56,"")</f>
        <v/>
      </c>
      <c r="BL64" s="47" t="str">
        <f t="shared" si="16"/>
        <v/>
      </c>
      <c r="BM64" s="130" t="str">
        <f>IF(BF64="","",IFERROR(RANK(BF64,$BF$12:$BF$111,0)+COUNTIFS($BF$12:BF64,BF64)-1,0))</f>
        <v/>
      </c>
      <c r="BN64" s="130" t="str">
        <f t="shared" si="17"/>
        <v/>
      </c>
    </row>
    <row r="65" s="98" customFormat="1" ht="27" customHeight="1" spans="1:66">
      <c r="A65" s="47">
        <f>IF(A64=0,0,IF(A64&lt;ENTRY!$D$24,A64+1,0))</f>
        <v>0</v>
      </c>
      <c r="B65" s="47" t="str">
        <f>IF(A65&gt;0,STUDENT!F55,"")</f>
        <v/>
      </c>
      <c r="C65" s="176" t="str">
        <f>IF(A65&gt;0,UPPER(STUDENT!E55),"")</f>
        <v/>
      </c>
      <c r="D65" s="176" t="str">
        <f>IF(A65&gt;0,UPPER(STUDENT!H55),"")</f>
        <v/>
      </c>
      <c r="E65" s="47" t="str">
        <f>IF(A65&gt;0,UPPER(STUDENT!BP55),"")</f>
        <v/>
      </c>
      <c r="F65" s="47" t="str">
        <f>IF(A65&gt;0,UPPER(STUDENT!BO55),"")</f>
        <v/>
      </c>
      <c r="G65" s="47" t="str">
        <f>IF(A65&gt;0,UPPER(STUDENT!Q55),"")</f>
        <v/>
      </c>
      <c r="H65" s="69" t="str">
        <f>IF(A65&gt;0,PASHEET!CI57/PASHEET!CJ57*100,"")</f>
        <v/>
      </c>
      <c r="I65" s="177" t="str">
        <f>IF(A65&gt;0,SUM(PASHEET!AL57,PASHEET!AT57),"")</f>
        <v/>
      </c>
      <c r="J65" s="177" t="str">
        <f>IF(A65&gt;0,SUM(MARKS!F57,MARKS!AL57),"")</f>
        <v/>
      </c>
      <c r="K65" s="177" t="str">
        <f>IF(A65&gt;0,SUM(MARKS!N57,MARKS!AT57),"")</f>
        <v/>
      </c>
      <c r="L65" s="177" t="str">
        <f>IF(A65&gt;0,SUM(MARKS!V57,MARKS!BB57),"")</f>
        <v/>
      </c>
      <c r="M65" s="177" t="str">
        <f>IF(A65&gt;0,SUM(MARKS!AD57,MARKS!BJ57),"")</f>
        <v/>
      </c>
      <c r="N65" s="178"/>
      <c r="O65" s="177" t="str">
        <f t="shared" si="0"/>
        <v/>
      </c>
      <c r="P65" s="177" t="str">
        <f t="shared" si="1"/>
        <v/>
      </c>
      <c r="Q65" s="177" t="str">
        <f>IF(A65&gt;0,SUM(PASHEET!AM57,PASHEET!AU57),"")</f>
        <v/>
      </c>
      <c r="R65" s="177" t="str">
        <f>IF(A65&gt;0,SUM(MARKS!G57,MARKS!AM57),"")</f>
        <v/>
      </c>
      <c r="S65" s="177" t="str">
        <f>IF(A65&gt;0,SUM(MARKS!O57,MARKS!AU57),"")</f>
        <v/>
      </c>
      <c r="T65" s="177" t="str">
        <f>IF(A65&gt;0,SUM(MARKS!W57,MARKS!BC57),"")</f>
        <v/>
      </c>
      <c r="U65" s="177" t="str">
        <f>IF(A65&gt;0,SUM(MARKS!AE57,MARKS!BK57),"")</f>
        <v/>
      </c>
      <c r="V65" s="178"/>
      <c r="W65" s="177" t="str">
        <f t="shared" si="2"/>
        <v/>
      </c>
      <c r="X65" s="177" t="str">
        <f t="shared" si="3"/>
        <v/>
      </c>
      <c r="Y65" s="177" t="str">
        <f>IF(A65&gt;0,SUM(PASHEET!AN57,PASHEET!AV57),"")</f>
        <v/>
      </c>
      <c r="Z65" s="177" t="str">
        <f>IF(A65&gt;0,SUM(MARKS!H57,MARKS!AN57),"")</f>
        <v/>
      </c>
      <c r="AA65" s="177" t="str">
        <f>IF(A65&gt;0,SUM(MARKS!P57,MARKS!AV57),"")</f>
        <v/>
      </c>
      <c r="AB65" s="177" t="str">
        <f>IF(A65&gt;0,SUM(MARKS!X57,MARKS!BD57),"")</f>
        <v/>
      </c>
      <c r="AC65" s="177" t="str">
        <f>IF(A65&gt;0,SUM(MARKS!AF57,MARKS!BL57),"")</f>
        <v/>
      </c>
      <c r="AD65" s="178"/>
      <c r="AE65" s="177" t="str">
        <f t="shared" si="4"/>
        <v/>
      </c>
      <c r="AF65" s="177" t="str">
        <f t="shared" si="5"/>
        <v/>
      </c>
      <c r="AG65" s="177" t="str">
        <f>IF(A65&gt;0,SUM(PASHEET!AO57,PASHEET!AW57),"")</f>
        <v/>
      </c>
      <c r="AH65" s="177" t="str">
        <f>IF(A65&gt;0,SUM(MARKS!I57,MARKS!AO57),"")</f>
        <v/>
      </c>
      <c r="AI65" s="177" t="str">
        <f>IF(A65&gt;0,SUM(MARKS!Q57,MARKS!AW57),"")</f>
        <v/>
      </c>
      <c r="AJ65" s="177" t="str">
        <f>IF(A65&gt;0,SUM(MARKS!Y57,MARKS!BE57),"")</f>
        <v/>
      </c>
      <c r="AK65" s="177" t="str">
        <f>IF(A65&gt;0,SUM(MARKS!AG57,MARKS!BM57),"")</f>
        <v/>
      </c>
      <c r="AL65" s="178"/>
      <c r="AM65" s="177" t="str">
        <f t="shared" si="6"/>
        <v/>
      </c>
      <c r="AN65" s="177" t="str">
        <f t="shared" si="7"/>
        <v/>
      </c>
      <c r="AO65" s="177" t="str">
        <f>IF(A65&gt;0,SUM(PASHEET!AP57,PASHEET!AX57),"")</f>
        <v/>
      </c>
      <c r="AP65" s="177" t="str">
        <f>IF(A65&gt;0,SUM(MARKS!J57,MARKS!AP57),"")</f>
        <v/>
      </c>
      <c r="AQ65" s="177" t="str">
        <f>IF(A65&gt;0,SUM(MARKS!R57,MARKS!AX57),"")</f>
        <v/>
      </c>
      <c r="AR65" s="177" t="str">
        <f>IF(A65&gt;0,SUM(MARKS!Z57,MARKS!BF57),"")</f>
        <v/>
      </c>
      <c r="AS65" s="177" t="str">
        <f>IF(A65&gt;0,SUM(MARKS!AH57,MARKS!BN57),"")</f>
        <v/>
      </c>
      <c r="AT65" s="178"/>
      <c r="AU65" s="177" t="str">
        <f t="shared" si="8"/>
        <v/>
      </c>
      <c r="AV65" s="177" t="str">
        <f t="shared" si="9"/>
        <v/>
      </c>
      <c r="AW65" s="177" t="str">
        <f>IF(A65&gt;0,SUM(PASHEET!AQ57,PASHEET!AY57),"")</f>
        <v/>
      </c>
      <c r="AX65" s="177" t="str">
        <f>IF(A65&gt;0,SUM(MARKS!K57,MARKS!AQ57),"")</f>
        <v/>
      </c>
      <c r="AY65" s="177" t="str">
        <f>IF(A65&gt;0,SUM(MARKS!S57,MARKS!AY57),"")</f>
        <v/>
      </c>
      <c r="AZ65" s="177" t="str">
        <f>IF(A65&gt;0,SUM(MARKS!AA57,MARKS!BG57),"")</f>
        <v/>
      </c>
      <c r="BA65" s="177" t="str">
        <f>IF(A65&gt;0,SUM(MARKS!AI57,MARKS!BO57),"")</f>
        <v/>
      </c>
      <c r="BB65" s="178"/>
      <c r="BC65" s="177" t="str">
        <f t="shared" si="10"/>
        <v/>
      </c>
      <c r="BD65" s="177" t="str">
        <f t="shared" si="11"/>
        <v/>
      </c>
      <c r="BE65" s="177" t="str">
        <f t="shared" si="12"/>
        <v/>
      </c>
      <c r="BF65" s="47" t="str">
        <f t="shared" si="13"/>
        <v/>
      </c>
      <c r="BG65" s="70" t="str">
        <f t="shared" si="14"/>
        <v/>
      </c>
      <c r="BH65" s="177" t="str">
        <f t="shared" si="15"/>
        <v/>
      </c>
      <c r="BI65" s="47" t="str">
        <f>IF(A65&gt;0,FLN!I57,"")</f>
        <v/>
      </c>
      <c r="BJ65" s="47" t="str">
        <f>IF(A65&gt;0,FLN!J57,"")</f>
        <v/>
      </c>
      <c r="BK65" s="47" t="str">
        <f>IF(A65&gt;0,FLN!K57,"")</f>
        <v/>
      </c>
      <c r="BL65" s="47" t="str">
        <f t="shared" si="16"/>
        <v/>
      </c>
      <c r="BM65" s="130" t="str">
        <f>IF(BF65="","",IFERROR(RANK(BF65,$BF$12:$BF$111,0)+COUNTIFS($BF$12:BF65,BF65)-1,0))</f>
        <v/>
      </c>
      <c r="BN65" s="130" t="str">
        <f t="shared" si="17"/>
        <v/>
      </c>
    </row>
    <row r="66" s="98" customFormat="1" ht="27" customHeight="1" spans="1:66">
      <c r="A66" s="47">
        <f>IF(A65=0,0,IF(A65&lt;ENTRY!$D$24,A65+1,0))</f>
        <v>0</v>
      </c>
      <c r="B66" s="47" t="str">
        <f>IF(A66&gt;0,STUDENT!F56,"")</f>
        <v/>
      </c>
      <c r="C66" s="176" t="str">
        <f>IF(A66&gt;0,UPPER(STUDENT!E56),"")</f>
        <v/>
      </c>
      <c r="D66" s="176" t="str">
        <f>IF(A66&gt;0,UPPER(STUDENT!H56),"")</f>
        <v/>
      </c>
      <c r="E66" s="47" t="str">
        <f>IF(A66&gt;0,UPPER(STUDENT!BP56),"")</f>
        <v/>
      </c>
      <c r="F66" s="47" t="str">
        <f>IF(A66&gt;0,UPPER(STUDENT!BO56),"")</f>
        <v/>
      </c>
      <c r="G66" s="47" t="str">
        <f>IF(A66&gt;0,UPPER(STUDENT!Q56),"")</f>
        <v/>
      </c>
      <c r="H66" s="69" t="str">
        <f>IF(A66&gt;0,PASHEET!CI58/PASHEET!CJ58*100,"")</f>
        <v/>
      </c>
      <c r="I66" s="177" t="str">
        <f>IF(A66&gt;0,SUM(PASHEET!AL58,PASHEET!AT58),"")</f>
        <v/>
      </c>
      <c r="J66" s="177" t="str">
        <f>IF(A66&gt;0,SUM(MARKS!F58,MARKS!AL58),"")</f>
        <v/>
      </c>
      <c r="K66" s="177" t="str">
        <f>IF(A66&gt;0,SUM(MARKS!N58,MARKS!AT58),"")</f>
        <v/>
      </c>
      <c r="L66" s="177" t="str">
        <f>IF(A66&gt;0,SUM(MARKS!V58,MARKS!BB58),"")</f>
        <v/>
      </c>
      <c r="M66" s="177" t="str">
        <f>IF(A66&gt;0,SUM(MARKS!AD58,MARKS!BJ58),"")</f>
        <v/>
      </c>
      <c r="N66" s="178"/>
      <c r="O66" s="177" t="str">
        <f t="shared" si="0"/>
        <v/>
      </c>
      <c r="P66" s="177" t="str">
        <f t="shared" si="1"/>
        <v/>
      </c>
      <c r="Q66" s="177" t="str">
        <f>IF(A66&gt;0,SUM(PASHEET!AM58,PASHEET!AU58),"")</f>
        <v/>
      </c>
      <c r="R66" s="177" t="str">
        <f>IF(A66&gt;0,SUM(MARKS!G58,MARKS!AM58),"")</f>
        <v/>
      </c>
      <c r="S66" s="177" t="str">
        <f>IF(A66&gt;0,SUM(MARKS!O58,MARKS!AU58),"")</f>
        <v/>
      </c>
      <c r="T66" s="177" t="str">
        <f>IF(A66&gt;0,SUM(MARKS!W58,MARKS!BC58),"")</f>
        <v/>
      </c>
      <c r="U66" s="177" t="str">
        <f>IF(A66&gt;0,SUM(MARKS!AE58,MARKS!BK58),"")</f>
        <v/>
      </c>
      <c r="V66" s="178"/>
      <c r="W66" s="177" t="str">
        <f t="shared" si="2"/>
        <v/>
      </c>
      <c r="X66" s="177" t="str">
        <f t="shared" si="3"/>
        <v/>
      </c>
      <c r="Y66" s="177" t="str">
        <f>IF(A66&gt;0,SUM(PASHEET!AN58,PASHEET!AV58),"")</f>
        <v/>
      </c>
      <c r="Z66" s="177" t="str">
        <f>IF(A66&gt;0,SUM(MARKS!H58,MARKS!AN58),"")</f>
        <v/>
      </c>
      <c r="AA66" s="177" t="str">
        <f>IF(A66&gt;0,SUM(MARKS!P58,MARKS!AV58),"")</f>
        <v/>
      </c>
      <c r="AB66" s="177" t="str">
        <f>IF(A66&gt;0,SUM(MARKS!X58,MARKS!BD58),"")</f>
        <v/>
      </c>
      <c r="AC66" s="177" t="str">
        <f>IF(A66&gt;0,SUM(MARKS!AF58,MARKS!BL58),"")</f>
        <v/>
      </c>
      <c r="AD66" s="178"/>
      <c r="AE66" s="177" t="str">
        <f t="shared" si="4"/>
        <v/>
      </c>
      <c r="AF66" s="177" t="str">
        <f t="shared" si="5"/>
        <v/>
      </c>
      <c r="AG66" s="177" t="str">
        <f>IF(A66&gt;0,SUM(PASHEET!AO58,PASHEET!AW58),"")</f>
        <v/>
      </c>
      <c r="AH66" s="177" t="str">
        <f>IF(A66&gt;0,SUM(MARKS!I58,MARKS!AO58),"")</f>
        <v/>
      </c>
      <c r="AI66" s="177" t="str">
        <f>IF(A66&gt;0,SUM(MARKS!Q58,MARKS!AW58),"")</f>
        <v/>
      </c>
      <c r="AJ66" s="177" t="str">
        <f>IF(A66&gt;0,SUM(MARKS!Y58,MARKS!BE58),"")</f>
        <v/>
      </c>
      <c r="AK66" s="177" t="str">
        <f>IF(A66&gt;0,SUM(MARKS!AG58,MARKS!BM58),"")</f>
        <v/>
      </c>
      <c r="AL66" s="178"/>
      <c r="AM66" s="177" t="str">
        <f t="shared" si="6"/>
        <v/>
      </c>
      <c r="AN66" s="177" t="str">
        <f t="shared" si="7"/>
        <v/>
      </c>
      <c r="AO66" s="177" t="str">
        <f>IF(A66&gt;0,SUM(PASHEET!AP58,PASHEET!AX58),"")</f>
        <v/>
      </c>
      <c r="AP66" s="177" t="str">
        <f>IF(A66&gt;0,SUM(MARKS!J58,MARKS!AP58),"")</f>
        <v/>
      </c>
      <c r="AQ66" s="177" t="str">
        <f>IF(A66&gt;0,SUM(MARKS!R58,MARKS!AX58),"")</f>
        <v/>
      </c>
      <c r="AR66" s="177" t="str">
        <f>IF(A66&gt;0,SUM(MARKS!Z58,MARKS!BF58),"")</f>
        <v/>
      </c>
      <c r="AS66" s="177" t="str">
        <f>IF(A66&gt;0,SUM(MARKS!AH58,MARKS!BN58),"")</f>
        <v/>
      </c>
      <c r="AT66" s="178"/>
      <c r="AU66" s="177" t="str">
        <f t="shared" si="8"/>
        <v/>
      </c>
      <c r="AV66" s="177" t="str">
        <f t="shared" si="9"/>
        <v/>
      </c>
      <c r="AW66" s="177" t="str">
        <f>IF(A66&gt;0,SUM(PASHEET!AQ58,PASHEET!AY58),"")</f>
        <v/>
      </c>
      <c r="AX66" s="177" t="str">
        <f>IF(A66&gt;0,SUM(MARKS!K58,MARKS!AQ58),"")</f>
        <v/>
      </c>
      <c r="AY66" s="177" t="str">
        <f>IF(A66&gt;0,SUM(MARKS!S58,MARKS!AY58),"")</f>
        <v/>
      </c>
      <c r="AZ66" s="177" t="str">
        <f>IF(A66&gt;0,SUM(MARKS!AA58,MARKS!BG58),"")</f>
        <v/>
      </c>
      <c r="BA66" s="177" t="str">
        <f>IF(A66&gt;0,SUM(MARKS!AI58,MARKS!BO58),"")</f>
        <v/>
      </c>
      <c r="BB66" s="178"/>
      <c r="BC66" s="177" t="str">
        <f t="shared" si="10"/>
        <v/>
      </c>
      <c r="BD66" s="177" t="str">
        <f t="shared" si="11"/>
        <v/>
      </c>
      <c r="BE66" s="177" t="str">
        <f t="shared" si="12"/>
        <v/>
      </c>
      <c r="BF66" s="47" t="str">
        <f t="shared" si="13"/>
        <v/>
      </c>
      <c r="BG66" s="70" t="str">
        <f t="shared" si="14"/>
        <v/>
      </c>
      <c r="BH66" s="177" t="str">
        <f t="shared" si="15"/>
        <v/>
      </c>
      <c r="BI66" s="47" t="str">
        <f>IF(A66&gt;0,FLN!I58,"")</f>
        <v/>
      </c>
      <c r="BJ66" s="47" t="str">
        <f>IF(A66&gt;0,FLN!J58,"")</f>
        <v/>
      </c>
      <c r="BK66" s="47" t="str">
        <f>IF(A66&gt;0,FLN!K58,"")</f>
        <v/>
      </c>
      <c r="BL66" s="47" t="str">
        <f t="shared" si="16"/>
        <v/>
      </c>
      <c r="BM66" s="130" t="str">
        <f>IF(BF66="","",IFERROR(RANK(BF66,$BF$12:$BF$111,0)+COUNTIFS($BF$12:BF66,BF66)-1,0))</f>
        <v/>
      </c>
      <c r="BN66" s="130" t="str">
        <f t="shared" si="17"/>
        <v/>
      </c>
    </row>
    <row r="67" s="98" customFormat="1" ht="27" customHeight="1" spans="1:66">
      <c r="A67" s="47">
        <f>IF(A66=0,0,IF(A66&lt;ENTRY!$D$24,A66+1,0))</f>
        <v>0</v>
      </c>
      <c r="B67" s="47" t="str">
        <f>IF(A67&gt;0,STUDENT!F57,"")</f>
        <v/>
      </c>
      <c r="C67" s="176" t="str">
        <f>IF(A67&gt;0,UPPER(STUDENT!E57),"")</f>
        <v/>
      </c>
      <c r="D67" s="176" t="str">
        <f>IF(A67&gt;0,UPPER(STUDENT!H57),"")</f>
        <v/>
      </c>
      <c r="E67" s="47" t="str">
        <f>IF(A67&gt;0,UPPER(STUDENT!BP57),"")</f>
        <v/>
      </c>
      <c r="F67" s="47" t="str">
        <f>IF(A67&gt;0,UPPER(STUDENT!BO57),"")</f>
        <v/>
      </c>
      <c r="G67" s="47" t="str">
        <f>IF(A67&gt;0,UPPER(STUDENT!Q57),"")</f>
        <v/>
      </c>
      <c r="H67" s="69" t="str">
        <f>IF(A67&gt;0,PASHEET!CI59/PASHEET!CJ59*100,"")</f>
        <v/>
      </c>
      <c r="I67" s="177" t="str">
        <f>IF(A67&gt;0,SUM(PASHEET!AL59,PASHEET!AT59),"")</f>
        <v/>
      </c>
      <c r="J67" s="177" t="str">
        <f>IF(A67&gt;0,SUM(MARKS!F59,MARKS!AL59),"")</f>
        <v/>
      </c>
      <c r="K67" s="177" t="str">
        <f>IF(A67&gt;0,SUM(MARKS!N59,MARKS!AT59),"")</f>
        <v/>
      </c>
      <c r="L67" s="177" t="str">
        <f>IF(A67&gt;0,SUM(MARKS!V59,MARKS!BB59),"")</f>
        <v/>
      </c>
      <c r="M67" s="177" t="str">
        <f>IF(A67&gt;0,SUM(MARKS!AD59,MARKS!BJ59),"")</f>
        <v/>
      </c>
      <c r="N67" s="178"/>
      <c r="O67" s="177" t="str">
        <f t="shared" si="0"/>
        <v/>
      </c>
      <c r="P67" s="177" t="str">
        <f t="shared" si="1"/>
        <v/>
      </c>
      <c r="Q67" s="177" t="str">
        <f>IF(A67&gt;0,SUM(PASHEET!AM59,PASHEET!AU59),"")</f>
        <v/>
      </c>
      <c r="R67" s="177" t="str">
        <f>IF(A67&gt;0,SUM(MARKS!G59,MARKS!AM59),"")</f>
        <v/>
      </c>
      <c r="S67" s="177" t="str">
        <f>IF(A67&gt;0,SUM(MARKS!O59,MARKS!AU59),"")</f>
        <v/>
      </c>
      <c r="T67" s="177" t="str">
        <f>IF(A67&gt;0,SUM(MARKS!W59,MARKS!BC59),"")</f>
        <v/>
      </c>
      <c r="U67" s="177" t="str">
        <f>IF(A67&gt;0,SUM(MARKS!AE59,MARKS!BK59),"")</f>
        <v/>
      </c>
      <c r="V67" s="178"/>
      <c r="W67" s="177" t="str">
        <f t="shared" si="2"/>
        <v/>
      </c>
      <c r="X67" s="177" t="str">
        <f t="shared" si="3"/>
        <v/>
      </c>
      <c r="Y67" s="177" t="str">
        <f>IF(A67&gt;0,SUM(PASHEET!AN59,PASHEET!AV59),"")</f>
        <v/>
      </c>
      <c r="Z67" s="177" t="str">
        <f>IF(A67&gt;0,SUM(MARKS!H59,MARKS!AN59),"")</f>
        <v/>
      </c>
      <c r="AA67" s="177" t="str">
        <f>IF(A67&gt;0,SUM(MARKS!P59,MARKS!AV59),"")</f>
        <v/>
      </c>
      <c r="AB67" s="177" t="str">
        <f>IF(A67&gt;0,SUM(MARKS!X59,MARKS!BD59),"")</f>
        <v/>
      </c>
      <c r="AC67" s="177" t="str">
        <f>IF(A67&gt;0,SUM(MARKS!AF59,MARKS!BL59),"")</f>
        <v/>
      </c>
      <c r="AD67" s="178"/>
      <c r="AE67" s="177" t="str">
        <f t="shared" si="4"/>
        <v/>
      </c>
      <c r="AF67" s="177" t="str">
        <f t="shared" si="5"/>
        <v/>
      </c>
      <c r="AG67" s="177" t="str">
        <f>IF(A67&gt;0,SUM(PASHEET!AO59,PASHEET!AW59),"")</f>
        <v/>
      </c>
      <c r="AH67" s="177" t="str">
        <f>IF(A67&gt;0,SUM(MARKS!I59,MARKS!AO59),"")</f>
        <v/>
      </c>
      <c r="AI67" s="177" t="str">
        <f>IF(A67&gt;0,SUM(MARKS!Q59,MARKS!AW59),"")</f>
        <v/>
      </c>
      <c r="AJ67" s="177" t="str">
        <f>IF(A67&gt;0,SUM(MARKS!Y59,MARKS!BE59),"")</f>
        <v/>
      </c>
      <c r="AK67" s="177" t="str">
        <f>IF(A67&gt;0,SUM(MARKS!AG59,MARKS!BM59),"")</f>
        <v/>
      </c>
      <c r="AL67" s="178"/>
      <c r="AM67" s="177" t="str">
        <f t="shared" si="6"/>
        <v/>
      </c>
      <c r="AN67" s="177" t="str">
        <f t="shared" si="7"/>
        <v/>
      </c>
      <c r="AO67" s="177" t="str">
        <f>IF(A67&gt;0,SUM(PASHEET!AP59,PASHEET!AX59),"")</f>
        <v/>
      </c>
      <c r="AP67" s="177" t="str">
        <f>IF(A67&gt;0,SUM(MARKS!J59,MARKS!AP59),"")</f>
        <v/>
      </c>
      <c r="AQ67" s="177" t="str">
        <f>IF(A67&gt;0,SUM(MARKS!R59,MARKS!AX59),"")</f>
        <v/>
      </c>
      <c r="AR67" s="177" t="str">
        <f>IF(A67&gt;0,SUM(MARKS!Z59,MARKS!BF59),"")</f>
        <v/>
      </c>
      <c r="AS67" s="177" t="str">
        <f>IF(A67&gt;0,SUM(MARKS!AH59,MARKS!BN59),"")</f>
        <v/>
      </c>
      <c r="AT67" s="178"/>
      <c r="AU67" s="177" t="str">
        <f t="shared" si="8"/>
        <v/>
      </c>
      <c r="AV67" s="177" t="str">
        <f t="shared" si="9"/>
        <v/>
      </c>
      <c r="AW67" s="177" t="str">
        <f>IF(A67&gt;0,SUM(PASHEET!AQ59,PASHEET!AY59),"")</f>
        <v/>
      </c>
      <c r="AX67" s="177" t="str">
        <f>IF(A67&gt;0,SUM(MARKS!K59,MARKS!AQ59),"")</f>
        <v/>
      </c>
      <c r="AY67" s="177" t="str">
        <f>IF(A67&gt;0,SUM(MARKS!S59,MARKS!AY59),"")</f>
        <v/>
      </c>
      <c r="AZ67" s="177" t="str">
        <f>IF(A67&gt;0,SUM(MARKS!AA59,MARKS!BG59),"")</f>
        <v/>
      </c>
      <c r="BA67" s="177" t="str">
        <f>IF(A67&gt;0,SUM(MARKS!AI59,MARKS!BO59),"")</f>
        <v/>
      </c>
      <c r="BB67" s="178"/>
      <c r="BC67" s="177" t="str">
        <f t="shared" si="10"/>
        <v/>
      </c>
      <c r="BD67" s="177" t="str">
        <f t="shared" si="11"/>
        <v/>
      </c>
      <c r="BE67" s="177" t="str">
        <f t="shared" si="12"/>
        <v/>
      </c>
      <c r="BF67" s="47" t="str">
        <f t="shared" si="13"/>
        <v/>
      </c>
      <c r="BG67" s="70" t="str">
        <f t="shared" si="14"/>
        <v/>
      </c>
      <c r="BH67" s="177" t="str">
        <f t="shared" si="15"/>
        <v/>
      </c>
      <c r="BI67" s="47" t="str">
        <f>IF(A67&gt;0,FLN!I59,"")</f>
        <v/>
      </c>
      <c r="BJ67" s="47" t="str">
        <f>IF(A67&gt;0,FLN!J59,"")</f>
        <v/>
      </c>
      <c r="BK67" s="47" t="str">
        <f>IF(A67&gt;0,FLN!K59,"")</f>
        <v/>
      </c>
      <c r="BL67" s="47" t="str">
        <f t="shared" si="16"/>
        <v/>
      </c>
      <c r="BM67" s="130" t="str">
        <f>IF(BF67="","",IFERROR(RANK(BF67,$BF$12:$BF$111,0)+COUNTIFS($BF$12:BF67,BF67)-1,0))</f>
        <v/>
      </c>
      <c r="BN67" s="130" t="str">
        <f t="shared" si="17"/>
        <v/>
      </c>
    </row>
    <row r="68" s="98" customFormat="1" ht="27" customHeight="1" spans="1:66">
      <c r="A68" s="47">
        <f>IF(A67=0,0,IF(A67&lt;ENTRY!$D$24,A67+1,0))</f>
        <v>0</v>
      </c>
      <c r="B68" s="47" t="str">
        <f>IF(A68&gt;0,STUDENT!F58,"")</f>
        <v/>
      </c>
      <c r="C68" s="176" t="str">
        <f>IF(A68&gt;0,UPPER(STUDENT!E58),"")</f>
        <v/>
      </c>
      <c r="D68" s="176" t="str">
        <f>IF(A68&gt;0,UPPER(STUDENT!H58),"")</f>
        <v/>
      </c>
      <c r="E68" s="47" t="str">
        <f>IF(A68&gt;0,UPPER(STUDENT!BP58),"")</f>
        <v/>
      </c>
      <c r="F68" s="47" t="str">
        <f>IF(A68&gt;0,UPPER(STUDENT!BO58),"")</f>
        <v/>
      </c>
      <c r="G68" s="47" t="str">
        <f>IF(A68&gt;0,UPPER(STUDENT!Q58),"")</f>
        <v/>
      </c>
      <c r="H68" s="69" t="str">
        <f>IF(A68&gt;0,PASHEET!CI60/PASHEET!CJ60*100,"")</f>
        <v/>
      </c>
      <c r="I68" s="177" t="str">
        <f>IF(A68&gt;0,SUM(PASHEET!AL60,PASHEET!AT60),"")</f>
        <v/>
      </c>
      <c r="J68" s="177" t="str">
        <f>IF(A68&gt;0,SUM(MARKS!F60,MARKS!AL60),"")</f>
        <v/>
      </c>
      <c r="K68" s="177" t="str">
        <f>IF(A68&gt;0,SUM(MARKS!N60,MARKS!AT60),"")</f>
        <v/>
      </c>
      <c r="L68" s="177" t="str">
        <f>IF(A68&gt;0,SUM(MARKS!V60,MARKS!BB60),"")</f>
        <v/>
      </c>
      <c r="M68" s="177" t="str">
        <f>IF(A68&gt;0,SUM(MARKS!AD60,MARKS!BJ60),"")</f>
        <v/>
      </c>
      <c r="N68" s="178"/>
      <c r="O68" s="177" t="str">
        <f t="shared" si="0"/>
        <v/>
      </c>
      <c r="P68" s="177" t="str">
        <f t="shared" si="1"/>
        <v/>
      </c>
      <c r="Q68" s="177" t="str">
        <f>IF(A68&gt;0,SUM(PASHEET!AM60,PASHEET!AU60),"")</f>
        <v/>
      </c>
      <c r="R68" s="177" t="str">
        <f>IF(A68&gt;0,SUM(MARKS!G60,MARKS!AM60),"")</f>
        <v/>
      </c>
      <c r="S68" s="177" t="str">
        <f>IF(A68&gt;0,SUM(MARKS!O60,MARKS!AU60),"")</f>
        <v/>
      </c>
      <c r="T68" s="177" t="str">
        <f>IF(A68&gt;0,SUM(MARKS!W60,MARKS!BC60),"")</f>
        <v/>
      </c>
      <c r="U68" s="177" t="str">
        <f>IF(A68&gt;0,SUM(MARKS!AE60,MARKS!BK60),"")</f>
        <v/>
      </c>
      <c r="V68" s="178"/>
      <c r="W68" s="177" t="str">
        <f t="shared" si="2"/>
        <v/>
      </c>
      <c r="X68" s="177" t="str">
        <f t="shared" si="3"/>
        <v/>
      </c>
      <c r="Y68" s="177" t="str">
        <f>IF(A68&gt;0,SUM(PASHEET!AN60,PASHEET!AV60),"")</f>
        <v/>
      </c>
      <c r="Z68" s="177" t="str">
        <f>IF(A68&gt;0,SUM(MARKS!H60,MARKS!AN60),"")</f>
        <v/>
      </c>
      <c r="AA68" s="177" t="str">
        <f>IF(A68&gt;0,SUM(MARKS!P60,MARKS!AV60),"")</f>
        <v/>
      </c>
      <c r="AB68" s="177" t="str">
        <f>IF(A68&gt;0,SUM(MARKS!X60,MARKS!BD60),"")</f>
        <v/>
      </c>
      <c r="AC68" s="177" t="str">
        <f>IF(A68&gt;0,SUM(MARKS!AF60,MARKS!BL60),"")</f>
        <v/>
      </c>
      <c r="AD68" s="178"/>
      <c r="AE68" s="177" t="str">
        <f t="shared" si="4"/>
        <v/>
      </c>
      <c r="AF68" s="177" t="str">
        <f t="shared" si="5"/>
        <v/>
      </c>
      <c r="AG68" s="177" t="str">
        <f>IF(A68&gt;0,SUM(PASHEET!AO60,PASHEET!AW60),"")</f>
        <v/>
      </c>
      <c r="AH68" s="177" t="str">
        <f>IF(A68&gt;0,SUM(MARKS!I60,MARKS!AO60),"")</f>
        <v/>
      </c>
      <c r="AI68" s="177" t="str">
        <f>IF(A68&gt;0,SUM(MARKS!Q60,MARKS!AW60),"")</f>
        <v/>
      </c>
      <c r="AJ68" s="177" t="str">
        <f>IF(A68&gt;0,SUM(MARKS!Y60,MARKS!BE60),"")</f>
        <v/>
      </c>
      <c r="AK68" s="177" t="str">
        <f>IF(A68&gt;0,SUM(MARKS!AG60,MARKS!BM60),"")</f>
        <v/>
      </c>
      <c r="AL68" s="178"/>
      <c r="AM68" s="177" t="str">
        <f t="shared" si="6"/>
        <v/>
      </c>
      <c r="AN68" s="177" t="str">
        <f t="shared" si="7"/>
        <v/>
      </c>
      <c r="AO68" s="177" t="str">
        <f>IF(A68&gt;0,SUM(PASHEET!AP60,PASHEET!AX60),"")</f>
        <v/>
      </c>
      <c r="AP68" s="177" t="str">
        <f>IF(A68&gt;0,SUM(MARKS!J60,MARKS!AP60),"")</f>
        <v/>
      </c>
      <c r="AQ68" s="177" t="str">
        <f>IF(A68&gt;0,SUM(MARKS!R60,MARKS!AX60),"")</f>
        <v/>
      </c>
      <c r="AR68" s="177" t="str">
        <f>IF(A68&gt;0,SUM(MARKS!Z60,MARKS!BF60),"")</f>
        <v/>
      </c>
      <c r="AS68" s="177" t="str">
        <f>IF(A68&gt;0,SUM(MARKS!AH60,MARKS!BN60),"")</f>
        <v/>
      </c>
      <c r="AT68" s="178"/>
      <c r="AU68" s="177" t="str">
        <f t="shared" si="8"/>
        <v/>
      </c>
      <c r="AV68" s="177" t="str">
        <f t="shared" si="9"/>
        <v/>
      </c>
      <c r="AW68" s="177" t="str">
        <f>IF(A68&gt;0,SUM(PASHEET!AQ60,PASHEET!AY60),"")</f>
        <v/>
      </c>
      <c r="AX68" s="177" t="str">
        <f>IF(A68&gt;0,SUM(MARKS!K60,MARKS!AQ60),"")</f>
        <v/>
      </c>
      <c r="AY68" s="177" t="str">
        <f>IF(A68&gt;0,SUM(MARKS!S60,MARKS!AY60),"")</f>
        <v/>
      </c>
      <c r="AZ68" s="177" t="str">
        <f>IF(A68&gt;0,SUM(MARKS!AA60,MARKS!BG60),"")</f>
        <v/>
      </c>
      <c r="BA68" s="177" t="str">
        <f>IF(A68&gt;0,SUM(MARKS!AI60,MARKS!BO60),"")</f>
        <v/>
      </c>
      <c r="BB68" s="178"/>
      <c r="BC68" s="177" t="str">
        <f t="shared" si="10"/>
        <v/>
      </c>
      <c r="BD68" s="177" t="str">
        <f t="shared" si="11"/>
        <v/>
      </c>
      <c r="BE68" s="177" t="str">
        <f t="shared" si="12"/>
        <v/>
      </c>
      <c r="BF68" s="47" t="str">
        <f t="shared" si="13"/>
        <v/>
      </c>
      <c r="BG68" s="70" t="str">
        <f t="shared" si="14"/>
        <v/>
      </c>
      <c r="BH68" s="177" t="str">
        <f t="shared" si="15"/>
        <v/>
      </c>
      <c r="BI68" s="47" t="str">
        <f>IF(A68&gt;0,FLN!I60,"")</f>
        <v/>
      </c>
      <c r="BJ68" s="47" t="str">
        <f>IF(A68&gt;0,FLN!J60,"")</f>
        <v/>
      </c>
      <c r="BK68" s="47" t="str">
        <f>IF(A68&gt;0,FLN!K60,"")</f>
        <v/>
      </c>
      <c r="BL68" s="47" t="str">
        <f t="shared" si="16"/>
        <v/>
      </c>
      <c r="BM68" s="130" t="str">
        <f>IF(BF68="","",IFERROR(RANK(BF68,$BF$12:$BF$111,0)+COUNTIFS($BF$12:BF68,BF68)-1,0))</f>
        <v/>
      </c>
      <c r="BN68" s="130" t="str">
        <f t="shared" si="17"/>
        <v/>
      </c>
    </row>
    <row r="69" s="98" customFormat="1" ht="27" customHeight="1" spans="1:66">
      <c r="A69" s="47">
        <f>IF(A68=0,0,IF(A68&lt;ENTRY!$D$24,A68+1,0))</f>
        <v>0</v>
      </c>
      <c r="B69" s="47" t="str">
        <f>IF(A69&gt;0,STUDENT!F59,"")</f>
        <v/>
      </c>
      <c r="C69" s="176" t="str">
        <f>IF(A69&gt;0,UPPER(STUDENT!E59),"")</f>
        <v/>
      </c>
      <c r="D69" s="176" t="str">
        <f>IF(A69&gt;0,UPPER(STUDENT!H59),"")</f>
        <v/>
      </c>
      <c r="E69" s="47" t="str">
        <f>IF(A69&gt;0,UPPER(STUDENT!BP59),"")</f>
        <v/>
      </c>
      <c r="F69" s="47" t="str">
        <f>IF(A69&gt;0,UPPER(STUDENT!BO59),"")</f>
        <v/>
      </c>
      <c r="G69" s="47" t="str">
        <f>IF(A69&gt;0,UPPER(STUDENT!Q59),"")</f>
        <v/>
      </c>
      <c r="H69" s="69" t="str">
        <f>IF(A69&gt;0,PASHEET!CI61/PASHEET!CJ61*100,"")</f>
        <v/>
      </c>
      <c r="I69" s="177" t="str">
        <f>IF(A69&gt;0,SUM(PASHEET!AL61,PASHEET!AT61),"")</f>
        <v/>
      </c>
      <c r="J69" s="177" t="str">
        <f>IF(A69&gt;0,SUM(MARKS!F61,MARKS!AL61),"")</f>
        <v/>
      </c>
      <c r="K69" s="177" t="str">
        <f>IF(A69&gt;0,SUM(MARKS!N61,MARKS!AT61),"")</f>
        <v/>
      </c>
      <c r="L69" s="177" t="str">
        <f>IF(A69&gt;0,SUM(MARKS!V61,MARKS!BB61),"")</f>
        <v/>
      </c>
      <c r="M69" s="177" t="str">
        <f>IF(A69&gt;0,SUM(MARKS!AD61,MARKS!BJ61),"")</f>
        <v/>
      </c>
      <c r="N69" s="178"/>
      <c r="O69" s="177" t="str">
        <f t="shared" si="0"/>
        <v/>
      </c>
      <c r="P69" s="177" t="str">
        <f t="shared" si="1"/>
        <v/>
      </c>
      <c r="Q69" s="177" t="str">
        <f>IF(A69&gt;0,SUM(PASHEET!AM61,PASHEET!AU61),"")</f>
        <v/>
      </c>
      <c r="R69" s="177" t="str">
        <f>IF(A69&gt;0,SUM(MARKS!G61,MARKS!AM61),"")</f>
        <v/>
      </c>
      <c r="S69" s="177" t="str">
        <f>IF(A69&gt;0,SUM(MARKS!O61,MARKS!AU61),"")</f>
        <v/>
      </c>
      <c r="T69" s="177" t="str">
        <f>IF(A69&gt;0,SUM(MARKS!W61,MARKS!BC61),"")</f>
        <v/>
      </c>
      <c r="U69" s="177" t="str">
        <f>IF(A69&gt;0,SUM(MARKS!AE61,MARKS!BK61),"")</f>
        <v/>
      </c>
      <c r="V69" s="178"/>
      <c r="W69" s="177" t="str">
        <f t="shared" si="2"/>
        <v/>
      </c>
      <c r="X69" s="177" t="str">
        <f t="shared" si="3"/>
        <v/>
      </c>
      <c r="Y69" s="177" t="str">
        <f>IF(A69&gt;0,SUM(PASHEET!AN61,PASHEET!AV61),"")</f>
        <v/>
      </c>
      <c r="Z69" s="177" t="str">
        <f>IF(A69&gt;0,SUM(MARKS!H61,MARKS!AN61),"")</f>
        <v/>
      </c>
      <c r="AA69" s="177" t="str">
        <f>IF(A69&gt;0,SUM(MARKS!P61,MARKS!AV61),"")</f>
        <v/>
      </c>
      <c r="AB69" s="177" t="str">
        <f>IF(A69&gt;0,SUM(MARKS!X61,MARKS!BD61),"")</f>
        <v/>
      </c>
      <c r="AC69" s="177" t="str">
        <f>IF(A69&gt;0,SUM(MARKS!AF61,MARKS!BL61),"")</f>
        <v/>
      </c>
      <c r="AD69" s="178"/>
      <c r="AE69" s="177" t="str">
        <f t="shared" si="4"/>
        <v/>
      </c>
      <c r="AF69" s="177" t="str">
        <f t="shared" si="5"/>
        <v/>
      </c>
      <c r="AG69" s="177" t="str">
        <f>IF(A69&gt;0,SUM(PASHEET!AO61,PASHEET!AW61),"")</f>
        <v/>
      </c>
      <c r="AH69" s="177" t="str">
        <f>IF(A69&gt;0,SUM(MARKS!I61,MARKS!AO61),"")</f>
        <v/>
      </c>
      <c r="AI69" s="177" t="str">
        <f>IF(A69&gt;0,SUM(MARKS!Q61,MARKS!AW61),"")</f>
        <v/>
      </c>
      <c r="AJ69" s="177" t="str">
        <f>IF(A69&gt;0,SUM(MARKS!Y61,MARKS!BE61),"")</f>
        <v/>
      </c>
      <c r="AK69" s="177" t="str">
        <f>IF(A69&gt;0,SUM(MARKS!AG61,MARKS!BM61),"")</f>
        <v/>
      </c>
      <c r="AL69" s="178"/>
      <c r="AM69" s="177" t="str">
        <f t="shared" si="6"/>
        <v/>
      </c>
      <c r="AN69" s="177" t="str">
        <f t="shared" si="7"/>
        <v/>
      </c>
      <c r="AO69" s="177" t="str">
        <f>IF(A69&gt;0,SUM(PASHEET!AP61,PASHEET!AX61),"")</f>
        <v/>
      </c>
      <c r="AP69" s="177" t="str">
        <f>IF(A69&gt;0,SUM(MARKS!J61,MARKS!AP61),"")</f>
        <v/>
      </c>
      <c r="AQ69" s="177" t="str">
        <f>IF(A69&gt;0,SUM(MARKS!R61,MARKS!AX61),"")</f>
        <v/>
      </c>
      <c r="AR69" s="177" t="str">
        <f>IF(A69&gt;0,SUM(MARKS!Z61,MARKS!BF61),"")</f>
        <v/>
      </c>
      <c r="AS69" s="177" t="str">
        <f>IF(A69&gt;0,SUM(MARKS!AH61,MARKS!BN61),"")</f>
        <v/>
      </c>
      <c r="AT69" s="178"/>
      <c r="AU69" s="177" t="str">
        <f t="shared" si="8"/>
        <v/>
      </c>
      <c r="AV69" s="177" t="str">
        <f t="shared" si="9"/>
        <v/>
      </c>
      <c r="AW69" s="177" t="str">
        <f>IF(A69&gt;0,SUM(PASHEET!AQ61,PASHEET!AY61),"")</f>
        <v/>
      </c>
      <c r="AX69" s="177" t="str">
        <f>IF(A69&gt;0,SUM(MARKS!K61,MARKS!AQ61),"")</f>
        <v/>
      </c>
      <c r="AY69" s="177" t="str">
        <f>IF(A69&gt;0,SUM(MARKS!S61,MARKS!AY61),"")</f>
        <v/>
      </c>
      <c r="AZ69" s="177" t="str">
        <f>IF(A69&gt;0,SUM(MARKS!AA61,MARKS!BG61),"")</f>
        <v/>
      </c>
      <c r="BA69" s="177" t="str">
        <f>IF(A69&gt;0,SUM(MARKS!AI61,MARKS!BO61),"")</f>
        <v/>
      </c>
      <c r="BB69" s="178"/>
      <c r="BC69" s="177" t="str">
        <f t="shared" si="10"/>
        <v/>
      </c>
      <c r="BD69" s="177" t="str">
        <f t="shared" si="11"/>
        <v/>
      </c>
      <c r="BE69" s="177" t="str">
        <f t="shared" si="12"/>
        <v/>
      </c>
      <c r="BF69" s="47" t="str">
        <f t="shared" si="13"/>
        <v/>
      </c>
      <c r="BG69" s="70" t="str">
        <f t="shared" si="14"/>
        <v/>
      </c>
      <c r="BH69" s="177" t="str">
        <f t="shared" si="15"/>
        <v/>
      </c>
      <c r="BI69" s="47" t="str">
        <f>IF(A69&gt;0,FLN!I61,"")</f>
        <v/>
      </c>
      <c r="BJ69" s="47" t="str">
        <f>IF(A69&gt;0,FLN!J61,"")</f>
        <v/>
      </c>
      <c r="BK69" s="47" t="str">
        <f>IF(A69&gt;0,FLN!K61,"")</f>
        <v/>
      </c>
      <c r="BL69" s="47" t="str">
        <f t="shared" si="16"/>
        <v/>
      </c>
      <c r="BM69" s="130" t="str">
        <f>IF(BF69="","",IFERROR(RANK(BF69,$BF$12:$BF$111,0)+COUNTIFS($BF$12:BF69,BF69)-1,0))</f>
        <v/>
      </c>
      <c r="BN69" s="130" t="str">
        <f t="shared" si="17"/>
        <v/>
      </c>
    </row>
    <row r="70" s="98" customFormat="1" ht="27" customHeight="1" spans="1:66">
      <c r="A70" s="47">
        <f>IF(A69=0,0,IF(A69&lt;ENTRY!$D$24,A69+1,0))</f>
        <v>0</v>
      </c>
      <c r="B70" s="47" t="str">
        <f>IF(A70&gt;0,STUDENT!F60,"")</f>
        <v/>
      </c>
      <c r="C70" s="176" t="str">
        <f>IF(A70&gt;0,UPPER(STUDENT!E60),"")</f>
        <v/>
      </c>
      <c r="D70" s="176" t="str">
        <f>IF(A70&gt;0,UPPER(STUDENT!H60),"")</f>
        <v/>
      </c>
      <c r="E70" s="47" t="str">
        <f>IF(A70&gt;0,UPPER(STUDENT!BP60),"")</f>
        <v/>
      </c>
      <c r="F70" s="47" t="str">
        <f>IF(A70&gt;0,UPPER(STUDENT!BO60),"")</f>
        <v/>
      </c>
      <c r="G70" s="47" t="str">
        <f>IF(A70&gt;0,UPPER(STUDENT!Q60),"")</f>
        <v/>
      </c>
      <c r="H70" s="69" t="str">
        <f>IF(A70&gt;0,PASHEET!CI62/PASHEET!CJ62*100,"")</f>
        <v/>
      </c>
      <c r="I70" s="177" t="str">
        <f>IF(A70&gt;0,SUM(PASHEET!AL62,PASHEET!AT62),"")</f>
        <v/>
      </c>
      <c r="J70" s="177" t="str">
        <f>IF(A70&gt;0,SUM(MARKS!F62,MARKS!AL62),"")</f>
        <v/>
      </c>
      <c r="K70" s="177" t="str">
        <f>IF(A70&gt;0,SUM(MARKS!N62,MARKS!AT62),"")</f>
        <v/>
      </c>
      <c r="L70" s="177" t="str">
        <f>IF(A70&gt;0,SUM(MARKS!V62,MARKS!BB62),"")</f>
        <v/>
      </c>
      <c r="M70" s="177" t="str">
        <f>IF(A70&gt;0,SUM(MARKS!AD62,MARKS!BJ62),"")</f>
        <v/>
      </c>
      <c r="N70" s="178"/>
      <c r="O70" s="177" t="str">
        <f t="shared" si="0"/>
        <v/>
      </c>
      <c r="P70" s="177" t="str">
        <f t="shared" si="1"/>
        <v/>
      </c>
      <c r="Q70" s="177" t="str">
        <f>IF(A70&gt;0,SUM(PASHEET!AM62,PASHEET!AU62),"")</f>
        <v/>
      </c>
      <c r="R70" s="177" t="str">
        <f>IF(A70&gt;0,SUM(MARKS!G62,MARKS!AM62),"")</f>
        <v/>
      </c>
      <c r="S70" s="177" t="str">
        <f>IF(A70&gt;0,SUM(MARKS!O62,MARKS!AU62),"")</f>
        <v/>
      </c>
      <c r="T70" s="177" t="str">
        <f>IF(A70&gt;0,SUM(MARKS!W62,MARKS!BC62),"")</f>
        <v/>
      </c>
      <c r="U70" s="177" t="str">
        <f>IF(A70&gt;0,SUM(MARKS!AE62,MARKS!BK62),"")</f>
        <v/>
      </c>
      <c r="V70" s="178"/>
      <c r="W70" s="177" t="str">
        <f t="shared" si="2"/>
        <v/>
      </c>
      <c r="X70" s="177" t="str">
        <f t="shared" si="3"/>
        <v/>
      </c>
      <c r="Y70" s="177" t="str">
        <f>IF(A70&gt;0,SUM(PASHEET!AN62,PASHEET!AV62),"")</f>
        <v/>
      </c>
      <c r="Z70" s="177" t="str">
        <f>IF(A70&gt;0,SUM(MARKS!H62,MARKS!AN62),"")</f>
        <v/>
      </c>
      <c r="AA70" s="177" t="str">
        <f>IF(A70&gt;0,SUM(MARKS!P62,MARKS!AV62),"")</f>
        <v/>
      </c>
      <c r="AB70" s="177" t="str">
        <f>IF(A70&gt;0,SUM(MARKS!X62,MARKS!BD62),"")</f>
        <v/>
      </c>
      <c r="AC70" s="177" t="str">
        <f>IF(A70&gt;0,SUM(MARKS!AF62,MARKS!BL62),"")</f>
        <v/>
      </c>
      <c r="AD70" s="178"/>
      <c r="AE70" s="177" t="str">
        <f t="shared" si="4"/>
        <v/>
      </c>
      <c r="AF70" s="177" t="str">
        <f t="shared" si="5"/>
        <v/>
      </c>
      <c r="AG70" s="177" t="str">
        <f>IF(A70&gt;0,SUM(PASHEET!AO62,PASHEET!AW62),"")</f>
        <v/>
      </c>
      <c r="AH70" s="177" t="str">
        <f>IF(A70&gt;0,SUM(MARKS!I62,MARKS!AO62),"")</f>
        <v/>
      </c>
      <c r="AI70" s="177" t="str">
        <f>IF(A70&gt;0,SUM(MARKS!Q62,MARKS!AW62),"")</f>
        <v/>
      </c>
      <c r="AJ70" s="177" t="str">
        <f>IF(A70&gt;0,SUM(MARKS!Y62,MARKS!BE62),"")</f>
        <v/>
      </c>
      <c r="AK70" s="177" t="str">
        <f>IF(A70&gt;0,SUM(MARKS!AG62,MARKS!BM62),"")</f>
        <v/>
      </c>
      <c r="AL70" s="178"/>
      <c r="AM70" s="177" t="str">
        <f t="shared" si="6"/>
        <v/>
      </c>
      <c r="AN70" s="177" t="str">
        <f t="shared" si="7"/>
        <v/>
      </c>
      <c r="AO70" s="177" t="str">
        <f>IF(A70&gt;0,SUM(PASHEET!AP62,PASHEET!AX62),"")</f>
        <v/>
      </c>
      <c r="AP70" s="177" t="str">
        <f>IF(A70&gt;0,SUM(MARKS!J62,MARKS!AP62),"")</f>
        <v/>
      </c>
      <c r="AQ70" s="177" t="str">
        <f>IF(A70&gt;0,SUM(MARKS!R62,MARKS!AX62),"")</f>
        <v/>
      </c>
      <c r="AR70" s="177" t="str">
        <f>IF(A70&gt;0,SUM(MARKS!Z62,MARKS!BF62),"")</f>
        <v/>
      </c>
      <c r="AS70" s="177" t="str">
        <f>IF(A70&gt;0,SUM(MARKS!AH62,MARKS!BN62),"")</f>
        <v/>
      </c>
      <c r="AT70" s="178"/>
      <c r="AU70" s="177" t="str">
        <f t="shared" si="8"/>
        <v/>
      </c>
      <c r="AV70" s="177" t="str">
        <f t="shared" si="9"/>
        <v/>
      </c>
      <c r="AW70" s="177" t="str">
        <f>IF(A70&gt;0,SUM(PASHEET!AQ62,PASHEET!AY62),"")</f>
        <v/>
      </c>
      <c r="AX70" s="177" t="str">
        <f>IF(A70&gt;0,SUM(MARKS!K62,MARKS!AQ62),"")</f>
        <v/>
      </c>
      <c r="AY70" s="177" t="str">
        <f>IF(A70&gt;0,SUM(MARKS!S62,MARKS!AY62),"")</f>
        <v/>
      </c>
      <c r="AZ70" s="177" t="str">
        <f>IF(A70&gt;0,SUM(MARKS!AA62,MARKS!BG62),"")</f>
        <v/>
      </c>
      <c r="BA70" s="177" t="str">
        <f>IF(A70&gt;0,SUM(MARKS!AI62,MARKS!BO62),"")</f>
        <v/>
      </c>
      <c r="BB70" s="178"/>
      <c r="BC70" s="177" t="str">
        <f t="shared" si="10"/>
        <v/>
      </c>
      <c r="BD70" s="177" t="str">
        <f t="shared" si="11"/>
        <v/>
      </c>
      <c r="BE70" s="177" t="str">
        <f t="shared" si="12"/>
        <v/>
      </c>
      <c r="BF70" s="47" t="str">
        <f t="shared" si="13"/>
        <v/>
      </c>
      <c r="BG70" s="70" t="str">
        <f t="shared" si="14"/>
        <v/>
      </c>
      <c r="BH70" s="177" t="str">
        <f t="shared" si="15"/>
        <v/>
      </c>
      <c r="BI70" s="47" t="str">
        <f>IF(A70&gt;0,FLN!I62,"")</f>
        <v/>
      </c>
      <c r="BJ70" s="47" t="str">
        <f>IF(A70&gt;0,FLN!J62,"")</f>
        <v/>
      </c>
      <c r="BK70" s="47" t="str">
        <f>IF(A70&gt;0,FLN!K62,"")</f>
        <v/>
      </c>
      <c r="BL70" s="47" t="str">
        <f t="shared" si="16"/>
        <v/>
      </c>
      <c r="BM70" s="130" t="str">
        <f>IF(BF70="","",IFERROR(RANK(BF70,$BF$12:$BF$111,0)+COUNTIFS($BF$12:BF70,BF70)-1,0))</f>
        <v/>
      </c>
      <c r="BN70" s="130" t="str">
        <f t="shared" si="17"/>
        <v/>
      </c>
    </row>
    <row r="71" s="98" customFormat="1" ht="27" customHeight="1" spans="1:66">
      <c r="A71" s="47">
        <f>IF(A70=0,0,IF(A70&lt;ENTRY!$D$24,A70+1,0))</f>
        <v>0</v>
      </c>
      <c r="B71" s="47" t="str">
        <f>IF(A71&gt;0,STUDENT!F61,"")</f>
        <v/>
      </c>
      <c r="C71" s="176" t="str">
        <f>IF(A71&gt;0,UPPER(STUDENT!E61),"")</f>
        <v/>
      </c>
      <c r="D71" s="176" t="str">
        <f>IF(A71&gt;0,UPPER(STUDENT!H61),"")</f>
        <v/>
      </c>
      <c r="E71" s="47" t="str">
        <f>IF(A71&gt;0,UPPER(STUDENT!BP61),"")</f>
        <v/>
      </c>
      <c r="F71" s="47" t="str">
        <f>IF(A71&gt;0,UPPER(STUDENT!BO61),"")</f>
        <v/>
      </c>
      <c r="G71" s="47" t="str">
        <f>IF(A71&gt;0,UPPER(STUDENT!Q61),"")</f>
        <v/>
      </c>
      <c r="H71" s="69" t="str">
        <f>IF(A71&gt;0,PASHEET!CI63/PASHEET!CJ63*100,"")</f>
        <v/>
      </c>
      <c r="I71" s="177" t="str">
        <f>IF(A71&gt;0,SUM(PASHEET!AL63,PASHEET!AT63),"")</f>
        <v/>
      </c>
      <c r="J71" s="177" t="str">
        <f>IF(A71&gt;0,SUM(MARKS!F63,MARKS!AL63),"")</f>
        <v/>
      </c>
      <c r="K71" s="177" t="str">
        <f>IF(A71&gt;0,SUM(MARKS!N63,MARKS!AT63),"")</f>
        <v/>
      </c>
      <c r="L71" s="177" t="str">
        <f>IF(A71&gt;0,SUM(MARKS!V63,MARKS!BB63),"")</f>
        <v/>
      </c>
      <c r="M71" s="177" t="str">
        <f>IF(A71&gt;0,SUM(MARKS!AD63,MARKS!BJ63),"")</f>
        <v/>
      </c>
      <c r="N71" s="178"/>
      <c r="O71" s="177" t="str">
        <f t="shared" si="0"/>
        <v/>
      </c>
      <c r="P71" s="177" t="str">
        <f t="shared" si="1"/>
        <v/>
      </c>
      <c r="Q71" s="177" t="str">
        <f>IF(A71&gt;0,SUM(PASHEET!AM63,PASHEET!AU63),"")</f>
        <v/>
      </c>
      <c r="R71" s="177" t="str">
        <f>IF(A71&gt;0,SUM(MARKS!G63,MARKS!AM63),"")</f>
        <v/>
      </c>
      <c r="S71" s="177" t="str">
        <f>IF(A71&gt;0,SUM(MARKS!O63,MARKS!AU63),"")</f>
        <v/>
      </c>
      <c r="T71" s="177" t="str">
        <f>IF(A71&gt;0,SUM(MARKS!W63,MARKS!BC63),"")</f>
        <v/>
      </c>
      <c r="U71" s="177" t="str">
        <f>IF(A71&gt;0,SUM(MARKS!AE63,MARKS!BK63),"")</f>
        <v/>
      </c>
      <c r="V71" s="178"/>
      <c r="W71" s="177" t="str">
        <f t="shared" si="2"/>
        <v/>
      </c>
      <c r="X71" s="177" t="str">
        <f t="shared" si="3"/>
        <v/>
      </c>
      <c r="Y71" s="177" t="str">
        <f>IF(A71&gt;0,SUM(PASHEET!AN63,PASHEET!AV63),"")</f>
        <v/>
      </c>
      <c r="Z71" s="177" t="str">
        <f>IF(A71&gt;0,SUM(MARKS!H63,MARKS!AN63),"")</f>
        <v/>
      </c>
      <c r="AA71" s="177" t="str">
        <f>IF(A71&gt;0,SUM(MARKS!P63,MARKS!AV63),"")</f>
        <v/>
      </c>
      <c r="AB71" s="177" t="str">
        <f>IF(A71&gt;0,SUM(MARKS!X63,MARKS!BD63),"")</f>
        <v/>
      </c>
      <c r="AC71" s="177" t="str">
        <f>IF(A71&gt;0,SUM(MARKS!AF63,MARKS!BL63),"")</f>
        <v/>
      </c>
      <c r="AD71" s="178"/>
      <c r="AE71" s="177" t="str">
        <f t="shared" si="4"/>
        <v/>
      </c>
      <c r="AF71" s="177" t="str">
        <f t="shared" si="5"/>
        <v/>
      </c>
      <c r="AG71" s="177" t="str">
        <f>IF(A71&gt;0,SUM(PASHEET!AO63,PASHEET!AW63),"")</f>
        <v/>
      </c>
      <c r="AH71" s="177" t="str">
        <f>IF(A71&gt;0,SUM(MARKS!I63,MARKS!AO63),"")</f>
        <v/>
      </c>
      <c r="AI71" s="177" t="str">
        <f>IF(A71&gt;0,SUM(MARKS!Q63,MARKS!AW63),"")</f>
        <v/>
      </c>
      <c r="AJ71" s="177" t="str">
        <f>IF(A71&gt;0,SUM(MARKS!Y63,MARKS!BE63),"")</f>
        <v/>
      </c>
      <c r="AK71" s="177" t="str">
        <f>IF(A71&gt;0,SUM(MARKS!AG63,MARKS!BM63),"")</f>
        <v/>
      </c>
      <c r="AL71" s="178"/>
      <c r="AM71" s="177" t="str">
        <f t="shared" si="6"/>
        <v/>
      </c>
      <c r="AN71" s="177" t="str">
        <f t="shared" si="7"/>
        <v/>
      </c>
      <c r="AO71" s="177" t="str">
        <f>IF(A71&gt;0,SUM(PASHEET!AP63,PASHEET!AX63),"")</f>
        <v/>
      </c>
      <c r="AP71" s="177" t="str">
        <f>IF(A71&gt;0,SUM(MARKS!J63,MARKS!AP63),"")</f>
        <v/>
      </c>
      <c r="AQ71" s="177" t="str">
        <f>IF(A71&gt;0,SUM(MARKS!R63,MARKS!AX63),"")</f>
        <v/>
      </c>
      <c r="AR71" s="177" t="str">
        <f>IF(A71&gt;0,SUM(MARKS!Z63,MARKS!BF63),"")</f>
        <v/>
      </c>
      <c r="AS71" s="177" t="str">
        <f>IF(A71&gt;0,SUM(MARKS!AH63,MARKS!BN63),"")</f>
        <v/>
      </c>
      <c r="AT71" s="178"/>
      <c r="AU71" s="177" t="str">
        <f t="shared" si="8"/>
        <v/>
      </c>
      <c r="AV71" s="177" t="str">
        <f t="shared" si="9"/>
        <v/>
      </c>
      <c r="AW71" s="177" t="str">
        <f>IF(A71&gt;0,SUM(PASHEET!AQ63,PASHEET!AY63),"")</f>
        <v/>
      </c>
      <c r="AX71" s="177" t="str">
        <f>IF(A71&gt;0,SUM(MARKS!K63,MARKS!AQ63),"")</f>
        <v/>
      </c>
      <c r="AY71" s="177" t="str">
        <f>IF(A71&gt;0,SUM(MARKS!S63,MARKS!AY63),"")</f>
        <v/>
      </c>
      <c r="AZ71" s="177" t="str">
        <f>IF(A71&gt;0,SUM(MARKS!AA63,MARKS!BG63),"")</f>
        <v/>
      </c>
      <c r="BA71" s="177" t="str">
        <f>IF(A71&gt;0,SUM(MARKS!AI63,MARKS!BO63),"")</f>
        <v/>
      </c>
      <c r="BB71" s="178"/>
      <c r="BC71" s="177" t="str">
        <f t="shared" si="10"/>
        <v/>
      </c>
      <c r="BD71" s="177" t="str">
        <f t="shared" si="11"/>
        <v/>
      </c>
      <c r="BE71" s="177" t="str">
        <f t="shared" si="12"/>
        <v/>
      </c>
      <c r="BF71" s="47" t="str">
        <f t="shared" si="13"/>
        <v/>
      </c>
      <c r="BG71" s="70" t="str">
        <f t="shared" si="14"/>
        <v/>
      </c>
      <c r="BH71" s="177" t="str">
        <f t="shared" si="15"/>
        <v/>
      </c>
      <c r="BI71" s="47" t="str">
        <f>IF(A71&gt;0,FLN!I63,"")</f>
        <v/>
      </c>
      <c r="BJ71" s="47" t="str">
        <f>IF(A71&gt;0,FLN!J63,"")</f>
        <v/>
      </c>
      <c r="BK71" s="47" t="str">
        <f>IF(A71&gt;0,FLN!K63,"")</f>
        <v/>
      </c>
      <c r="BL71" s="47" t="str">
        <f t="shared" si="16"/>
        <v/>
      </c>
      <c r="BM71" s="130" t="str">
        <f>IF(BF71="","",IFERROR(RANK(BF71,$BF$12:$BF$111,0)+COUNTIFS($BF$12:BF71,BF71)-1,0))</f>
        <v/>
      </c>
      <c r="BN71" s="130" t="str">
        <f t="shared" si="17"/>
        <v/>
      </c>
    </row>
    <row r="72" s="98" customFormat="1" ht="27" customHeight="1" spans="1:66">
      <c r="A72" s="47">
        <f>IF(A71=0,0,IF(A71&lt;ENTRY!$D$24,A71+1,0))</f>
        <v>0</v>
      </c>
      <c r="B72" s="47" t="str">
        <f>IF(A72&gt;0,STUDENT!F62,"")</f>
        <v/>
      </c>
      <c r="C72" s="176" t="str">
        <f>IF(A72&gt;0,UPPER(STUDENT!E62),"")</f>
        <v/>
      </c>
      <c r="D72" s="176" t="str">
        <f>IF(A72&gt;0,UPPER(STUDENT!H62),"")</f>
        <v/>
      </c>
      <c r="E72" s="47" t="str">
        <f>IF(A72&gt;0,UPPER(STUDENT!BP62),"")</f>
        <v/>
      </c>
      <c r="F72" s="47" t="str">
        <f>IF(A72&gt;0,UPPER(STUDENT!BO62),"")</f>
        <v/>
      </c>
      <c r="G72" s="47" t="str">
        <f>IF(A72&gt;0,UPPER(STUDENT!Q62),"")</f>
        <v/>
      </c>
      <c r="H72" s="69" t="str">
        <f>IF(A72&gt;0,PASHEET!CI64/PASHEET!CJ64*100,"")</f>
        <v/>
      </c>
      <c r="I72" s="177" t="str">
        <f>IF(A72&gt;0,SUM(PASHEET!AL64,PASHEET!AT64),"")</f>
        <v/>
      </c>
      <c r="J72" s="177" t="str">
        <f>IF(A72&gt;0,SUM(MARKS!F64,MARKS!AL64),"")</f>
        <v/>
      </c>
      <c r="K72" s="177" t="str">
        <f>IF(A72&gt;0,SUM(MARKS!N64,MARKS!AT64),"")</f>
        <v/>
      </c>
      <c r="L72" s="177" t="str">
        <f>IF(A72&gt;0,SUM(MARKS!V64,MARKS!BB64),"")</f>
        <v/>
      </c>
      <c r="M72" s="177" t="str">
        <f>IF(A72&gt;0,SUM(MARKS!AD64,MARKS!BJ64),"")</f>
        <v/>
      </c>
      <c r="N72" s="178"/>
      <c r="O72" s="177" t="str">
        <f t="shared" si="0"/>
        <v/>
      </c>
      <c r="P72" s="177" t="str">
        <f t="shared" si="1"/>
        <v/>
      </c>
      <c r="Q72" s="177" t="str">
        <f>IF(A72&gt;0,SUM(PASHEET!AM64,PASHEET!AU64),"")</f>
        <v/>
      </c>
      <c r="R72" s="177" t="str">
        <f>IF(A72&gt;0,SUM(MARKS!G64,MARKS!AM64),"")</f>
        <v/>
      </c>
      <c r="S72" s="177" t="str">
        <f>IF(A72&gt;0,SUM(MARKS!O64,MARKS!AU64),"")</f>
        <v/>
      </c>
      <c r="T72" s="177" t="str">
        <f>IF(A72&gt;0,SUM(MARKS!W64,MARKS!BC64),"")</f>
        <v/>
      </c>
      <c r="U72" s="177" t="str">
        <f>IF(A72&gt;0,SUM(MARKS!AE64,MARKS!BK64),"")</f>
        <v/>
      </c>
      <c r="V72" s="178"/>
      <c r="W72" s="177" t="str">
        <f t="shared" si="2"/>
        <v/>
      </c>
      <c r="X72" s="177" t="str">
        <f t="shared" si="3"/>
        <v/>
      </c>
      <c r="Y72" s="177" t="str">
        <f>IF(A72&gt;0,SUM(PASHEET!AN64,PASHEET!AV64),"")</f>
        <v/>
      </c>
      <c r="Z72" s="177" t="str">
        <f>IF(A72&gt;0,SUM(MARKS!H64,MARKS!AN64),"")</f>
        <v/>
      </c>
      <c r="AA72" s="177" t="str">
        <f>IF(A72&gt;0,SUM(MARKS!P64,MARKS!AV64),"")</f>
        <v/>
      </c>
      <c r="AB72" s="177" t="str">
        <f>IF(A72&gt;0,SUM(MARKS!X64,MARKS!BD64),"")</f>
        <v/>
      </c>
      <c r="AC72" s="177" t="str">
        <f>IF(A72&gt;0,SUM(MARKS!AF64,MARKS!BL64),"")</f>
        <v/>
      </c>
      <c r="AD72" s="178"/>
      <c r="AE72" s="177" t="str">
        <f t="shared" si="4"/>
        <v/>
      </c>
      <c r="AF72" s="177" t="str">
        <f t="shared" si="5"/>
        <v/>
      </c>
      <c r="AG72" s="177" t="str">
        <f>IF(A72&gt;0,SUM(PASHEET!AO64,PASHEET!AW64),"")</f>
        <v/>
      </c>
      <c r="AH72" s="177" t="str">
        <f>IF(A72&gt;0,SUM(MARKS!I64,MARKS!AO64),"")</f>
        <v/>
      </c>
      <c r="AI72" s="177" t="str">
        <f>IF(A72&gt;0,SUM(MARKS!Q64,MARKS!AW64),"")</f>
        <v/>
      </c>
      <c r="AJ72" s="177" t="str">
        <f>IF(A72&gt;0,SUM(MARKS!Y64,MARKS!BE64),"")</f>
        <v/>
      </c>
      <c r="AK72" s="177" t="str">
        <f>IF(A72&gt;0,SUM(MARKS!AG64,MARKS!BM64),"")</f>
        <v/>
      </c>
      <c r="AL72" s="178"/>
      <c r="AM72" s="177" t="str">
        <f t="shared" si="6"/>
        <v/>
      </c>
      <c r="AN72" s="177" t="str">
        <f t="shared" si="7"/>
        <v/>
      </c>
      <c r="AO72" s="177" t="str">
        <f>IF(A72&gt;0,SUM(PASHEET!AP64,PASHEET!AX64),"")</f>
        <v/>
      </c>
      <c r="AP72" s="177" t="str">
        <f>IF(A72&gt;0,SUM(MARKS!J64,MARKS!AP64),"")</f>
        <v/>
      </c>
      <c r="AQ72" s="177" t="str">
        <f>IF(A72&gt;0,SUM(MARKS!R64,MARKS!AX64),"")</f>
        <v/>
      </c>
      <c r="AR72" s="177" t="str">
        <f>IF(A72&gt;0,SUM(MARKS!Z64,MARKS!BF64),"")</f>
        <v/>
      </c>
      <c r="AS72" s="177" t="str">
        <f>IF(A72&gt;0,SUM(MARKS!AH64,MARKS!BN64),"")</f>
        <v/>
      </c>
      <c r="AT72" s="178"/>
      <c r="AU72" s="177" t="str">
        <f t="shared" si="8"/>
        <v/>
      </c>
      <c r="AV72" s="177" t="str">
        <f t="shared" si="9"/>
        <v/>
      </c>
      <c r="AW72" s="177" t="str">
        <f>IF(A72&gt;0,SUM(PASHEET!AQ64,PASHEET!AY64),"")</f>
        <v/>
      </c>
      <c r="AX72" s="177" t="str">
        <f>IF(A72&gt;0,SUM(MARKS!K64,MARKS!AQ64),"")</f>
        <v/>
      </c>
      <c r="AY72" s="177" t="str">
        <f>IF(A72&gt;0,SUM(MARKS!S64,MARKS!AY64),"")</f>
        <v/>
      </c>
      <c r="AZ72" s="177" t="str">
        <f>IF(A72&gt;0,SUM(MARKS!AA64,MARKS!BG64),"")</f>
        <v/>
      </c>
      <c r="BA72" s="177" t="str">
        <f>IF(A72&gt;0,SUM(MARKS!AI64,MARKS!BO64),"")</f>
        <v/>
      </c>
      <c r="BB72" s="178"/>
      <c r="BC72" s="177" t="str">
        <f t="shared" si="10"/>
        <v/>
      </c>
      <c r="BD72" s="177" t="str">
        <f t="shared" si="11"/>
        <v/>
      </c>
      <c r="BE72" s="177" t="str">
        <f t="shared" si="12"/>
        <v/>
      </c>
      <c r="BF72" s="47" t="str">
        <f t="shared" si="13"/>
        <v/>
      </c>
      <c r="BG72" s="70" t="str">
        <f t="shared" si="14"/>
        <v/>
      </c>
      <c r="BH72" s="177" t="str">
        <f t="shared" si="15"/>
        <v/>
      </c>
      <c r="BI72" s="47" t="str">
        <f>IF(A72&gt;0,FLN!I64,"")</f>
        <v/>
      </c>
      <c r="BJ72" s="47" t="str">
        <f>IF(A72&gt;0,FLN!J64,"")</f>
        <v/>
      </c>
      <c r="BK72" s="47" t="str">
        <f>IF(A72&gt;0,FLN!K64,"")</f>
        <v/>
      </c>
      <c r="BL72" s="47" t="str">
        <f t="shared" si="16"/>
        <v/>
      </c>
      <c r="BM72" s="130" t="str">
        <f>IF(BF72="","",IFERROR(RANK(BF72,$BF$12:$BF$111,0)+COUNTIFS($BF$12:BF72,BF72)-1,0))</f>
        <v/>
      </c>
      <c r="BN72" s="130" t="str">
        <f t="shared" si="17"/>
        <v/>
      </c>
    </row>
    <row r="73" s="98" customFormat="1" ht="27" customHeight="1" spans="1:66">
      <c r="A73" s="47">
        <f>IF(A72=0,0,IF(A72&lt;ENTRY!$D$24,A72+1,0))</f>
        <v>0</v>
      </c>
      <c r="B73" s="47" t="str">
        <f>IF(A73&gt;0,STUDENT!F63,"")</f>
        <v/>
      </c>
      <c r="C73" s="176" t="str">
        <f>IF(A73&gt;0,UPPER(STUDENT!E63),"")</f>
        <v/>
      </c>
      <c r="D73" s="176" t="str">
        <f>IF(A73&gt;0,UPPER(STUDENT!H63),"")</f>
        <v/>
      </c>
      <c r="E73" s="47" t="str">
        <f>IF(A73&gt;0,UPPER(STUDENT!BP63),"")</f>
        <v/>
      </c>
      <c r="F73" s="47" t="str">
        <f>IF(A73&gt;0,UPPER(STUDENT!BO63),"")</f>
        <v/>
      </c>
      <c r="G73" s="47" t="str">
        <f>IF(A73&gt;0,UPPER(STUDENT!Q63),"")</f>
        <v/>
      </c>
      <c r="H73" s="69" t="str">
        <f>IF(A73&gt;0,PASHEET!CI65/PASHEET!CJ65*100,"")</f>
        <v/>
      </c>
      <c r="I73" s="177" t="str">
        <f>IF(A73&gt;0,SUM(PASHEET!AL65,PASHEET!AT65),"")</f>
        <v/>
      </c>
      <c r="J73" s="177" t="str">
        <f>IF(A73&gt;0,SUM(MARKS!F65,MARKS!AL65),"")</f>
        <v/>
      </c>
      <c r="K73" s="177" t="str">
        <f>IF(A73&gt;0,SUM(MARKS!N65,MARKS!AT65),"")</f>
        <v/>
      </c>
      <c r="L73" s="177" t="str">
        <f>IF(A73&gt;0,SUM(MARKS!V65,MARKS!BB65),"")</f>
        <v/>
      </c>
      <c r="M73" s="177" t="str">
        <f>IF(A73&gt;0,SUM(MARKS!AD65,MARKS!BJ65),"")</f>
        <v/>
      </c>
      <c r="N73" s="178"/>
      <c r="O73" s="177" t="str">
        <f t="shared" si="0"/>
        <v/>
      </c>
      <c r="P73" s="177" t="str">
        <f t="shared" si="1"/>
        <v/>
      </c>
      <c r="Q73" s="177" t="str">
        <f>IF(A73&gt;0,SUM(PASHEET!AM65,PASHEET!AU65),"")</f>
        <v/>
      </c>
      <c r="R73" s="177" t="str">
        <f>IF(A73&gt;0,SUM(MARKS!G65,MARKS!AM65),"")</f>
        <v/>
      </c>
      <c r="S73" s="177" t="str">
        <f>IF(A73&gt;0,SUM(MARKS!O65,MARKS!AU65),"")</f>
        <v/>
      </c>
      <c r="T73" s="177" t="str">
        <f>IF(A73&gt;0,SUM(MARKS!W65,MARKS!BC65),"")</f>
        <v/>
      </c>
      <c r="U73" s="177" t="str">
        <f>IF(A73&gt;0,SUM(MARKS!AE65,MARKS!BK65),"")</f>
        <v/>
      </c>
      <c r="V73" s="178"/>
      <c r="W73" s="177" t="str">
        <f t="shared" si="2"/>
        <v/>
      </c>
      <c r="X73" s="177" t="str">
        <f t="shared" si="3"/>
        <v/>
      </c>
      <c r="Y73" s="177" t="str">
        <f>IF(A73&gt;0,SUM(PASHEET!AN65,PASHEET!AV65),"")</f>
        <v/>
      </c>
      <c r="Z73" s="177" t="str">
        <f>IF(A73&gt;0,SUM(MARKS!H65,MARKS!AN65),"")</f>
        <v/>
      </c>
      <c r="AA73" s="177" t="str">
        <f>IF(A73&gt;0,SUM(MARKS!P65,MARKS!AV65),"")</f>
        <v/>
      </c>
      <c r="AB73" s="177" t="str">
        <f>IF(A73&gt;0,SUM(MARKS!X65,MARKS!BD65),"")</f>
        <v/>
      </c>
      <c r="AC73" s="177" t="str">
        <f>IF(A73&gt;0,SUM(MARKS!AF65,MARKS!BL65),"")</f>
        <v/>
      </c>
      <c r="AD73" s="178"/>
      <c r="AE73" s="177" t="str">
        <f t="shared" si="4"/>
        <v/>
      </c>
      <c r="AF73" s="177" t="str">
        <f t="shared" si="5"/>
        <v/>
      </c>
      <c r="AG73" s="177" t="str">
        <f>IF(A73&gt;0,SUM(PASHEET!AO65,PASHEET!AW65),"")</f>
        <v/>
      </c>
      <c r="AH73" s="177" t="str">
        <f>IF(A73&gt;0,SUM(MARKS!I65,MARKS!AO65),"")</f>
        <v/>
      </c>
      <c r="AI73" s="177" t="str">
        <f>IF(A73&gt;0,SUM(MARKS!Q65,MARKS!AW65),"")</f>
        <v/>
      </c>
      <c r="AJ73" s="177" t="str">
        <f>IF(A73&gt;0,SUM(MARKS!Y65,MARKS!BE65),"")</f>
        <v/>
      </c>
      <c r="AK73" s="177" t="str">
        <f>IF(A73&gt;0,SUM(MARKS!AG65,MARKS!BM65),"")</f>
        <v/>
      </c>
      <c r="AL73" s="178"/>
      <c r="AM73" s="177" t="str">
        <f t="shared" si="6"/>
        <v/>
      </c>
      <c r="AN73" s="177" t="str">
        <f t="shared" si="7"/>
        <v/>
      </c>
      <c r="AO73" s="177" t="str">
        <f>IF(A73&gt;0,SUM(PASHEET!AP65,PASHEET!AX65),"")</f>
        <v/>
      </c>
      <c r="AP73" s="177" t="str">
        <f>IF(A73&gt;0,SUM(MARKS!J65,MARKS!AP65),"")</f>
        <v/>
      </c>
      <c r="AQ73" s="177" t="str">
        <f>IF(A73&gt;0,SUM(MARKS!R65,MARKS!AX65),"")</f>
        <v/>
      </c>
      <c r="AR73" s="177" t="str">
        <f>IF(A73&gt;0,SUM(MARKS!Z65,MARKS!BF65),"")</f>
        <v/>
      </c>
      <c r="AS73" s="177" t="str">
        <f>IF(A73&gt;0,SUM(MARKS!AH65,MARKS!BN65),"")</f>
        <v/>
      </c>
      <c r="AT73" s="178"/>
      <c r="AU73" s="177" t="str">
        <f t="shared" si="8"/>
        <v/>
      </c>
      <c r="AV73" s="177" t="str">
        <f t="shared" si="9"/>
        <v/>
      </c>
      <c r="AW73" s="177" t="str">
        <f>IF(A73&gt;0,SUM(PASHEET!AQ65,PASHEET!AY65),"")</f>
        <v/>
      </c>
      <c r="AX73" s="177" t="str">
        <f>IF(A73&gt;0,SUM(MARKS!K65,MARKS!AQ65),"")</f>
        <v/>
      </c>
      <c r="AY73" s="177" t="str">
        <f>IF(A73&gt;0,SUM(MARKS!S65,MARKS!AY65),"")</f>
        <v/>
      </c>
      <c r="AZ73" s="177" t="str">
        <f>IF(A73&gt;0,SUM(MARKS!AA65,MARKS!BG65),"")</f>
        <v/>
      </c>
      <c r="BA73" s="177" t="str">
        <f>IF(A73&gt;0,SUM(MARKS!AI65,MARKS!BO65),"")</f>
        <v/>
      </c>
      <c r="BB73" s="178"/>
      <c r="BC73" s="177" t="str">
        <f t="shared" si="10"/>
        <v/>
      </c>
      <c r="BD73" s="177" t="str">
        <f t="shared" si="11"/>
        <v/>
      </c>
      <c r="BE73" s="177" t="str">
        <f t="shared" si="12"/>
        <v/>
      </c>
      <c r="BF73" s="47" t="str">
        <f t="shared" si="13"/>
        <v/>
      </c>
      <c r="BG73" s="70" t="str">
        <f t="shared" si="14"/>
        <v/>
      </c>
      <c r="BH73" s="177" t="str">
        <f t="shared" si="15"/>
        <v/>
      </c>
      <c r="BI73" s="47" t="str">
        <f>IF(A73&gt;0,FLN!I65,"")</f>
        <v/>
      </c>
      <c r="BJ73" s="47" t="str">
        <f>IF(A73&gt;0,FLN!J65,"")</f>
        <v/>
      </c>
      <c r="BK73" s="47" t="str">
        <f>IF(A73&gt;0,FLN!K65,"")</f>
        <v/>
      </c>
      <c r="BL73" s="47" t="str">
        <f t="shared" si="16"/>
        <v/>
      </c>
      <c r="BM73" s="130" t="str">
        <f>IF(BF73="","",IFERROR(RANK(BF73,$BF$12:$BF$111,0)+COUNTIFS($BF$12:BF73,BF73)-1,0))</f>
        <v/>
      </c>
      <c r="BN73" s="130" t="str">
        <f t="shared" si="17"/>
        <v/>
      </c>
    </row>
    <row r="74" s="98" customFormat="1" ht="27" customHeight="1" spans="1:66">
      <c r="A74" s="47">
        <f>IF(A73=0,0,IF(A73&lt;ENTRY!$D$24,A73+1,0))</f>
        <v>0</v>
      </c>
      <c r="B74" s="47" t="str">
        <f>IF(A74&gt;0,STUDENT!F64,"")</f>
        <v/>
      </c>
      <c r="C74" s="176" t="str">
        <f>IF(A74&gt;0,UPPER(STUDENT!E64),"")</f>
        <v/>
      </c>
      <c r="D74" s="176" t="str">
        <f>IF(A74&gt;0,UPPER(STUDENT!H64),"")</f>
        <v/>
      </c>
      <c r="E74" s="47" t="str">
        <f>IF(A74&gt;0,UPPER(STUDENT!BP64),"")</f>
        <v/>
      </c>
      <c r="F74" s="47" t="str">
        <f>IF(A74&gt;0,UPPER(STUDENT!BO64),"")</f>
        <v/>
      </c>
      <c r="G74" s="47" t="str">
        <f>IF(A74&gt;0,UPPER(STUDENT!Q64),"")</f>
        <v/>
      </c>
      <c r="H74" s="69" t="str">
        <f>IF(A74&gt;0,PASHEET!CI66/PASHEET!CJ66*100,"")</f>
        <v/>
      </c>
      <c r="I74" s="177" t="str">
        <f>IF(A74&gt;0,SUM(PASHEET!AL66,PASHEET!AT66),"")</f>
        <v/>
      </c>
      <c r="J74" s="177" t="str">
        <f>IF(A74&gt;0,SUM(MARKS!F66,MARKS!AL66),"")</f>
        <v/>
      </c>
      <c r="K74" s="177" t="str">
        <f>IF(A74&gt;0,SUM(MARKS!N66,MARKS!AT66),"")</f>
        <v/>
      </c>
      <c r="L74" s="177" t="str">
        <f>IF(A74&gt;0,SUM(MARKS!V66,MARKS!BB66),"")</f>
        <v/>
      </c>
      <c r="M74" s="177" t="str">
        <f>IF(A74&gt;0,SUM(MARKS!AD66,MARKS!BJ66),"")</f>
        <v/>
      </c>
      <c r="N74" s="178"/>
      <c r="O74" s="177" t="str">
        <f t="shared" si="0"/>
        <v/>
      </c>
      <c r="P74" s="177" t="str">
        <f t="shared" si="1"/>
        <v/>
      </c>
      <c r="Q74" s="177" t="str">
        <f>IF(A74&gt;0,SUM(PASHEET!AM66,PASHEET!AU66),"")</f>
        <v/>
      </c>
      <c r="R74" s="177" t="str">
        <f>IF(A74&gt;0,SUM(MARKS!G66,MARKS!AM66),"")</f>
        <v/>
      </c>
      <c r="S74" s="177" t="str">
        <f>IF(A74&gt;0,SUM(MARKS!O66,MARKS!AU66),"")</f>
        <v/>
      </c>
      <c r="T74" s="177" t="str">
        <f>IF(A74&gt;0,SUM(MARKS!W66,MARKS!BC66),"")</f>
        <v/>
      </c>
      <c r="U74" s="177" t="str">
        <f>IF(A74&gt;0,SUM(MARKS!AE66,MARKS!BK66),"")</f>
        <v/>
      </c>
      <c r="V74" s="178"/>
      <c r="W74" s="177" t="str">
        <f t="shared" si="2"/>
        <v/>
      </c>
      <c r="X74" s="177" t="str">
        <f t="shared" si="3"/>
        <v/>
      </c>
      <c r="Y74" s="177" t="str">
        <f>IF(A74&gt;0,SUM(PASHEET!AN66,PASHEET!AV66),"")</f>
        <v/>
      </c>
      <c r="Z74" s="177" t="str">
        <f>IF(A74&gt;0,SUM(MARKS!H66,MARKS!AN66),"")</f>
        <v/>
      </c>
      <c r="AA74" s="177" t="str">
        <f>IF(A74&gt;0,SUM(MARKS!P66,MARKS!AV66),"")</f>
        <v/>
      </c>
      <c r="AB74" s="177" t="str">
        <f>IF(A74&gt;0,SUM(MARKS!X66,MARKS!BD66),"")</f>
        <v/>
      </c>
      <c r="AC74" s="177" t="str">
        <f>IF(A74&gt;0,SUM(MARKS!AF66,MARKS!BL66),"")</f>
        <v/>
      </c>
      <c r="AD74" s="178"/>
      <c r="AE74" s="177" t="str">
        <f t="shared" si="4"/>
        <v/>
      </c>
      <c r="AF74" s="177" t="str">
        <f t="shared" si="5"/>
        <v/>
      </c>
      <c r="AG74" s="177" t="str">
        <f>IF(A74&gt;0,SUM(PASHEET!AO66,PASHEET!AW66),"")</f>
        <v/>
      </c>
      <c r="AH74" s="177" t="str">
        <f>IF(A74&gt;0,SUM(MARKS!I66,MARKS!AO66),"")</f>
        <v/>
      </c>
      <c r="AI74" s="177" t="str">
        <f>IF(A74&gt;0,SUM(MARKS!Q66,MARKS!AW66),"")</f>
        <v/>
      </c>
      <c r="AJ74" s="177" t="str">
        <f>IF(A74&gt;0,SUM(MARKS!Y66,MARKS!BE66),"")</f>
        <v/>
      </c>
      <c r="AK74" s="177" t="str">
        <f>IF(A74&gt;0,SUM(MARKS!AG66,MARKS!BM66),"")</f>
        <v/>
      </c>
      <c r="AL74" s="178"/>
      <c r="AM74" s="177" t="str">
        <f t="shared" si="6"/>
        <v/>
      </c>
      <c r="AN74" s="177" t="str">
        <f t="shared" si="7"/>
        <v/>
      </c>
      <c r="AO74" s="177" t="str">
        <f>IF(A74&gt;0,SUM(PASHEET!AP66,PASHEET!AX66),"")</f>
        <v/>
      </c>
      <c r="AP74" s="177" t="str">
        <f>IF(A74&gt;0,SUM(MARKS!J66,MARKS!AP66),"")</f>
        <v/>
      </c>
      <c r="AQ74" s="177" t="str">
        <f>IF(A74&gt;0,SUM(MARKS!R66,MARKS!AX66),"")</f>
        <v/>
      </c>
      <c r="AR74" s="177" t="str">
        <f>IF(A74&gt;0,SUM(MARKS!Z66,MARKS!BF66),"")</f>
        <v/>
      </c>
      <c r="AS74" s="177" t="str">
        <f>IF(A74&gt;0,SUM(MARKS!AH66,MARKS!BN66),"")</f>
        <v/>
      </c>
      <c r="AT74" s="178"/>
      <c r="AU74" s="177" t="str">
        <f t="shared" si="8"/>
        <v/>
      </c>
      <c r="AV74" s="177" t="str">
        <f t="shared" si="9"/>
        <v/>
      </c>
      <c r="AW74" s="177" t="str">
        <f>IF(A74&gt;0,SUM(PASHEET!AQ66,PASHEET!AY66),"")</f>
        <v/>
      </c>
      <c r="AX74" s="177" t="str">
        <f>IF(A74&gt;0,SUM(MARKS!K66,MARKS!AQ66),"")</f>
        <v/>
      </c>
      <c r="AY74" s="177" t="str">
        <f>IF(A74&gt;0,SUM(MARKS!S66,MARKS!AY66),"")</f>
        <v/>
      </c>
      <c r="AZ74" s="177" t="str">
        <f>IF(A74&gt;0,SUM(MARKS!AA66,MARKS!BG66),"")</f>
        <v/>
      </c>
      <c r="BA74" s="177" t="str">
        <f>IF(A74&gt;0,SUM(MARKS!AI66,MARKS!BO66),"")</f>
        <v/>
      </c>
      <c r="BB74" s="178"/>
      <c r="BC74" s="177" t="str">
        <f t="shared" si="10"/>
        <v/>
      </c>
      <c r="BD74" s="177" t="str">
        <f t="shared" si="11"/>
        <v/>
      </c>
      <c r="BE74" s="177" t="str">
        <f t="shared" si="12"/>
        <v/>
      </c>
      <c r="BF74" s="47" t="str">
        <f t="shared" si="13"/>
        <v/>
      </c>
      <c r="BG74" s="70" t="str">
        <f t="shared" si="14"/>
        <v/>
      </c>
      <c r="BH74" s="177" t="str">
        <f t="shared" si="15"/>
        <v/>
      </c>
      <c r="BI74" s="47" t="str">
        <f>IF(A74&gt;0,FLN!I66,"")</f>
        <v/>
      </c>
      <c r="BJ74" s="47" t="str">
        <f>IF(A74&gt;0,FLN!J66,"")</f>
        <v/>
      </c>
      <c r="BK74" s="47" t="str">
        <f>IF(A74&gt;0,FLN!K66,"")</f>
        <v/>
      </c>
      <c r="BL74" s="47" t="str">
        <f t="shared" si="16"/>
        <v/>
      </c>
      <c r="BM74" s="130" t="str">
        <f>IF(BF74="","",IFERROR(RANK(BF74,$BF$12:$BF$111,0)+COUNTIFS($BF$12:BF74,BF74)-1,0))</f>
        <v/>
      </c>
      <c r="BN74" s="130" t="str">
        <f t="shared" si="17"/>
        <v/>
      </c>
    </row>
    <row r="75" s="98" customFormat="1" ht="27" customHeight="1" spans="1:66">
      <c r="A75" s="47">
        <f>IF(A74=0,0,IF(A74&lt;ENTRY!$D$24,A74+1,0))</f>
        <v>0</v>
      </c>
      <c r="B75" s="47" t="str">
        <f>IF(A75&gt;0,STUDENT!F65,"")</f>
        <v/>
      </c>
      <c r="C75" s="176" t="str">
        <f>IF(A75&gt;0,UPPER(STUDENT!E65),"")</f>
        <v/>
      </c>
      <c r="D75" s="176" t="str">
        <f>IF(A75&gt;0,UPPER(STUDENT!H65),"")</f>
        <v/>
      </c>
      <c r="E75" s="47" t="str">
        <f>IF(A75&gt;0,UPPER(STUDENT!BP65),"")</f>
        <v/>
      </c>
      <c r="F75" s="47" t="str">
        <f>IF(A75&gt;0,UPPER(STUDENT!BO65),"")</f>
        <v/>
      </c>
      <c r="G75" s="47" t="str">
        <f>IF(A75&gt;0,UPPER(STUDENT!Q65),"")</f>
        <v/>
      </c>
      <c r="H75" s="69" t="str">
        <f>IF(A75&gt;0,PASHEET!CI67/PASHEET!CJ67*100,"")</f>
        <v/>
      </c>
      <c r="I75" s="177" t="str">
        <f>IF(A75&gt;0,SUM(PASHEET!AL67,PASHEET!AT67),"")</f>
        <v/>
      </c>
      <c r="J75" s="177" t="str">
        <f>IF(A75&gt;0,SUM(MARKS!F67,MARKS!AL67),"")</f>
        <v/>
      </c>
      <c r="K75" s="177" t="str">
        <f>IF(A75&gt;0,SUM(MARKS!N67,MARKS!AT67),"")</f>
        <v/>
      </c>
      <c r="L75" s="177" t="str">
        <f>IF(A75&gt;0,SUM(MARKS!V67,MARKS!BB67),"")</f>
        <v/>
      </c>
      <c r="M75" s="177" t="str">
        <f>IF(A75&gt;0,SUM(MARKS!AD67,MARKS!BJ67),"")</f>
        <v/>
      </c>
      <c r="N75" s="178"/>
      <c r="O75" s="177" t="str">
        <f t="shared" si="0"/>
        <v/>
      </c>
      <c r="P75" s="177" t="str">
        <f t="shared" si="1"/>
        <v/>
      </c>
      <c r="Q75" s="177" t="str">
        <f>IF(A75&gt;0,SUM(PASHEET!AM67,PASHEET!AU67),"")</f>
        <v/>
      </c>
      <c r="R75" s="177" t="str">
        <f>IF(A75&gt;0,SUM(MARKS!G67,MARKS!AM67),"")</f>
        <v/>
      </c>
      <c r="S75" s="177" t="str">
        <f>IF(A75&gt;0,SUM(MARKS!O67,MARKS!AU67),"")</f>
        <v/>
      </c>
      <c r="T75" s="177" t="str">
        <f>IF(A75&gt;0,SUM(MARKS!W67,MARKS!BC67),"")</f>
        <v/>
      </c>
      <c r="U75" s="177" t="str">
        <f>IF(A75&gt;0,SUM(MARKS!AE67,MARKS!BK67),"")</f>
        <v/>
      </c>
      <c r="V75" s="178"/>
      <c r="W75" s="177" t="str">
        <f t="shared" si="2"/>
        <v/>
      </c>
      <c r="X75" s="177" t="str">
        <f t="shared" si="3"/>
        <v/>
      </c>
      <c r="Y75" s="177" t="str">
        <f>IF(A75&gt;0,SUM(PASHEET!AN67,PASHEET!AV67),"")</f>
        <v/>
      </c>
      <c r="Z75" s="177" t="str">
        <f>IF(A75&gt;0,SUM(MARKS!H67,MARKS!AN67),"")</f>
        <v/>
      </c>
      <c r="AA75" s="177" t="str">
        <f>IF(A75&gt;0,SUM(MARKS!P67,MARKS!AV67),"")</f>
        <v/>
      </c>
      <c r="AB75" s="177" t="str">
        <f>IF(A75&gt;0,SUM(MARKS!X67,MARKS!BD67),"")</f>
        <v/>
      </c>
      <c r="AC75" s="177" t="str">
        <f>IF(A75&gt;0,SUM(MARKS!AF67,MARKS!BL67),"")</f>
        <v/>
      </c>
      <c r="AD75" s="178"/>
      <c r="AE75" s="177" t="str">
        <f t="shared" si="4"/>
        <v/>
      </c>
      <c r="AF75" s="177" t="str">
        <f t="shared" si="5"/>
        <v/>
      </c>
      <c r="AG75" s="177" t="str">
        <f>IF(A75&gt;0,SUM(PASHEET!AO67,PASHEET!AW67),"")</f>
        <v/>
      </c>
      <c r="AH75" s="177" t="str">
        <f>IF(A75&gt;0,SUM(MARKS!I67,MARKS!AO67),"")</f>
        <v/>
      </c>
      <c r="AI75" s="177" t="str">
        <f>IF(A75&gt;0,SUM(MARKS!Q67,MARKS!AW67),"")</f>
        <v/>
      </c>
      <c r="AJ75" s="177" t="str">
        <f>IF(A75&gt;0,SUM(MARKS!Y67,MARKS!BE67),"")</f>
        <v/>
      </c>
      <c r="AK75" s="177" t="str">
        <f>IF(A75&gt;0,SUM(MARKS!AG67,MARKS!BM67),"")</f>
        <v/>
      </c>
      <c r="AL75" s="178"/>
      <c r="AM75" s="177" t="str">
        <f t="shared" si="6"/>
        <v/>
      </c>
      <c r="AN75" s="177" t="str">
        <f t="shared" si="7"/>
        <v/>
      </c>
      <c r="AO75" s="177" t="str">
        <f>IF(A75&gt;0,SUM(PASHEET!AP67,PASHEET!AX67),"")</f>
        <v/>
      </c>
      <c r="AP75" s="177" t="str">
        <f>IF(A75&gt;0,SUM(MARKS!J67,MARKS!AP67),"")</f>
        <v/>
      </c>
      <c r="AQ75" s="177" t="str">
        <f>IF(A75&gt;0,SUM(MARKS!R67,MARKS!AX67),"")</f>
        <v/>
      </c>
      <c r="AR75" s="177" t="str">
        <f>IF(A75&gt;0,SUM(MARKS!Z67,MARKS!BF67),"")</f>
        <v/>
      </c>
      <c r="AS75" s="177" t="str">
        <f>IF(A75&gt;0,SUM(MARKS!AH67,MARKS!BN67),"")</f>
        <v/>
      </c>
      <c r="AT75" s="178"/>
      <c r="AU75" s="177" t="str">
        <f t="shared" si="8"/>
        <v/>
      </c>
      <c r="AV75" s="177" t="str">
        <f t="shared" si="9"/>
        <v/>
      </c>
      <c r="AW75" s="177" t="str">
        <f>IF(A75&gt;0,SUM(PASHEET!AQ67,PASHEET!AY67),"")</f>
        <v/>
      </c>
      <c r="AX75" s="177" t="str">
        <f>IF(A75&gt;0,SUM(MARKS!K67,MARKS!AQ67),"")</f>
        <v/>
      </c>
      <c r="AY75" s="177" t="str">
        <f>IF(A75&gt;0,SUM(MARKS!S67,MARKS!AY67),"")</f>
        <v/>
      </c>
      <c r="AZ75" s="177" t="str">
        <f>IF(A75&gt;0,SUM(MARKS!AA67,MARKS!BG67),"")</f>
        <v/>
      </c>
      <c r="BA75" s="177" t="str">
        <f>IF(A75&gt;0,SUM(MARKS!AI67,MARKS!BO67),"")</f>
        <v/>
      </c>
      <c r="BB75" s="178"/>
      <c r="BC75" s="177" t="str">
        <f t="shared" si="10"/>
        <v/>
      </c>
      <c r="BD75" s="177" t="str">
        <f t="shared" si="11"/>
        <v/>
      </c>
      <c r="BE75" s="177" t="str">
        <f t="shared" si="12"/>
        <v/>
      </c>
      <c r="BF75" s="47" t="str">
        <f t="shared" si="13"/>
        <v/>
      </c>
      <c r="BG75" s="70" t="str">
        <f t="shared" si="14"/>
        <v/>
      </c>
      <c r="BH75" s="177" t="str">
        <f t="shared" si="15"/>
        <v/>
      </c>
      <c r="BI75" s="47" t="str">
        <f>IF(A75&gt;0,FLN!I67,"")</f>
        <v/>
      </c>
      <c r="BJ75" s="47" t="str">
        <f>IF(A75&gt;0,FLN!J67,"")</f>
        <v/>
      </c>
      <c r="BK75" s="47" t="str">
        <f>IF(A75&gt;0,FLN!K67,"")</f>
        <v/>
      </c>
      <c r="BL75" s="47" t="str">
        <f t="shared" si="16"/>
        <v/>
      </c>
      <c r="BM75" s="130" t="str">
        <f>IF(BF75="","",IFERROR(RANK(BF75,$BF$12:$BF$111,0)+COUNTIFS($BF$12:BF75,BF75)-1,0))</f>
        <v/>
      </c>
      <c r="BN75" s="130" t="str">
        <f t="shared" si="17"/>
        <v/>
      </c>
    </row>
    <row r="76" s="98" customFormat="1" ht="27" customHeight="1" spans="1:66">
      <c r="A76" s="47">
        <f>IF(A75=0,0,IF(A75&lt;ENTRY!$D$24,A75+1,0))</f>
        <v>0</v>
      </c>
      <c r="B76" s="47" t="str">
        <f>IF(A76&gt;0,STUDENT!F66,"")</f>
        <v/>
      </c>
      <c r="C76" s="176" t="str">
        <f>IF(A76&gt;0,UPPER(STUDENT!E66),"")</f>
        <v/>
      </c>
      <c r="D76" s="176" t="str">
        <f>IF(A76&gt;0,UPPER(STUDENT!H66),"")</f>
        <v/>
      </c>
      <c r="E76" s="47" t="str">
        <f>IF(A76&gt;0,UPPER(STUDENT!BP66),"")</f>
        <v/>
      </c>
      <c r="F76" s="47" t="str">
        <f>IF(A76&gt;0,UPPER(STUDENT!BO66),"")</f>
        <v/>
      </c>
      <c r="G76" s="47" t="str">
        <f>IF(A76&gt;0,UPPER(STUDENT!Q66),"")</f>
        <v/>
      </c>
      <c r="H76" s="69" t="str">
        <f>IF(A76&gt;0,PASHEET!CI68/PASHEET!CJ68*100,"")</f>
        <v/>
      </c>
      <c r="I76" s="177" t="str">
        <f>IF(A76&gt;0,SUM(PASHEET!AL68,PASHEET!AT68),"")</f>
        <v/>
      </c>
      <c r="J76" s="177" t="str">
        <f>IF(A76&gt;0,SUM(MARKS!F68,MARKS!AL68),"")</f>
        <v/>
      </c>
      <c r="K76" s="177" t="str">
        <f>IF(A76&gt;0,SUM(MARKS!N68,MARKS!AT68),"")</f>
        <v/>
      </c>
      <c r="L76" s="177" t="str">
        <f>IF(A76&gt;0,SUM(MARKS!V68,MARKS!BB68),"")</f>
        <v/>
      </c>
      <c r="M76" s="177" t="str">
        <f>IF(A76&gt;0,SUM(MARKS!AD68,MARKS!BJ68),"")</f>
        <v/>
      </c>
      <c r="N76" s="178"/>
      <c r="O76" s="177" t="str">
        <f t="shared" si="0"/>
        <v/>
      </c>
      <c r="P76" s="177" t="str">
        <f t="shared" si="1"/>
        <v/>
      </c>
      <c r="Q76" s="177" t="str">
        <f>IF(A76&gt;0,SUM(PASHEET!AM68,PASHEET!AU68),"")</f>
        <v/>
      </c>
      <c r="R76" s="177" t="str">
        <f>IF(A76&gt;0,SUM(MARKS!G68,MARKS!AM68),"")</f>
        <v/>
      </c>
      <c r="S76" s="177" t="str">
        <f>IF(A76&gt;0,SUM(MARKS!O68,MARKS!AU68),"")</f>
        <v/>
      </c>
      <c r="T76" s="177" t="str">
        <f>IF(A76&gt;0,SUM(MARKS!W68,MARKS!BC68),"")</f>
        <v/>
      </c>
      <c r="U76" s="177" t="str">
        <f>IF(A76&gt;0,SUM(MARKS!AE68,MARKS!BK68),"")</f>
        <v/>
      </c>
      <c r="V76" s="178"/>
      <c r="W76" s="177" t="str">
        <f t="shared" si="2"/>
        <v/>
      </c>
      <c r="X76" s="177" t="str">
        <f t="shared" si="3"/>
        <v/>
      </c>
      <c r="Y76" s="177" t="str">
        <f>IF(A76&gt;0,SUM(PASHEET!AN68,PASHEET!AV68),"")</f>
        <v/>
      </c>
      <c r="Z76" s="177" t="str">
        <f>IF(A76&gt;0,SUM(MARKS!H68,MARKS!AN68),"")</f>
        <v/>
      </c>
      <c r="AA76" s="177" t="str">
        <f>IF(A76&gt;0,SUM(MARKS!P68,MARKS!AV68),"")</f>
        <v/>
      </c>
      <c r="AB76" s="177" t="str">
        <f>IF(A76&gt;0,SUM(MARKS!X68,MARKS!BD68),"")</f>
        <v/>
      </c>
      <c r="AC76" s="177" t="str">
        <f>IF(A76&gt;0,SUM(MARKS!AF68,MARKS!BL68),"")</f>
        <v/>
      </c>
      <c r="AD76" s="178"/>
      <c r="AE76" s="177" t="str">
        <f t="shared" si="4"/>
        <v/>
      </c>
      <c r="AF76" s="177" t="str">
        <f t="shared" si="5"/>
        <v/>
      </c>
      <c r="AG76" s="177" t="str">
        <f>IF(A76&gt;0,SUM(PASHEET!AO68,PASHEET!AW68),"")</f>
        <v/>
      </c>
      <c r="AH76" s="177" t="str">
        <f>IF(A76&gt;0,SUM(MARKS!I68,MARKS!AO68),"")</f>
        <v/>
      </c>
      <c r="AI76" s="177" t="str">
        <f>IF(A76&gt;0,SUM(MARKS!Q68,MARKS!AW68),"")</f>
        <v/>
      </c>
      <c r="AJ76" s="177" t="str">
        <f>IF(A76&gt;0,SUM(MARKS!Y68,MARKS!BE68),"")</f>
        <v/>
      </c>
      <c r="AK76" s="177" t="str">
        <f>IF(A76&gt;0,SUM(MARKS!AG68,MARKS!BM68),"")</f>
        <v/>
      </c>
      <c r="AL76" s="178"/>
      <c r="AM76" s="177" t="str">
        <f t="shared" si="6"/>
        <v/>
      </c>
      <c r="AN76" s="177" t="str">
        <f t="shared" si="7"/>
        <v/>
      </c>
      <c r="AO76" s="177" t="str">
        <f>IF(A76&gt;0,SUM(PASHEET!AP68,PASHEET!AX68),"")</f>
        <v/>
      </c>
      <c r="AP76" s="177" t="str">
        <f>IF(A76&gt;0,SUM(MARKS!J68,MARKS!AP68),"")</f>
        <v/>
      </c>
      <c r="AQ76" s="177" t="str">
        <f>IF(A76&gt;0,SUM(MARKS!R68,MARKS!AX68),"")</f>
        <v/>
      </c>
      <c r="AR76" s="177" t="str">
        <f>IF(A76&gt;0,SUM(MARKS!Z68,MARKS!BF68),"")</f>
        <v/>
      </c>
      <c r="AS76" s="177" t="str">
        <f>IF(A76&gt;0,SUM(MARKS!AH68,MARKS!BN68),"")</f>
        <v/>
      </c>
      <c r="AT76" s="178"/>
      <c r="AU76" s="177" t="str">
        <f t="shared" si="8"/>
        <v/>
      </c>
      <c r="AV76" s="177" t="str">
        <f t="shared" si="9"/>
        <v/>
      </c>
      <c r="AW76" s="177" t="str">
        <f>IF(A76&gt;0,SUM(PASHEET!AQ68,PASHEET!AY68),"")</f>
        <v/>
      </c>
      <c r="AX76" s="177" t="str">
        <f>IF(A76&gt;0,SUM(MARKS!K68,MARKS!AQ68),"")</f>
        <v/>
      </c>
      <c r="AY76" s="177" t="str">
        <f>IF(A76&gt;0,SUM(MARKS!S68,MARKS!AY68),"")</f>
        <v/>
      </c>
      <c r="AZ76" s="177" t="str">
        <f>IF(A76&gt;0,SUM(MARKS!AA68,MARKS!BG68),"")</f>
        <v/>
      </c>
      <c r="BA76" s="177" t="str">
        <f>IF(A76&gt;0,SUM(MARKS!AI68,MARKS!BO68),"")</f>
        <v/>
      </c>
      <c r="BB76" s="178"/>
      <c r="BC76" s="177" t="str">
        <f t="shared" si="10"/>
        <v/>
      </c>
      <c r="BD76" s="177" t="str">
        <f t="shared" si="11"/>
        <v/>
      </c>
      <c r="BE76" s="177" t="str">
        <f t="shared" si="12"/>
        <v/>
      </c>
      <c r="BF76" s="47" t="str">
        <f t="shared" si="13"/>
        <v/>
      </c>
      <c r="BG76" s="70" t="str">
        <f t="shared" si="14"/>
        <v/>
      </c>
      <c r="BH76" s="177" t="str">
        <f t="shared" si="15"/>
        <v/>
      </c>
      <c r="BI76" s="47" t="str">
        <f>IF(A76&gt;0,FLN!I68,"")</f>
        <v/>
      </c>
      <c r="BJ76" s="47" t="str">
        <f>IF(A76&gt;0,FLN!J68,"")</f>
        <v/>
      </c>
      <c r="BK76" s="47" t="str">
        <f>IF(A76&gt;0,FLN!K68,"")</f>
        <v/>
      </c>
      <c r="BL76" s="47" t="str">
        <f t="shared" si="16"/>
        <v/>
      </c>
      <c r="BM76" s="130" t="str">
        <f>IF(BF76="","",IFERROR(RANK(BF76,$BF$12:$BF$111,0)+COUNTIFS($BF$12:BF76,BF76)-1,0))</f>
        <v/>
      </c>
      <c r="BN76" s="130" t="str">
        <f t="shared" si="17"/>
        <v/>
      </c>
    </row>
    <row r="77" s="98" customFormat="1" ht="27" customHeight="1" spans="1:66">
      <c r="A77" s="47">
        <f>IF(A76=0,0,IF(A76&lt;ENTRY!$D$24,A76+1,0))</f>
        <v>0</v>
      </c>
      <c r="B77" s="47" t="str">
        <f>IF(A77&gt;0,STUDENT!F67,"")</f>
        <v/>
      </c>
      <c r="C77" s="176" t="str">
        <f>IF(A77&gt;0,UPPER(STUDENT!E67),"")</f>
        <v/>
      </c>
      <c r="D77" s="176" t="str">
        <f>IF(A77&gt;0,UPPER(STUDENT!H67),"")</f>
        <v/>
      </c>
      <c r="E77" s="47" t="str">
        <f>IF(A77&gt;0,UPPER(STUDENT!BP67),"")</f>
        <v/>
      </c>
      <c r="F77" s="47" t="str">
        <f>IF(A77&gt;0,UPPER(STUDENT!BO67),"")</f>
        <v/>
      </c>
      <c r="G77" s="47" t="str">
        <f>IF(A77&gt;0,UPPER(STUDENT!Q67),"")</f>
        <v/>
      </c>
      <c r="H77" s="69" t="str">
        <f>IF(A77&gt;0,PASHEET!CI69/PASHEET!CJ69*100,"")</f>
        <v/>
      </c>
      <c r="I77" s="177" t="str">
        <f>IF(A77&gt;0,SUM(PASHEET!AL69,PASHEET!AT69),"")</f>
        <v/>
      </c>
      <c r="J77" s="177" t="str">
        <f>IF(A77&gt;0,SUM(MARKS!F69,MARKS!AL69),"")</f>
        <v/>
      </c>
      <c r="K77" s="177" t="str">
        <f>IF(A77&gt;0,SUM(MARKS!N69,MARKS!AT69),"")</f>
        <v/>
      </c>
      <c r="L77" s="177" t="str">
        <f>IF(A77&gt;0,SUM(MARKS!V69,MARKS!BB69),"")</f>
        <v/>
      </c>
      <c r="M77" s="177" t="str">
        <f>IF(A77&gt;0,SUM(MARKS!AD69,MARKS!BJ69),"")</f>
        <v/>
      </c>
      <c r="N77" s="178"/>
      <c r="O77" s="177" t="str">
        <f t="shared" ref="O77:O111" si="18">IF(A77&gt;0,SUM(I77,J77,K77,L77,M77,N77),"")</f>
        <v/>
      </c>
      <c r="P77" s="177" t="str">
        <f t="shared" ref="P77:P111" si="19">IF(O77="","",IF(O77=0,"Ab",IF(O77&gt;80,"A",IF(O77&gt;60,"B",IF(O77&gt;44,"C",IF(O77&gt;=33,"D",IF(O77&lt;=32,"E","")))))))</f>
        <v/>
      </c>
      <c r="Q77" s="177" t="str">
        <f>IF(A77&gt;0,SUM(PASHEET!AM69,PASHEET!AU69),"")</f>
        <v/>
      </c>
      <c r="R77" s="177" t="str">
        <f>IF(A77&gt;0,SUM(MARKS!G69,MARKS!AM69),"")</f>
        <v/>
      </c>
      <c r="S77" s="177" t="str">
        <f>IF(A77&gt;0,SUM(MARKS!O69,MARKS!AU69),"")</f>
        <v/>
      </c>
      <c r="T77" s="177" t="str">
        <f>IF(A77&gt;0,SUM(MARKS!W69,MARKS!BC69),"")</f>
        <v/>
      </c>
      <c r="U77" s="177" t="str">
        <f>IF(A77&gt;0,SUM(MARKS!AE69,MARKS!BK69),"")</f>
        <v/>
      </c>
      <c r="V77" s="178"/>
      <c r="W77" s="177" t="str">
        <f t="shared" ref="W77:W111" si="20">IF(A77&gt;0,SUM(Q77,R77,S77,T77,U77,V77),"")</f>
        <v/>
      </c>
      <c r="X77" s="177" t="str">
        <f t="shared" ref="X77:X111" si="21">IF(W77="","",IF(W77=0,"Ab",IF(W77&gt;80,"A",IF(W77&gt;60,"B",IF(W77&gt;44,"C",IF(W77&gt;=33,"D",IF(W77&lt;=32,"E","")))))))</f>
        <v/>
      </c>
      <c r="Y77" s="177" t="str">
        <f>IF(A77&gt;0,SUM(PASHEET!AN69,PASHEET!AV69),"")</f>
        <v/>
      </c>
      <c r="Z77" s="177" t="str">
        <f>IF(A77&gt;0,SUM(MARKS!H69,MARKS!AN69),"")</f>
        <v/>
      </c>
      <c r="AA77" s="177" t="str">
        <f>IF(A77&gt;0,SUM(MARKS!P69,MARKS!AV69),"")</f>
        <v/>
      </c>
      <c r="AB77" s="177" t="str">
        <f>IF(A77&gt;0,SUM(MARKS!X69,MARKS!BD69),"")</f>
        <v/>
      </c>
      <c r="AC77" s="177" t="str">
        <f>IF(A77&gt;0,SUM(MARKS!AF69,MARKS!BL69),"")</f>
        <v/>
      </c>
      <c r="AD77" s="178"/>
      <c r="AE77" s="177" t="str">
        <f t="shared" ref="AE77:AE111" si="22">IF(A77&gt;0,SUM(Y77,Z77,AA77,AB77,AC77,AD77),"")</f>
        <v/>
      </c>
      <c r="AF77" s="177" t="str">
        <f t="shared" ref="AF77:AF111" si="23">IF(AE77="","",IF(AE77=0,"Ab",IF(AE77&gt;80,"A",IF(AE77&gt;60,"B",IF(AE77&gt;44,"C",IF(AE77&gt;=33,"D",IF(AE77&lt;=32,"E","")))))))</f>
        <v/>
      </c>
      <c r="AG77" s="177" t="str">
        <f>IF(A77&gt;0,SUM(PASHEET!AO69,PASHEET!AW69),"")</f>
        <v/>
      </c>
      <c r="AH77" s="177" t="str">
        <f>IF(A77&gt;0,SUM(MARKS!I69,MARKS!AO69),"")</f>
        <v/>
      </c>
      <c r="AI77" s="177" t="str">
        <f>IF(A77&gt;0,SUM(MARKS!Q69,MARKS!AW69),"")</f>
        <v/>
      </c>
      <c r="AJ77" s="177" t="str">
        <f>IF(A77&gt;0,SUM(MARKS!Y69,MARKS!BE69),"")</f>
        <v/>
      </c>
      <c r="AK77" s="177" t="str">
        <f>IF(A77&gt;0,SUM(MARKS!AG69,MARKS!BM69),"")</f>
        <v/>
      </c>
      <c r="AL77" s="178"/>
      <c r="AM77" s="177" t="str">
        <f t="shared" ref="AM77:AM111" si="24">IF(A77&gt;0,SUM(AG77,AH77,AI77,AJ77,AK77,AL77),"")</f>
        <v/>
      </c>
      <c r="AN77" s="177" t="str">
        <f t="shared" ref="AN77:AN111" si="25">IF(AM77="","",IF(AM77=0,"Ab",IF(AM77&gt;80,"A",IF(AM77&gt;60,"B",IF(AM77&gt;44,"C",IF(AM77&gt;=33,"D",IF(AM77&lt;=32,"E","")))))))</f>
        <v/>
      </c>
      <c r="AO77" s="177" t="str">
        <f>IF(A77&gt;0,SUM(PASHEET!AP69,PASHEET!AX69),"")</f>
        <v/>
      </c>
      <c r="AP77" s="177" t="str">
        <f>IF(A77&gt;0,SUM(MARKS!J69,MARKS!AP69),"")</f>
        <v/>
      </c>
      <c r="AQ77" s="177" t="str">
        <f>IF(A77&gt;0,SUM(MARKS!R69,MARKS!AX69),"")</f>
        <v/>
      </c>
      <c r="AR77" s="177" t="str">
        <f>IF(A77&gt;0,SUM(MARKS!Z69,MARKS!BF69),"")</f>
        <v/>
      </c>
      <c r="AS77" s="177" t="str">
        <f>IF(A77&gt;0,SUM(MARKS!AH69,MARKS!BN69),"")</f>
        <v/>
      </c>
      <c r="AT77" s="178"/>
      <c r="AU77" s="177" t="str">
        <f t="shared" ref="AU77:AU111" si="26">IF(A77&gt;0,SUM(AO77,AP77,AQ77,AR77,AS77,AT77),"")</f>
        <v/>
      </c>
      <c r="AV77" s="177" t="str">
        <f t="shared" ref="AV77:AV111" si="27">IF(AU77="","",IF(AU77=0,"Ab",IF(AU77&gt;80,"A",IF(AU77&gt;60,"B",IF(AU77&gt;44,"C",IF(AU77&gt;=33,"D",IF(AU77&lt;=32,"E","")))))))</f>
        <v/>
      </c>
      <c r="AW77" s="177" t="str">
        <f>IF(A77&gt;0,SUM(PASHEET!AQ69,PASHEET!AY69),"")</f>
        <v/>
      </c>
      <c r="AX77" s="177" t="str">
        <f>IF(A77&gt;0,SUM(MARKS!K69,MARKS!AQ69),"")</f>
        <v/>
      </c>
      <c r="AY77" s="177" t="str">
        <f>IF(A77&gt;0,SUM(MARKS!S69,MARKS!AY69),"")</f>
        <v/>
      </c>
      <c r="AZ77" s="177" t="str">
        <f>IF(A77&gt;0,SUM(MARKS!AA69,MARKS!BG69),"")</f>
        <v/>
      </c>
      <c r="BA77" s="177" t="str">
        <f>IF(A77&gt;0,SUM(MARKS!AI69,MARKS!BO69),"")</f>
        <v/>
      </c>
      <c r="BB77" s="178"/>
      <c r="BC77" s="177" t="str">
        <f t="shared" ref="BC77:BC111" si="28">IF(A77&gt;0,SUM(AW77,AX77,AY77,AZ77,BA77,BB77),"")</f>
        <v/>
      </c>
      <c r="BD77" s="177" t="str">
        <f t="shared" ref="BD77:BD111" si="29">IF(BC77="","",IF(BC77=0,"Ab",IF(BC77&gt;80,"A",IF(BC77&gt;60,"B",IF(BC77&gt;44,"C",IF(BC77&gt;=33,"D",IF(BC77&lt;=32,"E","")))))))</f>
        <v/>
      </c>
      <c r="BE77" s="177" t="str">
        <f t="shared" ref="BE77:BE111" si="30">IF(A77&gt;0,SUM(N77,V77,AD77,AL77,AT77,BB77),"")</f>
        <v/>
      </c>
      <c r="BF77" s="47" t="str">
        <f t="shared" ref="BF77:BF111" si="31">IF(A77&gt;0,SUM(O77,W77,AE77,AM77,AU77,BC77,BE77),"")</f>
        <v/>
      </c>
      <c r="BG77" s="70" t="str">
        <f t="shared" ref="BG77:BG111" si="32">IFERROR(IF(A77&gt;0,BF77/$BF$11*100,""),"")</f>
        <v/>
      </c>
      <c r="BH77" s="177" t="str">
        <f t="shared" ref="BH77:BH111" si="33">IF(BG77="","",IF(BG77=0,"Ab",IF(BG77&gt;80,"A",IF(BG77&gt;60,"B",IF(BG77&gt;44,"C",IF(BG77&gt;=33,"D",IF(BG77&lt;=32,"E","")))))))</f>
        <v/>
      </c>
      <c r="BI77" s="47" t="str">
        <f>IF(A77&gt;0,FLN!I69,"")</f>
        <v/>
      </c>
      <c r="BJ77" s="47" t="str">
        <f>IF(A77&gt;0,FLN!J69,"")</f>
        <v/>
      </c>
      <c r="BK77" s="47" t="str">
        <f>IF(A77&gt;0,FLN!K69,"")</f>
        <v/>
      </c>
      <c r="BL77" s="47" t="str">
        <f t="shared" ref="BL77:BL111" si="34">IF(BG77="","",IF(BG77="Ab","PROMOTED",IF(BM77=1,"FIRST",IF(BM77=2,"SECOND",IF(BM77=3,"THIRD",IF(AND(O77&lt;33),"PROMOTED",IF(AND(W77&lt;33),"PROMOTED",IF(AND(AE77&lt;33),"PROMOTED",IF(AND(AM77&lt;33),"PROMOTED",IF(AND(AU77&lt;33),"PROMOTED",IF(AND(BC77&lt;33),"PROMOTED",IF(AND(BG77&lt;33),"PROMOTED",IF(AND(BG77&gt;32.99),"PASSED")))))))))))))</f>
        <v/>
      </c>
      <c r="BM77" s="130" t="str">
        <f>IF(BF77="","",IFERROR(RANK(BF77,$BF$12:$BF$111,0)+COUNTIFS($BF$12:BF77,BF77)-1,0))</f>
        <v/>
      </c>
      <c r="BN77" s="130" t="str">
        <f t="shared" ref="BN77:BN111" si="35">IF(BF77="","",BF77)</f>
        <v/>
      </c>
    </row>
    <row r="78" s="98" customFormat="1" ht="27" customHeight="1" spans="1:66">
      <c r="A78" s="47">
        <f>IF(A77=0,0,IF(A77&lt;ENTRY!$D$24,A77+1,0))</f>
        <v>0</v>
      </c>
      <c r="B78" s="47" t="str">
        <f>IF(A78&gt;0,STUDENT!F68,"")</f>
        <v/>
      </c>
      <c r="C78" s="176" t="str">
        <f>IF(A78&gt;0,UPPER(STUDENT!E68),"")</f>
        <v/>
      </c>
      <c r="D78" s="176" t="str">
        <f>IF(A78&gt;0,UPPER(STUDENT!H68),"")</f>
        <v/>
      </c>
      <c r="E78" s="47" t="str">
        <f>IF(A78&gt;0,UPPER(STUDENT!BP68),"")</f>
        <v/>
      </c>
      <c r="F78" s="47" t="str">
        <f>IF(A78&gt;0,UPPER(STUDENT!BO68),"")</f>
        <v/>
      </c>
      <c r="G78" s="47" t="str">
        <f>IF(A78&gt;0,UPPER(STUDENT!Q68),"")</f>
        <v/>
      </c>
      <c r="H78" s="69" t="str">
        <f>IF(A78&gt;0,PASHEET!CI70/PASHEET!CJ70*100,"")</f>
        <v/>
      </c>
      <c r="I78" s="177" t="str">
        <f>IF(A78&gt;0,SUM(PASHEET!AL70,PASHEET!AT70),"")</f>
        <v/>
      </c>
      <c r="J78" s="177" t="str">
        <f>IF(A78&gt;0,SUM(MARKS!F70,MARKS!AL70),"")</f>
        <v/>
      </c>
      <c r="K78" s="177" t="str">
        <f>IF(A78&gt;0,SUM(MARKS!N70,MARKS!AT70),"")</f>
        <v/>
      </c>
      <c r="L78" s="177" t="str">
        <f>IF(A78&gt;0,SUM(MARKS!V70,MARKS!BB70),"")</f>
        <v/>
      </c>
      <c r="M78" s="177" t="str">
        <f>IF(A78&gt;0,SUM(MARKS!AD70,MARKS!BJ70),"")</f>
        <v/>
      </c>
      <c r="N78" s="178"/>
      <c r="O78" s="177" t="str">
        <f t="shared" si="18"/>
        <v/>
      </c>
      <c r="P78" s="177" t="str">
        <f t="shared" si="19"/>
        <v/>
      </c>
      <c r="Q78" s="177" t="str">
        <f>IF(A78&gt;0,SUM(PASHEET!AM70,PASHEET!AU70),"")</f>
        <v/>
      </c>
      <c r="R78" s="177" t="str">
        <f>IF(A78&gt;0,SUM(MARKS!G70,MARKS!AM70),"")</f>
        <v/>
      </c>
      <c r="S78" s="177" t="str">
        <f>IF(A78&gt;0,SUM(MARKS!O70,MARKS!AU70),"")</f>
        <v/>
      </c>
      <c r="T78" s="177" t="str">
        <f>IF(A78&gt;0,SUM(MARKS!W70,MARKS!BC70),"")</f>
        <v/>
      </c>
      <c r="U78" s="177" t="str">
        <f>IF(A78&gt;0,SUM(MARKS!AE70,MARKS!BK70),"")</f>
        <v/>
      </c>
      <c r="V78" s="178"/>
      <c r="W78" s="177" t="str">
        <f t="shared" si="20"/>
        <v/>
      </c>
      <c r="X78" s="177" t="str">
        <f t="shared" si="21"/>
        <v/>
      </c>
      <c r="Y78" s="177" t="str">
        <f>IF(A78&gt;0,SUM(PASHEET!AN70,PASHEET!AV70),"")</f>
        <v/>
      </c>
      <c r="Z78" s="177" t="str">
        <f>IF(A78&gt;0,SUM(MARKS!H70,MARKS!AN70),"")</f>
        <v/>
      </c>
      <c r="AA78" s="177" t="str">
        <f>IF(A78&gt;0,SUM(MARKS!P70,MARKS!AV70),"")</f>
        <v/>
      </c>
      <c r="AB78" s="177" t="str">
        <f>IF(A78&gt;0,SUM(MARKS!X70,MARKS!BD70),"")</f>
        <v/>
      </c>
      <c r="AC78" s="177" t="str">
        <f>IF(A78&gt;0,SUM(MARKS!AF70,MARKS!BL70),"")</f>
        <v/>
      </c>
      <c r="AD78" s="178"/>
      <c r="AE78" s="177" t="str">
        <f t="shared" si="22"/>
        <v/>
      </c>
      <c r="AF78" s="177" t="str">
        <f t="shared" si="23"/>
        <v/>
      </c>
      <c r="AG78" s="177" t="str">
        <f>IF(A78&gt;0,SUM(PASHEET!AO70,PASHEET!AW70),"")</f>
        <v/>
      </c>
      <c r="AH78" s="177" t="str">
        <f>IF(A78&gt;0,SUM(MARKS!I70,MARKS!AO70),"")</f>
        <v/>
      </c>
      <c r="AI78" s="177" t="str">
        <f>IF(A78&gt;0,SUM(MARKS!Q70,MARKS!AW70),"")</f>
        <v/>
      </c>
      <c r="AJ78" s="177" t="str">
        <f>IF(A78&gt;0,SUM(MARKS!Y70,MARKS!BE70),"")</f>
        <v/>
      </c>
      <c r="AK78" s="177" t="str">
        <f>IF(A78&gt;0,SUM(MARKS!AG70,MARKS!BM70),"")</f>
        <v/>
      </c>
      <c r="AL78" s="178"/>
      <c r="AM78" s="177" t="str">
        <f t="shared" si="24"/>
        <v/>
      </c>
      <c r="AN78" s="177" t="str">
        <f t="shared" si="25"/>
        <v/>
      </c>
      <c r="AO78" s="177" t="str">
        <f>IF(A78&gt;0,SUM(PASHEET!AP70,PASHEET!AX70),"")</f>
        <v/>
      </c>
      <c r="AP78" s="177" t="str">
        <f>IF(A78&gt;0,SUM(MARKS!J70,MARKS!AP70),"")</f>
        <v/>
      </c>
      <c r="AQ78" s="177" t="str">
        <f>IF(A78&gt;0,SUM(MARKS!R70,MARKS!AX70),"")</f>
        <v/>
      </c>
      <c r="AR78" s="177" t="str">
        <f>IF(A78&gt;0,SUM(MARKS!Z70,MARKS!BF70),"")</f>
        <v/>
      </c>
      <c r="AS78" s="177" t="str">
        <f>IF(A78&gt;0,SUM(MARKS!AH70,MARKS!BN70),"")</f>
        <v/>
      </c>
      <c r="AT78" s="178"/>
      <c r="AU78" s="177" t="str">
        <f t="shared" si="26"/>
        <v/>
      </c>
      <c r="AV78" s="177" t="str">
        <f t="shared" si="27"/>
        <v/>
      </c>
      <c r="AW78" s="177" t="str">
        <f>IF(A78&gt;0,SUM(PASHEET!AQ70,PASHEET!AY70),"")</f>
        <v/>
      </c>
      <c r="AX78" s="177" t="str">
        <f>IF(A78&gt;0,SUM(MARKS!K70,MARKS!AQ70),"")</f>
        <v/>
      </c>
      <c r="AY78" s="177" t="str">
        <f>IF(A78&gt;0,SUM(MARKS!S70,MARKS!AY70),"")</f>
        <v/>
      </c>
      <c r="AZ78" s="177" t="str">
        <f>IF(A78&gt;0,SUM(MARKS!AA70,MARKS!BG70),"")</f>
        <v/>
      </c>
      <c r="BA78" s="177" t="str">
        <f>IF(A78&gt;0,SUM(MARKS!AI70,MARKS!BO70),"")</f>
        <v/>
      </c>
      <c r="BB78" s="178"/>
      <c r="BC78" s="177" t="str">
        <f t="shared" si="28"/>
        <v/>
      </c>
      <c r="BD78" s="177" t="str">
        <f t="shared" si="29"/>
        <v/>
      </c>
      <c r="BE78" s="177" t="str">
        <f t="shared" si="30"/>
        <v/>
      </c>
      <c r="BF78" s="47" t="str">
        <f t="shared" si="31"/>
        <v/>
      </c>
      <c r="BG78" s="70" t="str">
        <f t="shared" si="32"/>
        <v/>
      </c>
      <c r="BH78" s="177" t="str">
        <f t="shared" si="33"/>
        <v/>
      </c>
      <c r="BI78" s="47" t="str">
        <f>IF(A78&gt;0,FLN!I70,"")</f>
        <v/>
      </c>
      <c r="BJ78" s="47" t="str">
        <f>IF(A78&gt;0,FLN!J70,"")</f>
        <v/>
      </c>
      <c r="BK78" s="47" t="str">
        <f>IF(A78&gt;0,FLN!K70,"")</f>
        <v/>
      </c>
      <c r="BL78" s="47" t="str">
        <f t="shared" si="34"/>
        <v/>
      </c>
      <c r="BM78" s="130" t="str">
        <f>IF(BF78="","",IFERROR(RANK(BF78,$BF$12:$BF$111,0)+COUNTIFS($BF$12:BF78,BF78)-1,0))</f>
        <v/>
      </c>
      <c r="BN78" s="130" t="str">
        <f t="shared" si="35"/>
        <v/>
      </c>
    </row>
    <row r="79" s="98" customFormat="1" ht="27" customHeight="1" spans="1:66">
      <c r="A79" s="47">
        <f>IF(A78=0,0,IF(A78&lt;ENTRY!$D$24,A78+1,0))</f>
        <v>0</v>
      </c>
      <c r="B79" s="47" t="str">
        <f>IF(A79&gt;0,STUDENT!F69,"")</f>
        <v/>
      </c>
      <c r="C79" s="176" t="str">
        <f>IF(A79&gt;0,UPPER(STUDENT!E69),"")</f>
        <v/>
      </c>
      <c r="D79" s="176" t="str">
        <f>IF(A79&gt;0,UPPER(STUDENT!H69),"")</f>
        <v/>
      </c>
      <c r="E79" s="47" t="str">
        <f>IF(A79&gt;0,UPPER(STUDENT!BP69),"")</f>
        <v/>
      </c>
      <c r="F79" s="47" t="str">
        <f>IF(A79&gt;0,UPPER(STUDENT!BO69),"")</f>
        <v/>
      </c>
      <c r="G79" s="47" t="str">
        <f>IF(A79&gt;0,UPPER(STUDENT!Q69),"")</f>
        <v/>
      </c>
      <c r="H79" s="69" t="str">
        <f>IF(A79&gt;0,PASHEET!CI71/PASHEET!CJ71*100,"")</f>
        <v/>
      </c>
      <c r="I79" s="177" t="str">
        <f>IF(A79&gt;0,SUM(PASHEET!AL71,PASHEET!AT71),"")</f>
        <v/>
      </c>
      <c r="J79" s="177" t="str">
        <f>IF(A79&gt;0,SUM(MARKS!F71,MARKS!AL71),"")</f>
        <v/>
      </c>
      <c r="K79" s="177" t="str">
        <f>IF(A79&gt;0,SUM(MARKS!N71,MARKS!AT71),"")</f>
        <v/>
      </c>
      <c r="L79" s="177" t="str">
        <f>IF(A79&gt;0,SUM(MARKS!V71,MARKS!BB71),"")</f>
        <v/>
      </c>
      <c r="M79" s="177" t="str">
        <f>IF(A79&gt;0,SUM(MARKS!AD71,MARKS!BJ71),"")</f>
        <v/>
      </c>
      <c r="N79" s="178"/>
      <c r="O79" s="177" t="str">
        <f t="shared" si="18"/>
        <v/>
      </c>
      <c r="P79" s="177" t="str">
        <f t="shared" si="19"/>
        <v/>
      </c>
      <c r="Q79" s="177" t="str">
        <f>IF(A79&gt;0,SUM(PASHEET!AM71,PASHEET!AU71),"")</f>
        <v/>
      </c>
      <c r="R79" s="177" t="str">
        <f>IF(A79&gt;0,SUM(MARKS!G71,MARKS!AM71),"")</f>
        <v/>
      </c>
      <c r="S79" s="177" t="str">
        <f>IF(A79&gt;0,SUM(MARKS!O71,MARKS!AU71),"")</f>
        <v/>
      </c>
      <c r="T79" s="177" t="str">
        <f>IF(A79&gt;0,SUM(MARKS!W71,MARKS!BC71),"")</f>
        <v/>
      </c>
      <c r="U79" s="177" t="str">
        <f>IF(A79&gt;0,SUM(MARKS!AE71,MARKS!BK71),"")</f>
        <v/>
      </c>
      <c r="V79" s="178"/>
      <c r="W79" s="177" t="str">
        <f t="shared" si="20"/>
        <v/>
      </c>
      <c r="X79" s="177" t="str">
        <f t="shared" si="21"/>
        <v/>
      </c>
      <c r="Y79" s="177" t="str">
        <f>IF(A79&gt;0,SUM(PASHEET!AN71,PASHEET!AV71),"")</f>
        <v/>
      </c>
      <c r="Z79" s="177" t="str">
        <f>IF(A79&gt;0,SUM(MARKS!H71,MARKS!AN71),"")</f>
        <v/>
      </c>
      <c r="AA79" s="177" t="str">
        <f>IF(A79&gt;0,SUM(MARKS!P71,MARKS!AV71),"")</f>
        <v/>
      </c>
      <c r="AB79" s="177" t="str">
        <f>IF(A79&gt;0,SUM(MARKS!X71,MARKS!BD71),"")</f>
        <v/>
      </c>
      <c r="AC79" s="177" t="str">
        <f>IF(A79&gt;0,SUM(MARKS!AF71,MARKS!BL71),"")</f>
        <v/>
      </c>
      <c r="AD79" s="178"/>
      <c r="AE79" s="177" t="str">
        <f t="shared" si="22"/>
        <v/>
      </c>
      <c r="AF79" s="177" t="str">
        <f t="shared" si="23"/>
        <v/>
      </c>
      <c r="AG79" s="177" t="str">
        <f>IF(A79&gt;0,SUM(PASHEET!AO71,PASHEET!AW71),"")</f>
        <v/>
      </c>
      <c r="AH79" s="177" t="str">
        <f>IF(A79&gt;0,SUM(MARKS!I71,MARKS!AO71),"")</f>
        <v/>
      </c>
      <c r="AI79" s="177" t="str">
        <f>IF(A79&gt;0,SUM(MARKS!Q71,MARKS!AW71),"")</f>
        <v/>
      </c>
      <c r="AJ79" s="177" t="str">
        <f>IF(A79&gt;0,SUM(MARKS!Y71,MARKS!BE71),"")</f>
        <v/>
      </c>
      <c r="AK79" s="177" t="str">
        <f>IF(A79&gt;0,SUM(MARKS!AG71,MARKS!BM71),"")</f>
        <v/>
      </c>
      <c r="AL79" s="178"/>
      <c r="AM79" s="177" t="str">
        <f t="shared" si="24"/>
        <v/>
      </c>
      <c r="AN79" s="177" t="str">
        <f t="shared" si="25"/>
        <v/>
      </c>
      <c r="AO79" s="177" t="str">
        <f>IF(A79&gt;0,SUM(PASHEET!AP71,PASHEET!AX71),"")</f>
        <v/>
      </c>
      <c r="AP79" s="177" t="str">
        <f>IF(A79&gt;0,SUM(MARKS!J71,MARKS!AP71),"")</f>
        <v/>
      </c>
      <c r="AQ79" s="177" t="str">
        <f>IF(A79&gt;0,SUM(MARKS!R71,MARKS!AX71),"")</f>
        <v/>
      </c>
      <c r="AR79" s="177" t="str">
        <f>IF(A79&gt;0,SUM(MARKS!Z71,MARKS!BF71),"")</f>
        <v/>
      </c>
      <c r="AS79" s="177" t="str">
        <f>IF(A79&gt;0,SUM(MARKS!AH71,MARKS!BN71),"")</f>
        <v/>
      </c>
      <c r="AT79" s="178"/>
      <c r="AU79" s="177" t="str">
        <f t="shared" si="26"/>
        <v/>
      </c>
      <c r="AV79" s="177" t="str">
        <f t="shared" si="27"/>
        <v/>
      </c>
      <c r="AW79" s="177" t="str">
        <f>IF(A79&gt;0,SUM(PASHEET!AQ71,PASHEET!AY71),"")</f>
        <v/>
      </c>
      <c r="AX79" s="177" t="str">
        <f>IF(A79&gt;0,SUM(MARKS!K71,MARKS!AQ71),"")</f>
        <v/>
      </c>
      <c r="AY79" s="177" t="str">
        <f>IF(A79&gt;0,SUM(MARKS!S71,MARKS!AY71),"")</f>
        <v/>
      </c>
      <c r="AZ79" s="177" t="str">
        <f>IF(A79&gt;0,SUM(MARKS!AA71,MARKS!BG71),"")</f>
        <v/>
      </c>
      <c r="BA79" s="177" t="str">
        <f>IF(A79&gt;0,SUM(MARKS!AI71,MARKS!BO71),"")</f>
        <v/>
      </c>
      <c r="BB79" s="178"/>
      <c r="BC79" s="177" t="str">
        <f t="shared" si="28"/>
        <v/>
      </c>
      <c r="BD79" s="177" t="str">
        <f t="shared" si="29"/>
        <v/>
      </c>
      <c r="BE79" s="177" t="str">
        <f t="shared" si="30"/>
        <v/>
      </c>
      <c r="BF79" s="47" t="str">
        <f t="shared" si="31"/>
        <v/>
      </c>
      <c r="BG79" s="70" t="str">
        <f t="shared" si="32"/>
        <v/>
      </c>
      <c r="BH79" s="177" t="str">
        <f t="shared" si="33"/>
        <v/>
      </c>
      <c r="BI79" s="47" t="str">
        <f>IF(A79&gt;0,FLN!I71,"")</f>
        <v/>
      </c>
      <c r="BJ79" s="47" t="str">
        <f>IF(A79&gt;0,FLN!J71,"")</f>
        <v/>
      </c>
      <c r="BK79" s="47" t="str">
        <f>IF(A79&gt;0,FLN!K71,"")</f>
        <v/>
      </c>
      <c r="BL79" s="47" t="str">
        <f t="shared" si="34"/>
        <v/>
      </c>
      <c r="BM79" s="130" t="str">
        <f>IF(BF79="","",IFERROR(RANK(BF79,$BF$12:$BF$111,0)+COUNTIFS($BF$12:BF79,BF79)-1,0))</f>
        <v/>
      </c>
      <c r="BN79" s="130" t="str">
        <f t="shared" si="35"/>
        <v/>
      </c>
    </row>
    <row r="80" s="98" customFormat="1" ht="27" customHeight="1" spans="1:66">
      <c r="A80" s="47">
        <f>IF(A79=0,0,IF(A79&lt;ENTRY!$D$24,A79+1,0))</f>
        <v>0</v>
      </c>
      <c r="B80" s="47" t="str">
        <f>IF(A80&gt;0,STUDENT!F70,"")</f>
        <v/>
      </c>
      <c r="C80" s="176" t="str">
        <f>IF(A80&gt;0,UPPER(STUDENT!E70),"")</f>
        <v/>
      </c>
      <c r="D80" s="176" t="str">
        <f>IF(A80&gt;0,UPPER(STUDENT!H70),"")</f>
        <v/>
      </c>
      <c r="E80" s="47" t="str">
        <f>IF(A80&gt;0,UPPER(STUDENT!BP70),"")</f>
        <v/>
      </c>
      <c r="F80" s="47" t="str">
        <f>IF(A80&gt;0,UPPER(STUDENT!BO70),"")</f>
        <v/>
      </c>
      <c r="G80" s="47" t="str">
        <f>IF(A80&gt;0,UPPER(STUDENT!Q70),"")</f>
        <v/>
      </c>
      <c r="H80" s="69" t="str">
        <f>IF(A80&gt;0,PASHEET!CI72/PASHEET!CJ72*100,"")</f>
        <v/>
      </c>
      <c r="I80" s="177" t="str">
        <f>IF(A80&gt;0,SUM(PASHEET!AL72,PASHEET!AT72),"")</f>
        <v/>
      </c>
      <c r="J80" s="177" t="str">
        <f>IF(A80&gt;0,SUM(MARKS!F72,MARKS!AL72),"")</f>
        <v/>
      </c>
      <c r="K80" s="177" t="str">
        <f>IF(A80&gt;0,SUM(MARKS!N72,MARKS!AT72),"")</f>
        <v/>
      </c>
      <c r="L80" s="177" t="str">
        <f>IF(A80&gt;0,SUM(MARKS!V72,MARKS!BB72),"")</f>
        <v/>
      </c>
      <c r="M80" s="177" t="str">
        <f>IF(A80&gt;0,SUM(MARKS!AD72,MARKS!BJ72),"")</f>
        <v/>
      </c>
      <c r="N80" s="178"/>
      <c r="O80" s="177" t="str">
        <f t="shared" si="18"/>
        <v/>
      </c>
      <c r="P80" s="177" t="str">
        <f t="shared" si="19"/>
        <v/>
      </c>
      <c r="Q80" s="177" t="str">
        <f>IF(A80&gt;0,SUM(PASHEET!AM72,PASHEET!AU72),"")</f>
        <v/>
      </c>
      <c r="R80" s="177" t="str">
        <f>IF(A80&gt;0,SUM(MARKS!G72,MARKS!AM72),"")</f>
        <v/>
      </c>
      <c r="S80" s="177" t="str">
        <f>IF(A80&gt;0,SUM(MARKS!O72,MARKS!AU72),"")</f>
        <v/>
      </c>
      <c r="T80" s="177" t="str">
        <f>IF(A80&gt;0,SUM(MARKS!W72,MARKS!BC72),"")</f>
        <v/>
      </c>
      <c r="U80" s="177" t="str">
        <f>IF(A80&gt;0,SUM(MARKS!AE72,MARKS!BK72),"")</f>
        <v/>
      </c>
      <c r="V80" s="178"/>
      <c r="W80" s="177" t="str">
        <f t="shared" si="20"/>
        <v/>
      </c>
      <c r="X80" s="177" t="str">
        <f t="shared" si="21"/>
        <v/>
      </c>
      <c r="Y80" s="177" t="str">
        <f>IF(A80&gt;0,SUM(PASHEET!AN72,PASHEET!AV72),"")</f>
        <v/>
      </c>
      <c r="Z80" s="177" t="str">
        <f>IF(A80&gt;0,SUM(MARKS!H72,MARKS!AN72),"")</f>
        <v/>
      </c>
      <c r="AA80" s="177" t="str">
        <f>IF(A80&gt;0,SUM(MARKS!P72,MARKS!AV72),"")</f>
        <v/>
      </c>
      <c r="AB80" s="177" t="str">
        <f>IF(A80&gt;0,SUM(MARKS!X72,MARKS!BD72),"")</f>
        <v/>
      </c>
      <c r="AC80" s="177" t="str">
        <f>IF(A80&gt;0,SUM(MARKS!AF72,MARKS!BL72),"")</f>
        <v/>
      </c>
      <c r="AD80" s="178"/>
      <c r="AE80" s="177" t="str">
        <f t="shared" si="22"/>
        <v/>
      </c>
      <c r="AF80" s="177" t="str">
        <f t="shared" si="23"/>
        <v/>
      </c>
      <c r="AG80" s="177" t="str">
        <f>IF(A80&gt;0,SUM(PASHEET!AO72,PASHEET!AW72),"")</f>
        <v/>
      </c>
      <c r="AH80" s="177" t="str">
        <f>IF(A80&gt;0,SUM(MARKS!I72,MARKS!AO72),"")</f>
        <v/>
      </c>
      <c r="AI80" s="177" t="str">
        <f>IF(A80&gt;0,SUM(MARKS!Q72,MARKS!AW72),"")</f>
        <v/>
      </c>
      <c r="AJ80" s="177" t="str">
        <f>IF(A80&gt;0,SUM(MARKS!Y72,MARKS!BE72),"")</f>
        <v/>
      </c>
      <c r="AK80" s="177" t="str">
        <f>IF(A80&gt;0,SUM(MARKS!AG72,MARKS!BM72),"")</f>
        <v/>
      </c>
      <c r="AL80" s="178"/>
      <c r="AM80" s="177" t="str">
        <f t="shared" si="24"/>
        <v/>
      </c>
      <c r="AN80" s="177" t="str">
        <f t="shared" si="25"/>
        <v/>
      </c>
      <c r="AO80" s="177" t="str">
        <f>IF(A80&gt;0,SUM(PASHEET!AP72,PASHEET!AX72),"")</f>
        <v/>
      </c>
      <c r="AP80" s="177" t="str">
        <f>IF(A80&gt;0,SUM(MARKS!J72,MARKS!AP72),"")</f>
        <v/>
      </c>
      <c r="AQ80" s="177" t="str">
        <f>IF(A80&gt;0,SUM(MARKS!R72,MARKS!AX72),"")</f>
        <v/>
      </c>
      <c r="AR80" s="177" t="str">
        <f>IF(A80&gt;0,SUM(MARKS!Z72,MARKS!BF72),"")</f>
        <v/>
      </c>
      <c r="AS80" s="177" t="str">
        <f>IF(A80&gt;0,SUM(MARKS!AH72,MARKS!BN72),"")</f>
        <v/>
      </c>
      <c r="AT80" s="178"/>
      <c r="AU80" s="177" t="str">
        <f t="shared" si="26"/>
        <v/>
      </c>
      <c r="AV80" s="177" t="str">
        <f t="shared" si="27"/>
        <v/>
      </c>
      <c r="AW80" s="177" t="str">
        <f>IF(A80&gt;0,SUM(PASHEET!AQ72,PASHEET!AY72),"")</f>
        <v/>
      </c>
      <c r="AX80" s="177" t="str">
        <f>IF(A80&gt;0,SUM(MARKS!K72,MARKS!AQ72),"")</f>
        <v/>
      </c>
      <c r="AY80" s="177" t="str">
        <f>IF(A80&gt;0,SUM(MARKS!S72,MARKS!AY72),"")</f>
        <v/>
      </c>
      <c r="AZ80" s="177" t="str">
        <f>IF(A80&gt;0,SUM(MARKS!AA72,MARKS!BG72),"")</f>
        <v/>
      </c>
      <c r="BA80" s="177" t="str">
        <f>IF(A80&gt;0,SUM(MARKS!AI72,MARKS!BO72),"")</f>
        <v/>
      </c>
      <c r="BB80" s="178"/>
      <c r="BC80" s="177" t="str">
        <f t="shared" si="28"/>
        <v/>
      </c>
      <c r="BD80" s="177" t="str">
        <f t="shared" si="29"/>
        <v/>
      </c>
      <c r="BE80" s="177" t="str">
        <f t="shared" si="30"/>
        <v/>
      </c>
      <c r="BF80" s="47" t="str">
        <f t="shared" si="31"/>
        <v/>
      </c>
      <c r="BG80" s="70" t="str">
        <f t="shared" si="32"/>
        <v/>
      </c>
      <c r="BH80" s="177" t="str">
        <f t="shared" si="33"/>
        <v/>
      </c>
      <c r="BI80" s="47" t="str">
        <f>IF(A80&gt;0,FLN!I72,"")</f>
        <v/>
      </c>
      <c r="BJ80" s="47" t="str">
        <f>IF(A80&gt;0,FLN!J72,"")</f>
        <v/>
      </c>
      <c r="BK80" s="47" t="str">
        <f>IF(A80&gt;0,FLN!K72,"")</f>
        <v/>
      </c>
      <c r="BL80" s="47" t="str">
        <f t="shared" si="34"/>
        <v/>
      </c>
      <c r="BM80" s="130" t="str">
        <f>IF(BF80="","",IFERROR(RANK(BF80,$BF$12:$BF$111,0)+COUNTIFS($BF$12:BF80,BF80)-1,0))</f>
        <v/>
      </c>
      <c r="BN80" s="130" t="str">
        <f t="shared" si="35"/>
        <v/>
      </c>
    </row>
    <row r="81" s="98" customFormat="1" ht="27" customHeight="1" spans="1:66">
      <c r="A81" s="47">
        <f>IF(A80=0,0,IF(A80&lt;ENTRY!$D$24,A80+1,0))</f>
        <v>0</v>
      </c>
      <c r="B81" s="47" t="str">
        <f>IF(A81&gt;0,STUDENT!F71,"")</f>
        <v/>
      </c>
      <c r="C81" s="176" t="str">
        <f>IF(A81&gt;0,UPPER(STUDENT!E71),"")</f>
        <v/>
      </c>
      <c r="D81" s="176" t="str">
        <f>IF(A81&gt;0,UPPER(STUDENT!H71),"")</f>
        <v/>
      </c>
      <c r="E81" s="47" t="str">
        <f>IF(A81&gt;0,UPPER(STUDENT!BP71),"")</f>
        <v/>
      </c>
      <c r="F81" s="47" t="str">
        <f>IF(A81&gt;0,UPPER(STUDENT!BO71),"")</f>
        <v/>
      </c>
      <c r="G81" s="47" t="str">
        <f>IF(A81&gt;0,UPPER(STUDENT!Q71),"")</f>
        <v/>
      </c>
      <c r="H81" s="69" t="str">
        <f>IF(A81&gt;0,PASHEET!CI73/PASHEET!CJ73*100,"")</f>
        <v/>
      </c>
      <c r="I81" s="177" t="str">
        <f>IF(A81&gt;0,SUM(PASHEET!AL73,PASHEET!AT73),"")</f>
        <v/>
      </c>
      <c r="J81" s="177" t="str">
        <f>IF(A81&gt;0,SUM(MARKS!F73,MARKS!AL73),"")</f>
        <v/>
      </c>
      <c r="K81" s="177" t="str">
        <f>IF(A81&gt;0,SUM(MARKS!N73,MARKS!AT73),"")</f>
        <v/>
      </c>
      <c r="L81" s="177" t="str">
        <f>IF(A81&gt;0,SUM(MARKS!V73,MARKS!BB73),"")</f>
        <v/>
      </c>
      <c r="M81" s="177" t="str">
        <f>IF(A81&gt;0,SUM(MARKS!AD73,MARKS!BJ73),"")</f>
        <v/>
      </c>
      <c r="N81" s="178"/>
      <c r="O81" s="177" t="str">
        <f t="shared" si="18"/>
        <v/>
      </c>
      <c r="P81" s="177" t="str">
        <f t="shared" si="19"/>
        <v/>
      </c>
      <c r="Q81" s="177" t="str">
        <f>IF(A81&gt;0,SUM(PASHEET!AM73,PASHEET!AU73),"")</f>
        <v/>
      </c>
      <c r="R81" s="177" t="str">
        <f>IF(A81&gt;0,SUM(MARKS!G73,MARKS!AM73),"")</f>
        <v/>
      </c>
      <c r="S81" s="177" t="str">
        <f>IF(A81&gt;0,SUM(MARKS!O73,MARKS!AU73),"")</f>
        <v/>
      </c>
      <c r="T81" s="177" t="str">
        <f>IF(A81&gt;0,SUM(MARKS!W73,MARKS!BC73),"")</f>
        <v/>
      </c>
      <c r="U81" s="177" t="str">
        <f>IF(A81&gt;0,SUM(MARKS!AE73,MARKS!BK73),"")</f>
        <v/>
      </c>
      <c r="V81" s="178"/>
      <c r="W81" s="177" t="str">
        <f t="shared" si="20"/>
        <v/>
      </c>
      <c r="X81" s="177" t="str">
        <f t="shared" si="21"/>
        <v/>
      </c>
      <c r="Y81" s="177" t="str">
        <f>IF(A81&gt;0,SUM(PASHEET!AN73,PASHEET!AV73),"")</f>
        <v/>
      </c>
      <c r="Z81" s="177" t="str">
        <f>IF(A81&gt;0,SUM(MARKS!H73,MARKS!AN73),"")</f>
        <v/>
      </c>
      <c r="AA81" s="177" t="str">
        <f>IF(A81&gt;0,SUM(MARKS!P73,MARKS!AV73),"")</f>
        <v/>
      </c>
      <c r="AB81" s="177" t="str">
        <f>IF(A81&gt;0,SUM(MARKS!X73,MARKS!BD73),"")</f>
        <v/>
      </c>
      <c r="AC81" s="177" t="str">
        <f>IF(A81&gt;0,SUM(MARKS!AF73,MARKS!BL73),"")</f>
        <v/>
      </c>
      <c r="AD81" s="178"/>
      <c r="AE81" s="177" t="str">
        <f t="shared" si="22"/>
        <v/>
      </c>
      <c r="AF81" s="177" t="str">
        <f t="shared" si="23"/>
        <v/>
      </c>
      <c r="AG81" s="177" t="str">
        <f>IF(A81&gt;0,SUM(PASHEET!AO73,PASHEET!AW73),"")</f>
        <v/>
      </c>
      <c r="AH81" s="177" t="str">
        <f>IF(A81&gt;0,SUM(MARKS!I73,MARKS!AO73),"")</f>
        <v/>
      </c>
      <c r="AI81" s="177" t="str">
        <f>IF(A81&gt;0,SUM(MARKS!Q73,MARKS!AW73),"")</f>
        <v/>
      </c>
      <c r="AJ81" s="177" t="str">
        <f>IF(A81&gt;0,SUM(MARKS!Y73,MARKS!BE73),"")</f>
        <v/>
      </c>
      <c r="AK81" s="177" t="str">
        <f>IF(A81&gt;0,SUM(MARKS!AG73,MARKS!BM73),"")</f>
        <v/>
      </c>
      <c r="AL81" s="178"/>
      <c r="AM81" s="177" t="str">
        <f t="shared" si="24"/>
        <v/>
      </c>
      <c r="AN81" s="177" t="str">
        <f t="shared" si="25"/>
        <v/>
      </c>
      <c r="AO81" s="177" t="str">
        <f>IF(A81&gt;0,SUM(PASHEET!AP73,PASHEET!AX73),"")</f>
        <v/>
      </c>
      <c r="AP81" s="177" t="str">
        <f>IF(A81&gt;0,SUM(MARKS!J73,MARKS!AP73),"")</f>
        <v/>
      </c>
      <c r="AQ81" s="177" t="str">
        <f>IF(A81&gt;0,SUM(MARKS!R73,MARKS!AX73),"")</f>
        <v/>
      </c>
      <c r="AR81" s="177" t="str">
        <f>IF(A81&gt;0,SUM(MARKS!Z73,MARKS!BF73),"")</f>
        <v/>
      </c>
      <c r="AS81" s="177" t="str">
        <f>IF(A81&gt;0,SUM(MARKS!AH73,MARKS!BN73),"")</f>
        <v/>
      </c>
      <c r="AT81" s="178"/>
      <c r="AU81" s="177" t="str">
        <f t="shared" si="26"/>
        <v/>
      </c>
      <c r="AV81" s="177" t="str">
        <f t="shared" si="27"/>
        <v/>
      </c>
      <c r="AW81" s="177" t="str">
        <f>IF(A81&gt;0,SUM(PASHEET!AQ73,PASHEET!AY73),"")</f>
        <v/>
      </c>
      <c r="AX81" s="177" t="str">
        <f>IF(A81&gt;0,SUM(MARKS!K73,MARKS!AQ73),"")</f>
        <v/>
      </c>
      <c r="AY81" s="177" t="str">
        <f>IF(A81&gt;0,SUM(MARKS!S73,MARKS!AY73),"")</f>
        <v/>
      </c>
      <c r="AZ81" s="177" t="str">
        <f>IF(A81&gt;0,SUM(MARKS!AA73,MARKS!BG73),"")</f>
        <v/>
      </c>
      <c r="BA81" s="177" t="str">
        <f>IF(A81&gt;0,SUM(MARKS!AI73,MARKS!BO73),"")</f>
        <v/>
      </c>
      <c r="BB81" s="178"/>
      <c r="BC81" s="177" t="str">
        <f t="shared" si="28"/>
        <v/>
      </c>
      <c r="BD81" s="177" t="str">
        <f t="shared" si="29"/>
        <v/>
      </c>
      <c r="BE81" s="177" t="str">
        <f t="shared" si="30"/>
        <v/>
      </c>
      <c r="BF81" s="47" t="str">
        <f t="shared" si="31"/>
        <v/>
      </c>
      <c r="BG81" s="70" t="str">
        <f t="shared" si="32"/>
        <v/>
      </c>
      <c r="BH81" s="177" t="str">
        <f t="shared" si="33"/>
        <v/>
      </c>
      <c r="BI81" s="47" t="str">
        <f>IF(A81&gt;0,FLN!I73,"")</f>
        <v/>
      </c>
      <c r="BJ81" s="47" t="str">
        <f>IF(A81&gt;0,FLN!J73,"")</f>
        <v/>
      </c>
      <c r="BK81" s="47" t="str">
        <f>IF(A81&gt;0,FLN!K73,"")</f>
        <v/>
      </c>
      <c r="BL81" s="47" t="str">
        <f t="shared" si="34"/>
        <v/>
      </c>
      <c r="BM81" s="130" t="str">
        <f>IF(BF81="","",IFERROR(RANK(BF81,$BF$12:$BF$111,0)+COUNTIFS($BF$12:BF81,BF81)-1,0))</f>
        <v/>
      </c>
      <c r="BN81" s="130" t="str">
        <f t="shared" si="35"/>
        <v/>
      </c>
    </row>
    <row r="82" s="98" customFormat="1" ht="27" customHeight="1" spans="1:66">
      <c r="A82" s="47">
        <f>IF(A81=0,0,IF(A81&lt;ENTRY!$D$24,A81+1,0))</f>
        <v>0</v>
      </c>
      <c r="B82" s="47" t="str">
        <f>IF(A82&gt;0,STUDENT!F72,"")</f>
        <v/>
      </c>
      <c r="C82" s="176" t="str">
        <f>IF(A82&gt;0,UPPER(STUDENT!E72),"")</f>
        <v/>
      </c>
      <c r="D82" s="176" t="str">
        <f>IF(A82&gt;0,UPPER(STUDENT!H72),"")</f>
        <v/>
      </c>
      <c r="E82" s="47" t="str">
        <f>IF(A82&gt;0,UPPER(STUDENT!BP72),"")</f>
        <v/>
      </c>
      <c r="F82" s="47" t="str">
        <f>IF(A82&gt;0,UPPER(STUDENT!BO72),"")</f>
        <v/>
      </c>
      <c r="G82" s="47" t="str">
        <f>IF(A82&gt;0,UPPER(STUDENT!Q72),"")</f>
        <v/>
      </c>
      <c r="H82" s="69" t="str">
        <f>IF(A82&gt;0,PASHEET!CI74/PASHEET!CJ74*100,"")</f>
        <v/>
      </c>
      <c r="I82" s="177" t="str">
        <f>IF(A82&gt;0,SUM(PASHEET!AL74,PASHEET!AT74),"")</f>
        <v/>
      </c>
      <c r="J82" s="177" t="str">
        <f>IF(A82&gt;0,SUM(MARKS!F74,MARKS!AL74),"")</f>
        <v/>
      </c>
      <c r="K82" s="177" t="str">
        <f>IF(A82&gt;0,SUM(MARKS!N74,MARKS!AT74),"")</f>
        <v/>
      </c>
      <c r="L82" s="177" t="str">
        <f>IF(A82&gt;0,SUM(MARKS!V74,MARKS!BB74),"")</f>
        <v/>
      </c>
      <c r="M82" s="177" t="str">
        <f>IF(A82&gt;0,SUM(MARKS!AD74,MARKS!BJ74),"")</f>
        <v/>
      </c>
      <c r="N82" s="178"/>
      <c r="O82" s="177" t="str">
        <f t="shared" si="18"/>
        <v/>
      </c>
      <c r="P82" s="177" t="str">
        <f t="shared" si="19"/>
        <v/>
      </c>
      <c r="Q82" s="177" t="str">
        <f>IF(A82&gt;0,SUM(PASHEET!AM74,PASHEET!AU74),"")</f>
        <v/>
      </c>
      <c r="R82" s="177" t="str">
        <f>IF(A82&gt;0,SUM(MARKS!G74,MARKS!AM74),"")</f>
        <v/>
      </c>
      <c r="S82" s="177" t="str">
        <f>IF(A82&gt;0,SUM(MARKS!O74,MARKS!AU74),"")</f>
        <v/>
      </c>
      <c r="T82" s="177" t="str">
        <f>IF(A82&gt;0,SUM(MARKS!W74,MARKS!BC74),"")</f>
        <v/>
      </c>
      <c r="U82" s="177" t="str">
        <f>IF(A82&gt;0,SUM(MARKS!AE74,MARKS!BK74),"")</f>
        <v/>
      </c>
      <c r="V82" s="178"/>
      <c r="W82" s="177" t="str">
        <f t="shared" si="20"/>
        <v/>
      </c>
      <c r="X82" s="177" t="str">
        <f t="shared" si="21"/>
        <v/>
      </c>
      <c r="Y82" s="177" t="str">
        <f>IF(A82&gt;0,SUM(PASHEET!AN74,PASHEET!AV74),"")</f>
        <v/>
      </c>
      <c r="Z82" s="177" t="str">
        <f>IF(A82&gt;0,SUM(MARKS!H74,MARKS!AN74),"")</f>
        <v/>
      </c>
      <c r="AA82" s="177" t="str">
        <f>IF(A82&gt;0,SUM(MARKS!P74,MARKS!AV74),"")</f>
        <v/>
      </c>
      <c r="AB82" s="177" t="str">
        <f>IF(A82&gt;0,SUM(MARKS!X74,MARKS!BD74),"")</f>
        <v/>
      </c>
      <c r="AC82" s="177" t="str">
        <f>IF(A82&gt;0,SUM(MARKS!AF74,MARKS!BL74),"")</f>
        <v/>
      </c>
      <c r="AD82" s="178"/>
      <c r="AE82" s="177" t="str">
        <f t="shared" si="22"/>
        <v/>
      </c>
      <c r="AF82" s="177" t="str">
        <f t="shared" si="23"/>
        <v/>
      </c>
      <c r="AG82" s="177" t="str">
        <f>IF(A82&gt;0,SUM(PASHEET!AO74,PASHEET!AW74),"")</f>
        <v/>
      </c>
      <c r="AH82" s="177" t="str">
        <f>IF(A82&gt;0,SUM(MARKS!I74,MARKS!AO74),"")</f>
        <v/>
      </c>
      <c r="AI82" s="177" t="str">
        <f>IF(A82&gt;0,SUM(MARKS!Q74,MARKS!AW74),"")</f>
        <v/>
      </c>
      <c r="AJ82" s="177" t="str">
        <f>IF(A82&gt;0,SUM(MARKS!Y74,MARKS!BE74),"")</f>
        <v/>
      </c>
      <c r="AK82" s="177" t="str">
        <f>IF(A82&gt;0,SUM(MARKS!AG74,MARKS!BM74),"")</f>
        <v/>
      </c>
      <c r="AL82" s="178"/>
      <c r="AM82" s="177" t="str">
        <f t="shared" si="24"/>
        <v/>
      </c>
      <c r="AN82" s="177" t="str">
        <f t="shared" si="25"/>
        <v/>
      </c>
      <c r="AO82" s="177" t="str">
        <f>IF(A82&gt;0,SUM(PASHEET!AP74,PASHEET!AX74),"")</f>
        <v/>
      </c>
      <c r="AP82" s="177" t="str">
        <f>IF(A82&gt;0,SUM(MARKS!J74,MARKS!AP74),"")</f>
        <v/>
      </c>
      <c r="AQ82" s="177" t="str">
        <f>IF(A82&gt;0,SUM(MARKS!R74,MARKS!AX74),"")</f>
        <v/>
      </c>
      <c r="AR82" s="177" t="str">
        <f>IF(A82&gt;0,SUM(MARKS!Z74,MARKS!BF74),"")</f>
        <v/>
      </c>
      <c r="AS82" s="177" t="str">
        <f>IF(A82&gt;0,SUM(MARKS!AH74,MARKS!BN74),"")</f>
        <v/>
      </c>
      <c r="AT82" s="178"/>
      <c r="AU82" s="177" t="str">
        <f t="shared" si="26"/>
        <v/>
      </c>
      <c r="AV82" s="177" t="str">
        <f t="shared" si="27"/>
        <v/>
      </c>
      <c r="AW82" s="177" t="str">
        <f>IF(A82&gt;0,SUM(PASHEET!AQ74,PASHEET!AY74),"")</f>
        <v/>
      </c>
      <c r="AX82" s="177" t="str">
        <f>IF(A82&gt;0,SUM(MARKS!K74,MARKS!AQ74),"")</f>
        <v/>
      </c>
      <c r="AY82" s="177" t="str">
        <f>IF(A82&gt;0,SUM(MARKS!S74,MARKS!AY74),"")</f>
        <v/>
      </c>
      <c r="AZ82" s="177" t="str">
        <f>IF(A82&gt;0,SUM(MARKS!AA74,MARKS!BG74),"")</f>
        <v/>
      </c>
      <c r="BA82" s="177" t="str">
        <f>IF(A82&gt;0,SUM(MARKS!AI74,MARKS!BO74),"")</f>
        <v/>
      </c>
      <c r="BB82" s="178"/>
      <c r="BC82" s="177" t="str">
        <f t="shared" si="28"/>
        <v/>
      </c>
      <c r="BD82" s="177" t="str">
        <f t="shared" si="29"/>
        <v/>
      </c>
      <c r="BE82" s="177" t="str">
        <f t="shared" si="30"/>
        <v/>
      </c>
      <c r="BF82" s="47" t="str">
        <f t="shared" si="31"/>
        <v/>
      </c>
      <c r="BG82" s="70" t="str">
        <f t="shared" si="32"/>
        <v/>
      </c>
      <c r="BH82" s="177" t="str">
        <f t="shared" si="33"/>
        <v/>
      </c>
      <c r="BI82" s="47" t="str">
        <f>IF(A82&gt;0,FLN!I74,"")</f>
        <v/>
      </c>
      <c r="BJ82" s="47" t="str">
        <f>IF(A82&gt;0,FLN!J74,"")</f>
        <v/>
      </c>
      <c r="BK82" s="47" t="str">
        <f>IF(A82&gt;0,FLN!K74,"")</f>
        <v/>
      </c>
      <c r="BL82" s="47" t="str">
        <f t="shared" si="34"/>
        <v/>
      </c>
      <c r="BM82" s="130" t="str">
        <f>IF(BF82="","",IFERROR(RANK(BF82,$BF$12:$BF$111,0)+COUNTIFS($BF$12:BF82,BF82)-1,0))</f>
        <v/>
      </c>
      <c r="BN82" s="130" t="str">
        <f t="shared" si="35"/>
        <v/>
      </c>
    </row>
    <row r="83" s="98" customFormat="1" ht="27" customHeight="1" spans="1:66">
      <c r="A83" s="47">
        <f>IF(A82=0,0,IF(A82&lt;ENTRY!$D$24,A82+1,0))</f>
        <v>0</v>
      </c>
      <c r="B83" s="47" t="str">
        <f>IF(A83&gt;0,STUDENT!F73,"")</f>
        <v/>
      </c>
      <c r="C83" s="176" t="str">
        <f>IF(A83&gt;0,UPPER(STUDENT!E73),"")</f>
        <v/>
      </c>
      <c r="D83" s="176" t="str">
        <f>IF(A83&gt;0,UPPER(STUDENT!H73),"")</f>
        <v/>
      </c>
      <c r="E83" s="47" t="str">
        <f>IF(A83&gt;0,UPPER(STUDENT!BP73),"")</f>
        <v/>
      </c>
      <c r="F83" s="47" t="str">
        <f>IF(A83&gt;0,UPPER(STUDENT!BO73),"")</f>
        <v/>
      </c>
      <c r="G83" s="47" t="str">
        <f>IF(A83&gt;0,UPPER(STUDENT!Q73),"")</f>
        <v/>
      </c>
      <c r="H83" s="69" t="str">
        <f>IF(A83&gt;0,PASHEET!CI75/PASHEET!CJ75*100,"")</f>
        <v/>
      </c>
      <c r="I83" s="177" t="str">
        <f>IF(A83&gt;0,SUM(PASHEET!AL75,PASHEET!AT75),"")</f>
        <v/>
      </c>
      <c r="J83" s="177" t="str">
        <f>IF(A83&gt;0,SUM(MARKS!F75,MARKS!AL75),"")</f>
        <v/>
      </c>
      <c r="K83" s="177" t="str">
        <f>IF(A83&gt;0,SUM(MARKS!N75,MARKS!AT75),"")</f>
        <v/>
      </c>
      <c r="L83" s="177" t="str">
        <f>IF(A83&gt;0,SUM(MARKS!V75,MARKS!BB75),"")</f>
        <v/>
      </c>
      <c r="M83" s="177" t="str">
        <f>IF(A83&gt;0,SUM(MARKS!AD75,MARKS!BJ75),"")</f>
        <v/>
      </c>
      <c r="N83" s="178"/>
      <c r="O83" s="177" t="str">
        <f t="shared" si="18"/>
        <v/>
      </c>
      <c r="P83" s="177" t="str">
        <f t="shared" si="19"/>
        <v/>
      </c>
      <c r="Q83" s="177" t="str">
        <f>IF(A83&gt;0,SUM(PASHEET!AM75,PASHEET!AU75),"")</f>
        <v/>
      </c>
      <c r="R83" s="177" t="str">
        <f>IF(A83&gt;0,SUM(MARKS!G75,MARKS!AM75),"")</f>
        <v/>
      </c>
      <c r="S83" s="177" t="str">
        <f>IF(A83&gt;0,SUM(MARKS!O75,MARKS!AU75),"")</f>
        <v/>
      </c>
      <c r="T83" s="177" t="str">
        <f>IF(A83&gt;0,SUM(MARKS!W75,MARKS!BC75),"")</f>
        <v/>
      </c>
      <c r="U83" s="177" t="str">
        <f>IF(A83&gt;0,SUM(MARKS!AE75,MARKS!BK75),"")</f>
        <v/>
      </c>
      <c r="V83" s="178"/>
      <c r="W83" s="177" t="str">
        <f t="shared" si="20"/>
        <v/>
      </c>
      <c r="X83" s="177" t="str">
        <f t="shared" si="21"/>
        <v/>
      </c>
      <c r="Y83" s="177" t="str">
        <f>IF(A83&gt;0,SUM(PASHEET!AN75,PASHEET!AV75),"")</f>
        <v/>
      </c>
      <c r="Z83" s="177" t="str">
        <f>IF(A83&gt;0,SUM(MARKS!H75,MARKS!AN75),"")</f>
        <v/>
      </c>
      <c r="AA83" s="177" t="str">
        <f>IF(A83&gt;0,SUM(MARKS!P75,MARKS!AV75),"")</f>
        <v/>
      </c>
      <c r="AB83" s="177" t="str">
        <f>IF(A83&gt;0,SUM(MARKS!X75,MARKS!BD75),"")</f>
        <v/>
      </c>
      <c r="AC83" s="177" t="str">
        <f>IF(A83&gt;0,SUM(MARKS!AF75,MARKS!BL75),"")</f>
        <v/>
      </c>
      <c r="AD83" s="178"/>
      <c r="AE83" s="177" t="str">
        <f t="shared" si="22"/>
        <v/>
      </c>
      <c r="AF83" s="177" t="str">
        <f t="shared" si="23"/>
        <v/>
      </c>
      <c r="AG83" s="177" t="str">
        <f>IF(A83&gt;0,SUM(PASHEET!AO75,PASHEET!AW75),"")</f>
        <v/>
      </c>
      <c r="AH83" s="177" t="str">
        <f>IF(A83&gt;0,SUM(MARKS!I75,MARKS!AO75),"")</f>
        <v/>
      </c>
      <c r="AI83" s="177" t="str">
        <f>IF(A83&gt;0,SUM(MARKS!Q75,MARKS!AW75),"")</f>
        <v/>
      </c>
      <c r="AJ83" s="177" t="str">
        <f>IF(A83&gt;0,SUM(MARKS!Y75,MARKS!BE75),"")</f>
        <v/>
      </c>
      <c r="AK83" s="177" t="str">
        <f>IF(A83&gt;0,SUM(MARKS!AG75,MARKS!BM75),"")</f>
        <v/>
      </c>
      <c r="AL83" s="178"/>
      <c r="AM83" s="177" t="str">
        <f t="shared" si="24"/>
        <v/>
      </c>
      <c r="AN83" s="177" t="str">
        <f t="shared" si="25"/>
        <v/>
      </c>
      <c r="AO83" s="177" t="str">
        <f>IF(A83&gt;0,SUM(PASHEET!AP75,PASHEET!AX75),"")</f>
        <v/>
      </c>
      <c r="AP83" s="177" t="str">
        <f>IF(A83&gt;0,SUM(MARKS!J75,MARKS!AP75),"")</f>
        <v/>
      </c>
      <c r="AQ83" s="177" t="str">
        <f>IF(A83&gt;0,SUM(MARKS!R75,MARKS!AX75),"")</f>
        <v/>
      </c>
      <c r="AR83" s="177" t="str">
        <f>IF(A83&gt;0,SUM(MARKS!Z75,MARKS!BF75),"")</f>
        <v/>
      </c>
      <c r="AS83" s="177" t="str">
        <f>IF(A83&gt;0,SUM(MARKS!AH75,MARKS!BN75),"")</f>
        <v/>
      </c>
      <c r="AT83" s="178"/>
      <c r="AU83" s="177" t="str">
        <f t="shared" si="26"/>
        <v/>
      </c>
      <c r="AV83" s="177" t="str">
        <f t="shared" si="27"/>
        <v/>
      </c>
      <c r="AW83" s="177" t="str">
        <f>IF(A83&gt;0,SUM(PASHEET!AQ75,PASHEET!AY75),"")</f>
        <v/>
      </c>
      <c r="AX83" s="177" t="str">
        <f>IF(A83&gt;0,SUM(MARKS!K75,MARKS!AQ75),"")</f>
        <v/>
      </c>
      <c r="AY83" s="177" t="str">
        <f>IF(A83&gt;0,SUM(MARKS!S75,MARKS!AY75),"")</f>
        <v/>
      </c>
      <c r="AZ83" s="177" t="str">
        <f>IF(A83&gt;0,SUM(MARKS!AA75,MARKS!BG75),"")</f>
        <v/>
      </c>
      <c r="BA83" s="177" t="str">
        <f>IF(A83&gt;0,SUM(MARKS!AI75,MARKS!BO75),"")</f>
        <v/>
      </c>
      <c r="BB83" s="178"/>
      <c r="BC83" s="177" t="str">
        <f t="shared" si="28"/>
        <v/>
      </c>
      <c r="BD83" s="177" t="str">
        <f t="shared" si="29"/>
        <v/>
      </c>
      <c r="BE83" s="177" t="str">
        <f t="shared" si="30"/>
        <v/>
      </c>
      <c r="BF83" s="47" t="str">
        <f t="shared" si="31"/>
        <v/>
      </c>
      <c r="BG83" s="70" t="str">
        <f t="shared" si="32"/>
        <v/>
      </c>
      <c r="BH83" s="177" t="str">
        <f t="shared" si="33"/>
        <v/>
      </c>
      <c r="BI83" s="47" t="str">
        <f>IF(A83&gt;0,FLN!I75,"")</f>
        <v/>
      </c>
      <c r="BJ83" s="47" t="str">
        <f>IF(A83&gt;0,FLN!J75,"")</f>
        <v/>
      </c>
      <c r="BK83" s="47" t="str">
        <f>IF(A83&gt;0,FLN!K75,"")</f>
        <v/>
      </c>
      <c r="BL83" s="47" t="str">
        <f t="shared" si="34"/>
        <v/>
      </c>
      <c r="BM83" s="130" t="str">
        <f>IF(BF83="","",IFERROR(RANK(BF83,$BF$12:$BF$111,0)+COUNTIFS($BF$12:BF83,BF83)-1,0))</f>
        <v/>
      </c>
      <c r="BN83" s="130" t="str">
        <f t="shared" si="35"/>
        <v/>
      </c>
    </row>
    <row r="84" s="98" customFormat="1" ht="27" customHeight="1" spans="1:66">
      <c r="A84" s="47">
        <f>IF(A83=0,0,IF(A83&lt;ENTRY!$D$24,A83+1,0))</f>
        <v>0</v>
      </c>
      <c r="B84" s="47" t="str">
        <f>IF(A84&gt;0,STUDENT!F74,"")</f>
        <v/>
      </c>
      <c r="C84" s="176" t="str">
        <f>IF(A84&gt;0,UPPER(STUDENT!E74),"")</f>
        <v/>
      </c>
      <c r="D84" s="176" t="str">
        <f>IF(A84&gt;0,UPPER(STUDENT!H74),"")</f>
        <v/>
      </c>
      <c r="E84" s="47" t="str">
        <f>IF(A84&gt;0,UPPER(STUDENT!BP74),"")</f>
        <v/>
      </c>
      <c r="F84" s="47" t="str">
        <f>IF(A84&gt;0,UPPER(STUDENT!BO74),"")</f>
        <v/>
      </c>
      <c r="G84" s="47" t="str">
        <f>IF(A84&gt;0,UPPER(STUDENT!Q74),"")</f>
        <v/>
      </c>
      <c r="H84" s="69" t="str">
        <f>IF(A84&gt;0,PASHEET!CI76/PASHEET!CJ76*100,"")</f>
        <v/>
      </c>
      <c r="I84" s="177" t="str">
        <f>IF(A84&gt;0,SUM(PASHEET!AL76,PASHEET!AT76),"")</f>
        <v/>
      </c>
      <c r="J84" s="177" t="str">
        <f>IF(A84&gt;0,SUM(MARKS!F76,MARKS!AL76),"")</f>
        <v/>
      </c>
      <c r="K84" s="177" t="str">
        <f>IF(A84&gt;0,SUM(MARKS!N76,MARKS!AT76),"")</f>
        <v/>
      </c>
      <c r="L84" s="177" t="str">
        <f>IF(A84&gt;0,SUM(MARKS!V76,MARKS!BB76),"")</f>
        <v/>
      </c>
      <c r="M84" s="177" t="str">
        <f>IF(A84&gt;0,SUM(MARKS!AD76,MARKS!BJ76),"")</f>
        <v/>
      </c>
      <c r="N84" s="178"/>
      <c r="O84" s="177" t="str">
        <f t="shared" si="18"/>
        <v/>
      </c>
      <c r="P84" s="177" t="str">
        <f t="shared" si="19"/>
        <v/>
      </c>
      <c r="Q84" s="177" t="str">
        <f>IF(A84&gt;0,SUM(PASHEET!AM76,PASHEET!AU76),"")</f>
        <v/>
      </c>
      <c r="R84" s="177" t="str">
        <f>IF(A84&gt;0,SUM(MARKS!G76,MARKS!AM76),"")</f>
        <v/>
      </c>
      <c r="S84" s="177" t="str">
        <f>IF(A84&gt;0,SUM(MARKS!O76,MARKS!AU76),"")</f>
        <v/>
      </c>
      <c r="T84" s="177" t="str">
        <f>IF(A84&gt;0,SUM(MARKS!W76,MARKS!BC76),"")</f>
        <v/>
      </c>
      <c r="U84" s="177" t="str">
        <f>IF(A84&gt;0,SUM(MARKS!AE76,MARKS!BK76),"")</f>
        <v/>
      </c>
      <c r="V84" s="178"/>
      <c r="W84" s="177" t="str">
        <f t="shared" si="20"/>
        <v/>
      </c>
      <c r="X84" s="177" t="str">
        <f t="shared" si="21"/>
        <v/>
      </c>
      <c r="Y84" s="177" t="str">
        <f>IF(A84&gt;0,SUM(PASHEET!AN76,PASHEET!AV76),"")</f>
        <v/>
      </c>
      <c r="Z84" s="177" t="str">
        <f>IF(A84&gt;0,SUM(MARKS!H76,MARKS!AN76),"")</f>
        <v/>
      </c>
      <c r="AA84" s="177" t="str">
        <f>IF(A84&gt;0,SUM(MARKS!P76,MARKS!AV76),"")</f>
        <v/>
      </c>
      <c r="AB84" s="177" t="str">
        <f>IF(A84&gt;0,SUM(MARKS!X76,MARKS!BD76),"")</f>
        <v/>
      </c>
      <c r="AC84" s="177" t="str">
        <f>IF(A84&gt;0,SUM(MARKS!AF76,MARKS!BL76),"")</f>
        <v/>
      </c>
      <c r="AD84" s="178"/>
      <c r="AE84" s="177" t="str">
        <f t="shared" si="22"/>
        <v/>
      </c>
      <c r="AF84" s="177" t="str">
        <f t="shared" si="23"/>
        <v/>
      </c>
      <c r="AG84" s="177" t="str">
        <f>IF(A84&gt;0,SUM(PASHEET!AO76,PASHEET!AW76),"")</f>
        <v/>
      </c>
      <c r="AH84" s="177" t="str">
        <f>IF(A84&gt;0,SUM(MARKS!I76,MARKS!AO76),"")</f>
        <v/>
      </c>
      <c r="AI84" s="177" t="str">
        <f>IF(A84&gt;0,SUM(MARKS!Q76,MARKS!AW76),"")</f>
        <v/>
      </c>
      <c r="AJ84" s="177" t="str">
        <f>IF(A84&gt;0,SUM(MARKS!Y76,MARKS!BE76),"")</f>
        <v/>
      </c>
      <c r="AK84" s="177" t="str">
        <f>IF(A84&gt;0,SUM(MARKS!AG76,MARKS!BM76),"")</f>
        <v/>
      </c>
      <c r="AL84" s="178"/>
      <c r="AM84" s="177" t="str">
        <f t="shared" si="24"/>
        <v/>
      </c>
      <c r="AN84" s="177" t="str">
        <f t="shared" si="25"/>
        <v/>
      </c>
      <c r="AO84" s="177" t="str">
        <f>IF(A84&gt;0,SUM(PASHEET!AP76,PASHEET!AX76),"")</f>
        <v/>
      </c>
      <c r="AP84" s="177" t="str">
        <f>IF(A84&gt;0,SUM(MARKS!J76,MARKS!AP76),"")</f>
        <v/>
      </c>
      <c r="AQ84" s="177" t="str">
        <f>IF(A84&gt;0,SUM(MARKS!R76,MARKS!AX76),"")</f>
        <v/>
      </c>
      <c r="AR84" s="177" t="str">
        <f>IF(A84&gt;0,SUM(MARKS!Z76,MARKS!BF76),"")</f>
        <v/>
      </c>
      <c r="AS84" s="177" t="str">
        <f>IF(A84&gt;0,SUM(MARKS!AH76,MARKS!BN76),"")</f>
        <v/>
      </c>
      <c r="AT84" s="178"/>
      <c r="AU84" s="177" t="str">
        <f t="shared" si="26"/>
        <v/>
      </c>
      <c r="AV84" s="177" t="str">
        <f t="shared" si="27"/>
        <v/>
      </c>
      <c r="AW84" s="177" t="str">
        <f>IF(A84&gt;0,SUM(PASHEET!AQ76,PASHEET!AY76),"")</f>
        <v/>
      </c>
      <c r="AX84" s="177" t="str">
        <f>IF(A84&gt;0,SUM(MARKS!K76,MARKS!AQ76),"")</f>
        <v/>
      </c>
      <c r="AY84" s="177" t="str">
        <f>IF(A84&gt;0,SUM(MARKS!S76,MARKS!AY76),"")</f>
        <v/>
      </c>
      <c r="AZ84" s="177" t="str">
        <f>IF(A84&gt;0,SUM(MARKS!AA76,MARKS!BG76),"")</f>
        <v/>
      </c>
      <c r="BA84" s="177" t="str">
        <f>IF(A84&gt;0,SUM(MARKS!AI76,MARKS!BO76),"")</f>
        <v/>
      </c>
      <c r="BB84" s="178"/>
      <c r="BC84" s="177" t="str">
        <f t="shared" si="28"/>
        <v/>
      </c>
      <c r="BD84" s="177" t="str">
        <f t="shared" si="29"/>
        <v/>
      </c>
      <c r="BE84" s="177" t="str">
        <f t="shared" si="30"/>
        <v/>
      </c>
      <c r="BF84" s="47" t="str">
        <f t="shared" si="31"/>
        <v/>
      </c>
      <c r="BG84" s="70" t="str">
        <f t="shared" si="32"/>
        <v/>
      </c>
      <c r="BH84" s="177" t="str">
        <f t="shared" si="33"/>
        <v/>
      </c>
      <c r="BI84" s="47" t="str">
        <f>IF(A84&gt;0,FLN!I76,"")</f>
        <v/>
      </c>
      <c r="BJ84" s="47" t="str">
        <f>IF(A84&gt;0,FLN!J76,"")</f>
        <v/>
      </c>
      <c r="BK84" s="47" t="str">
        <f>IF(A84&gt;0,FLN!K76,"")</f>
        <v/>
      </c>
      <c r="BL84" s="47" t="str">
        <f t="shared" si="34"/>
        <v/>
      </c>
      <c r="BM84" s="130" t="str">
        <f>IF(BF84="","",IFERROR(RANK(BF84,$BF$12:$BF$111,0)+COUNTIFS($BF$12:BF84,BF84)-1,0))</f>
        <v/>
      </c>
      <c r="BN84" s="130" t="str">
        <f t="shared" si="35"/>
        <v/>
      </c>
    </row>
    <row r="85" s="98" customFormat="1" ht="27" customHeight="1" spans="1:66">
      <c r="A85" s="47">
        <f>IF(A84=0,0,IF(A84&lt;ENTRY!$D$24,A84+1,0))</f>
        <v>0</v>
      </c>
      <c r="B85" s="47" t="str">
        <f>IF(A85&gt;0,STUDENT!F75,"")</f>
        <v/>
      </c>
      <c r="C85" s="176" t="str">
        <f>IF(A85&gt;0,UPPER(STUDENT!E75),"")</f>
        <v/>
      </c>
      <c r="D85" s="176" t="str">
        <f>IF(A85&gt;0,UPPER(STUDENT!H75),"")</f>
        <v/>
      </c>
      <c r="E85" s="47" t="str">
        <f>IF(A85&gt;0,UPPER(STUDENT!BP75),"")</f>
        <v/>
      </c>
      <c r="F85" s="47" t="str">
        <f>IF(A85&gt;0,UPPER(STUDENT!BO75),"")</f>
        <v/>
      </c>
      <c r="G85" s="47" t="str">
        <f>IF(A85&gt;0,UPPER(STUDENT!Q75),"")</f>
        <v/>
      </c>
      <c r="H85" s="69" t="str">
        <f>IF(A85&gt;0,PASHEET!CI77/PASHEET!CJ77*100,"")</f>
        <v/>
      </c>
      <c r="I85" s="177" t="str">
        <f>IF(A85&gt;0,SUM(PASHEET!AL77,PASHEET!AT77),"")</f>
        <v/>
      </c>
      <c r="J85" s="177" t="str">
        <f>IF(A85&gt;0,SUM(MARKS!F77,MARKS!AL77),"")</f>
        <v/>
      </c>
      <c r="K85" s="177" t="str">
        <f>IF(A85&gt;0,SUM(MARKS!N77,MARKS!AT77),"")</f>
        <v/>
      </c>
      <c r="L85" s="177" t="str">
        <f>IF(A85&gt;0,SUM(MARKS!V77,MARKS!BB77),"")</f>
        <v/>
      </c>
      <c r="M85" s="177" t="str">
        <f>IF(A85&gt;0,SUM(MARKS!AD77,MARKS!BJ77),"")</f>
        <v/>
      </c>
      <c r="N85" s="178"/>
      <c r="O85" s="177" t="str">
        <f t="shared" si="18"/>
        <v/>
      </c>
      <c r="P85" s="177" t="str">
        <f t="shared" si="19"/>
        <v/>
      </c>
      <c r="Q85" s="177" t="str">
        <f>IF(A85&gt;0,SUM(PASHEET!AM77,PASHEET!AU77),"")</f>
        <v/>
      </c>
      <c r="R85" s="177" t="str">
        <f>IF(A85&gt;0,SUM(MARKS!G77,MARKS!AM77),"")</f>
        <v/>
      </c>
      <c r="S85" s="177" t="str">
        <f>IF(A85&gt;0,SUM(MARKS!O77,MARKS!AU77),"")</f>
        <v/>
      </c>
      <c r="T85" s="177" t="str">
        <f>IF(A85&gt;0,SUM(MARKS!W77,MARKS!BC77),"")</f>
        <v/>
      </c>
      <c r="U85" s="177" t="str">
        <f>IF(A85&gt;0,SUM(MARKS!AE77,MARKS!BK77),"")</f>
        <v/>
      </c>
      <c r="V85" s="178"/>
      <c r="W85" s="177" t="str">
        <f t="shared" si="20"/>
        <v/>
      </c>
      <c r="X85" s="177" t="str">
        <f t="shared" si="21"/>
        <v/>
      </c>
      <c r="Y85" s="177" t="str">
        <f>IF(A85&gt;0,SUM(PASHEET!AN77,PASHEET!AV77),"")</f>
        <v/>
      </c>
      <c r="Z85" s="177" t="str">
        <f>IF(A85&gt;0,SUM(MARKS!H77,MARKS!AN77),"")</f>
        <v/>
      </c>
      <c r="AA85" s="177" t="str">
        <f>IF(A85&gt;0,SUM(MARKS!P77,MARKS!AV77),"")</f>
        <v/>
      </c>
      <c r="AB85" s="177" t="str">
        <f>IF(A85&gt;0,SUM(MARKS!X77,MARKS!BD77),"")</f>
        <v/>
      </c>
      <c r="AC85" s="177" t="str">
        <f>IF(A85&gt;0,SUM(MARKS!AF77,MARKS!BL77),"")</f>
        <v/>
      </c>
      <c r="AD85" s="178"/>
      <c r="AE85" s="177" t="str">
        <f t="shared" si="22"/>
        <v/>
      </c>
      <c r="AF85" s="177" t="str">
        <f t="shared" si="23"/>
        <v/>
      </c>
      <c r="AG85" s="177" t="str">
        <f>IF(A85&gt;0,SUM(PASHEET!AO77,PASHEET!AW77),"")</f>
        <v/>
      </c>
      <c r="AH85" s="177" t="str">
        <f>IF(A85&gt;0,SUM(MARKS!I77,MARKS!AO77),"")</f>
        <v/>
      </c>
      <c r="AI85" s="177" t="str">
        <f>IF(A85&gt;0,SUM(MARKS!Q77,MARKS!AW77),"")</f>
        <v/>
      </c>
      <c r="AJ85" s="177" t="str">
        <f>IF(A85&gt;0,SUM(MARKS!Y77,MARKS!BE77),"")</f>
        <v/>
      </c>
      <c r="AK85" s="177" t="str">
        <f>IF(A85&gt;0,SUM(MARKS!AG77,MARKS!BM77),"")</f>
        <v/>
      </c>
      <c r="AL85" s="178"/>
      <c r="AM85" s="177" t="str">
        <f t="shared" si="24"/>
        <v/>
      </c>
      <c r="AN85" s="177" t="str">
        <f t="shared" si="25"/>
        <v/>
      </c>
      <c r="AO85" s="177" t="str">
        <f>IF(A85&gt;0,SUM(PASHEET!AP77,PASHEET!AX77),"")</f>
        <v/>
      </c>
      <c r="AP85" s="177" t="str">
        <f>IF(A85&gt;0,SUM(MARKS!J77,MARKS!AP77),"")</f>
        <v/>
      </c>
      <c r="AQ85" s="177" t="str">
        <f>IF(A85&gt;0,SUM(MARKS!R77,MARKS!AX77),"")</f>
        <v/>
      </c>
      <c r="AR85" s="177" t="str">
        <f>IF(A85&gt;0,SUM(MARKS!Z77,MARKS!BF77),"")</f>
        <v/>
      </c>
      <c r="AS85" s="177" t="str">
        <f>IF(A85&gt;0,SUM(MARKS!AH77,MARKS!BN77),"")</f>
        <v/>
      </c>
      <c r="AT85" s="178"/>
      <c r="AU85" s="177" t="str">
        <f t="shared" si="26"/>
        <v/>
      </c>
      <c r="AV85" s="177" t="str">
        <f t="shared" si="27"/>
        <v/>
      </c>
      <c r="AW85" s="177" t="str">
        <f>IF(A85&gt;0,SUM(PASHEET!AQ77,PASHEET!AY77),"")</f>
        <v/>
      </c>
      <c r="AX85" s="177" t="str">
        <f>IF(A85&gt;0,SUM(MARKS!K77,MARKS!AQ77),"")</f>
        <v/>
      </c>
      <c r="AY85" s="177" t="str">
        <f>IF(A85&gt;0,SUM(MARKS!S77,MARKS!AY77),"")</f>
        <v/>
      </c>
      <c r="AZ85" s="177" t="str">
        <f>IF(A85&gt;0,SUM(MARKS!AA77,MARKS!BG77),"")</f>
        <v/>
      </c>
      <c r="BA85" s="177" t="str">
        <f>IF(A85&gt;0,SUM(MARKS!AI77,MARKS!BO77),"")</f>
        <v/>
      </c>
      <c r="BB85" s="178"/>
      <c r="BC85" s="177" t="str">
        <f t="shared" si="28"/>
        <v/>
      </c>
      <c r="BD85" s="177" t="str">
        <f t="shared" si="29"/>
        <v/>
      </c>
      <c r="BE85" s="177" t="str">
        <f t="shared" si="30"/>
        <v/>
      </c>
      <c r="BF85" s="47" t="str">
        <f t="shared" si="31"/>
        <v/>
      </c>
      <c r="BG85" s="70" t="str">
        <f t="shared" si="32"/>
        <v/>
      </c>
      <c r="BH85" s="177" t="str">
        <f t="shared" si="33"/>
        <v/>
      </c>
      <c r="BI85" s="47" t="str">
        <f>IF(A85&gt;0,FLN!I77,"")</f>
        <v/>
      </c>
      <c r="BJ85" s="47" t="str">
        <f>IF(A85&gt;0,FLN!J77,"")</f>
        <v/>
      </c>
      <c r="BK85" s="47" t="str">
        <f>IF(A85&gt;0,FLN!K77,"")</f>
        <v/>
      </c>
      <c r="BL85" s="47" t="str">
        <f t="shared" si="34"/>
        <v/>
      </c>
      <c r="BM85" s="130" t="str">
        <f>IF(BF85="","",IFERROR(RANK(BF85,$BF$12:$BF$111,0)+COUNTIFS($BF$12:BF85,BF85)-1,0))</f>
        <v/>
      </c>
      <c r="BN85" s="130" t="str">
        <f t="shared" si="35"/>
        <v/>
      </c>
    </row>
    <row r="86" s="98" customFormat="1" ht="27" customHeight="1" spans="1:66">
      <c r="A86" s="47">
        <f>IF(A85=0,0,IF(A85&lt;ENTRY!$D$24,A85+1,0))</f>
        <v>0</v>
      </c>
      <c r="B86" s="47" t="str">
        <f>IF(A86&gt;0,STUDENT!F76,"")</f>
        <v/>
      </c>
      <c r="C86" s="176" t="str">
        <f>IF(A86&gt;0,UPPER(STUDENT!E76),"")</f>
        <v/>
      </c>
      <c r="D86" s="176" t="str">
        <f>IF(A86&gt;0,UPPER(STUDENT!H76),"")</f>
        <v/>
      </c>
      <c r="E86" s="47" t="str">
        <f>IF(A86&gt;0,UPPER(STUDENT!BP76),"")</f>
        <v/>
      </c>
      <c r="F86" s="47" t="str">
        <f>IF(A86&gt;0,UPPER(STUDENT!BO76),"")</f>
        <v/>
      </c>
      <c r="G86" s="47" t="str">
        <f>IF(A86&gt;0,UPPER(STUDENT!Q76),"")</f>
        <v/>
      </c>
      <c r="H86" s="69" t="str">
        <f>IF(A86&gt;0,PASHEET!CI78/PASHEET!CJ78*100,"")</f>
        <v/>
      </c>
      <c r="I86" s="177" t="str">
        <f>IF(A86&gt;0,SUM(PASHEET!AL78,PASHEET!AT78),"")</f>
        <v/>
      </c>
      <c r="J86" s="177" t="str">
        <f>IF(A86&gt;0,SUM(MARKS!F78,MARKS!AL78),"")</f>
        <v/>
      </c>
      <c r="K86" s="177" t="str">
        <f>IF(A86&gt;0,SUM(MARKS!N78,MARKS!AT78),"")</f>
        <v/>
      </c>
      <c r="L86" s="177" t="str">
        <f>IF(A86&gt;0,SUM(MARKS!V78,MARKS!BB78),"")</f>
        <v/>
      </c>
      <c r="M86" s="177" t="str">
        <f>IF(A86&gt;0,SUM(MARKS!AD78,MARKS!BJ78),"")</f>
        <v/>
      </c>
      <c r="N86" s="178"/>
      <c r="O86" s="177" t="str">
        <f t="shared" si="18"/>
        <v/>
      </c>
      <c r="P86" s="177" t="str">
        <f t="shared" si="19"/>
        <v/>
      </c>
      <c r="Q86" s="177" t="str">
        <f>IF(A86&gt;0,SUM(PASHEET!AM78,PASHEET!AU78),"")</f>
        <v/>
      </c>
      <c r="R86" s="177" t="str">
        <f>IF(A86&gt;0,SUM(MARKS!G78,MARKS!AM78),"")</f>
        <v/>
      </c>
      <c r="S86" s="177" t="str">
        <f>IF(A86&gt;0,SUM(MARKS!O78,MARKS!AU78),"")</f>
        <v/>
      </c>
      <c r="T86" s="177" t="str">
        <f>IF(A86&gt;0,SUM(MARKS!W78,MARKS!BC78),"")</f>
        <v/>
      </c>
      <c r="U86" s="177" t="str">
        <f>IF(A86&gt;0,SUM(MARKS!AE78,MARKS!BK78),"")</f>
        <v/>
      </c>
      <c r="V86" s="178"/>
      <c r="W86" s="177" t="str">
        <f t="shared" si="20"/>
        <v/>
      </c>
      <c r="X86" s="177" t="str">
        <f t="shared" si="21"/>
        <v/>
      </c>
      <c r="Y86" s="177" t="str">
        <f>IF(A86&gt;0,SUM(PASHEET!AN78,PASHEET!AV78),"")</f>
        <v/>
      </c>
      <c r="Z86" s="177" t="str">
        <f>IF(A86&gt;0,SUM(MARKS!H78,MARKS!AN78),"")</f>
        <v/>
      </c>
      <c r="AA86" s="177" t="str">
        <f>IF(A86&gt;0,SUM(MARKS!P78,MARKS!AV78),"")</f>
        <v/>
      </c>
      <c r="AB86" s="177" t="str">
        <f>IF(A86&gt;0,SUM(MARKS!X78,MARKS!BD78),"")</f>
        <v/>
      </c>
      <c r="AC86" s="177" t="str">
        <f>IF(A86&gt;0,SUM(MARKS!AF78,MARKS!BL78),"")</f>
        <v/>
      </c>
      <c r="AD86" s="178"/>
      <c r="AE86" s="177" t="str">
        <f t="shared" si="22"/>
        <v/>
      </c>
      <c r="AF86" s="177" t="str">
        <f t="shared" si="23"/>
        <v/>
      </c>
      <c r="AG86" s="177" t="str">
        <f>IF(A86&gt;0,SUM(PASHEET!AO78,PASHEET!AW78),"")</f>
        <v/>
      </c>
      <c r="AH86" s="177" t="str">
        <f>IF(A86&gt;0,SUM(MARKS!I78,MARKS!AO78),"")</f>
        <v/>
      </c>
      <c r="AI86" s="177" t="str">
        <f>IF(A86&gt;0,SUM(MARKS!Q78,MARKS!AW78),"")</f>
        <v/>
      </c>
      <c r="AJ86" s="177" t="str">
        <f>IF(A86&gt;0,SUM(MARKS!Y78,MARKS!BE78),"")</f>
        <v/>
      </c>
      <c r="AK86" s="177" t="str">
        <f>IF(A86&gt;0,SUM(MARKS!AG78,MARKS!BM78),"")</f>
        <v/>
      </c>
      <c r="AL86" s="178"/>
      <c r="AM86" s="177" t="str">
        <f t="shared" si="24"/>
        <v/>
      </c>
      <c r="AN86" s="177" t="str">
        <f t="shared" si="25"/>
        <v/>
      </c>
      <c r="AO86" s="177" t="str">
        <f>IF(A86&gt;0,SUM(PASHEET!AP78,PASHEET!AX78),"")</f>
        <v/>
      </c>
      <c r="AP86" s="177" t="str">
        <f>IF(A86&gt;0,SUM(MARKS!J78,MARKS!AP78),"")</f>
        <v/>
      </c>
      <c r="AQ86" s="177" t="str">
        <f>IF(A86&gt;0,SUM(MARKS!R78,MARKS!AX78),"")</f>
        <v/>
      </c>
      <c r="AR86" s="177" t="str">
        <f>IF(A86&gt;0,SUM(MARKS!Z78,MARKS!BF78),"")</f>
        <v/>
      </c>
      <c r="AS86" s="177" t="str">
        <f>IF(A86&gt;0,SUM(MARKS!AH78,MARKS!BN78),"")</f>
        <v/>
      </c>
      <c r="AT86" s="178"/>
      <c r="AU86" s="177" t="str">
        <f t="shared" si="26"/>
        <v/>
      </c>
      <c r="AV86" s="177" t="str">
        <f t="shared" si="27"/>
        <v/>
      </c>
      <c r="AW86" s="177" t="str">
        <f>IF(A86&gt;0,SUM(PASHEET!AQ78,PASHEET!AY78),"")</f>
        <v/>
      </c>
      <c r="AX86" s="177" t="str">
        <f>IF(A86&gt;0,SUM(MARKS!K78,MARKS!AQ78),"")</f>
        <v/>
      </c>
      <c r="AY86" s="177" t="str">
        <f>IF(A86&gt;0,SUM(MARKS!S78,MARKS!AY78),"")</f>
        <v/>
      </c>
      <c r="AZ86" s="177" t="str">
        <f>IF(A86&gt;0,SUM(MARKS!AA78,MARKS!BG78),"")</f>
        <v/>
      </c>
      <c r="BA86" s="177" t="str">
        <f>IF(A86&gt;0,SUM(MARKS!AI78,MARKS!BO78),"")</f>
        <v/>
      </c>
      <c r="BB86" s="178"/>
      <c r="BC86" s="177" t="str">
        <f t="shared" si="28"/>
        <v/>
      </c>
      <c r="BD86" s="177" t="str">
        <f t="shared" si="29"/>
        <v/>
      </c>
      <c r="BE86" s="177" t="str">
        <f t="shared" si="30"/>
        <v/>
      </c>
      <c r="BF86" s="47" t="str">
        <f t="shared" si="31"/>
        <v/>
      </c>
      <c r="BG86" s="70" t="str">
        <f t="shared" si="32"/>
        <v/>
      </c>
      <c r="BH86" s="177" t="str">
        <f t="shared" si="33"/>
        <v/>
      </c>
      <c r="BI86" s="47" t="str">
        <f>IF(A86&gt;0,FLN!I78,"")</f>
        <v/>
      </c>
      <c r="BJ86" s="47" t="str">
        <f>IF(A86&gt;0,FLN!J78,"")</f>
        <v/>
      </c>
      <c r="BK86" s="47" t="str">
        <f>IF(A86&gt;0,FLN!K78,"")</f>
        <v/>
      </c>
      <c r="BL86" s="47" t="str">
        <f t="shared" si="34"/>
        <v/>
      </c>
      <c r="BM86" s="130" t="str">
        <f>IF(BF86="","",IFERROR(RANK(BF86,$BF$12:$BF$111,0)+COUNTIFS($BF$12:BF86,BF86)-1,0))</f>
        <v/>
      </c>
      <c r="BN86" s="130" t="str">
        <f t="shared" si="35"/>
        <v/>
      </c>
    </row>
    <row r="87" s="98" customFormat="1" ht="27" customHeight="1" spans="1:66">
      <c r="A87" s="47">
        <f>IF(A86=0,0,IF(A86&lt;ENTRY!$D$24,A86+1,0))</f>
        <v>0</v>
      </c>
      <c r="B87" s="47" t="str">
        <f>IF(A87&gt;0,STUDENT!F77,"")</f>
        <v/>
      </c>
      <c r="C87" s="176" t="str">
        <f>IF(A87&gt;0,UPPER(STUDENT!E77),"")</f>
        <v/>
      </c>
      <c r="D87" s="176" t="str">
        <f>IF(A87&gt;0,UPPER(STUDENT!H77),"")</f>
        <v/>
      </c>
      <c r="E87" s="47" t="str">
        <f>IF(A87&gt;0,UPPER(STUDENT!BP77),"")</f>
        <v/>
      </c>
      <c r="F87" s="47" t="str">
        <f>IF(A87&gt;0,UPPER(STUDENT!BO77),"")</f>
        <v/>
      </c>
      <c r="G87" s="47" t="str">
        <f>IF(A87&gt;0,UPPER(STUDENT!Q77),"")</f>
        <v/>
      </c>
      <c r="H87" s="69" t="str">
        <f>IF(A87&gt;0,PASHEET!CI79/PASHEET!CJ79*100,"")</f>
        <v/>
      </c>
      <c r="I87" s="177" t="str">
        <f>IF(A87&gt;0,SUM(PASHEET!AL79,PASHEET!AT79),"")</f>
        <v/>
      </c>
      <c r="J87" s="177" t="str">
        <f>IF(A87&gt;0,SUM(MARKS!F79,MARKS!AL79),"")</f>
        <v/>
      </c>
      <c r="K87" s="177" t="str">
        <f>IF(A87&gt;0,SUM(MARKS!N79,MARKS!AT79),"")</f>
        <v/>
      </c>
      <c r="L87" s="177" t="str">
        <f>IF(A87&gt;0,SUM(MARKS!V79,MARKS!BB79),"")</f>
        <v/>
      </c>
      <c r="M87" s="177" t="str">
        <f>IF(A87&gt;0,SUM(MARKS!AD79,MARKS!BJ79),"")</f>
        <v/>
      </c>
      <c r="N87" s="178"/>
      <c r="O87" s="177" t="str">
        <f t="shared" si="18"/>
        <v/>
      </c>
      <c r="P87" s="177" t="str">
        <f t="shared" si="19"/>
        <v/>
      </c>
      <c r="Q87" s="177" t="str">
        <f>IF(A87&gt;0,SUM(PASHEET!AM79,PASHEET!AU79),"")</f>
        <v/>
      </c>
      <c r="R87" s="177" t="str">
        <f>IF(A87&gt;0,SUM(MARKS!G79,MARKS!AM79),"")</f>
        <v/>
      </c>
      <c r="S87" s="177" t="str">
        <f>IF(A87&gt;0,SUM(MARKS!O79,MARKS!AU79),"")</f>
        <v/>
      </c>
      <c r="T87" s="177" t="str">
        <f>IF(A87&gt;0,SUM(MARKS!W79,MARKS!BC79),"")</f>
        <v/>
      </c>
      <c r="U87" s="177" t="str">
        <f>IF(A87&gt;0,SUM(MARKS!AE79,MARKS!BK79),"")</f>
        <v/>
      </c>
      <c r="V87" s="178"/>
      <c r="W87" s="177" t="str">
        <f t="shared" si="20"/>
        <v/>
      </c>
      <c r="X87" s="177" t="str">
        <f t="shared" si="21"/>
        <v/>
      </c>
      <c r="Y87" s="177" t="str">
        <f>IF(A87&gt;0,SUM(PASHEET!AN79,PASHEET!AV79),"")</f>
        <v/>
      </c>
      <c r="Z87" s="177" t="str">
        <f>IF(A87&gt;0,SUM(MARKS!H79,MARKS!AN79),"")</f>
        <v/>
      </c>
      <c r="AA87" s="177" t="str">
        <f>IF(A87&gt;0,SUM(MARKS!P79,MARKS!AV79),"")</f>
        <v/>
      </c>
      <c r="AB87" s="177" t="str">
        <f>IF(A87&gt;0,SUM(MARKS!X79,MARKS!BD79),"")</f>
        <v/>
      </c>
      <c r="AC87" s="177" t="str">
        <f>IF(A87&gt;0,SUM(MARKS!AF79,MARKS!BL79),"")</f>
        <v/>
      </c>
      <c r="AD87" s="178"/>
      <c r="AE87" s="177" t="str">
        <f t="shared" si="22"/>
        <v/>
      </c>
      <c r="AF87" s="177" t="str">
        <f t="shared" si="23"/>
        <v/>
      </c>
      <c r="AG87" s="177" t="str">
        <f>IF(A87&gt;0,SUM(PASHEET!AO79,PASHEET!AW79),"")</f>
        <v/>
      </c>
      <c r="AH87" s="177" t="str">
        <f>IF(A87&gt;0,SUM(MARKS!I79,MARKS!AO79),"")</f>
        <v/>
      </c>
      <c r="AI87" s="177" t="str">
        <f>IF(A87&gt;0,SUM(MARKS!Q79,MARKS!AW79),"")</f>
        <v/>
      </c>
      <c r="AJ87" s="177" t="str">
        <f>IF(A87&gt;0,SUM(MARKS!Y79,MARKS!BE79),"")</f>
        <v/>
      </c>
      <c r="AK87" s="177" t="str">
        <f>IF(A87&gt;0,SUM(MARKS!AG79,MARKS!BM79),"")</f>
        <v/>
      </c>
      <c r="AL87" s="178"/>
      <c r="AM87" s="177" t="str">
        <f t="shared" si="24"/>
        <v/>
      </c>
      <c r="AN87" s="177" t="str">
        <f t="shared" si="25"/>
        <v/>
      </c>
      <c r="AO87" s="177" t="str">
        <f>IF(A87&gt;0,SUM(PASHEET!AP79,PASHEET!AX79),"")</f>
        <v/>
      </c>
      <c r="AP87" s="177" t="str">
        <f>IF(A87&gt;0,SUM(MARKS!J79,MARKS!AP79),"")</f>
        <v/>
      </c>
      <c r="AQ87" s="177" t="str">
        <f>IF(A87&gt;0,SUM(MARKS!R79,MARKS!AX79),"")</f>
        <v/>
      </c>
      <c r="AR87" s="177" t="str">
        <f>IF(A87&gt;0,SUM(MARKS!Z79,MARKS!BF79),"")</f>
        <v/>
      </c>
      <c r="AS87" s="177" t="str">
        <f>IF(A87&gt;0,SUM(MARKS!AH79,MARKS!BN79),"")</f>
        <v/>
      </c>
      <c r="AT87" s="178"/>
      <c r="AU87" s="177" t="str">
        <f t="shared" si="26"/>
        <v/>
      </c>
      <c r="AV87" s="177" t="str">
        <f t="shared" si="27"/>
        <v/>
      </c>
      <c r="AW87" s="177" t="str">
        <f>IF(A87&gt;0,SUM(PASHEET!AQ79,PASHEET!AY79),"")</f>
        <v/>
      </c>
      <c r="AX87" s="177" t="str">
        <f>IF(A87&gt;0,SUM(MARKS!K79,MARKS!AQ79),"")</f>
        <v/>
      </c>
      <c r="AY87" s="177" t="str">
        <f>IF(A87&gt;0,SUM(MARKS!S79,MARKS!AY79),"")</f>
        <v/>
      </c>
      <c r="AZ87" s="177" t="str">
        <f>IF(A87&gt;0,SUM(MARKS!AA79,MARKS!BG79),"")</f>
        <v/>
      </c>
      <c r="BA87" s="177" t="str">
        <f>IF(A87&gt;0,SUM(MARKS!AI79,MARKS!BO79),"")</f>
        <v/>
      </c>
      <c r="BB87" s="178"/>
      <c r="BC87" s="177" t="str">
        <f t="shared" si="28"/>
        <v/>
      </c>
      <c r="BD87" s="177" t="str">
        <f t="shared" si="29"/>
        <v/>
      </c>
      <c r="BE87" s="177" t="str">
        <f t="shared" si="30"/>
        <v/>
      </c>
      <c r="BF87" s="47" t="str">
        <f t="shared" si="31"/>
        <v/>
      </c>
      <c r="BG87" s="70" t="str">
        <f t="shared" si="32"/>
        <v/>
      </c>
      <c r="BH87" s="177" t="str">
        <f t="shared" si="33"/>
        <v/>
      </c>
      <c r="BI87" s="47" t="str">
        <f>IF(A87&gt;0,FLN!I79,"")</f>
        <v/>
      </c>
      <c r="BJ87" s="47" t="str">
        <f>IF(A87&gt;0,FLN!J79,"")</f>
        <v/>
      </c>
      <c r="BK87" s="47" t="str">
        <f>IF(A87&gt;0,FLN!K79,"")</f>
        <v/>
      </c>
      <c r="BL87" s="47" t="str">
        <f t="shared" si="34"/>
        <v/>
      </c>
      <c r="BM87" s="130" t="str">
        <f>IF(BF87="","",IFERROR(RANK(BF87,$BF$12:$BF$111,0)+COUNTIFS($BF$12:BF87,BF87)-1,0))</f>
        <v/>
      </c>
      <c r="BN87" s="130" t="str">
        <f t="shared" si="35"/>
        <v/>
      </c>
    </row>
    <row r="88" s="98" customFormat="1" ht="27" customHeight="1" spans="1:66">
      <c r="A88" s="47">
        <f>IF(A87=0,0,IF(A87&lt;ENTRY!$D$24,A87+1,0))</f>
        <v>0</v>
      </c>
      <c r="B88" s="47" t="str">
        <f>IF(A88&gt;0,STUDENT!F78,"")</f>
        <v/>
      </c>
      <c r="C88" s="176" t="str">
        <f>IF(A88&gt;0,UPPER(STUDENT!E78),"")</f>
        <v/>
      </c>
      <c r="D88" s="176" t="str">
        <f>IF(A88&gt;0,UPPER(STUDENT!H78),"")</f>
        <v/>
      </c>
      <c r="E88" s="47" t="str">
        <f>IF(A88&gt;0,UPPER(STUDENT!BP78),"")</f>
        <v/>
      </c>
      <c r="F88" s="47" t="str">
        <f>IF(A88&gt;0,UPPER(STUDENT!BO78),"")</f>
        <v/>
      </c>
      <c r="G88" s="47" t="str">
        <f>IF(A88&gt;0,UPPER(STUDENT!Q78),"")</f>
        <v/>
      </c>
      <c r="H88" s="69" t="str">
        <f>IF(A88&gt;0,PASHEET!CI80/PASHEET!CJ80*100,"")</f>
        <v/>
      </c>
      <c r="I88" s="177" t="str">
        <f>IF(A88&gt;0,SUM(PASHEET!AL80,PASHEET!AT80),"")</f>
        <v/>
      </c>
      <c r="J88" s="177" t="str">
        <f>IF(A88&gt;0,SUM(MARKS!F80,MARKS!AL80),"")</f>
        <v/>
      </c>
      <c r="K88" s="177" t="str">
        <f>IF(A88&gt;0,SUM(MARKS!N80,MARKS!AT80),"")</f>
        <v/>
      </c>
      <c r="L88" s="177" t="str">
        <f>IF(A88&gt;0,SUM(MARKS!V80,MARKS!BB80),"")</f>
        <v/>
      </c>
      <c r="M88" s="177" t="str">
        <f>IF(A88&gt;0,SUM(MARKS!AD80,MARKS!BJ80),"")</f>
        <v/>
      </c>
      <c r="N88" s="178"/>
      <c r="O88" s="177" t="str">
        <f t="shared" si="18"/>
        <v/>
      </c>
      <c r="P88" s="177" t="str">
        <f t="shared" si="19"/>
        <v/>
      </c>
      <c r="Q88" s="177" t="str">
        <f>IF(A88&gt;0,SUM(PASHEET!AM80,PASHEET!AU80),"")</f>
        <v/>
      </c>
      <c r="R88" s="177" t="str">
        <f>IF(A88&gt;0,SUM(MARKS!G80,MARKS!AM80),"")</f>
        <v/>
      </c>
      <c r="S88" s="177" t="str">
        <f>IF(A88&gt;0,SUM(MARKS!O80,MARKS!AU80),"")</f>
        <v/>
      </c>
      <c r="T88" s="177" t="str">
        <f>IF(A88&gt;0,SUM(MARKS!W80,MARKS!BC80),"")</f>
        <v/>
      </c>
      <c r="U88" s="177" t="str">
        <f>IF(A88&gt;0,SUM(MARKS!AE80,MARKS!BK80),"")</f>
        <v/>
      </c>
      <c r="V88" s="178"/>
      <c r="W88" s="177" t="str">
        <f t="shared" si="20"/>
        <v/>
      </c>
      <c r="X88" s="177" t="str">
        <f t="shared" si="21"/>
        <v/>
      </c>
      <c r="Y88" s="177" t="str">
        <f>IF(A88&gt;0,SUM(PASHEET!AN80,PASHEET!AV80),"")</f>
        <v/>
      </c>
      <c r="Z88" s="177" t="str">
        <f>IF(A88&gt;0,SUM(MARKS!H80,MARKS!AN80),"")</f>
        <v/>
      </c>
      <c r="AA88" s="177" t="str">
        <f>IF(A88&gt;0,SUM(MARKS!P80,MARKS!AV80),"")</f>
        <v/>
      </c>
      <c r="AB88" s="177" t="str">
        <f>IF(A88&gt;0,SUM(MARKS!X80,MARKS!BD80),"")</f>
        <v/>
      </c>
      <c r="AC88" s="177" t="str">
        <f>IF(A88&gt;0,SUM(MARKS!AF80,MARKS!BL80),"")</f>
        <v/>
      </c>
      <c r="AD88" s="178"/>
      <c r="AE88" s="177" t="str">
        <f t="shared" si="22"/>
        <v/>
      </c>
      <c r="AF88" s="177" t="str">
        <f t="shared" si="23"/>
        <v/>
      </c>
      <c r="AG88" s="177" t="str">
        <f>IF(A88&gt;0,SUM(PASHEET!AO80,PASHEET!AW80),"")</f>
        <v/>
      </c>
      <c r="AH88" s="177" t="str">
        <f>IF(A88&gt;0,SUM(MARKS!I80,MARKS!AO80),"")</f>
        <v/>
      </c>
      <c r="AI88" s="177" t="str">
        <f>IF(A88&gt;0,SUM(MARKS!Q80,MARKS!AW80),"")</f>
        <v/>
      </c>
      <c r="AJ88" s="177" t="str">
        <f>IF(A88&gt;0,SUM(MARKS!Y80,MARKS!BE80),"")</f>
        <v/>
      </c>
      <c r="AK88" s="177" t="str">
        <f>IF(A88&gt;0,SUM(MARKS!AG80,MARKS!BM80),"")</f>
        <v/>
      </c>
      <c r="AL88" s="178"/>
      <c r="AM88" s="177" t="str">
        <f t="shared" si="24"/>
        <v/>
      </c>
      <c r="AN88" s="177" t="str">
        <f t="shared" si="25"/>
        <v/>
      </c>
      <c r="AO88" s="177" t="str">
        <f>IF(A88&gt;0,SUM(PASHEET!AP80,PASHEET!AX80),"")</f>
        <v/>
      </c>
      <c r="AP88" s="177" t="str">
        <f>IF(A88&gt;0,SUM(MARKS!J80,MARKS!AP80),"")</f>
        <v/>
      </c>
      <c r="AQ88" s="177" t="str">
        <f>IF(A88&gt;0,SUM(MARKS!R80,MARKS!AX80),"")</f>
        <v/>
      </c>
      <c r="AR88" s="177" t="str">
        <f>IF(A88&gt;0,SUM(MARKS!Z80,MARKS!BF80),"")</f>
        <v/>
      </c>
      <c r="AS88" s="177" t="str">
        <f>IF(A88&gt;0,SUM(MARKS!AH80,MARKS!BN80),"")</f>
        <v/>
      </c>
      <c r="AT88" s="178"/>
      <c r="AU88" s="177" t="str">
        <f t="shared" si="26"/>
        <v/>
      </c>
      <c r="AV88" s="177" t="str">
        <f t="shared" si="27"/>
        <v/>
      </c>
      <c r="AW88" s="177" t="str">
        <f>IF(A88&gt;0,SUM(PASHEET!AQ80,PASHEET!AY80),"")</f>
        <v/>
      </c>
      <c r="AX88" s="177" t="str">
        <f>IF(A88&gt;0,SUM(MARKS!K80,MARKS!AQ80),"")</f>
        <v/>
      </c>
      <c r="AY88" s="177" t="str">
        <f>IF(A88&gt;0,SUM(MARKS!S80,MARKS!AY80),"")</f>
        <v/>
      </c>
      <c r="AZ88" s="177" t="str">
        <f>IF(A88&gt;0,SUM(MARKS!AA80,MARKS!BG80),"")</f>
        <v/>
      </c>
      <c r="BA88" s="177" t="str">
        <f>IF(A88&gt;0,SUM(MARKS!AI80,MARKS!BO80),"")</f>
        <v/>
      </c>
      <c r="BB88" s="178"/>
      <c r="BC88" s="177" t="str">
        <f t="shared" si="28"/>
        <v/>
      </c>
      <c r="BD88" s="177" t="str">
        <f t="shared" si="29"/>
        <v/>
      </c>
      <c r="BE88" s="177" t="str">
        <f t="shared" si="30"/>
        <v/>
      </c>
      <c r="BF88" s="47" t="str">
        <f t="shared" si="31"/>
        <v/>
      </c>
      <c r="BG88" s="70" t="str">
        <f t="shared" si="32"/>
        <v/>
      </c>
      <c r="BH88" s="177" t="str">
        <f t="shared" si="33"/>
        <v/>
      </c>
      <c r="BI88" s="47" t="str">
        <f>IF(A88&gt;0,FLN!I80,"")</f>
        <v/>
      </c>
      <c r="BJ88" s="47" t="str">
        <f>IF(A88&gt;0,FLN!J80,"")</f>
        <v/>
      </c>
      <c r="BK88" s="47" t="str">
        <f>IF(A88&gt;0,FLN!K80,"")</f>
        <v/>
      </c>
      <c r="BL88" s="47" t="str">
        <f t="shared" si="34"/>
        <v/>
      </c>
      <c r="BM88" s="130" t="str">
        <f>IF(BF88="","",IFERROR(RANK(BF88,$BF$12:$BF$111,0)+COUNTIFS($BF$12:BF88,BF88)-1,0))</f>
        <v/>
      </c>
      <c r="BN88" s="130" t="str">
        <f t="shared" si="35"/>
        <v/>
      </c>
    </row>
    <row r="89" s="98" customFormat="1" ht="27" customHeight="1" spans="1:66">
      <c r="A89" s="47">
        <f>IF(A88=0,0,IF(A88&lt;ENTRY!$D$24,A88+1,0))</f>
        <v>0</v>
      </c>
      <c r="B89" s="47" t="str">
        <f>IF(A89&gt;0,STUDENT!F79,"")</f>
        <v/>
      </c>
      <c r="C89" s="176" t="str">
        <f>IF(A89&gt;0,UPPER(STUDENT!E79),"")</f>
        <v/>
      </c>
      <c r="D89" s="176" t="str">
        <f>IF(A89&gt;0,UPPER(STUDENT!H79),"")</f>
        <v/>
      </c>
      <c r="E89" s="47" t="str">
        <f>IF(A89&gt;0,UPPER(STUDENT!BP79),"")</f>
        <v/>
      </c>
      <c r="F89" s="47" t="str">
        <f>IF(A89&gt;0,UPPER(STUDENT!BO79),"")</f>
        <v/>
      </c>
      <c r="G89" s="47" t="str">
        <f>IF(A89&gt;0,UPPER(STUDENT!Q79),"")</f>
        <v/>
      </c>
      <c r="H89" s="69" t="str">
        <f>IF(A89&gt;0,PASHEET!CI81/PASHEET!CJ81*100,"")</f>
        <v/>
      </c>
      <c r="I89" s="177" t="str">
        <f>IF(A89&gt;0,SUM(PASHEET!AL81,PASHEET!AT81),"")</f>
        <v/>
      </c>
      <c r="J89" s="177" t="str">
        <f>IF(A89&gt;0,SUM(MARKS!F81,MARKS!AL81),"")</f>
        <v/>
      </c>
      <c r="K89" s="177" t="str">
        <f>IF(A89&gt;0,SUM(MARKS!N81,MARKS!AT81),"")</f>
        <v/>
      </c>
      <c r="L89" s="177" t="str">
        <f>IF(A89&gt;0,SUM(MARKS!V81,MARKS!BB81),"")</f>
        <v/>
      </c>
      <c r="M89" s="177" t="str">
        <f>IF(A89&gt;0,SUM(MARKS!AD81,MARKS!BJ81),"")</f>
        <v/>
      </c>
      <c r="N89" s="178"/>
      <c r="O89" s="177" t="str">
        <f t="shared" si="18"/>
        <v/>
      </c>
      <c r="P89" s="177" t="str">
        <f t="shared" si="19"/>
        <v/>
      </c>
      <c r="Q89" s="177" t="str">
        <f>IF(A89&gt;0,SUM(PASHEET!AM81,PASHEET!AU81),"")</f>
        <v/>
      </c>
      <c r="R89" s="177" t="str">
        <f>IF(A89&gt;0,SUM(MARKS!G81,MARKS!AM81),"")</f>
        <v/>
      </c>
      <c r="S89" s="177" t="str">
        <f>IF(A89&gt;0,SUM(MARKS!O81,MARKS!AU81),"")</f>
        <v/>
      </c>
      <c r="T89" s="177" t="str">
        <f>IF(A89&gt;0,SUM(MARKS!W81,MARKS!BC81),"")</f>
        <v/>
      </c>
      <c r="U89" s="177" t="str">
        <f>IF(A89&gt;0,SUM(MARKS!AE81,MARKS!BK81),"")</f>
        <v/>
      </c>
      <c r="V89" s="178"/>
      <c r="W89" s="177" t="str">
        <f t="shared" si="20"/>
        <v/>
      </c>
      <c r="X89" s="177" t="str">
        <f t="shared" si="21"/>
        <v/>
      </c>
      <c r="Y89" s="177" t="str">
        <f>IF(A89&gt;0,SUM(PASHEET!AN81,PASHEET!AV81),"")</f>
        <v/>
      </c>
      <c r="Z89" s="177" t="str">
        <f>IF(A89&gt;0,SUM(MARKS!H81,MARKS!AN81),"")</f>
        <v/>
      </c>
      <c r="AA89" s="177" t="str">
        <f>IF(A89&gt;0,SUM(MARKS!P81,MARKS!AV81),"")</f>
        <v/>
      </c>
      <c r="AB89" s="177" t="str">
        <f>IF(A89&gt;0,SUM(MARKS!X81,MARKS!BD81),"")</f>
        <v/>
      </c>
      <c r="AC89" s="177" t="str">
        <f>IF(A89&gt;0,SUM(MARKS!AF81,MARKS!BL81),"")</f>
        <v/>
      </c>
      <c r="AD89" s="178"/>
      <c r="AE89" s="177" t="str">
        <f t="shared" si="22"/>
        <v/>
      </c>
      <c r="AF89" s="177" t="str">
        <f t="shared" si="23"/>
        <v/>
      </c>
      <c r="AG89" s="177" t="str">
        <f>IF(A89&gt;0,SUM(PASHEET!AO81,PASHEET!AW81),"")</f>
        <v/>
      </c>
      <c r="AH89" s="177" t="str">
        <f>IF(A89&gt;0,SUM(MARKS!I81,MARKS!AO81),"")</f>
        <v/>
      </c>
      <c r="AI89" s="177" t="str">
        <f>IF(A89&gt;0,SUM(MARKS!Q81,MARKS!AW81),"")</f>
        <v/>
      </c>
      <c r="AJ89" s="177" t="str">
        <f>IF(A89&gt;0,SUM(MARKS!Y81,MARKS!BE81),"")</f>
        <v/>
      </c>
      <c r="AK89" s="177" t="str">
        <f>IF(A89&gt;0,SUM(MARKS!AG81,MARKS!BM81),"")</f>
        <v/>
      </c>
      <c r="AL89" s="178"/>
      <c r="AM89" s="177" t="str">
        <f t="shared" si="24"/>
        <v/>
      </c>
      <c r="AN89" s="177" t="str">
        <f t="shared" si="25"/>
        <v/>
      </c>
      <c r="AO89" s="177" t="str">
        <f>IF(A89&gt;0,SUM(PASHEET!AP81,PASHEET!AX81),"")</f>
        <v/>
      </c>
      <c r="AP89" s="177" t="str">
        <f>IF(A89&gt;0,SUM(MARKS!J81,MARKS!AP81),"")</f>
        <v/>
      </c>
      <c r="AQ89" s="177" t="str">
        <f>IF(A89&gt;0,SUM(MARKS!R81,MARKS!AX81),"")</f>
        <v/>
      </c>
      <c r="AR89" s="177" t="str">
        <f>IF(A89&gt;0,SUM(MARKS!Z81,MARKS!BF81),"")</f>
        <v/>
      </c>
      <c r="AS89" s="177" t="str">
        <f>IF(A89&gt;0,SUM(MARKS!AH81,MARKS!BN81),"")</f>
        <v/>
      </c>
      <c r="AT89" s="178"/>
      <c r="AU89" s="177" t="str">
        <f t="shared" si="26"/>
        <v/>
      </c>
      <c r="AV89" s="177" t="str">
        <f t="shared" si="27"/>
        <v/>
      </c>
      <c r="AW89" s="177" t="str">
        <f>IF(A89&gt;0,SUM(PASHEET!AQ81,PASHEET!AY81),"")</f>
        <v/>
      </c>
      <c r="AX89" s="177" t="str">
        <f>IF(A89&gt;0,SUM(MARKS!K81,MARKS!AQ81),"")</f>
        <v/>
      </c>
      <c r="AY89" s="177" t="str">
        <f>IF(A89&gt;0,SUM(MARKS!S81,MARKS!AY81),"")</f>
        <v/>
      </c>
      <c r="AZ89" s="177" t="str">
        <f>IF(A89&gt;0,SUM(MARKS!AA81,MARKS!BG81),"")</f>
        <v/>
      </c>
      <c r="BA89" s="177" t="str">
        <f>IF(A89&gt;0,SUM(MARKS!AI81,MARKS!BO81),"")</f>
        <v/>
      </c>
      <c r="BB89" s="178"/>
      <c r="BC89" s="177" t="str">
        <f t="shared" si="28"/>
        <v/>
      </c>
      <c r="BD89" s="177" t="str">
        <f t="shared" si="29"/>
        <v/>
      </c>
      <c r="BE89" s="177" t="str">
        <f t="shared" si="30"/>
        <v/>
      </c>
      <c r="BF89" s="47" t="str">
        <f t="shared" si="31"/>
        <v/>
      </c>
      <c r="BG89" s="70" t="str">
        <f t="shared" si="32"/>
        <v/>
      </c>
      <c r="BH89" s="177" t="str">
        <f t="shared" si="33"/>
        <v/>
      </c>
      <c r="BI89" s="47" t="str">
        <f>IF(A89&gt;0,FLN!I81,"")</f>
        <v/>
      </c>
      <c r="BJ89" s="47" t="str">
        <f>IF(A89&gt;0,FLN!J81,"")</f>
        <v/>
      </c>
      <c r="BK89" s="47" t="str">
        <f>IF(A89&gt;0,FLN!K81,"")</f>
        <v/>
      </c>
      <c r="BL89" s="47" t="str">
        <f t="shared" si="34"/>
        <v/>
      </c>
      <c r="BM89" s="130" t="str">
        <f>IF(BF89="","",IFERROR(RANK(BF89,$BF$12:$BF$111,0)+COUNTIFS($BF$12:BF89,BF89)-1,0))</f>
        <v/>
      </c>
      <c r="BN89" s="130" t="str">
        <f t="shared" si="35"/>
        <v/>
      </c>
    </row>
    <row r="90" s="98" customFormat="1" ht="27" customHeight="1" spans="1:66">
      <c r="A90" s="47">
        <f>IF(A89=0,0,IF(A89&lt;ENTRY!$D$24,A89+1,0))</f>
        <v>0</v>
      </c>
      <c r="B90" s="47" t="str">
        <f>IF(A90&gt;0,STUDENT!F80,"")</f>
        <v/>
      </c>
      <c r="C90" s="176" t="str">
        <f>IF(A90&gt;0,UPPER(STUDENT!E80),"")</f>
        <v/>
      </c>
      <c r="D90" s="176" t="str">
        <f>IF(A90&gt;0,UPPER(STUDENT!H80),"")</f>
        <v/>
      </c>
      <c r="E90" s="47" t="str">
        <f>IF(A90&gt;0,UPPER(STUDENT!BP80),"")</f>
        <v/>
      </c>
      <c r="F90" s="47" t="str">
        <f>IF(A90&gt;0,UPPER(STUDENT!BO80),"")</f>
        <v/>
      </c>
      <c r="G90" s="47" t="str">
        <f>IF(A90&gt;0,UPPER(STUDENT!Q80),"")</f>
        <v/>
      </c>
      <c r="H90" s="69" t="str">
        <f>IF(A90&gt;0,PASHEET!CI82/PASHEET!CJ82*100,"")</f>
        <v/>
      </c>
      <c r="I90" s="177" t="str">
        <f>IF(A90&gt;0,SUM(PASHEET!AL82,PASHEET!AT82),"")</f>
        <v/>
      </c>
      <c r="J90" s="177" t="str">
        <f>IF(A90&gt;0,SUM(MARKS!F82,MARKS!AL82),"")</f>
        <v/>
      </c>
      <c r="K90" s="177" t="str">
        <f>IF(A90&gt;0,SUM(MARKS!N82,MARKS!AT82),"")</f>
        <v/>
      </c>
      <c r="L90" s="177" t="str">
        <f>IF(A90&gt;0,SUM(MARKS!V82,MARKS!BB82),"")</f>
        <v/>
      </c>
      <c r="M90" s="177" t="str">
        <f>IF(A90&gt;0,SUM(MARKS!AD82,MARKS!BJ82),"")</f>
        <v/>
      </c>
      <c r="N90" s="178"/>
      <c r="O90" s="177" t="str">
        <f t="shared" si="18"/>
        <v/>
      </c>
      <c r="P90" s="177" t="str">
        <f t="shared" si="19"/>
        <v/>
      </c>
      <c r="Q90" s="177" t="str">
        <f>IF(A90&gt;0,SUM(PASHEET!AM82,PASHEET!AU82),"")</f>
        <v/>
      </c>
      <c r="R90" s="177" t="str">
        <f>IF(A90&gt;0,SUM(MARKS!G82,MARKS!AM82),"")</f>
        <v/>
      </c>
      <c r="S90" s="177" t="str">
        <f>IF(A90&gt;0,SUM(MARKS!O82,MARKS!AU82),"")</f>
        <v/>
      </c>
      <c r="T90" s="177" t="str">
        <f>IF(A90&gt;0,SUM(MARKS!W82,MARKS!BC82),"")</f>
        <v/>
      </c>
      <c r="U90" s="177" t="str">
        <f>IF(A90&gt;0,SUM(MARKS!AE82,MARKS!BK82),"")</f>
        <v/>
      </c>
      <c r="V90" s="178"/>
      <c r="W90" s="177" t="str">
        <f t="shared" si="20"/>
        <v/>
      </c>
      <c r="X90" s="177" t="str">
        <f t="shared" si="21"/>
        <v/>
      </c>
      <c r="Y90" s="177" t="str">
        <f>IF(A90&gt;0,SUM(PASHEET!AN82,PASHEET!AV82),"")</f>
        <v/>
      </c>
      <c r="Z90" s="177" t="str">
        <f>IF(A90&gt;0,SUM(MARKS!H82,MARKS!AN82),"")</f>
        <v/>
      </c>
      <c r="AA90" s="177" t="str">
        <f>IF(A90&gt;0,SUM(MARKS!P82,MARKS!AV82),"")</f>
        <v/>
      </c>
      <c r="AB90" s="177" t="str">
        <f>IF(A90&gt;0,SUM(MARKS!X82,MARKS!BD82),"")</f>
        <v/>
      </c>
      <c r="AC90" s="177" t="str">
        <f>IF(A90&gt;0,SUM(MARKS!AF82,MARKS!BL82),"")</f>
        <v/>
      </c>
      <c r="AD90" s="178"/>
      <c r="AE90" s="177" t="str">
        <f t="shared" si="22"/>
        <v/>
      </c>
      <c r="AF90" s="177" t="str">
        <f t="shared" si="23"/>
        <v/>
      </c>
      <c r="AG90" s="177" t="str">
        <f>IF(A90&gt;0,SUM(PASHEET!AO82,PASHEET!AW82),"")</f>
        <v/>
      </c>
      <c r="AH90" s="177" t="str">
        <f>IF(A90&gt;0,SUM(MARKS!I82,MARKS!AO82),"")</f>
        <v/>
      </c>
      <c r="AI90" s="177" t="str">
        <f>IF(A90&gt;0,SUM(MARKS!Q82,MARKS!AW82),"")</f>
        <v/>
      </c>
      <c r="AJ90" s="177" t="str">
        <f>IF(A90&gt;0,SUM(MARKS!Y82,MARKS!BE82),"")</f>
        <v/>
      </c>
      <c r="AK90" s="177" t="str">
        <f>IF(A90&gt;0,SUM(MARKS!AG82,MARKS!BM82),"")</f>
        <v/>
      </c>
      <c r="AL90" s="178"/>
      <c r="AM90" s="177" t="str">
        <f t="shared" si="24"/>
        <v/>
      </c>
      <c r="AN90" s="177" t="str">
        <f t="shared" si="25"/>
        <v/>
      </c>
      <c r="AO90" s="177" t="str">
        <f>IF(A90&gt;0,SUM(PASHEET!AP82,PASHEET!AX82),"")</f>
        <v/>
      </c>
      <c r="AP90" s="177" t="str">
        <f>IF(A90&gt;0,SUM(MARKS!J82,MARKS!AP82),"")</f>
        <v/>
      </c>
      <c r="AQ90" s="177" t="str">
        <f>IF(A90&gt;0,SUM(MARKS!R82,MARKS!AX82),"")</f>
        <v/>
      </c>
      <c r="AR90" s="177" t="str">
        <f>IF(A90&gt;0,SUM(MARKS!Z82,MARKS!BF82),"")</f>
        <v/>
      </c>
      <c r="AS90" s="177" t="str">
        <f>IF(A90&gt;0,SUM(MARKS!AH82,MARKS!BN82),"")</f>
        <v/>
      </c>
      <c r="AT90" s="178"/>
      <c r="AU90" s="177" t="str">
        <f t="shared" si="26"/>
        <v/>
      </c>
      <c r="AV90" s="177" t="str">
        <f t="shared" si="27"/>
        <v/>
      </c>
      <c r="AW90" s="177" t="str">
        <f>IF(A90&gt;0,SUM(PASHEET!AQ82,PASHEET!AY82),"")</f>
        <v/>
      </c>
      <c r="AX90" s="177" t="str">
        <f>IF(A90&gt;0,SUM(MARKS!K82,MARKS!AQ82),"")</f>
        <v/>
      </c>
      <c r="AY90" s="177" t="str">
        <f>IF(A90&gt;0,SUM(MARKS!S82,MARKS!AY82),"")</f>
        <v/>
      </c>
      <c r="AZ90" s="177" t="str">
        <f>IF(A90&gt;0,SUM(MARKS!AA82,MARKS!BG82),"")</f>
        <v/>
      </c>
      <c r="BA90" s="177" t="str">
        <f>IF(A90&gt;0,SUM(MARKS!AI82,MARKS!BO82),"")</f>
        <v/>
      </c>
      <c r="BB90" s="178"/>
      <c r="BC90" s="177" t="str">
        <f t="shared" si="28"/>
        <v/>
      </c>
      <c r="BD90" s="177" t="str">
        <f t="shared" si="29"/>
        <v/>
      </c>
      <c r="BE90" s="177" t="str">
        <f t="shared" si="30"/>
        <v/>
      </c>
      <c r="BF90" s="47" t="str">
        <f t="shared" si="31"/>
        <v/>
      </c>
      <c r="BG90" s="70" t="str">
        <f t="shared" si="32"/>
        <v/>
      </c>
      <c r="BH90" s="177" t="str">
        <f t="shared" si="33"/>
        <v/>
      </c>
      <c r="BI90" s="47" t="str">
        <f>IF(A90&gt;0,FLN!I82,"")</f>
        <v/>
      </c>
      <c r="BJ90" s="47" t="str">
        <f>IF(A90&gt;0,FLN!J82,"")</f>
        <v/>
      </c>
      <c r="BK90" s="47" t="str">
        <f>IF(A90&gt;0,FLN!K82,"")</f>
        <v/>
      </c>
      <c r="BL90" s="47" t="str">
        <f t="shared" si="34"/>
        <v/>
      </c>
      <c r="BM90" s="130" t="str">
        <f>IF(BF90="","",IFERROR(RANK(BF90,$BF$12:$BF$111,0)+COUNTIFS($BF$12:BF90,BF90)-1,0))</f>
        <v/>
      </c>
      <c r="BN90" s="130" t="str">
        <f t="shared" si="35"/>
        <v/>
      </c>
    </row>
    <row r="91" s="98" customFormat="1" ht="27" customHeight="1" spans="1:66">
      <c r="A91" s="47">
        <f>IF(A90=0,0,IF(A90&lt;ENTRY!$D$24,A90+1,0))</f>
        <v>0</v>
      </c>
      <c r="B91" s="47" t="str">
        <f>IF(A91&gt;0,STUDENT!F81,"")</f>
        <v/>
      </c>
      <c r="C91" s="176" t="str">
        <f>IF(A91&gt;0,UPPER(STUDENT!E81),"")</f>
        <v/>
      </c>
      <c r="D91" s="176" t="str">
        <f>IF(A91&gt;0,UPPER(STUDENT!H81),"")</f>
        <v/>
      </c>
      <c r="E91" s="47" t="str">
        <f>IF(A91&gt;0,UPPER(STUDENT!BP81),"")</f>
        <v/>
      </c>
      <c r="F91" s="47" t="str">
        <f>IF(A91&gt;0,UPPER(STUDENT!BO81),"")</f>
        <v/>
      </c>
      <c r="G91" s="47" t="str">
        <f>IF(A91&gt;0,UPPER(STUDENT!Q81),"")</f>
        <v/>
      </c>
      <c r="H91" s="69" t="str">
        <f>IF(A91&gt;0,PASHEET!CI83/PASHEET!CJ83*100,"")</f>
        <v/>
      </c>
      <c r="I91" s="177" t="str">
        <f>IF(A91&gt;0,SUM(PASHEET!AL83,PASHEET!AT83),"")</f>
        <v/>
      </c>
      <c r="J91" s="177" t="str">
        <f>IF(A91&gt;0,SUM(MARKS!F83,MARKS!AL83),"")</f>
        <v/>
      </c>
      <c r="K91" s="177" t="str">
        <f>IF(A91&gt;0,SUM(MARKS!N83,MARKS!AT83),"")</f>
        <v/>
      </c>
      <c r="L91" s="177" t="str">
        <f>IF(A91&gt;0,SUM(MARKS!V83,MARKS!BB83),"")</f>
        <v/>
      </c>
      <c r="M91" s="177" t="str">
        <f>IF(A91&gt;0,SUM(MARKS!AD83,MARKS!BJ83),"")</f>
        <v/>
      </c>
      <c r="N91" s="178"/>
      <c r="O91" s="177" t="str">
        <f t="shared" si="18"/>
        <v/>
      </c>
      <c r="P91" s="177" t="str">
        <f t="shared" si="19"/>
        <v/>
      </c>
      <c r="Q91" s="177" t="str">
        <f>IF(A91&gt;0,SUM(PASHEET!AM83,PASHEET!AU83),"")</f>
        <v/>
      </c>
      <c r="R91" s="177" t="str">
        <f>IF(A91&gt;0,SUM(MARKS!G83,MARKS!AM83),"")</f>
        <v/>
      </c>
      <c r="S91" s="177" t="str">
        <f>IF(A91&gt;0,SUM(MARKS!O83,MARKS!AU83),"")</f>
        <v/>
      </c>
      <c r="T91" s="177" t="str">
        <f>IF(A91&gt;0,SUM(MARKS!W83,MARKS!BC83),"")</f>
        <v/>
      </c>
      <c r="U91" s="177" t="str">
        <f>IF(A91&gt;0,SUM(MARKS!AE83,MARKS!BK83),"")</f>
        <v/>
      </c>
      <c r="V91" s="178"/>
      <c r="W91" s="177" t="str">
        <f t="shared" si="20"/>
        <v/>
      </c>
      <c r="X91" s="177" t="str">
        <f t="shared" si="21"/>
        <v/>
      </c>
      <c r="Y91" s="177" t="str">
        <f>IF(A91&gt;0,SUM(PASHEET!AN83,PASHEET!AV83),"")</f>
        <v/>
      </c>
      <c r="Z91" s="177" t="str">
        <f>IF(A91&gt;0,SUM(MARKS!H83,MARKS!AN83),"")</f>
        <v/>
      </c>
      <c r="AA91" s="177" t="str">
        <f>IF(A91&gt;0,SUM(MARKS!P83,MARKS!AV83),"")</f>
        <v/>
      </c>
      <c r="AB91" s="177" t="str">
        <f>IF(A91&gt;0,SUM(MARKS!X83,MARKS!BD83),"")</f>
        <v/>
      </c>
      <c r="AC91" s="177" t="str">
        <f>IF(A91&gt;0,SUM(MARKS!AF83,MARKS!BL83),"")</f>
        <v/>
      </c>
      <c r="AD91" s="178"/>
      <c r="AE91" s="177" t="str">
        <f t="shared" si="22"/>
        <v/>
      </c>
      <c r="AF91" s="177" t="str">
        <f t="shared" si="23"/>
        <v/>
      </c>
      <c r="AG91" s="177" t="str">
        <f>IF(A91&gt;0,SUM(PASHEET!AO83,PASHEET!AW83),"")</f>
        <v/>
      </c>
      <c r="AH91" s="177" t="str">
        <f>IF(A91&gt;0,SUM(MARKS!I83,MARKS!AO83),"")</f>
        <v/>
      </c>
      <c r="AI91" s="177" t="str">
        <f>IF(A91&gt;0,SUM(MARKS!Q83,MARKS!AW83),"")</f>
        <v/>
      </c>
      <c r="AJ91" s="177" t="str">
        <f>IF(A91&gt;0,SUM(MARKS!Y83,MARKS!BE83),"")</f>
        <v/>
      </c>
      <c r="AK91" s="177" t="str">
        <f>IF(A91&gt;0,SUM(MARKS!AG83,MARKS!BM83),"")</f>
        <v/>
      </c>
      <c r="AL91" s="178"/>
      <c r="AM91" s="177" t="str">
        <f t="shared" si="24"/>
        <v/>
      </c>
      <c r="AN91" s="177" t="str">
        <f t="shared" si="25"/>
        <v/>
      </c>
      <c r="AO91" s="177" t="str">
        <f>IF(A91&gt;0,SUM(PASHEET!AP83,PASHEET!AX83),"")</f>
        <v/>
      </c>
      <c r="AP91" s="177" t="str">
        <f>IF(A91&gt;0,SUM(MARKS!J83,MARKS!AP83),"")</f>
        <v/>
      </c>
      <c r="AQ91" s="177" t="str">
        <f>IF(A91&gt;0,SUM(MARKS!R83,MARKS!AX83),"")</f>
        <v/>
      </c>
      <c r="AR91" s="177" t="str">
        <f>IF(A91&gt;0,SUM(MARKS!Z83,MARKS!BF83),"")</f>
        <v/>
      </c>
      <c r="AS91" s="177" t="str">
        <f>IF(A91&gt;0,SUM(MARKS!AH83,MARKS!BN83),"")</f>
        <v/>
      </c>
      <c r="AT91" s="178"/>
      <c r="AU91" s="177" t="str">
        <f t="shared" si="26"/>
        <v/>
      </c>
      <c r="AV91" s="177" t="str">
        <f t="shared" si="27"/>
        <v/>
      </c>
      <c r="AW91" s="177" t="str">
        <f>IF(A91&gt;0,SUM(PASHEET!AQ83,PASHEET!AY83),"")</f>
        <v/>
      </c>
      <c r="AX91" s="177" t="str">
        <f>IF(A91&gt;0,SUM(MARKS!K83,MARKS!AQ83),"")</f>
        <v/>
      </c>
      <c r="AY91" s="177" t="str">
        <f>IF(A91&gt;0,SUM(MARKS!S83,MARKS!AY83),"")</f>
        <v/>
      </c>
      <c r="AZ91" s="177" t="str">
        <f>IF(A91&gt;0,SUM(MARKS!AA83,MARKS!BG83),"")</f>
        <v/>
      </c>
      <c r="BA91" s="177" t="str">
        <f>IF(A91&gt;0,SUM(MARKS!AI83,MARKS!BO83),"")</f>
        <v/>
      </c>
      <c r="BB91" s="178"/>
      <c r="BC91" s="177" t="str">
        <f t="shared" si="28"/>
        <v/>
      </c>
      <c r="BD91" s="177" t="str">
        <f t="shared" si="29"/>
        <v/>
      </c>
      <c r="BE91" s="177" t="str">
        <f t="shared" si="30"/>
        <v/>
      </c>
      <c r="BF91" s="47" t="str">
        <f t="shared" si="31"/>
        <v/>
      </c>
      <c r="BG91" s="70" t="str">
        <f t="shared" si="32"/>
        <v/>
      </c>
      <c r="BH91" s="177" t="str">
        <f t="shared" si="33"/>
        <v/>
      </c>
      <c r="BI91" s="47" t="str">
        <f>IF(A91&gt;0,FLN!I83,"")</f>
        <v/>
      </c>
      <c r="BJ91" s="47" t="str">
        <f>IF(A91&gt;0,FLN!J83,"")</f>
        <v/>
      </c>
      <c r="BK91" s="47" t="str">
        <f>IF(A91&gt;0,FLN!K83,"")</f>
        <v/>
      </c>
      <c r="BL91" s="47" t="str">
        <f t="shared" si="34"/>
        <v/>
      </c>
      <c r="BM91" s="130" t="str">
        <f>IF(BF91="","",IFERROR(RANK(BF91,$BF$12:$BF$111,0)+COUNTIFS($BF$12:BF91,BF91)-1,0))</f>
        <v/>
      </c>
      <c r="BN91" s="130" t="str">
        <f t="shared" si="35"/>
        <v/>
      </c>
    </row>
    <row r="92" s="98" customFormat="1" ht="27" customHeight="1" spans="1:66">
      <c r="A92" s="47">
        <f>IF(A91=0,0,IF(A91&lt;ENTRY!$D$24,A91+1,0))</f>
        <v>0</v>
      </c>
      <c r="B92" s="47" t="str">
        <f>IF(A92&gt;0,STUDENT!F82,"")</f>
        <v/>
      </c>
      <c r="C92" s="176" t="str">
        <f>IF(A92&gt;0,UPPER(STUDENT!E82),"")</f>
        <v/>
      </c>
      <c r="D92" s="176" t="str">
        <f>IF(A92&gt;0,UPPER(STUDENT!H82),"")</f>
        <v/>
      </c>
      <c r="E92" s="47" t="str">
        <f>IF(A92&gt;0,UPPER(STUDENT!BP82),"")</f>
        <v/>
      </c>
      <c r="F92" s="47" t="str">
        <f>IF(A92&gt;0,UPPER(STUDENT!BO82),"")</f>
        <v/>
      </c>
      <c r="G92" s="47" t="str">
        <f>IF(A92&gt;0,UPPER(STUDENT!Q82),"")</f>
        <v/>
      </c>
      <c r="H92" s="69" t="str">
        <f>IF(A92&gt;0,PASHEET!CI84/PASHEET!CJ84*100,"")</f>
        <v/>
      </c>
      <c r="I92" s="177" t="str">
        <f>IF(A92&gt;0,SUM(PASHEET!AL84,PASHEET!AT84),"")</f>
        <v/>
      </c>
      <c r="J92" s="177" t="str">
        <f>IF(A92&gt;0,SUM(MARKS!F84,MARKS!AL84),"")</f>
        <v/>
      </c>
      <c r="K92" s="177" t="str">
        <f>IF(A92&gt;0,SUM(MARKS!N84,MARKS!AT84),"")</f>
        <v/>
      </c>
      <c r="L92" s="177" t="str">
        <f>IF(A92&gt;0,SUM(MARKS!V84,MARKS!BB84),"")</f>
        <v/>
      </c>
      <c r="M92" s="177" t="str">
        <f>IF(A92&gt;0,SUM(MARKS!AD84,MARKS!BJ84),"")</f>
        <v/>
      </c>
      <c r="N92" s="178"/>
      <c r="O92" s="177" t="str">
        <f t="shared" si="18"/>
        <v/>
      </c>
      <c r="P92" s="177" t="str">
        <f t="shared" si="19"/>
        <v/>
      </c>
      <c r="Q92" s="177" t="str">
        <f>IF(A92&gt;0,SUM(PASHEET!AM84,PASHEET!AU84),"")</f>
        <v/>
      </c>
      <c r="R92" s="177" t="str">
        <f>IF(A92&gt;0,SUM(MARKS!G84,MARKS!AM84),"")</f>
        <v/>
      </c>
      <c r="S92" s="177" t="str">
        <f>IF(A92&gt;0,SUM(MARKS!O84,MARKS!AU84),"")</f>
        <v/>
      </c>
      <c r="T92" s="177" t="str">
        <f>IF(A92&gt;0,SUM(MARKS!W84,MARKS!BC84),"")</f>
        <v/>
      </c>
      <c r="U92" s="177" t="str">
        <f>IF(A92&gt;0,SUM(MARKS!AE84,MARKS!BK84),"")</f>
        <v/>
      </c>
      <c r="V92" s="178"/>
      <c r="W92" s="177" t="str">
        <f t="shared" si="20"/>
        <v/>
      </c>
      <c r="X92" s="177" t="str">
        <f t="shared" si="21"/>
        <v/>
      </c>
      <c r="Y92" s="177" t="str">
        <f>IF(A92&gt;0,SUM(PASHEET!AN84,PASHEET!AV84),"")</f>
        <v/>
      </c>
      <c r="Z92" s="177" t="str">
        <f>IF(A92&gt;0,SUM(MARKS!H84,MARKS!AN84),"")</f>
        <v/>
      </c>
      <c r="AA92" s="177" t="str">
        <f>IF(A92&gt;0,SUM(MARKS!P84,MARKS!AV84),"")</f>
        <v/>
      </c>
      <c r="AB92" s="177" t="str">
        <f>IF(A92&gt;0,SUM(MARKS!X84,MARKS!BD84),"")</f>
        <v/>
      </c>
      <c r="AC92" s="177" t="str">
        <f>IF(A92&gt;0,SUM(MARKS!AF84,MARKS!BL84),"")</f>
        <v/>
      </c>
      <c r="AD92" s="178"/>
      <c r="AE92" s="177" t="str">
        <f t="shared" si="22"/>
        <v/>
      </c>
      <c r="AF92" s="177" t="str">
        <f t="shared" si="23"/>
        <v/>
      </c>
      <c r="AG92" s="177" t="str">
        <f>IF(A92&gt;0,SUM(PASHEET!AO84,PASHEET!AW84),"")</f>
        <v/>
      </c>
      <c r="AH92" s="177" t="str">
        <f>IF(A92&gt;0,SUM(MARKS!I84,MARKS!AO84),"")</f>
        <v/>
      </c>
      <c r="AI92" s="177" t="str">
        <f>IF(A92&gt;0,SUM(MARKS!Q84,MARKS!AW84),"")</f>
        <v/>
      </c>
      <c r="AJ92" s="177" t="str">
        <f>IF(A92&gt;0,SUM(MARKS!Y84,MARKS!BE84),"")</f>
        <v/>
      </c>
      <c r="AK92" s="177" t="str">
        <f>IF(A92&gt;0,SUM(MARKS!AG84,MARKS!BM84),"")</f>
        <v/>
      </c>
      <c r="AL92" s="178"/>
      <c r="AM92" s="177" t="str">
        <f t="shared" si="24"/>
        <v/>
      </c>
      <c r="AN92" s="177" t="str">
        <f t="shared" si="25"/>
        <v/>
      </c>
      <c r="AO92" s="177" t="str">
        <f>IF(A92&gt;0,SUM(PASHEET!AP84,PASHEET!AX84),"")</f>
        <v/>
      </c>
      <c r="AP92" s="177" t="str">
        <f>IF(A92&gt;0,SUM(MARKS!J84,MARKS!AP84),"")</f>
        <v/>
      </c>
      <c r="AQ92" s="177" t="str">
        <f>IF(A92&gt;0,SUM(MARKS!R84,MARKS!AX84),"")</f>
        <v/>
      </c>
      <c r="AR92" s="177" t="str">
        <f>IF(A92&gt;0,SUM(MARKS!Z84,MARKS!BF84),"")</f>
        <v/>
      </c>
      <c r="AS92" s="177" t="str">
        <f>IF(A92&gt;0,SUM(MARKS!AH84,MARKS!BN84),"")</f>
        <v/>
      </c>
      <c r="AT92" s="178"/>
      <c r="AU92" s="177" t="str">
        <f t="shared" si="26"/>
        <v/>
      </c>
      <c r="AV92" s="177" t="str">
        <f t="shared" si="27"/>
        <v/>
      </c>
      <c r="AW92" s="177" t="str">
        <f>IF(A92&gt;0,SUM(PASHEET!AQ84,PASHEET!AY84),"")</f>
        <v/>
      </c>
      <c r="AX92" s="177" t="str">
        <f>IF(A92&gt;0,SUM(MARKS!K84,MARKS!AQ84),"")</f>
        <v/>
      </c>
      <c r="AY92" s="177" t="str">
        <f>IF(A92&gt;0,SUM(MARKS!S84,MARKS!AY84),"")</f>
        <v/>
      </c>
      <c r="AZ92" s="177" t="str">
        <f>IF(A92&gt;0,SUM(MARKS!AA84,MARKS!BG84),"")</f>
        <v/>
      </c>
      <c r="BA92" s="177" t="str">
        <f>IF(A92&gt;0,SUM(MARKS!AI84,MARKS!BO84),"")</f>
        <v/>
      </c>
      <c r="BB92" s="178"/>
      <c r="BC92" s="177" t="str">
        <f t="shared" si="28"/>
        <v/>
      </c>
      <c r="BD92" s="177" t="str">
        <f t="shared" si="29"/>
        <v/>
      </c>
      <c r="BE92" s="177" t="str">
        <f t="shared" si="30"/>
        <v/>
      </c>
      <c r="BF92" s="47" t="str">
        <f t="shared" si="31"/>
        <v/>
      </c>
      <c r="BG92" s="70" t="str">
        <f t="shared" si="32"/>
        <v/>
      </c>
      <c r="BH92" s="177" t="str">
        <f t="shared" si="33"/>
        <v/>
      </c>
      <c r="BI92" s="47" t="str">
        <f>IF(A92&gt;0,FLN!I84,"")</f>
        <v/>
      </c>
      <c r="BJ92" s="47" t="str">
        <f>IF(A92&gt;0,FLN!J84,"")</f>
        <v/>
      </c>
      <c r="BK92" s="47" t="str">
        <f>IF(A92&gt;0,FLN!K84,"")</f>
        <v/>
      </c>
      <c r="BL92" s="47" t="str">
        <f t="shared" si="34"/>
        <v/>
      </c>
      <c r="BM92" s="130" t="str">
        <f>IF(BF92="","",IFERROR(RANK(BF92,$BF$12:$BF$111,0)+COUNTIFS($BF$12:BF92,BF92)-1,0))</f>
        <v/>
      </c>
      <c r="BN92" s="130" t="str">
        <f t="shared" si="35"/>
        <v/>
      </c>
    </row>
    <row r="93" s="98" customFormat="1" ht="27" customHeight="1" spans="1:66">
      <c r="A93" s="47">
        <f>IF(A92=0,0,IF(A92&lt;ENTRY!$D$24,A92+1,0))</f>
        <v>0</v>
      </c>
      <c r="B93" s="47" t="str">
        <f>IF(A93&gt;0,STUDENT!F83,"")</f>
        <v/>
      </c>
      <c r="C93" s="176" t="str">
        <f>IF(A93&gt;0,UPPER(STUDENT!E83),"")</f>
        <v/>
      </c>
      <c r="D93" s="176" t="str">
        <f>IF(A93&gt;0,UPPER(STUDENT!H83),"")</f>
        <v/>
      </c>
      <c r="E93" s="47" t="str">
        <f>IF(A93&gt;0,UPPER(STUDENT!BP83),"")</f>
        <v/>
      </c>
      <c r="F93" s="47" t="str">
        <f>IF(A93&gt;0,UPPER(STUDENT!BO83),"")</f>
        <v/>
      </c>
      <c r="G93" s="47" t="str">
        <f>IF(A93&gt;0,UPPER(STUDENT!Q83),"")</f>
        <v/>
      </c>
      <c r="H93" s="69" t="str">
        <f>IF(A93&gt;0,PASHEET!CI85/PASHEET!CJ85*100,"")</f>
        <v/>
      </c>
      <c r="I93" s="177" t="str">
        <f>IF(A93&gt;0,SUM(PASHEET!AL85,PASHEET!AT85),"")</f>
        <v/>
      </c>
      <c r="J93" s="177" t="str">
        <f>IF(A93&gt;0,SUM(MARKS!F85,MARKS!AL85),"")</f>
        <v/>
      </c>
      <c r="K93" s="177" t="str">
        <f>IF(A93&gt;0,SUM(MARKS!N85,MARKS!AT85),"")</f>
        <v/>
      </c>
      <c r="L93" s="177" t="str">
        <f>IF(A93&gt;0,SUM(MARKS!V85,MARKS!BB85),"")</f>
        <v/>
      </c>
      <c r="M93" s="177" t="str">
        <f>IF(A93&gt;0,SUM(MARKS!AD85,MARKS!BJ85),"")</f>
        <v/>
      </c>
      <c r="N93" s="178"/>
      <c r="O93" s="177" t="str">
        <f t="shared" si="18"/>
        <v/>
      </c>
      <c r="P93" s="177" t="str">
        <f t="shared" si="19"/>
        <v/>
      </c>
      <c r="Q93" s="177" t="str">
        <f>IF(A93&gt;0,SUM(PASHEET!AM85,PASHEET!AU85),"")</f>
        <v/>
      </c>
      <c r="R93" s="177" t="str">
        <f>IF(A93&gt;0,SUM(MARKS!G85,MARKS!AM85),"")</f>
        <v/>
      </c>
      <c r="S93" s="177" t="str">
        <f>IF(A93&gt;0,SUM(MARKS!O85,MARKS!AU85),"")</f>
        <v/>
      </c>
      <c r="T93" s="177" t="str">
        <f>IF(A93&gt;0,SUM(MARKS!W85,MARKS!BC85),"")</f>
        <v/>
      </c>
      <c r="U93" s="177" t="str">
        <f>IF(A93&gt;0,SUM(MARKS!AE85,MARKS!BK85),"")</f>
        <v/>
      </c>
      <c r="V93" s="178"/>
      <c r="W93" s="177" t="str">
        <f t="shared" si="20"/>
        <v/>
      </c>
      <c r="X93" s="177" t="str">
        <f t="shared" si="21"/>
        <v/>
      </c>
      <c r="Y93" s="177" t="str">
        <f>IF(A93&gt;0,SUM(PASHEET!AN85,PASHEET!AV85),"")</f>
        <v/>
      </c>
      <c r="Z93" s="177" t="str">
        <f>IF(A93&gt;0,SUM(MARKS!H85,MARKS!AN85),"")</f>
        <v/>
      </c>
      <c r="AA93" s="177" t="str">
        <f>IF(A93&gt;0,SUM(MARKS!P85,MARKS!AV85),"")</f>
        <v/>
      </c>
      <c r="AB93" s="177" t="str">
        <f>IF(A93&gt;0,SUM(MARKS!X85,MARKS!BD85),"")</f>
        <v/>
      </c>
      <c r="AC93" s="177" t="str">
        <f>IF(A93&gt;0,SUM(MARKS!AF85,MARKS!BL85),"")</f>
        <v/>
      </c>
      <c r="AD93" s="178"/>
      <c r="AE93" s="177" t="str">
        <f t="shared" si="22"/>
        <v/>
      </c>
      <c r="AF93" s="177" t="str">
        <f t="shared" si="23"/>
        <v/>
      </c>
      <c r="AG93" s="177" t="str">
        <f>IF(A93&gt;0,SUM(PASHEET!AO85,PASHEET!AW85),"")</f>
        <v/>
      </c>
      <c r="AH93" s="177" t="str">
        <f>IF(A93&gt;0,SUM(MARKS!I85,MARKS!AO85),"")</f>
        <v/>
      </c>
      <c r="AI93" s="177" t="str">
        <f>IF(A93&gt;0,SUM(MARKS!Q85,MARKS!AW85),"")</f>
        <v/>
      </c>
      <c r="AJ93" s="177" t="str">
        <f>IF(A93&gt;0,SUM(MARKS!Y85,MARKS!BE85),"")</f>
        <v/>
      </c>
      <c r="AK93" s="177" t="str">
        <f>IF(A93&gt;0,SUM(MARKS!AG85,MARKS!BM85),"")</f>
        <v/>
      </c>
      <c r="AL93" s="178"/>
      <c r="AM93" s="177" t="str">
        <f t="shared" si="24"/>
        <v/>
      </c>
      <c r="AN93" s="177" t="str">
        <f t="shared" si="25"/>
        <v/>
      </c>
      <c r="AO93" s="177" t="str">
        <f>IF(A93&gt;0,SUM(PASHEET!AP85,PASHEET!AX85),"")</f>
        <v/>
      </c>
      <c r="AP93" s="177" t="str">
        <f>IF(A93&gt;0,SUM(MARKS!J85,MARKS!AP85),"")</f>
        <v/>
      </c>
      <c r="AQ93" s="177" t="str">
        <f>IF(A93&gt;0,SUM(MARKS!R85,MARKS!AX85),"")</f>
        <v/>
      </c>
      <c r="AR93" s="177" t="str">
        <f>IF(A93&gt;0,SUM(MARKS!Z85,MARKS!BF85),"")</f>
        <v/>
      </c>
      <c r="AS93" s="177" t="str">
        <f>IF(A93&gt;0,SUM(MARKS!AH85,MARKS!BN85),"")</f>
        <v/>
      </c>
      <c r="AT93" s="178"/>
      <c r="AU93" s="177" t="str">
        <f t="shared" si="26"/>
        <v/>
      </c>
      <c r="AV93" s="177" t="str">
        <f t="shared" si="27"/>
        <v/>
      </c>
      <c r="AW93" s="177" t="str">
        <f>IF(A93&gt;0,SUM(PASHEET!AQ85,PASHEET!AY85),"")</f>
        <v/>
      </c>
      <c r="AX93" s="177" t="str">
        <f>IF(A93&gt;0,SUM(MARKS!K85,MARKS!AQ85),"")</f>
        <v/>
      </c>
      <c r="AY93" s="177" t="str">
        <f>IF(A93&gt;0,SUM(MARKS!S85,MARKS!AY85),"")</f>
        <v/>
      </c>
      <c r="AZ93" s="177" t="str">
        <f>IF(A93&gt;0,SUM(MARKS!AA85,MARKS!BG85),"")</f>
        <v/>
      </c>
      <c r="BA93" s="177" t="str">
        <f>IF(A93&gt;0,SUM(MARKS!AI85,MARKS!BO85),"")</f>
        <v/>
      </c>
      <c r="BB93" s="178"/>
      <c r="BC93" s="177" t="str">
        <f t="shared" si="28"/>
        <v/>
      </c>
      <c r="BD93" s="177" t="str">
        <f t="shared" si="29"/>
        <v/>
      </c>
      <c r="BE93" s="177" t="str">
        <f t="shared" si="30"/>
        <v/>
      </c>
      <c r="BF93" s="47" t="str">
        <f t="shared" si="31"/>
        <v/>
      </c>
      <c r="BG93" s="70" t="str">
        <f t="shared" si="32"/>
        <v/>
      </c>
      <c r="BH93" s="177" t="str">
        <f t="shared" si="33"/>
        <v/>
      </c>
      <c r="BI93" s="47" t="str">
        <f>IF(A93&gt;0,FLN!I85,"")</f>
        <v/>
      </c>
      <c r="BJ93" s="47" t="str">
        <f>IF(A93&gt;0,FLN!J85,"")</f>
        <v/>
      </c>
      <c r="BK93" s="47" t="str">
        <f>IF(A93&gt;0,FLN!K85,"")</f>
        <v/>
      </c>
      <c r="BL93" s="47" t="str">
        <f t="shared" si="34"/>
        <v/>
      </c>
      <c r="BM93" s="130" t="str">
        <f>IF(BF93="","",IFERROR(RANK(BF93,$BF$12:$BF$111,0)+COUNTIFS($BF$12:BF93,BF93)-1,0))</f>
        <v/>
      </c>
      <c r="BN93" s="130" t="str">
        <f t="shared" si="35"/>
        <v/>
      </c>
    </row>
    <row r="94" s="98" customFormat="1" ht="27" customHeight="1" spans="1:66">
      <c r="A94" s="47">
        <f>IF(A93=0,0,IF(A93&lt;ENTRY!$D$24,A93+1,0))</f>
        <v>0</v>
      </c>
      <c r="B94" s="47" t="str">
        <f>IF(A94&gt;0,STUDENT!F84,"")</f>
        <v/>
      </c>
      <c r="C94" s="176" t="str">
        <f>IF(A94&gt;0,UPPER(STUDENT!E84),"")</f>
        <v/>
      </c>
      <c r="D94" s="176" t="str">
        <f>IF(A94&gt;0,UPPER(STUDENT!H84),"")</f>
        <v/>
      </c>
      <c r="E94" s="47" t="str">
        <f>IF(A94&gt;0,UPPER(STUDENT!BP84),"")</f>
        <v/>
      </c>
      <c r="F94" s="47" t="str">
        <f>IF(A94&gt;0,UPPER(STUDENT!BO84),"")</f>
        <v/>
      </c>
      <c r="G94" s="47" t="str">
        <f>IF(A94&gt;0,UPPER(STUDENT!Q84),"")</f>
        <v/>
      </c>
      <c r="H94" s="69" t="str">
        <f>IF(A94&gt;0,PASHEET!CI86/PASHEET!CJ86*100,"")</f>
        <v/>
      </c>
      <c r="I94" s="177" t="str">
        <f>IF(A94&gt;0,SUM(PASHEET!AL86,PASHEET!AT86),"")</f>
        <v/>
      </c>
      <c r="J94" s="177" t="str">
        <f>IF(A94&gt;0,SUM(MARKS!F86,MARKS!AL86),"")</f>
        <v/>
      </c>
      <c r="K94" s="177" t="str">
        <f>IF(A94&gt;0,SUM(MARKS!N86,MARKS!AT86),"")</f>
        <v/>
      </c>
      <c r="L94" s="177" t="str">
        <f>IF(A94&gt;0,SUM(MARKS!V86,MARKS!BB86),"")</f>
        <v/>
      </c>
      <c r="M94" s="177" t="str">
        <f>IF(A94&gt;0,SUM(MARKS!AD86,MARKS!BJ86),"")</f>
        <v/>
      </c>
      <c r="N94" s="178"/>
      <c r="O94" s="177" t="str">
        <f t="shared" si="18"/>
        <v/>
      </c>
      <c r="P94" s="177" t="str">
        <f t="shared" si="19"/>
        <v/>
      </c>
      <c r="Q94" s="177" t="str">
        <f>IF(A94&gt;0,SUM(PASHEET!AM86,PASHEET!AU86),"")</f>
        <v/>
      </c>
      <c r="R94" s="177" t="str">
        <f>IF(A94&gt;0,SUM(MARKS!G86,MARKS!AM86),"")</f>
        <v/>
      </c>
      <c r="S94" s="177" t="str">
        <f>IF(A94&gt;0,SUM(MARKS!O86,MARKS!AU86),"")</f>
        <v/>
      </c>
      <c r="T94" s="177" t="str">
        <f>IF(A94&gt;0,SUM(MARKS!W86,MARKS!BC86),"")</f>
        <v/>
      </c>
      <c r="U94" s="177" t="str">
        <f>IF(A94&gt;0,SUM(MARKS!AE86,MARKS!BK86),"")</f>
        <v/>
      </c>
      <c r="V94" s="178"/>
      <c r="W94" s="177" t="str">
        <f t="shared" si="20"/>
        <v/>
      </c>
      <c r="X94" s="177" t="str">
        <f t="shared" si="21"/>
        <v/>
      </c>
      <c r="Y94" s="177" t="str">
        <f>IF(A94&gt;0,SUM(PASHEET!AN86,PASHEET!AV86),"")</f>
        <v/>
      </c>
      <c r="Z94" s="177" t="str">
        <f>IF(A94&gt;0,SUM(MARKS!H86,MARKS!AN86),"")</f>
        <v/>
      </c>
      <c r="AA94" s="177" t="str">
        <f>IF(A94&gt;0,SUM(MARKS!P86,MARKS!AV86),"")</f>
        <v/>
      </c>
      <c r="AB94" s="177" t="str">
        <f>IF(A94&gt;0,SUM(MARKS!X86,MARKS!BD86),"")</f>
        <v/>
      </c>
      <c r="AC94" s="177" t="str">
        <f>IF(A94&gt;0,SUM(MARKS!AF86,MARKS!BL86),"")</f>
        <v/>
      </c>
      <c r="AD94" s="178"/>
      <c r="AE94" s="177" t="str">
        <f t="shared" si="22"/>
        <v/>
      </c>
      <c r="AF94" s="177" t="str">
        <f t="shared" si="23"/>
        <v/>
      </c>
      <c r="AG94" s="177" t="str">
        <f>IF(A94&gt;0,SUM(PASHEET!AO86,PASHEET!AW86),"")</f>
        <v/>
      </c>
      <c r="AH94" s="177" t="str">
        <f>IF(A94&gt;0,SUM(MARKS!I86,MARKS!AO86),"")</f>
        <v/>
      </c>
      <c r="AI94" s="177" t="str">
        <f>IF(A94&gt;0,SUM(MARKS!Q86,MARKS!AW86),"")</f>
        <v/>
      </c>
      <c r="AJ94" s="177" t="str">
        <f>IF(A94&gt;0,SUM(MARKS!Y86,MARKS!BE86),"")</f>
        <v/>
      </c>
      <c r="AK94" s="177" t="str">
        <f>IF(A94&gt;0,SUM(MARKS!AG86,MARKS!BM86),"")</f>
        <v/>
      </c>
      <c r="AL94" s="178"/>
      <c r="AM94" s="177" t="str">
        <f t="shared" si="24"/>
        <v/>
      </c>
      <c r="AN94" s="177" t="str">
        <f t="shared" si="25"/>
        <v/>
      </c>
      <c r="AO94" s="177" t="str">
        <f>IF(A94&gt;0,SUM(PASHEET!AP86,PASHEET!AX86),"")</f>
        <v/>
      </c>
      <c r="AP94" s="177" t="str">
        <f>IF(A94&gt;0,SUM(MARKS!J86,MARKS!AP86),"")</f>
        <v/>
      </c>
      <c r="AQ94" s="177" t="str">
        <f>IF(A94&gt;0,SUM(MARKS!R86,MARKS!AX86),"")</f>
        <v/>
      </c>
      <c r="AR94" s="177" t="str">
        <f>IF(A94&gt;0,SUM(MARKS!Z86,MARKS!BF86),"")</f>
        <v/>
      </c>
      <c r="AS94" s="177" t="str">
        <f>IF(A94&gt;0,SUM(MARKS!AH86,MARKS!BN86),"")</f>
        <v/>
      </c>
      <c r="AT94" s="178"/>
      <c r="AU94" s="177" t="str">
        <f t="shared" si="26"/>
        <v/>
      </c>
      <c r="AV94" s="177" t="str">
        <f t="shared" si="27"/>
        <v/>
      </c>
      <c r="AW94" s="177" t="str">
        <f>IF(A94&gt;0,SUM(PASHEET!AQ86,PASHEET!AY86),"")</f>
        <v/>
      </c>
      <c r="AX94" s="177" t="str">
        <f>IF(A94&gt;0,SUM(MARKS!K86,MARKS!AQ86),"")</f>
        <v/>
      </c>
      <c r="AY94" s="177" t="str">
        <f>IF(A94&gt;0,SUM(MARKS!S86,MARKS!AY86),"")</f>
        <v/>
      </c>
      <c r="AZ94" s="177" t="str">
        <f>IF(A94&gt;0,SUM(MARKS!AA86,MARKS!BG86),"")</f>
        <v/>
      </c>
      <c r="BA94" s="177" t="str">
        <f>IF(A94&gt;0,SUM(MARKS!AI86,MARKS!BO86),"")</f>
        <v/>
      </c>
      <c r="BB94" s="178"/>
      <c r="BC94" s="177" t="str">
        <f t="shared" si="28"/>
        <v/>
      </c>
      <c r="BD94" s="177" t="str">
        <f t="shared" si="29"/>
        <v/>
      </c>
      <c r="BE94" s="177" t="str">
        <f t="shared" si="30"/>
        <v/>
      </c>
      <c r="BF94" s="47" t="str">
        <f t="shared" si="31"/>
        <v/>
      </c>
      <c r="BG94" s="70" t="str">
        <f t="shared" si="32"/>
        <v/>
      </c>
      <c r="BH94" s="177" t="str">
        <f t="shared" si="33"/>
        <v/>
      </c>
      <c r="BI94" s="47" t="str">
        <f>IF(A94&gt;0,FLN!I86,"")</f>
        <v/>
      </c>
      <c r="BJ94" s="47" t="str">
        <f>IF(A94&gt;0,FLN!J86,"")</f>
        <v/>
      </c>
      <c r="BK94" s="47" t="str">
        <f>IF(A94&gt;0,FLN!K86,"")</f>
        <v/>
      </c>
      <c r="BL94" s="47" t="str">
        <f t="shared" si="34"/>
        <v/>
      </c>
      <c r="BM94" s="130" t="str">
        <f>IF(BF94="","",IFERROR(RANK(BF94,$BF$12:$BF$111,0)+COUNTIFS($BF$12:BF94,BF94)-1,0))</f>
        <v/>
      </c>
      <c r="BN94" s="130" t="str">
        <f t="shared" si="35"/>
        <v/>
      </c>
    </row>
    <row r="95" s="98" customFormat="1" ht="27" customHeight="1" spans="1:66">
      <c r="A95" s="47">
        <f>IF(A94=0,0,IF(A94&lt;ENTRY!$D$24,A94+1,0))</f>
        <v>0</v>
      </c>
      <c r="B95" s="47" t="str">
        <f>IF(A95&gt;0,STUDENT!F85,"")</f>
        <v/>
      </c>
      <c r="C95" s="176" t="str">
        <f>IF(A95&gt;0,UPPER(STUDENT!E85),"")</f>
        <v/>
      </c>
      <c r="D95" s="176" t="str">
        <f>IF(A95&gt;0,UPPER(STUDENT!H85),"")</f>
        <v/>
      </c>
      <c r="E95" s="47" t="str">
        <f>IF(A95&gt;0,UPPER(STUDENT!BP85),"")</f>
        <v/>
      </c>
      <c r="F95" s="47" t="str">
        <f>IF(A95&gt;0,UPPER(STUDENT!BO85),"")</f>
        <v/>
      </c>
      <c r="G95" s="47" t="str">
        <f>IF(A95&gt;0,UPPER(STUDENT!Q85),"")</f>
        <v/>
      </c>
      <c r="H95" s="69" t="str">
        <f>IF(A95&gt;0,PASHEET!CI87/PASHEET!CJ87*100,"")</f>
        <v/>
      </c>
      <c r="I95" s="177" t="str">
        <f>IF(A95&gt;0,SUM(PASHEET!AL87,PASHEET!AT87),"")</f>
        <v/>
      </c>
      <c r="J95" s="177" t="str">
        <f>IF(A95&gt;0,SUM(MARKS!F87,MARKS!AL87),"")</f>
        <v/>
      </c>
      <c r="K95" s="177" t="str">
        <f>IF(A95&gt;0,SUM(MARKS!N87,MARKS!AT87),"")</f>
        <v/>
      </c>
      <c r="L95" s="177" t="str">
        <f>IF(A95&gt;0,SUM(MARKS!V87,MARKS!BB87),"")</f>
        <v/>
      </c>
      <c r="M95" s="177" t="str">
        <f>IF(A95&gt;0,SUM(MARKS!AD87,MARKS!BJ87),"")</f>
        <v/>
      </c>
      <c r="N95" s="178"/>
      <c r="O95" s="177" t="str">
        <f t="shared" si="18"/>
        <v/>
      </c>
      <c r="P95" s="177" t="str">
        <f t="shared" si="19"/>
        <v/>
      </c>
      <c r="Q95" s="177" t="str">
        <f>IF(A95&gt;0,SUM(PASHEET!AM87,PASHEET!AU87),"")</f>
        <v/>
      </c>
      <c r="R95" s="177" t="str">
        <f>IF(A95&gt;0,SUM(MARKS!G87,MARKS!AM87),"")</f>
        <v/>
      </c>
      <c r="S95" s="177" t="str">
        <f>IF(A95&gt;0,SUM(MARKS!O87,MARKS!AU87),"")</f>
        <v/>
      </c>
      <c r="T95" s="177" t="str">
        <f>IF(A95&gt;0,SUM(MARKS!W87,MARKS!BC87),"")</f>
        <v/>
      </c>
      <c r="U95" s="177" t="str">
        <f>IF(A95&gt;0,SUM(MARKS!AE87,MARKS!BK87),"")</f>
        <v/>
      </c>
      <c r="V95" s="178"/>
      <c r="W95" s="177" t="str">
        <f t="shared" si="20"/>
        <v/>
      </c>
      <c r="X95" s="177" t="str">
        <f t="shared" si="21"/>
        <v/>
      </c>
      <c r="Y95" s="177" t="str">
        <f>IF(A95&gt;0,SUM(PASHEET!AN87,PASHEET!AV87),"")</f>
        <v/>
      </c>
      <c r="Z95" s="177" t="str">
        <f>IF(A95&gt;0,SUM(MARKS!H87,MARKS!AN87),"")</f>
        <v/>
      </c>
      <c r="AA95" s="177" t="str">
        <f>IF(A95&gt;0,SUM(MARKS!P87,MARKS!AV87),"")</f>
        <v/>
      </c>
      <c r="AB95" s="177" t="str">
        <f>IF(A95&gt;0,SUM(MARKS!X87,MARKS!BD87),"")</f>
        <v/>
      </c>
      <c r="AC95" s="177" t="str">
        <f>IF(A95&gt;0,SUM(MARKS!AF87,MARKS!BL87),"")</f>
        <v/>
      </c>
      <c r="AD95" s="178"/>
      <c r="AE95" s="177" t="str">
        <f t="shared" si="22"/>
        <v/>
      </c>
      <c r="AF95" s="177" t="str">
        <f t="shared" si="23"/>
        <v/>
      </c>
      <c r="AG95" s="177" t="str">
        <f>IF(A95&gt;0,SUM(PASHEET!AO87,PASHEET!AW87),"")</f>
        <v/>
      </c>
      <c r="AH95" s="177" t="str">
        <f>IF(A95&gt;0,SUM(MARKS!I87,MARKS!AO87),"")</f>
        <v/>
      </c>
      <c r="AI95" s="177" t="str">
        <f>IF(A95&gt;0,SUM(MARKS!Q87,MARKS!AW87),"")</f>
        <v/>
      </c>
      <c r="AJ95" s="177" t="str">
        <f>IF(A95&gt;0,SUM(MARKS!Y87,MARKS!BE87),"")</f>
        <v/>
      </c>
      <c r="AK95" s="177" t="str">
        <f>IF(A95&gt;0,SUM(MARKS!AG87,MARKS!BM87),"")</f>
        <v/>
      </c>
      <c r="AL95" s="178"/>
      <c r="AM95" s="177" t="str">
        <f t="shared" si="24"/>
        <v/>
      </c>
      <c r="AN95" s="177" t="str">
        <f t="shared" si="25"/>
        <v/>
      </c>
      <c r="AO95" s="177" t="str">
        <f>IF(A95&gt;0,SUM(PASHEET!AP87,PASHEET!AX87),"")</f>
        <v/>
      </c>
      <c r="AP95" s="177" t="str">
        <f>IF(A95&gt;0,SUM(MARKS!J87,MARKS!AP87),"")</f>
        <v/>
      </c>
      <c r="AQ95" s="177" t="str">
        <f>IF(A95&gt;0,SUM(MARKS!R87,MARKS!AX87),"")</f>
        <v/>
      </c>
      <c r="AR95" s="177" t="str">
        <f>IF(A95&gt;0,SUM(MARKS!Z87,MARKS!BF87),"")</f>
        <v/>
      </c>
      <c r="AS95" s="177" t="str">
        <f>IF(A95&gt;0,SUM(MARKS!AH87,MARKS!BN87),"")</f>
        <v/>
      </c>
      <c r="AT95" s="178"/>
      <c r="AU95" s="177" t="str">
        <f t="shared" si="26"/>
        <v/>
      </c>
      <c r="AV95" s="177" t="str">
        <f t="shared" si="27"/>
        <v/>
      </c>
      <c r="AW95" s="177" t="str">
        <f>IF(A95&gt;0,SUM(PASHEET!AQ87,PASHEET!AY87),"")</f>
        <v/>
      </c>
      <c r="AX95" s="177" t="str">
        <f>IF(A95&gt;0,SUM(MARKS!K87,MARKS!AQ87),"")</f>
        <v/>
      </c>
      <c r="AY95" s="177" t="str">
        <f>IF(A95&gt;0,SUM(MARKS!S87,MARKS!AY87),"")</f>
        <v/>
      </c>
      <c r="AZ95" s="177" t="str">
        <f>IF(A95&gt;0,SUM(MARKS!AA87,MARKS!BG87),"")</f>
        <v/>
      </c>
      <c r="BA95" s="177" t="str">
        <f>IF(A95&gt;0,SUM(MARKS!AI87,MARKS!BO87),"")</f>
        <v/>
      </c>
      <c r="BB95" s="178"/>
      <c r="BC95" s="177" t="str">
        <f t="shared" si="28"/>
        <v/>
      </c>
      <c r="BD95" s="177" t="str">
        <f t="shared" si="29"/>
        <v/>
      </c>
      <c r="BE95" s="177" t="str">
        <f t="shared" si="30"/>
        <v/>
      </c>
      <c r="BF95" s="47" t="str">
        <f t="shared" si="31"/>
        <v/>
      </c>
      <c r="BG95" s="70" t="str">
        <f t="shared" si="32"/>
        <v/>
      </c>
      <c r="BH95" s="177" t="str">
        <f t="shared" si="33"/>
        <v/>
      </c>
      <c r="BI95" s="47" t="str">
        <f>IF(A95&gt;0,FLN!I87,"")</f>
        <v/>
      </c>
      <c r="BJ95" s="47" t="str">
        <f>IF(A95&gt;0,FLN!J87,"")</f>
        <v/>
      </c>
      <c r="BK95" s="47" t="str">
        <f>IF(A95&gt;0,FLN!K87,"")</f>
        <v/>
      </c>
      <c r="BL95" s="47" t="str">
        <f t="shared" si="34"/>
        <v/>
      </c>
      <c r="BM95" s="130" t="str">
        <f>IF(BF95="","",IFERROR(RANK(BF95,$BF$12:$BF$111,0)+COUNTIFS($BF$12:BF95,BF95)-1,0))</f>
        <v/>
      </c>
      <c r="BN95" s="130" t="str">
        <f t="shared" si="35"/>
        <v/>
      </c>
    </row>
    <row r="96" s="98" customFormat="1" ht="27" customHeight="1" spans="1:66">
      <c r="A96" s="47">
        <f>IF(A95=0,0,IF(A95&lt;ENTRY!$D$24,A95+1,0))</f>
        <v>0</v>
      </c>
      <c r="B96" s="47" t="str">
        <f>IF(A96&gt;0,STUDENT!F86,"")</f>
        <v/>
      </c>
      <c r="C96" s="176" t="str">
        <f>IF(A96&gt;0,UPPER(STUDENT!E86),"")</f>
        <v/>
      </c>
      <c r="D96" s="176" t="str">
        <f>IF(A96&gt;0,UPPER(STUDENT!H86),"")</f>
        <v/>
      </c>
      <c r="E96" s="47" t="str">
        <f>IF(A96&gt;0,UPPER(STUDENT!BP86),"")</f>
        <v/>
      </c>
      <c r="F96" s="47" t="str">
        <f>IF(A96&gt;0,UPPER(STUDENT!BO86),"")</f>
        <v/>
      </c>
      <c r="G96" s="47" t="str">
        <f>IF(A96&gt;0,UPPER(STUDENT!Q86),"")</f>
        <v/>
      </c>
      <c r="H96" s="69" t="str">
        <f>IF(A96&gt;0,PASHEET!CI88/PASHEET!CJ88*100,"")</f>
        <v/>
      </c>
      <c r="I96" s="177" t="str">
        <f>IF(A96&gt;0,SUM(PASHEET!AL88,PASHEET!AT88),"")</f>
        <v/>
      </c>
      <c r="J96" s="177" t="str">
        <f>IF(A96&gt;0,SUM(MARKS!F88,MARKS!AL88),"")</f>
        <v/>
      </c>
      <c r="K96" s="177" t="str">
        <f>IF(A96&gt;0,SUM(MARKS!N88,MARKS!AT88),"")</f>
        <v/>
      </c>
      <c r="L96" s="177" t="str">
        <f>IF(A96&gt;0,SUM(MARKS!V88,MARKS!BB88),"")</f>
        <v/>
      </c>
      <c r="M96" s="177" t="str">
        <f>IF(A96&gt;0,SUM(MARKS!AD88,MARKS!BJ88),"")</f>
        <v/>
      </c>
      <c r="N96" s="178"/>
      <c r="O96" s="177" t="str">
        <f t="shared" si="18"/>
        <v/>
      </c>
      <c r="P96" s="177" t="str">
        <f t="shared" si="19"/>
        <v/>
      </c>
      <c r="Q96" s="177" t="str">
        <f>IF(A96&gt;0,SUM(PASHEET!AM88,PASHEET!AU88),"")</f>
        <v/>
      </c>
      <c r="R96" s="177" t="str">
        <f>IF(A96&gt;0,SUM(MARKS!G88,MARKS!AM88),"")</f>
        <v/>
      </c>
      <c r="S96" s="177" t="str">
        <f>IF(A96&gt;0,SUM(MARKS!O88,MARKS!AU88),"")</f>
        <v/>
      </c>
      <c r="T96" s="177" t="str">
        <f>IF(A96&gt;0,SUM(MARKS!W88,MARKS!BC88),"")</f>
        <v/>
      </c>
      <c r="U96" s="177" t="str">
        <f>IF(A96&gt;0,SUM(MARKS!AE88,MARKS!BK88),"")</f>
        <v/>
      </c>
      <c r="V96" s="178"/>
      <c r="W96" s="177" t="str">
        <f t="shared" si="20"/>
        <v/>
      </c>
      <c r="X96" s="177" t="str">
        <f t="shared" si="21"/>
        <v/>
      </c>
      <c r="Y96" s="177" t="str">
        <f>IF(A96&gt;0,SUM(PASHEET!AN88,PASHEET!AV88),"")</f>
        <v/>
      </c>
      <c r="Z96" s="177" t="str">
        <f>IF(A96&gt;0,SUM(MARKS!H88,MARKS!AN88),"")</f>
        <v/>
      </c>
      <c r="AA96" s="177" t="str">
        <f>IF(A96&gt;0,SUM(MARKS!P88,MARKS!AV88),"")</f>
        <v/>
      </c>
      <c r="AB96" s="177" t="str">
        <f>IF(A96&gt;0,SUM(MARKS!X88,MARKS!BD88),"")</f>
        <v/>
      </c>
      <c r="AC96" s="177" t="str">
        <f>IF(A96&gt;0,SUM(MARKS!AF88,MARKS!BL88),"")</f>
        <v/>
      </c>
      <c r="AD96" s="178"/>
      <c r="AE96" s="177" t="str">
        <f t="shared" si="22"/>
        <v/>
      </c>
      <c r="AF96" s="177" t="str">
        <f t="shared" si="23"/>
        <v/>
      </c>
      <c r="AG96" s="177" t="str">
        <f>IF(A96&gt;0,SUM(PASHEET!AO88,PASHEET!AW88),"")</f>
        <v/>
      </c>
      <c r="AH96" s="177" t="str">
        <f>IF(A96&gt;0,SUM(MARKS!I88,MARKS!AO88),"")</f>
        <v/>
      </c>
      <c r="AI96" s="177" t="str">
        <f>IF(A96&gt;0,SUM(MARKS!Q88,MARKS!AW88),"")</f>
        <v/>
      </c>
      <c r="AJ96" s="177" t="str">
        <f>IF(A96&gt;0,SUM(MARKS!Y88,MARKS!BE88),"")</f>
        <v/>
      </c>
      <c r="AK96" s="177" t="str">
        <f>IF(A96&gt;0,SUM(MARKS!AG88,MARKS!BM88),"")</f>
        <v/>
      </c>
      <c r="AL96" s="178"/>
      <c r="AM96" s="177" t="str">
        <f t="shared" si="24"/>
        <v/>
      </c>
      <c r="AN96" s="177" t="str">
        <f t="shared" si="25"/>
        <v/>
      </c>
      <c r="AO96" s="177" t="str">
        <f>IF(A96&gt;0,SUM(PASHEET!AP88,PASHEET!AX88),"")</f>
        <v/>
      </c>
      <c r="AP96" s="177" t="str">
        <f>IF(A96&gt;0,SUM(MARKS!J88,MARKS!AP88),"")</f>
        <v/>
      </c>
      <c r="AQ96" s="177" t="str">
        <f>IF(A96&gt;0,SUM(MARKS!R88,MARKS!AX88),"")</f>
        <v/>
      </c>
      <c r="AR96" s="177" t="str">
        <f>IF(A96&gt;0,SUM(MARKS!Z88,MARKS!BF88),"")</f>
        <v/>
      </c>
      <c r="AS96" s="177" t="str">
        <f>IF(A96&gt;0,SUM(MARKS!AH88,MARKS!BN88),"")</f>
        <v/>
      </c>
      <c r="AT96" s="178"/>
      <c r="AU96" s="177" t="str">
        <f t="shared" si="26"/>
        <v/>
      </c>
      <c r="AV96" s="177" t="str">
        <f t="shared" si="27"/>
        <v/>
      </c>
      <c r="AW96" s="177" t="str">
        <f>IF(A96&gt;0,SUM(PASHEET!AQ88,PASHEET!AY88),"")</f>
        <v/>
      </c>
      <c r="AX96" s="177" t="str">
        <f>IF(A96&gt;0,SUM(MARKS!K88,MARKS!AQ88),"")</f>
        <v/>
      </c>
      <c r="AY96" s="177" t="str">
        <f>IF(A96&gt;0,SUM(MARKS!S88,MARKS!AY88),"")</f>
        <v/>
      </c>
      <c r="AZ96" s="177" t="str">
        <f>IF(A96&gt;0,SUM(MARKS!AA88,MARKS!BG88),"")</f>
        <v/>
      </c>
      <c r="BA96" s="177" t="str">
        <f>IF(A96&gt;0,SUM(MARKS!AI88,MARKS!BO88),"")</f>
        <v/>
      </c>
      <c r="BB96" s="178"/>
      <c r="BC96" s="177" t="str">
        <f t="shared" si="28"/>
        <v/>
      </c>
      <c r="BD96" s="177" t="str">
        <f t="shared" si="29"/>
        <v/>
      </c>
      <c r="BE96" s="177" t="str">
        <f t="shared" si="30"/>
        <v/>
      </c>
      <c r="BF96" s="47" t="str">
        <f t="shared" si="31"/>
        <v/>
      </c>
      <c r="BG96" s="70" t="str">
        <f t="shared" si="32"/>
        <v/>
      </c>
      <c r="BH96" s="177" t="str">
        <f t="shared" si="33"/>
        <v/>
      </c>
      <c r="BI96" s="47" t="str">
        <f>IF(A96&gt;0,FLN!I88,"")</f>
        <v/>
      </c>
      <c r="BJ96" s="47" t="str">
        <f>IF(A96&gt;0,FLN!J88,"")</f>
        <v/>
      </c>
      <c r="BK96" s="47" t="str">
        <f>IF(A96&gt;0,FLN!K88,"")</f>
        <v/>
      </c>
      <c r="BL96" s="47" t="str">
        <f t="shared" si="34"/>
        <v/>
      </c>
      <c r="BM96" s="130" t="str">
        <f>IF(BF96="","",IFERROR(RANK(BF96,$BF$12:$BF$111,0)+COUNTIFS($BF$12:BF96,BF96)-1,0))</f>
        <v/>
      </c>
      <c r="BN96" s="130" t="str">
        <f t="shared" si="35"/>
        <v/>
      </c>
    </row>
    <row r="97" s="98" customFormat="1" ht="27" customHeight="1" spans="1:66">
      <c r="A97" s="47">
        <f>IF(A96=0,0,IF(A96&lt;ENTRY!$D$24,A96+1,0))</f>
        <v>0</v>
      </c>
      <c r="B97" s="47" t="str">
        <f>IF(A97&gt;0,STUDENT!F87,"")</f>
        <v/>
      </c>
      <c r="C97" s="176" t="str">
        <f>IF(A97&gt;0,UPPER(STUDENT!E87),"")</f>
        <v/>
      </c>
      <c r="D97" s="176" t="str">
        <f>IF(A97&gt;0,UPPER(STUDENT!H87),"")</f>
        <v/>
      </c>
      <c r="E97" s="47" t="str">
        <f>IF(A97&gt;0,UPPER(STUDENT!BP87),"")</f>
        <v/>
      </c>
      <c r="F97" s="47" t="str">
        <f>IF(A97&gt;0,UPPER(STUDENT!BO87),"")</f>
        <v/>
      </c>
      <c r="G97" s="47" t="str">
        <f>IF(A97&gt;0,UPPER(STUDENT!Q87),"")</f>
        <v/>
      </c>
      <c r="H97" s="69" t="str">
        <f>IF(A97&gt;0,PASHEET!CI89/PASHEET!CJ89*100,"")</f>
        <v/>
      </c>
      <c r="I97" s="177" t="str">
        <f>IF(A97&gt;0,SUM(PASHEET!AL89,PASHEET!AT89),"")</f>
        <v/>
      </c>
      <c r="J97" s="177" t="str">
        <f>IF(A97&gt;0,SUM(MARKS!F89,MARKS!AL89),"")</f>
        <v/>
      </c>
      <c r="K97" s="177" t="str">
        <f>IF(A97&gt;0,SUM(MARKS!N89,MARKS!AT89),"")</f>
        <v/>
      </c>
      <c r="L97" s="177" t="str">
        <f>IF(A97&gt;0,SUM(MARKS!V89,MARKS!BB89),"")</f>
        <v/>
      </c>
      <c r="M97" s="177" t="str">
        <f>IF(A97&gt;0,SUM(MARKS!AD89,MARKS!BJ89),"")</f>
        <v/>
      </c>
      <c r="N97" s="178"/>
      <c r="O97" s="177" t="str">
        <f t="shared" si="18"/>
        <v/>
      </c>
      <c r="P97" s="177" t="str">
        <f t="shared" si="19"/>
        <v/>
      </c>
      <c r="Q97" s="177" t="str">
        <f>IF(A97&gt;0,SUM(PASHEET!AM89,PASHEET!AU89),"")</f>
        <v/>
      </c>
      <c r="R97" s="177" t="str">
        <f>IF(A97&gt;0,SUM(MARKS!G89,MARKS!AM89),"")</f>
        <v/>
      </c>
      <c r="S97" s="177" t="str">
        <f>IF(A97&gt;0,SUM(MARKS!O89,MARKS!AU89),"")</f>
        <v/>
      </c>
      <c r="T97" s="177" t="str">
        <f>IF(A97&gt;0,SUM(MARKS!W89,MARKS!BC89),"")</f>
        <v/>
      </c>
      <c r="U97" s="177" t="str">
        <f>IF(A97&gt;0,SUM(MARKS!AE89,MARKS!BK89),"")</f>
        <v/>
      </c>
      <c r="V97" s="178"/>
      <c r="W97" s="177" t="str">
        <f t="shared" si="20"/>
        <v/>
      </c>
      <c r="X97" s="177" t="str">
        <f t="shared" si="21"/>
        <v/>
      </c>
      <c r="Y97" s="177" t="str">
        <f>IF(A97&gt;0,SUM(PASHEET!AN89,PASHEET!AV89),"")</f>
        <v/>
      </c>
      <c r="Z97" s="177" t="str">
        <f>IF(A97&gt;0,SUM(MARKS!H89,MARKS!AN89),"")</f>
        <v/>
      </c>
      <c r="AA97" s="177" t="str">
        <f>IF(A97&gt;0,SUM(MARKS!P89,MARKS!AV89),"")</f>
        <v/>
      </c>
      <c r="AB97" s="177" t="str">
        <f>IF(A97&gt;0,SUM(MARKS!X89,MARKS!BD89),"")</f>
        <v/>
      </c>
      <c r="AC97" s="177" t="str">
        <f>IF(A97&gt;0,SUM(MARKS!AF89,MARKS!BL89),"")</f>
        <v/>
      </c>
      <c r="AD97" s="178"/>
      <c r="AE97" s="177" t="str">
        <f t="shared" si="22"/>
        <v/>
      </c>
      <c r="AF97" s="177" t="str">
        <f t="shared" si="23"/>
        <v/>
      </c>
      <c r="AG97" s="177" t="str">
        <f>IF(A97&gt;0,SUM(PASHEET!AO89,PASHEET!AW89),"")</f>
        <v/>
      </c>
      <c r="AH97" s="177" t="str">
        <f>IF(A97&gt;0,SUM(MARKS!I89,MARKS!AO89),"")</f>
        <v/>
      </c>
      <c r="AI97" s="177" t="str">
        <f>IF(A97&gt;0,SUM(MARKS!Q89,MARKS!AW89),"")</f>
        <v/>
      </c>
      <c r="AJ97" s="177" t="str">
        <f>IF(A97&gt;0,SUM(MARKS!Y89,MARKS!BE89),"")</f>
        <v/>
      </c>
      <c r="AK97" s="177" t="str">
        <f>IF(A97&gt;0,SUM(MARKS!AG89,MARKS!BM89),"")</f>
        <v/>
      </c>
      <c r="AL97" s="178"/>
      <c r="AM97" s="177" t="str">
        <f t="shared" si="24"/>
        <v/>
      </c>
      <c r="AN97" s="177" t="str">
        <f t="shared" si="25"/>
        <v/>
      </c>
      <c r="AO97" s="177" t="str">
        <f>IF(A97&gt;0,SUM(PASHEET!AP89,PASHEET!AX89),"")</f>
        <v/>
      </c>
      <c r="AP97" s="177" t="str">
        <f>IF(A97&gt;0,SUM(MARKS!J89,MARKS!AP89),"")</f>
        <v/>
      </c>
      <c r="AQ97" s="177" t="str">
        <f>IF(A97&gt;0,SUM(MARKS!R89,MARKS!AX89),"")</f>
        <v/>
      </c>
      <c r="AR97" s="177" t="str">
        <f>IF(A97&gt;0,SUM(MARKS!Z89,MARKS!BF89),"")</f>
        <v/>
      </c>
      <c r="AS97" s="177" t="str">
        <f>IF(A97&gt;0,SUM(MARKS!AH89,MARKS!BN89),"")</f>
        <v/>
      </c>
      <c r="AT97" s="178"/>
      <c r="AU97" s="177" t="str">
        <f t="shared" si="26"/>
        <v/>
      </c>
      <c r="AV97" s="177" t="str">
        <f t="shared" si="27"/>
        <v/>
      </c>
      <c r="AW97" s="177" t="str">
        <f>IF(A97&gt;0,SUM(PASHEET!AQ89,PASHEET!AY89),"")</f>
        <v/>
      </c>
      <c r="AX97" s="177" t="str">
        <f>IF(A97&gt;0,SUM(MARKS!K89,MARKS!AQ89),"")</f>
        <v/>
      </c>
      <c r="AY97" s="177" t="str">
        <f>IF(A97&gt;0,SUM(MARKS!S89,MARKS!AY89),"")</f>
        <v/>
      </c>
      <c r="AZ97" s="177" t="str">
        <f>IF(A97&gt;0,SUM(MARKS!AA89,MARKS!BG89),"")</f>
        <v/>
      </c>
      <c r="BA97" s="177" t="str">
        <f>IF(A97&gt;0,SUM(MARKS!AI89,MARKS!BO89),"")</f>
        <v/>
      </c>
      <c r="BB97" s="178"/>
      <c r="BC97" s="177" t="str">
        <f t="shared" si="28"/>
        <v/>
      </c>
      <c r="BD97" s="177" t="str">
        <f t="shared" si="29"/>
        <v/>
      </c>
      <c r="BE97" s="177" t="str">
        <f t="shared" si="30"/>
        <v/>
      </c>
      <c r="BF97" s="47" t="str">
        <f t="shared" si="31"/>
        <v/>
      </c>
      <c r="BG97" s="70" t="str">
        <f t="shared" si="32"/>
        <v/>
      </c>
      <c r="BH97" s="177" t="str">
        <f t="shared" si="33"/>
        <v/>
      </c>
      <c r="BI97" s="47" t="str">
        <f>IF(A97&gt;0,FLN!I89,"")</f>
        <v/>
      </c>
      <c r="BJ97" s="47" t="str">
        <f>IF(A97&gt;0,FLN!J89,"")</f>
        <v/>
      </c>
      <c r="BK97" s="47" t="str">
        <f>IF(A97&gt;0,FLN!K89,"")</f>
        <v/>
      </c>
      <c r="BL97" s="47" t="str">
        <f t="shared" si="34"/>
        <v/>
      </c>
      <c r="BM97" s="130" t="str">
        <f>IF(BF97="","",IFERROR(RANK(BF97,$BF$12:$BF$111,0)+COUNTIFS($BF$12:BF97,BF97)-1,0))</f>
        <v/>
      </c>
      <c r="BN97" s="130" t="str">
        <f t="shared" si="35"/>
        <v/>
      </c>
    </row>
    <row r="98" s="98" customFormat="1" ht="27" customHeight="1" spans="1:66">
      <c r="A98" s="47">
        <f>IF(A97=0,0,IF(A97&lt;ENTRY!$D$24,A97+1,0))</f>
        <v>0</v>
      </c>
      <c r="B98" s="47" t="str">
        <f>IF(A98&gt;0,STUDENT!F88,"")</f>
        <v/>
      </c>
      <c r="C98" s="176" t="str">
        <f>IF(A98&gt;0,UPPER(STUDENT!E88),"")</f>
        <v/>
      </c>
      <c r="D98" s="176" t="str">
        <f>IF(A98&gt;0,UPPER(STUDENT!H88),"")</f>
        <v/>
      </c>
      <c r="E98" s="47" t="str">
        <f>IF(A98&gt;0,UPPER(STUDENT!BP88),"")</f>
        <v/>
      </c>
      <c r="F98" s="47" t="str">
        <f>IF(A98&gt;0,UPPER(STUDENT!BO88),"")</f>
        <v/>
      </c>
      <c r="G98" s="47" t="str">
        <f>IF(A98&gt;0,UPPER(STUDENT!Q88),"")</f>
        <v/>
      </c>
      <c r="H98" s="69" t="str">
        <f>IF(A98&gt;0,PASHEET!CI90/PASHEET!CJ90*100,"")</f>
        <v/>
      </c>
      <c r="I98" s="177" t="str">
        <f>IF(A98&gt;0,SUM(PASHEET!AL90,PASHEET!AT90),"")</f>
        <v/>
      </c>
      <c r="J98" s="177" t="str">
        <f>IF(A98&gt;0,SUM(MARKS!F90,MARKS!AL90),"")</f>
        <v/>
      </c>
      <c r="K98" s="177" t="str">
        <f>IF(A98&gt;0,SUM(MARKS!N90,MARKS!AT90),"")</f>
        <v/>
      </c>
      <c r="L98" s="177" t="str">
        <f>IF(A98&gt;0,SUM(MARKS!V90,MARKS!BB90),"")</f>
        <v/>
      </c>
      <c r="M98" s="177" t="str">
        <f>IF(A98&gt;0,SUM(MARKS!AD90,MARKS!BJ90),"")</f>
        <v/>
      </c>
      <c r="N98" s="178"/>
      <c r="O98" s="177" t="str">
        <f t="shared" si="18"/>
        <v/>
      </c>
      <c r="P98" s="177" t="str">
        <f t="shared" si="19"/>
        <v/>
      </c>
      <c r="Q98" s="177" t="str">
        <f>IF(A98&gt;0,SUM(PASHEET!AM90,PASHEET!AU90),"")</f>
        <v/>
      </c>
      <c r="R98" s="177" t="str">
        <f>IF(A98&gt;0,SUM(MARKS!G90,MARKS!AM90),"")</f>
        <v/>
      </c>
      <c r="S98" s="177" t="str">
        <f>IF(A98&gt;0,SUM(MARKS!O90,MARKS!AU90),"")</f>
        <v/>
      </c>
      <c r="T98" s="177" t="str">
        <f>IF(A98&gt;0,SUM(MARKS!W90,MARKS!BC90),"")</f>
        <v/>
      </c>
      <c r="U98" s="177" t="str">
        <f>IF(A98&gt;0,SUM(MARKS!AE90,MARKS!BK90),"")</f>
        <v/>
      </c>
      <c r="V98" s="178"/>
      <c r="W98" s="177" t="str">
        <f t="shared" si="20"/>
        <v/>
      </c>
      <c r="X98" s="177" t="str">
        <f t="shared" si="21"/>
        <v/>
      </c>
      <c r="Y98" s="177" t="str">
        <f>IF(A98&gt;0,SUM(PASHEET!AN90,PASHEET!AV90),"")</f>
        <v/>
      </c>
      <c r="Z98" s="177" t="str">
        <f>IF(A98&gt;0,SUM(MARKS!H90,MARKS!AN90),"")</f>
        <v/>
      </c>
      <c r="AA98" s="177" t="str">
        <f>IF(A98&gt;0,SUM(MARKS!P90,MARKS!AV90),"")</f>
        <v/>
      </c>
      <c r="AB98" s="177" t="str">
        <f>IF(A98&gt;0,SUM(MARKS!X90,MARKS!BD90),"")</f>
        <v/>
      </c>
      <c r="AC98" s="177" t="str">
        <f>IF(A98&gt;0,SUM(MARKS!AF90,MARKS!BL90),"")</f>
        <v/>
      </c>
      <c r="AD98" s="178"/>
      <c r="AE98" s="177" t="str">
        <f t="shared" si="22"/>
        <v/>
      </c>
      <c r="AF98" s="177" t="str">
        <f t="shared" si="23"/>
        <v/>
      </c>
      <c r="AG98" s="177" t="str">
        <f>IF(A98&gt;0,SUM(PASHEET!AO90,PASHEET!AW90),"")</f>
        <v/>
      </c>
      <c r="AH98" s="177" t="str">
        <f>IF(A98&gt;0,SUM(MARKS!I90,MARKS!AO90),"")</f>
        <v/>
      </c>
      <c r="AI98" s="177" t="str">
        <f>IF(A98&gt;0,SUM(MARKS!Q90,MARKS!AW90),"")</f>
        <v/>
      </c>
      <c r="AJ98" s="177" t="str">
        <f>IF(A98&gt;0,SUM(MARKS!Y90,MARKS!BE90),"")</f>
        <v/>
      </c>
      <c r="AK98" s="177" t="str">
        <f>IF(A98&gt;0,SUM(MARKS!AG90,MARKS!BM90),"")</f>
        <v/>
      </c>
      <c r="AL98" s="178"/>
      <c r="AM98" s="177" t="str">
        <f t="shared" si="24"/>
        <v/>
      </c>
      <c r="AN98" s="177" t="str">
        <f t="shared" si="25"/>
        <v/>
      </c>
      <c r="AO98" s="177" t="str">
        <f>IF(A98&gt;0,SUM(PASHEET!AP90,PASHEET!AX90),"")</f>
        <v/>
      </c>
      <c r="AP98" s="177" t="str">
        <f>IF(A98&gt;0,SUM(MARKS!J90,MARKS!AP90),"")</f>
        <v/>
      </c>
      <c r="AQ98" s="177" t="str">
        <f>IF(A98&gt;0,SUM(MARKS!R90,MARKS!AX90),"")</f>
        <v/>
      </c>
      <c r="AR98" s="177" t="str">
        <f>IF(A98&gt;0,SUM(MARKS!Z90,MARKS!BF90),"")</f>
        <v/>
      </c>
      <c r="AS98" s="177" t="str">
        <f>IF(A98&gt;0,SUM(MARKS!AH90,MARKS!BN90),"")</f>
        <v/>
      </c>
      <c r="AT98" s="178"/>
      <c r="AU98" s="177" t="str">
        <f t="shared" si="26"/>
        <v/>
      </c>
      <c r="AV98" s="177" t="str">
        <f t="shared" si="27"/>
        <v/>
      </c>
      <c r="AW98" s="177" t="str">
        <f>IF(A98&gt;0,SUM(PASHEET!AQ90,PASHEET!AY90),"")</f>
        <v/>
      </c>
      <c r="AX98" s="177" t="str">
        <f>IF(A98&gt;0,SUM(MARKS!K90,MARKS!AQ90),"")</f>
        <v/>
      </c>
      <c r="AY98" s="177" t="str">
        <f>IF(A98&gt;0,SUM(MARKS!S90,MARKS!AY90),"")</f>
        <v/>
      </c>
      <c r="AZ98" s="177" t="str">
        <f>IF(A98&gt;0,SUM(MARKS!AA90,MARKS!BG90),"")</f>
        <v/>
      </c>
      <c r="BA98" s="177" t="str">
        <f>IF(A98&gt;0,SUM(MARKS!AI90,MARKS!BO90),"")</f>
        <v/>
      </c>
      <c r="BB98" s="178"/>
      <c r="BC98" s="177" t="str">
        <f t="shared" si="28"/>
        <v/>
      </c>
      <c r="BD98" s="177" t="str">
        <f t="shared" si="29"/>
        <v/>
      </c>
      <c r="BE98" s="177" t="str">
        <f t="shared" si="30"/>
        <v/>
      </c>
      <c r="BF98" s="47" t="str">
        <f t="shared" si="31"/>
        <v/>
      </c>
      <c r="BG98" s="70" t="str">
        <f t="shared" si="32"/>
        <v/>
      </c>
      <c r="BH98" s="177" t="str">
        <f t="shared" si="33"/>
        <v/>
      </c>
      <c r="BI98" s="47" t="str">
        <f>IF(A98&gt;0,FLN!I90,"")</f>
        <v/>
      </c>
      <c r="BJ98" s="47" t="str">
        <f>IF(A98&gt;0,FLN!J90,"")</f>
        <v/>
      </c>
      <c r="BK98" s="47" t="str">
        <f>IF(A98&gt;0,FLN!K90,"")</f>
        <v/>
      </c>
      <c r="BL98" s="47" t="str">
        <f t="shared" si="34"/>
        <v/>
      </c>
      <c r="BM98" s="130" t="str">
        <f>IF(BF98="","",IFERROR(RANK(BF98,$BF$12:$BF$111,0)+COUNTIFS($BF$12:BF98,BF98)-1,0))</f>
        <v/>
      </c>
      <c r="BN98" s="130" t="str">
        <f t="shared" si="35"/>
        <v/>
      </c>
    </row>
    <row r="99" s="98" customFormat="1" ht="27" customHeight="1" spans="1:66">
      <c r="A99" s="47">
        <f>IF(A98=0,0,IF(A98&lt;ENTRY!$D$24,A98+1,0))</f>
        <v>0</v>
      </c>
      <c r="B99" s="47" t="str">
        <f>IF(A99&gt;0,STUDENT!F89,"")</f>
        <v/>
      </c>
      <c r="C99" s="176" t="str">
        <f>IF(A99&gt;0,UPPER(STUDENT!E89),"")</f>
        <v/>
      </c>
      <c r="D99" s="176" t="str">
        <f>IF(A99&gt;0,UPPER(STUDENT!H89),"")</f>
        <v/>
      </c>
      <c r="E99" s="47" t="str">
        <f>IF(A99&gt;0,UPPER(STUDENT!BP89),"")</f>
        <v/>
      </c>
      <c r="F99" s="47" t="str">
        <f>IF(A99&gt;0,UPPER(STUDENT!BO89),"")</f>
        <v/>
      </c>
      <c r="G99" s="47" t="str">
        <f>IF(A99&gt;0,UPPER(STUDENT!Q89),"")</f>
        <v/>
      </c>
      <c r="H99" s="69" t="str">
        <f>IF(A99&gt;0,PASHEET!CI91/PASHEET!CJ91*100,"")</f>
        <v/>
      </c>
      <c r="I99" s="177" t="str">
        <f>IF(A99&gt;0,SUM(PASHEET!AL91,PASHEET!AT91),"")</f>
        <v/>
      </c>
      <c r="J99" s="177" t="str">
        <f>IF(A99&gt;0,SUM(MARKS!F91,MARKS!AL91),"")</f>
        <v/>
      </c>
      <c r="K99" s="177" t="str">
        <f>IF(A99&gt;0,SUM(MARKS!N91,MARKS!AT91),"")</f>
        <v/>
      </c>
      <c r="L99" s="177" t="str">
        <f>IF(A99&gt;0,SUM(MARKS!V91,MARKS!BB91),"")</f>
        <v/>
      </c>
      <c r="M99" s="177" t="str">
        <f>IF(A99&gt;0,SUM(MARKS!AD91,MARKS!BJ91),"")</f>
        <v/>
      </c>
      <c r="N99" s="178"/>
      <c r="O99" s="177" t="str">
        <f t="shared" si="18"/>
        <v/>
      </c>
      <c r="P99" s="177" t="str">
        <f t="shared" si="19"/>
        <v/>
      </c>
      <c r="Q99" s="177" t="str">
        <f>IF(A99&gt;0,SUM(PASHEET!AM91,PASHEET!AU91),"")</f>
        <v/>
      </c>
      <c r="R99" s="177" t="str">
        <f>IF(A99&gt;0,SUM(MARKS!G91,MARKS!AM91),"")</f>
        <v/>
      </c>
      <c r="S99" s="177" t="str">
        <f>IF(A99&gt;0,SUM(MARKS!O91,MARKS!AU91),"")</f>
        <v/>
      </c>
      <c r="T99" s="177" t="str">
        <f>IF(A99&gt;0,SUM(MARKS!W91,MARKS!BC91),"")</f>
        <v/>
      </c>
      <c r="U99" s="177" t="str">
        <f>IF(A99&gt;0,SUM(MARKS!AE91,MARKS!BK91),"")</f>
        <v/>
      </c>
      <c r="V99" s="178"/>
      <c r="W99" s="177" t="str">
        <f t="shared" si="20"/>
        <v/>
      </c>
      <c r="X99" s="177" t="str">
        <f t="shared" si="21"/>
        <v/>
      </c>
      <c r="Y99" s="177" t="str">
        <f>IF(A99&gt;0,SUM(PASHEET!AN91,PASHEET!AV91),"")</f>
        <v/>
      </c>
      <c r="Z99" s="177" t="str">
        <f>IF(A99&gt;0,SUM(MARKS!H91,MARKS!AN91),"")</f>
        <v/>
      </c>
      <c r="AA99" s="177" t="str">
        <f>IF(A99&gt;0,SUM(MARKS!P91,MARKS!AV91),"")</f>
        <v/>
      </c>
      <c r="AB99" s="177" t="str">
        <f>IF(A99&gt;0,SUM(MARKS!X91,MARKS!BD91),"")</f>
        <v/>
      </c>
      <c r="AC99" s="177" t="str">
        <f>IF(A99&gt;0,SUM(MARKS!AF91,MARKS!BL91),"")</f>
        <v/>
      </c>
      <c r="AD99" s="178"/>
      <c r="AE99" s="177" t="str">
        <f t="shared" si="22"/>
        <v/>
      </c>
      <c r="AF99" s="177" t="str">
        <f t="shared" si="23"/>
        <v/>
      </c>
      <c r="AG99" s="177" t="str">
        <f>IF(A99&gt;0,SUM(PASHEET!AO91,PASHEET!AW91),"")</f>
        <v/>
      </c>
      <c r="AH99" s="177" t="str">
        <f>IF(A99&gt;0,SUM(MARKS!I91,MARKS!AO91),"")</f>
        <v/>
      </c>
      <c r="AI99" s="177" t="str">
        <f>IF(A99&gt;0,SUM(MARKS!Q91,MARKS!AW91),"")</f>
        <v/>
      </c>
      <c r="AJ99" s="177" t="str">
        <f>IF(A99&gt;0,SUM(MARKS!Y91,MARKS!BE91),"")</f>
        <v/>
      </c>
      <c r="AK99" s="177" t="str">
        <f>IF(A99&gt;0,SUM(MARKS!AG91,MARKS!BM91),"")</f>
        <v/>
      </c>
      <c r="AL99" s="178"/>
      <c r="AM99" s="177" t="str">
        <f t="shared" si="24"/>
        <v/>
      </c>
      <c r="AN99" s="177" t="str">
        <f t="shared" si="25"/>
        <v/>
      </c>
      <c r="AO99" s="177" t="str">
        <f>IF(A99&gt;0,SUM(PASHEET!AP91,PASHEET!AX91),"")</f>
        <v/>
      </c>
      <c r="AP99" s="177" t="str">
        <f>IF(A99&gt;0,SUM(MARKS!J91,MARKS!AP91),"")</f>
        <v/>
      </c>
      <c r="AQ99" s="177" t="str">
        <f>IF(A99&gt;0,SUM(MARKS!R91,MARKS!AX91),"")</f>
        <v/>
      </c>
      <c r="AR99" s="177" t="str">
        <f>IF(A99&gt;0,SUM(MARKS!Z91,MARKS!BF91),"")</f>
        <v/>
      </c>
      <c r="AS99" s="177" t="str">
        <f>IF(A99&gt;0,SUM(MARKS!AH91,MARKS!BN91),"")</f>
        <v/>
      </c>
      <c r="AT99" s="178"/>
      <c r="AU99" s="177" t="str">
        <f t="shared" si="26"/>
        <v/>
      </c>
      <c r="AV99" s="177" t="str">
        <f t="shared" si="27"/>
        <v/>
      </c>
      <c r="AW99" s="177" t="str">
        <f>IF(A99&gt;0,SUM(PASHEET!AQ91,PASHEET!AY91),"")</f>
        <v/>
      </c>
      <c r="AX99" s="177" t="str">
        <f>IF(A99&gt;0,SUM(MARKS!K91,MARKS!AQ91),"")</f>
        <v/>
      </c>
      <c r="AY99" s="177" t="str">
        <f>IF(A99&gt;0,SUM(MARKS!S91,MARKS!AY91),"")</f>
        <v/>
      </c>
      <c r="AZ99" s="177" t="str">
        <f>IF(A99&gt;0,SUM(MARKS!AA91,MARKS!BG91),"")</f>
        <v/>
      </c>
      <c r="BA99" s="177" t="str">
        <f>IF(A99&gt;0,SUM(MARKS!AI91,MARKS!BO91),"")</f>
        <v/>
      </c>
      <c r="BB99" s="178"/>
      <c r="BC99" s="177" t="str">
        <f t="shared" si="28"/>
        <v/>
      </c>
      <c r="BD99" s="177" t="str">
        <f t="shared" si="29"/>
        <v/>
      </c>
      <c r="BE99" s="177" t="str">
        <f t="shared" si="30"/>
        <v/>
      </c>
      <c r="BF99" s="47" t="str">
        <f t="shared" si="31"/>
        <v/>
      </c>
      <c r="BG99" s="70" t="str">
        <f t="shared" si="32"/>
        <v/>
      </c>
      <c r="BH99" s="177" t="str">
        <f t="shared" si="33"/>
        <v/>
      </c>
      <c r="BI99" s="47" t="str">
        <f>IF(A99&gt;0,FLN!I91,"")</f>
        <v/>
      </c>
      <c r="BJ99" s="47" t="str">
        <f>IF(A99&gt;0,FLN!J91,"")</f>
        <v/>
      </c>
      <c r="BK99" s="47" t="str">
        <f>IF(A99&gt;0,FLN!K91,"")</f>
        <v/>
      </c>
      <c r="BL99" s="47" t="str">
        <f t="shared" si="34"/>
        <v/>
      </c>
      <c r="BM99" s="130" t="str">
        <f>IF(BF99="","",IFERROR(RANK(BF99,$BF$12:$BF$111,0)+COUNTIFS($BF$12:BF99,BF99)-1,0))</f>
        <v/>
      </c>
      <c r="BN99" s="130" t="str">
        <f t="shared" si="35"/>
        <v/>
      </c>
    </row>
    <row r="100" s="98" customFormat="1" ht="27" customHeight="1" spans="1:66">
      <c r="A100" s="47">
        <f>IF(A99=0,0,IF(A99&lt;ENTRY!$D$24,A99+1,0))</f>
        <v>0</v>
      </c>
      <c r="B100" s="47" t="str">
        <f>IF(A100&gt;0,STUDENT!F90,"")</f>
        <v/>
      </c>
      <c r="C100" s="176" t="str">
        <f>IF(A100&gt;0,UPPER(STUDENT!E90),"")</f>
        <v/>
      </c>
      <c r="D100" s="176" t="str">
        <f>IF(A100&gt;0,UPPER(STUDENT!H90),"")</f>
        <v/>
      </c>
      <c r="E100" s="47" t="str">
        <f>IF(A100&gt;0,UPPER(STUDENT!BP90),"")</f>
        <v/>
      </c>
      <c r="F100" s="47" t="str">
        <f>IF(A100&gt;0,UPPER(STUDENT!BO90),"")</f>
        <v/>
      </c>
      <c r="G100" s="47" t="str">
        <f>IF(A100&gt;0,UPPER(STUDENT!Q90),"")</f>
        <v/>
      </c>
      <c r="H100" s="69" t="str">
        <f>IF(A100&gt;0,PASHEET!CI92/PASHEET!CJ92*100,"")</f>
        <v/>
      </c>
      <c r="I100" s="177" t="str">
        <f>IF(A100&gt;0,SUM(PASHEET!AL92,PASHEET!AT92),"")</f>
        <v/>
      </c>
      <c r="J100" s="177" t="str">
        <f>IF(A100&gt;0,SUM(MARKS!F92,MARKS!AL92),"")</f>
        <v/>
      </c>
      <c r="K100" s="177" t="str">
        <f>IF(A100&gt;0,SUM(MARKS!N92,MARKS!AT92),"")</f>
        <v/>
      </c>
      <c r="L100" s="177" t="str">
        <f>IF(A100&gt;0,SUM(MARKS!V92,MARKS!BB92),"")</f>
        <v/>
      </c>
      <c r="M100" s="177" t="str">
        <f>IF(A100&gt;0,SUM(MARKS!AD92,MARKS!BJ92),"")</f>
        <v/>
      </c>
      <c r="N100" s="178"/>
      <c r="O100" s="177" t="str">
        <f t="shared" si="18"/>
        <v/>
      </c>
      <c r="P100" s="177" t="str">
        <f t="shared" si="19"/>
        <v/>
      </c>
      <c r="Q100" s="177" t="str">
        <f>IF(A100&gt;0,SUM(PASHEET!AM92,PASHEET!AU92),"")</f>
        <v/>
      </c>
      <c r="R100" s="177" t="str">
        <f>IF(A100&gt;0,SUM(MARKS!G92,MARKS!AM92),"")</f>
        <v/>
      </c>
      <c r="S100" s="177" t="str">
        <f>IF(A100&gt;0,SUM(MARKS!O92,MARKS!AU92),"")</f>
        <v/>
      </c>
      <c r="T100" s="177" t="str">
        <f>IF(A100&gt;0,SUM(MARKS!W92,MARKS!BC92),"")</f>
        <v/>
      </c>
      <c r="U100" s="177" t="str">
        <f>IF(A100&gt;0,SUM(MARKS!AE92,MARKS!BK92),"")</f>
        <v/>
      </c>
      <c r="V100" s="178"/>
      <c r="W100" s="177" t="str">
        <f t="shared" si="20"/>
        <v/>
      </c>
      <c r="X100" s="177" t="str">
        <f t="shared" si="21"/>
        <v/>
      </c>
      <c r="Y100" s="177" t="str">
        <f>IF(A100&gt;0,SUM(PASHEET!AN92,PASHEET!AV92),"")</f>
        <v/>
      </c>
      <c r="Z100" s="177" t="str">
        <f>IF(A100&gt;0,SUM(MARKS!H92,MARKS!AN92),"")</f>
        <v/>
      </c>
      <c r="AA100" s="177" t="str">
        <f>IF(A100&gt;0,SUM(MARKS!P92,MARKS!AV92),"")</f>
        <v/>
      </c>
      <c r="AB100" s="177" t="str">
        <f>IF(A100&gt;0,SUM(MARKS!X92,MARKS!BD92),"")</f>
        <v/>
      </c>
      <c r="AC100" s="177" t="str">
        <f>IF(A100&gt;0,SUM(MARKS!AF92,MARKS!BL92),"")</f>
        <v/>
      </c>
      <c r="AD100" s="178"/>
      <c r="AE100" s="177" t="str">
        <f t="shared" si="22"/>
        <v/>
      </c>
      <c r="AF100" s="177" t="str">
        <f t="shared" si="23"/>
        <v/>
      </c>
      <c r="AG100" s="177" t="str">
        <f>IF(A100&gt;0,SUM(PASHEET!AO92,PASHEET!AW92),"")</f>
        <v/>
      </c>
      <c r="AH100" s="177" t="str">
        <f>IF(A100&gt;0,SUM(MARKS!I92,MARKS!AO92),"")</f>
        <v/>
      </c>
      <c r="AI100" s="177" t="str">
        <f>IF(A100&gt;0,SUM(MARKS!Q92,MARKS!AW92),"")</f>
        <v/>
      </c>
      <c r="AJ100" s="177" t="str">
        <f>IF(A100&gt;0,SUM(MARKS!Y92,MARKS!BE92),"")</f>
        <v/>
      </c>
      <c r="AK100" s="177" t="str">
        <f>IF(A100&gt;0,SUM(MARKS!AG92,MARKS!BM92),"")</f>
        <v/>
      </c>
      <c r="AL100" s="178"/>
      <c r="AM100" s="177" t="str">
        <f t="shared" si="24"/>
        <v/>
      </c>
      <c r="AN100" s="177" t="str">
        <f t="shared" si="25"/>
        <v/>
      </c>
      <c r="AO100" s="177" t="str">
        <f>IF(A100&gt;0,SUM(PASHEET!AP92,PASHEET!AX92),"")</f>
        <v/>
      </c>
      <c r="AP100" s="177" t="str">
        <f>IF(A100&gt;0,SUM(MARKS!J92,MARKS!AP92),"")</f>
        <v/>
      </c>
      <c r="AQ100" s="177" t="str">
        <f>IF(A100&gt;0,SUM(MARKS!R92,MARKS!AX92),"")</f>
        <v/>
      </c>
      <c r="AR100" s="177" t="str">
        <f>IF(A100&gt;0,SUM(MARKS!Z92,MARKS!BF92),"")</f>
        <v/>
      </c>
      <c r="AS100" s="177" t="str">
        <f>IF(A100&gt;0,SUM(MARKS!AH92,MARKS!BN92),"")</f>
        <v/>
      </c>
      <c r="AT100" s="178"/>
      <c r="AU100" s="177" t="str">
        <f t="shared" si="26"/>
        <v/>
      </c>
      <c r="AV100" s="177" t="str">
        <f t="shared" si="27"/>
        <v/>
      </c>
      <c r="AW100" s="177" t="str">
        <f>IF(A100&gt;0,SUM(PASHEET!AQ92,PASHEET!AY92),"")</f>
        <v/>
      </c>
      <c r="AX100" s="177" t="str">
        <f>IF(A100&gt;0,SUM(MARKS!K92,MARKS!AQ92),"")</f>
        <v/>
      </c>
      <c r="AY100" s="177" t="str">
        <f>IF(A100&gt;0,SUM(MARKS!S92,MARKS!AY92),"")</f>
        <v/>
      </c>
      <c r="AZ100" s="177" t="str">
        <f>IF(A100&gt;0,SUM(MARKS!AA92,MARKS!BG92),"")</f>
        <v/>
      </c>
      <c r="BA100" s="177" t="str">
        <f>IF(A100&gt;0,SUM(MARKS!AI92,MARKS!BO92),"")</f>
        <v/>
      </c>
      <c r="BB100" s="178"/>
      <c r="BC100" s="177" t="str">
        <f t="shared" si="28"/>
        <v/>
      </c>
      <c r="BD100" s="177" t="str">
        <f t="shared" si="29"/>
        <v/>
      </c>
      <c r="BE100" s="177" t="str">
        <f t="shared" si="30"/>
        <v/>
      </c>
      <c r="BF100" s="47" t="str">
        <f t="shared" si="31"/>
        <v/>
      </c>
      <c r="BG100" s="70" t="str">
        <f t="shared" si="32"/>
        <v/>
      </c>
      <c r="BH100" s="177" t="str">
        <f t="shared" si="33"/>
        <v/>
      </c>
      <c r="BI100" s="47" t="str">
        <f>IF(A100&gt;0,FLN!I92,"")</f>
        <v/>
      </c>
      <c r="BJ100" s="47" t="str">
        <f>IF(A100&gt;0,FLN!J92,"")</f>
        <v/>
      </c>
      <c r="BK100" s="47" t="str">
        <f>IF(A100&gt;0,FLN!K92,"")</f>
        <v/>
      </c>
      <c r="BL100" s="47" t="str">
        <f t="shared" si="34"/>
        <v/>
      </c>
      <c r="BM100" s="130" t="str">
        <f>IF(BF100="","",IFERROR(RANK(BF100,$BF$12:$BF$111,0)+COUNTIFS($BF$12:BF100,BF100)-1,0))</f>
        <v/>
      </c>
      <c r="BN100" s="130" t="str">
        <f t="shared" si="35"/>
        <v/>
      </c>
    </row>
    <row r="101" s="98" customFormat="1" ht="27" customHeight="1" spans="1:66">
      <c r="A101" s="47">
        <f>IF(A100=0,0,IF(A100&lt;ENTRY!$D$24,A100+1,0))</f>
        <v>0</v>
      </c>
      <c r="B101" s="47" t="str">
        <f>IF(A101&gt;0,STUDENT!F91,"")</f>
        <v/>
      </c>
      <c r="C101" s="176" t="str">
        <f>IF(A101&gt;0,UPPER(STUDENT!E91),"")</f>
        <v/>
      </c>
      <c r="D101" s="176" t="str">
        <f>IF(A101&gt;0,UPPER(STUDENT!H91),"")</f>
        <v/>
      </c>
      <c r="E101" s="47" t="str">
        <f>IF(A101&gt;0,UPPER(STUDENT!BP91),"")</f>
        <v/>
      </c>
      <c r="F101" s="47" t="str">
        <f>IF(A101&gt;0,UPPER(STUDENT!BO91),"")</f>
        <v/>
      </c>
      <c r="G101" s="47" t="str">
        <f>IF(A101&gt;0,UPPER(STUDENT!Q91),"")</f>
        <v/>
      </c>
      <c r="H101" s="69" t="str">
        <f>IF(A101&gt;0,PASHEET!CI93/PASHEET!CJ93*100,"")</f>
        <v/>
      </c>
      <c r="I101" s="177" t="str">
        <f>IF(A101&gt;0,SUM(PASHEET!AL93,PASHEET!AT93),"")</f>
        <v/>
      </c>
      <c r="J101" s="177" t="str">
        <f>IF(A101&gt;0,SUM(MARKS!F93,MARKS!AL93),"")</f>
        <v/>
      </c>
      <c r="K101" s="177" t="str">
        <f>IF(A101&gt;0,SUM(MARKS!N93,MARKS!AT93),"")</f>
        <v/>
      </c>
      <c r="L101" s="177" t="str">
        <f>IF(A101&gt;0,SUM(MARKS!V93,MARKS!BB93),"")</f>
        <v/>
      </c>
      <c r="M101" s="177" t="str">
        <f>IF(A101&gt;0,SUM(MARKS!AD93,MARKS!BJ93),"")</f>
        <v/>
      </c>
      <c r="N101" s="178"/>
      <c r="O101" s="177" t="str">
        <f t="shared" si="18"/>
        <v/>
      </c>
      <c r="P101" s="177" t="str">
        <f t="shared" si="19"/>
        <v/>
      </c>
      <c r="Q101" s="177" t="str">
        <f>IF(A101&gt;0,SUM(PASHEET!AM93,PASHEET!AU93),"")</f>
        <v/>
      </c>
      <c r="R101" s="177" t="str">
        <f>IF(A101&gt;0,SUM(MARKS!G93,MARKS!AM93),"")</f>
        <v/>
      </c>
      <c r="S101" s="177" t="str">
        <f>IF(A101&gt;0,SUM(MARKS!O93,MARKS!AU93),"")</f>
        <v/>
      </c>
      <c r="T101" s="177" t="str">
        <f>IF(A101&gt;0,SUM(MARKS!W93,MARKS!BC93),"")</f>
        <v/>
      </c>
      <c r="U101" s="177" t="str">
        <f>IF(A101&gt;0,SUM(MARKS!AE93,MARKS!BK93),"")</f>
        <v/>
      </c>
      <c r="V101" s="178"/>
      <c r="W101" s="177" t="str">
        <f t="shared" si="20"/>
        <v/>
      </c>
      <c r="X101" s="177" t="str">
        <f t="shared" si="21"/>
        <v/>
      </c>
      <c r="Y101" s="177" t="str">
        <f>IF(A101&gt;0,SUM(PASHEET!AN93,PASHEET!AV93),"")</f>
        <v/>
      </c>
      <c r="Z101" s="177" t="str">
        <f>IF(A101&gt;0,SUM(MARKS!H93,MARKS!AN93),"")</f>
        <v/>
      </c>
      <c r="AA101" s="177" t="str">
        <f>IF(A101&gt;0,SUM(MARKS!P93,MARKS!AV93),"")</f>
        <v/>
      </c>
      <c r="AB101" s="177" t="str">
        <f>IF(A101&gt;0,SUM(MARKS!X93,MARKS!BD93),"")</f>
        <v/>
      </c>
      <c r="AC101" s="177" t="str">
        <f>IF(A101&gt;0,SUM(MARKS!AF93,MARKS!BL93),"")</f>
        <v/>
      </c>
      <c r="AD101" s="178"/>
      <c r="AE101" s="177" t="str">
        <f t="shared" si="22"/>
        <v/>
      </c>
      <c r="AF101" s="177" t="str">
        <f t="shared" si="23"/>
        <v/>
      </c>
      <c r="AG101" s="177" t="str">
        <f>IF(A101&gt;0,SUM(PASHEET!AO93,PASHEET!AW93),"")</f>
        <v/>
      </c>
      <c r="AH101" s="177" t="str">
        <f>IF(A101&gt;0,SUM(MARKS!I93,MARKS!AO93),"")</f>
        <v/>
      </c>
      <c r="AI101" s="177" t="str">
        <f>IF(A101&gt;0,SUM(MARKS!Q93,MARKS!AW93),"")</f>
        <v/>
      </c>
      <c r="AJ101" s="177" t="str">
        <f>IF(A101&gt;0,SUM(MARKS!Y93,MARKS!BE93),"")</f>
        <v/>
      </c>
      <c r="AK101" s="177" t="str">
        <f>IF(A101&gt;0,SUM(MARKS!AG93,MARKS!BM93),"")</f>
        <v/>
      </c>
      <c r="AL101" s="178"/>
      <c r="AM101" s="177" t="str">
        <f t="shared" si="24"/>
        <v/>
      </c>
      <c r="AN101" s="177" t="str">
        <f t="shared" si="25"/>
        <v/>
      </c>
      <c r="AO101" s="177" t="str">
        <f>IF(A101&gt;0,SUM(PASHEET!AP93,PASHEET!AX93),"")</f>
        <v/>
      </c>
      <c r="AP101" s="177" t="str">
        <f>IF(A101&gt;0,SUM(MARKS!J93,MARKS!AP93),"")</f>
        <v/>
      </c>
      <c r="AQ101" s="177" t="str">
        <f>IF(A101&gt;0,SUM(MARKS!R93,MARKS!AX93),"")</f>
        <v/>
      </c>
      <c r="AR101" s="177" t="str">
        <f>IF(A101&gt;0,SUM(MARKS!Z93,MARKS!BF93),"")</f>
        <v/>
      </c>
      <c r="AS101" s="177" t="str">
        <f>IF(A101&gt;0,SUM(MARKS!AH93,MARKS!BN93),"")</f>
        <v/>
      </c>
      <c r="AT101" s="178"/>
      <c r="AU101" s="177" t="str">
        <f t="shared" si="26"/>
        <v/>
      </c>
      <c r="AV101" s="177" t="str">
        <f t="shared" si="27"/>
        <v/>
      </c>
      <c r="AW101" s="177" t="str">
        <f>IF(A101&gt;0,SUM(PASHEET!AQ93,PASHEET!AY93),"")</f>
        <v/>
      </c>
      <c r="AX101" s="177" t="str">
        <f>IF(A101&gt;0,SUM(MARKS!K93,MARKS!AQ93),"")</f>
        <v/>
      </c>
      <c r="AY101" s="177" t="str">
        <f>IF(A101&gt;0,SUM(MARKS!S93,MARKS!AY93),"")</f>
        <v/>
      </c>
      <c r="AZ101" s="177" t="str">
        <f>IF(A101&gt;0,SUM(MARKS!AA93,MARKS!BG93),"")</f>
        <v/>
      </c>
      <c r="BA101" s="177" t="str">
        <f>IF(A101&gt;0,SUM(MARKS!AI93,MARKS!BO93),"")</f>
        <v/>
      </c>
      <c r="BB101" s="178"/>
      <c r="BC101" s="177" t="str">
        <f t="shared" si="28"/>
        <v/>
      </c>
      <c r="BD101" s="177" t="str">
        <f t="shared" si="29"/>
        <v/>
      </c>
      <c r="BE101" s="177" t="str">
        <f t="shared" si="30"/>
        <v/>
      </c>
      <c r="BF101" s="47" t="str">
        <f t="shared" si="31"/>
        <v/>
      </c>
      <c r="BG101" s="70" t="str">
        <f t="shared" si="32"/>
        <v/>
      </c>
      <c r="BH101" s="177" t="str">
        <f t="shared" si="33"/>
        <v/>
      </c>
      <c r="BI101" s="47" t="str">
        <f>IF(A101&gt;0,FLN!I93,"")</f>
        <v/>
      </c>
      <c r="BJ101" s="47" t="str">
        <f>IF(A101&gt;0,FLN!J93,"")</f>
        <v/>
      </c>
      <c r="BK101" s="47" t="str">
        <f>IF(A101&gt;0,FLN!K93,"")</f>
        <v/>
      </c>
      <c r="BL101" s="47" t="str">
        <f t="shared" si="34"/>
        <v/>
      </c>
      <c r="BM101" s="130" t="str">
        <f>IF(BF101="","",IFERROR(RANK(BF101,$BF$12:$BF$111,0)+COUNTIFS($BF$12:BF101,BF101)-1,0))</f>
        <v/>
      </c>
      <c r="BN101" s="130" t="str">
        <f t="shared" si="35"/>
        <v/>
      </c>
    </row>
    <row r="102" s="98" customFormat="1" ht="27" customHeight="1" spans="1:66">
      <c r="A102" s="47">
        <f>IF(A101=0,0,IF(A101&lt;ENTRY!$D$24,A101+1,0))</f>
        <v>0</v>
      </c>
      <c r="B102" s="47" t="str">
        <f>IF(A102&gt;0,STUDENT!F92,"")</f>
        <v/>
      </c>
      <c r="C102" s="176" t="str">
        <f>IF(A102&gt;0,UPPER(STUDENT!E92),"")</f>
        <v/>
      </c>
      <c r="D102" s="176" t="str">
        <f>IF(A102&gt;0,UPPER(STUDENT!H92),"")</f>
        <v/>
      </c>
      <c r="E102" s="47" t="str">
        <f>IF(A102&gt;0,UPPER(STUDENT!BP92),"")</f>
        <v/>
      </c>
      <c r="F102" s="47" t="str">
        <f>IF(A102&gt;0,UPPER(STUDENT!BO92),"")</f>
        <v/>
      </c>
      <c r="G102" s="47" t="str">
        <f>IF(A102&gt;0,UPPER(STUDENT!Q92),"")</f>
        <v/>
      </c>
      <c r="H102" s="69" t="str">
        <f>IF(A102&gt;0,PASHEET!CI94/PASHEET!CJ94*100,"")</f>
        <v/>
      </c>
      <c r="I102" s="177" t="str">
        <f>IF(A102&gt;0,SUM(PASHEET!AL94,PASHEET!AT94),"")</f>
        <v/>
      </c>
      <c r="J102" s="177" t="str">
        <f>IF(A102&gt;0,SUM(MARKS!F94,MARKS!AL94),"")</f>
        <v/>
      </c>
      <c r="K102" s="177" t="str">
        <f>IF(A102&gt;0,SUM(MARKS!N94,MARKS!AT94),"")</f>
        <v/>
      </c>
      <c r="L102" s="177" t="str">
        <f>IF(A102&gt;0,SUM(MARKS!V94,MARKS!BB94),"")</f>
        <v/>
      </c>
      <c r="M102" s="177" t="str">
        <f>IF(A102&gt;0,SUM(MARKS!AD94,MARKS!BJ94),"")</f>
        <v/>
      </c>
      <c r="N102" s="178"/>
      <c r="O102" s="177" t="str">
        <f t="shared" si="18"/>
        <v/>
      </c>
      <c r="P102" s="177" t="str">
        <f t="shared" si="19"/>
        <v/>
      </c>
      <c r="Q102" s="177" t="str">
        <f>IF(A102&gt;0,SUM(PASHEET!AM94,PASHEET!AU94),"")</f>
        <v/>
      </c>
      <c r="R102" s="177" t="str">
        <f>IF(A102&gt;0,SUM(MARKS!G94,MARKS!AM94),"")</f>
        <v/>
      </c>
      <c r="S102" s="177" t="str">
        <f>IF(A102&gt;0,SUM(MARKS!O94,MARKS!AU94),"")</f>
        <v/>
      </c>
      <c r="T102" s="177" t="str">
        <f>IF(A102&gt;0,SUM(MARKS!W94,MARKS!BC94),"")</f>
        <v/>
      </c>
      <c r="U102" s="177" t="str">
        <f>IF(A102&gt;0,SUM(MARKS!AE94,MARKS!BK94),"")</f>
        <v/>
      </c>
      <c r="V102" s="178"/>
      <c r="W102" s="177" t="str">
        <f t="shared" si="20"/>
        <v/>
      </c>
      <c r="X102" s="177" t="str">
        <f t="shared" si="21"/>
        <v/>
      </c>
      <c r="Y102" s="177" t="str">
        <f>IF(A102&gt;0,SUM(PASHEET!AN94,PASHEET!AV94),"")</f>
        <v/>
      </c>
      <c r="Z102" s="177" t="str">
        <f>IF(A102&gt;0,SUM(MARKS!H94,MARKS!AN94),"")</f>
        <v/>
      </c>
      <c r="AA102" s="177" t="str">
        <f>IF(A102&gt;0,SUM(MARKS!P94,MARKS!AV94),"")</f>
        <v/>
      </c>
      <c r="AB102" s="177" t="str">
        <f>IF(A102&gt;0,SUM(MARKS!X94,MARKS!BD94),"")</f>
        <v/>
      </c>
      <c r="AC102" s="177" t="str">
        <f>IF(A102&gt;0,SUM(MARKS!AF94,MARKS!BL94),"")</f>
        <v/>
      </c>
      <c r="AD102" s="178"/>
      <c r="AE102" s="177" t="str">
        <f t="shared" si="22"/>
        <v/>
      </c>
      <c r="AF102" s="177" t="str">
        <f t="shared" si="23"/>
        <v/>
      </c>
      <c r="AG102" s="177" t="str">
        <f>IF(A102&gt;0,SUM(PASHEET!AO94,PASHEET!AW94),"")</f>
        <v/>
      </c>
      <c r="AH102" s="177" t="str">
        <f>IF(A102&gt;0,SUM(MARKS!I94,MARKS!AO94),"")</f>
        <v/>
      </c>
      <c r="AI102" s="177" t="str">
        <f>IF(A102&gt;0,SUM(MARKS!Q94,MARKS!AW94),"")</f>
        <v/>
      </c>
      <c r="AJ102" s="177" t="str">
        <f>IF(A102&gt;0,SUM(MARKS!Y94,MARKS!BE94),"")</f>
        <v/>
      </c>
      <c r="AK102" s="177" t="str">
        <f>IF(A102&gt;0,SUM(MARKS!AG94,MARKS!BM94),"")</f>
        <v/>
      </c>
      <c r="AL102" s="178"/>
      <c r="AM102" s="177" t="str">
        <f t="shared" si="24"/>
        <v/>
      </c>
      <c r="AN102" s="177" t="str">
        <f t="shared" si="25"/>
        <v/>
      </c>
      <c r="AO102" s="177" t="str">
        <f>IF(A102&gt;0,SUM(PASHEET!AP94,PASHEET!AX94),"")</f>
        <v/>
      </c>
      <c r="AP102" s="177" t="str">
        <f>IF(A102&gt;0,SUM(MARKS!J94,MARKS!AP94),"")</f>
        <v/>
      </c>
      <c r="AQ102" s="177" t="str">
        <f>IF(A102&gt;0,SUM(MARKS!R94,MARKS!AX94),"")</f>
        <v/>
      </c>
      <c r="AR102" s="177" t="str">
        <f>IF(A102&gt;0,SUM(MARKS!Z94,MARKS!BF94),"")</f>
        <v/>
      </c>
      <c r="AS102" s="177" t="str">
        <f>IF(A102&gt;0,SUM(MARKS!AH94,MARKS!BN94),"")</f>
        <v/>
      </c>
      <c r="AT102" s="178"/>
      <c r="AU102" s="177" t="str">
        <f t="shared" si="26"/>
        <v/>
      </c>
      <c r="AV102" s="177" t="str">
        <f t="shared" si="27"/>
        <v/>
      </c>
      <c r="AW102" s="177" t="str">
        <f>IF(A102&gt;0,SUM(PASHEET!AQ94,PASHEET!AY94),"")</f>
        <v/>
      </c>
      <c r="AX102" s="177" t="str">
        <f>IF(A102&gt;0,SUM(MARKS!K94,MARKS!AQ94),"")</f>
        <v/>
      </c>
      <c r="AY102" s="177" t="str">
        <f>IF(A102&gt;0,SUM(MARKS!S94,MARKS!AY94),"")</f>
        <v/>
      </c>
      <c r="AZ102" s="177" t="str">
        <f>IF(A102&gt;0,SUM(MARKS!AA94,MARKS!BG94),"")</f>
        <v/>
      </c>
      <c r="BA102" s="177" t="str">
        <f>IF(A102&gt;0,SUM(MARKS!AI94,MARKS!BO94),"")</f>
        <v/>
      </c>
      <c r="BB102" s="178"/>
      <c r="BC102" s="177" t="str">
        <f t="shared" si="28"/>
        <v/>
      </c>
      <c r="BD102" s="177" t="str">
        <f t="shared" si="29"/>
        <v/>
      </c>
      <c r="BE102" s="177" t="str">
        <f t="shared" si="30"/>
        <v/>
      </c>
      <c r="BF102" s="47" t="str">
        <f t="shared" si="31"/>
        <v/>
      </c>
      <c r="BG102" s="70" t="str">
        <f t="shared" si="32"/>
        <v/>
      </c>
      <c r="BH102" s="177" t="str">
        <f t="shared" si="33"/>
        <v/>
      </c>
      <c r="BI102" s="47" t="str">
        <f>IF(A102&gt;0,FLN!I94,"")</f>
        <v/>
      </c>
      <c r="BJ102" s="47" t="str">
        <f>IF(A102&gt;0,FLN!J94,"")</f>
        <v/>
      </c>
      <c r="BK102" s="47" t="str">
        <f>IF(A102&gt;0,FLN!K94,"")</f>
        <v/>
      </c>
      <c r="BL102" s="47" t="str">
        <f t="shared" si="34"/>
        <v/>
      </c>
      <c r="BM102" s="130" t="str">
        <f>IF(BF102="","",IFERROR(RANK(BF102,$BF$12:$BF$111,0)+COUNTIFS($BF$12:BF102,BF102)-1,0))</f>
        <v/>
      </c>
      <c r="BN102" s="130" t="str">
        <f t="shared" si="35"/>
        <v/>
      </c>
    </row>
    <row r="103" s="98" customFormat="1" ht="27" customHeight="1" spans="1:66">
      <c r="A103" s="47">
        <f>IF(A102=0,0,IF(A102&lt;ENTRY!$D$24,A102+1,0))</f>
        <v>0</v>
      </c>
      <c r="B103" s="47" t="str">
        <f>IF(A103&gt;0,STUDENT!F93,"")</f>
        <v/>
      </c>
      <c r="C103" s="176" t="str">
        <f>IF(A103&gt;0,UPPER(STUDENT!E93),"")</f>
        <v/>
      </c>
      <c r="D103" s="176" t="str">
        <f>IF(A103&gt;0,UPPER(STUDENT!H93),"")</f>
        <v/>
      </c>
      <c r="E103" s="47" t="str">
        <f>IF(A103&gt;0,UPPER(STUDENT!BP93),"")</f>
        <v/>
      </c>
      <c r="F103" s="47" t="str">
        <f>IF(A103&gt;0,UPPER(STUDENT!BO93),"")</f>
        <v/>
      </c>
      <c r="G103" s="47" t="str">
        <f>IF(A103&gt;0,UPPER(STUDENT!Q93),"")</f>
        <v/>
      </c>
      <c r="H103" s="69" t="str">
        <f>IF(A103&gt;0,PASHEET!CI95/PASHEET!CJ95*100,"")</f>
        <v/>
      </c>
      <c r="I103" s="177" t="str">
        <f>IF(A103&gt;0,SUM(PASHEET!AL95,PASHEET!AT95),"")</f>
        <v/>
      </c>
      <c r="J103" s="177" t="str">
        <f>IF(A103&gt;0,SUM(MARKS!F95,MARKS!AL95),"")</f>
        <v/>
      </c>
      <c r="K103" s="177" t="str">
        <f>IF(A103&gt;0,SUM(MARKS!N95,MARKS!AT95),"")</f>
        <v/>
      </c>
      <c r="L103" s="177" t="str">
        <f>IF(A103&gt;0,SUM(MARKS!V95,MARKS!BB95),"")</f>
        <v/>
      </c>
      <c r="M103" s="177" t="str">
        <f>IF(A103&gt;0,SUM(MARKS!AD95,MARKS!BJ95),"")</f>
        <v/>
      </c>
      <c r="N103" s="178"/>
      <c r="O103" s="177" t="str">
        <f t="shared" si="18"/>
        <v/>
      </c>
      <c r="P103" s="177" t="str">
        <f t="shared" si="19"/>
        <v/>
      </c>
      <c r="Q103" s="177" t="str">
        <f>IF(A103&gt;0,SUM(PASHEET!AM95,PASHEET!AU95),"")</f>
        <v/>
      </c>
      <c r="R103" s="177" t="str">
        <f>IF(A103&gt;0,SUM(MARKS!G95,MARKS!AM95),"")</f>
        <v/>
      </c>
      <c r="S103" s="177" t="str">
        <f>IF(A103&gt;0,SUM(MARKS!O95,MARKS!AU95),"")</f>
        <v/>
      </c>
      <c r="T103" s="177" t="str">
        <f>IF(A103&gt;0,SUM(MARKS!W95,MARKS!BC95),"")</f>
        <v/>
      </c>
      <c r="U103" s="177" t="str">
        <f>IF(A103&gt;0,SUM(MARKS!AE95,MARKS!BK95),"")</f>
        <v/>
      </c>
      <c r="V103" s="178"/>
      <c r="W103" s="177" t="str">
        <f t="shared" si="20"/>
        <v/>
      </c>
      <c r="X103" s="177" t="str">
        <f t="shared" si="21"/>
        <v/>
      </c>
      <c r="Y103" s="177" t="str">
        <f>IF(A103&gt;0,SUM(PASHEET!AN95,PASHEET!AV95),"")</f>
        <v/>
      </c>
      <c r="Z103" s="177" t="str">
        <f>IF(A103&gt;0,SUM(MARKS!H95,MARKS!AN95),"")</f>
        <v/>
      </c>
      <c r="AA103" s="177" t="str">
        <f>IF(A103&gt;0,SUM(MARKS!P95,MARKS!AV95),"")</f>
        <v/>
      </c>
      <c r="AB103" s="177" t="str">
        <f>IF(A103&gt;0,SUM(MARKS!X95,MARKS!BD95),"")</f>
        <v/>
      </c>
      <c r="AC103" s="177" t="str">
        <f>IF(A103&gt;0,SUM(MARKS!AF95,MARKS!BL95),"")</f>
        <v/>
      </c>
      <c r="AD103" s="178"/>
      <c r="AE103" s="177" t="str">
        <f t="shared" si="22"/>
        <v/>
      </c>
      <c r="AF103" s="177" t="str">
        <f t="shared" si="23"/>
        <v/>
      </c>
      <c r="AG103" s="177" t="str">
        <f>IF(A103&gt;0,SUM(PASHEET!AO95,PASHEET!AW95),"")</f>
        <v/>
      </c>
      <c r="AH103" s="177" t="str">
        <f>IF(A103&gt;0,SUM(MARKS!I95,MARKS!AO95),"")</f>
        <v/>
      </c>
      <c r="AI103" s="177" t="str">
        <f>IF(A103&gt;0,SUM(MARKS!Q95,MARKS!AW95),"")</f>
        <v/>
      </c>
      <c r="AJ103" s="177" t="str">
        <f>IF(A103&gt;0,SUM(MARKS!Y95,MARKS!BE95),"")</f>
        <v/>
      </c>
      <c r="AK103" s="177" t="str">
        <f>IF(A103&gt;0,SUM(MARKS!AG95,MARKS!BM95),"")</f>
        <v/>
      </c>
      <c r="AL103" s="178"/>
      <c r="AM103" s="177" t="str">
        <f t="shared" si="24"/>
        <v/>
      </c>
      <c r="AN103" s="177" t="str">
        <f t="shared" si="25"/>
        <v/>
      </c>
      <c r="AO103" s="177" t="str">
        <f>IF(A103&gt;0,SUM(PASHEET!AP95,PASHEET!AX95),"")</f>
        <v/>
      </c>
      <c r="AP103" s="177" t="str">
        <f>IF(A103&gt;0,SUM(MARKS!J95,MARKS!AP95),"")</f>
        <v/>
      </c>
      <c r="AQ103" s="177" t="str">
        <f>IF(A103&gt;0,SUM(MARKS!R95,MARKS!AX95),"")</f>
        <v/>
      </c>
      <c r="AR103" s="177" t="str">
        <f>IF(A103&gt;0,SUM(MARKS!Z95,MARKS!BF95),"")</f>
        <v/>
      </c>
      <c r="AS103" s="177" t="str">
        <f>IF(A103&gt;0,SUM(MARKS!AH95,MARKS!BN95),"")</f>
        <v/>
      </c>
      <c r="AT103" s="178"/>
      <c r="AU103" s="177" t="str">
        <f t="shared" si="26"/>
        <v/>
      </c>
      <c r="AV103" s="177" t="str">
        <f t="shared" si="27"/>
        <v/>
      </c>
      <c r="AW103" s="177" t="str">
        <f>IF(A103&gt;0,SUM(PASHEET!AQ95,PASHEET!AY95),"")</f>
        <v/>
      </c>
      <c r="AX103" s="177" t="str">
        <f>IF(A103&gt;0,SUM(MARKS!K95,MARKS!AQ95),"")</f>
        <v/>
      </c>
      <c r="AY103" s="177" t="str">
        <f>IF(A103&gt;0,SUM(MARKS!S95,MARKS!AY95),"")</f>
        <v/>
      </c>
      <c r="AZ103" s="177" t="str">
        <f>IF(A103&gt;0,SUM(MARKS!AA95,MARKS!BG95),"")</f>
        <v/>
      </c>
      <c r="BA103" s="177" t="str">
        <f>IF(A103&gt;0,SUM(MARKS!AI95,MARKS!BO95),"")</f>
        <v/>
      </c>
      <c r="BB103" s="178"/>
      <c r="BC103" s="177" t="str">
        <f t="shared" si="28"/>
        <v/>
      </c>
      <c r="BD103" s="177" t="str">
        <f t="shared" si="29"/>
        <v/>
      </c>
      <c r="BE103" s="177" t="str">
        <f t="shared" si="30"/>
        <v/>
      </c>
      <c r="BF103" s="47" t="str">
        <f t="shared" si="31"/>
        <v/>
      </c>
      <c r="BG103" s="70" t="str">
        <f t="shared" si="32"/>
        <v/>
      </c>
      <c r="BH103" s="177" t="str">
        <f t="shared" si="33"/>
        <v/>
      </c>
      <c r="BI103" s="47" t="str">
        <f>IF(A103&gt;0,FLN!I95,"")</f>
        <v/>
      </c>
      <c r="BJ103" s="47" t="str">
        <f>IF(A103&gt;0,FLN!J95,"")</f>
        <v/>
      </c>
      <c r="BK103" s="47" t="str">
        <f>IF(A103&gt;0,FLN!K95,"")</f>
        <v/>
      </c>
      <c r="BL103" s="47" t="str">
        <f t="shared" si="34"/>
        <v/>
      </c>
      <c r="BM103" s="130" t="str">
        <f>IF(BF103="","",IFERROR(RANK(BF103,$BF$12:$BF$111,0)+COUNTIFS($BF$12:BF103,BF103)-1,0))</f>
        <v/>
      </c>
      <c r="BN103" s="130" t="str">
        <f t="shared" si="35"/>
        <v/>
      </c>
    </row>
    <row r="104" s="98" customFormat="1" ht="27" customHeight="1" spans="1:66">
      <c r="A104" s="47">
        <f>IF(A103=0,0,IF(A103&lt;ENTRY!$D$24,A103+1,0))</f>
        <v>0</v>
      </c>
      <c r="B104" s="47" t="str">
        <f>IF(A104&gt;0,STUDENT!F94,"")</f>
        <v/>
      </c>
      <c r="C104" s="176" t="str">
        <f>IF(A104&gt;0,UPPER(STUDENT!E94),"")</f>
        <v/>
      </c>
      <c r="D104" s="176" t="str">
        <f>IF(A104&gt;0,UPPER(STUDENT!H94),"")</f>
        <v/>
      </c>
      <c r="E104" s="47" t="str">
        <f>IF(A104&gt;0,UPPER(STUDENT!BP94),"")</f>
        <v/>
      </c>
      <c r="F104" s="47" t="str">
        <f>IF(A104&gt;0,UPPER(STUDENT!BO94),"")</f>
        <v/>
      </c>
      <c r="G104" s="47" t="str">
        <f>IF(A104&gt;0,UPPER(STUDENT!Q94),"")</f>
        <v/>
      </c>
      <c r="H104" s="69" t="str">
        <f>IF(A104&gt;0,PASHEET!CI96/PASHEET!CJ96*100,"")</f>
        <v/>
      </c>
      <c r="I104" s="177" t="str">
        <f>IF(A104&gt;0,SUM(PASHEET!AL96,PASHEET!AT96),"")</f>
        <v/>
      </c>
      <c r="J104" s="177" t="str">
        <f>IF(A104&gt;0,SUM(MARKS!F96,MARKS!AL96),"")</f>
        <v/>
      </c>
      <c r="K104" s="177" t="str">
        <f>IF(A104&gt;0,SUM(MARKS!N96,MARKS!AT96),"")</f>
        <v/>
      </c>
      <c r="L104" s="177" t="str">
        <f>IF(A104&gt;0,SUM(MARKS!V96,MARKS!BB96),"")</f>
        <v/>
      </c>
      <c r="M104" s="177" t="str">
        <f>IF(A104&gt;0,SUM(MARKS!AD96,MARKS!BJ96),"")</f>
        <v/>
      </c>
      <c r="N104" s="178"/>
      <c r="O104" s="177" t="str">
        <f t="shared" si="18"/>
        <v/>
      </c>
      <c r="P104" s="177" t="str">
        <f t="shared" si="19"/>
        <v/>
      </c>
      <c r="Q104" s="177" t="str">
        <f>IF(A104&gt;0,SUM(PASHEET!AM96,PASHEET!AU96),"")</f>
        <v/>
      </c>
      <c r="R104" s="177" t="str">
        <f>IF(A104&gt;0,SUM(MARKS!G96,MARKS!AM96),"")</f>
        <v/>
      </c>
      <c r="S104" s="177" t="str">
        <f>IF(A104&gt;0,SUM(MARKS!O96,MARKS!AU96),"")</f>
        <v/>
      </c>
      <c r="T104" s="177" t="str">
        <f>IF(A104&gt;0,SUM(MARKS!W96,MARKS!BC96),"")</f>
        <v/>
      </c>
      <c r="U104" s="177" t="str">
        <f>IF(A104&gt;0,SUM(MARKS!AE96,MARKS!BK96),"")</f>
        <v/>
      </c>
      <c r="V104" s="178"/>
      <c r="W104" s="177" t="str">
        <f t="shared" si="20"/>
        <v/>
      </c>
      <c r="X104" s="177" t="str">
        <f t="shared" si="21"/>
        <v/>
      </c>
      <c r="Y104" s="177" t="str">
        <f>IF(A104&gt;0,SUM(PASHEET!AN96,PASHEET!AV96),"")</f>
        <v/>
      </c>
      <c r="Z104" s="177" t="str">
        <f>IF(A104&gt;0,SUM(MARKS!H96,MARKS!AN96),"")</f>
        <v/>
      </c>
      <c r="AA104" s="177" t="str">
        <f>IF(A104&gt;0,SUM(MARKS!P96,MARKS!AV96),"")</f>
        <v/>
      </c>
      <c r="AB104" s="177" t="str">
        <f>IF(A104&gt;0,SUM(MARKS!X96,MARKS!BD96),"")</f>
        <v/>
      </c>
      <c r="AC104" s="177" t="str">
        <f>IF(A104&gt;0,SUM(MARKS!AF96,MARKS!BL96),"")</f>
        <v/>
      </c>
      <c r="AD104" s="178"/>
      <c r="AE104" s="177" t="str">
        <f t="shared" si="22"/>
        <v/>
      </c>
      <c r="AF104" s="177" t="str">
        <f t="shared" si="23"/>
        <v/>
      </c>
      <c r="AG104" s="177" t="str">
        <f>IF(A104&gt;0,SUM(PASHEET!AO96,PASHEET!AW96),"")</f>
        <v/>
      </c>
      <c r="AH104" s="177" t="str">
        <f>IF(A104&gt;0,SUM(MARKS!I96,MARKS!AO96),"")</f>
        <v/>
      </c>
      <c r="AI104" s="177" t="str">
        <f>IF(A104&gt;0,SUM(MARKS!Q96,MARKS!AW96),"")</f>
        <v/>
      </c>
      <c r="AJ104" s="177" t="str">
        <f>IF(A104&gt;0,SUM(MARKS!Y96,MARKS!BE96),"")</f>
        <v/>
      </c>
      <c r="AK104" s="177" t="str">
        <f>IF(A104&gt;0,SUM(MARKS!AG96,MARKS!BM96),"")</f>
        <v/>
      </c>
      <c r="AL104" s="178"/>
      <c r="AM104" s="177" t="str">
        <f t="shared" si="24"/>
        <v/>
      </c>
      <c r="AN104" s="177" t="str">
        <f t="shared" si="25"/>
        <v/>
      </c>
      <c r="AO104" s="177" t="str">
        <f>IF(A104&gt;0,SUM(PASHEET!AP96,PASHEET!AX96),"")</f>
        <v/>
      </c>
      <c r="AP104" s="177" t="str">
        <f>IF(A104&gt;0,SUM(MARKS!J96,MARKS!AP96),"")</f>
        <v/>
      </c>
      <c r="AQ104" s="177" t="str">
        <f>IF(A104&gt;0,SUM(MARKS!R96,MARKS!AX96),"")</f>
        <v/>
      </c>
      <c r="AR104" s="177" t="str">
        <f>IF(A104&gt;0,SUM(MARKS!Z96,MARKS!BF96),"")</f>
        <v/>
      </c>
      <c r="AS104" s="177" t="str">
        <f>IF(A104&gt;0,SUM(MARKS!AH96,MARKS!BN96),"")</f>
        <v/>
      </c>
      <c r="AT104" s="178"/>
      <c r="AU104" s="177" t="str">
        <f t="shared" si="26"/>
        <v/>
      </c>
      <c r="AV104" s="177" t="str">
        <f t="shared" si="27"/>
        <v/>
      </c>
      <c r="AW104" s="177" t="str">
        <f>IF(A104&gt;0,SUM(PASHEET!AQ96,PASHEET!AY96),"")</f>
        <v/>
      </c>
      <c r="AX104" s="177" t="str">
        <f>IF(A104&gt;0,SUM(MARKS!K96,MARKS!AQ96),"")</f>
        <v/>
      </c>
      <c r="AY104" s="177" t="str">
        <f>IF(A104&gt;0,SUM(MARKS!S96,MARKS!AY96),"")</f>
        <v/>
      </c>
      <c r="AZ104" s="177" t="str">
        <f>IF(A104&gt;0,SUM(MARKS!AA96,MARKS!BG96),"")</f>
        <v/>
      </c>
      <c r="BA104" s="177" t="str">
        <f>IF(A104&gt;0,SUM(MARKS!AI96,MARKS!BO96),"")</f>
        <v/>
      </c>
      <c r="BB104" s="178"/>
      <c r="BC104" s="177" t="str">
        <f t="shared" si="28"/>
        <v/>
      </c>
      <c r="BD104" s="177" t="str">
        <f t="shared" si="29"/>
        <v/>
      </c>
      <c r="BE104" s="177" t="str">
        <f t="shared" si="30"/>
        <v/>
      </c>
      <c r="BF104" s="47" t="str">
        <f t="shared" si="31"/>
        <v/>
      </c>
      <c r="BG104" s="70" t="str">
        <f t="shared" si="32"/>
        <v/>
      </c>
      <c r="BH104" s="177" t="str">
        <f t="shared" si="33"/>
        <v/>
      </c>
      <c r="BI104" s="47" t="str">
        <f>IF(A104&gt;0,FLN!I96,"")</f>
        <v/>
      </c>
      <c r="BJ104" s="47" t="str">
        <f>IF(A104&gt;0,FLN!J96,"")</f>
        <v/>
      </c>
      <c r="BK104" s="47" t="str">
        <f>IF(A104&gt;0,FLN!K96,"")</f>
        <v/>
      </c>
      <c r="BL104" s="47" t="str">
        <f t="shared" si="34"/>
        <v/>
      </c>
      <c r="BM104" s="130" t="str">
        <f>IF(BF104="","",IFERROR(RANK(BF104,$BF$12:$BF$111,0)+COUNTIFS($BF$12:BF104,BF104)-1,0))</f>
        <v/>
      </c>
      <c r="BN104" s="130" t="str">
        <f t="shared" si="35"/>
        <v/>
      </c>
    </row>
    <row r="105" s="98" customFormat="1" ht="27" customHeight="1" spans="1:66">
      <c r="A105" s="47">
        <f>IF(A104=0,0,IF(A104&lt;ENTRY!$D$24,A104+1,0))</f>
        <v>0</v>
      </c>
      <c r="B105" s="47" t="str">
        <f>IF(A105&gt;0,STUDENT!F95,"")</f>
        <v/>
      </c>
      <c r="C105" s="176" t="str">
        <f>IF(A105&gt;0,UPPER(STUDENT!E95),"")</f>
        <v/>
      </c>
      <c r="D105" s="176" t="str">
        <f>IF(A105&gt;0,UPPER(STUDENT!H95),"")</f>
        <v/>
      </c>
      <c r="E105" s="47" t="str">
        <f>IF(A105&gt;0,UPPER(STUDENT!BP95),"")</f>
        <v/>
      </c>
      <c r="F105" s="47" t="str">
        <f>IF(A105&gt;0,UPPER(STUDENT!BO95),"")</f>
        <v/>
      </c>
      <c r="G105" s="47" t="str">
        <f>IF(A105&gt;0,UPPER(STUDENT!Q95),"")</f>
        <v/>
      </c>
      <c r="H105" s="69" t="str">
        <f>IF(A105&gt;0,PASHEET!CI97/PASHEET!CJ97*100,"")</f>
        <v/>
      </c>
      <c r="I105" s="177" t="str">
        <f>IF(A105&gt;0,SUM(PASHEET!AL97,PASHEET!AT97),"")</f>
        <v/>
      </c>
      <c r="J105" s="177" t="str">
        <f>IF(A105&gt;0,SUM(MARKS!F97,MARKS!AL97),"")</f>
        <v/>
      </c>
      <c r="K105" s="177" t="str">
        <f>IF(A105&gt;0,SUM(MARKS!N97,MARKS!AT97),"")</f>
        <v/>
      </c>
      <c r="L105" s="177" t="str">
        <f>IF(A105&gt;0,SUM(MARKS!V97,MARKS!BB97),"")</f>
        <v/>
      </c>
      <c r="M105" s="177" t="str">
        <f>IF(A105&gt;0,SUM(MARKS!AD97,MARKS!BJ97),"")</f>
        <v/>
      </c>
      <c r="N105" s="178"/>
      <c r="O105" s="177" t="str">
        <f t="shared" si="18"/>
        <v/>
      </c>
      <c r="P105" s="177" t="str">
        <f t="shared" si="19"/>
        <v/>
      </c>
      <c r="Q105" s="177" t="str">
        <f>IF(A105&gt;0,SUM(PASHEET!AM97,PASHEET!AU97),"")</f>
        <v/>
      </c>
      <c r="R105" s="177" t="str">
        <f>IF(A105&gt;0,SUM(MARKS!G97,MARKS!AM97),"")</f>
        <v/>
      </c>
      <c r="S105" s="177" t="str">
        <f>IF(A105&gt;0,SUM(MARKS!O97,MARKS!AU97),"")</f>
        <v/>
      </c>
      <c r="T105" s="177" t="str">
        <f>IF(A105&gt;0,SUM(MARKS!W97,MARKS!BC97),"")</f>
        <v/>
      </c>
      <c r="U105" s="177" t="str">
        <f>IF(A105&gt;0,SUM(MARKS!AE97,MARKS!BK97),"")</f>
        <v/>
      </c>
      <c r="V105" s="178"/>
      <c r="W105" s="177" t="str">
        <f t="shared" si="20"/>
        <v/>
      </c>
      <c r="X105" s="177" t="str">
        <f t="shared" si="21"/>
        <v/>
      </c>
      <c r="Y105" s="177" t="str">
        <f>IF(A105&gt;0,SUM(PASHEET!AN97,PASHEET!AV97),"")</f>
        <v/>
      </c>
      <c r="Z105" s="177" t="str">
        <f>IF(A105&gt;0,SUM(MARKS!H97,MARKS!AN97),"")</f>
        <v/>
      </c>
      <c r="AA105" s="177" t="str">
        <f>IF(A105&gt;0,SUM(MARKS!P97,MARKS!AV97),"")</f>
        <v/>
      </c>
      <c r="AB105" s="177" t="str">
        <f>IF(A105&gt;0,SUM(MARKS!X97,MARKS!BD97),"")</f>
        <v/>
      </c>
      <c r="AC105" s="177" t="str">
        <f>IF(A105&gt;0,SUM(MARKS!AF97,MARKS!BL97),"")</f>
        <v/>
      </c>
      <c r="AD105" s="178"/>
      <c r="AE105" s="177" t="str">
        <f t="shared" si="22"/>
        <v/>
      </c>
      <c r="AF105" s="177" t="str">
        <f t="shared" si="23"/>
        <v/>
      </c>
      <c r="AG105" s="177" t="str">
        <f>IF(A105&gt;0,SUM(PASHEET!AO97,PASHEET!AW97),"")</f>
        <v/>
      </c>
      <c r="AH105" s="177" t="str">
        <f>IF(A105&gt;0,SUM(MARKS!I97,MARKS!AO97),"")</f>
        <v/>
      </c>
      <c r="AI105" s="177" t="str">
        <f>IF(A105&gt;0,SUM(MARKS!Q97,MARKS!AW97),"")</f>
        <v/>
      </c>
      <c r="AJ105" s="177" t="str">
        <f>IF(A105&gt;0,SUM(MARKS!Y97,MARKS!BE97),"")</f>
        <v/>
      </c>
      <c r="AK105" s="177" t="str">
        <f>IF(A105&gt;0,SUM(MARKS!AG97,MARKS!BM97),"")</f>
        <v/>
      </c>
      <c r="AL105" s="178"/>
      <c r="AM105" s="177" t="str">
        <f t="shared" si="24"/>
        <v/>
      </c>
      <c r="AN105" s="177" t="str">
        <f t="shared" si="25"/>
        <v/>
      </c>
      <c r="AO105" s="177" t="str">
        <f>IF(A105&gt;0,SUM(PASHEET!AP97,PASHEET!AX97),"")</f>
        <v/>
      </c>
      <c r="AP105" s="177" t="str">
        <f>IF(A105&gt;0,SUM(MARKS!J97,MARKS!AP97),"")</f>
        <v/>
      </c>
      <c r="AQ105" s="177" t="str">
        <f>IF(A105&gt;0,SUM(MARKS!R97,MARKS!AX97),"")</f>
        <v/>
      </c>
      <c r="AR105" s="177" t="str">
        <f>IF(A105&gt;0,SUM(MARKS!Z97,MARKS!BF97),"")</f>
        <v/>
      </c>
      <c r="AS105" s="177" t="str">
        <f>IF(A105&gt;0,SUM(MARKS!AH97,MARKS!BN97),"")</f>
        <v/>
      </c>
      <c r="AT105" s="178"/>
      <c r="AU105" s="177" t="str">
        <f t="shared" si="26"/>
        <v/>
      </c>
      <c r="AV105" s="177" t="str">
        <f t="shared" si="27"/>
        <v/>
      </c>
      <c r="AW105" s="177" t="str">
        <f>IF(A105&gt;0,SUM(PASHEET!AQ97,PASHEET!AY97),"")</f>
        <v/>
      </c>
      <c r="AX105" s="177" t="str">
        <f>IF(A105&gt;0,SUM(MARKS!K97,MARKS!AQ97),"")</f>
        <v/>
      </c>
      <c r="AY105" s="177" t="str">
        <f>IF(A105&gt;0,SUM(MARKS!S97,MARKS!AY97),"")</f>
        <v/>
      </c>
      <c r="AZ105" s="177" t="str">
        <f>IF(A105&gt;0,SUM(MARKS!AA97,MARKS!BG97),"")</f>
        <v/>
      </c>
      <c r="BA105" s="177" t="str">
        <f>IF(A105&gt;0,SUM(MARKS!AI97,MARKS!BO97),"")</f>
        <v/>
      </c>
      <c r="BB105" s="178"/>
      <c r="BC105" s="177" t="str">
        <f t="shared" si="28"/>
        <v/>
      </c>
      <c r="BD105" s="177" t="str">
        <f t="shared" si="29"/>
        <v/>
      </c>
      <c r="BE105" s="177" t="str">
        <f t="shared" si="30"/>
        <v/>
      </c>
      <c r="BF105" s="47" t="str">
        <f t="shared" si="31"/>
        <v/>
      </c>
      <c r="BG105" s="70" t="str">
        <f t="shared" si="32"/>
        <v/>
      </c>
      <c r="BH105" s="177" t="str">
        <f t="shared" si="33"/>
        <v/>
      </c>
      <c r="BI105" s="47" t="str">
        <f>IF(A105&gt;0,FLN!I97,"")</f>
        <v/>
      </c>
      <c r="BJ105" s="47" t="str">
        <f>IF(A105&gt;0,FLN!J97,"")</f>
        <v/>
      </c>
      <c r="BK105" s="47" t="str">
        <f>IF(A105&gt;0,FLN!K97,"")</f>
        <v/>
      </c>
      <c r="BL105" s="47" t="str">
        <f t="shared" si="34"/>
        <v/>
      </c>
      <c r="BM105" s="130" t="str">
        <f>IF(BF105="","",IFERROR(RANK(BF105,$BF$12:$BF$111,0)+COUNTIFS($BF$12:BF105,BF105)-1,0))</f>
        <v/>
      </c>
      <c r="BN105" s="130" t="str">
        <f t="shared" si="35"/>
        <v/>
      </c>
    </row>
    <row r="106" s="98" customFormat="1" ht="27" customHeight="1" spans="1:66">
      <c r="A106" s="47">
        <f>IF(A105=0,0,IF(A105&lt;ENTRY!$D$24,A105+1,0))</f>
        <v>0</v>
      </c>
      <c r="B106" s="47" t="str">
        <f>IF(A106&gt;0,STUDENT!F96,"")</f>
        <v/>
      </c>
      <c r="C106" s="176" t="str">
        <f>IF(A106&gt;0,UPPER(STUDENT!E96),"")</f>
        <v/>
      </c>
      <c r="D106" s="176" t="str">
        <f>IF(A106&gt;0,UPPER(STUDENT!H96),"")</f>
        <v/>
      </c>
      <c r="E106" s="47" t="str">
        <f>IF(A106&gt;0,UPPER(STUDENT!BP96),"")</f>
        <v/>
      </c>
      <c r="F106" s="47" t="str">
        <f>IF(A106&gt;0,UPPER(STUDENT!BO96),"")</f>
        <v/>
      </c>
      <c r="G106" s="47" t="str">
        <f>IF(A106&gt;0,UPPER(STUDENT!Q96),"")</f>
        <v/>
      </c>
      <c r="H106" s="69" t="str">
        <f>IF(A106&gt;0,PASHEET!CI98/PASHEET!CJ98*100,"")</f>
        <v/>
      </c>
      <c r="I106" s="177" t="str">
        <f>IF(A106&gt;0,SUM(PASHEET!AL98,PASHEET!AT98),"")</f>
        <v/>
      </c>
      <c r="J106" s="177" t="str">
        <f>IF(A106&gt;0,SUM(MARKS!F98,MARKS!AL98),"")</f>
        <v/>
      </c>
      <c r="K106" s="177" t="str">
        <f>IF(A106&gt;0,SUM(MARKS!N98,MARKS!AT98),"")</f>
        <v/>
      </c>
      <c r="L106" s="177" t="str">
        <f>IF(A106&gt;0,SUM(MARKS!V98,MARKS!BB98),"")</f>
        <v/>
      </c>
      <c r="M106" s="177" t="str">
        <f>IF(A106&gt;0,SUM(MARKS!AD98,MARKS!BJ98),"")</f>
        <v/>
      </c>
      <c r="N106" s="178"/>
      <c r="O106" s="177" t="str">
        <f t="shared" si="18"/>
        <v/>
      </c>
      <c r="P106" s="177" t="str">
        <f t="shared" si="19"/>
        <v/>
      </c>
      <c r="Q106" s="177" t="str">
        <f>IF(A106&gt;0,SUM(PASHEET!AM98,PASHEET!AU98),"")</f>
        <v/>
      </c>
      <c r="R106" s="177" t="str">
        <f>IF(A106&gt;0,SUM(MARKS!G98,MARKS!AM98),"")</f>
        <v/>
      </c>
      <c r="S106" s="177" t="str">
        <f>IF(A106&gt;0,SUM(MARKS!O98,MARKS!AU98),"")</f>
        <v/>
      </c>
      <c r="T106" s="177" t="str">
        <f>IF(A106&gt;0,SUM(MARKS!W98,MARKS!BC98),"")</f>
        <v/>
      </c>
      <c r="U106" s="177" t="str">
        <f>IF(A106&gt;0,SUM(MARKS!AE98,MARKS!BK98),"")</f>
        <v/>
      </c>
      <c r="V106" s="178"/>
      <c r="W106" s="177" t="str">
        <f t="shared" si="20"/>
        <v/>
      </c>
      <c r="X106" s="177" t="str">
        <f t="shared" si="21"/>
        <v/>
      </c>
      <c r="Y106" s="177" t="str">
        <f>IF(A106&gt;0,SUM(PASHEET!AN98,PASHEET!AV98),"")</f>
        <v/>
      </c>
      <c r="Z106" s="177" t="str">
        <f>IF(A106&gt;0,SUM(MARKS!H98,MARKS!AN98),"")</f>
        <v/>
      </c>
      <c r="AA106" s="177" t="str">
        <f>IF(A106&gt;0,SUM(MARKS!P98,MARKS!AV98),"")</f>
        <v/>
      </c>
      <c r="AB106" s="177" t="str">
        <f>IF(A106&gt;0,SUM(MARKS!X98,MARKS!BD98),"")</f>
        <v/>
      </c>
      <c r="AC106" s="177" t="str">
        <f>IF(A106&gt;0,SUM(MARKS!AF98,MARKS!BL98),"")</f>
        <v/>
      </c>
      <c r="AD106" s="178"/>
      <c r="AE106" s="177" t="str">
        <f t="shared" si="22"/>
        <v/>
      </c>
      <c r="AF106" s="177" t="str">
        <f t="shared" si="23"/>
        <v/>
      </c>
      <c r="AG106" s="177" t="str">
        <f>IF(A106&gt;0,SUM(PASHEET!AO98,PASHEET!AW98),"")</f>
        <v/>
      </c>
      <c r="AH106" s="177" t="str">
        <f>IF(A106&gt;0,SUM(MARKS!I98,MARKS!AO98),"")</f>
        <v/>
      </c>
      <c r="AI106" s="177" t="str">
        <f>IF(A106&gt;0,SUM(MARKS!Q98,MARKS!AW98),"")</f>
        <v/>
      </c>
      <c r="AJ106" s="177" t="str">
        <f>IF(A106&gt;0,SUM(MARKS!Y98,MARKS!BE98),"")</f>
        <v/>
      </c>
      <c r="AK106" s="177" t="str">
        <f>IF(A106&gt;0,SUM(MARKS!AG98,MARKS!BM98),"")</f>
        <v/>
      </c>
      <c r="AL106" s="178"/>
      <c r="AM106" s="177" t="str">
        <f t="shared" si="24"/>
        <v/>
      </c>
      <c r="AN106" s="177" t="str">
        <f t="shared" si="25"/>
        <v/>
      </c>
      <c r="AO106" s="177" t="str">
        <f>IF(A106&gt;0,SUM(PASHEET!AP98,PASHEET!AX98),"")</f>
        <v/>
      </c>
      <c r="AP106" s="177" t="str">
        <f>IF(A106&gt;0,SUM(MARKS!J98,MARKS!AP98),"")</f>
        <v/>
      </c>
      <c r="AQ106" s="177" t="str">
        <f>IF(A106&gt;0,SUM(MARKS!R98,MARKS!AX98),"")</f>
        <v/>
      </c>
      <c r="AR106" s="177" t="str">
        <f>IF(A106&gt;0,SUM(MARKS!Z98,MARKS!BF98),"")</f>
        <v/>
      </c>
      <c r="AS106" s="177" t="str">
        <f>IF(A106&gt;0,SUM(MARKS!AH98,MARKS!BN98),"")</f>
        <v/>
      </c>
      <c r="AT106" s="178"/>
      <c r="AU106" s="177" t="str">
        <f t="shared" si="26"/>
        <v/>
      </c>
      <c r="AV106" s="177" t="str">
        <f t="shared" si="27"/>
        <v/>
      </c>
      <c r="AW106" s="177" t="str">
        <f>IF(A106&gt;0,SUM(PASHEET!AQ98,PASHEET!AY98),"")</f>
        <v/>
      </c>
      <c r="AX106" s="177" t="str">
        <f>IF(A106&gt;0,SUM(MARKS!K98,MARKS!AQ98),"")</f>
        <v/>
      </c>
      <c r="AY106" s="177" t="str">
        <f>IF(A106&gt;0,SUM(MARKS!S98,MARKS!AY98),"")</f>
        <v/>
      </c>
      <c r="AZ106" s="177" t="str">
        <f>IF(A106&gt;0,SUM(MARKS!AA98,MARKS!BG98),"")</f>
        <v/>
      </c>
      <c r="BA106" s="177" t="str">
        <f>IF(A106&gt;0,SUM(MARKS!AI98,MARKS!BO98),"")</f>
        <v/>
      </c>
      <c r="BB106" s="178"/>
      <c r="BC106" s="177" t="str">
        <f t="shared" si="28"/>
        <v/>
      </c>
      <c r="BD106" s="177" t="str">
        <f t="shared" si="29"/>
        <v/>
      </c>
      <c r="BE106" s="177" t="str">
        <f t="shared" si="30"/>
        <v/>
      </c>
      <c r="BF106" s="47" t="str">
        <f t="shared" si="31"/>
        <v/>
      </c>
      <c r="BG106" s="70" t="str">
        <f t="shared" si="32"/>
        <v/>
      </c>
      <c r="BH106" s="177" t="str">
        <f t="shared" si="33"/>
        <v/>
      </c>
      <c r="BI106" s="47" t="str">
        <f>IF(A106&gt;0,FLN!I98,"")</f>
        <v/>
      </c>
      <c r="BJ106" s="47" t="str">
        <f>IF(A106&gt;0,FLN!J98,"")</f>
        <v/>
      </c>
      <c r="BK106" s="47" t="str">
        <f>IF(A106&gt;0,FLN!K98,"")</f>
        <v/>
      </c>
      <c r="BL106" s="47" t="str">
        <f t="shared" si="34"/>
        <v/>
      </c>
      <c r="BM106" s="130" t="str">
        <f>IF(BF106="","",IFERROR(RANK(BF106,$BF$12:$BF$111,0)+COUNTIFS($BF$12:BF106,BF106)-1,0))</f>
        <v/>
      </c>
      <c r="BN106" s="130" t="str">
        <f t="shared" si="35"/>
        <v/>
      </c>
    </row>
    <row r="107" s="98" customFormat="1" ht="27" customHeight="1" spans="1:66">
      <c r="A107" s="47">
        <f>IF(A106=0,0,IF(A106&lt;ENTRY!$D$24,A106+1,0))</f>
        <v>0</v>
      </c>
      <c r="B107" s="47" t="str">
        <f>IF(A107&gt;0,STUDENT!F97,"")</f>
        <v/>
      </c>
      <c r="C107" s="176" t="str">
        <f>IF(A107&gt;0,UPPER(STUDENT!E97),"")</f>
        <v/>
      </c>
      <c r="D107" s="176" t="str">
        <f>IF(A107&gt;0,UPPER(STUDENT!H97),"")</f>
        <v/>
      </c>
      <c r="E107" s="47" t="str">
        <f>IF(A107&gt;0,UPPER(STUDENT!BP97),"")</f>
        <v/>
      </c>
      <c r="F107" s="47" t="str">
        <f>IF(A107&gt;0,UPPER(STUDENT!BO97),"")</f>
        <v/>
      </c>
      <c r="G107" s="47" t="str">
        <f>IF(A107&gt;0,UPPER(STUDENT!Q97),"")</f>
        <v/>
      </c>
      <c r="H107" s="69" t="str">
        <f>IF(A107&gt;0,PASHEET!CI99/PASHEET!CJ99*100,"")</f>
        <v/>
      </c>
      <c r="I107" s="177" t="str">
        <f>IF(A107&gt;0,SUM(PASHEET!AL99,PASHEET!AT99),"")</f>
        <v/>
      </c>
      <c r="J107" s="177" t="str">
        <f>IF(A107&gt;0,SUM(MARKS!F99,MARKS!AL99),"")</f>
        <v/>
      </c>
      <c r="K107" s="177" t="str">
        <f>IF(A107&gt;0,SUM(MARKS!N99,MARKS!AT99),"")</f>
        <v/>
      </c>
      <c r="L107" s="177" t="str">
        <f>IF(A107&gt;0,SUM(MARKS!V99,MARKS!BB99),"")</f>
        <v/>
      </c>
      <c r="M107" s="177" t="str">
        <f>IF(A107&gt;0,SUM(MARKS!AD99,MARKS!BJ99),"")</f>
        <v/>
      </c>
      <c r="N107" s="178"/>
      <c r="O107" s="177" t="str">
        <f t="shared" si="18"/>
        <v/>
      </c>
      <c r="P107" s="177" t="str">
        <f t="shared" si="19"/>
        <v/>
      </c>
      <c r="Q107" s="177" t="str">
        <f>IF(A107&gt;0,SUM(PASHEET!AM99,PASHEET!AU99),"")</f>
        <v/>
      </c>
      <c r="R107" s="177" t="str">
        <f>IF(A107&gt;0,SUM(MARKS!G99,MARKS!AM99),"")</f>
        <v/>
      </c>
      <c r="S107" s="177" t="str">
        <f>IF(A107&gt;0,SUM(MARKS!O99,MARKS!AU99),"")</f>
        <v/>
      </c>
      <c r="T107" s="177" t="str">
        <f>IF(A107&gt;0,SUM(MARKS!W99,MARKS!BC99),"")</f>
        <v/>
      </c>
      <c r="U107" s="177" t="str">
        <f>IF(A107&gt;0,SUM(MARKS!AE99,MARKS!BK99),"")</f>
        <v/>
      </c>
      <c r="V107" s="178"/>
      <c r="W107" s="177" t="str">
        <f t="shared" si="20"/>
        <v/>
      </c>
      <c r="X107" s="177" t="str">
        <f t="shared" si="21"/>
        <v/>
      </c>
      <c r="Y107" s="177" t="str">
        <f>IF(A107&gt;0,SUM(PASHEET!AN99,PASHEET!AV99),"")</f>
        <v/>
      </c>
      <c r="Z107" s="177" t="str">
        <f>IF(A107&gt;0,SUM(MARKS!H99,MARKS!AN99),"")</f>
        <v/>
      </c>
      <c r="AA107" s="177" t="str">
        <f>IF(A107&gt;0,SUM(MARKS!P99,MARKS!AV99),"")</f>
        <v/>
      </c>
      <c r="AB107" s="177" t="str">
        <f>IF(A107&gt;0,SUM(MARKS!X99,MARKS!BD99),"")</f>
        <v/>
      </c>
      <c r="AC107" s="177" t="str">
        <f>IF(A107&gt;0,SUM(MARKS!AF99,MARKS!BL99),"")</f>
        <v/>
      </c>
      <c r="AD107" s="178"/>
      <c r="AE107" s="177" t="str">
        <f t="shared" si="22"/>
        <v/>
      </c>
      <c r="AF107" s="177" t="str">
        <f t="shared" si="23"/>
        <v/>
      </c>
      <c r="AG107" s="177" t="str">
        <f>IF(A107&gt;0,SUM(PASHEET!AO99,PASHEET!AW99),"")</f>
        <v/>
      </c>
      <c r="AH107" s="177" t="str">
        <f>IF(A107&gt;0,SUM(MARKS!I99,MARKS!AO99),"")</f>
        <v/>
      </c>
      <c r="AI107" s="177" t="str">
        <f>IF(A107&gt;0,SUM(MARKS!Q99,MARKS!AW99),"")</f>
        <v/>
      </c>
      <c r="AJ107" s="177" t="str">
        <f>IF(A107&gt;0,SUM(MARKS!Y99,MARKS!BE99),"")</f>
        <v/>
      </c>
      <c r="AK107" s="177" t="str">
        <f>IF(A107&gt;0,SUM(MARKS!AG99,MARKS!BM99),"")</f>
        <v/>
      </c>
      <c r="AL107" s="178"/>
      <c r="AM107" s="177" t="str">
        <f t="shared" si="24"/>
        <v/>
      </c>
      <c r="AN107" s="177" t="str">
        <f t="shared" si="25"/>
        <v/>
      </c>
      <c r="AO107" s="177" t="str">
        <f>IF(A107&gt;0,SUM(PASHEET!AP99,PASHEET!AX99),"")</f>
        <v/>
      </c>
      <c r="AP107" s="177" t="str">
        <f>IF(A107&gt;0,SUM(MARKS!J99,MARKS!AP99),"")</f>
        <v/>
      </c>
      <c r="AQ107" s="177" t="str">
        <f>IF(A107&gt;0,SUM(MARKS!R99,MARKS!AX99),"")</f>
        <v/>
      </c>
      <c r="AR107" s="177" t="str">
        <f>IF(A107&gt;0,SUM(MARKS!Z99,MARKS!BF99),"")</f>
        <v/>
      </c>
      <c r="AS107" s="177" t="str">
        <f>IF(A107&gt;0,SUM(MARKS!AH99,MARKS!BN99),"")</f>
        <v/>
      </c>
      <c r="AT107" s="178"/>
      <c r="AU107" s="177" t="str">
        <f t="shared" si="26"/>
        <v/>
      </c>
      <c r="AV107" s="177" t="str">
        <f t="shared" si="27"/>
        <v/>
      </c>
      <c r="AW107" s="177" t="str">
        <f>IF(A107&gt;0,SUM(PASHEET!AQ99,PASHEET!AY99),"")</f>
        <v/>
      </c>
      <c r="AX107" s="177" t="str">
        <f>IF(A107&gt;0,SUM(MARKS!K99,MARKS!AQ99),"")</f>
        <v/>
      </c>
      <c r="AY107" s="177" t="str">
        <f>IF(A107&gt;0,SUM(MARKS!S99,MARKS!AY99),"")</f>
        <v/>
      </c>
      <c r="AZ107" s="177" t="str">
        <f>IF(A107&gt;0,SUM(MARKS!AA99,MARKS!BG99),"")</f>
        <v/>
      </c>
      <c r="BA107" s="177" t="str">
        <f>IF(A107&gt;0,SUM(MARKS!AI99,MARKS!BO99),"")</f>
        <v/>
      </c>
      <c r="BB107" s="178"/>
      <c r="BC107" s="177" t="str">
        <f t="shared" si="28"/>
        <v/>
      </c>
      <c r="BD107" s="177" t="str">
        <f t="shared" si="29"/>
        <v/>
      </c>
      <c r="BE107" s="177" t="str">
        <f t="shared" si="30"/>
        <v/>
      </c>
      <c r="BF107" s="47" t="str">
        <f t="shared" si="31"/>
        <v/>
      </c>
      <c r="BG107" s="70" t="str">
        <f t="shared" si="32"/>
        <v/>
      </c>
      <c r="BH107" s="177" t="str">
        <f t="shared" si="33"/>
        <v/>
      </c>
      <c r="BI107" s="47" t="str">
        <f>IF(A107&gt;0,FLN!I99,"")</f>
        <v/>
      </c>
      <c r="BJ107" s="47" t="str">
        <f>IF(A107&gt;0,FLN!J99,"")</f>
        <v/>
      </c>
      <c r="BK107" s="47" t="str">
        <f>IF(A107&gt;0,FLN!K99,"")</f>
        <v/>
      </c>
      <c r="BL107" s="47" t="str">
        <f t="shared" si="34"/>
        <v/>
      </c>
      <c r="BM107" s="130" t="str">
        <f>IF(BF107="","",IFERROR(RANK(BF107,$BF$12:$BF$111,0)+COUNTIFS($BF$12:BF107,BF107)-1,0))</f>
        <v/>
      </c>
      <c r="BN107" s="130" t="str">
        <f t="shared" si="35"/>
        <v/>
      </c>
    </row>
    <row r="108" s="98" customFormat="1" ht="27" customHeight="1" spans="1:66">
      <c r="A108" s="47">
        <f>IF(A107=0,0,IF(A107&lt;ENTRY!$D$24,A107+1,0))</f>
        <v>0</v>
      </c>
      <c r="B108" s="47" t="str">
        <f>IF(A108&gt;0,STUDENT!F98,"")</f>
        <v/>
      </c>
      <c r="C108" s="176" t="str">
        <f>IF(A108&gt;0,UPPER(STUDENT!E98),"")</f>
        <v/>
      </c>
      <c r="D108" s="176" t="str">
        <f>IF(A108&gt;0,UPPER(STUDENT!H98),"")</f>
        <v/>
      </c>
      <c r="E108" s="47" t="str">
        <f>IF(A108&gt;0,UPPER(STUDENT!BP98),"")</f>
        <v/>
      </c>
      <c r="F108" s="47" t="str">
        <f>IF(A108&gt;0,UPPER(STUDENT!BO98),"")</f>
        <v/>
      </c>
      <c r="G108" s="47" t="str">
        <f>IF(A108&gt;0,UPPER(STUDENT!Q98),"")</f>
        <v/>
      </c>
      <c r="H108" s="69" t="str">
        <f>IF(A108&gt;0,PASHEET!CI100/PASHEET!CJ100*100,"")</f>
        <v/>
      </c>
      <c r="I108" s="177" t="str">
        <f>IF(A108&gt;0,SUM(PASHEET!AL100,PASHEET!AT100),"")</f>
        <v/>
      </c>
      <c r="J108" s="177" t="str">
        <f>IF(A108&gt;0,SUM(MARKS!F100,MARKS!AL100),"")</f>
        <v/>
      </c>
      <c r="K108" s="177" t="str">
        <f>IF(A108&gt;0,SUM(MARKS!N100,MARKS!AT100),"")</f>
        <v/>
      </c>
      <c r="L108" s="177" t="str">
        <f>IF(A108&gt;0,SUM(MARKS!V100,MARKS!BB100),"")</f>
        <v/>
      </c>
      <c r="M108" s="177" t="str">
        <f>IF(A108&gt;0,SUM(MARKS!AD100,MARKS!BJ100),"")</f>
        <v/>
      </c>
      <c r="N108" s="178"/>
      <c r="O108" s="177" t="str">
        <f t="shared" si="18"/>
        <v/>
      </c>
      <c r="P108" s="177" t="str">
        <f t="shared" si="19"/>
        <v/>
      </c>
      <c r="Q108" s="177" t="str">
        <f>IF(A108&gt;0,SUM(PASHEET!AM100,PASHEET!AU100),"")</f>
        <v/>
      </c>
      <c r="R108" s="177" t="str">
        <f>IF(A108&gt;0,SUM(MARKS!G100,MARKS!AM100),"")</f>
        <v/>
      </c>
      <c r="S108" s="177" t="str">
        <f>IF(A108&gt;0,SUM(MARKS!O100,MARKS!AU100),"")</f>
        <v/>
      </c>
      <c r="T108" s="177" t="str">
        <f>IF(A108&gt;0,SUM(MARKS!W100,MARKS!BC100),"")</f>
        <v/>
      </c>
      <c r="U108" s="177" t="str">
        <f>IF(A108&gt;0,SUM(MARKS!AE100,MARKS!BK100),"")</f>
        <v/>
      </c>
      <c r="V108" s="178"/>
      <c r="W108" s="177" t="str">
        <f t="shared" si="20"/>
        <v/>
      </c>
      <c r="X108" s="177" t="str">
        <f t="shared" si="21"/>
        <v/>
      </c>
      <c r="Y108" s="177" t="str">
        <f>IF(A108&gt;0,SUM(PASHEET!AN100,PASHEET!AV100),"")</f>
        <v/>
      </c>
      <c r="Z108" s="177" t="str">
        <f>IF(A108&gt;0,SUM(MARKS!H100,MARKS!AN100),"")</f>
        <v/>
      </c>
      <c r="AA108" s="177" t="str">
        <f>IF(A108&gt;0,SUM(MARKS!P100,MARKS!AV100),"")</f>
        <v/>
      </c>
      <c r="AB108" s="177" t="str">
        <f>IF(A108&gt;0,SUM(MARKS!X100,MARKS!BD100),"")</f>
        <v/>
      </c>
      <c r="AC108" s="177" t="str">
        <f>IF(A108&gt;0,SUM(MARKS!AF100,MARKS!BL100),"")</f>
        <v/>
      </c>
      <c r="AD108" s="178"/>
      <c r="AE108" s="177" t="str">
        <f t="shared" si="22"/>
        <v/>
      </c>
      <c r="AF108" s="177" t="str">
        <f t="shared" si="23"/>
        <v/>
      </c>
      <c r="AG108" s="177" t="str">
        <f>IF(A108&gt;0,SUM(PASHEET!AO100,PASHEET!AW100),"")</f>
        <v/>
      </c>
      <c r="AH108" s="177" t="str">
        <f>IF(A108&gt;0,SUM(MARKS!I100,MARKS!AO100),"")</f>
        <v/>
      </c>
      <c r="AI108" s="177" t="str">
        <f>IF(A108&gt;0,SUM(MARKS!Q100,MARKS!AW100),"")</f>
        <v/>
      </c>
      <c r="AJ108" s="177" t="str">
        <f>IF(A108&gt;0,SUM(MARKS!Y100,MARKS!BE100),"")</f>
        <v/>
      </c>
      <c r="AK108" s="177" t="str">
        <f>IF(A108&gt;0,SUM(MARKS!AG100,MARKS!BM100),"")</f>
        <v/>
      </c>
      <c r="AL108" s="178"/>
      <c r="AM108" s="177" t="str">
        <f t="shared" si="24"/>
        <v/>
      </c>
      <c r="AN108" s="177" t="str">
        <f t="shared" si="25"/>
        <v/>
      </c>
      <c r="AO108" s="177" t="str">
        <f>IF(A108&gt;0,SUM(PASHEET!AP100,PASHEET!AX100),"")</f>
        <v/>
      </c>
      <c r="AP108" s="177" t="str">
        <f>IF(A108&gt;0,SUM(MARKS!J100,MARKS!AP100),"")</f>
        <v/>
      </c>
      <c r="AQ108" s="177" t="str">
        <f>IF(A108&gt;0,SUM(MARKS!R100,MARKS!AX100),"")</f>
        <v/>
      </c>
      <c r="AR108" s="177" t="str">
        <f>IF(A108&gt;0,SUM(MARKS!Z100,MARKS!BF100),"")</f>
        <v/>
      </c>
      <c r="AS108" s="177" t="str">
        <f>IF(A108&gt;0,SUM(MARKS!AH100,MARKS!BN100),"")</f>
        <v/>
      </c>
      <c r="AT108" s="178"/>
      <c r="AU108" s="177" t="str">
        <f t="shared" si="26"/>
        <v/>
      </c>
      <c r="AV108" s="177" t="str">
        <f t="shared" si="27"/>
        <v/>
      </c>
      <c r="AW108" s="177" t="str">
        <f>IF(A108&gt;0,SUM(PASHEET!AQ100,PASHEET!AY100),"")</f>
        <v/>
      </c>
      <c r="AX108" s="177" t="str">
        <f>IF(A108&gt;0,SUM(MARKS!K100,MARKS!AQ100),"")</f>
        <v/>
      </c>
      <c r="AY108" s="177" t="str">
        <f>IF(A108&gt;0,SUM(MARKS!S100,MARKS!AY100),"")</f>
        <v/>
      </c>
      <c r="AZ108" s="177" t="str">
        <f>IF(A108&gt;0,SUM(MARKS!AA100,MARKS!BG100),"")</f>
        <v/>
      </c>
      <c r="BA108" s="177" t="str">
        <f>IF(A108&gt;0,SUM(MARKS!AI100,MARKS!BO100),"")</f>
        <v/>
      </c>
      <c r="BB108" s="178"/>
      <c r="BC108" s="177" t="str">
        <f t="shared" si="28"/>
        <v/>
      </c>
      <c r="BD108" s="177" t="str">
        <f t="shared" si="29"/>
        <v/>
      </c>
      <c r="BE108" s="177" t="str">
        <f t="shared" si="30"/>
        <v/>
      </c>
      <c r="BF108" s="47" t="str">
        <f t="shared" si="31"/>
        <v/>
      </c>
      <c r="BG108" s="70" t="str">
        <f t="shared" si="32"/>
        <v/>
      </c>
      <c r="BH108" s="177" t="str">
        <f t="shared" si="33"/>
        <v/>
      </c>
      <c r="BI108" s="47" t="str">
        <f>IF(A108&gt;0,FLN!I100,"")</f>
        <v/>
      </c>
      <c r="BJ108" s="47" t="str">
        <f>IF(A108&gt;0,FLN!J100,"")</f>
        <v/>
      </c>
      <c r="BK108" s="47" t="str">
        <f>IF(A108&gt;0,FLN!K100,"")</f>
        <v/>
      </c>
      <c r="BL108" s="47" t="str">
        <f t="shared" si="34"/>
        <v/>
      </c>
      <c r="BM108" s="130" t="str">
        <f>IF(BF108="","",IFERROR(RANK(BF108,$BF$12:$BF$111,0)+COUNTIFS($BF$12:BF108,BF108)-1,0))</f>
        <v/>
      </c>
      <c r="BN108" s="130" t="str">
        <f t="shared" si="35"/>
        <v/>
      </c>
    </row>
    <row r="109" s="98" customFormat="1" ht="27" customHeight="1" spans="1:66">
      <c r="A109" s="47">
        <f>IF(A108=0,0,IF(A108&lt;ENTRY!$D$24,A108+1,0))</f>
        <v>0</v>
      </c>
      <c r="B109" s="47" t="str">
        <f>IF(A109&gt;0,STUDENT!F99,"")</f>
        <v/>
      </c>
      <c r="C109" s="176" t="str">
        <f>IF(A109&gt;0,UPPER(STUDENT!E99),"")</f>
        <v/>
      </c>
      <c r="D109" s="176" t="str">
        <f>IF(A109&gt;0,UPPER(STUDENT!H99),"")</f>
        <v/>
      </c>
      <c r="E109" s="47" t="str">
        <f>IF(A109&gt;0,UPPER(STUDENT!BP99),"")</f>
        <v/>
      </c>
      <c r="F109" s="47" t="str">
        <f>IF(A109&gt;0,UPPER(STUDENT!BO99),"")</f>
        <v/>
      </c>
      <c r="G109" s="47" t="str">
        <f>IF(A109&gt;0,UPPER(STUDENT!Q99),"")</f>
        <v/>
      </c>
      <c r="H109" s="69" t="str">
        <f>IF(A109&gt;0,PASHEET!CI101/PASHEET!CJ101*100,"")</f>
        <v/>
      </c>
      <c r="I109" s="177" t="str">
        <f>IF(A109&gt;0,SUM(PASHEET!AL101,PASHEET!AT101),"")</f>
        <v/>
      </c>
      <c r="J109" s="177" t="str">
        <f>IF(A109&gt;0,SUM(MARKS!F101,MARKS!AL101),"")</f>
        <v/>
      </c>
      <c r="K109" s="177" t="str">
        <f>IF(A109&gt;0,SUM(MARKS!N101,MARKS!AT101),"")</f>
        <v/>
      </c>
      <c r="L109" s="177" t="str">
        <f>IF(A109&gt;0,SUM(MARKS!V101,MARKS!BB101),"")</f>
        <v/>
      </c>
      <c r="M109" s="177" t="str">
        <f>IF(A109&gt;0,SUM(MARKS!AD101,MARKS!BJ101),"")</f>
        <v/>
      </c>
      <c r="N109" s="178"/>
      <c r="O109" s="177" t="str">
        <f t="shared" si="18"/>
        <v/>
      </c>
      <c r="P109" s="177" t="str">
        <f t="shared" si="19"/>
        <v/>
      </c>
      <c r="Q109" s="177" t="str">
        <f>IF(A109&gt;0,SUM(PASHEET!AM101,PASHEET!AU101),"")</f>
        <v/>
      </c>
      <c r="R109" s="177" t="str">
        <f>IF(A109&gt;0,SUM(MARKS!G101,MARKS!AM101),"")</f>
        <v/>
      </c>
      <c r="S109" s="177" t="str">
        <f>IF(A109&gt;0,SUM(MARKS!O101,MARKS!AU101),"")</f>
        <v/>
      </c>
      <c r="T109" s="177" t="str">
        <f>IF(A109&gt;0,SUM(MARKS!W101,MARKS!BC101),"")</f>
        <v/>
      </c>
      <c r="U109" s="177" t="str">
        <f>IF(A109&gt;0,SUM(MARKS!AE101,MARKS!BK101),"")</f>
        <v/>
      </c>
      <c r="V109" s="178"/>
      <c r="W109" s="177" t="str">
        <f t="shared" si="20"/>
        <v/>
      </c>
      <c r="X109" s="177" t="str">
        <f t="shared" si="21"/>
        <v/>
      </c>
      <c r="Y109" s="177" t="str">
        <f>IF(A109&gt;0,SUM(PASHEET!AN101,PASHEET!AV101),"")</f>
        <v/>
      </c>
      <c r="Z109" s="177" t="str">
        <f>IF(A109&gt;0,SUM(MARKS!H101,MARKS!AN101),"")</f>
        <v/>
      </c>
      <c r="AA109" s="177" t="str">
        <f>IF(A109&gt;0,SUM(MARKS!P101,MARKS!AV101),"")</f>
        <v/>
      </c>
      <c r="AB109" s="177" t="str">
        <f>IF(A109&gt;0,SUM(MARKS!X101,MARKS!BD101),"")</f>
        <v/>
      </c>
      <c r="AC109" s="177" t="str">
        <f>IF(A109&gt;0,SUM(MARKS!AF101,MARKS!BL101),"")</f>
        <v/>
      </c>
      <c r="AD109" s="178"/>
      <c r="AE109" s="177" t="str">
        <f t="shared" si="22"/>
        <v/>
      </c>
      <c r="AF109" s="177" t="str">
        <f t="shared" si="23"/>
        <v/>
      </c>
      <c r="AG109" s="177" t="str">
        <f>IF(A109&gt;0,SUM(PASHEET!AO101,PASHEET!AW101),"")</f>
        <v/>
      </c>
      <c r="AH109" s="177" t="str">
        <f>IF(A109&gt;0,SUM(MARKS!I101,MARKS!AO101),"")</f>
        <v/>
      </c>
      <c r="AI109" s="177" t="str">
        <f>IF(A109&gt;0,SUM(MARKS!Q101,MARKS!AW101),"")</f>
        <v/>
      </c>
      <c r="AJ109" s="177" t="str">
        <f>IF(A109&gt;0,SUM(MARKS!Y101,MARKS!BE101),"")</f>
        <v/>
      </c>
      <c r="AK109" s="177" t="str">
        <f>IF(A109&gt;0,SUM(MARKS!AG101,MARKS!BM101),"")</f>
        <v/>
      </c>
      <c r="AL109" s="178"/>
      <c r="AM109" s="177" t="str">
        <f t="shared" si="24"/>
        <v/>
      </c>
      <c r="AN109" s="177" t="str">
        <f t="shared" si="25"/>
        <v/>
      </c>
      <c r="AO109" s="177" t="str">
        <f>IF(A109&gt;0,SUM(PASHEET!AP101,PASHEET!AX101),"")</f>
        <v/>
      </c>
      <c r="AP109" s="177" t="str">
        <f>IF(A109&gt;0,SUM(MARKS!J101,MARKS!AP101),"")</f>
        <v/>
      </c>
      <c r="AQ109" s="177" t="str">
        <f>IF(A109&gt;0,SUM(MARKS!R101,MARKS!AX101),"")</f>
        <v/>
      </c>
      <c r="AR109" s="177" t="str">
        <f>IF(A109&gt;0,SUM(MARKS!Z101,MARKS!BF101),"")</f>
        <v/>
      </c>
      <c r="AS109" s="177" t="str">
        <f>IF(A109&gt;0,SUM(MARKS!AH101,MARKS!BN101),"")</f>
        <v/>
      </c>
      <c r="AT109" s="178"/>
      <c r="AU109" s="177" t="str">
        <f t="shared" si="26"/>
        <v/>
      </c>
      <c r="AV109" s="177" t="str">
        <f t="shared" si="27"/>
        <v/>
      </c>
      <c r="AW109" s="177" t="str">
        <f>IF(A109&gt;0,SUM(PASHEET!AQ101,PASHEET!AY101),"")</f>
        <v/>
      </c>
      <c r="AX109" s="177" t="str">
        <f>IF(A109&gt;0,SUM(MARKS!K101,MARKS!AQ101),"")</f>
        <v/>
      </c>
      <c r="AY109" s="177" t="str">
        <f>IF(A109&gt;0,SUM(MARKS!S101,MARKS!AY101),"")</f>
        <v/>
      </c>
      <c r="AZ109" s="177" t="str">
        <f>IF(A109&gt;0,SUM(MARKS!AA101,MARKS!BG101),"")</f>
        <v/>
      </c>
      <c r="BA109" s="177" t="str">
        <f>IF(A109&gt;0,SUM(MARKS!AI101,MARKS!BO101),"")</f>
        <v/>
      </c>
      <c r="BB109" s="178"/>
      <c r="BC109" s="177" t="str">
        <f t="shared" si="28"/>
        <v/>
      </c>
      <c r="BD109" s="177" t="str">
        <f t="shared" si="29"/>
        <v/>
      </c>
      <c r="BE109" s="177" t="str">
        <f t="shared" si="30"/>
        <v/>
      </c>
      <c r="BF109" s="47" t="str">
        <f t="shared" si="31"/>
        <v/>
      </c>
      <c r="BG109" s="70" t="str">
        <f t="shared" si="32"/>
        <v/>
      </c>
      <c r="BH109" s="177" t="str">
        <f t="shared" si="33"/>
        <v/>
      </c>
      <c r="BI109" s="47" t="str">
        <f>IF(A109&gt;0,FLN!I101,"")</f>
        <v/>
      </c>
      <c r="BJ109" s="47" t="str">
        <f>IF(A109&gt;0,FLN!J101,"")</f>
        <v/>
      </c>
      <c r="BK109" s="47" t="str">
        <f>IF(A109&gt;0,FLN!K101,"")</f>
        <v/>
      </c>
      <c r="BL109" s="47" t="str">
        <f t="shared" si="34"/>
        <v/>
      </c>
      <c r="BM109" s="130" t="str">
        <f>IF(BF109="","",IFERROR(RANK(BF109,$BF$12:$BF$111,0)+COUNTIFS($BF$12:BF109,BF109)-1,0))</f>
        <v/>
      </c>
      <c r="BN109" s="130" t="str">
        <f t="shared" si="35"/>
        <v/>
      </c>
    </row>
    <row r="110" s="98" customFormat="1" ht="27" customHeight="1" spans="1:66">
      <c r="A110" s="47">
        <f>IF(A109=0,0,IF(A109&lt;ENTRY!$D$24,A109+1,0))</f>
        <v>0</v>
      </c>
      <c r="B110" s="47" t="str">
        <f>IF(A110&gt;0,STUDENT!F100,"")</f>
        <v/>
      </c>
      <c r="C110" s="176" t="str">
        <f>IF(A110&gt;0,UPPER(STUDENT!E100),"")</f>
        <v/>
      </c>
      <c r="D110" s="176" t="str">
        <f>IF(A110&gt;0,UPPER(STUDENT!H100),"")</f>
        <v/>
      </c>
      <c r="E110" s="47" t="str">
        <f>IF(A110&gt;0,UPPER(STUDENT!BP100),"")</f>
        <v/>
      </c>
      <c r="F110" s="47" t="str">
        <f>IF(A110&gt;0,UPPER(STUDENT!BO100),"")</f>
        <v/>
      </c>
      <c r="G110" s="47" t="str">
        <f>IF(A110&gt;0,UPPER(STUDENT!Q100),"")</f>
        <v/>
      </c>
      <c r="H110" s="69" t="str">
        <f>IF(A110&gt;0,PASHEET!CI102/PASHEET!CJ102*100,"")</f>
        <v/>
      </c>
      <c r="I110" s="177" t="str">
        <f>IF(A110&gt;0,SUM(PASHEET!AL102,PASHEET!AT102),"")</f>
        <v/>
      </c>
      <c r="J110" s="177" t="str">
        <f>IF(A110&gt;0,SUM(MARKS!F102,MARKS!AL102),"")</f>
        <v/>
      </c>
      <c r="K110" s="177" t="str">
        <f>IF(A110&gt;0,SUM(MARKS!N102,MARKS!AT102),"")</f>
        <v/>
      </c>
      <c r="L110" s="177" t="str">
        <f>IF(A110&gt;0,SUM(MARKS!V102,MARKS!BB102),"")</f>
        <v/>
      </c>
      <c r="M110" s="177" t="str">
        <f>IF(A110&gt;0,SUM(MARKS!AD102,MARKS!BJ102),"")</f>
        <v/>
      </c>
      <c r="N110" s="178"/>
      <c r="O110" s="177" t="str">
        <f t="shared" si="18"/>
        <v/>
      </c>
      <c r="P110" s="177" t="str">
        <f t="shared" si="19"/>
        <v/>
      </c>
      <c r="Q110" s="177" t="str">
        <f>IF(A110&gt;0,SUM(PASHEET!AM102,PASHEET!AU102),"")</f>
        <v/>
      </c>
      <c r="R110" s="177" t="str">
        <f>IF(A110&gt;0,SUM(MARKS!G102,MARKS!AM102),"")</f>
        <v/>
      </c>
      <c r="S110" s="177" t="str">
        <f>IF(A110&gt;0,SUM(MARKS!O102,MARKS!AU102),"")</f>
        <v/>
      </c>
      <c r="T110" s="177" t="str">
        <f>IF(A110&gt;0,SUM(MARKS!W102,MARKS!BC102),"")</f>
        <v/>
      </c>
      <c r="U110" s="177" t="str">
        <f>IF(A110&gt;0,SUM(MARKS!AE102,MARKS!BK102),"")</f>
        <v/>
      </c>
      <c r="V110" s="178"/>
      <c r="W110" s="177" t="str">
        <f t="shared" si="20"/>
        <v/>
      </c>
      <c r="X110" s="177" t="str">
        <f t="shared" si="21"/>
        <v/>
      </c>
      <c r="Y110" s="177" t="str">
        <f>IF(A110&gt;0,SUM(PASHEET!AN102,PASHEET!AV102),"")</f>
        <v/>
      </c>
      <c r="Z110" s="177" t="str">
        <f>IF(A110&gt;0,SUM(MARKS!H102,MARKS!AN102),"")</f>
        <v/>
      </c>
      <c r="AA110" s="177" t="str">
        <f>IF(A110&gt;0,SUM(MARKS!P102,MARKS!AV102),"")</f>
        <v/>
      </c>
      <c r="AB110" s="177" t="str">
        <f>IF(A110&gt;0,SUM(MARKS!X102,MARKS!BD102),"")</f>
        <v/>
      </c>
      <c r="AC110" s="177" t="str">
        <f>IF(A110&gt;0,SUM(MARKS!AF102,MARKS!BL102),"")</f>
        <v/>
      </c>
      <c r="AD110" s="178"/>
      <c r="AE110" s="177" t="str">
        <f t="shared" si="22"/>
        <v/>
      </c>
      <c r="AF110" s="177" t="str">
        <f t="shared" si="23"/>
        <v/>
      </c>
      <c r="AG110" s="177" t="str">
        <f>IF(A110&gt;0,SUM(PASHEET!AO102,PASHEET!AW102),"")</f>
        <v/>
      </c>
      <c r="AH110" s="177" t="str">
        <f>IF(A110&gt;0,SUM(MARKS!I102,MARKS!AO102),"")</f>
        <v/>
      </c>
      <c r="AI110" s="177" t="str">
        <f>IF(A110&gt;0,SUM(MARKS!Q102,MARKS!AW102),"")</f>
        <v/>
      </c>
      <c r="AJ110" s="177" t="str">
        <f>IF(A110&gt;0,SUM(MARKS!Y102,MARKS!BE102),"")</f>
        <v/>
      </c>
      <c r="AK110" s="177" t="str">
        <f>IF(A110&gt;0,SUM(MARKS!AG102,MARKS!BM102),"")</f>
        <v/>
      </c>
      <c r="AL110" s="178"/>
      <c r="AM110" s="177" t="str">
        <f t="shared" si="24"/>
        <v/>
      </c>
      <c r="AN110" s="177" t="str">
        <f t="shared" si="25"/>
        <v/>
      </c>
      <c r="AO110" s="177" t="str">
        <f>IF(A110&gt;0,SUM(PASHEET!AP102,PASHEET!AX102),"")</f>
        <v/>
      </c>
      <c r="AP110" s="177" t="str">
        <f>IF(A110&gt;0,SUM(MARKS!J102,MARKS!AP102),"")</f>
        <v/>
      </c>
      <c r="AQ110" s="177" t="str">
        <f>IF(A110&gt;0,SUM(MARKS!R102,MARKS!AX102),"")</f>
        <v/>
      </c>
      <c r="AR110" s="177" t="str">
        <f>IF(A110&gt;0,SUM(MARKS!Z102,MARKS!BF102),"")</f>
        <v/>
      </c>
      <c r="AS110" s="177" t="str">
        <f>IF(A110&gt;0,SUM(MARKS!AH102,MARKS!BN102),"")</f>
        <v/>
      </c>
      <c r="AT110" s="178"/>
      <c r="AU110" s="177" t="str">
        <f t="shared" si="26"/>
        <v/>
      </c>
      <c r="AV110" s="177" t="str">
        <f t="shared" si="27"/>
        <v/>
      </c>
      <c r="AW110" s="177" t="str">
        <f>IF(A110&gt;0,SUM(PASHEET!AQ102,PASHEET!AY102),"")</f>
        <v/>
      </c>
      <c r="AX110" s="177" t="str">
        <f>IF(A110&gt;0,SUM(MARKS!K102,MARKS!AQ102),"")</f>
        <v/>
      </c>
      <c r="AY110" s="177" t="str">
        <f>IF(A110&gt;0,SUM(MARKS!S102,MARKS!AY102),"")</f>
        <v/>
      </c>
      <c r="AZ110" s="177" t="str">
        <f>IF(A110&gt;0,SUM(MARKS!AA102,MARKS!BG102),"")</f>
        <v/>
      </c>
      <c r="BA110" s="177" t="str">
        <f>IF(A110&gt;0,SUM(MARKS!AI102,MARKS!BO102),"")</f>
        <v/>
      </c>
      <c r="BB110" s="178"/>
      <c r="BC110" s="177" t="str">
        <f t="shared" si="28"/>
        <v/>
      </c>
      <c r="BD110" s="177" t="str">
        <f t="shared" si="29"/>
        <v/>
      </c>
      <c r="BE110" s="177" t="str">
        <f t="shared" si="30"/>
        <v/>
      </c>
      <c r="BF110" s="47" t="str">
        <f t="shared" si="31"/>
        <v/>
      </c>
      <c r="BG110" s="70" t="str">
        <f t="shared" si="32"/>
        <v/>
      </c>
      <c r="BH110" s="177" t="str">
        <f t="shared" si="33"/>
        <v/>
      </c>
      <c r="BI110" s="47" t="str">
        <f>IF(A110&gt;0,FLN!I102,"")</f>
        <v/>
      </c>
      <c r="BJ110" s="47" t="str">
        <f>IF(A110&gt;0,FLN!J102,"")</f>
        <v/>
      </c>
      <c r="BK110" s="47" t="str">
        <f>IF(A110&gt;0,FLN!K102,"")</f>
        <v/>
      </c>
      <c r="BL110" s="47" t="str">
        <f t="shared" si="34"/>
        <v/>
      </c>
      <c r="BM110" s="130" t="str">
        <f>IF(BF110="","",IFERROR(RANK(BF110,$BF$12:$BF$111,0)+COUNTIFS($BF$12:BF110,BF110)-1,0))</f>
        <v/>
      </c>
      <c r="BN110" s="130" t="str">
        <f t="shared" si="35"/>
        <v/>
      </c>
    </row>
    <row r="111" s="98" customFormat="1" ht="27" customHeight="1" spans="1:66">
      <c r="A111" s="47">
        <f>IF(A110=0,0,IF(A110&lt;ENTRY!$D$24,A110+1,0))</f>
        <v>0</v>
      </c>
      <c r="B111" s="47" t="str">
        <f>IF(A111&gt;0,STUDENT!F101,"")</f>
        <v/>
      </c>
      <c r="C111" s="176" t="str">
        <f>IF(A111&gt;0,UPPER(STUDENT!E101),"")</f>
        <v/>
      </c>
      <c r="D111" s="176" t="str">
        <f>IF(A111&gt;0,UPPER(STUDENT!H101),"")</f>
        <v/>
      </c>
      <c r="E111" s="47" t="str">
        <f>IF(A111&gt;0,UPPER(STUDENT!BP101),"")</f>
        <v/>
      </c>
      <c r="F111" s="47" t="str">
        <f>IF(A111&gt;0,UPPER(STUDENT!BO101),"")</f>
        <v/>
      </c>
      <c r="G111" s="47" t="str">
        <f>IF(A111&gt;0,UPPER(STUDENT!Q101),"")</f>
        <v/>
      </c>
      <c r="H111" s="69" t="str">
        <f>IF(A111&gt;0,PASHEET!CI103/PASHEET!CJ103*100,"")</f>
        <v/>
      </c>
      <c r="I111" s="177" t="str">
        <f>IF(A111&gt;0,SUM(PASHEET!AL103,PASHEET!AT103),"")</f>
        <v/>
      </c>
      <c r="J111" s="177" t="str">
        <f>IF(A111&gt;0,SUM(MARKS!F103,MARKS!AL103),"")</f>
        <v/>
      </c>
      <c r="K111" s="177" t="str">
        <f>IF(A111&gt;0,SUM(MARKS!N103,MARKS!AT103),"")</f>
        <v/>
      </c>
      <c r="L111" s="177" t="str">
        <f>IF(A111&gt;0,SUM(MARKS!V103,MARKS!BB103),"")</f>
        <v/>
      </c>
      <c r="M111" s="177" t="str">
        <f>IF(A111&gt;0,SUM(MARKS!AD103,MARKS!BJ103),"")</f>
        <v/>
      </c>
      <c r="N111" s="178"/>
      <c r="O111" s="177" t="str">
        <f t="shared" si="18"/>
        <v/>
      </c>
      <c r="P111" s="177" t="str">
        <f t="shared" si="19"/>
        <v/>
      </c>
      <c r="Q111" s="177" t="str">
        <f>IF(A111&gt;0,SUM(PASHEET!AM103,PASHEET!AU103),"")</f>
        <v/>
      </c>
      <c r="R111" s="177" t="str">
        <f>IF(A111&gt;0,SUM(MARKS!G103,MARKS!AM103),"")</f>
        <v/>
      </c>
      <c r="S111" s="177" t="str">
        <f>IF(A111&gt;0,SUM(MARKS!O103,MARKS!AU103),"")</f>
        <v/>
      </c>
      <c r="T111" s="177" t="str">
        <f>IF(A111&gt;0,SUM(MARKS!W103,MARKS!BC103),"")</f>
        <v/>
      </c>
      <c r="U111" s="177" t="str">
        <f>IF(A111&gt;0,SUM(MARKS!AE103,MARKS!BK103),"")</f>
        <v/>
      </c>
      <c r="V111" s="178"/>
      <c r="W111" s="177" t="str">
        <f t="shared" si="20"/>
        <v/>
      </c>
      <c r="X111" s="177" t="str">
        <f t="shared" si="21"/>
        <v/>
      </c>
      <c r="Y111" s="177" t="str">
        <f>IF(A111&gt;0,SUM(PASHEET!AN103,PASHEET!AV103),"")</f>
        <v/>
      </c>
      <c r="Z111" s="177" t="str">
        <f>IF(A111&gt;0,SUM(MARKS!H103,MARKS!AN103),"")</f>
        <v/>
      </c>
      <c r="AA111" s="177" t="str">
        <f>IF(A111&gt;0,SUM(MARKS!P103,MARKS!AV103),"")</f>
        <v/>
      </c>
      <c r="AB111" s="177" t="str">
        <f>IF(A111&gt;0,SUM(MARKS!X103,MARKS!BD103),"")</f>
        <v/>
      </c>
      <c r="AC111" s="177" t="str">
        <f>IF(A111&gt;0,SUM(MARKS!AF103,MARKS!BL103),"")</f>
        <v/>
      </c>
      <c r="AD111" s="178"/>
      <c r="AE111" s="177" t="str">
        <f t="shared" si="22"/>
        <v/>
      </c>
      <c r="AF111" s="177" t="str">
        <f t="shared" si="23"/>
        <v/>
      </c>
      <c r="AG111" s="177" t="str">
        <f>IF(A111&gt;0,SUM(PASHEET!AO103,PASHEET!AW103),"")</f>
        <v/>
      </c>
      <c r="AH111" s="177" t="str">
        <f>IF(A111&gt;0,SUM(MARKS!I103,MARKS!AO103),"")</f>
        <v/>
      </c>
      <c r="AI111" s="177" t="str">
        <f>IF(A111&gt;0,SUM(MARKS!Q103,MARKS!AW103),"")</f>
        <v/>
      </c>
      <c r="AJ111" s="177" t="str">
        <f>IF(A111&gt;0,SUM(MARKS!Y103,MARKS!BE103),"")</f>
        <v/>
      </c>
      <c r="AK111" s="177" t="str">
        <f>IF(A111&gt;0,SUM(MARKS!AG103,MARKS!BM103),"")</f>
        <v/>
      </c>
      <c r="AL111" s="178"/>
      <c r="AM111" s="177" t="str">
        <f t="shared" si="24"/>
        <v/>
      </c>
      <c r="AN111" s="177" t="str">
        <f t="shared" si="25"/>
        <v/>
      </c>
      <c r="AO111" s="177" t="str">
        <f>IF(A111&gt;0,SUM(PASHEET!AP103,PASHEET!AX103),"")</f>
        <v/>
      </c>
      <c r="AP111" s="177" t="str">
        <f>IF(A111&gt;0,SUM(MARKS!J103,MARKS!AP103),"")</f>
        <v/>
      </c>
      <c r="AQ111" s="177" t="str">
        <f>IF(A111&gt;0,SUM(MARKS!R103,MARKS!AX103),"")</f>
        <v/>
      </c>
      <c r="AR111" s="177" t="str">
        <f>IF(A111&gt;0,SUM(MARKS!Z103,MARKS!BF103),"")</f>
        <v/>
      </c>
      <c r="AS111" s="177" t="str">
        <f>IF(A111&gt;0,SUM(MARKS!AH103,MARKS!BN103),"")</f>
        <v/>
      </c>
      <c r="AT111" s="178"/>
      <c r="AU111" s="177" t="str">
        <f t="shared" si="26"/>
        <v/>
      </c>
      <c r="AV111" s="177" t="str">
        <f t="shared" si="27"/>
        <v/>
      </c>
      <c r="AW111" s="177" t="str">
        <f>IF(A111&gt;0,SUM(PASHEET!AQ103,PASHEET!AY103),"")</f>
        <v/>
      </c>
      <c r="AX111" s="177" t="str">
        <f>IF(A111&gt;0,SUM(MARKS!K103,MARKS!AQ103),"")</f>
        <v/>
      </c>
      <c r="AY111" s="177" t="str">
        <f>IF(A111&gt;0,SUM(MARKS!S103,MARKS!AY103),"")</f>
        <v/>
      </c>
      <c r="AZ111" s="177" t="str">
        <f>IF(A111&gt;0,SUM(MARKS!AA103,MARKS!BG103),"")</f>
        <v/>
      </c>
      <c r="BA111" s="177" t="str">
        <f>IF(A111&gt;0,SUM(MARKS!AI103,MARKS!BO103),"")</f>
        <v/>
      </c>
      <c r="BB111" s="178"/>
      <c r="BC111" s="177" t="str">
        <f t="shared" si="28"/>
        <v/>
      </c>
      <c r="BD111" s="177" t="str">
        <f t="shared" si="29"/>
        <v/>
      </c>
      <c r="BE111" s="177" t="str">
        <f t="shared" si="30"/>
        <v/>
      </c>
      <c r="BF111" s="47" t="str">
        <f t="shared" si="31"/>
        <v/>
      </c>
      <c r="BG111" s="70" t="str">
        <f t="shared" si="32"/>
        <v/>
      </c>
      <c r="BH111" s="177" t="str">
        <f t="shared" si="33"/>
        <v/>
      </c>
      <c r="BI111" s="47" t="str">
        <f>IF(A111&gt;0,FLN!I103,"")</f>
        <v/>
      </c>
      <c r="BJ111" s="47" t="str">
        <f>IF(A111&gt;0,FLN!J103,"")</f>
        <v/>
      </c>
      <c r="BK111" s="47" t="str">
        <f>IF(A111&gt;0,FLN!K103,"")</f>
        <v/>
      </c>
      <c r="BL111" s="47" t="str">
        <f t="shared" si="34"/>
        <v/>
      </c>
      <c r="BM111" s="130" t="str">
        <f>IF(BF111="","",IFERROR(RANK(BF111,$BF$12:$BF$111,0)+COUNTIFS($BF$12:BF111,BF111)-1,0))</f>
        <v/>
      </c>
      <c r="BN111" s="130" t="str">
        <f t="shared" si="35"/>
        <v/>
      </c>
    </row>
    <row r="113" s="98" customFormat="1" spans="3:66">
      <c r="C113" s="96"/>
      <c r="D113" s="179" t="s">
        <v>659</v>
      </c>
      <c r="E113" s="99" t="s">
        <v>660</v>
      </c>
      <c r="F113" s="99"/>
      <c r="G113" s="99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BM113" s="130"/>
      <c r="BN113" s="130"/>
    </row>
    <row r="114" spans="3:66">
      <c r="R114" s="180">
        <v>1</v>
      </c>
      <c r="S114" s="180">
        <v>2</v>
      </c>
      <c r="T114" s="180">
        <v>3</v>
      </c>
      <c r="U114" s="180">
        <v>4</v>
      </c>
      <c r="V114" s="180">
        <v>5</v>
      </c>
      <c r="W114" s="180"/>
      <c r="X114" s="180"/>
    </row>
    <row r="115" s="140" customFormat="1" ht="16.8" spans="3:66">
      <c r="I115" s="181" t="s">
        <v>736</v>
      </c>
      <c r="J115" s="181"/>
      <c r="K115" s="181"/>
      <c r="L115" s="181"/>
      <c r="M115" s="181"/>
      <c r="N115" s="181"/>
      <c r="O115" s="181"/>
      <c r="P115" s="181"/>
      <c r="Q115" s="181"/>
      <c r="R115" s="181"/>
      <c r="S115" s="182"/>
      <c r="T115" s="182"/>
      <c r="U115" s="182"/>
      <c r="V115" s="182"/>
      <c r="W115" s="182"/>
      <c r="X115" s="182"/>
      <c r="BM115" s="183"/>
      <c r="BN115" s="183"/>
    </row>
    <row r="116" s="96" customFormat="1" ht="18" customHeight="1" spans="3:66">
      <c r="C116" s="98"/>
      <c r="D116" s="98"/>
      <c r="E116" s="184" t="s">
        <v>662</v>
      </c>
      <c r="F116" s="185"/>
      <c r="G116" s="185"/>
      <c r="H116" s="186"/>
      <c r="I116" s="187" t="s">
        <v>663</v>
      </c>
      <c r="J116" s="188"/>
      <c r="K116" s="188"/>
      <c r="L116" s="188"/>
      <c r="M116" s="188"/>
      <c r="N116" s="188"/>
      <c r="O116" s="188"/>
      <c r="P116" s="188"/>
      <c r="Q116" s="188"/>
      <c r="R116" s="189"/>
      <c r="S116" s="108" t="s">
        <v>101</v>
      </c>
      <c r="T116" s="190" t="s">
        <v>737</v>
      </c>
      <c r="U116" s="191"/>
      <c r="V116" s="192"/>
      <c r="W116" s="47" t="s">
        <v>655</v>
      </c>
      <c r="X116" s="47"/>
      <c r="Y116" s="47"/>
      <c r="Z116" s="47"/>
      <c r="AA116" s="47"/>
      <c r="AC116" s="131" t="s">
        <v>738</v>
      </c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47">
        <f>ENTRY!$D$24</f>
        <v>39</v>
      </c>
      <c r="AT116" s="47"/>
      <c r="AU116" s="47"/>
      <c r="AW116" s="29"/>
      <c r="AX116" s="29"/>
      <c r="AY116" s="29"/>
      <c r="AZ116" s="193"/>
      <c r="BA116" s="193"/>
      <c r="BB116" s="193"/>
      <c r="BC116" s="193"/>
      <c r="BM116" s="194"/>
      <c r="BN116" s="194"/>
    </row>
    <row r="117" s="96" customFormat="1" ht="18" customHeight="1" spans="3:66">
      <c r="C117" s="98"/>
      <c r="D117" s="98"/>
      <c r="E117" s="62"/>
      <c r="F117" s="58"/>
      <c r="G117" s="58"/>
      <c r="H117" s="59"/>
      <c r="I117" s="108" t="s">
        <v>50</v>
      </c>
      <c r="J117" s="108" t="s">
        <v>485</v>
      </c>
      <c r="K117" s="108" t="s">
        <v>486</v>
      </c>
      <c r="L117" s="35" t="s">
        <v>487</v>
      </c>
      <c r="M117" s="24"/>
      <c r="N117" s="24"/>
      <c r="O117" s="36"/>
      <c r="P117" s="35" t="s">
        <v>488</v>
      </c>
      <c r="Q117" s="24"/>
      <c r="R117" s="36"/>
      <c r="S117" s="110"/>
      <c r="T117" s="195"/>
      <c r="U117" s="196"/>
      <c r="V117" s="197"/>
      <c r="W117" s="35"/>
      <c r="X117" s="24"/>
      <c r="Y117" s="24"/>
      <c r="Z117" s="24"/>
      <c r="AA117" s="36"/>
      <c r="AC117" s="131" t="s">
        <v>739</v>
      </c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47">
        <f>MIN(AS116-AS118)</f>
        <v>39</v>
      </c>
      <c r="AT117" s="47"/>
      <c r="AU117" s="47"/>
      <c r="BB117" s="131"/>
      <c r="BE117" s="131"/>
      <c r="BM117" s="194"/>
      <c r="BN117" s="194"/>
    </row>
    <row r="118" s="96" customFormat="1" ht="18" customHeight="1" spans="3:66">
      <c r="C118" s="98"/>
      <c r="D118" s="98"/>
      <c r="E118" s="198"/>
      <c r="F118" s="21"/>
      <c r="G118" s="21"/>
      <c r="H118" s="199"/>
      <c r="I118" s="51"/>
      <c r="J118" s="51"/>
      <c r="K118" s="51"/>
      <c r="L118" s="200" t="s">
        <v>740</v>
      </c>
      <c r="M118" s="201"/>
      <c r="N118" s="202" t="s">
        <v>741</v>
      </c>
      <c r="O118" s="203"/>
      <c r="P118" s="202" t="s">
        <v>742</v>
      </c>
      <c r="Q118" s="203"/>
      <c r="R118" s="115" t="s">
        <v>743</v>
      </c>
      <c r="S118" s="51"/>
      <c r="T118" s="204"/>
      <c r="U118" s="205"/>
      <c r="V118" s="206"/>
      <c r="W118" s="47" t="s">
        <v>96</v>
      </c>
      <c r="X118" s="47" t="s">
        <v>97</v>
      </c>
      <c r="Y118" s="47" t="s">
        <v>98</v>
      </c>
      <c r="Z118" s="47" t="s">
        <v>99</v>
      </c>
      <c r="AA118" s="47" t="s">
        <v>100</v>
      </c>
      <c r="AB118" s="131"/>
      <c r="AC118" s="131" t="s">
        <v>744</v>
      </c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47">
        <f>SUM(N119,N120,N121,N122,N123,N124)</f>
        <v>0</v>
      </c>
      <c r="AT118" s="47"/>
      <c r="AU118" s="47"/>
      <c r="AX118" s="99" t="s">
        <v>673</v>
      </c>
      <c r="AY118" s="99"/>
      <c r="AZ118" s="99"/>
      <c r="BA118" s="99"/>
      <c r="BB118" s="99"/>
      <c r="BC118" s="99"/>
      <c r="BD118" s="99"/>
      <c r="BE118" s="131"/>
      <c r="BG118" s="99" t="s">
        <v>674</v>
      </c>
      <c r="BH118" s="99"/>
      <c r="BI118" s="99"/>
      <c r="BJ118" s="99"/>
      <c r="BK118" s="99"/>
      <c r="BL118" s="99"/>
      <c r="BN118" s="194"/>
    </row>
    <row r="119" s="96" customFormat="1" ht="18" customHeight="1" spans="3:66">
      <c r="C119" s="131"/>
      <c r="D119" s="131"/>
      <c r="E119" s="207" t="s">
        <v>668</v>
      </c>
      <c r="F119" s="207"/>
      <c r="G119" s="207"/>
      <c r="H119" s="207"/>
      <c r="I119" s="47">
        <f>COUNTIFS($P$12:$P$111,$I$117)</f>
        <v>0</v>
      </c>
      <c r="J119" s="47">
        <f>COUNTIFS($P$12:$P$111,$J$117)</f>
        <v>0</v>
      </c>
      <c r="K119" s="47">
        <f>COUNTIFS($P$12:$P$111,$K$117)</f>
        <v>15</v>
      </c>
      <c r="L119" s="35">
        <f>COUNTIFS($N$12:$N$111,"",$P$12:$P$111,$L$117)</f>
        <v>11</v>
      </c>
      <c r="M119" s="36"/>
      <c r="N119" s="35">
        <f>COUNTIFS($N$12:$N$111,"&gt;0",$P$12:$P$111,$L$117)</f>
        <v>0</v>
      </c>
      <c r="O119" s="36"/>
      <c r="P119" s="35">
        <f>COUNTIFS($P$12:$P$111,$P$117,$O$12:$O$111,"&gt;=25")</f>
        <v>13</v>
      </c>
      <c r="Q119" s="36"/>
      <c r="R119" s="47">
        <f>COUNTIFS($P$12:$P$111,$P$117,$O$12:$O$111,"&lt;25")</f>
        <v>0</v>
      </c>
      <c r="S119" s="47">
        <f>COUNTIFS($P$12:$P$111,$S$117)</f>
        <v>0</v>
      </c>
      <c r="T119" s="35">
        <f>SUM(I119,J119,K119,L119,N119,P119,R119,S119)</f>
        <v>39</v>
      </c>
      <c r="U119" s="24"/>
      <c r="V119" s="36"/>
      <c r="W119" s="47">
        <f>COUNTIFS($BI$12:$BI$111,$R$114)</f>
        <v>0</v>
      </c>
      <c r="X119" s="47">
        <f>COUNTIFS($BI$12:$BI$111,$S$114)</f>
        <v>28</v>
      </c>
      <c r="Y119" s="47">
        <f>COUNTIFS($BI$12:$BI$111,$T$114)</f>
        <v>5</v>
      </c>
      <c r="Z119" s="47">
        <f>COUNTIFS($BI$12:$BI$111,$U$114)</f>
        <v>3</v>
      </c>
      <c r="AA119" s="47">
        <f>COUNTIFS($BI$12:$BI$111,$V$114)</f>
        <v>0</v>
      </c>
      <c r="AC119" s="131" t="s">
        <v>745</v>
      </c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47">
        <f>SUM(P119,P120,P121,P122,P123,P124)</f>
        <v>53</v>
      </c>
      <c r="AT119" s="47"/>
      <c r="AU119" s="47"/>
      <c r="BB119" s="131"/>
      <c r="BE119" s="131"/>
      <c r="BM119" s="194"/>
      <c r="BN119" s="194"/>
    </row>
    <row r="120" s="96" customFormat="1" ht="18" customHeight="1" spans="3:66">
      <c r="C120" s="131"/>
      <c r="D120" s="131"/>
      <c r="E120" s="207" t="s">
        <v>513</v>
      </c>
      <c r="F120" s="207"/>
      <c r="G120" s="207"/>
      <c r="H120" s="207"/>
      <c r="I120" s="47">
        <f>COUNTIFS($X$12:$X$111,$I$117)</f>
        <v>0</v>
      </c>
      <c r="J120" s="47">
        <f>COUNTIFS($X$12:$X$111,$J$117)</f>
        <v>0</v>
      </c>
      <c r="K120" s="47">
        <f>COUNTIFS($X$12:$X$111,$K$117)</f>
        <v>0</v>
      </c>
      <c r="L120" s="35">
        <f>COUNTIFS($V$12:$V$111,"",$X$12:$X$111,$L$117)</f>
        <v>0</v>
      </c>
      <c r="M120" s="36"/>
      <c r="N120" s="35">
        <f>COUNTIFS($V$12:$V$111,"&gt;0",$X$12:$X$111,$L$117)</f>
        <v>0</v>
      </c>
      <c r="O120" s="36"/>
      <c r="P120" s="35">
        <f>COUNTIFS($X$12:$X$111,$P$117,$W$12:$W$111,"&gt;=25")</f>
        <v>5</v>
      </c>
      <c r="Q120" s="36"/>
      <c r="R120" s="47">
        <f>COUNTIFS($X$12:$X$111,$P$117,$W$12:$W$111,"&lt;25")</f>
        <v>34</v>
      </c>
      <c r="S120" s="47">
        <f>COUNTIFS($X$12:$X$111,$S$117)</f>
        <v>0</v>
      </c>
      <c r="T120" s="35">
        <f>SUM(I120,J120,K120,L120,N120,P120,R120,S120)</f>
        <v>39</v>
      </c>
      <c r="U120" s="24"/>
      <c r="V120" s="36"/>
      <c r="W120" s="47">
        <f>COUNTIFS($BJ$12:$BJ$111,$R$114)</f>
        <v>0</v>
      </c>
      <c r="X120" s="47">
        <f>COUNTIFS($BJ$12:$BJ$111,$S$114)</f>
        <v>31</v>
      </c>
      <c r="Y120" s="47">
        <f>COUNTIFS($BJ$12:$BJ$111,$T$114)</f>
        <v>5</v>
      </c>
      <c r="Z120" s="47">
        <f>COUNTIFS($BJ$12:$BJ$111,$U$114)</f>
        <v>0</v>
      </c>
      <c r="AA120" s="47">
        <f>COUNTIFS($BJ$12:$BJ$111,$V$114)</f>
        <v>0</v>
      </c>
      <c r="AC120" s="131" t="s">
        <v>746</v>
      </c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47">
        <f>SUM(R119,R120,R121,R122,R123,R124)</f>
        <v>155</v>
      </c>
      <c r="AT120" s="47"/>
      <c r="AU120" s="47"/>
      <c r="BB120" s="58"/>
      <c r="BC120" s="29"/>
      <c r="BD120" s="29"/>
      <c r="BE120" s="58"/>
      <c r="BM120" s="194"/>
      <c r="BN120" s="194"/>
    </row>
    <row r="121" s="96" customFormat="1" ht="18" customHeight="1" spans="3:66">
      <c r="C121" s="131"/>
      <c r="D121" s="131"/>
      <c r="E121" s="207" t="s">
        <v>514</v>
      </c>
      <c r="F121" s="207"/>
      <c r="G121" s="207"/>
      <c r="H121" s="207"/>
      <c r="I121" s="47">
        <f>COUNTIFS($AF$12:$AF$111,$I$117)</f>
        <v>0</v>
      </c>
      <c r="J121" s="47">
        <f>COUNTIFS($AF$12:$AF$111,$J$117)</f>
        <v>0</v>
      </c>
      <c r="K121" s="47">
        <f>COUNTIFS($AF$12:$AF$111,$K$117)</f>
        <v>0</v>
      </c>
      <c r="L121" s="35">
        <f>COUNTIFS($AD$12:$AD$111,"",$AF$12:$AF$111,$L$117)</f>
        <v>0</v>
      </c>
      <c r="M121" s="36"/>
      <c r="N121" s="35">
        <f>COUNTIFS($AD$12:$AD$111,"&gt;0",$AF$12:$AF$111,$L$117)</f>
        <v>0</v>
      </c>
      <c r="O121" s="36"/>
      <c r="P121" s="35">
        <f>COUNTIFS($AF$12:$AF$111,$P$117,$AE$12:$AE$111,"&gt;=25")</f>
        <v>2</v>
      </c>
      <c r="Q121" s="36"/>
      <c r="R121" s="47">
        <f>COUNTIFS($AF$12:$AF$111,$P$117,$AE$12:$AE$111,"&lt;25")</f>
        <v>37</v>
      </c>
      <c r="S121" s="47">
        <f>COUNTIFS($AF$12:$AF$111,$S$117)</f>
        <v>0</v>
      </c>
      <c r="T121" s="35">
        <f t="shared" ref="T121:T124" si="36">SUM(I121,J121,K121,L121,N121,P121,R121,S121)</f>
        <v>39</v>
      </c>
      <c r="U121" s="24"/>
      <c r="V121" s="36"/>
      <c r="W121" s="47">
        <f>COUNTIFS($BK$12:$BK$111,$R$114)</f>
        <v>0</v>
      </c>
      <c r="X121" s="47">
        <f>COUNTIFS($BK$12:$BK$111,$S$114)</f>
        <v>0</v>
      </c>
      <c r="Y121" s="47">
        <f>COUNTIFS($BK$12:$BK$111,$T$114)</f>
        <v>27</v>
      </c>
      <c r="Z121" s="47">
        <f>COUNTIFS($BK$12:$BK$111,$U$114)</f>
        <v>9</v>
      </c>
      <c r="AA121" s="47">
        <f>COUNTIFS($BK$12:$BK$111,$V$114)</f>
        <v>0</v>
      </c>
      <c r="AC121" s="131" t="s">
        <v>747</v>
      </c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69" t="str">
        <f>IF(AS119&gt;0,"",(AS116-AS120)/AS116*100)</f>
        <v/>
      </c>
      <c r="AT121" s="69"/>
      <c r="AU121" s="69"/>
      <c r="BB121" s="58"/>
      <c r="BC121" s="29"/>
      <c r="BD121" s="29"/>
      <c r="BE121" s="58"/>
      <c r="BM121" s="194"/>
      <c r="BN121" s="194"/>
    </row>
    <row r="122" s="96" customFormat="1" ht="18" customHeight="1" spans="3:66">
      <c r="C122" s="131"/>
      <c r="D122" s="131"/>
      <c r="E122" s="207" t="s">
        <v>351</v>
      </c>
      <c r="F122" s="207"/>
      <c r="G122" s="207"/>
      <c r="H122" s="207"/>
      <c r="I122" s="47">
        <f>COUNTIFS($AN$12:$AN$111,$I$117)</f>
        <v>0</v>
      </c>
      <c r="J122" s="47">
        <f>COUNTIFS($AN$12:$AN$111,$J$117)</f>
        <v>0</v>
      </c>
      <c r="K122" s="47">
        <f>COUNTIFS($AN$12:$AN$111,$K$117)</f>
        <v>0</v>
      </c>
      <c r="L122" s="35">
        <f>COUNTIFS($AL$12:$AL$111,"",$AN$12:$AN$111,$L$117)</f>
        <v>0</v>
      </c>
      <c r="M122" s="36"/>
      <c r="N122" s="35">
        <f>COUNTIFS($AL$12:$AL$111,"&gt;0",$AN$12:$AN$111,$L$117)</f>
        <v>0</v>
      </c>
      <c r="O122" s="36"/>
      <c r="P122" s="35">
        <f>COUNTIFS($AN$12:$AN$111,$P$117,$AM$12:$AM$111,"&gt;=25")</f>
        <v>8</v>
      </c>
      <c r="Q122" s="36"/>
      <c r="R122" s="47">
        <f>COUNTIFS($AN$12:$AN$111,$P$117,$AM$12:$AM$111,"&lt;25")</f>
        <v>31</v>
      </c>
      <c r="S122" s="47">
        <f>COUNTIFS($AN$12:$AN$111,$S$117)</f>
        <v>0</v>
      </c>
      <c r="T122" s="35">
        <f t="shared" si="36"/>
        <v>39</v>
      </c>
      <c r="U122" s="24"/>
      <c r="V122" s="36"/>
      <c r="W122" s="47" t="s">
        <v>670</v>
      </c>
      <c r="X122" s="47" t="s">
        <v>670</v>
      </c>
      <c r="Y122" s="47" t="s">
        <v>670</v>
      </c>
      <c r="Z122" s="47" t="s">
        <v>670</v>
      </c>
      <c r="AA122" s="47" t="s">
        <v>670</v>
      </c>
      <c r="AD122" s="58"/>
      <c r="AL122" s="58"/>
      <c r="AT122" s="58"/>
      <c r="BB122" s="58"/>
      <c r="BC122" s="29"/>
      <c r="BD122" s="29"/>
      <c r="BE122" s="58"/>
      <c r="BM122" s="194"/>
      <c r="BN122" s="194"/>
    </row>
    <row r="123" s="96" customFormat="1" ht="18" customHeight="1" spans="3:66">
      <c r="C123" s="131"/>
      <c r="D123" s="131"/>
      <c r="E123" s="207" t="s">
        <v>671</v>
      </c>
      <c r="F123" s="207"/>
      <c r="G123" s="207"/>
      <c r="H123" s="207"/>
      <c r="I123" s="47">
        <f>COUNTIFS($AV$12:$AV$111,$I$117)</f>
        <v>0</v>
      </c>
      <c r="J123" s="47">
        <f>COUNTIFS($AV$12:$AV$111,$J$117)</f>
        <v>0</v>
      </c>
      <c r="K123" s="47">
        <f>COUNTIFS($AV$12:$AV$111,$K$117)</f>
        <v>0</v>
      </c>
      <c r="L123" s="35">
        <f>COUNTIFS($AT$12:$AT$111,"",$AV$12:$AV$111,$L$117)</f>
        <v>0</v>
      </c>
      <c r="M123" s="36"/>
      <c r="N123" s="35">
        <f>COUNTIFS($AT$12:$AT$111,"&gt;0",$AV$12:$AV$111,$L$117)</f>
        <v>0</v>
      </c>
      <c r="O123" s="36"/>
      <c r="P123" s="35">
        <f>COUNTIFS($AV$12:$AV$111,$P$117,$AU$12:$AU$111,"&gt;=25")</f>
        <v>6</v>
      </c>
      <c r="Q123" s="36"/>
      <c r="R123" s="47">
        <f>COUNTIFS($AV$12:$AV$111,$P$117,$AU$12:$AU$111,"&lt;25")</f>
        <v>33</v>
      </c>
      <c r="S123" s="47">
        <f>COUNTIFS($AV$12:$AV$111,$S$117)</f>
        <v>0</v>
      </c>
      <c r="T123" s="35">
        <f t="shared" si="36"/>
        <v>39</v>
      </c>
      <c r="U123" s="24"/>
      <c r="V123" s="36"/>
      <c r="W123" s="47" t="s">
        <v>670</v>
      </c>
      <c r="X123" s="47" t="s">
        <v>670</v>
      </c>
      <c r="Y123" s="47" t="s">
        <v>670</v>
      </c>
      <c r="Z123" s="47" t="s">
        <v>670</v>
      </c>
      <c r="AA123" s="47" t="s">
        <v>670</v>
      </c>
      <c r="AD123" s="58"/>
      <c r="AL123" s="58"/>
      <c r="AT123" s="58"/>
      <c r="BB123" s="58"/>
      <c r="BC123" s="29"/>
      <c r="BD123" s="29"/>
      <c r="BE123" s="58"/>
      <c r="BM123" s="194"/>
      <c r="BN123" s="194"/>
    </row>
    <row r="124" s="96" customFormat="1" ht="18" customHeight="1" spans="3:66">
      <c r="C124" s="131"/>
      <c r="D124" s="131"/>
      <c r="E124" s="207" t="s">
        <v>672</v>
      </c>
      <c r="F124" s="207"/>
      <c r="G124" s="207"/>
      <c r="H124" s="207"/>
      <c r="I124" s="47">
        <f>COUNTIFS($BD$12:$BD$111,$I$117)</f>
        <v>0</v>
      </c>
      <c r="J124" s="47">
        <f>COUNTIFS($BD$12:$BD$111,$J$117)</f>
        <v>0</v>
      </c>
      <c r="K124" s="47">
        <f>COUNTIFS($BD$12:$BD$111,$K$117)</f>
        <v>0</v>
      </c>
      <c r="L124" s="35">
        <f>COUNTIFS($BB$12:$BB$111,"",$BD$12:$BD$111,$L$117)</f>
        <v>0</v>
      </c>
      <c r="M124" s="36"/>
      <c r="N124" s="35">
        <f>COUNTIFS($BB$12:$BB$111,"&gt;0",$BD$12:$BD$111,$L$117)</f>
        <v>0</v>
      </c>
      <c r="O124" s="36"/>
      <c r="P124" s="35">
        <f>COUNTIFS($BD$12:$BD$111,$P$117,$BC$12:$BC$111,"&gt;=25")</f>
        <v>19</v>
      </c>
      <c r="Q124" s="36"/>
      <c r="R124" s="47">
        <f>COUNTIFS($BD$12:$BD$111,$P$117,$BC$12:$BC$111,"&lt;25")</f>
        <v>20</v>
      </c>
      <c r="S124" s="47">
        <f>COUNTIFS($BD$12:$BD$111,$S$117)</f>
        <v>0</v>
      </c>
      <c r="T124" s="35">
        <f t="shared" si="36"/>
        <v>39</v>
      </c>
      <c r="U124" s="24"/>
      <c r="V124" s="36"/>
      <c r="W124" s="47" t="s">
        <v>670</v>
      </c>
      <c r="X124" s="47" t="s">
        <v>670</v>
      </c>
      <c r="Y124" s="47" t="s">
        <v>670</v>
      </c>
      <c r="Z124" s="47" t="s">
        <v>670</v>
      </c>
      <c r="AA124" s="47" t="s">
        <v>670</v>
      </c>
      <c r="AD124" s="58"/>
      <c r="AE124" s="99"/>
      <c r="AF124" s="99"/>
      <c r="AG124" s="99"/>
      <c r="AH124" s="99"/>
      <c r="AI124" s="99"/>
      <c r="AJ124" s="99"/>
      <c r="AK124" s="99"/>
      <c r="AL124" s="58"/>
      <c r="AT124" s="58"/>
      <c r="AX124" s="98"/>
      <c r="AY124" s="98"/>
      <c r="AZ124" s="98"/>
      <c r="BA124" s="98"/>
      <c r="BB124" s="98"/>
      <c r="BC124" s="98"/>
      <c r="BD124" s="98"/>
      <c r="BE124" s="58"/>
      <c r="BG124" s="99" t="s">
        <v>675</v>
      </c>
      <c r="BH124" s="99"/>
      <c r="BI124" s="99"/>
      <c r="BJ124" s="99"/>
      <c r="BK124" s="99"/>
      <c r="BL124" s="99"/>
      <c r="BM124" s="194"/>
      <c r="BN124" s="194"/>
    </row>
  </sheetData>
  <sheetProtection password="BF6F" sheet="1" formatCells="0" formatColumns="0" formatRows="0" sort="0" autoFilter="0" objects="1" scenarios="1"/>
  <autoFilter xmlns:etc="http://www.wps.cn/officeDocument/2017/etCustomData" ref="A9:A111" etc:filterBottomFollowUsedRange="0">
    <extLst/>
  </autoFilter>
  <mergeCells count="107">
    <mergeCell ref="A2:BL2"/>
    <mergeCell ref="A3:BL3"/>
    <mergeCell ref="A4:BL4"/>
    <mergeCell ref="BJ5:BL5"/>
    <mergeCell ref="A7:B7"/>
    <mergeCell ref="C7:P7"/>
    <mergeCell ref="R7:T7"/>
    <mergeCell ref="U7:W7"/>
    <mergeCell ref="Y7:AA7"/>
    <mergeCell ref="AB7:AC7"/>
    <mergeCell ref="AG7:AM7"/>
    <mergeCell ref="AN7:AX7"/>
    <mergeCell ref="BA7:BF7"/>
    <mergeCell ref="BG7:BH7"/>
    <mergeCell ref="I9:P9"/>
    <mergeCell ref="Q9:X9"/>
    <mergeCell ref="Y9:AF9"/>
    <mergeCell ref="AG9:AN9"/>
    <mergeCell ref="AO9:AV9"/>
    <mergeCell ref="AW9:BD9"/>
    <mergeCell ref="BI9:BK9"/>
    <mergeCell ref="BI10:BK10"/>
    <mergeCell ref="E113:Y113"/>
    <mergeCell ref="I115:X115"/>
    <mergeCell ref="I116:R116"/>
    <mergeCell ref="W116:AA116"/>
    <mergeCell ref="AC116:AR116"/>
    <mergeCell ref="AS116:AU116"/>
    <mergeCell ref="L117:O117"/>
    <mergeCell ref="P117:R117"/>
    <mergeCell ref="W117:AA117"/>
    <mergeCell ref="AC117:AR117"/>
    <mergeCell ref="AS117:AU117"/>
    <mergeCell ref="L118:M118"/>
    <mergeCell ref="N118:O118"/>
    <mergeCell ref="P118:Q118"/>
    <mergeCell ref="AC118:AR118"/>
    <mergeCell ref="AS118:AU118"/>
    <mergeCell ref="AX118:BD118"/>
    <mergeCell ref="BG118:BL118"/>
    <mergeCell ref="C119:D119"/>
    <mergeCell ref="E119:H119"/>
    <mergeCell ref="L119:M119"/>
    <mergeCell ref="N119:O119"/>
    <mergeCell ref="P119:Q119"/>
    <mergeCell ref="T119:V119"/>
    <mergeCell ref="AC119:AR119"/>
    <mergeCell ref="AS119:AU119"/>
    <mergeCell ref="C120:D120"/>
    <mergeCell ref="E120:H120"/>
    <mergeCell ref="L120:M120"/>
    <mergeCell ref="N120:O120"/>
    <mergeCell ref="P120:Q120"/>
    <mergeCell ref="T120:V120"/>
    <mergeCell ref="AC120:AR120"/>
    <mergeCell ref="AS120:AU120"/>
    <mergeCell ref="C121:D121"/>
    <mergeCell ref="E121:H121"/>
    <mergeCell ref="L121:M121"/>
    <mergeCell ref="N121:O121"/>
    <mergeCell ref="P121:Q121"/>
    <mergeCell ref="T121:V121"/>
    <mergeCell ref="AC121:AR121"/>
    <mergeCell ref="AS121:AU121"/>
    <mergeCell ref="C122:D122"/>
    <mergeCell ref="E122:H122"/>
    <mergeCell ref="L122:M122"/>
    <mergeCell ref="N122:O122"/>
    <mergeCell ref="P122:Q122"/>
    <mergeCell ref="T122:V122"/>
    <mergeCell ref="C123:D123"/>
    <mergeCell ref="E123:H123"/>
    <mergeCell ref="L123:M123"/>
    <mergeCell ref="N123:O123"/>
    <mergeCell ref="P123:Q123"/>
    <mergeCell ref="T123:V123"/>
    <mergeCell ref="C124:D124"/>
    <mergeCell ref="E124:H124"/>
    <mergeCell ref="L124:M124"/>
    <mergeCell ref="N124:O124"/>
    <mergeCell ref="P124:Q124"/>
    <mergeCell ref="T124:V124"/>
    <mergeCell ref="AE124:AK124"/>
    <mergeCell ref="AX124:BD124"/>
    <mergeCell ref="BG124:BL124"/>
    <mergeCell ref="A9:A11"/>
    <mergeCell ref="B9:B11"/>
    <mergeCell ref="C9:C11"/>
    <mergeCell ref="D9:D11"/>
    <mergeCell ref="E9:E10"/>
    <mergeCell ref="F9:F10"/>
    <mergeCell ref="G9:G10"/>
    <mergeCell ref="H9:H10"/>
    <mergeCell ref="I117:I118"/>
    <mergeCell ref="J117:J118"/>
    <mergeCell ref="K117:K118"/>
    <mergeCell ref="N10:N11"/>
    <mergeCell ref="S116:S118"/>
    <mergeCell ref="V10:V11"/>
    <mergeCell ref="AD10:AD11"/>
    <mergeCell ref="AL10:AL11"/>
    <mergeCell ref="AT10:AT11"/>
    <mergeCell ref="BB10:BB11"/>
    <mergeCell ref="BE9:BE11"/>
    <mergeCell ref="C116:D117"/>
    <mergeCell ref="E116:H118"/>
    <mergeCell ref="T116:V118"/>
  </mergeCells>
  <conditionalFormatting sqref="BL12:BL111">
    <cfRule type="containsText" dxfId="4" priority="1" operator="between" text="THIRD">
      <formula>NOT(ISERROR(SEARCH("THIRD",BL12)))</formula>
    </cfRule>
    <cfRule type="containsText" dxfId="5" priority="2" operator="between" text="SECOND">
      <formula>NOT(ISERROR(SEARCH("SECOND",BL12)))</formula>
    </cfRule>
    <cfRule type="containsText" dxfId="6" priority="3" operator="between" text="FIRST">
      <formula>NOT(ISERROR(SEARCH("FIRST",BL12)))</formula>
    </cfRule>
  </conditionalFormatting>
  <pageMargins left="0.27" right="0.23" top="0.42" bottom="0.42" header="0.3" footer="0.3"/>
  <pageSetup paperSize="9" scale="21" orientation="portrait" horizontalDpi="300" verticalDpi="300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6"/>
  <sheetViews>
    <sheetView workbookViewId="0">
      <selection activeCell="L12" sqref="L12"/>
    </sheetView>
  </sheetViews>
  <sheetFormatPr defaultColWidth="9.13888888888889" defaultRowHeight="13.8"/>
  <cols>
    <col min="1" max="1" width="33.1388888888889" style="100" customWidth="1"/>
    <col min="2" max="4" width="12.712962962963" style="100" customWidth="1"/>
    <col min="5" max="7" width="7.71296296296296" style="100" customWidth="1"/>
    <col min="8" max="8" width="9.57407407407407" style="100" customWidth="1"/>
    <col min="9" max="9" width="7.71296296296296" style="100" customWidth="1"/>
    <col min="10" max="10" width="9" style="100" customWidth="1"/>
    <col min="11" max="11" width="7.71296296296296" style="100" customWidth="1"/>
    <col min="12" max="12" width="8.71296296296296" style="100" customWidth="1"/>
    <col min="13" max="17" width="7.71296296296296" style="100" customWidth="1"/>
    <col min="18" max="18" width="8.71296296296296" style="100" customWidth="1"/>
    <col min="19" max="16384" width="9.13888888888889" style="100"/>
  </cols>
  <sheetData>
    <row r="1" ht="22.2" spans="1:18">
      <c r="A1" s="101" t="s">
        <v>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</row>
    <row r="2" ht="17.4" spans="1:18">
      <c r="A2" s="102" t="str">
        <f>"EDUCATION DEPARTMENT - "&amp;ENTRY!$D$5</f>
        <v>EDUCATION DEPARTMENT - ROHINI ZONE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ht="17.4" spans="1:18">
      <c r="A3" s="102" t="str">
        <f>"Result Summary Sheet -Class Wise - Session : "&amp;ENTRY!$D$11</f>
        <v>Result Summary Sheet -Class Wise - Session : 2026-27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</row>
    <row r="4" spans="1:18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</row>
    <row r="5" s="96" customFormat="1" spans="1:18">
      <c r="A5" s="104" t="s">
        <v>676</v>
      </c>
      <c r="B5" s="18" t="str">
        <f>ENTRY!$D$6</f>
        <v>MCP NITHARI NO 1 BOYS</v>
      </c>
      <c r="C5" s="18"/>
      <c r="D5" s="18"/>
      <c r="E5" s="18"/>
      <c r="F5" s="18"/>
      <c r="G5" s="18"/>
      <c r="H5" s="18"/>
      <c r="I5" s="18"/>
      <c r="J5" s="18"/>
      <c r="K5" s="18"/>
      <c r="L5" s="98"/>
      <c r="M5" s="98"/>
      <c r="N5" s="99" t="s">
        <v>393</v>
      </c>
      <c r="O5" s="99"/>
      <c r="P5" s="21">
        <f>ENTRY!$D$7</f>
        <v>0</v>
      </c>
      <c r="Q5" s="21"/>
      <c r="R5" s="98"/>
    </row>
    <row r="6" s="96" customFormat="1" spans="1:18">
      <c r="A6" s="104" t="s">
        <v>677</v>
      </c>
      <c r="B6" s="105" t="str">
        <f>ENTRY!$D$19</f>
        <v>INDRAJEET</v>
      </c>
      <c r="C6" s="105"/>
      <c r="D6" s="105"/>
      <c r="E6" s="105"/>
      <c r="F6" s="105"/>
      <c r="G6" s="105"/>
      <c r="H6" s="105"/>
      <c r="I6" s="105"/>
      <c r="J6" s="105"/>
      <c r="K6" s="105"/>
      <c r="L6" s="98"/>
      <c r="M6" s="98"/>
      <c r="N6" s="99" t="s">
        <v>678</v>
      </c>
      <c r="O6" s="99"/>
      <c r="P6" s="24" t="str">
        <f>ENTRY!$D$20&amp;"-"&amp;ENTRY!$D$21</f>
        <v>III-A</v>
      </c>
      <c r="Q6" s="24"/>
      <c r="R6" s="98"/>
    </row>
    <row r="8" s="97" customFormat="1" ht="18" customHeight="1" spans="1:18">
      <c r="A8" s="106" t="s">
        <v>679</v>
      </c>
      <c r="B8" s="106"/>
      <c r="E8" s="107" t="s">
        <v>101</v>
      </c>
      <c r="M8" s="107">
        <v>1</v>
      </c>
      <c r="N8" s="107">
        <v>2</v>
      </c>
      <c r="O8" s="107">
        <v>3</v>
      </c>
      <c r="P8" s="107">
        <v>4</v>
      </c>
      <c r="Q8" s="107">
        <v>5</v>
      </c>
    </row>
    <row r="9" s="98" customFormat="1" ht="18" customHeight="1" spans="1:18">
      <c r="A9" s="108" t="s">
        <v>662</v>
      </c>
      <c r="B9" s="48" t="s">
        <v>664</v>
      </c>
      <c r="C9" s="48" t="s">
        <v>509</v>
      </c>
      <c r="D9" s="48" t="s">
        <v>680</v>
      </c>
      <c r="E9" s="47" t="s">
        <v>681</v>
      </c>
      <c r="F9" s="47"/>
      <c r="G9" s="47"/>
      <c r="H9" s="47"/>
      <c r="I9" s="47"/>
      <c r="J9" s="47"/>
      <c r="K9" s="47"/>
      <c r="L9" s="109" t="s">
        <v>382</v>
      </c>
      <c r="M9" s="47" t="s">
        <v>682</v>
      </c>
      <c r="N9" s="47"/>
      <c r="O9" s="47"/>
      <c r="P9" s="47"/>
      <c r="Q9" s="47"/>
      <c r="R9" s="109" t="s">
        <v>382</v>
      </c>
    </row>
    <row r="10" s="98" customFormat="1" ht="18" customHeight="1" spans="1:18">
      <c r="A10" s="110"/>
      <c r="B10" s="111"/>
      <c r="C10" s="111"/>
      <c r="D10" s="111"/>
      <c r="E10" s="108" t="s">
        <v>50</v>
      </c>
      <c r="F10" s="108" t="s">
        <v>485</v>
      </c>
      <c r="G10" s="108" t="s">
        <v>486</v>
      </c>
      <c r="H10" s="35" t="s">
        <v>487</v>
      </c>
      <c r="I10" s="36"/>
      <c r="J10" s="35" t="s">
        <v>488</v>
      </c>
      <c r="K10" s="36"/>
      <c r="L10" s="132">
        <f>SUM(L12:L17)/6</f>
        <v>39</v>
      </c>
      <c r="M10" s="108" t="s">
        <v>96</v>
      </c>
      <c r="N10" s="108" t="s">
        <v>97</v>
      </c>
      <c r="O10" s="108" t="s">
        <v>98</v>
      </c>
      <c r="P10" s="108" t="s">
        <v>99</v>
      </c>
      <c r="Q10" s="108" t="s">
        <v>100</v>
      </c>
      <c r="R10" s="132">
        <f>SUM(R12:R14)/3</f>
        <v>36</v>
      </c>
    </row>
    <row r="11" s="98" customFormat="1" ht="20.4" spans="1:18">
      <c r="A11" s="51"/>
      <c r="B11" s="113"/>
      <c r="C11" s="113"/>
      <c r="D11" s="113"/>
      <c r="E11" s="51"/>
      <c r="F11" s="51"/>
      <c r="G11" s="51"/>
      <c r="H11" s="114" t="s">
        <v>740</v>
      </c>
      <c r="I11" s="114" t="s">
        <v>748</v>
      </c>
      <c r="J11" s="115" t="s">
        <v>742</v>
      </c>
      <c r="K11" s="115" t="s">
        <v>743</v>
      </c>
      <c r="L11" s="133"/>
      <c r="M11" s="51"/>
      <c r="N11" s="51"/>
      <c r="O11" s="51"/>
      <c r="P11" s="51"/>
      <c r="Q11" s="51"/>
      <c r="R11" s="133"/>
    </row>
    <row r="12" s="99" customFormat="1" ht="18" customHeight="1" spans="1:18">
      <c r="A12" s="117" t="s">
        <v>668</v>
      </c>
      <c r="B12" s="47">
        <f>'SUM1'!T665</f>
        <v>39</v>
      </c>
      <c r="C12" s="47">
        <f>COUNTIFS('RR-3.1-5TH'!$P$12:$P$111,$E$8)</f>
        <v>0</v>
      </c>
      <c r="D12" s="47">
        <f>B12-C12</f>
        <v>39</v>
      </c>
      <c r="E12" s="47">
        <f>COUNTIFS('RR-3.1-5TH'!$P$12:$P$111,$E$10)</f>
        <v>0</v>
      </c>
      <c r="F12" s="47">
        <f>COUNTIFS('RR-3.1-5TH'!$P$12:$P$111,$F$10)</f>
        <v>0</v>
      </c>
      <c r="G12" s="47">
        <f>COUNTIFS('RR-3.1-5TH'!$P$12:$P$111,$G$10)</f>
        <v>15</v>
      </c>
      <c r="H12" s="47">
        <f>COUNTIFS('RR-3.1-5TH'!$N$12:$N$111,"",'RR-3.1-5TH'!$P$12:$P$111,$H$10)</f>
        <v>11</v>
      </c>
      <c r="I12" s="47">
        <f>COUNTIFS('RR-3.1-5TH'!$N$12:$N$111,"&gt;0",'RR-3.1-5TH'!$P$12:$P$111,$H$10)</f>
        <v>0</v>
      </c>
      <c r="J12" s="47">
        <f>COUNTIFS('RR-3.1-5TH'!$P$12:$P$111,$J$10,'RR-3.1-5TH'!$O$12:$O$111,"&gt;=25")</f>
        <v>13</v>
      </c>
      <c r="K12" s="47">
        <f>COUNTIFS('RR-3.1-5TH'!$P$12:$P$111,$J$10,'RR-3.1-5TH'!$O$12:$O$111,"&lt;25")</f>
        <v>0</v>
      </c>
      <c r="L12" s="47">
        <f>SUM(C12,E12,F12,G12,H12,I12,J12,K12)</f>
        <v>39</v>
      </c>
      <c r="M12" s="47">
        <f>COUNTIFS('RR-3.1-5TH'!$BI$12:$BI$111,$M$8)</f>
        <v>0</v>
      </c>
      <c r="N12" s="47">
        <f>COUNTIFS('RR-3.1-5TH'!$BI$12:$BI$111,$N$8)</f>
        <v>28</v>
      </c>
      <c r="O12" s="47">
        <f>COUNTIFS('RR-3.1-5TH'!$BI$12:$BI$111,$O$8)</f>
        <v>5</v>
      </c>
      <c r="P12" s="47">
        <f>COUNTIFS('RR-3.1-5TH'!$BI$12:$BI$111,$P$8)</f>
        <v>3</v>
      </c>
      <c r="Q12" s="47">
        <f>COUNTIFS('RR-3.1-5TH'!$BI$12:$BI$111,$Q$8)</f>
        <v>0</v>
      </c>
      <c r="R12" s="47">
        <f>SUM(M12,N12,O12,P12,Q12)</f>
        <v>36</v>
      </c>
    </row>
    <row r="13" s="99" customFormat="1" ht="18" customHeight="1" spans="1:18">
      <c r="A13" s="117" t="s">
        <v>513</v>
      </c>
      <c r="B13" s="47">
        <f>'SUM1'!T677</f>
        <v>39</v>
      </c>
      <c r="C13" s="47">
        <f>COUNTIFS('RR-3.1-5TH'!$X$12:$X$111,$E$8)</f>
        <v>0</v>
      </c>
      <c r="D13" s="47">
        <f t="shared" ref="D13:D17" si="0">B13-C13</f>
        <v>39</v>
      </c>
      <c r="E13" s="47">
        <f>COUNTIFS('RR-3.1-5TH'!$X$12:$X$111,$E$10)</f>
        <v>0</v>
      </c>
      <c r="F13" s="47">
        <f>COUNTIFS('RR-3.1-5TH'!$X$12:$X$111,$F$10)</f>
        <v>0</v>
      </c>
      <c r="G13" s="47">
        <f>COUNTIFS('RR-3.1-5TH'!$X$12:$X$111,$G$10)</f>
        <v>0</v>
      </c>
      <c r="H13" s="47">
        <f>COUNTIFS('RR-3.1-5TH'!$V$12:$V$111,"",'RR-3.1-5TH'!$X$12:$X$111,$H$10)</f>
        <v>0</v>
      </c>
      <c r="I13" s="47">
        <f>COUNTIFS('RR-3.1-5TH'!$V$12:$V$111,"&gt;0",'RR-3.1-5TH'!$X$12:$X$111,$H$10)</f>
        <v>0</v>
      </c>
      <c r="J13" s="47">
        <f>COUNTIFS('RR-3.1-5TH'!$X$12:$X$111,$J$10,'RR-3.1-5TH'!$W$12:$W$111,"&gt;=25")</f>
        <v>5</v>
      </c>
      <c r="K13" s="47">
        <f>COUNTIFS('RR-3.1-5TH'!$X$12:$X$111,$J$10,'RR-3.1-5TH'!$W$12:$W$111,"&lt;25")</f>
        <v>34</v>
      </c>
      <c r="L13" s="47">
        <f t="shared" ref="L13:L17" si="1">SUM(C13,E13,F13,G13,H13,I13,J13,K13)</f>
        <v>39</v>
      </c>
      <c r="M13" s="47">
        <f>COUNTIFS('RR-3.1-5TH'!$BJ$12:$BJ$111,$M$8)</f>
        <v>0</v>
      </c>
      <c r="N13" s="47">
        <f>COUNTIFS('RR-3.1-5TH'!$BJ$12:$BJ$111,$N$8)</f>
        <v>31</v>
      </c>
      <c r="O13" s="47">
        <f>COUNTIFS('RR-3.1-5TH'!$BJ$12:$BJ$111,$O$8)</f>
        <v>5</v>
      </c>
      <c r="P13" s="47">
        <f>COUNTIFS('RR-3.1-5TH'!$BJ$12:$BJ$111,$P$8)</f>
        <v>0</v>
      </c>
      <c r="Q13" s="47">
        <f>COUNTIFS('RR-3.1-5TH'!$BJ$12:$BJ$111,$Q$8)</f>
        <v>0</v>
      </c>
      <c r="R13" s="47">
        <f t="shared" ref="R13:R14" si="2">SUM(M13,N13,O13,P13,Q13)</f>
        <v>36</v>
      </c>
    </row>
    <row r="14" s="99" customFormat="1" ht="18" customHeight="1" spans="1:18">
      <c r="A14" s="117" t="s">
        <v>514</v>
      </c>
      <c r="B14" s="47">
        <f>'SUM1'!T689</f>
        <v>39</v>
      </c>
      <c r="C14" s="47">
        <f>COUNTIFS('RR-3.1-5TH'!$AF$12:$AF$111,$E$8)</f>
        <v>0</v>
      </c>
      <c r="D14" s="47">
        <f t="shared" si="0"/>
        <v>39</v>
      </c>
      <c r="E14" s="47">
        <f>COUNTIFS('RR-3.1-5TH'!$AF$12:$AF$111,$E$10)</f>
        <v>0</v>
      </c>
      <c r="F14" s="47">
        <f>COUNTIFS('RR-3.1-5TH'!$AF$12:$AF$111,$F$10)</f>
        <v>0</v>
      </c>
      <c r="G14" s="47">
        <f>COUNTIFS('RR-3.1-5TH'!$AF$12:$AF$111,$G$10)</f>
        <v>0</v>
      </c>
      <c r="H14" s="47">
        <f>COUNTIFS('RR-3.1-5TH'!$AD$12:$AD$111,"",'RR-3.1-5TH'!$AF$12:$AF$111,$H$10)</f>
        <v>0</v>
      </c>
      <c r="I14" s="47">
        <f>COUNTIFS('RR-3.1-5TH'!$AD$12:$AD$111,"&gt;0",'RR-3.1-5TH'!$AF$12:$AF$111,$H$10)</f>
        <v>0</v>
      </c>
      <c r="J14" s="47">
        <f>COUNTIFS('RR-3.1-5TH'!$AF$12:$AF$111,$J$10,'RR-3.1-5TH'!$AE$12:$AE$111,"&gt;=25")</f>
        <v>2</v>
      </c>
      <c r="K14" s="47">
        <f>COUNTIFS('RR-3.1-5TH'!$AF$12:$AF$111,$J$10,'RR-3.1-5TH'!$AE$12:$AE$111,"&lt;25")</f>
        <v>37</v>
      </c>
      <c r="L14" s="47">
        <f t="shared" si="1"/>
        <v>39</v>
      </c>
      <c r="M14" s="47">
        <f>COUNTIFS('RR-3.1-5TH'!$BK$12:$BK$111,$M$8)</f>
        <v>0</v>
      </c>
      <c r="N14" s="47">
        <f>COUNTIFS('RR-3.1-5TH'!$BK$12:$BK$111,$N$8)</f>
        <v>0</v>
      </c>
      <c r="O14" s="47">
        <f>COUNTIFS('RR-3.1-5TH'!$BK$12:$BK$111,$O$8)</f>
        <v>27</v>
      </c>
      <c r="P14" s="47">
        <f>COUNTIFS('RR-3.1-5TH'!$BK$12:$BK$111,$P$8)</f>
        <v>9</v>
      </c>
      <c r="Q14" s="47">
        <f>COUNTIFS('RR-3.1-5TH'!$BK$12:$BK$111,$Q$8)</f>
        <v>0</v>
      </c>
      <c r="R14" s="47">
        <f t="shared" si="2"/>
        <v>36</v>
      </c>
    </row>
    <row r="15" s="99" customFormat="1" ht="18" customHeight="1" spans="1:18">
      <c r="A15" s="117" t="s">
        <v>351</v>
      </c>
      <c r="B15" s="47">
        <f>'SUM1'!T702</f>
        <v>39</v>
      </c>
      <c r="C15" s="47">
        <f>COUNTIFS('RR-3.1-5TH'!$AN$12:$AN$111,$E$8)</f>
        <v>0</v>
      </c>
      <c r="D15" s="47">
        <f t="shared" si="0"/>
        <v>39</v>
      </c>
      <c r="E15" s="47">
        <f>COUNTIFS('RR-3.1-5TH'!$AN$12:$AN$111,$E$10)</f>
        <v>0</v>
      </c>
      <c r="F15" s="47">
        <f>COUNTIFS('RR-3.1-5TH'!$AN$12:$AN$111,$F$10)</f>
        <v>0</v>
      </c>
      <c r="G15" s="47">
        <f>COUNTIFS('RR-3.1-5TH'!$AN$12:$AN$111,$G$10)</f>
        <v>0</v>
      </c>
      <c r="H15" s="47">
        <f>COUNTIFS('RR-3.1-5TH'!$AL$12:$AL$111,"",'RR-3.1-5TH'!$AN$12:$AN$111,$H$10)</f>
        <v>0</v>
      </c>
      <c r="I15" s="47">
        <f>COUNTIFS('RR-3.1-5TH'!$AL$12:$AL$111,"&gt;0",'RR-3.1-5TH'!$AN$12:$AN$111,$H$10)</f>
        <v>0</v>
      </c>
      <c r="J15" s="47">
        <f>COUNTIFS('RR-3.1-5TH'!$AN$12:$AN$111,$J$10,'RR-3.1-5TH'!$AM$12:$AM$111,"&gt;=25")</f>
        <v>8</v>
      </c>
      <c r="K15" s="47">
        <f>COUNTIFS('RR-3.1-5TH'!$AN$12:$AN$111,$J$10,'RR-3.1-5TH'!$AM$12:$AM$111,"&lt;25")</f>
        <v>31</v>
      </c>
      <c r="L15" s="47">
        <f t="shared" si="1"/>
        <v>39</v>
      </c>
      <c r="M15" s="47" t="s">
        <v>670</v>
      </c>
      <c r="N15" s="47" t="s">
        <v>670</v>
      </c>
      <c r="O15" s="47" t="s">
        <v>670</v>
      </c>
      <c r="P15" s="47" t="s">
        <v>670</v>
      </c>
      <c r="Q15" s="47" t="s">
        <v>670</v>
      </c>
      <c r="R15" s="47" t="s">
        <v>670</v>
      </c>
    </row>
    <row r="16" s="99" customFormat="1" ht="18" customHeight="1" spans="1:18">
      <c r="A16" s="117" t="s">
        <v>671</v>
      </c>
      <c r="B16" s="47">
        <f>'SUM1'!T715</f>
        <v>39</v>
      </c>
      <c r="C16" s="47">
        <f>COUNTIFS('RR-3.1-5TH'!$AV$12:$AV$111,$E$8)</f>
        <v>0</v>
      </c>
      <c r="D16" s="47">
        <f t="shared" si="0"/>
        <v>39</v>
      </c>
      <c r="E16" s="47">
        <f>COUNTIFS('RR-3.1-5TH'!$AV$12:$AV$111,$E$10)</f>
        <v>0</v>
      </c>
      <c r="F16" s="47">
        <f>COUNTIFS('RR-3.1-5TH'!$AV$12:$AV$111,$F$10)</f>
        <v>0</v>
      </c>
      <c r="G16" s="47">
        <f>COUNTIFS('RR-3.1-5TH'!$AV$12:$AV$111,$G$10)</f>
        <v>0</v>
      </c>
      <c r="H16" s="47">
        <f>COUNTIFS('RR-3.1-5TH'!$AT$12:$AT$111,"",'RR-3.1-5TH'!$AV$12:$AV$111,$H$10)</f>
        <v>0</v>
      </c>
      <c r="I16" s="47">
        <f>COUNTIFS('RR-3.1-5TH'!$AT$12:$AT$111,"&gt;0",'RR-3.1-5TH'!$AV$12:$AV$111,$H$10)</f>
        <v>0</v>
      </c>
      <c r="J16" s="47">
        <f>COUNTIFS('RR-3.1-5TH'!$AV$12:$AV$111,$J$10,'RR-3.1-5TH'!$AU$12:$AU$111,"&gt;=25")</f>
        <v>6</v>
      </c>
      <c r="K16" s="47">
        <f>COUNTIFS('RR-3.1-5TH'!$AV$12:$AV$111,$J$10,'RR-3.1-5TH'!$AU$12:$AU$111,"&lt;25")</f>
        <v>33</v>
      </c>
      <c r="L16" s="47">
        <f t="shared" si="1"/>
        <v>39</v>
      </c>
      <c r="M16" s="47" t="s">
        <v>670</v>
      </c>
      <c r="N16" s="47" t="s">
        <v>670</v>
      </c>
      <c r="O16" s="47" t="s">
        <v>670</v>
      </c>
      <c r="P16" s="47" t="s">
        <v>670</v>
      </c>
      <c r="Q16" s="47" t="s">
        <v>670</v>
      </c>
      <c r="R16" s="47" t="s">
        <v>670</v>
      </c>
    </row>
    <row r="17" s="99" customFormat="1" ht="18" customHeight="1" spans="1:18">
      <c r="A17" s="117" t="s">
        <v>672</v>
      </c>
      <c r="B17" s="47">
        <f>'SUM1'!T728</f>
        <v>39</v>
      </c>
      <c r="C17" s="47">
        <f>COUNTIFS('RR-3.1-5TH'!$BD$12:$BD$111,$E$8)</f>
        <v>0</v>
      </c>
      <c r="D17" s="47">
        <f t="shared" si="0"/>
        <v>39</v>
      </c>
      <c r="E17" s="47">
        <f>COUNTIFS('RR-3.1-5TH'!$BD$12:$BD$111,$E$10)</f>
        <v>0</v>
      </c>
      <c r="F17" s="47">
        <f>COUNTIFS('RR-3.1-5TH'!$BD$12:$BD$111,$F$10)</f>
        <v>0</v>
      </c>
      <c r="G17" s="47">
        <f>COUNTIFS('RR-3.1-5TH'!$BD$12:$BD$111,$G$10)</f>
        <v>0</v>
      </c>
      <c r="H17" s="47">
        <f>COUNTIFS('RR-3.1-5TH'!$BB$12:$BB$111,"",'RR-3.1-5TH'!$BD$12:$BD$111,$H$10)</f>
        <v>0</v>
      </c>
      <c r="I17" s="47">
        <f>COUNTIFS('RR-3.1-5TH'!$BB$12:$BB$111,"&gt;0",'RR-3.1-5TH'!$BD$12:$BD$111,$H$10)</f>
        <v>0</v>
      </c>
      <c r="J17" s="47">
        <f>COUNTIFS('RR-3.1-5TH'!$BD$12:$BD$111,$J$10,'RR-3.1-5TH'!$BC$12:$BC$111,"&gt;=25")</f>
        <v>19</v>
      </c>
      <c r="K17" s="47">
        <f>COUNTIFS('RR-3.1-5TH'!$BD$12:$BD$111,$J$10,'RR-3.1-5TH'!$BC$12:$BC$111,"&lt;25")</f>
        <v>20</v>
      </c>
      <c r="L17" s="47">
        <f t="shared" si="1"/>
        <v>39</v>
      </c>
      <c r="M17" s="47" t="s">
        <v>670</v>
      </c>
      <c r="N17" s="47" t="s">
        <v>670</v>
      </c>
      <c r="O17" s="47" t="s">
        <v>670</v>
      </c>
      <c r="P17" s="47" t="s">
        <v>670</v>
      </c>
      <c r="Q17" s="47" t="s">
        <v>670</v>
      </c>
      <c r="R17" s="47" t="s">
        <v>670</v>
      </c>
    </row>
    <row r="19" s="97" customFormat="1" ht="18" customHeight="1" spans="1:18">
      <c r="A19" s="106" t="s">
        <v>683</v>
      </c>
      <c r="B19" s="106"/>
      <c r="C19" s="107" t="s">
        <v>492</v>
      </c>
    </row>
    <row r="20" s="98" customFormat="1" ht="18" customHeight="1" spans="1:18">
      <c r="A20" s="108" t="s">
        <v>662</v>
      </c>
      <c r="B20" s="48" t="s">
        <v>664</v>
      </c>
      <c r="C20" s="48" t="s">
        <v>509</v>
      </c>
      <c r="D20" s="48" t="s">
        <v>680</v>
      </c>
      <c r="E20" s="47" t="s">
        <v>681</v>
      </c>
      <c r="F20" s="47"/>
      <c r="G20" s="47"/>
      <c r="H20" s="47"/>
      <c r="I20" s="47"/>
      <c r="J20" s="47"/>
      <c r="K20" s="47"/>
      <c r="L20" s="109" t="s">
        <v>382</v>
      </c>
      <c r="M20" s="47" t="s">
        <v>682</v>
      </c>
      <c r="N20" s="47"/>
      <c r="O20" s="47"/>
      <c r="P20" s="47"/>
      <c r="Q20" s="47"/>
      <c r="R20" s="109" t="s">
        <v>382</v>
      </c>
    </row>
    <row r="21" s="98" customFormat="1" ht="18" customHeight="1" spans="1:18">
      <c r="A21" s="110"/>
      <c r="B21" s="111"/>
      <c r="C21" s="111"/>
      <c r="D21" s="111"/>
      <c r="E21" s="108" t="s">
        <v>50</v>
      </c>
      <c r="F21" s="108" t="s">
        <v>485</v>
      </c>
      <c r="G21" s="108" t="s">
        <v>486</v>
      </c>
      <c r="H21" s="35" t="s">
        <v>487</v>
      </c>
      <c r="I21" s="36"/>
      <c r="J21" s="35" t="s">
        <v>488</v>
      </c>
      <c r="K21" s="36"/>
      <c r="L21" s="132">
        <f>SUM(L23:L28)/6</f>
        <v>0</v>
      </c>
      <c r="M21" s="108" t="s">
        <v>96</v>
      </c>
      <c r="N21" s="108" t="s">
        <v>97</v>
      </c>
      <c r="O21" s="108" t="s">
        <v>98</v>
      </c>
      <c r="P21" s="108" t="s">
        <v>99</v>
      </c>
      <c r="Q21" s="108" t="s">
        <v>100</v>
      </c>
      <c r="R21" s="132">
        <f>SUM(R23:R25)/3</f>
        <v>0</v>
      </c>
    </row>
    <row r="22" s="98" customFormat="1" ht="20.4" spans="1:18">
      <c r="A22" s="51"/>
      <c r="B22" s="113"/>
      <c r="C22" s="113"/>
      <c r="D22" s="113"/>
      <c r="E22" s="51"/>
      <c r="F22" s="51"/>
      <c r="G22" s="51"/>
      <c r="H22" s="114" t="s">
        <v>740</v>
      </c>
      <c r="I22" s="114" t="s">
        <v>748</v>
      </c>
      <c r="J22" s="115" t="s">
        <v>742</v>
      </c>
      <c r="K22" s="115" t="s">
        <v>743</v>
      </c>
      <c r="L22" s="133"/>
      <c r="M22" s="51"/>
      <c r="N22" s="51"/>
      <c r="O22" s="51"/>
      <c r="P22" s="51"/>
      <c r="Q22" s="51"/>
      <c r="R22" s="133"/>
    </row>
    <row r="23" s="99" customFormat="1" ht="18" customHeight="1" spans="1:18">
      <c r="A23" s="117" t="s">
        <v>668</v>
      </c>
      <c r="B23" s="47">
        <f>'SUM1'!$AB$689</f>
        <v>0</v>
      </c>
      <c r="C23" s="47">
        <f>COUNTIFS('RR-3.1-5TH'!$F$12:$F$111,$C$19,'RR-3.1-5TH'!$P$12:$P$111,$E$8)</f>
        <v>0</v>
      </c>
      <c r="D23" s="47">
        <f>B23-C23</f>
        <v>0</v>
      </c>
      <c r="E23" s="47">
        <f>COUNTIFS('RR-3.1-5TH'!$F$12:$F$111,$C$19,'RR-3.1-5TH'!$P$12:$P$111,$E$10)</f>
        <v>0</v>
      </c>
      <c r="F23" s="47">
        <f>COUNTIFS('RR-3.1-5TH'!$F$12:$F$111,$C$19,'RR-3.1-5TH'!$P$12:$P$111,$F$10)</f>
        <v>0</v>
      </c>
      <c r="G23" s="47">
        <f>COUNTIFS('RR-3.1-5TH'!$F$12:$F$111,$C$19,'RR-3.1-5TH'!$P$12:$P$111,$G$10)</f>
        <v>0</v>
      </c>
      <c r="H23" s="47">
        <f>COUNTIFS('RR-3.1-5TH'!$F$12:$F$111,$C$19,'RR-3.1-5TH'!$N$12:$N$111,"",'RR-3.1-5TH'!$P$12:$P$111,$H$10)</f>
        <v>0</v>
      </c>
      <c r="I23" s="47">
        <f>COUNTIFS('RR-3.1-5TH'!$F$12:$F$111,$C$19,'RR-3.1-5TH'!$N$12:$N$111,"&gt;0",'RR-3.1-5TH'!$P$12:$P$111,$H$10)</f>
        <v>0</v>
      </c>
      <c r="J23" s="47">
        <f>COUNTIFS('RR-3.1-5TH'!$F$12:$F$111,$C$19,'RR-3.1-5TH'!$P$12:$P$111,$J$10,'RR-3.1-5TH'!$O$12:$O$111,"&gt;=25")</f>
        <v>0</v>
      </c>
      <c r="K23" s="47">
        <f>COUNTIFS('RR-3.1-5TH'!$F$12:$F$111,$C$19,'RR-3.1-5TH'!$P$12:$P$111,$J$10,'RR-3.1-5TH'!$O$12:$O$111,"&lt;25")</f>
        <v>0</v>
      </c>
      <c r="L23" s="47">
        <f>SUM(C23,E23,F23,G23,H23,I23,J23,K23)</f>
        <v>0</v>
      </c>
      <c r="M23" s="47">
        <f>COUNTIFS('RR-3.1-5TH'!$F$12:$F$111,$C$19,'RR-3.1-5TH'!$BI$12:$BI$111,$M$8)</f>
        <v>0</v>
      </c>
      <c r="N23" s="47">
        <f>COUNTIFS('RR-3.1-5TH'!$F$12:$F$111,$C$19,'RR-3.1-5TH'!$BI$12:$BI$111,$N$8)</f>
        <v>0</v>
      </c>
      <c r="O23" s="47">
        <f>COUNTIFS('RR-3.1-5TH'!$F$12:$F$111,$C$19,'RR-3.1-5TH'!$BI$12:$BI$111,$O$8)</f>
        <v>0</v>
      </c>
      <c r="P23" s="47">
        <f>COUNTIFS('RR-3.1-5TH'!$F$12:$F$111,$C$19,'RR-3.1-5TH'!$BI$12:$BI$111,$P$8)</f>
        <v>0</v>
      </c>
      <c r="Q23" s="47">
        <f>COUNTIFS('RR-3.1-5TH'!$F$12:$F$111,$C$19,'RR-3.1-5TH'!$BI$12:$BI$111,$Q$8)</f>
        <v>0</v>
      </c>
      <c r="R23" s="47">
        <f>SUM(M23,N23,O23,P23,Q23)</f>
        <v>0</v>
      </c>
    </row>
    <row r="24" s="99" customFormat="1" ht="18" customHeight="1" spans="1:18">
      <c r="A24" s="117" t="s">
        <v>513</v>
      </c>
      <c r="B24" s="47">
        <f>'SUM1'!$AB$689</f>
        <v>0</v>
      </c>
      <c r="C24" s="47">
        <f>COUNTIFS('RR-3.1-5TH'!$F$12:$F$111,$C$19,'RR-3.1-5TH'!$X$12:$X$111,$E$8)</f>
        <v>0</v>
      </c>
      <c r="D24" s="47">
        <f t="shared" ref="D24:D28" si="3">B24-C24</f>
        <v>0</v>
      </c>
      <c r="E24" s="47">
        <f>COUNTIFS('RR-3.1-5TH'!$F$12:$F$111,$C$19,'RR-3.1-5TH'!$X$12:$X$111,$E$10)</f>
        <v>0</v>
      </c>
      <c r="F24" s="47">
        <f>COUNTIFS('RR-3.1-5TH'!$F$12:$F$111,$C$19,'RR-3.1-5TH'!$X$12:$X$111,$F$10)</f>
        <v>0</v>
      </c>
      <c r="G24" s="47">
        <f>COUNTIFS('RR-3.1-5TH'!$F$12:$F$111,$C$19,'RR-3.1-5TH'!$X$12:$X$111,$G$10)</f>
        <v>0</v>
      </c>
      <c r="H24" s="47">
        <f>COUNTIFS('RR-3.1-5TH'!$F$12:$F$111,$C$19,'RR-3.1-5TH'!$V$12:$V$111,"",'RR-3.1-5TH'!$X$12:$X$111,$H$10)</f>
        <v>0</v>
      </c>
      <c r="I24" s="47">
        <f>COUNTIFS('RR-3.1-5TH'!$F$12:$F$111,$C$19,'RR-3.1-5TH'!$V$12:$V$111,"&gt;0",'RR-3.1-5TH'!$X$12:$X$111,$H$10)</f>
        <v>0</v>
      </c>
      <c r="J24" s="47">
        <f>COUNTIFS('RR-3.1-5TH'!$F$12:$F$111,$C$19,'RR-3.1-5TH'!$X$12:$X$111,$J$10,'RR-3.1-5TH'!$W$12:$W$111,"&gt;=25")</f>
        <v>0</v>
      </c>
      <c r="K24" s="47">
        <f>COUNTIFS('RR-3.1-5TH'!$F$12:$F$111,$C$19,'RR-3.1-5TH'!$X$12:$X$111,$J$10,'RR-3.1-5TH'!$W$12:$W$111,"&lt;25")</f>
        <v>0</v>
      </c>
      <c r="L24" s="47">
        <f t="shared" ref="L24:L28" si="4">SUM(C24,E24,F24,G24,H24,I24,J24,K24)</f>
        <v>0</v>
      </c>
      <c r="M24" s="47">
        <f>COUNTIFS('RR-3.1-5TH'!$F$12:$F$111,$C$19,'RR-3.1-5TH'!$BJ$12:$BJ$111,$M$8)</f>
        <v>0</v>
      </c>
      <c r="N24" s="47">
        <f>COUNTIFS('RR-3.1-5TH'!$F$12:$F$111,$C$19,'RR-3.1-5TH'!$BJ$12:$BJ$111,$N$8)</f>
        <v>0</v>
      </c>
      <c r="O24" s="47">
        <f>COUNTIFS('RR-3.1-5TH'!$F$12:$F$111,$C$19,'RR-3.1-5TH'!$BJ$12:$BJ$111,$O$8)</f>
        <v>0</v>
      </c>
      <c r="P24" s="47">
        <f>COUNTIFS('RR-3.1-5TH'!$F$12:$F$111,$C$19,'RR-3.1-5TH'!$BJ$12:$BJ$111,$P$8)</f>
        <v>0</v>
      </c>
      <c r="Q24" s="47">
        <f>COUNTIFS('RR-3.1-5TH'!$F$12:$F$111,$C$19,'RR-3.1-5TH'!$BJ$12:$BJ$111,$Q$8)</f>
        <v>0</v>
      </c>
      <c r="R24" s="47">
        <f t="shared" ref="R24:R25" si="5">SUM(M24,N24,O24,P24,Q24)</f>
        <v>0</v>
      </c>
    </row>
    <row r="25" s="99" customFormat="1" ht="18" customHeight="1" spans="1:18">
      <c r="A25" s="117" t="s">
        <v>514</v>
      </c>
      <c r="B25" s="47">
        <f>'SUM1'!$AB$689</f>
        <v>0</v>
      </c>
      <c r="C25" s="47">
        <f>COUNTIFS('RR-3.1-5TH'!$F$12:$F$111,$C$19,'RR-3.1-5TH'!$AF$12:$AF$111,$E$8)</f>
        <v>0</v>
      </c>
      <c r="D25" s="47">
        <f t="shared" si="3"/>
        <v>0</v>
      </c>
      <c r="E25" s="47">
        <f>COUNTIFS('RR-3.1-5TH'!$F$12:$F$111,$C$19,'RR-3.1-5TH'!$AF$12:$AF$111,$E$10)</f>
        <v>0</v>
      </c>
      <c r="F25" s="47">
        <f>COUNTIFS('RR-3.1-5TH'!$F$12:$F$111,$C$19,'RR-3.1-5TH'!$AF$12:$AF$111,$F$10)</f>
        <v>0</v>
      </c>
      <c r="G25" s="47">
        <f>COUNTIFS('RR-3.1-5TH'!$F$12:$F$111,$C$19,'RR-3.1-5TH'!$AF$12:$AF$111,$G$10)</f>
        <v>0</v>
      </c>
      <c r="H25" s="47">
        <f>COUNTIFS('RR-3.1-5TH'!$F$12:$F$111,$C$19,'RR-3.1-5TH'!$AD$12:$AD$111,"",'RR-3.1-5TH'!$AF$12:$AF$111,$H$10)</f>
        <v>0</v>
      </c>
      <c r="I25" s="47">
        <f>COUNTIFS('RR-3.1-5TH'!$F$12:$F$111,$C$19,'RR-3.1-5TH'!$AD$12:$AD$111,"&gt;0",'RR-3.1-5TH'!$AF$12:$AF$111,$H$10)</f>
        <v>0</v>
      </c>
      <c r="J25" s="47">
        <f>COUNTIFS('RR-3.1-5TH'!$F$12:$F$111,$C$19,'RR-3.1-5TH'!$AF$12:$AF$111,$J$10,'RR-3.1-5TH'!$AE$12:$AE$111,"&gt;=25")</f>
        <v>0</v>
      </c>
      <c r="K25" s="47">
        <f>COUNTIFS('RR-3.1-5TH'!$F$12:$F$111,$C$19,'RR-3.1-5TH'!$AF$12:$AF$111,$J$10,'RR-3.1-5TH'!$AE$12:$AE$111,"&lt;25")</f>
        <v>0</v>
      </c>
      <c r="L25" s="47">
        <f t="shared" si="4"/>
        <v>0</v>
      </c>
      <c r="M25" s="47">
        <f>COUNTIFS('RR-3.1-5TH'!$F$12:$F$111,$C$19,'RR-3.1-5TH'!$BK$12:$BK$111,$M$8)</f>
        <v>0</v>
      </c>
      <c r="N25" s="47">
        <f>COUNTIFS('RR-3.1-5TH'!$F$12:$F$111,$C$19,'RR-3.1-5TH'!$BK$12:$BK$111,$N$8)</f>
        <v>0</v>
      </c>
      <c r="O25" s="47">
        <f>COUNTIFS('RR-3.1-5TH'!$F$12:$F$111,$C$19,'RR-3.1-5TH'!$BK$12:$BK$111,$O$8)</f>
        <v>0</v>
      </c>
      <c r="P25" s="47">
        <f>COUNTIFS('RR-3.1-5TH'!$F$12:$F$111,$C$19,'RR-3.1-5TH'!$BK$12:$BK$111,$P$8)</f>
        <v>0</v>
      </c>
      <c r="Q25" s="47">
        <f>COUNTIFS('RR-3.1-5TH'!$F$12:$F$111,$C$19,'RR-3.1-5TH'!$BK$12:$BK$111,$Q$8)</f>
        <v>0</v>
      </c>
      <c r="R25" s="47">
        <f t="shared" si="5"/>
        <v>0</v>
      </c>
    </row>
    <row r="26" s="99" customFormat="1" ht="18" customHeight="1" spans="1:18">
      <c r="A26" s="117" t="s">
        <v>351</v>
      </c>
      <c r="B26" s="47">
        <f>'SUM1'!$AB$689</f>
        <v>0</v>
      </c>
      <c r="C26" s="47">
        <f>COUNTIFS('RR-3.1-5TH'!$F$12:$F$111,$C$19,'RR-3.1-5TH'!$AN$12:$AN$111,$E$8)</f>
        <v>0</v>
      </c>
      <c r="D26" s="47">
        <f t="shared" si="3"/>
        <v>0</v>
      </c>
      <c r="E26" s="47">
        <f>COUNTIFS('RR-3.1-5TH'!$F$12:$F$111,$C$19,'RR-3.1-5TH'!$AN$12:$AN$111,$E$10)</f>
        <v>0</v>
      </c>
      <c r="F26" s="47">
        <f>COUNTIFS('RR-3.1-5TH'!$F$12:$F$111,$C$19,'RR-3.1-5TH'!$AN$12:$AN$111,$F$10)</f>
        <v>0</v>
      </c>
      <c r="G26" s="47">
        <f>COUNTIFS('RR-3.1-5TH'!$F$12:$F$111,$C$19,'RR-3.1-5TH'!$AN$12:$AN$111,$G$10)</f>
        <v>0</v>
      </c>
      <c r="H26" s="47">
        <f>COUNTIFS('RR-3.1-5TH'!$F$12:$F$111,$C$19,'RR-3.1-5TH'!$AL$12:$AL$111,"",'RR-3.1-5TH'!$AN$12:$AN$111,$H$10)</f>
        <v>0</v>
      </c>
      <c r="I26" s="47">
        <f>COUNTIFS('RR-3.1-5TH'!$F$12:$F$111,$C$19,'RR-3.1-5TH'!$AL$12:$AL$111,"&gt;0",'RR-3.1-5TH'!$AN$12:$AN$111,$H$10)</f>
        <v>0</v>
      </c>
      <c r="J26" s="47">
        <f>COUNTIFS('RR-3.1-5TH'!$F$12:$F$111,$C$19,'RR-3.1-5TH'!$AN$12:$AN$111,$J$10,'RR-3.1-5TH'!$AM$12:$AM$111,"&gt;=25")</f>
        <v>0</v>
      </c>
      <c r="K26" s="47">
        <f>COUNTIFS('RR-3.1-5TH'!$F$12:$F$111,$C$19,'RR-3.1-5TH'!$AN$12:$AN$111,$J$10,'RR-3.1-5TH'!$AM$12:$AM$111,"&lt;25")</f>
        <v>0</v>
      </c>
      <c r="L26" s="47">
        <f t="shared" si="4"/>
        <v>0</v>
      </c>
      <c r="M26" s="47" t="s">
        <v>670</v>
      </c>
      <c r="N26" s="47" t="s">
        <v>670</v>
      </c>
      <c r="O26" s="47" t="s">
        <v>670</v>
      </c>
      <c r="P26" s="47" t="s">
        <v>670</v>
      </c>
      <c r="Q26" s="47" t="s">
        <v>670</v>
      </c>
      <c r="R26" s="47" t="s">
        <v>670</v>
      </c>
    </row>
    <row r="27" s="99" customFormat="1" ht="18" customHeight="1" spans="1:18">
      <c r="A27" s="117" t="s">
        <v>671</v>
      </c>
      <c r="B27" s="47">
        <f>'SUM1'!$AB$689</f>
        <v>0</v>
      </c>
      <c r="C27" s="47">
        <f>COUNTIFS('RR-3.1-5TH'!$F$12:$F$111,$C$19,'RR-3.1-5TH'!$AV$12:$AV$111,$E$8)</f>
        <v>0</v>
      </c>
      <c r="D27" s="47">
        <f t="shared" si="3"/>
        <v>0</v>
      </c>
      <c r="E27" s="47">
        <f>COUNTIFS('RR-3.1-5TH'!$F$12:$F$111,$C$19,'RR-3.1-5TH'!$AV$12:$AV$111,$E$10)</f>
        <v>0</v>
      </c>
      <c r="F27" s="47">
        <f>COUNTIFS('RR-3.1-5TH'!$F$12:$F$111,$C$19,'RR-3.1-5TH'!$AV$12:$AV$111,$F$10)</f>
        <v>0</v>
      </c>
      <c r="G27" s="47">
        <f>COUNTIFS('RR-3.1-5TH'!$F$12:$F$111,$C$19,'RR-3.1-5TH'!$AV$12:$AV$111,$G$10)</f>
        <v>0</v>
      </c>
      <c r="H27" s="47">
        <f>COUNTIFS('RR-3.1-5TH'!$F$12:$F$111,$C$19,'RR-3.1-5TH'!$AT$12:$AT$111,"",'RR-3.1-5TH'!$AV$12:$AV$111,$H$10)</f>
        <v>0</v>
      </c>
      <c r="I27" s="47">
        <f>COUNTIFS('RR-3.1-5TH'!$F$12:$F$111,$C$19,'RR-3.1-5TH'!$AT$12:$AT$111,"&gt;0",'RR-3.1-5TH'!$AV$12:$AV$111,$H$10)</f>
        <v>0</v>
      </c>
      <c r="J27" s="47">
        <f>COUNTIFS('RR-3.1-5TH'!$F$12:$F$111,$C$19,'RR-3.1-5TH'!$AV$12:$AV$111,$J$10,'RR-3.1-5TH'!$AU$12:$AU$111,"&gt;=25")</f>
        <v>0</v>
      </c>
      <c r="K27" s="47">
        <f>COUNTIFS('RR-3.1-5TH'!$F$12:$F$111,$C$19,'RR-3.1-5TH'!$AV$12:$AV$111,$J$10,'RR-3.1-5TH'!$AU$12:$AU$111,"&lt;25")</f>
        <v>0</v>
      </c>
      <c r="L27" s="47">
        <f t="shared" si="4"/>
        <v>0</v>
      </c>
      <c r="M27" s="47" t="s">
        <v>670</v>
      </c>
      <c r="N27" s="47" t="s">
        <v>670</v>
      </c>
      <c r="O27" s="47" t="s">
        <v>670</v>
      </c>
      <c r="P27" s="47" t="s">
        <v>670</v>
      </c>
      <c r="Q27" s="47" t="s">
        <v>670</v>
      </c>
      <c r="R27" s="47" t="s">
        <v>670</v>
      </c>
    </row>
    <row r="28" s="99" customFormat="1" ht="18" customHeight="1" spans="1:18">
      <c r="A28" s="117" t="s">
        <v>672</v>
      </c>
      <c r="B28" s="47">
        <f>'SUM1'!$AB$689</f>
        <v>0</v>
      </c>
      <c r="C28" s="47">
        <f>COUNTIFS('RR-3.1-5TH'!$F$12:$F$111,$C$19,'RR-3.1-5TH'!$BD$12:$BD$111,$E$8)</f>
        <v>0</v>
      </c>
      <c r="D28" s="47">
        <f t="shared" si="3"/>
        <v>0</v>
      </c>
      <c r="E28" s="47">
        <f>COUNTIFS('RR-3.1-5TH'!$F$12:$F$111,$C$19,'RR-3.1-5TH'!$BD$12:$BD$111,$E$10)</f>
        <v>0</v>
      </c>
      <c r="F28" s="47">
        <f>COUNTIFS('RR-3.1-5TH'!$F$12:$F$111,$C$19,'RR-3.1-5TH'!$BD$12:$BD$111,$F$10)</f>
        <v>0</v>
      </c>
      <c r="G28" s="47">
        <f>COUNTIFS('RR-3.1-5TH'!$F$12:$F$111,$C$19,'RR-3.1-5TH'!$BD$12:$BD$111,$G$10)</f>
        <v>0</v>
      </c>
      <c r="H28" s="47">
        <f>COUNTIFS('RR-3.1-5TH'!$F$12:$F$111,$C$19,'RR-3.1-5TH'!$BB$12:$BB$111,"",'RR-3.1-5TH'!$BD$12:$BD$111,$H$10)</f>
        <v>0</v>
      </c>
      <c r="I28" s="47">
        <f>COUNTIFS('RR-3.1-5TH'!$F$12:$F$111,$C$19,'RR-3.1-5TH'!$BB$12:$BB$111,"&gt;0",'RR-3.1-5TH'!$BD$12:$BD$111,$H$10)</f>
        <v>0</v>
      </c>
      <c r="J28" s="47">
        <f>COUNTIFS('RR-3.1-5TH'!$F$12:$F$111,$C$19,'RR-3.1-5TH'!$BD$12:$BD$111,$J$10,'RR-3.1-5TH'!$BC$12:$BC$111,"&gt;=25")</f>
        <v>0</v>
      </c>
      <c r="K28" s="47">
        <f>COUNTIFS('RR-3.1-5TH'!$F$12:$F$111,$C$19,'RR-3.1-5TH'!$BD$12:$BD$111,$J$10,'RR-3.1-5TH'!$BC$12:$BC$111,"&lt;25")</f>
        <v>0</v>
      </c>
      <c r="L28" s="47">
        <f t="shared" si="4"/>
        <v>0</v>
      </c>
      <c r="M28" s="47" t="s">
        <v>670</v>
      </c>
      <c r="N28" s="47" t="s">
        <v>670</v>
      </c>
      <c r="O28" s="47" t="s">
        <v>670</v>
      </c>
      <c r="P28" s="47" t="s">
        <v>670</v>
      </c>
      <c r="Q28" s="47" t="s">
        <v>670</v>
      </c>
      <c r="R28" s="47" t="s">
        <v>670</v>
      </c>
    </row>
    <row r="30" s="97" customFormat="1" ht="18" customHeight="1" spans="1:18">
      <c r="A30" s="106" t="s">
        <v>684</v>
      </c>
      <c r="B30" s="106"/>
      <c r="C30" s="107" t="s">
        <v>490</v>
      </c>
    </row>
    <row r="31" s="98" customFormat="1" ht="18" customHeight="1" spans="1:18">
      <c r="A31" s="108" t="s">
        <v>662</v>
      </c>
      <c r="B31" s="48" t="s">
        <v>664</v>
      </c>
      <c r="C31" s="48" t="s">
        <v>509</v>
      </c>
      <c r="D31" s="48" t="s">
        <v>680</v>
      </c>
      <c r="E31" s="47" t="s">
        <v>681</v>
      </c>
      <c r="F31" s="47"/>
      <c r="G31" s="47"/>
      <c r="H31" s="47"/>
      <c r="I31" s="47"/>
      <c r="J31" s="47"/>
      <c r="K31" s="47"/>
      <c r="L31" s="109" t="s">
        <v>382</v>
      </c>
      <c r="M31" s="47" t="s">
        <v>682</v>
      </c>
      <c r="N31" s="47"/>
      <c r="O31" s="47"/>
      <c r="P31" s="47"/>
      <c r="Q31" s="47"/>
      <c r="R31" s="109" t="s">
        <v>382</v>
      </c>
    </row>
    <row r="32" s="98" customFormat="1" ht="18" customHeight="1" spans="1:18">
      <c r="A32" s="110"/>
      <c r="B32" s="111"/>
      <c r="C32" s="111"/>
      <c r="D32" s="111"/>
      <c r="E32" s="108" t="s">
        <v>50</v>
      </c>
      <c r="F32" s="108" t="s">
        <v>485</v>
      </c>
      <c r="G32" s="108" t="s">
        <v>486</v>
      </c>
      <c r="H32" s="35" t="s">
        <v>487</v>
      </c>
      <c r="I32" s="36"/>
      <c r="J32" s="35" t="s">
        <v>488</v>
      </c>
      <c r="K32" s="36"/>
      <c r="L32" s="132">
        <f>SUM(L34:L39)/6</f>
        <v>0</v>
      </c>
      <c r="M32" s="108" t="s">
        <v>96</v>
      </c>
      <c r="N32" s="108" t="s">
        <v>97</v>
      </c>
      <c r="O32" s="108" t="s">
        <v>98</v>
      </c>
      <c r="P32" s="108" t="s">
        <v>99</v>
      </c>
      <c r="Q32" s="108" t="s">
        <v>100</v>
      </c>
      <c r="R32" s="132">
        <f>SUM(R34:R36)/3</f>
        <v>0</v>
      </c>
    </row>
    <row r="33" s="98" customFormat="1" ht="20.4" spans="1:18">
      <c r="A33" s="51"/>
      <c r="B33" s="113"/>
      <c r="C33" s="113"/>
      <c r="D33" s="113"/>
      <c r="E33" s="51"/>
      <c r="F33" s="51"/>
      <c r="G33" s="51"/>
      <c r="H33" s="114" t="s">
        <v>740</v>
      </c>
      <c r="I33" s="114" t="s">
        <v>748</v>
      </c>
      <c r="J33" s="115" t="s">
        <v>742</v>
      </c>
      <c r="K33" s="115" t="s">
        <v>743</v>
      </c>
      <c r="L33" s="133"/>
      <c r="M33" s="51"/>
      <c r="N33" s="51"/>
      <c r="O33" s="51"/>
      <c r="P33" s="51"/>
      <c r="Q33" s="51"/>
      <c r="R33" s="133"/>
    </row>
    <row r="34" s="99" customFormat="1" ht="18" customHeight="1" spans="1:18">
      <c r="A34" s="117" t="s">
        <v>668</v>
      </c>
      <c r="B34" s="47">
        <f>'SUM1'!$AB$665</f>
        <v>0</v>
      </c>
      <c r="C34" s="47">
        <f>COUNTIFS('RR-3.1-5TH'!$F$12:$F$111,$C$30,'RR-3.1-5TH'!$P$12:$P$111,$E$8)</f>
        <v>0</v>
      </c>
      <c r="D34" s="47">
        <f>B34-C34</f>
        <v>0</v>
      </c>
      <c r="E34" s="47">
        <f>COUNTIFS('RR-3.1-5TH'!$F$12:$F$111,$C$30,'RR-3.1-5TH'!$P$12:$P$111,$E$10)</f>
        <v>0</v>
      </c>
      <c r="F34" s="47">
        <f>COUNTIFS('RR-3.1-5TH'!$F$12:$F$111,$C$30,'RR-3.1-5TH'!$P$12:$P$111,$F$10)</f>
        <v>0</v>
      </c>
      <c r="G34" s="47">
        <f>COUNTIFS('RR-3.1-5TH'!$F$12:$F$111,$C$30,'RR-3.1-5TH'!$P$12:$P$111,$G$10)</f>
        <v>0</v>
      </c>
      <c r="H34" s="47">
        <f>COUNTIFS('RR-3.1-5TH'!$F$12:$F$111,$C$30,'RR-3.1-5TH'!$N$12:$N$111,"",'RR-3.1-5TH'!$P$12:$P$111,$H$10)</f>
        <v>0</v>
      </c>
      <c r="I34" s="47">
        <f>COUNTIFS('RR-3.1-5TH'!$F$12:$F$111,$C$30,'RR-3.1-5TH'!$N$12:$N$111,"&gt;0",'RR-3.1-5TH'!$P$12:$P$111,$H$10)</f>
        <v>0</v>
      </c>
      <c r="J34" s="47">
        <f>COUNTIFS('RR-3.1-5TH'!$F$12:$F$111,$C$30,'RR-3.1-5TH'!$P$12:$P$111,$J$10,'RR-3.1-5TH'!$O$12:$O$111,"&gt;=25")</f>
        <v>0</v>
      </c>
      <c r="K34" s="47">
        <f>COUNTIFS('RR-3.1-5TH'!$F$12:$F$111,$C$30,'RR-3.1-5TH'!$P$12:$P$111,$J$10,'RR-3.1-5TH'!$O$12:$O$111,"&lt;25")</f>
        <v>0</v>
      </c>
      <c r="L34" s="47">
        <f>SUM(C34,E34,F34,G34,H34,I34,J34,K34)</f>
        <v>0</v>
      </c>
      <c r="M34" s="47">
        <f>COUNTIFS('RR-3.1-5TH'!$F$12:$F$111,$C$30,'RR-3.1-5TH'!$BI$12:$BI$111,$M$8)</f>
        <v>0</v>
      </c>
      <c r="N34" s="47">
        <f>COUNTIFS('RR-3.1-5TH'!$F$12:$F$111,$C$30,'RR-3.1-5TH'!$BI$12:$BI$111,$N$8)</f>
        <v>0</v>
      </c>
      <c r="O34" s="47">
        <f>COUNTIFS('RR-3.1-5TH'!$F$12:$F$111,$C$30,'RR-3.1-5TH'!$BI$12:$BI$111,$O$8)</f>
        <v>0</v>
      </c>
      <c r="P34" s="47">
        <f>COUNTIFS('RR-3.1-5TH'!$F$12:$F$111,$C$30,'RR-3.1-5TH'!$BI$12:$BI$111,$P$8)</f>
        <v>0</v>
      </c>
      <c r="Q34" s="47">
        <f>COUNTIFS('RR-3.1-5TH'!$F$12:$F$111,$C$30,'RR-3.1-5TH'!$BI$12:$BI$111,$Q$8)</f>
        <v>0</v>
      </c>
      <c r="R34" s="47">
        <f>SUM(M34,N34,O34,P34,Q34)</f>
        <v>0</v>
      </c>
    </row>
    <row r="35" s="99" customFormat="1" ht="18" customHeight="1" spans="1:18">
      <c r="A35" s="117" t="s">
        <v>513</v>
      </c>
      <c r="B35" s="47">
        <f>'SUM1'!$AB$665</f>
        <v>0</v>
      </c>
      <c r="C35" s="47">
        <f>COUNTIFS('RR-3.1-5TH'!$F$12:$F$111,$C$30,'RR-3.1-5TH'!$X$12:$X$111,$E$8)</f>
        <v>0</v>
      </c>
      <c r="D35" s="47">
        <f t="shared" ref="D35:D39" si="6">B35-C35</f>
        <v>0</v>
      </c>
      <c r="E35" s="47">
        <f>COUNTIFS('RR-3.1-5TH'!$F$12:$F$111,$C$30,'RR-3.1-5TH'!$X$12:$X$111,$E$10)</f>
        <v>0</v>
      </c>
      <c r="F35" s="47">
        <f>COUNTIFS('RR-3.1-5TH'!$F$12:$F$111,$C$30,'RR-3.1-5TH'!$X$12:$X$111,$F$10)</f>
        <v>0</v>
      </c>
      <c r="G35" s="47">
        <f>COUNTIFS('RR-3.1-5TH'!$F$12:$F$111,$C$30,'RR-3.1-5TH'!$X$12:$X$111,$G$10)</f>
        <v>0</v>
      </c>
      <c r="H35" s="47">
        <f>COUNTIFS('RR-3.1-5TH'!$F$12:$F$111,$C$30,'RR-3.1-5TH'!$V$12:$V$111,"",'RR-3.1-5TH'!$X$12:$X$111,$H$10)</f>
        <v>0</v>
      </c>
      <c r="I35" s="47">
        <f>COUNTIFS('RR-3.1-5TH'!$F$12:$F$111,$C$30,'RR-3.1-5TH'!$V$12:$V$111,"&gt;0",'RR-3.1-5TH'!$X$12:$X$111,$H$10)</f>
        <v>0</v>
      </c>
      <c r="J35" s="47">
        <f>COUNTIFS('RR-3.1-5TH'!$F$12:$F$111,$C$30,'RR-3.1-5TH'!$X$12:$X$111,$J$10,'RR-3.1-5TH'!$W$12:$W$111,"&gt;=25")</f>
        <v>0</v>
      </c>
      <c r="K35" s="47">
        <f>COUNTIFS('RR-3.1-5TH'!$F$12:$F$111,$C$30,'RR-3.1-5TH'!$X$12:$X$111,$J$10,'RR-3.1-5TH'!$W$12:$W$111,"&lt;25")</f>
        <v>0</v>
      </c>
      <c r="L35" s="47">
        <f t="shared" ref="L35:L39" si="7">SUM(C35,E35,F35,G35,H35,I35,J35,K35)</f>
        <v>0</v>
      </c>
      <c r="M35" s="47">
        <f>COUNTIFS('RR-3.1-5TH'!$F$12:$F$111,$C$30,'RR-3.1-5TH'!$BJ$12:$BJ$111,$M$8)</f>
        <v>0</v>
      </c>
      <c r="N35" s="47">
        <f>COUNTIFS('RR-3.1-5TH'!$F$12:$F$111,$C$30,'RR-3.1-5TH'!$BJ$12:$BJ$111,$N$8)</f>
        <v>0</v>
      </c>
      <c r="O35" s="47">
        <f>COUNTIFS('RR-3.1-5TH'!$F$12:$F$111,$C$30,'RR-3.1-5TH'!$BJ$12:$BJ$111,$O$8)</f>
        <v>0</v>
      </c>
      <c r="P35" s="47">
        <f>COUNTIFS('RR-3.1-5TH'!$F$12:$F$111,$C$30,'RR-3.1-5TH'!$BJ$12:$BJ$111,$P$8)</f>
        <v>0</v>
      </c>
      <c r="Q35" s="47">
        <f>COUNTIFS('RR-3.1-5TH'!$F$12:$F$111,$C$30,'RR-3.1-5TH'!$BJ$12:$BJ$111,$Q$8)</f>
        <v>0</v>
      </c>
      <c r="R35" s="47">
        <f t="shared" ref="R35:R36" si="8">SUM(M35,N35,O35,P35,Q35)</f>
        <v>0</v>
      </c>
    </row>
    <row r="36" s="99" customFormat="1" ht="18" customHeight="1" spans="1:18">
      <c r="A36" s="117" t="s">
        <v>514</v>
      </c>
      <c r="B36" s="47">
        <f>'SUM1'!$AB$665</f>
        <v>0</v>
      </c>
      <c r="C36" s="47">
        <f>COUNTIFS('RR-3.1-5TH'!$F$12:$F$111,$C$30,'RR-3.1-5TH'!$AF$12:$AF$111,$E$8)</f>
        <v>0</v>
      </c>
      <c r="D36" s="47">
        <f t="shared" si="6"/>
        <v>0</v>
      </c>
      <c r="E36" s="47">
        <f>COUNTIFS('RR-3.1-5TH'!$F$12:$F$111,$C$30,'RR-3.1-5TH'!$AF$12:$AF$111,$E$10)</f>
        <v>0</v>
      </c>
      <c r="F36" s="47">
        <f>COUNTIFS('RR-3.1-5TH'!$F$12:$F$111,$C$30,'RR-3.1-5TH'!$AF$12:$AF$111,$F$10)</f>
        <v>0</v>
      </c>
      <c r="G36" s="47">
        <f>COUNTIFS('RR-3.1-5TH'!$F$12:$F$111,$C$30,'RR-3.1-5TH'!$AF$12:$AF$111,$G$10)</f>
        <v>0</v>
      </c>
      <c r="H36" s="47">
        <f>COUNTIFS('RR-3.1-5TH'!$F$12:$F$111,$C$30,'RR-3.1-5TH'!$AD$12:$AD$111,"",'RR-3.1-5TH'!$AF$12:$AF$111,$H$10)</f>
        <v>0</v>
      </c>
      <c r="I36" s="47">
        <f>COUNTIFS('RR-3.1-5TH'!$F$12:$F$111,$C$30,'RR-3.1-5TH'!$AD$12:$AD$111,"&gt;0",'RR-3.1-5TH'!$AF$12:$AF$111,$H$10)</f>
        <v>0</v>
      </c>
      <c r="J36" s="47">
        <f>COUNTIFS('RR-3.1-5TH'!$F$12:$F$111,$C$30,'RR-3.1-5TH'!$AF$12:$AF$111,$J$10,'RR-3.1-5TH'!$AE$12:$AE$111,"&gt;=25")</f>
        <v>0</v>
      </c>
      <c r="K36" s="47">
        <f>COUNTIFS('RR-3.1-5TH'!$F$12:$F$111,$C$30,'RR-3.1-5TH'!$AF$12:$AF$111,$J$10,'RR-3.1-5TH'!$AE$12:$AE$111,"&lt;25")</f>
        <v>0</v>
      </c>
      <c r="L36" s="47">
        <f t="shared" si="7"/>
        <v>0</v>
      </c>
      <c r="M36" s="47">
        <f>COUNTIFS('RR-3.1-5TH'!$F$12:$F$111,$C$30,'RR-3.1-5TH'!$BK$12:$BK$111,$M$8)</f>
        <v>0</v>
      </c>
      <c r="N36" s="47">
        <f>COUNTIFS('RR-3.1-5TH'!$F$12:$F$111,$C$30,'RR-3.1-5TH'!$BK$12:$BK$111,$N$8)</f>
        <v>0</v>
      </c>
      <c r="O36" s="47">
        <f>COUNTIFS('RR-3.1-5TH'!$F$12:$F$111,$C$30,'RR-3.1-5TH'!$BK$12:$BK$111,$O$8)</f>
        <v>0</v>
      </c>
      <c r="P36" s="47">
        <f>COUNTIFS('RR-3.1-5TH'!$F$12:$F$111,$C$30,'RR-3.1-5TH'!$BK$12:$BK$111,$P$8)</f>
        <v>0</v>
      </c>
      <c r="Q36" s="47">
        <f>COUNTIFS('RR-3.1-5TH'!$F$12:$F$111,$C$30,'RR-3.1-5TH'!$BK$12:$BK$111,$Q$8)</f>
        <v>0</v>
      </c>
      <c r="R36" s="47">
        <f t="shared" si="8"/>
        <v>0</v>
      </c>
    </row>
    <row r="37" s="99" customFormat="1" ht="18" customHeight="1" spans="1:18">
      <c r="A37" s="117" t="s">
        <v>351</v>
      </c>
      <c r="B37" s="47">
        <f>'SUM1'!$AB$665</f>
        <v>0</v>
      </c>
      <c r="C37" s="47">
        <f>COUNTIFS('RR-3.1-5TH'!$F$12:$F$111,$C$30,'RR-3.1-5TH'!$AN$12:$AN$111,$E$8)</f>
        <v>0</v>
      </c>
      <c r="D37" s="47">
        <f t="shared" si="6"/>
        <v>0</v>
      </c>
      <c r="E37" s="47">
        <f>COUNTIFS('RR-3.1-5TH'!$F$12:$F$111,$C$30,'RR-3.1-5TH'!$AN$12:$AN$111,$E$10)</f>
        <v>0</v>
      </c>
      <c r="F37" s="47">
        <f>COUNTIFS('RR-3.1-5TH'!$F$12:$F$111,$C$30,'RR-3.1-5TH'!$AN$12:$AN$111,$F$10)</f>
        <v>0</v>
      </c>
      <c r="G37" s="47">
        <f>COUNTIFS('RR-3.1-5TH'!$F$12:$F$111,$C$30,'RR-3.1-5TH'!$AN$12:$AN$111,$G$10)</f>
        <v>0</v>
      </c>
      <c r="H37" s="47">
        <f>COUNTIFS('RR-3.1-5TH'!$F$12:$F$111,$C$30,'RR-3.1-5TH'!$AL$12:$AL$111,"",'RR-3.1-5TH'!$AN$12:$AN$111,$H$10)</f>
        <v>0</v>
      </c>
      <c r="I37" s="47">
        <f>COUNTIFS('RR-3.1-5TH'!$F$12:$F$111,$C$30,'RR-3.1-5TH'!$AL$12:$AL$111,"&gt;0",'RR-3.1-5TH'!$AN$12:$AN$111,$H$10)</f>
        <v>0</v>
      </c>
      <c r="J37" s="47">
        <f>COUNTIFS('RR-3.1-5TH'!$F$12:$F$111,$C$30,'RR-3.1-5TH'!$AN$12:$AN$111,$J$10,'RR-3.1-5TH'!$AM$12:$AM$111,"&gt;=25")</f>
        <v>0</v>
      </c>
      <c r="K37" s="47">
        <f>COUNTIFS('RR-3.1-5TH'!$F$12:$F$111,$C$30,'RR-3.1-5TH'!$AN$12:$AN$111,$J$10,'RR-3.1-5TH'!$AM$12:$AM$111,"&lt;25")</f>
        <v>0</v>
      </c>
      <c r="L37" s="47">
        <f t="shared" si="7"/>
        <v>0</v>
      </c>
      <c r="M37" s="47" t="s">
        <v>670</v>
      </c>
      <c r="N37" s="47" t="s">
        <v>670</v>
      </c>
      <c r="O37" s="47" t="s">
        <v>670</v>
      </c>
      <c r="P37" s="47" t="s">
        <v>670</v>
      </c>
      <c r="Q37" s="47" t="s">
        <v>670</v>
      </c>
      <c r="R37" s="47" t="s">
        <v>670</v>
      </c>
    </row>
    <row r="38" s="99" customFormat="1" ht="18" customHeight="1" spans="1:18">
      <c r="A38" s="117" t="s">
        <v>671</v>
      </c>
      <c r="B38" s="47">
        <f>'SUM1'!$AB$665</f>
        <v>0</v>
      </c>
      <c r="C38" s="47">
        <f>COUNTIFS('RR-3.1-5TH'!$F$12:$F$111,$C$30,'RR-3.1-5TH'!$AV$12:$AV$111,$E$8)</f>
        <v>0</v>
      </c>
      <c r="D38" s="47">
        <f t="shared" si="6"/>
        <v>0</v>
      </c>
      <c r="E38" s="47">
        <f>COUNTIFS('RR-3.1-5TH'!$F$12:$F$111,$C$30,'RR-3.1-5TH'!$AV$12:$AV$111,$E$10)</f>
        <v>0</v>
      </c>
      <c r="F38" s="47">
        <f>COUNTIFS('RR-3.1-5TH'!$F$12:$F$111,$C$30,'RR-3.1-5TH'!$AV$12:$AV$111,$F$10)</f>
        <v>0</v>
      </c>
      <c r="G38" s="47">
        <f>COUNTIFS('RR-3.1-5TH'!$F$12:$F$111,$C$30,'RR-3.1-5TH'!$AV$12:$AV$111,$G$10)</f>
        <v>0</v>
      </c>
      <c r="H38" s="47">
        <f>COUNTIFS('RR-3.1-5TH'!$F$12:$F$111,$C$30,'RR-3.1-5TH'!$AT$12:$AT$111,"",'RR-3.1-5TH'!$AV$12:$AV$111,$H$10)</f>
        <v>0</v>
      </c>
      <c r="I38" s="47">
        <f>COUNTIFS('RR-3.1-5TH'!$F$12:$F$111,$C$30,'RR-3.1-5TH'!$AT$12:$AT$111,"&gt;0",'RR-3.1-5TH'!$AV$12:$AV$111,$H$10)</f>
        <v>0</v>
      </c>
      <c r="J38" s="47">
        <f>COUNTIFS('RR-3.1-5TH'!$F$12:$F$111,$C$30,'RR-3.1-5TH'!$AV$12:$AV$111,$J$10,'RR-3.1-5TH'!$AU$12:$AU$111,"&gt;=25")</f>
        <v>0</v>
      </c>
      <c r="K38" s="47">
        <f>COUNTIFS('RR-3.1-5TH'!$F$12:$F$111,$C$30,'RR-3.1-5TH'!$AV$12:$AV$111,$J$10,'RR-3.1-5TH'!$AU$12:$AU$111,"&lt;25")</f>
        <v>0</v>
      </c>
      <c r="L38" s="47">
        <f t="shared" si="7"/>
        <v>0</v>
      </c>
      <c r="M38" s="47" t="s">
        <v>670</v>
      </c>
      <c r="N38" s="47" t="s">
        <v>670</v>
      </c>
      <c r="O38" s="47" t="s">
        <v>670</v>
      </c>
      <c r="P38" s="47" t="s">
        <v>670</v>
      </c>
      <c r="Q38" s="47" t="s">
        <v>670</v>
      </c>
      <c r="R38" s="47" t="s">
        <v>670</v>
      </c>
    </row>
    <row r="39" s="99" customFormat="1" ht="18" customHeight="1" spans="1:18">
      <c r="A39" s="117" t="s">
        <v>672</v>
      </c>
      <c r="B39" s="47">
        <f>'SUM1'!$AB$665</f>
        <v>0</v>
      </c>
      <c r="C39" s="47">
        <f>COUNTIFS('RR-3.1-5TH'!$F$12:$F$111,$C$30,'RR-3.1-5TH'!$BD$12:$BD$111,$E$8)</f>
        <v>0</v>
      </c>
      <c r="D39" s="47">
        <f t="shared" si="6"/>
        <v>0</v>
      </c>
      <c r="E39" s="47">
        <f>COUNTIFS('RR-3.1-5TH'!$F$12:$F$111,$C$30,'RR-3.1-5TH'!$BD$12:$BD$111,$E$10)</f>
        <v>0</v>
      </c>
      <c r="F39" s="47">
        <f>COUNTIFS('RR-3.1-5TH'!$F$12:$F$111,$C$30,'RR-3.1-5TH'!$BD$12:$BD$111,$F$10)</f>
        <v>0</v>
      </c>
      <c r="G39" s="47">
        <f>COUNTIFS('RR-3.1-5TH'!$F$12:$F$111,$C$30,'RR-3.1-5TH'!$BD$12:$BD$111,$G$10)</f>
        <v>0</v>
      </c>
      <c r="H39" s="47">
        <f>COUNTIFS('RR-3.1-5TH'!$F$12:$F$111,$C$30,'RR-3.1-5TH'!$BB$12:$BB$111,"",'RR-3.1-5TH'!$BD$12:$BD$111,$H$10)</f>
        <v>0</v>
      </c>
      <c r="I39" s="47">
        <f>COUNTIFS('RR-3.1-5TH'!$F$12:$F$111,$C$30,'RR-3.1-5TH'!$BB$12:$BB$111,"&gt;0",'RR-3.1-5TH'!$BD$12:$BD$111,$H$10)</f>
        <v>0</v>
      </c>
      <c r="J39" s="47">
        <f>COUNTIFS('RR-3.1-5TH'!$F$12:$F$111,$C$30,'RR-3.1-5TH'!$BD$12:$BD$111,$J$10,'RR-3.1-5TH'!$BC$12:$BC$111,"&gt;=25")</f>
        <v>0</v>
      </c>
      <c r="K39" s="47">
        <f>COUNTIFS('RR-3.1-5TH'!$F$12:$F$111,$C$30,'RR-3.1-5TH'!$BD$12:$BD$111,$J$10,'RR-3.1-5TH'!$BC$12:$BC$111,"&lt;25")</f>
        <v>0</v>
      </c>
      <c r="L39" s="47">
        <f t="shared" si="7"/>
        <v>0</v>
      </c>
      <c r="M39" s="47" t="s">
        <v>670</v>
      </c>
      <c r="N39" s="47" t="s">
        <v>670</v>
      </c>
      <c r="O39" s="47" t="s">
        <v>670</v>
      </c>
      <c r="P39" s="47" t="s">
        <v>670</v>
      </c>
      <c r="Q39" s="47" t="s">
        <v>670</v>
      </c>
      <c r="R39" s="47" t="s">
        <v>670</v>
      </c>
    </row>
    <row r="41" s="97" customFormat="1" ht="18" customHeight="1" spans="1:18">
      <c r="A41" s="106" t="s">
        <v>685</v>
      </c>
      <c r="B41" s="106"/>
      <c r="C41" s="107" t="s">
        <v>491</v>
      </c>
    </row>
    <row r="42" s="98" customFormat="1" ht="18" customHeight="1" spans="1:18">
      <c r="A42" s="108" t="s">
        <v>662</v>
      </c>
      <c r="B42" s="48" t="s">
        <v>664</v>
      </c>
      <c r="C42" s="48" t="s">
        <v>509</v>
      </c>
      <c r="D42" s="48" t="s">
        <v>680</v>
      </c>
      <c r="E42" s="47" t="s">
        <v>681</v>
      </c>
      <c r="F42" s="47"/>
      <c r="G42" s="47"/>
      <c r="H42" s="47"/>
      <c r="I42" s="47"/>
      <c r="J42" s="47"/>
      <c r="K42" s="47"/>
      <c r="L42" s="109" t="s">
        <v>382</v>
      </c>
      <c r="M42" s="47" t="s">
        <v>682</v>
      </c>
      <c r="N42" s="47"/>
      <c r="O42" s="47"/>
      <c r="P42" s="47"/>
      <c r="Q42" s="47"/>
      <c r="R42" s="109" t="s">
        <v>382</v>
      </c>
    </row>
    <row r="43" s="98" customFormat="1" ht="18" customHeight="1" spans="1:18">
      <c r="A43" s="110"/>
      <c r="B43" s="111"/>
      <c r="C43" s="111"/>
      <c r="D43" s="111"/>
      <c r="E43" s="108" t="s">
        <v>50</v>
      </c>
      <c r="F43" s="108" t="s">
        <v>485</v>
      </c>
      <c r="G43" s="108" t="s">
        <v>486</v>
      </c>
      <c r="H43" s="35" t="s">
        <v>487</v>
      </c>
      <c r="I43" s="36"/>
      <c r="J43" s="35" t="s">
        <v>488</v>
      </c>
      <c r="K43" s="36"/>
      <c r="L43" s="132">
        <f>SUM(L45:L50)/6</f>
        <v>0</v>
      </c>
      <c r="M43" s="108" t="s">
        <v>96</v>
      </c>
      <c r="N43" s="108" t="s">
        <v>97</v>
      </c>
      <c r="O43" s="108" t="s">
        <v>98</v>
      </c>
      <c r="P43" s="108" t="s">
        <v>99</v>
      </c>
      <c r="Q43" s="108" t="s">
        <v>100</v>
      </c>
      <c r="R43" s="132">
        <f>SUM(R45:R47)/3</f>
        <v>0</v>
      </c>
    </row>
    <row r="44" s="98" customFormat="1" ht="20.4" spans="1:18">
      <c r="A44" s="51"/>
      <c r="B44" s="113"/>
      <c r="C44" s="113"/>
      <c r="D44" s="113"/>
      <c r="E44" s="51"/>
      <c r="F44" s="51"/>
      <c r="G44" s="51"/>
      <c r="H44" s="114" t="s">
        <v>740</v>
      </c>
      <c r="I44" s="114" t="s">
        <v>748</v>
      </c>
      <c r="J44" s="115" t="s">
        <v>742</v>
      </c>
      <c r="K44" s="115" t="s">
        <v>743</v>
      </c>
      <c r="L44" s="133"/>
      <c r="M44" s="51"/>
      <c r="N44" s="51"/>
      <c r="O44" s="51"/>
      <c r="P44" s="51"/>
      <c r="Q44" s="51"/>
      <c r="R44" s="133"/>
    </row>
    <row r="45" s="99" customFormat="1" ht="18" customHeight="1" spans="1:18">
      <c r="A45" s="117" t="s">
        <v>668</v>
      </c>
      <c r="B45" s="47">
        <f>'SUM1'!$AB$677</f>
        <v>0</v>
      </c>
      <c r="C45" s="47">
        <f>COUNTIFS('RR-3.1-5TH'!$F$12:$F$111,$C$41,'RR-3.1-5TH'!$P$12:$P$111,$E$8)</f>
        <v>0</v>
      </c>
      <c r="D45" s="47">
        <f>B45-C45</f>
        <v>0</v>
      </c>
      <c r="E45" s="47">
        <f>COUNTIFS('RR-3.1-5TH'!$F$12:$F$111,$C$41,'RR-3.1-5TH'!$P$12:$P$111,$E$10)</f>
        <v>0</v>
      </c>
      <c r="F45" s="47">
        <f>COUNTIFS('RR-3.1-5TH'!$F$12:$F$111,$C$41,'RR-3.1-5TH'!$P$12:$P$111,$F$10)</f>
        <v>0</v>
      </c>
      <c r="G45" s="47">
        <f>COUNTIFS('RR-3.1-5TH'!$F$12:$F$111,$C$41,'RR-3.1-5TH'!$P$12:$P$111,$G$10)</f>
        <v>0</v>
      </c>
      <c r="H45" s="47">
        <f>COUNTIFS('RR-3.1-5TH'!$F$12:$F$111,$C$41,'RR-3.1-5TH'!$N$12:$N$111,"",'RR-3.1-5TH'!$P$12:$P$111,$H$10)</f>
        <v>0</v>
      </c>
      <c r="I45" s="47">
        <f>COUNTIFS('RR-3.1-5TH'!$F$12:$F$111,$C$41,'RR-3.1-5TH'!$N$12:$N$111,"&gt;0",'RR-3.1-5TH'!$P$12:$P$111,$H$10)</f>
        <v>0</v>
      </c>
      <c r="J45" s="47">
        <f>COUNTIFS('RR-3.1-5TH'!$F$12:$F$111,$C$41,'RR-3.1-5TH'!$P$12:$P$111,$J$10,'RR-3.1-5TH'!$O$12:$O$111,"&gt;=25")</f>
        <v>0</v>
      </c>
      <c r="K45" s="47">
        <f>COUNTIFS('RR-3.1-5TH'!$F$12:$F$111,$C$41,'RR-3.1-5TH'!$P$12:$P$111,$J$10,'RR-3.1-5TH'!$O$12:$O$111,"&lt;25")</f>
        <v>0</v>
      </c>
      <c r="L45" s="47">
        <f>SUM(C45,E45,F45,G45,H45,I45,J45,K45)</f>
        <v>0</v>
      </c>
      <c r="M45" s="47">
        <f>COUNTIFS('RR-3.1-5TH'!$F$12:$F$111,$C$41,'RR-3.1-5TH'!$BI$12:$BI$111,$M$8)</f>
        <v>0</v>
      </c>
      <c r="N45" s="47">
        <f>COUNTIFS('RR-3.1-5TH'!$F$12:$F$111,$C$41,'RR-3.1-5TH'!$BI$12:$BI$111,$N$8)</f>
        <v>0</v>
      </c>
      <c r="O45" s="47">
        <f>COUNTIFS('RR-3.1-5TH'!$F$12:$F$111,$C$41,'RR-3.1-5TH'!$BI$12:$BI$111,$O$8)</f>
        <v>0</v>
      </c>
      <c r="P45" s="47">
        <f>COUNTIFS('RR-3.1-5TH'!$F$12:$F$111,$C$41,'RR-3.1-5TH'!$BI$12:$BI$111,$P$8)</f>
        <v>0</v>
      </c>
      <c r="Q45" s="47">
        <f>COUNTIFS('RR-3.1-5TH'!$F$12:$F$111,$C$41,'RR-3.1-5TH'!$BI$12:$BI$111,$Q$8)</f>
        <v>0</v>
      </c>
      <c r="R45" s="47">
        <f>SUM(M45,N45,O45,P45,Q45)</f>
        <v>0</v>
      </c>
    </row>
    <row r="46" s="99" customFormat="1" ht="18" customHeight="1" spans="1:18">
      <c r="A46" s="117" t="s">
        <v>513</v>
      </c>
      <c r="B46" s="47">
        <f>'SUM1'!$AB$677</f>
        <v>0</v>
      </c>
      <c r="C46" s="47">
        <f>COUNTIFS('RR-3.1-5TH'!$F$12:$F$111,$C$41,'RR-3.1-5TH'!$X$12:$X$111,$E$8)</f>
        <v>0</v>
      </c>
      <c r="D46" s="47">
        <f t="shared" ref="D46:D50" si="9">B46-C46</f>
        <v>0</v>
      </c>
      <c r="E46" s="47">
        <f>COUNTIFS('RR-3.1-5TH'!$F$12:$F$111,$C$41,'RR-3.1-5TH'!$X$12:$X$111,$E$10)</f>
        <v>0</v>
      </c>
      <c r="F46" s="47">
        <f>COUNTIFS('RR-3.1-5TH'!$F$12:$F$111,$C$41,'RR-3.1-5TH'!$X$12:$X$111,$F$10)</f>
        <v>0</v>
      </c>
      <c r="G46" s="47">
        <f>COUNTIFS('RR-3.1-5TH'!$F$12:$F$111,$C$41,'RR-3.1-5TH'!$X$12:$X$111,$G$10)</f>
        <v>0</v>
      </c>
      <c r="H46" s="47">
        <f>COUNTIFS('RR-3.1-5TH'!$F$12:$F$111,$C$41,'RR-3.1-5TH'!$V$12:$V$111,"",'RR-3.1-5TH'!$X$12:$X$111,$H$10)</f>
        <v>0</v>
      </c>
      <c r="I46" s="47">
        <f>COUNTIFS('RR-3.1-5TH'!$F$12:$F$111,$C$41,'RR-3.1-5TH'!$V$12:$V$111,"&gt;0",'RR-3.1-5TH'!$X$12:$X$111,$H$10)</f>
        <v>0</v>
      </c>
      <c r="J46" s="47">
        <f>COUNTIFS('RR-3.1-5TH'!$F$12:$F$111,$C$41,'RR-3.1-5TH'!$X$12:$X$111,$J$10,'RR-3.1-5TH'!$W$12:$W$111,"&gt;=25")</f>
        <v>0</v>
      </c>
      <c r="K46" s="47">
        <f>COUNTIFS('RR-3.1-5TH'!$F$12:$F$111,$C$41,'RR-3.1-5TH'!$X$12:$X$111,$J$10,'RR-3.1-5TH'!$W$12:$W$111,"&lt;25")</f>
        <v>0</v>
      </c>
      <c r="L46" s="47">
        <f t="shared" ref="L46:L50" si="10">SUM(C46,E46,F46,G46,H46,I46,J46,K46)</f>
        <v>0</v>
      </c>
      <c r="M46" s="47">
        <f>COUNTIFS('RR-3.1-5TH'!$F$12:$F$111,$C$41,'RR-3.1-5TH'!$BJ$12:$BJ$111,$M$8)</f>
        <v>0</v>
      </c>
      <c r="N46" s="47">
        <f>COUNTIFS('RR-3.1-5TH'!$F$12:$F$111,$C$41,'RR-3.1-5TH'!$BJ$12:$BJ$111,$N$8)</f>
        <v>0</v>
      </c>
      <c r="O46" s="47">
        <f>COUNTIFS('RR-3.1-5TH'!$F$12:$F$111,$C$41,'RR-3.1-5TH'!$BJ$12:$BJ$111,$O$8)</f>
        <v>0</v>
      </c>
      <c r="P46" s="47">
        <f>COUNTIFS('RR-3.1-5TH'!$F$12:$F$111,$C$41,'RR-3.1-5TH'!$BJ$12:$BJ$111,$P$8)</f>
        <v>0</v>
      </c>
      <c r="Q46" s="47">
        <f>COUNTIFS('RR-3.1-5TH'!$F$12:$F$111,$C$41,'RR-3.1-5TH'!$BJ$12:$BJ$111,$Q$8)</f>
        <v>0</v>
      </c>
      <c r="R46" s="47">
        <f t="shared" ref="R46:R47" si="11">SUM(M46,N46,O46,P46,Q46)</f>
        <v>0</v>
      </c>
    </row>
    <row r="47" s="99" customFormat="1" ht="18" customHeight="1" spans="1:18">
      <c r="A47" s="117" t="s">
        <v>514</v>
      </c>
      <c r="B47" s="47">
        <f>'SUM1'!$AB$677</f>
        <v>0</v>
      </c>
      <c r="C47" s="47">
        <f>COUNTIFS('RR-3.1-5TH'!$F$12:$F$111,$C$41,'RR-3.1-5TH'!$AF$12:$AF$111,$E$8)</f>
        <v>0</v>
      </c>
      <c r="D47" s="47">
        <f t="shared" si="9"/>
        <v>0</v>
      </c>
      <c r="E47" s="47">
        <f>COUNTIFS('RR-3.1-5TH'!$F$12:$F$111,$C$41,'RR-3.1-5TH'!$AF$12:$AF$111,$E$10)</f>
        <v>0</v>
      </c>
      <c r="F47" s="47">
        <f>COUNTIFS('RR-3.1-5TH'!$F$12:$F$111,$C$41,'RR-3.1-5TH'!$AF$12:$AF$111,$F$10)</f>
        <v>0</v>
      </c>
      <c r="G47" s="47">
        <f>COUNTIFS('RR-3.1-5TH'!$F$12:$F$111,$C$41,'RR-3.1-5TH'!$AF$12:$AF$111,$G$10)</f>
        <v>0</v>
      </c>
      <c r="H47" s="47">
        <f>COUNTIFS('RR-3.1-5TH'!$F$12:$F$111,$C$41,'RR-3.1-5TH'!$AD$12:$AD$111,"",'RR-3.1-5TH'!$AF$12:$AF$111,$H$10)</f>
        <v>0</v>
      </c>
      <c r="I47" s="47">
        <f>COUNTIFS('RR-3.1-5TH'!$F$12:$F$111,$C$41,'RR-3.1-5TH'!$AD$12:$AD$111,"&gt;0",'RR-3.1-5TH'!$AF$12:$AF$111,$H$10)</f>
        <v>0</v>
      </c>
      <c r="J47" s="47">
        <f>COUNTIFS('RR-3.1-5TH'!$F$12:$F$111,$C$41,'RR-3.1-5TH'!$AF$12:$AF$111,$J$10,'RR-3.1-5TH'!$AE$12:$AE$111,"&gt;=25")</f>
        <v>0</v>
      </c>
      <c r="K47" s="47">
        <f>COUNTIFS('RR-3.1-5TH'!$F$12:$F$111,$C$41,'RR-3.1-5TH'!$AF$12:$AF$111,$J$10,'RR-3.1-5TH'!$AE$12:$AE$111,"&lt;25")</f>
        <v>0</v>
      </c>
      <c r="L47" s="47">
        <f t="shared" si="10"/>
        <v>0</v>
      </c>
      <c r="M47" s="47">
        <f>COUNTIFS('RR-3.1-5TH'!$F$12:$F$111,$C$41,'RR-3.1-5TH'!$BK$12:$BK$111,$M$8)</f>
        <v>0</v>
      </c>
      <c r="N47" s="47">
        <f>COUNTIFS('RR-3.1-5TH'!$F$12:$F$111,$C$41,'RR-3.1-5TH'!$BK$12:$BK$111,$N$8)</f>
        <v>0</v>
      </c>
      <c r="O47" s="47">
        <f>COUNTIFS('RR-3.1-5TH'!$F$12:$F$111,$C$41,'RR-3.1-5TH'!$BK$12:$BK$111,$O$8)</f>
        <v>0</v>
      </c>
      <c r="P47" s="47">
        <f>COUNTIFS('RR-3.1-5TH'!$F$12:$F$111,$C$41,'RR-3.1-5TH'!$BK$12:$BK$111,$P$8)</f>
        <v>0</v>
      </c>
      <c r="Q47" s="47">
        <f>COUNTIFS('RR-3.1-5TH'!$F$12:$F$111,$C$41,'RR-3.1-5TH'!$BK$12:$BK$111,$Q$8)</f>
        <v>0</v>
      </c>
      <c r="R47" s="47">
        <f t="shared" si="11"/>
        <v>0</v>
      </c>
    </row>
    <row r="48" s="99" customFormat="1" ht="18" customHeight="1" spans="1:18">
      <c r="A48" s="117" t="s">
        <v>351</v>
      </c>
      <c r="B48" s="47">
        <f>'SUM1'!$AB$677</f>
        <v>0</v>
      </c>
      <c r="C48" s="47">
        <f>COUNTIFS('RR-3.1-5TH'!$F$12:$F$111,$C$41,'RR-3.1-5TH'!$AN$12:$AN$111,$E$8)</f>
        <v>0</v>
      </c>
      <c r="D48" s="47">
        <f t="shared" si="9"/>
        <v>0</v>
      </c>
      <c r="E48" s="47">
        <f>COUNTIFS('RR-3.1-5TH'!$F$12:$F$111,$C$41,'RR-3.1-5TH'!$AN$12:$AN$111,$E$10)</f>
        <v>0</v>
      </c>
      <c r="F48" s="47">
        <f>COUNTIFS('RR-3.1-5TH'!$F$12:$F$111,$C$41,'RR-3.1-5TH'!$AN$12:$AN$111,$F$10)</f>
        <v>0</v>
      </c>
      <c r="G48" s="47">
        <f>COUNTIFS('RR-3.1-5TH'!$F$12:$F$111,$C$41,'RR-3.1-5TH'!$AN$12:$AN$111,$G$10)</f>
        <v>0</v>
      </c>
      <c r="H48" s="47">
        <f>COUNTIFS('RR-3.1-5TH'!$F$12:$F$111,$C$41,'RR-3.1-5TH'!$AL$12:$AL$111,"",'RR-3.1-5TH'!$AN$12:$AN$111,$H$10)</f>
        <v>0</v>
      </c>
      <c r="I48" s="47">
        <f>COUNTIFS('RR-3.1-5TH'!$F$12:$F$111,$C$41,'RR-3.1-5TH'!$AL$12:$AL$111,"&gt;0",'RR-3.1-5TH'!$AN$12:$AN$111,$H$10)</f>
        <v>0</v>
      </c>
      <c r="J48" s="47">
        <f>COUNTIFS('RR-3.1-5TH'!$F$12:$F$111,$C$41,'RR-3.1-5TH'!$AN$12:$AN$111,$J$10,'RR-3.1-5TH'!$AM$12:$AM$111,"&gt;=25")</f>
        <v>0</v>
      </c>
      <c r="K48" s="47">
        <f>COUNTIFS('RR-3.1-5TH'!$F$12:$F$111,$C$41,'RR-3.1-5TH'!$AN$12:$AN$111,$J$10,'RR-3.1-5TH'!$AM$12:$AM$111,"&lt;25")</f>
        <v>0</v>
      </c>
      <c r="L48" s="47">
        <f t="shared" si="10"/>
        <v>0</v>
      </c>
      <c r="M48" s="47" t="s">
        <v>670</v>
      </c>
      <c r="N48" s="47" t="s">
        <v>670</v>
      </c>
      <c r="O48" s="47" t="s">
        <v>670</v>
      </c>
      <c r="P48" s="47" t="s">
        <v>670</v>
      </c>
      <c r="Q48" s="47" t="s">
        <v>670</v>
      </c>
      <c r="R48" s="47" t="s">
        <v>670</v>
      </c>
    </row>
    <row r="49" s="99" customFormat="1" ht="18" customHeight="1" spans="1:18">
      <c r="A49" s="117" t="s">
        <v>671</v>
      </c>
      <c r="B49" s="47">
        <f>'SUM1'!$AB$677</f>
        <v>0</v>
      </c>
      <c r="C49" s="47">
        <f>COUNTIFS('RR-3.1-5TH'!$F$12:$F$111,$C$41,'RR-3.1-5TH'!$AV$12:$AV$111,$E$8)</f>
        <v>0</v>
      </c>
      <c r="D49" s="47">
        <f t="shared" si="9"/>
        <v>0</v>
      </c>
      <c r="E49" s="47">
        <f>COUNTIFS('RR-3.1-5TH'!$F$12:$F$111,$C$41,'RR-3.1-5TH'!$AV$12:$AV$111,$E$10)</f>
        <v>0</v>
      </c>
      <c r="F49" s="47">
        <f>COUNTIFS('RR-3.1-5TH'!$F$12:$F$111,$C$41,'RR-3.1-5TH'!$AV$12:$AV$111,$F$10)</f>
        <v>0</v>
      </c>
      <c r="G49" s="47">
        <f>COUNTIFS('RR-3.1-5TH'!$F$12:$F$111,$C$41,'RR-3.1-5TH'!$AV$12:$AV$111,$G$10)</f>
        <v>0</v>
      </c>
      <c r="H49" s="47">
        <f>COUNTIFS('RR-3.1-5TH'!$F$12:$F$111,$C$41,'RR-3.1-5TH'!$AT$12:$AT$111,"",'RR-3.1-5TH'!$AV$12:$AV$111,$H$10)</f>
        <v>0</v>
      </c>
      <c r="I49" s="47">
        <f>COUNTIFS('RR-3.1-5TH'!$F$12:$F$111,$C$41,'RR-3.1-5TH'!$AT$12:$AT$111,"&gt;0",'RR-3.1-5TH'!$AV$12:$AV$111,$H$10)</f>
        <v>0</v>
      </c>
      <c r="J49" s="47">
        <f>COUNTIFS('RR-3.1-5TH'!$F$12:$F$111,$C$41,'RR-3.1-5TH'!$AV$12:$AV$111,$J$10,'RR-3.1-5TH'!$AU$12:$AU$111,"&gt;=25")</f>
        <v>0</v>
      </c>
      <c r="K49" s="47">
        <f>COUNTIFS('RR-3.1-5TH'!$F$12:$F$111,$C$41,'RR-3.1-5TH'!$AV$12:$AV$111,$J$10,'RR-3.1-5TH'!$AU$12:$AU$111,"&lt;25")</f>
        <v>0</v>
      </c>
      <c r="L49" s="47">
        <f t="shared" si="10"/>
        <v>0</v>
      </c>
      <c r="M49" s="47" t="s">
        <v>670</v>
      </c>
      <c r="N49" s="47" t="s">
        <v>670</v>
      </c>
      <c r="O49" s="47" t="s">
        <v>670</v>
      </c>
      <c r="P49" s="47" t="s">
        <v>670</v>
      </c>
      <c r="Q49" s="47" t="s">
        <v>670</v>
      </c>
      <c r="R49" s="47" t="s">
        <v>670</v>
      </c>
    </row>
    <row r="50" s="99" customFormat="1" ht="18" customHeight="1" spans="1:18">
      <c r="A50" s="117" t="s">
        <v>672</v>
      </c>
      <c r="B50" s="47">
        <f>'SUM1'!$AB$677</f>
        <v>0</v>
      </c>
      <c r="C50" s="47">
        <f>COUNTIFS('RR-3.1-5TH'!$F$12:$F$111,$C$41,'RR-3.1-5TH'!$BD$12:$BD$111,$E$8)</f>
        <v>0</v>
      </c>
      <c r="D50" s="47">
        <f t="shared" si="9"/>
        <v>0</v>
      </c>
      <c r="E50" s="47">
        <f>COUNTIFS('RR-3.1-5TH'!$F$12:$F$111,$C$41,'RR-3.1-5TH'!$BD$12:$BD$111,$E$10)</f>
        <v>0</v>
      </c>
      <c r="F50" s="47">
        <f>COUNTIFS('RR-3.1-5TH'!$F$12:$F$111,$C$41,'RR-3.1-5TH'!$BD$12:$BD$111,$F$10)</f>
        <v>0</v>
      </c>
      <c r="G50" s="47">
        <f>COUNTIFS('RR-3.1-5TH'!$F$12:$F$111,$C$41,'RR-3.1-5TH'!$BD$12:$BD$111,$G$10)</f>
        <v>0</v>
      </c>
      <c r="H50" s="47">
        <f>COUNTIFS('RR-3.1-5TH'!$F$12:$F$111,$C$41,'RR-3.1-5TH'!$BB$12:$BB$111,"",'RR-3.1-5TH'!$BD$12:$BD$111,$H$10)</f>
        <v>0</v>
      </c>
      <c r="I50" s="47">
        <f>COUNTIFS('RR-3.1-5TH'!$F$12:$F$111,$C$41,'RR-3.1-5TH'!$BB$12:$BB$111,"&gt;0",'RR-3.1-5TH'!$BD$12:$BD$111,$H$10)</f>
        <v>0</v>
      </c>
      <c r="J50" s="47">
        <f>COUNTIFS('RR-3.1-5TH'!$F$12:$F$111,$C$41,'RR-3.1-5TH'!$BD$12:$BD$111,$J$10,'RR-3.1-5TH'!$BC$12:$BC$111,"&gt;=25")</f>
        <v>0</v>
      </c>
      <c r="K50" s="47">
        <f>COUNTIFS('RR-3.1-5TH'!$F$12:$F$111,$C$41,'RR-3.1-5TH'!$BD$12:$BD$111,$J$10,'RR-3.1-5TH'!$BC$12:$BC$111,"&lt;25")</f>
        <v>0</v>
      </c>
      <c r="L50" s="47">
        <f t="shared" si="10"/>
        <v>0</v>
      </c>
      <c r="M50" s="47" t="s">
        <v>670</v>
      </c>
      <c r="N50" s="47" t="s">
        <v>670</v>
      </c>
      <c r="O50" s="47" t="s">
        <v>670</v>
      </c>
      <c r="P50" s="47" t="s">
        <v>670</v>
      </c>
      <c r="Q50" s="47" t="s">
        <v>670</v>
      </c>
      <c r="R50" s="47" t="s">
        <v>670</v>
      </c>
    </row>
    <row r="52" s="97" customFormat="1" ht="18" customHeight="1" spans="1:18">
      <c r="A52" s="106" t="s">
        <v>686</v>
      </c>
      <c r="B52" s="106"/>
      <c r="C52" s="106"/>
      <c r="D52" s="107" t="s">
        <v>484</v>
      </c>
    </row>
    <row r="53" s="98" customFormat="1" ht="18" customHeight="1" spans="1:18">
      <c r="A53" s="108" t="s">
        <v>662</v>
      </c>
      <c r="B53" s="48" t="s">
        <v>664</v>
      </c>
      <c r="C53" s="48" t="s">
        <v>509</v>
      </c>
      <c r="D53" s="48" t="s">
        <v>680</v>
      </c>
      <c r="E53" s="47" t="s">
        <v>681</v>
      </c>
      <c r="F53" s="47"/>
      <c r="G53" s="47"/>
      <c r="H53" s="47"/>
      <c r="I53" s="47"/>
      <c r="J53" s="47"/>
      <c r="K53" s="47"/>
      <c r="L53" s="109" t="s">
        <v>382</v>
      </c>
      <c r="M53" s="47" t="s">
        <v>682</v>
      </c>
      <c r="N53" s="47"/>
      <c r="O53" s="47"/>
      <c r="P53" s="47"/>
      <c r="Q53" s="47"/>
      <c r="R53" s="109" t="s">
        <v>382</v>
      </c>
    </row>
    <row r="54" s="98" customFormat="1" ht="18" customHeight="1" spans="1:18">
      <c r="A54" s="110"/>
      <c r="B54" s="111"/>
      <c r="C54" s="111"/>
      <c r="D54" s="111"/>
      <c r="E54" s="108" t="s">
        <v>50</v>
      </c>
      <c r="F54" s="108" t="s">
        <v>485</v>
      </c>
      <c r="G54" s="108" t="s">
        <v>486</v>
      </c>
      <c r="H54" s="35" t="s">
        <v>487</v>
      </c>
      <c r="I54" s="36"/>
      <c r="J54" s="35" t="s">
        <v>488</v>
      </c>
      <c r="K54" s="36"/>
      <c r="L54" s="132">
        <f>SUM(L56:L61)/6</f>
        <v>0</v>
      </c>
      <c r="M54" s="108" t="s">
        <v>96</v>
      </c>
      <c r="N54" s="108" t="s">
        <v>97</v>
      </c>
      <c r="O54" s="108" t="s">
        <v>98</v>
      </c>
      <c r="P54" s="108" t="s">
        <v>99</v>
      </c>
      <c r="Q54" s="108" t="s">
        <v>100</v>
      </c>
      <c r="R54" s="132">
        <f>SUM(R56:R58)/3</f>
        <v>0</v>
      </c>
    </row>
    <row r="55" s="98" customFormat="1" ht="20.4" spans="1:18">
      <c r="A55" s="51"/>
      <c r="B55" s="113"/>
      <c r="C55" s="113"/>
      <c r="D55" s="113"/>
      <c r="E55" s="51"/>
      <c r="F55" s="51"/>
      <c r="G55" s="51"/>
      <c r="H55" s="114" t="s">
        <v>740</v>
      </c>
      <c r="I55" s="114" t="s">
        <v>748</v>
      </c>
      <c r="J55" s="115" t="s">
        <v>742</v>
      </c>
      <c r="K55" s="115" t="s">
        <v>743</v>
      </c>
      <c r="L55" s="133"/>
      <c r="M55" s="51"/>
      <c r="N55" s="51"/>
      <c r="O55" s="51"/>
      <c r="P55" s="51"/>
      <c r="Q55" s="51"/>
      <c r="R55" s="133"/>
    </row>
    <row r="56" s="99" customFormat="1" ht="18" customHeight="1" spans="1:18">
      <c r="A56" s="117" t="s">
        <v>668</v>
      </c>
      <c r="B56" s="47">
        <f>'SUM1'!$AB$653</f>
        <v>0</v>
      </c>
      <c r="C56" s="47">
        <f>COUNTIFS('RR-3.1-5TH'!$F$12:$F$111,$D$52,'RR-3.1-5TH'!$P$12:$P$111,$E$8)</f>
        <v>0</v>
      </c>
      <c r="D56" s="47">
        <f>B56-C56</f>
        <v>0</v>
      </c>
      <c r="E56" s="47">
        <f>COUNTIFS('RR-3.1-5TH'!$F$12:$F$111,$D$52,'RR-3.1-5TH'!$P$12:$P$111,$E$10)</f>
        <v>0</v>
      </c>
      <c r="F56" s="47">
        <f>COUNTIFS('RR-3.1-5TH'!$F$12:$F$111,$D$52,'RR-3.1-5TH'!$P$12:$P$111,$F$10)</f>
        <v>0</v>
      </c>
      <c r="G56" s="47">
        <f>COUNTIFS('RR-3.1-5TH'!$F$12:$F$111,$D$52,'RR-3.1-5TH'!$P$12:$P$111,$G$10)</f>
        <v>0</v>
      </c>
      <c r="H56" s="47">
        <f>COUNTIFS('RR-3.1-5TH'!$F$12:$F$111,$D$52,'RR-3.1-5TH'!$N$12:$N$111,"",'RR-3.1-5TH'!$P$12:$P$111,$H$10)</f>
        <v>0</v>
      </c>
      <c r="I56" s="47">
        <f>COUNTIFS('RR-3.1-5TH'!$F$12:$F$111,$D$52,'RR-3.1-5TH'!$N$12:$N$111,"&gt;0",'RR-3.1-5TH'!$P$12:$P$111,$H$10)</f>
        <v>0</v>
      </c>
      <c r="J56" s="47">
        <f>COUNTIFS('RR-3.1-5TH'!$F$12:$F$111,$D$52,'RR-3.1-5TH'!$P$12:$P$111,$J$10,'RR-3.1-5TH'!$O$12:$O$111,"&gt;=25")</f>
        <v>0</v>
      </c>
      <c r="K56" s="47">
        <f>COUNTIFS('RR-3.1-5TH'!$F$12:$F$111,$D$52,'RR-3.1-5TH'!$P$12:$P$111,$J$10,'RR-3.1-5TH'!$O$12:$O$111,"&lt;25")</f>
        <v>0</v>
      </c>
      <c r="L56" s="47">
        <f>SUM(C56,E56,F56,G56,H56,I56,J56,K56)</f>
        <v>0</v>
      </c>
      <c r="M56" s="47">
        <f>COUNTIFS('RR-3.1-5TH'!$F$12:$F$111,$D$52,'RR-3.1-5TH'!$BI$12:$BI$111,$M$8)</f>
        <v>0</v>
      </c>
      <c r="N56" s="47">
        <f>COUNTIFS('RR-3.1-5TH'!$F$12:$F$111,$D$52,'RR-3.1-5TH'!$BI$12:$BI$111,$N$8)</f>
        <v>0</v>
      </c>
      <c r="O56" s="47">
        <f>COUNTIFS('RR-3.1-5TH'!$F$12:$F$111,$D$52,'RR-3.1-5TH'!$BI$12:$BI$111,$O$8)</f>
        <v>0</v>
      </c>
      <c r="P56" s="47">
        <f>COUNTIFS('RR-3.1-5TH'!$F$12:$F$111,$D$52,'RR-3.1-5TH'!$BI$12:$BI$111,$P$8)</f>
        <v>0</v>
      </c>
      <c r="Q56" s="47">
        <f>COUNTIFS('RR-3.1-5TH'!$F$12:$F$111,$D$52,'RR-3.1-5TH'!$BI$12:$BI$111,$Q$8)</f>
        <v>0</v>
      </c>
      <c r="R56" s="47">
        <f>SUM(M56,N56,O56,P56,Q56)</f>
        <v>0</v>
      </c>
    </row>
    <row r="57" s="99" customFormat="1" ht="18" customHeight="1" spans="1:18">
      <c r="A57" s="117" t="s">
        <v>513</v>
      </c>
      <c r="B57" s="47">
        <f>'SUM1'!$AB$653</f>
        <v>0</v>
      </c>
      <c r="C57" s="47">
        <f>COUNTIFS('RR-3.1-5TH'!$F$12:$F$111,$D$52,'RR-3.1-5TH'!$X$12:$X$111,$E$8)</f>
        <v>0</v>
      </c>
      <c r="D57" s="47">
        <f t="shared" ref="D57:D61" si="12">B57-C57</f>
        <v>0</v>
      </c>
      <c r="E57" s="47">
        <f>COUNTIFS('RR-3.1-5TH'!$F$12:$F$111,$D$52,'RR-3.1-5TH'!$X$12:$X$111,$E$10)</f>
        <v>0</v>
      </c>
      <c r="F57" s="47">
        <f>COUNTIFS('RR-3.1-5TH'!$F$12:$F$111,$D$52,'RR-3.1-5TH'!$X$12:$X$111,$F$10)</f>
        <v>0</v>
      </c>
      <c r="G57" s="47">
        <f>COUNTIFS('RR-3.1-5TH'!$F$12:$F$111,$D$52,'RR-3.1-5TH'!$X$12:$X$111,$G$10)</f>
        <v>0</v>
      </c>
      <c r="H57" s="47">
        <f>COUNTIFS('RR-3.1-5TH'!$F$12:$F$111,$D$52,'RR-3.1-5TH'!$V$12:$V$111,"",'RR-3.1-5TH'!$X$12:$X$111,$H$10)</f>
        <v>0</v>
      </c>
      <c r="I57" s="47">
        <f>COUNTIFS('RR-3.1-5TH'!$F$12:$F$111,$D$52,'RR-3.1-5TH'!$V$12:$V$111,"&gt;0",'RR-3.1-5TH'!$X$12:$X$111,$H$10)</f>
        <v>0</v>
      </c>
      <c r="J57" s="47">
        <f>COUNTIFS('RR-3.1-5TH'!$F$12:$F$111,$D$52,'RR-3.1-5TH'!$X$12:$X$111,$J$10,'RR-3.1-5TH'!$W$12:$W$111,"&gt;=25")</f>
        <v>0</v>
      </c>
      <c r="K57" s="47">
        <f>COUNTIFS('RR-3.1-5TH'!$F$12:$F$111,$D$52,'RR-3.1-5TH'!$X$12:$X$111,$J$10,'RR-3.1-5TH'!$W$12:$W$111,"&lt;25")</f>
        <v>0</v>
      </c>
      <c r="L57" s="47">
        <f t="shared" ref="L57:L61" si="13">SUM(C57,E57,F57,G57,H57,I57,J57,K57)</f>
        <v>0</v>
      </c>
      <c r="M57" s="47">
        <f>COUNTIFS('RR-3.1-5TH'!$F$12:$F$111,$D$52,'RR-3.1-5TH'!$BJ$12:$BJ$111,$M$8)</f>
        <v>0</v>
      </c>
      <c r="N57" s="47">
        <f>COUNTIFS('RR-3.1-5TH'!$F$12:$F$111,$D$52,'RR-3.1-5TH'!$BJ$12:$BJ$111,$N$8)</f>
        <v>0</v>
      </c>
      <c r="O57" s="47">
        <f>COUNTIFS('RR-3.1-5TH'!$F$12:$F$111,$D$52,'RR-3.1-5TH'!$BJ$12:$BJ$111,$O$8)</f>
        <v>0</v>
      </c>
      <c r="P57" s="47">
        <f>COUNTIFS('RR-3.1-5TH'!$F$12:$F$111,$D$52,'RR-3.1-5TH'!$BJ$12:$BJ$111,$P$8)</f>
        <v>0</v>
      </c>
      <c r="Q57" s="47">
        <f>COUNTIFS('RR-3.1-5TH'!$F$12:$F$111,$D$52,'RR-3.1-5TH'!$BJ$12:$BJ$111,$Q$8)</f>
        <v>0</v>
      </c>
      <c r="R57" s="47">
        <f t="shared" ref="R57:R58" si="14">SUM(M57,N57,O57,P57,Q57)</f>
        <v>0</v>
      </c>
    </row>
    <row r="58" s="99" customFormat="1" ht="18" customHeight="1" spans="1:18">
      <c r="A58" s="117" t="s">
        <v>514</v>
      </c>
      <c r="B58" s="47">
        <f>'SUM1'!$AB$653</f>
        <v>0</v>
      </c>
      <c r="C58" s="47">
        <f>COUNTIFS('RR-3.1-5TH'!$F$12:$F$111,$D$52,'RR-3.1-5TH'!$AF$12:$AF$111,$E$8)</f>
        <v>0</v>
      </c>
      <c r="D58" s="47">
        <f t="shared" si="12"/>
        <v>0</v>
      </c>
      <c r="E58" s="47">
        <f>COUNTIFS('RR-3.1-5TH'!$F$12:$F$111,$D$52,'RR-3.1-5TH'!$AF$12:$AF$111,$E$10)</f>
        <v>0</v>
      </c>
      <c r="F58" s="47">
        <f>COUNTIFS('RR-3.1-5TH'!$F$12:$F$111,$D$52,'RR-3.1-5TH'!$AF$12:$AF$111,$F$10)</f>
        <v>0</v>
      </c>
      <c r="G58" s="47">
        <f>COUNTIFS('RR-3.1-5TH'!$F$12:$F$111,$D$52,'RR-3.1-5TH'!$AF$12:$AF$111,$G$10)</f>
        <v>0</v>
      </c>
      <c r="H58" s="47">
        <f>COUNTIFS('RR-3.1-5TH'!$F$12:$F$111,$D$52,'RR-3.1-5TH'!$AD$12:$AD$111,"",'RR-3.1-5TH'!$AF$12:$AF$111,$H$10)</f>
        <v>0</v>
      </c>
      <c r="I58" s="47">
        <f>COUNTIFS('RR-3.1-5TH'!$F$12:$F$111,$D$52,'RR-3.1-5TH'!$AD$12:$AD$111,"&gt;0",'RR-3.1-5TH'!$AF$12:$AF$111,$H$10)</f>
        <v>0</v>
      </c>
      <c r="J58" s="47">
        <f>COUNTIFS('RR-3.1-5TH'!$F$12:$F$111,$D$52,'RR-3.1-5TH'!$AF$12:$AF$111,$J$10,'RR-3.1-5TH'!$AE$12:$AE$111,"&gt;=25")</f>
        <v>0</v>
      </c>
      <c r="K58" s="47">
        <f>COUNTIFS('RR-3.1-5TH'!$F$12:$F$111,$D$52,'RR-3.1-5TH'!$AF$12:$AF$111,$J$10,'RR-3.1-5TH'!$AE$12:$AE$111,"&lt;25")</f>
        <v>0</v>
      </c>
      <c r="L58" s="47">
        <f t="shared" si="13"/>
        <v>0</v>
      </c>
      <c r="M58" s="47">
        <f>COUNTIFS('RR-3.1-5TH'!$F$12:$F$111,$D$52,'RR-3.1-5TH'!$BK$12:$BK$111,$M$8)</f>
        <v>0</v>
      </c>
      <c r="N58" s="47">
        <f>COUNTIFS('RR-3.1-5TH'!$F$12:$F$111,$D$52,'RR-3.1-5TH'!$BK$12:$BK$111,$N$8)</f>
        <v>0</v>
      </c>
      <c r="O58" s="47">
        <f>COUNTIFS('RR-3.1-5TH'!$F$12:$F$111,$D$52,'RR-3.1-5TH'!$BK$12:$BK$111,$O$8)</f>
        <v>0</v>
      </c>
      <c r="P58" s="47">
        <f>COUNTIFS('RR-3.1-5TH'!$F$12:$F$111,$D$52,'RR-3.1-5TH'!$BK$12:$BK$111,$P$8)</f>
        <v>0</v>
      </c>
      <c r="Q58" s="47">
        <f>COUNTIFS('RR-3.1-5TH'!$F$12:$F$111,$D$52,'RR-3.1-5TH'!$BK$12:$BK$111,$Q$8)</f>
        <v>0</v>
      </c>
      <c r="R58" s="47">
        <f t="shared" si="14"/>
        <v>0</v>
      </c>
    </row>
    <row r="59" s="99" customFormat="1" ht="18" customHeight="1" spans="1:18">
      <c r="A59" s="117" t="s">
        <v>351</v>
      </c>
      <c r="B59" s="47">
        <f>'SUM1'!$AB$653</f>
        <v>0</v>
      </c>
      <c r="C59" s="47">
        <f>COUNTIFS('RR-3.1-5TH'!$F$12:$F$111,$D$52,'RR-3.1-5TH'!$AN$12:$AN$111,$E$8)</f>
        <v>0</v>
      </c>
      <c r="D59" s="47">
        <f t="shared" si="12"/>
        <v>0</v>
      </c>
      <c r="E59" s="47">
        <f>COUNTIFS('RR-3.1-5TH'!$F$12:$F$111,$D$52,'RR-3.1-5TH'!$AN$12:$AN$111,$E$10)</f>
        <v>0</v>
      </c>
      <c r="F59" s="47">
        <f>COUNTIFS('RR-3.1-5TH'!$F$12:$F$111,$D$52,'RR-3.1-5TH'!$AN$12:$AN$111,$F$10)</f>
        <v>0</v>
      </c>
      <c r="G59" s="47">
        <f>COUNTIFS('RR-3.1-5TH'!$F$12:$F$111,$D$52,'RR-3.1-5TH'!$AN$12:$AN$111,$G$10)</f>
        <v>0</v>
      </c>
      <c r="H59" s="47">
        <f>COUNTIFS('RR-3.1-5TH'!$F$12:$F$111,$D$52,'RR-3.1-5TH'!$AL$12:$AL$111,"",'RR-3.1-5TH'!$AN$12:$AN$111,$H$10)</f>
        <v>0</v>
      </c>
      <c r="I59" s="47">
        <f>COUNTIFS('RR-3.1-5TH'!$F$12:$F$111,$D$52,'RR-3.1-5TH'!$AL$12:$AL$111,"&gt;0",'RR-3.1-5TH'!$AN$12:$AN$111,$H$10)</f>
        <v>0</v>
      </c>
      <c r="J59" s="47">
        <f>COUNTIFS('RR-3.1-5TH'!$F$12:$F$111,$D$52,'RR-3.1-5TH'!$AN$12:$AN$111,$J$10,'RR-3.1-5TH'!$AM$12:$AM$111,"&gt;=25")</f>
        <v>0</v>
      </c>
      <c r="K59" s="47">
        <f>COUNTIFS('RR-3.1-5TH'!$F$12:$F$111,$D$52,'RR-3.1-5TH'!$AN$12:$AN$111,$J$10,'RR-3.1-5TH'!$AM$12:$AM$111,"&lt;25")</f>
        <v>0</v>
      </c>
      <c r="L59" s="47">
        <f t="shared" si="13"/>
        <v>0</v>
      </c>
      <c r="M59" s="47" t="s">
        <v>670</v>
      </c>
      <c r="N59" s="47" t="s">
        <v>670</v>
      </c>
      <c r="O59" s="47" t="s">
        <v>670</v>
      </c>
      <c r="P59" s="47" t="s">
        <v>670</v>
      </c>
      <c r="Q59" s="47" t="s">
        <v>670</v>
      </c>
      <c r="R59" s="47" t="s">
        <v>670</v>
      </c>
    </row>
    <row r="60" s="99" customFormat="1" ht="18" customHeight="1" spans="1:18">
      <c r="A60" s="117" t="s">
        <v>671</v>
      </c>
      <c r="B60" s="47">
        <f>'SUM1'!$AB$653</f>
        <v>0</v>
      </c>
      <c r="C60" s="47">
        <f>COUNTIFS('RR-3.1-5TH'!$F$12:$F$111,$D$52,'RR-3.1-5TH'!$AV$12:$AV$111,$E$8)</f>
        <v>0</v>
      </c>
      <c r="D60" s="47">
        <f t="shared" si="12"/>
        <v>0</v>
      </c>
      <c r="E60" s="47">
        <f>COUNTIFS('RR-3.1-5TH'!$F$12:$F$111,$D$52,'RR-3.1-5TH'!$AV$12:$AV$111,$E$10)</f>
        <v>0</v>
      </c>
      <c r="F60" s="47">
        <f>COUNTIFS('RR-3.1-5TH'!$F$12:$F$111,$D$52,'RR-3.1-5TH'!$AV$12:$AV$111,$F$10)</f>
        <v>0</v>
      </c>
      <c r="G60" s="47">
        <f>COUNTIFS('RR-3.1-5TH'!$F$12:$F$111,$D$52,'RR-3.1-5TH'!$AV$12:$AV$111,$G$10)</f>
        <v>0</v>
      </c>
      <c r="H60" s="47">
        <f>COUNTIFS('RR-3.1-5TH'!$F$12:$F$111,$D$52,'RR-3.1-5TH'!$AT$12:$AT$111,"",'RR-3.1-5TH'!$AV$12:$AV$111,$H$10)</f>
        <v>0</v>
      </c>
      <c r="I60" s="47">
        <f>COUNTIFS('RR-3.1-5TH'!$F$12:$F$111,$D$52,'RR-3.1-5TH'!$AT$12:$AT$111,"&gt;0",'RR-3.1-5TH'!$AV$12:$AV$111,$H$10)</f>
        <v>0</v>
      </c>
      <c r="J60" s="47">
        <f>COUNTIFS('RR-3.1-5TH'!$F$12:$F$111,$D$52,'RR-3.1-5TH'!$AV$12:$AV$111,$J$10,'RR-3.1-5TH'!$AU$12:$AU$111,"&gt;=25")</f>
        <v>0</v>
      </c>
      <c r="K60" s="47">
        <f>COUNTIFS('RR-3.1-5TH'!$F$12:$F$111,$D$52,'RR-3.1-5TH'!$AV$12:$AV$111,$J$10,'RR-3.1-5TH'!$AU$12:$AU$111,"&lt;25")</f>
        <v>0</v>
      </c>
      <c r="L60" s="47">
        <f t="shared" si="13"/>
        <v>0</v>
      </c>
      <c r="M60" s="47" t="s">
        <v>670</v>
      </c>
      <c r="N60" s="47" t="s">
        <v>670</v>
      </c>
      <c r="O60" s="47" t="s">
        <v>670</v>
      </c>
      <c r="P60" s="47" t="s">
        <v>670</v>
      </c>
      <c r="Q60" s="47" t="s">
        <v>670</v>
      </c>
      <c r="R60" s="47" t="s">
        <v>670</v>
      </c>
    </row>
    <row r="61" s="99" customFormat="1" ht="18" customHeight="1" spans="1:18">
      <c r="A61" s="117" t="s">
        <v>672</v>
      </c>
      <c r="B61" s="47">
        <f>'SUM1'!$AB$653</f>
        <v>0</v>
      </c>
      <c r="C61" s="47">
        <f>COUNTIFS('RR-3.1-5TH'!$F$12:$F$111,$D$52,'RR-3.1-5TH'!$BD$12:$BD$111,$E$8)</f>
        <v>0</v>
      </c>
      <c r="D61" s="47">
        <f t="shared" si="12"/>
        <v>0</v>
      </c>
      <c r="E61" s="47">
        <f>COUNTIFS('RR-3.1-5TH'!$F$12:$F$111,$D$52,'RR-3.1-5TH'!$BD$12:$BD$111,$E$10)</f>
        <v>0</v>
      </c>
      <c r="F61" s="47">
        <f>COUNTIFS('RR-3.1-5TH'!$F$12:$F$111,$D$52,'RR-3.1-5TH'!$BD$12:$BD$111,$F$10)</f>
        <v>0</v>
      </c>
      <c r="G61" s="47">
        <f>COUNTIFS('RR-3.1-5TH'!$F$12:$F$111,$D$52,'RR-3.1-5TH'!$BD$12:$BD$111,$G$10)</f>
        <v>0</v>
      </c>
      <c r="H61" s="47">
        <f>COUNTIFS('RR-3.1-5TH'!$F$12:$F$111,$D$52,'RR-3.1-5TH'!$BB$12:$BB$111,"",'RR-3.1-5TH'!$BD$12:$BD$111,$H$10)</f>
        <v>0</v>
      </c>
      <c r="I61" s="47">
        <f>COUNTIFS('RR-3.1-5TH'!$F$12:$F$111,$D$52,'RR-3.1-5TH'!$BB$12:$BB$111,"&gt;0",'RR-3.1-5TH'!$BD$12:$BD$111,$H$10)</f>
        <v>0</v>
      </c>
      <c r="J61" s="47">
        <f>COUNTIFS('RR-3.1-5TH'!$F$12:$F$111,$D$52,'RR-3.1-5TH'!$BD$12:$BD$111,$J$10,'RR-3.1-5TH'!$BC$12:$BC$111,"&gt;=25")</f>
        <v>0</v>
      </c>
      <c r="K61" s="47">
        <f>COUNTIFS('RR-3.1-5TH'!$F$12:$F$111,$D$52,'RR-3.1-5TH'!$BD$12:$BD$111,$J$10,'RR-3.1-5TH'!$BC$12:$BC$111,"&lt;25")</f>
        <v>0</v>
      </c>
      <c r="L61" s="47">
        <f t="shared" si="13"/>
        <v>0</v>
      </c>
      <c r="M61" s="47" t="s">
        <v>670</v>
      </c>
      <c r="N61" s="47" t="s">
        <v>670</v>
      </c>
      <c r="O61" s="47" t="s">
        <v>670</v>
      </c>
      <c r="P61" s="47" t="s">
        <v>670</v>
      </c>
      <c r="Q61" s="47" t="s">
        <v>670</v>
      </c>
      <c r="R61" s="47" t="s">
        <v>670</v>
      </c>
    </row>
    <row r="63" s="97" customFormat="1" ht="18" customHeight="1" spans="1:18">
      <c r="A63" s="106" t="s">
        <v>687</v>
      </c>
      <c r="B63" s="106"/>
      <c r="C63" s="106"/>
      <c r="D63" s="107" t="s">
        <v>493</v>
      </c>
    </row>
    <row r="64" s="98" customFormat="1" ht="18" customHeight="1" spans="1:18">
      <c r="A64" s="108" t="s">
        <v>662</v>
      </c>
      <c r="B64" s="48" t="s">
        <v>664</v>
      </c>
      <c r="C64" s="48" t="s">
        <v>509</v>
      </c>
      <c r="D64" s="48" t="s">
        <v>680</v>
      </c>
      <c r="E64" s="47" t="s">
        <v>681</v>
      </c>
      <c r="F64" s="47"/>
      <c r="G64" s="47"/>
      <c r="H64" s="47"/>
      <c r="I64" s="47"/>
      <c r="J64" s="47"/>
      <c r="K64" s="47"/>
      <c r="L64" s="109" t="s">
        <v>382</v>
      </c>
      <c r="M64" s="47" t="s">
        <v>682</v>
      </c>
      <c r="N64" s="47"/>
      <c r="O64" s="47"/>
      <c r="P64" s="47"/>
      <c r="Q64" s="47"/>
      <c r="R64" s="109" t="s">
        <v>382</v>
      </c>
    </row>
    <row r="65" s="98" customFormat="1" ht="18" customHeight="1" spans="1:18">
      <c r="A65" s="110"/>
      <c r="B65" s="111"/>
      <c r="C65" s="111"/>
      <c r="D65" s="111"/>
      <c r="E65" s="108" t="s">
        <v>50</v>
      </c>
      <c r="F65" s="108" t="s">
        <v>485</v>
      </c>
      <c r="G65" s="108" t="s">
        <v>486</v>
      </c>
      <c r="H65" s="35" t="s">
        <v>487</v>
      </c>
      <c r="I65" s="36"/>
      <c r="J65" s="35" t="s">
        <v>488</v>
      </c>
      <c r="K65" s="36"/>
      <c r="L65" s="132">
        <f>SUM(L67:L72)/6</f>
        <v>0</v>
      </c>
      <c r="M65" s="108" t="s">
        <v>96</v>
      </c>
      <c r="N65" s="108" t="s">
        <v>97</v>
      </c>
      <c r="O65" s="108" t="s">
        <v>98</v>
      </c>
      <c r="P65" s="108" t="s">
        <v>99</v>
      </c>
      <c r="Q65" s="108" t="s">
        <v>100</v>
      </c>
      <c r="R65" s="132">
        <f>SUM(R67:R69)/3</f>
        <v>0</v>
      </c>
    </row>
    <row r="66" s="98" customFormat="1" ht="20.4" spans="1:18">
      <c r="A66" s="51"/>
      <c r="B66" s="113"/>
      <c r="C66" s="113"/>
      <c r="D66" s="113"/>
      <c r="E66" s="51"/>
      <c r="F66" s="51"/>
      <c r="G66" s="51"/>
      <c r="H66" s="114" t="s">
        <v>740</v>
      </c>
      <c r="I66" s="114" t="s">
        <v>748</v>
      </c>
      <c r="J66" s="115" t="s">
        <v>742</v>
      </c>
      <c r="K66" s="115" t="s">
        <v>743</v>
      </c>
      <c r="L66" s="133"/>
      <c r="M66" s="51"/>
      <c r="N66" s="51"/>
      <c r="O66" s="51"/>
      <c r="P66" s="51"/>
      <c r="Q66" s="51"/>
      <c r="R66" s="133"/>
    </row>
    <row r="67" s="99" customFormat="1" ht="18" customHeight="1" spans="1:18">
      <c r="A67" s="117" t="s">
        <v>668</v>
      </c>
      <c r="B67" s="47">
        <f>'SUM1'!$AB$702</f>
        <v>0</v>
      </c>
      <c r="C67" s="47">
        <f>COUNTIFS('RR-3.1-5TH'!$F$12:$F$111,$D$63,'RR-3.1-5TH'!$P$12:$P$111,$E$8)</f>
        <v>0</v>
      </c>
      <c r="D67" s="47">
        <f>B67-C67</f>
        <v>0</v>
      </c>
      <c r="E67" s="47">
        <f>COUNTIFS('RR-3.1-5TH'!$F$12:$F$111,$D$63,'RR-3.1-5TH'!$P$12:$P$111,$E$10)</f>
        <v>0</v>
      </c>
      <c r="F67" s="47">
        <f>COUNTIFS('RR-3.1-5TH'!$F$12:$F$111,$D$63,'RR-3.1-5TH'!$P$12:$P$111,$F$10)</f>
        <v>0</v>
      </c>
      <c r="G67" s="47">
        <f>COUNTIFS('RR-3.1-5TH'!$F$12:$F$111,$D$63,'RR-3.1-5TH'!$P$12:$P$111,$G$10)</f>
        <v>0</v>
      </c>
      <c r="H67" s="47">
        <f>COUNTIFS('RR-3.1-5TH'!$F$12:$F$111,$D$63,'RR-3.1-5TH'!$N$12:$N$111,"",'RR-3.1-5TH'!$P$12:$P$111,$H$10)</f>
        <v>0</v>
      </c>
      <c r="I67" s="47">
        <f>COUNTIFS('RR-3.1-5TH'!$F$12:$F$111,$D$63,'RR-3.1-5TH'!$N$12:$N$111,"&gt;0",'RR-3.1-5TH'!$P$12:$P$111,$H$10)</f>
        <v>0</v>
      </c>
      <c r="J67" s="47">
        <f>COUNTIFS('RR-3.1-5TH'!$F$12:$F$111,$D$63,'RR-3.1-5TH'!$P$12:$P$111,$J$10,'RR-3.1-5TH'!$O$12:$O$111,"&gt;=25")</f>
        <v>0</v>
      </c>
      <c r="K67" s="47">
        <f>COUNTIFS('RR-3.1-5TH'!$F$12:$F$111,$D$63,'RR-3.1-5TH'!$P$12:$P$111,$J$10,'RR-3.1-5TH'!$O$12:$O$111,"&lt;25")</f>
        <v>0</v>
      </c>
      <c r="L67" s="47">
        <f>SUM(C67,E67,F67,G67,H67,I67,J67,K67)</f>
        <v>0</v>
      </c>
      <c r="M67" s="47">
        <f>COUNTIFS('RR-3.1-5TH'!$F$12:$F$111,$D$63,'RR-3.1-5TH'!$BI$12:$BI$111,$M$8)</f>
        <v>0</v>
      </c>
      <c r="N67" s="47">
        <f>COUNTIFS('RR-3.1-5TH'!$F$12:$F$111,$D$63,'RR-3.1-5TH'!$BI$12:$BI$111,$N$8)</f>
        <v>0</v>
      </c>
      <c r="O67" s="47">
        <f>COUNTIFS('RR-3.1-5TH'!$F$12:$F$111,$D$63,'RR-3.1-5TH'!$BI$12:$BI$111,$O$8)</f>
        <v>0</v>
      </c>
      <c r="P67" s="47">
        <f>COUNTIFS('RR-3.1-5TH'!$F$12:$F$111,$D$63,'RR-3.1-5TH'!$BI$12:$BI$111,$P$8)</f>
        <v>0</v>
      </c>
      <c r="Q67" s="47">
        <f>COUNTIFS('RR-3.1-5TH'!$F$12:$F$111,$D$63,'RR-3.1-5TH'!$BI$12:$BI$111,$Q$8)</f>
        <v>0</v>
      </c>
      <c r="R67" s="47">
        <f>SUM(M67,N67,O67,P67,Q67)</f>
        <v>0</v>
      </c>
    </row>
    <row r="68" s="99" customFormat="1" ht="18" customHeight="1" spans="1:18">
      <c r="A68" s="117" t="s">
        <v>513</v>
      </c>
      <c r="B68" s="47">
        <f>'SUM1'!$AB$702</f>
        <v>0</v>
      </c>
      <c r="C68" s="47">
        <f>COUNTIFS('RR-3.1-5TH'!$F$12:$F$111,$D$63,'RR-3.1-5TH'!$X$12:$X$111,$E$8)</f>
        <v>0</v>
      </c>
      <c r="D68" s="47">
        <f t="shared" ref="D68:D72" si="15">B68-C68</f>
        <v>0</v>
      </c>
      <c r="E68" s="47">
        <f>COUNTIFS('RR-3.1-5TH'!$F$12:$F$111,$D$63,'RR-3.1-5TH'!$X$12:$X$111,$E$10)</f>
        <v>0</v>
      </c>
      <c r="F68" s="47">
        <f>COUNTIFS('RR-3.1-5TH'!$F$12:$F$111,$D$63,'RR-3.1-5TH'!$X$12:$X$111,$F$10)</f>
        <v>0</v>
      </c>
      <c r="G68" s="47">
        <f>COUNTIFS('RR-3.1-5TH'!$F$12:$F$111,$D$63,'RR-3.1-5TH'!$X$12:$X$111,$G$10)</f>
        <v>0</v>
      </c>
      <c r="H68" s="47">
        <f>COUNTIFS('RR-3.1-5TH'!$F$12:$F$111,$D$63,'RR-3.1-5TH'!$V$12:$V$111,"",'RR-3.1-5TH'!$X$12:$X$111,$H$10)</f>
        <v>0</v>
      </c>
      <c r="I68" s="47">
        <f>COUNTIFS('RR-3.1-5TH'!$F$12:$F$111,$D$63,'RR-3.1-5TH'!$V$12:$V$111,"&gt;0",'RR-3.1-5TH'!$X$12:$X$111,$H$10)</f>
        <v>0</v>
      </c>
      <c r="J68" s="47">
        <f>COUNTIFS('RR-3.1-5TH'!$F$12:$F$111,$D$63,'RR-3.1-5TH'!$X$12:$X$111,$J$10,'RR-3.1-5TH'!$W$12:$W$111,"&gt;=25")</f>
        <v>0</v>
      </c>
      <c r="K68" s="47">
        <f>COUNTIFS('RR-3.1-5TH'!$F$12:$F$111,$D$63,'RR-3.1-5TH'!$X$12:$X$111,$J$10,'RR-3.1-5TH'!$W$12:$W$111,"&lt;25")</f>
        <v>0</v>
      </c>
      <c r="L68" s="47">
        <f t="shared" ref="L68:L72" si="16">SUM(C68,E68,F68,G68,H68,I68,J68,K68)</f>
        <v>0</v>
      </c>
      <c r="M68" s="47">
        <f>COUNTIFS('RR-3.1-5TH'!$F$12:$F$111,$D$63,'RR-3.1-5TH'!$BJ$12:$BJ$111,$M$8)</f>
        <v>0</v>
      </c>
      <c r="N68" s="47">
        <f>COUNTIFS('RR-3.1-5TH'!$F$12:$F$111,$D$63,'RR-3.1-5TH'!$BJ$12:$BJ$111,$N$8)</f>
        <v>0</v>
      </c>
      <c r="O68" s="47">
        <f>COUNTIFS('RR-3.1-5TH'!$F$12:$F$111,$D$63,'RR-3.1-5TH'!$BJ$12:$BJ$111,$O$8)</f>
        <v>0</v>
      </c>
      <c r="P68" s="47">
        <f>COUNTIFS('RR-3.1-5TH'!$F$12:$F$111,$D$63,'RR-3.1-5TH'!$BJ$12:$BJ$111,$P$8)</f>
        <v>0</v>
      </c>
      <c r="Q68" s="47">
        <f>COUNTIFS('RR-3.1-5TH'!$F$12:$F$111,$D$63,'RR-3.1-5TH'!$BJ$12:$BJ$111,$Q$8)</f>
        <v>0</v>
      </c>
      <c r="R68" s="47">
        <f t="shared" ref="R68:R69" si="17">SUM(M68,N68,O68,P68,Q68)</f>
        <v>0</v>
      </c>
    </row>
    <row r="69" s="99" customFormat="1" ht="18" customHeight="1" spans="1:18">
      <c r="A69" s="117" t="s">
        <v>514</v>
      </c>
      <c r="B69" s="47">
        <f>'SUM1'!$AB$702</f>
        <v>0</v>
      </c>
      <c r="C69" s="47">
        <f>COUNTIFS('RR-3.1-5TH'!$F$12:$F$111,$D$63,'RR-3.1-5TH'!$AF$12:$AF$111,$E$8)</f>
        <v>0</v>
      </c>
      <c r="D69" s="47">
        <f t="shared" si="15"/>
        <v>0</v>
      </c>
      <c r="E69" s="47">
        <f>COUNTIFS('RR-3.1-5TH'!$F$12:$F$111,$D$63,'RR-3.1-5TH'!$AF$12:$AF$111,$E$10)</f>
        <v>0</v>
      </c>
      <c r="F69" s="47">
        <f>COUNTIFS('RR-3.1-5TH'!$F$12:$F$111,$D$63,'RR-3.1-5TH'!$AF$12:$AF$111,$F$10)</f>
        <v>0</v>
      </c>
      <c r="G69" s="47">
        <f>COUNTIFS('RR-3.1-5TH'!$F$12:$F$111,$D$63,'RR-3.1-5TH'!$AF$12:$AF$111,$G$10)</f>
        <v>0</v>
      </c>
      <c r="H69" s="47">
        <f>COUNTIFS('RR-3.1-5TH'!$F$12:$F$111,$D$63,'RR-3.1-5TH'!$AD$12:$AD$111,"",'RR-3.1-5TH'!$AF$12:$AF$111,$H$10)</f>
        <v>0</v>
      </c>
      <c r="I69" s="47">
        <f>COUNTIFS('RR-3.1-5TH'!$F$12:$F$111,$D$63,'RR-3.1-5TH'!$AD$12:$AD$111,"&gt;0",'RR-3.1-5TH'!$AF$12:$AF$111,$H$10)</f>
        <v>0</v>
      </c>
      <c r="J69" s="47">
        <f>COUNTIFS('RR-3.1-5TH'!$F$12:$F$111,$D$63,'RR-3.1-5TH'!$AF$12:$AF$111,$J$10,'RR-3.1-5TH'!$AE$12:$AE$111,"&gt;=25")</f>
        <v>0</v>
      </c>
      <c r="K69" s="47">
        <f>COUNTIFS('RR-3.1-5TH'!$F$12:$F$111,$D$63,'RR-3.1-5TH'!$AF$12:$AF$111,$J$10,'RR-3.1-5TH'!$AE$12:$AE$111,"&lt;25")</f>
        <v>0</v>
      </c>
      <c r="L69" s="47">
        <f t="shared" si="16"/>
        <v>0</v>
      </c>
      <c r="M69" s="47">
        <f>COUNTIFS('RR-3.1-5TH'!$F$12:$F$111,$D$63,'RR-3.1-5TH'!$BK$12:$BK$111,$M$8)</f>
        <v>0</v>
      </c>
      <c r="N69" s="47">
        <f>COUNTIFS('RR-3.1-5TH'!$F$12:$F$111,$D$63,'RR-3.1-5TH'!$BK$12:$BK$111,$N$8)</f>
        <v>0</v>
      </c>
      <c r="O69" s="47">
        <f>COUNTIFS('RR-3.1-5TH'!$F$12:$F$111,$D$63,'RR-3.1-5TH'!$BK$12:$BK$111,$O$8)</f>
        <v>0</v>
      </c>
      <c r="P69" s="47">
        <f>COUNTIFS('RR-3.1-5TH'!$F$12:$F$111,$D$63,'RR-3.1-5TH'!$BK$12:$BK$111,$P$8)</f>
        <v>0</v>
      </c>
      <c r="Q69" s="47">
        <f>COUNTIFS('RR-3.1-5TH'!$F$12:$F$111,$D$63,'RR-3.1-5TH'!$BK$12:$BK$111,$Q$8)</f>
        <v>0</v>
      </c>
      <c r="R69" s="47">
        <f t="shared" si="17"/>
        <v>0</v>
      </c>
    </row>
    <row r="70" s="99" customFormat="1" ht="18" customHeight="1" spans="1:18">
      <c r="A70" s="117" t="s">
        <v>351</v>
      </c>
      <c r="B70" s="47">
        <f>'SUM1'!$AB$702</f>
        <v>0</v>
      </c>
      <c r="C70" s="47">
        <f>COUNTIFS('RR-3.1-5TH'!$F$12:$F$111,$D$63,'RR-3.1-5TH'!$AN$12:$AN$111,$E$8)</f>
        <v>0</v>
      </c>
      <c r="D70" s="47">
        <f t="shared" si="15"/>
        <v>0</v>
      </c>
      <c r="E70" s="47">
        <f>COUNTIFS('RR-3.1-5TH'!$F$12:$F$111,$D$63,'RR-3.1-5TH'!$AN$12:$AN$111,$E$10)</f>
        <v>0</v>
      </c>
      <c r="F70" s="47">
        <f>COUNTIFS('RR-3.1-5TH'!$F$12:$F$111,$D$63,'RR-3.1-5TH'!$AN$12:$AN$111,$F$10)</f>
        <v>0</v>
      </c>
      <c r="G70" s="47">
        <f>COUNTIFS('RR-3.1-5TH'!$F$12:$F$111,$D$63,'RR-3.1-5TH'!$AN$12:$AN$111,$G$10)</f>
        <v>0</v>
      </c>
      <c r="H70" s="47">
        <f>COUNTIFS('RR-3.1-5TH'!$F$12:$F$111,$D$63,'RR-3.1-5TH'!$AL$12:$AL$111,"",'RR-3.1-5TH'!$AN$12:$AN$111,$H$10)</f>
        <v>0</v>
      </c>
      <c r="I70" s="47">
        <f>COUNTIFS('RR-3.1-5TH'!$F$12:$F$111,$D$63,'RR-3.1-5TH'!$AL$12:$AL$111,"&gt;0",'RR-3.1-5TH'!$AN$12:$AN$111,$H$10)</f>
        <v>0</v>
      </c>
      <c r="J70" s="47">
        <f>COUNTIFS('RR-3.1-5TH'!$F$12:$F$111,$D$63,'RR-3.1-5TH'!$AN$12:$AN$111,$J$10,'RR-3.1-5TH'!$AM$12:$AM$111,"&gt;=25")</f>
        <v>0</v>
      </c>
      <c r="K70" s="47">
        <f>COUNTIFS('RR-3.1-5TH'!$F$12:$F$111,$D$63,'RR-3.1-5TH'!$AN$12:$AN$111,$J$10,'RR-3.1-5TH'!$AM$12:$AM$111,"&lt;25")</f>
        <v>0</v>
      </c>
      <c r="L70" s="47">
        <f t="shared" si="16"/>
        <v>0</v>
      </c>
      <c r="M70" s="47" t="s">
        <v>670</v>
      </c>
      <c r="N70" s="47" t="s">
        <v>670</v>
      </c>
      <c r="O70" s="47" t="s">
        <v>670</v>
      </c>
      <c r="P70" s="47" t="s">
        <v>670</v>
      </c>
      <c r="Q70" s="47" t="s">
        <v>670</v>
      </c>
      <c r="R70" s="47" t="s">
        <v>670</v>
      </c>
    </row>
    <row r="71" s="99" customFormat="1" ht="18" customHeight="1" spans="1:18">
      <c r="A71" s="117" t="s">
        <v>671</v>
      </c>
      <c r="B71" s="47">
        <f>'SUM1'!$AB$702</f>
        <v>0</v>
      </c>
      <c r="C71" s="47">
        <f>COUNTIFS('RR-3.1-5TH'!$F$12:$F$111,$D$63,'RR-3.1-5TH'!$AV$12:$AV$111,$E$8)</f>
        <v>0</v>
      </c>
      <c r="D71" s="47">
        <f t="shared" si="15"/>
        <v>0</v>
      </c>
      <c r="E71" s="47">
        <f>COUNTIFS('RR-3.1-5TH'!$F$12:$F$111,$D$63,'RR-3.1-5TH'!$AV$12:$AV$111,$E$10)</f>
        <v>0</v>
      </c>
      <c r="F71" s="47">
        <f>COUNTIFS('RR-3.1-5TH'!$F$12:$F$111,$D$63,'RR-3.1-5TH'!$AV$12:$AV$111,$F$10)</f>
        <v>0</v>
      </c>
      <c r="G71" s="47">
        <f>COUNTIFS('RR-3.1-5TH'!$F$12:$F$111,$D$63,'RR-3.1-5TH'!$AV$12:$AV$111,$G$10)</f>
        <v>0</v>
      </c>
      <c r="H71" s="47">
        <f>COUNTIFS('RR-3.1-5TH'!$F$12:$F$111,$D$63,'RR-3.1-5TH'!$AT$12:$AT$111,"",'RR-3.1-5TH'!$AV$12:$AV$111,$H$10)</f>
        <v>0</v>
      </c>
      <c r="I71" s="47">
        <f>COUNTIFS('RR-3.1-5TH'!$F$12:$F$111,$D$63,'RR-3.1-5TH'!$AT$12:$AT$111,"&gt;0",'RR-3.1-5TH'!$AV$12:$AV$111,$H$10)</f>
        <v>0</v>
      </c>
      <c r="J71" s="47">
        <f>COUNTIFS('RR-3.1-5TH'!$F$12:$F$111,$D$63,'RR-3.1-5TH'!$AV$12:$AV$111,$J$10,'RR-3.1-5TH'!$AU$12:$AU$111,"&gt;=25")</f>
        <v>0</v>
      </c>
      <c r="K71" s="47">
        <f>COUNTIFS('RR-3.1-5TH'!$F$12:$F$111,$D$63,'RR-3.1-5TH'!$AV$12:$AV$111,$J$10,'RR-3.1-5TH'!$AU$12:$AU$111,"&lt;25")</f>
        <v>0</v>
      </c>
      <c r="L71" s="47">
        <f t="shared" si="16"/>
        <v>0</v>
      </c>
      <c r="M71" s="47" t="s">
        <v>670</v>
      </c>
      <c r="N71" s="47" t="s">
        <v>670</v>
      </c>
      <c r="O71" s="47" t="s">
        <v>670</v>
      </c>
      <c r="P71" s="47" t="s">
        <v>670</v>
      </c>
      <c r="Q71" s="47" t="s">
        <v>670</v>
      </c>
      <c r="R71" s="47" t="s">
        <v>670</v>
      </c>
    </row>
    <row r="72" s="99" customFormat="1" ht="18" customHeight="1" spans="1:18">
      <c r="A72" s="117" t="s">
        <v>672</v>
      </c>
      <c r="B72" s="47">
        <f>'SUM1'!$AB$702</f>
        <v>0</v>
      </c>
      <c r="C72" s="47">
        <f>COUNTIFS('RR-3.1-5TH'!$F$12:$F$111,$D$63,'RR-3.1-5TH'!$BD$12:$BD$111,$E$8)</f>
        <v>0</v>
      </c>
      <c r="D72" s="47">
        <f t="shared" si="15"/>
        <v>0</v>
      </c>
      <c r="E72" s="47">
        <f>COUNTIFS('RR-3.1-5TH'!$F$12:$F$111,$D$63,'RR-3.1-5TH'!$BD$12:$BD$111,$E$10)</f>
        <v>0</v>
      </c>
      <c r="F72" s="47">
        <f>COUNTIFS('RR-3.1-5TH'!$F$12:$F$111,$D$63,'RR-3.1-5TH'!$BD$12:$BD$111,$F$10)</f>
        <v>0</v>
      </c>
      <c r="G72" s="47">
        <f>COUNTIFS('RR-3.1-5TH'!$F$12:$F$111,$D$63,'RR-3.1-5TH'!$BD$12:$BD$111,$G$10)</f>
        <v>0</v>
      </c>
      <c r="H72" s="47">
        <f>COUNTIFS('RR-3.1-5TH'!$F$12:$F$111,$D$63,'RR-3.1-5TH'!$BB$12:$BB$111,"",'RR-3.1-5TH'!$BD$12:$BD$111,$H$10)</f>
        <v>0</v>
      </c>
      <c r="I72" s="47">
        <f>COUNTIFS('RR-3.1-5TH'!$F$12:$F$111,$D$63,'RR-3.1-5TH'!$BB$12:$BB$111,"&gt;0",'RR-3.1-5TH'!$BD$12:$BD$111,$H$10)</f>
        <v>0</v>
      </c>
      <c r="J72" s="47">
        <f>COUNTIFS('RR-3.1-5TH'!$F$12:$F$111,$D$63,'RR-3.1-5TH'!$BD$12:$BD$111,$J$10,'RR-3.1-5TH'!$BC$12:$BC$111,"&gt;=25")</f>
        <v>0</v>
      </c>
      <c r="K72" s="47">
        <f>COUNTIFS('RR-3.1-5TH'!$F$12:$F$111,$D$63,'RR-3.1-5TH'!$BD$12:$BD$111,$J$10,'RR-3.1-5TH'!$BC$12:$BC$111,"&lt;25")</f>
        <v>0</v>
      </c>
      <c r="L72" s="47">
        <f t="shared" si="16"/>
        <v>0</v>
      </c>
      <c r="M72" s="47" t="s">
        <v>670</v>
      </c>
      <c r="N72" s="47" t="s">
        <v>670</v>
      </c>
      <c r="O72" s="47" t="s">
        <v>670</v>
      </c>
      <c r="P72" s="47" t="s">
        <v>670</v>
      </c>
      <c r="Q72" s="47" t="s">
        <v>670</v>
      </c>
      <c r="R72" s="47" t="s">
        <v>670</v>
      </c>
    </row>
    <row r="74" s="97" customFormat="1" ht="18" customHeight="1" spans="1:18">
      <c r="A74" s="106" t="s">
        <v>688</v>
      </c>
      <c r="B74" s="106"/>
      <c r="C74" s="106"/>
      <c r="D74" s="107" t="s">
        <v>494</v>
      </c>
    </row>
    <row r="75" s="98" customFormat="1" ht="18" customHeight="1" spans="1:18">
      <c r="A75" s="108" t="s">
        <v>662</v>
      </c>
      <c r="B75" s="48" t="s">
        <v>664</v>
      </c>
      <c r="C75" s="48" t="s">
        <v>509</v>
      </c>
      <c r="D75" s="48" t="s">
        <v>680</v>
      </c>
      <c r="E75" s="47" t="s">
        <v>681</v>
      </c>
      <c r="F75" s="47"/>
      <c r="G75" s="47"/>
      <c r="H75" s="47"/>
      <c r="I75" s="47"/>
      <c r="J75" s="47"/>
      <c r="K75" s="47"/>
      <c r="L75" s="109" t="s">
        <v>382</v>
      </c>
      <c r="M75" s="47" t="s">
        <v>682</v>
      </c>
      <c r="N75" s="47"/>
      <c r="O75" s="47"/>
      <c r="P75" s="47"/>
      <c r="Q75" s="47"/>
      <c r="R75" s="109" t="s">
        <v>382</v>
      </c>
    </row>
    <row r="76" s="98" customFormat="1" ht="18" customHeight="1" spans="1:18">
      <c r="A76" s="110"/>
      <c r="B76" s="111"/>
      <c r="C76" s="111"/>
      <c r="D76" s="111"/>
      <c r="E76" s="108" t="s">
        <v>50</v>
      </c>
      <c r="F76" s="108" t="s">
        <v>485</v>
      </c>
      <c r="G76" s="108" t="s">
        <v>486</v>
      </c>
      <c r="H76" s="35" t="s">
        <v>487</v>
      </c>
      <c r="I76" s="36"/>
      <c r="J76" s="35" t="s">
        <v>488</v>
      </c>
      <c r="K76" s="36"/>
      <c r="L76" s="132">
        <f>SUM(L78:L83)/6</f>
        <v>0</v>
      </c>
      <c r="M76" s="108" t="s">
        <v>96</v>
      </c>
      <c r="N76" s="108" t="s">
        <v>97</v>
      </c>
      <c r="O76" s="108" t="s">
        <v>98</v>
      </c>
      <c r="P76" s="108" t="s">
        <v>99</v>
      </c>
      <c r="Q76" s="108" t="s">
        <v>100</v>
      </c>
      <c r="R76" s="132">
        <f>SUM(R78:R80)/3</f>
        <v>0</v>
      </c>
    </row>
    <row r="77" s="98" customFormat="1" ht="20.4" spans="1:18">
      <c r="A77" s="51"/>
      <c r="B77" s="113"/>
      <c r="C77" s="113"/>
      <c r="D77" s="113"/>
      <c r="E77" s="51"/>
      <c r="F77" s="51"/>
      <c r="G77" s="51"/>
      <c r="H77" s="114" t="s">
        <v>740</v>
      </c>
      <c r="I77" s="114" t="s">
        <v>748</v>
      </c>
      <c r="J77" s="115" t="s">
        <v>742</v>
      </c>
      <c r="K77" s="115" t="s">
        <v>743</v>
      </c>
      <c r="L77" s="133"/>
      <c r="M77" s="51"/>
      <c r="N77" s="51"/>
      <c r="O77" s="51"/>
      <c r="P77" s="51"/>
      <c r="Q77" s="51"/>
      <c r="R77" s="133"/>
    </row>
    <row r="78" s="99" customFormat="1" ht="18" customHeight="1" spans="1:18">
      <c r="A78" s="117" t="s">
        <v>668</v>
      </c>
      <c r="B78" s="47">
        <f>'SUM1'!$AB$715+B56</f>
        <v>0</v>
      </c>
      <c r="C78" s="47">
        <f>COUNTIFS('RR-3.1-5TH'!$F$12:$F$111,$D$74,'RR-3.1-5TH'!$P$12:$P$111,$E$8)+C56</f>
        <v>0</v>
      </c>
      <c r="D78" s="47">
        <f>B78-C78</f>
        <v>0</v>
      </c>
      <c r="E78" s="47">
        <f>COUNTIFS('RR-3.1-5TH'!$F$12:$F$111,$D$74,'RR-3.1-5TH'!$P$12:$P$111,$E$10)+E56</f>
        <v>0</v>
      </c>
      <c r="F78" s="47">
        <f>COUNTIFS('RR-3.1-5TH'!$F$12:$F$111,$D$74,'RR-3.1-5TH'!$P$12:$P$111,$F$10)+F56</f>
        <v>0</v>
      </c>
      <c r="G78" s="47">
        <f>COUNTIFS('RR-3.1-5TH'!$F$12:$F$111,$D$74,'RR-3.1-5TH'!$P$12:$P$111,$G$10)+G56</f>
        <v>0</v>
      </c>
      <c r="H78" s="47">
        <f>COUNTIFS('RR-3.1-5TH'!$F$12:$F$111,$D$74,'RR-3.1-5TH'!$N$12:$N$111,"",'RR-3.1-5TH'!$P$12:$P$111,$H$10)+H56</f>
        <v>0</v>
      </c>
      <c r="I78" s="47">
        <f>COUNTIFS('RR-3.1-5TH'!$F$12:$F$111,$D$74,'RR-3.1-5TH'!$N$12:$N$111,"&gt;0",'RR-3.1-5TH'!$P$12:$P$111,$H$10)+I56</f>
        <v>0</v>
      </c>
      <c r="J78" s="47">
        <f>COUNTIFS('RR-3.1-5TH'!$F$12:$F$111,$D$74,'RR-3.1-5TH'!$P$12:$P$111,$J$10,'RR-3.1-5TH'!$O$12:$O$111,"&gt;=25")+J56</f>
        <v>0</v>
      </c>
      <c r="K78" s="47">
        <f>COUNTIFS('RR-3.1-5TH'!$F$12:$F$111,$D$74,'RR-3.1-5TH'!$P$12:$P$111,$J$10,'RR-3.1-5TH'!$O$12:$O$111,"&lt;25")+K56</f>
        <v>0</v>
      </c>
      <c r="L78" s="47">
        <f>SUM(C78,E78,F78,G78,H78,I78,J78,K78)</f>
        <v>0</v>
      </c>
      <c r="M78" s="47">
        <f>COUNTIFS('RR-3.1-5TH'!$F$12:$F$111,$D$74,'RR-3.1-5TH'!$BI$12:$BI$111,$M$8)+M56</f>
        <v>0</v>
      </c>
      <c r="N78" s="47">
        <f>COUNTIFS('RR-3.1-5TH'!$F$12:$F$111,$D$74,'RR-3.1-5TH'!$BI$12:$BI$111,$N$8)+N56</f>
        <v>0</v>
      </c>
      <c r="O78" s="47">
        <f>COUNTIFS('RR-3.1-5TH'!$F$12:$F$111,$D$74,'RR-3.1-5TH'!$BI$12:$BI$111,$O$8)+O56</f>
        <v>0</v>
      </c>
      <c r="P78" s="47">
        <f>COUNTIFS('RR-3.1-5TH'!$F$12:$F$111,$D$74,'RR-3.1-5TH'!$BI$12:$BI$111,$P$8)+P56</f>
        <v>0</v>
      </c>
      <c r="Q78" s="47">
        <f>COUNTIFS('RR-3.1-5TH'!$F$12:$F$111,$D$74,'RR-3.1-5TH'!$BI$12:$BI$111,$Q$8)+Q56</f>
        <v>0</v>
      </c>
      <c r="R78" s="47">
        <f>SUM(M78,N78,O78,P78,Q78)</f>
        <v>0</v>
      </c>
    </row>
    <row r="79" s="99" customFormat="1" ht="18" customHeight="1" spans="1:18">
      <c r="A79" s="117" t="s">
        <v>513</v>
      </c>
      <c r="B79" s="47">
        <f>'SUM1'!$AB$715+B57</f>
        <v>0</v>
      </c>
      <c r="C79" s="47">
        <f>COUNTIFS('RR-3.1-5TH'!$F$12:$F$111,$D$74,'RR-3.1-5TH'!$P$12:$P$111,$E$8)+C57</f>
        <v>0</v>
      </c>
      <c r="D79" s="47">
        <f t="shared" ref="D79:D83" si="18">B79-C79</f>
        <v>0</v>
      </c>
      <c r="E79" s="47">
        <f>COUNTIFS('RR-3.1-5TH'!$F$12:$F$111,$D$74,'RR-3.1-5TH'!$X$12:$X$111,$E$10)+E57</f>
        <v>0</v>
      </c>
      <c r="F79" s="47">
        <f>COUNTIFS('RR-3.1-5TH'!$F$12:$F$111,$D$74,'RR-3.1-5TH'!$X$12:$X$111,$F$10)+F57</f>
        <v>0</v>
      </c>
      <c r="G79" s="47">
        <f>COUNTIFS('RR-3.1-5TH'!$F$12:$F$111,$D$74,'RR-3.1-5TH'!$X$12:$X$111,$G$10)+G57</f>
        <v>0</v>
      </c>
      <c r="H79" s="47">
        <f>COUNTIFS('RR-3.1-5TH'!$F$12:$F$111,$D$74,'RR-3.1-5TH'!$V$12:$V$111,"",'RR-3.1-5TH'!$X$12:$X$111,$H$10)+H57</f>
        <v>0</v>
      </c>
      <c r="I79" s="47">
        <f>COUNTIFS('RR-3.1-5TH'!$F$12:$F$111,$D$74,'RR-3.1-5TH'!$V$12:$V$111,"&gt;0",'RR-3.1-5TH'!$X$12:$X$111,$H$10)+I57</f>
        <v>0</v>
      </c>
      <c r="J79" s="47">
        <f>COUNTIFS('RR-3.1-5TH'!$F$12:$F$111,$D$74,'RR-3.1-5TH'!$X$12:$X$111,$J$10,'RR-3.1-5TH'!$W$12:$W$111,"&gt;=25")+J57</f>
        <v>0</v>
      </c>
      <c r="K79" s="47">
        <f>COUNTIFS('RR-3.1-5TH'!$F$12:$F$111,$D$74,'RR-3.1-5TH'!$X$12:$X$111,$J$10,'RR-3.1-5TH'!$W$12:$W$111,"&lt;25")+K57</f>
        <v>0</v>
      </c>
      <c r="L79" s="47">
        <f t="shared" ref="L79:L83" si="19">SUM(C79,E79,F79,G79,H79,I79,J79,K79)</f>
        <v>0</v>
      </c>
      <c r="M79" s="47">
        <f>COUNTIFS('RR-3.1-5TH'!$F$12:$F$111,$D$74,'RR-3.1-5TH'!$BJ$12:$BJ$111,$M$8)+M57</f>
        <v>0</v>
      </c>
      <c r="N79" s="47">
        <f>COUNTIFS('RR-3.1-5TH'!$F$12:$F$111,$D$74,'RR-3.1-5TH'!$BJ$12:$BJ$111,$N$8)+N57</f>
        <v>0</v>
      </c>
      <c r="O79" s="47">
        <f>COUNTIFS('RR-3.1-5TH'!$F$12:$F$111,$D$74,'RR-3.1-5TH'!$BJ$12:$BJ$111,$O$8)+O57</f>
        <v>0</v>
      </c>
      <c r="P79" s="47">
        <f>COUNTIFS('RR-3.1-5TH'!$F$12:$F$111,$D$74,'RR-3.1-5TH'!$BJ$12:$BJ$111,$P$8)+P57</f>
        <v>0</v>
      </c>
      <c r="Q79" s="47">
        <f>COUNTIFS('RR-3.1-5TH'!$F$12:$F$111,$D$74,'RR-3.1-5TH'!$BJ$12:$BJ$111,$Q$8)+Q57</f>
        <v>0</v>
      </c>
      <c r="R79" s="47">
        <f t="shared" ref="R79:R80" si="20">SUM(M79,N79,O79,P79,Q79)</f>
        <v>0</v>
      </c>
    </row>
    <row r="80" s="99" customFormat="1" ht="18" customHeight="1" spans="1:18">
      <c r="A80" s="117" t="s">
        <v>514</v>
      </c>
      <c r="B80" s="47">
        <f>'SUM1'!$AB$715+B58</f>
        <v>0</v>
      </c>
      <c r="C80" s="47">
        <f>COUNTIFS('RR-3.1-5TH'!$F$12:$F$111,$D$74,'RR-3.1-5TH'!$P$12:$P$111,$E$8)+C58</f>
        <v>0</v>
      </c>
      <c r="D80" s="47">
        <f t="shared" si="18"/>
        <v>0</v>
      </c>
      <c r="E80" s="47">
        <f>COUNTIFS('RR-3.1-5TH'!$F$12:$F$111,$D$74,'RR-3.1-5TH'!$AF$12:$AF$111,$E$10)+E58</f>
        <v>0</v>
      </c>
      <c r="F80" s="47">
        <f>COUNTIFS('RR-3.1-5TH'!$F$12:$F$111,$D$74,'RR-3.1-5TH'!$AF$12:$AF$111,$F$10)+F58</f>
        <v>0</v>
      </c>
      <c r="G80" s="47">
        <f>COUNTIFS('RR-3.1-5TH'!$F$12:$F$111,$D$74,'RR-3.1-5TH'!$AF$12:$AF$111,$G$10)+G58</f>
        <v>0</v>
      </c>
      <c r="H80" s="47">
        <f>COUNTIFS('RR-3.1-5TH'!$F$12:$F$111,$D$74,'RR-3.1-5TH'!$AD$12:$AD$111,"",'RR-3.1-5TH'!$AF$12:$AF$111,$H$10)+H58</f>
        <v>0</v>
      </c>
      <c r="I80" s="47">
        <f>COUNTIFS('RR-3.1-5TH'!$F$12:$F$111,$D$74,'RR-3.1-5TH'!$AD$12:$AD$111,"&gt;0",'RR-3.1-5TH'!$AF$12:$AF$111,$H$10)+I58</f>
        <v>0</v>
      </c>
      <c r="J80" s="47">
        <f>COUNTIFS('RR-3.1-5TH'!$F$12:$F$111,$D$74,'RR-3.1-5TH'!$AF$12:$AF$111,$J$10,'RR-3.1-5TH'!$AE$12:$AE$111,"&gt;=25")+J58</f>
        <v>0</v>
      </c>
      <c r="K80" s="47">
        <f>COUNTIFS('RR-3.1-5TH'!$F$12:$F$111,$D$74,'RR-3.1-5TH'!$AF$12:$AF$111,$J$10,'RR-3.1-5TH'!$AE$12:$AE$111,"&lt;25")+K58</f>
        <v>0</v>
      </c>
      <c r="L80" s="47">
        <f t="shared" si="19"/>
        <v>0</v>
      </c>
      <c r="M80" s="47">
        <f>COUNTIFS('RR-3.1-5TH'!$F$12:$F$111,$D$74,'RR-3.1-5TH'!$BK$12:$BK$111,$M$8)+M58</f>
        <v>0</v>
      </c>
      <c r="N80" s="47">
        <f>COUNTIFS('RR-3.1-5TH'!$F$12:$F$111,$D$74,'RR-3.1-5TH'!$BK$12:$BK$111,$N$8)+N58</f>
        <v>0</v>
      </c>
      <c r="O80" s="47">
        <f>COUNTIFS('RR-3.1-5TH'!$F$12:$F$111,$D$74,'RR-3.1-5TH'!$BK$12:$BK$111,$O$8)+O58</f>
        <v>0</v>
      </c>
      <c r="P80" s="47">
        <f>COUNTIFS('RR-3.1-5TH'!$F$12:$F$111,$D$74,'RR-3.1-5TH'!$BK$12:$BK$111,$P$8)+P58</f>
        <v>0</v>
      </c>
      <c r="Q80" s="47">
        <f>COUNTIFS('RR-3.1-5TH'!$F$12:$F$111,$D$74,'RR-3.1-5TH'!$BK$12:$BK$111,$Q$8)+Q58</f>
        <v>0</v>
      </c>
      <c r="R80" s="47">
        <f t="shared" si="20"/>
        <v>0</v>
      </c>
    </row>
    <row r="81" s="99" customFormat="1" ht="18" customHeight="1" spans="1:18">
      <c r="A81" s="117" t="s">
        <v>351</v>
      </c>
      <c r="B81" s="47">
        <f>'SUM1'!$AB$715+B59</f>
        <v>0</v>
      </c>
      <c r="C81" s="47">
        <f>COUNTIFS('RR-3.1-5TH'!$F$12:$F$111,$D$74,'RR-3.1-5TH'!$P$12:$P$111,$E$8)+C59</f>
        <v>0</v>
      </c>
      <c r="D81" s="47">
        <f t="shared" si="18"/>
        <v>0</v>
      </c>
      <c r="E81" s="47">
        <f>COUNTIFS('RR-3.1-5TH'!$F$12:$F$111,$D$74,'RR-3.1-5TH'!$AN$12:$AN$111,$E$10)+E59</f>
        <v>0</v>
      </c>
      <c r="F81" s="47">
        <f>COUNTIFS('RR-3.1-5TH'!$F$12:$F$111,$D$74,'RR-3.1-5TH'!$AN$12:$AN$111,$F$10)+F59</f>
        <v>0</v>
      </c>
      <c r="G81" s="47">
        <f>COUNTIFS('RR-3.1-5TH'!$F$12:$F$111,$D$74,'RR-3.1-5TH'!$AN$12:$AN$111,$G$10)+G59</f>
        <v>0</v>
      </c>
      <c r="H81" s="47">
        <f>COUNTIFS('RR-3.1-5TH'!$F$12:$F$111,$D$74,'RR-3.1-5TH'!$AL$12:$AL$111,"",'RR-3.1-5TH'!$AN$12:$AN$111,$H$10)+H59</f>
        <v>0</v>
      </c>
      <c r="I81" s="47">
        <f>COUNTIFS('RR-3.1-5TH'!$F$12:$F$111,$D$74,'RR-3.1-5TH'!$AL$12:$AL$111,"&gt;0",'RR-3.1-5TH'!$AN$12:$AN$111,$H$10)+I59</f>
        <v>0</v>
      </c>
      <c r="J81" s="47">
        <f>COUNTIFS('RR-3.1-5TH'!$F$12:$F$111,$D$74,'RR-3.1-5TH'!$AN$12:$AN$111,$J$10,'RR-3.1-5TH'!$AM$12:$AM$111,"&gt;=25")+J59</f>
        <v>0</v>
      </c>
      <c r="K81" s="47">
        <f>COUNTIFS('RR-3.1-5TH'!$F$12:$F$111,$D$74,'RR-3.1-5TH'!$AN$12:$AN$111,$J$10,'RR-3.1-5TH'!$AM$12:$AM$111,"&lt;25")+K59</f>
        <v>0</v>
      </c>
      <c r="L81" s="47">
        <f t="shared" si="19"/>
        <v>0</v>
      </c>
      <c r="M81" s="47" t="s">
        <v>670</v>
      </c>
      <c r="N81" s="47" t="s">
        <v>670</v>
      </c>
      <c r="O81" s="47" t="s">
        <v>670</v>
      </c>
      <c r="P81" s="47" t="s">
        <v>670</v>
      </c>
      <c r="Q81" s="47" t="s">
        <v>670</v>
      </c>
      <c r="R81" s="47" t="s">
        <v>670</v>
      </c>
    </row>
    <row r="82" s="99" customFormat="1" ht="18" customHeight="1" spans="1:18">
      <c r="A82" s="117" t="s">
        <v>671</v>
      </c>
      <c r="B82" s="47">
        <f>'SUM1'!$AB$715+B60</f>
        <v>0</v>
      </c>
      <c r="C82" s="47">
        <f>COUNTIFS('RR-3.1-5TH'!$F$12:$F$111,$D$74,'RR-3.1-5TH'!$P$12:$P$111,$E$8)+C60</f>
        <v>0</v>
      </c>
      <c r="D82" s="47">
        <f t="shared" si="18"/>
        <v>0</v>
      </c>
      <c r="E82" s="47">
        <f>COUNTIFS('RR-3.1-5TH'!$F$12:$F$111,$D$74,'RR-3.1-5TH'!$AV$12:$AV$111,$E$10)+E60</f>
        <v>0</v>
      </c>
      <c r="F82" s="47">
        <f>COUNTIFS('RR-3.1-5TH'!$F$12:$F$111,$D$74,'RR-3.1-5TH'!$AV$12:$AV$111,$F$10)+F60</f>
        <v>0</v>
      </c>
      <c r="G82" s="47">
        <f>COUNTIFS('RR-3.1-5TH'!$F$12:$F$111,$D$74,'RR-3.1-5TH'!$AV$12:$AV$111,$G$10)+G60</f>
        <v>0</v>
      </c>
      <c r="H82" s="47">
        <f>COUNTIFS('RR-3.1-5TH'!$F$12:$F$111,$D$74,'RR-3.1-5TH'!$AT$12:$AT$111,"",'RR-3.1-5TH'!$AV$12:$AV$111,$H$10)+H60</f>
        <v>0</v>
      </c>
      <c r="I82" s="47">
        <f>COUNTIFS('RR-3.1-5TH'!$F$12:$F$111,$D$74,'RR-3.1-5TH'!$AT$12:$AT$111,"&gt;0",'RR-3.1-5TH'!$AV$12:$AV$111,$H$10)+I60</f>
        <v>0</v>
      </c>
      <c r="J82" s="47">
        <f>COUNTIFS('RR-3.1-5TH'!$F$12:$F$111,$D$74,'RR-3.1-5TH'!$AV$12:$AV$111,$J$10,'RR-3.1-5TH'!$AU$12:$AU$111,"&gt;=25")+J60</f>
        <v>0</v>
      </c>
      <c r="K82" s="47">
        <f>COUNTIFS('RR-3.1-5TH'!$F$12:$F$111,$D$74,'RR-3.1-5TH'!$AV$12:$AV$111,$J$10,'RR-3.1-5TH'!$AU$12:$AU$111,"&lt;25")+K60</f>
        <v>0</v>
      </c>
      <c r="L82" s="47">
        <f t="shared" si="19"/>
        <v>0</v>
      </c>
      <c r="M82" s="47" t="s">
        <v>670</v>
      </c>
      <c r="N82" s="47" t="s">
        <v>670</v>
      </c>
      <c r="O82" s="47" t="s">
        <v>670</v>
      </c>
      <c r="P82" s="47" t="s">
        <v>670</v>
      </c>
      <c r="Q82" s="47" t="s">
        <v>670</v>
      </c>
      <c r="R82" s="47" t="s">
        <v>670</v>
      </c>
    </row>
    <row r="83" s="99" customFormat="1" ht="18" customHeight="1" spans="1:18">
      <c r="A83" s="117" t="s">
        <v>672</v>
      </c>
      <c r="B83" s="47">
        <f>'SUM1'!$AB$715+B61</f>
        <v>0</v>
      </c>
      <c r="C83" s="47">
        <f>COUNTIFS('RR-3.1-5TH'!$F$12:$F$111,$D$74,'RR-3.1-5TH'!$P$12:$P$111,$E$8)+C61</f>
        <v>0</v>
      </c>
      <c r="D83" s="47">
        <f t="shared" si="18"/>
        <v>0</v>
      </c>
      <c r="E83" s="47">
        <f>COUNTIFS('RR-3.1-5TH'!$F$12:$F$111,$D$74,'RR-3.1-5TH'!$BD$12:$BD$111,$E$10)+E61</f>
        <v>0</v>
      </c>
      <c r="F83" s="47">
        <f>COUNTIFS('RR-3.1-5TH'!$F$12:$F$111,$D$74,'RR-3.1-5TH'!$BD$12:$BD$111,$F$10)+F61</f>
        <v>0</v>
      </c>
      <c r="G83" s="47">
        <f>COUNTIFS('RR-3.1-5TH'!$F$12:$F$111,$D$74,'RR-3.1-5TH'!$BD$12:$BD$111,$G$10)+G61</f>
        <v>0</v>
      </c>
      <c r="H83" s="47">
        <f>COUNTIFS('RR-3.1-5TH'!$F$12:$F$111,$D$74,'RR-3.1-5TH'!$BB$12:$BB$111,"",'RR-3.1-5TH'!$BD$12:$BD$111,$H$10)+H61</f>
        <v>0</v>
      </c>
      <c r="I83" s="47">
        <f>COUNTIFS('RR-3.1-5TH'!$F$12:$F$111,$D$74,'RR-3.1-5TH'!$BB$12:$BB$111,"&gt;0",'RR-3.1-5TH'!$BD$12:$BD$111,$H$10)+I61</f>
        <v>0</v>
      </c>
      <c r="J83" s="47">
        <f>COUNTIFS('RR-3.1-5TH'!$F$12:$F$111,$D$74,'RR-3.1-5TH'!$BD$12:$BD$111,$J$10,'RR-3.1-5TH'!$BC$12:$BC$111,"&gt;=25")+J61</f>
        <v>0</v>
      </c>
      <c r="K83" s="47">
        <f>COUNTIFS('RR-3.1-5TH'!$F$12:$F$111,$D$74,'RR-3.1-5TH'!$BD$12:$BD$111,$J$10,'RR-3.1-5TH'!$BC$12:$BC$111,"&lt;25")+K61</f>
        <v>0</v>
      </c>
      <c r="L83" s="47">
        <f t="shared" si="19"/>
        <v>0</v>
      </c>
      <c r="M83" s="47" t="s">
        <v>670</v>
      </c>
      <c r="N83" s="47" t="s">
        <v>670</v>
      </c>
      <c r="O83" s="47" t="s">
        <v>670</v>
      </c>
      <c r="P83" s="47" t="s">
        <v>670</v>
      </c>
      <c r="Q83" s="47" t="s">
        <v>670</v>
      </c>
      <c r="R83" s="47" t="s">
        <v>670</v>
      </c>
    </row>
    <row r="85" s="97" customFormat="1" ht="18" customHeight="1" spans="1:18">
      <c r="A85" s="119" t="s">
        <v>689</v>
      </c>
      <c r="B85" s="119"/>
      <c r="C85" s="119"/>
    </row>
    <row r="86" s="98" customFormat="1" ht="32.1" customHeight="1" spans="1:18">
      <c r="A86" s="47" t="s">
        <v>690</v>
      </c>
      <c r="B86" s="47" t="s">
        <v>691</v>
      </c>
      <c r="C86" s="47"/>
      <c r="D86" s="47"/>
      <c r="E86" s="120" t="s">
        <v>692</v>
      </c>
      <c r="F86" s="47"/>
      <c r="G86" s="120" t="s">
        <v>693</v>
      </c>
      <c r="H86" s="47"/>
      <c r="I86" s="120" t="s">
        <v>694</v>
      </c>
      <c r="J86" s="47"/>
      <c r="K86" s="120" t="s">
        <v>653</v>
      </c>
      <c r="L86" s="47"/>
      <c r="M86" s="121"/>
      <c r="N86" s="121"/>
      <c r="O86" s="121"/>
    </row>
    <row r="87" s="98" customFormat="1" ht="18" customHeight="1" spans="1:18">
      <c r="A87" s="47" t="s">
        <v>695</v>
      </c>
      <c r="B87" s="52" t="str">
        <f>INDEX('RR-3.1-5TH'!$C$12:$C$111,MATCH(P87,'RR-3.1-5TH'!$BM$12:$BM$111,0))</f>
        <v>HARSHIT</v>
      </c>
      <c r="C87" s="105"/>
      <c r="D87" s="53"/>
      <c r="E87" s="134">
        <f>'RR-3.1-5TH'!$BF$11</f>
        <v>600</v>
      </c>
      <c r="F87" s="135"/>
      <c r="G87" s="47">
        <f>IFERROR(VLOOKUP(P87,'RR-3.1-5TH'!$BM$12:$BN$111,2,0),"")</f>
        <v>199</v>
      </c>
      <c r="H87" s="47"/>
      <c r="I87" s="35" t="str">
        <f>IF(K87="","",IF(K87=0,"Ab",IF(K87&gt;80,"A",IF(K87&gt;60,"B",IF(K87&gt;44,"C",IF(K87&gt;=33,"D",IF(K87&lt;=32,"E","")))))))</f>
        <v>D</v>
      </c>
      <c r="J87" s="36"/>
      <c r="K87" s="70">
        <f>IFERROR(IF(P87&gt;0,G87/E87*100,""),"")</f>
        <v>33.1666666666667</v>
      </c>
      <c r="L87" s="70"/>
      <c r="M87" s="121"/>
      <c r="N87" s="121"/>
      <c r="O87" s="121"/>
      <c r="P87" s="130">
        <v>1</v>
      </c>
    </row>
    <row r="88" s="98" customFormat="1" spans="1:18">
      <c r="A88" s="47" t="s">
        <v>696</v>
      </c>
      <c r="B88" s="52" t="str">
        <f>INDEX('RR-3.1-5TH'!$C$12:$C$111,MATCH(P88,'RR-3.1-5TH'!$BM$12:$BM$111,0))</f>
        <v>HANAM AYUBI</v>
      </c>
      <c r="C88" s="105"/>
      <c r="D88" s="53"/>
      <c r="E88" s="134">
        <f>'RR-3.1-5TH'!$BF$11</f>
        <v>600</v>
      </c>
      <c r="F88" s="135"/>
      <c r="G88" s="47">
        <f>IFERROR(VLOOKUP(P88,'RR-3.1-5TH'!$BM$12:$BN$111,2,0),"")</f>
        <v>184</v>
      </c>
      <c r="H88" s="47"/>
      <c r="I88" s="35" t="str">
        <f t="shared" ref="I88:I89" si="21">IF(K88="","",IF(K88=0,"Ab",IF(K88&gt;80,"A",IF(K88&gt;60,"B",IF(K88&gt;44,"C",IF(K88&gt;=33,"D",IF(K88&lt;=32,"E","")))))))</f>
        <v>E</v>
      </c>
      <c r="J88" s="36"/>
      <c r="K88" s="70">
        <f>IFERROR(IF(P88&gt;0,G88/E88*100,""),"")</f>
        <v>30.6666666666667</v>
      </c>
      <c r="L88" s="70"/>
      <c r="M88" s="121"/>
      <c r="N88" s="121"/>
      <c r="O88" s="121"/>
      <c r="P88" s="130">
        <v>2</v>
      </c>
    </row>
    <row r="89" s="98" customFormat="1" spans="1:18">
      <c r="A89" s="47" t="s">
        <v>556</v>
      </c>
      <c r="B89" s="52" t="str">
        <f>INDEX('RR-3.1-5TH'!$C$12:$C$111,MATCH(P89,'RR-3.1-5TH'!$BM$12:$BM$111,0))</f>
        <v>ANSHU KUMAR PANDIT</v>
      </c>
      <c r="C89" s="105"/>
      <c r="D89" s="53"/>
      <c r="E89" s="134">
        <f>'RR-3.1-5TH'!$BF$11</f>
        <v>600</v>
      </c>
      <c r="F89" s="135"/>
      <c r="G89" s="47">
        <f>IFERROR(VLOOKUP(P89,'RR-3.1-5TH'!$BM$12:$BN$111,2,0),"")</f>
        <v>183</v>
      </c>
      <c r="H89" s="47"/>
      <c r="I89" s="35" t="str">
        <f t="shared" si="21"/>
        <v>E</v>
      </c>
      <c r="J89" s="36"/>
      <c r="K89" s="70">
        <f>IFERROR(IF(P89&gt;0,G89/E89*100,""),"")</f>
        <v>30.5</v>
      </c>
      <c r="L89" s="70"/>
      <c r="M89" s="121"/>
      <c r="N89" s="121"/>
      <c r="O89" s="121"/>
      <c r="P89" s="130">
        <v>3</v>
      </c>
    </row>
    <row r="95" s="99" customFormat="1" spans="1:18">
      <c r="A95" s="131" t="s">
        <v>697</v>
      </c>
      <c r="D95" s="98" t="s">
        <v>697</v>
      </c>
      <c r="E95" s="98"/>
      <c r="F95" s="98"/>
      <c r="K95" s="98" t="s">
        <v>698</v>
      </c>
      <c r="L95" s="98"/>
      <c r="M95" s="98"/>
      <c r="N95" s="98"/>
      <c r="O95" s="98"/>
    </row>
    <row r="96" s="99" customFormat="1" spans="1:18">
      <c r="A96" s="98" t="s">
        <v>699</v>
      </c>
      <c r="B96" s="98"/>
      <c r="D96" s="98" t="s">
        <v>700</v>
      </c>
      <c r="E96" s="98"/>
      <c r="F96" s="98"/>
      <c r="K96" s="98" t="s">
        <v>701</v>
      </c>
      <c r="L96" s="98"/>
      <c r="M96" s="98"/>
      <c r="N96" s="98"/>
      <c r="O96" s="98"/>
    </row>
  </sheetData>
  <sheetProtection password="BF6F" sheet="1" formatCells="0" formatColumns="0" formatRows="0" objects="1" scenarios="1"/>
  <mergeCells count="168">
    <mergeCell ref="A1:R1"/>
    <mergeCell ref="A2:R2"/>
    <mergeCell ref="A3:R3"/>
    <mergeCell ref="B5:K5"/>
    <mergeCell ref="N5:O5"/>
    <mergeCell ref="P5:Q5"/>
    <mergeCell ref="B6:K6"/>
    <mergeCell ref="N6:O6"/>
    <mergeCell ref="P6:Q6"/>
    <mergeCell ref="A8:B8"/>
    <mergeCell ref="E9:K9"/>
    <mergeCell ref="M9:Q9"/>
    <mergeCell ref="H10:I10"/>
    <mergeCell ref="J10:K10"/>
    <mergeCell ref="A19:B19"/>
    <mergeCell ref="E20:K20"/>
    <mergeCell ref="M20:Q20"/>
    <mergeCell ref="H21:I21"/>
    <mergeCell ref="J21:K21"/>
    <mergeCell ref="A30:B30"/>
    <mergeCell ref="E31:K31"/>
    <mergeCell ref="M31:Q31"/>
    <mergeCell ref="H32:I32"/>
    <mergeCell ref="J32:K32"/>
    <mergeCell ref="A41:B41"/>
    <mergeCell ref="E42:K42"/>
    <mergeCell ref="M42:Q42"/>
    <mergeCell ref="H43:I43"/>
    <mergeCell ref="J43:K43"/>
    <mergeCell ref="A52:C52"/>
    <mergeCell ref="E53:K53"/>
    <mergeCell ref="M53:Q53"/>
    <mergeCell ref="H54:I54"/>
    <mergeCell ref="J54:K54"/>
    <mergeCell ref="A63:C63"/>
    <mergeCell ref="E64:K64"/>
    <mergeCell ref="M64:Q64"/>
    <mergeCell ref="H65:I65"/>
    <mergeCell ref="J65:K65"/>
    <mergeCell ref="A74:C74"/>
    <mergeCell ref="E75:K75"/>
    <mergeCell ref="M75:Q75"/>
    <mergeCell ref="H76:I76"/>
    <mergeCell ref="J76:K76"/>
    <mergeCell ref="A85:C85"/>
    <mergeCell ref="B86:D86"/>
    <mergeCell ref="E86:F86"/>
    <mergeCell ref="G86:H86"/>
    <mergeCell ref="I86:J86"/>
    <mergeCell ref="K86:L86"/>
    <mergeCell ref="B87:D87"/>
    <mergeCell ref="E87:F87"/>
    <mergeCell ref="G87:H87"/>
    <mergeCell ref="I87:J87"/>
    <mergeCell ref="K87:L87"/>
    <mergeCell ref="B88:D88"/>
    <mergeCell ref="E88:F88"/>
    <mergeCell ref="G88:H88"/>
    <mergeCell ref="I88:J88"/>
    <mergeCell ref="K88:L88"/>
    <mergeCell ref="B89:D89"/>
    <mergeCell ref="E89:F89"/>
    <mergeCell ref="G89:H89"/>
    <mergeCell ref="I89:J89"/>
    <mergeCell ref="K89:L89"/>
    <mergeCell ref="D95:F95"/>
    <mergeCell ref="K95:O95"/>
    <mergeCell ref="A96:B96"/>
    <mergeCell ref="D96:F96"/>
    <mergeCell ref="K96:O96"/>
    <mergeCell ref="A9:A11"/>
    <mergeCell ref="A20:A22"/>
    <mergeCell ref="A31:A33"/>
    <mergeCell ref="A42:A44"/>
    <mergeCell ref="A53:A55"/>
    <mergeCell ref="A64:A66"/>
    <mergeCell ref="A75:A77"/>
    <mergeCell ref="B9:B11"/>
    <mergeCell ref="B20:B22"/>
    <mergeCell ref="B31:B33"/>
    <mergeCell ref="B42:B44"/>
    <mergeCell ref="B53:B55"/>
    <mergeCell ref="B64:B66"/>
    <mergeCell ref="B75:B77"/>
    <mergeCell ref="C9:C11"/>
    <mergeCell ref="C20:C22"/>
    <mergeCell ref="C31:C33"/>
    <mergeCell ref="C42:C44"/>
    <mergeCell ref="C53:C55"/>
    <mergeCell ref="C64:C66"/>
    <mergeCell ref="C75:C77"/>
    <mergeCell ref="D9:D11"/>
    <mergeCell ref="D20:D22"/>
    <mergeCell ref="D31:D33"/>
    <mergeCell ref="D42:D44"/>
    <mergeCell ref="D53:D55"/>
    <mergeCell ref="D64:D66"/>
    <mergeCell ref="D75:D77"/>
    <mergeCell ref="E10:E11"/>
    <mergeCell ref="E21:E22"/>
    <mergeCell ref="E32:E33"/>
    <mergeCell ref="E43:E44"/>
    <mergeCell ref="E54:E55"/>
    <mergeCell ref="E65:E66"/>
    <mergeCell ref="E76:E77"/>
    <mergeCell ref="F10:F11"/>
    <mergeCell ref="F21:F22"/>
    <mergeCell ref="F32:F33"/>
    <mergeCell ref="F43:F44"/>
    <mergeCell ref="F54:F55"/>
    <mergeCell ref="F65:F66"/>
    <mergeCell ref="F76:F77"/>
    <mergeCell ref="G10:G11"/>
    <mergeCell ref="G21:G22"/>
    <mergeCell ref="G32:G33"/>
    <mergeCell ref="G43:G44"/>
    <mergeCell ref="G54:G55"/>
    <mergeCell ref="G65:G66"/>
    <mergeCell ref="G76:G77"/>
    <mergeCell ref="L10:L11"/>
    <mergeCell ref="L21:L22"/>
    <mergeCell ref="L32:L33"/>
    <mergeCell ref="L43:L44"/>
    <mergeCell ref="L54:L55"/>
    <mergeCell ref="L65:L66"/>
    <mergeCell ref="L76:L77"/>
    <mergeCell ref="M10:M11"/>
    <mergeCell ref="M21:M22"/>
    <mergeCell ref="M32:M33"/>
    <mergeCell ref="M43:M44"/>
    <mergeCell ref="M54:M55"/>
    <mergeCell ref="M65:M66"/>
    <mergeCell ref="M76:M77"/>
    <mergeCell ref="N10:N11"/>
    <mergeCell ref="N21:N22"/>
    <mergeCell ref="N32:N33"/>
    <mergeCell ref="N43:N44"/>
    <mergeCell ref="N54:N55"/>
    <mergeCell ref="N65:N66"/>
    <mergeCell ref="N76:N77"/>
    <mergeCell ref="O10:O11"/>
    <mergeCell ref="O21:O22"/>
    <mergeCell ref="O32:O33"/>
    <mergeCell ref="O43:O44"/>
    <mergeCell ref="O54:O55"/>
    <mergeCell ref="O65:O66"/>
    <mergeCell ref="O76:O77"/>
    <mergeCell ref="P10:P11"/>
    <mergeCell ref="P21:P22"/>
    <mergeCell ref="P32:P33"/>
    <mergeCell ref="P43:P44"/>
    <mergeCell ref="P54:P55"/>
    <mergeCell ref="P65:P66"/>
    <mergeCell ref="P76:P77"/>
    <mergeCell ref="Q10:Q11"/>
    <mergeCell ref="Q21:Q22"/>
    <mergeCell ref="Q32:Q33"/>
    <mergeCell ref="Q43:Q44"/>
    <mergeCell ref="Q54:Q55"/>
    <mergeCell ref="Q65:Q66"/>
    <mergeCell ref="Q76:Q77"/>
    <mergeCell ref="R10:R11"/>
    <mergeCell ref="R21:R22"/>
    <mergeCell ref="R32:R33"/>
    <mergeCell ref="R43:R44"/>
    <mergeCell ref="R54:R55"/>
    <mergeCell ref="R65:R66"/>
    <mergeCell ref="R76:R77"/>
  </mergeCells>
  <pageMargins left="0.41" right="0.27" top="0.4" bottom="0.42" header="0.3" footer="0.3"/>
  <pageSetup paperSize="9" scale="47" orientation="portrait" horizontalDpi="300" verticalDpi="300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6"/>
  <sheetViews>
    <sheetView workbookViewId="0">
      <selection activeCell="A1" sqref="A1:R1"/>
    </sheetView>
  </sheetViews>
  <sheetFormatPr defaultColWidth="9.13888888888889" defaultRowHeight="13.8"/>
  <cols>
    <col min="1" max="1" width="33.1388888888889" style="100" customWidth="1"/>
    <col min="2" max="4" width="12.712962962963" style="100" customWidth="1"/>
    <col min="5" max="7" width="7.71296296296296" style="100" customWidth="1"/>
    <col min="8" max="8" width="9.57407407407407" style="100" customWidth="1"/>
    <col min="9" max="9" width="7.71296296296296" style="100" customWidth="1"/>
    <col min="10" max="10" width="9" style="100" customWidth="1"/>
    <col min="11" max="11" width="7.71296296296296" style="100" customWidth="1"/>
    <col min="12" max="12" width="8.71296296296296" style="100" customWidth="1"/>
    <col min="13" max="17" width="7.71296296296296" style="100" customWidth="1"/>
    <col min="18" max="18" width="8.71296296296296" style="100" customWidth="1"/>
    <col min="19" max="16384" width="9.13888888888889" style="100"/>
  </cols>
  <sheetData>
    <row r="1" ht="22.2" spans="1:18">
      <c r="A1" s="101" t="s">
        <v>7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</row>
    <row r="2" ht="17.4" spans="1:18">
      <c r="A2" s="102" t="str">
        <f>"EDUCATION DEPARTMENT - "&amp;ENTRY!$D$5</f>
        <v>EDUCATION DEPARTMENT - ROHINI ZONE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</row>
    <row r="3" ht="17.4" spans="1:18">
      <c r="A3" s="102" t="str">
        <f>"Result Summary Sheet -School Wise - Session : "&amp;ENTRY!$D$11</f>
        <v>Result Summary Sheet -School Wise - Session : 2026-27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</row>
    <row r="4" spans="1:18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</row>
    <row r="5" s="96" customFormat="1" spans="1:18">
      <c r="A5" s="104" t="s">
        <v>676</v>
      </c>
      <c r="B5" s="18" t="str">
        <f>ENTRY!$D$6</f>
        <v>MCP NITHARI NO 1 BOYS</v>
      </c>
      <c r="C5" s="18"/>
      <c r="D5" s="18"/>
      <c r="E5" s="18"/>
      <c r="F5" s="18"/>
      <c r="G5" s="18"/>
      <c r="H5" s="18"/>
      <c r="I5" s="18"/>
      <c r="J5" s="18"/>
      <c r="K5" s="18"/>
      <c r="L5" s="98"/>
      <c r="M5" s="98"/>
      <c r="N5" s="99" t="s">
        <v>702</v>
      </c>
      <c r="O5" s="99"/>
      <c r="P5" s="21">
        <f>ENTRY!$D$10</f>
        <v>40</v>
      </c>
      <c r="Q5" s="21"/>
      <c r="R5" s="98"/>
    </row>
    <row r="6" s="96" customFormat="1" spans="1:18">
      <c r="A6" s="104" t="s">
        <v>703</v>
      </c>
      <c r="B6" s="105" t="str">
        <f>ENTRY!$D$5</f>
        <v>ROHINI ZONE</v>
      </c>
      <c r="C6" s="105"/>
      <c r="D6" s="105"/>
      <c r="E6" s="105"/>
      <c r="F6" s="105"/>
      <c r="G6" s="105"/>
      <c r="H6" s="105"/>
      <c r="I6" s="105"/>
      <c r="J6" s="105"/>
      <c r="K6" s="105"/>
      <c r="L6" s="98"/>
      <c r="M6" s="98"/>
      <c r="N6" s="99" t="s">
        <v>393</v>
      </c>
      <c r="O6" s="99"/>
      <c r="P6" s="24">
        <f>ENTRY!$D$7</f>
        <v>0</v>
      </c>
      <c r="Q6" s="24"/>
      <c r="R6" s="98"/>
    </row>
    <row r="8" s="97" customFormat="1" ht="18" customHeight="1" spans="1:18">
      <c r="A8" s="106" t="s">
        <v>749</v>
      </c>
      <c r="B8" s="106"/>
      <c r="E8" s="107" t="s">
        <v>101</v>
      </c>
      <c r="M8" s="107">
        <v>1</v>
      </c>
      <c r="N8" s="107">
        <v>2</v>
      </c>
      <c r="O8" s="107">
        <v>3</v>
      </c>
      <c r="P8" s="107">
        <v>4</v>
      </c>
      <c r="Q8" s="107">
        <v>5</v>
      </c>
    </row>
    <row r="9" s="98" customFormat="1" ht="18" customHeight="1" spans="1:18">
      <c r="A9" s="108" t="s">
        <v>662</v>
      </c>
      <c r="B9" s="48" t="s">
        <v>664</v>
      </c>
      <c r="C9" s="48" t="s">
        <v>509</v>
      </c>
      <c r="D9" s="48" t="s">
        <v>680</v>
      </c>
      <c r="E9" s="47" t="s">
        <v>681</v>
      </c>
      <c r="F9" s="47"/>
      <c r="G9" s="47"/>
      <c r="H9" s="47"/>
      <c r="I9" s="47"/>
      <c r="J9" s="47"/>
      <c r="K9" s="47"/>
      <c r="L9" s="109" t="s">
        <v>382</v>
      </c>
      <c r="M9" s="47" t="s">
        <v>682</v>
      </c>
      <c r="N9" s="47"/>
      <c r="O9" s="47"/>
      <c r="P9" s="47"/>
      <c r="Q9" s="47"/>
      <c r="R9" s="109" t="s">
        <v>382</v>
      </c>
    </row>
    <row r="10" s="98" customFormat="1" ht="18" customHeight="1" spans="1:18">
      <c r="A10" s="110"/>
      <c r="B10" s="111"/>
      <c r="C10" s="111"/>
      <c r="D10" s="111"/>
      <c r="E10" s="108" t="s">
        <v>50</v>
      </c>
      <c r="F10" s="108" t="s">
        <v>485</v>
      </c>
      <c r="G10" s="108" t="s">
        <v>486</v>
      </c>
      <c r="H10" s="35" t="s">
        <v>487</v>
      </c>
      <c r="I10" s="36"/>
      <c r="J10" s="35" t="s">
        <v>488</v>
      </c>
      <c r="K10" s="36"/>
      <c r="L10" s="112"/>
      <c r="M10" s="108" t="s">
        <v>96</v>
      </c>
      <c r="N10" s="108" t="s">
        <v>97</v>
      </c>
      <c r="O10" s="108" t="s">
        <v>98</v>
      </c>
      <c r="P10" s="108" t="s">
        <v>99</v>
      </c>
      <c r="Q10" s="108" t="s">
        <v>100</v>
      </c>
      <c r="R10" s="112"/>
    </row>
    <row r="11" s="98" customFormat="1" ht="20.4" spans="1:18">
      <c r="A11" s="51"/>
      <c r="B11" s="113"/>
      <c r="C11" s="113"/>
      <c r="D11" s="113"/>
      <c r="E11" s="51"/>
      <c r="F11" s="51"/>
      <c r="G11" s="51"/>
      <c r="H11" s="114" t="s">
        <v>740</v>
      </c>
      <c r="I11" s="114" t="s">
        <v>748</v>
      </c>
      <c r="J11" s="115" t="s">
        <v>742</v>
      </c>
      <c r="K11" s="115" t="s">
        <v>743</v>
      </c>
      <c r="L11" s="116"/>
      <c r="M11" s="51"/>
      <c r="N11" s="51"/>
      <c r="O11" s="51"/>
      <c r="P11" s="51"/>
      <c r="Q11" s="51"/>
      <c r="R11" s="116"/>
    </row>
    <row r="12" s="99" customFormat="1" ht="18" customHeight="1" spans="1:18">
      <c r="A12" s="117" t="s">
        <v>668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</row>
    <row r="13" s="99" customFormat="1" ht="18" customHeight="1" spans="1:18">
      <c r="A13" s="117" t="s">
        <v>513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</row>
    <row r="14" s="99" customFormat="1" ht="18" customHeight="1" spans="1:18">
      <c r="A14" s="117" t="s">
        <v>514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</row>
    <row r="15" s="99" customFormat="1" ht="18" customHeight="1" spans="1:18">
      <c r="A15" s="117" t="s">
        <v>351</v>
      </c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47" t="s">
        <v>670</v>
      </c>
      <c r="N15" s="47" t="s">
        <v>670</v>
      </c>
      <c r="O15" s="47" t="s">
        <v>670</v>
      </c>
      <c r="P15" s="47" t="s">
        <v>670</v>
      </c>
      <c r="Q15" s="47" t="s">
        <v>670</v>
      </c>
      <c r="R15" s="47" t="s">
        <v>670</v>
      </c>
    </row>
    <row r="16" s="99" customFormat="1" ht="18" customHeight="1" spans="1:18">
      <c r="A16" s="117" t="s">
        <v>671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47" t="s">
        <v>670</v>
      </c>
      <c r="N16" s="47" t="s">
        <v>670</v>
      </c>
      <c r="O16" s="47" t="s">
        <v>670</v>
      </c>
      <c r="P16" s="47" t="s">
        <v>670</v>
      </c>
      <c r="Q16" s="47" t="s">
        <v>670</v>
      </c>
      <c r="R16" s="47" t="s">
        <v>670</v>
      </c>
    </row>
    <row r="17" s="99" customFormat="1" ht="18" customHeight="1" spans="1:18">
      <c r="A17" s="117" t="s">
        <v>672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47" t="s">
        <v>670</v>
      </c>
      <c r="N17" s="47" t="s">
        <v>670</v>
      </c>
      <c r="O17" s="47" t="s">
        <v>670</v>
      </c>
      <c r="P17" s="47" t="s">
        <v>670</v>
      </c>
      <c r="Q17" s="47" t="s">
        <v>670</v>
      </c>
      <c r="R17" s="47" t="s">
        <v>670</v>
      </c>
    </row>
    <row r="19" s="97" customFormat="1" ht="18" customHeight="1" spans="1:18">
      <c r="A19" s="106" t="s">
        <v>683</v>
      </c>
      <c r="B19" s="106"/>
      <c r="C19" s="107" t="s">
        <v>492</v>
      </c>
    </row>
    <row r="20" s="98" customFormat="1" ht="18" customHeight="1" spans="1:18">
      <c r="A20" s="108" t="s">
        <v>662</v>
      </c>
      <c r="B20" s="48" t="s">
        <v>664</v>
      </c>
      <c r="C20" s="48" t="s">
        <v>509</v>
      </c>
      <c r="D20" s="48" t="s">
        <v>680</v>
      </c>
      <c r="E20" s="47" t="s">
        <v>681</v>
      </c>
      <c r="F20" s="47"/>
      <c r="G20" s="47"/>
      <c r="H20" s="47"/>
      <c r="I20" s="47"/>
      <c r="J20" s="47"/>
      <c r="K20" s="47"/>
      <c r="L20" s="109" t="s">
        <v>382</v>
      </c>
      <c r="M20" s="47" t="s">
        <v>682</v>
      </c>
      <c r="N20" s="47"/>
      <c r="O20" s="47"/>
      <c r="P20" s="47"/>
      <c r="Q20" s="47"/>
      <c r="R20" s="109" t="s">
        <v>382</v>
      </c>
    </row>
    <row r="21" s="98" customFormat="1" ht="18" customHeight="1" spans="1:18">
      <c r="A21" s="110"/>
      <c r="B21" s="111"/>
      <c r="C21" s="111"/>
      <c r="D21" s="111"/>
      <c r="E21" s="108" t="s">
        <v>50</v>
      </c>
      <c r="F21" s="108" t="s">
        <v>485</v>
      </c>
      <c r="G21" s="108" t="s">
        <v>486</v>
      </c>
      <c r="H21" s="35" t="s">
        <v>487</v>
      </c>
      <c r="I21" s="36"/>
      <c r="J21" s="35" t="s">
        <v>488</v>
      </c>
      <c r="K21" s="36"/>
      <c r="L21" s="112"/>
      <c r="M21" s="108" t="s">
        <v>96</v>
      </c>
      <c r="N21" s="108" t="s">
        <v>97</v>
      </c>
      <c r="O21" s="108" t="s">
        <v>98</v>
      </c>
      <c r="P21" s="108" t="s">
        <v>99</v>
      </c>
      <c r="Q21" s="108" t="s">
        <v>100</v>
      </c>
      <c r="R21" s="112"/>
    </row>
    <row r="22" s="98" customFormat="1" ht="20.4" spans="1:18">
      <c r="A22" s="51"/>
      <c r="B22" s="113"/>
      <c r="C22" s="113"/>
      <c r="D22" s="113"/>
      <c r="E22" s="51"/>
      <c r="F22" s="51"/>
      <c r="G22" s="51"/>
      <c r="H22" s="114" t="s">
        <v>740</v>
      </c>
      <c r="I22" s="114" t="s">
        <v>748</v>
      </c>
      <c r="J22" s="115" t="s">
        <v>742</v>
      </c>
      <c r="K22" s="115" t="s">
        <v>743</v>
      </c>
      <c r="L22" s="116"/>
      <c r="M22" s="51"/>
      <c r="N22" s="51"/>
      <c r="O22" s="51"/>
      <c r="P22" s="51"/>
      <c r="Q22" s="51"/>
      <c r="R22" s="116"/>
    </row>
    <row r="23" s="99" customFormat="1" ht="18" customHeight="1" spans="1:18">
      <c r="A23" s="117" t="s">
        <v>668</v>
      </c>
      <c r="B23" s="118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</row>
    <row r="24" s="99" customFormat="1" ht="18" customHeight="1" spans="1:18">
      <c r="A24" s="117" t="s">
        <v>513</v>
      </c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</row>
    <row r="25" s="99" customFormat="1" ht="18" customHeight="1" spans="1:18">
      <c r="A25" s="117" t="s">
        <v>514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</row>
    <row r="26" s="99" customFormat="1" ht="18" customHeight="1" spans="1:18">
      <c r="A26" s="117" t="s">
        <v>351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47" t="s">
        <v>670</v>
      </c>
      <c r="N26" s="47" t="s">
        <v>670</v>
      </c>
      <c r="O26" s="47" t="s">
        <v>670</v>
      </c>
      <c r="P26" s="47" t="s">
        <v>670</v>
      </c>
      <c r="Q26" s="47" t="s">
        <v>670</v>
      </c>
      <c r="R26" s="47" t="s">
        <v>670</v>
      </c>
    </row>
    <row r="27" s="99" customFormat="1" ht="18" customHeight="1" spans="1:18">
      <c r="A27" s="117" t="s">
        <v>671</v>
      </c>
      <c r="B27" s="118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47" t="s">
        <v>670</v>
      </c>
      <c r="N27" s="47" t="s">
        <v>670</v>
      </c>
      <c r="O27" s="47" t="s">
        <v>670</v>
      </c>
      <c r="P27" s="47" t="s">
        <v>670</v>
      </c>
      <c r="Q27" s="47" t="s">
        <v>670</v>
      </c>
      <c r="R27" s="47" t="s">
        <v>670</v>
      </c>
    </row>
    <row r="28" s="99" customFormat="1" ht="18" customHeight="1" spans="1:18">
      <c r="A28" s="117" t="s">
        <v>672</v>
      </c>
      <c r="B28" s="118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47" t="s">
        <v>670</v>
      </c>
      <c r="N28" s="47" t="s">
        <v>670</v>
      </c>
      <c r="O28" s="47" t="s">
        <v>670</v>
      </c>
      <c r="P28" s="47" t="s">
        <v>670</v>
      </c>
      <c r="Q28" s="47" t="s">
        <v>670</v>
      </c>
      <c r="R28" s="47" t="s">
        <v>670</v>
      </c>
    </row>
    <row r="30" s="97" customFormat="1" ht="18" customHeight="1" spans="1:18">
      <c r="A30" s="106" t="s">
        <v>684</v>
      </c>
      <c r="B30" s="106"/>
      <c r="C30" s="107" t="s">
        <v>490</v>
      </c>
    </row>
    <row r="31" s="98" customFormat="1" ht="18" customHeight="1" spans="1:18">
      <c r="A31" s="108" t="s">
        <v>662</v>
      </c>
      <c r="B31" s="48" t="s">
        <v>664</v>
      </c>
      <c r="C31" s="48" t="s">
        <v>509</v>
      </c>
      <c r="D31" s="48" t="s">
        <v>680</v>
      </c>
      <c r="E31" s="47" t="s">
        <v>681</v>
      </c>
      <c r="F31" s="47"/>
      <c r="G31" s="47"/>
      <c r="H31" s="47"/>
      <c r="I31" s="47"/>
      <c r="J31" s="47"/>
      <c r="K31" s="47"/>
      <c r="L31" s="109" t="s">
        <v>382</v>
      </c>
      <c r="M31" s="47" t="s">
        <v>682</v>
      </c>
      <c r="N31" s="47"/>
      <c r="O31" s="47"/>
      <c r="P31" s="47"/>
      <c r="Q31" s="47"/>
      <c r="R31" s="109" t="s">
        <v>382</v>
      </c>
    </row>
    <row r="32" s="98" customFormat="1" ht="18" customHeight="1" spans="1:18">
      <c r="A32" s="110"/>
      <c r="B32" s="111"/>
      <c r="C32" s="111"/>
      <c r="D32" s="111"/>
      <c r="E32" s="108" t="s">
        <v>50</v>
      </c>
      <c r="F32" s="108" t="s">
        <v>485</v>
      </c>
      <c r="G32" s="108" t="s">
        <v>486</v>
      </c>
      <c r="H32" s="35" t="s">
        <v>487</v>
      </c>
      <c r="I32" s="36"/>
      <c r="J32" s="35" t="s">
        <v>488</v>
      </c>
      <c r="K32" s="36"/>
      <c r="L32" s="112"/>
      <c r="M32" s="108" t="s">
        <v>96</v>
      </c>
      <c r="N32" s="108" t="s">
        <v>97</v>
      </c>
      <c r="O32" s="108" t="s">
        <v>98</v>
      </c>
      <c r="P32" s="108" t="s">
        <v>99</v>
      </c>
      <c r="Q32" s="108" t="s">
        <v>100</v>
      </c>
      <c r="R32" s="112"/>
    </row>
    <row r="33" s="98" customFormat="1" ht="20.4" spans="1:18">
      <c r="A33" s="51"/>
      <c r="B33" s="113"/>
      <c r="C33" s="113"/>
      <c r="D33" s="113"/>
      <c r="E33" s="51"/>
      <c r="F33" s="51"/>
      <c r="G33" s="51"/>
      <c r="H33" s="114" t="s">
        <v>740</v>
      </c>
      <c r="I33" s="114" t="s">
        <v>748</v>
      </c>
      <c r="J33" s="115" t="s">
        <v>742</v>
      </c>
      <c r="K33" s="115" t="s">
        <v>743</v>
      </c>
      <c r="L33" s="116"/>
      <c r="M33" s="51"/>
      <c r="N33" s="51"/>
      <c r="O33" s="51"/>
      <c r="P33" s="51"/>
      <c r="Q33" s="51"/>
      <c r="R33" s="116"/>
    </row>
    <row r="34" s="99" customFormat="1" ht="18" customHeight="1" spans="1:18">
      <c r="A34" s="117" t="s">
        <v>668</v>
      </c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</row>
    <row r="35" s="99" customFormat="1" ht="18" customHeight="1" spans="1:18">
      <c r="A35" s="117" t="s">
        <v>513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</row>
    <row r="36" s="99" customFormat="1" ht="18" customHeight="1" spans="1:18">
      <c r="A36" s="117" t="s">
        <v>514</v>
      </c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</row>
    <row r="37" s="99" customFormat="1" ht="18" customHeight="1" spans="1:18">
      <c r="A37" s="117" t="s">
        <v>351</v>
      </c>
      <c r="B37" s="118"/>
      <c r="C37" s="118"/>
      <c r="D37" s="118"/>
      <c r="E37" s="118"/>
      <c r="F37" s="118"/>
      <c r="G37" s="118"/>
      <c r="H37" s="118"/>
      <c r="I37" s="118"/>
      <c r="J37" s="118"/>
      <c r="K37" s="118"/>
      <c r="L37" s="118"/>
      <c r="M37" s="47" t="s">
        <v>670</v>
      </c>
      <c r="N37" s="47" t="s">
        <v>670</v>
      </c>
      <c r="O37" s="47" t="s">
        <v>670</v>
      </c>
      <c r="P37" s="47" t="s">
        <v>670</v>
      </c>
      <c r="Q37" s="47" t="s">
        <v>670</v>
      </c>
      <c r="R37" s="47" t="s">
        <v>670</v>
      </c>
    </row>
    <row r="38" s="99" customFormat="1" ht="18" customHeight="1" spans="1:18">
      <c r="A38" s="117" t="s">
        <v>671</v>
      </c>
      <c r="B38" s="118"/>
      <c r="C38" s="118"/>
      <c r="D38" s="118"/>
      <c r="E38" s="118"/>
      <c r="F38" s="118"/>
      <c r="G38" s="118"/>
      <c r="H38" s="118"/>
      <c r="I38" s="118"/>
      <c r="J38" s="118"/>
      <c r="K38" s="118"/>
      <c r="L38" s="118"/>
      <c r="M38" s="47" t="s">
        <v>670</v>
      </c>
      <c r="N38" s="47" t="s">
        <v>670</v>
      </c>
      <c r="O38" s="47" t="s">
        <v>670</v>
      </c>
      <c r="P38" s="47" t="s">
        <v>670</v>
      </c>
      <c r="Q38" s="47" t="s">
        <v>670</v>
      </c>
      <c r="R38" s="47" t="s">
        <v>670</v>
      </c>
    </row>
    <row r="39" s="99" customFormat="1" ht="18" customHeight="1" spans="1:18">
      <c r="A39" s="117" t="s">
        <v>672</v>
      </c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47" t="s">
        <v>670</v>
      </c>
      <c r="N39" s="47" t="s">
        <v>670</v>
      </c>
      <c r="O39" s="47" t="s">
        <v>670</v>
      </c>
      <c r="P39" s="47" t="s">
        <v>670</v>
      </c>
      <c r="Q39" s="47" t="s">
        <v>670</v>
      </c>
      <c r="R39" s="47" t="s">
        <v>670</v>
      </c>
    </row>
    <row r="41" s="97" customFormat="1" ht="18" customHeight="1" spans="1:18">
      <c r="A41" s="106" t="s">
        <v>685</v>
      </c>
      <c r="B41" s="106"/>
      <c r="C41" s="107" t="s">
        <v>491</v>
      </c>
    </row>
    <row r="42" s="98" customFormat="1" ht="18" customHeight="1" spans="1:18">
      <c r="A42" s="108" t="s">
        <v>662</v>
      </c>
      <c r="B42" s="48" t="s">
        <v>664</v>
      </c>
      <c r="C42" s="48" t="s">
        <v>509</v>
      </c>
      <c r="D42" s="48" t="s">
        <v>680</v>
      </c>
      <c r="E42" s="47" t="s">
        <v>681</v>
      </c>
      <c r="F42" s="47"/>
      <c r="G42" s="47"/>
      <c r="H42" s="47"/>
      <c r="I42" s="47"/>
      <c r="J42" s="47"/>
      <c r="K42" s="47"/>
      <c r="L42" s="109" t="s">
        <v>382</v>
      </c>
      <c r="M42" s="47" t="s">
        <v>682</v>
      </c>
      <c r="N42" s="47"/>
      <c r="O42" s="47"/>
      <c r="P42" s="47"/>
      <c r="Q42" s="47"/>
      <c r="R42" s="109" t="s">
        <v>382</v>
      </c>
    </row>
    <row r="43" s="98" customFormat="1" ht="18" customHeight="1" spans="1:18">
      <c r="A43" s="110"/>
      <c r="B43" s="111"/>
      <c r="C43" s="111"/>
      <c r="D43" s="111"/>
      <c r="E43" s="108" t="s">
        <v>50</v>
      </c>
      <c r="F43" s="108" t="s">
        <v>485</v>
      </c>
      <c r="G43" s="108" t="s">
        <v>486</v>
      </c>
      <c r="H43" s="35" t="s">
        <v>487</v>
      </c>
      <c r="I43" s="36"/>
      <c r="J43" s="35" t="s">
        <v>488</v>
      </c>
      <c r="K43" s="36"/>
      <c r="L43" s="112"/>
      <c r="M43" s="108" t="s">
        <v>96</v>
      </c>
      <c r="N43" s="108" t="s">
        <v>97</v>
      </c>
      <c r="O43" s="108" t="s">
        <v>98</v>
      </c>
      <c r="P43" s="108" t="s">
        <v>99</v>
      </c>
      <c r="Q43" s="108" t="s">
        <v>100</v>
      </c>
      <c r="R43" s="112"/>
    </row>
    <row r="44" s="98" customFormat="1" ht="20.4" spans="1:18">
      <c r="A44" s="51"/>
      <c r="B44" s="113"/>
      <c r="C44" s="113"/>
      <c r="D44" s="113"/>
      <c r="E44" s="51"/>
      <c r="F44" s="51"/>
      <c r="G44" s="51"/>
      <c r="H44" s="114" t="s">
        <v>740</v>
      </c>
      <c r="I44" s="114" t="s">
        <v>748</v>
      </c>
      <c r="J44" s="115" t="s">
        <v>742</v>
      </c>
      <c r="K44" s="115" t="s">
        <v>743</v>
      </c>
      <c r="L44" s="116"/>
      <c r="M44" s="51"/>
      <c r="N44" s="51"/>
      <c r="O44" s="51"/>
      <c r="P44" s="51"/>
      <c r="Q44" s="51"/>
      <c r="R44" s="116"/>
    </row>
    <row r="45" s="99" customFormat="1" ht="18" customHeight="1" spans="1:18">
      <c r="A45" s="117" t="s">
        <v>668</v>
      </c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</row>
    <row r="46" s="99" customFormat="1" ht="18" customHeight="1" spans="1:18">
      <c r="A46" s="117" t="s">
        <v>513</v>
      </c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</row>
    <row r="47" s="99" customFormat="1" ht="18" customHeight="1" spans="1:18">
      <c r="A47" s="117" t="s">
        <v>514</v>
      </c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</row>
    <row r="48" s="99" customFormat="1" ht="18" customHeight="1" spans="1:18">
      <c r="A48" s="117" t="s">
        <v>351</v>
      </c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47" t="s">
        <v>670</v>
      </c>
      <c r="N48" s="47" t="s">
        <v>670</v>
      </c>
      <c r="O48" s="47" t="s">
        <v>670</v>
      </c>
      <c r="P48" s="47" t="s">
        <v>670</v>
      </c>
      <c r="Q48" s="47" t="s">
        <v>670</v>
      </c>
      <c r="R48" s="47" t="s">
        <v>670</v>
      </c>
    </row>
    <row r="49" s="99" customFormat="1" ht="18" customHeight="1" spans="1:18">
      <c r="A49" s="117" t="s">
        <v>671</v>
      </c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47" t="s">
        <v>670</v>
      </c>
      <c r="N49" s="47" t="s">
        <v>670</v>
      </c>
      <c r="O49" s="47" t="s">
        <v>670</v>
      </c>
      <c r="P49" s="47" t="s">
        <v>670</v>
      </c>
      <c r="Q49" s="47" t="s">
        <v>670</v>
      </c>
      <c r="R49" s="47" t="s">
        <v>670</v>
      </c>
    </row>
    <row r="50" s="99" customFormat="1" ht="18" customHeight="1" spans="1:18">
      <c r="A50" s="117" t="s">
        <v>672</v>
      </c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47" t="s">
        <v>670</v>
      </c>
      <c r="N50" s="47" t="s">
        <v>670</v>
      </c>
      <c r="O50" s="47" t="s">
        <v>670</v>
      </c>
      <c r="P50" s="47" t="s">
        <v>670</v>
      </c>
      <c r="Q50" s="47" t="s">
        <v>670</v>
      </c>
      <c r="R50" s="47" t="s">
        <v>670</v>
      </c>
    </row>
    <row r="52" s="97" customFormat="1" ht="18" customHeight="1" spans="1:18">
      <c r="A52" s="106" t="s">
        <v>686</v>
      </c>
      <c r="B52" s="106"/>
      <c r="C52" s="106"/>
      <c r="D52" s="107" t="s">
        <v>484</v>
      </c>
    </row>
    <row r="53" s="98" customFormat="1" ht="18" customHeight="1" spans="1:18">
      <c r="A53" s="108" t="s">
        <v>662</v>
      </c>
      <c r="B53" s="48" t="s">
        <v>664</v>
      </c>
      <c r="C53" s="48" t="s">
        <v>509</v>
      </c>
      <c r="D53" s="48" t="s">
        <v>680</v>
      </c>
      <c r="E53" s="47" t="s">
        <v>681</v>
      </c>
      <c r="F53" s="47"/>
      <c r="G53" s="47"/>
      <c r="H53" s="47"/>
      <c r="I53" s="47"/>
      <c r="J53" s="47"/>
      <c r="K53" s="47"/>
      <c r="L53" s="109" t="s">
        <v>382</v>
      </c>
      <c r="M53" s="47" t="s">
        <v>682</v>
      </c>
      <c r="N53" s="47"/>
      <c r="O53" s="47"/>
      <c r="P53" s="47"/>
      <c r="Q53" s="47"/>
      <c r="R53" s="109" t="s">
        <v>382</v>
      </c>
    </row>
    <row r="54" s="98" customFormat="1" ht="18" customHeight="1" spans="1:18">
      <c r="A54" s="110"/>
      <c r="B54" s="111"/>
      <c r="C54" s="111"/>
      <c r="D54" s="111"/>
      <c r="E54" s="108" t="s">
        <v>50</v>
      </c>
      <c r="F54" s="108" t="s">
        <v>485</v>
      </c>
      <c r="G54" s="108" t="s">
        <v>486</v>
      </c>
      <c r="H54" s="35" t="s">
        <v>487</v>
      </c>
      <c r="I54" s="36"/>
      <c r="J54" s="35" t="s">
        <v>488</v>
      </c>
      <c r="K54" s="36"/>
      <c r="L54" s="112"/>
      <c r="M54" s="108" t="s">
        <v>96</v>
      </c>
      <c r="N54" s="108" t="s">
        <v>97</v>
      </c>
      <c r="O54" s="108" t="s">
        <v>98</v>
      </c>
      <c r="P54" s="108" t="s">
        <v>99</v>
      </c>
      <c r="Q54" s="108" t="s">
        <v>100</v>
      </c>
      <c r="R54" s="112"/>
    </row>
    <row r="55" s="98" customFormat="1" ht="20.4" spans="1:18">
      <c r="A55" s="51"/>
      <c r="B55" s="113"/>
      <c r="C55" s="113"/>
      <c r="D55" s="113"/>
      <c r="E55" s="51"/>
      <c r="F55" s="51"/>
      <c r="G55" s="51"/>
      <c r="H55" s="114" t="s">
        <v>740</v>
      </c>
      <c r="I55" s="114" t="s">
        <v>748</v>
      </c>
      <c r="J55" s="115" t="s">
        <v>742</v>
      </c>
      <c r="K55" s="115" t="s">
        <v>743</v>
      </c>
      <c r="L55" s="116"/>
      <c r="M55" s="51"/>
      <c r="N55" s="51"/>
      <c r="O55" s="51"/>
      <c r="P55" s="51"/>
      <c r="Q55" s="51"/>
      <c r="R55" s="116"/>
    </row>
    <row r="56" s="99" customFormat="1" ht="18" customHeight="1" spans="1:18">
      <c r="A56" s="117" t="s">
        <v>668</v>
      </c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</row>
    <row r="57" s="99" customFormat="1" ht="18" customHeight="1" spans="1:18">
      <c r="A57" s="117" t="s">
        <v>513</v>
      </c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</row>
    <row r="58" s="99" customFormat="1" ht="18" customHeight="1" spans="1:18">
      <c r="A58" s="117" t="s">
        <v>514</v>
      </c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</row>
    <row r="59" s="99" customFormat="1" ht="18" customHeight="1" spans="1:18">
      <c r="A59" s="117" t="s">
        <v>351</v>
      </c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47" t="s">
        <v>670</v>
      </c>
      <c r="N59" s="47" t="s">
        <v>670</v>
      </c>
      <c r="O59" s="47" t="s">
        <v>670</v>
      </c>
      <c r="P59" s="47" t="s">
        <v>670</v>
      </c>
      <c r="Q59" s="47" t="s">
        <v>670</v>
      </c>
      <c r="R59" s="47" t="s">
        <v>670</v>
      </c>
    </row>
    <row r="60" s="99" customFormat="1" ht="18" customHeight="1" spans="1:18">
      <c r="A60" s="117" t="s">
        <v>671</v>
      </c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47" t="s">
        <v>670</v>
      </c>
      <c r="N60" s="47" t="s">
        <v>670</v>
      </c>
      <c r="O60" s="47" t="s">
        <v>670</v>
      </c>
      <c r="P60" s="47" t="s">
        <v>670</v>
      </c>
      <c r="Q60" s="47" t="s">
        <v>670</v>
      </c>
      <c r="R60" s="47" t="s">
        <v>670</v>
      </c>
    </row>
    <row r="61" s="99" customFormat="1" ht="18" customHeight="1" spans="1:18">
      <c r="A61" s="117" t="s">
        <v>672</v>
      </c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47" t="s">
        <v>670</v>
      </c>
      <c r="N61" s="47" t="s">
        <v>670</v>
      </c>
      <c r="O61" s="47" t="s">
        <v>670</v>
      </c>
      <c r="P61" s="47" t="s">
        <v>670</v>
      </c>
      <c r="Q61" s="47" t="s">
        <v>670</v>
      </c>
      <c r="R61" s="47" t="s">
        <v>670</v>
      </c>
    </row>
    <row r="63" s="97" customFormat="1" ht="18" customHeight="1" spans="1:18">
      <c r="A63" s="106" t="s">
        <v>687</v>
      </c>
      <c r="B63" s="106"/>
      <c r="C63" s="106"/>
      <c r="D63" s="107" t="s">
        <v>493</v>
      </c>
    </row>
    <row r="64" s="98" customFormat="1" ht="18" customHeight="1" spans="1:18">
      <c r="A64" s="108" t="s">
        <v>662</v>
      </c>
      <c r="B64" s="48" t="s">
        <v>664</v>
      </c>
      <c r="C64" s="48" t="s">
        <v>509</v>
      </c>
      <c r="D64" s="48" t="s">
        <v>680</v>
      </c>
      <c r="E64" s="47" t="s">
        <v>681</v>
      </c>
      <c r="F64" s="47"/>
      <c r="G64" s="47"/>
      <c r="H64" s="47"/>
      <c r="I64" s="47"/>
      <c r="J64" s="47"/>
      <c r="K64" s="47"/>
      <c r="L64" s="109" t="s">
        <v>382</v>
      </c>
      <c r="M64" s="47" t="s">
        <v>682</v>
      </c>
      <c r="N64" s="47"/>
      <c r="O64" s="47"/>
      <c r="P64" s="47"/>
      <c r="Q64" s="47"/>
      <c r="R64" s="109" t="s">
        <v>382</v>
      </c>
    </row>
    <row r="65" s="98" customFormat="1" ht="18" customHeight="1" spans="1:18">
      <c r="A65" s="110"/>
      <c r="B65" s="111"/>
      <c r="C65" s="111"/>
      <c r="D65" s="111"/>
      <c r="E65" s="108" t="s">
        <v>50</v>
      </c>
      <c r="F65" s="108" t="s">
        <v>485</v>
      </c>
      <c r="G65" s="108" t="s">
        <v>486</v>
      </c>
      <c r="H65" s="35" t="s">
        <v>487</v>
      </c>
      <c r="I65" s="36"/>
      <c r="J65" s="35" t="s">
        <v>488</v>
      </c>
      <c r="K65" s="36"/>
      <c r="L65" s="112"/>
      <c r="M65" s="108" t="s">
        <v>96</v>
      </c>
      <c r="N65" s="108" t="s">
        <v>97</v>
      </c>
      <c r="O65" s="108" t="s">
        <v>98</v>
      </c>
      <c r="P65" s="108" t="s">
        <v>99</v>
      </c>
      <c r="Q65" s="108" t="s">
        <v>100</v>
      </c>
      <c r="R65" s="112"/>
    </row>
    <row r="66" s="98" customFormat="1" ht="20.4" spans="1:18">
      <c r="A66" s="51"/>
      <c r="B66" s="113"/>
      <c r="C66" s="113"/>
      <c r="D66" s="113"/>
      <c r="E66" s="51"/>
      <c r="F66" s="51"/>
      <c r="G66" s="51"/>
      <c r="H66" s="114" t="s">
        <v>740</v>
      </c>
      <c r="I66" s="114" t="s">
        <v>748</v>
      </c>
      <c r="J66" s="115" t="s">
        <v>742</v>
      </c>
      <c r="K66" s="115" t="s">
        <v>743</v>
      </c>
      <c r="L66" s="116"/>
      <c r="M66" s="51"/>
      <c r="N66" s="51"/>
      <c r="O66" s="51"/>
      <c r="P66" s="51"/>
      <c r="Q66" s="51"/>
      <c r="R66" s="116"/>
    </row>
    <row r="67" s="99" customFormat="1" ht="18" customHeight="1" spans="1:18">
      <c r="A67" s="117" t="s">
        <v>668</v>
      </c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</row>
    <row r="68" s="99" customFormat="1" ht="18" customHeight="1" spans="1:18">
      <c r="A68" s="117" t="s">
        <v>513</v>
      </c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</row>
    <row r="69" s="99" customFormat="1" ht="18" customHeight="1" spans="1:18">
      <c r="A69" s="117" t="s">
        <v>514</v>
      </c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</row>
    <row r="70" s="99" customFormat="1" ht="18" customHeight="1" spans="1:18">
      <c r="A70" s="117" t="s">
        <v>351</v>
      </c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47" t="s">
        <v>670</v>
      </c>
      <c r="N70" s="47" t="s">
        <v>670</v>
      </c>
      <c r="O70" s="47" t="s">
        <v>670</v>
      </c>
      <c r="P70" s="47" t="s">
        <v>670</v>
      </c>
      <c r="Q70" s="47" t="s">
        <v>670</v>
      </c>
      <c r="R70" s="47" t="s">
        <v>670</v>
      </c>
    </row>
    <row r="71" s="99" customFormat="1" ht="18" customHeight="1" spans="1:18">
      <c r="A71" s="117" t="s">
        <v>671</v>
      </c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47" t="s">
        <v>670</v>
      </c>
      <c r="N71" s="47" t="s">
        <v>670</v>
      </c>
      <c r="O71" s="47" t="s">
        <v>670</v>
      </c>
      <c r="P71" s="47" t="s">
        <v>670</v>
      </c>
      <c r="Q71" s="47" t="s">
        <v>670</v>
      </c>
      <c r="R71" s="47" t="s">
        <v>670</v>
      </c>
    </row>
    <row r="72" s="99" customFormat="1" ht="18" customHeight="1" spans="1:18">
      <c r="A72" s="117" t="s">
        <v>672</v>
      </c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47" t="s">
        <v>670</v>
      </c>
      <c r="N72" s="47" t="s">
        <v>670</v>
      </c>
      <c r="O72" s="47" t="s">
        <v>670</v>
      </c>
      <c r="P72" s="47" t="s">
        <v>670</v>
      </c>
      <c r="Q72" s="47" t="s">
        <v>670</v>
      </c>
      <c r="R72" s="47" t="s">
        <v>670</v>
      </c>
    </row>
    <row r="74" s="97" customFormat="1" ht="18" customHeight="1" spans="1:18">
      <c r="A74" s="106" t="s">
        <v>688</v>
      </c>
      <c r="B74" s="106"/>
      <c r="C74" s="106"/>
      <c r="D74" s="107" t="s">
        <v>494</v>
      </c>
    </row>
    <row r="75" s="98" customFormat="1" ht="18" customHeight="1" spans="1:18">
      <c r="A75" s="108" t="s">
        <v>662</v>
      </c>
      <c r="B75" s="48" t="s">
        <v>664</v>
      </c>
      <c r="C75" s="48" t="s">
        <v>509</v>
      </c>
      <c r="D75" s="48" t="s">
        <v>680</v>
      </c>
      <c r="E75" s="47" t="s">
        <v>681</v>
      </c>
      <c r="F75" s="47"/>
      <c r="G75" s="47"/>
      <c r="H75" s="47"/>
      <c r="I75" s="47"/>
      <c r="J75" s="47"/>
      <c r="K75" s="47"/>
      <c r="L75" s="109" t="s">
        <v>382</v>
      </c>
      <c r="M75" s="47" t="s">
        <v>682</v>
      </c>
      <c r="N75" s="47"/>
      <c r="O75" s="47"/>
      <c r="P75" s="47"/>
      <c r="Q75" s="47"/>
      <c r="R75" s="109" t="s">
        <v>382</v>
      </c>
    </row>
    <row r="76" s="98" customFormat="1" ht="18" customHeight="1" spans="1:18">
      <c r="A76" s="110"/>
      <c r="B76" s="111"/>
      <c r="C76" s="111"/>
      <c r="D76" s="111"/>
      <c r="E76" s="108" t="s">
        <v>50</v>
      </c>
      <c r="F76" s="108" t="s">
        <v>485</v>
      </c>
      <c r="G76" s="108" t="s">
        <v>486</v>
      </c>
      <c r="H76" s="35" t="s">
        <v>487</v>
      </c>
      <c r="I76" s="36"/>
      <c r="J76" s="35" t="s">
        <v>488</v>
      </c>
      <c r="K76" s="36"/>
      <c r="L76" s="112"/>
      <c r="M76" s="108" t="s">
        <v>96</v>
      </c>
      <c r="N76" s="108" t="s">
        <v>97</v>
      </c>
      <c r="O76" s="108" t="s">
        <v>98</v>
      </c>
      <c r="P76" s="108" t="s">
        <v>99</v>
      </c>
      <c r="Q76" s="108" t="s">
        <v>100</v>
      </c>
      <c r="R76" s="112"/>
    </row>
    <row r="77" s="98" customFormat="1" ht="20.4" spans="1:18">
      <c r="A77" s="51"/>
      <c r="B77" s="113"/>
      <c r="C77" s="113"/>
      <c r="D77" s="113"/>
      <c r="E77" s="51"/>
      <c r="F77" s="51"/>
      <c r="G77" s="51"/>
      <c r="H77" s="114" t="s">
        <v>740</v>
      </c>
      <c r="I77" s="114" t="s">
        <v>748</v>
      </c>
      <c r="J77" s="115" t="s">
        <v>742</v>
      </c>
      <c r="K77" s="115" t="s">
        <v>743</v>
      </c>
      <c r="L77" s="116"/>
      <c r="M77" s="51"/>
      <c r="N77" s="51"/>
      <c r="O77" s="51"/>
      <c r="P77" s="51"/>
      <c r="Q77" s="51"/>
      <c r="R77" s="116"/>
    </row>
    <row r="78" s="99" customFormat="1" ht="18" customHeight="1" spans="1:18">
      <c r="A78" s="117" t="s">
        <v>668</v>
      </c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="99" customFormat="1" ht="18" customHeight="1" spans="1:18">
      <c r="A79" s="117" t="s">
        <v>513</v>
      </c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</row>
    <row r="80" s="99" customFormat="1" ht="18" customHeight="1" spans="1:18">
      <c r="A80" s="117" t="s">
        <v>514</v>
      </c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</row>
    <row r="81" s="99" customFormat="1" ht="18" customHeight="1" spans="1:18">
      <c r="A81" s="117" t="s">
        <v>351</v>
      </c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47" t="s">
        <v>670</v>
      </c>
      <c r="N81" s="47" t="s">
        <v>670</v>
      </c>
      <c r="O81" s="47" t="s">
        <v>670</v>
      </c>
      <c r="P81" s="47" t="s">
        <v>670</v>
      </c>
      <c r="Q81" s="47" t="s">
        <v>670</v>
      </c>
      <c r="R81" s="47" t="s">
        <v>670</v>
      </c>
    </row>
    <row r="82" s="99" customFormat="1" ht="18" customHeight="1" spans="1:18">
      <c r="A82" s="117" t="s">
        <v>671</v>
      </c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47" t="s">
        <v>670</v>
      </c>
      <c r="N82" s="47" t="s">
        <v>670</v>
      </c>
      <c r="O82" s="47" t="s">
        <v>670</v>
      </c>
      <c r="P82" s="47" t="s">
        <v>670</v>
      </c>
      <c r="Q82" s="47" t="s">
        <v>670</v>
      </c>
      <c r="R82" s="47" t="s">
        <v>670</v>
      </c>
    </row>
    <row r="83" s="99" customFormat="1" ht="18" customHeight="1" spans="1:18">
      <c r="A83" s="117" t="s">
        <v>672</v>
      </c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47" t="s">
        <v>670</v>
      </c>
      <c r="N83" s="47" t="s">
        <v>670</v>
      </c>
      <c r="O83" s="47" t="s">
        <v>670</v>
      </c>
      <c r="P83" s="47" t="s">
        <v>670</v>
      </c>
      <c r="Q83" s="47" t="s">
        <v>670</v>
      </c>
      <c r="R83" s="47" t="s">
        <v>670</v>
      </c>
    </row>
    <row r="85" s="97" customFormat="1" ht="18" customHeight="1" spans="1:18">
      <c r="A85" s="119" t="s">
        <v>689</v>
      </c>
      <c r="B85" s="119"/>
      <c r="C85" s="119"/>
    </row>
    <row r="86" s="98" customFormat="1" ht="32.1" customHeight="1" spans="1:18">
      <c r="A86" s="47" t="s">
        <v>690</v>
      </c>
      <c r="B86" s="47" t="s">
        <v>691</v>
      </c>
      <c r="C86" s="47"/>
      <c r="D86" s="47"/>
      <c r="E86" s="120" t="s">
        <v>692</v>
      </c>
      <c r="F86" s="47"/>
      <c r="G86" s="120" t="s">
        <v>693</v>
      </c>
      <c r="H86" s="47"/>
      <c r="I86" s="120" t="s">
        <v>694</v>
      </c>
      <c r="J86" s="47"/>
      <c r="K86" s="120" t="s">
        <v>653</v>
      </c>
      <c r="L86" s="47"/>
      <c r="M86" s="121"/>
      <c r="N86" s="121"/>
      <c r="O86" s="121"/>
    </row>
    <row r="87" s="98" customFormat="1" ht="18" customHeight="1" spans="1:18">
      <c r="A87" s="47" t="s">
        <v>695</v>
      </c>
      <c r="B87" s="122"/>
      <c r="C87" s="123"/>
      <c r="D87" s="124"/>
      <c r="E87" s="125"/>
      <c r="F87" s="126"/>
      <c r="G87" s="118"/>
      <c r="H87" s="118"/>
      <c r="I87" s="127"/>
      <c r="J87" s="128"/>
      <c r="K87" s="129"/>
      <c r="L87" s="129"/>
      <c r="M87" s="121"/>
      <c r="N87" s="121"/>
      <c r="O87" s="121"/>
      <c r="P87" s="130">
        <v>1</v>
      </c>
    </row>
    <row r="88" s="98" customFormat="1" spans="1:18">
      <c r="A88" s="47" t="s">
        <v>696</v>
      </c>
      <c r="B88" s="122"/>
      <c r="C88" s="123"/>
      <c r="D88" s="124"/>
      <c r="E88" s="125"/>
      <c r="F88" s="126"/>
      <c r="G88" s="118"/>
      <c r="H88" s="118"/>
      <c r="I88" s="127"/>
      <c r="J88" s="128"/>
      <c r="K88" s="129"/>
      <c r="L88" s="129"/>
      <c r="M88" s="121"/>
      <c r="N88" s="121"/>
      <c r="O88" s="121"/>
      <c r="P88" s="130">
        <v>2</v>
      </c>
    </row>
    <row r="89" s="98" customFormat="1" spans="1:18">
      <c r="A89" s="47" t="s">
        <v>556</v>
      </c>
      <c r="B89" s="122"/>
      <c r="C89" s="123"/>
      <c r="D89" s="124"/>
      <c r="E89" s="125"/>
      <c r="F89" s="126"/>
      <c r="G89" s="118"/>
      <c r="H89" s="118"/>
      <c r="I89" s="127"/>
      <c r="J89" s="128"/>
      <c r="K89" s="129"/>
      <c r="L89" s="129"/>
      <c r="M89" s="121"/>
      <c r="N89" s="121"/>
      <c r="O89" s="121"/>
      <c r="P89" s="130">
        <v>3</v>
      </c>
    </row>
    <row r="95" s="99" customFormat="1" spans="1:18">
      <c r="A95" s="131" t="s">
        <v>697</v>
      </c>
      <c r="D95" s="98" t="s">
        <v>697</v>
      </c>
      <c r="E95" s="98"/>
      <c r="F95" s="98"/>
      <c r="K95" s="98" t="s">
        <v>698</v>
      </c>
      <c r="L95" s="98"/>
      <c r="M95" s="98"/>
      <c r="N95" s="98"/>
      <c r="O95" s="98"/>
    </row>
    <row r="96" s="99" customFormat="1" spans="1:18">
      <c r="A96" s="98" t="s">
        <v>699</v>
      </c>
      <c r="B96" s="98"/>
      <c r="D96" s="98" t="s">
        <v>700</v>
      </c>
      <c r="E96" s="98"/>
      <c r="F96" s="98"/>
      <c r="K96" s="98" t="s">
        <v>701</v>
      </c>
      <c r="L96" s="98"/>
      <c r="M96" s="98"/>
      <c r="N96" s="98"/>
      <c r="O96" s="98"/>
    </row>
  </sheetData>
  <sheetProtection password="BF6F" sheet="1" formatCells="0" formatColumns="0" formatRows="0" objects="1" scenarios="1"/>
  <mergeCells count="168">
    <mergeCell ref="A1:R1"/>
    <mergeCell ref="A2:R2"/>
    <mergeCell ref="A3:R3"/>
    <mergeCell ref="B5:K5"/>
    <mergeCell ref="N5:O5"/>
    <mergeCell ref="P5:Q5"/>
    <mergeCell ref="B6:K6"/>
    <mergeCell ref="N6:O6"/>
    <mergeCell ref="P6:Q6"/>
    <mergeCell ref="A8:B8"/>
    <mergeCell ref="E9:K9"/>
    <mergeCell ref="M9:Q9"/>
    <mergeCell ref="H10:I10"/>
    <mergeCell ref="J10:K10"/>
    <mergeCell ref="A19:B19"/>
    <mergeCell ref="E20:K20"/>
    <mergeCell ref="M20:Q20"/>
    <mergeCell ref="H21:I21"/>
    <mergeCell ref="J21:K21"/>
    <mergeCell ref="A30:B30"/>
    <mergeCell ref="E31:K31"/>
    <mergeCell ref="M31:Q31"/>
    <mergeCell ref="H32:I32"/>
    <mergeCell ref="J32:K32"/>
    <mergeCell ref="A41:B41"/>
    <mergeCell ref="E42:K42"/>
    <mergeCell ref="M42:Q42"/>
    <mergeCell ref="H43:I43"/>
    <mergeCell ref="J43:K43"/>
    <mergeCell ref="A52:C52"/>
    <mergeCell ref="E53:K53"/>
    <mergeCell ref="M53:Q53"/>
    <mergeCell ref="H54:I54"/>
    <mergeCell ref="J54:K54"/>
    <mergeCell ref="A63:C63"/>
    <mergeCell ref="E64:K64"/>
    <mergeCell ref="M64:Q64"/>
    <mergeCell ref="H65:I65"/>
    <mergeCell ref="J65:K65"/>
    <mergeCell ref="A74:C74"/>
    <mergeCell ref="E75:K75"/>
    <mergeCell ref="M75:Q75"/>
    <mergeCell ref="H76:I76"/>
    <mergeCell ref="J76:K76"/>
    <mergeCell ref="A85:C85"/>
    <mergeCell ref="B86:D86"/>
    <mergeCell ref="E86:F86"/>
    <mergeCell ref="G86:H86"/>
    <mergeCell ref="I86:J86"/>
    <mergeCell ref="K86:L86"/>
    <mergeCell ref="B87:D87"/>
    <mergeCell ref="E87:F87"/>
    <mergeCell ref="G87:H87"/>
    <mergeCell ref="I87:J87"/>
    <mergeCell ref="K87:L87"/>
    <mergeCell ref="B88:D88"/>
    <mergeCell ref="E88:F88"/>
    <mergeCell ref="G88:H88"/>
    <mergeCell ref="I88:J88"/>
    <mergeCell ref="K88:L88"/>
    <mergeCell ref="B89:D89"/>
    <mergeCell ref="E89:F89"/>
    <mergeCell ref="G89:H89"/>
    <mergeCell ref="I89:J89"/>
    <mergeCell ref="K89:L89"/>
    <mergeCell ref="D95:F95"/>
    <mergeCell ref="K95:O95"/>
    <mergeCell ref="A96:B96"/>
    <mergeCell ref="D96:F96"/>
    <mergeCell ref="K96:O96"/>
    <mergeCell ref="A9:A11"/>
    <mergeCell ref="A20:A22"/>
    <mergeCell ref="A31:A33"/>
    <mergeCell ref="A42:A44"/>
    <mergeCell ref="A53:A55"/>
    <mergeCell ref="A64:A66"/>
    <mergeCell ref="A75:A77"/>
    <mergeCell ref="B9:B11"/>
    <mergeCell ref="B20:B22"/>
    <mergeCell ref="B31:B33"/>
    <mergeCell ref="B42:B44"/>
    <mergeCell ref="B53:B55"/>
    <mergeCell ref="B64:B66"/>
    <mergeCell ref="B75:B77"/>
    <mergeCell ref="C9:C11"/>
    <mergeCell ref="C20:C22"/>
    <mergeCell ref="C31:C33"/>
    <mergeCell ref="C42:C44"/>
    <mergeCell ref="C53:C55"/>
    <mergeCell ref="C64:C66"/>
    <mergeCell ref="C75:C77"/>
    <mergeCell ref="D9:D11"/>
    <mergeCell ref="D20:D22"/>
    <mergeCell ref="D31:D33"/>
    <mergeCell ref="D42:D44"/>
    <mergeCell ref="D53:D55"/>
    <mergeCell ref="D64:D66"/>
    <mergeCell ref="D75:D77"/>
    <mergeCell ref="E10:E11"/>
    <mergeCell ref="E21:E22"/>
    <mergeCell ref="E32:E33"/>
    <mergeCell ref="E43:E44"/>
    <mergeCell ref="E54:E55"/>
    <mergeCell ref="E65:E66"/>
    <mergeCell ref="E76:E77"/>
    <mergeCell ref="F10:F11"/>
    <mergeCell ref="F21:F22"/>
    <mergeCell ref="F32:F33"/>
    <mergeCell ref="F43:F44"/>
    <mergeCell ref="F54:F55"/>
    <mergeCell ref="F65:F66"/>
    <mergeCell ref="F76:F77"/>
    <mergeCell ref="G10:G11"/>
    <mergeCell ref="G21:G22"/>
    <mergeCell ref="G32:G33"/>
    <mergeCell ref="G43:G44"/>
    <mergeCell ref="G54:G55"/>
    <mergeCell ref="G65:G66"/>
    <mergeCell ref="G76:G77"/>
    <mergeCell ref="L10:L11"/>
    <mergeCell ref="L21:L22"/>
    <mergeCell ref="L32:L33"/>
    <mergeCell ref="L43:L44"/>
    <mergeCell ref="L54:L55"/>
    <mergeCell ref="L65:L66"/>
    <mergeCell ref="L76:L77"/>
    <mergeCell ref="M10:M11"/>
    <mergeCell ref="M21:M22"/>
    <mergeCell ref="M32:M33"/>
    <mergeCell ref="M43:M44"/>
    <mergeCell ref="M54:M55"/>
    <mergeCell ref="M65:M66"/>
    <mergeCell ref="M76:M77"/>
    <mergeCell ref="N10:N11"/>
    <mergeCell ref="N21:N22"/>
    <mergeCell ref="N32:N33"/>
    <mergeCell ref="N43:N44"/>
    <mergeCell ref="N54:N55"/>
    <mergeCell ref="N65:N66"/>
    <mergeCell ref="N76:N77"/>
    <mergeCell ref="O10:O11"/>
    <mergeCell ref="O21:O22"/>
    <mergeCell ref="O32:O33"/>
    <mergeCell ref="O43:O44"/>
    <mergeCell ref="O54:O55"/>
    <mergeCell ref="O65:O66"/>
    <mergeCell ref="O76:O77"/>
    <mergeCell ref="P10:P11"/>
    <mergeCell ref="P21:P22"/>
    <mergeCell ref="P32:P33"/>
    <mergeCell ref="P43:P44"/>
    <mergeCell ref="P54:P55"/>
    <mergeCell ref="P65:P66"/>
    <mergeCell ref="P76:P77"/>
    <mergeCell ref="Q10:Q11"/>
    <mergeCell ref="Q21:Q22"/>
    <mergeCell ref="Q32:Q33"/>
    <mergeCell ref="Q43:Q44"/>
    <mergeCell ref="Q54:Q55"/>
    <mergeCell ref="Q65:Q66"/>
    <mergeCell ref="Q76:Q77"/>
    <mergeCell ref="R10:R11"/>
    <mergeCell ref="R21:R22"/>
    <mergeCell ref="R32:R33"/>
    <mergeCell ref="R43:R44"/>
    <mergeCell ref="R54:R55"/>
    <mergeCell ref="R65:R66"/>
    <mergeCell ref="R76:R77"/>
  </mergeCells>
  <pageMargins left="0.4" right="0.27" top="0.42" bottom="0.42" header="0.3" footer="0.3"/>
  <pageSetup paperSize="9" scale="47" orientation="portrait" horizontalDpi="300" verticalDpi="300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700"/>
  <sheetViews>
    <sheetView topLeftCell="A8" workbookViewId="0">
      <selection activeCell="T3" sqref="T3"/>
    </sheetView>
  </sheetViews>
  <sheetFormatPr defaultColWidth="9.13888888888889" defaultRowHeight="14.4"/>
  <cols>
    <col min="1" max="2" width="0.861111111111111" style="3" customWidth="1"/>
    <col min="3" max="3" width="1.71296296296296" style="3" customWidth="1"/>
    <col min="4" max="5" width="12.4259259259259" style="3" customWidth="1"/>
    <col min="6" max="7" width="9.13888888888889" style="3"/>
    <col min="8" max="8" width="11" style="3" customWidth="1"/>
    <col min="9" max="9" width="11.1388888888889" style="3" customWidth="1"/>
    <col min="10" max="12" width="9.13888888888889" style="3"/>
    <col min="13" max="13" width="13.5740740740741" style="3" customWidth="1"/>
    <col min="14" max="14" width="9.13888888888889" style="3"/>
    <col min="15" max="15" width="9.71296296296296" style="3" customWidth="1"/>
    <col min="16" max="16" width="2.71296296296296" style="3" customWidth="1"/>
    <col min="17" max="18" width="0.861111111111111" style="3" customWidth="1"/>
    <col min="19" max="16384" width="9.13888888888889" style="3"/>
  </cols>
  <sheetData>
    <row r="1" s="1" customFormat="1" ht="5.1" customHeight="1" spans="1:18">
      <c r="A1" s="4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</row>
    <row r="2" s="1" customFormat="1" ht="15" customHeight="1" spans="1:18">
      <c r="A2" s="7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10"/>
      <c r="R2" s="11"/>
    </row>
    <row r="3" s="1" customFormat="1" ht="21.95" customHeight="1" spans="1:18">
      <c r="A3" s="7"/>
      <c r="B3" s="12"/>
      <c r="C3" s="13" t="s">
        <v>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4"/>
      <c r="R3" s="11"/>
    </row>
    <row r="4" s="1" customFormat="1" ht="21.95" customHeight="1" spans="1:18">
      <c r="A4" s="7"/>
      <c r="B4" s="1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4"/>
      <c r="R4" s="11"/>
    </row>
    <row r="5" s="1" customFormat="1" ht="21.95" customHeight="1" spans="1:18">
      <c r="A5" s="7"/>
      <c r="B5" s="12"/>
      <c r="C5" s="15" t="str">
        <f>"SESSION-"&amp;ENTRY!$D$11</f>
        <v>SESSION-2026-27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4"/>
      <c r="R5" s="11"/>
    </row>
    <row r="6" s="1" customFormat="1" ht="21.95" customHeight="1" spans="1:18">
      <c r="A6" s="7"/>
      <c r="B6" s="12"/>
      <c r="C6" s="2"/>
      <c r="D6" s="2"/>
      <c r="E6" s="2"/>
      <c r="F6" s="16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14"/>
      <c r="R6" s="11"/>
    </row>
    <row r="7" s="1" customFormat="1" ht="21.95" customHeight="1" spans="1:18">
      <c r="A7" s="7"/>
      <c r="B7" s="12"/>
      <c r="C7" s="17" t="s">
        <v>392</v>
      </c>
      <c r="D7" s="17"/>
      <c r="E7" s="17"/>
      <c r="F7" s="18" t="str">
        <f>IF(F6&gt;0,ENTRY!$D$6,"")</f>
        <v>MCP NITHARI NO 1 BOYS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  <c r="R7" s="11"/>
    </row>
    <row r="8" s="1" customFormat="1" ht="21.95" customHeight="1" spans="1:18">
      <c r="A8" s="7"/>
      <c r="B8" s="12"/>
      <c r="C8" s="17" t="s">
        <v>393</v>
      </c>
      <c r="D8" s="17"/>
      <c r="E8" s="17"/>
      <c r="F8" s="18">
        <f>IF(F6&gt;0,ENTRY!$D$7,"")</f>
        <v>0</v>
      </c>
      <c r="G8" s="18"/>
      <c r="H8" s="20" t="s">
        <v>702</v>
      </c>
      <c r="I8" s="20"/>
      <c r="J8" s="21">
        <f>IF(F6&gt;0,ENTRY!$D$10,"")</f>
        <v>40</v>
      </c>
      <c r="K8" s="20" t="s">
        <v>703</v>
      </c>
      <c r="L8" s="22" t="str">
        <f>IF(F6&gt;0,ENTRY!$D$5,"")</f>
        <v>ROHINI ZONE</v>
      </c>
      <c r="M8" s="22"/>
      <c r="N8" s="22"/>
      <c r="O8" s="22"/>
      <c r="P8" s="22"/>
      <c r="Q8" s="19"/>
      <c r="R8" s="11"/>
    </row>
    <row r="9" s="1" customFormat="1" ht="21.95" customHeight="1" spans="1:18">
      <c r="A9" s="7"/>
      <c r="B9" s="12"/>
      <c r="C9" s="17" t="s">
        <v>706</v>
      </c>
      <c r="D9" s="17"/>
      <c r="E9" s="17"/>
      <c r="F9" s="23" t="str">
        <f>IFERROR(VLOOKUP(F6,STUDENT!$A$2:$BP$101,5,0),"")</f>
        <v>NAKSH</v>
      </c>
      <c r="G9" s="23"/>
      <c r="H9" s="23"/>
      <c r="I9" s="23"/>
      <c r="J9" s="23"/>
      <c r="K9" s="23"/>
      <c r="L9" s="20" t="s">
        <v>707</v>
      </c>
      <c r="M9" s="20"/>
      <c r="N9" s="24" t="str">
        <f>IF(F6&gt;0,ENTRY!$D$20&amp;"-"&amp;ENTRY!$D$21,"")</f>
        <v>III-A</v>
      </c>
      <c r="O9" s="24"/>
      <c r="P9" s="24"/>
      <c r="Q9" s="19"/>
      <c r="R9" s="11"/>
    </row>
    <row r="10" s="1" customFormat="1" ht="21.95" customHeight="1" spans="1:18">
      <c r="A10" s="7"/>
      <c r="B10" s="12"/>
      <c r="C10" s="17" t="s">
        <v>708</v>
      </c>
      <c r="D10" s="17"/>
      <c r="E10" s="17"/>
      <c r="F10" s="25">
        <f>IFERROR(VLOOKUP(F6,STUDENT!$A$2:$BP$101,6,0),"")</f>
        <v>14779</v>
      </c>
      <c r="G10" s="25"/>
      <c r="H10" s="26" t="s">
        <v>709</v>
      </c>
      <c r="I10" s="27" t="str">
        <f>IFERROR(VLOOKUP(F6,STUDENT!$A$2:$BP$101,59,0),"")</f>
        <v/>
      </c>
      <c r="J10" s="27"/>
      <c r="K10" s="20" t="s">
        <v>710</v>
      </c>
      <c r="L10" s="20"/>
      <c r="M10" s="28">
        <f>IFERROR(VLOOKUP(F6,STUDENT!$A$2:$BP$101,20,0),"")</f>
        <v>8171491639</v>
      </c>
      <c r="N10" s="28"/>
      <c r="O10" s="28"/>
      <c r="P10" s="28"/>
      <c r="Q10" s="19"/>
      <c r="R10" s="11"/>
    </row>
    <row r="11" s="1" customFormat="1" ht="21.95" customHeight="1" spans="1:18">
      <c r="A11" s="7"/>
      <c r="B11" s="12"/>
      <c r="C11" s="17" t="s">
        <v>711</v>
      </c>
      <c r="D11" s="17"/>
      <c r="E11" s="17"/>
      <c r="F11" s="23" t="str">
        <f>IFERROR(VLOOKUP(F6,STUDENT!$A$2:$BP$101,9,0),"")</f>
        <v>SHEETAL</v>
      </c>
      <c r="G11" s="23"/>
      <c r="H11" s="23"/>
      <c r="I11" s="23"/>
      <c r="J11" s="17" t="s">
        <v>620</v>
      </c>
      <c r="K11" s="17"/>
      <c r="L11" s="23" t="str">
        <f>IFERROR(VLOOKUP(F6,STUDENT!$A$2:$BP$101,8,0),"")</f>
        <v>NARESH</v>
      </c>
      <c r="M11" s="23"/>
      <c r="N11" s="23"/>
      <c r="O11" s="23"/>
      <c r="P11" s="23"/>
      <c r="Q11" s="19"/>
      <c r="R11" s="11"/>
    </row>
    <row r="12" s="1" customFormat="1" ht="21.95" customHeight="1" spans="1:18">
      <c r="A12" s="7"/>
      <c r="B12" s="12"/>
      <c r="C12" s="17" t="s">
        <v>712</v>
      </c>
      <c r="D12" s="17"/>
      <c r="E12" s="17"/>
      <c r="F12" s="23" t="str">
        <f>IFERROR(VLOOKUP(F6,STUDENT!$A$2:$BP$101,22,0),"")</f>
        <v>PLOT NO 6 A, KH NO 36/17 INDER ENCALVE II</v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19"/>
      <c r="R12" s="11"/>
    </row>
    <row r="13" s="1" customFormat="1" ht="9.95" customHeight="1" spans="1:18">
      <c r="A13" s="7"/>
      <c r="B13" s="12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19"/>
      <c r="R13" s="11"/>
    </row>
    <row r="14" s="1" customFormat="1" ht="9.95" customHeight="1" spans="1:18">
      <c r="A14" s="7"/>
      <c r="B14" s="12"/>
      <c r="C14" s="30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2"/>
      <c r="Q14" s="19"/>
      <c r="R14" s="11"/>
    </row>
    <row r="15" s="1" customFormat="1" ht="21.95" customHeight="1" spans="1:18">
      <c r="A15" s="7"/>
      <c r="B15" s="12"/>
      <c r="C15" s="33"/>
      <c r="D15" s="34" t="s">
        <v>713</v>
      </c>
      <c r="E15" s="20" t="s">
        <v>714</v>
      </c>
      <c r="F15" s="35" t="str">
        <f>"Level - "&amp;IFERROR(VLOOKUP(F6,FLN!$A$4:$K$103,9,0),"")</f>
        <v>Level - 2</v>
      </c>
      <c r="G15" s="36"/>
      <c r="H15" s="37" t="s">
        <v>715</v>
      </c>
      <c r="I15" s="20"/>
      <c r="J15" s="35" t="str">
        <f>"Level - "&amp;IFERROR(VLOOKUP(F6,FLN!$A$4:$K$103,11,0),"")</f>
        <v>Level - 3</v>
      </c>
      <c r="K15" s="36"/>
      <c r="L15" s="37" t="s">
        <v>408</v>
      </c>
      <c r="M15" s="20"/>
      <c r="N15" s="35" t="str">
        <f>"Level - "&amp;IFERROR(VLOOKUP(F6,FLN!$A$4:$K$103,10,0),"")</f>
        <v>Level - 2</v>
      </c>
      <c r="O15" s="36"/>
      <c r="P15" s="19"/>
      <c r="Q15" s="19"/>
      <c r="R15" s="11"/>
    </row>
    <row r="16" s="1" customFormat="1" ht="21.95" customHeight="1" spans="1:18">
      <c r="A16" s="7"/>
      <c r="B16" s="12"/>
      <c r="C16" s="33"/>
      <c r="D16" s="38"/>
      <c r="E16" s="20" t="s">
        <v>716</v>
      </c>
      <c r="F16" s="18" t="str">
        <f ca="1">IF(L30&gt;197,"PERFORMED WELL","")</f>
        <v/>
      </c>
      <c r="G16" s="18"/>
      <c r="H16" s="18"/>
      <c r="I16" s="18"/>
      <c r="J16" s="18"/>
      <c r="K16" s="18"/>
      <c r="L16" s="18"/>
      <c r="M16" s="18"/>
      <c r="N16" s="18"/>
      <c r="O16" s="18"/>
      <c r="P16" s="19"/>
      <c r="Q16" s="19"/>
      <c r="R16" s="11"/>
    </row>
    <row r="17" s="1" customFormat="1" ht="9.95" customHeight="1" spans="1:18">
      <c r="A17" s="7"/>
      <c r="B17" s="12"/>
      <c r="C17" s="39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19"/>
      <c r="R17" s="11"/>
    </row>
    <row r="18" s="1" customFormat="1" ht="9.95" customHeight="1" spans="1:18">
      <c r="A18" s="7"/>
      <c r="B18" s="12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19"/>
      <c r="R18" s="11"/>
    </row>
    <row r="19" s="1" customFormat="1" ht="9.95" customHeight="1" spans="1:18">
      <c r="A19" s="7"/>
      <c r="B19" s="12"/>
      <c r="C19" s="30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2"/>
      <c r="Q19" s="19"/>
      <c r="R19" s="11"/>
    </row>
    <row r="20" s="1" customFormat="1" ht="21.95" customHeight="1" spans="1:18">
      <c r="A20" s="7"/>
      <c r="B20" s="12"/>
      <c r="C20" s="33"/>
      <c r="D20" s="35"/>
      <c r="E20" s="24"/>
      <c r="F20" s="42" t="s">
        <v>717</v>
      </c>
      <c r="G20" s="42"/>
      <c r="H20" s="42"/>
      <c r="I20" s="42"/>
      <c r="J20" s="42"/>
      <c r="K20" s="42"/>
      <c r="L20" s="43"/>
      <c r="M20" s="44"/>
      <c r="N20" s="29"/>
      <c r="O20" s="29"/>
      <c r="P20" s="19"/>
      <c r="Q20" s="19"/>
      <c r="R20" s="11"/>
    </row>
    <row r="21" s="1" customFormat="1" ht="21.95" customHeight="1" spans="1:18">
      <c r="A21" s="7"/>
      <c r="B21" s="12"/>
      <c r="C21" s="33"/>
      <c r="D21" s="45"/>
      <c r="E21" s="46"/>
      <c r="F21" s="47" t="s">
        <v>541</v>
      </c>
      <c r="G21" s="47" t="s">
        <v>542</v>
      </c>
      <c r="H21" s="47" t="s">
        <v>543</v>
      </c>
      <c r="I21" s="47" t="s">
        <v>544</v>
      </c>
      <c r="J21" s="47" t="s">
        <v>561</v>
      </c>
      <c r="K21" s="48" t="s">
        <v>750</v>
      </c>
      <c r="L21" s="47" t="s">
        <v>382</v>
      </c>
      <c r="M21" s="49" t="s">
        <v>546</v>
      </c>
      <c r="N21" s="29"/>
      <c r="O21" s="29"/>
      <c r="P21" s="19"/>
      <c r="Q21" s="19"/>
      <c r="R21" s="11"/>
    </row>
    <row r="22" s="1" customFormat="1" ht="21.95" customHeight="1" spans="1:18">
      <c r="A22" s="7"/>
      <c r="B22" s="12"/>
      <c r="C22" s="33"/>
      <c r="D22" s="45" t="s">
        <v>652</v>
      </c>
      <c r="E22" s="46"/>
      <c r="F22" s="50">
        <v>10</v>
      </c>
      <c r="G22" s="50">
        <v>10</v>
      </c>
      <c r="H22" s="50">
        <v>10</v>
      </c>
      <c r="I22" s="50">
        <v>10</v>
      </c>
      <c r="J22" s="50">
        <v>60</v>
      </c>
      <c r="K22" s="51"/>
      <c r="L22" s="50">
        <v>100</v>
      </c>
      <c r="M22" s="49"/>
      <c r="N22" s="29"/>
      <c r="O22" s="29"/>
      <c r="P22" s="19"/>
      <c r="Q22" s="19"/>
      <c r="R22" s="11"/>
    </row>
    <row r="23" s="1" customFormat="1" ht="21.95" customHeight="1" spans="1:18">
      <c r="A23" s="7"/>
      <c r="B23" s="12"/>
      <c r="C23" s="33"/>
      <c r="D23" s="52" t="s">
        <v>751</v>
      </c>
      <c r="E23" s="53"/>
      <c r="F23" s="54">
        <f ca="1">IFERROR(VLOOKUP(F6,'RR-3.1-5TH'!$A$12:'RR-3.1-5TH'!$BN$111,9,0),"")</f>
        <v>1</v>
      </c>
      <c r="G23" s="54">
        <f ca="1">IFERROR(VLOOKUP(F6,'RR-3.1-5TH'!$A$12:'RR-3.1-5TH'!$BN$111,10,0),"")</f>
        <v>0</v>
      </c>
      <c r="H23" s="54">
        <f ca="1">IFERROR(VLOOKUP(F6,'RR-3.1-5TH'!$A$12:'RR-3.1-5TH'!$BN$111,11,0),"")</f>
        <v>0</v>
      </c>
      <c r="I23" s="54">
        <f ca="1">IFERROR(VLOOKUP(F6,'RR-3.1-5TH'!$A$12:'RR-3.1-5TH'!$BN$111,12,0),"")</f>
        <v>0</v>
      </c>
      <c r="J23" s="54">
        <f ca="1">IFERROR(VLOOKUP(F6,'RR-3.1-5TH'!$A$12:'RR-3.1-5TH'!$BN$111,13,0),"")</f>
        <v>50</v>
      </c>
      <c r="K23" s="54">
        <f ca="1">IFERROR(VLOOKUP(F6,'RR-3.1-5TH'!$A$12:'RR-3.1-5TH'!$BN$111,14,0),"")</f>
        <v>0</v>
      </c>
      <c r="L23" s="55">
        <f ca="1" t="shared" ref="L23:L28" si="0">SUM(F23,G23,H23,I23,J23,K23)</f>
        <v>51</v>
      </c>
      <c r="M23" s="56" t="str">
        <f ca="1">IF(F6&gt;ENTRY!$D$24,"",IF(L23=0,"Ab",IF(L23&gt;80,"A",IF(L23&gt;60,"B",IF(L23&gt;44,"C",IF(L23&gt;=33,"D",IF(L23&lt;=32,"E","")))))))</f>
        <v>C</v>
      </c>
      <c r="N23" s="57" t="s">
        <v>729</v>
      </c>
      <c r="O23" s="58"/>
      <c r="P23" s="59"/>
      <c r="Q23" s="19"/>
      <c r="R23" s="11"/>
    </row>
    <row r="24" s="1" customFormat="1" ht="21.95" customHeight="1" spans="1:18">
      <c r="A24" s="7"/>
      <c r="B24" s="12"/>
      <c r="C24" s="33"/>
      <c r="D24" s="52" t="s">
        <v>513</v>
      </c>
      <c r="E24" s="53"/>
      <c r="F24" s="54">
        <f ca="1">IFERROR(VLOOKUP(F6,'RR-3.1-5TH'!$A$12:'RR-3.1-5TH'!$BN$111,17,0),"")</f>
        <v>1</v>
      </c>
      <c r="G24" s="54">
        <f ca="1">IFERROR(VLOOKUP(F6,'RR-3.1-5TH'!$A$12:'RR-3.1-5TH'!$BN$111,18,0),"")</f>
        <v>0</v>
      </c>
      <c r="H24" s="54">
        <f ca="1">IFERROR(VLOOKUP(F6,'RR-3.1-5TH'!$A$12:'RR-3.1-5TH'!$BN$111,19,0),"")</f>
        <v>0</v>
      </c>
      <c r="I24" s="54">
        <f ca="1">IFERROR(VLOOKUP(F6,'RR-3.1-5TH'!$A$12:'RR-3.1-5TH'!$BN$111,20,0),"")</f>
        <v>0</v>
      </c>
      <c r="J24" s="54">
        <f ca="1">IFERROR(VLOOKUP(F6,'RR-3.1-5TH'!$A$12:'RR-3.1-5TH'!$BN$111,21,0),"")</f>
        <v>19</v>
      </c>
      <c r="K24" s="54">
        <f ca="1">IFERROR(VLOOKUP(F6,'RR-3.1-5TH'!$A$12:'RR-3.1-5TH'!$BN$111,22,0),"")</f>
        <v>0</v>
      </c>
      <c r="L24" s="55">
        <f ca="1" t="shared" si="0"/>
        <v>20</v>
      </c>
      <c r="M24" s="56" t="str">
        <f ca="1">IF(F6&gt;ENTRY!$D$24,"",IF(L24=0,"Ab",IF(L24&gt;80,"A",IF(L24&gt;60,"B",IF(L24&gt;44,"C",IF(L24&gt;=33,"D",IF(L24&lt;=32,"E","")))))))</f>
        <v>E</v>
      </c>
      <c r="N24" s="58"/>
      <c r="O24" s="58"/>
      <c r="P24" s="59"/>
      <c r="Q24" s="19"/>
      <c r="R24" s="11"/>
    </row>
    <row r="25" s="1" customFormat="1" ht="21.95" customHeight="1" spans="1:18">
      <c r="A25" s="7"/>
      <c r="B25" s="12"/>
      <c r="C25" s="33"/>
      <c r="D25" s="52" t="s">
        <v>718</v>
      </c>
      <c r="E25" s="53"/>
      <c r="F25" s="54">
        <f ca="1">IFERROR(VLOOKUP(F6,'RR-3.1-5TH'!$A$12:'RR-3.1-5TH'!$BN$111,25,0),"")</f>
        <v>1</v>
      </c>
      <c r="G25" s="54">
        <f ca="1">IFERROR(VLOOKUP(F6,'RR-3.1-5TH'!$A$12:'RR-3.1-5TH'!$BN$111,26,0),"")</f>
        <v>0</v>
      </c>
      <c r="H25" s="54">
        <f ca="1">IFERROR(VLOOKUP(F6,'RR-3.1-5TH'!$A$12:'RR-3.1-5TH'!$BN$111,27,0),"")</f>
        <v>0</v>
      </c>
      <c r="I25" s="54">
        <f ca="1">IFERROR(VLOOKUP(F6,'RR-3.1-5TH'!$A$12:'RR-3.1-5TH'!$BN$111,28,0),"")</f>
        <v>0</v>
      </c>
      <c r="J25" s="54">
        <f ca="1">IFERROR(VLOOKUP(F6,'RR-3.1-5TH'!$A$12:'RR-3.1-5TH'!$BN$111,29,0),"")</f>
        <v>21</v>
      </c>
      <c r="K25" s="54">
        <f ca="1">IFERROR(VLOOKUP(F6,'RR-3.1-5TH'!$A$12:'RR-3.1-5TH'!$BN$111,30,0),"")</f>
        <v>0</v>
      </c>
      <c r="L25" s="55">
        <f ca="1" t="shared" si="0"/>
        <v>22</v>
      </c>
      <c r="M25" s="56" t="str">
        <f ca="1">IF(F6&gt;ENTRY!$D$24,"",IF(L25=0,"Ab",IF(L25&gt;80,"A",IF(L25&gt;60,"B",IF(L25&gt;44,"C",IF(L25&gt;=33,"D",IF(L25&lt;=32,"E","")))))))</f>
        <v>E</v>
      </c>
      <c r="N25" s="29"/>
      <c r="O25" s="29"/>
      <c r="P25" s="19"/>
      <c r="Q25" s="19"/>
      <c r="R25" s="11"/>
    </row>
    <row r="26" s="1" customFormat="1" ht="21.95" customHeight="1" spans="1:18">
      <c r="A26" s="7"/>
      <c r="B26" s="12"/>
      <c r="C26" s="33"/>
      <c r="D26" s="52" t="s">
        <v>719</v>
      </c>
      <c r="E26" s="53"/>
      <c r="F26" s="54">
        <f ca="1">IFERROR(VLOOKUP(F6,'RR-3.1-5TH'!$A$12:'RR-3.1-5TH'!$BN$111,33,0),"")</f>
        <v>2</v>
      </c>
      <c r="G26" s="54">
        <f ca="1">IFERROR(VLOOKUP(F6,'RR-3.1-5TH'!$A$12:'RR-3.1-5TH'!$BN$111,34,0),"")</f>
        <v>0</v>
      </c>
      <c r="H26" s="54">
        <f ca="1">IFERROR(VLOOKUP(F6,'RR-3.1-5TH'!$A$12:'RR-3.1-5TH'!$BN$111,35,0),"")</f>
        <v>0</v>
      </c>
      <c r="I26" s="54">
        <f ca="1">IFERROR(VLOOKUP(F6,'RR-3.1-5TH'!$A$12:'RR-3.1-5TH'!$BN$111,36,0),"")</f>
        <v>0</v>
      </c>
      <c r="J26" s="54">
        <f ca="1">IFERROR(VLOOKUP(F6,'RR-3.1-5TH'!$A$12:'RR-3.1-5TH'!$BN$111,37,0),"")</f>
        <v>23</v>
      </c>
      <c r="K26" s="54">
        <f ca="1">IFERROR(VLOOKUP(F6,'RR-3.1-5TH'!$A$12:'RR-3.1-5TH'!$BN$111,38,0),"")</f>
        <v>0</v>
      </c>
      <c r="L26" s="55">
        <f ca="1" t="shared" si="0"/>
        <v>25</v>
      </c>
      <c r="M26" s="56" t="str">
        <f ca="1">IF(F6&gt;ENTRY!$D$24,"",IF(L26=0,"Ab",IF(L26&gt;80,"A",IF(L26&gt;60,"B",IF(L26&gt;44,"C",IF(L26&gt;=33,"D",IF(L26&lt;=32,"E","")))))))</f>
        <v>E</v>
      </c>
      <c r="N26" s="29"/>
      <c r="O26" s="29"/>
      <c r="P26" s="19"/>
      <c r="Q26" s="19"/>
      <c r="R26" s="11"/>
    </row>
    <row r="27" s="1" customFormat="1" ht="21.95" customHeight="1" spans="1:18">
      <c r="A27" s="7"/>
      <c r="B27" s="12"/>
      <c r="C27" s="33"/>
      <c r="D27" s="52" t="s">
        <v>548</v>
      </c>
      <c r="E27" s="53"/>
      <c r="F27" s="54">
        <f ca="1">IFERROR(VLOOKUP(F6,'RR-3.1-5TH'!$A$12:'RR-3.1-5TH'!$BN$111,41,0),"")</f>
        <v>0</v>
      </c>
      <c r="G27" s="54">
        <f ca="1">IFERROR(VLOOKUP(F6,'RR-3.1-5TH'!$A$12:'RR-3.1-5TH'!$BN$111,42,0),"")</f>
        <v>0</v>
      </c>
      <c r="H27" s="54">
        <f ca="1">IFERROR(VLOOKUP(F6,'RR-3.1-5TH'!$A$12:'RR-3.1-5TH'!$BN$111,43,0),"")</f>
        <v>0</v>
      </c>
      <c r="I27" s="54">
        <f ca="1">IFERROR(VLOOKUP(F6,'RR-3.1-5TH'!$A$12:'RR-3.1-5TH'!$BN$111,44,0),"")</f>
        <v>0</v>
      </c>
      <c r="J27" s="54">
        <f ca="1">IFERROR(VLOOKUP(F6,'RR-3.1-5TH'!$A$12:'RR-3.1-5TH'!$BN$111,45,0),"")</f>
        <v>21</v>
      </c>
      <c r="K27" s="54">
        <f ca="1">IFERROR(VLOOKUP(F6,'RR-3.1-5TH'!$A$12:'RR-3.1-5TH'!$BN$111,46,0),"")</f>
        <v>0</v>
      </c>
      <c r="L27" s="55">
        <f ca="1" t="shared" si="0"/>
        <v>21</v>
      </c>
      <c r="M27" s="56" t="str">
        <f ca="1">IF(F6&gt;ENTRY!$D$24,"",IF(L27=0,"Ab",IF(L27&gt;80,"A",IF(L27&gt;60,"B",IF(L27&gt;44,"C",IF(L27&gt;=33,"D",IF(L27&lt;=32,"E","")))))))</f>
        <v>E</v>
      </c>
      <c r="N27" s="29"/>
      <c r="O27" s="29"/>
      <c r="P27" s="19"/>
      <c r="Q27" s="19"/>
      <c r="R27" s="11"/>
    </row>
    <row r="28" s="1" customFormat="1" ht="21.95" customHeight="1" spans="1:18">
      <c r="A28" s="7"/>
      <c r="B28" s="12"/>
      <c r="C28" s="33"/>
      <c r="D28" s="52" t="s">
        <v>549</v>
      </c>
      <c r="E28" s="53"/>
      <c r="F28" s="54">
        <f ca="1">IFERROR(VLOOKUP(F6,'RR-3.1-5TH'!$A$12:'RR-3.1-5TH'!$BN$111,49,0),"")</f>
        <v>2</v>
      </c>
      <c r="G28" s="54">
        <f ca="1">IFERROR(VLOOKUP(F6,'RR-3.1-5TH'!$A$12:'RR-3.1-5TH'!$BN$111,50,0),"")</f>
        <v>0</v>
      </c>
      <c r="H28" s="54">
        <f ca="1">IFERROR(VLOOKUP(F6,'RR-3.1-5TH'!$A$12:'RR-3.1-5TH'!$BN$111,51,0),"")</f>
        <v>0</v>
      </c>
      <c r="I28" s="54">
        <f ca="1">IFERROR(VLOOKUP(F6,'RR-3.1-5TH'!$A$12:'RR-3.1-5TH'!$BN$111,52,0),"")</f>
        <v>0</v>
      </c>
      <c r="J28" s="54">
        <f ca="1">IFERROR(VLOOKUP(F6,'RR-3.1-5TH'!$A$12:'RR-3.1-5TH'!$BN$111,53,0),"")</f>
        <v>27</v>
      </c>
      <c r="K28" s="54">
        <f ca="1">IFERROR(VLOOKUP(F6,'RR-3.1-5TH'!$A$12:'RR-3.1-5TH'!$BN$111,54,0),"")</f>
        <v>0</v>
      </c>
      <c r="L28" s="55">
        <f ca="1" t="shared" si="0"/>
        <v>29</v>
      </c>
      <c r="M28" s="56" t="str">
        <f ca="1">IF(F6&gt;ENTRY!$D$24,"",IF(L28=0,"Ab",IF(L28&gt;80,"A",IF(L28&gt;60,"B",IF(L28&gt;44,"C",IF(L28&gt;=33,"D",IF(L28&lt;=32,"E","")))))))</f>
        <v>E</v>
      </c>
      <c r="N28" s="57" t="s">
        <v>752</v>
      </c>
      <c r="O28" s="58"/>
      <c r="P28" s="59"/>
      <c r="Q28" s="19"/>
      <c r="R28" s="11"/>
    </row>
    <row r="29" s="1" customFormat="1" ht="21.95" customHeight="1" spans="1:18">
      <c r="A29" s="7"/>
      <c r="B29" s="12"/>
      <c r="C29" s="33"/>
      <c r="D29" s="52" t="s">
        <v>753</v>
      </c>
      <c r="E29" s="53"/>
      <c r="F29" s="60"/>
      <c r="G29" s="54"/>
      <c r="H29" s="54"/>
      <c r="I29" s="54"/>
      <c r="J29" s="54"/>
      <c r="K29" s="54"/>
      <c r="L29" s="55">
        <f t="shared" ref="L29" si="1">SUM(G29:K29)</f>
        <v>0</v>
      </c>
      <c r="M29" s="56" t="str">
        <f>IF(F6&gt;ENTRY!$D$24,"",IF(L29=0,"",IF(L29&gt;79,"A",IF(L29&gt;59,"B",IF(L29&gt;44,"C",IF(L29&gt;=33,"D",IF(L29&lt;=32,"E","")))))))</f>
        <v/>
      </c>
      <c r="N29" s="58"/>
      <c r="O29" s="58"/>
      <c r="P29" s="59"/>
      <c r="Q29" s="19"/>
      <c r="R29" s="11"/>
    </row>
    <row r="30" s="1" customFormat="1" ht="21.95" customHeight="1" spans="1:18">
      <c r="A30" s="7"/>
      <c r="B30" s="12"/>
      <c r="C30" s="33"/>
      <c r="D30" s="45" t="s">
        <v>382</v>
      </c>
      <c r="E30" s="46"/>
      <c r="F30" s="54">
        <f ca="1" t="shared" ref="F30:L30" si="2">IFERROR(SUM(F23:F29),"")</f>
        <v>7</v>
      </c>
      <c r="G30" s="54">
        <f ca="1" t="shared" si="2"/>
        <v>0</v>
      </c>
      <c r="H30" s="54">
        <f ca="1" t="shared" si="2"/>
        <v>0</v>
      </c>
      <c r="I30" s="54">
        <f ca="1" t="shared" si="2"/>
        <v>0</v>
      </c>
      <c r="J30" s="54">
        <f ca="1" t="shared" si="2"/>
        <v>161</v>
      </c>
      <c r="K30" s="54">
        <f ca="1" t="shared" si="2"/>
        <v>0</v>
      </c>
      <c r="L30" s="55">
        <f ca="1" t="shared" si="2"/>
        <v>168</v>
      </c>
      <c r="M30" s="61" t="str">
        <f ca="1">IF(F6&gt;ENTRY!$D$24,"",IF(N31="Ab","Ab",IF(N31&gt;79.5,"A",IF(N31&gt;59.5,"B",IF(N31&gt;44.5,"C",IF(N31&gt;=33,"D",IF(N31&lt;33,"E","")))))))</f>
        <v>E</v>
      </c>
      <c r="N30" s="62"/>
      <c r="O30" s="58"/>
      <c r="P30" s="59"/>
      <c r="Q30" s="19"/>
      <c r="R30" s="11"/>
    </row>
    <row r="31" s="1" customFormat="1" ht="21.95" customHeight="1" spans="1:18">
      <c r="A31" s="7"/>
      <c r="B31" s="12"/>
      <c r="C31" s="33"/>
      <c r="D31" s="63" t="s">
        <v>721</v>
      </c>
      <c r="E31" s="63"/>
      <c r="F31" s="63"/>
      <c r="G31" s="63"/>
      <c r="H31" s="63"/>
      <c r="I31" s="63"/>
      <c r="J31" s="63"/>
      <c r="K31" s="63"/>
      <c r="L31" s="63"/>
      <c r="M31" s="63"/>
      <c r="N31" s="64">
        <f ca="1">IF(L30="Ab","Ab",L30/6)</f>
        <v>28</v>
      </c>
      <c r="O31" s="65"/>
      <c r="P31" s="19"/>
      <c r="Q31" s="19"/>
      <c r="R31" s="11"/>
    </row>
    <row r="32" s="1" customFormat="1" ht="21.95" customHeight="1" spans="1:18">
      <c r="A32" s="7"/>
      <c r="B32" s="12"/>
      <c r="C32" s="33"/>
      <c r="D32" s="29" t="s">
        <v>716</v>
      </c>
      <c r="E32" s="18" t="str">
        <f>IFERROR(VLOOKUP(F6,'1to4-2.1-RR'!$A$12:$BG$111,57,0),"")</f>
        <v>PROMOTED</v>
      </c>
      <c r="F32" s="18"/>
      <c r="G32" s="18"/>
      <c r="H32" s="18"/>
      <c r="I32" s="18"/>
      <c r="J32" s="18"/>
      <c r="K32" s="18"/>
      <c r="L32" s="18"/>
      <c r="M32" s="18"/>
      <c r="N32" s="29"/>
      <c r="O32" s="29"/>
      <c r="P32" s="19"/>
      <c r="Q32" s="19"/>
      <c r="R32" s="11"/>
    </row>
    <row r="33" s="1" customFormat="1" ht="9.95" customHeight="1" spans="1:19">
      <c r="A33" s="7"/>
      <c r="B33" s="12"/>
      <c r="C33" s="33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19"/>
      <c r="Q33" s="19"/>
      <c r="R33" s="11"/>
    </row>
    <row r="34" s="1" customFormat="1" ht="36" spans="1:19">
      <c r="A34" s="7"/>
      <c r="B34" s="12"/>
      <c r="C34" s="33"/>
      <c r="D34" s="66" t="s">
        <v>576</v>
      </c>
      <c r="E34" s="67" t="s">
        <v>754</v>
      </c>
      <c r="F34" s="47">
        <f>IF(F6&gt;ENTRY!$D$24,"",IFERROR(VLOOKUP(F6,PASHEET!$A$4:$CJ$103,88,0),""))</f>
        <v>417</v>
      </c>
      <c r="G34" s="67" t="s">
        <v>755</v>
      </c>
      <c r="H34" s="47">
        <f>IF(F6&gt;ENTRY!$D$24,"",IFERROR(VLOOKUP(F6,PASHEET!$A$4:$CJ$103,87,0),""))</f>
        <v>350</v>
      </c>
      <c r="I34" s="68" t="s">
        <v>756</v>
      </c>
      <c r="J34" s="69">
        <f>IF(F6&gt;ENTRY!$D$24,"",IFERROR(IF(F6&gt;0,H34/F34*100),""))</f>
        <v>83.9328537170264</v>
      </c>
      <c r="K34" s="60" t="s">
        <v>757</v>
      </c>
      <c r="L34" s="70">
        <f ca="1">IF(F6&gt;ENTRY!$D$24,"",IFERROR(L30/600*100,""))</f>
        <v>28</v>
      </c>
      <c r="M34" s="47" t="str">
        <f ca="1">IF(F6&gt;ENTRY!$D$24,"",IFERROR(L30&amp;" / "&amp;"600",""))</f>
        <v>168 / 600</v>
      </c>
      <c r="N34" s="29"/>
      <c r="O34" s="29"/>
      <c r="P34" s="19"/>
      <c r="Q34" s="19"/>
      <c r="R34" s="11"/>
    </row>
    <row r="35" s="1" customFormat="1" ht="9.95" customHeight="1" spans="1:19">
      <c r="A35" s="7"/>
      <c r="B35" s="12"/>
      <c r="C35" s="39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1"/>
      <c r="Q35" s="19"/>
      <c r="R35" s="11"/>
    </row>
    <row r="36" s="1" customFormat="1" ht="9.95" customHeight="1" spans="1:19">
      <c r="A36" s="7"/>
      <c r="B36" s="12"/>
      <c r="C36" s="71"/>
      <c r="D36" s="71"/>
      <c r="E36" s="71"/>
      <c r="F36" s="29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19"/>
      <c r="R36" s="11"/>
    </row>
    <row r="37" s="1" customFormat="1" ht="9.95" customHeight="1" spans="1:19">
      <c r="A37" s="7"/>
      <c r="B37" s="12"/>
      <c r="C37" s="29"/>
      <c r="D37" s="29"/>
      <c r="E37" s="29"/>
      <c r="F37" s="72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19"/>
      <c r="R37" s="11"/>
    </row>
    <row r="38" s="1" customFormat="1" ht="9.95" customHeight="1" spans="1:19">
      <c r="A38" s="7"/>
      <c r="B38" s="12"/>
      <c r="C38" s="30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2"/>
      <c r="Q38" s="19"/>
      <c r="R38" s="11"/>
    </row>
    <row r="39" s="1" customFormat="1" ht="21.95" customHeight="1" spans="1:19">
      <c r="A39" s="7"/>
      <c r="B39" s="12"/>
      <c r="C39" s="73" t="s">
        <v>7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74"/>
      <c r="Q39" s="19"/>
      <c r="R39" s="11"/>
      <c r="S39" s="2"/>
    </row>
    <row r="40" s="1" customFormat="1" ht="21.95" customHeight="1" spans="1:19">
      <c r="A40" s="7"/>
      <c r="B40" s="12"/>
      <c r="C40" s="33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19"/>
      <c r="Q40" s="19"/>
      <c r="R40" s="11"/>
    </row>
    <row r="41" s="1" customFormat="1" ht="21.95" customHeight="1" spans="1:19">
      <c r="A41" s="7"/>
      <c r="B41" s="12"/>
      <c r="C41" s="75" t="str">
        <f>"SESSION-"&amp;ENTRY!$D$11</f>
        <v>SESSION-2026-27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76"/>
      <c r="Q41" s="19"/>
      <c r="R41" s="11"/>
    </row>
    <row r="42" s="1" customFormat="1" ht="18" customHeight="1" spans="1:19">
      <c r="A42" s="7"/>
      <c r="B42" s="12"/>
      <c r="C42" s="33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19"/>
      <c r="Q42" s="19"/>
      <c r="R42" s="11"/>
    </row>
    <row r="43" s="1" customFormat="1" ht="21.95" customHeight="1" spans="1:19">
      <c r="A43" s="7"/>
      <c r="B43" s="12"/>
      <c r="C43" s="33"/>
      <c r="D43" s="77" t="s">
        <v>758</v>
      </c>
      <c r="E43" s="77"/>
      <c r="F43" s="78" t="str">
        <f>IFERROR(PROPER(VLOOKUP(F6,STUDENT!$A$2:$BP$101,5,0)),"")</f>
        <v>Naksh</v>
      </c>
      <c r="G43" s="78"/>
      <c r="H43" s="78"/>
      <c r="I43" s="78"/>
      <c r="J43" s="78"/>
      <c r="K43" s="78"/>
      <c r="L43" s="78"/>
      <c r="M43" s="78"/>
      <c r="N43" s="79" t="s">
        <v>759</v>
      </c>
      <c r="O43" s="79"/>
      <c r="P43" s="19"/>
      <c r="Q43" s="19"/>
      <c r="R43" s="11"/>
    </row>
    <row r="44" s="1" customFormat="1" ht="21.95" customHeight="1" spans="1:19">
      <c r="A44" s="7"/>
      <c r="B44" s="12"/>
      <c r="C44" s="33"/>
      <c r="D44" s="80" t="s">
        <v>760</v>
      </c>
      <c r="E44" s="81" t="str">
        <f>IFERROR(PROPER(VLOOKUP(F6,STUDENT!$A$2:$BP$101,9,0)),"")</f>
        <v>Sheetal</v>
      </c>
      <c r="F44" s="81"/>
      <c r="G44" s="81"/>
      <c r="H44" s="80" t="s">
        <v>761</v>
      </c>
      <c r="I44" s="82" t="str">
        <f>IFERROR(PROPER(VLOOKUP(F6,STUDENT!$A$2:$BP$101,8,0)),"")</f>
        <v>Naresh</v>
      </c>
      <c r="J44" s="82"/>
      <c r="K44" s="82"/>
      <c r="L44" s="82"/>
      <c r="M44" s="80" t="s">
        <v>762</v>
      </c>
      <c r="N44" s="83" t="str">
        <f>IFERROR(VLOOKUP(F6,STUDENT!$A$2:$BP$101,59,0),"")</f>
        <v/>
      </c>
      <c r="O44" s="83"/>
      <c r="P44" s="19"/>
      <c r="Q44" s="19"/>
      <c r="R44" s="11"/>
    </row>
    <row r="45" s="1" customFormat="1" ht="21.95" customHeight="1" spans="1:19">
      <c r="A45" s="7"/>
      <c r="B45" s="12"/>
      <c r="C45" s="33"/>
      <c r="D45" s="77" t="str">
        <f>"has    completed     his  /  her     primary     level     education    in    the    year    "&amp;RIGHT(ENTRY!$D11,4)&amp;"    from    ( School    Name )"</f>
        <v>has    completed     his  /  her     primary     level     education    in    the    year    6-27    from    ( School    Name )</v>
      </c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19"/>
      <c r="Q45" s="19"/>
      <c r="R45" s="11"/>
    </row>
    <row r="46" s="1" customFormat="1" ht="21.95" customHeight="1" spans="1:19">
      <c r="A46" s="7"/>
      <c r="B46" s="12"/>
      <c r="C46" s="33"/>
      <c r="D46" s="81" t="str">
        <f>IF(F6&gt;0,ENTRY!$D$6,"")</f>
        <v>MCP NITHARI NO 1 BOYS</v>
      </c>
      <c r="E46" s="81"/>
      <c r="F46" s="81"/>
      <c r="G46" s="81"/>
      <c r="H46" s="81"/>
      <c r="I46" s="81"/>
      <c r="J46" s="81"/>
      <c r="K46" s="81"/>
      <c r="L46" s="81"/>
      <c r="M46" s="80" t="s">
        <v>763</v>
      </c>
      <c r="N46" s="84">
        <f>IF(F6&gt;0,ENTRY!$D$7,"")</f>
        <v>0</v>
      </c>
      <c r="O46" s="84"/>
      <c r="P46" s="85" t="s">
        <v>727</v>
      </c>
      <c r="Q46" s="19"/>
      <c r="R46" s="11"/>
    </row>
    <row r="47" s="1" customFormat="1" ht="21.95" customHeight="1" spans="1:19">
      <c r="A47" s="7"/>
      <c r="B47" s="12"/>
      <c r="C47" s="33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19"/>
      <c r="Q47" s="19"/>
      <c r="R47" s="11"/>
    </row>
    <row r="48" s="1" customFormat="1" ht="21.95" customHeight="1" spans="1:19">
      <c r="A48" s="7"/>
      <c r="B48" s="12"/>
      <c r="C48" s="33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19"/>
      <c r="Q48" s="19"/>
      <c r="R48" s="11"/>
    </row>
    <row r="49" s="1" customFormat="1" ht="21.95" customHeight="1" spans="1:18">
      <c r="A49" s="7"/>
      <c r="B49" s="12"/>
      <c r="C49" s="33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19"/>
      <c r="Q49" s="19"/>
      <c r="R49" s="11"/>
    </row>
    <row r="50" s="1" customFormat="1" ht="21.95" customHeight="1" spans="1:18">
      <c r="A50" s="7"/>
      <c r="B50" s="12"/>
      <c r="C50" s="33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19"/>
      <c r="Q50" s="19"/>
      <c r="R50" s="11"/>
    </row>
    <row r="51" s="1" customFormat="1" ht="21.95" customHeight="1" spans="1:18">
      <c r="A51" s="7"/>
      <c r="B51" s="12"/>
      <c r="C51" s="33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19"/>
      <c r="Q51" s="19"/>
      <c r="R51" s="11"/>
    </row>
    <row r="52" s="1" customFormat="1" ht="21.95" customHeight="1" spans="1:18">
      <c r="A52" s="7"/>
      <c r="B52" s="12"/>
      <c r="C52" s="33"/>
      <c r="D52" s="80" t="s">
        <v>728</v>
      </c>
      <c r="E52" s="86">
        <f>ENTRY!$D$27</f>
        <v>46102</v>
      </c>
      <c r="F52" s="86"/>
      <c r="G52" s="29"/>
      <c r="H52" s="29"/>
      <c r="I52" s="29"/>
      <c r="J52" s="29"/>
      <c r="K52" s="29"/>
      <c r="L52" s="29"/>
      <c r="M52" s="87" t="s">
        <v>730</v>
      </c>
      <c r="N52" s="87"/>
      <c r="O52" s="87"/>
      <c r="P52" s="19"/>
      <c r="Q52" s="19"/>
      <c r="R52" s="11"/>
    </row>
    <row r="53" s="1" customFormat="1" ht="21.95" customHeight="1" spans="1:18">
      <c r="A53" s="7"/>
      <c r="B53" s="12"/>
      <c r="C53" s="33"/>
      <c r="D53" s="80" t="s">
        <v>731</v>
      </c>
      <c r="E53" s="88" t="str">
        <f>PROPER(ENTRY!$D$28)</f>
        <v>New Delhi</v>
      </c>
      <c r="F53" s="88"/>
      <c r="G53" s="29"/>
      <c r="H53" s="29"/>
      <c r="I53" s="29"/>
      <c r="J53" s="29"/>
      <c r="K53" s="29"/>
      <c r="L53" s="29"/>
      <c r="M53" s="89" t="s">
        <v>732</v>
      </c>
      <c r="N53" s="89"/>
      <c r="O53" s="89"/>
      <c r="P53" s="19"/>
      <c r="Q53" s="19"/>
      <c r="R53" s="11"/>
    </row>
    <row r="54" s="1" customFormat="1" ht="21.95" customHeight="1" spans="1:18">
      <c r="A54" s="7"/>
      <c r="B54" s="12"/>
      <c r="C54" s="90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2"/>
      <c r="Q54" s="14"/>
      <c r="R54" s="11"/>
    </row>
    <row r="55" s="1" customFormat="1" ht="5.1" customHeight="1" spans="1:18">
      <c r="A55" s="7"/>
      <c r="B55" s="90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2"/>
      <c r="R55" s="11"/>
    </row>
    <row r="56" s="1" customFormat="1" ht="5.1" customHeight="1" spans="1:18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5"/>
    </row>
    <row r="57" s="2" customFormat="1" ht="9.95" customHeight="1"/>
    <row r="58" s="1" customFormat="1" ht="5.1" customHeight="1" spans="1:18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6"/>
    </row>
    <row r="59" s="1" customFormat="1" ht="15" customHeight="1" spans="1:18">
      <c r="A59" s="7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11"/>
    </row>
    <row r="60" s="1" customFormat="1" ht="21.95" customHeight="1" spans="1:18">
      <c r="A60" s="7"/>
      <c r="B60" s="12"/>
      <c r="C60" s="13" t="s">
        <v>7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4"/>
      <c r="R60" s="11"/>
    </row>
    <row r="61" s="1" customFormat="1" ht="21.95" customHeight="1" spans="1:18">
      <c r="A61" s="7"/>
      <c r="B61" s="1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14"/>
      <c r="R61" s="11"/>
    </row>
    <row r="62" s="1" customFormat="1" ht="21.95" customHeight="1" spans="1:18">
      <c r="A62" s="7"/>
      <c r="B62" s="12"/>
      <c r="C62" s="15" t="str">
        <f>"SESSION-"&amp;ENTRY!$D$11</f>
        <v>SESSION-2026-27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4"/>
      <c r="R62" s="11"/>
    </row>
    <row r="63" s="1" customFormat="1" ht="21.95" customHeight="1" spans="1:18">
      <c r="A63" s="7"/>
      <c r="B63" s="12"/>
      <c r="C63" s="2"/>
      <c r="D63" s="2"/>
      <c r="E63" s="2"/>
      <c r="F63" s="16">
        <f>F6+1</f>
        <v>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14"/>
      <c r="R63" s="11"/>
    </row>
    <row r="64" s="1" customFormat="1" ht="21.95" customHeight="1" spans="1:18">
      <c r="A64" s="7"/>
      <c r="B64" s="12"/>
      <c r="C64" s="17" t="s">
        <v>392</v>
      </c>
      <c r="D64" s="17"/>
      <c r="E64" s="17"/>
      <c r="F64" s="18" t="str">
        <f>IF(F63&gt;0,ENTRY!$D$6,"")</f>
        <v>MCP NITHARI NO 1 BOYS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9"/>
      <c r="R64" s="11"/>
    </row>
    <row r="65" s="1" customFormat="1" ht="21.95" customHeight="1" spans="1:18">
      <c r="A65" s="7"/>
      <c r="B65" s="12"/>
      <c r="C65" s="17" t="s">
        <v>393</v>
      </c>
      <c r="D65" s="17"/>
      <c r="E65" s="17"/>
      <c r="F65" s="18">
        <f>IF(F63&gt;0,ENTRY!$D$7,"")</f>
        <v>0</v>
      </c>
      <c r="G65" s="18"/>
      <c r="H65" s="20" t="s">
        <v>702</v>
      </c>
      <c r="I65" s="20"/>
      <c r="J65" s="21">
        <f>IF(F63&gt;0,ENTRY!$D$10,"")</f>
        <v>40</v>
      </c>
      <c r="K65" s="20" t="s">
        <v>703</v>
      </c>
      <c r="L65" s="22" t="str">
        <f>IF(F63&gt;0,ENTRY!$D$5,"")</f>
        <v>ROHINI ZONE</v>
      </c>
      <c r="M65" s="22"/>
      <c r="N65" s="22"/>
      <c r="O65" s="22"/>
      <c r="P65" s="22"/>
      <c r="Q65" s="19"/>
      <c r="R65" s="11"/>
    </row>
    <row r="66" s="1" customFormat="1" ht="21.95" customHeight="1" spans="1:18">
      <c r="A66" s="7"/>
      <c r="B66" s="12"/>
      <c r="C66" s="17" t="s">
        <v>706</v>
      </c>
      <c r="D66" s="17"/>
      <c r="E66" s="17"/>
      <c r="F66" s="23" t="str">
        <f>IFERROR(VLOOKUP(F63,STUDENT!$A$2:$BP$101,5,0),"")</f>
        <v>NAVEEN</v>
      </c>
      <c r="G66" s="23"/>
      <c r="H66" s="23"/>
      <c r="I66" s="23"/>
      <c r="J66" s="23"/>
      <c r="K66" s="23"/>
      <c r="L66" s="20" t="s">
        <v>707</v>
      </c>
      <c r="M66" s="20"/>
      <c r="N66" s="24" t="str">
        <f>IF(F63&gt;0,ENTRY!$D$20&amp;"-"&amp;ENTRY!$D$21,"")</f>
        <v>III-A</v>
      </c>
      <c r="O66" s="24"/>
      <c r="P66" s="24"/>
      <c r="Q66" s="19"/>
      <c r="R66" s="11"/>
    </row>
    <row r="67" s="1" customFormat="1" ht="21.95" customHeight="1" spans="1:18">
      <c r="A67" s="7"/>
      <c r="B67" s="12"/>
      <c r="C67" s="17" t="s">
        <v>708</v>
      </c>
      <c r="D67" s="17"/>
      <c r="E67" s="17"/>
      <c r="F67" s="25">
        <f>IFERROR(VLOOKUP(F63,STUDENT!$A$2:$BP$101,6,0),"")</f>
        <v>14733</v>
      </c>
      <c r="G67" s="25"/>
      <c r="H67" s="26" t="s">
        <v>709</v>
      </c>
      <c r="I67" s="27" t="str">
        <f>IFERROR(VLOOKUP(F63,STUDENT!$A$2:$BP$101,59,0),"")</f>
        <v/>
      </c>
      <c r="J67" s="27"/>
      <c r="K67" s="20" t="s">
        <v>710</v>
      </c>
      <c r="L67" s="20"/>
      <c r="M67" s="28">
        <f>IFERROR(VLOOKUP(F63,STUDENT!$A$2:$BP$101,20,0),"")</f>
        <v>9891823845</v>
      </c>
      <c r="N67" s="28"/>
      <c r="O67" s="28"/>
      <c r="P67" s="28"/>
      <c r="Q67" s="19"/>
      <c r="R67" s="11"/>
    </row>
    <row r="68" s="1" customFormat="1" ht="21.95" customHeight="1" spans="1:18">
      <c r="A68" s="7"/>
      <c r="B68" s="12"/>
      <c r="C68" s="17" t="s">
        <v>711</v>
      </c>
      <c r="D68" s="17"/>
      <c r="E68" s="17"/>
      <c r="F68" s="23" t="str">
        <f>IFERROR(VLOOKUP(F63,STUDENT!$A$2:$BP$101,9,0),"")</f>
        <v>KIRAN</v>
      </c>
      <c r="G68" s="23"/>
      <c r="H68" s="23"/>
      <c r="I68" s="23"/>
      <c r="J68" s="17" t="s">
        <v>620</v>
      </c>
      <c r="K68" s="17"/>
      <c r="L68" s="23" t="str">
        <f>IFERROR(VLOOKUP(F63,STUDENT!$A$2:$BP$101,8,0),"")</f>
        <v>SANJAY</v>
      </c>
      <c r="M68" s="23"/>
      <c r="N68" s="23"/>
      <c r="O68" s="23"/>
      <c r="P68" s="23"/>
      <c r="Q68" s="19"/>
      <c r="R68" s="11"/>
    </row>
    <row r="69" s="1" customFormat="1" ht="21.95" customHeight="1" spans="1:18">
      <c r="A69" s="7"/>
      <c r="B69" s="12"/>
      <c r="C69" s="17" t="s">
        <v>712</v>
      </c>
      <c r="D69" s="17"/>
      <c r="E69" s="17"/>
      <c r="F69" s="23" t="str">
        <f>IFERROR(VLOOKUP(F63,STUDENT!$A$2:$BP$101,22,0),"")</f>
        <v>H NO 71 GALI NO 8 PRATAP VIHAR NITHARI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19"/>
      <c r="R69" s="11"/>
    </row>
    <row r="70" s="1" customFormat="1" ht="9.95" customHeight="1" spans="1:18">
      <c r="A70" s="7"/>
      <c r="B70" s="12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19"/>
      <c r="R70" s="11"/>
    </row>
    <row r="71" s="1" customFormat="1" ht="9.95" customHeight="1" spans="1:18">
      <c r="A71" s="7"/>
      <c r="B71" s="12"/>
      <c r="C71" s="30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2"/>
      <c r="Q71" s="19"/>
      <c r="R71" s="11"/>
    </row>
    <row r="72" s="1" customFormat="1" ht="21.95" customHeight="1" spans="1:18">
      <c r="A72" s="7"/>
      <c r="B72" s="12"/>
      <c r="C72" s="33"/>
      <c r="D72" s="34" t="s">
        <v>713</v>
      </c>
      <c r="E72" s="20" t="s">
        <v>714</v>
      </c>
      <c r="F72" s="35" t="str">
        <f>"Level - "&amp;IFERROR(VLOOKUP(F63,FLN!$A$4:$K$103,9,0),"")</f>
        <v>Level - 3</v>
      </c>
      <c r="G72" s="36"/>
      <c r="H72" s="37" t="s">
        <v>715</v>
      </c>
      <c r="I72" s="20"/>
      <c r="J72" s="35" t="str">
        <f>"Level - "&amp;IFERROR(VLOOKUP(F63,FLN!$A$4:$K$103,11,0),"")</f>
        <v>Level - 3</v>
      </c>
      <c r="K72" s="36"/>
      <c r="L72" s="37" t="s">
        <v>408</v>
      </c>
      <c r="M72" s="20"/>
      <c r="N72" s="35" t="str">
        <f>"Level - "&amp;IFERROR(VLOOKUP(F63,FLN!$A$4:$K$103,10,0),"")</f>
        <v>Level - 2</v>
      </c>
      <c r="O72" s="36"/>
      <c r="P72" s="19"/>
      <c r="Q72" s="19"/>
      <c r="R72" s="11"/>
    </row>
    <row r="73" s="1" customFormat="1" ht="21.95" customHeight="1" spans="1:18">
      <c r="A73" s="7"/>
      <c r="B73" s="12"/>
      <c r="C73" s="33"/>
      <c r="D73" s="38"/>
      <c r="E73" s="20" t="s">
        <v>716</v>
      </c>
      <c r="F73" s="18" t="str">
        <f ca="1">IF(L87&gt;197,"PERFORMED WELL","")</f>
        <v/>
      </c>
      <c r="G73" s="18"/>
      <c r="H73" s="18"/>
      <c r="I73" s="18"/>
      <c r="J73" s="18"/>
      <c r="K73" s="18"/>
      <c r="L73" s="18"/>
      <c r="M73" s="18"/>
      <c r="N73" s="18"/>
      <c r="O73" s="18"/>
      <c r="P73" s="19"/>
      <c r="Q73" s="19"/>
      <c r="R73" s="11"/>
    </row>
    <row r="74" s="1" customFormat="1" ht="9.95" customHeight="1" spans="1:18">
      <c r="A74" s="7"/>
      <c r="B74" s="12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1"/>
      <c r="Q74" s="19"/>
      <c r="R74" s="11"/>
    </row>
    <row r="75" s="1" customFormat="1" ht="9.95" customHeight="1" spans="1:18">
      <c r="A75" s="7"/>
      <c r="B75" s="12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19"/>
      <c r="R75" s="11"/>
    </row>
    <row r="76" s="1" customFormat="1" ht="9.95" customHeight="1" spans="1:18">
      <c r="A76" s="7"/>
      <c r="B76" s="12"/>
      <c r="C76" s="30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2"/>
      <c r="Q76" s="19"/>
      <c r="R76" s="11"/>
    </row>
    <row r="77" s="1" customFormat="1" ht="21.95" customHeight="1" spans="1:18">
      <c r="A77" s="7"/>
      <c r="B77" s="12"/>
      <c r="C77" s="33"/>
      <c r="D77" s="35"/>
      <c r="E77" s="24"/>
      <c r="F77" s="42" t="s">
        <v>717</v>
      </c>
      <c r="G77" s="42"/>
      <c r="H77" s="42"/>
      <c r="I77" s="42"/>
      <c r="J77" s="42"/>
      <c r="K77" s="42"/>
      <c r="L77" s="43"/>
      <c r="M77" s="44"/>
      <c r="N77" s="29"/>
      <c r="O77" s="29"/>
      <c r="P77" s="19"/>
      <c r="Q77" s="19"/>
      <c r="R77" s="11"/>
    </row>
    <row r="78" s="1" customFormat="1" ht="21.95" customHeight="1" spans="1:18">
      <c r="A78" s="7"/>
      <c r="B78" s="12"/>
      <c r="C78" s="33"/>
      <c r="D78" s="45"/>
      <c r="E78" s="46"/>
      <c r="F78" s="47" t="s">
        <v>541</v>
      </c>
      <c r="G78" s="47" t="s">
        <v>542</v>
      </c>
      <c r="H78" s="47" t="s">
        <v>543</v>
      </c>
      <c r="I78" s="47" t="s">
        <v>544</v>
      </c>
      <c r="J78" s="47" t="s">
        <v>561</v>
      </c>
      <c r="K78" s="48" t="s">
        <v>750</v>
      </c>
      <c r="L78" s="47" t="s">
        <v>382</v>
      </c>
      <c r="M78" s="49" t="s">
        <v>546</v>
      </c>
      <c r="N78" s="29"/>
      <c r="O78" s="29"/>
      <c r="P78" s="19"/>
      <c r="Q78" s="19"/>
      <c r="R78" s="11"/>
    </row>
    <row r="79" s="1" customFormat="1" ht="21.95" customHeight="1" spans="1:18">
      <c r="A79" s="7"/>
      <c r="B79" s="12"/>
      <c r="C79" s="33"/>
      <c r="D79" s="45" t="s">
        <v>652</v>
      </c>
      <c r="E79" s="46"/>
      <c r="F79" s="50">
        <v>10</v>
      </c>
      <c r="G79" s="50">
        <v>10</v>
      </c>
      <c r="H79" s="50">
        <v>10</v>
      </c>
      <c r="I79" s="50">
        <v>10</v>
      </c>
      <c r="J79" s="50">
        <v>60</v>
      </c>
      <c r="K79" s="51"/>
      <c r="L79" s="50">
        <v>100</v>
      </c>
      <c r="M79" s="49"/>
      <c r="N79" s="29"/>
      <c r="O79" s="29"/>
      <c r="P79" s="19"/>
      <c r="Q79" s="19"/>
      <c r="R79" s="11"/>
    </row>
    <row r="80" s="1" customFormat="1" ht="21.95" customHeight="1" spans="1:18">
      <c r="A80" s="7"/>
      <c r="B80" s="12"/>
      <c r="C80" s="33"/>
      <c r="D80" s="52" t="s">
        <v>751</v>
      </c>
      <c r="E80" s="53"/>
      <c r="F80" s="54">
        <f ca="1">IFERROR(VLOOKUP(F63,'RR-3.1-5TH'!$A$12:'RR-3.1-5TH'!$BN$111,9,0),"")</f>
        <v>1</v>
      </c>
      <c r="G80" s="54">
        <f ca="1">IFERROR(VLOOKUP(F63,'RR-3.1-5TH'!$A$12:'RR-3.1-5TH'!$BN$111,10,0),"")</f>
        <v>0</v>
      </c>
      <c r="H80" s="54">
        <f ca="1">IFERROR(VLOOKUP(F63,'RR-3.1-5TH'!$A$12:'RR-3.1-5TH'!$BN$111,11,0),"")</f>
        <v>0</v>
      </c>
      <c r="I80" s="54">
        <f ca="1">IFERROR(VLOOKUP(F63,'RR-3.1-5TH'!$A$12:'RR-3.1-5TH'!$BN$111,12,0),"")</f>
        <v>0</v>
      </c>
      <c r="J80" s="54">
        <f ca="1">IFERROR(VLOOKUP(F63,'RR-3.1-5TH'!$A$12:'RR-3.1-5TH'!$BN$111,13,0),"")</f>
        <v>27</v>
      </c>
      <c r="K80" s="54">
        <f ca="1">IFERROR(VLOOKUP(F63,'RR-3.1-5TH'!$A$12:'RR-3.1-5TH'!$BN$111,14,0),"")</f>
        <v>0</v>
      </c>
      <c r="L80" s="55">
        <f ca="1" t="shared" ref="L80:L85" si="3">SUM(F80,G80,H80,I80,J80,K80)</f>
        <v>28</v>
      </c>
      <c r="M80" s="56" t="str">
        <f ca="1">IF(F63&gt;ENTRY!$D$24,"",IF(L80=0,"Ab",IF(L80&gt;80,"A",IF(L80&gt;60,"B",IF(L80&gt;44,"C",IF(L80&gt;=33,"D",IF(L80&lt;=32,"E","")))))))</f>
        <v>E</v>
      </c>
      <c r="N80" s="57" t="s">
        <v>729</v>
      </c>
      <c r="O80" s="58"/>
      <c r="P80" s="59"/>
      <c r="Q80" s="19"/>
      <c r="R80" s="11"/>
    </row>
    <row r="81" s="1" customFormat="1" ht="21.95" customHeight="1" spans="1:19">
      <c r="A81" s="7"/>
      <c r="B81" s="12"/>
      <c r="C81" s="33"/>
      <c r="D81" s="52" t="s">
        <v>513</v>
      </c>
      <c r="E81" s="53"/>
      <c r="F81" s="54">
        <f ca="1">IFERROR(VLOOKUP(F63,'RR-3.1-5TH'!$A$12:'RR-3.1-5TH'!$BN$111,17,0),"")</f>
        <v>1</v>
      </c>
      <c r="G81" s="54">
        <f ca="1">IFERROR(VLOOKUP(F63,'RR-3.1-5TH'!$A$12:'RR-3.1-5TH'!$BN$111,18,0),"")</f>
        <v>0</v>
      </c>
      <c r="H81" s="54">
        <f ca="1">IFERROR(VLOOKUP(F63,'RR-3.1-5TH'!$A$12:'RR-3.1-5TH'!$BN$111,19,0),"")</f>
        <v>0</v>
      </c>
      <c r="I81" s="54">
        <f ca="1">IFERROR(VLOOKUP(F63,'RR-3.1-5TH'!$A$12:'RR-3.1-5TH'!$BN$111,20,0),"")</f>
        <v>0</v>
      </c>
      <c r="J81" s="54">
        <f ca="1">IFERROR(VLOOKUP(F63,'RR-3.1-5TH'!$A$12:'RR-3.1-5TH'!$BN$111,21,0),"")</f>
        <v>11</v>
      </c>
      <c r="K81" s="54">
        <f ca="1">IFERROR(VLOOKUP(F63,'RR-3.1-5TH'!$A$12:'RR-3.1-5TH'!$BN$111,22,0),"")</f>
        <v>0</v>
      </c>
      <c r="L81" s="55">
        <f ca="1" t="shared" si="3"/>
        <v>12</v>
      </c>
      <c r="M81" s="56" t="str">
        <f ca="1">IF(F63&gt;ENTRY!$D$24,"",IF(L81=0,"Ab",IF(L81&gt;80,"A",IF(L81&gt;60,"B",IF(L81&gt;44,"C",IF(L81&gt;=33,"D",IF(L81&lt;=32,"E","")))))))</f>
        <v>E</v>
      </c>
      <c r="N81" s="58"/>
      <c r="O81" s="58"/>
      <c r="P81" s="59"/>
      <c r="Q81" s="19"/>
      <c r="R81" s="11"/>
    </row>
    <row r="82" s="1" customFormat="1" ht="21.95" customHeight="1" spans="1:19">
      <c r="A82" s="7"/>
      <c r="B82" s="12"/>
      <c r="C82" s="33"/>
      <c r="D82" s="52" t="s">
        <v>718</v>
      </c>
      <c r="E82" s="53"/>
      <c r="F82" s="54">
        <f ca="1">IFERROR(VLOOKUP(F63,'RR-3.1-5TH'!$A$12:'RR-3.1-5TH'!$BN$111,25,0),"")</f>
        <v>1</v>
      </c>
      <c r="G82" s="54">
        <f ca="1">IFERROR(VLOOKUP(F63,'RR-3.1-5TH'!$A$12:'RR-3.1-5TH'!$BN$111,26,0),"")</f>
        <v>0</v>
      </c>
      <c r="H82" s="54">
        <f ca="1">IFERROR(VLOOKUP(F63,'RR-3.1-5TH'!$A$12:'RR-3.1-5TH'!$BN$111,27,0),"")</f>
        <v>0</v>
      </c>
      <c r="I82" s="54">
        <f ca="1">IFERROR(VLOOKUP(F63,'RR-3.1-5TH'!$A$12:'RR-3.1-5TH'!$BN$111,28,0),"")</f>
        <v>0</v>
      </c>
      <c r="J82" s="54">
        <f ca="1">IFERROR(VLOOKUP(F63,'RR-3.1-5TH'!$A$12:'RR-3.1-5TH'!$BN$111,29,0),"")</f>
        <v>13</v>
      </c>
      <c r="K82" s="54">
        <f ca="1">IFERROR(VLOOKUP(F63,'RR-3.1-5TH'!$A$12:'RR-3.1-5TH'!$BN$111,30,0),"")</f>
        <v>0</v>
      </c>
      <c r="L82" s="55">
        <f ca="1" t="shared" si="3"/>
        <v>14</v>
      </c>
      <c r="M82" s="56" t="str">
        <f ca="1">IF(F63&gt;ENTRY!$D$24,"",IF(L82=0,"Ab",IF(L82&gt;80,"A",IF(L82&gt;60,"B",IF(L82&gt;44,"C",IF(L82&gt;=33,"D",IF(L82&lt;=32,"E","")))))))</f>
        <v>E</v>
      </c>
      <c r="N82" s="29"/>
      <c r="O82" s="29"/>
      <c r="P82" s="19"/>
      <c r="Q82" s="19"/>
      <c r="R82" s="11"/>
    </row>
    <row r="83" s="1" customFormat="1" ht="21.95" customHeight="1" spans="1:19">
      <c r="A83" s="7"/>
      <c r="B83" s="12"/>
      <c r="C83" s="33"/>
      <c r="D83" s="52" t="s">
        <v>719</v>
      </c>
      <c r="E83" s="53"/>
      <c r="F83" s="54">
        <f ca="1">IFERROR(VLOOKUP(F63,'RR-3.1-5TH'!$A$12:'RR-3.1-5TH'!$BN$111,33,0),"")</f>
        <v>2</v>
      </c>
      <c r="G83" s="54">
        <f ca="1">IFERROR(VLOOKUP(F63,'RR-3.1-5TH'!$A$12:'RR-3.1-5TH'!$BN$111,34,0),"")</f>
        <v>0</v>
      </c>
      <c r="H83" s="54">
        <f ca="1">IFERROR(VLOOKUP(F63,'RR-3.1-5TH'!$A$12:'RR-3.1-5TH'!$BN$111,35,0),"")</f>
        <v>0</v>
      </c>
      <c r="I83" s="54">
        <f ca="1">IFERROR(VLOOKUP(F63,'RR-3.1-5TH'!$A$12:'RR-3.1-5TH'!$BN$111,36,0),"")</f>
        <v>0</v>
      </c>
      <c r="J83" s="54">
        <f ca="1">IFERROR(VLOOKUP(F63,'RR-3.1-5TH'!$A$12:'RR-3.1-5TH'!$BN$111,37,0),"")</f>
        <v>13</v>
      </c>
      <c r="K83" s="54">
        <f ca="1">IFERROR(VLOOKUP(F63,'RR-3.1-5TH'!$A$12:'RR-3.1-5TH'!$BN$111,38,0),"")</f>
        <v>0</v>
      </c>
      <c r="L83" s="55">
        <f ca="1" t="shared" si="3"/>
        <v>15</v>
      </c>
      <c r="M83" s="56" t="str">
        <f ca="1">IF(F63&gt;ENTRY!$D$24,"",IF(L83=0,"Ab",IF(L83&gt;80,"A",IF(L83&gt;60,"B",IF(L83&gt;44,"C",IF(L83&gt;=33,"D",IF(L83&lt;=32,"E","")))))))</f>
        <v>E</v>
      </c>
      <c r="N83" s="29"/>
      <c r="O83" s="29"/>
      <c r="P83" s="19"/>
      <c r="Q83" s="19"/>
      <c r="R83" s="11"/>
    </row>
    <row r="84" s="1" customFormat="1" ht="21.95" customHeight="1" spans="1:19">
      <c r="A84" s="7"/>
      <c r="B84" s="12"/>
      <c r="C84" s="33"/>
      <c r="D84" s="52" t="s">
        <v>548</v>
      </c>
      <c r="E84" s="53"/>
      <c r="F84" s="54">
        <f ca="1">IFERROR(VLOOKUP(F63,'RR-3.1-5TH'!$A$12:'RR-3.1-5TH'!$BN$111,41,0),"")</f>
        <v>0</v>
      </c>
      <c r="G84" s="54">
        <f ca="1">IFERROR(VLOOKUP(F63,'RR-3.1-5TH'!$A$12:'RR-3.1-5TH'!$BN$111,42,0),"")</f>
        <v>0</v>
      </c>
      <c r="H84" s="54">
        <f ca="1">IFERROR(VLOOKUP(F63,'RR-3.1-5TH'!$A$12:'RR-3.1-5TH'!$BN$111,43,0),"")</f>
        <v>0</v>
      </c>
      <c r="I84" s="54">
        <f ca="1">IFERROR(VLOOKUP(F63,'RR-3.1-5TH'!$A$12:'RR-3.1-5TH'!$BN$111,44,0),"")</f>
        <v>0</v>
      </c>
      <c r="J84" s="54">
        <f ca="1">IFERROR(VLOOKUP(F63,'RR-3.1-5TH'!$A$12:'RR-3.1-5TH'!$BN$111,45,0),"")</f>
        <v>15</v>
      </c>
      <c r="K84" s="54">
        <f ca="1">IFERROR(VLOOKUP(F63,'RR-3.1-5TH'!$A$12:'RR-3.1-5TH'!$BN$111,46,0),"")</f>
        <v>0</v>
      </c>
      <c r="L84" s="55">
        <f ca="1" t="shared" si="3"/>
        <v>15</v>
      </c>
      <c r="M84" s="56" t="str">
        <f ca="1">IF(F63&gt;ENTRY!$D$24,"",IF(L84=0,"Ab",IF(L84&gt;80,"A",IF(L84&gt;60,"B",IF(L84&gt;44,"C",IF(L84&gt;=33,"D",IF(L84&lt;=32,"E","")))))))</f>
        <v>E</v>
      </c>
      <c r="N84" s="29"/>
      <c r="O84" s="29"/>
      <c r="P84" s="19"/>
      <c r="Q84" s="19"/>
      <c r="R84" s="11"/>
    </row>
    <row r="85" s="1" customFormat="1" ht="21.95" customHeight="1" spans="1:19">
      <c r="A85" s="7"/>
      <c r="B85" s="12"/>
      <c r="C85" s="33"/>
      <c r="D85" s="52" t="s">
        <v>549</v>
      </c>
      <c r="E85" s="53"/>
      <c r="F85" s="54">
        <f ca="1">IFERROR(VLOOKUP(F63,'RR-3.1-5TH'!$A$12:'RR-3.1-5TH'!$BN$111,49,0),"")</f>
        <v>2</v>
      </c>
      <c r="G85" s="54">
        <f ca="1">IFERROR(VLOOKUP(F63,'RR-3.1-5TH'!$A$12:'RR-3.1-5TH'!$BN$111,50,0),"")</f>
        <v>0</v>
      </c>
      <c r="H85" s="54">
        <f ca="1">IFERROR(VLOOKUP(F63,'RR-3.1-5TH'!$A$12:'RR-3.1-5TH'!$BN$111,51,0),"")</f>
        <v>0</v>
      </c>
      <c r="I85" s="54">
        <f ca="1">IFERROR(VLOOKUP(F63,'RR-3.1-5TH'!$A$12:'RR-3.1-5TH'!$BN$111,52,0),"")</f>
        <v>0</v>
      </c>
      <c r="J85" s="54">
        <f ca="1">IFERROR(VLOOKUP(F63,'RR-3.1-5TH'!$A$12:'RR-3.1-5TH'!$BN$111,53,0),"")</f>
        <v>25</v>
      </c>
      <c r="K85" s="54">
        <f ca="1">IFERROR(VLOOKUP(F63,'RR-3.1-5TH'!$A$12:'RR-3.1-5TH'!$BN$111,54,0),"")</f>
        <v>0</v>
      </c>
      <c r="L85" s="55">
        <f ca="1" t="shared" si="3"/>
        <v>27</v>
      </c>
      <c r="M85" s="56" t="str">
        <f ca="1">IF(F63&gt;ENTRY!$D$24,"",IF(L85=0,"Ab",IF(L85&gt;80,"A",IF(L85&gt;60,"B",IF(L85&gt;44,"C",IF(L85&gt;=33,"D",IF(L85&lt;=32,"E","")))))))</f>
        <v>E</v>
      </c>
      <c r="N85" s="57" t="s">
        <v>752</v>
      </c>
      <c r="O85" s="58"/>
      <c r="P85" s="59"/>
      <c r="Q85" s="19"/>
      <c r="R85" s="11"/>
    </row>
    <row r="86" s="1" customFormat="1" ht="21.95" customHeight="1" spans="1:19">
      <c r="A86" s="7"/>
      <c r="B86" s="12"/>
      <c r="C86" s="33"/>
      <c r="D86" s="52" t="s">
        <v>753</v>
      </c>
      <c r="E86" s="53"/>
      <c r="F86" s="60"/>
      <c r="G86" s="54"/>
      <c r="H86" s="54"/>
      <c r="I86" s="54"/>
      <c r="J86" s="54"/>
      <c r="K86" s="54"/>
      <c r="L86" s="55">
        <f t="shared" ref="L86" si="4">SUM(G86:K86)</f>
        <v>0</v>
      </c>
      <c r="M86" s="56" t="str">
        <f>IF(F63&gt;ENTRY!$D$24,"",IF(L86=0,"",IF(L86&gt;79,"A",IF(L86&gt;59,"B",IF(L86&gt;44,"C",IF(L86&gt;=33,"D",IF(L86&lt;=32,"E","")))))))</f>
        <v/>
      </c>
      <c r="N86" s="58"/>
      <c r="O86" s="58"/>
      <c r="P86" s="59"/>
      <c r="Q86" s="19"/>
      <c r="R86" s="11"/>
    </row>
    <row r="87" s="1" customFormat="1" ht="21.95" customHeight="1" spans="1:19">
      <c r="A87" s="7"/>
      <c r="B87" s="12"/>
      <c r="C87" s="33"/>
      <c r="D87" s="45" t="s">
        <v>382</v>
      </c>
      <c r="E87" s="46"/>
      <c r="F87" s="54">
        <f ca="1" t="shared" ref="F87:L87" si="5">IFERROR(SUM(F80:F86),"")</f>
        <v>7</v>
      </c>
      <c r="G87" s="54">
        <f ca="1" t="shared" si="5"/>
        <v>0</v>
      </c>
      <c r="H87" s="54">
        <f ca="1" t="shared" si="5"/>
        <v>0</v>
      </c>
      <c r="I87" s="54">
        <f ca="1" t="shared" si="5"/>
        <v>0</v>
      </c>
      <c r="J87" s="54">
        <f ca="1" t="shared" si="5"/>
        <v>104</v>
      </c>
      <c r="K87" s="54">
        <f ca="1" t="shared" si="5"/>
        <v>0</v>
      </c>
      <c r="L87" s="55">
        <f ca="1" t="shared" si="5"/>
        <v>111</v>
      </c>
      <c r="M87" s="61" t="str">
        <f ca="1">IF(F63&gt;ENTRY!$D$24,"",IF(N88="Ab","Ab",IF(N88&gt;79.5,"A",IF(N88&gt;59.5,"B",IF(N88&gt;44.5,"C",IF(N88&gt;=33,"D",IF(N88&lt;33,"E","")))))))</f>
        <v>E</v>
      </c>
      <c r="N87" s="62"/>
      <c r="O87" s="58"/>
      <c r="P87" s="59"/>
      <c r="Q87" s="19"/>
      <c r="R87" s="11"/>
    </row>
    <row r="88" s="1" customFormat="1" ht="21.95" customHeight="1" spans="1:19">
      <c r="A88" s="7"/>
      <c r="B88" s="12"/>
      <c r="C88" s="33"/>
      <c r="D88" s="63" t="s">
        <v>721</v>
      </c>
      <c r="E88" s="63"/>
      <c r="F88" s="63"/>
      <c r="G88" s="63"/>
      <c r="H88" s="63"/>
      <c r="I88" s="63"/>
      <c r="J88" s="63"/>
      <c r="K88" s="63"/>
      <c r="L88" s="63"/>
      <c r="M88" s="63"/>
      <c r="N88" s="64">
        <f ca="1">IF(L87="Ab","Ab",L87/6)</f>
        <v>18.5</v>
      </c>
      <c r="O88" s="65"/>
      <c r="P88" s="19"/>
      <c r="Q88" s="19"/>
      <c r="R88" s="11"/>
    </row>
    <row r="89" s="1" customFormat="1" ht="21.95" customHeight="1" spans="1:19">
      <c r="A89" s="7"/>
      <c r="B89" s="12"/>
      <c r="C89" s="33"/>
      <c r="D89" s="29" t="s">
        <v>716</v>
      </c>
      <c r="E89" s="18" t="str">
        <f>IFERROR(VLOOKUP(F63,'1to4-2.1-RR'!$A$12:$BG$111,57,0),"")</f>
        <v>PROMOTED</v>
      </c>
      <c r="F89" s="18"/>
      <c r="G89" s="18"/>
      <c r="H89" s="18"/>
      <c r="I89" s="18"/>
      <c r="J89" s="18"/>
      <c r="K89" s="18"/>
      <c r="L89" s="18"/>
      <c r="M89" s="18"/>
      <c r="N89" s="29"/>
      <c r="O89" s="29"/>
      <c r="P89" s="19"/>
      <c r="Q89" s="19"/>
      <c r="R89" s="11"/>
    </row>
    <row r="90" s="1" customFormat="1" ht="9.95" customHeight="1" spans="1:19">
      <c r="A90" s="7"/>
      <c r="B90" s="12"/>
      <c r="C90" s="33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19"/>
      <c r="Q90" s="19"/>
      <c r="R90" s="11"/>
    </row>
    <row r="91" s="1" customFormat="1" ht="36" spans="1:19">
      <c r="A91" s="7"/>
      <c r="B91" s="12"/>
      <c r="C91" s="33"/>
      <c r="D91" s="66" t="s">
        <v>576</v>
      </c>
      <c r="E91" s="67" t="s">
        <v>754</v>
      </c>
      <c r="F91" s="47">
        <f>IF(F63&gt;ENTRY!$D$24,"",IFERROR(VLOOKUP(F63,PASHEET!$A$4:$CJ$103,88,0),""))</f>
        <v>417</v>
      </c>
      <c r="G91" s="67" t="s">
        <v>755</v>
      </c>
      <c r="H91" s="47">
        <f>IF(F63&gt;ENTRY!$D$24,"",IFERROR(VLOOKUP(F63,PASHEET!$A$4:$CJ$103,87,0),""))</f>
        <v>290</v>
      </c>
      <c r="I91" s="68" t="s">
        <v>756</v>
      </c>
      <c r="J91" s="69">
        <f>IF(F63&gt;ENTRY!$D$24,"",IFERROR(IF(F63&gt;0,H91/F91*100),""))</f>
        <v>69.5443645083933</v>
      </c>
      <c r="K91" s="60" t="s">
        <v>757</v>
      </c>
      <c r="L91" s="70">
        <f ca="1">IF(F63&gt;ENTRY!$D$24,"",IFERROR(L87/600*100,""))</f>
        <v>18.5</v>
      </c>
      <c r="M91" s="47" t="str">
        <f ca="1">IF(F63&gt;ENTRY!$D$24,"",IFERROR(L87&amp;" / "&amp;"600",""))</f>
        <v>111 / 600</v>
      </c>
      <c r="N91" s="29"/>
      <c r="O91" s="29"/>
      <c r="P91" s="19"/>
      <c r="Q91" s="19"/>
      <c r="R91" s="11"/>
    </row>
    <row r="92" s="1" customFormat="1" ht="9.95" customHeight="1" spans="1:19">
      <c r="A92" s="7"/>
      <c r="B92" s="12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1"/>
      <c r="Q92" s="19"/>
      <c r="R92" s="11"/>
    </row>
    <row r="93" s="1" customFormat="1" ht="9.95" customHeight="1" spans="1:19">
      <c r="A93" s="7"/>
      <c r="B93" s="12"/>
      <c r="C93" s="71"/>
      <c r="D93" s="71"/>
      <c r="E93" s="71"/>
      <c r="F93" s="29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19"/>
      <c r="R93" s="11"/>
    </row>
    <row r="94" s="1" customFormat="1" ht="9.95" customHeight="1" spans="1:19">
      <c r="A94" s="7"/>
      <c r="B94" s="12"/>
      <c r="C94" s="29"/>
      <c r="D94" s="29"/>
      <c r="E94" s="29"/>
      <c r="F94" s="72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19"/>
      <c r="R94" s="11"/>
    </row>
    <row r="95" s="1" customFormat="1" ht="9.95" customHeight="1" spans="1:19">
      <c r="A95" s="7"/>
      <c r="B95" s="12"/>
      <c r="C95" s="30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2"/>
      <c r="Q95" s="19"/>
      <c r="R95" s="11"/>
    </row>
    <row r="96" s="1" customFormat="1" ht="21.95" customHeight="1" spans="1:19">
      <c r="A96" s="7"/>
      <c r="B96" s="12"/>
      <c r="C96" s="73" t="s">
        <v>7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74"/>
      <c r="Q96" s="19"/>
      <c r="R96" s="11"/>
      <c r="S96" s="2"/>
    </row>
    <row r="97" s="1" customFormat="1" ht="21.95" customHeight="1" spans="1:18">
      <c r="A97" s="7"/>
      <c r="B97" s="12"/>
      <c r="C97" s="33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19"/>
      <c r="Q97" s="19"/>
      <c r="R97" s="11"/>
    </row>
    <row r="98" s="1" customFormat="1" ht="21.95" customHeight="1" spans="1:18">
      <c r="A98" s="7"/>
      <c r="B98" s="12"/>
      <c r="C98" s="75" t="str">
        <f>"SESSION-"&amp;ENTRY!$D$11</f>
        <v>SESSION-2026-27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76"/>
      <c r="Q98" s="19"/>
      <c r="R98" s="11"/>
    </row>
    <row r="99" s="1" customFormat="1" ht="18" customHeight="1" spans="1:18">
      <c r="A99" s="7"/>
      <c r="B99" s="12"/>
      <c r="C99" s="33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19"/>
      <c r="Q99" s="19"/>
      <c r="R99" s="11"/>
    </row>
    <row r="100" s="1" customFormat="1" ht="21.95" customHeight="1" spans="1:18">
      <c r="A100" s="7"/>
      <c r="B100" s="12"/>
      <c r="C100" s="33"/>
      <c r="D100" s="77" t="s">
        <v>758</v>
      </c>
      <c r="E100" s="77"/>
      <c r="F100" s="78" t="str">
        <f>IFERROR(PROPER(VLOOKUP(F63,STUDENT!$A$2:$BP$101,5,0)),"")</f>
        <v>Naveen</v>
      </c>
      <c r="G100" s="78"/>
      <c r="H100" s="78"/>
      <c r="I100" s="78"/>
      <c r="J100" s="78"/>
      <c r="K100" s="78"/>
      <c r="L100" s="78"/>
      <c r="M100" s="78"/>
      <c r="N100" s="79" t="s">
        <v>759</v>
      </c>
      <c r="O100" s="79"/>
      <c r="P100" s="19"/>
      <c r="Q100" s="19"/>
      <c r="R100" s="11"/>
    </row>
    <row r="101" s="1" customFormat="1" ht="21.95" customHeight="1" spans="1:18">
      <c r="A101" s="7"/>
      <c r="B101" s="12"/>
      <c r="C101" s="33"/>
      <c r="D101" s="80" t="s">
        <v>760</v>
      </c>
      <c r="E101" s="81" t="str">
        <f>IFERROR(PROPER(VLOOKUP(F63,STUDENT!$A$2:$BP$101,9,0)),"")</f>
        <v>Kiran</v>
      </c>
      <c r="F101" s="81"/>
      <c r="G101" s="81"/>
      <c r="H101" s="80" t="s">
        <v>761</v>
      </c>
      <c r="I101" s="82" t="str">
        <f>IFERROR(PROPER(VLOOKUP(F63,STUDENT!$A$2:$BP$101,8,0)),"")</f>
        <v>Sanjay</v>
      </c>
      <c r="J101" s="82"/>
      <c r="K101" s="82"/>
      <c r="L101" s="82"/>
      <c r="M101" s="80" t="s">
        <v>762</v>
      </c>
      <c r="N101" s="83" t="str">
        <f>IFERROR(VLOOKUP(F63,STUDENT!$A$2:$BP$101,59,0),"")</f>
        <v/>
      </c>
      <c r="O101" s="83"/>
      <c r="P101" s="19"/>
      <c r="Q101" s="19"/>
      <c r="R101" s="11"/>
    </row>
    <row r="102" s="1" customFormat="1" ht="21.95" customHeight="1" spans="1:18">
      <c r="A102" s="7"/>
      <c r="B102" s="12"/>
      <c r="C102" s="33"/>
      <c r="D102" s="77" t="str">
        <f>"has    completed     his  /  her     primary     level     education    in    the    year    "&amp;RIGHT(ENTRY!$D68,4)&amp;"    from    ( School    Name )"</f>
        <v>has    completed     his  /  her     primary     level     education    in    the    year        from    ( School    Name )</v>
      </c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19"/>
      <c r="Q102" s="19"/>
      <c r="R102" s="11"/>
    </row>
    <row r="103" s="1" customFormat="1" ht="21.95" customHeight="1" spans="1:18">
      <c r="A103" s="7"/>
      <c r="B103" s="12"/>
      <c r="C103" s="33"/>
      <c r="D103" s="81" t="str">
        <f>IF(F63&gt;0,ENTRY!$D$6,"")</f>
        <v>MCP NITHARI NO 1 BOYS</v>
      </c>
      <c r="E103" s="81"/>
      <c r="F103" s="81"/>
      <c r="G103" s="81"/>
      <c r="H103" s="81"/>
      <c r="I103" s="81"/>
      <c r="J103" s="81"/>
      <c r="K103" s="81"/>
      <c r="L103" s="81"/>
      <c r="M103" s="80" t="s">
        <v>763</v>
      </c>
      <c r="N103" s="84">
        <f>IF(F63&gt;0,ENTRY!$D$7,"")</f>
        <v>0</v>
      </c>
      <c r="O103" s="84"/>
      <c r="P103" s="85" t="s">
        <v>727</v>
      </c>
      <c r="Q103" s="19"/>
      <c r="R103" s="11"/>
    </row>
    <row r="104" s="1" customFormat="1" ht="21.95" customHeight="1" spans="1:18">
      <c r="A104" s="7"/>
      <c r="B104" s="12"/>
      <c r="C104" s="33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19"/>
      <c r="Q104" s="19"/>
      <c r="R104" s="11"/>
    </row>
    <row r="105" s="1" customFormat="1" ht="21.95" customHeight="1" spans="1:18">
      <c r="A105" s="7"/>
      <c r="B105" s="12"/>
      <c r="C105" s="33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19"/>
      <c r="Q105" s="19"/>
      <c r="R105" s="11"/>
    </row>
    <row r="106" s="1" customFormat="1" ht="21.95" customHeight="1" spans="1:18">
      <c r="A106" s="7"/>
      <c r="B106" s="12"/>
      <c r="C106" s="33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19"/>
      <c r="Q106" s="19"/>
      <c r="R106" s="11"/>
    </row>
    <row r="107" s="1" customFormat="1" ht="21.95" customHeight="1" spans="1:18">
      <c r="A107" s="7"/>
      <c r="B107" s="12"/>
      <c r="C107" s="33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19"/>
      <c r="Q107" s="19"/>
      <c r="R107" s="11"/>
    </row>
    <row r="108" s="1" customFormat="1" ht="21.95" customHeight="1" spans="1:18">
      <c r="A108" s="7"/>
      <c r="B108" s="12"/>
      <c r="C108" s="33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19"/>
      <c r="Q108" s="19"/>
      <c r="R108" s="11"/>
    </row>
    <row r="109" s="1" customFormat="1" ht="21.95" customHeight="1" spans="1:18">
      <c r="A109" s="7"/>
      <c r="B109" s="12"/>
      <c r="C109" s="33"/>
      <c r="D109" s="80" t="s">
        <v>728</v>
      </c>
      <c r="E109" s="86">
        <f>ENTRY!$D$27</f>
        <v>46102</v>
      </c>
      <c r="F109" s="86"/>
      <c r="G109" s="29"/>
      <c r="H109" s="29"/>
      <c r="I109" s="29"/>
      <c r="J109" s="29"/>
      <c r="K109" s="29"/>
      <c r="L109" s="29"/>
      <c r="M109" s="87" t="s">
        <v>730</v>
      </c>
      <c r="N109" s="87"/>
      <c r="O109" s="87"/>
      <c r="P109" s="19"/>
      <c r="Q109" s="19"/>
      <c r="R109" s="11"/>
    </row>
    <row r="110" s="1" customFormat="1" ht="21.95" customHeight="1" spans="1:18">
      <c r="A110" s="7"/>
      <c r="B110" s="12"/>
      <c r="C110" s="33"/>
      <c r="D110" s="80" t="s">
        <v>731</v>
      </c>
      <c r="E110" s="88" t="str">
        <f>PROPER(ENTRY!$D$28)</f>
        <v>New Delhi</v>
      </c>
      <c r="F110" s="88"/>
      <c r="G110" s="29"/>
      <c r="H110" s="29"/>
      <c r="I110" s="29"/>
      <c r="J110" s="29"/>
      <c r="K110" s="29"/>
      <c r="L110" s="29"/>
      <c r="M110" s="89" t="s">
        <v>732</v>
      </c>
      <c r="N110" s="89"/>
      <c r="O110" s="89"/>
      <c r="P110" s="19"/>
      <c r="Q110" s="19"/>
      <c r="R110" s="11"/>
    </row>
    <row r="111" s="1" customFormat="1" ht="21.95" customHeight="1" spans="1:18">
      <c r="A111" s="7"/>
      <c r="B111" s="12"/>
      <c r="C111" s="90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2"/>
      <c r="Q111" s="14"/>
      <c r="R111" s="11"/>
    </row>
    <row r="112" s="1" customFormat="1" ht="5.1" customHeight="1" spans="1:18">
      <c r="A112" s="7"/>
      <c r="B112" s="90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2"/>
      <c r="R112" s="11"/>
    </row>
    <row r="113" s="1" customFormat="1" ht="5.1" customHeight="1" spans="1:18">
      <c r="A113" s="93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5"/>
    </row>
    <row r="114" s="2" customFormat="1" ht="9.95" customHeight="1"/>
    <row r="115" s="1" customFormat="1" ht="5.1" customHeight="1" spans="1:18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6"/>
    </row>
    <row r="116" s="1" customFormat="1" ht="15" customHeight="1" spans="1:18">
      <c r="A116" s="7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0"/>
      <c r="R116" s="11"/>
    </row>
    <row r="117" s="1" customFormat="1" ht="21.95" customHeight="1" spans="1:18">
      <c r="A117" s="7"/>
      <c r="B117" s="12"/>
      <c r="C117" s="13" t="s">
        <v>7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4"/>
      <c r="R117" s="11"/>
    </row>
    <row r="118" s="1" customFormat="1" ht="21.95" customHeight="1" spans="1:18">
      <c r="A118" s="7"/>
      <c r="B118" s="1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14"/>
      <c r="R118" s="11"/>
    </row>
    <row r="119" s="1" customFormat="1" ht="21.95" customHeight="1" spans="1:18">
      <c r="A119" s="7"/>
      <c r="B119" s="12"/>
      <c r="C119" s="15" t="str">
        <f>"SESSION-"&amp;ENTRY!$D$11</f>
        <v>SESSION-2026-27</v>
      </c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4"/>
      <c r="R119" s="11"/>
    </row>
    <row r="120" s="1" customFormat="1" ht="21.95" customHeight="1" spans="1:18">
      <c r="A120" s="7"/>
      <c r="B120" s="12"/>
      <c r="C120" s="2"/>
      <c r="D120" s="2"/>
      <c r="E120" s="2"/>
      <c r="F120" s="16">
        <f>F63+1</f>
        <v>3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14"/>
      <c r="R120" s="11"/>
    </row>
    <row r="121" s="1" customFormat="1" ht="21.95" customHeight="1" spans="1:18">
      <c r="A121" s="7"/>
      <c r="B121" s="12"/>
      <c r="C121" s="17" t="s">
        <v>392</v>
      </c>
      <c r="D121" s="17"/>
      <c r="E121" s="17"/>
      <c r="F121" s="18" t="str">
        <f>IF(F120&gt;0,ENTRY!$D$6,"")</f>
        <v>MCP NITHARI NO 1 BOYS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9"/>
      <c r="R121" s="11"/>
    </row>
    <row r="122" s="1" customFormat="1" ht="21.95" customHeight="1" spans="1:18">
      <c r="A122" s="7"/>
      <c r="B122" s="12"/>
      <c r="C122" s="17" t="s">
        <v>393</v>
      </c>
      <c r="D122" s="17"/>
      <c r="E122" s="17"/>
      <c r="F122" s="18">
        <f>IF(F120&gt;0,ENTRY!$D$7,"")</f>
        <v>0</v>
      </c>
      <c r="G122" s="18"/>
      <c r="H122" s="20" t="s">
        <v>702</v>
      </c>
      <c r="I122" s="20"/>
      <c r="J122" s="21">
        <f>IF(F120&gt;0,ENTRY!$D$10,"")</f>
        <v>40</v>
      </c>
      <c r="K122" s="20" t="s">
        <v>703</v>
      </c>
      <c r="L122" s="22" t="str">
        <f>IF(F120&gt;0,ENTRY!$D$5,"")</f>
        <v>ROHINI ZONE</v>
      </c>
      <c r="M122" s="22"/>
      <c r="N122" s="22"/>
      <c r="O122" s="22"/>
      <c r="P122" s="22"/>
      <c r="Q122" s="19"/>
      <c r="R122" s="11"/>
    </row>
    <row r="123" s="1" customFormat="1" ht="21.95" customHeight="1" spans="1:18">
      <c r="A123" s="7"/>
      <c r="B123" s="12"/>
      <c r="C123" s="17" t="s">
        <v>706</v>
      </c>
      <c r="D123" s="17"/>
      <c r="E123" s="17"/>
      <c r="F123" s="23" t="str">
        <f>IFERROR(VLOOKUP(F120,STUDENT!$A$2:$BP$101,5,0),"")</f>
        <v>AADITYA KUMAR</v>
      </c>
      <c r="G123" s="23"/>
      <c r="H123" s="23"/>
      <c r="I123" s="23"/>
      <c r="J123" s="23"/>
      <c r="K123" s="23"/>
      <c r="L123" s="20" t="s">
        <v>707</v>
      </c>
      <c r="M123" s="20"/>
      <c r="N123" s="24" t="str">
        <f>IF(F120&gt;0,ENTRY!$D$20&amp;"-"&amp;ENTRY!$D$21,"")</f>
        <v>III-A</v>
      </c>
      <c r="O123" s="24"/>
      <c r="P123" s="24"/>
      <c r="Q123" s="19"/>
      <c r="R123" s="11"/>
    </row>
    <row r="124" s="1" customFormat="1" ht="21.95" customHeight="1" spans="1:18">
      <c r="A124" s="7"/>
      <c r="B124" s="12"/>
      <c r="C124" s="17" t="s">
        <v>708</v>
      </c>
      <c r="D124" s="17"/>
      <c r="E124" s="17"/>
      <c r="F124" s="25">
        <f>IFERROR(VLOOKUP(F120,STUDENT!$A$2:$BP$101,6,0),"")</f>
        <v>14757</v>
      </c>
      <c r="G124" s="25"/>
      <c r="H124" s="26" t="s">
        <v>709</v>
      </c>
      <c r="I124" s="27" t="str">
        <f>IFERROR(VLOOKUP(F120,STUDENT!$A$2:$BP$101,59,0),"")</f>
        <v/>
      </c>
      <c r="J124" s="27"/>
      <c r="K124" s="20" t="s">
        <v>710</v>
      </c>
      <c r="L124" s="20"/>
      <c r="M124" s="28">
        <f>IFERROR(VLOOKUP(F120,STUDENT!$A$2:$BP$101,20,0),"")</f>
        <v>9650613386</v>
      </c>
      <c r="N124" s="28"/>
      <c r="O124" s="28"/>
      <c r="P124" s="28"/>
      <c r="Q124" s="19"/>
      <c r="R124" s="11"/>
    </row>
    <row r="125" s="1" customFormat="1" ht="21.95" customHeight="1" spans="1:18">
      <c r="A125" s="7"/>
      <c r="B125" s="12"/>
      <c r="C125" s="17" t="s">
        <v>711</v>
      </c>
      <c r="D125" s="17"/>
      <c r="E125" s="17"/>
      <c r="F125" s="23" t="str">
        <f>IFERROR(VLOOKUP(F120,STUDENT!$A$2:$BP$101,9,0),"")</f>
        <v>SUSHILA DEVI</v>
      </c>
      <c r="G125" s="23"/>
      <c r="H125" s="23"/>
      <c r="I125" s="23"/>
      <c r="J125" s="17" t="s">
        <v>620</v>
      </c>
      <c r="K125" s="17"/>
      <c r="L125" s="23" t="str">
        <f>IFERROR(VLOOKUP(F120,STUDENT!$A$2:$BP$101,8,0),"")</f>
        <v>DHARMENDRA KUMAR</v>
      </c>
      <c r="M125" s="23"/>
      <c r="N125" s="23"/>
      <c r="O125" s="23"/>
      <c r="P125" s="23"/>
      <c r="Q125" s="19"/>
      <c r="R125" s="11"/>
    </row>
    <row r="126" s="1" customFormat="1" ht="21.95" customHeight="1" spans="1:18">
      <c r="A126" s="7"/>
      <c r="B126" s="12"/>
      <c r="C126" s="17" t="s">
        <v>712</v>
      </c>
      <c r="D126" s="17"/>
      <c r="E126" s="17"/>
      <c r="F126" s="23" t="str">
        <f>IFERROR(VLOOKUP(F120,STUDENT!$A$2:$BP$101,22,0),"")</f>
        <v>D 5/ 155 PREM NAAGR 3</v>
      </c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19"/>
      <c r="R126" s="11"/>
    </row>
    <row r="127" s="1" customFormat="1" ht="9.95" customHeight="1" spans="1:18">
      <c r="A127" s="7"/>
      <c r="B127" s="12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19"/>
      <c r="R127" s="11"/>
    </row>
    <row r="128" s="1" customFormat="1" ht="9.95" customHeight="1" spans="1:18">
      <c r="A128" s="7"/>
      <c r="B128" s="12"/>
      <c r="C128" s="30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2"/>
      <c r="Q128" s="19"/>
      <c r="R128" s="11"/>
    </row>
    <row r="129" s="1" customFormat="1" ht="21.95" customHeight="1" spans="1:18">
      <c r="A129" s="7"/>
      <c r="B129" s="12"/>
      <c r="C129" s="33"/>
      <c r="D129" s="34" t="s">
        <v>713</v>
      </c>
      <c r="E129" s="20" t="s">
        <v>714</v>
      </c>
      <c r="F129" s="35" t="str">
        <f>"Level - "&amp;IFERROR(VLOOKUP(F120,FLN!$A$4:$K$103,9,0),"")</f>
        <v>Level - 3</v>
      </c>
      <c r="G129" s="36"/>
      <c r="H129" s="37" t="s">
        <v>715</v>
      </c>
      <c r="I129" s="20"/>
      <c r="J129" s="35" t="str">
        <f>"Level - "&amp;IFERROR(VLOOKUP(F120,FLN!$A$4:$K$103,11,0),"")</f>
        <v>Level - 4</v>
      </c>
      <c r="K129" s="36"/>
      <c r="L129" s="37" t="s">
        <v>408</v>
      </c>
      <c r="M129" s="20"/>
      <c r="N129" s="35" t="str">
        <f>"Level - "&amp;IFERROR(VLOOKUP(F120,FLN!$A$4:$K$103,10,0),"")</f>
        <v>Level - 3</v>
      </c>
      <c r="O129" s="36"/>
      <c r="P129" s="19"/>
      <c r="Q129" s="19"/>
      <c r="R129" s="11"/>
    </row>
    <row r="130" s="1" customFormat="1" ht="21.95" customHeight="1" spans="1:18">
      <c r="A130" s="7"/>
      <c r="B130" s="12"/>
      <c r="C130" s="33"/>
      <c r="D130" s="38"/>
      <c r="E130" s="20" t="s">
        <v>716</v>
      </c>
      <c r="F130" s="18" t="str">
        <f ca="1">IF(L144&gt;197,"PERFORMED WELL","")</f>
        <v/>
      </c>
      <c r="G130" s="18"/>
      <c r="H130" s="18"/>
      <c r="I130" s="18"/>
      <c r="J130" s="18"/>
      <c r="K130" s="18"/>
      <c r="L130" s="18"/>
      <c r="M130" s="18"/>
      <c r="N130" s="18"/>
      <c r="O130" s="18"/>
      <c r="P130" s="19"/>
      <c r="Q130" s="19"/>
      <c r="R130" s="11"/>
    </row>
    <row r="131" s="1" customFormat="1" ht="9.95" customHeight="1" spans="1:18">
      <c r="A131" s="7"/>
      <c r="B131" s="12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1"/>
      <c r="Q131" s="19"/>
      <c r="R131" s="11"/>
    </row>
    <row r="132" s="1" customFormat="1" ht="9.95" customHeight="1" spans="1:18">
      <c r="A132" s="7"/>
      <c r="B132" s="12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19"/>
      <c r="R132" s="11"/>
    </row>
    <row r="133" s="1" customFormat="1" ht="9.95" customHeight="1" spans="1:18">
      <c r="A133" s="7"/>
      <c r="B133" s="12"/>
      <c r="C133" s="30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2"/>
      <c r="Q133" s="19"/>
      <c r="R133" s="11"/>
    </row>
    <row r="134" s="1" customFormat="1" ht="21.95" customHeight="1" spans="1:18">
      <c r="A134" s="7"/>
      <c r="B134" s="12"/>
      <c r="C134" s="33"/>
      <c r="D134" s="35"/>
      <c r="E134" s="24"/>
      <c r="F134" s="42" t="s">
        <v>717</v>
      </c>
      <c r="G134" s="42"/>
      <c r="H134" s="42"/>
      <c r="I134" s="42"/>
      <c r="J134" s="42"/>
      <c r="K134" s="42"/>
      <c r="L134" s="43"/>
      <c r="M134" s="44"/>
      <c r="N134" s="29"/>
      <c r="O134" s="29"/>
      <c r="P134" s="19"/>
      <c r="Q134" s="19"/>
      <c r="R134" s="11"/>
    </row>
    <row r="135" s="1" customFormat="1" ht="21.95" customHeight="1" spans="1:18">
      <c r="A135" s="7"/>
      <c r="B135" s="12"/>
      <c r="C135" s="33"/>
      <c r="D135" s="45"/>
      <c r="E135" s="46"/>
      <c r="F135" s="47" t="s">
        <v>541</v>
      </c>
      <c r="G135" s="47" t="s">
        <v>542</v>
      </c>
      <c r="H135" s="47" t="s">
        <v>543</v>
      </c>
      <c r="I135" s="47" t="s">
        <v>544</v>
      </c>
      <c r="J135" s="47" t="s">
        <v>561</v>
      </c>
      <c r="K135" s="48" t="s">
        <v>750</v>
      </c>
      <c r="L135" s="47" t="s">
        <v>382</v>
      </c>
      <c r="M135" s="49" t="s">
        <v>546</v>
      </c>
      <c r="N135" s="29"/>
      <c r="O135" s="29"/>
      <c r="P135" s="19"/>
      <c r="Q135" s="19"/>
      <c r="R135" s="11"/>
    </row>
    <row r="136" s="1" customFormat="1" ht="21.95" customHeight="1" spans="1:18">
      <c r="A136" s="7"/>
      <c r="B136" s="12"/>
      <c r="C136" s="33"/>
      <c r="D136" s="45" t="s">
        <v>652</v>
      </c>
      <c r="E136" s="46"/>
      <c r="F136" s="50">
        <v>10</v>
      </c>
      <c r="G136" s="50">
        <v>10</v>
      </c>
      <c r="H136" s="50">
        <v>10</v>
      </c>
      <c r="I136" s="50">
        <v>10</v>
      </c>
      <c r="J136" s="50">
        <v>60</v>
      </c>
      <c r="K136" s="51"/>
      <c r="L136" s="50">
        <v>100</v>
      </c>
      <c r="M136" s="49"/>
      <c r="N136" s="29"/>
      <c r="O136" s="29"/>
      <c r="P136" s="19"/>
      <c r="Q136" s="19"/>
      <c r="R136" s="11"/>
    </row>
    <row r="137" s="1" customFormat="1" ht="21.95" customHeight="1" spans="1:18">
      <c r="A137" s="7"/>
      <c r="B137" s="12"/>
      <c r="C137" s="33"/>
      <c r="D137" s="52" t="s">
        <v>751</v>
      </c>
      <c r="E137" s="53"/>
      <c r="F137" s="54">
        <f ca="1">IFERROR(VLOOKUP(F120,'RR-3.1-5TH'!$A$12:'RR-3.1-5TH'!$BN$111,9,0),"")</f>
        <v>2</v>
      </c>
      <c r="G137" s="54">
        <f ca="1">IFERROR(VLOOKUP(F120,'RR-3.1-5TH'!$A$12:'RR-3.1-5TH'!$BN$111,10,0),"")</f>
        <v>0</v>
      </c>
      <c r="H137" s="54">
        <f ca="1">IFERROR(VLOOKUP(F120,'RR-3.1-5TH'!$A$12:'RR-3.1-5TH'!$BN$111,11,0),"")</f>
        <v>0</v>
      </c>
      <c r="I137" s="54">
        <f ca="1">IFERROR(VLOOKUP(F120,'RR-3.1-5TH'!$A$12:'RR-3.1-5TH'!$BN$111,12,0),"")</f>
        <v>0</v>
      </c>
      <c r="J137" s="54">
        <f ca="1">IFERROR(VLOOKUP(F120,'RR-3.1-5TH'!$A$12:'RR-3.1-5TH'!$BN$111,13,0),"")</f>
        <v>46</v>
      </c>
      <c r="K137" s="54">
        <f ca="1">IFERROR(VLOOKUP(F120,'RR-3.1-5TH'!$A$12:'RR-3.1-5TH'!$BN$111,14,0),"")</f>
        <v>0</v>
      </c>
      <c r="L137" s="55">
        <f ca="1" t="shared" ref="L137:L142" si="6">SUM(F137,G137,H137,I137,J137,K137)</f>
        <v>48</v>
      </c>
      <c r="M137" s="56" t="str">
        <f ca="1">IF(F120&gt;ENTRY!$D$24,"",IF(L137=0,"Ab",IF(L137&gt;80,"A",IF(L137&gt;60,"B",IF(L137&gt;44,"C",IF(L137&gt;=33,"D",IF(L137&lt;=32,"E","")))))))</f>
        <v>C</v>
      </c>
      <c r="N137" s="57" t="s">
        <v>729</v>
      </c>
      <c r="O137" s="58"/>
      <c r="P137" s="59"/>
      <c r="Q137" s="19"/>
      <c r="R137" s="11"/>
    </row>
    <row r="138" s="1" customFormat="1" ht="21.95" customHeight="1" spans="1:18">
      <c r="A138" s="7"/>
      <c r="B138" s="12"/>
      <c r="C138" s="33"/>
      <c r="D138" s="52" t="s">
        <v>513</v>
      </c>
      <c r="E138" s="53"/>
      <c r="F138" s="54">
        <f ca="1">IFERROR(VLOOKUP(F120,'RR-3.1-5TH'!$A$12:'RR-3.1-5TH'!$BN$111,17,0),"")</f>
        <v>1</v>
      </c>
      <c r="G138" s="54">
        <f ca="1">IFERROR(VLOOKUP(F120,'RR-3.1-5TH'!$A$12:'RR-3.1-5TH'!$BN$111,18,0),"")</f>
        <v>0</v>
      </c>
      <c r="H138" s="54">
        <f ca="1">IFERROR(VLOOKUP(F120,'RR-3.1-5TH'!$A$12:'RR-3.1-5TH'!$BN$111,19,0),"")</f>
        <v>0</v>
      </c>
      <c r="I138" s="54">
        <f ca="1">IFERROR(VLOOKUP(F120,'RR-3.1-5TH'!$A$12:'RR-3.1-5TH'!$BN$111,20,0),"")</f>
        <v>0</v>
      </c>
      <c r="J138" s="54">
        <f ca="1">IFERROR(VLOOKUP(F120,'RR-3.1-5TH'!$A$12:'RR-3.1-5TH'!$BN$111,21,0),"")</f>
        <v>16</v>
      </c>
      <c r="K138" s="54">
        <f ca="1">IFERROR(VLOOKUP(F120,'RR-3.1-5TH'!$A$12:'RR-3.1-5TH'!$BN$111,22,0),"")</f>
        <v>0</v>
      </c>
      <c r="L138" s="55">
        <f ca="1" t="shared" si="6"/>
        <v>17</v>
      </c>
      <c r="M138" s="56" t="str">
        <f ca="1">IF(F120&gt;ENTRY!$D$24,"",IF(L138=0,"Ab",IF(L138&gt;80,"A",IF(L138&gt;60,"B",IF(L138&gt;44,"C",IF(L138&gt;=33,"D",IF(L138&lt;=32,"E","")))))))</f>
        <v>E</v>
      </c>
      <c r="N138" s="58"/>
      <c r="O138" s="58"/>
      <c r="P138" s="59"/>
      <c r="Q138" s="19"/>
      <c r="R138" s="11"/>
    </row>
    <row r="139" s="1" customFormat="1" ht="21.95" customHeight="1" spans="1:18">
      <c r="A139" s="7"/>
      <c r="B139" s="12"/>
      <c r="C139" s="33"/>
      <c r="D139" s="52" t="s">
        <v>718</v>
      </c>
      <c r="E139" s="53"/>
      <c r="F139" s="54">
        <f ca="1">IFERROR(VLOOKUP(F120,'RR-3.1-5TH'!$A$12:'RR-3.1-5TH'!$BN$111,25,0),"")</f>
        <v>2</v>
      </c>
      <c r="G139" s="54">
        <f ca="1">IFERROR(VLOOKUP(F120,'RR-3.1-5TH'!$A$12:'RR-3.1-5TH'!$BN$111,26,0),"")</f>
        <v>0</v>
      </c>
      <c r="H139" s="54">
        <f ca="1">IFERROR(VLOOKUP(F120,'RR-3.1-5TH'!$A$12:'RR-3.1-5TH'!$BN$111,27,0),"")</f>
        <v>0</v>
      </c>
      <c r="I139" s="54">
        <f ca="1">IFERROR(VLOOKUP(F120,'RR-3.1-5TH'!$A$12:'RR-3.1-5TH'!$BN$111,28,0),"")</f>
        <v>0</v>
      </c>
      <c r="J139" s="54">
        <f ca="1">IFERROR(VLOOKUP(F120,'RR-3.1-5TH'!$A$12:'RR-3.1-5TH'!$BN$111,29,0),"")</f>
        <v>12</v>
      </c>
      <c r="K139" s="54">
        <f ca="1">IFERROR(VLOOKUP(F120,'RR-3.1-5TH'!$A$12:'RR-3.1-5TH'!$BN$111,30,0),"")</f>
        <v>0</v>
      </c>
      <c r="L139" s="55">
        <f ca="1" t="shared" si="6"/>
        <v>14</v>
      </c>
      <c r="M139" s="56" t="str">
        <f ca="1">IF(F120&gt;ENTRY!$D$24,"",IF(L139=0,"Ab",IF(L139&gt;80,"A",IF(L139&gt;60,"B",IF(L139&gt;44,"C",IF(L139&gt;=33,"D",IF(L139&lt;=32,"E","")))))))</f>
        <v>E</v>
      </c>
      <c r="N139" s="29"/>
      <c r="O139" s="29"/>
      <c r="P139" s="19"/>
      <c r="Q139" s="19"/>
      <c r="R139" s="11"/>
    </row>
    <row r="140" s="1" customFormat="1" ht="21.95" customHeight="1" spans="1:18">
      <c r="A140" s="7"/>
      <c r="B140" s="12"/>
      <c r="C140" s="33"/>
      <c r="D140" s="52" t="s">
        <v>719</v>
      </c>
      <c r="E140" s="53"/>
      <c r="F140" s="54">
        <f ca="1">IFERROR(VLOOKUP(F120,'RR-3.1-5TH'!$A$12:'RR-3.1-5TH'!$BN$111,33,0),"")</f>
        <v>1</v>
      </c>
      <c r="G140" s="54">
        <f ca="1">IFERROR(VLOOKUP(F120,'RR-3.1-5TH'!$A$12:'RR-3.1-5TH'!$BN$111,34,0),"")</f>
        <v>0</v>
      </c>
      <c r="H140" s="54">
        <f ca="1">IFERROR(VLOOKUP(F120,'RR-3.1-5TH'!$A$12:'RR-3.1-5TH'!$BN$111,35,0),"")</f>
        <v>0</v>
      </c>
      <c r="I140" s="54">
        <f ca="1">IFERROR(VLOOKUP(F120,'RR-3.1-5TH'!$A$12:'RR-3.1-5TH'!$BN$111,36,0),"")</f>
        <v>0</v>
      </c>
      <c r="J140" s="54">
        <f ca="1">IFERROR(VLOOKUP(F120,'RR-3.1-5TH'!$A$12:'RR-3.1-5TH'!$BN$111,37,0),"")</f>
        <v>23</v>
      </c>
      <c r="K140" s="54">
        <f ca="1">IFERROR(VLOOKUP(F120,'RR-3.1-5TH'!$A$12:'RR-3.1-5TH'!$BN$111,38,0),"")</f>
        <v>0</v>
      </c>
      <c r="L140" s="55">
        <f ca="1" t="shared" si="6"/>
        <v>24</v>
      </c>
      <c r="M140" s="56" t="str">
        <f ca="1">IF(F120&gt;ENTRY!$D$24,"",IF(L140=0,"Ab",IF(L140&gt;80,"A",IF(L140&gt;60,"B",IF(L140&gt;44,"C",IF(L140&gt;=33,"D",IF(L140&lt;=32,"E","")))))))</f>
        <v>E</v>
      </c>
      <c r="N140" s="29"/>
      <c r="O140" s="29"/>
      <c r="P140" s="19"/>
      <c r="Q140" s="19"/>
      <c r="R140" s="11"/>
    </row>
    <row r="141" s="1" customFormat="1" ht="21.95" customHeight="1" spans="1:18">
      <c r="A141" s="7"/>
      <c r="B141" s="12"/>
      <c r="C141" s="33"/>
      <c r="D141" s="52" t="s">
        <v>548</v>
      </c>
      <c r="E141" s="53"/>
      <c r="F141" s="54">
        <f ca="1">IFERROR(VLOOKUP(F120,'RR-3.1-5TH'!$A$12:'RR-3.1-5TH'!$BN$111,41,0),"")</f>
        <v>0</v>
      </c>
      <c r="G141" s="54">
        <f ca="1">IFERROR(VLOOKUP(F120,'RR-3.1-5TH'!$A$12:'RR-3.1-5TH'!$BN$111,42,0),"")</f>
        <v>0</v>
      </c>
      <c r="H141" s="54">
        <f ca="1">IFERROR(VLOOKUP(F120,'RR-3.1-5TH'!$A$12:'RR-3.1-5TH'!$BN$111,43,0),"")</f>
        <v>0</v>
      </c>
      <c r="I141" s="54">
        <f ca="1">IFERROR(VLOOKUP(F120,'RR-3.1-5TH'!$A$12:'RR-3.1-5TH'!$BN$111,44,0),"")</f>
        <v>0</v>
      </c>
      <c r="J141" s="54">
        <f ca="1">IFERROR(VLOOKUP(F120,'RR-3.1-5TH'!$A$12:'RR-3.1-5TH'!$BN$111,45,0),"")</f>
        <v>20</v>
      </c>
      <c r="K141" s="54">
        <f ca="1">IFERROR(VLOOKUP(F120,'RR-3.1-5TH'!$A$12:'RR-3.1-5TH'!$BN$111,46,0),"")</f>
        <v>0</v>
      </c>
      <c r="L141" s="55">
        <f ca="1" t="shared" si="6"/>
        <v>20</v>
      </c>
      <c r="M141" s="56" t="str">
        <f ca="1">IF(F120&gt;ENTRY!$D$24,"",IF(L141=0,"Ab",IF(L141&gt;80,"A",IF(L141&gt;60,"B",IF(L141&gt;44,"C",IF(L141&gt;=33,"D",IF(L141&lt;=32,"E","")))))))</f>
        <v>E</v>
      </c>
      <c r="N141" s="29"/>
      <c r="O141" s="29"/>
      <c r="P141" s="19"/>
      <c r="Q141" s="19"/>
      <c r="R141" s="11"/>
    </row>
    <row r="142" s="1" customFormat="1" ht="21.95" customHeight="1" spans="1:18">
      <c r="A142" s="7"/>
      <c r="B142" s="12"/>
      <c r="C142" s="33"/>
      <c r="D142" s="52" t="s">
        <v>549</v>
      </c>
      <c r="E142" s="53"/>
      <c r="F142" s="54">
        <f ca="1">IFERROR(VLOOKUP(F120,'RR-3.1-5TH'!$A$12:'RR-3.1-5TH'!$BN$111,49,0),"")</f>
        <v>2</v>
      </c>
      <c r="G142" s="54">
        <f ca="1">IFERROR(VLOOKUP(F120,'RR-3.1-5TH'!$A$12:'RR-3.1-5TH'!$BN$111,50,0),"")</f>
        <v>0</v>
      </c>
      <c r="H142" s="54">
        <f ca="1">IFERROR(VLOOKUP(F120,'RR-3.1-5TH'!$A$12:'RR-3.1-5TH'!$BN$111,51,0),"")</f>
        <v>0</v>
      </c>
      <c r="I142" s="54">
        <f ca="1">IFERROR(VLOOKUP(F120,'RR-3.1-5TH'!$A$12:'RR-3.1-5TH'!$BN$111,52,0),"")</f>
        <v>0</v>
      </c>
      <c r="J142" s="54">
        <f ca="1">IFERROR(VLOOKUP(F120,'RR-3.1-5TH'!$A$12:'RR-3.1-5TH'!$BN$111,53,0),"")</f>
        <v>25</v>
      </c>
      <c r="K142" s="54">
        <f ca="1">IFERROR(VLOOKUP(F120,'RR-3.1-5TH'!$A$12:'RR-3.1-5TH'!$BN$111,54,0),"")</f>
        <v>0</v>
      </c>
      <c r="L142" s="55">
        <f ca="1" t="shared" si="6"/>
        <v>27</v>
      </c>
      <c r="M142" s="56" t="str">
        <f ca="1">IF(F120&gt;ENTRY!$D$24,"",IF(L142=0,"Ab",IF(L142&gt;80,"A",IF(L142&gt;60,"B",IF(L142&gt;44,"C",IF(L142&gt;=33,"D",IF(L142&lt;=32,"E","")))))))</f>
        <v>E</v>
      </c>
      <c r="N142" s="57" t="s">
        <v>752</v>
      </c>
      <c r="O142" s="58"/>
      <c r="P142" s="59"/>
      <c r="Q142" s="19"/>
      <c r="R142" s="11"/>
    </row>
    <row r="143" s="1" customFormat="1" ht="21.95" customHeight="1" spans="1:18">
      <c r="A143" s="7"/>
      <c r="B143" s="12"/>
      <c r="C143" s="33"/>
      <c r="D143" s="52" t="s">
        <v>753</v>
      </c>
      <c r="E143" s="53"/>
      <c r="F143" s="60"/>
      <c r="G143" s="54"/>
      <c r="H143" s="54"/>
      <c r="I143" s="54"/>
      <c r="J143" s="54"/>
      <c r="K143" s="54"/>
      <c r="L143" s="55">
        <f t="shared" ref="L143" si="7">SUM(G143:K143)</f>
        <v>0</v>
      </c>
      <c r="M143" s="56" t="str">
        <f>IF(F120&gt;ENTRY!$D$24,"",IF(L143=0,"",IF(L143&gt;79,"A",IF(L143&gt;59,"B",IF(L143&gt;44,"C",IF(L143&gt;=33,"D",IF(L143&lt;=32,"E","")))))))</f>
        <v/>
      </c>
      <c r="N143" s="58"/>
      <c r="O143" s="58"/>
      <c r="P143" s="59"/>
      <c r="Q143" s="19"/>
      <c r="R143" s="11"/>
    </row>
    <row r="144" s="1" customFormat="1" ht="21.95" customHeight="1" spans="1:18">
      <c r="A144" s="7"/>
      <c r="B144" s="12"/>
      <c r="C144" s="33"/>
      <c r="D144" s="45" t="s">
        <v>382</v>
      </c>
      <c r="E144" s="46"/>
      <c r="F144" s="54">
        <f ca="1" t="shared" ref="F144:L144" si="8">IFERROR(SUM(F137:F143),"")</f>
        <v>8</v>
      </c>
      <c r="G144" s="54">
        <f ca="1" t="shared" si="8"/>
        <v>0</v>
      </c>
      <c r="H144" s="54">
        <f ca="1" t="shared" si="8"/>
        <v>0</v>
      </c>
      <c r="I144" s="54">
        <f ca="1" t="shared" si="8"/>
        <v>0</v>
      </c>
      <c r="J144" s="54">
        <f ca="1" t="shared" si="8"/>
        <v>142</v>
      </c>
      <c r="K144" s="54">
        <f ca="1" t="shared" si="8"/>
        <v>0</v>
      </c>
      <c r="L144" s="55">
        <f ca="1" t="shared" si="8"/>
        <v>150</v>
      </c>
      <c r="M144" s="61" t="str">
        <f ca="1">IF(F120&gt;ENTRY!$D$24,"",IF(N145="Ab","Ab",IF(N145&gt;79.5,"A",IF(N145&gt;59.5,"B",IF(N145&gt;44.5,"C",IF(N145&gt;=33,"D",IF(N145&lt;33,"E","")))))))</f>
        <v>E</v>
      </c>
      <c r="N144" s="62"/>
      <c r="O144" s="58"/>
      <c r="P144" s="59"/>
      <c r="Q144" s="19"/>
      <c r="R144" s="11"/>
    </row>
    <row r="145" s="1" customFormat="1" ht="21.95" customHeight="1" spans="1:19">
      <c r="A145" s="7"/>
      <c r="B145" s="12"/>
      <c r="C145" s="33"/>
      <c r="D145" s="63" t="s">
        <v>721</v>
      </c>
      <c r="E145" s="63"/>
      <c r="F145" s="63"/>
      <c r="G145" s="63"/>
      <c r="H145" s="63"/>
      <c r="I145" s="63"/>
      <c r="J145" s="63"/>
      <c r="K145" s="63"/>
      <c r="L145" s="63"/>
      <c r="M145" s="63"/>
      <c r="N145" s="64">
        <f ca="1">IF(L144="Ab","Ab",L144/6)</f>
        <v>25</v>
      </c>
      <c r="O145" s="65"/>
      <c r="P145" s="19"/>
      <c r="Q145" s="19"/>
      <c r="R145" s="11"/>
    </row>
    <row r="146" s="1" customFormat="1" ht="21.95" customHeight="1" spans="1:19">
      <c r="A146" s="7"/>
      <c r="B146" s="12"/>
      <c r="C146" s="33"/>
      <c r="D146" s="29" t="s">
        <v>716</v>
      </c>
      <c r="E146" s="18" t="str">
        <f>IFERROR(VLOOKUP(F120,'1to4-2.1-RR'!$A$12:$BG$111,57,0),"")</f>
        <v>PROMOTED</v>
      </c>
      <c r="F146" s="18"/>
      <c r="G146" s="18"/>
      <c r="H146" s="18"/>
      <c r="I146" s="18"/>
      <c r="J146" s="18"/>
      <c r="K146" s="18"/>
      <c r="L146" s="18"/>
      <c r="M146" s="18"/>
      <c r="N146" s="29"/>
      <c r="O146" s="29"/>
      <c r="P146" s="19"/>
      <c r="Q146" s="19"/>
      <c r="R146" s="11"/>
    </row>
    <row r="147" s="1" customFormat="1" ht="9.95" customHeight="1" spans="1:19">
      <c r="A147" s="7"/>
      <c r="B147" s="12"/>
      <c r="C147" s="33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19"/>
      <c r="Q147" s="19"/>
      <c r="R147" s="11"/>
    </row>
    <row r="148" s="1" customFormat="1" ht="36" spans="1:19">
      <c r="A148" s="7"/>
      <c r="B148" s="12"/>
      <c r="C148" s="33"/>
      <c r="D148" s="66" t="s">
        <v>576</v>
      </c>
      <c r="E148" s="67" t="s">
        <v>754</v>
      </c>
      <c r="F148" s="47">
        <f>IF(F120&gt;ENTRY!$D$24,"",IFERROR(VLOOKUP(F120,PASHEET!$A$4:$CJ$103,88,0),""))</f>
        <v>417</v>
      </c>
      <c r="G148" s="67" t="s">
        <v>755</v>
      </c>
      <c r="H148" s="47">
        <f>IF(F120&gt;ENTRY!$D$24,"",IFERROR(VLOOKUP(F120,PASHEET!$A$4:$CJ$103,87,0),""))</f>
        <v>180</v>
      </c>
      <c r="I148" s="68" t="s">
        <v>756</v>
      </c>
      <c r="J148" s="69">
        <f>IF(F120&gt;ENTRY!$D$24,"",IFERROR(IF(F120&gt;0,H148/F148*100),""))</f>
        <v>43.1654676258993</v>
      </c>
      <c r="K148" s="60" t="s">
        <v>757</v>
      </c>
      <c r="L148" s="70">
        <f ca="1">IF(F120&gt;ENTRY!$D$24,"",IFERROR(L144/600*100,""))</f>
        <v>25</v>
      </c>
      <c r="M148" s="47" t="str">
        <f ca="1">IF(F120&gt;ENTRY!$D$24,"",IFERROR(L144&amp;" / "&amp;"600",""))</f>
        <v>150 / 600</v>
      </c>
      <c r="N148" s="29"/>
      <c r="O148" s="29"/>
      <c r="P148" s="19"/>
      <c r="Q148" s="19"/>
      <c r="R148" s="11"/>
    </row>
    <row r="149" s="1" customFormat="1" ht="9.95" customHeight="1" spans="1:19">
      <c r="A149" s="7"/>
      <c r="B149" s="12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1"/>
      <c r="Q149" s="19"/>
      <c r="R149" s="11"/>
    </row>
    <row r="150" s="1" customFormat="1" ht="9.95" customHeight="1" spans="1:19">
      <c r="A150" s="7"/>
      <c r="B150" s="12"/>
      <c r="C150" s="71"/>
      <c r="D150" s="71"/>
      <c r="E150" s="71"/>
      <c r="F150" s="29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19"/>
      <c r="R150" s="11"/>
    </row>
    <row r="151" s="1" customFormat="1" ht="9.95" customHeight="1" spans="1:19">
      <c r="A151" s="7"/>
      <c r="B151" s="12"/>
      <c r="C151" s="29"/>
      <c r="D151" s="29"/>
      <c r="E151" s="29"/>
      <c r="F151" s="72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19"/>
      <c r="R151" s="11"/>
    </row>
    <row r="152" s="1" customFormat="1" ht="9.95" customHeight="1" spans="1:19">
      <c r="A152" s="7"/>
      <c r="B152" s="12"/>
      <c r="C152" s="30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2"/>
      <c r="Q152" s="19"/>
      <c r="R152" s="11"/>
    </row>
    <row r="153" s="1" customFormat="1" ht="21.95" customHeight="1" spans="1:19">
      <c r="A153" s="7"/>
      <c r="B153" s="12"/>
      <c r="C153" s="73" t="s">
        <v>7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74"/>
      <c r="Q153" s="19"/>
      <c r="R153" s="11"/>
      <c r="S153" s="2"/>
    </row>
    <row r="154" s="1" customFormat="1" ht="21.95" customHeight="1" spans="1:19">
      <c r="A154" s="7"/>
      <c r="B154" s="12"/>
      <c r="C154" s="33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19"/>
      <c r="Q154" s="19"/>
      <c r="R154" s="11"/>
    </row>
    <row r="155" s="1" customFormat="1" ht="21.95" customHeight="1" spans="1:19">
      <c r="A155" s="7"/>
      <c r="B155" s="12"/>
      <c r="C155" s="75" t="str">
        <f>"SESSION-"&amp;ENTRY!$D$11</f>
        <v>SESSION-2026-27</v>
      </c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76"/>
      <c r="Q155" s="19"/>
      <c r="R155" s="11"/>
    </row>
    <row r="156" s="1" customFormat="1" ht="18" customHeight="1" spans="1:19">
      <c r="A156" s="7"/>
      <c r="B156" s="12"/>
      <c r="C156" s="33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19"/>
      <c r="Q156" s="19"/>
      <c r="R156" s="11"/>
    </row>
    <row r="157" s="1" customFormat="1" ht="21.95" customHeight="1" spans="1:19">
      <c r="A157" s="7"/>
      <c r="B157" s="12"/>
      <c r="C157" s="33"/>
      <c r="D157" s="77" t="s">
        <v>758</v>
      </c>
      <c r="E157" s="77"/>
      <c r="F157" s="78" t="str">
        <f>IFERROR(PROPER(VLOOKUP(F120,STUDENT!$A$2:$BP$101,5,0)),"")</f>
        <v>Aaditya Kumar</v>
      </c>
      <c r="G157" s="78"/>
      <c r="H157" s="78"/>
      <c r="I157" s="78"/>
      <c r="J157" s="78"/>
      <c r="K157" s="78"/>
      <c r="L157" s="78"/>
      <c r="M157" s="78"/>
      <c r="N157" s="79" t="s">
        <v>759</v>
      </c>
      <c r="O157" s="79"/>
      <c r="P157" s="19"/>
      <c r="Q157" s="19"/>
      <c r="R157" s="11"/>
    </row>
    <row r="158" s="1" customFormat="1" ht="21.95" customHeight="1" spans="1:19">
      <c r="A158" s="7"/>
      <c r="B158" s="12"/>
      <c r="C158" s="33"/>
      <c r="D158" s="80" t="s">
        <v>760</v>
      </c>
      <c r="E158" s="81" t="str">
        <f>IFERROR(PROPER(VLOOKUP(F120,STUDENT!$A$2:$BP$101,9,0)),"")</f>
        <v>Sushila Devi</v>
      </c>
      <c r="F158" s="81"/>
      <c r="G158" s="81"/>
      <c r="H158" s="80" t="s">
        <v>761</v>
      </c>
      <c r="I158" s="82" t="str">
        <f>IFERROR(PROPER(VLOOKUP(F120,STUDENT!$A$2:$BP$101,8,0)),"")</f>
        <v>Dharmendra Kumar</v>
      </c>
      <c r="J158" s="82"/>
      <c r="K158" s="82"/>
      <c r="L158" s="82"/>
      <c r="M158" s="80" t="s">
        <v>762</v>
      </c>
      <c r="N158" s="83" t="str">
        <f>IFERROR(VLOOKUP(F120,STUDENT!$A$2:$BP$101,59,0),"")</f>
        <v/>
      </c>
      <c r="O158" s="83"/>
      <c r="P158" s="19"/>
      <c r="Q158" s="19"/>
      <c r="R158" s="11"/>
    </row>
    <row r="159" s="1" customFormat="1" ht="21.95" customHeight="1" spans="1:19">
      <c r="A159" s="7"/>
      <c r="B159" s="12"/>
      <c r="C159" s="33"/>
      <c r="D159" s="77" t="str">
        <f>"has    completed     his  /  her     primary     level     education    in    the    year    "&amp;RIGHT(ENTRY!$D125,4)&amp;"    from    ( School    Name )"</f>
        <v>has    completed     his  /  her     primary     level     education    in    the    year        from    ( School    Name )</v>
      </c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19"/>
      <c r="Q159" s="19"/>
      <c r="R159" s="11"/>
    </row>
    <row r="160" s="1" customFormat="1" ht="21.95" customHeight="1" spans="1:19">
      <c r="A160" s="7"/>
      <c r="B160" s="12"/>
      <c r="C160" s="33"/>
      <c r="D160" s="81" t="str">
        <f>IF(F120&gt;0,ENTRY!$D$6,"")</f>
        <v>MCP NITHARI NO 1 BOYS</v>
      </c>
      <c r="E160" s="81"/>
      <c r="F160" s="81"/>
      <c r="G160" s="81"/>
      <c r="H160" s="81"/>
      <c r="I160" s="81"/>
      <c r="J160" s="81"/>
      <c r="K160" s="81"/>
      <c r="L160" s="81"/>
      <c r="M160" s="80" t="s">
        <v>763</v>
      </c>
      <c r="N160" s="84">
        <f>IF(F120&gt;0,ENTRY!$D$7,"")</f>
        <v>0</v>
      </c>
      <c r="O160" s="84"/>
      <c r="P160" s="85" t="s">
        <v>727</v>
      </c>
      <c r="Q160" s="19"/>
      <c r="R160" s="11"/>
    </row>
    <row r="161" s="1" customFormat="1" ht="21.95" customHeight="1" spans="1:18">
      <c r="A161" s="7"/>
      <c r="B161" s="12"/>
      <c r="C161" s="33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19"/>
      <c r="Q161" s="19"/>
      <c r="R161" s="11"/>
    </row>
    <row r="162" s="1" customFormat="1" ht="21.95" customHeight="1" spans="1:18">
      <c r="A162" s="7"/>
      <c r="B162" s="12"/>
      <c r="C162" s="33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19"/>
      <c r="Q162" s="19"/>
      <c r="R162" s="11"/>
    </row>
    <row r="163" s="1" customFormat="1" ht="21.95" customHeight="1" spans="1:18">
      <c r="A163" s="7"/>
      <c r="B163" s="12"/>
      <c r="C163" s="33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19"/>
      <c r="Q163" s="19"/>
      <c r="R163" s="11"/>
    </row>
    <row r="164" s="1" customFormat="1" ht="21.95" customHeight="1" spans="1:18">
      <c r="A164" s="7"/>
      <c r="B164" s="12"/>
      <c r="C164" s="33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19"/>
      <c r="Q164" s="19"/>
      <c r="R164" s="11"/>
    </row>
    <row r="165" s="1" customFormat="1" ht="21.95" customHeight="1" spans="1:18">
      <c r="A165" s="7"/>
      <c r="B165" s="12"/>
      <c r="C165" s="33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19"/>
      <c r="Q165" s="19"/>
      <c r="R165" s="11"/>
    </row>
    <row r="166" s="1" customFormat="1" ht="21.95" customHeight="1" spans="1:18">
      <c r="A166" s="7"/>
      <c r="B166" s="12"/>
      <c r="C166" s="33"/>
      <c r="D166" s="80" t="s">
        <v>728</v>
      </c>
      <c r="E166" s="86">
        <f>ENTRY!$D$27</f>
        <v>46102</v>
      </c>
      <c r="F166" s="86"/>
      <c r="G166" s="29"/>
      <c r="H166" s="29"/>
      <c r="I166" s="29"/>
      <c r="J166" s="29"/>
      <c r="K166" s="29"/>
      <c r="L166" s="29"/>
      <c r="M166" s="87" t="s">
        <v>730</v>
      </c>
      <c r="N166" s="87"/>
      <c r="O166" s="87"/>
      <c r="P166" s="19"/>
      <c r="Q166" s="19"/>
      <c r="R166" s="11"/>
    </row>
    <row r="167" s="1" customFormat="1" ht="21.95" customHeight="1" spans="1:18">
      <c r="A167" s="7"/>
      <c r="B167" s="12"/>
      <c r="C167" s="33"/>
      <c r="D167" s="80" t="s">
        <v>731</v>
      </c>
      <c r="E167" s="88" t="str">
        <f>PROPER(ENTRY!$D$28)</f>
        <v>New Delhi</v>
      </c>
      <c r="F167" s="88"/>
      <c r="G167" s="29"/>
      <c r="H167" s="29"/>
      <c r="I167" s="29"/>
      <c r="J167" s="29"/>
      <c r="K167" s="29"/>
      <c r="L167" s="29"/>
      <c r="M167" s="89" t="s">
        <v>732</v>
      </c>
      <c r="N167" s="89"/>
      <c r="O167" s="89"/>
      <c r="P167" s="19"/>
      <c r="Q167" s="19"/>
      <c r="R167" s="11"/>
    </row>
    <row r="168" s="1" customFormat="1" ht="21.95" customHeight="1" spans="1:18">
      <c r="A168" s="7"/>
      <c r="B168" s="12"/>
      <c r="C168" s="90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2"/>
      <c r="Q168" s="14"/>
      <c r="R168" s="11"/>
    </row>
    <row r="169" s="1" customFormat="1" ht="5.1" customHeight="1" spans="1:18">
      <c r="A169" s="7"/>
      <c r="B169" s="90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2"/>
      <c r="R169" s="11"/>
    </row>
    <row r="170" s="1" customFormat="1" ht="5.1" customHeight="1" spans="1:18">
      <c r="A170" s="93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5"/>
    </row>
    <row r="171" s="2" customFormat="1" ht="9.95" customHeight="1"/>
    <row r="172" s="1" customFormat="1" ht="5.1" customHeight="1" spans="1:18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</row>
    <row r="173" s="1" customFormat="1" ht="15" customHeight="1" spans="1:18">
      <c r="A173" s="7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0"/>
      <c r="R173" s="11"/>
    </row>
    <row r="174" s="1" customFormat="1" ht="21.95" customHeight="1" spans="1:18">
      <c r="A174" s="7"/>
      <c r="B174" s="12"/>
      <c r="C174" s="13" t="s">
        <v>7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4"/>
      <c r="R174" s="11"/>
    </row>
    <row r="175" s="1" customFormat="1" ht="21.95" customHeight="1" spans="1:18">
      <c r="A175" s="7"/>
      <c r="B175" s="1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14"/>
      <c r="R175" s="11"/>
    </row>
    <row r="176" s="1" customFormat="1" ht="21.95" customHeight="1" spans="1:18">
      <c r="A176" s="7"/>
      <c r="B176" s="12"/>
      <c r="C176" s="15" t="str">
        <f>"SESSION-"&amp;ENTRY!$D$11</f>
        <v>SESSION-2026-27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4"/>
      <c r="R176" s="11"/>
    </row>
    <row r="177" s="1" customFormat="1" ht="21.95" customHeight="1" spans="1:18">
      <c r="A177" s="7"/>
      <c r="B177" s="12"/>
      <c r="C177" s="2"/>
      <c r="D177" s="2"/>
      <c r="E177" s="2"/>
      <c r="F177" s="16">
        <f>F120+1</f>
        <v>4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14"/>
      <c r="R177" s="11"/>
    </row>
    <row r="178" s="1" customFormat="1" ht="21.95" customHeight="1" spans="1:18">
      <c r="A178" s="7"/>
      <c r="B178" s="12"/>
      <c r="C178" s="17" t="s">
        <v>392</v>
      </c>
      <c r="D178" s="17"/>
      <c r="E178" s="17"/>
      <c r="F178" s="18" t="str">
        <f>IF(F177&gt;0,ENTRY!$D$6,"")</f>
        <v>MCP NITHARI NO 1 BOYS</v>
      </c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9"/>
      <c r="R178" s="11"/>
    </row>
    <row r="179" s="1" customFormat="1" ht="21.95" customHeight="1" spans="1:18">
      <c r="A179" s="7"/>
      <c r="B179" s="12"/>
      <c r="C179" s="17" t="s">
        <v>393</v>
      </c>
      <c r="D179" s="17"/>
      <c r="E179" s="17"/>
      <c r="F179" s="18">
        <f>IF(F177&gt;0,ENTRY!$D$7,"")</f>
        <v>0</v>
      </c>
      <c r="G179" s="18"/>
      <c r="H179" s="20" t="s">
        <v>702</v>
      </c>
      <c r="I179" s="20"/>
      <c r="J179" s="21">
        <f>IF(F177&gt;0,ENTRY!$D$10,"")</f>
        <v>40</v>
      </c>
      <c r="K179" s="20" t="s">
        <v>703</v>
      </c>
      <c r="L179" s="22" t="str">
        <f>IF(F177&gt;0,ENTRY!$D$5,"")</f>
        <v>ROHINI ZONE</v>
      </c>
      <c r="M179" s="22"/>
      <c r="N179" s="22"/>
      <c r="O179" s="22"/>
      <c r="P179" s="22"/>
      <c r="Q179" s="19"/>
      <c r="R179" s="11"/>
    </row>
    <row r="180" s="1" customFormat="1" ht="21.95" customHeight="1" spans="1:18">
      <c r="A180" s="7"/>
      <c r="B180" s="12"/>
      <c r="C180" s="17" t="s">
        <v>706</v>
      </c>
      <c r="D180" s="17"/>
      <c r="E180" s="17"/>
      <c r="F180" s="23" t="str">
        <f>IFERROR(VLOOKUP(F177,STUDENT!$A$2:$BP$101,5,0),"")</f>
        <v>PRINCE KUMAR RAY</v>
      </c>
      <c r="G180" s="23"/>
      <c r="H180" s="23"/>
      <c r="I180" s="23"/>
      <c r="J180" s="23"/>
      <c r="K180" s="23"/>
      <c r="L180" s="20" t="s">
        <v>707</v>
      </c>
      <c r="M180" s="20"/>
      <c r="N180" s="24" t="str">
        <f>IF(F177&gt;0,ENTRY!$D$20&amp;"-"&amp;ENTRY!$D$21,"")</f>
        <v>III-A</v>
      </c>
      <c r="O180" s="24"/>
      <c r="P180" s="24"/>
      <c r="Q180" s="19"/>
      <c r="R180" s="11"/>
    </row>
    <row r="181" s="1" customFormat="1" ht="21.95" customHeight="1" spans="1:18">
      <c r="A181" s="7"/>
      <c r="B181" s="12"/>
      <c r="C181" s="17" t="s">
        <v>708</v>
      </c>
      <c r="D181" s="17"/>
      <c r="E181" s="17"/>
      <c r="F181" s="25">
        <f>IFERROR(VLOOKUP(F177,STUDENT!$A$2:$BP$101,6,0),"")</f>
        <v>14778</v>
      </c>
      <c r="G181" s="25"/>
      <c r="H181" s="26" t="s">
        <v>709</v>
      </c>
      <c r="I181" s="27" t="str">
        <f>IFERROR(VLOOKUP(F177,STUDENT!$A$2:$BP$101,59,0),"")</f>
        <v/>
      </c>
      <c r="J181" s="27"/>
      <c r="K181" s="20" t="s">
        <v>710</v>
      </c>
      <c r="L181" s="20"/>
      <c r="M181" s="28">
        <f>IFERROR(VLOOKUP(F177,STUDENT!$A$2:$BP$101,20,0),"")</f>
        <v>7053065864</v>
      </c>
      <c r="N181" s="28"/>
      <c r="O181" s="28"/>
      <c r="P181" s="28"/>
      <c r="Q181" s="19"/>
      <c r="R181" s="11"/>
    </row>
    <row r="182" s="1" customFormat="1" ht="21.95" customHeight="1" spans="1:18">
      <c r="A182" s="7"/>
      <c r="B182" s="12"/>
      <c r="C182" s="17" t="s">
        <v>711</v>
      </c>
      <c r="D182" s="17"/>
      <c r="E182" s="17"/>
      <c r="F182" s="23" t="str">
        <f>IFERROR(VLOOKUP(F177,STUDENT!$A$2:$BP$101,9,0),"")</f>
        <v>SOBHA DEVI</v>
      </c>
      <c r="G182" s="23"/>
      <c r="H182" s="23"/>
      <c r="I182" s="23"/>
      <c r="J182" s="17" t="s">
        <v>620</v>
      </c>
      <c r="K182" s="17"/>
      <c r="L182" s="23" t="str">
        <f>IFERROR(VLOOKUP(F177,STUDENT!$A$2:$BP$101,8,0),"")</f>
        <v>RAMSHARAN RAY</v>
      </c>
      <c r="M182" s="23"/>
      <c r="N182" s="23"/>
      <c r="O182" s="23"/>
      <c r="P182" s="23"/>
      <c r="Q182" s="19"/>
      <c r="R182" s="11"/>
    </row>
    <row r="183" s="1" customFormat="1" ht="21.95" customHeight="1" spans="1:18">
      <c r="A183" s="7"/>
      <c r="B183" s="12"/>
      <c r="C183" s="17" t="s">
        <v>712</v>
      </c>
      <c r="D183" s="17"/>
      <c r="E183" s="17"/>
      <c r="F183" s="23" t="str">
        <f>IFERROR(VLOOKUP(F177,STUDENT!$A$2:$BP$101,22,0),"")</f>
        <v>B 171, GALI NO 4 INDER ENCLAVE PHASE I</v>
      </c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19"/>
      <c r="R183" s="11"/>
    </row>
    <row r="184" s="1" customFormat="1" ht="9.95" customHeight="1" spans="1:18">
      <c r="A184" s="7"/>
      <c r="B184" s="12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19"/>
      <c r="R184" s="11"/>
    </row>
    <row r="185" s="1" customFormat="1" ht="9.95" customHeight="1" spans="1:18">
      <c r="A185" s="7"/>
      <c r="B185" s="12"/>
      <c r="C185" s="30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2"/>
      <c r="Q185" s="19"/>
      <c r="R185" s="11"/>
    </row>
    <row r="186" s="1" customFormat="1" ht="21.95" customHeight="1" spans="1:18">
      <c r="A186" s="7"/>
      <c r="B186" s="12"/>
      <c r="C186" s="33"/>
      <c r="D186" s="34" t="s">
        <v>713</v>
      </c>
      <c r="E186" s="20" t="s">
        <v>714</v>
      </c>
      <c r="F186" s="35" t="str">
        <f>"Level - "&amp;IFERROR(VLOOKUP(F177,FLN!$A$4:$K$103,9,0),"")</f>
        <v>Level - 3</v>
      </c>
      <c r="G186" s="36"/>
      <c r="H186" s="37" t="s">
        <v>715</v>
      </c>
      <c r="I186" s="20"/>
      <c r="J186" s="35" t="str">
        <f>"Level - "&amp;IFERROR(VLOOKUP(F177,FLN!$A$4:$K$103,11,0),"")</f>
        <v>Level - 3</v>
      </c>
      <c r="K186" s="36"/>
      <c r="L186" s="37" t="s">
        <v>408</v>
      </c>
      <c r="M186" s="20"/>
      <c r="N186" s="35" t="str">
        <f>"Level - "&amp;IFERROR(VLOOKUP(F177,FLN!$A$4:$K$103,10,0),"")</f>
        <v>Level - 2</v>
      </c>
      <c r="O186" s="36"/>
      <c r="P186" s="19"/>
      <c r="Q186" s="19"/>
      <c r="R186" s="11"/>
    </row>
    <row r="187" s="1" customFormat="1" ht="21.95" customHeight="1" spans="1:18">
      <c r="A187" s="7"/>
      <c r="B187" s="12"/>
      <c r="C187" s="33"/>
      <c r="D187" s="38"/>
      <c r="E187" s="20" t="s">
        <v>716</v>
      </c>
      <c r="F187" s="18" t="str">
        <f ca="1">IF(L201&gt;197,"PERFORMED WELL","")</f>
        <v/>
      </c>
      <c r="G187" s="18"/>
      <c r="H187" s="18"/>
      <c r="I187" s="18"/>
      <c r="J187" s="18"/>
      <c r="K187" s="18"/>
      <c r="L187" s="18"/>
      <c r="M187" s="18"/>
      <c r="N187" s="18"/>
      <c r="O187" s="18"/>
      <c r="P187" s="19"/>
      <c r="Q187" s="19"/>
      <c r="R187" s="11"/>
    </row>
    <row r="188" s="1" customFormat="1" ht="9.95" customHeight="1" spans="1:18">
      <c r="A188" s="7"/>
      <c r="B188" s="12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1"/>
      <c r="Q188" s="19"/>
      <c r="R188" s="11"/>
    </row>
    <row r="189" s="1" customFormat="1" ht="9.95" customHeight="1" spans="1:18">
      <c r="A189" s="7"/>
      <c r="B189" s="12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19"/>
      <c r="R189" s="11"/>
    </row>
    <row r="190" s="1" customFormat="1" ht="9.95" customHeight="1" spans="1:18">
      <c r="A190" s="7"/>
      <c r="B190" s="12"/>
      <c r="C190" s="30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2"/>
      <c r="Q190" s="19"/>
      <c r="R190" s="11"/>
    </row>
    <row r="191" s="1" customFormat="1" ht="21.95" customHeight="1" spans="1:18">
      <c r="A191" s="7"/>
      <c r="B191" s="12"/>
      <c r="C191" s="33"/>
      <c r="D191" s="35"/>
      <c r="E191" s="24"/>
      <c r="F191" s="42" t="s">
        <v>717</v>
      </c>
      <c r="G191" s="42"/>
      <c r="H191" s="42"/>
      <c r="I191" s="42"/>
      <c r="J191" s="42"/>
      <c r="K191" s="42"/>
      <c r="L191" s="43"/>
      <c r="M191" s="44"/>
      <c r="N191" s="29"/>
      <c r="O191" s="29"/>
      <c r="P191" s="19"/>
      <c r="Q191" s="19"/>
      <c r="R191" s="11"/>
    </row>
    <row r="192" s="1" customFormat="1" ht="21.95" customHeight="1" spans="1:18">
      <c r="A192" s="7"/>
      <c r="B192" s="12"/>
      <c r="C192" s="33"/>
      <c r="D192" s="45"/>
      <c r="E192" s="46"/>
      <c r="F192" s="47" t="s">
        <v>541</v>
      </c>
      <c r="G192" s="47" t="s">
        <v>542</v>
      </c>
      <c r="H192" s="47" t="s">
        <v>543</v>
      </c>
      <c r="I192" s="47" t="s">
        <v>544</v>
      </c>
      <c r="J192" s="47" t="s">
        <v>561</v>
      </c>
      <c r="K192" s="48" t="s">
        <v>750</v>
      </c>
      <c r="L192" s="47" t="s">
        <v>382</v>
      </c>
      <c r="M192" s="49" t="s">
        <v>546</v>
      </c>
      <c r="N192" s="29"/>
      <c r="O192" s="29"/>
      <c r="P192" s="19"/>
      <c r="Q192" s="19"/>
      <c r="R192" s="11"/>
    </row>
    <row r="193" s="1" customFormat="1" ht="21.95" customHeight="1" spans="1:18">
      <c r="A193" s="7"/>
      <c r="B193" s="12"/>
      <c r="C193" s="33"/>
      <c r="D193" s="45" t="s">
        <v>652</v>
      </c>
      <c r="E193" s="46"/>
      <c r="F193" s="50">
        <v>10</v>
      </c>
      <c r="G193" s="50">
        <v>10</v>
      </c>
      <c r="H193" s="50">
        <v>10</v>
      </c>
      <c r="I193" s="50">
        <v>10</v>
      </c>
      <c r="J193" s="50">
        <v>60</v>
      </c>
      <c r="K193" s="51"/>
      <c r="L193" s="50">
        <v>100</v>
      </c>
      <c r="M193" s="49"/>
      <c r="N193" s="29"/>
      <c r="O193" s="29"/>
      <c r="P193" s="19"/>
      <c r="Q193" s="19"/>
      <c r="R193" s="11"/>
    </row>
    <row r="194" s="1" customFormat="1" ht="21.95" customHeight="1" spans="1:18">
      <c r="A194" s="7"/>
      <c r="B194" s="12"/>
      <c r="C194" s="33"/>
      <c r="D194" s="52" t="s">
        <v>751</v>
      </c>
      <c r="E194" s="53"/>
      <c r="F194" s="54">
        <f ca="1">IFERROR(VLOOKUP(F177,'RR-3.1-5TH'!$A$12:'RR-3.1-5TH'!$BN$111,9,0),"")</f>
        <v>2</v>
      </c>
      <c r="G194" s="54">
        <f ca="1">IFERROR(VLOOKUP(F177,'RR-3.1-5TH'!$A$12:'RR-3.1-5TH'!$BN$111,10,0),"")</f>
        <v>0</v>
      </c>
      <c r="H194" s="54">
        <f ca="1">IFERROR(VLOOKUP(F177,'RR-3.1-5TH'!$A$12:'RR-3.1-5TH'!$BN$111,11,0),"")</f>
        <v>0</v>
      </c>
      <c r="I194" s="54">
        <f ca="1">IFERROR(VLOOKUP(F177,'RR-3.1-5TH'!$A$12:'RR-3.1-5TH'!$BN$111,12,0),"")</f>
        <v>0</v>
      </c>
      <c r="J194" s="54">
        <f ca="1">IFERROR(VLOOKUP(F177,'RR-3.1-5TH'!$A$12:'RR-3.1-5TH'!$BN$111,13,0),"")</f>
        <v>25</v>
      </c>
      <c r="K194" s="54">
        <f ca="1">IFERROR(VLOOKUP(F177,'RR-3.1-5TH'!$A$12:'RR-3.1-5TH'!$BN$111,14,0),"")</f>
        <v>0</v>
      </c>
      <c r="L194" s="55">
        <f ca="1" t="shared" ref="L194:L199" si="9">SUM(F194,G194,H194,I194,J194,K194)</f>
        <v>27</v>
      </c>
      <c r="M194" s="56" t="str">
        <f ca="1">IF(F177&gt;ENTRY!$D$24,"",IF(L194=0,"Ab",IF(L194&gt;80,"A",IF(L194&gt;60,"B",IF(L194&gt;44,"C",IF(L194&gt;=33,"D",IF(L194&lt;=32,"E","")))))))</f>
        <v>E</v>
      </c>
      <c r="N194" s="57" t="s">
        <v>729</v>
      </c>
      <c r="O194" s="58"/>
      <c r="P194" s="59"/>
      <c r="Q194" s="19"/>
      <c r="R194" s="11"/>
    </row>
    <row r="195" s="1" customFormat="1" ht="21.95" customHeight="1" spans="1:18">
      <c r="A195" s="7"/>
      <c r="B195" s="12"/>
      <c r="C195" s="33"/>
      <c r="D195" s="52" t="s">
        <v>513</v>
      </c>
      <c r="E195" s="53"/>
      <c r="F195" s="54">
        <f ca="1">IFERROR(VLOOKUP(F177,'RR-3.1-5TH'!$A$12:'RR-3.1-5TH'!$BN$111,17,0),"")</f>
        <v>1</v>
      </c>
      <c r="G195" s="54">
        <f ca="1">IFERROR(VLOOKUP(F177,'RR-3.1-5TH'!$A$12:'RR-3.1-5TH'!$BN$111,18,0),"")</f>
        <v>0</v>
      </c>
      <c r="H195" s="54">
        <f ca="1">IFERROR(VLOOKUP(F177,'RR-3.1-5TH'!$A$12:'RR-3.1-5TH'!$BN$111,19,0),"")</f>
        <v>0</v>
      </c>
      <c r="I195" s="54">
        <f ca="1">IFERROR(VLOOKUP(F177,'RR-3.1-5TH'!$A$12:'RR-3.1-5TH'!$BN$111,20,0),"")</f>
        <v>0</v>
      </c>
      <c r="J195" s="54">
        <f ca="1">IFERROR(VLOOKUP(F177,'RR-3.1-5TH'!$A$12:'RR-3.1-5TH'!$BN$111,21,0),"")</f>
        <v>11</v>
      </c>
      <c r="K195" s="54">
        <f ca="1">IFERROR(VLOOKUP(F177,'RR-3.1-5TH'!$A$12:'RR-3.1-5TH'!$BN$111,22,0),"")</f>
        <v>0</v>
      </c>
      <c r="L195" s="55">
        <f ca="1" t="shared" si="9"/>
        <v>12</v>
      </c>
      <c r="M195" s="56" t="str">
        <f ca="1">IF(F177&gt;ENTRY!$D$24,"",IF(L195=0,"Ab",IF(L195&gt;80,"A",IF(L195&gt;60,"B",IF(L195&gt;44,"C",IF(L195&gt;=33,"D",IF(L195&lt;=32,"E","")))))))</f>
        <v>E</v>
      </c>
      <c r="N195" s="58"/>
      <c r="O195" s="58"/>
      <c r="P195" s="59"/>
      <c r="Q195" s="19"/>
      <c r="R195" s="11"/>
    </row>
    <row r="196" s="1" customFormat="1" ht="21.95" customHeight="1" spans="1:18">
      <c r="A196" s="7"/>
      <c r="B196" s="12"/>
      <c r="C196" s="33"/>
      <c r="D196" s="52" t="s">
        <v>718</v>
      </c>
      <c r="E196" s="53"/>
      <c r="F196" s="54">
        <f ca="1">IFERROR(VLOOKUP(F177,'RR-3.1-5TH'!$A$12:'RR-3.1-5TH'!$BN$111,25,0),"")</f>
        <v>2</v>
      </c>
      <c r="G196" s="54">
        <f ca="1">IFERROR(VLOOKUP(F177,'RR-3.1-5TH'!$A$12:'RR-3.1-5TH'!$BN$111,26,0),"")</f>
        <v>0</v>
      </c>
      <c r="H196" s="54">
        <f ca="1">IFERROR(VLOOKUP(F177,'RR-3.1-5TH'!$A$12:'RR-3.1-5TH'!$BN$111,27,0),"")</f>
        <v>0</v>
      </c>
      <c r="I196" s="54">
        <f ca="1">IFERROR(VLOOKUP(F177,'RR-3.1-5TH'!$A$12:'RR-3.1-5TH'!$BN$111,28,0),"")</f>
        <v>0</v>
      </c>
      <c r="J196" s="54">
        <f ca="1">IFERROR(VLOOKUP(F177,'RR-3.1-5TH'!$A$12:'RR-3.1-5TH'!$BN$111,29,0),"")</f>
        <v>15</v>
      </c>
      <c r="K196" s="54">
        <f ca="1">IFERROR(VLOOKUP(F177,'RR-3.1-5TH'!$A$12:'RR-3.1-5TH'!$BN$111,30,0),"")</f>
        <v>0</v>
      </c>
      <c r="L196" s="55">
        <f ca="1" t="shared" si="9"/>
        <v>17</v>
      </c>
      <c r="M196" s="56" t="str">
        <f ca="1">IF(F177&gt;ENTRY!$D$24,"",IF(L196=0,"Ab",IF(L196&gt;80,"A",IF(L196&gt;60,"B",IF(L196&gt;44,"C",IF(L196&gt;=33,"D",IF(L196&lt;=32,"E","")))))))</f>
        <v>E</v>
      </c>
      <c r="N196" s="29"/>
      <c r="O196" s="29"/>
      <c r="P196" s="19"/>
      <c r="Q196" s="19"/>
      <c r="R196" s="11"/>
    </row>
    <row r="197" s="1" customFormat="1" ht="21.95" customHeight="1" spans="1:18">
      <c r="A197" s="7"/>
      <c r="B197" s="12"/>
      <c r="C197" s="33"/>
      <c r="D197" s="52" t="s">
        <v>719</v>
      </c>
      <c r="E197" s="53"/>
      <c r="F197" s="54">
        <f ca="1">IFERROR(VLOOKUP(F177,'RR-3.1-5TH'!$A$12:'RR-3.1-5TH'!$BN$111,33,0),"")</f>
        <v>2</v>
      </c>
      <c r="G197" s="54">
        <f ca="1">IFERROR(VLOOKUP(F177,'RR-3.1-5TH'!$A$12:'RR-3.1-5TH'!$BN$111,34,0),"")</f>
        <v>0</v>
      </c>
      <c r="H197" s="54">
        <f ca="1">IFERROR(VLOOKUP(F177,'RR-3.1-5TH'!$A$12:'RR-3.1-5TH'!$BN$111,35,0),"")</f>
        <v>0</v>
      </c>
      <c r="I197" s="54">
        <f ca="1">IFERROR(VLOOKUP(F177,'RR-3.1-5TH'!$A$12:'RR-3.1-5TH'!$BN$111,36,0),"")</f>
        <v>0</v>
      </c>
      <c r="J197" s="54">
        <f ca="1">IFERROR(VLOOKUP(F177,'RR-3.1-5TH'!$A$12:'RR-3.1-5TH'!$BN$111,37,0),"")</f>
        <v>15</v>
      </c>
      <c r="K197" s="54">
        <f ca="1">IFERROR(VLOOKUP(F177,'RR-3.1-5TH'!$A$12:'RR-3.1-5TH'!$BN$111,38,0),"")</f>
        <v>0</v>
      </c>
      <c r="L197" s="55">
        <f ca="1" t="shared" si="9"/>
        <v>17</v>
      </c>
      <c r="M197" s="56" t="str">
        <f ca="1">IF(F177&gt;ENTRY!$D$24,"",IF(L197=0,"Ab",IF(L197&gt;80,"A",IF(L197&gt;60,"B",IF(L197&gt;44,"C",IF(L197&gt;=33,"D",IF(L197&lt;=32,"E","")))))))</f>
        <v>E</v>
      </c>
      <c r="N197" s="29"/>
      <c r="O197" s="29"/>
      <c r="P197" s="19"/>
      <c r="Q197" s="19"/>
      <c r="R197" s="11"/>
    </row>
    <row r="198" s="1" customFormat="1" ht="21.95" customHeight="1" spans="1:18">
      <c r="A198" s="7"/>
      <c r="B198" s="12"/>
      <c r="C198" s="33"/>
      <c r="D198" s="52" t="s">
        <v>548</v>
      </c>
      <c r="E198" s="53"/>
      <c r="F198" s="54">
        <f ca="1">IFERROR(VLOOKUP(F177,'RR-3.1-5TH'!$A$12:'RR-3.1-5TH'!$BN$111,41,0),"")</f>
        <v>0</v>
      </c>
      <c r="G198" s="54">
        <f ca="1">IFERROR(VLOOKUP(F177,'RR-3.1-5TH'!$A$12:'RR-3.1-5TH'!$BN$111,42,0),"")</f>
        <v>0</v>
      </c>
      <c r="H198" s="54">
        <f ca="1">IFERROR(VLOOKUP(F177,'RR-3.1-5TH'!$A$12:'RR-3.1-5TH'!$BN$111,43,0),"")</f>
        <v>0</v>
      </c>
      <c r="I198" s="54">
        <f ca="1">IFERROR(VLOOKUP(F177,'RR-3.1-5TH'!$A$12:'RR-3.1-5TH'!$BN$111,44,0),"")</f>
        <v>0</v>
      </c>
      <c r="J198" s="54">
        <f ca="1">IFERROR(VLOOKUP(F177,'RR-3.1-5TH'!$A$12:'RR-3.1-5TH'!$BN$111,45,0),"")</f>
        <v>11</v>
      </c>
      <c r="K198" s="54">
        <f ca="1">IFERROR(VLOOKUP(F177,'RR-3.1-5TH'!$A$12:'RR-3.1-5TH'!$BN$111,46,0),"")</f>
        <v>0</v>
      </c>
      <c r="L198" s="55">
        <f ca="1" t="shared" si="9"/>
        <v>11</v>
      </c>
      <c r="M198" s="56" t="str">
        <f ca="1">IF(F177&gt;ENTRY!$D$24,"",IF(L198=0,"Ab",IF(L198&gt;80,"A",IF(L198&gt;60,"B",IF(L198&gt;44,"C",IF(L198&gt;=33,"D",IF(L198&lt;=32,"E","")))))))</f>
        <v>E</v>
      </c>
      <c r="N198" s="29"/>
      <c r="O198" s="29"/>
      <c r="P198" s="19"/>
      <c r="Q198" s="19"/>
      <c r="R198" s="11"/>
    </row>
    <row r="199" s="1" customFormat="1" ht="21.95" customHeight="1" spans="1:18">
      <c r="A199" s="7"/>
      <c r="B199" s="12"/>
      <c r="C199" s="33"/>
      <c r="D199" s="52" t="s">
        <v>549</v>
      </c>
      <c r="E199" s="53"/>
      <c r="F199" s="54">
        <f ca="1">IFERROR(VLOOKUP(F177,'RR-3.1-5TH'!$A$12:'RR-3.1-5TH'!$BN$111,49,0),"")</f>
        <v>1</v>
      </c>
      <c r="G199" s="54">
        <f ca="1">IFERROR(VLOOKUP(F177,'RR-3.1-5TH'!$A$12:'RR-3.1-5TH'!$BN$111,50,0),"")</f>
        <v>0</v>
      </c>
      <c r="H199" s="54">
        <f ca="1">IFERROR(VLOOKUP(F177,'RR-3.1-5TH'!$A$12:'RR-3.1-5TH'!$BN$111,51,0),"")</f>
        <v>0</v>
      </c>
      <c r="I199" s="54">
        <f ca="1">IFERROR(VLOOKUP(F177,'RR-3.1-5TH'!$A$12:'RR-3.1-5TH'!$BN$111,52,0),"")</f>
        <v>0</v>
      </c>
      <c r="J199" s="54">
        <f ca="1">IFERROR(VLOOKUP(F177,'RR-3.1-5TH'!$A$12:'RR-3.1-5TH'!$BN$111,53,0),"")</f>
        <v>25</v>
      </c>
      <c r="K199" s="54">
        <f ca="1">IFERROR(VLOOKUP(F177,'RR-3.1-5TH'!$A$12:'RR-3.1-5TH'!$BN$111,54,0),"")</f>
        <v>0</v>
      </c>
      <c r="L199" s="55">
        <f ca="1" t="shared" si="9"/>
        <v>26</v>
      </c>
      <c r="M199" s="56" t="str">
        <f ca="1">IF(F177&gt;ENTRY!$D$24,"",IF(L199=0,"Ab",IF(L199&gt;80,"A",IF(L199&gt;60,"B",IF(L199&gt;44,"C",IF(L199&gt;=33,"D",IF(L199&lt;=32,"E","")))))))</f>
        <v>E</v>
      </c>
      <c r="N199" s="57" t="s">
        <v>752</v>
      </c>
      <c r="O199" s="58"/>
      <c r="P199" s="59"/>
      <c r="Q199" s="19"/>
      <c r="R199" s="11"/>
    </row>
    <row r="200" s="1" customFormat="1" ht="21.95" customHeight="1" spans="1:18">
      <c r="A200" s="7"/>
      <c r="B200" s="12"/>
      <c r="C200" s="33"/>
      <c r="D200" s="52" t="s">
        <v>753</v>
      </c>
      <c r="E200" s="53"/>
      <c r="F200" s="60"/>
      <c r="G200" s="54"/>
      <c r="H200" s="54"/>
      <c r="I200" s="54"/>
      <c r="J200" s="54"/>
      <c r="K200" s="54"/>
      <c r="L200" s="55">
        <f t="shared" ref="L200" si="10">SUM(G200:K200)</f>
        <v>0</v>
      </c>
      <c r="M200" s="56" t="str">
        <f>IF(F177&gt;ENTRY!$D$24,"",IF(L200=0,"",IF(L200&gt;79,"A",IF(L200&gt;59,"B",IF(L200&gt;44,"C",IF(L200&gt;=33,"D",IF(L200&lt;=32,"E","")))))))</f>
        <v/>
      </c>
      <c r="N200" s="58"/>
      <c r="O200" s="58"/>
      <c r="P200" s="59"/>
      <c r="Q200" s="19"/>
      <c r="R200" s="11"/>
    </row>
    <row r="201" s="1" customFormat="1" ht="21.95" customHeight="1" spans="1:18">
      <c r="A201" s="7"/>
      <c r="B201" s="12"/>
      <c r="C201" s="33"/>
      <c r="D201" s="45" t="s">
        <v>382</v>
      </c>
      <c r="E201" s="46"/>
      <c r="F201" s="54">
        <f ca="1" t="shared" ref="F201:L201" si="11">IFERROR(SUM(F194:F200),"")</f>
        <v>8</v>
      </c>
      <c r="G201" s="54">
        <f ca="1" t="shared" si="11"/>
        <v>0</v>
      </c>
      <c r="H201" s="54">
        <f ca="1" t="shared" si="11"/>
        <v>0</v>
      </c>
      <c r="I201" s="54">
        <f ca="1" t="shared" si="11"/>
        <v>0</v>
      </c>
      <c r="J201" s="54">
        <f ca="1" t="shared" si="11"/>
        <v>102</v>
      </c>
      <c r="K201" s="54">
        <f ca="1" t="shared" si="11"/>
        <v>0</v>
      </c>
      <c r="L201" s="55">
        <f ca="1" t="shared" si="11"/>
        <v>110</v>
      </c>
      <c r="M201" s="61" t="str">
        <f ca="1">IF(F177&gt;ENTRY!$D$24,"",IF(N202="Ab","Ab",IF(N202&gt;79.5,"A",IF(N202&gt;59.5,"B",IF(N202&gt;44.5,"C",IF(N202&gt;=33,"D",IF(N202&lt;33,"E","")))))))</f>
        <v>E</v>
      </c>
      <c r="N201" s="62"/>
      <c r="O201" s="58"/>
      <c r="P201" s="59"/>
      <c r="Q201" s="19"/>
      <c r="R201" s="11"/>
    </row>
    <row r="202" s="1" customFormat="1" ht="21.95" customHeight="1" spans="1:18">
      <c r="A202" s="7"/>
      <c r="B202" s="12"/>
      <c r="C202" s="33"/>
      <c r="D202" s="63" t="s">
        <v>721</v>
      </c>
      <c r="E202" s="63"/>
      <c r="F202" s="63"/>
      <c r="G202" s="63"/>
      <c r="H202" s="63"/>
      <c r="I202" s="63"/>
      <c r="J202" s="63"/>
      <c r="K202" s="63"/>
      <c r="L202" s="63"/>
      <c r="M202" s="63"/>
      <c r="N202" s="64">
        <f ca="1">IF(L201="Ab","Ab",L201/6)</f>
        <v>18.3333333333333</v>
      </c>
      <c r="O202" s="65"/>
      <c r="P202" s="19"/>
      <c r="Q202" s="19"/>
      <c r="R202" s="11"/>
    </row>
    <row r="203" s="1" customFormat="1" ht="21.95" customHeight="1" spans="1:18">
      <c r="A203" s="7"/>
      <c r="B203" s="12"/>
      <c r="C203" s="33"/>
      <c r="D203" s="29" t="s">
        <v>716</v>
      </c>
      <c r="E203" s="18" t="str">
        <f>IFERROR(VLOOKUP(F177,'1to4-2.1-RR'!$A$12:$BG$111,57,0),"")</f>
        <v>PROMOTED</v>
      </c>
      <c r="F203" s="18"/>
      <c r="G203" s="18"/>
      <c r="H203" s="18"/>
      <c r="I203" s="18"/>
      <c r="J203" s="18"/>
      <c r="K203" s="18"/>
      <c r="L203" s="18"/>
      <c r="M203" s="18"/>
      <c r="N203" s="29"/>
      <c r="O203" s="29"/>
      <c r="P203" s="19"/>
      <c r="Q203" s="19"/>
      <c r="R203" s="11"/>
    </row>
    <row r="204" s="1" customFormat="1" ht="9.95" customHeight="1" spans="1:18">
      <c r="A204" s="7"/>
      <c r="B204" s="12"/>
      <c r="C204" s="33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19"/>
      <c r="Q204" s="19"/>
      <c r="R204" s="11"/>
    </row>
    <row r="205" s="1" customFormat="1" ht="36" spans="1:18">
      <c r="A205" s="7"/>
      <c r="B205" s="12"/>
      <c r="C205" s="33"/>
      <c r="D205" s="66" t="s">
        <v>576</v>
      </c>
      <c r="E205" s="67" t="s">
        <v>754</v>
      </c>
      <c r="F205" s="47">
        <f>IF(F177&gt;ENTRY!$D$24,"",IFERROR(VLOOKUP(F177,PASHEET!$A$4:$CJ$103,88,0),""))</f>
        <v>417</v>
      </c>
      <c r="G205" s="67" t="s">
        <v>755</v>
      </c>
      <c r="H205" s="47">
        <f>IF(F177&gt;ENTRY!$D$24,"",IFERROR(VLOOKUP(F177,PASHEET!$A$4:$CJ$103,87,0),""))</f>
        <v>220</v>
      </c>
      <c r="I205" s="68" t="s">
        <v>756</v>
      </c>
      <c r="J205" s="69">
        <f>IF(F177&gt;ENTRY!$D$24,"",IFERROR(IF(F177&gt;0,H205/F205*100),""))</f>
        <v>52.757793764988</v>
      </c>
      <c r="K205" s="60" t="s">
        <v>757</v>
      </c>
      <c r="L205" s="70">
        <f ca="1">IF(F177&gt;ENTRY!$D$24,"",IFERROR(L201/600*100,""))</f>
        <v>18.3333333333333</v>
      </c>
      <c r="M205" s="47" t="str">
        <f ca="1">IF(F177&gt;ENTRY!$D$24,"",IFERROR(L201&amp;" / "&amp;"600",""))</f>
        <v>110 / 600</v>
      </c>
      <c r="N205" s="29"/>
      <c r="O205" s="29"/>
      <c r="P205" s="19"/>
      <c r="Q205" s="19"/>
      <c r="R205" s="11"/>
    </row>
    <row r="206" s="1" customFormat="1" ht="9.95" customHeight="1" spans="1:18">
      <c r="A206" s="7"/>
      <c r="B206" s="12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1"/>
      <c r="Q206" s="19"/>
      <c r="R206" s="11"/>
    </row>
    <row r="207" s="1" customFormat="1" ht="9.95" customHeight="1" spans="1:18">
      <c r="A207" s="7"/>
      <c r="B207" s="12"/>
      <c r="C207" s="71"/>
      <c r="D207" s="71"/>
      <c r="E207" s="71"/>
      <c r="F207" s="29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19"/>
      <c r="R207" s="11"/>
    </row>
    <row r="208" s="1" customFormat="1" ht="9.95" customHeight="1" spans="1:18">
      <c r="A208" s="7"/>
      <c r="B208" s="12"/>
      <c r="C208" s="29"/>
      <c r="D208" s="29"/>
      <c r="E208" s="29"/>
      <c r="F208" s="72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19"/>
      <c r="R208" s="11"/>
    </row>
    <row r="209" s="1" customFormat="1" ht="9.95" customHeight="1" spans="1:19">
      <c r="A209" s="7"/>
      <c r="B209" s="12"/>
      <c r="C209" s="30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2"/>
      <c r="Q209" s="19"/>
      <c r="R209" s="11"/>
    </row>
    <row r="210" s="1" customFormat="1" ht="21.95" customHeight="1" spans="1:19">
      <c r="A210" s="7"/>
      <c r="B210" s="12"/>
      <c r="C210" s="73" t="s">
        <v>7</v>
      </c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74"/>
      <c r="Q210" s="19"/>
      <c r="R210" s="11"/>
      <c r="S210" s="2"/>
    </row>
    <row r="211" s="1" customFormat="1" ht="21.95" customHeight="1" spans="1:19">
      <c r="A211" s="7"/>
      <c r="B211" s="12"/>
      <c r="C211" s="33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19"/>
      <c r="Q211" s="19"/>
      <c r="R211" s="11"/>
    </row>
    <row r="212" s="1" customFormat="1" ht="21.95" customHeight="1" spans="1:19">
      <c r="A212" s="7"/>
      <c r="B212" s="12"/>
      <c r="C212" s="75" t="str">
        <f>"SESSION-"&amp;ENTRY!$D$11</f>
        <v>SESSION-2026-27</v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76"/>
      <c r="Q212" s="19"/>
      <c r="R212" s="11"/>
    </row>
    <row r="213" s="1" customFormat="1" ht="18" customHeight="1" spans="1:19">
      <c r="A213" s="7"/>
      <c r="B213" s="12"/>
      <c r="C213" s="33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19"/>
      <c r="Q213" s="19"/>
      <c r="R213" s="11"/>
    </row>
    <row r="214" s="1" customFormat="1" ht="21.95" customHeight="1" spans="1:19">
      <c r="A214" s="7"/>
      <c r="B214" s="12"/>
      <c r="C214" s="33"/>
      <c r="D214" s="77" t="s">
        <v>758</v>
      </c>
      <c r="E214" s="77"/>
      <c r="F214" s="78" t="str">
        <f>IFERROR(PROPER(VLOOKUP(F177,STUDENT!$A$2:$BP$101,5,0)),"")</f>
        <v>Prince Kumar Ray</v>
      </c>
      <c r="G214" s="78"/>
      <c r="H214" s="78"/>
      <c r="I214" s="78"/>
      <c r="J214" s="78"/>
      <c r="K214" s="78"/>
      <c r="L214" s="78"/>
      <c r="M214" s="78"/>
      <c r="N214" s="79" t="s">
        <v>759</v>
      </c>
      <c r="O214" s="79"/>
      <c r="P214" s="19"/>
      <c r="Q214" s="19"/>
      <c r="R214" s="11"/>
    </row>
    <row r="215" s="1" customFormat="1" ht="21.95" customHeight="1" spans="1:19">
      <c r="A215" s="7"/>
      <c r="B215" s="12"/>
      <c r="C215" s="33"/>
      <c r="D215" s="80" t="s">
        <v>760</v>
      </c>
      <c r="E215" s="81" t="str">
        <f>IFERROR(PROPER(VLOOKUP(F177,STUDENT!$A$2:$BP$101,9,0)),"")</f>
        <v>Sobha Devi</v>
      </c>
      <c r="F215" s="81"/>
      <c r="G215" s="81"/>
      <c r="H215" s="80" t="s">
        <v>761</v>
      </c>
      <c r="I215" s="82" t="str">
        <f>IFERROR(PROPER(VLOOKUP(F177,STUDENT!$A$2:$BP$101,8,0)),"")</f>
        <v>Ramsharan Ray</v>
      </c>
      <c r="J215" s="82"/>
      <c r="K215" s="82"/>
      <c r="L215" s="82"/>
      <c r="M215" s="80" t="s">
        <v>762</v>
      </c>
      <c r="N215" s="83" t="str">
        <f>IFERROR(VLOOKUP(F177,STUDENT!$A$2:$BP$101,59,0),"")</f>
        <v/>
      </c>
      <c r="O215" s="83"/>
      <c r="P215" s="19"/>
      <c r="Q215" s="19"/>
      <c r="R215" s="11"/>
    </row>
    <row r="216" s="1" customFormat="1" ht="21.95" customHeight="1" spans="1:19">
      <c r="A216" s="7"/>
      <c r="B216" s="12"/>
      <c r="C216" s="33"/>
      <c r="D216" s="77" t="str">
        <f>"has    completed     his  /  her     primary     level     education    in    the    year    "&amp;RIGHT(ENTRY!$D182,4)&amp;"    from    ( School    Name )"</f>
        <v>has    completed     his  /  her     primary     level     education    in    the    year        from    ( School    Name )</v>
      </c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19"/>
      <c r="Q216" s="19"/>
      <c r="R216" s="11"/>
    </row>
    <row r="217" s="1" customFormat="1" ht="21.95" customHeight="1" spans="1:19">
      <c r="A217" s="7"/>
      <c r="B217" s="12"/>
      <c r="C217" s="33"/>
      <c r="D217" s="81" t="str">
        <f>IF(F177&gt;0,ENTRY!$D$6,"")</f>
        <v>MCP NITHARI NO 1 BOYS</v>
      </c>
      <c r="E217" s="81"/>
      <c r="F217" s="81"/>
      <c r="G217" s="81"/>
      <c r="H217" s="81"/>
      <c r="I217" s="81"/>
      <c r="J217" s="81"/>
      <c r="K217" s="81"/>
      <c r="L217" s="81"/>
      <c r="M217" s="80" t="s">
        <v>763</v>
      </c>
      <c r="N217" s="84">
        <f>IF(F177&gt;0,ENTRY!$D$7,"")</f>
        <v>0</v>
      </c>
      <c r="O217" s="84"/>
      <c r="P217" s="85" t="s">
        <v>727</v>
      </c>
      <c r="Q217" s="19"/>
      <c r="R217" s="11"/>
    </row>
    <row r="218" s="1" customFormat="1" ht="21.95" customHeight="1" spans="1:19">
      <c r="A218" s="7"/>
      <c r="B218" s="12"/>
      <c r="C218" s="33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19"/>
      <c r="Q218" s="19"/>
      <c r="R218" s="11"/>
    </row>
    <row r="219" s="1" customFormat="1" ht="21.95" customHeight="1" spans="1:19">
      <c r="A219" s="7"/>
      <c r="B219" s="12"/>
      <c r="C219" s="33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19"/>
      <c r="Q219" s="19"/>
      <c r="R219" s="11"/>
    </row>
    <row r="220" s="1" customFormat="1" ht="21.95" customHeight="1" spans="1:19">
      <c r="A220" s="7"/>
      <c r="B220" s="12"/>
      <c r="C220" s="33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19"/>
      <c r="Q220" s="19"/>
      <c r="R220" s="11"/>
    </row>
    <row r="221" s="1" customFormat="1" ht="21.95" customHeight="1" spans="1:19">
      <c r="A221" s="7"/>
      <c r="B221" s="12"/>
      <c r="C221" s="33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19"/>
      <c r="Q221" s="19"/>
      <c r="R221" s="11"/>
    </row>
    <row r="222" s="1" customFormat="1" ht="21.95" customHeight="1" spans="1:19">
      <c r="A222" s="7"/>
      <c r="B222" s="12"/>
      <c r="C222" s="33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19"/>
      <c r="Q222" s="19"/>
      <c r="R222" s="11"/>
    </row>
    <row r="223" s="1" customFormat="1" ht="21.95" customHeight="1" spans="1:19">
      <c r="A223" s="7"/>
      <c r="B223" s="12"/>
      <c r="C223" s="33"/>
      <c r="D223" s="80" t="s">
        <v>728</v>
      </c>
      <c r="E223" s="86">
        <f>ENTRY!$D$27</f>
        <v>46102</v>
      </c>
      <c r="F223" s="86"/>
      <c r="G223" s="29"/>
      <c r="H223" s="29"/>
      <c r="I223" s="29"/>
      <c r="J223" s="29"/>
      <c r="K223" s="29"/>
      <c r="L223" s="29"/>
      <c r="M223" s="87" t="s">
        <v>730</v>
      </c>
      <c r="N223" s="87"/>
      <c r="O223" s="87"/>
      <c r="P223" s="19"/>
      <c r="Q223" s="19"/>
      <c r="R223" s="11"/>
    </row>
    <row r="224" s="1" customFormat="1" ht="21.95" customHeight="1" spans="1:19">
      <c r="A224" s="7"/>
      <c r="B224" s="12"/>
      <c r="C224" s="33"/>
      <c r="D224" s="80" t="s">
        <v>731</v>
      </c>
      <c r="E224" s="88" t="str">
        <f>PROPER(ENTRY!$D$28)</f>
        <v>New Delhi</v>
      </c>
      <c r="F224" s="88"/>
      <c r="G224" s="29"/>
      <c r="H224" s="29"/>
      <c r="I224" s="29"/>
      <c r="J224" s="29"/>
      <c r="K224" s="29"/>
      <c r="L224" s="29"/>
      <c r="M224" s="89" t="s">
        <v>732</v>
      </c>
      <c r="N224" s="89"/>
      <c r="O224" s="89"/>
      <c r="P224" s="19"/>
      <c r="Q224" s="19"/>
      <c r="R224" s="11"/>
    </row>
    <row r="225" s="1" customFormat="1" ht="21.95" customHeight="1" spans="1:18">
      <c r="A225" s="7"/>
      <c r="B225" s="12"/>
      <c r="C225" s="90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2"/>
      <c r="Q225" s="14"/>
      <c r="R225" s="11"/>
    </row>
    <row r="226" s="1" customFormat="1" ht="5.1" customHeight="1" spans="1:18">
      <c r="A226" s="7"/>
      <c r="B226" s="90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2"/>
      <c r="R226" s="11"/>
    </row>
    <row r="227" s="1" customFormat="1" ht="5.1" customHeight="1" spans="1:18">
      <c r="A227" s="93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5"/>
    </row>
    <row r="228" s="2" customFormat="1" ht="9.95" customHeight="1"/>
    <row r="229" s="1" customFormat="1" ht="5.1" customHeight="1" spans="1:18">
      <c r="A229" s="4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6"/>
    </row>
    <row r="230" s="1" customFormat="1" ht="15" customHeight="1" spans="1:18">
      <c r="A230" s="7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0"/>
      <c r="R230" s="11"/>
    </row>
    <row r="231" s="1" customFormat="1" ht="21.95" customHeight="1" spans="1:18">
      <c r="A231" s="7"/>
      <c r="B231" s="12"/>
      <c r="C231" s="13" t="s">
        <v>7</v>
      </c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4"/>
      <c r="R231" s="11"/>
    </row>
    <row r="232" s="1" customFormat="1" ht="21.95" customHeight="1" spans="1:18">
      <c r="A232" s="7"/>
      <c r="B232" s="1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14"/>
      <c r="R232" s="11"/>
    </row>
    <row r="233" s="1" customFormat="1" ht="21.95" customHeight="1" spans="1:18">
      <c r="A233" s="7"/>
      <c r="B233" s="12"/>
      <c r="C233" s="15" t="str">
        <f>"SESSION-"&amp;ENTRY!$D$11</f>
        <v>SESSION-2026-27</v>
      </c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4"/>
      <c r="R233" s="11"/>
    </row>
    <row r="234" s="1" customFormat="1" ht="21.95" customHeight="1" spans="1:18">
      <c r="A234" s="7"/>
      <c r="B234" s="12"/>
      <c r="C234" s="2"/>
      <c r="D234" s="2"/>
      <c r="E234" s="2"/>
      <c r="F234" s="16">
        <f>F177+1</f>
        <v>5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14"/>
      <c r="R234" s="11"/>
    </row>
    <row r="235" s="1" customFormat="1" ht="21.95" customHeight="1" spans="1:18">
      <c r="A235" s="7"/>
      <c r="B235" s="12"/>
      <c r="C235" s="17" t="s">
        <v>392</v>
      </c>
      <c r="D235" s="17"/>
      <c r="E235" s="17"/>
      <c r="F235" s="18" t="str">
        <f>IF(F234&gt;0,ENTRY!$D$6,"")</f>
        <v>MCP NITHARI NO 1 BOYS</v>
      </c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9"/>
      <c r="R235" s="11"/>
    </row>
    <row r="236" s="1" customFormat="1" ht="21.95" customHeight="1" spans="1:18">
      <c r="A236" s="7"/>
      <c r="B236" s="12"/>
      <c r="C236" s="17" t="s">
        <v>393</v>
      </c>
      <c r="D236" s="17"/>
      <c r="E236" s="17"/>
      <c r="F236" s="18">
        <f>IF(F234&gt;0,ENTRY!$D$7,"")</f>
        <v>0</v>
      </c>
      <c r="G236" s="18"/>
      <c r="H236" s="20" t="s">
        <v>702</v>
      </c>
      <c r="I236" s="20"/>
      <c r="J236" s="21">
        <f>IF(F234&gt;0,ENTRY!$D$10,"")</f>
        <v>40</v>
      </c>
      <c r="K236" s="20" t="s">
        <v>703</v>
      </c>
      <c r="L236" s="22" t="str">
        <f>IF(F234&gt;0,ENTRY!$D$5,"")</f>
        <v>ROHINI ZONE</v>
      </c>
      <c r="M236" s="22"/>
      <c r="N236" s="22"/>
      <c r="O236" s="22"/>
      <c r="P236" s="22"/>
      <c r="Q236" s="19"/>
      <c r="R236" s="11"/>
    </row>
    <row r="237" s="1" customFormat="1" ht="21.95" customHeight="1" spans="1:18">
      <c r="A237" s="7"/>
      <c r="B237" s="12"/>
      <c r="C237" s="17" t="s">
        <v>706</v>
      </c>
      <c r="D237" s="17"/>
      <c r="E237" s="17"/>
      <c r="F237" s="23" t="str">
        <f>IFERROR(VLOOKUP(F234,STUDENT!$A$2:$BP$101,5,0),"")</f>
        <v>KIRSHNA</v>
      </c>
      <c r="G237" s="23"/>
      <c r="H237" s="23"/>
      <c r="I237" s="23"/>
      <c r="J237" s="23"/>
      <c r="K237" s="23"/>
      <c r="L237" s="20" t="s">
        <v>707</v>
      </c>
      <c r="M237" s="20"/>
      <c r="N237" s="24" t="str">
        <f>IF(F234&gt;0,ENTRY!$D$20&amp;"-"&amp;ENTRY!$D$21,"")</f>
        <v>III-A</v>
      </c>
      <c r="O237" s="24"/>
      <c r="P237" s="24"/>
      <c r="Q237" s="19"/>
      <c r="R237" s="11"/>
    </row>
    <row r="238" s="1" customFormat="1" ht="21.95" customHeight="1" spans="1:18">
      <c r="A238" s="7"/>
      <c r="B238" s="12"/>
      <c r="C238" s="17" t="s">
        <v>708</v>
      </c>
      <c r="D238" s="17"/>
      <c r="E238" s="17"/>
      <c r="F238" s="25">
        <f>IFERROR(VLOOKUP(F234,STUDENT!$A$2:$BP$101,6,0),"")</f>
        <v>14785</v>
      </c>
      <c r="G238" s="25"/>
      <c r="H238" s="26" t="s">
        <v>709</v>
      </c>
      <c r="I238" s="27" t="str">
        <f>IFERROR(VLOOKUP(F234,STUDENT!$A$2:$BP$101,59,0),"")</f>
        <v/>
      </c>
      <c r="J238" s="27"/>
      <c r="K238" s="20" t="s">
        <v>710</v>
      </c>
      <c r="L238" s="20"/>
      <c r="M238" s="28">
        <f>IFERROR(VLOOKUP(F234,STUDENT!$A$2:$BP$101,20,0),"")</f>
        <v>7065572520</v>
      </c>
      <c r="N238" s="28"/>
      <c r="O238" s="28"/>
      <c r="P238" s="28"/>
      <c r="Q238" s="19"/>
      <c r="R238" s="11"/>
    </row>
    <row r="239" s="1" customFormat="1" ht="21.95" customHeight="1" spans="1:18">
      <c r="A239" s="7"/>
      <c r="B239" s="12"/>
      <c r="C239" s="17" t="s">
        <v>711</v>
      </c>
      <c r="D239" s="17"/>
      <c r="E239" s="17"/>
      <c r="F239" s="23" t="str">
        <f>IFERROR(VLOOKUP(F234,STUDENT!$A$2:$BP$101,9,0),"")</f>
        <v>KHUSHBOO DEVI</v>
      </c>
      <c r="G239" s="23"/>
      <c r="H239" s="23"/>
      <c r="I239" s="23"/>
      <c r="J239" s="17" t="s">
        <v>620</v>
      </c>
      <c r="K239" s="17"/>
      <c r="L239" s="23" t="str">
        <f>IFERROR(VLOOKUP(F234,STUDENT!$A$2:$BP$101,8,0),"")</f>
        <v>VISHNU KASHYAP</v>
      </c>
      <c r="M239" s="23"/>
      <c r="N239" s="23"/>
      <c r="O239" s="23"/>
      <c r="P239" s="23"/>
      <c r="Q239" s="19"/>
      <c r="R239" s="11"/>
    </row>
    <row r="240" s="1" customFormat="1" ht="21.95" customHeight="1" spans="1:18">
      <c r="A240" s="7"/>
      <c r="B240" s="12"/>
      <c r="C240" s="17" t="s">
        <v>712</v>
      </c>
      <c r="D240" s="17"/>
      <c r="E240" s="17"/>
      <c r="F240" s="23" t="str">
        <f>IFERROR(VLOOKUP(F234,STUDENT!$A$2:$BP$101,22,0),"")</f>
        <v>PLOT NO 6, KH NO 36/17 MUBARAKPUR ROAD, A BLOCK , INDER ENCLAVE PHASE-2</v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19"/>
      <c r="R240" s="11"/>
    </row>
    <row r="241" s="1" customFormat="1" ht="9.95" customHeight="1" spans="1:18">
      <c r="A241" s="7"/>
      <c r="B241" s="12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19"/>
      <c r="R241" s="11"/>
    </row>
    <row r="242" s="1" customFormat="1" ht="9.95" customHeight="1" spans="1:18">
      <c r="A242" s="7"/>
      <c r="B242" s="12"/>
      <c r="C242" s="30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2"/>
      <c r="Q242" s="19"/>
      <c r="R242" s="11"/>
    </row>
    <row r="243" s="1" customFormat="1" ht="21.95" customHeight="1" spans="1:18">
      <c r="A243" s="7"/>
      <c r="B243" s="12"/>
      <c r="C243" s="33"/>
      <c r="D243" s="34" t="s">
        <v>713</v>
      </c>
      <c r="E243" s="20" t="s">
        <v>714</v>
      </c>
      <c r="F243" s="35" t="str">
        <f>"Level - "&amp;IFERROR(VLOOKUP(F234,FLN!$A$4:$K$103,9,0),"")</f>
        <v>Level - 2</v>
      </c>
      <c r="G243" s="36"/>
      <c r="H243" s="37" t="s">
        <v>715</v>
      </c>
      <c r="I243" s="20"/>
      <c r="J243" s="35" t="str">
        <f>"Level - "&amp;IFERROR(VLOOKUP(F234,FLN!$A$4:$K$103,11,0),"")</f>
        <v>Level - 3</v>
      </c>
      <c r="K243" s="36"/>
      <c r="L243" s="37" t="s">
        <v>408</v>
      </c>
      <c r="M243" s="20"/>
      <c r="N243" s="35" t="str">
        <f>"Level - "&amp;IFERROR(VLOOKUP(F234,FLN!$A$4:$K$103,10,0),"")</f>
        <v>Level - 2</v>
      </c>
      <c r="O243" s="36"/>
      <c r="P243" s="19"/>
      <c r="Q243" s="19"/>
      <c r="R243" s="11"/>
    </row>
    <row r="244" s="1" customFormat="1" ht="21.95" customHeight="1" spans="1:18">
      <c r="A244" s="7"/>
      <c r="B244" s="12"/>
      <c r="C244" s="33"/>
      <c r="D244" s="38"/>
      <c r="E244" s="20" t="s">
        <v>716</v>
      </c>
      <c r="F244" s="18" t="str">
        <f ca="1">IF(L258&gt;197,"PERFORMED WELL","")</f>
        <v/>
      </c>
      <c r="G244" s="18"/>
      <c r="H244" s="18"/>
      <c r="I244" s="18"/>
      <c r="J244" s="18"/>
      <c r="K244" s="18"/>
      <c r="L244" s="18"/>
      <c r="M244" s="18"/>
      <c r="N244" s="18"/>
      <c r="O244" s="18"/>
      <c r="P244" s="19"/>
      <c r="Q244" s="19"/>
      <c r="R244" s="11"/>
    </row>
    <row r="245" s="1" customFormat="1" ht="9.95" customHeight="1" spans="1:18">
      <c r="A245" s="7"/>
      <c r="B245" s="12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1"/>
      <c r="Q245" s="19"/>
      <c r="R245" s="11"/>
    </row>
    <row r="246" s="1" customFormat="1" ht="9.95" customHeight="1" spans="1:18">
      <c r="A246" s="7"/>
      <c r="B246" s="12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19"/>
      <c r="R246" s="11"/>
    </row>
    <row r="247" s="1" customFormat="1" ht="9.95" customHeight="1" spans="1:18">
      <c r="A247" s="7"/>
      <c r="B247" s="12"/>
      <c r="C247" s="30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2"/>
      <c r="Q247" s="19"/>
      <c r="R247" s="11"/>
    </row>
    <row r="248" s="1" customFormat="1" ht="21.95" customHeight="1" spans="1:18">
      <c r="A248" s="7"/>
      <c r="B248" s="12"/>
      <c r="C248" s="33"/>
      <c r="D248" s="35"/>
      <c r="E248" s="24"/>
      <c r="F248" s="42" t="s">
        <v>717</v>
      </c>
      <c r="G248" s="42"/>
      <c r="H248" s="42"/>
      <c r="I248" s="42"/>
      <c r="J248" s="42"/>
      <c r="K248" s="42"/>
      <c r="L248" s="43"/>
      <c r="M248" s="44"/>
      <c r="N248" s="29"/>
      <c r="O248" s="29"/>
      <c r="P248" s="19"/>
      <c r="Q248" s="19"/>
      <c r="R248" s="11"/>
    </row>
    <row r="249" s="1" customFormat="1" ht="21.95" customHeight="1" spans="1:18">
      <c r="A249" s="7"/>
      <c r="B249" s="12"/>
      <c r="C249" s="33"/>
      <c r="D249" s="45"/>
      <c r="E249" s="46"/>
      <c r="F249" s="47" t="s">
        <v>541</v>
      </c>
      <c r="G249" s="47" t="s">
        <v>542</v>
      </c>
      <c r="H249" s="47" t="s">
        <v>543</v>
      </c>
      <c r="I249" s="47" t="s">
        <v>544</v>
      </c>
      <c r="J249" s="47" t="s">
        <v>561</v>
      </c>
      <c r="K249" s="48" t="s">
        <v>750</v>
      </c>
      <c r="L249" s="47" t="s">
        <v>382</v>
      </c>
      <c r="M249" s="49" t="s">
        <v>546</v>
      </c>
      <c r="N249" s="29"/>
      <c r="O249" s="29"/>
      <c r="P249" s="19"/>
      <c r="Q249" s="19"/>
      <c r="R249" s="11"/>
    </row>
    <row r="250" s="1" customFormat="1" ht="21.95" customHeight="1" spans="1:18">
      <c r="A250" s="7"/>
      <c r="B250" s="12"/>
      <c r="C250" s="33"/>
      <c r="D250" s="45" t="s">
        <v>652</v>
      </c>
      <c r="E250" s="46"/>
      <c r="F250" s="50">
        <v>10</v>
      </c>
      <c r="G250" s="50">
        <v>10</v>
      </c>
      <c r="H250" s="50">
        <v>10</v>
      </c>
      <c r="I250" s="50">
        <v>10</v>
      </c>
      <c r="J250" s="50">
        <v>60</v>
      </c>
      <c r="K250" s="51"/>
      <c r="L250" s="50">
        <v>100</v>
      </c>
      <c r="M250" s="49"/>
      <c r="N250" s="29"/>
      <c r="O250" s="29"/>
      <c r="P250" s="19"/>
      <c r="Q250" s="19"/>
      <c r="R250" s="11"/>
    </row>
    <row r="251" s="1" customFormat="1" ht="21.95" customHeight="1" spans="1:18">
      <c r="A251" s="7"/>
      <c r="B251" s="12"/>
      <c r="C251" s="33"/>
      <c r="D251" s="52" t="s">
        <v>751</v>
      </c>
      <c r="E251" s="53"/>
      <c r="F251" s="54">
        <f ca="1">IFERROR(VLOOKUP(F234,'RR-3.1-5TH'!$A$12:'RR-3.1-5TH'!$BN$111,9,0),"")</f>
        <v>2</v>
      </c>
      <c r="G251" s="54">
        <f ca="1">IFERROR(VLOOKUP(F234,'RR-3.1-5TH'!$A$12:'RR-3.1-5TH'!$BN$111,10,0),"")</f>
        <v>0</v>
      </c>
      <c r="H251" s="54">
        <f ca="1">IFERROR(VLOOKUP(F234,'RR-3.1-5TH'!$A$12:'RR-3.1-5TH'!$BN$111,11,0),"")</f>
        <v>0</v>
      </c>
      <c r="I251" s="54">
        <f ca="1">IFERROR(VLOOKUP(F234,'RR-3.1-5TH'!$A$12:'RR-3.1-5TH'!$BN$111,12,0),"")</f>
        <v>0</v>
      </c>
      <c r="J251" s="54">
        <f ca="1">IFERROR(VLOOKUP(F234,'RR-3.1-5TH'!$A$12:'RR-3.1-5TH'!$BN$111,13,0),"")</f>
        <v>35</v>
      </c>
      <c r="K251" s="54">
        <f ca="1">IFERROR(VLOOKUP(F234,'RR-3.1-5TH'!$A$12:'RR-3.1-5TH'!$BN$111,14,0),"")</f>
        <v>0</v>
      </c>
      <c r="L251" s="55">
        <f ca="1" t="shared" ref="L251:L256" si="12">SUM(F251,G251,H251,I251,J251,K251)</f>
        <v>37</v>
      </c>
      <c r="M251" s="56" t="str">
        <f ca="1">IF(F234&gt;ENTRY!$D$24,"",IF(L251=0,"Ab",IF(L251&gt;80,"A",IF(L251&gt;60,"B",IF(L251&gt;44,"C",IF(L251&gt;=33,"D",IF(L251&lt;=32,"E","")))))))</f>
        <v>D</v>
      </c>
      <c r="N251" s="57" t="s">
        <v>729</v>
      </c>
      <c r="O251" s="58"/>
      <c r="P251" s="59"/>
      <c r="Q251" s="19"/>
      <c r="R251" s="11"/>
    </row>
    <row r="252" s="1" customFormat="1" ht="21.95" customHeight="1" spans="1:18">
      <c r="A252" s="7"/>
      <c r="B252" s="12"/>
      <c r="C252" s="33"/>
      <c r="D252" s="52" t="s">
        <v>513</v>
      </c>
      <c r="E252" s="53"/>
      <c r="F252" s="54">
        <f ca="1">IFERROR(VLOOKUP(F234,'RR-3.1-5TH'!$A$12:'RR-3.1-5TH'!$BN$111,17,0),"")</f>
        <v>1</v>
      </c>
      <c r="G252" s="54">
        <f ca="1">IFERROR(VLOOKUP(F234,'RR-3.1-5TH'!$A$12:'RR-3.1-5TH'!$BN$111,18,0),"")</f>
        <v>0</v>
      </c>
      <c r="H252" s="54">
        <f ca="1">IFERROR(VLOOKUP(F234,'RR-3.1-5TH'!$A$12:'RR-3.1-5TH'!$BN$111,19,0),"")</f>
        <v>0</v>
      </c>
      <c r="I252" s="54">
        <f ca="1">IFERROR(VLOOKUP(F234,'RR-3.1-5TH'!$A$12:'RR-3.1-5TH'!$BN$111,20,0),"")</f>
        <v>0</v>
      </c>
      <c r="J252" s="54">
        <f ca="1">IFERROR(VLOOKUP(F234,'RR-3.1-5TH'!$A$12:'RR-3.1-5TH'!$BN$111,21,0),"")</f>
        <v>19</v>
      </c>
      <c r="K252" s="54">
        <f ca="1">IFERROR(VLOOKUP(F234,'RR-3.1-5TH'!$A$12:'RR-3.1-5TH'!$BN$111,22,0),"")</f>
        <v>0</v>
      </c>
      <c r="L252" s="55">
        <f ca="1" t="shared" si="12"/>
        <v>20</v>
      </c>
      <c r="M252" s="56" t="str">
        <f ca="1">IF(F234&gt;ENTRY!$D$24,"",IF(L252=0,"Ab",IF(L252&gt;80,"A",IF(L252&gt;60,"B",IF(L252&gt;44,"C",IF(L252&gt;=33,"D",IF(L252&lt;=32,"E","")))))))</f>
        <v>E</v>
      </c>
      <c r="N252" s="58"/>
      <c r="O252" s="58"/>
      <c r="P252" s="59"/>
      <c r="Q252" s="19"/>
      <c r="R252" s="11"/>
    </row>
    <row r="253" s="1" customFormat="1" ht="21.95" customHeight="1" spans="1:18">
      <c r="A253" s="7"/>
      <c r="B253" s="12"/>
      <c r="C253" s="33"/>
      <c r="D253" s="52" t="s">
        <v>718</v>
      </c>
      <c r="E253" s="53"/>
      <c r="F253" s="54">
        <f ca="1">IFERROR(VLOOKUP(F234,'RR-3.1-5TH'!$A$12:'RR-3.1-5TH'!$BN$111,25,0),"")</f>
        <v>1</v>
      </c>
      <c r="G253" s="54">
        <f ca="1">IFERROR(VLOOKUP(F234,'RR-3.1-5TH'!$A$12:'RR-3.1-5TH'!$BN$111,26,0),"")</f>
        <v>0</v>
      </c>
      <c r="H253" s="54">
        <f ca="1">IFERROR(VLOOKUP(F234,'RR-3.1-5TH'!$A$12:'RR-3.1-5TH'!$BN$111,27,0),"")</f>
        <v>0</v>
      </c>
      <c r="I253" s="54">
        <f ca="1">IFERROR(VLOOKUP(F234,'RR-3.1-5TH'!$A$12:'RR-3.1-5TH'!$BN$111,28,0),"")</f>
        <v>0</v>
      </c>
      <c r="J253" s="54">
        <f ca="1">IFERROR(VLOOKUP(F234,'RR-3.1-5TH'!$A$12:'RR-3.1-5TH'!$BN$111,29,0),"")</f>
        <v>20</v>
      </c>
      <c r="K253" s="54">
        <f ca="1">IFERROR(VLOOKUP(F234,'RR-3.1-5TH'!$A$12:'RR-3.1-5TH'!$BN$111,30,0),"")</f>
        <v>0</v>
      </c>
      <c r="L253" s="55">
        <f ca="1" t="shared" si="12"/>
        <v>21</v>
      </c>
      <c r="M253" s="56" t="str">
        <f ca="1">IF(F234&gt;ENTRY!$D$24,"",IF(L253=0,"Ab",IF(L253&gt;80,"A",IF(L253&gt;60,"B",IF(L253&gt;44,"C",IF(L253&gt;=33,"D",IF(L253&lt;=32,"E","")))))))</f>
        <v>E</v>
      </c>
      <c r="N253" s="29"/>
      <c r="O253" s="29"/>
      <c r="P253" s="19"/>
      <c r="Q253" s="19"/>
      <c r="R253" s="11"/>
    </row>
    <row r="254" s="1" customFormat="1" ht="21.95" customHeight="1" spans="1:18">
      <c r="A254" s="7"/>
      <c r="B254" s="12"/>
      <c r="C254" s="33"/>
      <c r="D254" s="52" t="s">
        <v>719</v>
      </c>
      <c r="E254" s="53"/>
      <c r="F254" s="54">
        <f ca="1">IFERROR(VLOOKUP(F234,'RR-3.1-5TH'!$A$12:'RR-3.1-5TH'!$BN$111,33,0),"")</f>
        <v>2</v>
      </c>
      <c r="G254" s="54">
        <f ca="1">IFERROR(VLOOKUP(F234,'RR-3.1-5TH'!$A$12:'RR-3.1-5TH'!$BN$111,34,0),"")</f>
        <v>0</v>
      </c>
      <c r="H254" s="54">
        <f ca="1">IFERROR(VLOOKUP(F234,'RR-3.1-5TH'!$A$12:'RR-3.1-5TH'!$BN$111,35,0),"")</f>
        <v>0</v>
      </c>
      <c r="I254" s="54">
        <f ca="1">IFERROR(VLOOKUP(F234,'RR-3.1-5TH'!$A$12:'RR-3.1-5TH'!$BN$111,36,0),"")</f>
        <v>0</v>
      </c>
      <c r="J254" s="54">
        <f ca="1">IFERROR(VLOOKUP(F234,'RR-3.1-5TH'!$A$12:'RR-3.1-5TH'!$BN$111,37,0),"")</f>
        <v>15</v>
      </c>
      <c r="K254" s="54">
        <f ca="1">IFERROR(VLOOKUP(F234,'RR-3.1-5TH'!$A$12:'RR-3.1-5TH'!$BN$111,38,0),"")</f>
        <v>0</v>
      </c>
      <c r="L254" s="55">
        <f ca="1" t="shared" si="12"/>
        <v>17</v>
      </c>
      <c r="M254" s="56" t="str">
        <f ca="1">IF(F234&gt;ENTRY!$D$24,"",IF(L254=0,"Ab",IF(L254&gt;80,"A",IF(L254&gt;60,"B",IF(L254&gt;44,"C",IF(L254&gt;=33,"D",IF(L254&lt;=32,"E","")))))))</f>
        <v>E</v>
      </c>
      <c r="N254" s="29"/>
      <c r="O254" s="29"/>
      <c r="P254" s="19"/>
      <c r="Q254" s="19"/>
      <c r="R254" s="11"/>
    </row>
    <row r="255" s="1" customFormat="1" ht="21.95" customHeight="1" spans="1:18">
      <c r="A255" s="7"/>
      <c r="B255" s="12"/>
      <c r="C255" s="33"/>
      <c r="D255" s="52" t="s">
        <v>548</v>
      </c>
      <c r="E255" s="53"/>
      <c r="F255" s="54">
        <f ca="1">IFERROR(VLOOKUP(F234,'RR-3.1-5TH'!$A$12:'RR-3.1-5TH'!$BN$111,41,0),"")</f>
        <v>0</v>
      </c>
      <c r="G255" s="54">
        <f ca="1">IFERROR(VLOOKUP(F234,'RR-3.1-5TH'!$A$12:'RR-3.1-5TH'!$BN$111,42,0),"")</f>
        <v>0</v>
      </c>
      <c r="H255" s="54">
        <f ca="1">IFERROR(VLOOKUP(F234,'RR-3.1-5TH'!$A$12:'RR-3.1-5TH'!$BN$111,43,0),"")</f>
        <v>0</v>
      </c>
      <c r="I255" s="54">
        <f ca="1">IFERROR(VLOOKUP(F234,'RR-3.1-5TH'!$A$12:'RR-3.1-5TH'!$BN$111,44,0),"")</f>
        <v>0</v>
      </c>
      <c r="J255" s="54">
        <f ca="1">IFERROR(VLOOKUP(F234,'RR-3.1-5TH'!$A$12:'RR-3.1-5TH'!$BN$111,45,0),"")</f>
        <v>18</v>
      </c>
      <c r="K255" s="54">
        <f ca="1">IFERROR(VLOOKUP(F234,'RR-3.1-5TH'!$A$12:'RR-3.1-5TH'!$BN$111,46,0),"")</f>
        <v>0</v>
      </c>
      <c r="L255" s="55">
        <f ca="1" t="shared" si="12"/>
        <v>18</v>
      </c>
      <c r="M255" s="56" t="str">
        <f ca="1">IF(F234&gt;ENTRY!$D$24,"",IF(L255=0,"Ab",IF(L255&gt;80,"A",IF(L255&gt;60,"B",IF(L255&gt;44,"C",IF(L255&gt;=33,"D",IF(L255&lt;=32,"E","")))))))</f>
        <v>E</v>
      </c>
      <c r="N255" s="29"/>
      <c r="O255" s="29"/>
      <c r="P255" s="19"/>
      <c r="Q255" s="19"/>
      <c r="R255" s="11"/>
    </row>
    <row r="256" s="1" customFormat="1" ht="21.95" customHeight="1" spans="1:18">
      <c r="A256" s="7"/>
      <c r="B256" s="12"/>
      <c r="C256" s="33"/>
      <c r="D256" s="52" t="s">
        <v>549</v>
      </c>
      <c r="E256" s="53"/>
      <c r="F256" s="54">
        <f ca="1">IFERROR(VLOOKUP(F234,'RR-3.1-5TH'!$A$12:'RR-3.1-5TH'!$BN$111,49,0),"")</f>
        <v>2</v>
      </c>
      <c r="G256" s="54">
        <f ca="1">IFERROR(VLOOKUP(F234,'RR-3.1-5TH'!$A$12:'RR-3.1-5TH'!$BN$111,50,0),"")</f>
        <v>0</v>
      </c>
      <c r="H256" s="54">
        <f ca="1">IFERROR(VLOOKUP(F234,'RR-3.1-5TH'!$A$12:'RR-3.1-5TH'!$BN$111,51,0),"")</f>
        <v>0</v>
      </c>
      <c r="I256" s="54">
        <f ca="1">IFERROR(VLOOKUP(F234,'RR-3.1-5TH'!$A$12:'RR-3.1-5TH'!$BN$111,52,0),"")</f>
        <v>0</v>
      </c>
      <c r="J256" s="54">
        <f ca="1">IFERROR(VLOOKUP(F234,'RR-3.1-5TH'!$A$12:'RR-3.1-5TH'!$BN$111,53,0),"")</f>
        <v>28</v>
      </c>
      <c r="K256" s="54">
        <f ca="1">IFERROR(VLOOKUP(F234,'RR-3.1-5TH'!$A$12:'RR-3.1-5TH'!$BN$111,54,0),"")</f>
        <v>0</v>
      </c>
      <c r="L256" s="55">
        <f ca="1" t="shared" si="12"/>
        <v>30</v>
      </c>
      <c r="M256" s="56" t="str">
        <f ca="1">IF(F234&gt;ENTRY!$D$24,"",IF(L256=0,"Ab",IF(L256&gt;80,"A",IF(L256&gt;60,"B",IF(L256&gt;44,"C",IF(L256&gt;=33,"D",IF(L256&lt;=32,"E","")))))))</f>
        <v>E</v>
      </c>
      <c r="N256" s="57" t="s">
        <v>752</v>
      </c>
      <c r="O256" s="58"/>
      <c r="P256" s="59"/>
      <c r="Q256" s="19"/>
      <c r="R256" s="11"/>
    </row>
    <row r="257" s="1" customFormat="1" ht="21.95" customHeight="1" spans="1:19">
      <c r="A257" s="7"/>
      <c r="B257" s="12"/>
      <c r="C257" s="33"/>
      <c r="D257" s="52" t="s">
        <v>753</v>
      </c>
      <c r="E257" s="53"/>
      <c r="F257" s="60"/>
      <c r="G257" s="54"/>
      <c r="H257" s="54"/>
      <c r="I257" s="54"/>
      <c r="J257" s="54"/>
      <c r="K257" s="54"/>
      <c r="L257" s="55">
        <f t="shared" ref="L257" si="13">SUM(G257:K257)</f>
        <v>0</v>
      </c>
      <c r="M257" s="56" t="str">
        <f>IF(F234&gt;ENTRY!$D$24,"",IF(L257=0,"",IF(L257&gt;79,"A",IF(L257&gt;59,"B",IF(L257&gt;44,"C",IF(L257&gt;=33,"D",IF(L257&lt;=32,"E","")))))))</f>
        <v/>
      </c>
      <c r="N257" s="58"/>
      <c r="O257" s="58"/>
      <c r="P257" s="59"/>
      <c r="Q257" s="19"/>
      <c r="R257" s="11"/>
    </row>
    <row r="258" s="1" customFormat="1" ht="21.95" customHeight="1" spans="1:19">
      <c r="A258" s="7"/>
      <c r="B258" s="12"/>
      <c r="C258" s="33"/>
      <c r="D258" s="45" t="s">
        <v>382</v>
      </c>
      <c r="E258" s="46"/>
      <c r="F258" s="54">
        <f ca="1" t="shared" ref="F258:L258" si="14">IFERROR(SUM(F251:F257),"")</f>
        <v>8</v>
      </c>
      <c r="G258" s="54">
        <f ca="1" t="shared" si="14"/>
        <v>0</v>
      </c>
      <c r="H258" s="54">
        <f ca="1" t="shared" si="14"/>
        <v>0</v>
      </c>
      <c r="I258" s="54">
        <f ca="1" t="shared" si="14"/>
        <v>0</v>
      </c>
      <c r="J258" s="54">
        <f ca="1" t="shared" si="14"/>
        <v>135</v>
      </c>
      <c r="K258" s="54">
        <f ca="1" t="shared" si="14"/>
        <v>0</v>
      </c>
      <c r="L258" s="55">
        <f ca="1" t="shared" si="14"/>
        <v>143</v>
      </c>
      <c r="M258" s="61" t="str">
        <f ca="1">IF(F234&gt;ENTRY!$D$24,"",IF(N259="Ab","Ab",IF(N259&gt;79.5,"A",IF(N259&gt;59.5,"B",IF(N259&gt;44.5,"C",IF(N259&gt;=33,"D",IF(N259&lt;33,"E","")))))))</f>
        <v>E</v>
      </c>
      <c r="N258" s="62"/>
      <c r="O258" s="58"/>
      <c r="P258" s="59"/>
      <c r="Q258" s="19"/>
      <c r="R258" s="11"/>
    </row>
    <row r="259" s="1" customFormat="1" ht="21.95" customHeight="1" spans="1:19">
      <c r="A259" s="7"/>
      <c r="B259" s="12"/>
      <c r="C259" s="33"/>
      <c r="D259" s="63" t="s">
        <v>721</v>
      </c>
      <c r="E259" s="63"/>
      <c r="F259" s="63"/>
      <c r="G259" s="63"/>
      <c r="H259" s="63"/>
      <c r="I259" s="63"/>
      <c r="J259" s="63"/>
      <c r="K259" s="63"/>
      <c r="L259" s="63"/>
      <c r="M259" s="63"/>
      <c r="N259" s="64">
        <f ca="1">IF(L258="Ab","Ab",L258/6)</f>
        <v>23.8333333333333</v>
      </c>
      <c r="O259" s="65"/>
      <c r="P259" s="19"/>
      <c r="Q259" s="19"/>
      <c r="R259" s="11"/>
    </row>
    <row r="260" s="1" customFormat="1" ht="21.95" customHeight="1" spans="1:19">
      <c r="A260" s="7"/>
      <c r="B260" s="12"/>
      <c r="C260" s="33"/>
      <c r="D260" s="29" t="s">
        <v>716</v>
      </c>
      <c r="E260" s="18" t="str">
        <f>IFERROR(VLOOKUP(F234,'1to4-2.1-RR'!$A$12:$BG$111,57,0),"")</f>
        <v>PROMOTED</v>
      </c>
      <c r="F260" s="18"/>
      <c r="G260" s="18"/>
      <c r="H260" s="18"/>
      <c r="I260" s="18"/>
      <c r="J260" s="18"/>
      <c r="K260" s="18"/>
      <c r="L260" s="18"/>
      <c r="M260" s="18"/>
      <c r="N260" s="29"/>
      <c r="O260" s="29"/>
      <c r="P260" s="19"/>
      <c r="Q260" s="19"/>
      <c r="R260" s="11"/>
    </row>
    <row r="261" s="1" customFormat="1" ht="9.95" customHeight="1" spans="1:19">
      <c r="A261" s="7"/>
      <c r="B261" s="12"/>
      <c r="C261" s="33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19"/>
      <c r="Q261" s="19"/>
      <c r="R261" s="11"/>
    </row>
    <row r="262" s="1" customFormat="1" ht="36" spans="1:19">
      <c r="A262" s="7"/>
      <c r="B262" s="12"/>
      <c r="C262" s="33"/>
      <c r="D262" s="66" t="s">
        <v>576</v>
      </c>
      <c r="E262" s="67" t="s">
        <v>754</v>
      </c>
      <c r="F262" s="47">
        <f>IF(F234&gt;ENTRY!$D$24,"",IFERROR(VLOOKUP(F234,PASHEET!$A$4:$CJ$103,88,0),""))</f>
        <v>200</v>
      </c>
      <c r="G262" s="67" t="s">
        <v>755</v>
      </c>
      <c r="H262" s="47">
        <f>IF(F234&gt;ENTRY!$D$24,"",IFERROR(VLOOKUP(F234,PASHEET!$A$4:$CJ$103,87,0),""))</f>
        <v>140</v>
      </c>
      <c r="I262" s="68" t="s">
        <v>756</v>
      </c>
      <c r="J262" s="69">
        <f>IF(F234&gt;ENTRY!$D$24,"",IFERROR(IF(F234&gt;0,H262/F262*100),""))</f>
        <v>70</v>
      </c>
      <c r="K262" s="60" t="s">
        <v>757</v>
      </c>
      <c r="L262" s="70">
        <f ca="1">IF(F234&gt;ENTRY!$D$24,"",IFERROR(L258/600*100,""))</f>
        <v>23.8333333333333</v>
      </c>
      <c r="M262" s="47" t="str">
        <f ca="1">IF(F234&gt;ENTRY!$D$24,"",IFERROR(L258&amp;" / "&amp;"600",""))</f>
        <v>143 / 600</v>
      </c>
      <c r="N262" s="29"/>
      <c r="O262" s="29"/>
      <c r="P262" s="19"/>
      <c r="Q262" s="19"/>
      <c r="R262" s="11"/>
    </row>
    <row r="263" s="1" customFormat="1" ht="9.95" customHeight="1" spans="1:19">
      <c r="A263" s="7"/>
      <c r="B263" s="12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1"/>
      <c r="Q263" s="19"/>
      <c r="R263" s="11"/>
    </row>
    <row r="264" s="1" customFormat="1" ht="9.95" customHeight="1" spans="1:19">
      <c r="A264" s="7"/>
      <c r="B264" s="12"/>
      <c r="C264" s="71"/>
      <c r="D264" s="71"/>
      <c r="E264" s="71"/>
      <c r="F264" s="29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19"/>
      <c r="R264" s="11"/>
    </row>
    <row r="265" s="1" customFormat="1" ht="9.95" customHeight="1" spans="1:19">
      <c r="A265" s="7"/>
      <c r="B265" s="12"/>
      <c r="C265" s="29"/>
      <c r="D265" s="29"/>
      <c r="E265" s="29"/>
      <c r="F265" s="72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19"/>
      <c r="R265" s="11"/>
    </row>
    <row r="266" s="1" customFormat="1" ht="9.95" customHeight="1" spans="1:19">
      <c r="A266" s="7"/>
      <c r="B266" s="12"/>
      <c r="C266" s="30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2"/>
      <c r="Q266" s="19"/>
      <c r="R266" s="11"/>
    </row>
    <row r="267" s="1" customFormat="1" ht="21.95" customHeight="1" spans="1:19">
      <c r="A267" s="7"/>
      <c r="B267" s="12"/>
      <c r="C267" s="73" t="s">
        <v>7</v>
      </c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74"/>
      <c r="Q267" s="19"/>
      <c r="R267" s="11"/>
      <c r="S267" s="2"/>
    </row>
    <row r="268" s="1" customFormat="1" ht="21.95" customHeight="1" spans="1:19">
      <c r="A268" s="7"/>
      <c r="B268" s="12"/>
      <c r="C268" s="33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19"/>
      <c r="Q268" s="19"/>
      <c r="R268" s="11"/>
    </row>
    <row r="269" s="1" customFormat="1" ht="21.95" customHeight="1" spans="1:19">
      <c r="A269" s="7"/>
      <c r="B269" s="12"/>
      <c r="C269" s="75" t="str">
        <f>"SESSION-"&amp;ENTRY!$D$11</f>
        <v>SESSION-2026-27</v>
      </c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76"/>
      <c r="Q269" s="19"/>
      <c r="R269" s="11"/>
    </row>
    <row r="270" s="1" customFormat="1" ht="18" customHeight="1" spans="1:19">
      <c r="A270" s="7"/>
      <c r="B270" s="12"/>
      <c r="C270" s="33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19"/>
      <c r="Q270" s="19"/>
      <c r="R270" s="11"/>
    </row>
    <row r="271" s="1" customFormat="1" ht="21.95" customHeight="1" spans="1:19">
      <c r="A271" s="7"/>
      <c r="B271" s="12"/>
      <c r="C271" s="33"/>
      <c r="D271" s="77" t="s">
        <v>758</v>
      </c>
      <c r="E271" s="77"/>
      <c r="F271" s="78" t="str">
        <f>IFERROR(PROPER(VLOOKUP(F234,STUDENT!$A$2:$BP$101,5,0)),"")</f>
        <v>Kirshna</v>
      </c>
      <c r="G271" s="78"/>
      <c r="H271" s="78"/>
      <c r="I271" s="78"/>
      <c r="J271" s="78"/>
      <c r="K271" s="78"/>
      <c r="L271" s="78"/>
      <c r="M271" s="78"/>
      <c r="N271" s="79" t="s">
        <v>759</v>
      </c>
      <c r="O271" s="79"/>
      <c r="P271" s="19"/>
      <c r="Q271" s="19"/>
      <c r="R271" s="11"/>
    </row>
    <row r="272" s="1" customFormat="1" ht="21.95" customHeight="1" spans="1:19">
      <c r="A272" s="7"/>
      <c r="B272" s="12"/>
      <c r="C272" s="33"/>
      <c r="D272" s="80" t="s">
        <v>760</v>
      </c>
      <c r="E272" s="81" t="str">
        <f>IFERROR(PROPER(VLOOKUP(F234,STUDENT!$A$2:$BP$101,9,0)),"")</f>
        <v>Khushboo Devi</v>
      </c>
      <c r="F272" s="81"/>
      <c r="G272" s="81"/>
      <c r="H272" s="80" t="s">
        <v>761</v>
      </c>
      <c r="I272" s="82" t="str">
        <f>IFERROR(PROPER(VLOOKUP(F234,STUDENT!$A$2:$BP$101,8,0)),"")</f>
        <v>Vishnu Kashyap</v>
      </c>
      <c r="J272" s="82"/>
      <c r="K272" s="82"/>
      <c r="L272" s="82"/>
      <c r="M272" s="80" t="s">
        <v>762</v>
      </c>
      <c r="N272" s="83" t="str">
        <f>IFERROR(VLOOKUP(F234,STUDENT!$A$2:$BP$101,59,0),"")</f>
        <v/>
      </c>
      <c r="O272" s="83"/>
      <c r="P272" s="19"/>
      <c r="Q272" s="19"/>
      <c r="R272" s="11"/>
    </row>
    <row r="273" s="1" customFormat="1" ht="21.95" customHeight="1" spans="1:18">
      <c r="A273" s="7"/>
      <c r="B273" s="12"/>
      <c r="C273" s="33"/>
      <c r="D273" s="77" t="str">
        <f>"has    completed     his  /  her     primary     level     education    in    the    year    "&amp;RIGHT(ENTRY!$D239,4)&amp;"    from    ( School    Name )"</f>
        <v>has    completed     his  /  her     primary     level     education    in    the    year        from    ( School    Name )</v>
      </c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19"/>
      <c r="Q273" s="19"/>
      <c r="R273" s="11"/>
    </row>
    <row r="274" s="1" customFormat="1" ht="21.95" customHeight="1" spans="1:18">
      <c r="A274" s="7"/>
      <c r="B274" s="12"/>
      <c r="C274" s="33"/>
      <c r="D274" s="81" t="str">
        <f>IF(F234&gt;0,ENTRY!$D$6,"")</f>
        <v>MCP NITHARI NO 1 BOYS</v>
      </c>
      <c r="E274" s="81"/>
      <c r="F274" s="81"/>
      <c r="G274" s="81"/>
      <c r="H274" s="81"/>
      <c r="I274" s="81"/>
      <c r="J274" s="81"/>
      <c r="K274" s="81"/>
      <c r="L274" s="81"/>
      <c r="M274" s="80" t="s">
        <v>763</v>
      </c>
      <c r="N274" s="84">
        <f>IF(F234&gt;0,ENTRY!$D$7,"")</f>
        <v>0</v>
      </c>
      <c r="O274" s="84"/>
      <c r="P274" s="85" t="s">
        <v>727</v>
      </c>
      <c r="Q274" s="19"/>
      <c r="R274" s="11"/>
    </row>
    <row r="275" s="1" customFormat="1" ht="21.95" customHeight="1" spans="1:18">
      <c r="A275" s="7"/>
      <c r="B275" s="12"/>
      <c r="C275" s="33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19"/>
      <c r="Q275" s="19"/>
      <c r="R275" s="11"/>
    </row>
    <row r="276" s="1" customFormat="1" ht="21.95" customHeight="1" spans="1:18">
      <c r="A276" s="7"/>
      <c r="B276" s="12"/>
      <c r="C276" s="33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19"/>
      <c r="Q276" s="19"/>
      <c r="R276" s="11"/>
    </row>
    <row r="277" s="1" customFormat="1" ht="21.95" customHeight="1" spans="1:18">
      <c r="A277" s="7"/>
      <c r="B277" s="12"/>
      <c r="C277" s="33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19"/>
      <c r="Q277" s="19"/>
      <c r="R277" s="11"/>
    </row>
    <row r="278" s="1" customFormat="1" ht="21.95" customHeight="1" spans="1:18">
      <c r="A278" s="7"/>
      <c r="B278" s="12"/>
      <c r="C278" s="33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19"/>
      <c r="Q278" s="19"/>
      <c r="R278" s="11"/>
    </row>
    <row r="279" s="1" customFormat="1" ht="21.95" customHeight="1" spans="1:18">
      <c r="A279" s="7"/>
      <c r="B279" s="12"/>
      <c r="C279" s="33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19"/>
      <c r="Q279" s="19"/>
      <c r="R279" s="11"/>
    </row>
    <row r="280" s="1" customFormat="1" ht="21.95" customHeight="1" spans="1:18">
      <c r="A280" s="7"/>
      <c r="B280" s="12"/>
      <c r="C280" s="33"/>
      <c r="D280" s="80" t="s">
        <v>728</v>
      </c>
      <c r="E280" s="86">
        <f>ENTRY!$D$27</f>
        <v>46102</v>
      </c>
      <c r="F280" s="86"/>
      <c r="G280" s="29"/>
      <c r="H280" s="29"/>
      <c r="I280" s="29"/>
      <c r="J280" s="29"/>
      <c r="K280" s="29"/>
      <c r="L280" s="29"/>
      <c r="M280" s="87" t="s">
        <v>730</v>
      </c>
      <c r="N280" s="87"/>
      <c r="O280" s="87"/>
      <c r="P280" s="19"/>
      <c r="Q280" s="19"/>
      <c r="R280" s="11"/>
    </row>
    <row r="281" s="1" customFormat="1" ht="21.95" customHeight="1" spans="1:18">
      <c r="A281" s="7"/>
      <c r="B281" s="12"/>
      <c r="C281" s="33"/>
      <c r="D281" s="80" t="s">
        <v>731</v>
      </c>
      <c r="E281" s="88" t="str">
        <f>PROPER(ENTRY!$D$28)</f>
        <v>New Delhi</v>
      </c>
      <c r="F281" s="88"/>
      <c r="G281" s="29"/>
      <c r="H281" s="29"/>
      <c r="I281" s="29"/>
      <c r="J281" s="29"/>
      <c r="K281" s="29"/>
      <c r="L281" s="29"/>
      <c r="M281" s="89" t="s">
        <v>732</v>
      </c>
      <c r="N281" s="89"/>
      <c r="O281" s="89"/>
      <c r="P281" s="19"/>
      <c r="Q281" s="19"/>
      <c r="R281" s="11"/>
    </row>
    <row r="282" s="1" customFormat="1" ht="21.95" customHeight="1" spans="1:18">
      <c r="A282" s="7"/>
      <c r="B282" s="12"/>
      <c r="C282" s="90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2"/>
      <c r="Q282" s="14"/>
      <c r="R282" s="11"/>
    </row>
    <row r="283" s="1" customFormat="1" ht="5.1" customHeight="1" spans="1:18">
      <c r="A283" s="7"/>
      <c r="B283" s="90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2"/>
      <c r="R283" s="11"/>
    </row>
    <row r="284" s="1" customFormat="1" ht="5.1" customHeight="1" spans="1:18">
      <c r="A284" s="93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5"/>
    </row>
    <row r="285" s="2" customFormat="1" ht="9.95" customHeight="1"/>
    <row r="286" s="1" customFormat="1" ht="5.1" customHeight="1" spans="1:18">
      <c r="A286" s="4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6"/>
    </row>
    <row r="287" s="1" customFormat="1" ht="15" customHeight="1" spans="1:18">
      <c r="A287" s="7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0"/>
      <c r="R287" s="11"/>
    </row>
    <row r="288" s="1" customFormat="1" ht="21.95" customHeight="1" spans="1:18">
      <c r="A288" s="7"/>
      <c r="B288" s="12"/>
      <c r="C288" s="13" t="s">
        <v>7</v>
      </c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4"/>
      <c r="R288" s="11"/>
    </row>
    <row r="289" s="1" customFormat="1" ht="21.95" customHeight="1" spans="1:18">
      <c r="A289" s="7"/>
      <c r="B289" s="1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14"/>
      <c r="R289" s="11"/>
    </row>
    <row r="290" s="1" customFormat="1" ht="21.95" customHeight="1" spans="1:18">
      <c r="A290" s="7"/>
      <c r="B290" s="12"/>
      <c r="C290" s="15" t="str">
        <f>"SESSION-"&amp;ENTRY!$D$11</f>
        <v>SESSION-2026-27</v>
      </c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4"/>
      <c r="R290" s="11"/>
    </row>
    <row r="291" s="1" customFormat="1" ht="21.95" customHeight="1" spans="1:18">
      <c r="A291" s="7"/>
      <c r="B291" s="12"/>
      <c r="C291" s="2"/>
      <c r="D291" s="2"/>
      <c r="E291" s="2"/>
      <c r="F291" s="16">
        <f>F234+1</f>
        <v>6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14"/>
      <c r="R291" s="11"/>
    </row>
    <row r="292" s="1" customFormat="1" ht="21.95" customHeight="1" spans="1:18">
      <c r="A292" s="7"/>
      <c r="B292" s="12"/>
      <c r="C292" s="17" t="s">
        <v>392</v>
      </c>
      <c r="D292" s="17"/>
      <c r="E292" s="17"/>
      <c r="F292" s="18" t="str">
        <f>IF(F291&gt;0,ENTRY!$D$6,"")</f>
        <v>MCP NITHARI NO 1 BOYS</v>
      </c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9"/>
      <c r="R292" s="11"/>
    </row>
    <row r="293" s="1" customFormat="1" ht="21.95" customHeight="1" spans="1:18">
      <c r="A293" s="7"/>
      <c r="B293" s="12"/>
      <c r="C293" s="17" t="s">
        <v>393</v>
      </c>
      <c r="D293" s="17"/>
      <c r="E293" s="17"/>
      <c r="F293" s="18">
        <f>IF(F291&gt;0,ENTRY!$D$7,"")</f>
        <v>0</v>
      </c>
      <c r="G293" s="18"/>
      <c r="H293" s="20" t="s">
        <v>702</v>
      </c>
      <c r="I293" s="20"/>
      <c r="J293" s="21">
        <f>IF(F291&gt;0,ENTRY!$D$10,"")</f>
        <v>40</v>
      </c>
      <c r="K293" s="20" t="s">
        <v>703</v>
      </c>
      <c r="L293" s="22" t="str">
        <f>IF(F291&gt;0,ENTRY!$D$5,"")</f>
        <v>ROHINI ZONE</v>
      </c>
      <c r="M293" s="22"/>
      <c r="N293" s="22"/>
      <c r="O293" s="22"/>
      <c r="P293" s="22"/>
      <c r="Q293" s="19"/>
      <c r="R293" s="11"/>
    </row>
    <row r="294" s="1" customFormat="1" ht="21.95" customHeight="1" spans="1:18">
      <c r="A294" s="7"/>
      <c r="B294" s="12"/>
      <c r="C294" s="17" t="s">
        <v>706</v>
      </c>
      <c r="D294" s="17"/>
      <c r="E294" s="17"/>
      <c r="F294" s="23" t="str">
        <f>IFERROR(VLOOKUP(F291,STUDENT!$A$2:$BP$101,5,0),"")</f>
        <v>MD SOPHIYAN ALAM</v>
      </c>
      <c r="G294" s="23"/>
      <c r="H294" s="23"/>
      <c r="I294" s="23"/>
      <c r="J294" s="23"/>
      <c r="K294" s="23"/>
      <c r="L294" s="20" t="s">
        <v>707</v>
      </c>
      <c r="M294" s="20"/>
      <c r="N294" s="24" t="str">
        <f>IF(F291&gt;0,ENTRY!$D$20&amp;"-"&amp;ENTRY!$D$21,"")</f>
        <v>III-A</v>
      </c>
      <c r="O294" s="24"/>
      <c r="P294" s="24"/>
      <c r="Q294" s="19"/>
      <c r="R294" s="11"/>
    </row>
    <row r="295" s="1" customFormat="1" ht="21.95" customHeight="1" spans="1:18">
      <c r="A295" s="7"/>
      <c r="B295" s="12"/>
      <c r="C295" s="17" t="s">
        <v>708</v>
      </c>
      <c r="D295" s="17"/>
      <c r="E295" s="17"/>
      <c r="F295" s="25">
        <f>IFERROR(VLOOKUP(F291,STUDENT!$A$2:$BP$101,6,0),"")</f>
        <v>14780</v>
      </c>
      <c r="G295" s="25"/>
      <c r="H295" s="26" t="s">
        <v>709</v>
      </c>
      <c r="I295" s="27" t="str">
        <f>IFERROR(VLOOKUP(F291,STUDENT!$A$2:$BP$101,59,0),"")</f>
        <v/>
      </c>
      <c r="J295" s="27"/>
      <c r="K295" s="20" t="s">
        <v>710</v>
      </c>
      <c r="L295" s="20"/>
      <c r="M295" s="28">
        <f>IFERROR(VLOOKUP(F291,STUDENT!$A$2:$BP$101,20,0),"")</f>
        <v>9934652072</v>
      </c>
      <c r="N295" s="28"/>
      <c r="O295" s="28"/>
      <c r="P295" s="28"/>
      <c r="Q295" s="19"/>
      <c r="R295" s="11"/>
    </row>
    <row r="296" s="1" customFormat="1" ht="21.95" customHeight="1" spans="1:18">
      <c r="A296" s="7"/>
      <c r="B296" s="12"/>
      <c r="C296" s="17" t="s">
        <v>711</v>
      </c>
      <c r="D296" s="17"/>
      <c r="E296" s="17"/>
      <c r="F296" s="23" t="str">
        <f>IFERROR(VLOOKUP(F291,STUDENT!$A$2:$BP$101,9,0),"")</f>
        <v>ISRAT BEGUM</v>
      </c>
      <c r="G296" s="23"/>
      <c r="H296" s="23"/>
      <c r="I296" s="23"/>
      <c r="J296" s="17" t="s">
        <v>620</v>
      </c>
      <c r="K296" s="17"/>
      <c r="L296" s="23" t="str">
        <f>IFERROR(VLOOKUP(F291,STUDENT!$A$2:$BP$101,8,0),"")</f>
        <v>MD TABREJ ALAM</v>
      </c>
      <c r="M296" s="23"/>
      <c r="N296" s="23"/>
      <c r="O296" s="23"/>
      <c r="P296" s="23"/>
      <c r="Q296" s="19"/>
      <c r="R296" s="11"/>
    </row>
    <row r="297" s="1" customFormat="1" ht="21.95" customHeight="1" spans="1:18">
      <c r="A297" s="7"/>
      <c r="B297" s="12"/>
      <c r="C297" s="17" t="s">
        <v>712</v>
      </c>
      <c r="D297" s="17"/>
      <c r="E297" s="17"/>
      <c r="F297" s="23" t="str">
        <f>IFERROR(VLOOKUP(F291,STUDENT!$A$2:$BP$101,22,0),"")</f>
        <v>KH NO 26/6 BLOCK F INDER ENCLAVE II</v>
      </c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19"/>
      <c r="R297" s="11"/>
    </row>
    <row r="298" s="1" customFormat="1" ht="9.95" customHeight="1" spans="1:18">
      <c r="A298" s="7"/>
      <c r="B298" s="12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19"/>
      <c r="R298" s="11"/>
    </row>
    <row r="299" s="1" customFormat="1" ht="9.95" customHeight="1" spans="1:18">
      <c r="A299" s="7"/>
      <c r="B299" s="12"/>
      <c r="C299" s="30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2"/>
      <c r="Q299" s="19"/>
      <c r="R299" s="11"/>
    </row>
    <row r="300" s="1" customFormat="1" ht="21.95" customHeight="1" spans="1:18">
      <c r="A300" s="7"/>
      <c r="B300" s="12"/>
      <c r="C300" s="33"/>
      <c r="D300" s="34" t="s">
        <v>713</v>
      </c>
      <c r="E300" s="20" t="s">
        <v>714</v>
      </c>
      <c r="F300" s="35" t="str">
        <f>"Level - "&amp;IFERROR(VLOOKUP(F291,FLN!$A$4:$K$103,9,0),"")</f>
        <v>Level - 4</v>
      </c>
      <c r="G300" s="36"/>
      <c r="H300" s="37" t="s">
        <v>715</v>
      </c>
      <c r="I300" s="20"/>
      <c r="J300" s="35" t="str">
        <f>"Level - "&amp;IFERROR(VLOOKUP(F291,FLN!$A$4:$K$103,11,0),"")</f>
        <v>Level - 4</v>
      </c>
      <c r="K300" s="36"/>
      <c r="L300" s="37" t="s">
        <v>408</v>
      </c>
      <c r="M300" s="20"/>
      <c r="N300" s="35" t="str">
        <f>"Level - "&amp;IFERROR(VLOOKUP(F291,FLN!$A$4:$K$103,10,0),"")</f>
        <v>Level - 3</v>
      </c>
      <c r="O300" s="36"/>
      <c r="P300" s="19"/>
      <c r="Q300" s="19"/>
      <c r="R300" s="11"/>
    </row>
    <row r="301" s="1" customFormat="1" ht="21.95" customHeight="1" spans="1:18">
      <c r="A301" s="7"/>
      <c r="B301" s="12"/>
      <c r="C301" s="33"/>
      <c r="D301" s="38"/>
      <c r="E301" s="20" t="s">
        <v>716</v>
      </c>
      <c r="F301" s="18" t="str">
        <f ca="1">IF(L315&gt;197,"PERFORMED WELL","")</f>
        <v/>
      </c>
      <c r="G301" s="18"/>
      <c r="H301" s="18"/>
      <c r="I301" s="18"/>
      <c r="J301" s="18"/>
      <c r="K301" s="18"/>
      <c r="L301" s="18"/>
      <c r="M301" s="18"/>
      <c r="N301" s="18"/>
      <c r="O301" s="18"/>
      <c r="P301" s="19"/>
      <c r="Q301" s="19"/>
      <c r="R301" s="11"/>
    </row>
    <row r="302" s="1" customFormat="1" ht="9.95" customHeight="1" spans="1:18">
      <c r="A302" s="7"/>
      <c r="B302" s="12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1"/>
      <c r="Q302" s="19"/>
      <c r="R302" s="11"/>
    </row>
    <row r="303" s="1" customFormat="1" ht="9.95" customHeight="1" spans="1:18">
      <c r="A303" s="7"/>
      <c r="B303" s="12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19"/>
      <c r="R303" s="11"/>
    </row>
    <row r="304" s="1" customFormat="1" ht="9.95" customHeight="1" spans="1:18">
      <c r="A304" s="7"/>
      <c r="B304" s="12"/>
      <c r="C304" s="30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2"/>
      <c r="Q304" s="19"/>
      <c r="R304" s="11"/>
    </row>
    <row r="305" s="1" customFormat="1" ht="21.95" customHeight="1" spans="1:18">
      <c r="A305" s="7"/>
      <c r="B305" s="12"/>
      <c r="C305" s="33"/>
      <c r="D305" s="35"/>
      <c r="E305" s="24"/>
      <c r="F305" s="42" t="s">
        <v>717</v>
      </c>
      <c r="G305" s="42"/>
      <c r="H305" s="42"/>
      <c r="I305" s="42"/>
      <c r="J305" s="42"/>
      <c r="K305" s="42"/>
      <c r="L305" s="43"/>
      <c r="M305" s="44"/>
      <c r="N305" s="29"/>
      <c r="O305" s="29"/>
      <c r="P305" s="19"/>
      <c r="Q305" s="19"/>
      <c r="R305" s="11"/>
    </row>
    <row r="306" s="1" customFormat="1" ht="21.95" customHeight="1" spans="1:18">
      <c r="A306" s="7"/>
      <c r="B306" s="12"/>
      <c r="C306" s="33"/>
      <c r="D306" s="45"/>
      <c r="E306" s="46"/>
      <c r="F306" s="47" t="s">
        <v>541</v>
      </c>
      <c r="G306" s="47" t="s">
        <v>542</v>
      </c>
      <c r="H306" s="47" t="s">
        <v>543</v>
      </c>
      <c r="I306" s="47" t="s">
        <v>544</v>
      </c>
      <c r="J306" s="47" t="s">
        <v>561</v>
      </c>
      <c r="K306" s="48" t="s">
        <v>750</v>
      </c>
      <c r="L306" s="47" t="s">
        <v>382</v>
      </c>
      <c r="M306" s="49" t="s">
        <v>546</v>
      </c>
      <c r="N306" s="29"/>
      <c r="O306" s="29"/>
      <c r="P306" s="19"/>
      <c r="Q306" s="19"/>
      <c r="R306" s="11"/>
    </row>
    <row r="307" s="1" customFormat="1" ht="21.95" customHeight="1" spans="1:18">
      <c r="A307" s="7"/>
      <c r="B307" s="12"/>
      <c r="C307" s="33"/>
      <c r="D307" s="45" t="s">
        <v>652</v>
      </c>
      <c r="E307" s="46"/>
      <c r="F307" s="50">
        <v>10</v>
      </c>
      <c r="G307" s="50">
        <v>10</v>
      </c>
      <c r="H307" s="50">
        <v>10</v>
      </c>
      <c r="I307" s="50">
        <v>10</v>
      </c>
      <c r="J307" s="50">
        <v>60</v>
      </c>
      <c r="K307" s="51"/>
      <c r="L307" s="50">
        <v>100</v>
      </c>
      <c r="M307" s="49"/>
      <c r="N307" s="29"/>
      <c r="O307" s="29"/>
      <c r="P307" s="19"/>
      <c r="Q307" s="19"/>
      <c r="R307" s="11"/>
    </row>
    <row r="308" s="1" customFormat="1" ht="21.95" customHeight="1" spans="1:18">
      <c r="A308" s="7"/>
      <c r="B308" s="12"/>
      <c r="C308" s="33"/>
      <c r="D308" s="52" t="s">
        <v>751</v>
      </c>
      <c r="E308" s="53"/>
      <c r="F308" s="54">
        <f ca="1">IFERROR(VLOOKUP(F291,'RR-3.1-5TH'!$A$12:'RR-3.1-5TH'!$BN$111,9,0),"")</f>
        <v>2</v>
      </c>
      <c r="G308" s="54">
        <f ca="1">IFERROR(VLOOKUP(F291,'RR-3.1-5TH'!$A$12:'RR-3.1-5TH'!$BN$111,10,0),"")</f>
        <v>0</v>
      </c>
      <c r="H308" s="54">
        <f ca="1">IFERROR(VLOOKUP(F291,'RR-3.1-5TH'!$A$12:'RR-3.1-5TH'!$BN$111,11,0),"")</f>
        <v>0</v>
      </c>
      <c r="I308" s="54">
        <f ca="1">IFERROR(VLOOKUP(F291,'RR-3.1-5TH'!$A$12:'RR-3.1-5TH'!$BN$111,12,0),"")</f>
        <v>0</v>
      </c>
      <c r="J308" s="54">
        <f ca="1">IFERROR(VLOOKUP(F291,'RR-3.1-5TH'!$A$12:'RR-3.1-5TH'!$BN$111,13,0),"")</f>
        <v>30</v>
      </c>
      <c r="K308" s="54">
        <f ca="1">IFERROR(VLOOKUP(F291,'RR-3.1-5TH'!$A$12:'RR-3.1-5TH'!$BN$111,14,0),"")</f>
        <v>0</v>
      </c>
      <c r="L308" s="55">
        <f ca="1" t="shared" ref="L308:L313" si="15">SUM(F308,G308,H308,I308,J308,K308)</f>
        <v>32</v>
      </c>
      <c r="M308" s="56" t="str">
        <f ca="1">IF(F291&gt;ENTRY!$D$24,"",IF(L308=0,"Ab",IF(L308&gt;80,"A",IF(L308&gt;60,"B",IF(L308&gt;44,"C",IF(L308&gt;=33,"D",IF(L308&lt;=32,"E","")))))))</f>
        <v>E</v>
      </c>
      <c r="N308" s="57" t="s">
        <v>729</v>
      </c>
      <c r="O308" s="58"/>
      <c r="P308" s="59"/>
      <c r="Q308" s="19"/>
      <c r="R308" s="11"/>
    </row>
    <row r="309" s="1" customFormat="1" ht="21.95" customHeight="1" spans="1:18">
      <c r="A309" s="7"/>
      <c r="B309" s="12"/>
      <c r="C309" s="33"/>
      <c r="D309" s="52" t="s">
        <v>513</v>
      </c>
      <c r="E309" s="53"/>
      <c r="F309" s="54">
        <f ca="1">IFERROR(VLOOKUP(F291,'RR-3.1-5TH'!$A$12:'RR-3.1-5TH'!$BN$111,17,0),"")</f>
        <v>2</v>
      </c>
      <c r="G309" s="54">
        <f ca="1">IFERROR(VLOOKUP(F291,'RR-3.1-5TH'!$A$12:'RR-3.1-5TH'!$BN$111,18,0),"")</f>
        <v>0</v>
      </c>
      <c r="H309" s="54">
        <f ca="1">IFERROR(VLOOKUP(F291,'RR-3.1-5TH'!$A$12:'RR-3.1-5TH'!$BN$111,19,0),"")</f>
        <v>0</v>
      </c>
      <c r="I309" s="54">
        <f ca="1">IFERROR(VLOOKUP(F291,'RR-3.1-5TH'!$A$12:'RR-3.1-5TH'!$BN$111,20,0),"")</f>
        <v>0</v>
      </c>
      <c r="J309" s="54">
        <f ca="1">IFERROR(VLOOKUP(F291,'RR-3.1-5TH'!$A$12:'RR-3.1-5TH'!$BN$111,21,0),"")</f>
        <v>16</v>
      </c>
      <c r="K309" s="54">
        <f ca="1">IFERROR(VLOOKUP(F291,'RR-3.1-5TH'!$A$12:'RR-3.1-5TH'!$BN$111,22,0),"")</f>
        <v>0</v>
      </c>
      <c r="L309" s="55">
        <f ca="1" t="shared" si="15"/>
        <v>18</v>
      </c>
      <c r="M309" s="56" t="str">
        <f ca="1">IF(F291&gt;ENTRY!$D$24,"",IF(L309=0,"Ab",IF(L309&gt;80,"A",IF(L309&gt;60,"B",IF(L309&gt;44,"C",IF(L309&gt;=33,"D",IF(L309&lt;=32,"E","")))))))</f>
        <v>E</v>
      </c>
      <c r="N309" s="58"/>
      <c r="O309" s="58"/>
      <c r="P309" s="59"/>
      <c r="Q309" s="19"/>
      <c r="R309" s="11"/>
    </row>
    <row r="310" s="1" customFormat="1" ht="21.95" customHeight="1" spans="1:18">
      <c r="A310" s="7"/>
      <c r="B310" s="12"/>
      <c r="C310" s="33"/>
      <c r="D310" s="52" t="s">
        <v>718</v>
      </c>
      <c r="E310" s="53"/>
      <c r="F310" s="54">
        <f ca="1">IFERROR(VLOOKUP(F291,'RR-3.1-5TH'!$A$12:'RR-3.1-5TH'!$BN$111,25,0),"")</f>
        <v>2</v>
      </c>
      <c r="G310" s="54">
        <f ca="1">IFERROR(VLOOKUP(F291,'RR-3.1-5TH'!$A$12:'RR-3.1-5TH'!$BN$111,26,0),"")</f>
        <v>0</v>
      </c>
      <c r="H310" s="54">
        <f ca="1">IFERROR(VLOOKUP(F291,'RR-3.1-5TH'!$A$12:'RR-3.1-5TH'!$BN$111,27,0),"")</f>
        <v>0</v>
      </c>
      <c r="I310" s="54">
        <f ca="1">IFERROR(VLOOKUP(F291,'RR-3.1-5TH'!$A$12:'RR-3.1-5TH'!$BN$111,28,0),"")</f>
        <v>0</v>
      </c>
      <c r="J310" s="54">
        <f ca="1">IFERROR(VLOOKUP(F291,'RR-3.1-5TH'!$A$12:'RR-3.1-5TH'!$BN$111,29,0),"")</f>
        <v>12</v>
      </c>
      <c r="K310" s="54">
        <f ca="1">IFERROR(VLOOKUP(F291,'RR-3.1-5TH'!$A$12:'RR-3.1-5TH'!$BN$111,30,0),"")</f>
        <v>0</v>
      </c>
      <c r="L310" s="55">
        <f ca="1" t="shared" si="15"/>
        <v>14</v>
      </c>
      <c r="M310" s="56" t="str">
        <f ca="1">IF(F291&gt;ENTRY!$D$24,"",IF(L310=0,"Ab",IF(L310&gt;80,"A",IF(L310&gt;60,"B",IF(L310&gt;44,"C",IF(L310&gt;=33,"D",IF(L310&lt;=32,"E","")))))))</f>
        <v>E</v>
      </c>
      <c r="N310" s="29"/>
      <c r="O310" s="29"/>
      <c r="P310" s="19"/>
      <c r="Q310" s="19"/>
      <c r="R310" s="11"/>
    </row>
    <row r="311" s="1" customFormat="1" ht="21.95" customHeight="1" spans="1:18">
      <c r="A311" s="7"/>
      <c r="B311" s="12"/>
      <c r="C311" s="33"/>
      <c r="D311" s="52" t="s">
        <v>719</v>
      </c>
      <c r="E311" s="53"/>
      <c r="F311" s="54">
        <f ca="1">IFERROR(VLOOKUP(F291,'RR-3.1-5TH'!$A$12:'RR-3.1-5TH'!$BN$111,33,0),"")</f>
        <v>2</v>
      </c>
      <c r="G311" s="54">
        <f ca="1">IFERROR(VLOOKUP(F291,'RR-3.1-5TH'!$A$12:'RR-3.1-5TH'!$BN$111,34,0),"")</f>
        <v>0</v>
      </c>
      <c r="H311" s="54">
        <f ca="1">IFERROR(VLOOKUP(F291,'RR-3.1-5TH'!$A$12:'RR-3.1-5TH'!$BN$111,35,0),"")</f>
        <v>0</v>
      </c>
      <c r="I311" s="54">
        <f ca="1">IFERROR(VLOOKUP(F291,'RR-3.1-5TH'!$A$12:'RR-3.1-5TH'!$BN$111,36,0),"")</f>
        <v>0</v>
      </c>
      <c r="J311" s="54">
        <f ca="1">IFERROR(VLOOKUP(F291,'RR-3.1-5TH'!$A$12:'RR-3.1-5TH'!$BN$111,37,0),"")</f>
        <v>13</v>
      </c>
      <c r="K311" s="54">
        <f ca="1">IFERROR(VLOOKUP(F291,'RR-3.1-5TH'!$A$12:'RR-3.1-5TH'!$BN$111,38,0),"")</f>
        <v>0</v>
      </c>
      <c r="L311" s="55">
        <f ca="1" t="shared" si="15"/>
        <v>15</v>
      </c>
      <c r="M311" s="56" t="str">
        <f ca="1">IF(F291&gt;ENTRY!$D$24,"",IF(L311=0,"Ab",IF(L311&gt;80,"A",IF(L311&gt;60,"B",IF(L311&gt;44,"C",IF(L311&gt;=33,"D",IF(L311&lt;=32,"E","")))))))</f>
        <v>E</v>
      </c>
      <c r="N311" s="29"/>
      <c r="O311" s="29"/>
      <c r="P311" s="19"/>
      <c r="Q311" s="19"/>
      <c r="R311" s="11"/>
    </row>
    <row r="312" s="1" customFormat="1" ht="21.95" customHeight="1" spans="1:18">
      <c r="A312" s="7"/>
      <c r="B312" s="12"/>
      <c r="C312" s="33"/>
      <c r="D312" s="52" t="s">
        <v>548</v>
      </c>
      <c r="E312" s="53"/>
      <c r="F312" s="54">
        <f ca="1">IFERROR(VLOOKUP(F291,'RR-3.1-5TH'!$A$12:'RR-3.1-5TH'!$BN$111,41,0),"")</f>
        <v>0</v>
      </c>
      <c r="G312" s="54">
        <f ca="1">IFERROR(VLOOKUP(F291,'RR-3.1-5TH'!$A$12:'RR-3.1-5TH'!$BN$111,42,0),"")</f>
        <v>0</v>
      </c>
      <c r="H312" s="54">
        <f ca="1">IFERROR(VLOOKUP(F291,'RR-3.1-5TH'!$A$12:'RR-3.1-5TH'!$BN$111,43,0),"")</f>
        <v>0</v>
      </c>
      <c r="I312" s="54">
        <f ca="1">IFERROR(VLOOKUP(F291,'RR-3.1-5TH'!$A$12:'RR-3.1-5TH'!$BN$111,44,0),"")</f>
        <v>0</v>
      </c>
      <c r="J312" s="54">
        <f ca="1">IFERROR(VLOOKUP(F291,'RR-3.1-5TH'!$A$12:'RR-3.1-5TH'!$BN$111,45,0),"")</f>
        <v>15</v>
      </c>
      <c r="K312" s="54">
        <f ca="1">IFERROR(VLOOKUP(F291,'RR-3.1-5TH'!$A$12:'RR-3.1-5TH'!$BN$111,46,0),"")</f>
        <v>0</v>
      </c>
      <c r="L312" s="55">
        <f ca="1" t="shared" si="15"/>
        <v>15</v>
      </c>
      <c r="M312" s="56" t="str">
        <f ca="1">IF(F291&gt;ENTRY!$D$24,"",IF(L312=0,"Ab",IF(L312&gt;80,"A",IF(L312&gt;60,"B",IF(L312&gt;44,"C",IF(L312&gt;=33,"D",IF(L312&lt;=32,"E","")))))))</f>
        <v>E</v>
      </c>
      <c r="N312" s="29"/>
      <c r="O312" s="29"/>
      <c r="P312" s="19"/>
      <c r="Q312" s="19"/>
      <c r="R312" s="11"/>
    </row>
    <row r="313" s="1" customFormat="1" ht="21.95" customHeight="1" spans="1:18">
      <c r="A313" s="7"/>
      <c r="B313" s="12"/>
      <c r="C313" s="33"/>
      <c r="D313" s="52" t="s">
        <v>549</v>
      </c>
      <c r="E313" s="53"/>
      <c r="F313" s="54">
        <f ca="1">IFERROR(VLOOKUP(F291,'RR-3.1-5TH'!$A$12:'RR-3.1-5TH'!$BN$111,49,0),"")</f>
        <v>2</v>
      </c>
      <c r="G313" s="54">
        <f ca="1">IFERROR(VLOOKUP(F291,'RR-3.1-5TH'!$A$12:'RR-3.1-5TH'!$BN$111,50,0),"")</f>
        <v>0</v>
      </c>
      <c r="H313" s="54">
        <f ca="1">IFERROR(VLOOKUP(F291,'RR-3.1-5TH'!$A$12:'RR-3.1-5TH'!$BN$111,51,0),"")</f>
        <v>0</v>
      </c>
      <c r="I313" s="54">
        <f ca="1">IFERROR(VLOOKUP(F291,'RR-3.1-5TH'!$A$12:'RR-3.1-5TH'!$BN$111,52,0),"")</f>
        <v>0</v>
      </c>
      <c r="J313" s="54">
        <f ca="1">IFERROR(VLOOKUP(F291,'RR-3.1-5TH'!$A$12:'RR-3.1-5TH'!$BN$111,53,0),"")</f>
        <v>16</v>
      </c>
      <c r="K313" s="54">
        <f ca="1">IFERROR(VLOOKUP(F291,'RR-3.1-5TH'!$A$12:'RR-3.1-5TH'!$BN$111,54,0),"")</f>
        <v>0</v>
      </c>
      <c r="L313" s="55">
        <f ca="1" t="shared" si="15"/>
        <v>18</v>
      </c>
      <c r="M313" s="56" t="str">
        <f ca="1">IF(F291&gt;ENTRY!$D$24,"",IF(L313=0,"Ab",IF(L313&gt;80,"A",IF(L313&gt;60,"B",IF(L313&gt;44,"C",IF(L313&gt;=33,"D",IF(L313&lt;=32,"E","")))))))</f>
        <v>E</v>
      </c>
      <c r="N313" s="57" t="s">
        <v>752</v>
      </c>
      <c r="O313" s="58"/>
      <c r="P313" s="59"/>
      <c r="Q313" s="19"/>
      <c r="R313" s="11"/>
    </row>
    <row r="314" s="1" customFormat="1" ht="21.95" customHeight="1" spans="1:18">
      <c r="A314" s="7"/>
      <c r="B314" s="12"/>
      <c r="C314" s="33"/>
      <c r="D314" s="52" t="s">
        <v>753</v>
      </c>
      <c r="E314" s="53"/>
      <c r="F314" s="60"/>
      <c r="G314" s="54"/>
      <c r="H314" s="54"/>
      <c r="I314" s="54"/>
      <c r="J314" s="54"/>
      <c r="K314" s="54"/>
      <c r="L314" s="55">
        <f t="shared" ref="L314" si="16">SUM(G314:K314)</f>
        <v>0</v>
      </c>
      <c r="M314" s="56" t="str">
        <f>IF(F291&gt;ENTRY!$D$24,"",IF(L314=0,"",IF(L314&gt;79,"A",IF(L314&gt;59,"B",IF(L314&gt;44,"C",IF(L314&gt;=33,"D",IF(L314&lt;=32,"E","")))))))</f>
        <v/>
      </c>
      <c r="N314" s="58"/>
      <c r="O314" s="58"/>
      <c r="P314" s="59"/>
      <c r="Q314" s="19"/>
      <c r="R314" s="11"/>
    </row>
    <row r="315" s="1" customFormat="1" ht="21.95" customHeight="1" spans="1:18">
      <c r="A315" s="7"/>
      <c r="B315" s="12"/>
      <c r="C315" s="33"/>
      <c r="D315" s="45" t="s">
        <v>382</v>
      </c>
      <c r="E315" s="46"/>
      <c r="F315" s="54">
        <f ca="1" t="shared" ref="F315:L315" si="17">IFERROR(SUM(F308:F314),"")</f>
        <v>10</v>
      </c>
      <c r="G315" s="54">
        <f ca="1" t="shared" si="17"/>
        <v>0</v>
      </c>
      <c r="H315" s="54">
        <f ca="1" t="shared" si="17"/>
        <v>0</v>
      </c>
      <c r="I315" s="54">
        <f ca="1" t="shared" si="17"/>
        <v>0</v>
      </c>
      <c r="J315" s="54">
        <f ca="1" t="shared" si="17"/>
        <v>102</v>
      </c>
      <c r="K315" s="54">
        <f ca="1" t="shared" si="17"/>
        <v>0</v>
      </c>
      <c r="L315" s="55">
        <f ca="1" t="shared" si="17"/>
        <v>112</v>
      </c>
      <c r="M315" s="61" t="str">
        <f ca="1">IF(F291&gt;ENTRY!$D$24,"",IF(N316="Ab","Ab",IF(N316&gt;79.5,"A",IF(N316&gt;59.5,"B",IF(N316&gt;44.5,"C",IF(N316&gt;=33,"D",IF(N316&lt;33,"E","")))))))</f>
        <v>E</v>
      </c>
      <c r="N315" s="62"/>
      <c r="O315" s="58"/>
      <c r="P315" s="59"/>
      <c r="Q315" s="19"/>
      <c r="R315" s="11"/>
    </row>
    <row r="316" s="1" customFormat="1" ht="21.95" customHeight="1" spans="1:18">
      <c r="A316" s="7"/>
      <c r="B316" s="12"/>
      <c r="C316" s="33"/>
      <c r="D316" s="63" t="s">
        <v>721</v>
      </c>
      <c r="E316" s="63"/>
      <c r="F316" s="63"/>
      <c r="G316" s="63"/>
      <c r="H316" s="63"/>
      <c r="I316" s="63"/>
      <c r="J316" s="63"/>
      <c r="K316" s="63"/>
      <c r="L316" s="63"/>
      <c r="M316" s="63"/>
      <c r="N316" s="64">
        <f ca="1">IF(L315="Ab","Ab",L315/6)</f>
        <v>18.6666666666667</v>
      </c>
      <c r="O316" s="65"/>
      <c r="P316" s="19"/>
      <c r="Q316" s="19"/>
      <c r="R316" s="11"/>
    </row>
    <row r="317" s="1" customFormat="1" ht="21.95" customHeight="1" spans="1:18">
      <c r="A317" s="7"/>
      <c r="B317" s="12"/>
      <c r="C317" s="33"/>
      <c r="D317" s="29" t="s">
        <v>716</v>
      </c>
      <c r="E317" s="18" t="str">
        <f>IFERROR(VLOOKUP(F291,'1to4-2.1-RR'!$A$12:$BG$111,57,0),"")</f>
        <v>PROMOTED</v>
      </c>
      <c r="F317" s="18"/>
      <c r="G317" s="18"/>
      <c r="H317" s="18"/>
      <c r="I317" s="18"/>
      <c r="J317" s="18"/>
      <c r="K317" s="18"/>
      <c r="L317" s="18"/>
      <c r="M317" s="18"/>
      <c r="N317" s="29"/>
      <c r="O317" s="29"/>
      <c r="P317" s="19"/>
      <c r="Q317" s="19"/>
      <c r="R317" s="11"/>
    </row>
    <row r="318" s="1" customFormat="1" ht="9.95" customHeight="1" spans="1:18">
      <c r="A318" s="7"/>
      <c r="B318" s="12"/>
      <c r="C318" s="33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19"/>
      <c r="Q318" s="19"/>
      <c r="R318" s="11"/>
    </row>
    <row r="319" s="1" customFormat="1" ht="36" spans="1:18">
      <c r="A319" s="7"/>
      <c r="B319" s="12"/>
      <c r="C319" s="33"/>
      <c r="D319" s="66" t="s">
        <v>576</v>
      </c>
      <c r="E319" s="67" t="s">
        <v>754</v>
      </c>
      <c r="F319" s="47">
        <f>IF(F291&gt;ENTRY!$D$24,"",IFERROR(VLOOKUP(F291,PASHEET!$A$4:$CJ$103,88,0),""))</f>
        <v>190</v>
      </c>
      <c r="G319" s="67" t="s">
        <v>755</v>
      </c>
      <c r="H319" s="47">
        <f>IF(F291&gt;ENTRY!$D$24,"",IFERROR(VLOOKUP(F291,PASHEET!$A$4:$CJ$103,87,0),""))</f>
        <v>170</v>
      </c>
      <c r="I319" s="68" t="s">
        <v>756</v>
      </c>
      <c r="J319" s="69">
        <f>IF(F291&gt;ENTRY!$D$24,"",IFERROR(IF(F291&gt;0,H319/F319*100),""))</f>
        <v>89.4736842105263</v>
      </c>
      <c r="K319" s="60" t="s">
        <v>757</v>
      </c>
      <c r="L319" s="70">
        <f ca="1">IF(F291&gt;ENTRY!$D$24,"",IFERROR(L315/600*100,""))</f>
        <v>18.6666666666667</v>
      </c>
      <c r="M319" s="47" t="str">
        <f ca="1">IF(F291&gt;ENTRY!$D$24,"",IFERROR(L315&amp;" / "&amp;"600",""))</f>
        <v>112 / 600</v>
      </c>
      <c r="N319" s="29"/>
      <c r="O319" s="29"/>
      <c r="P319" s="19"/>
      <c r="Q319" s="19"/>
      <c r="R319" s="11"/>
    </row>
    <row r="320" s="1" customFormat="1" ht="9.95" customHeight="1" spans="1:18">
      <c r="A320" s="7"/>
      <c r="B320" s="12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1"/>
      <c r="Q320" s="19"/>
      <c r="R320" s="11"/>
    </row>
    <row r="321" s="1" customFormat="1" ht="9.95" customHeight="1" spans="1:19">
      <c r="A321" s="7"/>
      <c r="B321" s="12"/>
      <c r="C321" s="71"/>
      <c r="D321" s="71"/>
      <c r="E321" s="71"/>
      <c r="F321" s="29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19"/>
      <c r="R321" s="11"/>
    </row>
    <row r="322" s="1" customFormat="1" ht="9.95" customHeight="1" spans="1:19">
      <c r="A322" s="7"/>
      <c r="B322" s="12"/>
      <c r="C322" s="29"/>
      <c r="D322" s="29"/>
      <c r="E322" s="29"/>
      <c r="F322" s="72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19"/>
      <c r="R322" s="11"/>
    </row>
    <row r="323" s="1" customFormat="1" ht="9.95" customHeight="1" spans="1:19">
      <c r="A323" s="7"/>
      <c r="B323" s="12"/>
      <c r="C323" s="30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2"/>
      <c r="Q323" s="19"/>
      <c r="R323" s="11"/>
    </row>
    <row r="324" s="1" customFormat="1" ht="21.95" customHeight="1" spans="1:19">
      <c r="A324" s="7"/>
      <c r="B324" s="12"/>
      <c r="C324" s="73" t="s">
        <v>7</v>
      </c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74"/>
      <c r="Q324" s="19"/>
      <c r="R324" s="11"/>
      <c r="S324" s="2"/>
    </row>
    <row r="325" s="1" customFormat="1" ht="21.95" customHeight="1" spans="1:19">
      <c r="A325" s="7"/>
      <c r="B325" s="12"/>
      <c r="C325" s="33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19"/>
      <c r="Q325" s="19"/>
      <c r="R325" s="11"/>
    </row>
    <row r="326" s="1" customFormat="1" ht="21.95" customHeight="1" spans="1:19">
      <c r="A326" s="7"/>
      <c r="B326" s="12"/>
      <c r="C326" s="75" t="str">
        <f>"SESSION-"&amp;ENTRY!$D$11</f>
        <v>SESSION-2026-27</v>
      </c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76"/>
      <c r="Q326" s="19"/>
      <c r="R326" s="11"/>
    </row>
    <row r="327" s="1" customFormat="1" ht="18" customHeight="1" spans="1:19">
      <c r="A327" s="7"/>
      <c r="B327" s="12"/>
      <c r="C327" s="33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19"/>
      <c r="Q327" s="19"/>
      <c r="R327" s="11"/>
    </row>
    <row r="328" s="1" customFormat="1" ht="21.95" customHeight="1" spans="1:19">
      <c r="A328" s="7"/>
      <c r="B328" s="12"/>
      <c r="C328" s="33"/>
      <c r="D328" s="77" t="s">
        <v>758</v>
      </c>
      <c r="E328" s="77"/>
      <c r="F328" s="78" t="str">
        <f>IFERROR(PROPER(VLOOKUP(F291,STUDENT!$A$2:$BP$101,5,0)),"")</f>
        <v>Md Sophiyan Alam</v>
      </c>
      <c r="G328" s="78"/>
      <c r="H328" s="78"/>
      <c r="I328" s="78"/>
      <c r="J328" s="78"/>
      <c r="K328" s="78"/>
      <c r="L328" s="78"/>
      <c r="M328" s="78"/>
      <c r="N328" s="79" t="s">
        <v>759</v>
      </c>
      <c r="O328" s="79"/>
      <c r="P328" s="19"/>
      <c r="Q328" s="19"/>
      <c r="R328" s="11"/>
    </row>
    <row r="329" s="1" customFormat="1" ht="21.95" customHeight="1" spans="1:19">
      <c r="A329" s="7"/>
      <c r="B329" s="12"/>
      <c r="C329" s="33"/>
      <c r="D329" s="80" t="s">
        <v>760</v>
      </c>
      <c r="E329" s="81" t="str">
        <f>IFERROR(PROPER(VLOOKUP(F291,STUDENT!$A$2:$BP$101,9,0)),"")</f>
        <v>Israt Begum</v>
      </c>
      <c r="F329" s="81"/>
      <c r="G329" s="81"/>
      <c r="H329" s="80" t="s">
        <v>761</v>
      </c>
      <c r="I329" s="82" t="str">
        <f>IFERROR(PROPER(VLOOKUP(F291,STUDENT!$A$2:$BP$101,8,0)),"")</f>
        <v>Md Tabrej Alam</v>
      </c>
      <c r="J329" s="82"/>
      <c r="K329" s="82"/>
      <c r="L329" s="82"/>
      <c r="M329" s="80" t="s">
        <v>762</v>
      </c>
      <c r="N329" s="83" t="str">
        <f>IFERROR(VLOOKUP(F291,STUDENT!$A$2:$BP$101,59,0),"")</f>
        <v/>
      </c>
      <c r="O329" s="83"/>
      <c r="P329" s="19"/>
      <c r="Q329" s="19"/>
      <c r="R329" s="11"/>
    </row>
    <row r="330" s="1" customFormat="1" ht="21.95" customHeight="1" spans="1:19">
      <c r="A330" s="7"/>
      <c r="B330" s="12"/>
      <c r="C330" s="33"/>
      <c r="D330" s="77" t="str">
        <f>"has    completed     his  /  her     primary     level     education    in    the    year    "&amp;RIGHT(ENTRY!$D296,4)&amp;"    from    ( School    Name )"</f>
        <v>has    completed     his  /  her     primary     level     education    in    the    year        from    ( School    Name )</v>
      </c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19"/>
      <c r="Q330" s="19"/>
      <c r="R330" s="11"/>
    </row>
    <row r="331" s="1" customFormat="1" ht="21.95" customHeight="1" spans="1:19">
      <c r="A331" s="7"/>
      <c r="B331" s="12"/>
      <c r="C331" s="33"/>
      <c r="D331" s="81" t="str">
        <f>IF(F291&gt;0,ENTRY!$D$6,"")</f>
        <v>MCP NITHARI NO 1 BOYS</v>
      </c>
      <c r="E331" s="81"/>
      <c r="F331" s="81"/>
      <c r="G331" s="81"/>
      <c r="H331" s="81"/>
      <c r="I331" s="81"/>
      <c r="J331" s="81"/>
      <c r="K331" s="81"/>
      <c r="L331" s="81"/>
      <c r="M331" s="80" t="s">
        <v>763</v>
      </c>
      <c r="N331" s="84">
        <f>IF(F291&gt;0,ENTRY!$D$7,"")</f>
        <v>0</v>
      </c>
      <c r="O331" s="84"/>
      <c r="P331" s="85" t="s">
        <v>727</v>
      </c>
      <c r="Q331" s="19"/>
      <c r="R331" s="11"/>
    </row>
    <row r="332" s="1" customFormat="1" ht="21.95" customHeight="1" spans="1:19">
      <c r="A332" s="7"/>
      <c r="B332" s="12"/>
      <c r="C332" s="33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19"/>
      <c r="Q332" s="19"/>
      <c r="R332" s="11"/>
    </row>
    <row r="333" s="1" customFormat="1" ht="21.95" customHeight="1" spans="1:19">
      <c r="A333" s="7"/>
      <c r="B333" s="12"/>
      <c r="C333" s="33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19"/>
      <c r="Q333" s="19"/>
      <c r="R333" s="11"/>
    </row>
    <row r="334" s="1" customFormat="1" ht="21.95" customHeight="1" spans="1:19">
      <c r="A334" s="7"/>
      <c r="B334" s="12"/>
      <c r="C334" s="33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19"/>
      <c r="Q334" s="19"/>
      <c r="R334" s="11"/>
    </row>
    <row r="335" s="1" customFormat="1" ht="21.95" customHeight="1" spans="1:19">
      <c r="A335" s="7"/>
      <c r="B335" s="12"/>
      <c r="C335" s="33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19"/>
      <c r="Q335" s="19"/>
      <c r="R335" s="11"/>
    </row>
    <row r="336" s="1" customFormat="1" ht="21.95" customHeight="1" spans="1:19">
      <c r="A336" s="7"/>
      <c r="B336" s="12"/>
      <c r="C336" s="33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19"/>
      <c r="Q336" s="19"/>
      <c r="R336" s="11"/>
    </row>
    <row r="337" s="1" customFormat="1" ht="21.95" customHeight="1" spans="1:18">
      <c r="A337" s="7"/>
      <c r="B337" s="12"/>
      <c r="C337" s="33"/>
      <c r="D337" s="80" t="s">
        <v>728</v>
      </c>
      <c r="E337" s="86">
        <f>ENTRY!$D$27</f>
        <v>46102</v>
      </c>
      <c r="F337" s="86"/>
      <c r="G337" s="29"/>
      <c r="H337" s="29"/>
      <c r="I337" s="29"/>
      <c r="J337" s="29"/>
      <c r="K337" s="29"/>
      <c r="L337" s="29"/>
      <c r="M337" s="87" t="s">
        <v>730</v>
      </c>
      <c r="N337" s="87"/>
      <c r="O337" s="87"/>
      <c r="P337" s="19"/>
      <c r="Q337" s="19"/>
      <c r="R337" s="11"/>
    </row>
    <row r="338" s="1" customFormat="1" ht="21.95" customHeight="1" spans="1:18">
      <c r="A338" s="7"/>
      <c r="B338" s="12"/>
      <c r="C338" s="33"/>
      <c r="D338" s="80" t="s">
        <v>731</v>
      </c>
      <c r="E338" s="88" t="str">
        <f>PROPER(ENTRY!$D$28)</f>
        <v>New Delhi</v>
      </c>
      <c r="F338" s="88"/>
      <c r="G338" s="29"/>
      <c r="H338" s="29"/>
      <c r="I338" s="29"/>
      <c r="J338" s="29"/>
      <c r="K338" s="29"/>
      <c r="L338" s="29"/>
      <c r="M338" s="89" t="s">
        <v>732</v>
      </c>
      <c r="N338" s="89"/>
      <c r="O338" s="89"/>
      <c r="P338" s="19"/>
      <c r="Q338" s="19"/>
      <c r="R338" s="11"/>
    </row>
    <row r="339" s="1" customFormat="1" ht="21.95" customHeight="1" spans="1:18">
      <c r="A339" s="7"/>
      <c r="B339" s="12"/>
      <c r="C339" s="90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2"/>
      <c r="Q339" s="14"/>
      <c r="R339" s="11"/>
    </row>
    <row r="340" s="1" customFormat="1" ht="5.1" customHeight="1" spans="1:18">
      <c r="A340" s="7"/>
      <c r="B340" s="90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2"/>
      <c r="R340" s="11"/>
    </row>
    <row r="341" s="1" customFormat="1" ht="5.1" customHeight="1" spans="1:18">
      <c r="A341" s="93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5"/>
    </row>
    <row r="342" s="2" customFormat="1" ht="9.95" customHeight="1"/>
    <row r="343" s="1" customFormat="1" ht="5.1" customHeight="1" spans="1:18">
      <c r="A343" s="4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6"/>
    </row>
    <row r="344" s="1" customFormat="1" ht="15" customHeight="1" spans="1:18">
      <c r="A344" s="7"/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0"/>
      <c r="R344" s="11"/>
    </row>
    <row r="345" s="1" customFormat="1" ht="21.95" customHeight="1" spans="1:18">
      <c r="A345" s="7"/>
      <c r="B345" s="12"/>
      <c r="C345" s="13" t="s">
        <v>7</v>
      </c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4"/>
      <c r="R345" s="11"/>
    </row>
    <row r="346" s="1" customFormat="1" ht="21.95" customHeight="1" spans="1:18">
      <c r="A346" s="7"/>
      <c r="B346" s="1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14"/>
      <c r="R346" s="11"/>
    </row>
    <row r="347" s="1" customFormat="1" ht="21.95" customHeight="1" spans="1:18">
      <c r="A347" s="7"/>
      <c r="B347" s="12"/>
      <c r="C347" s="15" t="str">
        <f>"SESSION-"&amp;ENTRY!$D$11</f>
        <v>SESSION-2026-27</v>
      </c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4"/>
      <c r="R347" s="11"/>
    </row>
    <row r="348" s="1" customFormat="1" ht="21.95" customHeight="1" spans="1:18">
      <c r="A348" s="7"/>
      <c r="B348" s="12"/>
      <c r="C348" s="2"/>
      <c r="D348" s="2"/>
      <c r="E348" s="2"/>
      <c r="F348" s="16">
        <f>F291+1</f>
        <v>7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14"/>
      <c r="R348" s="11"/>
    </row>
    <row r="349" s="1" customFormat="1" ht="21.95" customHeight="1" spans="1:18">
      <c r="A349" s="7"/>
      <c r="B349" s="12"/>
      <c r="C349" s="17" t="s">
        <v>392</v>
      </c>
      <c r="D349" s="17"/>
      <c r="E349" s="17"/>
      <c r="F349" s="18" t="str">
        <f>IF(F348&gt;0,ENTRY!$D$6,"")</f>
        <v>MCP NITHARI NO 1 BOYS</v>
      </c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9"/>
      <c r="R349" s="11"/>
    </row>
    <row r="350" s="1" customFormat="1" ht="21.95" customHeight="1" spans="1:18">
      <c r="A350" s="7"/>
      <c r="B350" s="12"/>
      <c r="C350" s="17" t="s">
        <v>393</v>
      </c>
      <c r="D350" s="17"/>
      <c r="E350" s="17"/>
      <c r="F350" s="18">
        <f>IF(F348&gt;0,ENTRY!$D$7,"")</f>
        <v>0</v>
      </c>
      <c r="G350" s="18"/>
      <c r="H350" s="20" t="s">
        <v>702</v>
      </c>
      <c r="I350" s="20"/>
      <c r="J350" s="21">
        <f>IF(F348&gt;0,ENTRY!$D$10,"")</f>
        <v>40</v>
      </c>
      <c r="K350" s="20" t="s">
        <v>703</v>
      </c>
      <c r="L350" s="22" t="str">
        <f>IF(F348&gt;0,ENTRY!$D$5,"")</f>
        <v>ROHINI ZONE</v>
      </c>
      <c r="M350" s="22"/>
      <c r="N350" s="22"/>
      <c r="O350" s="22"/>
      <c r="P350" s="22"/>
      <c r="Q350" s="19"/>
      <c r="R350" s="11"/>
    </row>
    <row r="351" s="1" customFormat="1" ht="21.95" customHeight="1" spans="1:18">
      <c r="A351" s="7"/>
      <c r="B351" s="12"/>
      <c r="C351" s="17" t="s">
        <v>706</v>
      </c>
      <c r="D351" s="17"/>
      <c r="E351" s="17"/>
      <c r="F351" s="23" t="str">
        <f>IFERROR(VLOOKUP(F348,STUDENT!$A$2:$BP$101,5,0),"")</f>
        <v>MD SAUBAN</v>
      </c>
      <c r="G351" s="23"/>
      <c r="H351" s="23"/>
      <c r="I351" s="23"/>
      <c r="J351" s="23"/>
      <c r="K351" s="23"/>
      <c r="L351" s="20" t="s">
        <v>707</v>
      </c>
      <c r="M351" s="20"/>
      <c r="N351" s="24" t="str">
        <f>IF(F348&gt;0,ENTRY!$D$20&amp;"-"&amp;ENTRY!$D$21,"")</f>
        <v>III-A</v>
      </c>
      <c r="O351" s="24"/>
      <c r="P351" s="24"/>
      <c r="Q351" s="19"/>
      <c r="R351" s="11"/>
    </row>
    <row r="352" s="1" customFormat="1" ht="21.95" customHeight="1" spans="1:18">
      <c r="A352" s="7"/>
      <c r="B352" s="12"/>
      <c r="C352" s="17" t="s">
        <v>708</v>
      </c>
      <c r="D352" s="17"/>
      <c r="E352" s="17"/>
      <c r="F352" s="25">
        <f>IFERROR(VLOOKUP(F348,STUDENT!$A$2:$BP$101,6,0),"")</f>
        <v>14773</v>
      </c>
      <c r="G352" s="25"/>
      <c r="H352" s="26" t="s">
        <v>709</v>
      </c>
      <c r="I352" s="27" t="str">
        <f>IFERROR(VLOOKUP(F348,STUDENT!$A$2:$BP$101,59,0),"")</f>
        <v/>
      </c>
      <c r="J352" s="27"/>
      <c r="K352" s="20" t="s">
        <v>710</v>
      </c>
      <c r="L352" s="20"/>
      <c r="M352" s="28">
        <f>IFERROR(VLOOKUP(F348,STUDENT!$A$2:$BP$101,20,0),"")</f>
        <v>8285037309</v>
      </c>
      <c r="N352" s="28"/>
      <c r="O352" s="28"/>
      <c r="P352" s="28"/>
      <c r="Q352" s="19"/>
      <c r="R352" s="11"/>
    </row>
    <row r="353" s="1" customFormat="1" ht="21.95" customHeight="1" spans="1:18">
      <c r="A353" s="7"/>
      <c r="B353" s="12"/>
      <c r="C353" s="17" t="s">
        <v>711</v>
      </c>
      <c r="D353" s="17"/>
      <c r="E353" s="17"/>
      <c r="F353" s="23" t="str">
        <f>IFERROR(VLOOKUP(F348,STUDENT!$A$2:$BP$101,9,0),"")</f>
        <v>MUSRAT PARVEEN</v>
      </c>
      <c r="G353" s="23"/>
      <c r="H353" s="23"/>
      <c r="I353" s="23"/>
      <c r="J353" s="17" t="s">
        <v>620</v>
      </c>
      <c r="K353" s="17"/>
      <c r="L353" s="23" t="str">
        <f>IFERROR(VLOOKUP(F348,STUDENT!$A$2:$BP$101,8,0),"")</f>
        <v>MD IRSHAD</v>
      </c>
      <c r="M353" s="23"/>
      <c r="N353" s="23"/>
      <c r="O353" s="23"/>
      <c r="P353" s="23"/>
      <c r="Q353" s="19"/>
      <c r="R353" s="11"/>
    </row>
    <row r="354" s="1" customFormat="1" ht="21.95" customHeight="1" spans="1:18">
      <c r="A354" s="7"/>
      <c r="B354" s="12"/>
      <c r="C354" s="17" t="s">
        <v>712</v>
      </c>
      <c r="D354" s="17"/>
      <c r="E354" s="17"/>
      <c r="F354" s="23" t="str">
        <f>IFERROR(VLOOKUP(F348,STUDENT!$A$2:$BP$101,22,0),"")</f>
        <v>E49 A INDER ENCLAVE 2</v>
      </c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19"/>
      <c r="R354" s="11"/>
    </row>
    <row r="355" s="1" customFormat="1" ht="9.95" customHeight="1" spans="1:18">
      <c r="A355" s="7"/>
      <c r="B355" s="12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19"/>
      <c r="R355" s="11"/>
    </row>
    <row r="356" s="1" customFormat="1" ht="9.95" customHeight="1" spans="1:18">
      <c r="A356" s="7"/>
      <c r="B356" s="12"/>
      <c r="C356" s="30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2"/>
      <c r="Q356" s="19"/>
      <c r="R356" s="11"/>
    </row>
    <row r="357" s="1" customFormat="1" ht="21.95" customHeight="1" spans="1:18">
      <c r="A357" s="7"/>
      <c r="B357" s="12"/>
      <c r="C357" s="33"/>
      <c r="D357" s="34" t="s">
        <v>713</v>
      </c>
      <c r="E357" s="20" t="s">
        <v>714</v>
      </c>
      <c r="F357" s="35" t="str">
        <f>"Level - "&amp;IFERROR(VLOOKUP(F348,FLN!$A$4:$K$103,9,0),"")</f>
        <v>Level - 4</v>
      </c>
      <c r="G357" s="36"/>
      <c r="H357" s="37" t="s">
        <v>715</v>
      </c>
      <c r="I357" s="20"/>
      <c r="J357" s="35" t="str">
        <f>"Level - "&amp;IFERROR(VLOOKUP(F348,FLN!$A$4:$K$103,11,0),"")</f>
        <v>Level - 4</v>
      </c>
      <c r="K357" s="36"/>
      <c r="L357" s="37" t="s">
        <v>408</v>
      </c>
      <c r="M357" s="20"/>
      <c r="N357" s="35" t="str">
        <f>"Level - "&amp;IFERROR(VLOOKUP(F348,FLN!$A$4:$K$103,10,0),"")</f>
        <v>Level - 3</v>
      </c>
      <c r="O357" s="36"/>
      <c r="P357" s="19"/>
      <c r="Q357" s="19"/>
      <c r="R357" s="11"/>
    </row>
    <row r="358" s="1" customFormat="1" ht="21.95" customHeight="1" spans="1:18">
      <c r="A358" s="7"/>
      <c r="B358" s="12"/>
      <c r="C358" s="33"/>
      <c r="D358" s="38"/>
      <c r="E358" s="20" t="s">
        <v>716</v>
      </c>
      <c r="F358" s="18" t="str">
        <f ca="1">IF(L372&gt;197,"PERFORMED WELL","")</f>
        <v/>
      </c>
      <c r="G358" s="18"/>
      <c r="H358" s="18"/>
      <c r="I358" s="18"/>
      <c r="J358" s="18"/>
      <c r="K358" s="18"/>
      <c r="L358" s="18"/>
      <c r="M358" s="18"/>
      <c r="N358" s="18"/>
      <c r="O358" s="18"/>
      <c r="P358" s="19"/>
      <c r="Q358" s="19"/>
      <c r="R358" s="11"/>
    </row>
    <row r="359" s="1" customFormat="1" ht="9.95" customHeight="1" spans="1:18">
      <c r="A359" s="7"/>
      <c r="B359" s="12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1"/>
      <c r="Q359" s="19"/>
      <c r="R359" s="11"/>
    </row>
    <row r="360" s="1" customFormat="1" ht="9.95" customHeight="1" spans="1:18">
      <c r="A360" s="7"/>
      <c r="B360" s="12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19"/>
      <c r="R360" s="11"/>
    </row>
    <row r="361" s="1" customFormat="1" ht="9.95" customHeight="1" spans="1:18">
      <c r="A361" s="7"/>
      <c r="B361" s="12"/>
      <c r="C361" s="30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2"/>
      <c r="Q361" s="19"/>
      <c r="R361" s="11"/>
    </row>
    <row r="362" s="1" customFormat="1" ht="21.95" customHeight="1" spans="1:18">
      <c r="A362" s="7"/>
      <c r="B362" s="12"/>
      <c r="C362" s="33"/>
      <c r="D362" s="35"/>
      <c r="E362" s="24"/>
      <c r="F362" s="42" t="s">
        <v>717</v>
      </c>
      <c r="G362" s="42"/>
      <c r="H362" s="42"/>
      <c r="I362" s="42"/>
      <c r="J362" s="42"/>
      <c r="K362" s="42"/>
      <c r="L362" s="43"/>
      <c r="M362" s="44"/>
      <c r="N362" s="29"/>
      <c r="O362" s="29"/>
      <c r="P362" s="19"/>
      <c r="Q362" s="19"/>
      <c r="R362" s="11"/>
    </row>
    <row r="363" s="1" customFormat="1" ht="21.95" customHeight="1" spans="1:18">
      <c r="A363" s="7"/>
      <c r="B363" s="12"/>
      <c r="C363" s="33"/>
      <c r="D363" s="45"/>
      <c r="E363" s="46"/>
      <c r="F363" s="47" t="s">
        <v>541</v>
      </c>
      <c r="G363" s="47" t="s">
        <v>542</v>
      </c>
      <c r="H363" s="47" t="s">
        <v>543</v>
      </c>
      <c r="I363" s="47" t="s">
        <v>544</v>
      </c>
      <c r="J363" s="47" t="s">
        <v>561</v>
      </c>
      <c r="K363" s="48" t="s">
        <v>750</v>
      </c>
      <c r="L363" s="47" t="s">
        <v>382</v>
      </c>
      <c r="M363" s="49" t="s">
        <v>546</v>
      </c>
      <c r="N363" s="29"/>
      <c r="O363" s="29"/>
      <c r="P363" s="19"/>
      <c r="Q363" s="19"/>
      <c r="R363" s="11"/>
    </row>
    <row r="364" s="1" customFormat="1" ht="21.95" customHeight="1" spans="1:18">
      <c r="A364" s="7"/>
      <c r="B364" s="12"/>
      <c r="C364" s="33"/>
      <c r="D364" s="45" t="s">
        <v>652</v>
      </c>
      <c r="E364" s="46"/>
      <c r="F364" s="50">
        <v>10</v>
      </c>
      <c r="G364" s="50">
        <v>10</v>
      </c>
      <c r="H364" s="50">
        <v>10</v>
      </c>
      <c r="I364" s="50">
        <v>10</v>
      </c>
      <c r="J364" s="50">
        <v>60</v>
      </c>
      <c r="K364" s="51"/>
      <c r="L364" s="50">
        <v>100</v>
      </c>
      <c r="M364" s="49"/>
      <c r="N364" s="29"/>
      <c r="O364" s="29"/>
      <c r="P364" s="19"/>
      <c r="Q364" s="19"/>
      <c r="R364" s="11"/>
    </row>
    <row r="365" s="1" customFormat="1" ht="21.95" customHeight="1" spans="1:18">
      <c r="A365" s="7"/>
      <c r="B365" s="12"/>
      <c r="C365" s="33"/>
      <c r="D365" s="52" t="s">
        <v>751</v>
      </c>
      <c r="E365" s="53"/>
      <c r="F365" s="54">
        <f ca="1">IFERROR(VLOOKUP(F348,'RR-3.1-5TH'!$A$12:'RR-3.1-5TH'!$BN$111,9,0),"")</f>
        <v>2</v>
      </c>
      <c r="G365" s="54">
        <f ca="1">IFERROR(VLOOKUP(F348,'RR-3.1-5TH'!$A$12:'RR-3.1-5TH'!$BN$111,10,0),"")</f>
        <v>0</v>
      </c>
      <c r="H365" s="54">
        <f ca="1">IFERROR(VLOOKUP(F348,'RR-3.1-5TH'!$A$12:'RR-3.1-5TH'!$BN$111,11,0),"")</f>
        <v>0</v>
      </c>
      <c r="I365" s="54">
        <f ca="1">IFERROR(VLOOKUP(F348,'RR-3.1-5TH'!$A$12:'RR-3.1-5TH'!$BN$111,12,0),"")</f>
        <v>0</v>
      </c>
      <c r="J365" s="54">
        <f ca="1">IFERROR(VLOOKUP(F348,'RR-3.1-5TH'!$A$12:'RR-3.1-5TH'!$BN$111,13,0),"")</f>
        <v>25</v>
      </c>
      <c r="K365" s="54">
        <f ca="1">IFERROR(VLOOKUP(F348,'RR-3.1-5TH'!$A$12:'RR-3.1-5TH'!$BN$111,14,0),"")</f>
        <v>0</v>
      </c>
      <c r="L365" s="55">
        <f ca="1" t="shared" ref="L365:L370" si="18">SUM(F365,G365,H365,I365,J365,K365)</f>
        <v>27</v>
      </c>
      <c r="M365" s="56" t="str">
        <f ca="1">IF(F348&gt;ENTRY!$D$24,"",IF(L365=0,"Ab",IF(L365&gt;80,"A",IF(L365&gt;60,"B",IF(L365&gt;44,"C",IF(L365&gt;=33,"D",IF(L365&lt;=32,"E","")))))))</f>
        <v>E</v>
      </c>
      <c r="N365" s="57" t="s">
        <v>729</v>
      </c>
      <c r="O365" s="58"/>
      <c r="P365" s="59"/>
      <c r="Q365" s="19"/>
      <c r="R365" s="11"/>
    </row>
    <row r="366" s="1" customFormat="1" ht="21.95" customHeight="1" spans="1:18">
      <c r="A366" s="7"/>
      <c r="B366" s="12"/>
      <c r="C366" s="33"/>
      <c r="D366" s="52" t="s">
        <v>513</v>
      </c>
      <c r="E366" s="53"/>
      <c r="F366" s="54">
        <f ca="1">IFERROR(VLOOKUP(F348,'RR-3.1-5TH'!$A$12:'RR-3.1-5TH'!$BN$111,17,0),"")</f>
        <v>1</v>
      </c>
      <c r="G366" s="54">
        <f ca="1">IFERROR(VLOOKUP(F348,'RR-3.1-5TH'!$A$12:'RR-3.1-5TH'!$BN$111,18,0),"")</f>
        <v>0</v>
      </c>
      <c r="H366" s="54">
        <f ca="1">IFERROR(VLOOKUP(F348,'RR-3.1-5TH'!$A$12:'RR-3.1-5TH'!$BN$111,19,0),"")</f>
        <v>0</v>
      </c>
      <c r="I366" s="54">
        <f ca="1">IFERROR(VLOOKUP(F348,'RR-3.1-5TH'!$A$12:'RR-3.1-5TH'!$BN$111,20,0),"")</f>
        <v>0</v>
      </c>
      <c r="J366" s="54">
        <f ca="1">IFERROR(VLOOKUP(F348,'RR-3.1-5TH'!$A$12:'RR-3.1-5TH'!$BN$111,21,0),"")</f>
        <v>11</v>
      </c>
      <c r="K366" s="54">
        <f ca="1">IFERROR(VLOOKUP(F348,'RR-3.1-5TH'!$A$12:'RR-3.1-5TH'!$BN$111,22,0),"")</f>
        <v>0</v>
      </c>
      <c r="L366" s="55">
        <f ca="1" t="shared" si="18"/>
        <v>12</v>
      </c>
      <c r="M366" s="56" t="str">
        <f ca="1">IF(F348&gt;ENTRY!$D$24,"",IF(L366=0,"Ab",IF(L366&gt;80,"A",IF(L366&gt;60,"B",IF(L366&gt;44,"C",IF(L366&gt;=33,"D",IF(L366&lt;=32,"E","")))))))</f>
        <v>E</v>
      </c>
      <c r="N366" s="58"/>
      <c r="O366" s="58"/>
      <c r="P366" s="59"/>
      <c r="Q366" s="19"/>
      <c r="R366" s="11"/>
    </row>
    <row r="367" s="1" customFormat="1" ht="21.95" customHeight="1" spans="1:18">
      <c r="A367" s="7"/>
      <c r="B367" s="12"/>
      <c r="C367" s="33"/>
      <c r="D367" s="52" t="s">
        <v>718</v>
      </c>
      <c r="E367" s="53"/>
      <c r="F367" s="54">
        <f ca="1">IFERROR(VLOOKUP(F348,'RR-3.1-5TH'!$A$12:'RR-3.1-5TH'!$BN$111,25,0),"")</f>
        <v>2</v>
      </c>
      <c r="G367" s="54">
        <f ca="1">IFERROR(VLOOKUP(F348,'RR-3.1-5TH'!$A$12:'RR-3.1-5TH'!$BN$111,26,0),"")</f>
        <v>0</v>
      </c>
      <c r="H367" s="54">
        <f ca="1">IFERROR(VLOOKUP(F348,'RR-3.1-5TH'!$A$12:'RR-3.1-5TH'!$BN$111,27,0),"")</f>
        <v>0</v>
      </c>
      <c r="I367" s="54">
        <f ca="1">IFERROR(VLOOKUP(F348,'RR-3.1-5TH'!$A$12:'RR-3.1-5TH'!$BN$111,28,0),"")</f>
        <v>0</v>
      </c>
      <c r="J367" s="54">
        <f ca="1">IFERROR(VLOOKUP(F348,'RR-3.1-5TH'!$A$12:'RR-3.1-5TH'!$BN$111,29,0),"")</f>
        <v>11</v>
      </c>
      <c r="K367" s="54">
        <f ca="1">IFERROR(VLOOKUP(F348,'RR-3.1-5TH'!$A$12:'RR-3.1-5TH'!$BN$111,30,0),"")</f>
        <v>0</v>
      </c>
      <c r="L367" s="55">
        <f ca="1" t="shared" si="18"/>
        <v>13</v>
      </c>
      <c r="M367" s="56" t="str">
        <f ca="1">IF(F348&gt;ENTRY!$D$24,"",IF(L367=0,"Ab",IF(L367&gt;80,"A",IF(L367&gt;60,"B",IF(L367&gt;44,"C",IF(L367&gt;=33,"D",IF(L367&lt;=32,"E","")))))))</f>
        <v>E</v>
      </c>
      <c r="N367" s="29"/>
      <c r="O367" s="29"/>
      <c r="P367" s="19"/>
      <c r="Q367" s="19"/>
      <c r="R367" s="11"/>
    </row>
    <row r="368" s="1" customFormat="1" ht="21.95" customHeight="1" spans="1:18">
      <c r="A368" s="7"/>
      <c r="B368" s="12"/>
      <c r="C368" s="33"/>
      <c r="D368" s="52" t="s">
        <v>719</v>
      </c>
      <c r="E368" s="53"/>
      <c r="F368" s="54">
        <f ca="1">IFERROR(VLOOKUP(F348,'RR-3.1-5TH'!$A$12:'RR-3.1-5TH'!$BN$111,33,0),"")</f>
        <v>2</v>
      </c>
      <c r="G368" s="54">
        <f ca="1">IFERROR(VLOOKUP(F348,'RR-3.1-5TH'!$A$12:'RR-3.1-5TH'!$BN$111,34,0),"")</f>
        <v>0</v>
      </c>
      <c r="H368" s="54">
        <f ca="1">IFERROR(VLOOKUP(F348,'RR-3.1-5TH'!$A$12:'RR-3.1-5TH'!$BN$111,35,0),"")</f>
        <v>0</v>
      </c>
      <c r="I368" s="54">
        <f ca="1">IFERROR(VLOOKUP(F348,'RR-3.1-5TH'!$A$12:'RR-3.1-5TH'!$BN$111,36,0),"")</f>
        <v>0</v>
      </c>
      <c r="J368" s="54">
        <f ca="1">IFERROR(VLOOKUP(F348,'RR-3.1-5TH'!$A$12:'RR-3.1-5TH'!$BN$111,37,0),"")</f>
        <v>13</v>
      </c>
      <c r="K368" s="54">
        <f ca="1">IFERROR(VLOOKUP(F348,'RR-3.1-5TH'!$A$12:'RR-3.1-5TH'!$BN$111,38,0),"")</f>
        <v>0</v>
      </c>
      <c r="L368" s="55">
        <f ca="1" t="shared" si="18"/>
        <v>15</v>
      </c>
      <c r="M368" s="56" t="str">
        <f ca="1">IF(F348&gt;ENTRY!$D$24,"",IF(L368=0,"Ab",IF(L368&gt;80,"A",IF(L368&gt;60,"B",IF(L368&gt;44,"C",IF(L368&gt;=33,"D",IF(L368&lt;=32,"E","")))))))</f>
        <v>E</v>
      </c>
      <c r="N368" s="29"/>
      <c r="O368" s="29"/>
      <c r="P368" s="19"/>
      <c r="Q368" s="19"/>
      <c r="R368" s="11"/>
    </row>
    <row r="369" s="1" customFormat="1" ht="21.95" customHeight="1" spans="1:19">
      <c r="A369" s="7"/>
      <c r="B369" s="12"/>
      <c r="C369" s="33"/>
      <c r="D369" s="52" t="s">
        <v>548</v>
      </c>
      <c r="E369" s="53"/>
      <c r="F369" s="54">
        <f ca="1">IFERROR(VLOOKUP(F348,'RR-3.1-5TH'!$A$12:'RR-3.1-5TH'!$BN$111,41,0),"")</f>
        <v>0</v>
      </c>
      <c r="G369" s="54">
        <f ca="1">IFERROR(VLOOKUP(F348,'RR-3.1-5TH'!$A$12:'RR-3.1-5TH'!$BN$111,42,0),"")</f>
        <v>0</v>
      </c>
      <c r="H369" s="54">
        <f ca="1">IFERROR(VLOOKUP(F348,'RR-3.1-5TH'!$A$12:'RR-3.1-5TH'!$BN$111,43,0),"")</f>
        <v>0</v>
      </c>
      <c r="I369" s="54">
        <f ca="1">IFERROR(VLOOKUP(F348,'RR-3.1-5TH'!$A$12:'RR-3.1-5TH'!$BN$111,44,0),"")</f>
        <v>0</v>
      </c>
      <c r="J369" s="54">
        <f ca="1">IFERROR(VLOOKUP(F348,'RR-3.1-5TH'!$A$12:'RR-3.1-5TH'!$BN$111,45,0),"")</f>
        <v>15</v>
      </c>
      <c r="K369" s="54">
        <f ca="1">IFERROR(VLOOKUP(F348,'RR-3.1-5TH'!$A$12:'RR-3.1-5TH'!$BN$111,46,0),"")</f>
        <v>0</v>
      </c>
      <c r="L369" s="55">
        <f ca="1" t="shared" si="18"/>
        <v>15</v>
      </c>
      <c r="M369" s="56" t="str">
        <f ca="1">IF(F348&gt;ENTRY!$D$24,"",IF(L369=0,"Ab",IF(L369&gt;80,"A",IF(L369&gt;60,"B",IF(L369&gt;44,"C",IF(L369&gt;=33,"D",IF(L369&lt;=32,"E","")))))))</f>
        <v>E</v>
      </c>
      <c r="N369" s="29"/>
      <c r="O369" s="29"/>
      <c r="P369" s="19"/>
      <c r="Q369" s="19"/>
      <c r="R369" s="11"/>
    </row>
    <row r="370" s="1" customFormat="1" ht="21.95" customHeight="1" spans="1:19">
      <c r="A370" s="7"/>
      <c r="B370" s="12"/>
      <c r="C370" s="33"/>
      <c r="D370" s="52" t="s">
        <v>549</v>
      </c>
      <c r="E370" s="53"/>
      <c r="F370" s="54">
        <f ca="1">IFERROR(VLOOKUP(F348,'RR-3.1-5TH'!$A$12:'RR-3.1-5TH'!$BN$111,49,0),"")</f>
        <v>2</v>
      </c>
      <c r="G370" s="54">
        <f ca="1">IFERROR(VLOOKUP(F348,'RR-3.1-5TH'!$A$12:'RR-3.1-5TH'!$BN$111,50,0),"")</f>
        <v>0</v>
      </c>
      <c r="H370" s="54">
        <f ca="1">IFERROR(VLOOKUP(F348,'RR-3.1-5TH'!$A$12:'RR-3.1-5TH'!$BN$111,51,0),"")</f>
        <v>0</v>
      </c>
      <c r="I370" s="54">
        <f ca="1">IFERROR(VLOOKUP(F348,'RR-3.1-5TH'!$A$12:'RR-3.1-5TH'!$BN$111,52,0),"")</f>
        <v>0</v>
      </c>
      <c r="J370" s="54">
        <f ca="1">IFERROR(VLOOKUP(F348,'RR-3.1-5TH'!$A$12:'RR-3.1-5TH'!$BN$111,53,0),"")</f>
        <v>20</v>
      </c>
      <c r="K370" s="54">
        <f ca="1">IFERROR(VLOOKUP(F348,'RR-3.1-5TH'!$A$12:'RR-3.1-5TH'!$BN$111,54,0),"")</f>
        <v>0</v>
      </c>
      <c r="L370" s="55">
        <f ca="1" t="shared" si="18"/>
        <v>22</v>
      </c>
      <c r="M370" s="56" t="str">
        <f ca="1">IF(F348&gt;ENTRY!$D$24,"",IF(L370=0,"Ab",IF(L370&gt;80,"A",IF(L370&gt;60,"B",IF(L370&gt;44,"C",IF(L370&gt;=33,"D",IF(L370&lt;=32,"E","")))))))</f>
        <v>E</v>
      </c>
      <c r="N370" s="57" t="s">
        <v>752</v>
      </c>
      <c r="O370" s="58"/>
      <c r="P370" s="59"/>
      <c r="Q370" s="19"/>
      <c r="R370" s="11"/>
    </row>
    <row r="371" s="1" customFormat="1" ht="21.95" customHeight="1" spans="1:19">
      <c r="A371" s="7"/>
      <c r="B371" s="12"/>
      <c r="C371" s="33"/>
      <c r="D371" s="52" t="s">
        <v>753</v>
      </c>
      <c r="E371" s="53"/>
      <c r="F371" s="60"/>
      <c r="G371" s="54"/>
      <c r="H371" s="54"/>
      <c r="I371" s="54"/>
      <c r="J371" s="54"/>
      <c r="K371" s="54"/>
      <c r="L371" s="55">
        <f t="shared" ref="L371" si="19">SUM(G371:K371)</f>
        <v>0</v>
      </c>
      <c r="M371" s="56" t="str">
        <f>IF(F348&gt;ENTRY!$D$24,"",IF(L371=0,"",IF(L371&gt;79,"A",IF(L371&gt;59,"B",IF(L371&gt;44,"C",IF(L371&gt;=33,"D",IF(L371&lt;=32,"E","")))))))</f>
        <v/>
      </c>
      <c r="N371" s="58"/>
      <c r="O371" s="58"/>
      <c r="P371" s="59"/>
      <c r="Q371" s="19"/>
      <c r="R371" s="11"/>
    </row>
    <row r="372" s="1" customFormat="1" ht="21.95" customHeight="1" spans="1:19">
      <c r="A372" s="7"/>
      <c r="B372" s="12"/>
      <c r="C372" s="33"/>
      <c r="D372" s="45" t="s">
        <v>382</v>
      </c>
      <c r="E372" s="46"/>
      <c r="F372" s="54">
        <f ca="1" t="shared" ref="F372:L372" si="20">IFERROR(SUM(F365:F371),"")</f>
        <v>9</v>
      </c>
      <c r="G372" s="54">
        <f ca="1" t="shared" si="20"/>
        <v>0</v>
      </c>
      <c r="H372" s="54">
        <f ca="1" t="shared" si="20"/>
        <v>0</v>
      </c>
      <c r="I372" s="54">
        <f ca="1" t="shared" si="20"/>
        <v>0</v>
      </c>
      <c r="J372" s="54">
        <f ca="1" t="shared" si="20"/>
        <v>95</v>
      </c>
      <c r="K372" s="54">
        <f ca="1" t="shared" si="20"/>
        <v>0</v>
      </c>
      <c r="L372" s="55">
        <f ca="1" t="shared" si="20"/>
        <v>104</v>
      </c>
      <c r="M372" s="61" t="str">
        <f ca="1">IF(F348&gt;ENTRY!$D$24,"",IF(N373="Ab","Ab",IF(N373&gt;79.5,"A",IF(N373&gt;59.5,"B",IF(N373&gt;44.5,"C",IF(N373&gt;=33,"D",IF(N373&lt;33,"E","")))))))</f>
        <v>E</v>
      </c>
      <c r="N372" s="62"/>
      <c r="O372" s="58"/>
      <c r="P372" s="59"/>
      <c r="Q372" s="19"/>
      <c r="R372" s="11"/>
    </row>
    <row r="373" s="1" customFormat="1" ht="21.95" customHeight="1" spans="1:19">
      <c r="A373" s="7"/>
      <c r="B373" s="12"/>
      <c r="C373" s="33"/>
      <c r="D373" s="63" t="s">
        <v>721</v>
      </c>
      <c r="E373" s="63"/>
      <c r="F373" s="63"/>
      <c r="G373" s="63"/>
      <c r="H373" s="63"/>
      <c r="I373" s="63"/>
      <c r="J373" s="63"/>
      <c r="K373" s="63"/>
      <c r="L373" s="63"/>
      <c r="M373" s="63"/>
      <c r="N373" s="64">
        <f ca="1">IF(L372="Ab","Ab",L372/6)</f>
        <v>17.3333333333333</v>
      </c>
      <c r="O373" s="65"/>
      <c r="P373" s="19"/>
      <c r="Q373" s="19"/>
      <c r="R373" s="11"/>
    </row>
    <row r="374" s="1" customFormat="1" ht="21.95" customHeight="1" spans="1:19">
      <c r="A374" s="7"/>
      <c r="B374" s="12"/>
      <c r="C374" s="33"/>
      <c r="D374" s="29" t="s">
        <v>716</v>
      </c>
      <c r="E374" s="18" t="str">
        <f>IFERROR(VLOOKUP(F348,'1to4-2.1-RR'!$A$12:$BG$111,57,0),"")</f>
        <v>PROMOTED</v>
      </c>
      <c r="F374" s="18"/>
      <c r="G374" s="18"/>
      <c r="H374" s="18"/>
      <c r="I374" s="18"/>
      <c r="J374" s="18"/>
      <c r="K374" s="18"/>
      <c r="L374" s="18"/>
      <c r="M374" s="18"/>
      <c r="N374" s="29"/>
      <c r="O374" s="29"/>
      <c r="P374" s="19"/>
      <c r="Q374" s="19"/>
      <c r="R374" s="11"/>
    </row>
    <row r="375" s="1" customFormat="1" ht="9.95" customHeight="1" spans="1:19">
      <c r="A375" s="7"/>
      <c r="B375" s="12"/>
      <c r="C375" s="33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19"/>
      <c r="Q375" s="19"/>
      <c r="R375" s="11"/>
    </row>
    <row r="376" s="1" customFormat="1" ht="36" spans="1:19">
      <c r="A376" s="7"/>
      <c r="B376" s="12"/>
      <c r="C376" s="33"/>
      <c r="D376" s="66" t="s">
        <v>576</v>
      </c>
      <c r="E376" s="67" t="s">
        <v>754</v>
      </c>
      <c r="F376" s="47">
        <f>IF(F348&gt;ENTRY!$D$24,"",IFERROR(VLOOKUP(F348,PASHEET!$A$4:$CJ$103,88,0),""))</f>
        <v>0</v>
      </c>
      <c r="G376" s="67" t="s">
        <v>755</v>
      </c>
      <c r="H376" s="47">
        <f>IF(F348&gt;ENTRY!$D$24,"",IFERROR(VLOOKUP(F348,PASHEET!$A$4:$CJ$103,87,0),""))</f>
        <v>0</v>
      </c>
      <c r="I376" s="68" t="s">
        <v>756</v>
      </c>
      <c r="J376" s="69" t="str">
        <f>IF(F348&gt;ENTRY!$D$24,"",IFERROR(IF(F348&gt;0,H376/F376*100),""))</f>
        <v/>
      </c>
      <c r="K376" s="60" t="s">
        <v>757</v>
      </c>
      <c r="L376" s="70">
        <f ca="1">IF(F348&gt;ENTRY!$D$24,"",IFERROR(L372/600*100,""))</f>
        <v>17.3333333333333</v>
      </c>
      <c r="M376" s="47" t="str">
        <f ca="1">IF(F348&gt;ENTRY!$D$24,"",IFERROR(L372&amp;" / "&amp;"600",""))</f>
        <v>104 / 600</v>
      </c>
      <c r="N376" s="29"/>
      <c r="O376" s="29"/>
      <c r="P376" s="19"/>
      <c r="Q376" s="19"/>
      <c r="R376" s="11"/>
    </row>
    <row r="377" s="1" customFormat="1" ht="9.95" customHeight="1" spans="1:19">
      <c r="A377" s="7"/>
      <c r="B377" s="12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1"/>
      <c r="Q377" s="19"/>
      <c r="R377" s="11"/>
    </row>
    <row r="378" s="1" customFormat="1" ht="9.95" customHeight="1" spans="1:19">
      <c r="A378" s="7"/>
      <c r="B378" s="12"/>
      <c r="C378" s="71"/>
      <c r="D378" s="71"/>
      <c r="E378" s="71"/>
      <c r="F378" s="29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19"/>
      <c r="R378" s="11"/>
    </row>
    <row r="379" s="1" customFormat="1" ht="9.95" customHeight="1" spans="1:19">
      <c r="A379" s="7"/>
      <c r="B379" s="12"/>
      <c r="C379" s="29"/>
      <c r="D379" s="29"/>
      <c r="E379" s="29"/>
      <c r="F379" s="72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19"/>
      <c r="R379" s="11"/>
    </row>
    <row r="380" s="1" customFormat="1" ht="9.95" customHeight="1" spans="1:19">
      <c r="A380" s="7"/>
      <c r="B380" s="12"/>
      <c r="C380" s="30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2"/>
      <c r="Q380" s="19"/>
      <c r="R380" s="11"/>
    </row>
    <row r="381" s="1" customFormat="1" ht="21.95" customHeight="1" spans="1:19">
      <c r="A381" s="7"/>
      <c r="B381" s="12"/>
      <c r="C381" s="73" t="s">
        <v>7</v>
      </c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74"/>
      <c r="Q381" s="19"/>
      <c r="R381" s="11"/>
      <c r="S381" s="2"/>
    </row>
    <row r="382" s="1" customFormat="1" ht="21.95" customHeight="1" spans="1:19">
      <c r="A382" s="7"/>
      <c r="B382" s="12"/>
      <c r="C382" s="33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19"/>
      <c r="Q382" s="19"/>
      <c r="R382" s="11"/>
    </row>
    <row r="383" s="1" customFormat="1" ht="21.95" customHeight="1" spans="1:19">
      <c r="A383" s="7"/>
      <c r="B383" s="12"/>
      <c r="C383" s="75" t="str">
        <f>"SESSION-"&amp;ENTRY!$D$11</f>
        <v>SESSION-2026-27</v>
      </c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76"/>
      <c r="Q383" s="19"/>
      <c r="R383" s="11"/>
    </row>
    <row r="384" s="1" customFormat="1" ht="18" customHeight="1" spans="1:19">
      <c r="A384" s="7"/>
      <c r="B384" s="12"/>
      <c r="C384" s="33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19"/>
      <c r="Q384" s="19"/>
      <c r="R384" s="11"/>
    </row>
    <row r="385" s="1" customFormat="1" ht="21.95" customHeight="1" spans="1:18">
      <c r="A385" s="7"/>
      <c r="B385" s="12"/>
      <c r="C385" s="33"/>
      <c r="D385" s="77" t="s">
        <v>758</v>
      </c>
      <c r="E385" s="77"/>
      <c r="F385" s="78" t="str">
        <f>IFERROR(PROPER(VLOOKUP(F348,STUDENT!$A$2:$BP$101,5,0)),"")</f>
        <v>Md Sauban</v>
      </c>
      <c r="G385" s="78"/>
      <c r="H385" s="78"/>
      <c r="I385" s="78"/>
      <c r="J385" s="78"/>
      <c r="K385" s="78"/>
      <c r="L385" s="78"/>
      <c r="M385" s="78"/>
      <c r="N385" s="79" t="s">
        <v>759</v>
      </c>
      <c r="O385" s="79"/>
      <c r="P385" s="19"/>
      <c r="Q385" s="19"/>
      <c r="R385" s="11"/>
    </row>
    <row r="386" s="1" customFormat="1" ht="21.95" customHeight="1" spans="1:18">
      <c r="A386" s="7"/>
      <c r="B386" s="12"/>
      <c r="C386" s="33"/>
      <c r="D386" s="80" t="s">
        <v>760</v>
      </c>
      <c r="E386" s="81" t="str">
        <f>IFERROR(PROPER(VLOOKUP(F348,STUDENT!$A$2:$BP$101,9,0)),"")</f>
        <v>Musrat Parveen</v>
      </c>
      <c r="F386" s="81"/>
      <c r="G386" s="81"/>
      <c r="H386" s="80" t="s">
        <v>761</v>
      </c>
      <c r="I386" s="82" t="str">
        <f>IFERROR(PROPER(VLOOKUP(F348,STUDENT!$A$2:$BP$101,8,0)),"")</f>
        <v>Md Irshad</v>
      </c>
      <c r="J386" s="82"/>
      <c r="K386" s="82"/>
      <c r="L386" s="82"/>
      <c r="M386" s="80" t="s">
        <v>762</v>
      </c>
      <c r="N386" s="83" t="str">
        <f>IFERROR(VLOOKUP(F348,STUDENT!$A$2:$BP$101,59,0),"")</f>
        <v/>
      </c>
      <c r="O386" s="83"/>
      <c r="P386" s="19"/>
      <c r="Q386" s="19"/>
      <c r="R386" s="11"/>
    </row>
    <row r="387" s="1" customFormat="1" ht="21.95" customHeight="1" spans="1:18">
      <c r="A387" s="7"/>
      <c r="B387" s="12"/>
      <c r="C387" s="33"/>
      <c r="D387" s="77" t="str">
        <f>"has    completed     his  /  her     primary     level     education    in    the    year    "&amp;RIGHT(ENTRY!$D353,4)&amp;"    from    ( School    Name )"</f>
        <v>has    completed     his  /  her     primary     level     education    in    the    year        from    ( School    Name )</v>
      </c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19"/>
      <c r="Q387" s="19"/>
      <c r="R387" s="11"/>
    </row>
    <row r="388" s="1" customFormat="1" ht="21.95" customHeight="1" spans="1:18">
      <c r="A388" s="7"/>
      <c r="B388" s="12"/>
      <c r="C388" s="33"/>
      <c r="D388" s="81" t="str">
        <f>IF(F348&gt;0,ENTRY!$D$6,"")</f>
        <v>MCP NITHARI NO 1 BOYS</v>
      </c>
      <c r="E388" s="81"/>
      <c r="F388" s="81"/>
      <c r="G388" s="81"/>
      <c r="H388" s="81"/>
      <c r="I388" s="81"/>
      <c r="J388" s="81"/>
      <c r="K388" s="81"/>
      <c r="L388" s="81"/>
      <c r="M388" s="80" t="s">
        <v>763</v>
      </c>
      <c r="N388" s="84">
        <f>IF(F348&gt;0,ENTRY!$D$7,"")</f>
        <v>0</v>
      </c>
      <c r="O388" s="84"/>
      <c r="P388" s="85" t="s">
        <v>727</v>
      </c>
      <c r="Q388" s="19"/>
      <c r="R388" s="11"/>
    </row>
    <row r="389" s="1" customFormat="1" ht="21.95" customHeight="1" spans="1:18">
      <c r="A389" s="7"/>
      <c r="B389" s="12"/>
      <c r="C389" s="33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19"/>
      <c r="Q389" s="19"/>
      <c r="R389" s="11"/>
    </row>
    <row r="390" s="1" customFormat="1" ht="21.95" customHeight="1" spans="1:18">
      <c r="A390" s="7"/>
      <c r="B390" s="12"/>
      <c r="C390" s="33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19"/>
      <c r="Q390" s="19"/>
      <c r="R390" s="11"/>
    </row>
    <row r="391" s="1" customFormat="1" ht="21.95" customHeight="1" spans="1:18">
      <c r="A391" s="7"/>
      <c r="B391" s="12"/>
      <c r="C391" s="33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19"/>
      <c r="Q391" s="19"/>
      <c r="R391" s="11"/>
    </row>
    <row r="392" s="1" customFormat="1" ht="21.95" customHeight="1" spans="1:18">
      <c r="A392" s="7"/>
      <c r="B392" s="12"/>
      <c r="C392" s="33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19"/>
      <c r="Q392" s="19"/>
      <c r="R392" s="11"/>
    </row>
    <row r="393" s="1" customFormat="1" ht="21.95" customHeight="1" spans="1:18">
      <c r="A393" s="7"/>
      <c r="B393" s="12"/>
      <c r="C393" s="33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19"/>
      <c r="Q393" s="19"/>
      <c r="R393" s="11"/>
    </row>
    <row r="394" s="1" customFormat="1" ht="21.95" customHeight="1" spans="1:18">
      <c r="A394" s="7"/>
      <c r="B394" s="12"/>
      <c r="C394" s="33"/>
      <c r="D394" s="80" t="s">
        <v>728</v>
      </c>
      <c r="E394" s="86">
        <f>ENTRY!$D$27</f>
        <v>46102</v>
      </c>
      <c r="F394" s="86"/>
      <c r="G394" s="29"/>
      <c r="H394" s="29"/>
      <c r="I394" s="29"/>
      <c r="J394" s="29"/>
      <c r="K394" s="29"/>
      <c r="L394" s="29"/>
      <c r="M394" s="87" t="s">
        <v>730</v>
      </c>
      <c r="N394" s="87"/>
      <c r="O394" s="87"/>
      <c r="P394" s="19"/>
      <c r="Q394" s="19"/>
      <c r="R394" s="11"/>
    </row>
    <row r="395" s="1" customFormat="1" ht="21.95" customHeight="1" spans="1:18">
      <c r="A395" s="7"/>
      <c r="B395" s="12"/>
      <c r="C395" s="33"/>
      <c r="D395" s="80" t="s">
        <v>731</v>
      </c>
      <c r="E395" s="88" t="str">
        <f>PROPER(ENTRY!$D$28)</f>
        <v>New Delhi</v>
      </c>
      <c r="F395" s="88"/>
      <c r="G395" s="29"/>
      <c r="H395" s="29"/>
      <c r="I395" s="29"/>
      <c r="J395" s="29"/>
      <c r="K395" s="29"/>
      <c r="L395" s="29"/>
      <c r="M395" s="89" t="s">
        <v>732</v>
      </c>
      <c r="N395" s="89"/>
      <c r="O395" s="89"/>
      <c r="P395" s="19"/>
      <c r="Q395" s="19"/>
      <c r="R395" s="11"/>
    </row>
    <row r="396" s="1" customFormat="1" ht="21.95" customHeight="1" spans="1:18">
      <c r="A396" s="7"/>
      <c r="B396" s="12"/>
      <c r="C396" s="90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2"/>
      <c r="Q396" s="14"/>
      <c r="R396" s="11"/>
    </row>
    <row r="397" s="1" customFormat="1" ht="5.1" customHeight="1" spans="1:18">
      <c r="A397" s="7"/>
      <c r="B397" s="90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2"/>
      <c r="R397" s="11"/>
    </row>
    <row r="398" s="1" customFormat="1" ht="5.1" customHeight="1" spans="1:18">
      <c r="A398" s="93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5"/>
    </row>
    <row r="399" s="2" customFormat="1" ht="9.95" customHeight="1"/>
    <row r="400" s="1" customFormat="1" ht="5.1" customHeight="1" spans="1:18">
      <c r="A400" s="4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6"/>
    </row>
    <row r="401" s="1" customFormat="1" ht="15" customHeight="1" spans="1:18">
      <c r="A401" s="7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0"/>
      <c r="R401" s="11"/>
    </row>
    <row r="402" s="1" customFormat="1" ht="21.95" customHeight="1" spans="1:18">
      <c r="A402" s="7"/>
      <c r="B402" s="12"/>
      <c r="C402" s="13" t="s">
        <v>7</v>
      </c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4"/>
      <c r="R402" s="11"/>
    </row>
    <row r="403" s="1" customFormat="1" ht="21.95" customHeight="1" spans="1:18">
      <c r="A403" s="7"/>
      <c r="B403" s="1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14"/>
      <c r="R403" s="11"/>
    </row>
    <row r="404" s="1" customFormat="1" ht="21.95" customHeight="1" spans="1:18">
      <c r="A404" s="7"/>
      <c r="B404" s="12"/>
      <c r="C404" s="15" t="str">
        <f>"SESSION-"&amp;ENTRY!$D$11</f>
        <v>SESSION-2026-27</v>
      </c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4"/>
      <c r="R404" s="11"/>
    </row>
    <row r="405" s="1" customFormat="1" ht="21.95" customHeight="1" spans="1:18">
      <c r="A405" s="7"/>
      <c r="B405" s="12"/>
      <c r="C405" s="2"/>
      <c r="D405" s="2"/>
      <c r="E405" s="2"/>
      <c r="F405" s="16">
        <f>F348+1</f>
        <v>8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14"/>
      <c r="R405" s="11"/>
    </row>
    <row r="406" s="1" customFormat="1" ht="21.95" customHeight="1" spans="1:18">
      <c r="A406" s="7"/>
      <c r="B406" s="12"/>
      <c r="C406" s="17" t="s">
        <v>392</v>
      </c>
      <c r="D406" s="17"/>
      <c r="E406" s="17"/>
      <c r="F406" s="18" t="str">
        <f>IF(F405&gt;0,ENTRY!$D$6,"")</f>
        <v>MCP NITHARI NO 1 BOYS</v>
      </c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9"/>
      <c r="R406" s="11"/>
    </row>
    <row r="407" s="1" customFormat="1" ht="21.95" customHeight="1" spans="1:18">
      <c r="A407" s="7"/>
      <c r="B407" s="12"/>
      <c r="C407" s="17" t="s">
        <v>393</v>
      </c>
      <c r="D407" s="17"/>
      <c r="E407" s="17"/>
      <c r="F407" s="18">
        <f>IF(F405&gt;0,ENTRY!$D$7,"")</f>
        <v>0</v>
      </c>
      <c r="G407" s="18"/>
      <c r="H407" s="20" t="s">
        <v>702</v>
      </c>
      <c r="I407" s="20"/>
      <c r="J407" s="21">
        <f>IF(F405&gt;0,ENTRY!$D$10,"")</f>
        <v>40</v>
      </c>
      <c r="K407" s="20" t="s">
        <v>703</v>
      </c>
      <c r="L407" s="22" t="str">
        <f>IF(F405&gt;0,ENTRY!$D$5,"")</f>
        <v>ROHINI ZONE</v>
      </c>
      <c r="M407" s="22"/>
      <c r="N407" s="22"/>
      <c r="O407" s="22"/>
      <c r="P407" s="22"/>
      <c r="Q407" s="19"/>
      <c r="R407" s="11"/>
    </row>
    <row r="408" s="1" customFormat="1" ht="21.95" customHeight="1" spans="1:18">
      <c r="A408" s="7"/>
      <c r="B408" s="12"/>
      <c r="C408" s="17" t="s">
        <v>706</v>
      </c>
      <c r="D408" s="17"/>
      <c r="E408" s="17"/>
      <c r="F408" s="23" t="str">
        <f>IFERROR(VLOOKUP(F405,STUDENT!$A$2:$BP$101,5,0),"")</f>
        <v>DEEPANSHU</v>
      </c>
      <c r="G408" s="23"/>
      <c r="H408" s="23"/>
      <c r="I408" s="23"/>
      <c r="J408" s="23"/>
      <c r="K408" s="23"/>
      <c r="L408" s="20" t="s">
        <v>707</v>
      </c>
      <c r="M408" s="20"/>
      <c r="N408" s="24" t="str">
        <f>IF(F405&gt;0,ENTRY!$D$20&amp;"-"&amp;ENTRY!$D$21,"")</f>
        <v>III-A</v>
      </c>
      <c r="O408" s="24"/>
      <c r="P408" s="24"/>
      <c r="Q408" s="19"/>
      <c r="R408" s="11"/>
    </row>
    <row r="409" s="1" customFormat="1" ht="21.95" customHeight="1" spans="1:18">
      <c r="A409" s="7"/>
      <c r="B409" s="12"/>
      <c r="C409" s="17" t="s">
        <v>708</v>
      </c>
      <c r="D409" s="17"/>
      <c r="E409" s="17"/>
      <c r="F409" s="25">
        <f>IFERROR(VLOOKUP(F405,STUDENT!$A$2:$BP$101,6,0),"")</f>
        <v>14769</v>
      </c>
      <c r="G409" s="25"/>
      <c r="H409" s="26" t="s">
        <v>709</v>
      </c>
      <c r="I409" s="27" t="str">
        <f>IFERROR(VLOOKUP(F405,STUDENT!$A$2:$BP$101,59,0),"")</f>
        <v/>
      </c>
      <c r="J409" s="27"/>
      <c r="K409" s="20" t="s">
        <v>710</v>
      </c>
      <c r="L409" s="20"/>
      <c r="M409" s="28">
        <f>IFERROR(VLOOKUP(F405,STUDENT!$A$2:$BP$101,20,0),"")</f>
        <v>8743977680</v>
      </c>
      <c r="N409" s="28"/>
      <c r="O409" s="28"/>
      <c r="P409" s="28"/>
      <c r="Q409" s="19"/>
      <c r="R409" s="11"/>
    </row>
    <row r="410" s="1" customFormat="1" ht="21.95" customHeight="1" spans="1:18">
      <c r="A410" s="7"/>
      <c r="B410" s="12"/>
      <c r="C410" s="17" t="s">
        <v>711</v>
      </c>
      <c r="D410" s="17"/>
      <c r="E410" s="17"/>
      <c r="F410" s="23" t="str">
        <f>IFERROR(VLOOKUP(F405,STUDENT!$A$2:$BP$101,9,0),"")</f>
        <v>GUDIYA DEVI</v>
      </c>
      <c r="G410" s="23"/>
      <c r="H410" s="23"/>
      <c r="I410" s="23"/>
      <c r="J410" s="17" t="s">
        <v>620</v>
      </c>
      <c r="K410" s="17"/>
      <c r="L410" s="23" t="str">
        <f>IFERROR(VLOOKUP(F405,STUDENT!$A$2:$BP$101,8,0),"")</f>
        <v>AKHILESH KUMAR</v>
      </c>
      <c r="M410" s="23"/>
      <c r="N410" s="23"/>
      <c r="O410" s="23"/>
      <c r="P410" s="23"/>
      <c r="Q410" s="19"/>
      <c r="R410" s="11"/>
    </row>
    <row r="411" s="1" customFormat="1" ht="21.95" customHeight="1" spans="1:18">
      <c r="A411" s="7"/>
      <c r="B411" s="12"/>
      <c r="C411" s="17" t="s">
        <v>712</v>
      </c>
      <c r="D411" s="17"/>
      <c r="E411" s="17"/>
      <c r="F411" s="23" t="str">
        <f>IFERROR(VLOOKUP(F405,STUDENT!$A$2:$BP$101,22,0),"")</f>
        <v>G 225/8 JANTA ENCLAVE PREM NAGAR</v>
      </c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19"/>
      <c r="R411" s="11"/>
    </row>
    <row r="412" s="1" customFormat="1" ht="9.95" customHeight="1" spans="1:18">
      <c r="A412" s="7"/>
      <c r="B412" s="12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19"/>
      <c r="R412" s="11"/>
    </row>
    <row r="413" s="1" customFormat="1" ht="9.95" customHeight="1" spans="1:18">
      <c r="A413" s="7"/>
      <c r="B413" s="12"/>
      <c r="C413" s="30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2"/>
      <c r="Q413" s="19"/>
      <c r="R413" s="11"/>
    </row>
    <row r="414" s="1" customFormat="1" ht="21.95" customHeight="1" spans="1:18">
      <c r="A414" s="7"/>
      <c r="B414" s="12"/>
      <c r="C414" s="33"/>
      <c r="D414" s="34" t="s">
        <v>713</v>
      </c>
      <c r="E414" s="20" t="s">
        <v>714</v>
      </c>
      <c r="F414" s="35" t="str">
        <f>"Level - "&amp;IFERROR(VLOOKUP(F405,FLN!$A$4:$K$103,9,0),"")</f>
        <v>Level - 2</v>
      </c>
      <c r="G414" s="36"/>
      <c r="H414" s="37" t="s">
        <v>715</v>
      </c>
      <c r="I414" s="20"/>
      <c r="J414" s="35" t="str">
        <f>"Level - "&amp;IFERROR(VLOOKUP(F405,FLN!$A$4:$K$103,11,0),"")</f>
        <v>Level - 3</v>
      </c>
      <c r="K414" s="36"/>
      <c r="L414" s="37" t="s">
        <v>408</v>
      </c>
      <c r="M414" s="20"/>
      <c r="N414" s="35" t="str">
        <f>"Level - "&amp;IFERROR(VLOOKUP(F405,FLN!$A$4:$K$103,10,0),"")</f>
        <v>Level - 2</v>
      </c>
      <c r="O414" s="36"/>
      <c r="P414" s="19"/>
      <c r="Q414" s="19"/>
      <c r="R414" s="11"/>
    </row>
    <row r="415" s="1" customFormat="1" ht="21.95" customHeight="1" spans="1:18">
      <c r="A415" s="7"/>
      <c r="B415" s="12"/>
      <c r="C415" s="33"/>
      <c r="D415" s="38"/>
      <c r="E415" s="20" t="s">
        <v>716</v>
      </c>
      <c r="F415" s="18" t="str">
        <f ca="1">IF(L429&gt;197,"PERFORMED WELL","")</f>
        <v/>
      </c>
      <c r="G415" s="18"/>
      <c r="H415" s="18"/>
      <c r="I415" s="18"/>
      <c r="J415" s="18"/>
      <c r="K415" s="18"/>
      <c r="L415" s="18"/>
      <c r="M415" s="18"/>
      <c r="N415" s="18"/>
      <c r="O415" s="18"/>
      <c r="P415" s="19"/>
      <c r="Q415" s="19"/>
      <c r="R415" s="11"/>
    </row>
    <row r="416" s="1" customFormat="1" ht="9.95" customHeight="1" spans="1:18">
      <c r="A416" s="7"/>
      <c r="B416" s="12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1"/>
      <c r="Q416" s="19"/>
      <c r="R416" s="11"/>
    </row>
    <row r="417" s="1" customFormat="1" ht="9.95" customHeight="1" spans="1:18">
      <c r="A417" s="7"/>
      <c r="B417" s="12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19"/>
      <c r="R417" s="11"/>
    </row>
    <row r="418" s="1" customFormat="1" ht="9.95" customHeight="1" spans="1:18">
      <c r="A418" s="7"/>
      <c r="B418" s="12"/>
      <c r="C418" s="30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2"/>
      <c r="Q418" s="19"/>
      <c r="R418" s="11"/>
    </row>
    <row r="419" s="1" customFormat="1" ht="21.95" customHeight="1" spans="1:18">
      <c r="A419" s="7"/>
      <c r="B419" s="12"/>
      <c r="C419" s="33"/>
      <c r="D419" s="35"/>
      <c r="E419" s="24"/>
      <c r="F419" s="42" t="s">
        <v>717</v>
      </c>
      <c r="G419" s="42"/>
      <c r="H419" s="42"/>
      <c r="I419" s="42"/>
      <c r="J419" s="42"/>
      <c r="K419" s="42"/>
      <c r="L419" s="43"/>
      <c r="M419" s="44"/>
      <c r="N419" s="29"/>
      <c r="O419" s="29"/>
      <c r="P419" s="19"/>
      <c r="Q419" s="19"/>
      <c r="R419" s="11"/>
    </row>
    <row r="420" s="1" customFormat="1" ht="21.95" customHeight="1" spans="1:18">
      <c r="A420" s="7"/>
      <c r="B420" s="12"/>
      <c r="C420" s="33"/>
      <c r="D420" s="45"/>
      <c r="E420" s="46"/>
      <c r="F420" s="47" t="s">
        <v>541</v>
      </c>
      <c r="G420" s="47" t="s">
        <v>542</v>
      </c>
      <c r="H420" s="47" t="s">
        <v>543</v>
      </c>
      <c r="I420" s="47" t="s">
        <v>544</v>
      </c>
      <c r="J420" s="47" t="s">
        <v>561</v>
      </c>
      <c r="K420" s="48" t="s">
        <v>750</v>
      </c>
      <c r="L420" s="47" t="s">
        <v>382</v>
      </c>
      <c r="M420" s="49" t="s">
        <v>546</v>
      </c>
      <c r="N420" s="29"/>
      <c r="O420" s="29"/>
      <c r="P420" s="19"/>
      <c r="Q420" s="19"/>
      <c r="R420" s="11"/>
    </row>
    <row r="421" s="1" customFormat="1" ht="21.95" customHeight="1" spans="1:18">
      <c r="A421" s="7"/>
      <c r="B421" s="12"/>
      <c r="C421" s="33"/>
      <c r="D421" s="45" t="s">
        <v>652</v>
      </c>
      <c r="E421" s="46"/>
      <c r="F421" s="50">
        <v>10</v>
      </c>
      <c r="G421" s="50">
        <v>10</v>
      </c>
      <c r="H421" s="50">
        <v>10</v>
      </c>
      <c r="I421" s="50">
        <v>10</v>
      </c>
      <c r="J421" s="50">
        <v>60</v>
      </c>
      <c r="K421" s="51"/>
      <c r="L421" s="50">
        <v>100</v>
      </c>
      <c r="M421" s="49"/>
      <c r="N421" s="29"/>
      <c r="O421" s="29"/>
      <c r="P421" s="19"/>
      <c r="Q421" s="19"/>
      <c r="R421" s="11"/>
    </row>
    <row r="422" s="1" customFormat="1" ht="21.95" customHeight="1" spans="1:18">
      <c r="A422" s="7"/>
      <c r="B422" s="12"/>
      <c r="C422" s="33"/>
      <c r="D422" s="52" t="s">
        <v>751</v>
      </c>
      <c r="E422" s="53"/>
      <c r="F422" s="54">
        <f ca="1">IFERROR(VLOOKUP(F405,'RR-3.1-5TH'!$A$12:'RR-3.1-5TH'!$BN$111,9,0),"")</f>
        <v>2</v>
      </c>
      <c r="G422" s="54">
        <f ca="1">IFERROR(VLOOKUP(F405,'RR-3.1-5TH'!$A$12:'RR-3.1-5TH'!$BN$111,10,0),"")</f>
        <v>0</v>
      </c>
      <c r="H422" s="54">
        <f ca="1">IFERROR(VLOOKUP(F405,'RR-3.1-5TH'!$A$12:'RR-3.1-5TH'!$BN$111,11,0),"")</f>
        <v>0</v>
      </c>
      <c r="I422" s="54">
        <f ca="1">IFERROR(VLOOKUP(F405,'RR-3.1-5TH'!$A$12:'RR-3.1-5TH'!$BN$111,12,0),"")</f>
        <v>0</v>
      </c>
      <c r="J422" s="54">
        <f ca="1">IFERROR(VLOOKUP(F405,'RR-3.1-5TH'!$A$12:'RR-3.1-5TH'!$BN$111,13,0),"")</f>
        <v>45</v>
      </c>
      <c r="K422" s="54">
        <f ca="1">IFERROR(VLOOKUP(F405,'RR-3.1-5TH'!$A$12:'RR-3.1-5TH'!$BN$111,14,0),"")</f>
        <v>0</v>
      </c>
      <c r="L422" s="55">
        <f ca="1" t="shared" ref="L422:L427" si="21">SUM(F422,G422,H422,I422,J422,K422)</f>
        <v>47</v>
      </c>
      <c r="M422" s="56" t="str">
        <f ca="1">IF(F405&gt;ENTRY!$D$24,"",IF(L422=0,"Ab",IF(L422&gt;80,"A",IF(L422&gt;60,"B",IF(L422&gt;44,"C",IF(L422&gt;=33,"D",IF(L422&lt;=32,"E","")))))))</f>
        <v>C</v>
      </c>
      <c r="N422" s="57" t="s">
        <v>729</v>
      </c>
      <c r="O422" s="58"/>
      <c r="P422" s="59"/>
      <c r="Q422" s="19"/>
      <c r="R422" s="11"/>
    </row>
    <row r="423" s="1" customFormat="1" ht="21.95" customHeight="1" spans="1:18">
      <c r="A423" s="7"/>
      <c r="B423" s="12"/>
      <c r="C423" s="33"/>
      <c r="D423" s="52" t="s">
        <v>513</v>
      </c>
      <c r="E423" s="53"/>
      <c r="F423" s="54">
        <f ca="1">IFERROR(VLOOKUP(F405,'RR-3.1-5TH'!$A$12:'RR-3.1-5TH'!$BN$111,17,0),"")</f>
        <v>1</v>
      </c>
      <c r="G423" s="54">
        <f ca="1">IFERROR(VLOOKUP(F405,'RR-3.1-5TH'!$A$12:'RR-3.1-5TH'!$BN$111,18,0),"")</f>
        <v>0</v>
      </c>
      <c r="H423" s="54">
        <f ca="1">IFERROR(VLOOKUP(F405,'RR-3.1-5TH'!$A$12:'RR-3.1-5TH'!$BN$111,19,0),"")</f>
        <v>0</v>
      </c>
      <c r="I423" s="54">
        <f ca="1">IFERROR(VLOOKUP(F405,'RR-3.1-5TH'!$A$12:'RR-3.1-5TH'!$BN$111,20,0),"")</f>
        <v>0</v>
      </c>
      <c r="J423" s="54">
        <f ca="1">IFERROR(VLOOKUP(F405,'RR-3.1-5TH'!$A$12:'RR-3.1-5TH'!$BN$111,21,0),"")</f>
        <v>17</v>
      </c>
      <c r="K423" s="54">
        <f ca="1">IFERROR(VLOOKUP(F405,'RR-3.1-5TH'!$A$12:'RR-3.1-5TH'!$BN$111,22,0),"")</f>
        <v>0</v>
      </c>
      <c r="L423" s="55">
        <f ca="1" t="shared" si="21"/>
        <v>18</v>
      </c>
      <c r="M423" s="56" t="str">
        <f ca="1">IF(F405&gt;ENTRY!$D$24,"",IF(L423=0,"Ab",IF(L423&gt;80,"A",IF(L423&gt;60,"B",IF(L423&gt;44,"C",IF(L423&gt;=33,"D",IF(L423&lt;=32,"E","")))))))</f>
        <v>E</v>
      </c>
      <c r="N423" s="58"/>
      <c r="O423" s="58"/>
      <c r="P423" s="59"/>
      <c r="Q423" s="19"/>
      <c r="R423" s="11"/>
    </row>
    <row r="424" s="1" customFormat="1" ht="21.95" customHeight="1" spans="1:18">
      <c r="A424" s="7"/>
      <c r="B424" s="12"/>
      <c r="C424" s="33"/>
      <c r="D424" s="52" t="s">
        <v>718</v>
      </c>
      <c r="E424" s="53"/>
      <c r="F424" s="54">
        <f ca="1">IFERROR(VLOOKUP(F405,'RR-3.1-5TH'!$A$12:'RR-3.1-5TH'!$BN$111,25,0),"")</f>
        <v>2</v>
      </c>
      <c r="G424" s="54">
        <f ca="1">IFERROR(VLOOKUP(F405,'RR-3.1-5TH'!$A$12:'RR-3.1-5TH'!$BN$111,26,0),"")</f>
        <v>0</v>
      </c>
      <c r="H424" s="54">
        <f ca="1">IFERROR(VLOOKUP(F405,'RR-3.1-5TH'!$A$12:'RR-3.1-5TH'!$BN$111,27,0),"")</f>
        <v>0</v>
      </c>
      <c r="I424" s="54">
        <f ca="1">IFERROR(VLOOKUP(F405,'RR-3.1-5TH'!$A$12:'RR-3.1-5TH'!$BN$111,28,0),"")</f>
        <v>0</v>
      </c>
      <c r="J424" s="54">
        <f ca="1">IFERROR(VLOOKUP(F405,'RR-3.1-5TH'!$A$12:'RR-3.1-5TH'!$BN$111,29,0),"")</f>
        <v>21</v>
      </c>
      <c r="K424" s="54">
        <f ca="1">IFERROR(VLOOKUP(F405,'RR-3.1-5TH'!$A$12:'RR-3.1-5TH'!$BN$111,30,0),"")</f>
        <v>0</v>
      </c>
      <c r="L424" s="55">
        <f ca="1" t="shared" si="21"/>
        <v>23</v>
      </c>
      <c r="M424" s="56" t="str">
        <f ca="1">IF(F405&gt;ENTRY!$D$24,"",IF(L424=0,"Ab",IF(L424&gt;80,"A",IF(L424&gt;60,"B",IF(L424&gt;44,"C",IF(L424&gt;=33,"D",IF(L424&lt;=32,"E","")))))))</f>
        <v>E</v>
      </c>
      <c r="N424" s="29"/>
      <c r="O424" s="29"/>
      <c r="P424" s="19"/>
      <c r="Q424" s="19"/>
      <c r="R424" s="11"/>
    </row>
    <row r="425" s="1" customFormat="1" ht="21.95" customHeight="1" spans="1:18">
      <c r="A425" s="7"/>
      <c r="B425" s="12"/>
      <c r="C425" s="33"/>
      <c r="D425" s="52" t="s">
        <v>719</v>
      </c>
      <c r="E425" s="53"/>
      <c r="F425" s="54">
        <f ca="1">IFERROR(VLOOKUP(F405,'RR-3.1-5TH'!$A$12:'RR-3.1-5TH'!$BN$111,33,0),"")</f>
        <v>2</v>
      </c>
      <c r="G425" s="54">
        <f ca="1">IFERROR(VLOOKUP(F405,'RR-3.1-5TH'!$A$12:'RR-3.1-5TH'!$BN$111,34,0),"")</f>
        <v>0</v>
      </c>
      <c r="H425" s="54">
        <f ca="1">IFERROR(VLOOKUP(F405,'RR-3.1-5TH'!$A$12:'RR-3.1-5TH'!$BN$111,35,0),"")</f>
        <v>0</v>
      </c>
      <c r="I425" s="54">
        <f ca="1">IFERROR(VLOOKUP(F405,'RR-3.1-5TH'!$A$12:'RR-3.1-5TH'!$BN$111,36,0),"")</f>
        <v>0</v>
      </c>
      <c r="J425" s="54">
        <f ca="1">IFERROR(VLOOKUP(F405,'RR-3.1-5TH'!$A$12:'RR-3.1-5TH'!$BN$111,37,0),"")</f>
        <v>21</v>
      </c>
      <c r="K425" s="54">
        <f ca="1">IFERROR(VLOOKUP(F405,'RR-3.1-5TH'!$A$12:'RR-3.1-5TH'!$BN$111,38,0),"")</f>
        <v>0</v>
      </c>
      <c r="L425" s="55">
        <f ca="1" t="shared" si="21"/>
        <v>23</v>
      </c>
      <c r="M425" s="56" t="str">
        <f ca="1">IF(F405&gt;ENTRY!$D$24,"",IF(L425=0,"Ab",IF(L425&gt;80,"A",IF(L425&gt;60,"B",IF(L425&gt;44,"C",IF(L425&gt;=33,"D",IF(L425&lt;=32,"E","")))))))</f>
        <v>E</v>
      </c>
      <c r="N425" s="29"/>
      <c r="O425" s="29"/>
      <c r="P425" s="19"/>
      <c r="Q425" s="19"/>
      <c r="R425" s="11"/>
    </row>
    <row r="426" s="1" customFormat="1" ht="21.95" customHeight="1" spans="1:18">
      <c r="A426" s="7"/>
      <c r="B426" s="12"/>
      <c r="C426" s="33"/>
      <c r="D426" s="52" t="s">
        <v>548</v>
      </c>
      <c r="E426" s="53"/>
      <c r="F426" s="54">
        <f ca="1">IFERROR(VLOOKUP(F405,'RR-3.1-5TH'!$A$12:'RR-3.1-5TH'!$BN$111,41,0),"")</f>
        <v>0</v>
      </c>
      <c r="G426" s="54">
        <f ca="1">IFERROR(VLOOKUP(F405,'RR-3.1-5TH'!$A$12:'RR-3.1-5TH'!$BN$111,42,0),"")</f>
        <v>0</v>
      </c>
      <c r="H426" s="54">
        <f ca="1">IFERROR(VLOOKUP(F405,'RR-3.1-5TH'!$A$12:'RR-3.1-5TH'!$BN$111,43,0),"")</f>
        <v>0</v>
      </c>
      <c r="I426" s="54">
        <f ca="1">IFERROR(VLOOKUP(F405,'RR-3.1-5TH'!$A$12:'RR-3.1-5TH'!$BN$111,44,0),"")</f>
        <v>0</v>
      </c>
      <c r="J426" s="54">
        <f ca="1">IFERROR(VLOOKUP(F405,'RR-3.1-5TH'!$A$12:'RR-3.1-5TH'!$BN$111,45,0),"")</f>
        <v>22</v>
      </c>
      <c r="K426" s="54">
        <f ca="1">IFERROR(VLOOKUP(F405,'RR-3.1-5TH'!$A$12:'RR-3.1-5TH'!$BN$111,46,0),"")</f>
        <v>0</v>
      </c>
      <c r="L426" s="55">
        <f ca="1" t="shared" si="21"/>
        <v>22</v>
      </c>
      <c r="M426" s="56" t="str">
        <f ca="1">IF(F405&gt;ENTRY!$D$24,"",IF(L426=0,"Ab",IF(L426&gt;80,"A",IF(L426&gt;60,"B",IF(L426&gt;44,"C",IF(L426&gt;=33,"D",IF(L426&lt;=32,"E","")))))))</f>
        <v>E</v>
      </c>
      <c r="N426" s="29"/>
      <c r="O426" s="29"/>
      <c r="P426" s="19"/>
      <c r="Q426" s="19"/>
      <c r="R426" s="11"/>
    </row>
    <row r="427" s="1" customFormat="1" ht="21.95" customHeight="1" spans="1:18">
      <c r="A427" s="7"/>
      <c r="B427" s="12"/>
      <c r="C427" s="33"/>
      <c r="D427" s="52" t="s">
        <v>549</v>
      </c>
      <c r="E427" s="53"/>
      <c r="F427" s="54">
        <f ca="1">IFERROR(VLOOKUP(F405,'RR-3.1-5TH'!$A$12:'RR-3.1-5TH'!$BN$111,49,0),"")</f>
        <v>2</v>
      </c>
      <c r="G427" s="54">
        <f ca="1">IFERROR(VLOOKUP(F405,'RR-3.1-5TH'!$A$12:'RR-3.1-5TH'!$BN$111,50,0),"")</f>
        <v>0</v>
      </c>
      <c r="H427" s="54">
        <f ca="1">IFERROR(VLOOKUP(F405,'RR-3.1-5TH'!$A$12:'RR-3.1-5TH'!$BN$111,51,0),"")</f>
        <v>0</v>
      </c>
      <c r="I427" s="54">
        <f ca="1">IFERROR(VLOOKUP(F405,'RR-3.1-5TH'!$A$12:'RR-3.1-5TH'!$BN$111,52,0),"")</f>
        <v>0</v>
      </c>
      <c r="J427" s="54">
        <f ca="1">IFERROR(VLOOKUP(F405,'RR-3.1-5TH'!$A$12:'RR-3.1-5TH'!$BN$111,53,0),"")</f>
        <v>28</v>
      </c>
      <c r="K427" s="54">
        <f ca="1">IFERROR(VLOOKUP(F405,'RR-3.1-5TH'!$A$12:'RR-3.1-5TH'!$BN$111,54,0),"")</f>
        <v>0</v>
      </c>
      <c r="L427" s="55">
        <f ca="1" t="shared" si="21"/>
        <v>30</v>
      </c>
      <c r="M427" s="56" t="str">
        <f ca="1">IF(F405&gt;ENTRY!$D$24,"",IF(L427=0,"Ab",IF(L427&gt;80,"A",IF(L427&gt;60,"B",IF(L427&gt;44,"C",IF(L427&gt;=33,"D",IF(L427&lt;=32,"E","")))))))</f>
        <v>E</v>
      </c>
      <c r="N427" s="57" t="s">
        <v>752</v>
      </c>
      <c r="O427" s="58"/>
      <c r="P427" s="59"/>
      <c r="Q427" s="19"/>
      <c r="R427" s="11"/>
    </row>
    <row r="428" s="1" customFormat="1" ht="21.95" customHeight="1" spans="1:18">
      <c r="A428" s="7"/>
      <c r="B428" s="12"/>
      <c r="C428" s="33"/>
      <c r="D428" s="52" t="s">
        <v>753</v>
      </c>
      <c r="E428" s="53"/>
      <c r="F428" s="60"/>
      <c r="G428" s="54"/>
      <c r="H428" s="54"/>
      <c r="I428" s="54"/>
      <c r="J428" s="54"/>
      <c r="K428" s="54"/>
      <c r="L428" s="55">
        <f t="shared" ref="L428" si="22">SUM(G428:K428)</f>
        <v>0</v>
      </c>
      <c r="M428" s="56" t="str">
        <f>IF(F405&gt;ENTRY!$D$24,"",IF(L428=0,"",IF(L428&gt;79,"A",IF(L428&gt;59,"B",IF(L428&gt;44,"C",IF(L428&gt;=33,"D",IF(L428&lt;=32,"E","")))))))</f>
        <v/>
      </c>
      <c r="N428" s="58"/>
      <c r="O428" s="58"/>
      <c r="P428" s="59"/>
      <c r="Q428" s="19"/>
      <c r="R428" s="11"/>
    </row>
    <row r="429" s="1" customFormat="1" ht="21.95" customHeight="1" spans="1:18">
      <c r="A429" s="7"/>
      <c r="B429" s="12"/>
      <c r="C429" s="33"/>
      <c r="D429" s="45" t="s">
        <v>382</v>
      </c>
      <c r="E429" s="46"/>
      <c r="F429" s="54">
        <f ca="1" t="shared" ref="F429:L429" si="23">IFERROR(SUM(F422:F428),"")</f>
        <v>9</v>
      </c>
      <c r="G429" s="54">
        <f ca="1" t="shared" si="23"/>
        <v>0</v>
      </c>
      <c r="H429" s="54">
        <f ca="1" t="shared" si="23"/>
        <v>0</v>
      </c>
      <c r="I429" s="54">
        <f ca="1" t="shared" si="23"/>
        <v>0</v>
      </c>
      <c r="J429" s="54">
        <f ca="1" t="shared" si="23"/>
        <v>154</v>
      </c>
      <c r="K429" s="54">
        <f ca="1" t="shared" si="23"/>
        <v>0</v>
      </c>
      <c r="L429" s="55">
        <f ca="1" t="shared" si="23"/>
        <v>163</v>
      </c>
      <c r="M429" s="61" t="str">
        <f ca="1">IF(F405&gt;ENTRY!$D$24,"",IF(N430="Ab","Ab",IF(N430&gt;79.5,"A",IF(N430&gt;59.5,"B",IF(N430&gt;44.5,"C",IF(N430&gt;=33,"D",IF(N430&lt;33,"E","")))))))</f>
        <v>E</v>
      </c>
      <c r="N429" s="62"/>
      <c r="O429" s="58"/>
      <c r="P429" s="59"/>
      <c r="Q429" s="19"/>
      <c r="R429" s="11"/>
    </row>
    <row r="430" s="1" customFormat="1" ht="21.95" customHeight="1" spans="1:18">
      <c r="A430" s="7"/>
      <c r="B430" s="12"/>
      <c r="C430" s="33"/>
      <c r="D430" s="63" t="s">
        <v>721</v>
      </c>
      <c r="E430" s="63"/>
      <c r="F430" s="63"/>
      <c r="G430" s="63"/>
      <c r="H430" s="63"/>
      <c r="I430" s="63"/>
      <c r="J430" s="63"/>
      <c r="K430" s="63"/>
      <c r="L430" s="63"/>
      <c r="M430" s="63"/>
      <c r="N430" s="64">
        <f ca="1">IF(L429="Ab","Ab",L429/6)</f>
        <v>27.1666666666667</v>
      </c>
      <c r="O430" s="65"/>
      <c r="P430" s="19"/>
      <c r="Q430" s="19"/>
      <c r="R430" s="11"/>
    </row>
    <row r="431" s="1" customFormat="1" ht="21.95" customHeight="1" spans="1:18">
      <c r="A431" s="7"/>
      <c r="B431" s="12"/>
      <c r="C431" s="33"/>
      <c r="D431" s="29" t="s">
        <v>716</v>
      </c>
      <c r="E431" s="18" t="str">
        <f>IFERROR(VLOOKUP(F405,'1to4-2.1-RR'!$A$12:$BG$111,57,0),"")</f>
        <v>PROMOTED</v>
      </c>
      <c r="F431" s="18"/>
      <c r="G431" s="18"/>
      <c r="H431" s="18"/>
      <c r="I431" s="18"/>
      <c r="J431" s="18"/>
      <c r="K431" s="18"/>
      <c r="L431" s="18"/>
      <c r="M431" s="18"/>
      <c r="N431" s="29"/>
      <c r="O431" s="29"/>
      <c r="P431" s="19"/>
      <c r="Q431" s="19"/>
      <c r="R431" s="11"/>
    </row>
    <row r="432" s="1" customFormat="1" ht="9.95" customHeight="1" spans="1:18">
      <c r="A432" s="7"/>
      <c r="B432" s="12"/>
      <c r="C432" s="33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19"/>
      <c r="Q432" s="19"/>
      <c r="R432" s="11"/>
    </row>
    <row r="433" s="1" customFormat="1" ht="36" spans="1:19">
      <c r="A433" s="7"/>
      <c r="B433" s="12"/>
      <c r="C433" s="33"/>
      <c r="D433" s="66" t="s">
        <v>576</v>
      </c>
      <c r="E433" s="67" t="s">
        <v>754</v>
      </c>
      <c r="F433" s="47">
        <f>IF(F405&gt;ENTRY!$D$24,"",IFERROR(VLOOKUP(F405,PASHEET!$A$4:$CJ$103,88,0),""))</f>
        <v>0</v>
      </c>
      <c r="G433" s="67" t="s">
        <v>755</v>
      </c>
      <c r="H433" s="47">
        <f>IF(F405&gt;ENTRY!$D$24,"",IFERROR(VLOOKUP(F405,PASHEET!$A$4:$CJ$103,87,0),""))</f>
        <v>0</v>
      </c>
      <c r="I433" s="68" t="s">
        <v>756</v>
      </c>
      <c r="J433" s="69" t="str">
        <f>IF(F405&gt;ENTRY!$D$24,"",IFERROR(IF(F405&gt;0,H433/F433*100),""))</f>
        <v/>
      </c>
      <c r="K433" s="60" t="s">
        <v>757</v>
      </c>
      <c r="L433" s="70">
        <f ca="1">IF(F405&gt;ENTRY!$D$24,"",IFERROR(L429/600*100,""))</f>
        <v>27.1666666666667</v>
      </c>
      <c r="M433" s="47" t="str">
        <f ca="1">IF(F405&gt;ENTRY!$D$24,"",IFERROR(L429&amp;" / "&amp;"600",""))</f>
        <v>163 / 600</v>
      </c>
      <c r="N433" s="29"/>
      <c r="O433" s="29"/>
      <c r="P433" s="19"/>
      <c r="Q433" s="19"/>
      <c r="R433" s="11"/>
    </row>
    <row r="434" s="1" customFormat="1" ht="9.95" customHeight="1" spans="1:19">
      <c r="A434" s="7"/>
      <c r="B434" s="12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1"/>
      <c r="Q434" s="19"/>
      <c r="R434" s="11"/>
    </row>
    <row r="435" s="1" customFormat="1" ht="9.95" customHeight="1" spans="1:19">
      <c r="A435" s="7"/>
      <c r="B435" s="12"/>
      <c r="C435" s="71"/>
      <c r="D435" s="71"/>
      <c r="E435" s="71"/>
      <c r="F435" s="29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19"/>
      <c r="R435" s="11"/>
    </row>
    <row r="436" s="1" customFormat="1" ht="9.95" customHeight="1" spans="1:19">
      <c r="A436" s="7"/>
      <c r="B436" s="12"/>
      <c r="C436" s="29"/>
      <c r="D436" s="29"/>
      <c r="E436" s="29"/>
      <c r="F436" s="72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19"/>
      <c r="R436" s="11"/>
    </row>
    <row r="437" s="1" customFormat="1" ht="9.95" customHeight="1" spans="1:19">
      <c r="A437" s="7"/>
      <c r="B437" s="12"/>
      <c r="C437" s="30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2"/>
      <c r="Q437" s="19"/>
      <c r="R437" s="11"/>
    </row>
    <row r="438" s="1" customFormat="1" ht="21.95" customHeight="1" spans="1:19">
      <c r="A438" s="7"/>
      <c r="B438" s="12"/>
      <c r="C438" s="73" t="s">
        <v>7</v>
      </c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74"/>
      <c r="Q438" s="19"/>
      <c r="R438" s="11"/>
      <c r="S438" s="2"/>
    </row>
    <row r="439" s="1" customFormat="1" ht="21.95" customHeight="1" spans="1:19">
      <c r="A439" s="7"/>
      <c r="B439" s="12"/>
      <c r="C439" s="33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19"/>
      <c r="Q439" s="19"/>
      <c r="R439" s="11"/>
    </row>
    <row r="440" s="1" customFormat="1" ht="21.95" customHeight="1" spans="1:19">
      <c r="A440" s="7"/>
      <c r="B440" s="12"/>
      <c r="C440" s="75" t="str">
        <f>"SESSION-"&amp;ENTRY!$D$11</f>
        <v>SESSION-2026-27</v>
      </c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76"/>
      <c r="Q440" s="19"/>
      <c r="R440" s="11"/>
    </row>
    <row r="441" s="1" customFormat="1" ht="18" customHeight="1" spans="1:19">
      <c r="A441" s="7"/>
      <c r="B441" s="12"/>
      <c r="C441" s="33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19"/>
      <c r="Q441" s="19"/>
      <c r="R441" s="11"/>
    </row>
    <row r="442" s="1" customFormat="1" ht="21.95" customHeight="1" spans="1:19">
      <c r="A442" s="7"/>
      <c r="B442" s="12"/>
      <c r="C442" s="33"/>
      <c r="D442" s="77" t="s">
        <v>758</v>
      </c>
      <c r="E442" s="77"/>
      <c r="F442" s="78" t="str">
        <f>IFERROR(PROPER(VLOOKUP(F405,STUDENT!$A$2:$BP$101,5,0)),"")</f>
        <v>Deepanshu</v>
      </c>
      <c r="G442" s="78"/>
      <c r="H442" s="78"/>
      <c r="I442" s="78"/>
      <c r="J442" s="78"/>
      <c r="K442" s="78"/>
      <c r="L442" s="78"/>
      <c r="M442" s="78"/>
      <c r="N442" s="79" t="s">
        <v>759</v>
      </c>
      <c r="O442" s="79"/>
      <c r="P442" s="19"/>
      <c r="Q442" s="19"/>
      <c r="R442" s="11"/>
    </row>
    <row r="443" s="1" customFormat="1" ht="21.95" customHeight="1" spans="1:19">
      <c r="A443" s="7"/>
      <c r="B443" s="12"/>
      <c r="C443" s="33"/>
      <c r="D443" s="80" t="s">
        <v>760</v>
      </c>
      <c r="E443" s="81" t="str">
        <f>IFERROR(PROPER(VLOOKUP(F405,STUDENT!$A$2:$BP$101,9,0)),"")</f>
        <v>Gudiya Devi</v>
      </c>
      <c r="F443" s="81"/>
      <c r="G443" s="81"/>
      <c r="H443" s="80" t="s">
        <v>761</v>
      </c>
      <c r="I443" s="82" t="str">
        <f>IFERROR(PROPER(VLOOKUP(F405,STUDENT!$A$2:$BP$101,8,0)),"")</f>
        <v>Akhilesh Kumar</v>
      </c>
      <c r="J443" s="82"/>
      <c r="K443" s="82"/>
      <c r="L443" s="82"/>
      <c r="M443" s="80" t="s">
        <v>762</v>
      </c>
      <c r="N443" s="83" t="str">
        <f>IFERROR(VLOOKUP(F405,STUDENT!$A$2:$BP$101,59,0),"")</f>
        <v/>
      </c>
      <c r="O443" s="83"/>
      <c r="P443" s="19"/>
      <c r="Q443" s="19"/>
      <c r="R443" s="11"/>
    </row>
    <row r="444" s="1" customFormat="1" ht="21.95" customHeight="1" spans="1:19">
      <c r="A444" s="7"/>
      <c r="B444" s="12"/>
      <c r="C444" s="33"/>
      <c r="D444" s="77" t="str">
        <f>"has    completed     his  /  her     primary     level     education    in    the    year    "&amp;RIGHT(ENTRY!$D410,4)&amp;"    from    ( School    Name )"</f>
        <v>has    completed     his  /  her     primary     level     education    in    the    year        from    ( School    Name )</v>
      </c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19"/>
      <c r="Q444" s="19"/>
      <c r="R444" s="11"/>
    </row>
    <row r="445" s="1" customFormat="1" ht="21.95" customHeight="1" spans="1:19">
      <c r="A445" s="7"/>
      <c r="B445" s="12"/>
      <c r="C445" s="33"/>
      <c r="D445" s="81" t="str">
        <f>IF(F405&gt;0,ENTRY!$D$6,"")</f>
        <v>MCP NITHARI NO 1 BOYS</v>
      </c>
      <c r="E445" s="81"/>
      <c r="F445" s="81"/>
      <c r="G445" s="81"/>
      <c r="H445" s="81"/>
      <c r="I445" s="81"/>
      <c r="J445" s="81"/>
      <c r="K445" s="81"/>
      <c r="L445" s="81"/>
      <c r="M445" s="80" t="s">
        <v>763</v>
      </c>
      <c r="N445" s="84">
        <f>IF(F405&gt;0,ENTRY!$D$7,"")</f>
        <v>0</v>
      </c>
      <c r="O445" s="84"/>
      <c r="P445" s="85" t="s">
        <v>727</v>
      </c>
      <c r="Q445" s="19"/>
      <c r="R445" s="11"/>
    </row>
    <row r="446" s="1" customFormat="1" ht="21.95" customHeight="1" spans="1:19">
      <c r="A446" s="7"/>
      <c r="B446" s="12"/>
      <c r="C446" s="33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19"/>
      <c r="Q446" s="19"/>
      <c r="R446" s="11"/>
    </row>
    <row r="447" s="1" customFormat="1" ht="21.95" customHeight="1" spans="1:19">
      <c r="A447" s="7"/>
      <c r="B447" s="12"/>
      <c r="C447" s="33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19"/>
      <c r="Q447" s="19"/>
      <c r="R447" s="11"/>
    </row>
    <row r="448" s="1" customFormat="1" ht="21.95" customHeight="1" spans="1:19">
      <c r="A448" s="7"/>
      <c r="B448" s="12"/>
      <c r="C448" s="33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19"/>
      <c r="Q448" s="19"/>
      <c r="R448" s="11"/>
    </row>
    <row r="449" s="1" customFormat="1" ht="21.95" customHeight="1" spans="1:18">
      <c r="A449" s="7"/>
      <c r="B449" s="12"/>
      <c r="C449" s="33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19"/>
      <c r="Q449" s="19"/>
      <c r="R449" s="11"/>
    </row>
    <row r="450" s="1" customFormat="1" ht="21.95" customHeight="1" spans="1:18">
      <c r="A450" s="7"/>
      <c r="B450" s="12"/>
      <c r="C450" s="33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19"/>
      <c r="Q450" s="19"/>
      <c r="R450" s="11"/>
    </row>
    <row r="451" s="1" customFormat="1" ht="21.95" customHeight="1" spans="1:18">
      <c r="A451" s="7"/>
      <c r="B451" s="12"/>
      <c r="C451" s="33"/>
      <c r="D451" s="80" t="s">
        <v>728</v>
      </c>
      <c r="E451" s="86">
        <f>ENTRY!$D$27</f>
        <v>46102</v>
      </c>
      <c r="F451" s="86"/>
      <c r="G451" s="29"/>
      <c r="H451" s="29"/>
      <c r="I451" s="29"/>
      <c r="J451" s="29"/>
      <c r="K451" s="29"/>
      <c r="L451" s="29"/>
      <c r="M451" s="87" t="s">
        <v>730</v>
      </c>
      <c r="N451" s="87"/>
      <c r="O451" s="87"/>
      <c r="P451" s="19"/>
      <c r="Q451" s="19"/>
      <c r="R451" s="11"/>
    </row>
    <row r="452" s="1" customFormat="1" ht="21.95" customHeight="1" spans="1:18">
      <c r="A452" s="7"/>
      <c r="B452" s="12"/>
      <c r="C452" s="33"/>
      <c r="D452" s="80" t="s">
        <v>731</v>
      </c>
      <c r="E452" s="88" t="str">
        <f>PROPER(ENTRY!$D$28)</f>
        <v>New Delhi</v>
      </c>
      <c r="F452" s="88"/>
      <c r="G452" s="29"/>
      <c r="H452" s="29"/>
      <c r="I452" s="29"/>
      <c r="J452" s="29"/>
      <c r="K452" s="29"/>
      <c r="L452" s="29"/>
      <c r="M452" s="89" t="s">
        <v>732</v>
      </c>
      <c r="N452" s="89"/>
      <c r="O452" s="89"/>
      <c r="P452" s="19"/>
      <c r="Q452" s="19"/>
      <c r="R452" s="11"/>
    </row>
    <row r="453" s="1" customFormat="1" ht="21.95" customHeight="1" spans="1:18">
      <c r="A453" s="7"/>
      <c r="B453" s="12"/>
      <c r="C453" s="90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2"/>
      <c r="Q453" s="14"/>
      <c r="R453" s="11"/>
    </row>
    <row r="454" s="1" customFormat="1" ht="5.1" customHeight="1" spans="1:18">
      <c r="A454" s="7"/>
      <c r="B454" s="90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2"/>
      <c r="R454" s="11"/>
    </row>
    <row r="455" s="1" customFormat="1" ht="5.1" customHeight="1" spans="1:18">
      <c r="A455" s="93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5"/>
    </row>
    <row r="456" s="2" customFormat="1" ht="9.95" customHeight="1"/>
    <row r="457" s="1" customFormat="1" ht="5.1" customHeight="1" spans="1:18">
      <c r="A457" s="4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6"/>
    </row>
    <row r="458" s="1" customFormat="1" ht="15" customHeight="1" spans="1:18">
      <c r="A458" s="7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0"/>
      <c r="R458" s="11"/>
    </row>
    <row r="459" s="1" customFormat="1" ht="21.95" customHeight="1" spans="1:18">
      <c r="A459" s="7"/>
      <c r="B459" s="12"/>
      <c r="C459" s="13" t="s">
        <v>7</v>
      </c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4"/>
      <c r="R459" s="11"/>
    </row>
    <row r="460" s="1" customFormat="1" ht="21.95" customHeight="1" spans="1:18">
      <c r="A460" s="7"/>
      <c r="B460" s="1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14"/>
      <c r="R460" s="11"/>
    </row>
    <row r="461" s="1" customFormat="1" ht="21.95" customHeight="1" spans="1:18">
      <c r="A461" s="7"/>
      <c r="B461" s="12"/>
      <c r="C461" s="15" t="str">
        <f>"SESSION-"&amp;ENTRY!$D$11</f>
        <v>SESSION-2026-27</v>
      </c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4"/>
      <c r="R461" s="11"/>
    </row>
    <row r="462" s="1" customFormat="1" ht="21.95" customHeight="1" spans="1:18">
      <c r="A462" s="7"/>
      <c r="B462" s="12"/>
      <c r="C462" s="2"/>
      <c r="D462" s="2"/>
      <c r="E462" s="2"/>
      <c r="F462" s="16">
        <f>F405+1</f>
        <v>9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14"/>
      <c r="R462" s="11"/>
    </row>
    <row r="463" s="1" customFormat="1" ht="21.95" customHeight="1" spans="1:18">
      <c r="A463" s="7"/>
      <c r="B463" s="12"/>
      <c r="C463" s="17" t="s">
        <v>392</v>
      </c>
      <c r="D463" s="17"/>
      <c r="E463" s="17"/>
      <c r="F463" s="18" t="str">
        <f>IF(F462&gt;0,ENTRY!$D$6,"")</f>
        <v>MCP NITHARI NO 1 BOYS</v>
      </c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9"/>
      <c r="R463" s="11"/>
    </row>
    <row r="464" s="1" customFormat="1" ht="21.95" customHeight="1" spans="1:18">
      <c r="A464" s="7"/>
      <c r="B464" s="12"/>
      <c r="C464" s="17" t="s">
        <v>393</v>
      </c>
      <c r="D464" s="17"/>
      <c r="E464" s="17"/>
      <c r="F464" s="18">
        <f>IF(F462&gt;0,ENTRY!$D$7,"")</f>
        <v>0</v>
      </c>
      <c r="G464" s="18"/>
      <c r="H464" s="20" t="s">
        <v>702</v>
      </c>
      <c r="I464" s="20"/>
      <c r="J464" s="21">
        <f>IF(F462&gt;0,ENTRY!$D$10,"")</f>
        <v>40</v>
      </c>
      <c r="K464" s="20" t="s">
        <v>703</v>
      </c>
      <c r="L464" s="22" t="str">
        <f>IF(F462&gt;0,ENTRY!$D$5,"")</f>
        <v>ROHINI ZONE</v>
      </c>
      <c r="M464" s="22"/>
      <c r="N464" s="22"/>
      <c r="O464" s="22"/>
      <c r="P464" s="22"/>
      <c r="Q464" s="19"/>
      <c r="R464" s="11"/>
    </row>
    <row r="465" s="1" customFormat="1" ht="21.95" customHeight="1" spans="1:18">
      <c r="A465" s="7"/>
      <c r="B465" s="12"/>
      <c r="C465" s="17" t="s">
        <v>706</v>
      </c>
      <c r="D465" s="17"/>
      <c r="E465" s="17"/>
      <c r="F465" s="23" t="str">
        <f>IFERROR(VLOOKUP(F462,STUDENT!$A$2:$BP$101,5,0),"")</f>
        <v>ANUJ</v>
      </c>
      <c r="G465" s="23"/>
      <c r="H465" s="23"/>
      <c r="I465" s="23"/>
      <c r="J465" s="23"/>
      <c r="K465" s="23"/>
      <c r="L465" s="20" t="s">
        <v>707</v>
      </c>
      <c r="M465" s="20"/>
      <c r="N465" s="24" t="str">
        <f>IF(F462&gt;0,ENTRY!$D$20&amp;"-"&amp;ENTRY!$D$21,"")</f>
        <v>III-A</v>
      </c>
      <c r="O465" s="24"/>
      <c r="P465" s="24"/>
      <c r="Q465" s="19"/>
      <c r="R465" s="11"/>
    </row>
    <row r="466" s="1" customFormat="1" ht="21.95" customHeight="1" spans="1:18">
      <c r="A466" s="7"/>
      <c r="B466" s="12"/>
      <c r="C466" s="17" t="s">
        <v>708</v>
      </c>
      <c r="D466" s="17"/>
      <c r="E466" s="17"/>
      <c r="F466" s="25">
        <f>IFERROR(VLOOKUP(F462,STUDENT!$A$2:$BP$101,6,0),"")</f>
        <v>14754</v>
      </c>
      <c r="G466" s="25"/>
      <c r="H466" s="26" t="s">
        <v>709</v>
      </c>
      <c r="I466" s="27" t="str">
        <f>IFERROR(VLOOKUP(F462,STUDENT!$A$2:$BP$101,59,0),"")</f>
        <v/>
      </c>
      <c r="J466" s="27"/>
      <c r="K466" s="20" t="s">
        <v>710</v>
      </c>
      <c r="L466" s="20"/>
      <c r="M466" s="28">
        <f>IFERROR(VLOOKUP(F462,STUDENT!$A$2:$BP$101,20,0),"")</f>
        <v>9667639564</v>
      </c>
      <c r="N466" s="28"/>
      <c r="O466" s="28"/>
      <c r="P466" s="28"/>
      <c r="Q466" s="19"/>
      <c r="R466" s="11"/>
    </row>
    <row r="467" s="1" customFormat="1" ht="21.95" customHeight="1" spans="1:18">
      <c r="A467" s="7"/>
      <c r="B467" s="12"/>
      <c r="C467" s="17" t="s">
        <v>711</v>
      </c>
      <c r="D467" s="17"/>
      <c r="E467" s="17"/>
      <c r="F467" s="23" t="str">
        <f>IFERROR(VLOOKUP(F462,STUDENT!$A$2:$BP$101,9,0),"")</f>
        <v>LALITA DEVI</v>
      </c>
      <c r="G467" s="23"/>
      <c r="H467" s="23"/>
      <c r="I467" s="23"/>
      <c r="J467" s="17" t="s">
        <v>620</v>
      </c>
      <c r="K467" s="17"/>
      <c r="L467" s="23" t="str">
        <f>IFERROR(VLOOKUP(F462,STUDENT!$A$2:$BP$101,8,0),"")</f>
        <v>RANJEET DAS</v>
      </c>
      <c r="M467" s="23"/>
      <c r="N467" s="23"/>
      <c r="O467" s="23"/>
      <c r="P467" s="23"/>
      <c r="Q467" s="19"/>
      <c r="R467" s="11"/>
    </row>
    <row r="468" s="1" customFormat="1" ht="21.95" customHeight="1" spans="1:18">
      <c r="A468" s="7"/>
      <c r="B468" s="12"/>
      <c r="C468" s="17" t="s">
        <v>712</v>
      </c>
      <c r="D468" s="17"/>
      <c r="E468" s="17"/>
      <c r="F468" s="23" t="str">
        <f>IFERROR(VLOOKUP(F462,STUDENT!$A$2:$BP$101,22,0),"")</f>
        <v>C 441/442 D BLOCK AGAR NAGAR PREM NAGAR 3</v>
      </c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19"/>
      <c r="R468" s="11"/>
    </row>
    <row r="469" s="1" customFormat="1" ht="9.95" customHeight="1" spans="1:18">
      <c r="A469" s="7"/>
      <c r="B469" s="12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19"/>
      <c r="R469" s="11"/>
    </row>
    <row r="470" s="1" customFormat="1" ht="9.95" customHeight="1" spans="1:18">
      <c r="A470" s="7"/>
      <c r="B470" s="12"/>
      <c r="C470" s="30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2"/>
      <c r="Q470" s="19"/>
      <c r="R470" s="11"/>
    </row>
    <row r="471" s="1" customFormat="1" ht="21.95" customHeight="1" spans="1:18">
      <c r="A471" s="7"/>
      <c r="B471" s="12"/>
      <c r="C471" s="33"/>
      <c r="D471" s="34" t="s">
        <v>713</v>
      </c>
      <c r="E471" s="20" t="s">
        <v>714</v>
      </c>
      <c r="F471" s="35" t="str">
        <f>"Level - "&amp;IFERROR(VLOOKUP(F462,FLN!$A$4:$K$103,9,0),"")</f>
        <v>Level - 2</v>
      </c>
      <c r="G471" s="36"/>
      <c r="H471" s="37" t="s">
        <v>715</v>
      </c>
      <c r="I471" s="20"/>
      <c r="J471" s="35" t="str">
        <f>"Level - "&amp;IFERROR(VLOOKUP(F462,FLN!$A$4:$K$103,11,0),"")</f>
        <v>Level - 3</v>
      </c>
      <c r="K471" s="36"/>
      <c r="L471" s="37" t="s">
        <v>408</v>
      </c>
      <c r="M471" s="20"/>
      <c r="N471" s="35" t="str">
        <f>"Level - "&amp;IFERROR(VLOOKUP(F462,FLN!$A$4:$K$103,10,0),"")</f>
        <v>Level - 2</v>
      </c>
      <c r="O471" s="36"/>
      <c r="P471" s="19"/>
      <c r="Q471" s="19"/>
      <c r="R471" s="11"/>
    </row>
    <row r="472" s="1" customFormat="1" ht="21.95" customHeight="1" spans="1:18">
      <c r="A472" s="7"/>
      <c r="B472" s="12"/>
      <c r="C472" s="33"/>
      <c r="D472" s="38"/>
      <c r="E472" s="20" t="s">
        <v>716</v>
      </c>
      <c r="F472" s="18" t="str">
        <f ca="1">IF(L486&gt;197,"PERFORMED WELL","")</f>
        <v/>
      </c>
      <c r="G472" s="18"/>
      <c r="H472" s="18"/>
      <c r="I472" s="18"/>
      <c r="J472" s="18"/>
      <c r="K472" s="18"/>
      <c r="L472" s="18"/>
      <c r="M472" s="18"/>
      <c r="N472" s="18"/>
      <c r="O472" s="18"/>
      <c r="P472" s="19"/>
      <c r="Q472" s="19"/>
      <c r="R472" s="11"/>
    </row>
    <row r="473" s="1" customFormat="1" ht="9.95" customHeight="1" spans="1:18">
      <c r="A473" s="7"/>
      <c r="B473" s="12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1"/>
      <c r="Q473" s="19"/>
      <c r="R473" s="11"/>
    </row>
    <row r="474" s="1" customFormat="1" ht="9.95" customHeight="1" spans="1:18">
      <c r="A474" s="7"/>
      <c r="B474" s="12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19"/>
      <c r="R474" s="11"/>
    </row>
    <row r="475" s="1" customFormat="1" ht="9.95" customHeight="1" spans="1:18">
      <c r="A475" s="7"/>
      <c r="B475" s="12"/>
      <c r="C475" s="30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2"/>
      <c r="Q475" s="19"/>
      <c r="R475" s="11"/>
    </row>
    <row r="476" s="1" customFormat="1" ht="21.95" customHeight="1" spans="1:18">
      <c r="A476" s="7"/>
      <c r="B476" s="12"/>
      <c r="C476" s="33"/>
      <c r="D476" s="35"/>
      <c r="E476" s="24"/>
      <c r="F476" s="42" t="s">
        <v>717</v>
      </c>
      <c r="G476" s="42"/>
      <c r="H476" s="42"/>
      <c r="I476" s="42"/>
      <c r="J476" s="42"/>
      <c r="K476" s="42"/>
      <c r="L476" s="43"/>
      <c r="M476" s="44"/>
      <c r="N476" s="29"/>
      <c r="O476" s="29"/>
      <c r="P476" s="19"/>
      <c r="Q476" s="19"/>
      <c r="R476" s="11"/>
    </row>
    <row r="477" s="1" customFormat="1" ht="21.95" customHeight="1" spans="1:18">
      <c r="A477" s="7"/>
      <c r="B477" s="12"/>
      <c r="C477" s="33"/>
      <c r="D477" s="45"/>
      <c r="E477" s="46"/>
      <c r="F477" s="47" t="s">
        <v>541</v>
      </c>
      <c r="G477" s="47" t="s">
        <v>542</v>
      </c>
      <c r="H477" s="47" t="s">
        <v>543</v>
      </c>
      <c r="I477" s="47" t="s">
        <v>544</v>
      </c>
      <c r="J477" s="47" t="s">
        <v>561</v>
      </c>
      <c r="K477" s="48" t="s">
        <v>750</v>
      </c>
      <c r="L477" s="47" t="s">
        <v>382</v>
      </c>
      <c r="M477" s="49" t="s">
        <v>546</v>
      </c>
      <c r="N477" s="29"/>
      <c r="O477" s="29"/>
      <c r="P477" s="19"/>
      <c r="Q477" s="19"/>
      <c r="R477" s="11"/>
    </row>
    <row r="478" s="1" customFormat="1" ht="21.95" customHeight="1" spans="1:18">
      <c r="A478" s="7"/>
      <c r="B478" s="12"/>
      <c r="C478" s="33"/>
      <c r="D478" s="45" t="s">
        <v>652</v>
      </c>
      <c r="E478" s="46"/>
      <c r="F478" s="50">
        <v>10</v>
      </c>
      <c r="G478" s="50">
        <v>10</v>
      </c>
      <c r="H478" s="50">
        <v>10</v>
      </c>
      <c r="I478" s="50">
        <v>10</v>
      </c>
      <c r="J478" s="50">
        <v>60</v>
      </c>
      <c r="K478" s="51"/>
      <c r="L478" s="50">
        <v>100</v>
      </c>
      <c r="M478" s="49"/>
      <c r="N478" s="29"/>
      <c r="O478" s="29"/>
      <c r="P478" s="19"/>
      <c r="Q478" s="19"/>
      <c r="R478" s="11"/>
    </row>
    <row r="479" s="1" customFormat="1" ht="21.95" customHeight="1" spans="1:18">
      <c r="A479" s="7"/>
      <c r="B479" s="12"/>
      <c r="C479" s="33"/>
      <c r="D479" s="52" t="s">
        <v>751</v>
      </c>
      <c r="E479" s="53"/>
      <c r="F479" s="54">
        <f ca="1">IFERROR(VLOOKUP(F462,'RR-3.1-5TH'!$A$12:'RR-3.1-5TH'!$BN$111,9,0),"")</f>
        <v>2</v>
      </c>
      <c r="G479" s="54">
        <f ca="1">IFERROR(VLOOKUP(F462,'RR-3.1-5TH'!$A$12:'RR-3.1-5TH'!$BN$111,10,0),"")</f>
        <v>0</v>
      </c>
      <c r="H479" s="54">
        <f ca="1">IFERROR(VLOOKUP(F462,'RR-3.1-5TH'!$A$12:'RR-3.1-5TH'!$BN$111,11,0),"")</f>
        <v>0</v>
      </c>
      <c r="I479" s="54">
        <f ca="1">IFERROR(VLOOKUP(F462,'RR-3.1-5TH'!$A$12:'RR-3.1-5TH'!$BN$111,12,0),"")</f>
        <v>0</v>
      </c>
      <c r="J479" s="54">
        <f ca="1">IFERROR(VLOOKUP(F462,'RR-3.1-5TH'!$A$12:'RR-3.1-5TH'!$BN$111,13,0),"")</f>
        <v>44</v>
      </c>
      <c r="K479" s="54">
        <f ca="1">IFERROR(VLOOKUP(F462,'RR-3.1-5TH'!$A$12:'RR-3.1-5TH'!$BN$111,14,0),"")</f>
        <v>0</v>
      </c>
      <c r="L479" s="55">
        <f ca="1" t="shared" ref="L479:L484" si="24">SUM(F479,G479,H479,I479,J479,K479)</f>
        <v>46</v>
      </c>
      <c r="M479" s="56" t="str">
        <f ca="1">IF(F462&gt;ENTRY!$D$24,"",IF(L479=0,"Ab",IF(L479&gt;80,"A",IF(L479&gt;60,"B",IF(L479&gt;44,"C",IF(L479&gt;=33,"D",IF(L479&lt;=32,"E","")))))))</f>
        <v>C</v>
      </c>
      <c r="N479" s="57" t="s">
        <v>729</v>
      </c>
      <c r="O479" s="58"/>
      <c r="P479" s="59"/>
      <c r="Q479" s="19"/>
      <c r="R479" s="11"/>
    </row>
    <row r="480" s="1" customFormat="1" ht="21.95" customHeight="1" spans="1:18">
      <c r="A480" s="7"/>
      <c r="B480" s="12"/>
      <c r="C480" s="33"/>
      <c r="D480" s="52" t="s">
        <v>513</v>
      </c>
      <c r="E480" s="53"/>
      <c r="F480" s="54">
        <f ca="1">IFERROR(VLOOKUP(F462,'RR-3.1-5TH'!$A$12:'RR-3.1-5TH'!$BN$111,17,0),"")</f>
        <v>2</v>
      </c>
      <c r="G480" s="54">
        <f ca="1">IFERROR(VLOOKUP(F462,'RR-3.1-5TH'!$A$12:'RR-3.1-5TH'!$BN$111,18,0),"")</f>
        <v>0</v>
      </c>
      <c r="H480" s="54">
        <f ca="1">IFERROR(VLOOKUP(F462,'RR-3.1-5TH'!$A$12:'RR-3.1-5TH'!$BN$111,19,0),"")</f>
        <v>0</v>
      </c>
      <c r="I480" s="54">
        <f ca="1">IFERROR(VLOOKUP(F462,'RR-3.1-5TH'!$A$12:'RR-3.1-5TH'!$BN$111,20,0),"")</f>
        <v>0</v>
      </c>
      <c r="J480" s="54">
        <f ca="1">IFERROR(VLOOKUP(F462,'RR-3.1-5TH'!$A$12:'RR-3.1-5TH'!$BN$111,21,0),"")</f>
        <v>21</v>
      </c>
      <c r="K480" s="54">
        <f ca="1">IFERROR(VLOOKUP(F462,'RR-3.1-5TH'!$A$12:'RR-3.1-5TH'!$BN$111,22,0),"")</f>
        <v>0</v>
      </c>
      <c r="L480" s="55">
        <f ca="1" t="shared" si="24"/>
        <v>23</v>
      </c>
      <c r="M480" s="56" t="str">
        <f ca="1">IF(F462&gt;ENTRY!$D$24,"",IF(L480=0,"Ab",IF(L480&gt;80,"A",IF(L480&gt;60,"B",IF(L480&gt;44,"C",IF(L480&gt;=33,"D",IF(L480&lt;=32,"E","")))))))</f>
        <v>E</v>
      </c>
      <c r="N480" s="58"/>
      <c r="O480" s="58"/>
      <c r="P480" s="59"/>
      <c r="Q480" s="19"/>
      <c r="R480" s="11"/>
    </row>
    <row r="481" s="1" customFormat="1" ht="21.95" customHeight="1" spans="1:19">
      <c r="A481" s="7"/>
      <c r="B481" s="12"/>
      <c r="C481" s="33"/>
      <c r="D481" s="52" t="s">
        <v>718</v>
      </c>
      <c r="E481" s="53"/>
      <c r="F481" s="54">
        <f ca="1">IFERROR(VLOOKUP(F462,'RR-3.1-5TH'!$A$12:'RR-3.1-5TH'!$BN$111,25,0),"")</f>
        <v>1</v>
      </c>
      <c r="G481" s="54">
        <f ca="1">IFERROR(VLOOKUP(F462,'RR-3.1-5TH'!$A$12:'RR-3.1-5TH'!$BN$111,26,0),"")</f>
        <v>0</v>
      </c>
      <c r="H481" s="54">
        <f ca="1">IFERROR(VLOOKUP(F462,'RR-3.1-5TH'!$A$12:'RR-3.1-5TH'!$BN$111,27,0),"")</f>
        <v>0</v>
      </c>
      <c r="I481" s="54">
        <f ca="1">IFERROR(VLOOKUP(F462,'RR-3.1-5TH'!$A$12:'RR-3.1-5TH'!$BN$111,28,0),"")</f>
        <v>0</v>
      </c>
      <c r="J481" s="54">
        <f ca="1">IFERROR(VLOOKUP(F462,'RR-3.1-5TH'!$A$12:'RR-3.1-5TH'!$BN$111,29,0),"")</f>
        <v>22</v>
      </c>
      <c r="K481" s="54">
        <f ca="1">IFERROR(VLOOKUP(F462,'RR-3.1-5TH'!$A$12:'RR-3.1-5TH'!$BN$111,30,0),"")</f>
        <v>0</v>
      </c>
      <c r="L481" s="55">
        <f ca="1" t="shared" si="24"/>
        <v>23</v>
      </c>
      <c r="M481" s="56" t="str">
        <f ca="1">IF(F462&gt;ENTRY!$D$24,"",IF(L481=0,"Ab",IF(L481&gt;80,"A",IF(L481&gt;60,"B",IF(L481&gt;44,"C",IF(L481&gt;=33,"D",IF(L481&lt;=32,"E","")))))))</f>
        <v>E</v>
      </c>
      <c r="N481" s="29"/>
      <c r="O481" s="29"/>
      <c r="P481" s="19"/>
      <c r="Q481" s="19"/>
      <c r="R481" s="11"/>
    </row>
    <row r="482" s="1" customFormat="1" ht="21.95" customHeight="1" spans="1:19">
      <c r="A482" s="7"/>
      <c r="B482" s="12"/>
      <c r="C482" s="33"/>
      <c r="D482" s="52" t="s">
        <v>719</v>
      </c>
      <c r="E482" s="53"/>
      <c r="F482" s="54">
        <f ca="1">IFERROR(VLOOKUP(F462,'RR-3.1-5TH'!$A$12:'RR-3.1-5TH'!$BN$111,33,0),"")</f>
        <v>1</v>
      </c>
      <c r="G482" s="54">
        <f ca="1">IFERROR(VLOOKUP(F462,'RR-3.1-5TH'!$A$12:'RR-3.1-5TH'!$BN$111,34,0),"")</f>
        <v>0</v>
      </c>
      <c r="H482" s="54">
        <f ca="1">IFERROR(VLOOKUP(F462,'RR-3.1-5TH'!$A$12:'RR-3.1-5TH'!$BN$111,35,0),"")</f>
        <v>0</v>
      </c>
      <c r="I482" s="54">
        <f ca="1">IFERROR(VLOOKUP(F462,'RR-3.1-5TH'!$A$12:'RR-3.1-5TH'!$BN$111,36,0),"")</f>
        <v>0</v>
      </c>
      <c r="J482" s="54">
        <f ca="1">IFERROR(VLOOKUP(F462,'RR-3.1-5TH'!$A$12:'RR-3.1-5TH'!$BN$111,37,0),"")</f>
        <v>23</v>
      </c>
      <c r="K482" s="54">
        <f ca="1">IFERROR(VLOOKUP(F462,'RR-3.1-5TH'!$A$12:'RR-3.1-5TH'!$BN$111,38,0),"")</f>
        <v>0</v>
      </c>
      <c r="L482" s="55">
        <f ca="1" t="shared" si="24"/>
        <v>24</v>
      </c>
      <c r="M482" s="56" t="str">
        <f ca="1">IF(F462&gt;ENTRY!$D$24,"",IF(L482=0,"Ab",IF(L482&gt;80,"A",IF(L482&gt;60,"B",IF(L482&gt;44,"C",IF(L482&gt;=33,"D",IF(L482&lt;=32,"E","")))))))</f>
        <v>E</v>
      </c>
      <c r="N482" s="29"/>
      <c r="O482" s="29"/>
      <c r="P482" s="19"/>
      <c r="Q482" s="19"/>
      <c r="R482" s="11"/>
    </row>
    <row r="483" s="1" customFormat="1" ht="21.95" customHeight="1" spans="1:19">
      <c r="A483" s="7"/>
      <c r="B483" s="12"/>
      <c r="C483" s="33"/>
      <c r="D483" s="52" t="s">
        <v>548</v>
      </c>
      <c r="E483" s="53"/>
      <c r="F483" s="54">
        <f ca="1">IFERROR(VLOOKUP(F462,'RR-3.1-5TH'!$A$12:'RR-3.1-5TH'!$BN$111,41,0),"")</f>
        <v>0</v>
      </c>
      <c r="G483" s="54">
        <f ca="1">IFERROR(VLOOKUP(F462,'RR-3.1-5TH'!$A$12:'RR-3.1-5TH'!$BN$111,42,0),"")</f>
        <v>0</v>
      </c>
      <c r="H483" s="54">
        <f ca="1">IFERROR(VLOOKUP(F462,'RR-3.1-5TH'!$A$12:'RR-3.1-5TH'!$BN$111,43,0),"")</f>
        <v>0</v>
      </c>
      <c r="I483" s="54">
        <f ca="1">IFERROR(VLOOKUP(F462,'RR-3.1-5TH'!$A$12:'RR-3.1-5TH'!$BN$111,44,0),"")</f>
        <v>0</v>
      </c>
      <c r="J483" s="54">
        <f ca="1">IFERROR(VLOOKUP(F462,'RR-3.1-5TH'!$A$12:'RR-3.1-5TH'!$BN$111,45,0),"")</f>
        <v>23</v>
      </c>
      <c r="K483" s="54">
        <f ca="1">IFERROR(VLOOKUP(F462,'RR-3.1-5TH'!$A$12:'RR-3.1-5TH'!$BN$111,46,0),"")</f>
        <v>0</v>
      </c>
      <c r="L483" s="55">
        <f ca="1" t="shared" si="24"/>
        <v>23</v>
      </c>
      <c r="M483" s="56" t="str">
        <f ca="1">IF(F462&gt;ENTRY!$D$24,"",IF(L483=0,"Ab",IF(L483&gt;80,"A",IF(L483&gt;60,"B",IF(L483&gt;44,"C",IF(L483&gt;=33,"D",IF(L483&lt;=32,"E","")))))))</f>
        <v>E</v>
      </c>
      <c r="N483" s="29"/>
      <c r="O483" s="29"/>
      <c r="P483" s="19"/>
      <c r="Q483" s="19"/>
      <c r="R483" s="11"/>
    </row>
    <row r="484" s="1" customFormat="1" ht="21.95" customHeight="1" spans="1:19">
      <c r="A484" s="7"/>
      <c r="B484" s="12"/>
      <c r="C484" s="33"/>
      <c r="D484" s="52" t="s">
        <v>549</v>
      </c>
      <c r="E484" s="53"/>
      <c r="F484" s="54">
        <f ca="1">IFERROR(VLOOKUP(F462,'RR-3.1-5TH'!$A$12:'RR-3.1-5TH'!$BN$111,49,0),"")</f>
        <v>2</v>
      </c>
      <c r="G484" s="54">
        <f ca="1">IFERROR(VLOOKUP(F462,'RR-3.1-5TH'!$A$12:'RR-3.1-5TH'!$BN$111,50,0),"")</f>
        <v>0</v>
      </c>
      <c r="H484" s="54">
        <f ca="1">IFERROR(VLOOKUP(F462,'RR-3.1-5TH'!$A$12:'RR-3.1-5TH'!$BN$111,51,0),"")</f>
        <v>0</v>
      </c>
      <c r="I484" s="54">
        <f ca="1">IFERROR(VLOOKUP(F462,'RR-3.1-5TH'!$A$12:'RR-3.1-5TH'!$BN$111,52,0),"")</f>
        <v>0</v>
      </c>
      <c r="J484" s="54">
        <f ca="1">IFERROR(VLOOKUP(F462,'RR-3.1-5TH'!$A$12:'RR-3.1-5TH'!$BN$111,53,0),"")</f>
        <v>18</v>
      </c>
      <c r="K484" s="54">
        <f ca="1">IFERROR(VLOOKUP(F462,'RR-3.1-5TH'!$A$12:'RR-3.1-5TH'!$BN$111,54,0),"")</f>
        <v>0</v>
      </c>
      <c r="L484" s="55">
        <f ca="1" t="shared" si="24"/>
        <v>20</v>
      </c>
      <c r="M484" s="56" t="str">
        <f ca="1">IF(F462&gt;ENTRY!$D$24,"",IF(L484=0,"Ab",IF(L484&gt;80,"A",IF(L484&gt;60,"B",IF(L484&gt;44,"C",IF(L484&gt;=33,"D",IF(L484&lt;=32,"E","")))))))</f>
        <v>E</v>
      </c>
      <c r="N484" s="57" t="s">
        <v>752</v>
      </c>
      <c r="O484" s="58"/>
      <c r="P484" s="59"/>
      <c r="Q484" s="19"/>
      <c r="R484" s="11"/>
    </row>
    <row r="485" s="1" customFormat="1" ht="21.95" customHeight="1" spans="1:19">
      <c r="A485" s="7"/>
      <c r="B485" s="12"/>
      <c r="C485" s="33"/>
      <c r="D485" s="52" t="s">
        <v>753</v>
      </c>
      <c r="E485" s="53"/>
      <c r="F485" s="60"/>
      <c r="G485" s="54"/>
      <c r="H485" s="54"/>
      <c r="I485" s="54"/>
      <c r="J485" s="54"/>
      <c r="K485" s="54"/>
      <c r="L485" s="55">
        <f t="shared" ref="L485" si="25">SUM(G485:K485)</f>
        <v>0</v>
      </c>
      <c r="M485" s="56" t="str">
        <f>IF(F462&gt;ENTRY!$D$24,"",IF(L485=0,"",IF(L485&gt;79,"A",IF(L485&gt;59,"B",IF(L485&gt;44,"C",IF(L485&gt;=33,"D",IF(L485&lt;=32,"E","")))))))</f>
        <v/>
      </c>
      <c r="N485" s="58"/>
      <c r="O485" s="58"/>
      <c r="P485" s="59"/>
      <c r="Q485" s="19"/>
      <c r="R485" s="11"/>
    </row>
    <row r="486" s="1" customFormat="1" ht="21.95" customHeight="1" spans="1:19">
      <c r="A486" s="7"/>
      <c r="B486" s="12"/>
      <c r="C486" s="33"/>
      <c r="D486" s="45" t="s">
        <v>382</v>
      </c>
      <c r="E486" s="46"/>
      <c r="F486" s="54">
        <f ca="1" t="shared" ref="F486:L486" si="26">IFERROR(SUM(F479:F485),"")</f>
        <v>8</v>
      </c>
      <c r="G486" s="54">
        <f ca="1" t="shared" si="26"/>
        <v>0</v>
      </c>
      <c r="H486" s="54">
        <f ca="1" t="shared" si="26"/>
        <v>0</v>
      </c>
      <c r="I486" s="54">
        <f ca="1" t="shared" si="26"/>
        <v>0</v>
      </c>
      <c r="J486" s="54">
        <f ca="1" t="shared" si="26"/>
        <v>151</v>
      </c>
      <c r="K486" s="54">
        <f ca="1" t="shared" si="26"/>
        <v>0</v>
      </c>
      <c r="L486" s="55">
        <f ca="1" t="shared" si="26"/>
        <v>159</v>
      </c>
      <c r="M486" s="61" t="str">
        <f ca="1">IF(F462&gt;ENTRY!$D$24,"",IF(N487="Ab","Ab",IF(N487&gt;79.5,"A",IF(N487&gt;59.5,"B",IF(N487&gt;44.5,"C",IF(N487&gt;=33,"D",IF(N487&lt;33,"E","")))))))</f>
        <v>E</v>
      </c>
      <c r="N486" s="62"/>
      <c r="O486" s="58"/>
      <c r="P486" s="59"/>
      <c r="Q486" s="19"/>
      <c r="R486" s="11"/>
    </row>
    <row r="487" s="1" customFormat="1" ht="21.95" customHeight="1" spans="1:19">
      <c r="A487" s="7"/>
      <c r="B487" s="12"/>
      <c r="C487" s="33"/>
      <c r="D487" s="63" t="s">
        <v>721</v>
      </c>
      <c r="E487" s="63"/>
      <c r="F487" s="63"/>
      <c r="G487" s="63"/>
      <c r="H487" s="63"/>
      <c r="I487" s="63"/>
      <c r="J487" s="63"/>
      <c r="K487" s="63"/>
      <c r="L487" s="63"/>
      <c r="M487" s="63"/>
      <c r="N487" s="64">
        <f ca="1">IF(L486="Ab","Ab",L486/6)</f>
        <v>26.5</v>
      </c>
      <c r="O487" s="65"/>
      <c r="P487" s="19"/>
      <c r="Q487" s="19"/>
      <c r="R487" s="11"/>
    </row>
    <row r="488" s="1" customFormat="1" ht="21.95" customHeight="1" spans="1:19">
      <c r="A488" s="7"/>
      <c r="B488" s="12"/>
      <c r="C488" s="33"/>
      <c r="D488" s="29" t="s">
        <v>716</v>
      </c>
      <c r="E488" s="18" t="str">
        <f>IFERROR(VLOOKUP(F462,'1to4-2.1-RR'!$A$12:$BG$111,57,0),"")</f>
        <v>PROMOTED</v>
      </c>
      <c r="F488" s="18"/>
      <c r="G488" s="18"/>
      <c r="H488" s="18"/>
      <c r="I488" s="18"/>
      <c r="J488" s="18"/>
      <c r="K488" s="18"/>
      <c r="L488" s="18"/>
      <c r="M488" s="18"/>
      <c r="N488" s="29"/>
      <c r="O488" s="29"/>
      <c r="P488" s="19"/>
      <c r="Q488" s="19"/>
      <c r="R488" s="11"/>
    </row>
    <row r="489" s="1" customFormat="1" ht="9.95" customHeight="1" spans="1:19">
      <c r="A489" s="7"/>
      <c r="B489" s="12"/>
      <c r="C489" s="33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19"/>
      <c r="Q489" s="19"/>
      <c r="R489" s="11"/>
    </row>
    <row r="490" s="1" customFormat="1" ht="36" spans="1:19">
      <c r="A490" s="7"/>
      <c r="B490" s="12"/>
      <c r="C490" s="33"/>
      <c r="D490" s="66" t="s">
        <v>576</v>
      </c>
      <c r="E490" s="67" t="s">
        <v>754</v>
      </c>
      <c r="F490" s="47">
        <f>IF(F462&gt;ENTRY!$D$24,"",IFERROR(VLOOKUP(F462,PASHEET!$A$4:$CJ$103,88,0),""))</f>
        <v>0</v>
      </c>
      <c r="G490" s="67" t="s">
        <v>755</v>
      </c>
      <c r="H490" s="47">
        <f>IF(F462&gt;ENTRY!$D$24,"",IFERROR(VLOOKUP(F462,PASHEET!$A$4:$CJ$103,87,0),""))</f>
        <v>0</v>
      </c>
      <c r="I490" s="68" t="s">
        <v>756</v>
      </c>
      <c r="J490" s="69" t="str">
        <f>IF(F462&gt;ENTRY!$D$24,"",IFERROR(IF(F462&gt;0,H490/F490*100),""))</f>
        <v/>
      </c>
      <c r="K490" s="60" t="s">
        <v>757</v>
      </c>
      <c r="L490" s="70">
        <f ca="1">IF(F462&gt;ENTRY!$D$24,"",IFERROR(L486/600*100,""))</f>
        <v>26.5</v>
      </c>
      <c r="M490" s="47" t="str">
        <f ca="1">IF(F462&gt;ENTRY!$D$24,"",IFERROR(L486&amp;" / "&amp;"600",""))</f>
        <v>159 / 600</v>
      </c>
      <c r="N490" s="29"/>
      <c r="O490" s="29"/>
      <c r="P490" s="19"/>
      <c r="Q490" s="19"/>
      <c r="R490" s="11"/>
    </row>
    <row r="491" s="1" customFormat="1" ht="9.95" customHeight="1" spans="1:19">
      <c r="A491" s="7"/>
      <c r="B491" s="12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1"/>
      <c r="Q491" s="19"/>
      <c r="R491" s="11"/>
    </row>
    <row r="492" s="1" customFormat="1" ht="9.95" customHeight="1" spans="1:19">
      <c r="A492" s="7"/>
      <c r="B492" s="12"/>
      <c r="C492" s="71"/>
      <c r="D492" s="71"/>
      <c r="E492" s="71"/>
      <c r="F492" s="29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19"/>
      <c r="R492" s="11"/>
    </row>
    <row r="493" s="1" customFormat="1" ht="9.95" customHeight="1" spans="1:19">
      <c r="A493" s="7"/>
      <c r="B493" s="12"/>
      <c r="C493" s="29"/>
      <c r="D493" s="29"/>
      <c r="E493" s="29"/>
      <c r="F493" s="72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19"/>
      <c r="R493" s="11"/>
    </row>
    <row r="494" s="1" customFormat="1" ht="9.95" customHeight="1" spans="1:19">
      <c r="A494" s="7"/>
      <c r="B494" s="12"/>
      <c r="C494" s="30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2"/>
      <c r="Q494" s="19"/>
      <c r="R494" s="11"/>
    </row>
    <row r="495" s="1" customFormat="1" ht="21.95" customHeight="1" spans="1:19">
      <c r="A495" s="7"/>
      <c r="B495" s="12"/>
      <c r="C495" s="73" t="s">
        <v>7</v>
      </c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74"/>
      <c r="Q495" s="19"/>
      <c r="R495" s="11"/>
      <c r="S495" s="2"/>
    </row>
    <row r="496" s="1" customFormat="1" ht="21.95" customHeight="1" spans="1:19">
      <c r="A496" s="7"/>
      <c r="B496" s="12"/>
      <c r="C496" s="33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19"/>
      <c r="Q496" s="19"/>
      <c r="R496" s="11"/>
    </row>
    <row r="497" s="1" customFormat="1" ht="21.95" customHeight="1" spans="1:18">
      <c r="A497" s="7"/>
      <c r="B497" s="12"/>
      <c r="C497" s="75" t="str">
        <f>"SESSION-"&amp;ENTRY!$D$11</f>
        <v>SESSION-2026-27</v>
      </c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76"/>
      <c r="Q497" s="19"/>
      <c r="R497" s="11"/>
    </row>
    <row r="498" s="1" customFormat="1" ht="18" customHeight="1" spans="1:18">
      <c r="A498" s="7"/>
      <c r="B498" s="12"/>
      <c r="C498" s="33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19"/>
      <c r="Q498" s="19"/>
      <c r="R498" s="11"/>
    </row>
    <row r="499" s="1" customFormat="1" ht="21.95" customHeight="1" spans="1:18">
      <c r="A499" s="7"/>
      <c r="B499" s="12"/>
      <c r="C499" s="33"/>
      <c r="D499" s="77" t="s">
        <v>758</v>
      </c>
      <c r="E499" s="77"/>
      <c r="F499" s="78" t="str">
        <f>IFERROR(PROPER(VLOOKUP(F462,STUDENT!$A$2:$BP$101,5,0)),"")</f>
        <v>Anuj</v>
      </c>
      <c r="G499" s="78"/>
      <c r="H499" s="78"/>
      <c r="I499" s="78"/>
      <c r="J499" s="78"/>
      <c r="K499" s="78"/>
      <c r="L499" s="78"/>
      <c r="M499" s="78"/>
      <c r="N499" s="79" t="s">
        <v>759</v>
      </c>
      <c r="O499" s="79"/>
      <c r="P499" s="19"/>
      <c r="Q499" s="19"/>
      <c r="R499" s="11"/>
    </row>
    <row r="500" s="1" customFormat="1" ht="21.95" customHeight="1" spans="1:18">
      <c r="A500" s="7"/>
      <c r="B500" s="12"/>
      <c r="C500" s="33"/>
      <c r="D500" s="80" t="s">
        <v>760</v>
      </c>
      <c r="E500" s="81" t="str">
        <f>IFERROR(PROPER(VLOOKUP(F462,STUDENT!$A$2:$BP$101,9,0)),"")</f>
        <v>Lalita Devi</v>
      </c>
      <c r="F500" s="81"/>
      <c r="G500" s="81"/>
      <c r="H500" s="80" t="s">
        <v>761</v>
      </c>
      <c r="I500" s="82" t="str">
        <f>IFERROR(PROPER(VLOOKUP(F462,STUDENT!$A$2:$BP$101,8,0)),"")</f>
        <v>Ranjeet Das</v>
      </c>
      <c r="J500" s="82"/>
      <c r="K500" s="82"/>
      <c r="L500" s="82"/>
      <c r="M500" s="80" t="s">
        <v>762</v>
      </c>
      <c r="N500" s="83" t="str">
        <f>IFERROR(VLOOKUP(F462,STUDENT!$A$2:$BP$101,59,0),"")</f>
        <v/>
      </c>
      <c r="O500" s="83"/>
      <c r="P500" s="19"/>
      <c r="Q500" s="19"/>
      <c r="R500" s="11"/>
    </row>
    <row r="501" s="1" customFormat="1" ht="21.95" customHeight="1" spans="1:18">
      <c r="A501" s="7"/>
      <c r="B501" s="12"/>
      <c r="C501" s="33"/>
      <c r="D501" s="77" t="str">
        <f>"has    completed     his  /  her     primary     level     education    in    the    year    "&amp;RIGHT(ENTRY!$D467,4)&amp;"    from    ( School    Name )"</f>
        <v>has    completed     his  /  her     primary     level     education    in    the    year        from    ( School    Name )</v>
      </c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19"/>
      <c r="Q501" s="19"/>
      <c r="R501" s="11"/>
    </row>
    <row r="502" s="1" customFormat="1" ht="21.95" customHeight="1" spans="1:18">
      <c r="A502" s="7"/>
      <c r="B502" s="12"/>
      <c r="C502" s="33"/>
      <c r="D502" s="81" t="str">
        <f>IF(F462&gt;0,ENTRY!$D$6,"")</f>
        <v>MCP NITHARI NO 1 BOYS</v>
      </c>
      <c r="E502" s="81"/>
      <c r="F502" s="81"/>
      <c r="G502" s="81"/>
      <c r="H502" s="81"/>
      <c r="I502" s="81"/>
      <c r="J502" s="81"/>
      <c r="K502" s="81"/>
      <c r="L502" s="81"/>
      <c r="M502" s="80" t="s">
        <v>763</v>
      </c>
      <c r="N502" s="84">
        <f>IF(F462&gt;0,ENTRY!$D$7,"")</f>
        <v>0</v>
      </c>
      <c r="O502" s="84"/>
      <c r="P502" s="85" t="s">
        <v>727</v>
      </c>
      <c r="Q502" s="19"/>
      <c r="R502" s="11"/>
    </row>
    <row r="503" s="1" customFormat="1" ht="21.95" customHeight="1" spans="1:18">
      <c r="A503" s="7"/>
      <c r="B503" s="12"/>
      <c r="C503" s="33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19"/>
      <c r="Q503" s="19"/>
      <c r="R503" s="11"/>
    </row>
    <row r="504" s="1" customFormat="1" ht="21.95" customHeight="1" spans="1:18">
      <c r="A504" s="7"/>
      <c r="B504" s="12"/>
      <c r="C504" s="33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19"/>
      <c r="Q504" s="19"/>
      <c r="R504" s="11"/>
    </row>
    <row r="505" s="1" customFormat="1" ht="21.95" customHeight="1" spans="1:18">
      <c r="A505" s="7"/>
      <c r="B505" s="12"/>
      <c r="C505" s="33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19"/>
      <c r="Q505" s="19"/>
      <c r="R505" s="11"/>
    </row>
    <row r="506" s="1" customFormat="1" ht="21.95" customHeight="1" spans="1:18">
      <c r="A506" s="7"/>
      <c r="B506" s="12"/>
      <c r="C506" s="33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19"/>
      <c r="Q506" s="19"/>
      <c r="R506" s="11"/>
    </row>
    <row r="507" s="1" customFormat="1" ht="21.95" customHeight="1" spans="1:18">
      <c r="A507" s="7"/>
      <c r="B507" s="12"/>
      <c r="C507" s="33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19"/>
      <c r="Q507" s="19"/>
      <c r="R507" s="11"/>
    </row>
    <row r="508" s="1" customFormat="1" ht="21.95" customHeight="1" spans="1:18">
      <c r="A508" s="7"/>
      <c r="B508" s="12"/>
      <c r="C508" s="33"/>
      <c r="D508" s="80" t="s">
        <v>728</v>
      </c>
      <c r="E508" s="86">
        <f>ENTRY!$D$27</f>
        <v>46102</v>
      </c>
      <c r="F508" s="86"/>
      <c r="G508" s="29"/>
      <c r="H508" s="29"/>
      <c r="I508" s="29"/>
      <c r="J508" s="29"/>
      <c r="K508" s="29"/>
      <c r="L508" s="29"/>
      <c r="M508" s="87" t="s">
        <v>730</v>
      </c>
      <c r="N508" s="87"/>
      <c r="O508" s="87"/>
      <c r="P508" s="19"/>
      <c r="Q508" s="19"/>
      <c r="R508" s="11"/>
    </row>
    <row r="509" s="1" customFormat="1" ht="21.95" customHeight="1" spans="1:18">
      <c r="A509" s="7"/>
      <c r="B509" s="12"/>
      <c r="C509" s="33"/>
      <c r="D509" s="80" t="s">
        <v>731</v>
      </c>
      <c r="E509" s="88" t="str">
        <f>PROPER(ENTRY!$D$28)</f>
        <v>New Delhi</v>
      </c>
      <c r="F509" s="88"/>
      <c r="G509" s="29"/>
      <c r="H509" s="29"/>
      <c r="I509" s="29"/>
      <c r="J509" s="29"/>
      <c r="K509" s="29"/>
      <c r="L509" s="29"/>
      <c r="M509" s="89" t="s">
        <v>732</v>
      </c>
      <c r="N509" s="89"/>
      <c r="O509" s="89"/>
      <c r="P509" s="19"/>
      <c r="Q509" s="19"/>
      <c r="R509" s="11"/>
    </row>
    <row r="510" s="1" customFormat="1" ht="21.95" customHeight="1" spans="1:18">
      <c r="A510" s="7"/>
      <c r="B510" s="12"/>
      <c r="C510" s="90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2"/>
      <c r="Q510" s="14"/>
      <c r="R510" s="11"/>
    </row>
    <row r="511" s="1" customFormat="1" ht="5.1" customHeight="1" spans="1:18">
      <c r="A511" s="7"/>
      <c r="B511" s="90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2"/>
      <c r="R511" s="11"/>
    </row>
    <row r="512" s="1" customFormat="1" ht="5.1" customHeight="1" spans="1:18">
      <c r="A512" s="93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5"/>
    </row>
    <row r="513" s="2" customFormat="1" ht="9.95" customHeight="1"/>
    <row r="514" s="1" customFormat="1" ht="5.1" customHeight="1" spans="1:18">
      <c r="A514" s="4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6"/>
    </row>
    <row r="515" s="1" customFormat="1" ht="15" customHeight="1" spans="1:18">
      <c r="A515" s="7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0"/>
      <c r="R515" s="11"/>
    </row>
    <row r="516" s="1" customFormat="1" ht="21.95" customHeight="1" spans="1:18">
      <c r="A516" s="7"/>
      <c r="B516" s="12"/>
      <c r="C516" s="13" t="s">
        <v>7</v>
      </c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4"/>
      <c r="R516" s="11"/>
    </row>
    <row r="517" s="1" customFormat="1" ht="21.95" customHeight="1" spans="1:18">
      <c r="A517" s="7"/>
      <c r="B517" s="1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14"/>
      <c r="R517" s="11"/>
    </row>
    <row r="518" s="1" customFormat="1" ht="21.95" customHeight="1" spans="1:18">
      <c r="A518" s="7"/>
      <c r="B518" s="12"/>
      <c r="C518" s="15" t="str">
        <f>"SESSION-"&amp;ENTRY!$D$11</f>
        <v>SESSION-2026-27</v>
      </c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4"/>
      <c r="R518" s="11"/>
    </row>
    <row r="519" s="1" customFormat="1" ht="21.95" customHeight="1" spans="1:18">
      <c r="A519" s="7"/>
      <c r="B519" s="12"/>
      <c r="C519" s="2"/>
      <c r="D519" s="2"/>
      <c r="E519" s="2"/>
      <c r="F519" s="16">
        <f>F462+1</f>
        <v>10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14"/>
      <c r="R519" s="11"/>
    </row>
    <row r="520" s="1" customFormat="1" ht="21.95" customHeight="1" spans="1:18">
      <c r="A520" s="7"/>
      <c r="B520" s="12"/>
      <c r="C520" s="17" t="s">
        <v>392</v>
      </c>
      <c r="D520" s="17"/>
      <c r="E520" s="17"/>
      <c r="F520" s="18" t="str">
        <f>IF(F519&gt;0,ENTRY!$D$6,"")</f>
        <v>MCP NITHARI NO 1 BOYS</v>
      </c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9"/>
      <c r="R520" s="11"/>
    </row>
    <row r="521" s="1" customFormat="1" ht="21.95" customHeight="1" spans="1:18">
      <c r="A521" s="7"/>
      <c r="B521" s="12"/>
      <c r="C521" s="17" t="s">
        <v>393</v>
      </c>
      <c r="D521" s="17"/>
      <c r="E521" s="17"/>
      <c r="F521" s="18">
        <f>IF(F519&gt;0,ENTRY!$D$7,"")</f>
        <v>0</v>
      </c>
      <c r="G521" s="18"/>
      <c r="H521" s="20" t="s">
        <v>702</v>
      </c>
      <c r="I521" s="20"/>
      <c r="J521" s="21">
        <f>IF(F519&gt;0,ENTRY!$D$10,"")</f>
        <v>40</v>
      </c>
      <c r="K521" s="20" t="s">
        <v>703</v>
      </c>
      <c r="L521" s="22" t="str">
        <f>IF(F519&gt;0,ENTRY!$D$5,"")</f>
        <v>ROHINI ZONE</v>
      </c>
      <c r="M521" s="22"/>
      <c r="N521" s="22"/>
      <c r="O521" s="22"/>
      <c r="P521" s="22"/>
      <c r="Q521" s="19"/>
      <c r="R521" s="11"/>
    </row>
    <row r="522" s="1" customFormat="1" ht="21.95" customHeight="1" spans="1:18">
      <c r="A522" s="7"/>
      <c r="B522" s="12"/>
      <c r="C522" s="17" t="s">
        <v>706</v>
      </c>
      <c r="D522" s="17"/>
      <c r="E522" s="17"/>
      <c r="F522" s="23" t="str">
        <f>IFERROR(VLOOKUP(F519,STUDENT!$A$2:$BP$101,5,0),"")</f>
        <v>PIYUSH KUMAR</v>
      </c>
      <c r="G522" s="23"/>
      <c r="H522" s="23"/>
      <c r="I522" s="23"/>
      <c r="J522" s="23"/>
      <c r="K522" s="23"/>
      <c r="L522" s="20" t="s">
        <v>707</v>
      </c>
      <c r="M522" s="20"/>
      <c r="N522" s="24" t="str">
        <f>IF(F519&gt;0,ENTRY!$D$20&amp;"-"&amp;ENTRY!$D$21,"")</f>
        <v>III-A</v>
      </c>
      <c r="O522" s="24"/>
      <c r="P522" s="24"/>
      <c r="Q522" s="19"/>
      <c r="R522" s="11"/>
    </row>
    <row r="523" s="1" customFormat="1" ht="21.95" customHeight="1" spans="1:18">
      <c r="A523" s="7"/>
      <c r="B523" s="12"/>
      <c r="C523" s="17" t="s">
        <v>708</v>
      </c>
      <c r="D523" s="17"/>
      <c r="E523" s="17"/>
      <c r="F523" s="25">
        <f>IFERROR(VLOOKUP(F519,STUDENT!$A$2:$BP$101,6,0),"")</f>
        <v>14774</v>
      </c>
      <c r="G523" s="25"/>
      <c r="H523" s="26" t="s">
        <v>709</v>
      </c>
      <c r="I523" s="27" t="str">
        <f>IFERROR(VLOOKUP(F519,STUDENT!$A$2:$BP$101,59,0),"")</f>
        <v/>
      </c>
      <c r="J523" s="27"/>
      <c r="K523" s="20" t="s">
        <v>710</v>
      </c>
      <c r="L523" s="20"/>
      <c r="M523" s="28">
        <f>IFERROR(VLOOKUP(F519,STUDENT!$A$2:$BP$101,20,0),"")</f>
        <v>8979884019</v>
      </c>
      <c r="N523" s="28"/>
      <c r="O523" s="28"/>
      <c r="P523" s="28"/>
      <c r="Q523" s="19"/>
      <c r="R523" s="11"/>
    </row>
    <row r="524" s="1" customFormat="1" ht="21.95" customHeight="1" spans="1:18">
      <c r="A524" s="7"/>
      <c r="B524" s="12"/>
      <c r="C524" s="17" t="s">
        <v>711</v>
      </c>
      <c r="D524" s="17"/>
      <c r="E524" s="17"/>
      <c r="F524" s="23" t="str">
        <f>IFERROR(VLOOKUP(F519,STUDENT!$A$2:$BP$101,9,0),"")</f>
        <v>USHA PRAJAPATI</v>
      </c>
      <c r="G524" s="23"/>
      <c r="H524" s="23"/>
      <c r="I524" s="23"/>
      <c r="J524" s="17" t="s">
        <v>620</v>
      </c>
      <c r="K524" s="17"/>
      <c r="L524" s="23" t="str">
        <f>IFERROR(VLOOKUP(F519,STUDENT!$A$2:$BP$101,8,0),"")</f>
        <v>MUNNA LAL</v>
      </c>
      <c r="M524" s="23"/>
      <c r="N524" s="23"/>
      <c r="O524" s="23"/>
      <c r="P524" s="23"/>
      <c r="Q524" s="19"/>
      <c r="R524" s="11"/>
    </row>
    <row r="525" s="1" customFormat="1" ht="21.95" customHeight="1" spans="1:18">
      <c r="A525" s="7"/>
      <c r="B525" s="12"/>
      <c r="C525" s="17" t="s">
        <v>712</v>
      </c>
      <c r="D525" s="17"/>
      <c r="E525" s="17"/>
      <c r="F525" s="23" t="str">
        <f>IFERROR(VLOOKUP(F519,STUDENT!$A$2:$BP$101,22,0),"")</f>
        <v>A 198/11 GALI NO 1 GAURAV NAGAR PREM NAGAR 2</v>
      </c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19"/>
      <c r="R525" s="11"/>
    </row>
    <row r="526" s="1" customFormat="1" ht="9.95" customHeight="1" spans="1:18">
      <c r="A526" s="7"/>
      <c r="B526" s="12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19"/>
      <c r="R526" s="11"/>
    </row>
    <row r="527" s="1" customFormat="1" ht="9.95" customHeight="1" spans="1:18">
      <c r="A527" s="7"/>
      <c r="B527" s="12"/>
      <c r="C527" s="30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2"/>
      <c r="Q527" s="19"/>
      <c r="R527" s="11"/>
    </row>
    <row r="528" s="1" customFormat="1" ht="21.95" customHeight="1" spans="1:18">
      <c r="A528" s="7"/>
      <c r="B528" s="12"/>
      <c r="C528" s="33"/>
      <c r="D528" s="34" t="s">
        <v>713</v>
      </c>
      <c r="E528" s="20" t="s">
        <v>714</v>
      </c>
      <c r="F528" s="35" t="str">
        <f>"Level - "&amp;IFERROR(VLOOKUP(F519,FLN!$A$4:$K$103,9,0),"")</f>
        <v>Level - 2</v>
      </c>
      <c r="G528" s="36"/>
      <c r="H528" s="37" t="s">
        <v>715</v>
      </c>
      <c r="I528" s="20"/>
      <c r="J528" s="35" t="str">
        <f>"Level - "&amp;IFERROR(VLOOKUP(F519,FLN!$A$4:$K$103,11,0),"")</f>
        <v>Level - 3</v>
      </c>
      <c r="K528" s="36"/>
      <c r="L528" s="37" t="s">
        <v>408</v>
      </c>
      <c r="M528" s="20"/>
      <c r="N528" s="35" t="str">
        <f>"Level - "&amp;IFERROR(VLOOKUP(F519,FLN!$A$4:$K$103,10,0),"")</f>
        <v>Level - 2</v>
      </c>
      <c r="O528" s="36"/>
      <c r="P528" s="19"/>
      <c r="Q528" s="19"/>
      <c r="R528" s="11"/>
    </row>
    <row r="529" s="1" customFormat="1" ht="21.95" customHeight="1" spans="1:18">
      <c r="A529" s="7"/>
      <c r="B529" s="12"/>
      <c r="C529" s="33"/>
      <c r="D529" s="38"/>
      <c r="E529" s="20" t="s">
        <v>716</v>
      </c>
      <c r="F529" s="18" t="str">
        <f ca="1">IF(L543&gt;197,"PERFORMED WELL","")</f>
        <v/>
      </c>
      <c r="G529" s="18"/>
      <c r="H529" s="18"/>
      <c r="I529" s="18"/>
      <c r="J529" s="18"/>
      <c r="K529" s="18"/>
      <c r="L529" s="18"/>
      <c r="M529" s="18"/>
      <c r="N529" s="18"/>
      <c r="O529" s="18"/>
      <c r="P529" s="19"/>
      <c r="Q529" s="19"/>
      <c r="R529" s="11"/>
    </row>
    <row r="530" s="1" customFormat="1" ht="9.95" customHeight="1" spans="1:18">
      <c r="A530" s="7"/>
      <c r="B530" s="12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1"/>
      <c r="Q530" s="19"/>
      <c r="R530" s="11"/>
    </row>
    <row r="531" s="1" customFormat="1" ht="9.95" customHeight="1" spans="1:18">
      <c r="A531" s="7"/>
      <c r="B531" s="12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19"/>
      <c r="R531" s="11"/>
    </row>
    <row r="532" s="1" customFormat="1" ht="9.95" customHeight="1" spans="1:18">
      <c r="A532" s="7"/>
      <c r="B532" s="12"/>
      <c r="C532" s="30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2"/>
      <c r="Q532" s="19"/>
      <c r="R532" s="11"/>
    </row>
    <row r="533" s="1" customFormat="1" ht="21.95" customHeight="1" spans="1:18">
      <c r="A533" s="7"/>
      <c r="B533" s="12"/>
      <c r="C533" s="33"/>
      <c r="D533" s="35"/>
      <c r="E533" s="24"/>
      <c r="F533" s="42" t="s">
        <v>717</v>
      </c>
      <c r="G533" s="42"/>
      <c r="H533" s="42"/>
      <c r="I533" s="42"/>
      <c r="J533" s="42"/>
      <c r="K533" s="42"/>
      <c r="L533" s="43"/>
      <c r="M533" s="44"/>
      <c r="N533" s="29"/>
      <c r="O533" s="29"/>
      <c r="P533" s="19"/>
      <c r="Q533" s="19"/>
      <c r="R533" s="11"/>
    </row>
    <row r="534" s="1" customFormat="1" ht="21.95" customHeight="1" spans="1:18">
      <c r="A534" s="7"/>
      <c r="B534" s="12"/>
      <c r="C534" s="33"/>
      <c r="D534" s="45"/>
      <c r="E534" s="46"/>
      <c r="F534" s="47" t="s">
        <v>541</v>
      </c>
      <c r="G534" s="47" t="s">
        <v>542</v>
      </c>
      <c r="H534" s="47" t="s">
        <v>543</v>
      </c>
      <c r="I534" s="47" t="s">
        <v>544</v>
      </c>
      <c r="J534" s="47" t="s">
        <v>561</v>
      </c>
      <c r="K534" s="48" t="s">
        <v>750</v>
      </c>
      <c r="L534" s="47" t="s">
        <v>382</v>
      </c>
      <c r="M534" s="49" t="s">
        <v>546</v>
      </c>
      <c r="N534" s="29"/>
      <c r="O534" s="29"/>
      <c r="P534" s="19"/>
      <c r="Q534" s="19"/>
      <c r="R534" s="11"/>
    </row>
    <row r="535" s="1" customFormat="1" ht="21.95" customHeight="1" spans="1:18">
      <c r="A535" s="7"/>
      <c r="B535" s="12"/>
      <c r="C535" s="33"/>
      <c r="D535" s="45" t="s">
        <v>652</v>
      </c>
      <c r="E535" s="46"/>
      <c r="F535" s="50">
        <v>10</v>
      </c>
      <c r="G535" s="50">
        <v>10</v>
      </c>
      <c r="H535" s="50">
        <v>10</v>
      </c>
      <c r="I535" s="50">
        <v>10</v>
      </c>
      <c r="J535" s="50">
        <v>60</v>
      </c>
      <c r="K535" s="51"/>
      <c r="L535" s="50">
        <v>100</v>
      </c>
      <c r="M535" s="49"/>
      <c r="N535" s="29"/>
      <c r="O535" s="29"/>
      <c r="P535" s="19"/>
      <c r="Q535" s="19"/>
      <c r="R535" s="11"/>
    </row>
    <row r="536" s="1" customFormat="1" ht="21.95" customHeight="1" spans="1:18">
      <c r="A536" s="7"/>
      <c r="B536" s="12"/>
      <c r="C536" s="33"/>
      <c r="D536" s="52" t="s">
        <v>751</v>
      </c>
      <c r="E536" s="53"/>
      <c r="F536" s="54">
        <f ca="1">IFERROR(VLOOKUP(F519,'RR-3.1-5TH'!$A$12:'RR-3.1-5TH'!$BN$111,9,0),"")</f>
        <v>2</v>
      </c>
      <c r="G536" s="54">
        <f ca="1">IFERROR(VLOOKUP(F519,'RR-3.1-5TH'!$A$12:'RR-3.1-5TH'!$BN$111,10,0),"")</f>
        <v>0</v>
      </c>
      <c r="H536" s="54">
        <f ca="1">IFERROR(VLOOKUP(F519,'RR-3.1-5TH'!$A$12:'RR-3.1-5TH'!$BN$111,11,0),"")</f>
        <v>0</v>
      </c>
      <c r="I536" s="54">
        <f ca="1">IFERROR(VLOOKUP(F519,'RR-3.1-5TH'!$A$12:'RR-3.1-5TH'!$BN$111,12,0),"")</f>
        <v>0</v>
      </c>
      <c r="J536" s="54">
        <f ca="1">IFERROR(VLOOKUP(F519,'RR-3.1-5TH'!$A$12:'RR-3.1-5TH'!$BN$111,13,0),"")</f>
        <v>44</v>
      </c>
      <c r="K536" s="54">
        <f ca="1">IFERROR(VLOOKUP(F519,'RR-3.1-5TH'!$A$12:'RR-3.1-5TH'!$BN$111,14,0),"")</f>
        <v>0</v>
      </c>
      <c r="L536" s="55">
        <f ca="1" t="shared" ref="L536:L541" si="27">SUM(F536,G536,H536,I536,J536,K536)</f>
        <v>46</v>
      </c>
      <c r="M536" s="56" t="str">
        <f ca="1">IF(F519&gt;ENTRY!$D$24,"",IF(L536=0,"Ab",IF(L536&gt;80,"A",IF(L536&gt;60,"B",IF(L536&gt;44,"C",IF(L536&gt;=33,"D",IF(L536&lt;=32,"E","")))))))</f>
        <v>C</v>
      </c>
      <c r="N536" s="57" t="s">
        <v>729</v>
      </c>
      <c r="O536" s="58"/>
      <c r="P536" s="59"/>
      <c r="Q536" s="19"/>
      <c r="R536" s="11"/>
    </row>
    <row r="537" s="1" customFormat="1" ht="21.95" customHeight="1" spans="1:18">
      <c r="A537" s="7"/>
      <c r="B537" s="12"/>
      <c r="C537" s="33"/>
      <c r="D537" s="52" t="s">
        <v>513</v>
      </c>
      <c r="E537" s="53"/>
      <c r="F537" s="54">
        <f ca="1">IFERROR(VLOOKUP(F519,'RR-3.1-5TH'!$A$12:'RR-3.1-5TH'!$BN$111,17,0),"")</f>
        <v>1</v>
      </c>
      <c r="G537" s="54">
        <f ca="1">IFERROR(VLOOKUP(F519,'RR-3.1-5TH'!$A$12:'RR-3.1-5TH'!$BN$111,18,0),"")</f>
        <v>0</v>
      </c>
      <c r="H537" s="54">
        <f ca="1">IFERROR(VLOOKUP(F519,'RR-3.1-5TH'!$A$12:'RR-3.1-5TH'!$BN$111,19,0),"")</f>
        <v>0</v>
      </c>
      <c r="I537" s="54">
        <f ca="1">IFERROR(VLOOKUP(F519,'RR-3.1-5TH'!$A$12:'RR-3.1-5TH'!$BN$111,20,0),"")</f>
        <v>0</v>
      </c>
      <c r="J537" s="54">
        <f ca="1">IFERROR(VLOOKUP(F519,'RR-3.1-5TH'!$A$12:'RR-3.1-5TH'!$BN$111,21,0),"")</f>
        <v>22</v>
      </c>
      <c r="K537" s="54">
        <f ca="1">IFERROR(VLOOKUP(F519,'RR-3.1-5TH'!$A$12:'RR-3.1-5TH'!$BN$111,22,0),"")</f>
        <v>0</v>
      </c>
      <c r="L537" s="55">
        <f ca="1" t="shared" si="27"/>
        <v>23</v>
      </c>
      <c r="M537" s="56" t="str">
        <f ca="1">IF(F519&gt;ENTRY!$D$24,"",IF(L537=0,"Ab",IF(L537&gt;80,"A",IF(L537&gt;60,"B",IF(L537&gt;44,"C",IF(L537&gt;=33,"D",IF(L537&lt;=32,"E","")))))))</f>
        <v>E</v>
      </c>
      <c r="N537" s="58"/>
      <c r="O537" s="58"/>
      <c r="P537" s="59"/>
      <c r="Q537" s="19"/>
      <c r="R537" s="11"/>
    </row>
    <row r="538" s="1" customFormat="1" ht="21.95" customHeight="1" spans="1:18">
      <c r="A538" s="7"/>
      <c r="B538" s="12"/>
      <c r="C538" s="33"/>
      <c r="D538" s="52" t="s">
        <v>718</v>
      </c>
      <c r="E538" s="53"/>
      <c r="F538" s="54">
        <f ca="1">IFERROR(VLOOKUP(F519,'RR-3.1-5TH'!$A$12:'RR-3.1-5TH'!$BN$111,25,0),"")</f>
        <v>2</v>
      </c>
      <c r="G538" s="54">
        <f ca="1">IFERROR(VLOOKUP(F519,'RR-3.1-5TH'!$A$12:'RR-3.1-5TH'!$BN$111,26,0),"")</f>
        <v>0</v>
      </c>
      <c r="H538" s="54">
        <f ca="1">IFERROR(VLOOKUP(F519,'RR-3.1-5TH'!$A$12:'RR-3.1-5TH'!$BN$111,27,0),"")</f>
        <v>0</v>
      </c>
      <c r="I538" s="54">
        <f ca="1">IFERROR(VLOOKUP(F519,'RR-3.1-5TH'!$A$12:'RR-3.1-5TH'!$BN$111,28,0),"")</f>
        <v>0</v>
      </c>
      <c r="J538" s="54">
        <f ca="1">IFERROR(VLOOKUP(F519,'RR-3.1-5TH'!$A$12:'RR-3.1-5TH'!$BN$111,29,0),"")</f>
        <v>22</v>
      </c>
      <c r="K538" s="54">
        <f ca="1">IFERROR(VLOOKUP(F519,'RR-3.1-5TH'!$A$12:'RR-3.1-5TH'!$BN$111,30,0),"")</f>
        <v>0</v>
      </c>
      <c r="L538" s="55">
        <f ca="1" t="shared" si="27"/>
        <v>24</v>
      </c>
      <c r="M538" s="56" t="str">
        <f ca="1">IF(F519&gt;ENTRY!$D$24,"",IF(L538=0,"Ab",IF(L538&gt;80,"A",IF(L538&gt;60,"B",IF(L538&gt;44,"C",IF(L538&gt;=33,"D",IF(L538&lt;=32,"E","")))))))</f>
        <v>E</v>
      </c>
      <c r="N538" s="29"/>
      <c r="O538" s="29"/>
      <c r="P538" s="19"/>
      <c r="Q538" s="19"/>
      <c r="R538" s="11"/>
    </row>
    <row r="539" s="1" customFormat="1" ht="21.95" customHeight="1" spans="1:18">
      <c r="A539" s="7"/>
      <c r="B539" s="12"/>
      <c r="C539" s="33"/>
      <c r="D539" s="52" t="s">
        <v>719</v>
      </c>
      <c r="E539" s="53"/>
      <c r="F539" s="54">
        <f ca="1">IFERROR(VLOOKUP(F519,'RR-3.1-5TH'!$A$12:'RR-3.1-5TH'!$BN$111,33,0),"")</f>
        <v>2</v>
      </c>
      <c r="G539" s="54">
        <f ca="1">IFERROR(VLOOKUP(F519,'RR-3.1-5TH'!$A$12:'RR-3.1-5TH'!$BN$111,34,0),"")</f>
        <v>0</v>
      </c>
      <c r="H539" s="54">
        <f ca="1">IFERROR(VLOOKUP(F519,'RR-3.1-5TH'!$A$12:'RR-3.1-5TH'!$BN$111,35,0),"")</f>
        <v>0</v>
      </c>
      <c r="I539" s="54">
        <f ca="1">IFERROR(VLOOKUP(F519,'RR-3.1-5TH'!$A$12:'RR-3.1-5TH'!$BN$111,36,0),"")</f>
        <v>0</v>
      </c>
      <c r="J539" s="54">
        <f ca="1">IFERROR(VLOOKUP(F519,'RR-3.1-5TH'!$A$12:'RR-3.1-5TH'!$BN$111,37,0),"")</f>
        <v>21</v>
      </c>
      <c r="K539" s="54">
        <f ca="1">IFERROR(VLOOKUP(F519,'RR-3.1-5TH'!$A$12:'RR-3.1-5TH'!$BN$111,38,0),"")</f>
        <v>0</v>
      </c>
      <c r="L539" s="55">
        <f ca="1" t="shared" si="27"/>
        <v>23</v>
      </c>
      <c r="M539" s="56" t="str">
        <f ca="1">IF(F519&gt;ENTRY!$D$24,"",IF(L539=0,"Ab",IF(L539&gt;80,"A",IF(L539&gt;60,"B",IF(L539&gt;44,"C",IF(L539&gt;=33,"D",IF(L539&lt;=32,"E","")))))))</f>
        <v>E</v>
      </c>
      <c r="N539" s="29"/>
      <c r="O539" s="29"/>
      <c r="P539" s="19"/>
      <c r="Q539" s="19"/>
      <c r="R539" s="11"/>
    </row>
    <row r="540" s="1" customFormat="1" ht="21.95" customHeight="1" spans="1:18">
      <c r="A540" s="7"/>
      <c r="B540" s="12"/>
      <c r="C540" s="33"/>
      <c r="D540" s="52" t="s">
        <v>548</v>
      </c>
      <c r="E540" s="53"/>
      <c r="F540" s="54">
        <f ca="1">IFERROR(VLOOKUP(F519,'RR-3.1-5TH'!$A$12:'RR-3.1-5TH'!$BN$111,41,0),"")</f>
        <v>0</v>
      </c>
      <c r="G540" s="54">
        <f ca="1">IFERROR(VLOOKUP(F519,'RR-3.1-5TH'!$A$12:'RR-3.1-5TH'!$BN$111,42,0),"")</f>
        <v>0</v>
      </c>
      <c r="H540" s="54">
        <f ca="1">IFERROR(VLOOKUP(F519,'RR-3.1-5TH'!$A$12:'RR-3.1-5TH'!$BN$111,43,0),"")</f>
        <v>0</v>
      </c>
      <c r="I540" s="54">
        <f ca="1">IFERROR(VLOOKUP(F519,'RR-3.1-5TH'!$A$12:'RR-3.1-5TH'!$BN$111,44,0),"")</f>
        <v>0</v>
      </c>
      <c r="J540" s="54">
        <f ca="1">IFERROR(VLOOKUP(F519,'RR-3.1-5TH'!$A$12:'RR-3.1-5TH'!$BN$111,45,0),"")</f>
        <v>21</v>
      </c>
      <c r="K540" s="54">
        <f ca="1">IFERROR(VLOOKUP(F519,'RR-3.1-5TH'!$A$12:'RR-3.1-5TH'!$BN$111,46,0),"")</f>
        <v>0</v>
      </c>
      <c r="L540" s="55">
        <f ca="1" t="shared" si="27"/>
        <v>21</v>
      </c>
      <c r="M540" s="56" t="str">
        <f ca="1">IF(F519&gt;ENTRY!$D$24,"",IF(L540=0,"Ab",IF(L540&gt;80,"A",IF(L540&gt;60,"B",IF(L540&gt;44,"C",IF(L540&gt;=33,"D",IF(L540&lt;=32,"E","")))))))</f>
        <v>E</v>
      </c>
      <c r="N540" s="29"/>
      <c r="O540" s="29"/>
      <c r="P540" s="19"/>
      <c r="Q540" s="19"/>
      <c r="R540" s="11"/>
    </row>
    <row r="541" s="1" customFormat="1" ht="21.95" customHeight="1" spans="1:18">
      <c r="A541" s="7"/>
      <c r="B541" s="12"/>
      <c r="C541" s="33"/>
      <c r="D541" s="52" t="s">
        <v>549</v>
      </c>
      <c r="E541" s="53"/>
      <c r="F541" s="54">
        <f ca="1">IFERROR(VLOOKUP(F519,'RR-3.1-5TH'!$A$12:'RR-3.1-5TH'!$BN$111,49,0),"")</f>
        <v>2</v>
      </c>
      <c r="G541" s="54">
        <f ca="1">IFERROR(VLOOKUP(F519,'RR-3.1-5TH'!$A$12:'RR-3.1-5TH'!$BN$111,50,0),"")</f>
        <v>0</v>
      </c>
      <c r="H541" s="54">
        <f ca="1">IFERROR(VLOOKUP(F519,'RR-3.1-5TH'!$A$12:'RR-3.1-5TH'!$BN$111,51,0),"")</f>
        <v>0</v>
      </c>
      <c r="I541" s="54">
        <f ca="1">IFERROR(VLOOKUP(F519,'RR-3.1-5TH'!$A$12:'RR-3.1-5TH'!$BN$111,52,0),"")</f>
        <v>0</v>
      </c>
      <c r="J541" s="54">
        <f ca="1">IFERROR(VLOOKUP(F519,'RR-3.1-5TH'!$A$12:'RR-3.1-5TH'!$BN$111,53,0),"")</f>
        <v>20</v>
      </c>
      <c r="K541" s="54">
        <f ca="1">IFERROR(VLOOKUP(F519,'RR-3.1-5TH'!$A$12:'RR-3.1-5TH'!$BN$111,54,0),"")</f>
        <v>0</v>
      </c>
      <c r="L541" s="55">
        <f ca="1" t="shared" si="27"/>
        <v>22</v>
      </c>
      <c r="M541" s="56" t="str">
        <f ca="1">IF(F519&gt;ENTRY!$D$24,"",IF(L541=0,"Ab",IF(L541&gt;80,"A",IF(L541&gt;60,"B",IF(L541&gt;44,"C",IF(L541&gt;=33,"D",IF(L541&lt;=32,"E","")))))))</f>
        <v>E</v>
      </c>
      <c r="N541" s="57" t="s">
        <v>752</v>
      </c>
      <c r="O541" s="58"/>
      <c r="P541" s="59"/>
      <c r="Q541" s="19"/>
      <c r="R541" s="11"/>
    </row>
    <row r="542" s="1" customFormat="1" ht="21.95" customHeight="1" spans="1:18">
      <c r="A542" s="7"/>
      <c r="B542" s="12"/>
      <c r="C542" s="33"/>
      <c r="D542" s="52" t="s">
        <v>753</v>
      </c>
      <c r="E542" s="53"/>
      <c r="F542" s="60"/>
      <c r="G542" s="54"/>
      <c r="H542" s="54"/>
      <c r="I542" s="54"/>
      <c r="J542" s="54"/>
      <c r="K542" s="54"/>
      <c r="L542" s="55">
        <f t="shared" ref="L542" si="28">SUM(G542:K542)</f>
        <v>0</v>
      </c>
      <c r="M542" s="56" t="str">
        <f>IF(F519&gt;ENTRY!$D$24,"",IF(L542=0,"",IF(L542&gt;79,"A",IF(L542&gt;59,"B",IF(L542&gt;44,"C",IF(L542&gt;=33,"D",IF(L542&lt;=32,"E","")))))))</f>
        <v/>
      </c>
      <c r="N542" s="58"/>
      <c r="O542" s="58"/>
      <c r="P542" s="59"/>
      <c r="Q542" s="19"/>
      <c r="R542" s="11"/>
    </row>
    <row r="543" s="1" customFormat="1" ht="21.95" customHeight="1" spans="1:18">
      <c r="A543" s="7"/>
      <c r="B543" s="12"/>
      <c r="C543" s="33"/>
      <c r="D543" s="45" t="s">
        <v>382</v>
      </c>
      <c r="E543" s="46"/>
      <c r="F543" s="54">
        <f ca="1" t="shared" ref="F543:L543" si="29">IFERROR(SUM(F536:F542),"")</f>
        <v>9</v>
      </c>
      <c r="G543" s="54">
        <f ca="1" t="shared" si="29"/>
        <v>0</v>
      </c>
      <c r="H543" s="54">
        <f ca="1" t="shared" si="29"/>
        <v>0</v>
      </c>
      <c r="I543" s="54">
        <f ca="1" t="shared" si="29"/>
        <v>0</v>
      </c>
      <c r="J543" s="54">
        <f ca="1" t="shared" si="29"/>
        <v>150</v>
      </c>
      <c r="K543" s="54">
        <f ca="1" t="shared" si="29"/>
        <v>0</v>
      </c>
      <c r="L543" s="55">
        <f ca="1" t="shared" si="29"/>
        <v>159</v>
      </c>
      <c r="M543" s="61" t="str">
        <f ca="1">IF(F519&gt;ENTRY!$D$24,"",IF(N544="Ab","Ab",IF(N544&gt;79.5,"A",IF(N544&gt;59.5,"B",IF(N544&gt;44.5,"C",IF(N544&gt;=33,"D",IF(N544&lt;33,"E","")))))))</f>
        <v>E</v>
      </c>
      <c r="N543" s="62"/>
      <c r="O543" s="58"/>
      <c r="P543" s="59"/>
      <c r="Q543" s="19"/>
      <c r="R543" s="11"/>
    </row>
    <row r="544" s="1" customFormat="1" ht="21.95" customHeight="1" spans="1:18">
      <c r="A544" s="7"/>
      <c r="B544" s="12"/>
      <c r="C544" s="33"/>
      <c r="D544" s="63" t="s">
        <v>721</v>
      </c>
      <c r="E544" s="63"/>
      <c r="F544" s="63"/>
      <c r="G544" s="63"/>
      <c r="H544" s="63"/>
      <c r="I544" s="63"/>
      <c r="J544" s="63"/>
      <c r="K544" s="63"/>
      <c r="L544" s="63"/>
      <c r="M544" s="63"/>
      <c r="N544" s="64">
        <f ca="1">IF(L543="Ab","Ab",L543/6)</f>
        <v>26.5</v>
      </c>
      <c r="O544" s="65"/>
      <c r="P544" s="19"/>
      <c r="Q544" s="19"/>
      <c r="R544" s="11"/>
    </row>
    <row r="545" s="1" customFormat="1" ht="21.95" customHeight="1" spans="1:19">
      <c r="A545" s="7"/>
      <c r="B545" s="12"/>
      <c r="C545" s="33"/>
      <c r="D545" s="29" t="s">
        <v>716</v>
      </c>
      <c r="E545" s="18" t="str">
        <f>IFERROR(VLOOKUP(F519,'1to4-2.1-RR'!$A$12:$BG$111,57,0),"")</f>
        <v>PROMOTED</v>
      </c>
      <c r="F545" s="18"/>
      <c r="G545" s="18"/>
      <c r="H545" s="18"/>
      <c r="I545" s="18"/>
      <c r="J545" s="18"/>
      <c r="K545" s="18"/>
      <c r="L545" s="18"/>
      <c r="M545" s="18"/>
      <c r="N545" s="29"/>
      <c r="O545" s="29"/>
      <c r="P545" s="19"/>
      <c r="Q545" s="19"/>
      <c r="R545" s="11"/>
    </row>
    <row r="546" s="1" customFormat="1" ht="9.95" customHeight="1" spans="1:19">
      <c r="A546" s="7"/>
      <c r="B546" s="12"/>
      <c r="C546" s="33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19"/>
      <c r="Q546" s="19"/>
      <c r="R546" s="11"/>
    </row>
    <row r="547" s="1" customFormat="1" ht="36" spans="1:19">
      <c r="A547" s="7"/>
      <c r="B547" s="12"/>
      <c r="C547" s="33"/>
      <c r="D547" s="66" t="s">
        <v>576</v>
      </c>
      <c r="E547" s="67" t="s">
        <v>754</v>
      </c>
      <c r="F547" s="47">
        <f>IF(F519&gt;ENTRY!$D$24,"",IFERROR(VLOOKUP(F519,PASHEET!$A$4:$CJ$103,88,0),""))</f>
        <v>0</v>
      </c>
      <c r="G547" s="67" t="s">
        <v>755</v>
      </c>
      <c r="H547" s="47">
        <f>IF(F519&gt;ENTRY!$D$24,"",IFERROR(VLOOKUP(F519,PASHEET!$A$4:$CJ$103,87,0),""))</f>
        <v>0</v>
      </c>
      <c r="I547" s="68" t="s">
        <v>756</v>
      </c>
      <c r="J547" s="69" t="str">
        <f>IF(F519&gt;ENTRY!$D$24,"",IFERROR(IF(F519&gt;0,H547/F547*100),""))</f>
        <v/>
      </c>
      <c r="K547" s="60" t="s">
        <v>757</v>
      </c>
      <c r="L547" s="70">
        <f ca="1">IF(F519&gt;ENTRY!$D$24,"",IFERROR(L543/600*100,""))</f>
        <v>26.5</v>
      </c>
      <c r="M547" s="47" t="str">
        <f ca="1">IF(F519&gt;ENTRY!$D$24,"",IFERROR(L543&amp;" / "&amp;"600",""))</f>
        <v>159 / 600</v>
      </c>
      <c r="N547" s="29"/>
      <c r="O547" s="29"/>
      <c r="P547" s="19"/>
      <c r="Q547" s="19"/>
      <c r="R547" s="11"/>
    </row>
    <row r="548" s="1" customFormat="1" ht="9.95" customHeight="1" spans="1:19">
      <c r="A548" s="7"/>
      <c r="B548" s="12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1"/>
      <c r="Q548" s="19"/>
      <c r="R548" s="11"/>
    </row>
    <row r="549" s="1" customFormat="1" ht="9.95" customHeight="1" spans="1:19">
      <c r="A549" s="7"/>
      <c r="B549" s="12"/>
      <c r="C549" s="71"/>
      <c r="D549" s="71"/>
      <c r="E549" s="71"/>
      <c r="F549" s="29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19"/>
      <c r="R549" s="11"/>
    </row>
    <row r="550" s="1" customFormat="1" ht="9.95" customHeight="1" spans="1:19">
      <c r="A550" s="7"/>
      <c r="B550" s="12"/>
      <c r="C550" s="29"/>
      <c r="D550" s="29"/>
      <c r="E550" s="29"/>
      <c r="F550" s="72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19"/>
      <c r="R550" s="11"/>
    </row>
    <row r="551" s="1" customFormat="1" ht="9.95" customHeight="1" spans="1:19">
      <c r="A551" s="7"/>
      <c r="B551" s="12"/>
      <c r="C551" s="30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2"/>
      <c r="Q551" s="19"/>
      <c r="R551" s="11"/>
    </row>
    <row r="552" s="1" customFormat="1" ht="21.95" customHeight="1" spans="1:19">
      <c r="A552" s="7"/>
      <c r="B552" s="12"/>
      <c r="C552" s="73" t="s">
        <v>7</v>
      </c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74"/>
      <c r="Q552" s="19"/>
      <c r="R552" s="11"/>
      <c r="S552" s="2"/>
    </row>
    <row r="553" s="1" customFormat="1" ht="21.95" customHeight="1" spans="1:19">
      <c r="A553" s="7"/>
      <c r="B553" s="12"/>
      <c r="C553" s="33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19"/>
      <c r="Q553" s="19"/>
      <c r="R553" s="11"/>
    </row>
    <row r="554" s="1" customFormat="1" ht="21.95" customHeight="1" spans="1:19">
      <c r="A554" s="7"/>
      <c r="B554" s="12"/>
      <c r="C554" s="75" t="str">
        <f>"SESSION-"&amp;ENTRY!$D$11</f>
        <v>SESSION-2026-27</v>
      </c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76"/>
      <c r="Q554" s="19"/>
      <c r="R554" s="11"/>
    </row>
    <row r="555" s="1" customFormat="1" ht="18" customHeight="1" spans="1:19">
      <c r="A555" s="7"/>
      <c r="B555" s="12"/>
      <c r="C555" s="33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19"/>
      <c r="Q555" s="19"/>
      <c r="R555" s="11"/>
    </row>
    <row r="556" s="1" customFormat="1" ht="21.95" customHeight="1" spans="1:19">
      <c r="A556" s="7"/>
      <c r="B556" s="12"/>
      <c r="C556" s="33"/>
      <c r="D556" s="77" t="s">
        <v>758</v>
      </c>
      <c r="E556" s="77"/>
      <c r="F556" s="78" t="str">
        <f>IFERROR(PROPER(VLOOKUP(F519,STUDENT!$A$2:$BP$101,5,0)),"")</f>
        <v>Piyush Kumar</v>
      </c>
      <c r="G556" s="78"/>
      <c r="H556" s="78"/>
      <c r="I556" s="78"/>
      <c r="J556" s="78"/>
      <c r="K556" s="78"/>
      <c r="L556" s="78"/>
      <c r="M556" s="78"/>
      <c r="N556" s="79" t="s">
        <v>759</v>
      </c>
      <c r="O556" s="79"/>
      <c r="P556" s="19"/>
      <c r="Q556" s="19"/>
      <c r="R556" s="11"/>
    </row>
    <row r="557" s="1" customFormat="1" ht="21.95" customHeight="1" spans="1:19">
      <c r="A557" s="7"/>
      <c r="B557" s="12"/>
      <c r="C557" s="33"/>
      <c r="D557" s="80" t="s">
        <v>760</v>
      </c>
      <c r="E557" s="81" t="str">
        <f>IFERROR(PROPER(VLOOKUP(F519,STUDENT!$A$2:$BP$101,9,0)),"")</f>
        <v>Usha Prajapati</v>
      </c>
      <c r="F557" s="81"/>
      <c r="G557" s="81"/>
      <c r="H557" s="80" t="s">
        <v>761</v>
      </c>
      <c r="I557" s="82" t="str">
        <f>IFERROR(PROPER(VLOOKUP(F519,STUDENT!$A$2:$BP$101,8,0)),"")</f>
        <v>Munna Lal</v>
      </c>
      <c r="J557" s="82"/>
      <c r="K557" s="82"/>
      <c r="L557" s="82"/>
      <c r="M557" s="80" t="s">
        <v>762</v>
      </c>
      <c r="N557" s="83" t="str">
        <f>IFERROR(VLOOKUP(F519,STUDENT!$A$2:$BP$101,59,0),"")</f>
        <v/>
      </c>
      <c r="O557" s="83"/>
      <c r="P557" s="19"/>
      <c r="Q557" s="19"/>
      <c r="R557" s="11"/>
    </row>
    <row r="558" s="1" customFormat="1" ht="21.95" customHeight="1" spans="1:19">
      <c r="A558" s="7"/>
      <c r="B558" s="12"/>
      <c r="C558" s="33"/>
      <c r="D558" s="77" t="str">
        <f>"has    completed     his  /  her     primary     level     education    in    the    year    "&amp;RIGHT(ENTRY!$D524,4)&amp;"    from    ( School    Name )"</f>
        <v>has    completed     his  /  her     primary     level     education    in    the    year        from    ( School    Name )</v>
      </c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19"/>
      <c r="Q558" s="19"/>
      <c r="R558" s="11"/>
    </row>
    <row r="559" s="1" customFormat="1" ht="21.95" customHeight="1" spans="1:19">
      <c r="A559" s="7"/>
      <c r="B559" s="12"/>
      <c r="C559" s="33"/>
      <c r="D559" s="81" t="str">
        <f>IF(F519&gt;0,ENTRY!$D$6,"")</f>
        <v>MCP NITHARI NO 1 BOYS</v>
      </c>
      <c r="E559" s="81"/>
      <c r="F559" s="81"/>
      <c r="G559" s="81"/>
      <c r="H559" s="81"/>
      <c r="I559" s="81"/>
      <c r="J559" s="81"/>
      <c r="K559" s="81"/>
      <c r="L559" s="81"/>
      <c r="M559" s="80" t="s">
        <v>763</v>
      </c>
      <c r="N559" s="84">
        <f>IF(F519&gt;0,ENTRY!$D$7,"")</f>
        <v>0</v>
      </c>
      <c r="O559" s="84"/>
      <c r="P559" s="85" t="s">
        <v>727</v>
      </c>
      <c r="Q559" s="19"/>
      <c r="R559" s="11"/>
    </row>
    <row r="560" s="1" customFormat="1" ht="21.95" customHeight="1" spans="1:19">
      <c r="A560" s="7"/>
      <c r="B560" s="12"/>
      <c r="C560" s="33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19"/>
      <c r="Q560" s="19"/>
      <c r="R560" s="11"/>
    </row>
    <row r="561" s="1" customFormat="1" ht="21.95" customHeight="1" spans="1:18">
      <c r="A561" s="7"/>
      <c r="B561" s="12"/>
      <c r="C561" s="33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19"/>
      <c r="Q561" s="19"/>
      <c r="R561" s="11"/>
    </row>
    <row r="562" s="1" customFormat="1" ht="21.95" customHeight="1" spans="1:18">
      <c r="A562" s="7"/>
      <c r="B562" s="12"/>
      <c r="C562" s="33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19"/>
      <c r="Q562" s="19"/>
      <c r="R562" s="11"/>
    </row>
    <row r="563" s="1" customFormat="1" ht="21.95" customHeight="1" spans="1:18">
      <c r="A563" s="7"/>
      <c r="B563" s="12"/>
      <c r="C563" s="33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19"/>
      <c r="Q563" s="19"/>
      <c r="R563" s="11"/>
    </row>
    <row r="564" s="1" customFormat="1" ht="21.95" customHeight="1" spans="1:18">
      <c r="A564" s="7"/>
      <c r="B564" s="12"/>
      <c r="C564" s="33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19"/>
      <c r="Q564" s="19"/>
      <c r="R564" s="11"/>
    </row>
    <row r="565" s="1" customFormat="1" ht="21.95" customHeight="1" spans="1:18">
      <c r="A565" s="7"/>
      <c r="B565" s="12"/>
      <c r="C565" s="33"/>
      <c r="D565" s="80" t="s">
        <v>728</v>
      </c>
      <c r="E565" s="86">
        <f>ENTRY!$D$27</f>
        <v>46102</v>
      </c>
      <c r="F565" s="86"/>
      <c r="G565" s="29"/>
      <c r="H565" s="29"/>
      <c r="I565" s="29"/>
      <c r="J565" s="29"/>
      <c r="K565" s="29"/>
      <c r="L565" s="29"/>
      <c r="M565" s="87" t="s">
        <v>730</v>
      </c>
      <c r="N565" s="87"/>
      <c r="O565" s="87"/>
      <c r="P565" s="19"/>
      <c r="Q565" s="19"/>
      <c r="R565" s="11"/>
    </row>
    <row r="566" s="1" customFormat="1" ht="21.95" customHeight="1" spans="1:18">
      <c r="A566" s="7"/>
      <c r="B566" s="12"/>
      <c r="C566" s="33"/>
      <c r="D566" s="80" t="s">
        <v>731</v>
      </c>
      <c r="E566" s="88" t="str">
        <f>PROPER(ENTRY!$D$28)</f>
        <v>New Delhi</v>
      </c>
      <c r="F566" s="88"/>
      <c r="G566" s="29"/>
      <c r="H566" s="29"/>
      <c r="I566" s="29"/>
      <c r="J566" s="29"/>
      <c r="K566" s="29"/>
      <c r="L566" s="29"/>
      <c r="M566" s="89" t="s">
        <v>732</v>
      </c>
      <c r="N566" s="89"/>
      <c r="O566" s="89"/>
      <c r="P566" s="19"/>
      <c r="Q566" s="19"/>
      <c r="R566" s="11"/>
    </row>
    <row r="567" s="1" customFormat="1" ht="21.95" customHeight="1" spans="1:18">
      <c r="A567" s="7"/>
      <c r="B567" s="12"/>
      <c r="C567" s="90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2"/>
      <c r="Q567" s="14"/>
      <c r="R567" s="11"/>
    </row>
    <row r="568" s="1" customFormat="1" ht="5.1" customHeight="1" spans="1:18">
      <c r="A568" s="7"/>
      <c r="B568" s="90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2"/>
      <c r="R568" s="11"/>
    </row>
    <row r="569" s="1" customFormat="1" ht="5.1" customHeight="1" spans="1:18">
      <c r="A569" s="93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5"/>
    </row>
    <row r="570" s="2" customFormat="1" ht="9.95" customHeight="1"/>
    <row r="571" s="1" customFormat="1" ht="5.1" customHeight="1" spans="1:18">
      <c r="A571" s="4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6"/>
    </row>
    <row r="572" s="1" customFormat="1" ht="15" customHeight="1" spans="1:18">
      <c r="A572" s="7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0"/>
      <c r="R572" s="11"/>
    </row>
    <row r="573" s="1" customFormat="1" ht="21.95" customHeight="1" spans="1:18">
      <c r="A573" s="7"/>
      <c r="B573" s="12"/>
      <c r="C573" s="13" t="s">
        <v>7</v>
      </c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4"/>
      <c r="R573" s="11"/>
    </row>
    <row r="574" s="1" customFormat="1" ht="21.95" customHeight="1" spans="1:18">
      <c r="A574" s="7"/>
      <c r="B574" s="1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14"/>
      <c r="R574" s="11"/>
    </row>
    <row r="575" s="1" customFormat="1" ht="21.95" customHeight="1" spans="1:18">
      <c r="A575" s="7"/>
      <c r="B575" s="12"/>
      <c r="C575" s="15" t="str">
        <f>"SESSION-"&amp;ENTRY!$D$11</f>
        <v>SESSION-2026-27</v>
      </c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4"/>
      <c r="R575" s="11"/>
    </row>
    <row r="576" s="1" customFormat="1" ht="21.95" customHeight="1" spans="1:18">
      <c r="A576" s="7"/>
      <c r="B576" s="12"/>
      <c r="C576" s="2"/>
      <c r="D576" s="2"/>
      <c r="E576" s="2"/>
      <c r="F576" s="16">
        <f>F519+1</f>
        <v>11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14"/>
      <c r="R576" s="11"/>
    </row>
    <row r="577" s="1" customFormat="1" ht="21.95" customHeight="1" spans="1:18">
      <c r="A577" s="7"/>
      <c r="B577" s="12"/>
      <c r="C577" s="17" t="s">
        <v>392</v>
      </c>
      <c r="D577" s="17"/>
      <c r="E577" s="17"/>
      <c r="F577" s="18" t="str">
        <f>IF(F576&gt;0,ENTRY!$D$6,"")</f>
        <v>MCP NITHARI NO 1 BOYS</v>
      </c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9"/>
      <c r="R577" s="11"/>
    </row>
    <row r="578" s="1" customFormat="1" ht="21.95" customHeight="1" spans="1:18">
      <c r="A578" s="7"/>
      <c r="B578" s="12"/>
      <c r="C578" s="17" t="s">
        <v>393</v>
      </c>
      <c r="D578" s="17"/>
      <c r="E578" s="17"/>
      <c r="F578" s="18">
        <f>IF(F576&gt;0,ENTRY!$D$7,"")</f>
        <v>0</v>
      </c>
      <c r="G578" s="18"/>
      <c r="H578" s="20" t="s">
        <v>702</v>
      </c>
      <c r="I578" s="20"/>
      <c r="J578" s="21">
        <f>IF(F576&gt;0,ENTRY!$D$10,"")</f>
        <v>40</v>
      </c>
      <c r="K578" s="20" t="s">
        <v>703</v>
      </c>
      <c r="L578" s="22" t="str">
        <f>IF(F576&gt;0,ENTRY!$D$5,"")</f>
        <v>ROHINI ZONE</v>
      </c>
      <c r="M578" s="22"/>
      <c r="N578" s="22"/>
      <c r="O578" s="22"/>
      <c r="P578" s="22"/>
      <c r="Q578" s="19"/>
      <c r="R578" s="11"/>
    </row>
    <row r="579" s="1" customFormat="1" ht="21.95" customHeight="1" spans="1:18">
      <c r="A579" s="7"/>
      <c r="B579" s="12"/>
      <c r="C579" s="17" t="s">
        <v>706</v>
      </c>
      <c r="D579" s="17"/>
      <c r="E579" s="17"/>
      <c r="F579" s="23" t="str">
        <f>IFERROR(VLOOKUP(F576,STUDENT!$A$2:$BP$101,5,0),"")</f>
        <v>MD MAHTAB</v>
      </c>
      <c r="G579" s="23"/>
      <c r="H579" s="23"/>
      <c r="I579" s="23"/>
      <c r="J579" s="23"/>
      <c r="K579" s="23"/>
      <c r="L579" s="20" t="s">
        <v>707</v>
      </c>
      <c r="M579" s="20"/>
      <c r="N579" s="24" t="str">
        <f>IF(F576&gt;0,ENTRY!$D$20&amp;"-"&amp;ENTRY!$D$21,"")</f>
        <v>III-A</v>
      </c>
      <c r="O579" s="24"/>
      <c r="P579" s="24"/>
      <c r="Q579" s="19"/>
      <c r="R579" s="11"/>
    </row>
    <row r="580" s="1" customFormat="1" ht="21.95" customHeight="1" spans="1:18">
      <c r="A580" s="7"/>
      <c r="B580" s="12"/>
      <c r="C580" s="17" t="s">
        <v>708</v>
      </c>
      <c r="D580" s="17"/>
      <c r="E580" s="17"/>
      <c r="F580" s="25">
        <f>IFERROR(VLOOKUP(F576,STUDENT!$A$2:$BP$101,6,0),"")</f>
        <v>14775</v>
      </c>
      <c r="G580" s="25"/>
      <c r="H580" s="26" t="s">
        <v>709</v>
      </c>
      <c r="I580" s="27" t="str">
        <f>IFERROR(VLOOKUP(F576,STUDENT!$A$2:$BP$101,59,0),"")</f>
        <v/>
      </c>
      <c r="J580" s="27"/>
      <c r="K580" s="20" t="s">
        <v>710</v>
      </c>
      <c r="L580" s="20"/>
      <c r="M580" s="28">
        <f>IFERROR(VLOOKUP(F576,STUDENT!$A$2:$BP$101,20,0),"")</f>
        <v>9667817945</v>
      </c>
      <c r="N580" s="28"/>
      <c r="O580" s="28"/>
      <c r="P580" s="28"/>
      <c r="Q580" s="19"/>
      <c r="R580" s="11"/>
    </row>
    <row r="581" s="1" customFormat="1" ht="21.95" customHeight="1" spans="1:18">
      <c r="A581" s="7"/>
      <c r="B581" s="12"/>
      <c r="C581" s="17" t="s">
        <v>711</v>
      </c>
      <c r="D581" s="17"/>
      <c r="E581" s="17"/>
      <c r="F581" s="23" t="str">
        <f>IFERROR(VLOOKUP(F576,STUDENT!$A$2:$BP$101,9,0),"")</f>
        <v>MOVINA PRAVEEN</v>
      </c>
      <c r="G581" s="23"/>
      <c r="H581" s="23"/>
      <c r="I581" s="23"/>
      <c r="J581" s="17" t="s">
        <v>620</v>
      </c>
      <c r="K581" s="17"/>
      <c r="L581" s="23" t="str">
        <f>IFERROR(VLOOKUP(F576,STUDENT!$A$2:$BP$101,8,0),"")</f>
        <v>MD ASRAF</v>
      </c>
      <c r="M581" s="23"/>
      <c r="N581" s="23"/>
      <c r="O581" s="23"/>
      <c r="P581" s="23"/>
      <c r="Q581" s="19"/>
      <c r="R581" s="11"/>
    </row>
    <row r="582" s="1" customFormat="1" ht="21.95" customHeight="1" spans="1:18">
      <c r="A582" s="7"/>
      <c r="B582" s="12"/>
      <c r="C582" s="17" t="s">
        <v>712</v>
      </c>
      <c r="D582" s="17"/>
      <c r="E582" s="17"/>
      <c r="F582" s="23" t="str">
        <f>IFERROR(VLOOKUP(F576,STUDENT!$A$2:$BP$101,22,0),"")</f>
        <v>F 172 INDER INCLAVE 2</v>
      </c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19"/>
      <c r="R582" s="11"/>
    </row>
    <row r="583" s="1" customFormat="1" ht="9.95" customHeight="1" spans="1:18">
      <c r="A583" s="7"/>
      <c r="B583" s="12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19"/>
      <c r="R583" s="11"/>
    </row>
    <row r="584" s="1" customFormat="1" ht="9.95" customHeight="1" spans="1:18">
      <c r="A584" s="7"/>
      <c r="B584" s="12"/>
      <c r="C584" s="30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2"/>
      <c r="Q584" s="19"/>
      <c r="R584" s="11"/>
    </row>
    <row r="585" s="1" customFormat="1" ht="21.95" customHeight="1" spans="1:18">
      <c r="A585" s="7"/>
      <c r="B585" s="12"/>
      <c r="C585" s="33"/>
      <c r="D585" s="34" t="s">
        <v>713</v>
      </c>
      <c r="E585" s="20" t="s">
        <v>714</v>
      </c>
      <c r="F585" s="35" t="str">
        <f>"Level - "&amp;IFERROR(VLOOKUP(F576,FLN!$A$4:$K$103,9,0),"")</f>
        <v>Level - </v>
      </c>
      <c r="G585" s="36"/>
      <c r="H585" s="37" t="s">
        <v>715</v>
      </c>
      <c r="I585" s="20"/>
      <c r="J585" s="35" t="str">
        <f>"Level - "&amp;IFERROR(VLOOKUP(F576,FLN!$A$4:$K$103,11,0),"")</f>
        <v>Level - </v>
      </c>
      <c r="K585" s="36"/>
      <c r="L585" s="37" t="s">
        <v>408</v>
      </c>
      <c r="M585" s="20"/>
      <c r="N585" s="35" t="str">
        <f>"Level - "&amp;IFERROR(VLOOKUP(F576,FLN!$A$4:$K$103,10,0),"")</f>
        <v>Level - </v>
      </c>
      <c r="O585" s="36"/>
      <c r="P585" s="19"/>
      <c r="Q585" s="19"/>
      <c r="R585" s="11"/>
    </row>
    <row r="586" s="1" customFormat="1" ht="21.95" customHeight="1" spans="1:18">
      <c r="A586" s="7"/>
      <c r="B586" s="12"/>
      <c r="C586" s="33"/>
      <c r="D586" s="38"/>
      <c r="E586" s="20" t="s">
        <v>716</v>
      </c>
      <c r="F586" s="18" t="str">
        <f ca="1">IF(L600&gt;197,"PERFORMED WELL","")</f>
        <v/>
      </c>
      <c r="G586" s="18"/>
      <c r="H586" s="18"/>
      <c r="I586" s="18"/>
      <c r="J586" s="18"/>
      <c r="K586" s="18"/>
      <c r="L586" s="18"/>
      <c r="M586" s="18"/>
      <c r="N586" s="18"/>
      <c r="O586" s="18"/>
      <c r="P586" s="19"/>
      <c r="Q586" s="19"/>
      <c r="R586" s="11"/>
    </row>
    <row r="587" s="1" customFormat="1" ht="9.95" customHeight="1" spans="1:18">
      <c r="A587" s="7"/>
      <c r="B587" s="12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1"/>
      <c r="Q587" s="19"/>
      <c r="R587" s="11"/>
    </row>
    <row r="588" s="1" customFormat="1" ht="9.95" customHeight="1" spans="1:18">
      <c r="A588" s="7"/>
      <c r="B588" s="12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19"/>
      <c r="R588" s="11"/>
    </row>
    <row r="589" s="1" customFormat="1" ht="9.95" customHeight="1" spans="1:18">
      <c r="A589" s="7"/>
      <c r="B589" s="12"/>
      <c r="C589" s="30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2"/>
      <c r="Q589" s="19"/>
      <c r="R589" s="11"/>
    </row>
    <row r="590" s="1" customFormat="1" ht="21.95" customHeight="1" spans="1:18">
      <c r="A590" s="7"/>
      <c r="B590" s="12"/>
      <c r="C590" s="33"/>
      <c r="D590" s="35"/>
      <c r="E590" s="24"/>
      <c r="F590" s="42" t="s">
        <v>717</v>
      </c>
      <c r="G590" s="42"/>
      <c r="H590" s="42"/>
      <c r="I590" s="42"/>
      <c r="J590" s="42"/>
      <c r="K590" s="42"/>
      <c r="L590" s="43"/>
      <c r="M590" s="44"/>
      <c r="N590" s="29"/>
      <c r="O590" s="29"/>
      <c r="P590" s="19"/>
      <c r="Q590" s="19"/>
      <c r="R590" s="11"/>
    </row>
    <row r="591" s="1" customFormat="1" ht="21.95" customHeight="1" spans="1:18">
      <c r="A591" s="7"/>
      <c r="B591" s="12"/>
      <c r="C591" s="33"/>
      <c r="D591" s="45"/>
      <c r="E591" s="46"/>
      <c r="F591" s="47" t="s">
        <v>541</v>
      </c>
      <c r="G591" s="47" t="s">
        <v>542</v>
      </c>
      <c r="H591" s="47" t="s">
        <v>543</v>
      </c>
      <c r="I591" s="47" t="s">
        <v>544</v>
      </c>
      <c r="J591" s="47" t="s">
        <v>561</v>
      </c>
      <c r="K591" s="48" t="s">
        <v>750</v>
      </c>
      <c r="L591" s="47" t="s">
        <v>382</v>
      </c>
      <c r="M591" s="49" t="s">
        <v>546</v>
      </c>
      <c r="N591" s="29"/>
      <c r="O591" s="29"/>
      <c r="P591" s="19"/>
      <c r="Q591" s="19"/>
      <c r="R591" s="11"/>
    </row>
    <row r="592" s="1" customFormat="1" ht="21.95" customHeight="1" spans="1:18">
      <c r="A592" s="7"/>
      <c r="B592" s="12"/>
      <c r="C592" s="33"/>
      <c r="D592" s="45" t="s">
        <v>652</v>
      </c>
      <c r="E592" s="46"/>
      <c r="F592" s="50">
        <v>10</v>
      </c>
      <c r="G592" s="50">
        <v>10</v>
      </c>
      <c r="H592" s="50">
        <v>10</v>
      </c>
      <c r="I592" s="50">
        <v>10</v>
      </c>
      <c r="J592" s="50">
        <v>60</v>
      </c>
      <c r="K592" s="51"/>
      <c r="L592" s="50">
        <v>100</v>
      </c>
      <c r="M592" s="49"/>
      <c r="N592" s="29"/>
      <c r="O592" s="29"/>
      <c r="P592" s="19"/>
      <c r="Q592" s="19"/>
      <c r="R592" s="11"/>
    </row>
    <row r="593" s="1" customFormat="1" ht="21.95" customHeight="1" spans="1:18">
      <c r="A593" s="7"/>
      <c r="B593" s="12"/>
      <c r="C593" s="33"/>
      <c r="D593" s="52" t="s">
        <v>751</v>
      </c>
      <c r="E593" s="53"/>
      <c r="F593" s="54">
        <f ca="1">IFERROR(VLOOKUP(F576,'RR-3.1-5TH'!$A$12:'RR-3.1-5TH'!$BN$111,9,0),"")</f>
        <v>0</v>
      </c>
      <c r="G593" s="54">
        <f ca="1">IFERROR(VLOOKUP(F576,'RR-3.1-5TH'!$A$12:'RR-3.1-5TH'!$BN$111,10,0),"")</f>
        <v>0</v>
      </c>
      <c r="H593" s="54">
        <f ca="1">IFERROR(VLOOKUP(F576,'RR-3.1-5TH'!$A$12:'RR-3.1-5TH'!$BN$111,11,0),"")</f>
        <v>0</v>
      </c>
      <c r="I593" s="54">
        <f ca="1">IFERROR(VLOOKUP(F576,'RR-3.1-5TH'!$A$12:'RR-3.1-5TH'!$BN$111,12,0),"")</f>
        <v>0</v>
      </c>
      <c r="J593" s="54">
        <f ca="1">IFERROR(VLOOKUP(F576,'RR-3.1-5TH'!$A$12:'RR-3.1-5TH'!$BN$111,13,0),"")</f>
        <v>35</v>
      </c>
      <c r="K593" s="54">
        <f ca="1">IFERROR(VLOOKUP(F576,'RR-3.1-5TH'!$A$12:'RR-3.1-5TH'!$BN$111,14,0),"")</f>
        <v>0</v>
      </c>
      <c r="L593" s="55">
        <f ca="1" t="shared" ref="L593:L598" si="30">SUM(F593,G593,H593,I593,J593,K593)</f>
        <v>35</v>
      </c>
      <c r="M593" s="56" t="str">
        <f ca="1">IF(F576&gt;ENTRY!$D$24,"",IF(L593=0,"Ab",IF(L593&gt;80,"A",IF(L593&gt;60,"B",IF(L593&gt;44,"C",IF(L593&gt;=33,"D",IF(L593&lt;=32,"E","")))))))</f>
        <v>D</v>
      </c>
      <c r="N593" s="57" t="s">
        <v>729</v>
      </c>
      <c r="O593" s="58"/>
      <c r="P593" s="59"/>
      <c r="Q593" s="19"/>
      <c r="R593" s="11"/>
    </row>
    <row r="594" s="1" customFormat="1" ht="21.95" customHeight="1" spans="1:18">
      <c r="A594" s="7"/>
      <c r="B594" s="12"/>
      <c r="C594" s="33"/>
      <c r="D594" s="52" t="s">
        <v>513</v>
      </c>
      <c r="E594" s="53"/>
      <c r="F594" s="54">
        <f ca="1">IFERROR(VLOOKUP(F576,'RR-3.1-5TH'!$A$12:'RR-3.1-5TH'!$BN$111,17,0),"")</f>
        <v>0</v>
      </c>
      <c r="G594" s="54">
        <f ca="1">IFERROR(VLOOKUP(F576,'RR-3.1-5TH'!$A$12:'RR-3.1-5TH'!$BN$111,18,0),"")</f>
        <v>0</v>
      </c>
      <c r="H594" s="54">
        <f ca="1">IFERROR(VLOOKUP(F576,'RR-3.1-5TH'!$A$12:'RR-3.1-5TH'!$BN$111,19,0),"")</f>
        <v>0</v>
      </c>
      <c r="I594" s="54">
        <f ca="1">IFERROR(VLOOKUP(F576,'RR-3.1-5TH'!$A$12:'RR-3.1-5TH'!$BN$111,20,0),"")</f>
        <v>0</v>
      </c>
      <c r="J594" s="54">
        <f ca="1">IFERROR(VLOOKUP(F576,'RR-3.1-5TH'!$A$12:'RR-3.1-5TH'!$BN$111,21,0),"")</f>
        <v>12</v>
      </c>
      <c r="K594" s="54">
        <f ca="1">IFERROR(VLOOKUP(F576,'RR-3.1-5TH'!$A$12:'RR-3.1-5TH'!$BN$111,22,0),"")</f>
        <v>0</v>
      </c>
      <c r="L594" s="55">
        <f ca="1" t="shared" si="30"/>
        <v>12</v>
      </c>
      <c r="M594" s="56" t="str">
        <f ca="1">IF(F576&gt;ENTRY!$D$24,"",IF(L594=0,"Ab",IF(L594&gt;80,"A",IF(L594&gt;60,"B",IF(L594&gt;44,"C",IF(L594&gt;=33,"D",IF(L594&lt;=32,"E","")))))))</f>
        <v>E</v>
      </c>
      <c r="N594" s="58"/>
      <c r="O594" s="58"/>
      <c r="P594" s="59"/>
      <c r="Q594" s="19"/>
      <c r="R594" s="11"/>
    </row>
    <row r="595" s="1" customFormat="1" ht="21.95" customHeight="1" spans="1:18">
      <c r="A595" s="7"/>
      <c r="B595" s="12"/>
      <c r="C595" s="33"/>
      <c r="D595" s="52" t="s">
        <v>718</v>
      </c>
      <c r="E595" s="53"/>
      <c r="F595" s="54">
        <f ca="1">IFERROR(VLOOKUP(F576,'RR-3.1-5TH'!$A$12:'RR-3.1-5TH'!$BN$111,25,0),"")</f>
        <v>0</v>
      </c>
      <c r="G595" s="54">
        <f ca="1">IFERROR(VLOOKUP(F576,'RR-3.1-5TH'!$A$12:'RR-3.1-5TH'!$BN$111,26,0),"")</f>
        <v>0</v>
      </c>
      <c r="H595" s="54">
        <f ca="1">IFERROR(VLOOKUP(F576,'RR-3.1-5TH'!$A$12:'RR-3.1-5TH'!$BN$111,27,0),"")</f>
        <v>0</v>
      </c>
      <c r="I595" s="54">
        <f ca="1">IFERROR(VLOOKUP(F576,'RR-3.1-5TH'!$A$12:'RR-3.1-5TH'!$BN$111,28,0),"")</f>
        <v>0</v>
      </c>
      <c r="J595" s="54">
        <f ca="1">IFERROR(VLOOKUP(F576,'RR-3.1-5TH'!$A$12:'RR-3.1-5TH'!$BN$111,29,0),"")</f>
        <v>17</v>
      </c>
      <c r="K595" s="54">
        <f ca="1">IFERROR(VLOOKUP(F576,'RR-3.1-5TH'!$A$12:'RR-3.1-5TH'!$BN$111,30,0),"")</f>
        <v>0</v>
      </c>
      <c r="L595" s="55">
        <f ca="1" t="shared" si="30"/>
        <v>17</v>
      </c>
      <c r="M595" s="56" t="str">
        <f ca="1">IF(F576&gt;ENTRY!$D$24,"",IF(L595=0,"Ab",IF(L595&gt;80,"A",IF(L595&gt;60,"B",IF(L595&gt;44,"C",IF(L595&gt;=33,"D",IF(L595&lt;=32,"E","")))))))</f>
        <v>E</v>
      </c>
      <c r="N595" s="29"/>
      <c r="O595" s="29"/>
      <c r="P595" s="19"/>
      <c r="Q595" s="19"/>
      <c r="R595" s="11"/>
    </row>
    <row r="596" s="1" customFormat="1" ht="21.95" customHeight="1" spans="1:18">
      <c r="A596" s="7"/>
      <c r="B596" s="12"/>
      <c r="C596" s="33"/>
      <c r="D596" s="52" t="s">
        <v>719</v>
      </c>
      <c r="E596" s="53"/>
      <c r="F596" s="54">
        <f ca="1">IFERROR(VLOOKUP(F576,'RR-3.1-5TH'!$A$12:'RR-3.1-5TH'!$BN$111,33,0),"")</f>
        <v>0</v>
      </c>
      <c r="G596" s="54">
        <f ca="1">IFERROR(VLOOKUP(F576,'RR-3.1-5TH'!$A$12:'RR-3.1-5TH'!$BN$111,34,0),"")</f>
        <v>0</v>
      </c>
      <c r="H596" s="54">
        <f ca="1">IFERROR(VLOOKUP(F576,'RR-3.1-5TH'!$A$12:'RR-3.1-5TH'!$BN$111,35,0),"")</f>
        <v>0</v>
      </c>
      <c r="I596" s="54">
        <f ca="1">IFERROR(VLOOKUP(F576,'RR-3.1-5TH'!$A$12:'RR-3.1-5TH'!$BN$111,36,0),"")</f>
        <v>0</v>
      </c>
      <c r="J596" s="54">
        <f ca="1">IFERROR(VLOOKUP(F576,'RR-3.1-5TH'!$A$12:'RR-3.1-5TH'!$BN$111,37,0),"")</f>
        <v>18</v>
      </c>
      <c r="K596" s="54">
        <f ca="1">IFERROR(VLOOKUP(F576,'RR-3.1-5TH'!$A$12:'RR-3.1-5TH'!$BN$111,38,0),"")</f>
        <v>0</v>
      </c>
      <c r="L596" s="55">
        <f ca="1" t="shared" si="30"/>
        <v>18</v>
      </c>
      <c r="M596" s="56" t="str">
        <f ca="1">IF(F576&gt;ENTRY!$D$24,"",IF(L596=0,"Ab",IF(L596&gt;80,"A",IF(L596&gt;60,"B",IF(L596&gt;44,"C",IF(L596&gt;=33,"D",IF(L596&lt;=32,"E","")))))))</f>
        <v>E</v>
      </c>
      <c r="N596" s="29"/>
      <c r="O596" s="29"/>
      <c r="P596" s="19"/>
      <c r="Q596" s="19"/>
      <c r="R596" s="11"/>
    </row>
    <row r="597" s="1" customFormat="1" ht="21.95" customHeight="1" spans="1:18">
      <c r="A597" s="7"/>
      <c r="B597" s="12"/>
      <c r="C597" s="33"/>
      <c r="D597" s="52" t="s">
        <v>548</v>
      </c>
      <c r="E597" s="53"/>
      <c r="F597" s="54">
        <f ca="1">IFERROR(VLOOKUP(F576,'RR-3.1-5TH'!$A$12:'RR-3.1-5TH'!$BN$111,41,0),"")</f>
        <v>0</v>
      </c>
      <c r="G597" s="54">
        <f ca="1">IFERROR(VLOOKUP(F576,'RR-3.1-5TH'!$A$12:'RR-3.1-5TH'!$BN$111,42,0),"")</f>
        <v>0</v>
      </c>
      <c r="H597" s="54">
        <f ca="1">IFERROR(VLOOKUP(F576,'RR-3.1-5TH'!$A$12:'RR-3.1-5TH'!$BN$111,43,0),"")</f>
        <v>0</v>
      </c>
      <c r="I597" s="54">
        <f ca="1">IFERROR(VLOOKUP(F576,'RR-3.1-5TH'!$A$12:'RR-3.1-5TH'!$BN$111,44,0),"")</f>
        <v>0</v>
      </c>
      <c r="J597" s="54">
        <f ca="1">IFERROR(VLOOKUP(F576,'RR-3.1-5TH'!$A$12:'RR-3.1-5TH'!$BN$111,45,0),"")</f>
        <v>18</v>
      </c>
      <c r="K597" s="54">
        <f ca="1">IFERROR(VLOOKUP(F576,'RR-3.1-5TH'!$A$12:'RR-3.1-5TH'!$BN$111,46,0),"")</f>
        <v>0</v>
      </c>
      <c r="L597" s="55">
        <f ca="1" t="shared" si="30"/>
        <v>18</v>
      </c>
      <c r="M597" s="56" t="str">
        <f ca="1">IF(F576&gt;ENTRY!$D$24,"",IF(L597=0,"Ab",IF(L597&gt;80,"A",IF(L597&gt;60,"B",IF(L597&gt;44,"C",IF(L597&gt;=33,"D",IF(L597&lt;=32,"E","")))))))</f>
        <v>E</v>
      </c>
      <c r="N597" s="29"/>
      <c r="O597" s="29"/>
      <c r="P597" s="19"/>
      <c r="Q597" s="19"/>
      <c r="R597" s="11"/>
    </row>
    <row r="598" s="1" customFormat="1" ht="21.95" customHeight="1" spans="1:18">
      <c r="A598" s="7"/>
      <c r="B598" s="12"/>
      <c r="C598" s="33"/>
      <c r="D598" s="52" t="s">
        <v>549</v>
      </c>
      <c r="E598" s="53"/>
      <c r="F598" s="54">
        <f ca="1">IFERROR(VLOOKUP(F576,'RR-3.1-5TH'!$A$12:'RR-3.1-5TH'!$BN$111,49,0),"")</f>
        <v>0</v>
      </c>
      <c r="G598" s="54">
        <f ca="1">IFERROR(VLOOKUP(F576,'RR-3.1-5TH'!$A$12:'RR-3.1-5TH'!$BN$111,50,0),"")</f>
        <v>0</v>
      </c>
      <c r="H598" s="54">
        <f ca="1">IFERROR(VLOOKUP(F576,'RR-3.1-5TH'!$A$12:'RR-3.1-5TH'!$BN$111,51,0),"")</f>
        <v>0</v>
      </c>
      <c r="I598" s="54">
        <f ca="1">IFERROR(VLOOKUP(F576,'RR-3.1-5TH'!$A$12:'RR-3.1-5TH'!$BN$111,52,0),"")</f>
        <v>0</v>
      </c>
      <c r="J598" s="54">
        <f ca="1">IFERROR(VLOOKUP(F576,'RR-3.1-5TH'!$A$12:'RR-3.1-5TH'!$BN$111,53,0),"")</f>
        <v>20</v>
      </c>
      <c r="K598" s="54">
        <f ca="1">IFERROR(VLOOKUP(F576,'RR-3.1-5TH'!$A$12:'RR-3.1-5TH'!$BN$111,54,0),"")</f>
        <v>0</v>
      </c>
      <c r="L598" s="55">
        <f ca="1" t="shared" si="30"/>
        <v>20</v>
      </c>
      <c r="M598" s="56" t="str">
        <f ca="1">IF(F576&gt;ENTRY!$D$24,"",IF(L598=0,"Ab",IF(L598&gt;80,"A",IF(L598&gt;60,"B",IF(L598&gt;44,"C",IF(L598&gt;=33,"D",IF(L598&lt;=32,"E","")))))))</f>
        <v>E</v>
      </c>
      <c r="N598" s="57" t="s">
        <v>752</v>
      </c>
      <c r="O598" s="58"/>
      <c r="P598" s="59"/>
      <c r="Q598" s="19"/>
      <c r="R598" s="11"/>
    </row>
    <row r="599" s="1" customFormat="1" ht="21.95" customHeight="1" spans="1:18">
      <c r="A599" s="7"/>
      <c r="B599" s="12"/>
      <c r="C599" s="33"/>
      <c r="D599" s="52" t="s">
        <v>753</v>
      </c>
      <c r="E599" s="53"/>
      <c r="F599" s="60"/>
      <c r="G599" s="54"/>
      <c r="H599" s="54"/>
      <c r="I599" s="54"/>
      <c r="J599" s="54"/>
      <c r="K599" s="54"/>
      <c r="L599" s="55">
        <f t="shared" ref="L599" si="31">SUM(G599:K599)</f>
        <v>0</v>
      </c>
      <c r="M599" s="56" t="str">
        <f>IF(F576&gt;ENTRY!$D$24,"",IF(L599=0,"",IF(L599&gt;79,"A",IF(L599&gt;59,"B",IF(L599&gt;44,"C",IF(L599&gt;=33,"D",IF(L599&lt;=32,"E","")))))))</f>
        <v/>
      </c>
      <c r="N599" s="58"/>
      <c r="O599" s="58"/>
      <c r="P599" s="59"/>
      <c r="Q599" s="19"/>
      <c r="R599" s="11"/>
    </row>
    <row r="600" s="1" customFormat="1" ht="21.95" customHeight="1" spans="1:18">
      <c r="A600" s="7"/>
      <c r="B600" s="12"/>
      <c r="C600" s="33"/>
      <c r="D600" s="45" t="s">
        <v>382</v>
      </c>
      <c r="E600" s="46"/>
      <c r="F600" s="54">
        <f ca="1" t="shared" ref="F600:L600" si="32">IFERROR(SUM(F593:F599),"")</f>
        <v>0</v>
      </c>
      <c r="G600" s="54">
        <f ca="1" t="shared" si="32"/>
        <v>0</v>
      </c>
      <c r="H600" s="54">
        <f ca="1" t="shared" si="32"/>
        <v>0</v>
      </c>
      <c r="I600" s="54">
        <f ca="1" t="shared" si="32"/>
        <v>0</v>
      </c>
      <c r="J600" s="54">
        <f ca="1" t="shared" si="32"/>
        <v>120</v>
      </c>
      <c r="K600" s="54">
        <f ca="1" t="shared" si="32"/>
        <v>0</v>
      </c>
      <c r="L600" s="55">
        <f ca="1" t="shared" si="32"/>
        <v>120</v>
      </c>
      <c r="M600" s="61" t="str">
        <f ca="1">IF(F576&gt;ENTRY!$D$24,"",IF(N601="Ab","Ab",IF(N601&gt;79.5,"A",IF(N601&gt;59.5,"B",IF(N601&gt;44.5,"C",IF(N601&gt;=33,"D",IF(N601&lt;33,"E","")))))))</f>
        <v>E</v>
      </c>
      <c r="N600" s="62"/>
      <c r="O600" s="58"/>
      <c r="P600" s="59"/>
      <c r="Q600" s="19"/>
      <c r="R600" s="11"/>
    </row>
    <row r="601" s="1" customFormat="1" ht="21.95" customHeight="1" spans="1:18">
      <c r="A601" s="7"/>
      <c r="B601" s="12"/>
      <c r="C601" s="33"/>
      <c r="D601" s="63" t="s">
        <v>721</v>
      </c>
      <c r="E601" s="63"/>
      <c r="F601" s="63"/>
      <c r="G601" s="63"/>
      <c r="H601" s="63"/>
      <c r="I601" s="63"/>
      <c r="J601" s="63"/>
      <c r="K601" s="63"/>
      <c r="L601" s="63"/>
      <c r="M601" s="63"/>
      <c r="N601" s="64">
        <f ca="1">IF(L600="Ab","Ab",L600/6)</f>
        <v>20</v>
      </c>
      <c r="O601" s="65"/>
      <c r="P601" s="19"/>
      <c r="Q601" s="19"/>
      <c r="R601" s="11"/>
    </row>
    <row r="602" s="1" customFormat="1" ht="21.95" customHeight="1" spans="1:18">
      <c r="A602" s="7"/>
      <c r="B602" s="12"/>
      <c r="C602" s="33"/>
      <c r="D602" s="29" t="s">
        <v>716</v>
      </c>
      <c r="E602" s="18" t="str">
        <f>IFERROR(VLOOKUP(F576,'1to4-2.1-RR'!$A$12:$BG$111,57,0),"")</f>
        <v>PROMOTED</v>
      </c>
      <c r="F602" s="18"/>
      <c r="G602" s="18"/>
      <c r="H602" s="18"/>
      <c r="I602" s="18"/>
      <c r="J602" s="18"/>
      <c r="K602" s="18"/>
      <c r="L602" s="18"/>
      <c r="M602" s="18"/>
      <c r="N602" s="29"/>
      <c r="O602" s="29"/>
      <c r="P602" s="19"/>
      <c r="Q602" s="19"/>
      <c r="R602" s="11"/>
    </row>
    <row r="603" s="1" customFormat="1" ht="9.95" customHeight="1" spans="1:18">
      <c r="A603" s="7"/>
      <c r="B603" s="12"/>
      <c r="C603" s="33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19"/>
      <c r="Q603" s="19"/>
      <c r="R603" s="11"/>
    </row>
    <row r="604" s="1" customFormat="1" ht="36" spans="1:18">
      <c r="A604" s="7"/>
      <c r="B604" s="12"/>
      <c r="C604" s="33"/>
      <c r="D604" s="66" t="s">
        <v>576</v>
      </c>
      <c r="E604" s="67" t="s">
        <v>754</v>
      </c>
      <c r="F604" s="47">
        <f>IF(F576&gt;ENTRY!$D$24,"",IFERROR(VLOOKUP(F576,PASHEET!$A$4:$CJ$103,88,0),""))</f>
        <v>0</v>
      </c>
      <c r="G604" s="67" t="s">
        <v>755</v>
      </c>
      <c r="H604" s="47">
        <f>IF(F576&gt;ENTRY!$D$24,"",IFERROR(VLOOKUP(F576,PASHEET!$A$4:$CJ$103,87,0),""))</f>
        <v>0</v>
      </c>
      <c r="I604" s="68" t="s">
        <v>756</v>
      </c>
      <c r="J604" s="69" t="str">
        <f>IF(F576&gt;ENTRY!$D$24,"",IFERROR(IF(F576&gt;0,H604/F604*100),""))</f>
        <v/>
      </c>
      <c r="K604" s="60" t="s">
        <v>757</v>
      </c>
      <c r="L604" s="70">
        <f ca="1">IF(F576&gt;ENTRY!$D$24,"",IFERROR(L600/600*100,""))</f>
        <v>20</v>
      </c>
      <c r="M604" s="47" t="str">
        <f ca="1">IF(F576&gt;ENTRY!$D$24,"",IFERROR(L600&amp;" / "&amp;"600",""))</f>
        <v>120 / 600</v>
      </c>
      <c r="N604" s="29"/>
      <c r="O604" s="29"/>
      <c r="P604" s="19"/>
      <c r="Q604" s="19"/>
      <c r="R604" s="11"/>
    </row>
    <row r="605" s="1" customFormat="1" ht="9.95" customHeight="1" spans="1:18">
      <c r="A605" s="7"/>
      <c r="B605" s="12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1"/>
      <c r="Q605" s="19"/>
      <c r="R605" s="11"/>
    </row>
    <row r="606" s="1" customFormat="1" ht="9.95" customHeight="1" spans="1:18">
      <c r="A606" s="7"/>
      <c r="B606" s="12"/>
      <c r="C606" s="71"/>
      <c r="D606" s="71"/>
      <c r="E606" s="71"/>
      <c r="F606" s="29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19"/>
      <c r="R606" s="11"/>
    </row>
    <row r="607" s="1" customFormat="1" ht="9.95" customHeight="1" spans="1:18">
      <c r="A607" s="7"/>
      <c r="B607" s="12"/>
      <c r="C607" s="29"/>
      <c r="D607" s="29"/>
      <c r="E607" s="29"/>
      <c r="F607" s="72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19"/>
      <c r="R607" s="11"/>
    </row>
    <row r="608" s="1" customFormat="1" ht="9.95" customHeight="1" spans="1:18">
      <c r="A608" s="7"/>
      <c r="B608" s="12"/>
      <c r="C608" s="30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2"/>
      <c r="Q608" s="19"/>
      <c r="R608" s="11"/>
    </row>
    <row r="609" s="1" customFormat="1" ht="21.95" customHeight="1" spans="1:19">
      <c r="A609" s="7"/>
      <c r="B609" s="12"/>
      <c r="C609" s="73" t="s">
        <v>7</v>
      </c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74"/>
      <c r="Q609" s="19"/>
      <c r="R609" s="11"/>
      <c r="S609" s="2"/>
    </row>
    <row r="610" s="1" customFormat="1" ht="21.95" customHeight="1" spans="1:19">
      <c r="A610" s="7"/>
      <c r="B610" s="12"/>
      <c r="C610" s="33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19"/>
      <c r="Q610" s="19"/>
      <c r="R610" s="11"/>
    </row>
    <row r="611" s="1" customFormat="1" ht="21.95" customHeight="1" spans="1:19">
      <c r="A611" s="7"/>
      <c r="B611" s="12"/>
      <c r="C611" s="75" t="str">
        <f>"SESSION-"&amp;ENTRY!$D$11</f>
        <v>SESSION-2026-27</v>
      </c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76"/>
      <c r="Q611" s="19"/>
      <c r="R611" s="11"/>
    </row>
    <row r="612" s="1" customFormat="1" ht="18" customHeight="1" spans="1:19">
      <c r="A612" s="7"/>
      <c r="B612" s="12"/>
      <c r="C612" s="33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19"/>
      <c r="Q612" s="19"/>
      <c r="R612" s="11"/>
    </row>
    <row r="613" s="1" customFormat="1" ht="21.95" customHeight="1" spans="1:19">
      <c r="A613" s="7"/>
      <c r="B613" s="12"/>
      <c r="C613" s="33"/>
      <c r="D613" s="77" t="s">
        <v>758</v>
      </c>
      <c r="E613" s="77"/>
      <c r="F613" s="78" t="str">
        <f>IFERROR(PROPER(VLOOKUP(F576,STUDENT!$A$2:$BP$101,5,0)),"")</f>
        <v>Md Mahtab</v>
      </c>
      <c r="G613" s="78"/>
      <c r="H613" s="78"/>
      <c r="I613" s="78"/>
      <c r="J613" s="78"/>
      <c r="K613" s="78"/>
      <c r="L613" s="78"/>
      <c r="M613" s="78"/>
      <c r="N613" s="79" t="s">
        <v>759</v>
      </c>
      <c r="O613" s="79"/>
      <c r="P613" s="19"/>
      <c r="Q613" s="19"/>
      <c r="R613" s="11"/>
    </row>
    <row r="614" s="1" customFormat="1" ht="21.95" customHeight="1" spans="1:19">
      <c r="A614" s="7"/>
      <c r="B614" s="12"/>
      <c r="C614" s="33"/>
      <c r="D614" s="80" t="s">
        <v>760</v>
      </c>
      <c r="E614" s="81" t="str">
        <f>IFERROR(PROPER(VLOOKUP(F576,STUDENT!$A$2:$BP$101,9,0)),"")</f>
        <v>Movina Praveen</v>
      </c>
      <c r="F614" s="81"/>
      <c r="G614" s="81"/>
      <c r="H614" s="80" t="s">
        <v>761</v>
      </c>
      <c r="I614" s="82" t="str">
        <f>IFERROR(PROPER(VLOOKUP(F576,STUDENT!$A$2:$BP$101,8,0)),"")</f>
        <v>Md Asraf</v>
      </c>
      <c r="J614" s="82"/>
      <c r="K614" s="82"/>
      <c r="L614" s="82"/>
      <c r="M614" s="80" t="s">
        <v>762</v>
      </c>
      <c r="N614" s="83" t="str">
        <f>IFERROR(VLOOKUP(F576,STUDENT!$A$2:$BP$101,59,0),"")</f>
        <v/>
      </c>
      <c r="O614" s="83"/>
      <c r="P614" s="19"/>
      <c r="Q614" s="19"/>
      <c r="R614" s="11"/>
    </row>
    <row r="615" s="1" customFormat="1" ht="21.95" customHeight="1" spans="1:19">
      <c r="A615" s="7"/>
      <c r="B615" s="12"/>
      <c r="C615" s="33"/>
      <c r="D615" s="77" t="str">
        <f>"has    completed     his  /  her     primary     level     education    in    the    year    "&amp;RIGHT(ENTRY!$D581,4)&amp;"    from    ( School    Name )"</f>
        <v>has    completed     his  /  her     primary     level     education    in    the    year        from    ( School    Name )</v>
      </c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19"/>
      <c r="Q615" s="19"/>
      <c r="R615" s="11"/>
    </row>
    <row r="616" s="1" customFormat="1" ht="21.95" customHeight="1" spans="1:19">
      <c r="A616" s="7"/>
      <c r="B616" s="12"/>
      <c r="C616" s="33"/>
      <c r="D616" s="81" t="str">
        <f>IF(F576&gt;0,ENTRY!$D$6,"")</f>
        <v>MCP NITHARI NO 1 BOYS</v>
      </c>
      <c r="E616" s="81"/>
      <c r="F616" s="81"/>
      <c r="G616" s="81"/>
      <c r="H616" s="81"/>
      <c r="I616" s="81"/>
      <c r="J616" s="81"/>
      <c r="K616" s="81"/>
      <c r="L616" s="81"/>
      <c r="M616" s="80" t="s">
        <v>763</v>
      </c>
      <c r="N616" s="84">
        <f>IF(F576&gt;0,ENTRY!$D$7,"")</f>
        <v>0</v>
      </c>
      <c r="O616" s="84"/>
      <c r="P616" s="85" t="s">
        <v>727</v>
      </c>
      <c r="Q616" s="19"/>
      <c r="R616" s="11"/>
    </row>
    <row r="617" s="1" customFormat="1" ht="21.95" customHeight="1" spans="1:19">
      <c r="A617" s="7"/>
      <c r="B617" s="12"/>
      <c r="C617" s="33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19"/>
      <c r="Q617" s="19"/>
      <c r="R617" s="11"/>
    </row>
    <row r="618" s="1" customFormat="1" ht="21.95" customHeight="1" spans="1:19">
      <c r="A618" s="7"/>
      <c r="B618" s="12"/>
      <c r="C618" s="33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19"/>
      <c r="Q618" s="19"/>
      <c r="R618" s="11"/>
    </row>
    <row r="619" s="1" customFormat="1" ht="21.95" customHeight="1" spans="1:19">
      <c r="A619" s="7"/>
      <c r="B619" s="12"/>
      <c r="C619" s="33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19"/>
      <c r="Q619" s="19"/>
      <c r="R619" s="11"/>
    </row>
    <row r="620" s="1" customFormat="1" ht="21.95" customHeight="1" spans="1:19">
      <c r="A620" s="7"/>
      <c r="B620" s="12"/>
      <c r="C620" s="33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19"/>
      <c r="Q620" s="19"/>
      <c r="R620" s="11"/>
    </row>
    <row r="621" s="1" customFormat="1" ht="21.95" customHeight="1" spans="1:19">
      <c r="A621" s="7"/>
      <c r="B621" s="12"/>
      <c r="C621" s="33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19"/>
      <c r="Q621" s="19"/>
      <c r="R621" s="11"/>
    </row>
    <row r="622" s="1" customFormat="1" ht="21.95" customHeight="1" spans="1:19">
      <c r="A622" s="7"/>
      <c r="B622" s="12"/>
      <c r="C622" s="33"/>
      <c r="D622" s="80" t="s">
        <v>728</v>
      </c>
      <c r="E622" s="86">
        <f>ENTRY!$D$27</f>
        <v>46102</v>
      </c>
      <c r="F622" s="86"/>
      <c r="G622" s="29"/>
      <c r="H622" s="29"/>
      <c r="I622" s="29"/>
      <c r="J622" s="29"/>
      <c r="K622" s="29"/>
      <c r="L622" s="29"/>
      <c r="M622" s="87" t="s">
        <v>730</v>
      </c>
      <c r="N622" s="87"/>
      <c r="O622" s="87"/>
      <c r="P622" s="19"/>
      <c r="Q622" s="19"/>
      <c r="R622" s="11"/>
    </row>
    <row r="623" s="1" customFormat="1" ht="21.95" customHeight="1" spans="1:19">
      <c r="A623" s="7"/>
      <c r="B623" s="12"/>
      <c r="C623" s="33"/>
      <c r="D623" s="80" t="s">
        <v>731</v>
      </c>
      <c r="E623" s="88" t="str">
        <f>PROPER(ENTRY!$D$28)</f>
        <v>New Delhi</v>
      </c>
      <c r="F623" s="88"/>
      <c r="G623" s="29"/>
      <c r="H623" s="29"/>
      <c r="I623" s="29"/>
      <c r="J623" s="29"/>
      <c r="K623" s="29"/>
      <c r="L623" s="29"/>
      <c r="M623" s="89" t="s">
        <v>732</v>
      </c>
      <c r="N623" s="89"/>
      <c r="O623" s="89"/>
      <c r="P623" s="19"/>
      <c r="Q623" s="19"/>
      <c r="R623" s="11"/>
    </row>
    <row r="624" s="1" customFormat="1" ht="21.95" customHeight="1" spans="1:19">
      <c r="A624" s="7"/>
      <c r="B624" s="12"/>
      <c r="C624" s="90"/>
      <c r="D624" s="91"/>
      <c r="E624" s="91"/>
      <c r="F624" s="91"/>
      <c r="G624" s="91"/>
      <c r="H624" s="91"/>
      <c r="I624" s="91"/>
      <c r="J624" s="91"/>
      <c r="K624" s="91"/>
      <c r="L624" s="91"/>
      <c r="M624" s="91"/>
      <c r="N624" s="91"/>
      <c r="O624" s="91"/>
      <c r="P624" s="92"/>
      <c r="Q624" s="14"/>
      <c r="R624" s="11"/>
    </row>
    <row r="625" s="1" customFormat="1" ht="5.1" customHeight="1" spans="1:18">
      <c r="A625" s="7"/>
      <c r="B625" s="90"/>
      <c r="C625" s="91"/>
      <c r="D625" s="91"/>
      <c r="E625" s="91"/>
      <c r="F625" s="91"/>
      <c r="G625" s="91"/>
      <c r="H625" s="91"/>
      <c r="I625" s="91"/>
      <c r="J625" s="91"/>
      <c r="K625" s="91"/>
      <c r="L625" s="91"/>
      <c r="M625" s="91"/>
      <c r="N625" s="91"/>
      <c r="O625" s="91"/>
      <c r="P625" s="91"/>
      <c r="Q625" s="92"/>
      <c r="R625" s="11"/>
    </row>
    <row r="626" s="1" customFormat="1" ht="5.1" customHeight="1" spans="1:18">
      <c r="A626" s="93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5"/>
    </row>
    <row r="627" s="2" customFormat="1" ht="9.95" customHeight="1"/>
    <row r="628" s="1" customFormat="1" ht="5.1" customHeight="1" spans="1:18">
      <c r="A628" s="4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6"/>
    </row>
    <row r="629" s="1" customFormat="1" ht="15" customHeight="1" spans="1:18">
      <c r="A629" s="7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/>
      <c r="R629" s="11"/>
    </row>
    <row r="630" s="1" customFormat="1" ht="21.95" customHeight="1" spans="1:18">
      <c r="A630" s="7"/>
      <c r="B630" s="12"/>
      <c r="C630" s="13" t="s">
        <v>7</v>
      </c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4"/>
      <c r="R630" s="11"/>
    </row>
    <row r="631" s="1" customFormat="1" ht="21.95" customHeight="1" spans="1:18">
      <c r="A631" s="7"/>
      <c r="B631" s="1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14"/>
      <c r="R631" s="11"/>
    </row>
    <row r="632" s="1" customFormat="1" ht="21.95" customHeight="1" spans="1:18">
      <c r="A632" s="7"/>
      <c r="B632" s="12"/>
      <c r="C632" s="15" t="str">
        <f>"SESSION-"&amp;ENTRY!$D$11</f>
        <v>SESSION-2026-27</v>
      </c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4"/>
      <c r="R632" s="11"/>
    </row>
    <row r="633" s="1" customFormat="1" ht="21.95" customHeight="1" spans="1:18">
      <c r="A633" s="7"/>
      <c r="B633" s="12"/>
      <c r="C633" s="2"/>
      <c r="D633" s="2"/>
      <c r="E633" s="2"/>
      <c r="F633" s="16">
        <f>F576+1</f>
        <v>12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14"/>
      <c r="R633" s="11"/>
    </row>
    <row r="634" s="1" customFormat="1" ht="21.95" customHeight="1" spans="1:18">
      <c r="A634" s="7"/>
      <c r="B634" s="12"/>
      <c r="C634" s="17" t="s">
        <v>392</v>
      </c>
      <c r="D634" s="17"/>
      <c r="E634" s="17"/>
      <c r="F634" s="18" t="str">
        <f>IF(F633&gt;0,ENTRY!$D$6,"")</f>
        <v>MCP NITHARI NO 1 BOYS</v>
      </c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9"/>
      <c r="R634" s="11"/>
    </row>
    <row r="635" s="1" customFormat="1" ht="21.95" customHeight="1" spans="1:18">
      <c r="A635" s="7"/>
      <c r="B635" s="12"/>
      <c r="C635" s="17" t="s">
        <v>393</v>
      </c>
      <c r="D635" s="17"/>
      <c r="E635" s="17"/>
      <c r="F635" s="18">
        <f>IF(F633&gt;0,ENTRY!$D$7,"")</f>
        <v>0</v>
      </c>
      <c r="G635" s="18"/>
      <c r="H635" s="20" t="s">
        <v>702</v>
      </c>
      <c r="I635" s="20"/>
      <c r="J635" s="21">
        <f>IF(F633&gt;0,ENTRY!$D$10,"")</f>
        <v>40</v>
      </c>
      <c r="K635" s="20" t="s">
        <v>703</v>
      </c>
      <c r="L635" s="22" t="str">
        <f>IF(F633&gt;0,ENTRY!$D$5,"")</f>
        <v>ROHINI ZONE</v>
      </c>
      <c r="M635" s="22"/>
      <c r="N635" s="22"/>
      <c r="O635" s="22"/>
      <c r="P635" s="22"/>
      <c r="Q635" s="19"/>
      <c r="R635" s="11"/>
    </row>
    <row r="636" s="1" customFormat="1" ht="21.95" customHeight="1" spans="1:18">
      <c r="A636" s="7"/>
      <c r="B636" s="12"/>
      <c r="C636" s="17" t="s">
        <v>706</v>
      </c>
      <c r="D636" s="17"/>
      <c r="E636" s="17"/>
      <c r="F636" s="23" t="str">
        <f>IFERROR(VLOOKUP(F633,STUDENT!$A$2:$BP$101,5,0),"")</f>
        <v>PRADEEP</v>
      </c>
      <c r="G636" s="23"/>
      <c r="H636" s="23"/>
      <c r="I636" s="23"/>
      <c r="J636" s="23"/>
      <c r="K636" s="23"/>
      <c r="L636" s="20" t="s">
        <v>707</v>
      </c>
      <c r="M636" s="20"/>
      <c r="N636" s="24" t="str">
        <f>IF(F633&gt;0,ENTRY!$D$20&amp;"-"&amp;ENTRY!$D$21,"")</f>
        <v>III-A</v>
      </c>
      <c r="O636" s="24"/>
      <c r="P636" s="24"/>
      <c r="Q636" s="19"/>
      <c r="R636" s="11"/>
    </row>
    <row r="637" s="1" customFormat="1" ht="21.95" customHeight="1" spans="1:18">
      <c r="A637" s="7"/>
      <c r="B637" s="12"/>
      <c r="C637" s="17" t="s">
        <v>708</v>
      </c>
      <c r="D637" s="17"/>
      <c r="E637" s="17"/>
      <c r="F637" s="25">
        <f>IFERROR(VLOOKUP(F633,STUDENT!$A$2:$BP$101,6,0),"")</f>
        <v>14734</v>
      </c>
      <c r="G637" s="25"/>
      <c r="H637" s="26" t="s">
        <v>709</v>
      </c>
      <c r="I637" s="27" t="str">
        <f>IFERROR(VLOOKUP(F633,STUDENT!$A$2:$BP$101,59,0),"")</f>
        <v/>
      </c>
      <c r="J637" s="27"/>
      <c r="K637" s="20" t="s">
        <v>710</v>
      </c>
      <c r="L637" s="20"/>
      <c r="M637" s="28">
        <f>IFERROR(VLOOKUP(F633,STUDENT!$A$2:$BP$101,20,0),"")</f>
        <v>7503764765</v>
      </c>
      <c r="N637" s="28"/>
      <c r="O637" s="28"/>
      <c r="P637" s="28"/>
      <c r="Q637" s="19"/>
      <c r="R637" s="11"/>
    </row>
    <row r="638" s="1" customFormat="1" ht="21.95" customHeight="1" spans="1:18">
      <c r="A638" s="7"/>
      <c r="B638" s="12"/>
      <c r="C638" s="17" t="s">
        <v>711</v>
      </c>
      <c r="D638" s="17"/>
      <c r="E638" s="17"/>
      <c r="F638" s="23" t="str">
        <f>IFERROR(VLOOKUP(F633,STUDENT!$A$2:$BP$101,9,0),"")</f>
        <v>REKHA</v>
      </c>
      <c r="G638" s="23"/>
      <c r="H638" s="23"/>
      <c r="I638" s="23"/>
      <c r="J638" s="17" t="s">
        <v>620</v>
      </c>
      <c r="K638" s="17"/>
      <c r="L638" s="23" t="str">
        <f>IFERROR(VLOOKUP(F633,STUDENT!$A$2:$BP$101,8,0),"")</f>
        <v>RAM BHAWAN</v>
      </c>
      <c r="M638" s="23"/>
      <c r="N638" s="23"/>
      <c r="O638" s="23"/>
      <c r="P638" s="23"/>
      <c r="Q638" s="19"/>
      <c r="R638" s="11"/>
    </row>
    <row r="639" s="1" customFormat="1" ht="21.95" customHeight="1" spans="1:18">
      <c r="A639" s="7"/>
      <c r="B639" s="12"/>
      <c r="C639" s="17" t="s">
        <v>712</v>
      </c>
      <c r="D639" s="17"/>
      <c r="E639" s="17"/>
      <c r="F639" s="23" t="str">
        <f>IFERROR(VLOOKUP(F633,STUDENT!$A$2:$BP$101,22,0),"")</f>
        <v>C-2 41-242, BLOCK -D GALI NO 5 AGAR NAGAR PREM NAGAR III</v>
      </c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19"/>
      <c r="R639" s="11"/>
    </row>
    <row r="640" s="1" customFormat="1" ht="9.95" customHeight="1" spans="1:18">
      <c r="A640" s="7"/>
      <c r="B640" s="12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19"/>
      <c r="R640" s="11"/>
    </row>
    <row r="641" s="1" customFormat="1" ht="9.95" customHeight="1" spans="1:18">
      <c r="A641" s="7"/>
      <c r="B641" s="12"/>
      <c r="C641" s="30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2"/>
      <c r="Q641" s="19"/>
      <c r="R641" s="11"/>
    </row>
    <row r="642" s="1" customFormat="1" ht="21.95" customHeight="1" spans="1:18">
      <c r="A642" s="7"/>
      <c r="B642" s="12"/>
      <c r="C642" s="33"/>
      <c r="D642" s="34" t="s">
        <v>713</v>
      </c>
      <c r="E642" s="20" t="s">
        <v>714</v>
      </c>
      <c r="F642" s="35" t="str">
        <f>"Level - "&amp;IFERROR(VLOOKUP(F633,FLN!$A$4:$K$103,9,0),"")</f>
        <v>Level - 2</v>
      </c>
      <c r="G642" s="36"/>
      <c r="H642" s="37" t="s">
        <v>715</v>
      </c>
      <c r="I642" s="20"/>
      <c r="J642" s="35" t="str">
        <f>"Level - "&amp;IFERROR(VLOOKUP(F633,FLN!$A$4:$K$103,11,0),"")</f>
        <v>Level - 4</v>
      </c>
      <c r="K642" s="36"/>
      <c r="L642" s="37" t="s">
        <v>408</v>
      </c>
      <c r="M642" s="20"/>
      <c r="N642" s="35" t="str">
        <f>"Level - "&amp;IFERROR(VLOOKUP(F633,FLN!$A$4:$K$103,10,0),"")</f>
        <v>Level - 2</v>
      </c>
      <c r="O642" s="36"/>
      <c r="P642" s="19"/>
      <c r="Q642" s="19"/>
      <c r="R642" s="11"/>
    </row>
    <row r="643" s="1" customFormat="1" ht="21.95" customHeight="1" spans="1:18">
      <c r="A643" s="7"/>
      <c r="B643" s="12"/>
      <c r="C643" s="33"/>
      <c r="D643" s="38"/>
      <c r="E643" s="20" t="s">
        <v>716</v>
      </c>
      <c r="F643" s="18" t="str">
        <f ca="1">IF(L657&gt;197,"PERFORMED WELL","")</f>
        <v/>
      </c>
      <c r="G643" s="18"/>
      <c r="H643" s="18"/>
      <c r="I643" s="18"/>
      <c r="J643" s="18"/>
      <c r="K643" s="18"/>
      <c r="L643" s="18"/>
      <c r="M643" s="18"/>
      <c r="N643" s="18"/>
      <c r="O643" s="18"/>
      <c r="P643" s="19"/>
      <c r="Q643" s="19"/>
      <c r="R643" s="11"/>
    </row>
    <row r="644" s="1" customFormat="1" ht="9.95" customHeight="1" spans="1:18">
      <c r="A644" s="7"/>
      <c r="B644" s="12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1"/>
      <c r="Q644" s="19"/>
      <c r="R644" s="11"/>
    </row>
    <row r="645" s="1" customFormat="1" ht="9.95" customHeight="1" spans="1:18">
      <c r="A645" s="7"/>
      <c r="B645" s="12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19"/>
      <c r="R645" s="11"/>
    </row>
    <row r="646" s="1" customFormat="1" ht="9.95" customHeight="1" spans="1:18">
      <c r="A646" s="7"/>
      <c r="B646" s="12"/>
      <c r="C646" s="30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2"/>
      <c r="Q646" s="19"/>
      <c r="R646" s="11"/>
    </row>
    <row r="647" s="1" customFormat="1" ht="21.95" customHeight="1" spans="1:18">
      <c r="A647" s="7"/>
      <c r="B647" s="12"/>
      <c r="C647" s="33"/>
      <c r="D647" s="35"/>
      <c r="E647" s="24"/>
      <c r="F647" s="42" t="s">
        <v>717</v>
      </c>
      <c r="G647" s="42"/>
      <c r="H647" s="42"/>
      <c r="I647" s="42"/>
      <c r="J647" s="42"/>
      <c r="K647" s="42"/>
      <c r="L647" s="43"/>
      <c r="M647" s="44"/>
      <c r="N647" s="29"/>
      <c r="O647" s="29"/>
      <c r="P647" s="19"/>
      <c r="Q647" s="19"/>
      <c r="R647" s="11"/>
    </row>
    <row r="648" s="1" customFormat="1" ht="21.95" customHeight="1" spans="1:18">
      <c r="A648" s="7"/>
      <c r="B648" s="12"/>
      <c r="C648" s="33"/>
      <c r="D648" s="45"/>
      <c r="E648" s="46"/>
      <c r="F648" s="47" t="s">
        <v>541</v>
      </c>
      <c r="G648" s="47" t="s">
        <v>542</v>
      </c>
      <c r="H648" s="47" t="s">
        <v>543</v>
      </c>
      <c r="I648" s="47" t="s">
        <v>544</v>
      </c>
      <c r="J648" s="47" t="s">
        <v>561</v>
      </c>
      <c r="K648" s="48" t="s">
        <v>750</v>
      </c>
      <c r="L648" s="47" t="s">
        <v>382</v>
      </c>
      <c r="M648" s="49" t="s">
        <v>546</v>
      </c>
      <c r="N648" s="29"/>
      <c r="O648" s="29"/>
      <c r="P648" s="19"/>
      <c r="Q648" s="19"/>
      <c r="R648" s="11"/>
    </row>
    <row r="649" s="1" customFormat="1" ht="21.95" customHeight="1" spans="1:18">
      <c r="A649" s="7"/>
      <c r="B649" s="12"/>
      <c r="C649" s="33"/>
      <c r="D649" s="45" t="s">
        <v>652</v>
      </c>
      <c r="E649" s="46"/>
      <c r="F649" s="50">
        <v>10</v>
      </c>
      <c r="G649" s="50">
        <v>10</v>
      </c>
      <c r="H649" s="50">
        <v>10</v>
      </c>
      <c r="I649" s="50">
        <v>10</v>
      </c>
      <c r="J649" s="50">
        <v>60</v>
      </c>
      <c r="K649" s="51"/>
      <c r="L649" s="50">
        <v>100</v>
      </c>
      <c r="M649" s="49"/>
      <c r="N649" s="29"/>
      <c r="O649" s="29"/>
      <c r="P649" s="19"/>
      <c r="Q649" s="19"/>
      <c r="R649" s="11"/>
    </row>
    <row r="650" s="1" customFormat="1" ht="21.95" customHeight="1" spans="1:18">
      <c r="A650" s="7"/>
      <c r="B650" s="12"/>
      <c r="C650" s="33"/>
      <c r="D650" s="52" t="s">
        <v>751</v>
      </c>
      <c r="E650" s="53"/>
      <c r="F650" s="54">
        <f ca="1">IFERROR(VLOOKUP(F633,'RR-3.1-5TH'!$A$12:'RR-3.1-5TH'!$BN$111,9,0),"")</f>
        <v>1</v>
      </c>
      <c r="G650" s="54">
        <f ca="1">IFERROR(VLOOKUP(F633,'RR-3.1-5TH'!$A$12:'RR-3.1-5TH'!$BN$111,10,0),"")</f>
        <v>0</v>
      </c>
      <c r="H650" s="54">
        <f ca="1">IFERROR(VLOOKUP(F633,'RR-3.1-5TH'!$A$12:'RR-3.1-5TH'!$BN$111,11,0),"")</f>
        <v>0</v>
      </c>
      <c r="I650" s="54">
        <f ca="1">IFERROR(VLOOKUP(F633,'RR-3.1-5TH'!$A$12:'RR-3.1-5TH'!$BN$111,12,0),"")</f>
        <v>0</v>
      </c>
      <c r="J650" s="54">
        <f ca="1">IFERROR(VLOOKUP(F633,'RR-3.1-5TH'!$A$12:'RR-3.1-5TH'!$BN$111,13,0),"")</f>
        <v>34</v>
      </c>
      <c r="K650" s="54">
        <f ca="1">IFERROR(VLOOKUP(F633,'RR-3.1-5TH'!$A$12:'RR-3.1-5TH'!$BN$111,14,0),"")</f>
        <v>0</v>
      </c>
      <c r="L650" s="55">
        <f ca="1" t="shared" ref="L650:L655" si="33">SUM(F650,G650,H650,I650,J650,K650)</f>
        <v>35</v>
      </c>
      <c r="M650" s="56" t="str">
        <f ca="1">IF(F633&gt;ENTRY!$D$24,"",IF(L650=0,"Ab",IF(L650&gt;80,"A",IF(L650&gt;60,"B",IF(L650&gt;44,"C",IF(L650&gt;=33,"D",IF(L650&lt;=32,"E","")))))))</f>
        <v>D</v>
      </c>
      <c r="N650" s="57" t="s">
        <v>729</v>
      </c>
      <c r="O650" s="58"/>
      <c r="P650" s="59"/>
      <c r="Q650" s="19"/>
      <c r="R650" s="11"/>
    </row>
    <row r="651" s="1" customFormat="1" ht="21.95" customHeight="1" spans="1:18">
      <c r="A651" s="7"/>
      <c r="B651" s="12"/>
      <c r="C651" s="33"/>
      <c r="D651" s="52" t="s">
        <v>513</v>
      </c>
      <c r="E651" s="53"/>
      <c r="F651" s="54">
        <f ca="1">IFERROR(VLOOKUP(F633,'RR-3.1-5TH'!$A$12:'RR-3.1-5TH'!$BN$111,17,0),"")</f>
        <v>1</v>
      </c>
      <c r="G651" s="54">
        <f ca="1">IFERROR(VLOOKUP(F633,'RR-3.1-5TH'!$A$12:'RR-3.1-5TH'!$BN$111,18,0),"")</f>
        <v>0</v>
      </c>
      <c r="H651" s="54">
        <f ca="1">IFERROR(VLOOKUP(F633,'RR-3.1-5TH'!$A$12:'RR-3.1-5TH'!$BN$111,19,0),"")</f>
        <v>0</v>
      </c>
      <c r="I651" s="54">
        <f ca="1">IFERROR(VLOOKUP(F633,'RR-3.1-5TH'!$A$12:'RR-3.1-5TH'!$BN$111,20,0),"")</f>
        <v>0</v>
      </c>
      <c r="J651" s="54">
        <f ca="1">IFERROR(VLOOKUP(F633,'RR-3.1-5TH'!$A$12:'RR-3.1-5TH'!$BN$111,21,0),"")</f>
        <v>11</v>
      </c>
      <c r="K651" s="54">
        <f ca="1">IFERROR(VLOOKUP(F633,'RR-3.1-5TH'!$A$12:'RR-3.1-5TH'!$BN$111,22,0),"")</f>
        <v>0</v>
      </c>
      <c r="L651" s="55">
        <f ca="1" t="shared" si="33"/>
        <v>12</v>
      </c>
      <c r="M651" s="56" t="str">
        <f ca="1">IF(F633&gt;ENTRY!$D$24,"",IF(L651=0,"Ab",IF(L651&gt;80,"A",IF(L651&gt;60,"B",IF(L651&gt;44,"C",IF(L651&gt;=33,"D",IF(L651&lt;=32,"E","")))))))</f>
        <v>E</v>
      </c>
      <c r="N651" s="58"/>
      <c r="O651" s="58"/>
      <c r="P651" s="59"/>
      <c r="Q651" s="19"/>
      <c r="R651" s="11"/>
    </row>
    <row r="652" s="1" customFormat="1" ht="21.95" customHeight="1" spans="1:18">
      <c r="A652" s="7"/>
      <c r="B652" s="12"/>
      <c r="C652" s="33"/>
      <c r="D652" s="52" t="s">
        <v>718</v>
      </c>
      <c r="E652" s="53"/>
      <c r="F652" s="54">
        <f ca="1">IFERROR(VLOOKUP(F633,'RR-3.1-5TH'!$A$12:'RR-3.1-5TH'!$BN$111,25,0),"")</f>
        <v>1</v>
      </c>
      <c r="G652" s="54">
        <f ca="1">IFERROR(VLOOKUP(F633,'RR-3.1-5TH'!$A$12:'RR-3.1-5TH'!$BN$111,26,0),"")</f>
        <v>0</v>
      </c>
      <c r="H652" s="54">
        <f ca="1">IFERROR(VLOOKUP(F633,'RR-3.1-5TH'!$A$12:'RR-3.1-5TH'!$BN$111,27,0),"")</f>
        <v>0</v>
      </c>
      <c r="I652" s="54">
        <f ca="1">IFERROR(VLOOKUP(F633,'RR-3.1-5TH'!$A$12:'RR-3.1-5TH'!$BN$111,28,0),"")</f>
        <v>0</v>
      </c>
      <c r="J652" s="54">
        <f ca="1">IFERROR(VLOOKUP(F633,'RR-3.1-5TH'!$A$12:'RR-3.1-5TH'!$BN$111,29,0),"")</f>
        <v>23</v>
      </c>
      <c r="K652" s="54">
        <f ca="1">IFERROR(VLOOKUP(F633,'RR-3.1-5TH'!$A$12:'RR-3.1-5TH'!$BN$111,30,0),"")</f>
        <v>0</v>
      </c>
      <c r="L652" s="55">
        <f ca="1" t="shared" si="33"/>
        <v>24</v>
      </c>
      <c r="M652" s="56" t="str">
        <f ca="1">IF(F633&gt;ENTRY!$D$24,"",IF(L652=0,"Ab",IF(L652&gt;80,"A",IF(L652&gt;60,"B",IF(L652&gt;44,"C",IF(L652&gt;=33,"D",IF(L652&lt;=32,"E","")))))))</f>
        <v>E</v>
      </c>
      <c r="N652" s="29"/>
      <c r="O652" s="29"/>
      <c r="P652" s="19"/>
      <c r="Q652" s="19"/>
      <c r="R652" s="11"/>
    </row>
    <row r="653" s="1" customFormat="1" ht="21.95" customHeight="1" spans="1:18">
      <c r="A653" s="7"/>
      <c r="B653" s="12"/>
      <c r="C653" s="33"/>
      <c r="D653" s="52" t="s">
        <v>719</v>
      </c>
      <c r="E653" s="53"/>
      <c r="F653" s="54">
        <f ca="1">IFERROR(VLOOKUP(F633,'RR-3.1-5TH'!$A$12:'RR-3.1-5TH'!$BN$111,33,0),"")</f>
        <v>1</v>
      </c>
      <c r="G653" s="54">
        <f ca="1">IFERROR(VLOOKUP(F633,'RR-3.1-5TH'!$A$12:'RR-3.1-5TH'!$BN$111,34,0),"")</f>
        <v>0</v>
      </c>
      <c r="H653" s="54">
        <f ca="1">IFERROR(VLOOKUP(F633,'RR-3.1-5TH'!$A$12:'RR-3.1-5TH'!$BN$111,35,0),"")</f>
        <v>0</v>
      </c>
      <c r="I653" s="54">
        <f ca="1">IFERROR(VLOOKUP(F633,'RR-3.1-5TH'!$A$12:'RR-3.1-5TH'!$BN$111,36,0),"")</f>
        <v>0</v>
      </c>
      <c r="J653" s="54">
        <f ca="1">IFERROR(VLOOKUP(F633,'RR-3.1-5TH'!$A$12:'RR-3.1-5TH'!$BN$111,37,0),"")</f>
        <v>24</v>
      </c>
      <c r="K653" s="54">
        <f ca="1">IFERROR(VLOOKUP(F633,'RR-3.1-5TH'!$A$12:'RR-3.1-5TH'!$BN$111,38,0),"")</f>
        <v>0</v>
      </c>
      <c r="L653" s="55">
        <f ca="1" t="shared" si="33"/>
        <v>25</v>
      </c>
      <c r="M653" s="56" t="str">
        <f ca="1">IF(F633&gt;ENTRY!$D$24,"",IF(L653=0,"Ab",IF(L653&gt;80,"A",IF(L653&gt;60,"B",IF(L653&gt;44,"C",IF(L653&gt;=33,"D",IF(L653&lt;=32,"E","")))))))</f>
        <v>E</v>
      </c>
      <c r="N653" s="29"/>
      <c r="O653" s="29"/>
      <c r="P653" s="19"/>
      <c r="Q653" s="19"/>
      <c r="R653" s="11"/>
    </row>
    <row r="654" s="1" customFormat="1" ht="21.95" customHeight="1" spans="1:18">
      <c r="A654" s="7"/>
      <c r="B654" s="12"/>
      <c r="C654" s="33"/>
      <c r="D654" s="52" t="s">
        <v>548</v>
      </c>
      <c r="E654" s="53"/>
      <c r="F654" s="54">
        <f ca="1">IFERROR(VLOOKUP(F633,'RR-3.1-5TH'!$A$12:'RR-3.1-5TH'!$BN$111,41,0),"")</f>
        <v>0</v>
      </c>
      <c r="G654" s="54">
        <f ca="1">IFERROR(VLOOKUP(F633,'RR-3.1-5TH'!$A$12:'RR-3.1-5TH'!$BN$111,42,0),"")</f>
        <v>0</v>
      </c>
      <c r="H654" s="54">
        <f ca="1">IFERROR(VLOOKUP(F633,'RR-3.1-5TH'!$A$12:'RR-3.1-5TH'!$BN$111,43,0),"")</f>
        <v>0</v>
      </c>
      <c r="I654" s="54">
        <f ca="1">IFERROR(VLOOKUP(F633,'RR-3.1-5TH'!$A$12:'RR-3.1-5TH'!$BN$111,44,0),"")</f>
        <v>0</v>
      </c>
      <c r="J654" s="54">
        <f ca="1">IFERROR(VLOOKUP(F633,'RR-3.1-5TH'!$A$12:'RR-3.1-5TH'!$BN$111,45,0),"")</f>
        <v>23</v>
      </c>
      <c r="K654" s="54">
        <f ca="1">IFERROR(VLOOKUP(F633,'RR-3.1-5TH'!$A$12:'RR-3.1-5TH'!$BN$111,46,0),"")</f>
        <v>0</v>
      </c>
      <c r="L654" s="55">
        <f ca="1" t="shared" si="33"/>
        <v>23</v>
      </c>
      <c r="M654" s="56" t="str">
        <f ca="1">IF(F633&gt;ENTRY!$D$24,"",IF(L654=0,"Ab",IF(L654&gt;80,"A",IF(L654&gt;60,"B",IF(L654&gt;44,"C",IF(L654&gt;=33,"D",IF(L654&lt;=32,"E","")))))))</f>
        <v>E</v>
      </c>
      <c r="N654" s="29"/>
      <c r="O654" s="29"/>
      <c r="P654" s="19"/>
      <c r="Q654" s="19"/>
      <c r="R654" s="11"/>
    </row>
    <row r="655" s="1" customFormat="1" ht="21.95" customHeight="1" spans="1:18">
      <c r="A655" s="7"/>
      <c r="B655" s="12"/>
      <c r="C655" s="33"/>
      <c r="D655" s="52" t="s">
        <v>549</v>
      </c>
      <c r="E655" s="53"/>
      <c r="F655" s="54">
        <f ca="1">IFERROR(VLOOKUP(F633,'RR-3.1-5TH'!$A$12:'RR-3.1-5TH'!$BN$111,49,0),"")</f>
        <v>2</v>
      </c>
      <c r="G655" s="54">
        <f ca="1">IFERROR(VLOOKUP(F633,'RR-3.1-5TH'!$A$12:'RR-3.1-5TH'!$BN$111,50,0),"")</f>
        <v>0</v>
      </c>
      <c r="H655" s="54">
        <f ca="1">IFERROR(VLOOKUP(F633,'RR-3.1-5TH'!$A$12:'RR-3.1-5TH'!$BN$111,51,0),"")</f>
        <v>0</v>
      </c>
      <c r="I655" s="54">
        <f ca="1">IFERROR(VLOOKUP(F633,'RR-3.1-5TH'!$A$12:'RR-3.1-5TH'!$BN$111,52,0),"")</f>
        <v>0</v>
      </c>
      <c r="J655" s="54">
        <f ca="1">IFERROR(VLOOKUP(F633,'RR-3.1-5TH'!$A$12:'RR-3.1-5TH'!$BN$111,53,0),"")</f>
        <v>18</v>
      </c>
      <c r="K655" s="54">
        <f ca="1">IFERROR(VLOOKUP(F633,'RR-3.1-5TH'!$A$12:'RR-3.1-5TH'!$BN$111,54,0),"")</f>
        <v>0</v>
      </c>
      <c r="L655" s="55">
        <f ca="1" t="shared" si="33"/>
        <v>20</v>
      </c>
      <c r="M655" s="56" t="str">
        <f ca="1">IF(F633&gt;ENTRY!$D$24,"",IF(L655=0,"Ab",IF(L655&gt;80,"A",IF(L655&gt;60,"B",IF(L655&gt;44,"C",IF(L655&gt;=33,"D",IF(L655&lt;=32,"E","")))))))</f>
        <v>E</v>
      </c>
      <c r="N655" s="57" t="s">
        <v>752</v>
      </c>
      <c r="O655" s="58"/>
      <c r="P655" s="59"/>
      <c r="Q655" s="19"/>
      <c r="R655" s="11"/>
    </row>
    <row r="656" s="1" customFormat="1" ht="21.95" customHeight="1" spans="1:18">
      <c r="A656" s="7"/>
      <c r="B656" s="12"/>
      <c r="C656" s="33"/>
      <c r="D656" s="52" t="s">
        <v>753</v>
      </c>
      <c r="E656" s="53"/>
      <c r="F656" s="60"/>
      <c r="G656" s="54"/>
      <c r="H656" s="54"/>
      <c r="I656" s="54"/>
      <c r="J656" s="54"/>
      <c r="K656" s="54"/>
      <c r="L656" s="55">
        <f t="shared" ref="L656" si="34">SUM(G656:K656)</f>
        <v>0</v>
      </c>
      <c r="M656" s="56" t="str">
        <f>IF(F633&gt;ENTRY!$D$24,"",IF(L656=0,"",IF(L656&gt;79,"A",IF(L656&gt;59,"B",IF(L656&gt;44,"C",IF(L656&gt;=33,"D",IF(L656&lt;=32,"E","")))))))</f>
        <v/>
      </c>
      <c r="N656" s="58"/>
      <c r="O656" s="58"/>
      <c r="P656" s="59"/>
      <c r="Q656" s="19"/>
      <c r="R656" s="11"/>
    </row>
    <row r="657" s="1" customFormat="1" ht="21.95" customHeight="1" spans="1:19">
      <c r="A657" s="7"/>
      <c r="B657" s="12"/>
      <c r="C657" s="33"/>
      <c r="D657" s="45" t="s">
        <v>382</v>
      </c>
      <c r="E657" s="46"/>
      <c r="F657" s="54">
        <f ca="1" t="shared" ref="F657:L657" si="35">IFERROR(SUM(F650:F656),"")</f>
        <v>6</v>
      </c>
      <c r="G657" s="54">
        <f ca="1" t="shared" si="35"/>
        <v>0</v>
      </c>
      <c r="H657" s="54">
        <f ca="1" t="shared" si="35"/>
        <v>0</v>
      </c>
      <c r="I657" s="54">
        <f ca="1" t="shared" si="35"/>
        <v>0</v>
      </c>
      <c r="J657" s="54">
        <f ca="1" t="shared" si="35"/>
        <v>133</v>
      </c>
      <c r="K657" s="54">
        <f ca="1" t="shared" si="35"/>
        <v>0</v>
      </c>
      <c r="L657" s="55">
        <f ca="1" t="shared" si="35"/>
        <v>139</v>
      </c>
      <c r="M657" s="61" t="str">
        <f ca="1">IF(F633&gt;ENTRY!$D$24,"",IF(N658="Ab","Ab",IF(N658&gt;79.5,"A",IF(N658&gt;59.5,"B",IF(N658&gt;44.5,"C",IF(N658&gt;=33,"D",IF(N658&lt;33,"E","")))))))</f>
        <v>E</v>
      </c>
      <c r="N657" s="62"/>
      <c r="O657" s="58"/>
      <c r="P657" s="59"/>
      <c r="Q657" s="19"/>
      <c r="R657" s="11"/>
    </row>
    <row r="658" s="1" customFormat="1" ht="21.95" customHeight="1" spans="1:19">
      <c r="A658" s="7"/>
      <c r="B658" s="12"/>
      <c r="C658" s="33"/>
      <c r="D658" s="63" t="s">
        <v>721</v>
      </c>
      <c r="E658" s="63"/>
      <c r="F658" s="63"/>
      <c r="G658" s="63"/>
      <c r="H658" s="63"/>
      <c r="I658" s="63"/>
      <c r="J658" s="63"/>
      <c r="K658" s="63"/>
      <c r="L658" s="63"/>
      <c r="M658" s="63"/>
      <c r="N658" s="64">
        <f ca="1">IF(L657="Ab","Ab",L657/6)</f>
        <v>23.1666666666667</v>
      </c>
      <c r="O658" s="65"/>
      <c r="P658" s="19"/>
      <c r="Q658" s="19"/>
      <c r="R658" s="11"/>
    </row>
    <row r="659" s="1" customFormat="1" ht="21.95" customHeight="1" spans="1:19">
      <c r="A659" s="7"/>
      <c r="B659" s="12"/>
      <c r="C659" s="33"/>
      <c r="D659" s="29" t="s">
        <v>716</v>
      </c>
      <c r="E659" s="18" t="str">
        <f>IFERROR(VLOOKUP(F633,'1to4-2.1-RR'!$A$12:$BG$111,57,0),"")</f>
        <v>PROMOTED</v>
      </c>
      <c r="F659" s="18"/>
      <c r="G659" s="18"/>
      <c r="H659" s="18"/>
      <c r="I659" s="18"/>
      <c r="J659" s="18"/>
      <c r="K659" s="18"/>
      <c r="L659" s="18"/>
      <c r="M659" s="18"/>
      <c r="N659" s="29"/>
      <c r="O659" s="29"/>
      <c r="P659" s="19"/>
      <c r="Q659" s="19"/>
      <c r="R659" s="11"/>
    </row>
    <row r="660" s="1" customFormat="1" ht="9.95" customHeight="1" spans="1:19">
      <c r="A660" s="7"/>
      <c r="B660" s="12"/>
      <c r="C660" s="33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19"/>
      <c r="Q660" s="19"/>
      <c r="R660" s="11"/>
    </row>
    <row r="661" s="1" customFormat="1" ht="36" spans="1:19">
      <c r="A661" s="7"/>
      <c r="B661" s="12"/>
      <c r="C661" s="33"/>
      <c r="D661" s="66" t="s">
        <v>576</v>
      </c>
      <c r="E661" s="67" t="s">
        <v>754</v>
      </c>
      <c r="F661" s="47">
        <f>IF(F633&gt;ENTRY!$D$24,"",IFERROR(VLOOKUP(F633,PASHEET!$A$4:$CJ$103,88,0),""))</f>
        <v>0</v>
      </c>
      <c r="G661" s="67" t="s">
        <v>755</v>
      </c>
      <c r="H661" s="47">
        <f>IF(F633&gt;ENTRY!$D$24,"",IFERROR(VLOOKUP(F633,PASHEET!$A$4:$CJ$103,87,0),""))</f>
        <v>0</v>
      </c>
      <c r="I661" s="68" t="s">
        <v>756</v>
      </c>
      <c r="J661" s="69" t="str">
        <f>IF(F633&gt;ENTRY!$D$24,"",IFERROR(IF(F633&gt;0,H661/F661*100),""))</f>
        <v/>
      </c>
      <c r="K661" s="60" t="s">
        <v>757</v>
      </c>
      <c r="L661" s="70">
        <f ca="1">IF(F633&gt;ENTRY!$D$24,"",IFERROR(L657/600*100,""))</f>
        <v>23.1666666666667</v>
      </c>
      <c r="M661" s="47" t="str">
        <f ca="1">IF(F633&gt;ENTRY!$D$24,"",IFERROR(L657&amp;" / "&amp;"600",""))</f>
        <v>139 / 600</v>
      </c>
      <c r="N661" s="29"/>
      <c r="O661" s="29"/>
      <c r="P661" s="19"/>
      <c r="Q661" s="19"/>
      <c r="R661" s="11"/>
    </row>
    <row r="662" s="1" customFormat="1" ht="9.95" customHeight="1" spans="1:19">
      <c r="A662" s="7"/>
      <c r="B662" s="12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1"/>
      <c r="Q662" s="19"/>
      <c r="R662" s="11"/>
    </row>
    <row r="663" s="1" customFormat="1" ht="9.95" customHeight="1" spans="1:19">
      <c r="A663" s="7"/>
      <c r="B663" s="12"/>
      <c r="C663" s="71"/>
      <c r="D663" s="71"/>
      <c r="E663" s="71"/>
      <c r="F663" s="29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19"/>
      <c r="R663" s="11"/>
    </row>
    <row r="664" s="1" customFormat="1" ht="9.95" customHeight="1" spans="1:19">
      <c r="A664" s="7"/>
      <c r="B664" s="12"/>
      <c r="C664" s="29"/>
      <c r="D664" s="29"/>
      <c r="E664" s="29"/>
      <c r="F664" s="72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19"/>
      <c r="R664" s="11"/>
    </row>
    <row r="665" s="1" customFormat="1" ht="9.95" customHeight="1" spans="1:19">
      <c r="A665" s="7"/>
      <c r="B665" s="12"/>
      <c r="C665" s="30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2"/>
      <c r="Q665" s="19"/>
      <c r="R665" s="11"/>
    </row>
    <row r="666" s="1" customFormat="1" ht="21.95" customHeight="1" spans="1:19">
      <c r="A666" s="7"/>
      <c r="B666" s="12"/>
      <c r="C666" s="73" t="s">
        <v>7</v>
      </c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74"/>
      <c r="Q666" s="19"/>
      <c r="R666" s="11"/>
      <c r="S666" s="2"/>
    </row>
    <row r="667" s="1" customFormat="1" ht="21.95" customHeight="1" spans="1:19">
      <c r="A667" s="7"/>
      <c r="B667" s="12"/>
      <c r="C667" s="33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19"/>
      <c r="Q667" s="19"/>
      <c r="R667" s="11"/>
    </row>
    <row r="668" s="1" customFormat="1" ht="21.95" customHeight="1" spans="1:19">
      <c r="A668" s="7"/>
      <c r="B668" s="12"/>
      <c r="C668" s="75" t="str">
        <f>"SESSION-"&amp;ENTRY!$D$11</f>
        <v>SESSION-2026-27</v>
      </c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76"/>
      <c r="Q668" s="19"/>
      <c r="R668" s="11"/>
    </row>
    <row r="669" s="1" customFormat="1" ht="18" customHeight="1" spans="1:19">
      <c r="A669" s="7"/>
      <c r="B669" s="12"/>
      <c r="C669" s="33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19"/>
      <c r="Q669" s="19"/>
      <c r="R669" s="11"/>
    </row>
    <row r="670" s="1" customFormat="1" ht="21.95" customHeight="1" spans="1:19">
      <c r="A670" s="7"/>
      <c r="B670" s="12"/>
      <c r="C670" s="33"/>
      <c r="D670" s="77" t="s">
        <v>758</v>
      </c>
      <c r="E670" s="77"/>
      <c r="F670" s="78" t="str">
        <f>IFERROR(PROPER(VLOOKUP(F633,STUDENT!$A$2:$BP$101,5,0)),"")</f>
        <v>Pradeep</v>
      </c>
      <c r="G670" s="78"/>
      <c r="H670" s="78"/>
      <c r="I670" s="78"/>
      <c r="J670" s="78"/>
      <c r="K670" s="78"/>
      <c r="L670" s="78"/>
      <c r="M670" s="78"/>
      <c r="N670" s="79" t="s">
        <v>759</v>
      </c>
      <c r="O670" s="79"/>
      <c r="P670" s="19"/>
      <c r="Q670" s="19"/>
      <c r="R670" s="11"/>
    </row>
    <row r="671" s="1" customFormat="1" ht="21.95" customHeight="1" spans="1:19">
      <c r="A671" s="7"/>
      <c r="B671" s="12"/>
      <c r="C671" s="33"/>
      <c r="D671" s="80" t="s">
        <v>760</v>
      </c>
      <c r="E671" s="81" t="str">
        <f>IFERROR(PROPER(VLOOKUP(F633,STUDENT!$A$2:$BP$101,9,0)),"")</f>
        <v>Rekha</v>
      </c>
      <c r="F671" s="81"/>
      <c r="G671" s="81"/>
      <c r="H671" s="80" t="s">
        <v>761</v>
      </c>
      <c r="I671" s="82" t="str">
        <f>IFERROR(PROPER(VLOOKUP(F633,STUDENT!$A$2:$BP$101,8,0)),"")</f>
        <v>Ram Bhawan</v>
      </c>
      <c r="J671" s="82"/>
      <c r="K671" s="82"/>
      <c r="L671" s="82"/>
      <c r="M671" s="80" t="s">
        <v>762</v>
      </c>
      <c r="N671" s="83" t="str">
        <f>IFERROR(VLOOKUP(F633,STUDENT!$A$2:$BP$101,59,0),"")</f>
        <v/>
      </c>
      <c r="O671" s="83"/>
      <c r="P671" s="19"/>
      <c r="Q671" s="19"/>
      <c r="R671" s="11"/>
    </row>
    <row r="672" s="1" customFormat="1" ht="21.95" customHeight="1" spans="1:19">
      <c r="A672" s="7"/>
      <c r="B672" s="12"/>
      <c r="C672" s="33"/>
      <c r="D672" s="77" t="str">
        <f>"has    completed     his  /  her     primary     level     education    in    the    year    "&amp;RIGHT(ENTRY!$D638,4)&amp;"    from    ( School    Name )"</f>
        <v>has    completed     his  /  her     primary     level     education    in    the    year        from    ( School    Name )</v>
      </c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19"/>
      <c r="Q672" s="19"/>
      <c r="R672" s="11"/>
    </row>
    <row r="673" s="1" customFormat="1" ht="21.95" customHeight="1" spans="1:18">
      <c r="A673" s="7"/>
      <c r="B673" s="12"/>
      <c r="C673" s="33"/>
      <c r="D673" s="81" t="str">
        <f>IF(F633&gt;0,ENTRY!$D$6,"")</f>
        <v>MCP NITHARI NO 1 BOYS</v>
      </c>
      <c r="E673" s="81"/>
      <c r="F673" s="81"/>
      <c r="G673" s="81"/>
      <c r="H673" s="81"/>
      <c r="I673" s="81"/>
      <c r="J673" s="81"/>
      <c r="K673" s="81"/>
      <c r="L673" s="81"/>
      <c r="M673" s="80" t="s">
        <v>763</v>
      </c>
      <c r="N673" s="84">
        <f>IF(F633&gt;0,ENTRY!$D$7,"")</f>
        <v>0</v>
      </c>
      <c r="O673" s="84"/>
      <c r="P673" s="85" t="s">
        <v>727</v>
      </c>
      <c r="Q673" s="19"/>
      <c r="R673" s="11"/>
    </row>
    <row r="674" s="1" customFormat="1" ht="21.95" customHeight="1" spans="1:18">
      <c r="A674" s="7"/>
      <c r="B674" s="12"/>
      <c r="C674" s="33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19"/>
      <c r="Q674" s="19"/>
      <c r="R674" s="11"/>
    </row>
    <row r="675" s="1" customFormat="1" ht="21.95" customHeight="1" spans="1:18">
      <c r="A675" s="7"/>
      <c r="B675" s="12"/>
      <c r="C675" s="33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19"/>
      <c r="Q675" s="19"/>
      <c r="R675" s="11"/>
    </row>
    <row r="676" s="1" customFormat="1" ht="21.95" customHeight="1" spans="1:18">
      <c r="A676" s="7"/>
      <c r="B676" s="12"/>
      <c r="C676" s="33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19"/>
      <c r="Q676" s="19"/>
      <c r="R676" s="11"/>
    </row>
    <row r="677" s="1" customFormat="1" ht="21.95" customHeight="1" spans="1:18">
      <c r="A677" s="7"/>
      <c r="B677" s="12"/>
      <c r="C677" s="33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19"/>
      <c r="Q677" s="19"/>
      <c r="R677" s="11"/>
    </row>
    <row r="678" s="1" customFormat="1" ht="21.95" customHeight="1" spans="1:18">
      <c r="A678" s="7"/>
      <c r="B678" s="12"/>
      <c r="C678" s="33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19"/>
      <c r="Q678" s="19"/>
      <c r="R678" s="11"/>
    </row>
    <row r="679" s="1" customFormat="1" ht="21.95" customHeight="1" spans="1:18">
      <c r="A679" s="7"/>
      <c r="B679" s="12"/>
      <c r="C679" s="33"/>
      <c r="D679" s="80" t="s">
        <v>728</v>
      </c>
      <c r="E679" s="86">
        <f>ENTRY!$D$27</f>
        <v>46102</v>
      </c>
      <c r="F679" s="86"/>
      <c r="G679" s="29"/>
      <c r="H679" s="29"/>
      <c r="I679" s="29"/>
      <c r="J679" s="29"/>
      <c r="K679" s="29"/>
      <c r="L679" s="29"/>
      <c r="M679" s="87" t="s">
        <v>730</v>
      </c>
      <c r="N679" s="87"/>
      <c r="O679" s="87"/>
      <c r="P679" s="19"/>
      <c r="Q679" s="19"/>
      <c r="R679" s="11"/>
    </row>
    <row r="680" s="1" customFormat="1" ht="21.95" customHeight="1" spans="1:18">
      <c r="A680" s="7"/>
      <c r="B680" s="12"/>
      <c r="C680" s="33"/>
      <c r="D680" s="80" t="s">
        <v>731</v>
      </c>
      <c r="E680" s="88" t="str">
        <f>PROPER(ENTRY!$D$28)</f>
        <v>New Delhi</v>
      </c>
      <c r="F680" s="88"/>
      <c r="G680" s="29"/>
      <c r="H680" s="29"/>
      <c r="I680" s="29"/>
      <c r="J680" s="29"/>
      <c r="K680" s="29"/>
      <c r="L680" s="29"/>
      <c r="M680" s="89" t="s">
        <v>732</v>
      </c>
      <c r="N680" s="89"/>
      <c r="O680" s="89"/>
      <c r="P680" s="19"/>
      <c r="Q680" s="19"/>
      <c r="R680" s="11"/>
    </row>
    <row r="681" s="1" customFormat="1" ht="21.95" customHeight="1" spans="1:18">
      <c r="A681" s="7"/>
      <c r="B681" s="12"/>
      <c r="C681" s="90"/>
      <c r="D681" s="91"/>
      <c r="E681" s="91"/>
      <c r="F681" s="91"/>
      <c r="G681" s="91"/>
      <c r="H681" s="91"/>
      <c r="I681" s="91"/>
      <c r="J681" s="91"/>
      <c r="K681" s="91"/>
      <c r="L681" s="91"/>
      <c r="M681" s="91"/>
      <c r="N681" s="91"/>
      <c r="O681" s="91"/>
      <c r="P681" s="92"/>
      <c r="Q681" s="14"/>
      <c r="R681" s="11"/>
    </row>
    <row r="682" s="1" customFormat="1" ht="5.1" customHeight="1" spans="1:18">
      <c r="A682" s="7"/>
      <c r="B682" s="90"/>
      <c r="C682" s="91"/>
      <c r="D682" s="91"/>
      <c r="E682" s="91"/>
      <c r="F682" s="91"/>
      <c r="G682" s="91"/>
      <c r="H682" s="91"/>
      <c r="I682" s="91"/>
      <c r="J682" s="91"/>
      <c r="K682" s="91"/>
      <c r="L682" s="91"/>
      <c r="M682" s="91"/>
      <c r="N682" s="91"/>
      <c r="O682" s="91"/>
      <c r="P682" s="91"/>
      <c r="Q682" s="92"/>
      <c r="R682" s="11"/>
    </row>
    <row r="683" s="1" customFormat="1" ht="5.1" customHeight="1" spans="1:18">
      <c r="A683" s="93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5"/>
    </row>
    <row r="684" s="2" customFormat="1" ht="9.95" customHeight="1"/>
    <row r="685" s="1" customFormat="1" ht="5.1" customHeight="1" spans="1:18">
      <c r="A685" s="4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6"/>
    </row>
    <row r="686" s="1" customFormat="1" ht="15" customHeight="1" spans="1:18">
      <c r="A686" s="7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0"/>
      <c r="R686" s="11"/>
    </row>
    <row r="687" s="1" customFormat="1" ht="21.95" customHeight="1" spans="1:18">
      <c r="A687" s="7"/>
      <c r="B687" s="12"/>
      <c r="C687" s="13" t="s">
        <v>7</v>
      </c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4"/>
      <c r="R687" s="11"/>
    </row>
    <row r="688" s="1" customFormat="1" ht="21.95" customHeight="1" spans="1:18">
      <c r="A688" s="7"/>
      <c r="B688" s="1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14"/>
      <c r="R688" s="11"/>
    </row>
    <row r="689" s="1" customFormat="1" ht="21.95" customHeight="1" spans="1:18">
      <c r="A689" s="7"/>
      <c r="B689" s="12"/>
      <c r="C689" s="15" t="str">
        <f>"SESSION-"&amp;ENTRY!$D$11</f>
        <v>SESSION-2026-27</v>
      </c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4"/>
      <c r="R689" s="11"/>
    </row>
    <row r="690" s="1" customFormat="1" ht="21.95" customHeight="1" spans="1:18">
      <c r="A690" s="7"/>
      <c r="B690" s="12"/>
      <c r="C690" s="2"/>
      <c r="D690" s="2"/>
      <c r="E690" s="2"/>
      <c r="F690" s="16">
        <f>F633+1</f>
        <v>13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14"/>
      <c r="R690" s="11"/>
    </row>
    <row r="691" s="1" customFormat="1" ht="21.95" customHeight="1" spans="1:18">
      <c r="A691" s="7"/>
      <c r="B691" s="12"/>
      <c r="C691" s="17" t="s">
        <v>392</v>
      </c>
      <c r="D691" s="17"/>
      <c r="E691" s="17"/>
      <c r="F691" s="18" t="str">
        <f>IF(F690&gt;0,ENTRY!$D$6,"")</f>
        <v>MCP NITHARI NO 1 BOYS</v>
      </c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9"/>
      <c r="R691" s="11"/>
    </row>
    <row r="692" s="1" customFormat="1" ht="21.95" customHeight="1" spans="1:18">
      <c r="A692" s="7"/>
      <c r="B692" s="12"/>
      <c r="C692" s="17" t="s">
        <v>393</v>
      </c>
      <c r="D692" s="17"/>
      <c r="E692" s="17"/>
      <c r="F692" s="18">
        <f>IF(F690&gt;0,ENTRY!$D$7,"")</f>
        <v>0</v>
      </c>
      <c r="G692" s="18"/>
      <c r="H692" s="20" t="s">
        <v>702</v>
      </c>
      <c r="I692" s="20"/>
      <c r="J692" s="21">
        <f>IF(F690&gt;0,ENTRY!$D$10,"")</f>
        <v>40</v>
      </c>
      <c r="K692" s="20" t="s">
        <v>703</v>
      </c>
      <c r="L692" s="22" t="str">
        <f>IF(F690&gt;0,ENTRY!$D$5,"")</f>
        <v>ROHINI ZONE</v>
      </c>
      <c r="M692" s="22"/>
      <c r="N692" s="22"/>
      <c r="O692" s="22"/>
      <c r="P692" s="22"/>
      <c r="Q692" s="19"/>
      <c r="R692" s="11"/>
    </row>
    <row r="693" s="1" customFormat="1" ht="21.95" customHeight="1" spans="1:18">
      <c r="A693" s="7"/>
      <c r="B693" s="12"/>
      <c r="C693" s="17" t="s">
        <v>706</v>
      </c>
      <c r="D693" s="17"/>
      <c r="E693" s="17"/>
      <c r="F693" s="23" t="str">
        <f>IFERROR(VLOOKUP(F690,STUDENT!$A$2:$BP$101,5,0),"")</f>
        <v>MOHD JISAN</v>
      </c>
      <c r="G693" s="23"/>
      <c r="H693" s="23"/>
      <c r="I693" s="23"/>
      <c r="J693" s="23"/>
      <c r="K693" s="23"/>
      <c r="L693" s="20" t="s">
        <v>707</v>
      </c>
      <c r="M693" s="20"/>
      <c r="N693" s="24" t="str">
        <f>IF(F690&gt;0,ENTRY!$D$20&amp;"-"&amp;ENTRY!$D$21,"")</f>
        <v>III-A</v>
      </c>
      <c r="O693" s="24"/>
      <c r="P693" s="24"/>
      <c r="Q693" s="19"/>
      <c r="R693" s="11"/>
    </row>
    <row r="694" s="1" customFormat="1" ht="21.95" customHeight="1" spans="1:18">
      <c r="A694" s="7"/>
      <c r="B694" s="12"/>
      <c r="C694" s="17" t="s">
        <v>708</v>
      </c>
      <c r="D694" s="17"/>
      <c r="E694" s="17"/>
      <c r="F694" s="25">
        <f>IFERROR(VLOOKUP(F690,STUDENT!$A$2:$BP$101,6,0),"")</f>
        <v>14735</v>
      </c>
      <c r="G694" s="25"/>
      <c r="H694" s="26" t="s">
        <v>709</v>
      </c>
      <c r="I694" s="27" t="str">
        <f>IFERROR(VLOOKUP(F690,STUDENT!$A$2:$BP$101,59,0),"")</f>
        <v/>
      </c>
      <c r="J694" s="27"/>
      <c r="K694" s="20" t="s">
        <v>710</v>
      </c>
      <c r="L694" s="20"/>
      <c r="M694" s="28">
        <f>IFERROR(VLOOKUP(F690,STUDENT!$A$2:$BP$101,20,0),"")</f>
        <v>7836913487</v>
      </c>
      <c r="N694" s="28"/>
      <c r="O694" s="28"/>
      <c r="P694" s="28"/>
      <c r="Q694" s="19"/>
      <c r="R694" s="11"/>
    </row>
    <row r="695" s="1" customFormat="1" ht="21.95" customHeight="1" spans="1:18">
      <c r="A695" s="7"/>
      <c r="B695" s="12"/>
      <c r="C695" s="17" t="s">
        <v>711</v>
      </c>
      <c r="D695" s="17"/>
      <c r="E695" s="17"/>
      <c r="F695" s="23" t="str">
        <f>IFERROR(VLOOKUP(F690,STUDENT!$A$2:$BP$101,9,0),"")</f>
        <v>IRFANA KHATUN</v>
      </c>
      <c r="G695" s="23"/>
      <c r="H695" s="23"/>
      <c r="I695" s="23"/>
      <c r="J695" s="17" t="s">
        <v>620</v>
      </c>
      <c r="K695" s="17"/>
      <c r="L695" s="23" t="str">
        <f>IFERROR(VLOOKUP(F690,STUDENT!$A$2:$BP$101,8,0),"")</f>
        <v>MD ZAMEEL</v>
      </c>
      <c r="M695" s="23"/>
      <c r="N695" s="23"/>
      <c r="O695" s="23"/>
      <c r="P695" s="23"/>
      <c r="Q695" s="19"/>
      <c r="R695" s="11"/>
    </row>
    <row r="696" s="1" customFormat="1" ht="21.95" customHeight="1" spans="1:18">
      <c r="A696" s="7"/>
      <c r="B696" s="12"/>
      <c r="C696" s="17" t="s">
        <v>712</v>
      </c>
      <c r="D696" s="17"/>
      <c r="E696" s="17"/>
      <c r="F696" s="23" t="str">
        <f>IFERROR(VLOOKUP(F690,STUDENT!$A$2:$BP$101,22,0),"")</f>
        <v>B-227, PREM NAGAR-III,DELHI</v>
      </c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19"/>
      <c r="R696" s="11"/>
    </row>
    <row r="697" s="1" customFormat="1" ht="9.95" customHeight="1" spans="1:18">
      <c r="A697" s="7"/>
      <c r="B697" s="12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19"/>
      <c r="R697" s="11"/>
    </row>
    <row r="698" s="1" customFormat="1" ht="9.95" customHeight="1" spans="1:18">
      <c r="A698" s="7"/>
      <c r="B698" s="12"/>
      <c r="C698" s="30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2"/>
      <c r="Q698" s="19"/>
      <c r="R698" s="11"/>
    </row>
    <row r="699" s="1" customFormat="1" ht="21.95" customHeight="1" spans="1:18">
      <c r="A699" s="7"/>
      <c r="B699" s="12"/>
      <c r="C699" s="33"/>
      <c r="D699" s="34" t="s">
        <v>713</v>
      </c>
      <c r="E699" s="20" t="s">
        <v>714</v>
      </c>
      <c r="F699" s="35" t="str">
        <f>"Level - "&amp;IFERROR(VLOOKUP(F690,FLN!$A$4:$K$103,9,0),"")</f>
        <v>Level - 2</v>
      </c>
      <c r="G699" s="36"/>
      <c r="H699" s="37" t="s">
        <v>715</v>
      </c>
      <c r="I699" s="20"/>
      <c r="J699" s="35" t="str">
        <f>"Level - "&amp;IFERROR(VLOOKUP(F690,FLN!$A$4:$K$103,11,0),"")</f>
        <v>Level - 3</v>
      </c>
      <c r="K699" s="36"/>
      <c r="L699" s="37" t="s">
        <v>408</v>
      </c>
      <c r="M699" s="20"/>
      <c r="N699" s="35" t="str">
        <f>"Level - "&amp;IFERROR(VLOOKUP(F690,FLN!$A$4:$K$103,10,0),"")</f>
        <v>Level - 2</v>
      </c>
      <c r="O699" s="36"/>
      <c r="P699" s="19"/>
      <c r="Q699" s="19"/>
      <c r="R699" s="11"/>
    </row>
    <row r="700" s="1" customFormat="1" ht="21.95" customHeight="1" spans="1:18">
      <c r="A700" s="7"/>
      <c r="B700" s="12"/>
      <c r="C700" s="33"/>
      <c r="D700" s="38"/>
      <c r="E700" s="20" t="s">
        <v>716</v>
      </c>
      <c r="F700" s="18" t="str">
        <f ca="1">IF(L714&gt;197,"PERFORMED WELL","")</f>
        <v/>
      </c>
      <c r="G700" s="18"/>
      <c r="H700" s="18"/>
      <c r="I700" s="18"/>
      <c r="J700" s="18"/>
      <c r="K700" s="18"/>
      <c r="L700" s="18"/>
      <c r="M700" s="18"/>
      <c r="N700" s="18"/>
      <c r="O700" s="18"/>
      <c r="P700" s="19"/>
      <c r="Q700" s="19"/>
      <c r="R700" s="11"/>
    </row>
    <row r="701" s="1" customFormat="1" ht="9.95" customHeight="1" spans="1:18">
      <c r="A701" s="7"/>
      <c r="B701" s="12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1"/>
      <c r="Q701" s="19"/>
      <c r="R701" s="11"/>
    </row>
    <row r="702" s="1" customFormat="1" ht="9.95" customHeight="1" spans="1:18">
      <c r="A702" s="7"/>
      <c r="B702" s="12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19"/>
      <c r="R702" s="11"/>
    </row>
    <row r="703" s="1" customFormat="1" ht="9.95" customHeight="1" spans="1:18">
      <c r="A703" s="7"/>
      <c r="B703" s="12"/>
      <c r="C703" s="30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2"/>
      <c r="Q703" s="19"/>
      <c r="R703" s="11"/>
    </row>
    <row r="704" s="1" customFormat="1" ht="21.95" customHeight="1" spans="1:18">
      <c r="A704" s="7"/>
      <c r="B704" s="12"/>
      <c r="C704" s="33"/>
      <c r="D704" s="35"/>
      <c r="E704" s="24"/>
      <c r="F704" s="42" t="s">
        <v>717</v>
      </c>
      <c r="G704" s="42"/>
      <c r="H704" s="42"/>
      <c r="I704" s="42"/>
      <c r="J704" s="42"/>
      <c r="K704" s="42"/>
      <c r="L704" s="43"/>
      <c r="M704" s="44"/>
      <c r="N704" s="29"/>
      <c r="O704" s="29"/>
      <c r="P704" s="19"/>
      <c r="Q704" s="19"/>
      <c r="R704" s="11"/>
    </row>
    <row r="705" s="1" customFormat="1" ht="21.95" customHeight="1" spans="1:18">
      <c r="A705" s="7"/>
      <c r="B705" s="12"/>
      <c r="C705" s="33"/>
      <c r="D705" s="45"/>
      <c r="E705" s="46"/>
      <c r="F705" s="47" t="s">
        <v>541</v>
      </c>
      <c r="G705" s="47" t="s">
        <v>542</v>
      </c>
      <c r="H705" s="47" t="s">
        <v>543</v>
      </c>
      <c r="I705" s="47" t="s">
        <v>544</v>
      </c>
      <c r="J705" s="47" t="s">
        <v>561</v>
      </c>
      <c r="K705" s="48" t="s">
        <v>750</v>
      </c>
      <c r="L705" s="47" t="s">
        <v>382</v>
      </c>
      <c r="M705" s="49" t="s">
        <v>546</v>
      </c>
      <c r="N705" s="29"/>
      <c r="O705" s="29"/>
      <c r="P705" s="19"/>
      <c r="Q705" s="19"/>
      <c r="R705" s="11"/>
    </row>
    <row r="706" s="1" customFormat="1" ht="21.95" customHeight="1" spans="1:18">
      <c r="A706" s="7"/>
      <c r="B706" s="12"/>
      <c r="C706" s="33"/>
      <c r="D706" s="45" t="s">
        <v>652</v>
      </c>
      <c r="E706" s="46"/>
      <c r="F706" s="50">
        <v>10</v>
      </c>
      <c r="G706" s="50">
        <v>10</v>
      </c>
      <c r="H706" s="50">
        <v>10</v>
      </c>
      <c r="I706" s="50">
        <v>10</v>
      </c>
      <c r="J706" s="50">
        <v>60</v>
      </c>
      <c r="K706" s="51"/>
      <c r="L706" s="50">
        <v>100</v>
      </c>
      <c r="M706" s="49"/>
      <c r="N706" s="29"/>
      <c r="O706" s="29"/>
      <c r="P706" s="19"/>
      <c r="Q706" s="19"/>
      <c r="R706" s="11"/>
    </row>
    <row r="707" s="1" customFormat="1" ht="21.95" customHeight="1" spans="1:18">
      <c r="A707" s="7"/>
      <c r="B707" s="12"/>
      <c r="C707" s="33"/>
      <c r="D707" s="52" t="s">
        <v>751</v>
      </c>
      <c r="E707" s="53"/>
      <c r="F707" s="54">
        <f ca="1">IFERROR(VLOOKUP(F690,'RR-3.1-5TH'!$A$12:'RR-3.1-5TH'!$BN$111,9,0),"")</f>
        <v>1</v>
      </c>
      <c r="G707" s="54">
        <f ca="1">IFERROR(VLOOKUP(F690,'RR-3.1-5TH'!$A$12:'RR-3.1-5TH'!$BN$111,10,0),"")</f>
        <v>0</v>
      </c>
      <c r="H707" s="54">
        <f ca="1">IFERROR(VLOOKUP(F690,'RR-3.1-5TH'!$A$12:'RR-3.1-5TH'!$BN$111,11,0),"")</f>
        <v>0</v>
      </c>
      <c r="I707" s="54">
        <f ca="1">IFERROR(VLOOKUP(F690,'RR-3.1-5TH'!$A$12:'RR-3.1-5TH'!$BN$111,12,0),"")</f>
        <v>0</v>
      </c>
      <c r="J707" s="54">
        <f ca="1">IFERROR(VLOOKUP(F690,'RR-3.1-5TH'!$A$12:'RR-3.1-5TH'!$BN$111,13,0),"")</f>
        <v>48</v>
      </c>
      <c r="K707" s="54">
        <f ca="1">IFERROR(VLOOKUP(F690,'RR-3.1-5TH'!$A$12:'RR-3.1-5TH'!$BN$111,14,0),"")</f>
        <v>0</v>
      </c>
      <c r="L707" s="55">
        <f ca="1" t="shared" ref="L707:L712" si="36">SUM(F707,G707,H707,I707,J707,K707)</f>
        <v>49</v>
      </c>
      <c r="M707" s="56" t="str">
        <f ca="1">IF(F690&gt;ENTRY!$D$24,"",IF(L707=0,"Ab",IF(L707&gt;80,"A",IF(L707&gt;60,"B",IF(L707&gt;44,"C",IF(L707&gt;=33,"D",IF(L707&lt;=32,"E","")))))))</f>
        <v>C</v>
      </c>
      <c r="N707" s="57" t="s">
        <v>729</v>
      </c>
      <c r="O707" s="58"/>
      <c r="P707" s="59"/>
      <c r="Q707" s="19"/>
      <c r="R707" s="11"/>
    </row>
    <row r="708" s="1" customFormat="1" ht="21.95" customHeight="1" spans="1:18">
      <c r="A708" s="7"/>
      <c r="B708" s="12"/>
      <c r="C708" s="33"/>
      <c r="D708" s="52" t="s">
        <v>513</v>
      </c>
      <c r="E708" s="53"/>
      <c r="F708" s="54">
        <f ca="1">IFERROR(VLOOKUP(F690,'RR-3.1-5TH'!$A$12:'RR-3.1-5TH'!$BN$111,17,0),"")</f>
        <v>1</v>
      </c>
      <c r="G708" s="54">
        <f ca="1">IFERROR(VLOOKUP(F690,'RR-3.1-5TH'!$A$12:'RR-3.1-5TH'!$BN$111,18,0),"")</f>
        <v>0</v>
      </c>
      <c r="H708" s="54">
        <f ca="1">IFERROR(VLOOKUP(F690,'RR-3.1-5TH'!$A$12:'RR-3.1-5TH'!$BN$111,19,0),"")</f>
        <v>0</v>
      </c>
      <c r="I708" s="54">
        <f ca="1">IFERROR(VLOOKUP(F690,'RR-3.1-5TH'!$A$12:'RR-3.1-5TH'!$BN$111,20,0),"")</f>
        <v>0</v>
      </c>
      <c r="J708" s="54">
        <f ca="1">IFERROR(VLOOKUP(F690,'RR-3.1-5TH'!$A$12:'RR-3.1-5TH'!$BN$111,21,0),"")</f>
        <v>17</v>
      </c>
      <c r="K708" s="54">
        <f ca="1">IFERROR(VLOOKUP(F690,'RR-3.1-5TH'!$A$12:'RR-3.1-5TH'!$BN$111,22,0),"")</f>
        <v>0</v>
      </c>
      <c r="L708" s="55">
        <f ca="1" t="shared" si="36"/>
        <v>18</v>
      </c>
      <c r="M708" s="56" t="str">
        <f ca="1">IF(F690&gt;ENTRY!$D$24,"",IF(L708=0,"Ab",IF(L708&gt;80,"A",IF(L708&gt;60,"B",IF(L708&gt;44,"C",IF(L708&gt;=33,"D",IF(L708&lt;=32,"E","")))))))</f>
        <v>E</v>
      </c>
      <c r="N708" s="58"/>
      <c r="O708" s="58"/>
      <c r="P708" s="59"/>
      <c r="Q708" s="19"/>
      <c r="R708" s="11"/>
    </row>
    <row r="709" s="1" customFormat="1" ht="21.95" customHeight="1" spans="1:18">
      <c r="A709" s="7"/>
      <c r="B709" s="12"/>
      <c r="C709" s="33"/>
      <c r="D709" s="52" t="s">
        <v>718</v>
      </c>
      <c r="E709" s="53"/>
      <c r="F709" s="54">
        <f ca="1">IFERROR(VLOOKUP(F690,'RR-3.1-5TH'!$A$12:'RR-3.1-5TH'!$BN$111,25,0),"")</f>
        <v>1</v>
      </c>
      <c r="G709" s="54">
        <f ca="1">IFERROR(VLOOKUP(F690,'RR-3.1-5TH'!$A$12:'RR-3.1-5TH'!$BN$111,26,0),"")</f>
        <v>0</v>
      </c>
      <c r="H709" s="54">
        <f ca="1">IFERROR(VLOOKUP(F690,'RR-3.1-5TH'!$A$12:'RR-3.1-5TH'!$BN$111,27,0),"")</f>
        <v>0</v>
      </c>
      <c r="I709" s="54">
        <f ca="1">IFERROR(VLOOKUP(F690,'RR-3.1-5TH'!$A$12:'RR-3.1-5TH'!$BN$111,28,0),"")</f>
        <v>0</v>
      </c>
      <c r="J709" s="54">
        <f ca="1">IFERROR(VLOOKUP(F690,'RR-3.1-5TH'!$A$12:'RR-3.1-5TH'!$BN$111,29,0),"")</f>
        <v>15</v>
      </c>
      <c r="K709" s="54">
        <f ca="1">IFERROR(VLOOKUP(F690,'RR-3.1-5TH'!$A$12:'RR-3.1-5TH'!$BN$111,30,0),"")</f>
        <v>0</v>
      </c>
      <c r="L709" s="55">
        <f ca="1" t="shared" si="36"/>
        <v>16</v>
      </c>
      <c r="M709" s="56" t="str">
        <f ca="1">IF(F690&gt;ENTRY!$D$24,"",IF(L709=0,"Ab",IF(L709&gt;80,"A",IF(L709&gt;60,"B",IF(L709&gt;44,"C",IF(L709&gt;=33,"D",IF(L709&lt;=32,"E","")))))))</f>
        <v>E</v>
      </c>
      <c r="N709" s="29"/>
      <c r="O709" s="29"/>
      <c r="P709" s="19"/>
      <c r="Q709" s="19"/>
      <c r="R709" s="11"/>
    </row>
    <row r="710" s="1" customFormat="1" ht="21.95" customHeight="1" spans="1:18">
      <c r="A710" s="7"/>
      <c r="B710" s="12"/>
      <c r="C710" s="33"/>
      <c r="D710" s="52" t="s">
        <v>719</v>
      </c>
      <c r="E710" s="53"/>
      <c r="F710" s="54">
        <f ca="1">IFERROR(VLOOKUP(F690,'RR-3.1-5TH'!$A$12:'RR-3.1-5TH'!$BN$111,33,0),"")</f>
        <v>2</v>
      </c>
      <c r="G710" s="54">
        <f ca="1">IFERROR(VLOOKUP(F690,'RR-3.1-5TH'!$A$12:'RR-3.1-5TH'!$BN$111,34,0),"")</f>
        <v>0</v>
      </c>
      <c r="H710" s="54">
        <f ca="1">IFERROR(VLOOKUP(F690,'RR-3.1-5TH'!$A$12:'RR-3.1-5TH'!$BN$111,35,0),"")</f>
        <v>0</v>
      </c>
      <c r="I710" s="54">
        <f ca="1">IFERROR(VLOOKUP(F690,'RR-3.1-5TH'!$A$12:'RR-3.1-5TH'!$BN$111,36,0),"")</f>
        <v>0</v>
      </c>
      <c r="J710" s="54">
        <f ca="1">IFERROR(VLOOKUP(F690,'RR-3.1-5TH'!$A$12:'RR-3.1-5TH'!$BN$111,37,0),"")</f>
        <v>15</v>
      </c>
      <c r="K710" s="54">
        <f ca="1">IFERROR(VLOOKUP(F690,'RR-3.1-5TH'!$A$12:'RR-3.1-5TH'!$BN$111,38,0),"")</f>
        <v>0</v>
      </c>
      <c r="L710" s="55">
        <f ca="1" t="shared" si="36"/>
        <v>17</v>
      </c>
      <c r="M710" s="56" t="str">
        <f ca="1">IF(F690&gt;ENTRY!$D$24,"",IF(L710=0,"Ab",IF(L710&gt;80,"A",IF(L710&gt;60,"B",IF(L710&gt;44,"C",IF(L710&gt;=33,"D",IF(L710&lt;=32,"E","")))))))</f>
        <v>E</v>
      </c>
      <c r="N710" s="29"/>
      <c r="O710" s="29"/>
      <c r="P710" s="19"/>
      <c r="Q710" s="19"/>
      <c r="R710" s="11"/>
    </row>
    <row r="711" s="1" customFormat="1" ht="21.95" customHeight="1" spans="1:18">
      <c r="A711" s="7"/>
      <c r="B711" s="12"/>
      <c r="C711" s="33"/>
      <c r="D711" s="52" t="s">
        <v>548</v>
      </c>
      <c r="E711" s="53"/>
      <c r="F711" s="54">
        <f ca="1">IFERROR(VLOOKUP(F690,'RR-3.1-5TH'!$A$12:'RR-3.1-5TH'!$BN$111,41,0),"")</f>
        <v>0</v>
      </c>
      <c r="G711" s="54">
        <f ca="1">IFERROR(VLOOKUP(F690,'RR-3.1-5TH'!$A$12:'RR-3.1-5TH'!$BN$111,42,0),"")</f>
        <v>0</v>
      </c>
      <c r="H711" s="54">
        <f ca="1">IFERROR(VLOOKUP(F690,'RR-3.1-5TH'!$A$12:'RR-3.1-5TH'!$BN$111,43,0),"")</f>
        <v>0</v>
      </c>
      <c r="I711" s="54">
        <f ca="1">IFERROR(VLOOKUP(F690,'RR-3.1-5TH'!$A$12:'RR-3.1-5TH'!$BN$111,44,0),"")</f>
        <v>0</v>
      </c>
      <c r="J711" s="54">
        <f ca="1">IFERROR(VLOOKUP(F690,'RR-3.1-5TH'!$A$12:'RR-3.1-5TH'!$BN$111,45,0),"")</f>
        <v>15</v>
      </c>
      <c r="K711" s="54">
        <f ca="1">IFERROR(VLOOKUP(F690,'RR-3.1-5TH'!$A$12:'RR-3.1-5TH'!$BN$111,46,0),"")</f>
        <v>0</v>
      </c>
      <c r="L711" s="55">
        <f ca="1" t="shared" si="36"/>
        <v>15</v>
      </c>
      <c r="M711" s="56" t="str">
        <f ca="1">IF(F690&gt;ENTRY!$D$24,"",IF(L711=0,"Ab",IF(L711&gt;80,"A",IF(L711&gt;60,"B",IF(L711&gt;44,"C",IF(L711&gt;=33,"D",IF(L711&lt;=32,"E","")))))))</f>
        <v>E</v>
      </c>
      <c r="N711" s="29"/>
      <c r="O711" s="29"/>
      <c r="P711" s="19"/>
      <c r="Q711" s="19"/>
      <c r="R711" s="11"/>
    </row>
    <row r="712" s="1" customFormat="1" ht="21.95" customHeight="1" spans="1:18">
      <c r="A712" s="7"/>
      <c r="B712" s="12"/>
      <c r="C712" s="33"/>
      <c r="D712" s="52" t="s">
        <v>549</v>
      </c>
      <c r="E712" s="53"/>
      <c r="F712" s="54">
        <f ca="1">IFERROR(VLOOKUP(F690,'RR-3.1-5TH'!$A$12:'RR-3.1-5TH'!$BN$111,49,0),"")</f>
        <v>1</v>
      </c>
      <c r="G712" s="54">
        <f ca="1">IFERROR(VLOOKUP(F690,'RR-3.1-5TH'!$A$12:'RR-3.1-5TH'!$BN$111,50,0),"")</f>
        <v>0</v>
      </c>
      <c r="H712" s="54">
        <f ca="1">IFERROR(VLOOKUP(F690,'RR-3.1-5TH'!$A$12:'RR-3.1-5TH'!$BN$111,51,0),"")</f>
        <v>0</v>
      </c>
      <c r="I712" s="54">
        <f ca="1">IFERROR(VLOOKUP(F690,'RR-3.1-5TH'!$A$12:'RR-3.1-5TH'!$BN$111,52,0),"")</f>
        <v>0</v>
      </c>
      <c r="J712" s="54">
        <f ca="1">IFERROR(VLOOKUP(F690,'RR-3.1-5TH'!$A$12:'RR-3.1-5TH'!$BN$111,53,0),"")</f>
        <v>28</v>
      </c>
      <c r="K712" s="54">
        <f ca="1">IFERROR(VLOOKUP(F690,'RR-3.1-5TH'!$A$12:'RR-3.1-5TH'!$BN$111,54,0),"")</f>
        <v>0</v>
      </c>
      <c r="L712" s="55">
        <f ca="1" t="shared" si="36"/>
        <v>29</v>
      </c>
      <c r="M712" s="56" t="str">
        <f ca="1">IF(F690&gt;ENTRY!$D$24,"",IF(L712=0,"Ab",IF(L712&gt;80,"A",IF(L712&gt;60,"B",IF(L712&gt;44,"C",IF(L712&gt;=33,"D",IF(L712&lt;=32,"E","")))))))</f>
        <v>E</v>
      </c>
      <c r="N712" s="57" t="s">
        <v>752</v>
      </c>
      <c r="O712" s="58"/>
      <c r="P712" s="59"/>
      <c r="Q712" s="19"/>
      <c r="R712" s="11"/>
    </row>
    <row r="713" s="1" customFormat="1" ht="21.95" customHeight="1" spans="1:18">
      <c r="A713" s="7"/>
      <c r="B713" s="12"/>
      <c r="C713" s="33"/>
      <c r="D713" s="52" t="s">
        <v>753</v>
      </c>
      <c r="E713" s="53"/>
      <c r="F713" s="60"/>
      <c r="G713" s="54"/>
      <c r="H713" s="54"/>
      <c r="I713" s="54"/>
      <c r="J713" s="54"/>
      <c r="K713" s="54"/>
      <c r="L713" s="55">
        <f t="shared" ref="L713" si="37">SUM(G713:K713)</f>
        <v>0</v>
      </c>
      <c r="M713" s="56" t="str">
        <f>IF(F690&gt;ENTRY!$D$24,"",IF(L713=0,"",IF(L713&gt;79,"A",IF(L713&gt;59,"B",IF(L713&gt;44,"C",IF(L713&gt;=33,"D",IF(L713&lt;=32,"E","")))))))</f>
        <v/>
      </c>
      <c r="N713" s="58"/>
      <c r="O713" s="58"/>
      <c r="P713" s="59"/>
      <c r="Q713" s="19"/>
      <c r="R713" s="11"/>
    </row>
    <row r="714" s="1" customFormat="1" ht="21.95" customHeight="1" spans="1:18">
      <c r="A714" s="7"/>
      <c r="B714" s="12"/>
      <c r="C714" s="33"/>
      <c r="D714" s="45" t="s">
        <v>382</v>
      </c>
      <c r="E714" s="46"/>
      <c r="F714" s="54">
        <f ca="1" t="shared" ref="F714:L714" si="38">IFERROR(SUM(F707:F713),"")</f>
        <v>6</v>
      </c>
      <c r="G714" s="54">
        <f ca="1" t="shared" si="38"/>
        <v>0</v>
      </c>
      <c r="H714" s="54">
        <f ca="1" t="shared" si="38"/>
        <v>0</v>
      </c>
      <c r="I714" s="54">
        <f ca="1" t="shared" si="38"/>
        <v>0</v>
      </c>
      <c r="J714" s="54">
        <f ca="1" t="shared" si="38"/>
        <v>138</v>
      </c>
      <c r="K714" s="54">
        <f ca="1" t="shared" si="38"/>
        <v>0</v>
      </c>
      <c r="L714" s="55">
        <f ca="1" t="shared" si="38"/>
        <v>144</v>
      </c>
      <c r="M714" s="61" t="str">
        <f ca="1">IF(F690&gt;ENTRY!$D$24,"",IF(N715="Ab","Ab",IF(N715&gt;79.5,"A",IF(N715&gt;59.5,"B",IF(N715&gt;44.5,"C",IF(N715&gt;=33,"D",IF(N715&lt;33,"E","")))))))</f>
        <v>E</v>
      </c>
      <c r="N714" s="62"/>
      <c r="O714" s="58"/>
      <c r="P714" s="59"/>
      <c r="Q714" s="19"/>
      <c r="R714" s="11"/>
    </row>
    <row r="715" s="1" customFormat="1" ht="21.95" customHeight="1" spans="1:18">
      <c r="A715" s="7"/>
      <c r="B715" s="12"/>
      <c r="C715" s="33"/>
      <c r="D715" s="63" t="s">
        <v>721</v>
      </c>
      <c r="E715" s="63"/>
      <c r="F715" s="63"/>
      <c r="G715" s="63"/>
      <c r="H715" s="63"/>
      <c r="I715" s="63"/>
      <c r="J715" s="63"/>
      <c r="K715" s="63"/>
      <c r="L715" s="63"/>
      <c r="M715" s="63"/>
      <c r="N715" s="64">
        <f ca="1">IF(L714="Ab","Ab",L714/6)</f>
        <v>24</v>
      </c>
      <c r="O715" s="65"/>
      <c r="P715" s="19"/>
      <c r="Q715" s="19"/>
      <c r="R715" s="11"/>
    </row>
    <row r="716" s="1" customFormat="1" ht="21.95" customHeight="1" spans="1:18">
      <c r="A716" s="7"/>
      <c r="B716" s="12"/>
      <c r="C716" s="33"/>
      <c r="D716" s="29" t="s">
        <v>716</v>
      </c>
      <c r="E716" s="18" t="str">
        <f>IFERROR(VLOOKUP(F690,'1to4-2.1-RR'!$A$12:$BG$111,57,0),"")</f>
        <v>PROMOTED</v>
      </c>
      <c r="F716" s="18"/>
      <c r="G716" s="18"/>
      <c r="H716" s="18"/>
      <c r="I716" s="18"/>
      <c r="J716" s="18"/>
      <c r="K716" s="18"/>
      <c r="L716" s="18"/>
      <c r="M716" s="18"/>
      <c r="N716" s="29"/>
      <c r="O716" s="29"/>
      <c r="P716" s="19"/>
      <c r="Q716" s="19"/>
      <c r="R716" s="11"/>
    </row>
    <row r="717" s="1" customFormat="1" ht="9.95" customHeight="1" spans="1:18">
      <c r="A717" s="7"/>
      <c r="B717" s="12"/>
      <c r="C717" s="33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19"/>
      <c r="Q717" s="19"/>
      <c r="R717" s="11"/>
    </row>
    <row r="718" s="1" customFormat="1" ht="36" spans="1:18">
      <c r="A718" s="7"/>
      <c r="B718" s="12"/>
      <c r="C718" s="33"/>
      <c r="D718" s="66" t="s">
        <v>576</v>
      </c>
      <c r="E718" s="67" t="s">
        <v>754</v>
      </c>
      <c r="F718" s="47">
        <f>IF(F690&gt;ENTRY!$D$24,"",IFERROR(VLOOKUP(F690,PASHEET!$A$4:$CJ$103,88,0),""))</f>
        <v>0</v>
      </c>
      <c r="G718" s="67" t="s">
        <v>755</v>
      </c>
      <c r="H718" s="47">
        <f>IF(F690&gt;ENTRY!$D$24,"",IFERROR(VLOOKUP(F690,PASHEET!$A$4:$CJ$103,87,0),""))</f>
        <v>0</v>
      </c>
      <c r="I718" s="68" t="s">
        <v>756</v>
      </c>
      <c r="J718" s="69" t="str">
        <f>IF(F690&gt;ENTRY!$D$24,"",IFERROR(IF(F690&gt;0,H718/F718*100),""))</f>
        <v/>
      </c>
      <c r="K718" s="60" t="s">
        <v>757</v>
      </c>
      <c r="L718" s="70">
        <f ca="1">IF(F690&gt;ENTRY!$D$24,"",IFERROR(L714/600*100,""))</f>
        <v>24</v>
      </c>
      <c r="M718" s="47" t="str">
        <f ca="1">IF(F690&gt;ENTRY!$D$24,"",IFERROR(L714&amp;" / "&amp;"600",""))</f>
        <v>144 / 600</v>
      </c>
      <c r="N718" s="29"/>
      <c r="O718" s="29"/>
      <c r="P718" s="19"/>
      <c r="Q718" s="19"/>
      <c r="R718" s="11"/>
    </row>
    <row r="719" s="1" customFormat="1" ht="9.95" customHeight="1" spans="1:18">
      <c r="A719" s="7"/>
      <c r="B719" s="12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1"/>
      <c r="Q719" s="19"/>
      <c r="R719" s="11"/>
    </row>
    <row r="720" s="1" customFormat="1" ht="9.95" customHeight="1" spans="1:18">
      <c r="A720" s="7"/>
      <c r="B720" s="12"/>
      <c r="C720" s="71"/>
      <c r="D720" s="71"/>
      <c r="E720" s="71"/>
      <c r="F720" s="29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19"/>
      <c r="R720" s="11"/>
    </row>
    <row r="721" s="1" customFormat="1" ht="9.95" customHeight="1" spans="1:19">
      <c r="A721" s="7"/>
      <c r="B721" s="12"/>
      <c r="C721" s="29"/>
      <c r="D721" s="29"/>
      <c r="E721" s="29"/>
      <c r="F721" s="72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19"/>
      <c r="R721" s="11"/>
    </row>
    <row r="722" s="1" customFormat="1" ht="9.95" customHeight="1" spans="1:19">
      <c r="A722" s="7"/>
      <c r="B722" s="12"/>
      <c r="C722" s="30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2"/>
      <c r="Q722" s="19"/>
      <c r="R722" s="11"/>
    </row>
    <row r="723" s="1" customFormat="1" ht="21.95" customHeight="1" spans="1:19">
      <c r="A723" s="7"/>
      <c r="B723" s="12"/>
      <c r="C723" s="73" t="s">
        <v>7</v>
      </c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74"/>
      <c r="Q723" s="19"/>
      <c r="R723" s="11"/>
      <c r="S723" s="2"/>
    </row>
    <row r="724" s="1" customFormat="1" ht="21.95" customHeight="1" spans="1:19">
      <c r="A724" s="7"/>
      <c r="B724" s="12"/>
      <c r="C724" s="33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19"/>
      <c r="Q724" s="19"/>
      <c r="R724" s="11"/>
    </row>
    <row r="725" s="1" customFormat="1" ht="21.95" customHeight="1" spans="1:19">
      <c r="A725" s="7"/>
      <c r="B725" s="12"/>
      <c r="C725" s="75" t="str">
        <f>"SESSION-"&amp;ENTRY!$D$11</f>
        <v>SESSION-2026-27</v>
      </c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76"/>
      <c r="Q725" s="19"/>
      <c r="R725" s="11"/>
    </row>
    <row r="726" s="1" customFormat="1" ht="18" customHeight="1" spans="1:19">
      <c r="A726" s="7"/>
      <c r="B726" s="12"/>
      <c r="C726" s="33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19"/>
      <c r="Q726" s="19"/>
      <c r="R726" s="11"/>
    </row>
    <row r="727" s="1" customFormat="1" ht="21.95" customHeight="1" spans="1:19">
      <c r="A727" s="7"/>
      <c r="B727" s="12"/>
      <c r="C727" s="33"/>
      <c r="D727" s="77" t="s">
        <v>758</v>
      </c>
      <c r="E727" s="77"/>
      <c r="F727" s="78" t="str">
        <f>IFERROR(PROPER(VLOOKUP(F690,STUDENT!$A$2:$BP$101,5,0)),"")</f>
        <v>Mohd Jisan</v>
      </c>
      <c r="G727" s="78"/>
      <c r="H727" s="78"/>
      <c r="I727" s="78"/>
      <c r="J727" s="78"/>
      <c r="K727" s="78"/>
      <c r="L727" s="78"/>
      <c r="M727" s="78"/>
      <c r="N727" s="79" t="s">
        <v>759</v>
      </c>
      <c r="O727" s="79"/>
      <c r="P727" s="19"/>
      <c r="Q727" s="19"/>
      <c r="R727" s="11"/>
    </row>
    <row r="728" s="1" customFormat="1" ht="21.95" customHeight="1" spans="1:19">
      <c r="A728" s="7"/>
      <c r="B728" s="12"/>
      <c r="C728" s="33"/>
      <c r="D728" s="80" t="s">
        <v>760</v>
      </c>
      <c r="E728" s="81" t="str">
        <f>IFERROR(PROPER(VLOOKUP(F690,STUDENT!$A$2:$BP$101,9,0)),"")</f>
        <v>Irfana Khatun</v>
      </c>
      <c r="F728" s="81"/>
      <c r="G728" s="81"/>
      <c r="H728" s="80" t="s">
        <v>761</v>
      </c>
      <c r="I728" s="82" t="str">
        <f>IFERROR(PROPER(VLOOKUP(F690,STUDENT!$A$2:$BP$101,8,0)),"")</f>
        <v>Md Zameel</v>
      </c>
      <c r="J728" s="82"/>
      <c r="K728" s="82"/>
      <c r="L728" s="82"/>
      <c r="M728" s="80" t="s">
        <v>762</v>
      </c>
      <c r="N728" s="83" t="str">
        <f>IFERROR(VLOOKUP(F690,STUDENT!$A$2:$BP$101,59,0),"")</f>
        <v/>
      </c>
      <c r="O728" s="83"/>
      <c r="P728" s="19"/>
      <c r="Q728" s="19"/>
      <c r="R728" s="11"/>
    </row>
    <row r="729" s="1" customFormat="1" ht="21.95" customHeight="1" spans="1:19">
      <c r="A729" s="7"/>
      <c r="B729" s="12"/>
      <c r="C729" s="33"/>
      <c r="D729" s="77" t="str">
        <f>"has    completed     his  /  her     primary     level     education    in    the    year    "&amp;RIGHT(ENTRY!$D695,4)&amp;"    from    ( School    Name )"</f>
        <v>has    completed     his  /  her     primary     level     education    in    the    year        from    ( School    Name )</v>
      </c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19"/>
      <c r="Q729" s="19"/>
      <c r="R729" s="11"/>
    </row>
    <row r="730" s="1" customFormat="1" ht="21.95" customHeight="1" spans="1:19">
      <c r="A730" s="7"/>
      <c r="B730" s="12"/>
      <c r="C730" s="33"/>
      <c r="D730" s="81" t="str">
        <f>IF(F690&gt;0,ENTRY!$D$6,"")</f>
        <v>MCP NITHARI NO 1 BOYS</v>
      </c>
      <c r="E730" s="81"/>
      <c r="F730" s="81"/>
      <c r="G730" s="81"/>
      <c r="H730" s="81"/>
      <c r="I730" s="81"/>
      <c r="J730" s="81"/>
      <c r="K730" s="81"/>
      <c r="L730" s="81"/>
      <c r="M730" s="80" t="s">
        <v>763</v>
      </c>
      <c r="N730" s="84">
        <f>IF(F690&gt;0,ENTRY!$D$7,"")</f>
        <v>0</v>
      </c>
      <c r="O730" s="84"/>
      <c r="P730" s="85" t="s">
        <v>727</v>
      </c>
      <c r="Q730" s="19"/>
      <c r="R730" s="11"/>
    </row>
    <row r="731" s="1" customFormat="1" ht="21.95" customHeight="1" spans="1:19">
      <c r="A731" s="7"/>
      <c r="B731" s="12"/>
      <c r="C731" s="33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19"/>
      <c r="Q731" s="19"/>
      <c r="R731" s="11"/>
    </row>
    <row r="732" s="1" customFormat="1" ht="21.95" customHeight="1" spans="1:19">
      <c r="A732" s="7"/>
      <c r="B732" s="12"/>
      <c r="C732" s="33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19"/>
      <c r="Q732" s="19"/>
      <c r="R732" s="11"/>
    </row>
    <row r="733" s="1" customFormat="1" ht="21.95" customHeight="1" spans="1:19">
      <c r="A733" s="7"/>
      <c r="B733" s="12"/>
      <c r="C733" s="33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19"/>
      <c r="Q733" s="19"/>
      <c r="R733" s="11"/>
    </row>
    <row r="734" s="1" customFormat="1" ht="21.95" customHeight="1" spans="1:19">
      <c r="A734" s="7"/>
      <c r="B734" s="12"/>
      <c r="C734" s="33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19"/>
      <c r="Q734" s="19"/>
      <c r="R734" s="11"/>
    </row>
    <row r="735" s="1" customFormat="1" ht="21.95" customHeight="1" spans="1:19">
      <c r="A735" s="7"/>
      <c r="B735" s="12"/>
      <c r="C735" s="33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19"/>
      <c r="Q735" s="19"/>
      <c r="R735" s="11"/>
    </row>
    <row r="736" s="1" customFormat="1" ht="21.95" customHeight="1" spans="1:19">
      <c r="A736" s="7"/>
      <c r="B736" s="12"/>
      <c r="C736" s="33"/>
      <c r="D736" s="80" t="s">
        <v>728</v>
      </c>
      <c r="E736" s="86">
        <f>ENTRY!$D$27</f>
        <v>46102</v>
      </c>
      <c r="F736" s="86"/>
      <c r="G736" s="29"/>
      <c r="H736" s="29"/>
      <c r="I736" s="29"/>
      <c r="J736" s="29"/>
      <c r="K736" s="29"/>
      <c r="L736" s="29"/>
      <c r="M736" s="87" t="s">
        <v>730</v>
      </c>
      <c r="N736" s="87"/>
      <c r="O736" s="87"/>
      <c r="P736" s="19"/>
      <c r="Q736" s="19"/>
      <c r="R736" s="11"/>
    </row>
    <row r="737" s="1" customFormat="1" ht="21.95" customHeight="1" spans="1:18">
      <c r="A737" s="7"/>
      <c r="B737" s="12"/>
      <c r="C737" s="33"/>
      <c r="D737" s="80" t="s">
        <v>731</v>
      </c>
      <c r="E737" s="88" t="str">
        <f>PROPER(ENTRY!$D$28)</f>
        <v>New Delhi</v>
      </c>
      <c r="F737" s="88"/>
      <c r="G737" s="29"/>
      <c r="H737" s="29"/>
      <c r="I737" s="29"/>
      <c r="J737" s="29"/>
      <c r="K737" s="29"/>
      <c r="L737" s="29"/>
      <c r="M737" s="89" t="s">
        <v>732</v>
      </c>
      <c r="N737" s="89"/>
      <c r="O737" s="89"/>
      <c r="P737" s="19"/>
      <c r="Q737" s="19"/>
      <c r="R737" s="11"/>
    </row>
    <row r="738" s="1" customFormat="1" ht="21.95" customHeight="1" spans="1:18">
      <c r="A738" s="7"/>
      <c r="B738" s="12"/>
      <c r="C738" s="90"/>
      <c r="D738" s="91"/>
      <c r="E738" s="91"/>
      <c r="F738" s="91"/>
      <c r="G738" s="91"/>
      <c r="H738" s="91"/>
      <c r="I738" s="91"/>
      <c r="J738" s="91"/>
      <c r="K738" s="91"/>
      <c r="L738" s="91"/>
      <c r="M738" s="91"/>
      <c r="N738" s="91"/>
      <c r="O738" s="91"/>
      <c r="P738" s="92"/>
      <c r="Q738" s="14"/>
      <c r="R738" s="11"/>
    </row>
    <row r="739" s="1" customFormat="1" ht="5.1" customHeight="1" spans="1:18">
      <c r="A739" s="7"/>
      <c r="B739" s="90"/>
      <c r="C739" s="91"/>
      <c r="D739" s="91"/>
      <c r="E739" s="91"/>
      <c r="F739" s="91"/>
      <c r="G739" s="91"/>
      <c r="H739" s="91"/>
      <c r="I739" s="91"/>
      <c r="J739" s="91"/>
      <c r="K739" s="91"/>
      <c r="L739" s="91"/>
      <c r="M739" s="91"/>
      <c r="N739" s="91"/>
      <c r="O739" s="91"/>
      <c r="P739" s="91"/>
      <c r="Q739" s="92"/>
      <c r="R739" s="11"/>
    </row>
    <row r="740" s="1" customFormat="1" ht="5.1" customHeight="1" spans="1:18">
      <c r="A740" s="93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5"/>
    </row>
    <row r="741" s="2" customFormat="1" ht="9.95" customHeight="1"/>
    <row r="742" s="1" customFormat="1" ht="5.1" customHeight="1" spans="1:18">
      <c r="A742" s="4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6"/>
    </row>
    <row r="743" s="1" customFormat="1" ht="15" customHeight="1" spans="1:18">
      <c r="A743" s="7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0"/>
      <c r="R743" s="11"/>
    </row>
    <row r="744" s="1" customFormat="1" ht="21.95" customHeight="1" spans="1:18">
      <c r="A744" s="7"/>
      <c r="B744" s="12"/>
      <c r="C744" s="13" t="s">
        <v>7</v>
      </c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4"/>
      <c r="R744" s="11"/>
    </row>
    <row r="745" s="1" customFormat="1" ht="21.95" customHeight="1" spans="1:18">
      <c r="A745" s="7"/>
      <c r="B745" s="1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14"/>
      <c r="R745" s="11"/>
    </row>
    <row r="746" s="1" customFormat="1" ht="21.95" customHeight="1" spans="1:18">
      <c r="A746" s="7"/>
      <c r="B746" s="12"/>
      <c r="C746" s="15" t="str">
        <f>"SESSION-"&amp;ENTRY!$D$11</f>
        <v>SESSION-2026-27</v>
      </c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4"/>
      <c r="R746" s="11"/>
    </row>
    <row r="747" s="1" customFormat="1" ht="21.95" customHeight="1" spans="1:18">
      <c r="A747" s="7"/>
      <c r="B747" s="12"/>
      <c r="C747" s="2"/>
      <c r="D747" s="2"/>
      <c r="E747" s="2"/>
      <c r="F747" s="16">
        <f>F690+1</f>
        <v>14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14"/>
      <c r="R747" s="11"/>
    </row>
    <row r="748" s="1" customFormat="1" ht="21.95" customHeight="1" spans="1:18">
      <c r="A748" s="7"/>
      <c r="B748" s="12"/>
      <c r="C748" s="17" t="s">
        <v>392</v>
      </c>
      <c r="D748" s="17"/>
      <c r="E748" s="17"/>
      <c r="F748" s="18" t="str">
        <f>IF(F747&gt;0,ENTRY!$D$6,"")</f>
        <v>MCP NITHARI NO 1 BOYS</v>
      </c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9"/>
      <c r="R748" s="11"/>
    </row>
    <row r="749" s="1" customFormat="1" ht="21.95" customHeight="1" spans="1:18">
      <c r="A749" s="7"/>
      <c r="B749" s="12"/>
      <c r="C749" s="17" t="s">
        <v>393</v>
      </c>
      <c r="D749" s="17"/>
      <c r="E749" s="17"/>
      <c r="F749" s="18">
        <f>IF(F747&gt;0,ENTRY!$D$7,"")</f>
        <v>0</v>
      </c>
      <c r="G749" s="18"/>
      <c r="H749" s="20" t="s">
        <v>702</v>
      </c>
      <c r="I749" s="20"/>
      <c r="J749" s="21">
        <f>IF(F747&gt;0,ENTRY!$D$10,"")</f>
        <v>40</v>
      </c>
      <c r="K749" s="20" t="s">
        <v>703</v>
      </c>
      <c r="L749" s="22" t="str">
        <f>IF(F747&gt;0,ENTRY!$D$5,"")</f>
        <v>ROHINI ZONE</v>
      </c>
      <c r="M749" s="22"/>
      <c r="N749" s="22"/>
      <c r="O749" s="22"/>
      <c r="P749" s="22"/>
      <c r="Q749" s="19"/>
      <c r="R749" s="11"/>
    </row>
    <row r="750" s="1" customFormat="1" ht="21.95" customHeight="1" spans="1:18">
      <c r="A750" s="7"/>
      <c r="B750" s="12"/>
      <c r="C750" s="17" t="s">
        <v>706</v>
      </c>
      <c r="D750" s="17"/>
      <c r="E750" s="17"/>
      <c r="F750" s="23" t="str">
        <f>IFERROR(VLOOKUP(F747,STUDENT!$A$2:$BP$101,5,0),"")</f>
        <v>KARN KUMAR</v>
      </c>
      <c r="G750" s="23"/>
      <c r="H750" s="23"/>
      <c r="I750" s="23"/>
      <c r="J750" s="23"/>
      <c r="K750" s="23"/>
      <c r="L750" s="20" t="s">
        <v>707</v>
      </c>
      <c r="M750" s="20"/>
      <c r="N750" s="24" t="str">
        <f>IF(F747&gt;0,ENTRY!$D$20&amp;"-"&amp;ENTRY!$D$21,"")</f>
        <v>III-A</v>
      </c>
      <c r="O750" s="24"/>
      <c r="P750" s="24"/>
      <c r="Q750" s="19"/>
      <c r="R750" s="11"/>
    </row>
    <row r="751" s="1" customFormat="1" ht="21.95" customHeight="1" spans="1:18">
      <c r="A751" s="7"/>
      <c r="B751" s="12"/>
      <c r="C751" s="17" t="s">
        <v>708</v>
      </c>
      <c r="D751" s="17"/>
      <c r="E751" s="17"/>
      <c r="F751" s="25">
        <f>IFERROR(VLOOKUP(F747,STUDENT!$A$2:$BP$101,6,0),"")</f>
        <v>14745</v>
      </c>
      <c r="G751" s="25"/>
      <c r="H751" s="26" t="s">
        <v>709</v>
      </c>
      <c r="I751" s="27" t="str">
        <f>IFERROR(VLOOKUP(F747,STUDENT!$A$2:$BP$101,59,0),"")</f>
        <v/>
      </c>
      <c r="J751" s="27"/>
      <c r="K751" s="20" t="s">
        <v>710</v>
      </c>
      <c r="L751" s="20"/>
      <c r="M751" s="28">
        <f>IFERROR(VLOOKUP(F747,STUDENT!$A$2:$BP$101,20,0),"")</f>
        <v>8595365124</v>
      </c>
      <c r="N751" s="28"/>
      <c r="O751" s="28"/>
      <c r="P751" s="28"/>
      <c r="Q751" s="19"/>
      <c r="R751" s="11"/>
    </row>
    <row r="752" s="1" customFormat="1" ht="21.95" customHeight="1" spans="1:18">
      <c r="A752" s="7"/>
      <c r="B752" s="12"/>
      <c r="C752" s="17" t="s">
        <v>711</v>
      </c>
      <c r="D752" s="17"/>
      <c r="E752" s="17"/>
      <c r="F752" s="23" t="str">
        <f>IFERROR(VLOOKUP(F747,STUDENT!$A$2:$BP$101,9,0),"")</f>
        <v>RAGINI DEVI</v>
      </c>
      <c r="G752" s="23"/>
      <c r="H752" s="23"/>
      <c r="I752" s="23"/>
      <c r="J752" s="17" t="s">
        <v>620</v>
      </c>
      <c r="K752" s="17"/>
      <c r="L752" s="23" t="str">
        <f>IFERROR(VLOOKUP(F747,STUDENT!$A$2:$BP$101,8,0),"")</f>
        <v>MUKESH RAY</v>
      </c>
      <c r="M752" s="23"/>
      <c r="N752" s="23"/>
      <c r="O752" s="23"/>
      <c r="P752" s="23"/>
      <c r="Q752" s="19"/>
      <c r="R752" s="11"/>
    </row>
    <row r="753" s="1" customFormat="1" ht="21.95" customHeight="1" spans="1:18">
      <c r="A753" s="7"/>
      <c r="B753" s="12"/>
      <c r="C753" s="17" t="s">
        <v>712</v>
      </c>
      <c r="D753" s="17"/>
      <c r="E753" s="17"/>
      <c r="F753" s="23" t="str">
        <f>IFERROR(VLOOKUP(F747,STUDENT!$A$2:$BP$101,22,0),"")</f>
        <v>B-309,BALJEET VIHAR,KIRARI,DELHI</v>
      </c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19"/>
      <c r="R753" s="11"/>
    </row>
    <row r="754" s="1" customFormat="1" ht="9.95" customHeight="1" spans="1:18">
      <c r="A754" s="7"/>
      <c r="B754" s="12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19"/>
      <c r="R754" s="11"/>
    </row>
    <row r="755" s="1" customFormat="1" ht="9.95" customHeight="1" spans="1:18">
      <c r="A755" s="7"/>
      <c r="B755" s="12"/>
      <c r="C755" s="30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2"/>
      <c r="Q755" s="19"/>
      <c r="R755" s="11"/>
    </row>
    <row r="756" s="1" customFormat="1" ht="21.95" customHeight="1" spans="1:18">
      <c r="A756" s="7"/>
      <c r="B756" s="12"/>
      <c r="C756" s="33"/>
      <c r="D756" s="34" t="s">
        <v>713</v>
      </c>
      <c r="E756" s="20" t="s">
        <v>714</v>
      </c>
      <c r="F756" s="35" t="str">
        <f>"Level - "&amp;IFERROR(VLOOKUP(F747,FLN!$A$4:$K$103,9,0),"")</f>
        <v>Level - 2</v>
      </c>
      <c r="G756" s="36"/>
      <c r="H756" s="37" t="s">
        <v>715</v>
      </c>
      <c r="I756" s="20"/>
      <c r="J756" s="35" t="str">
        <f>"Level - "&amp;IFERROR(VLOOKUP(F747,FLN!$A$4:$K$103,11,0),"")</f>
        <v>Level - 3</v>
      </c>
      <c r="K756" s="36"/>
      <c r="L756" s="37" t="s">
        <v>408</v>
      </c>
      <c r="M756" s="20"/>
      <c r="N756" s="35" t="str">
        <f>"Level - "&amp;IFERROR(VLOOKUP(F747,FLN!$A$4:$K$103,10,0),"")</f>
        <v>Level - 2</v>
      </c>
      <c r="O756" s="36"/>
      <c r="P756" s="19"/>
      <c r="Q756" s="19"/>
      <c r="R756" s="11"/>
    </row>
    <row r="757" s="1" customFormat="1" ht="21.95" customHeight="1" spans="1:18">
      <c r="A757" s="7"/>
      <c r="B757" s="12"/>
      <c r="C757" s="33"/>
      <c r="D757" s="38"/>
      <c r="E757" s="20" t="s">
        <v>716</v>
      </c>
      <c r="F757" s="18" t="str">
        <f ca="1">IF(L771&gt;197,"PERFORMED WELL","")</f>
        <v/>
      </c>
      <c r="G757" s="18"/>
      <c r="H757" s="18"/>
      <c r="I757" s="18"/>
      <c r="J757" s="18"/>
      <c r="K757" s="18"/>
      <c r="L757" s="18"/>
      <c r="M757" s="18"/>
      <c r="N757" s="18"/>
      <c r="O757" s="18"/>
      <c r="P757" s="19"/>
      <c r="Q757" s="19"/>
      <c r="R757" s="11"/>
    </row>
    <row r="758" s="1" customFormat="1" ht="9.95" customHeight="1" spans="1:18">
      <c r="A758" s="7"/>
      <c r="B758" s="12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1"/>
      <c r="Q758" s="19"/>
      <c r="R758" s="11"/>
    </row>
    <row r="759" s="1" customFormat="1" ht="9.95" customHeight="1" spans="1:18">
      <c r="A759" s="7"/>
      <c r="B759" s="12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19"/>
      <c r="R759" s="11"/>
    </row>
    <row r="760" s="1" customFormat="1" ht="9.95" customHeight="1" spans="1:18">
      <c r="A760" s="7"/>
      <c r="B760" s="12"/>
      <c r="C760" s="30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2"/>
      <c r="Q760" s="19"/>
      <c r="R760" s="11"/>
    </row>
    <row r="761" s="1" customFormat="1" ht="21.95" customHeight="1" spans="1:18">
      <c r="A761" s="7"/>
      <c r="B761" s="12"/>
      <c r="C761" s="33"/>
      <c r="D761" s="35"/>
      <c r="E761" s="24"/>
      <c r="F761" s="42" t="s">
        <v>717</v>
      </c>
      <c r="G761" s="42"/>
      <c r="H761" s="42"/>
      <c r="I761" s="42"/>
      <c r="J761" s="42"/>
      <c r="K761" s="42"/>
      <c r="L761" s="43"/>
      <c r="M761" s="44"/>
      <c r="N761" s="29"/>
      <c r="O761" s="29"/>
      <c r="P761" s="19"/>
      <c r="Q761" s="19"/>
      <c r="R761" s="11"/>
    </row>
    <row r="762" s="1" customFormat="1" ht="21.95" customHeight="1" spans="1:18">
      <c r="A762" s="7"/>
      <c r="B762" s="12"/>
      <c r="C762" s="33"/>
      <c r="D762" s="45"/>
      <c r="E762" s="46"/>
      <c r="F762" s="47" t="s">
        <v>541</v>
      </c>
      <c r="G762" s="47" t="s">
        <v>542</v>
      </c>
      <c r="H762" s="47" t="s">
        <v>543</v>
      </c>
      <c r="I762" s="47" t="s">
        <v>544</v>
      </c>
      <c r="J762" s="47" t="s">
        <v>561</v>
      </c>
      <c r="K762" s="48" t="s">
        <v>750</v>
      </c>
      <c r="L762" s="47" t="s">
        <v>382</v>
      </c>
      <c r="M762" s="49" t="s">
        <v>546</v>
      </c>
      <c r="N762" s="29"/>
      <c r="O762" s="29"/>
      <c r="P762" s="19"/>
      <c r="Q762" s="19"/>
      <c r="R762" s="11"/>
    </row>
    <row r="763" s="1" customFormat="1" ht="21.95" customHeight="1" spans="1:18">
      <c r="A763" s="7"/>
      <c r="B763" s="12"/>
      <c r="C763" s="33"/>
      <c r="D763" s="45" t="s">
        <v>652</v>
      </c>
      <c r="E763" s="46"/>
      <c r="F763" s="50">
        <v>10</v>
      </c>
      <c r="G763" s="50">
        <v>10</v>
      </c>
      <c r="H763" s="50">
        <v>10</v>
      </c>
      <c r="I763" s="50">
        <v>10</v>
      </c>
      <c r="J763" s="50">
        <v>60</v>
      </c>
      <c r="K763" s="51"/>
      <c r="L763" s="50">
        <v>100</v>
      </c>
      <c r="M763" s="49"/>
      <c r="N763" s="29"/>
      <c r="O763" s="29"/>
      <c r="P763" s="19"/>
      <c r="Q763" s="19"/>
      <c r="R763" s="11"/>
    </row>
    <row r="764" s="1" customFormat="1" ht="21.95" customHeight="1" spans="1:18">
      <c r="A764" s="7"/>
      <c r="B764" s="12"/>
      <c r="C764" s="33"/>
      <c r="D764" s="52" t="s">
        <v>751</v>
      </c>
      <c r="E764" s="53"/>
      <c r="F764" s="54">
        <f ca="1">IFERROR(VLOOKUP(F747,'RR-3.1-5TH'!$A$12:'RR-3.1-5TH'!$BN$111,9,0),"")</f>
        <v>1</v>
      </c>
      <c r="G764" s="54">
        <f ca="1">IFERROR(VLOOKUP(F747,'RR-3.1-5TH'!$A$12:'RR-3.1-5TH'!$BN$111,10,0),"")</f>
        <v>0</v>
      </c>
      <c r="H764" s="54">
        <f ca="1">IFERROR(VLOOKUP(F747,'RR-3.1-5TH'!$A$12:'RR-3.1-5TH'!$BN$111,11,0),"")</f>
        <v>0</v>
      </c>
      <c r="I764" s="54">
        <f ca="1">IFERROR(VLOOKUP(F747,'RR-3.1-5TH'!$A$12:'RR-3.1-5TH'!$BN$111,12,0),"")</f>
        <v>0</v>
      </c>
      <c r="J764" s="54">
        <f ca="1">IFERROR(VLOOKUP(F747,'RR-3.1-5TH'!$A$12:'RR-3.1-5TH'!$BN$111,13,0),"")</f>
        <v>31</v>
      </c>
      <c r="K764" s="54">
        <f ca="1">IFERROR(VLOOKUP(F747,'RR-3.1-5TH'!$A$12:'RR-3.1-5TH'!$BN$111,14,0),"")</f>
        <v>0</v>
      </c>
      <c r="L764" s="55">
        <f ca="1" t="shared" ref="L764:L769" si="39">SUM(F764,G764,H764,I764,J764,K764)</f>
        <v>32</v>
      </c>
      <c r="M764" s="56" t="str">
        <f ca="1">IF(F747&gt;ENTRY!$D$24,"",IF(L764=0,"Ab",IF(L764&gt;80,"A",IF(L764&gt;60,"B",IF(L764&gt;44,"C",IF(L764&gt;=33,"D",IF(L764&lt;=32,"E","")))))))</f>
        <v>E</v>
      </c>
      <c r="N764" s="57" t="s">
        <v>729</v>
      </c>
      <c r="O764" s="58"/>
      <c r="P764" s="59"/>
      <c r="Q764" s="19"/>
      <c r="R764" s="11"/>
    </row>
    <row r="765" s="1" customFormat="1" ht="21.95" customHeight="1" spans="1:18">
      <c r="A765" s="7"/>
      <c r="B765" s="12"/>
      <c r="C765" s="33"/>
      <c r="D765" s="52" t="s">
        <v>513</v>
      </c>
      <c r="E765" s="53"/>
      <c r="F765" s="54">
        <f ca="1">IFERROR(VLOOKUP(F747,'RR-3.1-5TH'!$A$12:'RR-3.1-5TH'!$BN$111,17,0),"")</f>
        <v>1</v>
      </c>
      <c r="G765" s="54">
        <f ca="1">IFERROR(VLOOKUP(F747,'RR-3.1-5TH'!$A$12:'RR-3.1-5TH'!$BN$111,18,0),"")</f>
        <v>0</v>
      </c>
      <c r="H765" s="54">
        <f ca="1">IFERROR(VLOOKUP(F747,'RR-3.1-5TH'!$A$12:'RR-3.1-5TH'!$BN$111,19,0),"")</f>
        <v>0</v>
      </c>
      <c r="I765" s="54">
        <f ca="1">IFERROR(VLOOKUP(F747,'RR-3.1-5TH'!$A$12:'RR-3.1-5TH'!$BN$111,20,0),"")</f>
        <v>0</v>
      </c>
      <c r="J765" s="54">
        <f ca="1">IFERROR(VLOOKUP(F747,'RR-3.1-5TH'!$A$12:'RR-3.1-5TH'!$BN$111,21,0),"")</f>
        <v>15</v>
      </c>
      <c r="K765" s="54">
        <f ca="1">IFERROR(VLOOKUP(F747,'RR-3.1-5TH'!$A$12:'RR-3.1-5TH'!$BN$111,22,0),"")</f>
        <v>0</v>
      </c>
      <c r="L765" s="55">
        <f ca="1" t="shared" si="39"/>
        <v>16</v>
      </c>
      <c r="M765" s="56" t="str">
        <f ca="1">IF(F747&gt;ENTRY!$D$24,"",IF(L765=0,"Ab",IF(L765&gt;80,"A",IF(L765&gt;60,"B",IF(L765&gt;44,"C",IF(L765&gt;=33,"D",IF(L765&lt;=32,"E","")))))))</f>
        <v>E</v>
      </c>
      <c r="N765" s="58"/>
      <c r="O765" s="58"/>
      <c r="P765" s="59"/>
      <c r="Q765" s="19"/>
      <c r="R765" s="11"/>
    </row>
    <row r="766" s="1" customFormat="1" ht="21.95" customHeight="1" spans="1:18">
      <c r="A766" s="7"/>
      <c r="B766" s="12"/>
      <c r="C766" s="33"/>
      <c r="D766" s="52" t="s">
        <v>718</v>
      </c>
      <c r="E766" s="53"/>
      <c r="F766" s="54">
        <f ca="1">IFERROR(VLOOKUP(F747,'RR-3.1-5TH'!$A$12:'RR-3.1-5TH'!$BN$111,25,0),"")</f>
        <v>1</v>
      </c>
      <c r="G766" s="54">
        <f ca="1">IFERROR(VLOOKUP(F747,'RR-3.1-5TH'!$A$12:'RR-3.1-5TH'!$BN$111,26,0),"")</f>
        <v>0</v>
      </c>
      <c r="H766" s="54">
        <f ca="1">IFERROR(VLOOKUP(F747,'RR-3.1-5TH'!$A$12:'RR-3.1-5TH'!$BN$111,27,0),"")</f>
        <v>0</v>
      </c>
      <c r="I766" s="54">
        <f ca="1">IFERROR(VLOOKUP(F747,'RR-3.1-5TH'!$A$12:'RR-3.1-5TH'!$BN$111,28,0),"")</f>
        <v>0</v>
      </c>
      <c r="J766" s="54">
        <f ca="1">IFERROR(VLOOKUP(F747,'RR-3.1-5TH'!$A$12:'RR-3.1-5TH'!$BN$111,29,0),"")</f>
        <v>15</v>
      </c>
      <c r="K766" s="54">
        <f ca="1">IFERROR(VLOOKUP(F747,'RR-3.1-5TH'!$A$12:'RR-3.1-5TH'!$BN$111,30,0),"")</f>
        <v>0</v>
      </c>
      <c r="L766" s="55">
        <f ca="1" t="shared" si="39"/>
        <v>16</v>
      </c>
      <c r="M766" s="56" t="str">
        <f ca="1">IF(F747&gt;ENTRY!$D$24,"",IF(L766=0,"Ab",IF(L766&gt;80,"A",IF(L766&gt;60,"B",IF(L766&gt;44,"C",IF(L766&gt;=33,"D",IF(L766&lt;=32,"E","")))))))</f>
        <v>E</v>
      </c>
      <c r="N766" s="29"/>
      <c r="O766" s="29"/>
      <c r="P766" s="19"/>
      <c r="Q766" s="19"/>
      <c r="R766" s="11"/>
    </row>
    <row r="767" s="1" customFormat="1" ht="21.95" customHeight="1" spans="1:18">
      <c r="A767" s="7"/>
      <c r="B767" s="12"/>
      <c r="C767" s="33"/>
      <c r="D767" s="52" t="s">
        <v>719</v>
      </c>
      <c r="E767" s="53"/>
      <c r="F767" s="54">
        <f ca="1">IFERROR(VLOOKUP(F747,'RR-3.1-5TH'!$A$12:'RR-3.1-5TH'!$BN$111,33,0),"")</f>
        <v>1</v>
      </c>
      <c r="G767" s="54">
        <f ca="1">IFERROR(VLOOKUP(F747,'RR-3.1-5TH'!$A$12:'RR-3.1-5TH'!$BN$111,34,0),"")</f>
        <v>0</v>
      </c>
      <c r="H767" s="54">
        <f ca="1">IFERROR(VLOOKUP(F747,'RR-3.1-5TH'!$A$12:'RR-3.1-5TH'!$BN$111,35,0),"")</f>
        <v>0</v>
      </c>
      <c r="I767" s="54">
        <f ca="1">IFERROR(VLOOKUP(F747,'RR-3.1-5TH'!$A$12:'RR-3.1-5TH'!$BN$111,36,0),"")</f>
        <v>0</v>
      </c>
      <c r="J767" s="54">
        <f ca="1">IFERROR(VLOOKUP(F747,'RR-3.1-5TH'!$A$12:'RR-3.1-5TH'!$BN$111,37,0),"")</f>
        <v>20</v>
      </c>
      <c r="K767" s="54">
        <f ca="1">IFERROR(VLOOKUP(F747,'RR-3.1-5TH'!$A$12:'RR-3.1-5TH'!$BN$111,38,0),"")</f>
        <v>0</v>
      </c>
      <c r="L767" s="55">
        <f ca="1" t="shared" si="39"/>
        <v>21</v>
      </c>
      <c r="M767" s="56" t="str">
        <f ca="1">IF(F747&gt;ENTRY!$D$24,"",IF(L767=0,"Ab",IF(L767&gt;80,"A",IF(L767&gt;60,"B",IF(L767&gt;44,"C",IF(L767&gt;=33,"D",IF(L767&lt;=32,"E","")))))))</f>
        <v>E</v>
      </c>
      <c r="N767" s="29"/>
      <c r="O767" s="29"/>
      <c r="P767" s="19"/>
      <c r="Q767" s="19"/>
      <c r="R767" s="11"/>
    </row>
    <row r="768" s="1" customFormat="1" ht="21.95" customHeight="1" spans="1:18">
      <c r="A768" s="7"/>
      <c r="B768" s="12"/>
      <c r="C768" s="33"/>
      <c r="D768" s="52" t="s">
        <v>548</v>
      </c>
      <c r="E768" s="53"/>
      <c r="F768" s="54">
        <f ca="1">IFERROR(VLOOKUP(F747,'RR-3.1-5TH'!$A$12:'RR-3.1-5TH'!$BN$111,41,0),"")</f>
        <v>0</v>
      </c>
      <c r="G768" s="54">
        <f ca="1">IFERROR(VLOOKUP(F747,'RR-3.1-5TH'!$A$12:'RR-3.1-5TH'!$BN$111,42,0),"")</f>
        <v>0</v>
      </c>
      <c r="H768" s="54">
        <f ca="1">IFERROR(VLOOKUP(F747,'RR-3.1-5TH'!$A$12:'RR-3.1-5TH'!$BN$111,43,0),"")</f>
        <v>0</v>
      </c>
      <c r="I768" s="54">
        <f ca="1">IFERROR(VLOOKUP(F747,'RR-3.1-5TH'!$A$12:'RR-3.1-5TH'!$BN$111,44,0),"")</f>
        <v>0</v>
      </c>
      <c r="J768" s="54">
        <f ca="1">IFERROR(VLOOKUP(F747,'RR-3.1-5TH'!$A$12:'RR-3.1-5TH'!$BN$111,45,0),"")</f>
        <v>21</v>
      </c>
      <c r="K768" s="54">
        <f ca="1">IFERROR(VLOOKUP(F747,'RR-3.1-5TH'!$A$12:'RR-3.1-5TH'!$BN$111,46,0),"")</f>
        <v>0</v>
      </c>
      <c r="L768" s="55">
        <f ca="1" t="shared" si="39"/>
        <v>21</v>
      </c>
      <c r="M768" s="56" t="str">
        <f ca="1">IF(F747&gt;ENTRY!$D$24,"",IF(L768=0,"Ab",IF(L768&gt;80,"A",IF(L768&gt;60,"B",IF(L768&gt;44,"C",IF(L768&gt;=33,"D",IF(L768&lt;=32,"E","")))))))</f>
        <v>E</v>
      </c>
      <c r="N768" s="29"/>
      <c r="O768" s="29"/>
      <c r="P768" s="19"/>
      <c r="Q768" s="19"/>
      <c r="R768" s="11"/>
    </row>
    <row r="769" s="1" customFormat="1" ht="21.95" customHeight="1" spans="1:19">
      <c r="A769" s="7"/>
      <c r="B769" s="12"/>
      <c r="C769" s="33"/>
      <c r="D769" s="52" t="s">
        <v>549</v>
      </c>
      <c r="E769" s="53"/>
      <c r="F769" s="54">
        <f ca="1">IFERROR(VLOOKUP(F747,'RR-3.1-5TH'!$A$12:'RR-3.1-5TH'!$BN$111,49,0),"")</f>
        <v>2</v>
      </c>
      <c r="G769" s="54">
        <f ca="1">IFERROR(VLOOKUP(F747,'RR-3.1-5TH'!$A$12:'RR-3.1-5TH'!$BN$111,50,0),"")</f>
        <v>0</v>
      </c>
      <c r="H769" s="54">
        <f ca="1">IFERROR(VLOOKUP(F747,'RR-3.1-5TH'!$A$12:'RR-3.1-5TH'!$BN$111,51,0),"")</f>
        <v>0</v>
      </c>
      <c r="I769" s="54">
        <f ca="1">IFERROR(VLOOKUP(F747,'RR-3.1-5TH'!$A$12:'RR-3.1-5TH'!$BN$111,52,0),"")</f>
        <v>0</v>
      </c>
      <c r="J769" s="54">
        <f ca="1">IFERROR(VLOOKUP(F747,'RR-3.1-5TH'!$A$12:'RR-3.1-5TH'!$BN$111,53,0),"")</f>
        <v>25</v>
      </c>
      <c r="K769" s="54">
        <f ca="1">IFERROR(VLOOKUP(F747,'RR-3.1-5TH'!$A$12:'RR-3.1-5TH'!$BN$111,54,0),"")</f>
        <v>0</v>
      </c>
      <c r="L769" s="55">
        <f ca="1" t="shared" si="39"/>
        <v>27</v>
      </c>
      <c r="M769" s="56" t="str">
        <f ca="1">IF(F747&gt;ENTRY!$D$24,"",IF(L769=0,"Ab",IF(L769&gt;80,"A",IF(L769&gt;60,"B",IF(L769&gt;44,"C",IF(L769&gt;=33,"D",IF(L769&lt;=32,"E","")))))))</f>
        <v>E</v>
      </c>
      <c r="N769" s="57" t="s">
        <v>752</v>
      </c>
      <c r="O769" s="58"/>
      <c r="P769" s="59"/>
      <c r="Q769" s="19"/>
      <c r="R769" s="11"/>
    </row>
    <row r="770" s="1" customFormat="1" ht="21.95" customHeight="1" spans="1:19">
      <c r="A770" s="7"/>
      <c r="B770" s="12"/>
      <c r="C770" s="33"/>
      <c r="D770" s="52" t="s">
        <v>753</v>
      </c>
      <c r="E770" s="53"/>
      <c r="F770" s="60"/>
      <c r="G770" s="54"/>
      <c r="H770" s="54"/>
      <c r="I770" s="54"/>
      <c r="J770" s="54"/>
      <c r="K770" s="54"/>
      <c r="L770" s="55">
        <f t="shared" ref="L770" si="40">SUM(G770:K770)</f>
        <v>0</v>
      </c>
      <c r="M770" s="56" t="str">
        <f>IF(F747&gt;ENTRY!$D$24,"",IF(L770=0,"",IF(L770&gt;79,"A",IF(L770&gt;59,"B",IF(L770&gt;44,"C",IF(L770&gt;=33,"D",IF(L770&lt;=32,"E","")))))))</f>
        <v/>
      </c>
      <c r="N770" s="58"/>
      <c r="O770" s="58"/>
      <c r="P770" s="59"/>
      <c r="Q770" s="19"/>
      <c r="R770" s="11"/>
    </row>
    <row r="771" s="1" customFormat="1" ht="21.95" customHeight="1" spans="1:19">
      <c r="A771" s="7"/>
      <c r="B771" s="12"/>
      <c r="C771" s="33"/>
      <c r="D771" s="45" t="s">
        <v>382</v>
      </c>
      <c r="E771" s="46"/>
      <c r="F771" s="54">
        <f ca="1" t="shared" ref="F771:L771" si="41">IFERROR(SUM(F764:F770),"")</f>
        <v>6</v>
      </c>
      <c r="G771" s="54">
        <f ca="1" t="shared" si="41"/>
        <v>0</v>
      </c>
      <c r="H771" s="54">
        <f ca="1" t="shared" si="41"/>
        <v>0</v>
      </c>
      <c r="I771" s="54">
        <f ca="1" t="shared" si="41"/>
        <v>0</v>
      </c>
      <c r="J771" s="54">
        <f ca="1" t="shared" si="41"/>
        <v>127</v>
      </c>
      <c r="K771" s="54">
        <f ca="1" t="shared" si="41"/>
        <v>0</v>
      </c>
      <c r="L771" s="55">
        <f ca="1" t="shared" si="41"/>
        <v>133</v>
      </c>
      <c r="M771" s="61" t="str">
        <f ca="1">IF(F747&gt;ENTRY!$D$24,"",IF(N772="Ab","Ab",IF(N772&gt;79.5,"A",IF(N772&gt;59.5,"B",IF(N772&gt;44.5,"C",IF(N772&gt;=33,"D",IF(N772&lt;33,"E","")))))))</f>
        <v>E</v>
      </c>
      <c r="N771" s="62"/>
      <c r="O771" s="58"/>
      <c r="P771" s="59"/>
      <c r="Q771" s="19"/>
      <c r="R771" s="11"/>
    </row>
    <row r="772" s="1" customFormat="1" ht="21.95" customHeight="1" spans="1:19">
      <c r="A772" s="7"/>
      <c r="B772" s="12"/>
      <c r="C772" s="33"/>
      <c r="D772" s="63" t="s">
        <v>721</v>
      </c>
      <c r="E772" s="63"/>
      <c r="F772" s="63"/>
      <c r="G772" s="63"/>
      <c r="H772" s="63"/>
      <c r="I772" s="63"/>
      <c r="J772" s="63"/>
      <c r="K772" s="63"/>
      <c r="L772" s="63"/>
      <c r="M772" s="63"/>
      <c r="N772" s="64">
        <f ca="1">IF(L771="Ab","Ab",L771/6)</f>
        <v>22.1666666666667</v>
      </c>
      <c r="O772" s="65"/>
      <c r="P772" s="19"/>
      <c r="Q772" s="19"/>
      <c r="R772" s="11"/>
    </row>
    <row r="773" s="1" customFormat="1" ht="21.95" customHeight="1" spans="1:19">
      <c r="A773" s="7"/>
      <c r="B773" s="12"/>
      <c r="C773" s="33"/>
      <c r="D773" s="29" t="s">
        <v>716</v>
      </c>
      <c r="E773" s="18" t="str">
        <f>IFERROR(VLOOKUP(F747,'1to4-2.1-RR'!$A$12:$BG$111,57,0),"")</f>
        <v>PROMOTED</v>
      </c>
      <c r="F773" s="18"/>
      <c r="G773" s="18"/>
      <c r="H773" s="18"/>
      <c r="I773" s="18"/>
      <c r="J773" s="18"/>
      <c r="K773" s="18"/>
      <c r="L773" s="18"/>
      <c r="M773" s="18"/>
      <c r="N773" s="29"/>
      <c r="O773" s="29"/>
      <c r="P773" s="19"/>
      <c r="Q773" s="19"/>
      <c r="R773" s="11"/>
    </row>
    <row r="774" s="1" customFormat="1" ht="9.95" customHeight="1" spans="1:19">
      <c r="A774" s="7"/>
      <c r="B774" s="12"/>
      <c r="C774" s="33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19"/>
      <c r="Q774" s="19"/>
      <c r="R774" s="11"/>
    </row>
    <row r="775" s="1" customFormat="1" ht="36" spans="1:19">
      <c r="A775" s="7"/>
      <c r="B775" s="12"/>
      <c r="C775" s="33"/>
      <c r="D775" s="66" t="s">
        <v>576</v>
      </c>
      <c r="E775" s="67" t="s">
        <v>754</v>
      </c>
      <c r="F775" s="47">
        <f>IF(F747&gt;ENTRY!$D$24,"",IFERROR(VLOOKUP(F747,PASHEET!$A$4:$CJ$103,88,0),""))</f>
        <v>0</v>
      </c>
      <c r="G775" s="67" t="s">
        <v>755</v>
      </c>
      <c r="H775" s="47">
        <f>IF(F747&gt;ENTRY!$D$24,"",IFERROR(VLOOKUP(F747,PASHEET!$A$4:$CJ$103,87,0),""))</f>
        <v>0</v>
      </c>
      <c r="I775" s="68" t="s">
        <v>756</v>
      </c>
      <c r="J775" s="69" t="str">
        <f>IF(F747&gt;ENTRY!$D$24,"",IFERROR(IF(F747&gt;0,H775/F775*100),""))</f>
        <v/>
      </c>
      <c r="K775" s="60" t="s">
        <v>757</v>
      </c>
      <c r="L775" s="70">
        <f ca="1">IF(F747&gt;ENTRY!$D$24,"",IFERROR(L771/600*100,""))</f>
        <v>22.1666666666667</v>
      </c>
      <c r="M775" s="47" t="str">
        <f ca="1">IF(F747&gt;ENTRY!$D$24,"",IFERROR(L771&amp;" / "&amp;"600",""))</f>
        <v>133 / 600</v>
      </c>
      <c r="N775" s="29"/>
      <c r="O775" s="29"/>
      <c r="P775" s="19"/>
      <c r="Q775" s="19"/>
      <c r="R775" s="11"/>
    </row>
    <row r="776" s="1" customFormat="1" ht="9.95" customHeight="1" spans="1:19">
      <c r="A776" s="7"/>
      <c r="B776" s="12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1"/>
      <c r="Q776" s="19"/>
      <c r="R776" s="11"/>
    </row>
    <row r="777" s="1" customFormat="1" ht="9.95" customHeight="1" spans="1:19">
      <c r="A777" s="7"/>
      <c r="B777" s="12"/>
      <c r="C777" s="71"/>
      <c r="D777" s="71"/>
      <c r="E777" s="71"/>
      <c r="F777" s="29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19"/>
      <c r="R777" s="11"/>
    </row>
    <row r="778" s="1" customFormat="1" ht="9.95" customHeight="1" spans="1:19">
      <c r="A778" s="7"/>
      <c r="B778" s="12"/>
      <c r="C778" s="29"/>
      <c r="D778" s="29"/>
      <c r="E778" s="29"/>
      <c r="F778" s="72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19"/>
      <c r="R778" s="11"/>
    </row>
    <row r="779" s="1" customFormat="1" ht="9.95" customHeight="1" spans="1:19">
      <c r="A779" s="7"/>
      <c r="B779" s="12"/>
      <c r="C779" s="30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2"/>
      <c r="Q779" s="19"/>
      <c r="R779" s="11"/>
    </row>
    <row r="780" s="1" customFormat="1" ht="21.95" customHeight="1" spans="1:19">
      <c r="A780" s="7"/>
      <c r="B780" s="12"/>
      <c r="C780" s="73" t="s">
        <v>7</v>
      </c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74"/>
      <c r="Q780" s="19"/>
      <c r="R780" s="11"/>
      <c r="S780" s="2"/>
    </row>
    <row r="781" s="1" customFormat="1" ht="21.95" customHeight="1" spans="1:19">
      <c r="A781" s="7"/>
      <c r="B781" s="12"/>
      <c r="C781" s="33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19"/>
      <c r="Q781" s="19"/>
      <c r="R781" s="11"/>
    </row>
    <row r="782" s="1" customFormat="1" ht="21.95" customHeight="1" spans="1:19">
      <c r="A782" s="7"/>
      <c r="B782" s="12"/>
      <c r="C782" s="75" t="str">
        <f>"SESSION-"&amp;ENTRY!$D$11</f>
        <v>SESSION-2026-27</v>
      </c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76"/>
      <c r="Q782" s="19"/>
      <c r="R782" s="11"/>
    </row>
    <row r="783" s="1" customFormat="1" ht="18" customHeight="1" spans="1:19">
      <c r="A783" s="7"/>
      <c r="B783" s="12"/>
      <c r="C783" s="33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19"/>
      <c r="Q783" s="19"/>
      <c r="R783" s="11"/>
    </row>
    <row r="784" s="1" customFormat="1" ht="21.95" customHeight="1" spans="1:19">
      <c r="A784" s="7"/>
      <c r="B784" s="12"/>
      <c r="C784" s="33"/>
      <c r="D784" s="77" t="s">
        <v>758</v>
      </c>
      <c r="E784" s="77"/>
      <c r="F784" s="78" t="str">
        <f>IFERROR(PROPER(VLOOKUP(F747,STUDENT!$A$2:$BP$101,5,0)),"")</f>
        <v>Karn Kumar</v>
      </c>
      <c r="G784" s="78"/>
      <c r="H784" s="78"/>
      <c r="I784" s="78"/>
      <c r="J784" s="78"/>
      <c r="K784" s="78"/>
      <c r="L784" s="78"/>
      <c r="M784" s="78"/>
      <c r="N784" s="79" t="s">
        <v>759</v>
      </c>
      <c r="O784" s="79"/>
      <c r="P784" s="19"/>
      <c r="Q784" s="19"/>
      <c r="R784" s="11"/>
    </row>
    <row r="785" s="1" customFormat="1" ht="21.95" customHeight="1" spans="1:18">
      <c r="A785" s="7"/>
      <c r="B785" s="12"/>
      <c r="C785" s="33"/>
      <c r="D785" s="80" t="s">
        <v>760</v>
      </c>
      <c r="E785" s="81" t="str">
        <f>IFERROR(PROPER(VLOOKUP(F747,STUDENT!$A$2:$BP$101,9,0)),"")</f>
        <v>Ragini Devi</v>
      </c>
      <c r="F785" s="81"/>
      <c r="G785" s="81"/>
      <c r="H785" s="80" t="s">
        <v>761</v>
      </c>
      <c r="I785" s="82" t="str">
        <f>IFERROR(PROPER(VLOOKUP(F747,STUDENT!$A$2:$BP$101,8,0)),"")</f>
        <v>Mukesh Ray</v>
      </c>
      <c r="J785" s="82"/>
      <c r="K785" s="82"/>
      <c r="L785" s="82"/>
      <c r="M785" s="80" t="s">
        <v>762</v>
      </c>
      <c r="N785" s="83" t="str">
        <f>IFERROR(VLOOKUP(F747,STUDENT!$A$2:$BP$101,59,0),"")</f>
        <v/>
      </c>
      <c r="O785" s="83"/>
      <c r="P785" s="19"/>
      <c r="Q785" s="19"/>
      <c r="R785" s="11"/>
    </row>
    <row r="786" s="1" customFormat="1" ht="21.95" customHeight="1" spans="1:18">
      <c r="A786" s="7"/>
      <c r="B786" s="12"/>
      <c r="C786" s="33"/>
      <c r="D786" s="77" t="str">
        <f>"has    completed     his  /  her     primary     level     education    in    the    year    "&amp;RIGHT(ENTRY!$D752,4)&amp;"    from    ( School    Name )"</f>
        <v>has    completed     his  /  her     primary     level     education    in    the    year        from    ( School    Name )</v>
      </c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19"/>
      <c r="Q786" s="19"/>
      <c r="R786" s="11"/>
    </row>
    <row r="787" s="1" customFormat="1" ht="21.95" customHeight="1" spans="1:18">
      <c r="A787" s="7"/>
      <c r="B787" s="12"/>
      <c r="C787" s="33"/>
      <c r="D787" s="81" t="str">
        <f>IF(F747&gt;0,ENTRY!$D$6,"")</f>
        <v>MCP NITHARI NO 1 BOYS</v>
      </c>
      <c r="E787" s="81"/>
      <c r="F787" s="81"/>
      <c r="G787" s="81"/>
      <c r="H787" s="81"/>
      <c r="I787" s="81"/>
      <c r="J787" s="81"/>
      <c r="K787" s="81"/>
      <c r="L787" s="81"/>
      <c r="M787" s="80" t="s">
        <v>763</v>
      </c>
      <c r="N787" s="84">
        <f>IF(F747&gt;0,ENTRY!$D$7,"")</f>
        <v>0</v>
      </c>
      <c r="O787" s="84"/>
      <c r="P787" s="85" t="s">
        <v>727</v>
      </c>
      <c r="Q787" s="19"/>
      <c r="R787" s="11"/>
    </row>
    <row r="788" s="1" customFormat="1" ht="21.95" customHeight="1" spans="1:18">
      <c r="A788" s="7"/>
      <c r="B788" s="12"/>
      <c r="C788" s="33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19"/>
      <c r="Q788" s="19"/>
      <c r="R788" s="11"/>
    </row>
    <row r="789" s="1" customFormat="1" ht="21.95" customHeight="1" spans="1:18">
      <c r="A789" s="7"/>
      <c r="B789" s="12"/>
      <c r="C789" s="33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19"/>
      <c r="Q789" s="19"/>
      <c r="R789" s="11"/>
    </row>
    <row r="790" s="1" customFormat="1" ht="21.95" customHeight="1" spans="1:18">
      <c r="A790" s="7"/>
      <c r="B790" s="12"/>
      <c r="C790" s="33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19"/>
      <c r="Q790" s="19"/>
      <c r="R790" s="11"/>
    </row>
    <row r="791" s="1" customFormat="1" ht="21.95" customHeight="1" spans="1:18">
      <c r="A791" s="7"/>
      <c r="B791" s="12"/>
      <c r="C791" s="33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19"/>
      <c r="Q791" s="19"/>
      <c r="R791" s="11"/>
    </row>
    <row r="792" s="1" customFormat="1" ht="21.95" customHeight="1" spans="1:18">
      <c r="A792" s="7"/>
      <c r="B792" s="12"/>
      <c r="C792" s="33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19"/>
      <c r="Q792" s="19"/>
      <c r="R792" s="11"/>
    </row>
    <row r="793" s="1" customFormat="1" ht="21.95" customHeight="1" spans="1:18">
      <c r="A793" s="7"/>
      <c r="B793" s="12"/>
      <c r="C793" s="33"/>
      <c r="D793" s="80" t="s">
        <v>728</v>
      </c>
      <c r="E793" s="86">
        <f>ENTRY!$D$27</f>
        <v>46102</v>
      </c>
      <c r="F793" s="86"/>
      <c r="G793" s="29"/>
      <c r="H793" s="29"/>
      <c r="I793" s="29"/>
      <c r="J793" s="29"/>
      <c r="K793" s="29"/>
      <c r="L793" s="29"/>
      <c r="M793" s="87" t="s">
        <v>730</v>
      </c>
      <c r="N793" s="87"/>
      <c r="O793" s="87"/>
      <c r="P793" s="19"/>
      <c r="Q793" s="19"/>
      <c r="R793" s="11"/>
    </row>
    <row r="794" s="1" customFormat="1" ht="21.95" customHeight="1" spans="1:18">
      <c r="A794" s="7"/>
      <c r="B794" s="12"/>
      <c r="C794" s="33"/>
      <c r="D794" s="80" t="s">
        <v>731</v>
      </c>
      <c r="E794" s="88" t="str">
        <f>PROPER(ENTRY!$D$28)</f>
        <v>New Delhi</v>
      </c>
      <c r="F794" s="88"/>
      <c r="G794" s="29"/>
      <c r="H794" s="29"/>
      <c r="I794" s="29"/>
      <c r="J794" s="29"/>
      <c r="K794" s="29"/>
      <c r="L794" s="29"/>
      <c r="M794" s="89" t="s">
        <v>732</v>
      </c>
      <c r="N794" s="89"/>
      <c r="O794" s="89"/>
      <c r="P794" s="19"/>
      <c r="Q794" s="19"/>
      <c r="R794" s="11"/>
    </row>
    <row r="795" s="1" customFormat="1" ht="21.95" customHeight="1" spans="1:18">
      <c r="A795" s="7"/>
      <c r="B795" s="12"/>
      <c r="C795" s="90"/>
      <c r="D795" s="91"/>
      <c r="E795" s="91"/>
      <c r="F795" s="91"/>
      <c r="G795" s="91"/>
      <c r="H795" s="91"/>
      <c r="I795" s="91"/>
      <c r="J795" s="91"/>
      <c r="K795" s="91"/>
      <c r="L795" s="91"/>
      <c r="M795" s="91"/>
      <c r="N795" s="91"/>
      <c r="O795" s="91"/>
      <c r="P795" s="92"/>
      <c r="Q795" s="14"/>
      <c r="R795" s="11"/>
    </row>
    <row r="796" s="1" customFormat="1" ht="5.1" customHeight="1" spans="1:18">
      <c r="A796" s="7"/>
      <c r="B796" s="90"/>
      <c r="C796" s="91"/>
      <c r="D796" s="91"/>
      <c r="E796" s="91"/>
      <c r="F796" s="91"/>
      <c r="G796" s="91"/>
      <c r="H796" s="91"/>
      <c r="I796" s="91"/>
      <c r="J796" s="91"/>
      <c r="K796" s="91"/>
      <c r="L796" s="91"/>
      <c r="M796" s="91"/>
      <c r="N796" s="91"/>
      <c r="O796" s="91"/>
      <c r="P796" s="91"/>
      <c r="Q796" s="92"/>
      <c r="R796" s="11"/>
    </row>
    <row r="797" s="1" customFormat="1" ht="5.1" customHeight="1" spans="1:18">
      <c r="A797" s="93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5"/>
    </row>
    <row r="798" s="2" customFormat="1" ht="9.95" customHeight="1"/>
    <row r="799" s="1" customFormat="1" ht="5.1" customHeight="1" spans="1:18">
      <c r="A799" s="4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6"/>
    </row>
    <row r="800" s="1" customFormat="1" ht="15" customHeight="1" spans="1:18">
      <c r="A800" s="7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0"/>
      <c r="R800" s="11"/>
    </row>
    <row r="801" s="1" customFormat="1" ht="21.95" customHeight="1" spans="1:18">
      <c r="A801" s="7"/>
      <c r="B801" s="12"/>
      <c r="C801" s="13" t="s">
        <v>7</v>
      </c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4"/>
      <c r="R801" s="11"/>
    </row>
    <row r="802" s="1" customFormat="1" ht="21.95" customHeight="1" spans="1:18">
      <c r="A802" s="7"/>
      <c r="B802" s="1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14"/>
      <c r="R802" s="11"/>
    </row>
    <row r="803" s="1" customFormat="1" ht="21.95" customHeight="1" spans="1:18">
      <c r="A803" s="7"/>
      <c r="B803" s="12"/>
      <c r="C803" s="15" t="str">
        <f>"SESSION-"&amp;ENTRY!$D$11</f>
        <v>SESSION-2026-27</v>
      </c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4"/>
      <c r="R803" s="11"/>
    </row>
    <row r="804" s="1" customFormat="1" ht="21.95" customHeight="1" spans="1:18">
      <c r="A804" s="7"/>
      <c r="B804" s="12"/>
      <c r="C804" s="2"/>
      <c r="D804" s="2"/>
      <c r="E804" s="2"/>
      <c r="F804" s="16">
        <f>F747+1</f>
        <v>15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14"/>
      <c r="R804" s="11"/>
    </row>
    <row r="805" s="1" customFormat="1" ht="21.95" customHeight="1" spans="1:18">
      <c r="A805" s="7"/>
      <c r="B805" s="12"/>
      <c r="C805" s="17" t="s">
        <v>392</v>
      </c>
      <c r="D805" s="17"/>
      <c r="E805" s="17"/>
      <c r="F805" s="18" t="str">
        <f>IF(F804&gt;0,ENTRY!$D$6,"")</f>
        <v>MCP NITHARI NO 1 BOYS</v>
      </c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9"/>
      <c r="R805" s="11"/>
    </row>
    <row r="806" s="1" customFormat="1" ht="21.95" customHeight="1" spans="1:18">
      <c r="A806" s="7"/>
      <c r="B806" s="12"/>
      <c r="C806" s="17" t="s">
        <v>393</v>
      </c>
      <c r="D806" s="17"/>
      <c r="E806" s="17"/>
      <c r="F806" s="18">
        <f>IF(F804&gt;0,ENTRY!$D$7,"")</f>
        <v>0</v>
      </c>
      <c r="G806" s="18"/>
      <c r="H806" s="20" t="s">
        <v>702</v>
      </c>
      <c r="I806" s="20"/>
      <c r="J806" s="21">
        <f>IF(F804&gt;0,ENTRY!$D$10,"")</f>
        <v>40</v>
      </c>
      <c r="K806" s="20" t="s">
        <v>703</v>
      </c>
      <c r="L806" s="22" t="str">
        <f>IF(F804&gt;0,ENTRY!$D$5,"")</f>
        <v>ROHINI ZONE</v>
      </c>
      <c r="M806" s="22"/>
      <c r="N806" s="22"/>
      <c r="O806" s="22"/>
      <c r="P806" s="22"/>
      <c r="Q806" s="19"/>
      <c r="R806" s="11"/>
    </row>
    <row r="807" s="1" customFormat="1" ht="21.95" customHeight="1" spans="1:18">
      <c r="A807" s="7"/>
      <c r="B807" s="12"/>
      <c r="C807" s="17" t="s">
        <v>706</v>
      </c>
      <c r="D807" s="17"/>
      <c r="E807" s="17"/>
      <c r="F807" s="23" t="str">
        <f>IFERROR(VLOOKUP(F804,STUDENT!$A$2:$BP$101,5,0),"")</f>
        <v>ROKI</v>
      </c>
      <c r="G807" s="23"/>
      <c r="H807" s="23"/>
      <c r="I807" s="23"/>
      <c r="J807" s="23"/>
      <c r="K807" s="23"/>
      <c r="L807" s="20" t="s">
        <v>707</v>
      </c>
      <c r="M807" s="20"/>
      <c r="N807" s="24" t="str">
        <f>IF(F804&gt;0,ENTRY!$D$20&amp;"-"&amp;ENTRY!$D$21,"")</f>
        <v>III-A</v>
      </c>
      <c r="O807" s="24"/>
      <c r="P807" s="24"/>
      <c r="Q807" s="19"/>
      <c r="R807" s="11"/>
    </row>
    <row r="808" s="1" customFormat="1" ht="21.95" customHeight="1" spans="1:18">
      <c r="A808" s="7"/>
      <c r="B808" s="12"/>
      <c r="C808" s="17" t="s">
        <v>708</v>
      </c>
      <c r="D808" s="17"/>
      <c r="E808" s="17"/>
      <c r="F808" s="25">
        <f>IFERROR(VLOOKUP(F804,STUDENT!$A$2:$BP$101,6,0),"")</f>
        <v>14746</v>
      </c>
      <c r="G808" s="25"/>
      <c r="H808" s="26" t="s">
        <v>709</v>
      </c>
      <c r="I808" s="27" t="str">
        <f>IFERROR(VLOOKUP(F804,STUDENT!$A$2:$BP$101,59,0),"")</f>
        <v/>
      </c>
      <c r="J808" s="27"/>
      <c r="K808" s="20" t="s">
        <v>710</v>
      </c>
      <c r="L808" s="20"/>
      <c r="M808" s="28">
        <f>IFERROR(VLOOKUP(F804,STUDENT!$A$2:$BP$101,20,0),"")</f>
        <v>9109325188</v>
      </c>
      <c r="N808" s="28"/>
      <c r="O808" s="28"/>
      <c r="P808" s="28"/>
      <c r="Q808" s="19"/>
      <c r="R808" s="11"/>
    </row>
    <row r="809" s="1" customFormat="1" ht="21.95" customHeight="1" spans="1:18">
      <c r="A809" s="7"/>
      <c r="B809" s="12"/>
      <c r="C809" s="17" t="s">
        <v>711</v>
      </c>
      <c r="D809" s="17"/>
      <c r="E809" s="17"/>
      <c r="F809" s="23" t="str">
        <f>IFERROR(VLOOKUP(F804,STUDENT!$A$2:$BP$101,9,0),"")</f>
        <v>PREETI</v>
      </c>
      <c r="G809" s="23"/>
      <c r="H809" s="23"/>
      <c r="I809" s="23"/>
      <c r="J809" s="17" t="s">
        <v>620</v>
      </c>
      <c r="K809" s="17"/>
      <c r="L809" s="23" t="str">
        <f>IFERROR(VLOOKUP(F804,STUDENT!$A$2:$BP$101,8,0),"")</f>
        <v>KUAR SINGH</v>
      </c>
      <c r="M809" s="23"/>
      <c r="N809" s="23"/>
      <c r="O809" s="23"/>
      <c r="P809" s="23"/>
      <c r="Q809" s="19"/>
      <c r="R809" s="11"/>
    </row>
    <row r="810" s="1" customFormat="1" ht="21.95" customHeight="1" spans="1:18">
      <c r="A810" s="7"/>
      <c r="B810" s="12"/>
      <c r="C810" s="17" t="s">
        <v>712</v>
      </c>
      <c r="D810" s="17"/>
      <c r="E810" s="17"/>
      <c r="F810" s="23" t="str">
        <f>IFERROR(VLOOKUP(F804,STUDENT!$A$2:$BP$101,22,0),"")</f>
        <v>A-1/24,GAURAV NAGAR-II, PREM NAGAR-III</v>
      </c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19"/>
      <c r="R810" s="11"/>
    </row>
    <row r="811" s="1" customFormat="1" ht="9.95" customHeight="1" spans="1:18">
      <c r="A811" s="7"/>
      <c r="B811" s="12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19"/>
      <c r="R811" s="11"/>
    </row>
    <row r="812" s="1" customFormat="1" ht="9.95" customHeight="1" spans="1:18">
      <c r="A812" s="7"/>
      <c r="B812" s="12"/>
      <c r="C812" s="30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2"/>
      <c r="Q812" s="19"/>
      <c r="R812" s="11"/>
    </row>
    <row r="813" s="1" customFormat="1" ht="21.95" customHeight="1" spans="1:18">
      <c r="A813" s="7"/>
      <c r="B813" s="12"/>
      <c r="C813" s="33"/>
      <c r="D813" s="34" t="s">
        <v>713</v>
      </c>
      <c r="E813" s="20" t="s">
        <v>714</v>
      </c>
      <c r="F813" s="35" t="str">
        <f>"Level - "&amp;IFERROR(VLOOKUP(F804,FLN!$A$4:$K$103,9,0),"")</f>
        <v>Level - 3</v>
      </c>
      <c r="G813" s="36"/>
      <c r="H813" s="37" t="s">
        <v>715</v>
      </c>
      <c r="I813" s="20"/>
      <c r="J813" s="35" t="str">
        <f>"Level - "&amp;IFERROR(VLOOKUP(F804,FLN!$A$4:$K$103,11,0),"")</f>
        <v>Level - 4</v>
      </c>
      <c r="K813" s="36"/>
      <c r="L813" s="37" t="s">
        <v>408</v>
      </c>
      <c r="M813" s="20"/>
      <c r="N813" s="35" t="str">
        <f>"Level - "&amp;IFERROR(VLOOKUP(F804,FLN!$A$4:$K$103,10,0),"")</f>
        <v>Level - 3</v>
      </c>
      <c r="O813" s="36"/>
      <c r="P813" s="19"/>
      <c r="Q813" s="19"/>
      <c r="R813" s="11"/>
    </row>
    <row r="814" s="1" customFormat="1" ht="21.95" customHeight="1" spans="1:18">
      <c r="A814" s="7"/>
      <c r="B814" s="12"/>
      <c r="C814" s="33"/>
      <c r="D814" s="38"/>
      <c r="E814" s="20" t="s">
        <v>716</v>
      </c>
      <c r="F814" s="18" t="str">
        <f ca="1">IF(L828&gt;197,"PERFORMED WELL","")</f>
        <v/>
      </c>
      <c r="G814" s="18"/>
      <c r="H814" s="18"/>
      <c r="I814" s="18"/>
      <c r="J814" s="18"/>
      <c r="K814" s="18"/>
      <c r="L814" s="18"/>
      <c r="M814" s="18"/>
      <c r="N814" s="18"/>
      <c r="O814" s="18"/>
      <c r="P814" s="19"/>
      <c r="Q814" s="19"/>
      <c r="R814" s="11"/>
    </row>
    <row r="815" s="1" customFormat="1" ht="9.95" customHeight="1" spans="1:18">
      <c r="A815" s="7"/>
      <c r="B815" s="12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1"/>
      <c r="Q815" s="19"/>
      <c r="R815" s="11"/>
    </row>
    <row r="816" s="1" customFormat="1" ht="9.95" customHeight="1" spans="1:18">
      <c r="A816" s="7"/>
      <c r="B816" s="12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19"/>
      <c r="R816" s="11"/>
    </row>
    <row r="817" s="1" customFormat="1" ht="9.95" customHeight="1" spans="1:18">
      <c r="A817" s="7"/>
      <c r="B817" s="12"/>
      <c r="C817" s="30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2"/>
      <c r="Q817" s="19"/>
      <c r="R817" s="11"/>
    </row>
    <row r="818" s="1" customFormat="1" ht="21.95" customHeight="1" spans="1:18">
      <c r="A818" s="7"/>
      <c r="B818" s="12"/>
      <c r="C818" s="33"/>
      <c r="D818" s="35"/>
      <c r="E818" s="24"/>
      <c r="F818" s="42" t="s">
        <v>717</v>
      </c>
      <c r="G818" s="42"/>
      <c r="H818" s="42"/>
      <c r="I818" s="42"/>
      <c r="J818" s="42"/>
      <c r="K818" s="42"/>
      <c r="L818" s="43"/>
      <c r="M818" s="44"/>
      <c r="N818" s="29"/>
      <c r="O818" s="29"/>
      <c r="P818" s="19"/>
      <c r="Q818" s="19"/>
      <c r="R818" s="11"/>
    </row>
    <row r="819" s="1" customFormat="1" ht="21.95" customHeight="1" spans="1:18">
      <c r="A819" s="7"/>
      <c r="B819" s="12"/>
      <c r="C819" s="33"/>
      <c r="D819" s="45"/>
      <c r="E819" s="46"/>
      <c r="F819" s="47" t="s">
        <v>541</v>
      </c>
      <c r="G819" s="47" t="s">
        <v>542</v>
      </c>
      <c r="H819" s="47" t="s">
        <v>543</v>
      </c>
      <c r="I819" s="47" t="s">
        <v>544</v>
      </c>
      <c r="J819" s="47" t="s">
        <v>561</v>
      </c>
      <c r="K819" s="48" t="s">
        <v>750</v>
      </c>
      <c r="L819" s="47" t="s">
        <v>382</v>
      </c>
      <c r="M819" s="49" t="s">
        <v>546</v>
      </c>
      <c r="N819" s="29"/>
      <c r="O819" s="29"/>
      <c r="P819" s="19"/>
      <c r="Q819" s="19"/>
      <c r="R819" s="11"/>
    </row>
    <row r="820" s="1" customFormat="1" ht="21.95" customHeight="1" spans="1:18">
      <c r="A820" s="7"/>
      <c r="B820" s="12"/>
      <c r="C820" s="33"/>
      <c r="D820" s="45" t="s">
        <v>652</v>
      </c>
      <c r="E820" s="46"/>
      <c r="F820" s="50">
        <v>10</v>
      </c>
      <c r="G820" s="50">
        <v>10</v>
      </c>
      <c r="H820" s="50">
        <v>10</v>
      </c>
      <c r="I820" s="50">
        <v>10</v>
      </c>
      <c r="J820" s="50">
        <v>60</v>
      </c>
      <c r="K820" s="51"/>
      <c r="L820" s="50">
        <v>100</v>
      </c>
      <c r="M820" s="49"/>
      <c r="N820" s="29"/>
      <c r="O820" s="29"/>
      <c r="P820" s="19"/>
      <c r="Q820" s="19"/>
      <c r="R820" s="11"/>
    </row>
    <row r="821" s="1" customFormat="1" ht="21.95" customHeight="1" spans="1:18">
      <c r="A821" s="7"/>
      <c r="B821" s="12"/>
      <c r="C821" s="33"/>
      <c r="D821" s="52" t="s">
        <v>751</v>
      </c>
      <c r="E821" s="53"/>
      <c r="F821" s="54">
        <f ca="1">IFERROR(VLOOKUP(F804,'RR-3.1-5TH'!$A$12:'RR-3.1-5TH'!$BN$111,9,0),"")</f>
        <v>2</v>
      </c>
      <c r="G821" s="54">
        <f ca="1">IFERROR(VLOOKUP(F804,'RR-3.1-5TH'!$A$12:'RR-3.1-5TH'!$BN$111,10,0),"")</f>
        <v>0</v>
      </c>
      <c r="H821" s="54">
        <f ca="1">IFERROR(VLOOKUP(F804,'RR-3.1-5TH'!$A$12:'RR-3.1-5TH'!$BN$111,11,0),"")</f>
        <v>0</v>
      </c>
      <c r="I821" s="54">
        <f ca="1">IFERROR(VLOOKUP(F804,'RR-3.1-5TH'!$A$12:'RR-3.1-5TH'!$BN$111,12,0),"")</f>
        <v>0</v>
      </c>
      <c r="J821" s="54">
        <f ca="1">IFERROR(VLOOKUP(F804,'RR-3.1-5TH'!$A$12:'RR-3.1-5TH'!$BN$111,13,0),"")</f>
        <v>32</v>
      </c>
      <c r="K821" s="54">
        <f ca="1">IFERROR(VLOOKUP(F804,'RR-3.1-5TH'!$A$12:'RR-3.1-5TH'!$BN$111,14,0),"")</f>
        <v>0</v>
      </c>
      <c r="L821" s="55">
        <f ca="1" t="shared" ref="L821:L826" si="42">SUM(F821,G821,H821,I821,J821,K821)</f>
        <v>34</v>
      </c>
      <c r="M821" s="56" t="str">
        <f ca="1">IF(F804&gt;ENTRY!$D$24,"",IF(L821=0,"Ab",IF(L821&gt;80,"A",IF(L821&gt;60,"B",IF(L821&gt;44,"C",IF(L821&gt;=33,"D",IF(L821&lt;=32,"E","")))))))</f>
        <v>D</v>
      </c>
      <c r="N821" s="57" t="s">
        <v>729</v>
      </c>
      <c r="O821" s="58"/>
      <c r="P821" s="59"/>
      <c r="Q821" s="19"/>
      <c r="R821" s="11"/>
    </row>
    <row r="822" s="1" customFormat="1" ht="21.95" customHeight="1" spans="1:18">
      <c r="A822" s="7"/>
      <c r="B822" s="12"/>
      <c r="C822" s="33"/>
      <c r="D822" s="52" t="s">
        <v>513</v>
      </c>
      <c r="E822" s="53"/>
      <c r="F822" s="54">
        <f ca="1">IFERROR(VLOOKUP(F804,'RR-3.1-5TH'!$A$12:'RR-3.1-5TH'!$BN$111,17,0),"")</f>
        <v>1</v>
      </c>
      <c r="G822" s="54">
        <f ca="1">IFERROR(VLOOKUP(F804,'RR-3.1-5TH'!$A$12:'RR-3.1-5TH'!$BN$111,18,0),"")</f>
        <v>0</v>
      </c>
      <c r="H822" s="54">
        <f ca="1">IFERROR(VLOOKUP(F804,'RR-3.1-5TH'!$A$12:'RR-3.1-5TH'!$BN$111,19,0),"")</f>
        <v>0</v>
      </c>
      <c r="I822" s="54">
        <f ca="1">IFERROR(VLOOKUP(F804,'RR-3.1-5TH'!$A$12:'RR-3.1-5TH'!$BN$111,20,0),"")</f>
        <v>0</v>
      </c>
      <c r="J822" s="54">
        <f ca="1">IFERROR(VLOOKUP(F804,'RR-3.1-5TH'!$A$12:'RR-3.1-5TH'!$BN$111,21,0),"")</f>
        <v>16</v>
      </c>
      <c r="K822" s="54">
        <f ca="1">IFERROR(VLOOKUP(F804,'RR-3.1-5TH'!$A$12:'RR-3.1-5TH'!$BN$111,22,0),"")</f>
        <v>0</v>
      </c>
      <c r="L822" s="55">
        <f ca="1" t="shared" si="42"/>
        <v>17</v>
      </c>
      <c r="M822" s="56" t="str">
        <f ca="1">IF(F804&gt;ENTRY!$D$24,"",IF(L822=0,"Ab",IF(L822&gt;80,"A",IF(L822&gt;60,"B",IF(L822&gt;44,"C",IF(L822&gt;=33,"D",IF(L822&lt;=32,"E","")))))))</f>
        <v>E</v>
      </c>
      <c r="N822" s="58"/>
      <c r="O822" s="58"/>
      <c r="P822" s="59"/>
      <c r="Q822" s="19"/>
      <c r="R822" s="11"/>
    </row>
    <row r="823" s="1" customFormat="1" ht="21.95" customHeight="1" spans="1:18">
      <c r="A823" s="7"/>
      <c r="B823" s="12"/>
      <c r="C823" s="33"/>
      <c r="D823" s="52" t="s">
        <v>718</v>
      </c>
      <c r="E823" s="53"/>
      <c r="F823" s="54">
        <f ca="1">IFERROR(VLOOKUP(F804,'RR-3.1-5TH'!$A$12:'RR-3.1-5TH'!$BN$111,25,0),"")</f>
        <v>2</v>
      </c>
      <c r="G823" s="54">
        <f ca="1">IFERROR(VLOOKUP(F804,'RR-3.1-5TH'!$A$12:'RR-3.1-5TH'!$BN$111,26,0),"")</f>
        <v>0</v>
      </c>
      <c r="H823" s="54">
        <f ca="1">IFERROR(VLOOKUP(F804,'RR-3.1-5TH'!$A$12:'RR-3.1-5TH'!$BN$111,27,0),"")</f>
        <v>0</v>
      </c>
      <c r="I823" s="54">
        <f ca="1">IFERROR(VLOOKUP(F804,'RR-3.1-5TH'!$A$12:'RR-3.1-5TH'!$BN$111,28,0),"")</f>
        <v>0</v>
      </c>
      <c r="J823" s="54">
        <f ca="1">IFERROR(VLOOKUP(F804,'RR-3.1-5TH'!$A$12:'RR-3.1-5TH'!$BN$111,29,0),"")</f>
        <v>11</v>
      </c>
      <c r="K823" s="54">
        <f ca="1">IFERROR(VLOOKUP(F804,'RR-3.1-5TH'!$A$12:'RR-3.1-5TH'!$BN$111,30,0),"")</f>
        <v>0</v>
      </c>
      <c r="L823" s="55">
        <f ca="1" t="shared" si="42"/>
        <v>13</v>
      </c>
      <c r="M823" s="56" t="str">
        <f ca="1">IF(F804&gt;ENTRY!$D$24,"",IF(L823=0,"Ab",IF(L823&gt;80,"A",IF(L823&gt;60,"B",IF(L823&gt;44,"C",IF(L823&gt;=33,"D",IF(L823&lt;=32,"E","")))))))</f>
        <v>E</v>
      </c>
      <c r="N823" s="29"/>
      <c r="O823" s="29"/>
      <c r="P823" s="19"/>
      <c r="Q823" s="19"/>
      <c r="R823" s="11"/>
    </row>
    <row r="824" s="1" customFormat="1" ht="21.95" customHeight="1" spans="1:18">
      <c r="A824" s="7"/>
      <c r="B824" s="12"/>
      <c r="C824" s="33"/>
      <c r="D824" s="52" t="s">
        <v>719</v>
      </c>
      <c r="E824" s="53"/>
      <c r="F824" s="54">
        <f ca="1">IFERROR(VLOOKUP(F804,'RR-3.1-5TH'!$A$12:'RR-3.1-5TH'!$BN$111,33,0),"")</f>
        <v>1</v>
      </c>
      <c r="G824" s="54">
        <f ca="1">IFERROR(VLOOKUP(F804,'RR-3.1-5TH'!$A$12:'RR-3.1-5TH'!$BN$111,34,0),"")</f>
        <v>0</v>
      </c>
      <c r="H824" s="54">
        <f ca="1">IFERROR(VLOOKUP(F804,'RR-3.1-5TH'!$A$12:'RR-3.1-5TH'!$BN$111,35,0),"")</f>
        <v>0</v>
      </c>
      <c r="I824" s="54">
        <f ca="1">IFERROR(VLOOKUP(F804,'RR-3.1-5TH'!$A$12:'RR-3.1-5TH'!$BN$111,36,0),"")</f>
        <v>0</v>
      </c>
      <c r="J824" s="54">
        <f ca="1">IFERROR(VLOOKUP(F804,'RR-3.1-5TH'!$A$12:'RR-3.1-5TH'!$BN$111,37,0),"")</f>
        <v>13</v>
      </c>
      <c r="K824" s="54">
        <f ca="1">IFERROR(VLOOKUP(F804,'RR-3.1-5TH'!$A$12:'RR-3.1-5TH'!$BN$111,38,0),"")</f>
        <v>0</v>
      </c>
      <c r="L824" s="55">
        <f ca="1" t="shared" si="42"/>
        <v>14</v>
      </c>
      <c r="M824" s="56" t="str">
        <f ca="1">IF(F804&gt;ENTRY!$D$24,"",IF(L824=0,"Ab",IF(L824&gt;80,"A",IF(L824&gt;60,"B",IF(L824&gt;44,"C",IF(L824&gt;=33,"D",IF(L824&lt;=32,"E","")))))))</f>
        <v>E</v>
      </c>
      <c r="N824" s="29"/>
      <c r="O824" s="29"/>
      <c r="P824" s="19"/>
      <c r="Q824" s="19"/>
      <c r="R824" s="11"/>
    </row>
    <row r="825" s="1" customFormat="1" ht="21.95" customHeight="1" spans="1:18">
      <c r="A825" s="7"/>
      <c r="B825" s="12"/>
      <c r="C825" s="33"/>
      <c r="D825" s="52" t="s">
        <v>548</v>
      </c>
      <c r="E825" s="53"/>
      <c r="F825" s="54">
        <f ca="1">IFERROR(VLOOKUP(F804,'RR-3.1-5TH'!$A$12:'RR-3.1-5TH'!$BN$111,41,0),"")</f>
        <v>0</v>
      </c>
      <c r="G825" s="54">
        <f ca="1">IFERROR(VLOOKUP(F804,'RR-3.1-5TH'!$A$12:'RR-3.1-5TH'!$BN$111,42,0),"")</f>
        <v>0</v>
      </c>
      <c r="H825" s="54">
        <f ca="1">IFERROR(VLOOKUP(F804,'RR-3.1-5TH'!$A$12:'RR-3.1-5TH'!$BN$111,43,0),"")</f>
        <v>0</v>
      </c>
      <c r="I825" s="54">
        <f ca="1">IFERROR(VLOOKUP(F804,'RR-3.1-5TH'!$A$12:'RR-3.1-5TH'!$BN$111,44,0),"")</f>
        <v>0</v>
      </c>
      <c r="J825" s="54">
        <f ca="1">IFERROR(VLOOKUP(F804,'RR-3.1-5TH'!$A$12:'RR-3.1-5TH'!$BN$111,45,0),"")</f>
        <v>13</v>
      </c>
      <c r="K825" s="54">
        <f ca="1">IFERROR(VLOOKUP(F804,'RR-3.1-5TH'!$A$12:'RR-3.1-5TH'!$BN$111,46,0),"")</f>
        <v>0</v>
      </c>
      <c r="L825" s="55">
        <f ca="1" t="shared" si="42"/>
        <v>13</v>
      </c>
      <c r="M825" s="56" t="str">
        <f ca="1">IF(F804&gt;ENTRY!$D$24,"",IF(L825=0,"Ab",IF(L825&gt;80,"A",IF(L825&gt;60,"B",IF(L825&gt;44,"C",IF(L825&gt;=33,"D",IF(L825&lt;=32,"E","")))))))</f>
        <v>E</v>
      </c>
      <c r="N825" s="29"/>
      <c r="O825" s="29"/>
      <c r="P825" s="19"/>
      <c r="Q825" s="19"/>
      <c r="R825" s="11"/>
    </row>
    <row r="826" s="1" customFormat="1" ht="21.95" customHeight="1" spans="1:18">
      <c r="A826" s="7"/>
      <c r="B826" s="12"/>
      <c r="C826" s="33"/>
      <c r="D826" s="52" t="s">
        <v>549</v>
      </c>
      <c r="E826" s="53"/>
      <c r="F826" s="54">
        <f ca="1">IFERROR(VLOOKUP(F804,'RR-3.1-5TH'!$A$12:'RR-3.1-5TH'!$BN$111,49,0),"")</f>
        <v>2</v>
      </c>
      <c r="G826" s="54">
        <f ca="1">IFERROR(VLOOKUP(F804,'RR-3.1-5TH'!$A$12:'RR-3.1-5TH'!$BN$111,50,0),"")</f>
        <v>0</v>
      </c>
      <c r="H826" s="54">
        <f ca="1">IFERROR(VLOOKUP(F804,'RR-3.1-5TH'!$A$12:'RR-3.1-5TH'!$BN$111,51,0),"")</f>
        <v>0</v>
      </c>
      <c r="I826" s="54">
        <f ca="1">IFERROR(VLOOKUP(F804,'RR-3.1-5TH'!$A$12:'RR-3.1-5TH'!$BN$111,52,0),"")</f>
        <v>0</v>
      </c>
      <c r="J826" s="54">
        <f ca="1">IFERROR(VLOOKUP(F804,'RR-3.1-5TH'!$A$12:'RR-3.1-5TH'!$BN$111,53,0),"")</f>
        <v>19</v>
      </c>
      <c r="K826" s="54">
        <f ca="1">IFERROR(VLOOKUP(F804,'RR-3.1-5TH'!$A$12:'RR-3.1-5TH'!$BN$111,54,0),"")</f>
        <v>0</v>
      </c>
      <c r="L826" s="55">
        <f ca="1" t="shared" si="42"/>
        <v>21</v>
      </c>
      <c r="M826" s="56" t="str">
        <f ca="1">IF(F804&gt;ENTRY!$D$24,"",IF(L826=0,"Ab",IF(L826&gt;80,"A",IF(L826&gt;60,"B",IF(L826&gt;44,"C",IF(L826&gt;=33,"D",IF(L826&lt;=32,"E","")))))))</f>
        <v>E</v>
      </c>
      <c r="N826" s="57" t="s">
        <v>752</v>
      </c>
      <c r="O826" s="58"/>
      <c r="P826" s="59"/>
      <c r="Q826" s="19"/>
      <c r="R826" s="11"/>
    </row>
    <row r="827" s="1" customFormat="1" ht="21.95" customHeight="1" spans="1:18">
      <c r="A827" s="7"/>
      <c r="B827" s="12"/>
      <c r="C827" s="33"/>
      <c r="D827" s="52" t="s">
        <v>753</v>
      </c>
      <c r="E827" s="53"/>
      <c r="F827" s="60"/>
      <c r="G827" s="54"/>
      <c r="H827" s="54"/>
      <c r="I827" s="54"/>
      <c r="J827" s="54"/>
      <c r="K827" s="54"/>
      <c r="L827" s="55">
        <f t="shared" ref="L827" si="43">SUM(G827:K827)</f>
        <v>0</v>
      </c>
      <c r="M827" s="56" t="str">
        <f>IF(F804&gt;ENTRY!$D$24,"",IF(L827=0,"",IF(L827&gt;79,"A",IF(L827&gt;59,"B",IF(L827&gt;44,"C",IF(L827&gt;=33,"D",IF(L827&lt;=32,"E","")))))))</f>
        <v/>
      </c>
      <c r="N827" s="58"/>
      <c r="O827" s="58"/>
      <c r="P827" s="59"/>
      <c r="Q827" s="19"/>
      <c r="R827" s="11"/>
    </row>
    <row r="828" s="1" customFormat="1" ht="21.95" customHeight="1" spans="1:18">
      <c r="A828" s="7"/>
      <c r="B828" s="12"/>
      <c r="C828" s="33"/>
      <c r="D828" s="45" t="s">
        <v>382</v>
      </c>
      <c r="E828" s="46"/>
      <c r="F828" s="54">
        <f ca="1" t="shared" ref="F828:L828" si="44">IFERROR(SUM(F821:F827),"")</f>
        <v>8</v>
      </c>
      <c r="G828" s="54">
        <f ca="1" t="shared" si="44"/>
        <v>0</v>
      </c>
      <c r="H828" s="54">
        <f ca="1" t="shared" si="44"/>
        <v>0</v>
      </c>
      <c r="I828" s="54">
        <f ca="1" t="shared" si="44"/>
        <v>0</v>
      </c>
      <c r="J828" s="54">
        <f ca="1" t="shared" si="44"/>
        <v>104</v>
      </c>
      <c r="K828" s="54">
        <f ca="1" t="shared" si="44"/>
        <v>0</v>
      </c>
      <c r="L828" s="55">
        <f ca="1" t="shared" si="44"/>
        <v>112</v>
      </c>
      <c r="M828" s="61" t="str">
        <f ca="1">IF(F804&gt;ENTRY!$D$24,"",IF(N829="Ab","Ab",IF(N829&gt;79.5,"A",IF(N829&gt;59.5,"B",IF(N829&gt;44.5,"C",IF(N829&gt;=33,"D",IF(N829&lt;33,"E","")))))))</f>
        <v>E</v>
      </c>
      <c r="N828" s="62"/>
      <c r="O828" s="58"/>
      <c r="P828" s="59"/>
      <c r="Q828" s="19"/>
      <c r="R828" s="11"/>
    </row>
    <row r="829" s="1" customFormat="1" ht="21.95" customHeight="1" spans="1:18">
      <c r="A829" s="7"/>
      <c r="B829" s="12"/>
      <c r="C829" s="33"/>
      <c r="D829" s="63" t="s">
        <v>721</v>
      </c>
      <c r="E829" s="63"/>
      <c r="F829" s="63"/>
      <c r="G829" s="63"/>
      <c r="H829" s="63"/>
      <c r="I829" s="63"/>
      <c r="J829" s="63"/>
      <c r="K829" s="63"/>
      <c r="L829" s="63"/>
      <c r="M829" s="63"/>
      <c r="N829" s="64">
        <f ca="1">IF(L828="Ab","Ab",L828/6)</f>
        <v>18.6666666666667</v>
      </c>
      <c r="O829" s="65"/>
      <c r="P829" s="19"/>
      <c r="Q829" s="19"/>
      <c r="R829" s="11"/>
    </row>
    <row r="830" s="1" customFormat="1" ht="21.95" customHeight="1" spans="1:18">
      <c r="A830" s="7"/>
      <c r="B830" s="12"/>
      <c r="C830" s="33"/>
      <c r="D830" s="29" t="s">
        <v>716</v>
      </c>
      <c r="E830" s="18" t="str">
        <f>IFERROR(VLOOKUP(F804,'1to4-2.1-RR'!$A$12:$BG$111,57,0),"")</f>
        <v>PROMOTED</v>
      </c>
      <c r="F830" s="18"/>
      <c r="G830" s="18"/>
      <c r="H830" s="18"/>
      <c r="I830" s="18"/>
      <c r="J830" s="18"/>
      <c r="K830" s="18"/>
      <c r="L830" s="18"/>
      <c r="M830" s="18"/>
      <c r="N830" s="29"/>
      <c r="O830" s="29"/>
      <c r="P830" s="19"/>
      <c r="Q830" s="19"/>
      <c r="R830" s="11"/>
    </row>
    <row r="831" s="1" customFormat="1" ht="9.95" customHeight="1" spans="1:18">
      <c r="A831" s="7"/>
      <c r="B831" s="12"/>
      <c r="C831" s="33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19"/>
      <c r="Q831" s="19"/>
      <c r="R831" s="11"/>
    </row>
    <row r="832" s="1" customFormat="1" ht="36" spans="1:18">
      <c r="A832" s="7"/>
      <c r="B832" s="12"/>
      <c r="C832" s="33"/>
      <c r="D832" s="66" t="s">
        <v>576</v>
      </c>
      <c r="E832" s="67" t="s">
        <v>754</v>
      </c>
      <c r="F832" s="47">
        <f>IF(F804&gt;ENTRY!$D$24,"",IFERROR(VLOOKUP(F804,PASHEET!$A$4:$CJ$103,88,0),""))</f>
        <v>0</v>
      </c>
      <c r="G832" s="67" t="s">
        <v>755</v>
      </c>
      <c r="H832" s="47">
        <f>IF(F804&gt;ENTRY!$D$24,"",IFERROR(VLOOKUP(F804,PASHEET!$A$4:$CJ$103,87,0),""))</f>
        <v>0</v>
      </c>
      <c r="I832" s="68" t="s">
        <v>756</v>
      </c>
      <c r="J832" s="69" t="str">
        <f>IF(F804&gt;ENTRY!$D$24,"",IFERROR(IF(F804&gt;0,H832/F832*100),""))</f>
        <v/>
      </c>
      <c r="K832" s="60" t="s">
        <v>757</v>
      </c>
      <c r="L832" s="70">
        <f ca="1">IF(F804&gt;ENTRY!$D$24,"",IFERROR(L828/600*100,""))</f>
        <v>18.6666666666667</v>
      </c>
      <c r="M832" s="47" t="str">
        <f ca="1">IF(F804&gt;ENTRY!$D$24,"",IFERROR(L828&amp;" / "&amp;"600",""))</f>
        <v>112 / 600</v>
      </c>
      <c r="N832" s="29"/>
      <c r="O832" s="29"/>
      <c r="P832" s="19"/>
      <c r="Q832" s="19"/>
      <c r="R832" s="11"/>
    </row>
    <row r="833" s="1" customFormat="1" ht="9.95" customHeight="1" spans="1:19">
      <c r="A833" s="7"/>
      <c r="B833" s="12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1"/>
      <c r="Q833" s="19"/>
      <c r="R833" s="11"/>
    </row>
    <row r="834" s="1" customFormat="1" ht="9.95" customHeight="1" spans="1:19">
      <c r="A834" s="7"/>
      <c r="B834" s="12"/>
      <c r="C834" s="71"/>
      <c r="D834" s="71"/>
      <c r="E834" s="71"/>
      <c r="F834" s="29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19"/>
      <c r="R834" s="11"/>
    </row>
    <row r="835" s="1" customFormat="1" ht="9.95" customHeight="1" spans="1:19">
      <c r="A835" s="7"/>
      <c r="B835" s="12"/>
      <c r="C835" s="29"/>
      <c r="D835" s="29"/>
      <c r="E835" s="29"/>
      <c r="F835" s="72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19"/>
      <c r="R835" s="11"/>
    </row>
    <row r="836" s="1" customFormat="1" ht="9.95" customHeight="1" spans="1:19">
      <c r="A836" s="7"/>
      <c r="B836" s="12"/>
      <c r="C836" s="30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2"/>
      <c r="Q836" s="19"/>
      <c r="R836" s="11"/>
    </row>
    <row r="837" s="1" customFormat="1" ht="21.95" customHeight="1" spans="1:19">
      <c r="A837" s="7"/>
      <c r="B837" s="12"/>
      <c r="C837" s="73" t="s">
        <v>7</v>
      </c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74"/>
      <c r="Q837" s="19"/>
      <c r="R837" s="11"/>
      <c r="S837" s="2"/>
    </row>
    <row r="838" s="1" customFormat="1" ht="21.95" customHeight="1" spans="1:19">
      <c r="A838" s="7"/>
      <c r="B838" s="12"/>
      <c r="C838" s="33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19"/>
      <c r="Q838" s="19"/>
      <c r="R838" s="11"/>
    </row>
    <row r="839" s="1" customFormat="1" ht="21.95" customHeight="1" spans="1:19">
      <c r="A839" s="7"/>
      <c r="B839" s="12"/>
      <c r="C839" s="75" t="str">
        <f>"SESSION-"&amp;ENTRY!$D$11</f>
        <v>SESSION-2026-27</v>
      </c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76"/>
      <c r="Q839" s="19"/>
      <c r="R839" s="11"/>
    </row>
    <row r="840" s="1" customFormat="1" ht="18" customHeight="1" spans="1:19">
      <c r="A840" s="7"/>
      <c r="B840" s="12"/>
      <c r="C840" s="33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19"/>
      <c r="Q840" s="19"/>
      <c r="R840" s="11"/>
    </row>
    <row r="841" s="1" customFormat="1" ht="21.95" customHeight="1" spans="1:19">
      <c r="A841" s="7"/>
      <c r="B841" s="12"/>
      <c r="C841" s="33"/>
      <c r="D841" s="77" t="s">
        <v>758</v>
      </c>
      <c r="E841" s="77"/>
      <c r="F841" s="78" t="str">
        <f>IFERROR(PROPER(VLOOKUP(F804,STUDENT!$A$2:$BP$101,5,0)),"")</f>
        <v>Roki</v>
      </c>
      <c r="G841" s="78"/>
      <c r="H841" s="78"/>
      <c r="I841" s="78"/>
      <c r="J841" s="78"/>
      <c r="K841" s="78"/>
      <c r="L841" s="78"/>
      <c r="M841" s="78"/>
      <c r="N841" s="79" t="s">
        <v>759</v>
      </c>
      <c r="O841" s="79"/>
      <c r="P841" s="19"/>
      <c r="Q841" s="19"/>
      <c r="R841" s="11"/>
    </row>
    <row r="842" s="1" customFormat="1" ht="21.95" customHeight="1" spans="1:19">
      <c r="A842" s="7"/>
      <c r="B842" s="12"/>
      <c r="C842" s="33"/>
      <c r="D842" s="80" t="s">
        <v>760</v>
      </c>
      <c r="E842" s="81" t="str">
        <f>IFERROR(PROPER(VLOOKUP(F804,STUDENT!$A$2:$BP$101,9,0)),"")</f>
        <v>Preeti</v>
      </c>
      <c r="F842" s="81"/>
      <c r="G842" s="81"/>
      <c r="H842" s="80" t="s">
        <v>761</v>
      </c>
      <c r="I842" s="82" t="str">
        <f>IFERROR(PROPER(VLOOKUP(F804,STUDENT!$A$2:$BP$101,8,0)),"")</f>
        <v>Kuar Singh</v>
      </c>
      <c r="J842" s="82"/>
      <c r="K842" s="82"/>
      <c r="L842" s="82"/>
      <c r="M842" s="80" t="s">
        <v>762</v>
      </c>
      <c r="N842" s="83" t="str">
        <f>IFERROR(VLOOKUP(F804,STUDENT!$A$2:$BP$101,59,0),"")</f>
        <v/>
      </c>
      <c r="O842" s="83"/>
      <c r="P842" s="19"/>
      <c r="Q842" s="19"/>
      <c r="R842" s="11"/>
    </row>
    <row r="843" s="1" customFormat="1" ht="21.95" customHeight="1" spans="1:19">
      <c r="A843" s="7"/>
      <c r="B843" s="12"/>
      <c r="C843" s="33"/>
      <c r="D843" s="77" t="str">
        <f>"has    completed     his  /  her     primary     level     education    in    the    year    "&amp;RIGHT(ENTRY!$D809,4)&amp;"    from    ( School    Name )"</f>
        <v>has    completed     his  /  her     primary     level     education    in    the    year        from    ( School    Name )</v>
      </c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19"/>
      <c r="Q843" s="19"/>
      <c r="R843" s="11"/>
    </row>
    <row r="844" s="1" customFormat="1" ht="21.95" customHeight="1" spans="1:19">
      <c r="A844" s="7"/>
      <c r="B844" s="12"/>
      <c r="C844" s="33"/>
      <c r="D844" s="81" t="str">
        <f>IF(F804&gt;0,ENTRY!$D$6,"")</f>
        <v>MCP NITHARI NO 1 BOYS</v>
      </c>
      <c r="E844" s="81"/>
      <c r="F844" s="81"/>
      <c r="G844" s="81"/>
      <c r="H844" s="81"/>
      <c r="I844" s="81"/>
      <c r="J844" s="81"/>
      <c r="K844" s="81"/>
      <c r="L844" s="81"/>
      <c r="M844" s="80" t="s">
        <v>763</v>
      </c>
      <c r="N844" s="84">
        <f>IF(F804&gt;0,ENTRY!$D$7,"")</f>
        <v>0</v>
      </c>
      <c r="O844" s="84"/>
      <c r="P844" s="85" t="s">
        <v>727</v>
      </c>
      <c r="Q844" s="19"/>
      <c r="R844" s="11"/>
    </row>
    <row r="845" s="1" customFormat="1" ht="21.95" customHeight="1" spans="1:19">
      <c r="A845" s="7"/>
      <c r="B845" s="12"/>
      <c r="C845" s="33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19"/>
      <c r="Q845" s="19"/>
      <c r="R845" s="11"/>
    </row>
    <row r="846" s="1" customFormat="1" ht="21.95" customHeight="1" spans="1:19">
      <c r="A846" s="7"/>
      <c r="B846" s="12"/>
      <c r="C846" s="33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19"/>
      <c r="Q846" s="19"/>
      <c r="R846" s="11"/>
    </row>
    <row r="847" s="1" customFormat="1" ht="21.95" customHeight="1" spans="1:19">
      <c r="A847" s="7"/>
      <c r="B847" s="12"/>
      <c r="C847" s="33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19"/>
      <c r="Q847" s="19"/>
      <c r="R847" s="11"/>
    </row>
    <row r="848" s="1" customFormat="1" ht="21.95" customHeight="1" spans="1:19">
      <c r="A848" s="7"/>
      <c r="B848" s="12"/>
      <c r="C848" s="33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19"/>
      <c r="Q848" s="19"/>
      <c r="R848" s="11"/>
    </row>
    <row r="849" s="1" customFormat="1" ht="21.95" customHeight="1" spans="1:18">
      <c r="A849" s="7"/>
      <c r="B849" s="12"/>
      <c r="C849" s="33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19"/>
      <c r="Q849" s="19"/>
      <c r="R849" s="11"/>
    </row>
    <row r="850" s="1" customFormat="1" ht="21.95" customHeight="1" spans="1:18">
      <c r="A850" s="7"/>
      <c r="B850" s="12"/>
      <c r="C850" s="33"/>
      <c r="D850" s="80" t="s">
        <v>728</v>
      </c>
      <c r="E850" s="86">
        <f>ENTRY!$D$27</f>
        <v>46102</v>
      </c>
      <c r="F850" s="86"/>
      <c r="G850" s="29"/>
      <c r="H850" s="29"/>
      <c r="I850" s="29"/>
      <c r="J850" s="29"/>
      <c r="K850" s="29"/>
      <c r="L850" s="29"/>
      <c r="M850" s="87" t="s">
        <v>730</v>
      </c>
      <c r="N850" s="87"/>
      <c r="O850" s="87"/>
      <c r="P850" s="19"/>
      <c r="Q850" s="19"/>
      <c r="R850" s="11"/>
    </row>
    <row r="851" s="1" customFormat="1" ht="21.95" customHeight="1" spans="1:18">
      <c r="A851" s="7"/>
      <c r="B851" s="12"/>
      <c r="C851" s="33"/>
      <c r="D851" s="80" t="s">
        <v>731</v>
      </c>
      <c r="E851" s="88" t="str">
        <f>PROPER(ENTRY!$D$28)</f>
        <v>New Delhi</v>
      </c>
      <c r="F851" s="88"/>
      <c r="G851" s="29"/>
      <c r="H851" s="29"/>
      <c r="I851" s="29"/>
      <c r="J851" s="29"/>
      <c r="K851" s="29"/>
      <c r="L851" s="29"/>
      <c r="M851" s="89" t="s">
        <v>732</v>
      </c>
      <c r="N851" s="89"/>
      <c r="O851" s="89"/>
      <c r="P851" s="19"/>
      <c r="Q851" s="19"/>
      <c r="R851" s="11"/>
    </row>
    <row r="852" s="1" customFormat="1" ht="21.95" customHeight="1" spans="1:18">
      <c r="A852" s="7"/>
      <c r="B852" s="12"/>
      <c r="C852" s="90"/>
      <c r="D852" s="91"/>
      <c r="E852" s="91"/>
      <c r="F852" s="91"/>
      <c r="G852" s="91"/>
      <c r="H852" s="91"/>
      <c r="I852" s="91"/>
      <c r="J852" s="91"/>
      <c r="K852" s="91"/>
      <c r="L852" s="91"/>
      <c r="M852" s="91"/>
      <c r="N852" s="91"/>
      <c r="O852" s="91"/>
      <c r="P852" s="92"/>
      <c r="Q852" s="14"/>
      <c r="R852" s="11"/>
    </row>
    <row r="853" s="1" customFormat="1" ht="5.1" customHeight="1" spans="1:18">
      <c r="A853" s="7"/>
      <c r="B853" s="90"/>
      <c r="C853" s="91"/>
      <c r="D853" s="91"/>
      <c r="E853" s="91"/>
      <c r="F853" s="91"/>
      <c r="G853" s="91"/>
      <c r="H853" s="91"/>
      <c r="I853" s="91"/>
      <c r="J853" s="91"/>
      <c r="K853" s="91"/>
      <c r="L853" s="91"/>
      <c r="M853" s="91"/>
      <c r="N853" s="91"/>
      <c r="O853" s="91"/>
      <c r="P853" s="91"/>
      <c r="Q853" s="92"/>
      <c r="R853" s="11"/>
    </row>
    <row r="854" s="1" customFormat="1" ht="5.1" customHeight="1" spans="1:18">
      <c r="A854" s="93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5"/>
    </row>
    <row r="855" s="2" customFormat="1" ht="9.95" customHeight="1"/>
    <row r="856" s="1" customFormat="1" ht="5.1" customHeight="1" spans="1:18">
      <c r="A856" s="4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6"/>
    </row>
    <row r="857" s="1" customFormat="1" ht="15" customHeight="1" spans="1:18">
      <c r="A857" s="7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0"/>
      <c r="R857" s="11"/>
    </row>
    <row r="858" s="1" customFormat="1" ht="21.95" customHeight="1" spans="1:18">
      <c r="A858" s="7"/>
      <c r="B858" s="12"/>
      <c r="C858" s="13" t="s">
        <v>7</v>
      </c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4"/>
      <c r="R858" s="11"/>
    </row>
    <row r="859" s="1" customFormat="1" ht="21.95" customHeight="1" spans="1:18">
      <c r="A859" s="7"/>
      <c r="B859" s="1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14"/>
      <c r="R859" s="11"/>
    </row>
    <row r="860" s="1" customFormat="1" ht="21.95" customHeight="1" spans="1:18">
      <c r="A860" s="7"/>
      <c r="B860" s="12"/>
      <c r="C860" s="15" t="str">
        <f>"SESSION-"&amp;ENTRY!$D$11</f>
        <v>SESSION-2026-27</v>
      </c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4"/>
      <c r="R860" s="11"/>
    </row>
    <row r="861" s="1" customFormat="1" ht="21.95" customHeight="1" spans="1:18">
      <c r="A861" s="7"/>
      <c r="B861" s="12"/>
      <c r="C861" s="2"/>
      <c r="D861" s="2"/>
      <c r="E861" s="2"/>
      <c r="F861" s="16">
        <f>F804+1</f>
        <v>16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14"/>
      <c r="R861" s="11"/>
    </row>
    <row r="862" s="1" customFormat="1" ht="21.95" customHeight="1" spans="1:18">
      <c r="A862" s="7"/>
      <c r="B862" s="12"/>
      <c r="C862" s="17" t="s">
        <v>392</v>
      </c>
      <c r="D862" s="17"/>
      <c r="E862" s="17"/>
      <c r="F862" s="18" t="str">
        <f>IF(F861&gt;0,ENTRY!$D$6,"")</f>
        <v>MCP NITHARI NO 1 BOYS</v>
      </c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9"/>
      <c r="R862" s="11"/>
    </row>
    <row r="863" s="1" customFormat="1" ht="21.95" customHeight="1" spans="1:18">
      <c r="A863" s="7"/>
      <c r="B863" s="12"/>
      <c r="C863" s="17" t="s">
        <v>393</v>
      </c>
      <c r="D863" s="17"/>
      <c r="E863" s="17"/>
      <c r="F863" s="18">
        <f>IF(F861&gt;0,ENTRY!$D$7,"")</f>
        <v>0</v>
      </c>
      <c r="G863" s="18"/>
      <c r="H863" s="20" t="s">
        <v>702</v>
      </c>
      <c r="I863" s="20"/>
      <c r="J863" s="21">
        <f>IF(F861&gt;0,ENTRY!$D$10,"")</f>
        <v>40</v>
      </c>
      <c r="K863" s="20" t="s">
        <v>703</v>
      </c>
      <c r="L863" s="22" t="str">
        <f>IF(F861&gt;0,ENTRY!$D$5,"")</f>
        <v>ROHINI ZONE</v>
      </c>
      <c r="M863" s="22"/>
      <c r="N863" s="22"/>
      <c r="O863" s="22"/>
      <c r="P863" s="22"/>
      <c r="Q863" s="19"/>
      <c r="R863" s="11"/>
    </row>
    <row r="864" s="1" customFormat="1" ht="21.95" customHeight="1" spans="1:18">
      <c r="A864" s="7"/>
      <c r="B864" s="12"/>
      <c r="C864" s="17" t="s">
        <v>706</v>
      </c>
      <c r="D864" s="17"/>
      <c r="E864" s="17"/>
      <c r="F864" s="23" t="str">
        <f>IFERROR(VLOOKUP(F861,STUDENT!$A$2:$BP$101,5,0),"")</f>
        <v>MD BILAL</v>
      </c>
      <c r="G864" s="23"/>
      <c r="H864" s="23"/>
      <c r="I864" s="23"/>
      <c r="J864" s="23"/>
      <c r="K864" s="23"/>
      <c r="L864" s="20" t="s">
        <v>707</v>
      </c>
      <c r="M864" s="20"/>
      <c r="N864" s="24" t="str">
        <f>IF(F861&gt;0,ENTRY!$D$20&amp;"-"&amp;ENTRY!$D$21,"")</f>
        <v>III-A</v>
      </c>
      <c r="O864" s="24"/>
      <c r="P864" s="24"/>
      <c r="Q864" s="19"/>
      <c r="R864" s="11"/>
    </row>
    <row r="865" s="1" customFormat="1" ht="21.95" customHeight="1" spans="1:18">
      <c r="A865" s="7"/>
      <c r="B865" s="12"/>
      <c r="C865" s="17" t="s">
        <v>708</v>
      </c>
      <c r="D865" s="17"/>
      <c r="E865" s="17"/>
      <c r="F865" s="25">
        <f>IFERROR(VLOOKUP(F861,STUDENT!$A$2:$BP$101,6,0),"")</f>
        <v>14748</v>
      </c>
      <c r="G865" s="25"/>
      <c r="H865" s="26" t="s">
        <v>709</v>
      </c>
      <c r="I865" s="27" t="str">
        <f>IFERROR(VLOOKUP(F861,STUDENT!$A$2:$BP$101,59,0),"")</f>
        <v/>
      </c>
      <c r="J865" s="27"/>
      <c r="K865" s="20" t="s">
        <v>710</v>
      </c>
      <c r="L865" s="20"/>
      <c r="M865" s="28">
        <f>IFERROR(VLOOKUP(F861,STUDENT!$A$2:$BP$101,20,0),"")</f>
        <v>9654947222</v>
      </c>
      <c r="N865" s="28"/>
      <c r="O865" s="28"/>
      <c r="P865" s="28"/>
      <c r="Q865" s="19"/>
      <c r="R865" s="11"/>
    </row>
    <row r="866" s="1" customFormat="1" ht="21.95" customHeight="1" spans="1:18">
      <c r="A866" s="7"/>
      <c r="B866" s="12"/>
      <c r="C866" s="17" t="s">
        <v>711</v>
      </c>
      <c r="D866" s="17"/>
      <c r="E866" s="17"/>
      <c r="F866" s="23" t="str">
        <f>IFERROR(VLOOKUP(F861,STUDENT!$A$2:$BP$101,9,0),"")</f>
        <v>SABA PARWEEN</v>
      </c>
      <c r="G866" s="23"/>
      <c r="H866" s="23"/>
      <c r="I866" s="23"/>
      <c r="J866" s="17" t="s">
        <v>620</v>
      </c>
      <c r="K866" s="17"/>
      <c r="L866" s="23" t="str">
        <f>IFERROR(VLOOKUP(F861,STUDENT!$A$2:$BP$101,8,0),"")</f>
        <v>MD AFROJ</v>
      </c>
      <c r="M866" s="23"/>
      <c r="N866" s="23"/>
      <c r="O866" s="23"/>
      <c r="P866" s="23"/>
      <c r="Q866" s="19"/>
      <c r="R866" s="11"/>
    </row>
    <row r="867" s="1" customFormat="1" ht="21.95" customHeight="1" spans="1:18">
      <c r="A867" s="7"/>
      <c r="B867" s="12"/>
      <c r="C867" s="17" t="s">
        <v>712</v>
      </c>
      <c r="D867" s="17"/>
      <c r="E867" s="17"/>
      <c r="F867" s="23" t="str">
        <f>IFERROR(VLOOKUP(F861,STUDENT!$A$2:$BP$101,22,0),"")</f>
        <v>H NO-46, INDER ENCLAVE -II, KIRARI</v>
      </c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19"/>
      <c r="R867" s="11"/>
    </row>
    <row r="868" s="1" customFormat="1" ht="9.95" customHeight="1" spans="1:18">
      <c r="A868" s="7"/>
      <c r="B868" s="12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19"/>
      <c r="R868" s="11"/>
    </row>
    <row r="869" s="1" customFormat="1" ht="9.95" customHeight="1" spans="1:18">
      <c r="A869" s="7"/>
      <c r="B869" s="12"/>
      <c r="C869" s="30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2"/>
      <c r="Q869" s="19"/>
      <c r="R869" s="11"/>
    </row>
    <row r="870" s="1" customFormat="1" ht="21.95" customHeight="1" spans="1:18">
      <c r="A870" s="7"/>
      <c r="B870" s="12"/>
      <c r="C870" s="33"/>
      <c r="D870" s="34" t="s">
        <v>713</v>
      </c>
      <c r="E870" s="20" t="s">
        <v>714</v>
      </c>
      <c r="F870" s="35" t="str">
        <f>"Level - "&amp;IFERROR(VLOOKUP(F861,FLN!$A$4:$K$103,9,0),"")</f>
        <v>Level - 2</v>
      </c>
      <c r="G870" s="36"/>
      <c r="H870" s="37" t="s">
        <v>715</v>
      </c>
      <c r="I870" s="20"/>
      <c r="J870" s="35" t="str">
        <f>"Level - "&amp;IFERROR(VLOOKUP(F861,FLN!$A$4:$K$103,11,0),"")</f>
        <v>Level - 3</v>
      </c>
      <c r="K870" s="36"/>
      <c r="L870" s="37" t="s">
        <v>408</v>
      </c>
      <c r="M870" s="20"/>
      <c r="N870" s="35" t="str">
        <f>"Level - "&amp;IFERROR(VLOOKUP(F861,FLN!$A$4:$K$103,10,0),"")</f>
        <v>Level - 2</v>
      </c>
      <c r="O870" s="36"/>
      <c r="P870" s="19"/>
      <c r="Q870" s="19"/>
      <c r="R870" s="11"/>
    </row>
    <row r="871" s="1" customFormat="1" ht="21.95" customHeight="1" spans="1:18">
      <c r="A871" s="7"/>
      <c r="B871" s="12"/>
      <c r="C871" s="33"/>
      <c r="D871" s="38"/>
      <c r="E871" s="20" t="s">
        <v>716</v>
      </c>
      <c r="F871" s="18" t="str">
        <f ca="1">IF(L885&gt;197,"PERFORMED WELL","")</f>
        <v/>
      </c>
      <c r="G871" s="18"/>
      <c r="H871" s="18"/>
      <c r="I871" s="18"/>
      <c r="J871" s="18"/>
      <c r="K871" s="18"/>
      <c r="L871" s="18"/>
      <c r="M871" s="18"/>
      <c r="N871" s="18"/>
      <c r="O871" s="18"/>
      <c r="P871" s="19"/>
      <c r="Q871" s="19"/>
      <c r="R871" s="11"/>
    </row>
    <row r="872" s="1" customFormat="1" ht="9.95" customHeight="1" spans="1:18">
      <c r="A872" s="7"/>
      <c r="B872" s="12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1"/>
      <c r="Q872" s="19"/>
      <c r="R872" s="11"/>
    </row>
    <row r="873" s="1" customFormat="1" ht="9.95" customHeight="1" spans="1:18">
      <c r="A873" s="7"/>
      <c r="B873" s="12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19"/>
      <c r="R873" s="11"/>
    </row>
    <row r="874" s="1" customFormat="1" ht="9.95" customHeight="1" spans="1:18">
      <c r="A874" s="7"/>
      <c r="B874" s="12"/>
      <c r="C874" s="30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2"/>
      <c r="Q874" s="19"/>
      <c r="R874" s="11"/>
    </row>
    <row r="875" s="1" customFormat="1" ht="21.95" customHeight="1" spans="1:18">
      <c r="A875" s="7"/>
      <c r="B875" s="12"/>
      <c r="C875" s="33"/>
      <c r="D875" s="35"/>
      <c r="E875" s="24"/>
      <c r="F875" s="42" t="s">
        <v>717</v>
      </c>
      <c r="G875" s="42"/>
      <c r="H875" s="42"/>
      <c r="I875" s="42"/>
      <c r="J875" s="42"/>
      <c r="K875" s="42"/>
      <c r="L875" s="43"/>
      <c r="M875" s="44"/>
      <c r="N875" s="29"/>
      <c r="O875" s="29"/>
      <c r="P875" s="19"/>
      <c r="Q875" s="19"/>
      <c r="R875" s="11"/>
    </row>
    <row r="876" s="1" customFormat="1" ht="21.95" customHeight="1" spans="1:18">
      <c r="A876" s="7"/>
      <c r="B876" s="12"/>
      <c r="C876" s="33"/>
      <c r="D876" s="45"/>
      <c r="E876" s="46"/>
      <c r="F876" s="47" t="s">
        <v>541</v>
      </c>
      <c r="G876" s="47" t="s">
        <v>542</v>
      </c>
      <c r="H876" s="47" t="s">
        <v>543</v>
      </c>
      <c r="I876" s="47" t="s">
        <v>544</v>
      </c>
      <c r="J876" s="47" t="s">
        <v>561</v>
      </c>
      <c r="K876" s="48" t="s">
        <v>750</v>
      </c>
      <c r="L876" s="47" t="s">
        <v>382</v>
      </c>
      <c r="M876" s="49" t="s">
        <v>546</v>
      </c>
      <c r="N876" s="29"/>
      <c r="O876" s="29"/>
      <c r="P876" s="19"/>
      <c r="Q876" s="19"/>
      <c r="R876" s="11"/>
    </row>
    <row r="877" s="1" customFormat="1" ht="21.95" customHeight="1" spans="1:18">
      <c r="A877" s="7"/>
      <c r="B877" s="12"/>
      <c r="C877" s="33"/>
      <c r="D877" s="45" t="s">
        <v>652</v>
      </c>
      <c r="E877" s="46"/>
      <c r="F877" s="50">
        <v>10</v>
      </c>
      <c r="G877" s="50">
        <v>10</v>
      </c>
      <c r="H877" s="50">
        <v>10</v>
      </c>
      <c r="I877" s="50">
        <v>10</v>
      </c>
      <c r="J877" s="50">
        <v>60</v>
      </c>
      <c r="K877" s="51"/>
      <c r="L877" s="50">
        <v>100</v>
      </c>
      <c r="M877" s="49"/>
      <c r="N877" s="29"/>
      <c r="O877" s="29"/>
      <c r="P877" s="19"/>
      <c r="Q877" s="19"/>
      <c r="R877" s="11"/>
    </row>
    <row r="878" s="1" customFormat="1" ht="21.95" customHeight="1" spans="1:18">
      <c r="A878" s="7"/>
      <c r="B878" s="12"/>
      <c r="C878" s="33"/>
      <c r="D878" s="52" t="s">
        <v>751</v>
      </c>
      <c r="E878" s="53"/>
      <c r="F878" s="54">
        <f ca="1">IFERROR(VLOOKUP(F861,'RR-3.1-5TH'!$A$12:'RR-3.1-5TH'!$BN$111,9,0),"")</f>
        <v>2</v>
      </c>
      <c r="G878" s="54">
        <f ca="1">IFERROR(VLOOKUP(F861,'RR-3.1-5TH'!$A$12:'RR-3.1-5TH'!$BN$111,10,0),"")</f>
        <v>0</v>
      </c>
      <c r="H878" s="54">
        <f ca="1">IFERROR(VLOOKUP(F861,'RR-3.1-5TH'!$A$12:'RR-3.1-5TH'!$BN$111,11,0),"")</f>
        <v>0</v>
      </c>
      <c r="I878" s="54">
        <f ca="1">IFERROR(VLOOKUP(F861,'RR-3.1-5TH'!$A$12:'RR-3.1-5TH'!$BN$111,12,0),"")</f>
        <v>0</v>
      </c>
      <c r="J878" s="54">
        <f ca="1">IFERROR(VLOOKUP(F861,'RR-3.1-5TH'!$A$12:'RR-3.1-5TH'!$BN$111,13,0),"")</f>
        <v>51</v>
      </c>
      <c r="K878" s="54">
        <f ca="1">IFERROR(VLOOKUP(F861,'RR-3.1-5TH'!$A$12:'RR-3.1-5TH'!$BN$111,14,0),"")</f>
        <v>0</v>
      </c>
      <c r="L878" s="55">
        <f ca="1" t="shared" ref="L878:L883" si="45">SUM(F878,G878,H878,I878,J878,K878)</f>
        <v>53</v>
      </c>
      <c r="M878" s="56" t="str">
        <f ca="1">IF(F861&gt;ENTRY!$D$24,"",IF(L878=0,"Ab",IF(L878&gt;80,"A",IF(L878&gt;60,"B",IF(L878&gt;44,"C",IF(L878&gt;=33,"D",IF(L878&lt;=32,"E","")))))))</f>
        <v>C</v>
      </c>
      <c r="N878" s="57" t="s">
        <v>729</v>
      </c>
      <c r="O878" s="58"/>
      <c r="P878" s="59"/>
      <c r="Q878" s="19"/>
      <c r="R878" s="11"/>
    </row>
    <row r="879" s="1" customFormat="1" ht="21.95" customHeight="1" spans="1:18">
      <c r="A879" s="7"/>
      <c r="B879" s="12"/>
      <c r="C879" s="33"/>
      <c r="D879" s="52" t="s">
        <v>513</v>
      </c>
      <c r="E879" s="53"/>
      <c r="F879" s="54">
        <f ca="1">IFERROR(VLOOKUP(F861,'RR-3.1-5TH'!$A$12:'RR-3.1-5TH'!$BN$111,17,0),"")</f>
        <v>1</v>
      </c>
      <c r="G879" s="54">
        <f ca="1">IFERROR(VLOOKUP(F861,'RR-3.1-5TH'!$A$12:'RR-3.1-5TH'!$BN$111,18,0),"")</f>
        <v>0</v>
      </c>
      <c r="H879" s="54">
        <f ca="1">IFERROR(VLOOKUP(F861,'RR-3.1-5TH'!$A$12:'RR-3.1-5TH'!$BN$111,19,0),"")</f>
        <v>0</v>
      </c>
      <c r="I879" s="54">
        <f ca="1">IFERROR(VLOOKUP(F861,'RR-3.1-5TH'!$A$12:'RR-3.1-5TH'!$BN$111,20,0),"")</f>
        <v>0</v>
      </c>
      <c r="J879" s="54">
        <f ca="1">IFERROR(VLOOKUP(F861,'RR-3.1-5TH'!$A$12:'RR-3.1-5TH'!$BN$111,21,0),"")</f>
        <v>15</v>
      </c>
      <c r="K879" s="54">
        <f ca="1">IFERROR(VLOOKUP(F861,'RR-3.1-5TH'!$A$12:'RR-3.1-5TH'!$BN$111,22,0),"")</f>
        <v>0</v>
      </c>
      <c r="L879" s="55">
        <f ca="1" t="shared" si="45"/>
        <v>16</v>
      </c>
      <c r="M879" s="56" t="str">
        <f ca="1">IF(F861&gt;ENTRY!$D$24,"",IF(L879=0,"Ab",IF(L879&gt;80,"A",IF(L879&gt;60,"B",IF(L879&gt;44,"C",IF(L879&gt;=33,"D",IF(L879&lt;=32,"E","")))))))</f>
        <v>E</v>
      </c>
      <c r="N879" s="58"/>
      <c r="O879" s="58"/>
      <c r="P879" s="59"/>
      <c r="Q879" s="19"/>
      <c r="R879" s="11"/>
    </row>
    <row r="880" s="1" customFormat="1" ht="21.95" customHeight="1" spans="1:18">
      <c r="A880" s="7"/>
      <c r="B880" s="12"/>
      <c r="C880" s="33"/>
      <c r="D880" s="52" t="s">
        <v>718</v>
      </c>
      <c r="E880" s="53"/>
      <c r="F880" s="54">
        <f ca="1">IFERROR(VLOOKUP(F861,'RR-3.1-5TH'!$A$12:'RR-3.1-5TH'!$BN$111,25,0),"")</f>
        <v>2</v>
      </c>
      <c r="G880" s="54">
        <f ca="1">IFERROR(VLOOKUP(F861,'RR-3.1-5TH'!$A$12:'RR-3.1-5TH'!$BN$111,26,0),"")</f>
        <v>0</v>
      </c>
      <c r="H880" s="54">
        <f ca="1">IFERROR(VLOOKUP(F861,'RR-3.1-5TH'!$A$12:'RR-3.1-5TH'!$BN$111,27,0),"")</f>
        <v>0</v>
      </c>
      <c r="I880" s="54">
        <f ca="1">IFERROR(VLOOKUP(F861,'RR-3.1-5TH'!$A$12:'RR-3.1-5TH'!$BN$111,28,0),"")</f>
        <v>0</v>
      </c>
      <c r="J880" s="54">
        <f ca="1">IFERROR(VLOOKUP(F861,'RR-3.1-5TH'!$A$12:'RR-3.1-5TH'!$BN$111,29,0),"")</f>
        <v>22</v>
      </c>
      <c r="K880" s="54">
        <f ca="1">IFERROR(VLOOKUP(F861,'RR-3.1-5TH'!$A$12:'RR-3.1-5TH'!$BN$111,30,0),"")</f>
        <v>0</v>
      </c>
      <c r="L880" s="55">
        <f ca="1" t="shared" si="45"/>
        <v>24</v>
      </c>
      <c r="M880" s="56" t="str">
        <f ca="1">IF(F861&gt;ENTRY!$D$24,"",IF(L880=0,"Ab",IF(L880&gt;80,"A",IF(L880&gt;60,"B",IF(L880&gt;44,"C",IF(L880&gt;=33,"D",IF(L880&lt;=32,"E","")))))))</f>
        <v>E</v>
      </c>
      <c r="N880" s="29"/>
      <c r="O880" s="29"/>
      <c r="P880" s="19"/>
      <c r="Q880" s="19"/>
      <c r="R880" s="11"/>
    </row>
    <row r="881" s="1" customFormat="1" ht="21.95" customHeight="1" spans="1:19">
      <c r="A881" s="7"/>
      <c r="B881" s="12"/>
      <c r="C881" s="33"/>
      <c r="D881" s="52" t="s">
        <v>719</v>
      </c>
      <c r="E881" s="53"/>
      <c r="F881" s="54">
        <f ca="1">IFERROR(VLOOKUP(F861,'RR-3.1-5TH'!$A$12:'RR-3.1-5TH'!$BN$111,33,0),"")</f>
        <v>1</v>
      </c>
      <c r="G881" s="54">
        <f ca="1">IFERROR(VLOOKUP(F861,'RR-3.1-5TH'!$A$12:'RR-3.1-5TH'!$BN$111,34,0),"")</f>
        <v>0</v>
      </c>
      <c r="H881" s="54">
        <f ca="1">IFERROR(VLOOKUP(F861,'RR-3.1-5TH'!$A$12:'RR-3.1-5TH'!$BN$111,35,0),"")</f>
        <v>0</v>
      </c>
      <c r="I881" s="54">
        <f ca="1">IFERROR(VLOOKUP(F861,'RR-3.1-5TH'!$A$12:'RR-3.1-5TH'!$BN$111,36,0),"")</f>
        <v>0</v>
      </c>
      <c r="J881" s="54">
        <f ca="1">IFERROR(VLOOKUP(F861,'RR-3.1-5TH'!$A$12:'RR-3.1-5TH'!$BN$111,37,0),"")</f>
        <v>23</v>
      </c>
      <c r="K881" s="54">
        <f ca="1">IFERROR(VLOOKUP(F861,'RR-3.1-5TH'!$A$12:'RR-3.1-5TH'!$BN$111,38,0),"")</f>
        <v>0</v>
      </c>
      <c r="L881" s="55">
        <f ca="1" t="shared" si="45"/>
        <v>24</v>
      </c>
      <c r="M881" s="56" t="str">
        <f ca="1">IF(F861&gt;ENTRY!$D$24,"",IF(L881=0,"Ab",IF(L881&gt;80,"A",IF(L881&gt;60,"B",IF(L881&gt;44,"C",IF(L881&gt;=33,"D",IF(L881&lt;=32,"E","")))))))</f>
        <v>E</v>
      </c>
      <c r="N881" s="29"/>
      <c r="O881" s="29"/>
      <c r="P881" s="19"/>
      <c r="Q881" s="19"/>
      <c r="R881" s="11"/>
    </row>
    <row r="882" s="1" customFormat="1" ht="21.95" customHeight="1" spans="1:19">
      <c r="A882" s="7"/>
      <c r="B882" s="12"/>
      <c r="C882" s="33"/>
      <c r="D882" s="52" t="s">
        <v>548</v>
      </c>
      <c r="E882" s="53"/>
      <c r="F882" s="54">
        <f ca="1">IFERROR(VLOOKUP(F861,'RR-3.1-5TH'!$A$12:'RR-3.1-5TH'!$BN$111,41,0),"")</f>
        <v>0</v>
      </c>
      <c r="G882" s="54">
        <f ca="1">IFERROR(VLOOKUP(F861,'RR-3.1-5TH'!$A$12:'RR-3.1-5TH'!$BN$111,42,0),"")</f>
        <v>0</v>
      </c>
      <c r="H882" s="54">
        <f ca="1">IFERROR(VLOOKUP(F861,'RR-3.1-5TH'!$A$12:'RR-3.1-5TH'!$BN$111,43,0),"")</f>
        <v>0</v>
      </c>
      <c r="I882" s="54">
        <f ca="1">IFERROR(VLOOKUP(F861,'RR-3.1-5TH'!$A$12:'RR-3.1-5TH'!$BN$111,44,0),"")</f>
        <v>0</v>
      </c>
      <c r="J882" s="54">
        <f ca="1">IFERROR(VLOOKUP(F861,'RR-3.1-5TH'!$A$12:'RR-3.1-5TH'!$BN$111,45,0),"")</f>
        <v>25</v>
      </c>
      <c r="K882" s="54">
        <f ca="1">IFERROR(VLOOKUP(F861,'RR-3.1-5TH'!$A$12:'RR-3.1-5TH'!$BN$111,46,0),"")</f>
        <v>0</v>
      </c>
      <c r="L882" s="55">
        <f ca="1" t="shared" si="45"/>
        <v>25</v>
      </c>
      <c r="M882" s="56" t="str">
        <f ca="1">IF(F861&gt;ENTRY!$D$24,"",IF(L882=0,"Ab",IF(L882&gt;80,"A",IF(L882&gt;60,"B",IF(L882&gt;44,"C",IF(L882&gt;=33,"D",IF(L882&lt;=32,"E","")))))))</f>
        <v>E</v>
      </c>
      <c r="N882" s="29"/>
      <c r="O882" s="29"/>
      <c r="P882" s="19"/>
      <c r="Q882" s="19"/>
      <c r="R882" s="11"/>
    </row>
    <row r="883" s="1" customFormat="1" ht="21.95" customHeight="1" spans="1:19">
      <c r="A883" s="7"/>
      <c r="B883" s="12"/>
      <c r="C883" s="33"/>
      <c r="D883" s="52" t="s">
        <v>549</v>
      </c>
      <c r="E883" s="53"/>
      <c r="F883" s="54">
        <f ca="1">IFERROR(VLOOKUP(F861,'RR-3.1-5TH'!$A$12:'RR-3.1-5TH'!$BN$111,49,0),"")</f>
        <v>2</v>
      </c>
      <c r="G883" s="54">
        <f ca="1">IFERROR(VLOOKUP(F861,'RR-3.1-5TH'!$A$12:'RR-3.1-5TH'!$BN$111,50,0),"")</f>
        <v>0</v>
      </c>
      <c r="H883" s="54">
        <f ca="1">IFERROR(VLOOKUP(F861,'RR-3.1-5TH'!$A$12:'RR-3.1-5TH'!$BN$111,51,0),"")</f>
        <v>0</v>
      </c>
      <c r="I883" s="54">
        <f ca="1">IFERROR(VLOOKUP(F861,'RR-3.1-5TH'!$A$12:'RR-3.1-5TH'!$BN$111,52,0),"")</f>
        <v>0</v>
      </c>
      <c r="J883" s="54">
        <f ca="1">IFERROR(VLOOKUP(F861,'RR-3.1-5TH'!$A$12:'RR-3.1-5TH'!$BN$111,53,0),"")</f>
        <v>25</v>
      </c>
      <c r="K883" s="54">
        <f ca="1">IFERROR(VLOOKUP(F861,'RR-3.1-5TH'!$A$12:'RR-3.1-5TH'!$BN$111,54,0),"")</f>
        <v>0</v>
      </c>
      <c r="L883" s="55">
        <f ca="1" t="shared" si="45"/>
        <v>27</v>
      </c>
      <c r="M883" s="56" t="str">
        <f ca="1">IF(F861&gt;ENTRY!$D$24,"",IF(L883=0,"Ab",IF(L883&gt;80,"A",IF(L883&gt;60,"B",IF(L883&gt;44,"C",IF(L883&gt;=33,"D",IF(L883&lt;=32,"E","")))))))</f>
        <v>E</v>
      </c>
      <c r="N883" s="57" t="s">
        <v>752</v>
      </c>
      <c r="O883" s="58"/>
      <c r="P883" s="59"/>
      <c r="Q883" s="19"/>
      <c r="R883" s="11"/>
    </row>
    <row r="884" s="1" customFormat="1" ht="21.95" customHeight="1" spans="1:19">
      <c r="A884" s="7"/>
      <c r="B884" s="12"/>
      <c r="C884" s="33"/>
      <c r="D884" s="52" t="s">
        <v>753</v>
      </c>
      <c r="E884" s="53"/>
      <c r="F884" s="60"/>
      <c r="G884" s="54"/>
      <c r="H884" s="54"/>
      <c r="I884" s="54"/>
      <c r="J884" s="54"/>
      <c r="K884" s="54"/>
      <c r="L884" s="55">
        <f t="shared" ref="L884" si="46">SUM(G884:K884)</f>
        <v>0</v>
      </c>
      <c r="M884" s="56" t="str">
        <f>IF(F861&gt;ENTRY!$D$24,"",IF(L884=0,"",IF(L884&gt;79,"A",IF(L884&gt;59,"B",IF(L884&gt;44,"C",IF(L884&gt;=33,"D",IF(L884&lt;=32,"E","")))))))</f>
        <v/>
      </c>
      <c r="N884" s="58"/>
      <c r="O884" s="58"/>
      <c r="P884" s="59"/>
      <c r="Q884" s="19"/>
      <c r="R884" s="11"/>
    </row>
    <row r="885" s="1" customFormat="1" ht="21.95" customHeight="1" spans="1:19">
      <c r="A885" s="7"/>
      <c r="B885" s="12"/>
      <c r="C885" s="33"/>
      <c r="D885" s="45" t="s">
        <v>382</v>
      </c>
      <c r="E885" s="46"/>
      <c r="F885" s="54">
        <f ca="1" t="shared" ref="F885:L885" si="47">IFERROR(SUM(F878:F884),"")</f>
        <v>8</v>
      </c>
      <c r="G885" s="54">
        <f ca="1" t="shared" si="47"/>
        <v>0</v>
      </c>
      <c r="H885" s="54">
        <f ca="1" t="shared" si="47"/>
        <v>0</v>
      </c>
      <c r="I885" s="54">
        <f ca="1" t="shared" si="47"/>
        <v>0</v>
      </c>
      <c r="J885" s="54">
        <f ca="1" t="shared" si="47"/>
        <v>161</v>
      </c>
      <c r="K885" s="54">
        <f ca="1" t="shared" si="47"/>
        <v>0</v>
      </c>
      <c r="L885" s="55">
        <f ca="1" t="shared" si="47"/>
        <v>169</v>
      </c>
      <c r="M885" s="61" t="str">
        <f ca="1">IF(F861&gt;ENTRY!$D$24,"",IF(N886="Ab","Ab",IF(N886&gt;79.5,"A",IF(N886&gt;59.5,"B",IF(N886&gt;44.5,"C",IF(N886&gt;=33,"D",IF(N886&lt;33,"E","")))))))</f>
        <v>E</v>
      </c>
      <c r="N885" s="62"/>
      <c r="O885" s="58"/>
      <c r="P885" s="59"/>
      <c r="Q885" s="19"/>
      <c r="R885" s="11"/>
    </row>
    <row r="886" s="1" customFormat="1" ht="21.95" customHeight="1" spans="1:19">
      <c r="A886" s="7"/>
      <c r="B886" s="12"/>
      <c r="C886" s="33"/>
      <c r="D886" s="63" t="s">
        <v>721</v>
      </c>
      <c r="E886" s="63"/>
      <c r="F886" s="63"/>
      <c r="G886" s="63"/>
      <c r="H886" s="63"/>
      <c r="I886" s="63"/>
      <c r="J886" s="63"/>
      <c r="K886" s="63"/>
      <c r="L886" s="63"/>
      <c r="M886" s="63"/>
      <c r="N886" s="64">
        <f ca="1">IF(L885="Ab","Ab",L885/6)</f>
        <v>28.1666666666667</v>
      </c>
      <c r="O886" s="65"/>
      <c r="P886" s="19"/>
      <c r="Q886" s="19"/>
      <c r="R886" s="11"/>
    </row>
    <row r="887" s="1" customFormat="1" ht="21.95" customHeight="1" spans="1:19">
      <c r="A887" s="7"/>
      <c r="B887" s="12"/>
      <c r="C887" s="33"/>
      <c r="D887" s="29" t="s">
        <v>716</v>
      </c>
      <c r="E887" s="18" t="str">
        <f>IFERROR(VLOOKUP(F861,'1to4-2.1-RR'!$A$12:$BG$111,57,0),"")</f>
        <v>PROMOTED</v>
      </c>
      <c r="F887" s="18"/>
      <c r="G887" s="18"/>
      <c r="H887" s="18"/>
      <c r="I887" s="18"/>
      <c r="J887" s="18"/>
      <c r="K887" s="18"/>
      <c r="L887" s="18"/>
      <c r="M887" s="18"/>
      <c r="N887" s="29"/>
      <c r="O887" s="29"/>
      <c r="P887" s="19"/>
      <c r="Q887" s="19"/>
      <c r="R887" s="11"/>
    </row>
    <row r="888" s="1" customFormat="1" ht="9.95" customHeight="1" spans="1:19">
      <c r="A888" s="7"/>
      <c r="B888" s="12"/>
      <c r="C888" s="33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19"/>
      <c r="Q888" s="19"/>
      <c r="R888" s="11"/>
    </row>
    <row r="889" s="1" customFormat="1" ht="36" spans="1:19">
      <c r="A889" s="7"/>
      <c r="B889" s="12"/>
      <c r="C889" s="33"/>
      <c r="D889" s="66" t="s">
        <v>576</v>
      </c>
      <c r="E889" s="67" t="s">
        <v>754</v>
      </c>
      <c r="F889" s="47">
        <f>IF(F861&gt;ENTRY!$D$24,"",IFERROR(VLOOKUP(F861,PASHEET!$A$4:$CJ$103,88,0),""))</f>
        <v>0</v>
      </c>
      <c r="G889" s="67" t="s">
        <v>755</v>
      </c>
      <c r="H889" s="47">
        <f>IF(F861&gt;ENTRY!$D$24,"",IFERROR(VLOOKUP(F861,PASHEET!$A$4:$CJ$103,87,0),""))</f>
        <v>0</v>
      </c>
      <c r="I889" s="68" t="s">
        <v>756</v>
      </c>
      <c r="J889" s="69" t="str">
        <f>IF(F861&gt;ENTRY!$D$24,"",IFERROR(IF(F861&gt;0,H889/F889*100),""))</f>
        <v/>
      </c>
      <c r="K889" s="60" t="s">
        <v>757</v>
      </c>
      <c r="L889" s="70">
        <f ca="1">IF(F861&gt;ENTRY!$D$24,"",IFERROR(L885/600*100,""))</f>
        <v>28.1666666666667</v>
      </c>
      <c r="M889" s="47" t="str">
        <f ca="1">IF(F861&gt;ENTRY!$D$24,"",IFERROR(L885&amp;" / "&amp;"600",""))</f>
        <v>169 / 600</v>
      </c>
      <c r="N889" s="29"/>
      <c r="O889" s="29"/>
      <c r="P889" s="19"/>
      <c r="Q889" s="19"/>
      <c r="R889" s="11"/>
    </row>
    <row r="890" s="1" customFormat="1" ht="9.95" customHeight="1" spans="1:19">
      <c r="A890" s="7"/>
      <c r="B890" s="12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1"/>
      <c r="Q890" s="19"/>
      <c r="R890" s="11"/>
    </row>
    <row r="891" s="1" customFormat="1" ht="9.95" customHeight="1" spans="1:19">
      <c r="A891" s="7"/>
      <c r="B891" s="12"/>
      <c r="C891" s="71"/>
      <c r="D891" s="71"/>
      <c r="E891" s="71"/>
      <c r="F891" s="29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19"/>
      <c r="R891" s="11"/>
    </row>
    <row r="892" s="1" customFormat="1" ht="9.95" customHeight="1" spans="1:19">
      <c r="A892" s="7"/>
      <c r="B892" s="12"/>
      <c r="C892" s="29"/>
      <c r="D892" s="29"/>
      <c r="E892" s="29"/>
      <c r="F892" s="72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19"/>
      <c r="R892" s="11"/>
    </row>
    <row r="893" s="1" customFormat="1" ht="9.95" customHeight="1" spans="1:19">
      <c r="A893" s="7"/>
      <c r="B893" s="12"/>
      <c r="C893" s="30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2"/>
      <c r="Q893" s="19"/>
      <c r="R893" s="11"/>
    </row>
    <row r="894" s="1" customFormat="1" ht="21.95" customHeight="1" spans="1:19">
      <c r="A894" s="7"/>
      <c r="B894" s="12"/>
      <c r="C894" s="73" t="s">
        <v>7</v>
      </c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74"/>
      <c r="Q894" s="19"/>
      <c r="R894" s="11"/>
      <c r="S894" s="2"/>
    </row>
    <row r="895" s="1" customFormat="1" ht="21.95" customHeight="1" spans="1:19">
      <c r="A895" s="7"/>
      <c r="B895" s="12"/>
      <c r="C895" s="33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19"/>
      <c r="Q895" s="19"/>
      <c r="R895" s="11"/>
    </row>
    <row r="896" s="1" customFormat="1" ht="21.95" customHeight="1" spans="1:19">
      <c r="A896" s="7"/>
      <c r="B896" s="12"/>
      <c r="C896" s="75" t="str">
        <f>"SESSION-"&amp;ENTRY!$D$11</f>
        <v>SESSION-2026-27</v>
      </c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76"/>
      <c r="Q896" s="19"/>
      <c r="R896" s="11"/>
    </row>
    <row r="897" s="1" customFormat="1" ht="18" customHeight="1" spans="1:18">
      <c r="A897" s="7"/>
      <c r="B897" s="12"/>
      <c r="C897" s="33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19"/>
      <c r="Q897" s="19"/>
      <c r="R897" s="11"/>
    </row>
    <row r="898" s="1" customFormat="1" ht="21.95" customHeight="1" spans="1:18">
      <c r="A898" s="7"/>
      <c r="B898" s="12"/>
      <c r="C898" s="33"/>
      <c r="D898" s="77" t="s">
        <v>758</v>
      </c>
      <c r="E898" s="77"/>
      <c r="F898" s="78" t="str">
        <f>IFERROR(PROPER(VLOOKUP(F861,STUDENT!$A$2:$BP$101,5,0)),"")</f>
        <v>Md Bilal</v>
      </c>
      <c r="G898" s="78"/>
      <c r="H898" s="78"/>
      <c r="I898" s="78"/>
      <c r="J898" s="78"/>
      <c r="K898" s="78"/>
      <c r="L898" s="78"/>
      <c r="M898" s="78"/>
      <c r="N898" s="79" t="s">
        <v>759</v>
      </c>
      <c r="O898" s="79"/>
      <c r="P898" s="19"/>
      <c r="Q898" s="19"/>
      <c r="R898" s="11"/>
    </row>
    <row r="899" s="1" customFormat="1" ht="21.95" customHeight="1" spans="1:18">
      <c r="A899" s="7"/>
      <c r="B899" s="12"/>
      <c r="C899" s="33"/>
      <c r="D899" s="80" t="s">
        <v>760</v>
      </c>
      <c r="E899" s="81" t="str">
        <f>IFERROR(PROPER(VLOOKUP(F861,STUDENT!$A$2:$BP$101,9,0)),"")</f>
        <v>Saba Parween</v>
      </c>
      <c r="F899" s="81"/>
      <c r="G899" s="81"/>
      <c r="H899" s="80" t="s">
        <v>761</v>
      </c>
      <c r="I899" s="82" t="str">
        <f>IFERROR(PROPER(VLOOKUP(F861,STUDENT!$A$2:$BP$101,8,0)),"")</f>
        <v>Md Afroj</v>
      </c>
      <c r="J899" s="82"/>
      <c r="K899" s="82"/>
      <c r="L899" s="82"/>
      <c r="M899" s="80" t="s">
        <v>762</v>
      </c>
      <c r="N899" s="83" t="str">
        <f>IFERROR(VLOOKUP(F861,STUDENT!$A$2:$BP$101,59,0),"")</f>
        <v/>
      </c>
      <c r="O899" s="83"/>
      <c r="P899" s="19"/>
      <c r="Q899" s="19"/>
      <c r="R899" s="11"/>
    </row>
    <row r="900" s="1" customFormat="1" ht="21.95" customHeight="1" spans="1:18">
      <c r="A900" s="7"/>
      <c r="B900" s="12"/>
      <c r="C900" s="33"/>
      <c r="D900" s="77" t="str">
        <f>"has    completed     his  /  her     primary     level     education    in    the    year    "&amp;RIGHT(ENTRY!$D866,4)&amp;"    from    ( School    Name )"</f>
        <v>has    completed     his  /  her     primary     level     education    in    the    year        from    ( School    Name )</v>
      </c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19"/>
      <c r="Q900" s="19"/>
      <c r="R900" s="11"/>
    </row>
    <row r="901" s="1" customFormat="1" ht="21.95" customHeight="1" spans="1:18">
      <c r="A901" s="7"/>
      <c r="B901" s="12"/>
      <c r="C901" s="33"/>
      <c r="D901" s="81" t="str">
        <f>IF(F861&gt;0,ENTRY!$D$6,"")</f>
        <v>MCP NITHARI NO 1 BOYS</v>
      </c>
      <c r="E901" s="81"/>
      <c r="F901" s="81"/>
      <c r="G901" s="81"/>
      <c r="H901" s="81"/>
      <c r="I901" s="81"/>
      <c r="J901" s="81"/>
      <c r="K901" s="81"/>
      <c r="L901" s="81"/>
      <c r="M901" s="80" t="s">
        <v>763</v>
      </c>
      <c r="N901" s="84">
        <f>IF(F861&gt;0,ENTRY!$D$7,"")</f>
        <v>0</v>
      </c>
      <c r="O901" s="84"/>
      <c r="P901" s="85" t="s">
        <v>727</v>
      </c>
      <c r="Q901" s="19"/>
      <c r="R901" s="11"/>
    </row>
    <row r="902" s="1" customFormat="1" ht="21.95" customHeight="1" spans="1:18">
      <c r="A902" s="7"/>
      <c r="B902" s="12"/>
      <c r="C902" s="33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19"/>
      <c r="Q902" s="19"/>
      <c r="R902" s="11"/>
    </row>
    <row r="903" s="1" customFormat="1" ht="21.95" customHeight="1" spans="1:18">
      <c r="A903" s="7"/>
      <c r="B903" s="12"/>
      <c r="C903" s="33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19"/>
      <c r="Q903" s="19"/>
      <c r="R903" s="11"/>
    </row>
    <row r="904" s="1" customFormat="1" ht="21.95" customHeight="1" spans="1:18">
      <c r="A904" s="7"/>
      <c r="B904" s="12"/>
      <c r="C904" s="33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19"/>
      <c r="Q904" s="19"/>
      <c r="R904" s="11"/>
    </row>
    <row r="905" s="1" customFormat="1" ht="21.95" customHeight="1" spans="1:18">
      <c r="A905" s="7"/>
      <c r="B905" s="12"/>
      <c r="C905" s="33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19"/>
      <c r="Q905" s="19"/>
      <c r="R905" s="11"/>
    </row>
    <row r="906" s="1" customFormat="1" ht="21.95" customHeight="1" spans="1:18">
      <c r="A906" s="7"/>
      <c r="B906" s="12"/>
      <c r="C906" s="33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19"/>
      <c r="Q906" s="19"/>
      <c r="R906" s="11"/>
    </row>
    <row r="907" s="1" customFormat="1" ht="21.95" customHeight="1" spans="1:18">
      <c r="A907" s="7"/>
      <c r="B907" s="12"/>
      <c r="C907" s="33"/>
      <c r="D907" s="80" t="s">
        <v>728</v>
      </c>
      <c r="E907" s="86">
        <f>ENTRY!$D$27</f>
        <v>46102</v>
      </c>
      <c r="F907" s="86"/>
      <c r="G907" s="29"/>
      <c r="H907" s="29"/>
      <c r="I907" s="29"/>
      <c r="J907" s="29"/>
      <c r="K907" s="29"/>
      <c r="L907" s="29"/>
      <c r="M907" s="87" t="s">
        <v>730</v>
      </c>
      <c r="N907" s="87"/>
      <c r="O907" s="87"/>
      <c r="P907" s="19"/>
      <c r="Q907" s="19"/>
      <c r="R907" s="11"/>
    </row>
    <row r="908" s="1" customFormat="1" ht="21.95" customHeight="1" spans="1:18">
      <c r="A908" s="7"/>
      <c r="B908" s="12"/>
      <c r="C908" s="33"/>
      <c r="D908" s="80" t="s">
        <v>731</v>
      </c>
      <c r="E908" s="88" t="str">
        <f>PROPER(ENTRY!$D$28)</f>
        <v>New Delhi</v>
      </c>
      <c r="F908" s="88"/>
      <c r="G908" s="29"/>
      <c r="H908" s="29"/>
      <c r="I908" s="29"/>
      <c r="J908" s="29"/>
      <c r="K908" s="29"/>
      <c r="L908" s="29"/>
      <c r="M908" s="89" t="s">
        <v>732</v>
      </c>
      <c r="N908" s="89"/>
      <c r="O908" s="89"/>
      <c r="P908" s="19"/>
      <c r="Q908" s="19"/>
      <c r="R908" s="11"/>
    </row>
    <row r="909" s="1" customFormat="1" ht="21.95" customHeight="1" spans="1:18">
      <c r="A909" s="7"/>
      <c r="B909" s="12"/>
      <c r="C909" s="90"/>
      <c r="D909" s="91"/>
      <c r="E909" s="91"/>
      <c r="F909" s="91"/>
      <c r="G909" s="91"/>
      <c r="H909" s="91"/>
      <c r="I909" s="91"/>
      <c r="J909" s="91"/>
      <c r="K909" s="91"/>
      <c r="L909" s="91"/>
      <c r="M909" s="91"/>
      <c r="N909" s="91"/>
      <c r="O909" s="91"/>
      <c r="P909" s="92"/>
      <c r="Q909" s="14"/>
      <c r="R909" s="11"/>
    </row>
    <row r="910" s="1" customFormat="1" ht="5.1" customHeight="1" spans="1:18">
      <c r="A910" s="7"/>
      <c r="B910" s="90"/>
      <c r="C910" s="91"/>
      <c r="D910" s="91"/>
      <c r="E910" s="91"/>
      <c r="F910" s="91"/>
      <c r="G910" s="91"/>
      <c r="H910" s="91"/>
      <c r="I910" s="91"/>
      <c r="J910" s="91"/>
      <c r="K910" s="91"/>
      <c r="L910" s="91"/>
      <c r="M910" s="91"/>
      <c r="N910" s="91"/>
      <c r="O910" s="91"/>
      <c r="P910" s="91"/>
      <c r="Q910" s="92"/>
      <c r="R910" s="11"/>
    </row>
    <row r="911" s="1" customFormat="1" ht="5.1" customHeight="1" spans="1:18">
      <c r="A911" s="93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5"/>
    </row>
    <row r="912" s="2" customFormat="1" ht="9.95" customHeight="1"/>
    <row r="913" s="1" customFormat="1" ht="5.1" customHeight="1" spans="1:18">
      <c r="A913" s="4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6"/>
    </row>
    <row r="914" s="1" customFormat="1" ht="15" customHeight="1" spans="1:18">
      <c r="A914" s="7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0"/>
      <c r="R914" s="11"/>
    </row>
    <row r="915" s="1" customFormat="1" ht="21.95" customHeight="1" spans="1:18">
      <c r="A915" s="7"/>
      <c r="B915" s="12"/>
      <c r="C915" s="13" t="s">
        <v>7</v>
      </c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4"/>
      <c r="R915" s="11"/>
    </row>
    <row r="916" s="1" customFormat="1" ht="21.95" customHeight="1" spans="1:18">
      <c r="A916" s="7"/>
      <c r="B916" s="1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14"/>
      <c r="R916" s="11"/>
    </row>
    <row r="917" s="1" customFormat="1" ht="21.95" customHeight="1" spans="1:18">
      <c r="A917" s="7"/>
      <c r="B917" s="12"/>
      <c r="C917" s="15" t="str">
        <f>"SESSION-"&amp;ENTRY!$D$11</f>
        <v>SESSION-2026-27</v>
      </c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4"/>
      <c r="R917" s="11"/>
    </row>
    <row r="918" s="1" customFormat="1" ht="21.95" customHeight="1" spans="1:18">
      <c r="A918" s="7"/>
      <c r="B918" s="12"/>
      <c r="C918" s="2"/>
      <c r="D918" s="2"/>
      <c r="E918" s="2"/>
      <c r="F918" s="16">
        <f>F861+1</f>
        <v>17</v>
      </c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14"/>
      <c r="R918" s="11"/>
    </row>
    <row r="919" s="1" customFormat="1" ht="21.95" customHeight="1" spans="1:18">
      <c r="A919" s="7"/>
      <c r="B919" s="12"/>
      <c r="C919" s="17" t="s">
        <v>392</v>
      </c>
      <c r="D919" s="17"/>
      <c r="E919" s="17"/>
      <c r="F919" s="18" t="str">
        <f>IF(F918&gt;0,ENTRY!$D$6,"")</f>
        <v>MCP NITHARI NO 1 BOYS</v>
      </c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9"/>
      <c r="R919" s="11"/>
    </row>
    <row r="920" s="1" customFormat="1" ht="21.95" customHeight="1" spans="1:18">
      <c r="A920" s="7"/>
      <c r="B920" s="12"/>
      <c r="C920" s="17" t="s">
        <v>393</v>
      </c>
      <c r="D920" s="17"/>
      <c r="E920" s="17"/>
      <c r="F920" s="18">
        <f>IF(F918&gt;0,ENTRY!$D$7,"")</f>
        <v>0</v>
      </c>
      <c r="G920" s="18"/>
      <c r="H920" s="20" t="s">
        <v>702</v>
      </c>
      <c r="I920" s="20"/>
      <c r="J920" s="21">
        <f>IF(F918&gt;0,ENTRY!$D$10,"")</f>
        <v>40</v>
      </c>
      <c r="K920" s="20" t="s">
        <v>703</v>
      </c>
      <c r="L920" s="22" t="str">
        <f>IF(F918&gt;0,ENTRY!$D$5,"")</f>
        <v>ROHINI ZONE</v>
      </c>
      <c r="M920" s="22"/>
      <c r="N920" s="22"/>
      <c r="O920" s="22"/>
      <c r="P920" s="22"/>
      <c r="Q920" s="19"/>
      <c r="R920" s="11"/>
    </row>
    <row r="921" s="1" customFormat="1" ht="21.95" customHeight="1" spans="1:18">
      <c r="A921" s="7"/>
      <c r="B921" s="12"/>
      <c r="C921" s="17" t="s">
        <v>706</v>
      </c>
      <c r="D921" s="17"/>
      <c r="E921" s="17"/>
      <c r="F921" s="23" t="str">
        <f>IFERROR(VLOOKUP(F918,STUDENT!$A$2:$BP$101,5,0),"")</f>
        <v>GAURAV KUMAR</v>
      </c>
      <c r="G921" s="23"/>
      <c r="H921" s="23"/>
      <c r="I921" s="23"/>
      <c r="J921" s="23"/>
      <c r="K921" s="23"/>
      <c r="L921" s="20" t="s">
        <v>707</v>
      </c>
      <c r="M921" s="20"/>
      <c r="N921" s="24" t="str">
        <f>IF(F918&gt;0,ENTRY!$D$20&amp;"-"&amp;ENTRY!$D$21,"")</f>
        <v>III-A</v>
      </c>
      <c r="O921" s="24"/>
      <c r="P921" s="24"/>
      <c r="Q921" s="19"/>
      <c r="R921" s="11"/>
    </row>
    <row r="922" s="1" customFormat="1" ht="21.95" customHeight="1" spans="1:18">
      <c r="A922" s="7"/>
      <c r="B922" s="12"/>
      <c r="C922" s="17" t="s">
        <v>708</v>
      </c>
      <c r="D922" s="17"/>
      <c r="E922" s="17"/>
      <c r="F922" s="25">
        <f>IFERROR(VLOOKUP(F918,STUDENT!$A$2:$BP$101,6,0),"")</f>
        <v>14755</v>
      </c>
      <c r="G922" s="25"/>
      <c r="H922" s="26" t="s">
        <v>709</v>
      </c>
      <c r="I922" s="27" t="str">
        <f>IFERROR(VLOOKUP(F918,STUDENT!$A$2:$BP$101,59,0),"")</f>
        <v/>
      </c>
      <c r="J922" s="27"/>
      <c r="K922" s="20" t="s">
        <v>710</v>
      </c>
      <c r="L922" s="20"/>
      <c r="M922" s="28">
        <f>IFERROR(VLOOKUP(F918,STUDENT!$A$2:$BP$101,20,0),"")</f>
        <v>9560140255</v>
      </c>
      <c r="N922" s="28"/>
      <c r="O922" s="28"/>
      <c r="P922" s="28"/>
      <c r="Q922" s="19"/>
      <c r="R922" s="11"/>
    </row>
    <row r="923" s="1" customFormat="1" ht="21.95" customHeight="1" spans="1:18">
      <c r="A923" s="7"/>
      <c r="B923" s="12"/>
      <c r="C923" s="17" t="s">
        <v>711</v>
      </c>
      <c r="D923" s="17"/>
      <c r="E923" s="17"/>
      <c r="F923" s="23" t="str">
        <f>IFERROR(VLOOKUP(F918,STUDENT!$A$2:$BP$101,9,0),"")</f>
        <v>KANCHAN YADAV</v>
      </c>
      <c r="G923" s="23"/>
      <c r="H923" s="23"/>
      <c r="I923" s="23"/>
      <c r="J923" s="17" t="s">
        <v>620</v>
      </c>
      <c r="K923" s="17"/>
      <c r="L923" s="23" t="str">
        <f>IFERROR(VLOOKUP(F918,STUDENT!$A$2:$BP$101,8,0),"")</f>
        <v>HARINDER YADAV</v>
      </c>
      <c r="M923" s="23"/>
      <c r="N923" s="23"/>
      <c r="O923" s="23"/>
      <c r="P923" s="23"/>
      <c r="Q923" s="19"/>
      <c r="R923" s="11"/>
    </row>
    <row r="924" s="1" customFormat="1" ht="21.95" customHeight="1" spans="1:18">
      <c r="A924" s="7"/>
      <c r="B924" s="12"/>
      <c r="C924" s="17" t="s">
        <v>712</v>
      </c>
      <c r="D924" s="17"/>
      <c r="E924" s="17"/>
      <c r="F924" s="23" t="str">
        <f>IFERROR(VLOOKUP(F918,STUDENT!$A$2:$BP$101,22,0),"")</f>
        <v>B-504/2 INDER ENCLAVE II KIRARI</v>
      </c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19"/>
      <c r="R924" s="11"/>
    </row>
    <row r="925" s="1" customFormat="1" ht="9.95" customHeight="1" spans="1:18">
      <c r="A925" s="7"/>
      <c r="B925" s="12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19"/>
      <c r="R925" s="11"/>
    </row>
    <row r="926" s="1" customFormat="1" ht="9.95" customHeight="1" spans="1:18">
      <c r="A926" s="7"/>
      <c r="B926" s="12"/>
      <c r="C926" s="30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2"/>
      <c r="Q926" s="19"/>
      <c r="R926" s="11"/>
    </row>
    <row r="927" s="1" customFormat="1" ht="21.95" customHeight="1" spans="1:18">
      <c r="A927" s="7"/>
      <c r="B927" s="12"/>
      <c r="C927" s="33"/>
      <c r="D927" s="34" t="s">
        <v>713</v>
      </c>
      <c r="E927" s="20" t="s">
        <v>714</v>
      </c>
      <c r="F927" s="35" t="str">
        <f>"Level - "&amp;IFERROR(VLOOKUP(F918,FLN!$A$4:$K$103,9,0),"")</f>
        <v>Level - 2</v>
      </c>
      <c r="G927" s="36"/>
      <c r="H927" s="37" t="s">
        <v>715</v>
      </c>
      <c r="I927" s="20"/>
      <c r="J927" s="35" t="str">
        <f>"Level - "&amp;IFERROR(VLOOKUP(F918,FLN!$A$4:$K$103,11,0),"")</f>
        <v>Level - 4</v>
      </c>
      <c r="K927" s="36"/>
      <c r="L927" s="37" t="s">
        <v>408</v>
      </c>
      <c r="M927" s="20"/>
      <c r="N927" s="35" t="str">
        <f>"Level - "&amp;IFERROR(VLOOKUP(F918,FLN!$A$4:$K$103,10,0),"")</f>
        <v>Level - 2</v>
      </c>
      <c r="O927" s="36"/>
      <c r="P927" s="19"/>
      <c r="Q927" s="19"/>
      <c r="R927" s="11"/>
    </row>
    <row r="928" s="1" customFormat="1" ht="21.95" customHeight="1" spans="1:18">
      <c r="A928" s="7"/>
      <c r="B928" s="12"/>
      <c r="C928" s="33"/>
      <c r="D928" s="38"/>
      <c r="E928" s="20" t="s">
        <v>716</v>
      </c>
      <c r="F928" s="18" t="str">
        <f ca="1">IF(L942&gt;197,"PERFORMED WELL","")</f>
        <v/>
      </c>
      <c r="G928" s="18"/>
      <c r="H928" s="18"/>
      <c r="I928" s="18"/>
      <c r="J928" s="18"/>
      <c r="K928" s="18"/>
      <c r="L928" s="18"/>
      <c r="M928" s="18"/>
      <c r="N928" s="18"/>
      <c r="O928" s="18"/>
      <c r="P928" s="19"/>
      <c r="Q928" s="19"/>
      <c r="R928" s="11"/>
    </row>
    <row r="929" s="1" customFormat="1" ht="9.95" customHeight="1" spans="1:18">
      <c r="A929" s="7"/>
      <c r="B929" s="12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1"/>
      <c r="Q929" s="19"/>
      <c r="R929" s="11"/>
    </row>
    <row r="930" s="1" customFormat="1" ht="9.95" customHeight="1" spans="1:18">
      <c r="A930" s="7"/>
      <c r="B930" s="12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19"/>
      <c r="R930" s="11"/>
    </row>
    <row r="931" s="1" customFormat="1" ht="9.95" customHeight="1" spans="1:18">
      <c r="A931" s="7"/>
      <c r="B931" s="12"/>
      <c r="C931" s="30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2"/>
      <c r="Q931" s="19"/>
      <c r="R931" s="11"/>
    </row>
    <row r="932" s="1" customFormat="1" ht="21.95" customHeight="1" spans="1:18">
      <c r="A932" s="7"/>
      <c r="B932" s="12"/>
      <c r="C932" s="33"/>
      <c r="D932" s="35"/>
      <c r="E932" s="24"/>
      <c r="F932" s="42" t="s">
        <v>717</v>
      </c>
      <c r="G932" s="42"/>
      <c r="H932" s="42"/>
      <c r="I932" s="42"/>
      <c r="J932" s="42"/>
      <c r="K932" s="42"/>
      <c r="L932" s="43"/>
      <c r="M932" s="44"/>
      <c r="N932" s="29"/>
      <c r="O932" s="29"/>
      <c r="P932" s="19"/>
      <c r="Q932" s="19"/>
      <c r="R932" s="11"/>
    </row>
    <row r="933" s="1" customFormat="1" ht="21.95" customHeight="1" spans="1:18">
      <c r="A933" s="7"/>
      <c r="B933" s="12"/>
      <c r="C933" s="33"/>
      <c r="D933" s="45"/>
      <c r="E933" s="46"/>
      <c r="F933" s="47" t="s">
        <v>541</v>
      </c>
      <c r="G933" s="47" t="s">
        <v>542</v>
      </c>
      <c r="H933" s="47" t="s">
        <v>543</v>
      </c>
      <c r="I933" s="47" t="s">
        <v>544</v>
      </c>
      <c r="J933" s="47" t="s">
        <v>561</v>
      </c>
      <c r="K933" s="48" t="s">
        <v>750</v>
      </c>
      <c r="L933" s="47" t="s">
        <v>382</v>
      </c>
      <c r="M933" s="49" t="s">
        <v>546</v>
      </c>
      <c r="N933" s="29"/>
      <c r="O933" s="29"/>
      <c r="P933" s="19"/>
      <c r="Q933" s="19"/>
      <c r="R933" s="11"/>
    </row>
    <row r="934" s="1" customFormat="1" ht="21.95" customHeight="1" spans="1:18">
      <c r="A934" s="7"/>
      <c r="B934" s="12"/>
      <c r="C934" s="33"/>
      <c r="D934" s="45" t="s">
        <v>652</v>
      </c>
      <c r="E934" s="46"/>
      <c r="F934" s="50">
        <v>10</v>
      </c>
      <c r="G934" s="50">
        <v>10</v>
      </c>
      <c r="H934" s="50">
        <v>10</v>
      </c>
      <c r="I934" s="50">
        <v>10</v>
      </c>
      <c r="J934" s="50">
        <v>60</v>
      </c>
      <c r="K934" s="51"/>
      <c r="L934" s="50">
        <v>100</v>
      </c>
      <c r="M934" s="49"/>
      <c r="N934" s="29"/>
      <c r="O934" s="29"/>
      <c r="P934" s="19"/>
      <c r="Q934" s="19"/>
      <c r="R934" s="11"/>
    </row>
    <row r="935" s="1" customFormat="1" ht="21.95" customHeight="1" spans="1:18">
      <c r="A935" s="7"/>
      <c r="B935" s="12"/>
      <c r="C935" s="33"/>
      <c r="D935" s="52" t="s">
        <v>751</v>
      </c>
      <c r="E935" s="53"/>
      <c r="F935" s="54">
        <f ca="1">IFERROR(VLOOKUP(F918,'RR-3.1-5TH'!$A$12:'RR-3.1-5TH'!$BN$111,9,0),"")</f>
        <v>2</v>
      </c>
      <c r="G935" s="54">
        <f ca="1">IFERROR(VLOOKUP(F918,'RR-3.1-5TH'!$A$12:'RR-3.1-5TH'!$BN$111,10,0),"")</f>
        <v>0</v>
      </c>
      <c r="H935" s="54">
        <f ca="1">IFERROR(VLOOKUP(F918,'RR-3.1-5TH'!$A$12:'RR-3.1-5TH'!$BN$111,11,0),"")</f>
        <v>0</v>
      </c>
      <c r="I935" s="54">
        <f ca="1">IFERROR(VLOOKUP(F918,'RR-3.1-5TH'!$A$12:'RR-3.1-5TH'!$BN$111,12,0),"")</f>
        <v>0</v>
      </c>
      <c r="J935" s="54">
        <f ca="1">IFERROR(VLOOKUP(F918,'RR-3.1-5TH'!$A$12:'RR-3.1-5TH'!$BN$111,13,0),"")</f>
        <v>26</v>
      </c>
      <c r="K935" s="54">
        <f ca="1">IFERROR(VLOOKUP(F918,'RR-3.1-5TH'!$A$12:'RR-3.1-5TH'!$BN$111,14,0),"")</f>
        <v>0</v>
      </c>
      <c r="L935" s="55">
        <f ca="1" t="shared" ref="L935:L940" si="48">SUM(F935,G935,H935,I935,J935,K935)</f>
        <v>28</v>
      </c>
      <c r="M935" s="56" t="str">
        <f ca="1">IF(F918&gt;ENTRY!$D$24,"",IF(L935=0,"Ab",IF(L935&gt;80,"A",IF(L935&gt;60,"B",IF(L935&gt;44,"C",IF(L935&gt;=33,"D",IF(L935&lt;=32,"E","")))))))</f>
        <v>E</v>
      </c>
      <c r="N935" s="57" t="s">
        <v>729</v>
      </c>
      <c r="O935" s="58"/>
      <c r="P935" s="59"/>
      <c r="Q935" s="19"/>
      <c r="R935" s="11"/>
    </row>
    <row r="936" s="1" customFormat="1" ht="21.95" customHeight="1" spans="1:18">
      <c r="A936" s="7"/>
      <c r="B936" s="12"/>
      <c r="C936" s="33"/>
      <c r="D936" s="52" t="s">
        <v>513</v>
      </c>
      <c r="E936" s="53"/>
      <c r="F936" s="54">
        <f ca="1">IFERROR(VLOOKUP(F918,'RR-3.1-5TH'!$A$12:'RR-3.1-5TH'!$BN$111,17,0),"")</f>
        <v>1</v>
      </c>
      <c r="G936" s="54">
        <f ca="1">IFERROR(VLOOKUP(F918,'RR-3.1-5TH'!$A$12:'RR-3.1-5TH'!$BN$111,18,0),"")</f>
        <v>0</v>
      </c>
      <c r="H936" s="54">
        <f ca="1">IFERROR(VLOOKUP(F918,'RR-3.1-5TH'!$A$12:'RR-3.1-5TH'!$BN$111,19,0),"")</f>
        <v>0</v>
      </c>
      <c r="I936" s="54">
        <f ca="1">IFERROR(VLOOKUP(F918,'RR-3.1-5TH'!$A$12:'RR-3.1-5TH'!$BN$111,20,0),"")</f>
        <v>0</v>
      </c>
      <c r="J936" s="54">
        <f ca="1">IFERROR(VLOOKUP(F918,'RR-3.1-5TH'!$A$12:'RR-3.1-5TH'!$BN$111,21,0),"")</f>
        <v>16</v>
      </c>
      <c r="K936" s="54">
        <f ca="1">IFERROR(VLOOKUP(F918,'RR-3.1-5TH'!$A$12:'RR-3.1-5TH'!$BN$111,22,0),"")</f>
        <v>0</v>
      </c>
      <c r="L936" s="55">
        <f ca="1" t="shared" si="48"/>
        <v>17</v>
      </c>
      <c r="M936" s="56" t="str">
        <f ca="1">IF(F918&gt;ENTRY!$D$24,"",IF(L936=0,"Ab",IF(L936&gt;80,"A",IF(L936&gt;60,"B",IF(L936&gt;44,"C",IF(L936&gt;=33,"D",IF(L936&lt;=32,"E","")))))))</f>
        <v>E</v>
      </c>
      <c r="N936" s="58"/>
      <c r="O936" s="58"/>
      <c r="P936" s="59"/>
      <c r="Q936" s="19"/>
      <c r="R936" s="11"/>
    </row>
    <row r="937" s="1" customFormat="1" ht="21.95" customHeight="1" spans="1:18">
      <c r="A937" s="7"/>
      <c r="B937" s="12"/>
      <c r="C937" s="33"/>
      <c r="D937" s="52" t="s">
        <v>718</v>
      </c>
      <c r="E937" s="53"/>
      <c r="F937" s="54">
        <f ca="1">IFERROR(VLOOKUP(F918,'RR-3.1-5TH'!$A$12:'RR-3.1-5TH'!$BN$111,25,0),"")</f>
        <v>1</v>
      </c>
      <c r="G937" s="54">
        <f ca="1">IFERROR(VLOOKUP(F918,'RR-3.1-5TH'!$A$12:'RR-3.1-5TH'!$BN$111,26,0),"")</f>
        <v>0</v>
      </c>
      <c r="H937" s="54">
        <f ca="1">IFERROR(VLOOKUP(F918,'RR-3.1-5TH'!$A$12:'RR-3.1-5TH'!$BN$111,27,0),"")</f>
        <v>0</v>
      </c>
      <c r="I937" s="54">
        <f ca="1">IFERROR(VLOOKUP(F918,'RR-3.1-5TH'!$A$12:'RR-3.1-5TH'!$BN$111,28,0),"")</f>
        <v>0</v>
      </c>
      <c r="J937" s="54">
        <f ca="1">IFERROR(VLOOKUP(F918,'RR-3.1-5TH'!$A$12:'RR-3.1-5TH'!$BN$111,29,0),"")</f>
        <v>11</v>
      </c>
      <c r="K937" s="54">
        <f ca="1">IFERROR(VLOOKUP(F918,'RR-3.1-5TH'!$A$12:'RR-3.1-5TH'!$BN$111,30,0),"")</f>
        <v>0</v>
      </c>
      <c r="L937" s="55">
        <f ca="1" t="shared" si="48"/>
        <v>12</v>
      </c>
      <c r="M937" s="56" t="str">
        <f ca="1">IF(F918&gt;ENTRY!$D$24,"",IF(L937=0,"Ab",IF(L937&gt;80,"A",IF(L937&gt;60,"B",IF(L937&gt;44,"C",IF(L937&gt;=33,"D",IF(L937&lt;=32,"E","")))))))</f>
        <v>E</v>
      </c>
      <c r="N937" s="29"/>
      <c r="O937" s="29"/>
      <c r="P937" s="19"/>
      <c r="Q937" s="19"/>
      <c r="R937" s="11"/>
    </row>
    <row r="938" s="1" customFormat="1" ht="21.95" customHeight="1" spans="1:18">
      <c r="A938" s="7"/>
      <c r="B938" s="12"/>
      <c r="C938" s="33"/>
      <c r="D938" s="52" t="s">
        <v>719</v>
      </c>
      <c r="E938" s="53"/>
      <c r="F938" s="54">
        <f ca="1">IFERROR(VLOOKUP(F918,'RR-3.1-5TH'!$A$12:'RR-3.1-5TH'!$BN$111,33,0),"")</f>
        <v>1</v>
      </c>
      <c r="G938" s="54">
        <f ca="1">IFERROR(VLOOKUP(F918,'RR-3.1-5TH'!$A$12:'RR-3.1-5TH'!$BN$111,34,0),"")</f>
        <v>0</v>
      </c>
      <c r="H938" s="54">
        <f ca="1">IFERROR(VLOOKUP(F918,'RR-3.1-5TH'!$A$12:'RR-3.1-5TH'!$BN$111,35,0),"")</f>
        <v>0</v>
      </c>
      <c r="I938" s="54">
        <f ca="1">IFERROR(VLOOKUP(F918,'RR-3.1-5TH'!$A$12:'RR-3.1-5TH'!$BN$111,36,0),"")</f>
        <v>0</v>
      </c>
      <c r="J938" s="54">
        <f ca="1">IFERROR(VLOOKUP(F918,'RR-3.1-5TH'!$A$12:'RR-3.1-5TH'!$BN$111,37,0),"")</f>
        <v>13</v>
      </c>
      <c r="K938" s="54">
        <f ca="1">IFERROR(VLOOKUP(F918,'RR-3.1-5TH'!$A$12:'RR-3.1-5TH'!$BN$111,38,0),"")</f>
        <v>0</v>
      </c>
      <c r="L938" s="55">
        <f ca="1" t="shared" si="48"/>
        <v>14</v>
      </c>
      <c r="M938" s="56" t="str">
        <f ca="1">IF(F918&gt;ENTRY!$D$24,"",IF(L938=0,"Ab",IF(L938&gt;80,"A",IF(L938&gt;60,"B",IF(L938&gt;44,"C",IF(L938&gt;=33,"D",IF(L938&lt;=32,"E","")))))))</f>
        <v>E</v>
      </c>
      <c r="N938" s="29"/>
      <c r="O938" s="29"/>
      <c r="P938" s="19"/>
      <c r="Q938" s="19"/>
      <c r="R938" s="11"/>
    </row>
    <row r="939" s="1" customFormat="1" ht="21.95" customHeight="1" spans="1:18">
      <c r="A939" s="7"/>
      <c r="B939" s="12"/>
      <c r="C939" s="33"/>
      <c r="D939" s="52" t="s">
        <v>548</v>
      </c>
      <c r="E939" s="53"/>
      <c r="F939" s="54">
        <f ca="1">IFERROR(VLOOKUP(F918,'RR-3.1-5TH'!$A$12:'RR-3.1-5TH'!$BN$111,41,0),"")</f>
        <v>0</v>
      </c>
      <c r="G939" s="54">
        <f ca="1">IFERROR(VLOOKUP(F918,'RR-3.1-5TH'!$A$12:'RR-3.1-5TH'!$BN$111,42,0),"")</f>
        <v>0</v>
      </c>
      <c r="H939" s="54">
        <f ca="1">IFERROR(VLOOKUP(F918,'RR-3.1-5TH'!$A$12:'RR-3.1-5TH'!$BN$111,43,0),"")</f>
        <v>0</v>
      </c>
      <c r="I939" s="54">
        <f ca="1">IFERROR(VLOOKUP(F918,'RR-3.1-5TH'!$A$12:'RR-3.1-5TH'!$BN$111,44,0),"")</f>
        <v>0</v>
      </c>
      <c r="J939" s="54">
        <f ca="1">IFERROR(VLOOKUP(F918,'RR-3.1-5TH'!$A$12:'RR-3.1-5TH'!$BN$111,45,0),"")</f>
        <v>12</v>
      </c>
      <c r="K939" s="54">
        <f ca="1">IFERROR(VLOOKUP(F918,'RR-3.1-5TH'!$A$12:'RR-3.1-5TH'!$BN$111,46,0),"")</f>
        <v>0</v>
      </c>
      <c r="L939" s="55">
        <f ca="1" t="shared" si="48"/>
        <v>12</v>
      </c>
      <c r="M939" s="56" t="str">
        <f ca="1">IF(F918&gt;ENTRY!$D$24,"",IF(L939=0,"Ab",IF(L939&gt;80,"A",IF(L939&gt;60,"B",IF(L939&gt;44,"C",IF(L939&gt;=33,"D",IF(L939&lt;=32,"E","")))))))</f>
        <v>E</v>
      </c>
      <c r="N939" s="29"/>
      <c r="O939" s="29"/>
      <c r="P939" s="19"/>
      <c r="Q939" s="19"/>
      <c r="R939" s="11"/>
    </row>
    <row r="940" s="1" customFormat="1" ht="21.95" customHeight="1" spans="1:18">
      <c r="A940" s="7"/>
      <c r="B940" s="12"/>
      <c r="C940" s="33"/>
      <c r="D940" s="52" t="s">
        <v>549</v>
      </c>
      <c r="E940" s="53"/>
      <c r="F940" s="54">
        <f ca="1">IFERROR(VLOOKUP(F918,'RR-3.1-5TH'!$A$12:'RR-3.1-5TH'!$BN$111,49,0),"")</f>
        <v>2</v>
      </c>
      <c r="G940" s="54">
        <f ca="1">IFERROR(VLOOKUP(F918,'RR-3.1-5TH'!$A$12:'RR-3.1-5TH'!$BN$111,50,0),"")</f>
        <v>0</v>
      </c>
      <c r="H940" s="54">
        <f ca="1">IFERROR(VLOOKUP(F918,'RR-3.1-5TH'!$A$12:'RR-3.1-5TH'!$BN$111,51,0),"")</f>
        <v>0</v>
      </c>
      <c r="I940" s="54">
        <f ca="1">IFERROR(VLOOKUP(F918,'RR-3.1-5TH'!$A$12:'RR-3.1-5TH'!$BN$111,52,0),"")</f>
        <v>0</v>
      </c>
      <c r="J940" s="54">
        <f ca="1">IFERROR(VLOOKUP(F918,'RR-3.1-5TH'!$A$12:'RR-3.1-5TH'!$BN$111,53,0),"")</f>
        <v>22</v>
      </c>
      <c r="K940" s="54">
        <f ca="1">IFERROR(VLOOKUP(F918,'RR-3.1-5TH'!$A$12:'RR-3.1-5TH'!$BN$111,54,0),"")</f>
        <v>0</v>
      </c>
      <c r="L940" s="55">
        <f ca="1" t="shared" si="48"/>
        <v>24</v>
      </c>
      <c r="M940" s="56" t="str">
        <f ca="1">IF(F918&gt;ENTRY!$D$24,"",IF(L940=0,"Ab",IF(L940&gt;80,"A",IF(L940&gt;60,"B",IF(L940&gt;44,"C",IF(L940&gt;=33,"D",IF(L940&lt;=32,"E","")))))))</f>
        <v>E</v>
      </c>
      <c r="N940" s="57" t="s">
        <v>752</v>
      </c>
      <c r="O940" s="58"/>
      <c r="P940" s="59"/>
      <c r="Q940" s="19"/>
      <c r="R940" s="11"/>
    </row>
    <row r="941" s="1" customFormat="1" ht="21.95" customHeight="1" spans="1:18">
      <c r="A941" s="7"/>
      <c r="B941" s="12"/>
      <c r="C941" s="33"/>
      <c r="D941" s="52" t="s">
        <v>753</v>
      </c>
      <c r="E941" s="53"/>
      <c r="F941" s="60"/>
      <c r="G941" s="54"/>
      <c r="H941" s="54"/>
      <c r="I941" s="54"/>
      <c r="J941" s="54"/>
      <c r="K941" s="54"/>
      <c r="L941" s="55">
        <f t="shared" ref="L941" si="49">SUM(G941:K941)</f>
        <v>0</v>
      </c>
      <c r="M941" s="56" t="str">
        <f>IF(F918&gt;ENTRY!$D$24,"",IF(L941=0,"",IF(L941&gt;79,"A",IF(L941&gt;59,"B",IF(L941&gt;44,"C",IF(L941&gt;=33,"D",IF(L941&lt;=32,"E","")))))))</f>
        <v/>
      </c>
      <c r="N941" s="58"/>
      <c r="O941" s="58"/>
      <c r="P941" s="59"/>
      <c r="Q941" s="19"/>
      <c r="R941" s="11"/>
    </row>
    <row r="942" s="1" customFormat="1" ht="21.95" customHeight="1" spans="1:18">
      <c r="A942" s="7"/>
      <c r="B942" s="12"/>
      <c r="C942" s="33"/>
      <c r="D942" s="45" t="s">
        <v>382</v>
      </c>
      <c r="E942" s="46"/>
      <c r="F942" s="54">
        <f ca="1" t="shared" ref="F942:L942" si="50">IFERROR(SUM(F935:F941),"")</f>
        <v>7</v>
      </c>
      <c r="G942" s="54">
        <f ca="1" t="shared" si="50"/>
        <v>0</v>
      </c>
      <c r="H942" s="54">
        <f ca="1" t="shared" si="50"/>
        <v>0</v>
      </c>
      <c r="I942" s="54">
        <f ca="1" t="shared" si="50"/>
        <v>0</v>
      </c>
      <c r="J942" s="54">
        <f ca="1" t="shared" si="50"/>
        <v>100</v>
      </c>
      <c r="K942" s="54">
        <f ca="1" t="shared" si="50"/>
        <v>0</v>
      </c>
      <c r="L942" s="55">
        <f ca="1" t="shared" si="50"/>
        <v>107</v>
      </c>
      <c r="M942" s="61" t="str">
        <f ca="1">IF(F918&gt;ENTRY!$D$24,"",IF(N943="Ab","Ab",IF(N943&gt;79.5,"A",IF(N943&gt;59.5,"B",IF(N943&gt;44.5,"C",IF(N943&gt;=33,"D",IF(N943&lt;33,"E","")))))))</f>
        <v>E</v>
      </c>
      <c r="N942" s="62"/>
      <c r="O942" s="58"/>
      <c r="P942" s="59"/>
      <c r="Q942" s="19"/>
      <c r="R942" s="11"/>
    </row>
    <row r="943" s="1" customFormat="1" ht="21.95" customHeight="1" spans="1:18">
      <c r="A943" s="7"/>
      <c r="B943" s="12"/>
      <c r="C943" s="33"/>
      <c r="D943" s="63" t="s">
        <v>721</v>
      </c>
      <c r="E943" s="63"/>
      <c r="F943" s="63"/>
      <c r="G943" s="63"/>
      <c r="H943" s="63"/>
      <c r="I943" s="63"/>
      <c r="J943" s="63"/>
      <c r="K943" s="63"/>
      <c r="L943" s="63"/>
      <c r="M943" s="63"/>
      <c r="N943" s="64">
        <f ca="1">IF(L942="Ab","Ab",L942/6)</f>
        <v>17.8333333333333</v>
      </c>
      <c r="O943" s="65"/>
      <c r="P943" s="19"/>
      <c r="Q943" s="19"/>
      <c r="R943" s="11"/>
    </row>
    <row r="944" s="1" customFormat="1" ht="21.95" customHeight="1" spans="1:18">
      <c r="A944" s="7"/>
      <c r="B944" s="12"/>
      <c r="C944" s="33"/>
      <c r="D944" s="29" t="s">
        <v>716</v>
      </c>
      <c r="E944" s="18" t="str">
        <f>IFERROR(VLOOKUP(F918,'1to4-2.1-RR'!$A$12:$BG$111,57,0),"")</f>
        <v>PROMOTED</v>
      </c>
      <c r="F944" s="18"/>
      <c r="G944" s="18"/>
      <c r="H944" s="18"/>
      <c r="I944" s="18"/>
      <c r="J944" s="18"/>
      <c r="K944" s="18"/>
      <c r="L944" s="18"/>
      <c r="M944" s="18"/>
      <c r="N944" s="29"/>
      <c r="O944" s="29"/>
      <c r="P944" s="19"/>
      <c r="Q944" s="19"/>
      <c r="R944" s="11"/>
    </row>
    <row r="945" s="1" customFormat="1" ht="9.95" customHeight="1" spans="1:19">
      <c r="A945" s="7"/>
      <c r="B945" s="12"/>
      <c r="C945" s="33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19"/>
      <c r="Q945" s="19"/>
      <c r="R945" s="11"/>
    </row>
    <row r="946" s="1" customFormat="1" ht="36" spans="1:19">
      <c r="A946" s="7"/>
      <c r="B946" s="12"/>
      <c r="C946" s="33"/>
      <c r="D946" s="66" t="s">
        <v>576</v>
      </c>
      <c r="E946" s="67" t="s">
        <v>754</v>
      </c>
      <c r="F946" s="47">
        <f>IF(F918&gt;ENTRY!$D$24,"",IFERROR(VLOOKUP(F918,PASHEET!$A$4:$CJ$103,88,0),""))</f>
        <v>0</v>
      </c>
      <c r="G946" s="67" t="s">
        <v>755</v>
      </c>
      <c r="H946" s="47">
        <f>IF(F918&gt;ENTRY!$D$24,"",IFERROR(VLOOKUP(F918,PASHEET!$A$4:$CJ$103,87,0),""))</f>
        <v>0</v>
      </c>
      <c r="I946" s="68" t="s">
        <v>756</v>
      </c>
      <c r="J946" s="69" t="str">
        <f>IF(F918&gt;ENTRY!$D$24,"",IFERROR(IF(F918&gt;0,H946/F946*100),""))</f>
        <v/>
      </c>
      <c r="K946" s="60" t="s">
        <v>757</v>
      </c>
      <c r="L946" s="70">
        <f ca="1">IF(F918&gt;ENTRY!$D$24,"",IFERROR(L942/600*100,""))</f>
        <v>17.8333333333333</v>
      </c>
      <c r="M946" s="47" t="str">
        <f ca="1">IF(F918&gt;ENTRY!$D$24,"",IFERROR(L942&amp;" / "&amp;"600",""))</f>
        <v>107 / 600</v>
      </c>
      <c r="N946" s="29"/>
      <c r="O946" s="29"/>
      <c r="P946" s="19"/>
      <c r="Q946" s="19"/>
      <c r="R946" s="11"/>
    </row>
    <row r="947" s="1" customFormat="1" ht="9.95" customHeight="1" spans="1:19">
      <c r="A947" s="7"/>
      <c r="B947" s="12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1"/>
      <c r="Q947" s="19"/>
      <c r="R947" s="11"/>
    </row>
    <row r="948" s="1" customFormat="1" ht="9.95" customHeight="1" spans="1:19">
      <c r="A948" s="7"/>
      <c r="B948" s="12"/>
      <c r="C948" s="71"/>
      <c r="D948" s="71"/>
      <c r="E948" s="71"/>
      <c r="F948" s="29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19"/>
      <c r="R948" s="11"/>
    </row>
    <row r="949" s="1" customFormat="1" ht="9.95" customHeight="1" spans="1:19">
      <c r="A949" s="7"/>
      <c r="B949" s="12"/>
      <c r="C949" s="29"/>
      <c r="D949" s="29"/>
      <c r="E949" s="29"/>
      <c r="F949" s="72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19"/>
      <c r="R949" s="11"/>
    </row>
    <row r="950" s="1" customFormat="1" ht="9.95" customHeight="1" spans="1:19">
      <c r="A950" s="7"/>
      <c r="B950" s="12"/>
      <c r="C950" s="30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2"/>
      <c r="Q950" s="19"/>
      <c r="R950" s="11"/>
    </row>
    <row r="951" s="1" customFormat="1" ht="21.95" customHeight="1" spans="1:19">
      <c r="A951" s="7"/>
      <c r="B951" s="12"/>
      <c r="C951" s="73" t="s">
        <v>7</v>
      </c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74"/>
      <c r="Q951" s="19"/>
      <c r="R951" s="11"/>
      <c r="S951" s="2"/>
    </row>
    <row r="952" s="1" customFormat="1" ht="21.95" customHeight="1" spans="1:19">
      <c r="A952" s="7"/>
      <c r="B952" s="12"/>
      <c r="C952" s="33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19"/>
      <c r="Q952" s="19"/>
      <c r="R952" s="11"/>
    </row>
    <row r="953" s="1" customFormat="1" ht="21.95" customHeight="1" spans="1:19">
      <c r="A953" s="7"/>
      <c r="B953" s="12"/>
      <c r="C953" s="75" t="str">
        <f>"SESSION-"&amp;ENTRY!$D$11</f>
        <v>SESSION-2026-27</v>
      </c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76"/>
      <c r="Q953" s="19"/>
      <c r="R953" s="11"/>
    </row>
    <row r="954" s="1" customFormat="1" ht="18" customHeight="1" spans="1:19">
      <c r="A954" s="7"/>
      <c r="B954" s="12"/>
      <c r="C954" s="33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19"/>
      <c r="Q954" s="19"/>
      <c r="R954" s="11"/>
    </row>
    <row r="955" s="1" customFormat="1" ht="21.95" customHeight="1" spans="1:19">
      <c r="A955" s="7"/>
      <c r="B955" s="12"/>
      <c r="C955" s="33"/>
      <c r="D955" s="77" t="s">
        <v>758</v>
      </c>
      <c r="E955" s="77"/>
      <c r="F955" s="78" t="str">
        <f>IFERROR(PROPER(VLOOKUP(F918,STUDENT!$A$2:$BP$101,5,0)),"")</f>
        <v>Gaurav Kumar</v>
      </c>
      <c r="G955" s="78"/>
      <c r="H955" s="78"/>
      <c r="I955" s="78"/>
      <c r="J955" s="78"/>
      <c r="K955" s="78"/>
      <c r="L955" s="78"/>
      <c r="M955" s="78"/>
      <c r="N955" s="79" t="s">
        <v>759</v>
      </c>
      <c r="O955" s="79"/>
      <c r="P955" s="19"/>
      <c r="Q955" s="19"/>
      <c r="R955" s="11"/>
    </row>
    <row r="956" s="1" customFormat="1" ht="21.95" customHeight="1" spans="1:19">
      <c r="A956" s="7"/>
      <c r="B956" s="12"/>
      <c r="C956" s="33"/>
      <c r="D956" s="80" t="s">
        <v>760</v>
      </c>
      <c r="E956" s="81" t="str">
        <f>IFERROR(PROPER(VLOOKUP(F918,STUDENT!$A$2:$BP$101,9,0)),"")</f>
        <v>Kanchan Yadav</v>
      </c>
      <c r="F956" s="81"/>
      <c r="G956" s="81"/>
      <c r="H956" s="80" t="s">
        <v>761</v>
      </c>
      <c r="I956" s="82" t="str">
        <f>IFERROR(PROPER(VLOOKUP(F918,STUDENT!$A$2:$BP$101,8,0)),"")</f>
        <v>Harinder Yadav</v>
      </c>
      <c r="J956" s="82"/>
      <c r="K956" s="82"/>
      <c r="L956" s="82"/>
      <c r="M956" s="80" t="s">
        <v>762</v>
      </c>
      <c r="N956" s="83" t="str">
        <f>IFERROR(VLOOKUP(F918,STUDENT!$A$2:$BP$101,59,0),"")</f>
        <v/>
      </c>
      <c r="O956" s="83"/>
      <c r="P956" s="19"/>
      <c r="Q956" s="19"/>
      <c r="R956" s="11"/>
    </row>
    <row r="957" s="1" customFormat="1" ht="21.95" customHeight="1" spans="1:19">
      <c r="A957" s="7"/>
      <c r="B957" s="12"/>
      <c r="C957" s="33"/>
      <c r="D957" s="77" t="str">
        <f>"has    completed     his  /  her     primary     level     education    in    the    year    "&amp;RIGHT(ENTRY!$D923,4)&amp;"    from    ( School    Name )"</f>
        <v>has    completed     his  /  her     primary     level     education    in    the    year        from    ( School    Name )</v>
      </c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19"/>
      <c r="Q957" s="19"/>
      <c r="R957" s="11"/>
    </row>
    <row r="958" s="1" customFormat="1" ht="21.95" customHeight="1" spans="1:19">
      <c r="A958" s="7"/>
      <c r="B958" s="12"/>
      <c r="C958" s="33"/>
      <c r="D958" s="81" t="str">
        <f>IF(F918&gt;0,ENTRY!$D$6,"")</f>
        <v>MCP NITHARI NO 1 BOYS</v>
      </c>
      <c r="E958" s="81"/>
      <c r="F958" s="81"/>
      <c r="G958" s="81"/>
      <c r="H958" s="81"/>
      <c r="I958" s="81"/>
      <c r="J958" s="81"/>
      <c r="K958" s="81"/>
      <c r="L958" s="81"/>
      <c r="M958" s="80" t="s">
        <v>763</v>
      </c>
      <c r="N958" s="84">
        <f>IF(F918&gt;0,ENTRY!$D$7,"")</f>
        <v>0</v>
      </c>
      <c r="O958" s="84"/>
      <c r="P958" s="85" t="s">
        <v>727</v>
      </c>
      <c r="Q958" s="19"/>
      <c r="R958" s="11"/>
    </row>
    <row r="959" s="1" customFormat="1" ht="21.95" customHeight="1" spans="1:19">
      <c r="A959" s="7"/>
      <c r="B959" s="12"/>
      <c r="C959" s="33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19"/>
      <c r="Q959" s="19"/>
      <c r="R959" s="11"/>
    </row>
    <row r="960" s="1" customFormat="1" ht="21.95" customHeight="1" spans="1:19">
      <c r="A960" s="7"/>
      <c r="B960" s="12"/>
      <c r="C960" s="33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19"/>
      <c r="Q960" s="19"/>
      <c r="R960" s="11"/>
    </row>
    <row r="961" s="1" customFormat="1" ht="21.95" customHeight="1" spans="1:18">
      <c r="A961" s="7"/>
      <c r="B961" s="12"/>
      <c r="C961" s="33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19"/>
      <c r="Q961" s="19"/>
      <c r="R961" s="11"/>
    </row>
    <row r="962" s="1" customFormat="1" ht="21.95" customHeight="1" spans="1:18">
      <c r="A962" s="7"/>
      <c r="B962" s="12"/>
      <c r="C962" s="33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19"/>
      <c r="Q962" s="19"/>
      <c r="R962" s="11"/>
    </row>
    <row r="963" s="1" customFormat="1" ht="21.95" customHeight="1" spans="1:18">
      <c r="A963" s="7"/>
      <c r="B963" s="12"/>
      <c r="C963" s="33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19"/>
      <c r="Q963" s="19"/>
      <c r="R963" s="11"/>
    </row>
    <row r="964" s="1" customFormat="1" ht="21.95" customHeight="1" spans="1:18">
      <c r="A964" s="7"/>
      <c r="B964" s="12"/>
      <c r="C964" s="33"/>
      <c r="D964" s="80" t="s">
        <v>728</v>
      </c>
      <c r="E964" s="86">
        <f>ENTRY!$D$27</f>
        <v>46102</v>
      </c>
      <c r="F964" s="86"/>
      <c r="G964" s="29"/>
      <c r="H964" s="29"/>
      <c r="I964" s="29"/>
      <c r="J964" s="29"/>
      <c r="K964" s="29"/>
      <c r="L964" s="29"/>
      <c r="M964" s="87" t="s">
        <v>730</v>
      </c>
      <c r="N964" s="87"/>
      <c r="O964" s="87"/>
      <c r="P964" s="19"/>
      <c r="Q964" s="19"/>
      <c r="R964" s="11"/>
    </row>
    <row r="965" s="1" customFormat="1" ht="21.95" customHeight="1" spans="1:18">
      <c r="A965" s="7"/>
      <c r="B965" s="12"/>
      <c r="C965" s="33"/>
      <c r="D965" s="80" t="s">
        <v>731</v>
      </c>
      <c r="E965" s="88" t="str">
        <f>PROPER(ENTRY!$D$28)</f>
        <v>New Delhi</v>
      </c>
      <c r="F965" s="88"/>
      <c r="G965" s="29"/>
      <c r="H965" s="29"/>
      <c r="I965" s="29"/>
      <c r="J965" s="29"/>
      <c r="K965" s="29"/>
      <c r="L965" s="29"/>
      <c r="M965" s="89" t="s">
        <v>732</v>
      </c>
      <c r="N965" s="89"/>
      <c r="O965" s="89"/>
      <c r="P965" s="19"/>
      <c r="Q965" s="19"/>
      <c r="R965" s="11"/>
    </row>
    <row r="966" s="1" customFormat="1" ht="21.95" customHeight="1" spans="1:18">
      <c r="A966" s="7"/>
      <c r="B966" s="12"/>
      <c r="C966" s="90"/>
      <c r="D966" s="91"/>
      <c r="E966" s="91"/>
      <c r="F966" s="91"/>
      <c r="G966" s="91"/>
      <c r="H966" s="91"/>
      <c r="I966" s="91"/>
      <c r="J966" s="91"/>
      <c r="K966" s="91"/>
      <c r="L966" s="91"/>
      <c r="M966" s="91"/>
      <c r="N966" s="91"/>
      <c r="O966" s="91"/>
      <c r="P966" s="92"/>
      <c r="Q966" s="14"/>
      <c r="R966" s="11"/>
    </row>
    <row r="967" s="1" customFormat="1" ht="5.1" customHeight="1" spans="1:18">
      <c r="A967" s="7"/>
      <c r="B967" s="90"/>
      <c r="C967" s="91"/>
      <c r="D967" s="91"/>
      <c r="E967" s="91"/>
      <c r="F967" s="91"/>
      <c r="G967" s="91"/>
      <c r="H967" s="91"/>
      <c r="I967" s="91"/>
      <c r="J967" s="91"/>
      <c r="K967" s="91"/>
      <c r="L967" s="91"/>
      <c r="M967" s="91"/>
      <c r="N967" s="91"/>
      <c r="O967" s="91"/>
      <c r="P967" s="91"/>
      <c r="Q967" s="92"/>
      <c r="R967" s="11"/>
    </row>
    <row r="968" s="1" customFormat="1" ht="5.1" customHeight="1" spans="1:18">
      <c r="A968" s="93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5"/>
    </row>
    <row r="969" s="2" customFormat="1" ht="9.95" customHeight="1"/>
    <row r="970" s="1" customFormat="1" ht="5.1" customHeight="1" spans="1:18">
      <c r="A970" s="4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6"/>
    </row>
    <row r="971" s="1" customFormat="1" ht="15" customHeight="1" spans="1:18">
      <c r="A971" s="7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10"/>
      <c r="R971" s="11"/>
    </row>
    <row r="972" s="1" customFormat="1" ht="21.95" customHeight="1" spans="1:18">
      <c r="A972" s="7"/>
      <c r="B972" s="12"/>
      <c r="C972" s="13" t="s">
        <v>7</v>
      </c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4"/>
      <c r="R972" s="11"/>
    </row>
    <row r="973" s="1" customFormat="1" ht="21.95" customHeight="1" spans="1:18">
      <c r="A973" s="7"/>
      <c r="B973" s="1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14"/>
      <c r="R973" s="11"/>
    </row>
    <row r="974" s="1" customFormat="1" ht="21.95" customHeight="1" spans="1:18">
      <c r="A974" s="7"/>
      <c r="B974" s="12"/>
      <c r="C974" s="15" t="str">
        <f>"SESSION-"&amp;ENTRY!$D$11</f>
        <v>SESSION-2026-27</v>
      </c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4"/>
      <c r="R974" s="11"/>
    </row>
    <row r="975" s="1" customFormat="1" ht="21.95" customHeight="1" spans="1:18">
      <c r="A975" s="7"/>
      <c r="B975" s="12"/>
      <c r="C975" s="2"/>
      <c r="D975" s="2"/>
      <c r="E975" s="2"/>
      <c r="F975" s="16">
        <f>F918+1</f>
        <v>18</v>
      </c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14"/>
      <c r="R975" s="11"/>
    </row>
    <row r="976" s="1" customFormat="1" ht="21.95" customHeight="1" spans="1:18">
      <c r="A976" s="7"/>
      <c r="B976" s="12"/>
      <c r="C976" s="17" t="s">
        <v>392</v>
      </c>
      <c r="D976" s="17"/>
      <c r="E976" s="17"/>
      <c r="F976" s="18" t="str">
        <f>IF(F975&gt;0,ENTRY!$D$6,"")</f>
        <v>MCP NITHARI NO 1 BOYS</v>
      </c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9"/>
      <c r="R976" s="11"/>
    </row>
    <row r="977" s="1" customFormat="1" ht="21.95" customHeight="1" spans="1:18">
      <c r="A977" s="7"/>
      <c r="B977" s="12"/>
      <c r="C977" s="17" t="s">
        <v>393</v>
      </c>
      <c r="D977" s="17"/>
      <c r="E977" s="17"/>
      <c r="F977" s="18">
        <f>IF(F975&gt;0,ENTRY!$D$7,"")</f>
        <v>0</v>
      </c>
      <c r="G977" s="18"/>
      <c r="H977" s="20" t="s">
        <v>702</v>
      </c>
      <c r="I977" s="20"/>
      <c r="J977" s="21">
        <f>IF(F975&gt;0,ENTRY!$D$10,"")</f>
        <v>40</v>
      </c>
      <c r="K977" s="20" t="s">
        <v>703</v>
      </c>
      <c r="L977" s="22" t="str">
        <f>IF(F975&gt;0,ENTRY!$D$5,"")</f>
        <v>ROHINI ZONE</v>
      </c>
      <c r="M977" s="22"/>
      <c r="N977" s="22"/>
      <c r="O977" s="22"/>
      <c r="P977" s="22"/>
      <c r="Q977" s="19"/>
      <c r="R977" s="11"/>
    </row>
    <row r="978" s="1" customFormat="1" ht="21.95" customHeight="1" spans="1:18">
      <c r="A978" s="7"/>
      <c r="B978" s="12"/>
      <c r="C978" s="17" t="s">
        <v>706</v>
      </c>
      <c r="D978" s="17"/>
      <c r="E978" s="17"/>
      <c r="F978" s="23" t="str">
        <f>IFERROR(VLOOKUP(F975,STUDENT!$A$2:$BP$101,5,0),"")</f>
        <v>SAURAV KUMAR</v>
      </c>
      <c r="G978" s="23"/>
      <c r="H978" s="23"/>
      <c r="I978" s="23"/>
      <c r="J978" s="23"/>
      <c r="K978" s="23"/>
      <c r="L978" s="20" t="s">
        <v>707</v>
      </c>
      <c r="M978" s="20"/>
      <c r="N978" s="24" t="str">
        <f>IF(F975&gt;0,ENTRY!$D$20&amp;"-"&amp;ENTRY!$D$21,"")</f>
        <v>III-A</v>
      </c>
      <c r="O978" s="24"/>
      <c r="P978" s="24"/>
      <c r="Q978" s="19"/>
      <c r="R978" s="11"/>
    </row>
    <row r="979" s="1" customFormat="1" ht="21.95" customHeight="1" spans="1:18">
      <c r="A979" s="7"/>
      <c r="B979" s="12"/>
      <c r="C979" s="17" t="s">
        <v>708</v>
      </c>
      <c r="D979" s="17"/>
      <c r="E979" s="17"/>
      <c r="F979" s="25">
        <f>IFERROR(VLOOKUP(F975,STUDENT!$A$2:$BP$101,6,0),"")</f>
        <v>14756</v>
      </c>
      <c r="G979" s="25"/>
      <c r="H979" s="26" t="s">
        <v>709</v>
      </c>
      <c r="I979" s="27" t="str">
        <f>IFERROR(VLOOKUP(F975,STUDENT!$A$2:$BP$101,59,0),"")</f>
        <v/>
      </c>
      <c r="J979" s="27"/>
      <c r="K979" s="20" t="s">
        <v>710</v>
      </c>
      <c r="L979" s="20"/>
      <c r="M979" s="28">
        <f>IFERROR(VLOOKUP(F975,STUDENT!$A$2:$BP$101,20,0),"")</f>
        <v>9560140255</v>
      </c>
      <c r="N979" s="28"/>
      <c r="O979" s="28"/>
      <c r="P979" s="28"/>
      <c r="Q979" s="19"/>
      <c r="R979" s="11"/>
    </row>
    <row r="980" s="1" customFormat="1" ht="21.95" customHeight="1" spans="1:18">
      <c r="A980" s="7"/>
      <c r="B980" s="12"/>
      <c r="C980" s="17" t="s">
        <v>711</v>
      </c>
      <c r="D980" s="17"/>
      <c r="E980" s="17"/>
      <c r="F980" s="23" t="str">
        <f>IFERROR(VLOOKUP(F975,STUDENT!$A$2:$BP$101,9,0),"")</f>
        <v>KANCHAN YADAV</v>
      </c>
      <c r="G980" s="23"/>
      <c r="H980" s="23"/>
      <c r="I980" s="23"/>
      <c r="J980" s="17" t="s">
        <v>620</v>
      </c>
      <c r="K980" s="17"/>
      <c r="L980" s="23" t="str">
        <f>IFERROR(VLOOKUP(F975,STUDENT!$A$2:$BP$101,8,0),"")</f>
        <v>HARINDER YADAV</v>
      </c>
      <c r="M980" s="23"/>
      <c r="N980" s="23"/>
      <c r="O980" s="23"/>
      <c r="P980" s="23"/>
      <c r="Q980" s="19"/>
      <c r="R980" s="11"/>
    </row>
    <row r="981" s="1" customFormat="1" ht="21.95" customHeight="1" spans="1:18">
      <c r="A981" s="7"/>
      <c r="B981" s="12"/>
      <c r="C981" s="17" t="s">
        <v>712</v>
      </c>
      <c r="D981" s="17"/>
      <c r="E981" s="17"/>
      <c r="F981" s="23" t="str">
        <f>IFERROR(VLOOKUP(F975,STUDENT!$A$2:$BP$101,22,0),"")</f>
        <v>B-504/2 INDER ENCLAVE II KIRARI</v>
      </c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19"/>
      <c r="R981" s="11"/>
    </row>
    <row r="982" s="1" customFormat="1" ht="9.95" customHeight="1" spans="1:18">
      <c r="A982" s="7"/>
      <c r="B982" s="12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19"/>
      <c r="R982" s="11"/>
    </row>
    <row r="983" s="1" customFormat="1" ht="9.95" customHeight="1" spans="1:18">
      <c r="A983" s="7"/>
      <c r="B983" s="12"/>
      <c r="C983" s="30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2"/>
      <c r="Q983" s="19"/>
      <c r="R983" s="11"/>
    </row>
    <row r="984" s="1" customFormat="1" ht="21.95" customHeight="1" spans="1:18">
      <c r="A984" s="7"/>
      <c r="B984" s="12"/>
      <c r="C984" s="33"/>
      <c r="D984" s="34" t="s">
        <v>713</v>
      </c>
      <c r="E984" s="20" t="s">
        <v>714</v>
      </c>
      <c r="F984" s="35" t="str">
        <f>"Level - "&amp;IFERROR(VLOOKUP(F975,FLN!$A$4:$K$103,9,0),"")</f>
        <v>Level - 2</v>
      </c>
      <c r="G984" s="36"/>
      <c r="H984" s="37" t="s">
        <v>715</v>
      </c>
      <c r="I984" s="20"/>
      <c r="J984" s="35" t="str">
        <f>"Level - "&amp;IFERROR(VLOOKUP(F975,FLN!$A$4:$K$103,11,0),"")</f>
        <v>Level - 4</v>
      </c>
      <c r="K984" s="36"/>
      <c r="L984" s="37" t="s">
        <v>408</v>
      </c>
      <c r="M984" s="20"/>
      <c r="N984" s="35" t="str">
        <f>"Level - "&amp;IFERROR(VLOOKUP(F975,FLN!$A$4:$K$103,10,0),"")</f>
        <v>Level - 2</v>
      </c>
      <c r="O984" s="36"/>
      <c r="P984" s="19"/>
      <c r="Q984" s="19"/>
      <c r="R984" s="11"/>
    </row>
    <row r="985" s="1" customFormat="1" ht="21.95" customHeight="1" spans="1:18">
      <c r="A985" s="7"/>
      <c r="B985" s="12"/>
      <c r="C985" s="33"/>
      <c r="D985" s="38"/>
      <c r="E985" s="20" t="s">
        <v>716</v>
      </c>
      <c r="F985" s="18" t="str">
        <f ca="1">IF(L999&gt;197,"PERFORMED WELL","")</f>
        <v/>
      </c>
      <c r="G985" s="18"/>
      <c r="H985" s="18"/>
      <c r="I985" s="18"/>
      <c r="J985" s="18"/>
      <c r="K985" s="18"/>
      <c r="L985" s="18"/>
      <c r="M985" s="18"/>
      <c r="N985" s="18"/>
      <c r="O985" s="18"/>
      <c r="P985" s="19"/>
      <c r="Q985" s="19"/>
      <c r="R985" s="11"/>
    </row>
    <row r="986" s="1" customFormat="1" ht="9.95" customHeight="1" spans="1:18">
      <c r="A986" s="7"/>
      <c r="B986" s="12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1"/>
      <c r="Q986" s="19"/>
      <c r="R986" s="11"/>
    </row>
    <row r="987" s="1" customFormat="1" ht="9.95" customHeight="1" spans="1:18">
      <c r="A987" s="7"/>
      <c r="B987" s="12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19"/>
      <c r="R987" s="11"/>
    </row>
    <row r="988" s="1" customFormat="1" ht="9.95" customHeight="1" spans="1:18">
      <c r="A988" s="7"/>
      <c r="B988" s="12"/>
      <c r="C988" s="30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2"/>
      <c r="Q988" s="19"/>
      <c r="R988" s="11"/>
    </row>
    <row r="989" s="1" customFormat="1" ht="21.95" customHeight="1" spans="1:18">
      <c r="A989" s="7"/>
      <c r="B989" s="12"/>
      <c r="C989" s="33"/>
      <c r="D989" s="35"/>
      <c r="E989" s="24"/>
      <c r="F989" s="42" t="s">
        <v>717</v>
      </c>
      <c r="G989" s="42"/>
      <c r="H989" s="42"/>
      <c r="I989" s="42"/>
      <c r="J989" s="42"/>
      <c r="K989" s="42"/>
      <c r="L989" s="43"/>
      <c r="M989" s="44"/>
      <c r="N989" s="29"/>
      <c r="O989" s="29"/>
      <c r="P989" s="19"/>
      <c r="Q989" s="19"/>
      <c r="R989" s="11"/>
    </row>
    <row r="990" s="1" customFormat="1" ht="21.95" customHeight="1" spans="1:18">
      <c r="A990" s="7"/>
      <c r="B990" s="12"/>
      <c r="C990" s="33"/>
      <c r="D990" s="45"/>
      <c r="E990" s="46"/>
      <c r="F990" s="47" t="s">
        <v>541</v>
      </c>
      <c r="G990" s="47" t="s">
        <v>542</v>
      </c>
      <c r="H990" s="47" t="s">
        <v>543</v>
      </c>
      <c r="I990" s="47" t="s">
        <v>544</v>
      </c>
      <c r="J990" s="47" t="s">
        <v>561</v>
      </c>
      <c r="K990" s="48" t="s">
        <v>750</v>
      </c>
      <c r="L990" s="47" t="s">
        <v>382</v>
      </c>
      <c r="M990" s="49" t="s">
        <v>546</v>
      </c>
      <c r="N990" s="29"/>
      <c r="O990" s="29"/>
      <c r="P990" s="19"/>
      <c r="Q990" s="19"/>
      <c r="R990" s="11"/>
    </row>
    <row r="991" s="1" customFormat="1" ht="21.95" customHeight="1" spans="1:18">
      <c r="A991" s="7"/>
      <c r="B991" s="12"/>
      <c r="C991" s="33"/>
      <c r="D991" s="45" t="s">
        <v>652</v>
      </c>
      <c r="E991" s="46"/>
      <c r="F991" s="50">
        <v>10</v>
      </c>
      <c r="G991" s="50">
        <v>10</v>
      </c>
      <c r="H991" s="50">
        <v>10</v>
      </c>
      <c r="I991" s="50">
        <v>10</v>
      </c>
      <c r="J991" s="50">
        <v>60</v>
      </c>
      <c r="K991" s="51"/>
      <c r="L991" s="50">
        <v>100</v>
      </c>
      <c r="M991" s="49"/>
      <c r="N991" s="29"/>
      <c r="O991" s="29"/>
      <c r="P991" s="19"/>
      <c r="Q991" s="19"/>
      <c r="R991" s="11"/>
    </row>
    <row r="992" s="1" customFormat="1" ht="21.95" customHeight="1" spans="1:18">
      <c r="A992" s="7"/>
      <c r="B992" s="12"/>
      <c r="C992" s="33"/>
      <c r="D992" s="52" t="s">
        <v>751</v>
      </c>
      <c r="E992" s="53"/>
      <c r="F992" s="54">
        <f ca="1">IFERROR(VLOOKUP(F975,'RR-3.1-5TH'!$A$12:'RR-3.1-5TH'!$BN$111,9,0),"")</f>
        <v>1</v>
      </c>
      <c r="G992" s="54">
        <f ca="1">IFERROR(VLOOKUP(F975,'RR-3.1-5TH'!$A$12:'RR-3.1-5TH'!$BN$111,10,0),"")</f>
        <v>0</v>
      </c>
      <c r="H992" s="54">
        <f ca="1">IFERROR(VLOOKUP(F975,'RR-3.1-5TH'!$A$12:'RR-3.1-5TH'!$BN$111,11,0),"")</f>
        <v>0</v>
      </c>
      <c r="I992" s="54">
        <f ca="1">IFERROR(VLOOKUP(F975,'RR-3.1-5TH'!$A$12:'RR-3.1-5TH'!$BN$111,12,0),"")</f>
        <v>0</v>
      </c>
      <c r="J992" s="54">
        <f ca="1">IFERROR(VLOOKUP(F975,'RR-3.1-5TH'!$A$12:'RR-3.1-5TH'!$BN$111,13,0),"")</f>
        <v>25</v>
      </c>
      <c r="K992" s="54">
        <f ca="1">IFERROR(VLOOKUP(F975,'RR-3.1-5TH'!$A$12:'RR-3.1-5TH'!$BN$111,14,0),"")</f>
        <v>0</v>
      </c>
      <c r="L992" s="55">
        <f ca="1" t="shared" ref="L992:L997" si="51">SUM(F992,G992,H992,I992,J992,K992)</f>
        <v>26</v>
      </c>
      <c r="M992" s="56" t="str">
        <f ca="1">IF(F975&gt;ENTRY!$D$24,"",IF(L992=0,"Ab",IF(L992&gt;80,"A",IF(L992&gt;60,"B",IF(L992&gt;44,"C",IF(L992&gt;=33,"D",IF(L992&lt;=32,"E","")))))))</f>
        <v>E</v>
      </c>
      <c r="N992" s="57" t="s">
        <v>729</v>
      </c>
      <c r="O992" s="58"/>
      <c r="P992" s="59"/>
      <c r="Q992" s="19"/>
      <c r="R992" s="11"/>
    </row>
    <row r="993" s="1" customFormat="1" ht="21.95" customHeight="1" spans="1:19">
      <c r="A993" s="7"/>
      <c r="B993" s="12"/>
      <c r="C993" s="33"/>
      <c r="D993" s="52" t="s">
        <v>513</v>
      </c>
      <c r="E993" s="53"/>
      <c r="F993" s="54">
        <f ca="1">IFERROR(VLOOKUP(F975,'RR-3.1-5TH'!$A$12:'RR-3.1-5TH'!$BN$111,17,0),"")</f>
        <v>1</v>
      </c>
      <c r="G993" s="54">
        <f ca="1">IFERROR(VLOOKUP(F975,'RR-3.1-5TH'!$A$12:'RR-3.1-5TH'!$BN$111,18,0),"")</f>
        <v>0</v>
      </c>
      <c r="H993" s="54">
        <f ca="1">IFERROR(VLOOKUP(F975,'RR-3.1-5TH'!$A$12:'RR-3.1-5TH'!$BN$111,19,0),"")</f>
        <v>0</v>
      </c>
      <c r="I993" s="54">
        <f ca="1">IFERROR(VLOOKUP(F975,'RR-3.1-5TH'!$A$12:'RR-3.1-5TH'!$BN$111,20,0),"")</f>
        <v>0</v>
      </c>
      <c r="J993" s="54">
        <f ca="1">IFERROR(VLOOKUP(F975,'RR-3.1-5TH'!$A$12:'RR-3.1-5TH'!$BN$111,21,0),"")</f>
        <v>13</v>
      </c>
      <c r="K993" s="54">
        <f ca="1">IFERROR(VLOOKUP(F975,'RR-3.1-5TH'!$A$12:'RR-3.1-5TH'!$BN$111,22,0),"")</f>
        <v>0</v>
      </c>
      <c r="L993" s="55">
        <f ca="1" t="shared" si="51"/>
        <v>14</v>
      </c>
      <c r="M993" s="56" t="str">
        <f ca="1">IF(F975&gt;ENTRY!$D$24,"",IF(L993=0,"Ab",IF(L993&gt;80,"A",IF(L993&gt;60,"B",IF(L993&gt;44,"C",IF(L993&gt;=33,"D",IF(L993&lt;=32,"E","")))))))</f>
        <v>E</v>
      </c>
      <c r="N993" s="58"/>
      <c r="O993" s="58"/>
      <c r="P993" s="59"/>
      <c r="Q993" s="19"/>
      <c r="R993" s="11"/>
    </row>
    <row r="994" s="1" customFormat="1" ht="21.95" customHeight="1" spans="1:19">
      <c r="A994" s="7"/>
      <c r="B994" s="12"/>
      <c r="C994" s="33"/>
      <c r="D994" s="52" t="s">
        <v>718</v>
      </c>
      <c r="E994" s="53"/>
      <c r="F994" s="54">
        <f ca="1">IFERROR(VLOOKUP(F975,'RR-3.1-5TH'!$A$12:'RR-3.1-5TH'!$BN$111,25,0),"")</f>
        <v>1</v>
      </c>
      <c r="G994" s="54">
        <f ca="1">IFERROR(VLOOKUP(F975,'RR-3.1-5TH'!$A$12:'RR-3.1-5TH'!$BN$111,26,0),"")</f>
        <v>0</v>
      </c>
      <c r="H994" s="54">
        <f ca="1">IFERROR(VLOOKUP(F975,'RR-3.1-5TH'!$A$12:'RR-3.1-5TH'!$BN$111,27,0),"")</f>
        <v>0</v>
      </c>
      <c r="I994" s="54">
        <f ca="1">IFERROR(VLOOKUP(F975,'RR-3.1-5TH'!$A$12:'RR-3.1-5TH'!$BN$111,28,0),"")</f>
        <v>0</v>
      </c>
      <c r="J994" s="54">
        <f ca="1">IFERROR(VLOOKUP(F975,'RR-3.1-5TH'!$A$12:'RR-3.1-5TH'!$BN$111,29,0),"")</f>
        <v>17</v>
      </c>
      <c r="K994" s="54">
        <f ca="1">IFERROR(VLOOKUP(F975,'RR-3.1-5TH'!$A$12:'RR-3.1-5TH'!$BN$111,30,0),"")</f>
        <v>0</v>
      </c>
      <c r="L994" s="55">
        <f ca="1" t="shared" si="51"/>
        <v>18</v>
      </c>
      <c r="M994" s="56" t="str">
        <f ca="1">IF(F975&gt;ENTRY!$D$24,"",IF(L994=0,"Ab",IF(L994&gt;80,"A",IF(L994&gt;60,"B",IF(L994&gt;44,"C",IF(L994&gt;=33,"D",IF(L994&lt;=32,"E","")))))))</f>
        <v>E</v>
      </c>
      <c r="N994" s="29"/>
      <c r="O994" s="29"/>
      <c r="P994" s="19"/>
      <c r="Q994" s="19"/>
      <c r="R994" s="11"/>
    </row>
    <row r="995" s="1" customFormat="1" ht="21.95" customHeight="1" spans="1:19">
      <c r="A995" s="7"/>
      <c r="B995" s="12"/>
      <c r="C995" s="33"/>
      <c r="D995" s="52" t="s">
        <v>719</v>
      </c>
      <c r="E995" s="53"/>
      <c r="F995" s="54">
        <f ca="1">IFERROR(VLOOKUP(F975,'RR-3.1-5TH'!$A$12:'RR-3.1-5TH'!$BN$111,33,0),"")</f>
        <v>1</v>
      </c>
      <c r="G995" s="54">
        <f ca="1">IFERROR(VLOOKUP(F975,'RR-3.1-5TH'!$A$12:'RR-3.1-5TH'!$BN$111,34,0),"")</f>
        <v>0</v>
      </c>
      <c r="H995" s="54">
        <f ca="1">IFERROR(VLOOKUP(F975,'RR-3.1-5TH'!$A$12:'RR-3.1-5TH'!$BN$111,35,0),"")</f>
        <v>0</v>
      </c>
      <c r="I995" s="54">
        <f ca="1">IFERROR(VLOOKUP(F975,'RR-3.1-5TH'!$A$12:'RR-3.1-5TH'!$BN$111,36,0),"")</f>
        <v>0</v>
      </c>
      <c r="J995" s="54">
        <f ca="1">IFERROR(VLOOKUP(F975,'RR-3.1-5TH'!$A$12:'RR-3.1-5TH'!$BN$111,37,0),"")</f>
        <v>13</v>
      </c>
      <c r="K995" s="54">
        <f ca="1">IFERROR(VLOOKUP(F975,'RR-3.1-5TH'!$A$12:'RR-3.1-5TH'!$BN$111,38,0),"")</f>
        <v>0</v>
      </c>
      <c r="L995" s="55">
        <f ca="1" t="shared" si="51"/>
        <v>14</v>
      </c>
      <c r="M995" s="56" t="str">
        <f ca="1">IF(F975&gt;ENTRY!$D$24,"",IF(L995=0,"Ab",IF(L995&gt;80,"A",IF(L995&gt;60,"B",IF(L995&gt;44,"C",IF(L995&gt;=33,"D",IF(L995&lt;=32,"E","")))))))</f>
        <v>E</v>
      </c>
      <c r="N995" s="29"/>
      <c r="O995" s="29"/>
      <c r="P995" s="19"/>
      <c r="Q995" s="19"/>
      <c r="R995" s="11"/>
    </row>
    <row r="996" s="1" customFormat="1" ht="21.95" customHeight="1" spans="1:19">
      <c r="A996" s="7"/>
      <c r="B996" s="12"/>
      <c r="C996" s="33"/>
      <c r="D996" s="52" t="s">
        <v>548</v>
      </c>
      <c r="E996" s="53"/>
      <c r="F996" s="54">
        <f ca="1">IFERROR(VLOOKUP(F975,'RR-3.1-5TH'!$A$12:'RR-3.1-5TH'!$BN$111,41,0),"")</f>
        <v>0</v>
      </c>
      <c r="G996" s="54">
        <f ca="1">IFERROR(VLOOKUP(F975,'RR-3.1-5TH'!$A$12:'RR-3.1-5TH'!$BN$111,42,0),"")</f>
        <v>0</v>
      </c>
      <c r="H996" s="54">
        <f ca="1">IFERROR(VLOOKUP(F975,'RR-3.1-5TH'!$A$12:'RR-3.1-5TH'!$BN$111,43,0),"")</f>
        <v>0</v>
      </c>
      <c r="I996" s="54">
        <f ca="1">IFERROR(VLOOKUP(F975,'RR-3.1-5TH'!$A$12:'RR-3.1-5TH'!$BN$111,44,0),"")</f>
        <v>0</v>
      </c>
      <c r="J996" s="54">
        <f ca="1">IFERROR(VLOOKUP(F975,'RR-3.1-5TH'!$A$12:'RR-3.1-5TH'!$BN$111,45,0),"")</f>
        <v>13</v>
      </c>
      <c r="K996" s="54">
        <f ca="1">IFERROR(VLOOKUP(F975,'RR-3.1-5TH'!$A$12:'RR-3.1-5TH'!$BN$111,46,0),"")</f>
        <v>0</v>
      </c>
      <c r="L996" s="55">
        <f ca="1" t="shared" si="51"/>
        <v>13</v>
      </c>
      <c r="M996" s="56" t="str">
        <f ca="1">IF(F975&gt;ENTRY!$D$24,"",IF(L996=0,"Ab",IF(L996&gt;80,"A",IF(L996&gt;60,"B",IF(L996&gt;44,"C",IF(L996&gt;=33,"D",IF(L996&lt;=32,"E","")))))))</f>
        <v>E</v>
      </c>
      <c r="N996" s="29"/>
      <c r="O996" s="29"/>
      <c r="P996" s="19"/>
      <c r="Q996" s="19"/>
      <c r="R996" s="11"/>
    </row>
    <row r="997" s="1" customFormat="1" ht="21.95" customHeight="1" spans="1:19">
      <c r="A997" s="7"/>
      <c r="B997" s="12"/>
      <c r="C997" s="33"/>
      <c r="D997" s="52" t="s">
        <v>549</v>
      </c>
      <c r="E997" s="53"/>
      <c r="F997" s="54">
        <f ca="1">IFERROR(VLOOKUP(F975,'RR-3.1-5TH'!$A$12:'RR-3.1-5TH'!$BN$111,49,0),"")</f>
        <v>1</v>
      </c>
      <c r="G997" s="54">
        <f ca="1">IFERROR(VLOOKUP(F975,'RR-3.1-5TH'!$A$12:'RR-3.1-5TH'!$BN$111,50,0),"")</f>
        <v>0</v>
      </c>
      <c r="H997" s="54">
        <f ca="1">IFERROR(VLOOKUP(F975,'RR-3.1-5TH'!$A$12:'RR-3.1-5TH'!$BN$111,51,0),"")</f>
        <v>0</v>
      </c>
      <c r="I997" s="54">
        <f ca="1">IFERROR(VLOOKUP(F975,'RR-3.1-5TH'!$A$12:'RR-3.1-5TH'!$BN$111,52,0),"")</f>
        <v>0</v>
      </c>
      <c r="J997" s="54">
        <f ca="1">IFERROR(VLOOKUP(F975,'RR-3.1-5TH'!$A$12:'RR-3.1-5TH'!$BN$111,53,0),"")</f>
        <v>23</v>
      </c>
      <c r="K997" s="54">
        <f ca="1">IFERROR(VLOOKUP(F975,'RR-3.1-5TH'!$A$12:'RR-3.1-5TH'!$BN$111,54,0),"")</f>
        <v>0</v>
      </c>
      <c r="L997" s="55">
        <f ca="1" t="shared" si="51"/>
        <v>24</v>
      </c>
      <c r="M997" s="56" t="str">
        <f ca="1">IF(F975&gt;ENTRY!$D$24,"",IF(L997=0,"Ab",IF(L997&gt;80,"A",IF(L997&gt;60,"B",IF(L997&gt;44,"C",IF(L997&gt;=33,"D",IF(L997&lt;=32,"E","")))))))</f>
        <v>E</v>
      </c>
      <c r="N997" s="57" t="s">
        <v>752</v>
      </c>
      <c r="O997" s="58"/>
      <c r="P997" s="59"/>
      <c r="Q997" s="19"/>
      <c r="R997" s="11"/>
    </row>
    <row r="998" s="1" customFormat="1" ht="21.95" customHeight="1" spans="1:19">
      <c r="A998" s="7"/>
      <c r="B998" s="12"/>
      <c r="C998" s="33"/>
      <c r="D998" s="52" t="s">
        <v>753</v>
      </c>
      <c r="E998" s="53"/>
      <c r="F998" s="60"/>
      <c r="G998" s="54"/>
      <c r="H998" s="54"/>
      <c r="I998" s="54"/>
      <c r="J998" s="54"/>
      <c r="K998" s="54"/>
      <c r="L998" s="55">
        <f t="shared" ref="L998" si="52">SUM(G998:K998)</f>
        <v>0</v>
      </c>
      <c r="M998" s="56" t="str">
        <f>IF(F975&gt;ENTRY!$D$24,"",IF(L998=0,"",IF(L998&gt;79,"A",IF(L998&gt;59,"B",IF(L998&gt;44,"C",IF(L998&gt;=33,"D",IF(L998&lt;=32,"E","")))))))</f>
        <v/>
      </c>
      <c r="N998" s="58"/>
      <c r="O998" s="58"/>
      <c r="P998" s="59"/>
      <c r="Q998" s="19"/>
      <c r="R998" s="11"/>
    </row>
    <row r="999" s="1" customFormat="1" ht="21.95" customHeight="1" spans="1:19">
      <c r="A999" s="7"/>
      <c r="B999" s="12"/>
      <c r="C999" s="33"/>
      <c r="D999" s="45" t="s">
        <v>382</v>
      </c>
      <c r="E999" s="46"/>
      <c r="F999" s="54">
        <f ca="1" t="shared" ref="F999:L999" si="53">IFERROR(SUM(F992:F998),"")</f>
        <v>5</v>
      </c>
      <c r="G999" s="54">
        <f ca="1" t="shared" si="53"/>
        <v>0</v>
      </c>
      <c r="H999" s="54">
        <f ca="1" t="shared" si="53"/>
        <v>0</v>
      </c>
      <c r="I999" s="54">
        <f ca="1" t="shared" si="53"/>
        <v>0</v>
      </c>
      <c r="J999" s="54">
        <f ca="1" t="shared" si="53"/>
        <v>104</v>
      </c>
      <c r="K999" s="54">
        <f ca="1" t="shared" si="53"/>
        <v>0</v>
      </c>
      <c r="L999" s="55">
        <f ca="1" t="shared" si="53"/>
        <v>109</v>
      </c>
      <c r="M999" s="61" t="str">
        <f ca="1">IF(F975&gt;ENTRY!$D$24,"",IF(N1000="Ab","Ab",IF(N1000&gt;79.5,"A",IF(N1000&gt;59.5,"B",IF(N1000&gt;44.5,"C",IF(N1000&gt;=33,"D",IF(N1000&lt;33,"E","")))))))</f>
        <v>E</v>
      </c>
      <c r="N999" s="62"/>
      <c r="O999" s="58"/>
      <c r="P999" s="59"/>
      <c r="Q999" s="19"/>
      <c r="R999" s="11"/>
    </row>
    <row r="1000" s="1" customFormat="1" ht="21.95" customHeight="1" spans="1:19">
      <c r="A1000" s="7"/>
      <c r="B1000" s="12"/>
      <c r="C1000" s="33"/>
      <c r="D1000" s="63" t="s">
        <v>721</v>
      </c>
      <c r="E1000" s="63"/>
      <c r="F1000" s="63"/>
      <c r="G1000" s="63"/>
      <c r="H1000" s="63"/>
      <c r="I1000" s="63"/>
      <c r="J1000" s="63"/>
      <c r="K1000" s="63"/>
      <c r="L1000" s="63"/>
      <c r="M1000" s="63"/>
      <c r="N1000" s="64">
        <f ca="1">IF(L999="Ab","Ab",L999/6)</f>
        <v>18.1666666666667</v>
      </c>
      <c r="O1000" s="65"/>
      <c r="P1000" s="19"/>
      <c r="Q1000" s="19"/>
      <c r="R1000" s="11"/>
    </row>
    <row r="1001" s="1" customFormat="1" ht="21.95" customHeight="1" spans="1:19">
      <c r="A1001" s="7"/>
      <c r="B1001" s="12"/>
      <c r="C1001" s="33"/>
      <c r="D1001" s="29" t="s">
        <v>716</v>
      </c>
      <c r="E1001" s="18" t="str">
        <f>IFERROR(VLOOKUP(F975,'1to4-2.1-RR'!$A$12:$BG$111,57,0),"")</f>
        <v>PROMOTED</v>
      </c>
      <c r="F1001" s="18"/>
      <c r="G1001" s="18"/>
      <c r="H1001" s="18"/>
      <c r="I1001" s="18"/>
      <c r="J1001" s="18"/>
      <c r="K1001" s="18"/>
      <c r="L1001" s="18"/>
      <c r="M1001" s="18"/>
      <c r="N1001" s="29"/>
      <c r="O1001" s="29"/>
      <c r="P1001" s="19"/>
      <c r="Q1001" s="19"/>
      <c r="R1001" s="11"/>
    </row>
    <row r="1002" s="1" customFormat="1" ht="9.95" customHeight="1" spans="1:19">
      <c r="A1002" s="7"/>
      <c r="B1002" s="12"/>
      <c r="C1002" s="33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19"/>
      <c r="Q1002" s="19"/>
      <c r="R1002" s="11"/>
    </row>
    <row r="1003" s="1" customFormat="1" ht="36" spans="1:19">
      <c r="A1003" s="7"/>
      <c r="B1003" s="12"/>
      <c r="C1003" s="33"/>
      <c r="D1003" s="66" t="s">
        <v>576</v>
      </c>
      <c r="E1003" s="67" t="s">
        <v>754</v>
      </c>
      <c r="F1003" s="47">
        <f>IF(F975&gt;ENTRY!$D$24,"",IFERROR(VLOOKUP(F975,PASHEET!$A$4:$CJ$103,88,0),""))</f>
        <v>0</v>
      </c>
      <c r="G1003" s="67" t="s">
        <v>755</v>
      </c>
      <c r="H1003" s="47">
        <f>IF(F975&gt;ENTRY!$D$24,"",IFERROR(VLOOKUP(F975,PASHEET!$A$4:$CJ$103,87,0),""))</f>
        <v>0</v>
      </c>
      <c r="I1003" s="68" t="s">
        <v>756</v>
      </c>
      <c r="J1003" s="69" t="str">
        <f>IF(F975&gt;ENTRY!$D$24,"",IFERROR(IF(F975&gt;0,H1003/F1003*100),""))</f>
        <v/>
      </c>
      <c r="K1003" s="60" t="s">
        <v>757</v>
      </c>
      <c r="L1003" s="70">
        <f ca="1">IF(F975&gt;ENTRY!$D$24,"",IFERROR(L999/600*100,""))</f>
        <v>18.1666666666667</v>
      </c>
      <c r="M1003" s="47" t="str">
        <f ca="1">IF(F975&gt;ENTRY!$D$24,"",IFERROR(L999&amp;" / "&amp;"600",""))</f>
        <v>109 / 600</v>
      </c>
      <c r="N1003" s="29"/>
      <c r="O1003" s="29"/>
      <c r="P1003" s="19"/>
      <c r="Q1003" s="19"/>
      <c r="R1003" s="11"/>
    </row>
    <row r="1004" s="1" customFormat="1" ht="9.95" customHeight="1" spans="1:19">
      <c r="A1004" s="7"/>
      <c r="B1004" s="12"/>
      <c r="C1004" s="39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1"/>
      <c r="Q1004" s="19"/>
      <c r="R1004" s="11"/>
    </row>
    <row r="1005" s="1" customFormat="1" ht="9.95" customHeight="1" spans="1:19">
      <c r="A1005" s="7"/>
      <c r="B1005" s="12"/>
      <c r="C1005" s="71"/>
      <c r="D1005" s="71"/>
      <c r="E1005" s="71"/>
      <c r="F1005" s="29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19"/>
      <c r="R1005" s="11"/>
    </row>
    <row r="1006" s="1" customFormat="1" ht="9.95" customHeight="1" spans="1:19">
      <c r="A1006" s="7"/>
      <c r="B1006" s="12"/>
      <c r="C1006" s="29"/>
      <c r="D1006" s="29"/>
      <c r="E1006" s="29"/>
      <c r="F1006" s="72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19"/>
      <c r="R1006" s="11"/>
    </row>
    <row r="1007" s="1" customFormat="1" ht="9.95" customHeight="1" spans="1:19">
      <c r="A1007" s="7"/>
      <c r="B1007" s="12"/>
      <c r="C1007" s="30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2"/>
      <c r="Q1007" s="19"/>
      <c r="R1007" s="11"/>
    </row>
    <row r="1008" s="1" customFormat="1" ht="21.95" customHeight="1" spans="1:19">
      <c r="A1008" s="7"/>
      <c r="B1008" s="12"/>
      <c r="C1008" s="73" t="s">
        <v>7</v>
      </c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74"/>
      <c r="Q1008" s="19"/>
      <c r="R1008" s="11"/>
      <c r="S1008" s="2"/>
    </row>
    <row r="1009" s="1" customFormat="1" ht="21.95" customHeight="1" spans="1:18">
      <c r="A1009" s="7"/>
      <c r="B1009" s="12"/>
      <c r="C1009" s="33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19"/>
      <c r="Q1009" s="19"/>
      <c r="R1009" s="11"/>
    </row>
    <row r="1010" s="1" customFormat="1" ht="21.95" customHeight="1" spans="1:18">
      <c r="A1010" s="7"/>
      <c r="B1010" s="12"/>
      <c r="C1010" s="75" t="str">
        <f>"SESSION-"&amp;ENTRY!$D$11</f>
        <v>SESSION-2026-27</v>
      </c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76"/>
      <c r="Q1010" s="19"/>
      <c r="R1010" s="11"/>
    </row>
    <row r="1011" s="1" customFormat="1" ht="18" customHeight="1" spans="1:18">
      <c r="A1011" s="7"/>
      <c r="B1011" s="12"/>
      <c r="C1011" s="33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19"/>
      <c r="Q1011" s="19"/>
      <c r="R1011" s="11"/>
    </row>
    <row r="1012" s="1" customFormat="1" ht="21.95" customHeight="1" spans="1:18">
      <c r="A1012" s="7"/>
      <c r="B1012" s="12"/>
      <c r="C1012" s="33"/>
      <c r="D1012" s="77" t="s">
        <v>758</v>
      </c>
      <c r="E1012" s="77"/>
      <c r="F1012" s="78" t="str">
        <f>IFERROR(PROPER(VLOOKUP(F975,STUDENT!$A$2:$BP$101,5,0)),"")</f>
        <v>Saurav Kumar</v>
      </c>
      <c r="G1012" s="78"/>
      <c r="H1012" s="78"/>
      <c r="I1012" s="78"/>
      <c r="J1012" s="78"/>
      <c r="K1012" s="78"/>
      <c r="L1012" s="78"/>
      <c r="M1012" s="78"/>
      <c r="N1012" s="79" t="s">
        <v>759</v>
      </c>
      <c r="O1012" s="79"/>
      <c r="P1012" s="19"/>
      <c r="Q1012" s="19"/>
      <c r="R1012" s="11"/>
    </row>
    <row r="1013" s="1" customFormat="1" ht="21.95" customHeight="1" spans="1:18">
      <c r="A1013" s="7"/>
      <c r="B1013" s="12"/>
      <c r="C1013" s="33"/>
      <c r="D1013" s="80" t="s">
        <v>760</v>
      </c>
      <c r="E1013" s="81" t="str">
        <f>IFERROR(PROPER(VLOOKUP(F975,STUDENT!$A$2:$BP$101,9,0)),"")</f>
        <v>Kanchan Yadav</v>
      </c>
      <c r="F1013" s="81"/>
      <c r="G1013" s="81"/>
      <c r="H1013" s="80" t="s">
        <v>761</v>
      </c>
      <c r="I1013" s="82" t="str">
        <f>IFERROR(PROPER(VLOOKUP(F975,STUDENT!$A$2:$BP$101,8,0)),"")</f>
        <v>Harinder Yadav</v>
      </c>
      <c r="J1013" s="82"/>
      <c r="K1013" s="82"/>
      <c r="L1013" s="82"/>
      <c r="M1013" s="80" t="s">
        <v>762</v>
      </c>
      <c r="N1013" s="83" t="str">
        <f>IFERROR(VLOOKUP(F975,STUDENT!$A$2:$BP$101,59,0),"")</f>
        <v/>
      </c>
      <c r="O1013" s="83"/>
      <c r="P1013" s="19"/>
      <c r="Q1013" s="19"/>
      <c r="R1013" s="11"/>
    </row>
    <row r="1014" s="1" customFormat="1" ht="21.95" customHeight="1" spans="1:18">
      <c r="A1014" s="7"/>
      <c r="B1014" s="12"/>
      <c r="C1014" s="33"/>
      <c r="D1014" s="77" t="str">
        <f>"has    completed     his  /  her     primary     level     education    in    the    year    "&amp;RIGHT(ENTRY!$D980,4)&amp;"    from    ( School    Name )"</f>
        <v>has    completed     his  /  her     primary     level     education    in    the    year        from    ( School    Name )</v>
      </c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19"/>
      <c r="Q1014" s="19"/>
      <c r="R1014" s="11"/>
    </row>
    <row r="1015" s="1" customFormat="1" ht="21.95" customHeight="1" spans="1:18">
      <c r="A1015" s="7"/>
      <c r="B1015" s="12"/>
      <c r="C1015" s="33"/>
      <c r="D1015" s="81" t="str">
        <f>IF(F975&gt;0,ENTRY!$D$6,"")</f>
        <v>MCP NITHARI NO 1 BOYS</v>
      </c>
      <c r="E1015" s="81"/>
      <c r="F1015" s="81"/>
      <c r="G1015" s="81"/>
      <c r="H1015" s="81"/>
      <c r="I1015" s="81"/>
      <c r="J1015" s="81"/>
      <c r="K1015" s="81"/>
      <c r="L1015" s="81"/>
      <c r="M1015" s="80" t="s">
        <v>763</v>
      </c>
      <c r="N1015" s="84">
        <f>IF(F975&gt;0,ENTRY!$D$7,"")</f>
        <v>0</v>
      </c>
      <c r="O1015" s="84"/>
      <c r="P1015" s="85" t="s">
        <v>727</v>
      </c>
      <c r="Q1015" s="19"/>
      <c r="R1015" s="11"/>
    </row>
    <row r="1016" s="1" customFormat="1" ht="21.95" customHeight="1" spans="1:18">
      <c r="A1016" s="7"/>
      <c r="B1016" s="12"/>
      <c r="C1016" s="33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19"/>
      <c r="Q1016" s="19"/>
      <c r="R1016" s="11"/>
    </row>
    <row r="1017" s="1" customFormat="1" ht="21.95" customHeight="1" spans="1:18">
      <c r="A1017" s="7"/>
      <c r="B1017" s="12"/>
      <c r="C1017" s="33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19"/>
      <c r="Q1017" s="19"/>
      <c r="R1017" s="11"/>
    </row>
    <row r="1018" s="1" customFormat="1" ht="21.95" customHeight="1" spans="1:18">
      <c r="A1018" s="7"/>
      <c r="B1018" s="12"/>
      <c r="C1018" s="33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19"/>
      <c r="Q1018" s="19"/>
      <c r="R1018" s="11"/>
    </row>
    <row r="1019" s="1" customFormat="1" ht="21.95" customHeight="1" spans="1:18">
      <c r="A1019" s="7"/>
      <c r="B1019" s="12"/>
      <c r="C1019" s="33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19"/>
      <c r="Q1019" s="19"/>
      <c r="R1019" s="11"/>
    </row>
    <row r="1020" s="1" customFormat="1" ht="21.95" customHeight="1" spans="1:18">
      <c r="A1020" s="7"/>
      <c r="B1020" s="12"/>
      <c r="C1020" s="33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19"/>
      <c r="Q1020" s="19"/>
      <c r="R1020" s="11"/>
    </row>
    <row r="1021" s="1" customFormat="1" ht="21.95" customHeight="1" spans="1:18">
      <c r="A1021" s="7"/>
      <c r="B1021" s="12"/>
      <c r="C1021" s="33"/>
      <c r="D1021" s="80" t="s">
        <v>728</v>
      </c>
      <c r="E1021" s="86">
        <f>ENTRY!$D$27</f>
        <v>46102</v>
      </c>
      <c r="F1021" s="86"/>
      <c r="G1021" s="29"/>
      <c r="H1021" s="29"/>
      <c r="I1021" s="29"/>
      <c r="J1021" s="29"/>
      <c r="K1021" s="29"/>
      <c r="L1021" s="29"/>
      <c r="M1021" s="87" t="s">
        <v>730</v>
      </c>
      <c r="N1021" s="87"/>
      <c r="O1021" s="87"/>
      <c r="P1021" s="19"/>
      <c r="Q1021" s="19"/>
      <c r="R1021" s="11"/>
    </row>
    <row r="1022" s="1" customFormat="1" ht="21.95" customHeight="1" spans="1:18">
      <c r="A1022" s="7"/>
      <c r="B1022" s="12"/>
      <c r="C1022" s="33"/>
      <c r="D1022" s="80" t="s">
        <v>731</v>
      </c>
      <c r="E1022" s="88" t="str">
        <f>PROPER(ENTRY!$D$28)</f>
        <v>New Delhi</v>
      </c>
      <c r="F1022" s="88"/>
      <c r="G1022" s="29"/>
      <c r="H1022" s="29"/>
      <c r="I1022" s="29"/>
      <c r="J1022" s="29"/>
      <c r="K1022" s="29"/>
      <c r="L1022" s="29"/>
      <c r="M1022" s="89" t="s">
        <v>732</v>
      </c>
      <c r="N1022" s="89"/>
      <c r="O1022" s="89"/>
      <c r="P1022" s="19"/>
      <c r="Q1022" s="19"/>
      <c r="R1022" s="11"/>
    </row>
    <row r="1023" s="1" customFormat="1" ht="21.95" customHeight="1" spans="1:18">
      <c r="A1023" s="7"/>
      <c r="B1023" s="12"/>
      <c r="C1023" s="90"/>
      <c r="D1023" s="91"/>
      <c r="E1023" s="91"/>
      <c r="F1023" s="91"/>
      <c r="G1023" s="91"/>
      <c r="H1023" s="91"/>
      <c r="I1023" s="91"/>
      <c r="J1023" s="91"/>
      <c r="K1023" s="91"/>
      <c r="L1023" s="91"/>
      <c r="M1023" s="91"/>
      <c r="N1023" s="91"/>
      <c r="O1023" s="91"/>
      <c r="P1023" s="92"/>
      <c r="Q1023" s="14"/>
      <c r="R1023" s="11"/>
    </row>
    <row r="1024" s="1" customFormat="1" ht="5.1" customHeight="1" spans="1:18">
      <c r="A1024" s="7"/>
      <c r="B1024" s="90"/>
      <c r="C1024" s="91"/>
      <c r="D1024" s="91"/>
      <c r="E1024" s="91"/>
      <c r="F1024" s="91"/>
      <c r="G1024" s="91"/>
      <c r="H1024" s="91"/>
      <c r="I1024" s="91"/>
      <c r="J1024" s="91"/>
      <c r="K1024" s="91"/>
      <c r="L1024" s="91"/>
      <c r="M1024" s="91"/>
      <c r="N1024" s="91"/>
      <c r="O1024" s="91"/>
      <c r="P1024" s="91"/>
      <c r="Q1024" s="92"/>
      <c r="R1024" s="11"/>
    </row>
    <row r="1025" s="1" customFormat="1" ht="5.1" customHeight="1" spans="1:18">
      <c r="A1025" s="93"/>
      <c r="B1025" s="94"/>
      <c r="C1025" s="94"/>
      <c r="D1025" s="94"/>
      <c r="E1025" s="94"/>
      <c r="F1025" s="94"/>
      <c r="G1025" s="94"/>
      <c r="H1025" s="94"/>
      <c r="I1025" s="94"/>
      <c r="J1025" s="94"/>
      <c r="K1025" s="94"/>
      <c r="L1025" s="94"/>
      <c r="M1025" s="94"/>
      <c r="N1025" s="94"/>
      <c r="O1025" s="94"/>
      <c r="P1025" s="94"/>
      <c r="Q1025" s="94"/>
      <c r="R1025" s="95"/>
    </row>
    <row r="1026" s="2" customFormat="1" ht="9.95" customHeight="1"/>
    <row r="1027" s="1" customFormat="1" ht="5.1" customHeight="1" spans="1:18">
      <c r="A1027" s="4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6"/>
    </row>
    <row r="1028" s="1" customFormat="1" ht="15" customHeight="1" spans="1:18">
      <c r="A1028" s="7"/>
      <c r="B1028" s="8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10"/>
      <c r="R1028" s="11"/>
    </row>
    <row r="1029" s="1" customFormat="1" ht="21.95" customHeight="1" spans="1:18">
      <c r="A1029" s="7"/>
      <c r="B1029" s="12"/>
      <c r="C1029" s="13" t="s">
        <v>7</v>
      </c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4"/>
      <c r="R1029" s="11"/>
    </row>
    <row r="1030" s="1" customFormat="1" ht="21.95" customHeight="1" spans="1:18">
      <c r="A1030" s="7"/>
      <c r="B1030" s="1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14"/>
      <c r="R1030" s="11"/>
    </row>
    <row r="1031" s="1" customFormat="1" ht="21.95" customHeight="1" spans="1:18">
      <c r="A1031" s="7"/>
      <c r="B1031" s="12"/>
      <c r="C1031" s="15" t="str">
        <f>"SESSION-"&amp;ENTRY!$D$11</f>
        <v>SESSION-2026-27</v>
      </c>
      <c r="D1031" s="15"/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4"/>
      <c r="R1031" s="11"/>
    </row>
    <row r="1032" s="1" customFormat="1" ht="21.95" customHeight="1" spans="1:18">
      <c r="A1032" s="7"/>
      <c r="B1032" s="12"/>
      <c r="C1032" s="2"/>
      <c r="D1032" s="2"/>
      <c r="E1032" s="2"/>
      <c r="F1032" s="16">
        <f>F975+1</f>
        <v>19</v>
      </c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14"/>
      <c r="R1032" s="11"/>
    </row>
    <row r="1033" s="1" customFormat="1" ht="21.95" customHeight="1" spans="1:18">
      <c r="A1033" s="7"/>
      <c r="B1033" s="12"/>
      <c r="C1033" s="17" t="s">
        <v>392</v>
      </c>
      <c r="D1033" s="17"/>
      <c r="E1033" s="17"/>
      <c r="F1033" s="18" t="str">
        <f>IF(F1032&gt;0,ENTRY!$D$6,"")</f>
        <v>MCP NITHARI NO 1 BOYS</v>
      </c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9"/>
      <c r="R1033" s="11"/>
    </row>
    <row r="1034" s="1" customFormat="1" ht="21.95" customHeight="1" spans="1:18">
      <c r="A1034" s="7"/>
      <c r="B1034" s="12"/>
      <c r="C1034" s="17" t="s">
        <v>393</v>
      </c>
      <c r="D1034" s="17"/>
      <c r="E1034" s="17"/>
      <c r="F1034" s="18">
        <f>IF(F1032&gt;0,ENTRY!$D$7,"")</f>
        <v>0</v>
      </c>
      <c r="G1034" s="18"/>
      <c r="H1034" s="20" t="s">
        <v>702</v>
      </c>
      <c r="I1034" s="20"/>
      <c r="J1034" s="21">
        <f>IF(F1032&gt;0,ENTRY!$D$10,"")</f>
        <v>40</v>
      </c>
      <c r="K1034" s="20" t="s">
        <v>703</v>
      </c>
      <c r="L1034" s="22" t="str">
        <f>IF(F1032&gt;0,ENTRY!$D$5,"")</f>
        <v>ROHINI ZONE</v>
      </c>
      <c r="M1034" s="22"/>
      <c r="N1034" s="22"/>
      <c r="O1034" s="22"/>
      <c r="P1034" s="22"/>
      <c r="Q1034" s="19"/>
      <c r="R1034" s="11"/>
    </row>
    <row r="1035" s="1" customFormat="1" ht="21.95" customHeight="1" spans="1:18">
      <c r="A1035" s="7"/>
      <c r="B1035" s="12"/>
      <c r="C1035" s="17" t="s">
        <v>706</v>
      </c>
      <c r="D1035" s="17"/>
      <c r="E1035" s="17"/>
      <c r="F1035" s="23" t="str">
        <f>IFERROR(VLOOKUP(F1032,STUDENT!$A$2:$BP$101,5,0),"")</f>
        <v>HANAM AYUBI</v>
      </c>
      <c r="G1035" s="23"/>
      <c r="H1035" s="23"/>
      <c r="I1035" s="23"/>
      <c r="J1035" s="23"/>
      <c r="K1035" s="23"/>
      <c r="L1035" s="20" t="s">
        <v>707</v>
      </c>
      <c r="M1035" s="20"/>
      <c r="N1035" s="24" t="str">
        <f>IF(F1032&gt;0,ENTRY!$D$20&amp;"-"&amp;ENTRY!$D$21,"")</f>
        <v>III-A</v>
      </c>
      <c r="O1035" s="24"/>
      <c r="P1035" s="24"/>
      <c r="Q1035" s="19"/>
      <c r="R1035" s="11"/>
    </row>
    <row r="1036" s="1" customFormat="1" ht="21.95" customHeight="1" spans="1:18">
      <c r="A1036" s="7"/>
      <c r="B1036" s="12"/>
      <c r="C1036" s="17" t="s">
        <v>708</v>
      </c>
      <c r="D1036" s="17"/>
      <c r="E1036" s="17"/>
      <c r="F1036" s="25">
        <f>IFERROR(VLOOKUP(F1032,STUDENT!$A$2:$BP$101,6,0),"")</f>
        <v>14758</v>
      </c>
      <c r="G1036" s="25"/>
      <c r="H1036" s="26" t="s">
        <v>709</v>
      </c>
      <c r="I1036" s="27" t="str">
        <f>IFERROR(VLOOKUP(F1032,STUDENT!$A$2:$BP$101,59,0),"")</f>
        <v/>
      </c>
      <c r="J1036" s="27"/>
      <c r="K1036" s="20" t="s">
        <v>710</v>
      </c>
      <c r="L1036" s="20"/>
      <c r="M1036" s="28">
        <f>IFERROR(VLOOKUP(F1032,STUDENT!$A$2:$BP$101,20,0),"")</f>
        <v>9560807229</v>
      </c>
      <c r="N1036" s="28"/>
      <c r="O1036" s="28"/>
      <c r="P1036" s="28"/>
      <c r="Q1036" s="19"/>
      <c r="R1036" s="11"/>
    </row>
    <row r="1037" s="1" customFormat="1" ht="21.95" customHeight="1" spans="1:18">
      <c r="A1037" s="7"/>
      <c r="B1037" s="12"/>
      <c r="C1037" s="17" t="s">
        <v>711</v>
      </c>
      <c r="D1037" s="17"/>
      <c r="E1037" s="17"/>
      <c r="F1037" s="23" t="str">
        <f>IFERROR(VLOOKUP(F1032,STUDENT!$A$2:$BP$101,9,0),"")</f>
        <v>SONI PARWEEN</v>
      </c>
      <c r="G1037" s="23"/>
      <c r="H1037" s="23"/>
      <c r="I1037" s="23"/>
      <c r="J1037" s="17" t="s">
        <v>620</v>
      </c>
      <c r="K1037" s="17"/>
      <c r="L1037" s="23" t="str">
        <f>IFERROR(VLOOKUP(F1032,STUDENT!$A$2:$BP$101,8,0),"")</f>
        <v>MD PARWEZ</v>
      </c>
      <c r="M1037" s="23"/>
      <c r="N1037" s="23"/>
      <c r="O1037" s="23"/>
      <c r="P1037" s="23"/>
      <c r="Q1037" s="19"/>
      <c r="R1037" s="11"/>
    </row>
    <row r="1038" s="1" customFormat="1" ht="21.95" customHeight="1" spans="1:18">
      <c r="A1038" s="7"/>
      <c r="B1038" s="12"/>
      <c r="C1038" s="17" t="s">
        <v>712</v>
      </c>
      <c r="D1038" s="17"/>
      <c r="E1038" s="17"/>
      <c r="F1038" s="23" t="str">
        <f>IFERROR(VLOOKUP(F1032,STUDENT!$A$2:$BP$101,22,0),"")</f>
        <v>A-53 LAXMI VIHAR PREM NAGAR-3</v>
      </c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19"/>
      <c r="R1038" s="11"/>
    </row>
    <row r="1039" s="1" customFormat="1" ht="9.95" customHeight="1" spans="1:18">
      <c r="A1039" s="7"/>
      <c r="B1039" s="12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19"/>
      <c r="R1039" s="11"/>
    </row>
    <row r="1040" s="1" customFormat="1" ht="9.95" customHeight="1" spans="1:18">
      <c r="A1040" s="7"/>
      <c r="B1040" s="12"/>
      <c r="C1040" s="30"/>
      <c r="D1040" s="31"/>
      <c r="E1040" s="31"/>
      <c r="F1040" s="31"/>
      <c r="G1040" s="31"/>
      <c r="H1040" s="31"/>
      <c r="I1040" s="31"/>
      <c r="J1040" s="31"/>
      <c r="K1040" s="31"/>
      <c r="L1040" s="31"/>
      <c r="M1040" s="31"/>
      <c r="N1040" s="31"/>
      <c r="O1040" s="31"/>
      <c r="P1040" s="32"/>
      <c r="Q1040" s="19"/>
      <c r="R1040" s="11"/>
    </row>
    <row r="1041" s="1" customFormat="1" ht="21.95" customHeight="1" spans="1:18">
      <c r="A1041" s="7"/>
      <c r="B1041" s="12"/>
      <c r="C1041" s="33"/>
      <c r="D1041" s="34" t="s">
        <v>713</v>
      </c>
      <c r="E1041" s="20" t="s">
        <v>714</v>
      </c>
      <c r="F1041" s="35" t="str">
        <f>"Level - "&amp;IFERROR(VLOOKUP(F1032,FLN!$A$4:$K$103,9,0),"")</f>
        <v>Level - 2</v>
      </c>
      <c r="G1041" s="36"/>
      <c r="H1041" s="37" t="s">
        <v>715</v>
      </c>
      <c r="I1041" s="20"/>
      <c r="J1041" s="35" t="str">
        <f>"Level - "&amp;IFERROR(VLOOKUP(F1032,FLN!$A$4:$K$103,11,0),"")</f>
        <v>Level - 3</v>
      </c>
      <c r="K1041" s="36"/>
      <c r="L1041" s="37" t="s">
        <v>408</v>
      </c>
      <c r="M1041" s="20"/>
      <c r="N1041" s="35" t="str">
        <f>"Level - "&amp;IFERROR(VLOOKUP(F1032,FLN!$A$4:$K$103,10,0),"")</f>
        <v>Level - 2</v>
      </c>
      <c r="O1041" s="36"/>
      <c r="P1041" s="19"/>
      <c r="Q1041" s="19"/>
      <c r="R1041" s="11"/>
    </row>
    <row r="1042" s="1" customFormat="1" ht="21.95" customHeight="1" spans="1:18">
      <c r="A1042" s="7"/>
      <c r="B1042" s="12"/>
      <c r="C1042" s="33"/>
      <c r="D1042" s="38"/>
      <c r="E1042" s="20" t="s">
        <v>716</v>
      </c>
      <c r="F1042" s="18" t="str">
        <f ca="1">IF(L1056&gt;197,"PERFORMED WELL","")</f>
        <v/>
      </c>
      <c r="G1042" s="18"/>
      <c r="H1042" s="18"/>
      <c r="I1042" s="18"/>
      <c r="J1042" s="18"/>
      <c r="K1042" s="18"/>
      <c r="L1042" s="18"/>
      <c r="M1042" s="18"/>
      <c r="N1042" s="18"/>
      <c r="O1042" s="18"/>
      <c r="P1042" s="19"/>
      <c r="Q1042" s="19"/>
      <c r="R1042" s="11"/>
    </row>
    <row r="1043" s="1" customFormat="1" ht="9.95" customHeight="1" spans="1:18">
      <c r="A1043" s="7"/>
      <c r="B1043" s="12"/>
      <c r="C1043" s="39"/>
      <c r="D1043" s="40"/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1"/>
      <c r="Q1043" s="19"/>
      <c r="R1043" s="11"/>
    </row>
    <row r="1044" s="1" customFormat="1" ht="9.95" customHeight="1" spans="1:18">
      <c r="A1044" s="7"/>
      <c r="B1044" s="12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19"/>
      <c r="R1044" s="11"/>
    </row>
    <row r="1045" s="1" customFormat="1" ht="9.95" customHeight="1" spans="1:18">
      <c r="A1045" s="7"/>
      <c r="B1045" s="12"/>
      <c r="C1045" s="30"/>
      <c r="D1045" s="31"/>
      <c r="E1045" s="31"/>
      <c r="F1045" s="31"/>
      <c r="G1045" s="31"/>
      <c r="H1045" s="31"/>
      <c r="I1045" s="31"/>
      <c r="J1045" s="31"/>
      <c r="K1045" s="31"/>
      <c r="L1045" s="31"/>
      <c r="M1045" s="31"/>
      <c r="N1045" s="31"/>
      <c r="O1045" s="31"/>
      <c r="P1045" s="32"/>
      <c r="Q1045" s="19"/>
      <c r="R1045" s="11"/>
    </row>
    <row r="1046" s="1" customFormat="1" ht="21.95" customHeight="1" spans="1:18">
      <c r="A1046" s="7"/>
      <c r="B1046" s="12"/>
      <c r="C1046" s="33"/>
      <c r="D1046" s="35"/>
      <c r="E1046" s="24"/>
      <c r="F1046" s="42" t="s">
        <v>717</v>
      </c>
      <c r="G1046" s="42"/>
      <c r="H1046" s="42"/>
      <c r="I1046" s="42"/>
      <c r="J1046" s="42"/>
      <c r="K1046" s="42"/>
      <c r="L1046" s="43"/>
      <c r="M1046" s="44"/>
      <c r="N1046" s="29"/>
      <c r="O1046" s="29"/>
      <c r="P1046" s="19"/>
      <c r="Q1046" s="19"/>
      <c r="R1046" s="11"/>
    </row>
    <row r="1047" s="1" customFormat="1" ht="21.95" customHeight="1" spans="1:18">
      <c r="A1047" s="7"/>
      <c r="B1047" s="12"/>
      <c r="C1047" s="33"/>
      <c r="D1047" s="45"/>
      <c r="E1047" s="46"/>
      <c r="F1047" s="47" t="s">
        <v>541</v>
      </c>
      <c r="G1047" s="47" t="s">
        <v>542</v>
      </c>
      <c r="H1047" s="47" t="s">
        <v>543</v>
      </c>
      <c r="I1047" s="47" t="s">
        <v>544</v>
      </c>
      <c r="J1047" s="47" t="s">
        <v>561</v>
      </c>
      <c r="K1047" s="48" t="s">
        <v>750</v>
      </c>
      <c r="L1047" s="47" t="s">
        <v>382</v>
      </c>
      <c r="M1047" s="49" t="s">
        <v>546</v>
      </c>
      <c r="N1047" s="29"/>
      <c r="O1047" s="29"/>
      <c r="P1047" s="19"/>
      <c r="Q1047" s="19"/>
      <c r="R1047" s="11"/>
    </row>
    <row r="1048" s="1" customFormat="1" ht="21.95" customHeight="1" spans="1:18">
      <c r="A1048" s="7"/>
      <c r="B1048" s="12"/>
      <c r="C1048" s="33"/>
      <c r="D1048" s="45" t="s">
        <v>652</v>
      </c>
      <c r="E1048" s="46"/>
      <c r="F1048" s="50">
        <v>10</v>
      </c>
      <c r="G1048" s="50">
        <v>10</v>
      </c>
      <c r="H1048" s="50">
        <v>10</v>
      </c>
      <c r="I1048" s="50">
        <v>10</v>
      </c>
      <c r="J1048" s="50">
        <v>60</v>
      </c>
      <c r="K1048" s="51"/>
      <c r="L1048" s="50">
        <v>100</v>
      </c>
      <c r="M1048" s="49"/>
      <c r="N1048" s="29"/>
      <c r="O1048" s="29"/>
      <c r="P1048" s="19"/>
      <c r="Q1048" s="19"/>
      <c r="R1048" s="11"/>
    </row>
    <row r="1049" s="1" customFormat="1" ht="21.95" customHeight="1" spans="1:18">
      <c r="A1049" s="7"/>
      <c r="B1049" s="12"/>
      <c r="C1049" s="33"/>
      <c r="D1049" s="52" t="s">
        <v>751</v>
      </c>
      <c r="E1049" s="53"/>
      <c r="F1049" s="54">
        <f ca="1">IFERROR(VLOOKUP(F1032,'RR-3.1-5TH'!$A$12:'RR-3.1-5TH'!$BN$111,9,0),"")</f>
        <v>1</v>
      </c>
      <c r="G1049" s="54">
        <f ca="1">IFERROR(VLOOKUP(F1032,'RR-3.1-5TH'!$A$12:'RR-3.1-5TH'!$BN$111,10,0),"")</f>
        <v>0</v>
      </c>
      <c r="H1049" s="54">
        <f ca="1">IFERROR(VLOOKUP(F1032,'RR-3.1-5TH'!$A$12:'RR-3.1-5TH'!$BN$111,11,0),"")</f>
        <v>0</v>
      </c>
      <c r="I1049" s="54">
        <f ca="1">IFERROR(VLOOKUP(F1032,'RR-3.1-5TH'!$A$12:'RR-3.1-5TH'!$BN$111,12,0),"")</f>
        <v>0</v>
      </c>
      <c r="J1049" s="54">
        <f ca="1">IFERROR(VLOOKUP(F1032,'RR-3.1-5TH'!$A$12:'RR-3.1-5TH'!$BN$111,13,0),"")</f>
        <v>51</v>
      </c>
      <c r="K1049" s="54">
        <f ca="1">IFERROR(VLOOKUP(F1032,'RR-3.1-5TH'!$A$12:'RR-3.1-5TH'!$BN$111,14,0),"")</f>
        <v>0</v>
      </c>
      <c r="L1049" s="55">
        <f ca="1" t="shared" ref="L1049:L1054" si="54">SUM(F1049,G1049,H1049,I1049,J1049,K1049)</f>
        <v>52</v>
      </c>
      <c r="M1049" s="56" t="str">
        <f ca="1">IF(F1032&gt;ENTRY!$D$24,"",IF(L1049=0,"Ab",IF(L1049&gt;80,"A",IF(L1049&gt;60,"B",IF(L1049&gt;44,"C",IF(L1049&gt;=33,"D",IF(L1049&lt;=32,"E","")))))))</f>
        <v>C</v>
      </c>
      <c r="N1049" s="57" t="s">
        <v>729</v>
      </c>
      <c r="O1049" s="58"/>
      <c r="P1049" s="59"/>
      <c r="Q1049" s="19"/>
      <c r="R1049" s="11"/>
    </row>
    <row r="1050" s="1" customFormat="1" ht="21.95" customHeight="1" spans="1:18">
      <c r="A1050" s="7"/>
      <c r="B1050" s="12"/>
      <c r="C1050" s="33"/>
      <c r="D1050" s="52" t="s">
        <v>513</v>
      </c>
      <c r="E1050" s="53"/>
      <c r="F1050" s="54">
        <f ca="1">IFERROR(VLOOKUP(F1032,'RR-3.1-5TH'!$A$12:'RR-3.1-5TH'!$BN$111,17,0),"")</f>
        <v>1</v>
      </c>
      <c r="G1050" s="54">
        <f ca="1">IFERROR(VLOOKUP(F1032,'RR-3.1-5TH'!$A$12:'RR-3.1-5TH'!$BN$111,18,0),"")</f>
        <v>0</v>
      </c>
      <c r="H1050" s="54">
        <f ca="1">IFERROR(VLOOKUP(F1032,'RR-3.1-5TH'!$A$12:'RR-3.1-5TH'!$BN$111,19,0),"")</f>
        <v>0</v>
      </c>
      <c r="I1050" s="54">
        <f ca="1">IFERROR(VLOOKUP(F1032,'RR-3.1-5TH'!$A$12:'RR-3.1-5TH'!$BN$111,20,0),"")</f>
        <v>0</v>
      </c>
      <c r="J1050" s="54">
        <f ca="1">IFERROR(VLOOKUP(F1032,'RR-3.1-5TH'!$A$12:'RR-3.1-5TH'!$BN$111,21,0),"")</f>
        <v>27</v>
      </c>
      <c r="K1050" s="54">
        <f ca="1">IFERROR(VLOOKUP(F1032,'RR-3.1-5TH'!$A$12:'RR-3.1-5TH'!$BN$111,22,0),"")</f>
        <v>0</v>
      </c>
      <c r="L1050" s="55">
        <f ca="1" t="shared" si="54"/>
        <v>28</v>
      </c>
      <c r="M1050" s="56" t="str">
        <f ca="1">IF(F1032&gt;ENTRY!$D$24,"",IF(L1050=0,"Ab",IF(L1050&gt;80,"A",IF(L1050&gt;60,"B",IF(L1050&gt;44,"C",IF(L1050&gt;=33,"D",IF(L1050&lt;=32,"E","")))))))</f>
        <v>E</v>
      </c>
      <c r="N1050" s="58"/>
      <c r="O1050" s="58"/>
      <c r="P1050" s="59"/>
      <c r="Q1050" s="19"/>
      <c r="R1050" s="11"/>
    </row>
    <row r="1051" s="1" customFormat="1" ht="21.95" customHeight="1" spans="1:18">
      <c r="A1051" s="7"/>
      <c r="B1051" s="12"/>
      <c r="C1051" s="33"/>
      <c r="D1051" s="52" t="s">
        <v>718</v>
      </c>
      <c r="E1051" s="53"/>
      <c r="F1051" s="54">
        <f ca="1">IFERROR(VLOOKUP(F1032,'RR-3.1-5TH'!$A$12:'RR-3.1-5TH'!$BN$111,25,0),"")</f>
        <v>1</v>
      </c>
      <c r="G1051" s="54">
        <f ca="1">IFERROR(VLOOKUP(F1032,'RR-3.1-5TH'!$A$12:'RR-3.1-5TH'!$BN$111,26,0),"")</f>
        <v>0</v>
      </c>
      <c r="H1051" s="54">
        <f ca="1">IFERROR(VLOOKUP(F1032,'RR-3.1-5TH'!$A$12:'RR-3.1-5TH'!$BN$111,27,0),"")</f>
        <v>0</v>
      </c>
      <c r="I1051" s="54">
        <f ca="1">IFERROR(VLOOKUP(F1032,'RR-3.1-5TH'!$A$12:'RR-3.1-5TH'!$BN$111,28,0),"")</f>
        <v>0</v>
      </c>
      <c r="J1051" s="54">
        <f ca="1">IFERROR(VLOOKUP(F1032,'RR-3.1-5TH'!$A$12:'RR-3.1-5TH'!$BN$111,29,0),"")</f>
        <v>22</v>
      </c>
      <c r="K1051" s="54">
        <f ca="1">IFERROR(VLOOKUP(F1032,'RR-3.1-5TH'!$A$12:'RR-3.1-5TH'!$BN$111,30,0),"")</f>
        <v>0</v>
      </c>
      <c r="L1051" s="55">
        <f ca="1" t="shared" si="54"/>
        <v>23</v>
      </c>
      <c r="M1051" s="56" t="str">
        <f ca="1">IF(F1032&gt;ENTRY!$D$24,"",IF(L1051=0,"Ab",IF(L1051&gt;80,"A",IF(L1051&gt;60,"B",IF(L1051&gt;44,"C",IF(L1051&gt;=33,"D",IF(L1051&lt;=32,"E","")))))))</f>
        <v>E</v>
      </c>
      <c r="N1051" s="29"/>
      <c r="O1051" s="29"/>
      <c r="P1051" s="19"/>
      <c r="Q1051" s="19"/>
      <c r="R1051" s="11"/>
    </row>
    <row r="1052" s="1" customFormat="1" ht="21.95" customHeight="1" spans="1:18">
      <c r="A1052" s="7"/>
      <c r="B1052" s="12"/>
      <c r="C1052" s="33"/>
      <c r="D1052" s="52" t="s">
        <v>719</v>
      </c>
      <c r="E1052" s="53"/>
      <c r="F1052" s="54">
        <f ca="1">IFERROR(VLOOKUP(F1032,'RR-3.1-5TH'!$A$12:'RR-3.1-5TH'!$BN$111,33,0),"")</f>
        <v>1</v>
      </c>
      <c r="G1052" s="54">
        <f ca="1">IFERROR(VLOOKUP(F1032,'RR-3.1-5TH'!$A$12:'RR-3.1-5TH'!$BN$111,34,0),"")</f>
        <v>0</v>
      </c>
      <c r="H1052" s="54">
        <f ca="1">IFERROR(VLOOKUP(F1032,'RR-3.1-5TH'!$A$12:'RR-3.1-5TH'!$BN$111,35,0),"")</f>
        <v>0</v>
      </c>
      <c r="I1052" s="54">
        <f ca="1">IFERROR(VLOOKUP(F1032,'RR-3.1-5TH'!$A$12:'RR-3.1-5TH'!$BN$111,36,0),"")</f>
        <v>0</v>
      </c>
      <c r="J1052" s="54">
        <f ca="1">IFERROR(VLOOKUP(F1032,'RR-3.1-5TH'!$A$12:'RR-3.1-5TH'!$BN$111,37,0),"")</f>
        <v>26</v>
      </c>
      <c r="K1052" s="54">
        <f ca="1">IFERROR(VLOOKUP(F1032,'RR-3.1-5TH'!$A$12:'RR-3.1-5TH'!$BN$111,38,0),"")</f>
        <v>0</v>
      </c>
      <c r="L1052" s="55">
        <f ca="1" t="shared" si="54"/>
        <v>27</v>
      </c>
      <c r="M1052" s="56" t="str">
        <f ca="1">IF(F1032&gt;ENTRY!$D$24,"",IF(L1052=0,"Ab",IF(L1052&gt;80,"A",IF(L1052&gt;60,"B",IF(L1052&gt;44,"C",IF(L1052&gt;=33,"D",IF(L1052&lt;=32,"E","")))))))</f>
        <v>E</v>
      </c>
      <c r="N1052" s="29"/>
      <c r="O1052" s="29"/>
      <c r="P1052" s="19"/>
      <c r="Q1052" s="19"/>
      <c r="R1052" s="11"/>
    </row>
    <row r="1053" s="1" customFormat="1" ht="21.95" customHeight="1" spans="1:18">
      <c r="A1053" s="7"/>
      <c r="B1053" s="12"/>
      <c r="C1053" s="33"/>
      <c r="D1053" s="52" t="s">
        <v>548</v>
      </c>
      <c r="E1053" s="53"/>
      <c r="F1053" s="54">
        <f ca="1">IFERROR(VLOOKUP(F1032,'RR-3.1-5TH'!$A$12:'RR-3.1-5TH'!$BN$111,41,0),"")</f>
        <v>0</v>
      </c>
      <c r="G1053" s="54">
        <f ca="1">IFERROR(VLOOKUP(F1032,'RR-3.1-5TH'!$A$12:'RR-3.1-5TH'!$BN$111,42,0),"")</f>
        <v>0</v>
      </c>
      <c r="H1053" s="54">
        <f ca="1">IFERROR(VLOOKUP(F1032,'RR-3.1-5TH'!$A$12:'RR-3.1-5TH'!$BN$111,43,0),"")</f>
        <v>0</v>
      </c>
      <c r="I1053" s="54">
        <f ca="1">IFERROR(VLOOKUP(F1032,'RR-3.1-5TH'!$A$12:'RR-3.1-5TH'!$BN$111,44,0),"")</f>
        <v>0</v>
      </c>
      <c r="J1053" s="54">
        <f ca="1">IFERROR(VLOOKUP(F1032,'RR-3.1-5TH'!$A$12:'RR-3.1-5TH'!$BN$111,45,0),"")</f>
        <v>25</v>
      </c>
      <c r="K1053" s="54">
        <f ca="1">IFERROR(VLOOKUP(F1032,'RR-3.1-5TH'!$A$12:'RR-3.1-5TH'!$BN$111,46,0),"")</f>
        <v>0</v>
      </c>
      <c r="L1053" s="55">
        <f ca="1" t="shared" si="54"/>
        <v>25</v>
      </c>
      <c r="M1053" s="56" t="str">
        <f ca="1">IF(F1032&gt;ENTRY!$D$24,"",IF(L1053=0,"Ab",IF(L1053&gt;80,"A",IF(L1053&gt;60,"B",IF(L1053&gt;44,"C",IF(L1053&gt;=33,"D",IF(L1053&lt;=32,"E","")))))))</f>
        <v>E</v>
      </c>
      <c r="N1053" s="29"/>
      <c r="O1053" s="29"/>
      <c r="P1053" s="19"/>
      <c r="Q1053" s="19"/>
      <c r="R1053" s="11"/>
    </row>
    <row r="1054" s="1" customFormat="1" ht="21.95" customHeight="1" spans="1:18">
      <c r="A1054" s="7"/>
      <c r="B1054" s="12"/>
      <c r="C1054" s="33"/>
      <c r="D1054" s="52" t="s">
        <v>549</v>
      </c>
      <c r="E1054" s="53"/>
      <c r="F1054" s="54">
        <f ca="1">IFERROR(VLOOKUP(F1032,'RR-3.1-5TH'!$A$12:'RR-3.1-5TH'!$BN$111,49,0),"")</f>
        <v>1</v>
      </c>
      <c r="G1054" s="54">
        <f ca="1">IFERROR(VLOOKUP(F1032,'RR-3.1-5TH'!$A$12:'RR-3.1-5TH'!$BN$111,50,0),"")</f>
        <v>0</v>
      </c>
      <c r="H1054" s="54">
        <f ca="1">IFERROR(VLOOKUP(F1032,'RR-3.1-5TH'!$A$12:'RR-3.1-5TH'!$BN$111,51,0),"")</f>
        <v>0</v>
      </c>
      <c r="I1054" s="54">
        <f ca="1">IFERROR(VLOOKUP(F1032,'RR-3.1-5TH'!$A$12:'RR-3.1-5TH'!$BN$111,52,0),"")</f>
        <v>0</v>
      </c>
      <c r="J1054" s="54">
        <f ca="1">IFERROR(VLOOKUP(F1032,'RR-3.1-5TH'!$A$12:'RR-3.1-5TH'!$BN$111,53,0),"")</f>
        <v>28</v>
      </c>
      <c r="K1054" s="54">
        <f ca="1">IFERROR(VLOOKUP(F1032,'RR-3.1-5TH'!$A$12:'RR-3.1-5TH'!$BN$111,54,0),"")</f>
        <v>0</v>
      </c>
      <c r="L1054" s="55">
        <f ca="1" t="shared" si="54"/>
        <v>29</v>
      </c>
      <c r="M1054" s="56" t="str">
        <f ca="1">IF(F1032&gt;ENTRY!$D$24,"",IF(L1054=0,"Ab",IF(L1054&gt;80,"A",IF(L1054&gt;60,"B",IF(L1054&gt;44,"C",IF(L1054&gt;=33,"D",IF(L1054&lt;=32,"E","")))))))</f>
        <v>E</v>
      </c>
      <c r="N1054" s="57" t="s">
        <v>752</v>
      </c>
      <c r="O1054" s="58"/>
      <c r="P1054" s="59"/>
      <c r="Q1054" s="19"/>
      <c r="R1054" s="11"/>
    </row>
    <row r="1055" s="1" customFormat="1" ht="21.95" customHeight="1" spans="1:18">
      <c r="A1055" s="7"/>
      <c r="B1055" s="12"/>
      <c r="C1055" s="33"/>
      <c r="D1055" s="52" t="s">
        <v>753</v>
      </c>
      <c r="E1055" s="53"/>
      <c r="F1055" s="60"/>
      <c r="G1055" s="54"/>
      <c r="H1055" s="54"/>
      <c r="I1055" s="54"/>
      <c r="J1055" s="54"/>
      <c r="K1055" s="54"/>
      <c r="L1055" s="55">
        <f t="shared" ref="L1055" si="55">SUM(G1055:K1055)</f>
        <v>0</v>
      </c>
      <c r="M1055" s="56" t="str">
        <f>IF(F1032&gt;ENTRY!$D$24,"",IF(L1055=0,"",IF(L1055&gt;79,"A",IF(L1055&gt;59,"B",IF(L1055&gt;44,"C",IF(L1055&gt;=33,"D",IF(L1055&lt;=32,"E","")))))))</f>
        <v/>
      </c>
      <c r="N1055" s="58"/>
      <c r="O1055" s="58"/>
      <c r="P1055" s="59"/>
      <c r="Q1055" s="19"/>
      <c r="R1055" s="11"/>
    </row>
    <row r="1056" s="1" customFormat="1" ht="21.95" customHeight="1" spans="1:18">
      <c r="A1056" s="7"/>
      <c r="B1056" s="12"/>
      <c r="C1056" s="33"/>
      <c r="D1056" s="45" t="s">
        <v>382</v>
      </c>
      <c r="E1056" s="46"/>
      <c r="F1056" s="54">
        <f ca="1" t="shared" ref="F1056:L1056" si="56">IFERROR(SUM(F1049:F1055),"")</f>
        <v>5</v>
      </c>
      <c r="G1056" s="54">
        <f ca="1" t="shared" si="56"/>
        <v>0</v>
      </c>
      <c r="H1056" s="54">
        <f ca="1" t="shared" si="56"/>
        <v>0</v>
      </c>
      <c r="I1056" s="54">
        <f ca="1" t="shared" si="56"/>
        <v>0</v>
      </c>
      <c r="J1056" s="54">
        <f ca="1" t="shared" si="56"/>
        <v>179</v>
      </c>
      <c r="K1056" s="54">
        <f ca="1" t="shared" si="56"/>
        <v>0</v>
      </c>
      <c r="L1056" s="55">
        <f ca="1" t="shared" si="56"/>
        <v>184</v>
      </c>
      <c r="M1056" s="61" t="str">
        <f ca="1">IF(F1032&gt;ENTRY!$D$24,"",IF(N1057="Ab","Ab",IF(N1057&gt;79.5,"A",IF(N1057&gt;59.5,"B",IF(N1057&gt;44.5,"C",IF(N1057&gt;=33,"D",IF(N1057&lt;33,"E","")))))))</f>
        <v>E</v>
      </c>
      <c r="N1056" s="62"/>
      <c r="O1056" s="58"/>
      <c r="P1056" s="59"/>
      <c r="Q1056" s="19"/>
      <c r="R1056" s="11"/>
    </row>
    <row r="1057" s="1" customFormat="1" ht="21.95" customHeight="1" spans="1:19">
      <c r="A1057" s="7"/>
      <c r="B1057" s="12"/>
      <c r="C1057" s="33"/>
      <c r="D1057" s="63" t="s">
        <v>721</v>
      </c>
      <c r="E1057" s="63"/>
      <c r="F1057" s="63"/>
      <c r="G1057" s="63"/>
      <c r="H1057" s="63"/>
      <c r="I1057" s="63"/>
      <c r="J1057" s="63"/>
      <c r="K1057" s="63"/>
      <c r="L1057" s="63"/>
      <c r="M1057" s="63"/>
      <c r="N1057" s="64">
        <f ca="1">IF(L1056="Ab","Ab",L1056/6)</f>
        <v>30.6666666666667</v>
      </c>
      <c r="O1057" s="65"/>
      <c r="P1057" s="19"/>
      <c r="Q1057" s="19"/>
      <c r="R1057" s="11"/>
    </row>
    <row r="1058" s="1" customFormat="1" ht="21.95" customHeight="1" spans="1:19">
      <c r="A1058" s="7"/>
      <c r="B1058" s="12"/>
      <c r="C1058" s="33"/>
      <c r="D1058" s="29" t="s">
        <v>716</v>
      </c>
      <c r="E1058" s="18" t="str">
        <f>IFERROR(VLOOKUP(F1032,'1to4-2.1-RR'!$A$12:$BG$111,57,0),"")</f>
        <v>SECOND</v>
      </c>
      <c r="F1058" s="18"/>
      <c r="G1058" s="18"/>
      <c r="H1058" s="18"/>
      <c r="I1058" s="18"/>
      <c r="J1058" s="18"/>
      <c r="K1058" s="18"/>
      <c r="L1058" s="18"/>
      <c r="M1058" s="18"/>
      <c r="N1058" s="29"/>
      <c r="O1058" s="29"/>
      <c r="P1058" s="19"/>
      <c r="Q1058" s="19"/>
      <c r="R1058" s="11"/>
    </row>
    <row r="1059" s="1" customFormat="1" ht="9.95" customHeight="1" spans="1:19">
      <c r="A1059" s="7"/>
      <c r="B1059" s="12"/>
      <c r="C1059" s="33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19"/>
      <c r="Q1059" s="19"/>
      <c r="R1059" s="11"/>
    </row>
    <row r="1060" s="1" customFormat="1" ht="36" spans="1:19">
      <c r="A1060" s="7"/>
      <c r="B1060" s="12"/>
      <c r="C1060" s="33"/>
      <c r="D1060" s="66" t="s">
        <v>576</v>
      </c>
      <c r="E1060" s="67" t="s">
        <v>754</v>
      </c>
      <c r="F1060" s="47">
        <f>IF(F1032&gt;ENTRY!$D$24,"",IFERROR(VLOOKUP(F1032,PASHEET!$A$4:$CJ$103,88,0),""))</f>
        <v>0</v>
      </c>
      <c r="G1060" s="67" t="s">
        <v>755</v>
      </c>
      <c r="H1060" s="47">
        <f>IF(F1032&gt;ENTRY!$D$24,"",IFERROR(VLOOKUP(F1032,PASHEET!$A$4:$CJ$103,87,0),""))</f>
        <v>0</v>
      </c>
      <c r="I1060" s="68" t="s">
        <v>756</v>
      </c>
      <c r="J1060" s="69" t="str">
        <f>IF(F1032&gt;ENTRY!$D$24,"",IFERROR(IF(F1032&gt;0,H1060/F1060*100),""))</f>
        <v/>
      </c>
      <c r="K1060" s="60" t="s">
        <v>757</v>
      </c>
      <c r="L1060" s="70">
        <f ca="1">IF(F1032&gt;ENTRY!$D$24,"",IFERROR(L1056/600*100,""))</f>
        <v>30.6666666666667</v>
      </c>
      <c r="M1060" s="47" t="str">
        <f ca="1">IF(F1032&gt;ENTRY!$D$24,"",IFERROR(L1056&amp;" / "&amp;"600",""))</f>
        <v>184 / 600</v>
      </c>
      <c r="N1060" s="29"/>
      <c r="O1060" s="29"/>
      <c r="P1060" s="19"/>
      <c r="Q1060" s="19"/>
      <c r="R1060" s="11"/>
    </row>
    <row r="1061" s="1" customFormat="1" ht="9.95" customHeight="1" spans="1:19">
      <c r="A1061" s="7"/>
      <c r="B1061" s="12"/>
      <c r="C1061" s="39"/>
      <c r="D1061" s="40"/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1"/>
      <c r="Q1061" s="19"/>
      <c r="R1061" s="11"/>
    </row>
    <row r="1062" s="1" customFormat="1" ht="9.95" customHeight="1" spans="1:19">
      <c r="A1062" s="7"/>
      <c r="B1062" s="12"/>
      <c r="C1062" s="71"/>
      <c r="D1062" s="71"/>
      <c r="E1062" s="71"/>
      <c r="F1062" s="29"/>
      <c r="G1062" s="71"/>
      <c r="H1062" s="71"/>
      <c r="I1062" s="71"/>
      <c r="J1062" s="71"/>
      <c r="K1062" s="71"/>
      <c r="L1062" s="71"/>
      <c r="M1062" s="71"/>
      <c r="N1062" s="71"/>
      <c r="O1062" s="71"/>
      <c r="P1062" s="71"/>
      <c r="Q1062" s="19"/>
      <c r="R1062" s="11"/>
    </row>
    <row r="1063" s="1" customFormat="1" ht="9.95" customHeight="1" spans="1:19">
      <c r="A1063" s="7"/>
      <c r="B1063" s="12"/>
      <c r="C1063" s="29"/>
      <c r="D1063" s="29"/>
      <c r="E1063" s="29"/>
      <c r="F1063" s="72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19"/>
      <c r="R1063" s="11"/>
    </row>
    <row r="1064" s="1" customFormat="1" ht="9.95" customHeight="1" spans="1:19">
      <c r="A1064" s="7"/>
      <c r="B1064" s="12"/>
      <c r="C1064" s="30"/>
      <c r="D1064" s="31"/>
      <c r="E1064" s="31"/>
      <c r="F1064" s="31"/>
      <c r="G1064" s="31"/>
      <c r="H1064" s="31"/>
      <c r="I1064" s="31"/>
      <c r="J1064" s="31"/>
      <c r="K1064" s="31"/>
      <c r="L1064" s="31"/>
      <c r="M1064" s="31"/>
      <c r="N1064" s="31"/>
      <c r="O1064" s="31"/>
      <c r="P1064" s="32"/>
      <c r="Q1064" s="19"/>
      <c r="R1064" s="11"/>
    </row>
    <row r="1065" s="1" customFormat="1" ht="21.95" customHeight="1" spans="1:19">
      <c r="A1065" s="7"/>
      <c r="B1065" s="12"/>
      <c r="C1065" s="73" t="s">
        <v>7</v>
      </c>
      <c r="D1065" s="13"/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74"/>
      <c r="Q1065" s="19"/>
      <c r="R1065" s="11"/>
      <c r="S1065" s="2"/>
    </row>
    <row r="1066" s="1" customFormat="1" ht="21.95" customHeight="1" spans="1:19">
      <c r="A1066" s="7"/>
      <c r="B1066" s="12"/>
      <c r="C1066" s="33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19"/>
      <c r="Q1066" s="19"/>
      <c r="R1066" s="11"/>
    </row>
    <row r="1067" s="1" customFormat="1" ht="21.95" customHeight="1" spans="1:19">
      <c r="A1067" s="7"/>
      <c r="B1067" s="12"/>
      <c r="C1067" s="75" t="str">
        <f>"SESSION-"&amp;ENTRY!$D$11</f>
        <v>SESSION-2026-27</v>
      </c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76"/>
      <c r="Q1067" s="19"/>
      <c r="R1067" s="11"/>
    </row>
    <row r="1068" s="1" customFormat="1" ht="18" customHeight="1" spans="1:19">
      <c r="A1068" s="7"/>
      <c r="B1068" s="12"/>
      <c r="C1068" s="33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19"/>
      <c r="Q1068" s="19"/>
      <c r="R1068" s="11"/>
    </row>
    <row r="1069" s="1" customFormat="1" ht="21.95" customHeight="1" spans="1:19">
      <c r="A1069" s="7"/>
      <c r="B1069" s="12"/>
      <c r="C1069" s="33"/>
      <c r="D1069" s="77" t="s">
        <v>758</v>
      </c>
      <c r="E1069" s="77"/>
      <c r="F1069" s="78" t="str">
        <f>IFERROR(PROPER(VLOOKUP(F1032,STUDENT!$A$2:$BP$101,5,0)),"")</f>
        <v>Hanam Ayubi</v>
      </c>
      <c r="G1069" s="78"/>
      <c r="H1069" s="78"/>
      <c r="I1069" s="78"/>
      <c r="J1069" s="78"/>
      <c r="K1069" s="78"/>
      <c r="L1069" s="78"/>
      <c r="M1069" s="78"/>
      <c r="N1069" s="79" t="s">
        <v>759</v>
      </c>
      <c r="O1069" s="79"/>
      <c r="P1069" s="19"/>
      <c r="Q1069" s="19"/>
      <c r="R1069" s="11"/>
    </row>
    <row r="1070" s="1" customFormat="1" ht="21.95" customHeight="1" spans="1:19">
      <c r="A1070" s="7"/>
      <c r="B1070" s="12"/>
      <c r="C1070" s="33"/>
      <c r="D1070" s="80" t="s">
        <v>760</v>
      </c>
      <c r="E1070" s="81" t="str">
        <f>IFERROR(PROPER(VLOOKUP(F1032,STUDENT!$A$2:$BP$101,9,0)),"")</f>
        <v>Soni Parween</v>
      </c>
      <c r="F1070" s="81"/>
      <c r="G1070" s="81"/>
      <c r="H1070" s="80" t="s">
        <v>761</v>
      </c>
      <c r="I1070" s="82" t="str">
        <f>IFERROR(PROPER(VLOOKUP(F1032,STUDENT!$A$2:$BP$101,8,0)),"")</f>
        <v>Md Parwez</v>
      </c>
      <c r="J1070" s="82"/>
      <c r="K1070" s="82"/>
      <c r="L1070" s="82"/>
      <c r="M1070" s="80" t="s">
        <v>762</v>
      </c>
      <c r="N1070" s="83" t="str">
        <f>IFERROR(VLOOKUP(F1032,STUDENT!$A$2:$BP$101,59,0),"")</f>
        <v/>
      </c>
      <c r="O1070" s="83"/>
      <c r="P1070" s="19"/>
      <c r="Q1070" s="19"/>
      <c r="R1070" s="11"/>
    </row>
    <row r="1071" s="1" customFormat="1" ht="21.95" customHeight="1" spans="1:19">
      <c r="A1071" s="7"/>
      <c r="B1071" s="12"/>
      <c r="C1071" s="33"/>
      <c r="D1071" s="77" t="str">
        <f>"has    completed     his  /  her     primary     level     education    in    the    year    "&amp;RIGHT(ENTRY!$D1037,4)&amp;"    from    ( School    Name )"</f>
        <v>has    completed     his  /  her     primary     level     education    in    the    year        from    ( School    Name )</v>
      </c>
      <c r="E1071" s="77"/>
      <c r="F1071" s="77"/>
      <c r="G1071" s="77"/>
      <c r="H1071" s="77"/>
      <c r="I1071" s="77"/>
      <c r="J1071" s="77"/>
      <c r="K1071" s="77"/>
      <c r="L1071" s="77"/>
      <c r="M1071" s="77"/>
      <c r="N1071" s="77"/>
      <c r="O1071" s="77"/>
      <c r="P1071" s="19"/>
      <c r="Q1071" s="19"/>
      <c r="R1071" s="11"/>
    </row>
    <row r="1072" s="1" customFormat="1" ht="21.95" customHeight="1" spans="1:19">
      <c r="A1072" s="7"/>
      <c r="B1072" s="12"/>
      <c r="C1072" s="33"/>
      <c r="D1072" s="81" t="str">
        <f>IF(F1032&gt;0,ENTRY!$D$6,"")</f>
        <v>MCP NITHARI NO 1 BOYS</v>
      </c>
      <c r="E1072" s="81"/>
      <c r="F1072" s="81"/>
      <c r="G1072" s="81"/>
      <c r="H1072" s="81"/>
      <c r="I1072" s="81"/>
      <c r="J1072" s="81"/>
      <c r="K1072" s="81"/>
      <c r="L1072" s="81"/>
      <c r="M1072" s="80" t="s">
        <v>763</v>
      </c>
      <c r="N1072" s="84">
        <f>IF(F1032&gt;0,ENTRY!$D$7,"")</f>
        <v>0</v>
      </c>
      <c r="O1072" s="84"/>
      <c r="P1072" s="85" t="s">
        <v>727</v>
      </c>
      <c r="Q1072" s="19"/>
      <c r="R1072" s="11"/>
    </row>
    <row r="1073" s="1" customFormat="1" ht="21.95" customHeight="1" spans="1:18">
      <c r="A1073" s="7"/>
      <c r="B1073" s="12"/>
      <c r="C1073" s="33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19"/>
      <c r="Q1073" s="19"/>
      <c r="R1073" s="11"/>
    </row>
    <row r="1074" s="1" customFormat="1" ht="21.95" customHeight="1" spans="1:18">
      <c r="A1074" s="7"/>
      <c r="B1074" s="12"/>
      <c r="C1074" s="33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19"/>
      <c r="Q1074" s="19"/>
      <c r="R1074" s="11"/>
    </row>
    <row r="1075" s="1" customFormat="1" ht="21.95" customHeight="1" spans="1:18">
      <c r="A1075" s="7"/>
      <c r="B1075" s="12"/>
      <c r="C1075" s="33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19"/>
      <c r="Q1075" s="19"/>
      <c r="R1075" s="11"/>
    </row>
    <row r="1076" s="1" customFormat="1" ht="21.95" customHeight="1" spans="1:18">
      <c r="A1076" s="7"/>
      <c r="B1076" s="12"/>
      <c r="C1076" s="33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19"/>
      <c r="Q1076" s="19"/>
      <c r="R1076" s="11"/>
    </row>
    <row r="1077" s="1" customFormat="1" ht="21.95" customHeight="1" spans="1:18">
      <c r="A1077" s="7"/>
      <c r="B1077" s="12"/>
      <c r="C1077" s="33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19"/>
      <c r="Q1077" s="19"/>
      <c r="R1077" s="11"/>
    </row>
    <row r="1078" s="1" customFormat="1" ht="21.95" customHeight="1" spans="1:18">
      <c r="A1078" s="7"/>
      <c r="B1078" s="12"/>
      <c r="C1078" s="33"/>
      <c r="D1078" s="80" t="s">
        <v>728</v>
      </c>
      <c r="E1078" s="86">
        <f>ENTRY!$D$27</f>
        <v>46102</v>
      </c>
      <c r="F1078" s="86"/>
      <c r="G1078" s="29"/>
      <c r="H1078" s="29"/>
      <c r="I1078" s="29"/>
      <c r="J1078" s="29"/>
      <c r="K1078" s="29"/>
      <c r="L1078" s="29"/>
      <c r="M1078" s="87" t="s">
        <v>730</v>
      </c>
      <c r="N1078" s="87"/>
      <c r="O1078" s="87"/>
      <c r="P1078" s="19"/>
      <c r="Q1078" s="19"/>
      <c r="R1078" s="11"/>
    </row>
    <row r="1079" s="1" customFormat="1" ht="21.95" customHeight="1" spans="1:18">
      <c r="A1079" s="7"/>
      <c r="B1079" s="12"/>
      <c r="C1079" s="33"/>
      <c r="D1079" s="80" t="s">
        <v>731</v>
      </c>
      <c r="E1079" s="88" t="str">
        <f>PROPER(ENTRY!$D$28)</f>
        <v>New Delhi</v>
      </c>
      <c r="F1079" s="88"/>
      <c r="G1079" s="29"/>
      <c r="H1079" s="29"/>
      <c r="I1079" s="29"/>
      <c r="J1079" s="29"/>
      <c r="K1079" s="29"/>
      <c r="L1079" s="29"/>
      <c r="M1079" s="89" t="s">
        <v>732</v>
      </c>
      <c r="N1079" s="89"/>
      <c r="O1079" s="89"/>
      <c r="P1079" s="19"/>
      <c r="Q1079" s="19"/>
      <c r="R1079" s="11"/>
    </row>
    <row r="1080" s="1" customFormat="1" ht="21.95" customHeight="1" spans="1:18">
      <c r="A1080" s="7"/>
      <c r="B1080" s="12"/>
      <c r="C1080" s="90"/>
      <c r="D1080" s="91"/>
      <c r="E1080" s="91"/>
      <c r="F1080" s="91"/>
      <c r="G1080" s="91"/>
      <c r="H1080" s="91"/>
      <c r="I1080" s="91"/>
      <c r="J1080" s="91"/>
      <c r="K1080" s="91"/>
      <c r="L1080" s="91"/>
      <c r="M1080" s="91"/>
      <c r="N1080" s="91"/>
      <c r="O1080" s="91"/>
      <c r="P1080" s="92"/>
      <c r="Q1080" s="14"/>
      <c r="R1080" s="11"/>
    </row>
    <row r="1081" s="1" customFormat="1" ht="5.1" customHeight="1" spans="1:18">
      <c r="A1081" s="7"/>
      <c r="B1081" s="90"/>
      <c r="C1081" s="91"/>
      <c r="D1081" s="91"/>
      <c r="E1081" s="91"/>
      <c r="F1081" s="91"/>
      <c r="G1081" s="91"/>
      <c r="H1081" s="91"/>
      <c r="I1081" s="91"/>
      <c r="J1081" s="91"/>
      <c r="K1081" s="91"/>
      <c r="L1081" s="91"/>
      <c r="M1081" s="91"/>
      <c r="N1081" s="91"/>
      <c r="O1081" s="91"/>
      <c r="P1081" s="91"/>
      <c r="Q1081" s="92"/>
      <c r="R1081" s="11"/>
    </row>
    <row r="1082" s="1" customFormat="1" ht="5.1" customHeight="1" spans="1:18">
      <c r="A1082" s="93"/>
      <c r="B1082" s="94"/>
      <c r="C1082" s="94"/>
      <c r="D1082" s="94"/>
      <c r="E1082" s="94"/>
      <c r="F1082" s="94"/>
      <c r="G1082" s="94"/>
      <c r="H1082" s="94"/>
      <c r="I1082" s="94"/>
      <c r="J1082" s="94"/>
      <c r="K1082" s="94"/>
      <c r="L1082" s="94"/>
      <c r="M1082" s="94"/>
      <c r="N1082" s="94"/>
      <c r="O1082" s="94"/>
      <c r="P1082" s="94"/>
      <c r="Q1082" s="94"/>
      <c r="R1082" s="95"/>
    </row>
    <row r="1083" s="2" customFormat="1" ht="9.95" customHeight="1"/>
    <row r="1084" s="1" customFormat="1" ht="5.1" customHeight="1" spans="1:18">
      <c r="A1084" s="4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6"/>
    </row>
    <row r="1085" s="1" customFormat="1" ht="15" customHeight="1" spans="1:18">
      <c r="A1085" s="7"/>
      <c r="B1085" s="8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9"/>
      <c r="O1085" s="9"/>
      <c r="P1085" s="9"/>
      <c r="Q1085" s="10"/>
      <c r="R1085" s="11"/>
    </row>
    <row r="1086" s="1" customFormat="1" ht="21.95" customHeight="1" spans="1:18">
      <c r="A1086" s="7"/>
      <c r="B1086" s="12"/>
      <c r="C1086" s="13" t="s">
        <v>7</v>
      </c>
      <c r="D1086" s="13"/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/>
      <c r="Q1086" s="14"/>
      <c r="R1086" s="11"/>
    </row>
    <row r="1087" s="1" customFormat="1" ht="21.95" customHeight="1" spans="1:18">
      <c r="A1087" s="7"/>
      <c r="B1087" s="1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14"/>
      <c r="R1087" s="11"/>
    </row>
    <row r="1088" s="1" customFormat="1" ht="21.95" customHeight="1" spans="1:18">
      <c r="A1088" s="7"/>
      <c r="B1088" s="12"/>
      <c r="C1088" s="15" t="str">
        <f>"SESSION-"&amp;ENTRY!$D$11</f>
        <v>SESSION-2026-27</v>
      </c>
      <c r="D1088" s="15"/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4"/>
      <c r="R1088" s="11"/>
    </row>
    <row r="1089" s="1" customFormat="1" ht="21.95" customHeight="1" spans="1:18">
      <c r="A1089" s="7"/>
      <c r="B1089" s="12"/>
      <c r="C1089" s="2"/>
      <c r="D1089" s="2"/>
      <c r="E1089" s="2"/>
      <c r="F1089" s="16">
        <f>F1032+1</f>
        <v>20</v>
      </c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14"/>
      <c r="R1089" s="11"/>
    </row>
    <row r="1090" s="1" customFormat="1" ht="21.95" customHeight="1" spans="1:18">
      <c r="A1090" s="7"/>
      <c r="B1090" s="12"/>
      <c r="C1090" s="17" t="s">
        <v>392</v>
      </c>
      <c r="D1090" s="17"/>
      <c r="E1090" s="17"/>
      <c r="F1090" s="18" t="str">
        <f>IF(F1089&gt;0,ENTRY!$D$6,"")</f>
        <v>MCP NITHARI NO 1 BOYS</v>
      </c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9"/>
      <c r="R1090" s="11"/>
    </row>
    <row r="1091" s="1" customFormat="1" ht="21.95" customHeight="1" spans="1:18">
      <c r="A1091" s="7"/>
      <c r="B1091" s="12"/>
      <c r="C1091" s="17" t="s">
        <v>393</v>
      </c>
      <c r="D1091" s="17"/>
      <c r="E1091" s="17"/>
      <c r="F1091" s="18">
        <f>IF(F1089&gt;0,ENTRY!$D$7,"")</f>
        <v>0</v>
      </c>
      <c r="G1091" s="18"/>
      <c r="H1091" s="20" t="s">
        <v>702</v>
      </c>
      <c r="I1091" s="20"/>
      <c r="J1091" s="21">
        <f>IF(F1089&gt;0,ENTRY!$D$10,"")</f>
        <v>40</v>
      </c>
      <c r="K1091" s="20" t="s">
        <v>703</v>
      </c>
      <c r="L1091" s="22" t="str">
        <f>IF(F1089&gt;0,ENTRY!$D$5,"")</f>
        <v>ROHINI ZONE</v>
      </c>
      <c r="M1091" s="22"/>
      <c r="N1091" s="22"/>
      <c r="O1091" s="22"/>
      <c r="P1091" s="22"/>
      <c r="Q1091" s="19"/>
      <c r="R1091" s="11"/>
    </row>
    <row r="1092" s="1" customFormat="1" ht="21.95" customHeight="1" spans="1:18">
      <c r="A1092" s="7"/>
      <c r="B1092" s="12"/>
      <c r="C1092" s="17" t="s">
        <v>706</v>
      </c>
      <c r="D1092" s="17"/>
      <c r="E1092" s="17"/>
      <c r="F1092" s="23" t="str">
        <f>IFERROR(VLOOKUP(F1089,STUDENT!$A$2:$BP$101,5,0),"")</f>
        <v>ANKUR</v>
      </c>
      <c r="G1092" s="23"/>
      <c r="H1092" s="23"/>
      <c r="I1092" s="23"/>
      <c r="J1092" s="23"/>
      <c r="K1092" s="23"/>
      <c r="L1092" s="20" t="s">
        <v>707</v>
      </c>
      <c r="M1092" s="20"/>
      <c r="N1092" s="24" t="str">
        <f>IF(F1089&gt;0,ENTRY!$D$20&amp;"-"&amp;ENTRY!$D$21,"")</f>
        <v>III-A</v>
      </c>
      <c r="O1092" s="24"/>
      <c r="P1092" s="24"/>
      <c r="Q1092" s="19"/>
      <c r="R1092" s="11"/>
    </row>
    <row r="1093" s="1" customFormat="1" ht="21.95" customHeight="1" spans="1:18">
      <c r="A1093" s="7"/>
      <c r="B1093" s="12"/>
      <c r="C1093" s="17" t="s">
        <v>708</v>
      </c>
      <c r="D1093" s="17"/>
      <c r="E1093" s="17"/>
      <c r="F1093" s="25">
        <f>IFERROR(VLOOKUP(F1089,STUDENT!$A$2:$BP$101,6,0),"")</f>
        <v>14768</v>
      </c>
      <c r="G1093" s="25"/>
      <c r="H1093" s="26" t="s">
        <v>709</v>
      </c>
      <c r="I1093" s="27" t="str">
        <f>IFERROR(VLOOKUP(F1089,STUDENT!$A$2:$BP$101,59,0),"")</f>
        <v/>
      </c>
      <c r="J1093" s="27"/>
      <c r="K1093" s="20" t="s">
        <v>710</v>
      </c>
      <c r="L1093" s="20"/>
      <c r="M1093" s="28">
        <f>IFERROR(VLOOKUP(F1089,STUDENT!$A$2:$BP$101,20,0),"")</f>
        <v>9582382944</v>
      </c>
      <c r="N1093" s="28"/>
      <c r="O1093" s="28"/>
      <c r="P1093" s="28"/>
      <c r="Q1093" s="19"/>
      <c r="R1093" s="11"/>
    </row>
    <row r="1094" s="1" customFormat="1" ht="21.95" customHeight="1" spans="1:18">
      <c r="A1094" s="7"/>
      <c r="B1094" s="12"/>
      <c r="C1094" s="17" t="s">
        <v>711</v>
      </c>
      <c r="D1094" s="17"/>
      <c r="E1094" s="17"/>
      <c r="F1094" s="23" t="str">
        <f>IFERROR(VLOOKUP(F1089,STUDENT!$A$2:$BP$101,9,0),"")</f>
        <v>ANITA DEVI</v>
      </c>
      <c r="G1094" s="23"/>
      <c r="H1094" s="23"/>
      <c r="I1094" s="23"/>
      <c r="J1094" s="17" t="s">
        <v>620</v>
      </c>
      <c r="K1094" s="17"/>
      <c r="L1094" s="23" t="str">
        <f>IFERROR(VLOOKUP(F1089,STUDENT!$A$2:$BP$101,8,0),"")</f>
        <v>ASHOK KUMAR GUPTA</v>
      </c>
      <c r="M1094" s="23"/>
      <c r="N1094" s="23"/>
      <c r="O1094" s="23"/>
      <c r="P1094" s="23"/>
      <c r="Q1094" s="19"/>
      <c r="R1094" s="11"/>
    </row>
    <row r="1095" s="1" customFormat="1" ht="21.95" customHeight="1" spans="1:18">
      <c r="A1095" s="7"/>
      <c r="B1095" s="12"/>
      <c r="C1095" s="17" t="s">
        <v>712</v>
      </c>
      <c r="D1095" s="17"/>
      <c r="E1095" s="17"/>
      <c r="F1095" s="23" t="str">
        <f>IFERROR(VLOOKUP(F1089,STUDENT!$A$2:$BP$101,22,0),"")</f>
        <v>209, GALI NO-7 BLOCK D-1 LAXMI NAGAR PREM NAGAR -3 KIRARI</v>
      </c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19"/>
      <c r="R1095" s="11"/>
    </row>
    <row r="1096" s="1" customFormat="1" ht="9.95" customHeight="1" spans="1:18">
      <c r="A1096" s="7"/>
      <c r="B1096" s="12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19"/>
      <c r="R1096" s="11"/>
    </row>
    <row r="1097" s="1" customFormat="1" ht="9.95" customHeight="1" spans="1:18">
      <c r="A1097" s="7"/>
      <c r="B1097" s="12"/>
      <c r="C1097" s="30"/>
      <c r="D1097" s="31"/>
      <c r="E1097" s="31"/>
      <c r="F1097" s="31"/>
      <c r="G1097" s="31"/>
      <c r="H1097" s="31"/>
      <c r="I1097" s="31"/>
      <c r="J1097" s="31"/>
      <c r="K1097" s="31"/>
      <c r="L1097" s="31"/>
      <c r="M1097" s="31"/>
      <c r="N1097" s="31"/>
      <c r="O1097" s="31"/>
      <c r="P1097" s="32"/>
      <c r="Q1097" s="19"/>
      <c r="R1097" s="11"/>
    </row>
    <row r="1098" s="1" customFormat="1" ht="21.95" customHeight="1" spans="1:18">
      <c r="A1098" s="7"/>
      <c r="B1098" s="12"/>
      <c r="C1098" s="33"/>
      <c r="D1098" s="34" t="s">
        <v>713</v>
      </c>
      <c r="E1098" s="20" t="s">
        <v>714</v>
      </c>
      <c r="F1098" s="35" t="str">
        <f>"Level - "&amp;IFERROR(VLOOKUP(F1089,FLN!$A$4:$K$103,9,0),"")</f>
        <v>Level - 2</v>
      </c>
      <c r="G1098" s="36"/>
      <c r="H1098" s="37" t="s">
        <v>715</v>
      </c>
      <c r="I1098" s="20"/>
      <c r="J1098" s="35" t="str">
        <f>"Level - "&amp;IFERROR(VLOOKUP(F1089,FLN!$A$4:$K$103,11,0),"")</f>
        <v>Level - 3</v>
      </c>
      <c r="K1098" s="36"/>
      <c r="L1098" s="37" t="s">
        <v>408</v>
      </c>
      <c r="M1098" s="20"/>
      <c r="N1098" s="35" t="str">
        <f>"Level - "&amp;IFERROR(VLOOKUP(F1089,FLN!$A$4:$K$103,10,0),"")</f>
        <v>Level - 2</v>
      </c>
      <c r="O1098" s="36"/>
      <c r="P1098" s="19"/>
      <c r="Q1098" s="19"/>
      <c r="R1098" s="11"/>
    </row>
    <row r="1099" s="1" customFormat="1" ht="21.95" customHeight="1" spans="1:18">
      <c r="A1099" s="7"/>
      <c r="B1099" s="12"/>
      <c r="C1099" s="33"/>
      <c r="D1099" s="38"/>
      <c r="E1099" s="20" t="s">
        <v>716</v>
      </c>
      <c r="F1099" s="18" t="str">
        <f ca="1">IF(L1113&gt;197,"PERFORMED WELL","")</f>
        <v/>
      </c>
      <c r="G1099" s="18"/>
      <c r="H1099" s="18"/>
      <c r="I1099" s="18"/>
      <c r="J1099" s="18"/>
      <c r="K1099" s="18"/>
      <c r="L1099" s="18"/>
      <c r="M1099" s="18"/>
      <c r="N1099" s="18"/>
      <c r="O1099" s="18"/>
      <c r="P1099" s="19"/>
      <c r="Q1099" s="19"/>
      <c r="R1099" s="11"/>
    </row>
    <row r="1100" s="1" customFormat="1" ht="9.95" customHeight="1" spans="1:18">
      <c r="A1100" s="7"/>
      <c r="B1100" s="12"/>
      <c r="C1100" s="39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1"/>
      <c r="Q1100" s="19"/>
      <c r="R1100" s="11"/>
    </row>
    <row r="1101" s="1" customFormat="1" ht="9.95" customHeight="1" spans="1:18">
      <c r="A1101" s="7"/>
      <c r="B1101" s="12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19"/>
      <c r="R1101" s="11"/>
    </row>
    <row r="1102" s="1" customFormat="1" ht="9.95" customHeight="1" spans="1:18">
      <c r="A1102" s="7"/>
      <c r="B1102" s="12"/>
      <c r="C1102" s="30"/>
      <c r="D1102" s="31"/>
      <c r="E1102" s="31"/>
      <c r="F1102" s="31"/>
      <c r="G1102" s="31"/>
      <c r="H1102" s="31"/>
      <c r="I1102" s="31"/>
      <c r="J1102" s="31"/>
      <c r="K1102" s="31"/>
      <c r="L1102" s="31"/>
      <c r="M1102" s="31"/>
      <c r="N1102" s="31"/>
      <c r="O1102" s="31"/>
      <c r="P1102" s="32"/>
      <c r="Q1102" s="19"/>
      <c r="R1102" s="11"/>
    </row>
    <row r="1103" s="1" customFormat="1" ht="21.95" customHeight="1" spans="1:18">
      <c r="A1103" s="7"/>
      <c r="B1103" s="12"/>
      <c r="C1103" s="33"/>
      <c r="D1103" s="35"/>
      <c r="E1103" s="24"/>
      <c r="F1103" s="42" t="s">
        <v>717</v>
      </c>
      <c r="G1103" s="42"/>
      <c r="H1103" s="42"/>
      <c r="I1103" s="42"/>
      <c r="J1103" s="42"/>
      <c r="K1103" s="42"/>
      <c r="L1103" s="43"/>
      <c r="M1103" s="44"/>
      <c r="N1103" s="29"/>
      <c r="O1103" s="29"/>
      <c r="P1103" s="19"/>
      <c r="Q1103" s="19"/>
      <c r="R1103" s="11"/>
    </row>
    <row r="1104" s="1" customFormat="1" ht="21.95" customHeight="1" spans="1:18">
      <c r="A1104" s="7"/>
      <c r="B1104" s="12"/>
      <c r="C1104" s="33"/>
      <c r="D1104" s="45"/>
      <c r="E1104" s="46"/>
      <c r="F1104" s="47" t="s">
        <v>541</v>
      </c>
      <c r="G1104" s="47" t="s">
        <v>542</v>
      </c>
      <c r="H1104" s="47" t="s">
        <v>543</v>
      </c>
      <c r="I1104" s="47" t="s">
        <v>544</v>
      </c>
      <c r="J1104" s="47" t="s">
        <v>561</v>
      </c>
      <c r="K1104" s="48" t="s">
        <v>750</v>
      </c>
      <c r="L1104" s="47" t="s">
        <v>382</v>
      </c>
      <c r="M1104" s="49" t="s">
        <v>546</v>
      </c>
      <c r="N1104" s="29"/>
      <c r="O1104" s="29"/>
      <c r="P1104" s="19"/>
      <c r="Q1104" s="19"/>
      <c r="R1104" s="11"/>
    </row>
    <row r="1105" s="1" customFormat="1" ht="21.95" customHeight="1" spans="1:18">
      <c r="A1105" s="7"/>
      <c r="B1105" s="12"/>
      <c r="C1105" s="33"/>
      <c r="D1105" s="45" t="s">
        <v>652</v>
      </c>
      <c r="E1105" s="46"/>
      <c r="F1105" s="50">
        <v>10</v>
      </c>
      <c r="G1105" s="50">
        <v>10</v>
      </c>
      <c r="H1105" s="50">
        <v>10</v>
      </c>
      <c r="I1105" s="50">
        <v>10</v>
      </c>
      <c r="J1105" s="50">
        <v>60</v>
      </c>
      <c r="K1105" s="51"/>
      <c r="L1105" s="50">
        <v>100</v>
      </c>
      <c r="M1105" s="49"/>
      <c r="N1105" s="29"/>
      <c r="O1105" s="29"/>
      <c r="P1105" s="19"/>
      <c r="Q1105" s="19"/>
      <c r="R1105" s="11"/>
    </row>
    <row r="1106" s="1" customFormat="1" ht="21.95" customHeight="1" spans="1:18">
      <c r="A1106" s="7"/>
      <c r="B1106" s="12"/>
      <c r="C1106" s="33"/>
      <c r="D1106" s="52" t="s">
        <v>751</v>
      </c>
      <c r="E1106" s="53"/>
      <c r="F1106" s="54">
        <f ca="1">IFERROR(VLOOKUP(F1089,'RR-3.1-5TH'!$A$12:'RR-3.1-5TH'!$BN$111,9,0),"")</f>
        <v>1</v>
      </c>
      <c r="G1106" s="54">
        <f ca="1">IFERROR(VLOOKUP(F1089,'RR-3.1-5TH'!$A$12:'RR-3.1-5TH'!$BN$111,10,0),"")</f>
        <v>0</v>
      </c>
      <c r="H1106" s="54">
        <f ca="1">IFERROR(VLOOKUP(F1089,'RR-3.1-5TH'!$A$12:'RR-3.1-5TH'!$BN$111,11,0),"")</f>
        <v>0</v>
      </c>
      <c r="I1106" s="54">
        <f ca="1">IFERROR(VLOOKUP(F1089,'RR-3.1-5TH'!$A$12:'RR-3.1-5TH'!$BN$111,12,0),"")</f>
        <v>0</v>
      </c>
      <c r="J1106" s="54">
        <f ca="1">IFERROR(VLOOKUP(F1089,'RR-3.1-5TH'!$A$12:'RR-3.1-5TH'!$BN$111,13,0),"")</f>
        <v>30</v>
      </c>
      <c r="K1106" s="54">
        <f ca="1">IFERROR(VLOOKUP(F1089,'RR-3.1-5TH'!$A$12:'RR-3.1-5TH'!$BN$111,14,0),"")</f>
        <v>0</v>
      </c>
      <c r="L1106" s="55">
        <f ca="1" t="shared" ref="L1106:L1111" si="57">SUM(F1106,G1106,H1106,I1106,J1106,K1106)</f>
        <v>31</v>
      </c>
      <c r="M1106" s="56" t="str">
        <f ca="1">IF(F1089&gt;ENTRY!$D$24,"",IF(L1106=0,"Ab",IF(L1106&gt;80,"A",IF(L1106&gt;60,"B",IF(L1106&gt;44,"C",IF(L1106&gt;=33,"D",IF(L1106&lt;=32,"E","")))))))</f>
        <v>E</v>
      </c>
      <c r="N1106" s="57" t="s">
        <v>729</v>
      </c>
      <c r="O1106" s="58"/>
      <c r="P1106" s="59"/>
      <c r="Q1106" s="19"/>
      <c r="R1106" s="11"/>
    </row>
    <row r="1107" s="1" customFormat="1" ht="21.95" customHeight="1" spans="1:18">
      <c r="A1107" s="7"/>
      <c r="B1107" s="12"/>
      <c r="C1107" s="33"/>
      <c r="D1107" s="52" t="s">
        <v>513</v>
      </c>
      <c r="E1107" s="53"/>
      <c r="F1107" s="54">
        <f ca="1">IFERROR(VLOOKUP(F1089,'RR-3.1-5TH'!$A$12:'RR-3.1-5TH'!$BN$111,17,0),"")</f>
        <v>1</v>
      </c>
      <c r="G1107" s="54">
        <f ca="1">IFERROR(VLOOKUP(F1089,'RR-3.1-5TH'!$A$12:'RR-3.1-5TH'!$BN$111,18,0),"")</f>
        <v>0</v>
      </c>
      <c r="H1107" s="54">
        <f ca="1">IFERROR(VLOOKUP(F1089,'RR-3.1-5TH'!$A$12:'RR-3.1-5TH'!$BN$111,19,0),"")</f>
        <v>0</v>
      </c>
      <c r="I1107" s="54">
        <f ca="1">IFERROR(VLOOKUP(F1089,'RR-3.1-5TH'!$A$12:'RR-3.1-5TH'!$BN$111,20,0),"")</f>
        <v>0</v>
      </c>
      <c r="J1107" s="54">
        <f ca="1">IFERROR(VLOOKUP(F1089,'RR-3.1-5TH'!$A$12:'RR-3.1-5TH'!$BN$111,21,0),"")</f>
        <v>13</v>
      </c>
      <c r="K1107" s="54">
        <f ca="1">IFERROR(VLOOKUP(F1089,'RR-3.1-5TH'!$A$12:'RR-3.1-5TH'!$BN$111,22,0),"")</f>
        <v>0</v>
      </c>
      <c r="L1107" s="55">
        <f ca="1" t="shared" si="57"/>
        <v>14</v>
      </c>
      <c r="M1107" s="56" t="str">
        <f ca="1">IF(F1089&gt;ENTRY!$D$24,"",IF(L1107=0,"Ab",IF(L1107&gt;80,"A",IF(L1107&gt;60,"B",IF(L1107&gt;44,"C",IF(L1107&gt;=33,"D",IF(L1107&lt;=32,"E","")))))))</f>
        <v>E</v>
      </c>
      <c r="N1107" s="58"/>
      <c r="O1107" s="58"/>
      <c r="P1107" s="59"/>
      <c r="Q1107" s="19"/>
      <c r="R1107" s="11"/>
    </row>
    <row r="1108" s="1" customFormat="1" ht="21.95" customHeight="1" spans="1:18">
      <c r="A1108" s="7"/>
      <c r="B1108" s="12"/>
      <c r="C1108" s="33"/>
      <c r="D1108" s="52" t="s">
        <v>718</v>
      </c>
      <c r="E1108" s="53"/>
      <c r="F1108" s="54">
        <f ca="1">IFERROR(VLOOKUP(F1089,'RR-3.1-5TH'!$A$12:'RR-3.1-5TH'!$BN$111,25,0),"")</f>
        <v>1</v>
      </c>
      <c r="G1108" s="54">
        <f ca="1">IFERROR(VLOOKUP(F1089,'RR-3.1-5TH'!$A$12:'RR-3.1-5TH'!$BN$111,26,0),"")</f>
        <v>0</v>
      </c>
      <c r="H1108" s="54">
        <f ca="1">IFERROR(VLOOKUP(F1089,'RR-3.1-5TH'!$A$12:'RR-3.1-5TH'!$BN$111,27,0),"")</f>
        <v>0</v>
      </c>
      <c r="I1108" s="54">
        <f ca="1">IFERROR(VLOOKUP(F1089,'RR-3.1-5TH'!$A$12:'RR-3.1-5TH'!$BN$111,28,0),"")</f>
        <v>0</v>
      </c>
      <c r="J1108" s="54">
        <f ca="1">IFERROR(VLOOKUP(F1089,'RR-3.1-5TH'!$A$12:'RR-3.1-5TH'!$BN$111,29,0),"")</f>
        <v>18</v>
      </c>
      <c r="K1108" s="54">
        <f ca="1">IFERROR(VLOOKUP(F1089,'RR-3.1-5TH'!$A$12:'RR-3.1-5TH'!$BN$111,30,0),"")</f>
        <v>0</v>
      </c>
      <c r="L1108" s="55">
        <f ca="1" t="shared" si="57"/>
        <v>19</v>
      </c>
      <c r="M1108" s="56" t="str">
        <f ca="1">IF(F1089&gt;ENTRY!$D$24,"",IF(L1108=0,"Ab",IF(L1108&gt;80,"A",IF(L1108&gt;60,"B",IF(L1108&gt;44,"C",IF(L1108&gt;=33,"D",IF(L1108&lt;=32,"E","")))))))</f>
        <v>E</v>
      </c>
      <c r="N1108" s="29"/>
      <c r="O1108" s="29"/>
      <c r="P1108" s="19"/>
      <c r="Q1108" s="19"/>
      <c r="R1108" s="11"/>
    </row>
    <row r="1109" s="1" customFormat="1" ht="21.95" customHeight="1" spans="1:18">
      <c r="A1109" s="7"/>
      <c r="B1109" s="12"/>
      <c r="C1109" s="33"/>
      <c r="D1109" s="52" t="s">
        <v>719</v>
      </c>
      <c r="E1109" s="53"/>
      <c r="F1109" s="54">
        <f ca="1">IFERROR(VLOOKUP(F1089,'RR-3.1-5TH'!$A$12:'RR-3.1-5TH'!$BN$111,33,0),"")</f>
        <v>1</v>
      </c>
      <c r="G1109" s="54">
        <f ca="1">IFERROR(VLOOKUP(F1089,'RR-3.1-5TH'!$A$12:'RR-3.1-5TH'!$BN$111,34,0),"")</f>
        <v>0</v>
      </c>
      <c r="H1109" s="54">
        <f ca="1">IFERROR(VLOOKUP(F1089,'RR-3.1-5TH'!$A$12:'RR-3.1-5TH'!$BN$111,35,0),"")</f>
        <v>0</v>
      </c>
      <c r="I1109" s="54">
        <f ca="1">IFERROR(VLOOKUP(F1089,'RR-3.1-5TH'!$A$12:'RR-3.1-5TH'!$BN$111,36,0),"")</f>
        <v>0</v>
      </c>
      <c r="J1109" s="54">
        <f ca="1">IFERROR(VLOOKUP(F1089,'RR-3.1-5TH'!$A$12:'RR-3.1-5TH'!$BN$111,37,0),"")</f>
        <v>18</v>
      </c>
      <c r="K1109" s="54">
        <f ca="1">IFERROR(VLOOKUP(F1089,'RR-3.1-5TH'!$A$12:'RR-3.1-5TH'!$BN$111,38,0),"")</f>
        <v>0</v>
      </c>
      <c r="L1109" s="55">
        <f ca="1" t="shared" si="57"/>
        <v>19</v>
      </c>
      <c r="M1109" s="56" t="str">
        <f ca="1">IF(F1089&gt;ENTRY!$D$24,"",IF(L1109=0,"Ab",IF(L1109&gt;80,"A",IF(L1109&gt;60,"B",IF(L1109&gt;44,"C",IF(L1109&gt;=33,"D",IF(L1109&lt;=32,"E","")))))))</f>
        <v>E</v>
      </c>
      <c r="N1109" s="29"/>
      <c r="O1109" s="29"/>
      <c r="P1109" s="19"/>
      <c r="Q1109" s="19"/>
      <c r="R1109" s="11"/>
    </row>
    <row r="1110" s="1" customFormat="1" ht="21.95" customHeight="1" spans="1:18">
      <c r="A1110" s="7"/>
      <c r="B1110" s="12"/>
      <c r="C1110" s="33"/>
      <c r="D1110" s="52" t="s">
        <v>548</v>
      </c>
      <c r="E1110" s="53"/>
      <c r="F1110" s="54">
        <f ca="1">IFERROR(VLOOKUP(F1089,'RR-3.1-5TH'!$A$12:'RR-3.1-5TH'!$BN$111,41,0),"")</f>
        <v>0</v>
      </c>
      <c r="G1110" s="54">
        <f ca="1">IFERROR(VLOOKUP(F1089,'RR-3.1-5TH'!$A$12:'RR-3.1-5TH'!$BN$111,42,0),"")</f>
        <v>0</v>
      </c>
      <c r="H1110" s="54">
        <f ca="1">IFERROR(VLOOKUP(F1089,'RR-3.1-5TH'!$A$12:'RR-3.1-5TH'!$BN$111,43,0),"")</f>
        <v>0</v>
      </c>
      <c r="I1110" s="54">
        <f ca="1">IFERROR(VLOOKUP(F1089,'RR-3.1-5TH'!$A$12:'RR-3.1-5TH'!$BN$111,44,0),"")</f>
        <v>0</v>
      </c>
      <c r="J1110" s="54">
        <f ca="1">IFERROR(VLOOKUP(F1089,'RR-3.1-5TH'!$A$12:'RR-3.1-5TH'!$BN$111,45,0),"")</f>
        <v>22</v>
      </c>
      <c r="K1110" s="54">
        <f ca="1">IFERROR(VLOOKUP(F1089,'RR-3.1-5TH'!$A$12:'RR-3.1-5TH'!$BN$111,46,0),"")</f>
        <v>0</v>
      </c>
      <c r="L1110" s="55">
        <f ca="1" t="shared" si="57"/>
        <v>22</v>
      </c>
      <c r="M1110" s="56" t="str">
        <f ca="1">IF(F1089&gt;ENTRY!$D$24,"",IF(L1110=0,"Ab",IF(L1110&gt;80,"A",IF(L1110&gt;60,"B",IF(L1110&gt;44,"C",IF(L1110&gt;=33,"D",IF(L1110&lt;=32,"E","")))))))</f>
        <v>E</v>
      </c>
      <c r="N1110" s="29"/>
      <c r="O1110" s="29"/>
      <c r="P1110" s="19"/>
      <c r="Q1110" s="19"/>
      <c r="R1110" s="11"/>
    </row>
    <row r="1111" s="1" customFormat="1" ht="21.95" customHeight="1" spans="1:18">
      <c r="A1111" s="7"/>
      <c r="B1111" s="12"/>
      <c r="C1111" s="33"/>
      <c r="D1111" s="52" t="s">
        <v>549</v>
      </c>
      <c r="E1111" s="53"/>
      <c r="F1111" s="54">
        <f ca="1">IFERROR(VLOOKUP(F1089,'RR-3.1-5TH'!$A$12:'RR-3.1-5TH'!$BN$111,49,0),"")</f>
        <v>2</v>
      </c>
      <c r="G1111" s="54">
        <f ca="1">IFERROR(VLOOKUP(F1089,'RR-3.1-5TH'!$A$12:'RR-3.1-5TH'!$BN$111,50,0),"")</f>
        <v>0</v>
      </c>
      <c r="H1111" s="54">
        <f ca="1">IFERROR(VLOOKUP(F1089,'RR-3.1-5TH'!$A$12:'RR-3.1-5TH'!$BN$111,51,0),"")</f>
        <v>0</v>
      </c>
      <c r="I1111" s="54">
        <f ca="1">IFERROR(VLOOKUP(F1089,'RR-3.1-5TH'!$A$12:'RR-3.1-5TH'!$BN$111,52,0),"")</f>
        <v>0</v>
      </c>
      <c r="J1111" s="54">
        <f ca="1">IFERROR(VLOOKUP(F1089,'RR-3.1-5TH'!$A$12:'RR-3.1-5TH'!$BN$111,53,0),"")</f>
        <v>20</v>
      </c>
      <c r="K1111" s="54">
        <f ca="1">IFERROR(VLOOKUP(F1089,'RR-3.1-5TH'!$A$12:'RR-3.1-5TH'!$BN$111,54,0),"")</f>
        <v>0</v>
      </c>
      <c r="L1111" s="55">
        <f ca="1" t="shared" si="57"/>
        <v>22</v>
      </c>
      <c r="M1111" s="56" t="str">
        <f ca="1">IF(F1089&gt;ENTRY!$D$24,"",IF(L1111=0,"Ab",IF(L1111&gt;80,"A",IF(L1111&gt;60,"B",IF(L1111&gt;44,"C",IF(L1111&gt;=33,"D",IF(L1111&lt;=32,"E","")))))))</f>
        <v>E</v>
      </c>
      <c r="N1111" s="57" t="s">
        <v>752</v>
      </c>
      <c r="O1111" s="58"/>
      <c r="P1111" s="59"/>
      <c r="Q1111" s="19"/>
      <c r="R1111" s="11"/>
    </row>
    <row r="1112" s="1" customFormat="1" ht="21.95" customHeight="1" spans="1:18">
      <c r="A1112" s="7"/>
      <c r="B1112" s="12"/>
      <c r="C1112" s="33"/>
      <c r="D1112" s="52" t="s">
        <v>753</v>
      </c>
      <c r="E1112" s="53"/>
      <c r="F1112" s="60"/>
      <c r="G1112" s="54"/>
      <c r="H1112" s="54"/>
      <c r="I1112" s="54"/>
      <c r="J1112" s="54"/>
      <c r="K1112" s="54"/>
      <c r="L1112" s="55">
        <f t="shared" ref="L1112" si="58">SUM(G1112:K1112)</f>
        <v>0</v>
      </c>
      <c r="M1112" s="56" t="str">
        <f>IF(F1089&gt;ENTRY!$D$24,"",IF(L1112=0,"",IF(L1112&gt;79,"A",IF(L1112&gt;59,"B",IF(L1112&gt;44,"C",IF(L1112&gt;=33,"D",IF(L1112&lt;=32,"E","")))))))</f>
        <v/>
      </c>
      <c r="N1112" s="58"/>
      <c r="O1112" s="58"/>
      <c r="P1112" s="59"/>
      <c r="Q1112" s="19"/>
      <c r="R1112" s="11"/>
    </row>
    <row r="1113" s="1" customFormat="1" ht="21.95" customHeight="1" spans="1:18">
      <c r="A1113" s="7"/>
      <c r="B1113" s="12"/>
      <c r="C1113" s="33"/>
      <c r="D1113" s="45" t="s">
        <v>382</v>
      </c>
      <c r="E1113" s="46"/>
      <c r="F1113" s="54">
        <f ca="1" t="shared" ref="F1113:L1113" si="59">IFERROR(SUM(F1106:F1112),"")</f>
        <v>6</v>
      </c>
      <c r="G1113" s="54">
        <f ca="1" t="shared" si="59"/>
        <v>0</v>
      </c>
      <c r="H1113" s="54">
        <f ca="1" t="shared" si="59"/>
        <v>0</v>
      </c>
      <c r="I1113" s="54">
        <f ca="1" t="shared" si="59"/>
        <v>0</v>
      </c>
      <c r="J1113" s="54">
        <f ca="1" t="shared" si="59"/>
        <v>121</v>
      </c>
      <c r="K1113" s="54">
        <f ca="1" t="shared" si="59"/>
        <v>0</v>
      </c>
      <c r="L1113" s="55">
        <f ca="1" t="shared" si="59"/>
        <v>127</v>
      </c>
      <c r="M1113" s="61" t="str">
        <f ca="1">IF(F1089&gt;ENTRY!$D$24,"",IF(N1114="Ab","Ab",IF(N1114&gt;79.5,"A",IF(N1114&gt;59.5,"B",IF(N1114&gt;44.5,"C",IF(N1114&gt;=33,"D",IF(N1114&lt;33,"E","")))))))</f>
        <v>E</v>
      </c>
      <c r="N1113" s="62"/>
      <c r="O1113" s="58"/>
      <c r="P1113" s="59"/>
      <c r="Q1113" s="19"/>
      <c r="R1113" s="11"/>
    </row>
    <row r="1114" s="1" customFormat="1" ht="21.95" customHeight="1" spans="1:18">
      <c r="A1114" s="7"/>
      <c r="B1114" s="12"/>
      <c r="C1114" s="33"/>
      <c r="D1114" s="63" t="s">
        <v>721</v>
      </c>
      <c r="E1114" s="63"/>
      <c r="F1114" s="63"/>
      <c r="G1114" s="63"/>
      <c r="H1114" s="63"/>
      <c r="I1114" s="63"/>
      <c r="J1114" s="63"/>
      <c r="K1114" s="63"/>
      <c r="L1114" s="63"/>
      <c r="M1114" s="63"/>
      <c r="N1114" s="64">
        <f ca="1">IF(L1113="Ab","Ab",L1113/6)</f>
        <v>21.1666666666667</v>
      </c>
      <c r="O1114" s="65"/>
      <c r="P1114" s="19"/>
      <c r="Q1114" s="19"/>
      <c r="R1114" s="11"/>
    </row>
    <row r="1115" s="1" customFormat="1" ht="21.95" customHeight="1" spans="1:18">
      <c r="A1115" s="7"/>
      <c r="B1115" s="12"/>
      <c r="C1115" s="33"/>
      <c r="D1115" s="29" t="s">
        <v>716</v>
      </c>
      <c r="E1115" s="18" t="str">
        <f>IFERROR(VLOOKUP(F1089,'1to4-2.1-RR'!$A$12:$BG$111,57,0),"")</f>
        <v>PROMOTED</v>
      </c>
      <c r="F1115" s="18"/>
      <c r="G1115" s="18"/>
      <c r="H1115" s="18"/>
      <c r="I1115" s="18"/>
      <c r="J1115" s="18"/>
      <c r="K1115" s="18"/>
      <c r="L1115" s="18"/>
      <c r="M1115" s="18"/>
      <c r="N1115" s="29"/>
      <c r="O1115" s="29"/>
      <c r="P1115" s="19"/>
      <c r="Q1115" s="19"/>
      <c r="R1115" s="11"/>
    </row>
    <row r="1116" s="1" customFormat="1" ht="9.95" customHeight="1" spans="1:18">
      <c r="A1116" s="7"/>
      <c r="B1116" s="12"/>
      <c r="C1116" s="33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19"/>
      <c r="Q1116" s="19"/>
      <c r="R1116" s="11"/>
    </row>
    <row r="1117" s="1" customFormat="1" ht="36" spans="1:18">
      <c r="A1117" s="7"/>
      <c r="B1117" s="12"/>
      <c r="C1117" s="33"/>
      <c r="D1117" s="66" t="s">
        <v>576</v>
      </c>
      <c r="E1117" s="67" t="s">
        <v>754</v>
      </c>
      <c r="F1117" s="47">
        <f>IF(F1089&gt;ENTRY!$D$24,"",IFERROR(VLOOKUP(F1089,PASHEET!$A$4:$CJ$103,88,0),""))</f>
        <v>0</v>
      </c>
      <c r="G1117" s="67" t="s">
        <v>755</v>
      </c>
      <c r="H1117" s="47">
        <f>IF(F1089&gt;ENTRY!$D$24,"",IFERROR(VLOOKUP(F1089,PASHEET!$A$4:$CJ$103,87,0),""))</f>
        <v>0</v>
      </c>
      <c r="I1117" s="68" t="s">
        <v>756</v>
      </c>
      <c r="J1117" s="69" t="str">
        <f>IF(F1089&gt;ENTRY!$D$24,"",IFERROR(IF(F1089&gt;0,H1117/F1117*100),""))</f>
        <v/>
      </c>
      <c r="K1117" s="60" t="s">
        <v>757</v>
      </c>
      <c r="L1117" s="70">
        <f ca="1">IF(F1089&gt;ENTRY!$D$24,"",IFERROR(L1113/600*100,""))</f>
        <v>21.1666666666667</v>
      </c>
      <c r="M1117" s="47" t="str">
        <f ca="1">IF(F1089&gt;ENTRY!$D$24,"",IFERROR(L1113&amp;" / "&amp;"600",""))</f>
        <v>127 / 600</v>
      </c>
      <c r="N1117" s="29"/>
      <c r="O1117" s="29"/>
      <c r="P1117" s="19"/>
      <c r="Q1117" s="19"/>
      <c r="R1117" s="11"/>
    </row>
    <row r="1118" s="1" customFormat="1" ht="9.95" customHeight="1" spans="1:18">
      <c r="A1118" s="7"/>
      <c r="B1118" s="12"/>
      <c r="C1118" s="39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  <c r="O1118" s="40"/>
      <c r="P1118" s="41"/>
      <c r="Q1118" s="19"/>
      <c r="R1118" s="11"/>
    </row>
    <row r="1119" s="1" customFormat="1" ht="9.95" customHeight="1" spans="1:18">
      <c r="A1119" s="7"/>
      <c r="B1119" s="12"/>
      <c r="C1119" s="71"/>
      <c r="D1119" s="71"/>
      <c r="E1119" s="71"/>
      <c r="F1119" s="29"/>
      <c r="G1119" s="71"/>
      <c r="H1119" s="71"/>
      <c r="I1119" s="71"/>
      <c r="J1119" s="71"/>
      <c r="K1119" s="71"/>
      <c r="L1119" s="71"/>
      <c r="M1119" s="71"/>
      <c r="N1119" s="71"/>
      <c r="O1119" s="71"/>
      <c r="P1119" s="71"/>
      <c r="Q1119" s="19"/>
      <c r="R1119" s="11"/>
    </row>
    <row r="1120" s="1" customFormat="1" ht="9.95" customHeight="1" spans="1:18">
      <c r="A1120" s="7"/>
      <c r="B1120" s="12"/>
      <c r="C1120" s="29"/>
      <c r="D1120" s="29"/>
      <c r="E1120" s="29"/>
      <c r="F1120" s="72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19"/>
      <c r="R1120" s="11"/>
    </row>
    <row r="1121" s="1" customFormat="1" ht="9.95" customHeight="1" spans="1:19">
      <c r="A1121" s="7"/>
      <c r="B1121" s="12"/>
      <c r="C1121" s="30"/>
      <c r="D1121" s="31"/>
      <c r="E1121" s="31"/>
      <c r="F1121" s="31"/>
      <c r="G1121" s="31"/>
      <c r="H1121" s="31"/>
      <c r="I1121" s="31"/>
      <c r="J1121" s="31"/>
      <c r="K1121" s="31"/>
      <c r="L1121" s="31"/>
      <c r="M1121" s="31"/>
      <c r="N1121" s="31"/>
      <c r="O1121" s="31"/>
      <c r="P1121" s="32"/>
      <c r="Q1121" s="19"/>
      <c r="R1121" s="11"/>
    </row>
    <row r="1122" s="1" customFormat="1" ht="21.95" customHeight="1" spans="1:19">
      <c r="A1122" s="7"/>
      <c r="B1122" s="12"/>
      <c r="C1122" s="73" t="s">
        <v>7</v>
      </c>
      <c r="D1122" s="13"/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74"/>
      <c r="Q1122" s="19"/>
      <c r="R1122" s="11"/>
      <c r="S1122" s="2"/>
    </row>
    <row r="1123" s="1" customFormat="1" ht="21.95" customHeight="1" spans="1:19">
      <c r="A1123" s="7"/>
      <c r="B1123" s="12"/>
      <c r="C1123" s="33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19"/>
      <c r="Q1123" s="19"/>
      <c r="R1123" s="11"/>
    </row>
    <row r="1124" s="1" customFormat="1" ht="21.95" customHeight="1" spans="1:19">
      <c r="A1124" s="7"/>
      <c r="B1124" s="12"/>
      <c r="C1124" s="75" t="str">
        <f>"SESSION-"&amp;ENTRY!$D$11</f>
        <v>SESSION-2026-27</v>
      </c>
      <c r="D1124" s="15"/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76"/>
      <c r="Q1124" s="19"/>
      <c r="R1124" s="11"/>
    </row>
    <row r="1125" s="1" customFormat="1" ht="18" customHeight="1" spans="1:19">
      <c r="A1125" s="7"/>
      <c r="B1125" s="12"/>
      <c r="C1125" s="33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19"/>
      <c r="Q1125" s="19"/>
      <c r="R1125" s="11"/>
    </row>
    <row r="1126" s="1" customFormat="1" ht="21.95" customHeight="1" spans="1:19">
      <c r="A1126" s="7"/>
      <c r="B1126" s="12"/>
      <c r="C1126" s="33"/>
      <c r="D1126" s="77" t="s">
        <v>758</v>
      </c>
      <c r="E1126" s="77"/>
      <c r="F1126" s="78" t="str">
        <f>IFERROR(PROPER(VLOOKUP(F1089,STUDENT!$A$2:$BP$101,5,0)),"")</f>
        <v>Ankur</v>
      </c>
      <c r="G1126" s="78"/>
      <c r="H1126" s="78"/>
      <c r="I1126" s="78"/>
      <c r="J1126" s="78"/>
      <c r="K1126" s="78"/>
      <c r="L1126" s="78"/>
      <c r="M1126" s="78"/>
      <c r="N1126" s="79" t="s">
        <v>759</v>
      </c>
      <c r="O1126" s="79"/>
      <c r="P1126" s="19"/>
      <c r="Q1126" s="19"/>
      <c r="R1126" s="11"/>
    </row>
    <row r="1127" s="1" customFormat="1" ht="21.95" customHeight="1" spans="1:19">
      <c r="A1127" s="7"/>
      <c r="B1127" s="12"/>
      <c r="C1127" s="33"/>
      <c r="D1127" s="80" t="s">
        <v>760</v>
      </c>
      <c r="E1127" s="81" t="str">
        <f>IFERROR(PROPER(VLOOKUP(F1089,STUDENT!$A$2:$BP$101,9,0)),"")</f>
        <v>Anita Devi</v>
      </c>
      <c r="F1127" s="81"/>
      <c r="G1127" s="81"/>
      <c r="H1127" s="80" t="s">
        <v>761</v>
      </c>
      <c r="I1127" s="82" t="str">
        <f>IFERROR(PROPER(VLOOKUP(F1089,STUDENT!$A$2:$BP$101,8,0)),"")</f>
        <v>Ashok Kumar Gupta</v>
      </c>
      <c r="J1127" s="82"/>
      <c r="K1127" s="82"/>
      <c r="L1127" s="82"/>
      <c r="M1127" s="80" t="s">
        <v>762</v>
      </c>
      <c r="N1127" s="83" t="str">
        <f>IFERROR(VLOOKUP(F1089,STUDENT!$A$2:$BP$101,59,0),"")</f>
        <v/>
      </c>
      <c r="O1127" s="83"/>
      <c r="P1127" s="19"/>
      <c r="Q1127" s="19"/>
      <c r="R1127" s="11"/>
    </row>
    <row r="1128" s="1" customFormat="1" ht="21.95" customHeight="1" spans="1:19">
      <c r="A1128" s="7"/>
      <c r="B1128" s="12"/>
      <c r="C1128" s="33"/>
      <c r="D1128" s="77" t="str">
        <f>"has    completed     his  /  her     primary     level     education    in    the    year    "&amp;RIGHT(ENTRY!$D1094,4)&amp;"    from    ( School    Name )"</f>
        <v>has    completed     his  /  her     primary     level     education    in    the    year        from    ( School    Name )</v>
      </c>
      <c r="E1128" s="77"/>
      <c r="F1128" s="77"/>
      <c r="G1128" s="77"/>
      <c r="H1128" s="77"/>
      <c r="I1128" s="77"/>
      <c r="J1128" s="77"/>
      <c r="K1128" s="77"/>
      <c r="L1128" s="77"/>
      <c r="M1128" s="77"/>
      <c r="N1128" s="77"/>
      <c r="O1128" s="77"/>
      <c r="P1128" s="19"/>
      <c r="Q1128" s="19"/>
      <c r="R1128" s="11"/>
    </row>
    <row r="1129" s="1" customFormat="1" ht="21.95" customHeight="1" spans="1:19">
      <c r="A1129" s="7"/>
      <c r="B1129" s="12"/>
      <c r="C1129" s="33"/>
      <c r="D1129" s="81" t="str">
        <f>IF(F1089&gt;0,ENTRY!$D$6,"")</f>
        <v>MCP NITHARI NO 1 BOYS</v>
      </c>
      <c r="E1129" s="81"/>
      <c r="F1129" s="81"/>
      <c r="G1129" s="81"/>
      <c r="H1129" s="81"/>
      <c r="I1129" s="81"/>
      <c r="J1129" s="81"/>
      <c r="K1129" s="81"/>
      <c r="L1129" s="81"/>
      <c r="M1129" s="80" t="s">
        <v>763</v>
      </c>
      <c r="N1129" s="84">
        <f>IF(F1089&gt;0,ENTRY!$D$7,"")</f>
        <v>0</v>
      </c>
      <c r="O1129" s="84"/>
      <c r="P1129" s="85" t="s">
        <v>727</v>
      </c>
      <c r="Q1129" s="19"/>
      <c r="R1129" s="11"/>
    </row>
    <row r="1130" s="1" customFormat="1" ht="21.95" customHeight="1" spans="1:19">
      <c r="A1130" s="7"/>
      <c r="B1130" s="12"/>
      <c r="C1130" s="33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19"/>
      <c r="Q1130" s="19"/>
      <c r="R1130" s="11"/>
    </row>
    <row r="1131" s="1" customFormat="1" ht="21.95" customHeight="1" spans="1:19">
      <c r="A1131" s="7"/>
      <c r="B1131" s="12"/>
      <c r="C1131" s="33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19"/>
      <c r="Q1131" s="19"/>
      <c r="R1131" s="11"/>
    </row>
    <row r="1132" s="1" customFormat="1" ht="21.95" customHeight="1" spans="1:19">
      <c r="A1132" s="7"/>
      <c r="B1132" s="12"/>
      <c r="C1132" s="33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19"/>
      <c r="Q1132" s="19"/>
      <c r="R1132" s="11"/>
    </row>
    <row r="1133" s="1" customFormat="1" ht="21.95" customHeight="1" spans="1:19">
      <c r="A1133" s="7"/>
      <c r="B1133" s="12"/>
      <c r="C1133" s="33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19"/>
      <c r="Q1133" s="19"/>
      <c r="R1133" s="11"/>
    </row>
    <row r="1134" s="1" customFormat="1" ht="21.95" customHeight="1" spans="1:19">
      <c r="A1134" s="7"/>
      <c r="B1134" s="12"/>
      <c r="C1134" s="33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19"/>
      <c r="Q1134" s="19"/>
      <c r="R1134" s="11"/>
    </row>
    <row r="1135" s="1" customFormat="1" ht="21.95" customHeight="1" spans="1:19">
      <c r="A1135" s="7"/>
      <c r="B1135" s="12"/>
      <c r="C1135" s="33"/>
      <c r="D1135" s="80" t="s">
        <v>728</v>
      </c>
      <c r="E1135" s="86">
        <f>ENTRY!$D$27</f>
        <v>46102</v>
      </c>
      <c r="F1135" s="86"/>
      <c r="G1135" s="29"/>
      <c r="H1135" s="29"/>
      <c r="I1135" s="29"/>
      <c r="J1135" s="29"/>
      <c r="K1135" s="29"/>
      <c r="L1135" s="29"/>
      <c r="M1135" s="87" t="s">
        <v>730</v>
      </c>
      <c r="N1135" s="87"/>
      <c r="O1135" s="87"/>
      <c r="P1135" s="19"/>
      <c r="Q1135" s="19"/>
      <c r="R1135" s="11"/>
    </row>
    <row r="1136" s="1" customFormat="1" ht="21.95" customHeight="1" spans="1:19">
      <c r="A1136" s="7"/>
      <c r="B1136" s="12"/>
      <c r="C1136" s="33"/>
      <c r="D1136" s="80" t="s">
        <v>731</v>
      </c>
      <c r="E1136" s="88" t="str">
        <f>PROPER(ENTRY!$D$28)</f>
        <v>New Delhi</v>
      </c>
      <c r="F1136" s="88"/>
      <c r="G1136" s="29"/>
      <c r="H1136" s="29"/>
      <c r="I1136" s="29"/>
      <c r="J1136" s="29"/>
      <c r="K1136" s="29"/>
      <c r="L1136" s="29"/>
      <c r="M1136" s="89" t="s">
        <v>732</v>
      </c>
      <c r="N1136" s="89"/>
      <c r="O1136" s="89"/>
      <c r="P1136" s="19"/>
      <c r="Q1136" s="19"/>
      <c r="R1136" s="11"/>
    </row>
    <row r="1137" s="1" customFormat="1" ht="21.95" customHeight="1" spans="1:18">
      <c r="A1137" s="7"/>
      <c r="B1137" s="12"/>
      <c r="C1137" s="90"/>
      <c r="D1137" s="91"/>
      <c r="E1137" s="91"/>
      <c r="F1137" s="91"/>
      <c r="G1137" s="91"/>
      <c r="H1137" s="91"/>
      <c r="I1137" s="91"/>
      <c r="J1137" s="91"/>
      <c r="K1137" s="91"/>
      <c r="L1137" s="91"/>
      <c r="M1137" s="91"/>
      <c r="N1137" s="91"/>
      <c r="O1137" s="91"/>
      <c r="P1137" s="92"/>
      <c r="Q1137" s="14"/>
      <c r="R1137" s="11"/>
    </row>
    <row r="1138" s="1" customFormat="1" ht="5.1" customHeight="1" spans="1:18">
      <c r="A1138" s="7"/>
      <c r="B1138" s="90"/>
      <c r="C1138" s="91"/>
      <c r="D1138" s="91"/>
      <c r="E1138" s="91"/>
      <c r="F1138" s="91"/>
      <c r="G1138" s="91"/>
      <c r="H1138" s="91"/>
      <c r="I1138" s="91"/>
      <c r="J1138" s="91"/>
      <c r="K1138" s="91"/>
      <c r="L1138" s="91"/>
      <c r="M1138" s="91"/>
      <c r="N1138" s="91"/>
      <c r="O1138" s="91"/>
      <c r="P1138" s="91"/>
      <c r="Q1138" s="92"/>
      <c r="R1138" s="11"/>
    </row>
    <row r="1139" s="1" customFormat="1" ht="5.1" customHeight="1" spans="1:18">
      <c r="A1139" s="93"/>
      <c r="B1139" s="94"/>
      <c r="C1139" s="94"/>
      <c r="D1139" s="94"/>
      <c r="E1139" s="94"/>
      <c r="F1139" s="94"/>
      <c r="G1139" s="94"/>
      <c r="H1139" s="94"/>
      <c r="I1139" s="94"/>
      <c r="J1139" s="94"/>
      <c r="K1139" s="94"/>
      <c r="L1139" s="94"/>
      <c r="M1139" s="94"/>
      <c r="N1139" s="94"/>
      <c r="O1139" s="94"/>
      <c r="P1139" s="94"/>
      <c r="Q1139" s="94"/>
      <c r="R1139" s="95"/>
    </row>
    <row r="1140" s="2" customFormat="1" ht="9.95" customHeight="1"/>
    <row r="1141" s="1" customFormat="1" ht="5.1" customHeight="1" spans="1:18">
      <c r="A1141" s="4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6"/>
    </row>
    <row r="1142" s="1" customFormat="1" ht="15" customHeight="1" spans="1:18">
      <c r="A1142" s="7"/>
      <c r="B1142" s="8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10"/>
      <c r="R1142" s="11"/>
    </row>
    <row r="1143" s="1" customFormat="1" ht="21.95" customHeight="1" spans="1:18">
      <c r="A1143" s="7"/>
      <c r="B1143" s="12"/>
      <c r="C1143" s="13" t="s">
        <v>7</v>
      </c>
      <c r="D1143" s="13"/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/>
      <c r="Q1143" s="14"/>
      <c r="R1143" s="11"/>
    </row>
    <row r="1144" s="1" customFormat="1" ht="21.95" customHeight="1" spans="1:18">
      <c r="A1144" s="7"/>
      <c r="B1144" s="1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14"/>
      <c r="R1144" s="11"/>
    </row>
    <row r="1145" s="1" customFormat="1" ht="21.95" customHeight="1" spans="1:18">
      <c r="A1145" s="7"/>
      <c r="B1145" s="12"/>
      <c r="C1145" s="15" t="str">
        <f>"SESSION-"&amp;ENTRY!$D$11</f>
        <v>SESSION-2026-27</v>
      </c>
      <c r="D1145" s="15"/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4"/>
      <c r="R1145" s="11"/>
    </row>
    <row r="1146" s="1" customFormat="1" ht="21.95" customHeight="1" spans="1:18">
      <c r="A1146" s="7"/>
      <c r="B1146" s="12"/>
      <c r="C1146" s="2"/>
      <c r="D1146" s="2"/>
      <c r="E1146" s="2"/>
      <c r="F1146" s="16">
        <f>F1089+1</f>
        <v>21</v>
      </c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14"/>
      <c r="R1146" s="11"/>
    </row>
    <row r="1147" s="1" customFormat="1" ht="21.95" customHeight="1" spans="1:18">
      <c r="A1147" s="7"/>
      <c r="B1147" s="12"/>
      <c r="C1147" s="17" t="s">
        <v>392</v>
      </c>
      <c r="D1147" s="17"/>
      <c r="E1147" s="17"/>
      <c r="F1147" s="18" t="str">
        <f>IF(F1146&gt;0,ENTRY!$D$6,"")</f>
        <v>MCP NITHARI NO 1 BOYS</v>
      </c>
      <c r="G1147" s="18"/>
      <c r="H1147" s="18"/>
      <c r="I1147" s="18"/>
      <c r="J1147" s="18"/>
      <c r="K1147" s="18"/>
      <c r="L1147" s="18"/>
      <c r="M1147" s="18"/>
      <c r="N1147" s="18"/>
      <c r="O1147" s="18"/>
      <c r="P1147" s="18"/>
      <c r="Q1147" s="19"/>
      <c r="R1147" s="11"/>
    </row>
    <row r="1148" s="1" customFormat="1" ht="21.95" customHeight="1" spans="1:18">
      <c r="A1148" s="7"/>
      <c r="B1148" s="12"/>
      <c r="C1148" s="17" t="s">
        <v>393</v>
      </c>
      <c r="D1148" s="17"/>
      <c r="E1148" s="17"/>
      <c r="F1148" s="18">
        <f>IF(F1146&gt;0,ENTRY!$D$7,"")</f>
        <v>0</v>
      </c>
      <c r="G1148" s="18"/>
      <c r="H1148" s="20" t="s">
        <v>702</v>
      </c>
      <c r="I1148" s="20"/>
      <c r="J1148" s="21">
        <f>IF(F1146&gt;0,ENTRY!$D$10,"")</f>
        <v>40</v>
      </c>
      <c r="K1148" s="20" t="s">
        <v>703</v>
      </c>
      <c r="L1148" s="22" t="str">
        <f>IF(F1146&gt;0,ENTRY!$D$5,"")</f>
        <v>ROHINI ZONE</v>
      </c>
      <c r="M1148" s="22"/>
      <c r="N1148" s="22"/>
      <c r="O1148" s="22"/>
      <c r="P1148" s="22"/>
      <c r="Q1148" s="19"/>
      <c r="R1148" s="11"/>
    </row>
    <row r="1149" s="1" customFormat="1" ht="21.95" customHeight="1" spans="1:18">
      <c r="A1149" s="7"/>
      <c r="B1149" s="12"/>
      <c r="C1149" s="17" t="s">
        <v>706</v>
      </c>
      <c r="D1149" s="17"/>
      <c r="E1149" s="17"/>
      <c r="F1149" s="23" t="str">
        <f>IFERROR(VLOOKUP(F1146,STUDENT!$A$2:$BP$101,5,0),"")</f>
        <v>SOBHIT PASWAN</v>
      </c>
      <c r="G1149" s="23"/>
      <c r="H1149" s="23"/>
      <c r="I1149" s="23"/>
      <c r="J1149" s="23"/>
      <c r="K1149" s="23"/>
      <c r="L1149" s="20" t="s">
        <v>707</v>
      </c>
      <c r="M1149" s="20"/>
      <c r="N1149" s="24" t="str">
        <f>IF(F1146&gt;0,ENTRY!$D$20&amp;"-"&amp;ENTRY!$D$21,"")</f>
        <v>III-A</v>
      </c>
      <c r="O1149" s="24"/>
      <c r="P1149" s="24"/>
      <c r="Q1149" s="19"/>
      <c r="R1149" s="11"/>
    </row>
    <row r="1150" s="1" customFormat="1" ht="21.95" customHeight="1" spans="1:18">
      <c r="A1150" s="7"/>
      <c r="B1150" s="12"/>
      <c r="C1150" s="17" t="s">
        <v>708</v>
      </c>
      <c r="D1150" s="17"/>
      <c r="E1150" s="17"/>
      <c r="F1150" s="25">
        <f>IFERROR(VLOOKUP(F1146,STUDENT!$A$2:$BP$101,6,0),"")</f>
        <v>14792</v>
      </c>
      <c r="G1150" s="25"/>
      <c r="H1150" s="26" t="s">
        <v>709</v>
      </c>
      <c r="I1150" s="27" t="str">
        <f>IFERROR(VLOOKUP(F1146,STUDENT!$A$2:$BP$101,59,0),"")</f>
        <v/>
      </c>
      <c r="J1150" s="27"/>
      <c r="K1150" s="20" t="s">
        <v>710</v>
      </c>
      <c r="L1150" s="20"/>
      <c r="M1150" s="28">
        <f>IFERROR(VLOOKUP(F1146,STUDENT!$A$2:$BP$101,20,0),"")</f>
        <v>7703873768</v>
      </c>
      <c r="N1150" s="28"/>
      <c r="O1150" s="28"/>
      <c r="P1150" s="28"/>
      <c r="Q1150" s="19"/>
      <c r="R1150" s="11"/>
    </row>
    <row r="1151" s="1" customFormat="1" ht="21.95" customHeight="1" spans="1:18">
      <c r="A1151" s="7"/>
      <c r="B1151" s="12"/>
      <c r="C1151" s="17" t="s">
        <v>711</v>
      </c>
      <c r="D1151" s="17"/>
      <c r="E1151" s="17"/>
      <c r="F1151" s="23" t="str">
        <f>IFERROR(VLOOKUP(F1146,STUDENT!$A$2:$BP$101,9,0),"")</f>
        <v>SONI DEVI</v>
      </c>
      <c r="G1151" s="23"/>
      <c r="H1151" s="23"/>
      <c r="I1151" s="23"/>
      <c r="J1151" s="17" t="s">
        <v>620</v>
      </c>
      <c r="K1151" s="17"/>
      <c r="L1151" s="23" t="str">
        <f>IFERROR(VLOOKUP(F1146,STUDENT!$A$2:$BP$101,8,0),"")</f>
        <v>SHANKAR PASWAN</v>
      </c>
      <c r="M1151" s="23"/>
      <c r="N1151" s="23"/>
      <c r="O1151" s="23"/>
      <c r="P1151" s="23"/>
      <c r="Q1151" s="19"/>
      <c r="R1151" s="11"/>
    </row>
    <row r="1152" s="1" customFormat="1" ht="21.95" customHeight="1" spans="1:18">
      <c r="A1152" s="7"/>
      <c r="B1152" s="12"/>
      <c r="C1152" s="17" t="s">
        <v>712</v>
      </c>
      <c r="D1152" s="17"/>
      <c r="E1152" s="17"/>
      <c r="F1152" s="23" t="str">
        <f>IFERROR(VLOOKUP(F1146,STUDENT!$A$2:$BP$101,22,0),"")</f>
        <v>H NO-151/1, INDER ENCLAVE PH-1, KIRARI</v>
      </c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19"/>
      <c r="R1152" s="11"/>
    </row>
    <row r="1153" s="1" customFormat="1" ht="9.95" customHeight="1" spans="1:18">
      <c r="A1153" s="7"/>
      <c r="B1153" s="12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19"/>
      <c r="R1153" s="11"/>
    </row>
    <row r="1154" s="1" customFormat="1" ht="9.95" customHeight="1" spans="1:18">
      <c r="A1154" s="7"/>
      <c r="B1154" s="12"/>
      <c r="C1154" s="30"/>
      <c r="D1154" s="31"/>
      <c r="E1154" s="31"/>
      <c r="F1154" s="31"/>
      <c r="G1154" s="31"/>
      <c r="H1154" s="31"/>
      <c r="I1154" s="31"/>
      <c r="J1154" s="31"/>
      <c r="K1154" s="31"/>
      <c r="L1154" s="31"/>
      <c r="M1154" s="31"/>
      <c r="N1154" s="31"/>
      <c r="O1154" s="31"/>
      <c r="P1154" s="32"/>
      <c r="Q1154" s="19"/>
      <c r="R1154" s="11"/>
    </row>
    <row r="1155" s="1" customFormat="1" ht="21.95" customHeight="1" spans="1:18">
      <c r="A1155" s="7"/>
      <c r="B1155" s="12"/>
      <c r="C1155" s="33"/>
      <c r="D1155" s="34" t="s">
        <v>713</v>
      </c>
      <c r="E1155" s="20" t="s">
        <v>714</v>
      </c>
      <c r="F1155" s="35" t="str">
        <f>"Level - "&amp;IFERROR(VLOOKUP(F1146,FLN!$A$4:$K$103,9,0),"")</f>
        <v>Level - 2</v>
      </c>
      <c r="G1155" s="36"/>
      <c r="H1155" s="37" t="s">
        <v>715</v>
      </c>
      <c r="I1155" s="20"/>
      <c r="J1155" s="35" t="str">
        <f>"Level - "&amp;IFERROR(VLOOKUP(F1146,FLN!$A$4:$K$103,11,0),"")</f>
        <v>Level - 3</v>
      </c>
      <c r="K1155" s="36"/>
      <c r="L1155" s="37" t="s">
        <v>408</v>
      </c>
      <c r="M1155" s="20"/>
      <c r="N1155" s="35" t="str">
        <f>"Level - "&amp;IFERROR(VLOOKUP(F1146,FLN!$A$4:$K$103,10,0),"")</f>
        <v>Level - 2</v>
      </c>
      <c r="O1155" s="36"/>
      <c r="P1155" s="19"/>
      <c r="Q1155" s="19"/>
      <c r="R1155" s="11"/>
    </row>
    <row r="1156" s="1" customFormat="1" ht="21.95" customHeight="1" spans="1:18">
      <c r="A1156" s="7"/>
      <c r="B1156" s="12"/>
      <c r="C1156" s="33"/>
      <c r="D1156" s="38"/>
      <c r="E1156" s="20" t="s">
        <v>716</v>
      </c>
      <c r="F1156" s="18" t="str">
        <f ca="1">IF(L1170&gt;197,"PERFORMED WELL","")</f>
        <v/>
      </c>
      <c r="G1156" s="18"/>
      <c r="H1156" s="18"/>
      <c r="I1156" s="18"/>
      <c r="J1156" s="18"/>
      <c r="K1156" s="18"/>
      <c r="L1156" s="18"/>
      <c r="M1156" s="18"/>
      <c r="N1156" s="18"/>
      <c r="O1156" s="18"/>
      <c r="P1156" s="19"/>
      <c r="Q1156" s="19"/>
      <c r="R1156" s="11"/>
    </row>
    <row r="1157" s="1" customFormat="1" ht="9.95" customHeight="1" spans="1:18">
      <c r="A1157" s="7"/>
      <c r="B1157" s="12"/>
      <c r="C1157" s="39"/>
      <c r="D1157" s="40"/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  <c r="O1157" s="40"/>
      <c r="P1157" s="41"/>
      <c r="Q1157" s="19"/>
      <c r="R1157" s="11"/>
    </row>
    <row r="1158" s="1" customFormat="1" ht="9.95" customHeight="1" spans="1:18">
      <c r="A1158" s="7"/>
      <c r="B1158" s="12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19"/>
      <c r="R1158" s="11"/>
    </row>
    <row r="1159" s="1" customFormat="1" ht="9.95" customHeight="1" spans="1:18">
      <c r="A1159" s="7"/>
      <c r="B1159" s="12"/>
      <c r="C1159" s="30"/>
      <c r="D1159" s="31"/>
      <c r="E1159" s="31"/>
      <c r="F1159" s="31"/>
      <c r="G1159" s="31"/>
      <c r="H1159" s="31"/>
      <c r="I1159" s="31"/>
      <c r="J1159" s="31"/>
      <c r="K1159" s="31"/>
      <c r="L1159" s="31"/>
      <c r="M1159" s="31"/>
      <c r="N1159" s="31"/>
      <c r="O1159" s="31"/>
      <c r="P1159" s="32"/>
      <c r="Q1159" s="19"/>
      <c r="R1159" s="11"/>
    </row>
    <row r="1160" s="1" customFormat="1" ht="21.95" customHeight="1" spans="1:18">
      <c r="A1160" s="7"/>
      <c r="B1160" s="12"/>
      <c r="C1160" s="33"/>
      <c r="D1160" s="35"/>
      <c r="E1160" s="24"/>
      <c r="F1160" s="42" t="s">
        <v>717</v>
      </c>
      <c r="G1160" s="42"/>
      <c r="H1160" s="42"/>
      <c r="I1160" s="42"/>
      <c r="J1160" s="42"/>
      <c r="K1160" s="42"/>
      <c r="L1160" s="43"/>
      <c r="M1160" s="44"/>
      <c r="N1160" s="29"/>
      <c r="O1160" s="29"/>
      <c r="P1160" s="19"/>
      <c r="Q1160" s="19"/>
      <c r="R1160" s="11"/>
    </row>
    <row r="1161" s="1" customFormat="1" ht="21.95" customHeight="1" spans="1:18">
      <c r="A1161" s="7"/>
      <c r="B1161" s="12"/>
      <c r="C1161" s="33"/>
      <c r="D1161" s="45"/>
      <c r="E1161" s="46"/>
      <c r="F1161" s="47" t="s">
        <v>541</v>
      </c>
      <c r="G1161" s="47" t="s">
        <v>542</v>
      </c>
      <c r="H1161" s="47" t="s">
        <v>543</v>
      </c>
      <c r="I1161" s="47" t="s">
        <v>544</v>
      </c>
      <c r="J1161" s="47" t="s">
        <v>561</v>
      </c>
      <c r="K1161" s="48" t="s">
        <v>750</v>
      </c>
      <c r="L1161" s="47" t="s">
        <v>382</v>
      </c>
      <c r="M1161" s="49" t="s">
        <v>546</v>
      </c>
      <c r="N1161" s="29"/>
      <c r="O1161" s="29"/>
      <c r="P1161" s="19"/>
      <c r="Q1161" s="19"/>
      <c r="R1161" s="11"/>
    </row>
    <row r="1162" s="1" customFormat="1" ht="21.95" customHeight="1" spans="1:18">
      <c r="A1162" s="7"/>
      <c r="B1162" s="12"/>
      <c r="C1162" s="33"/>
      <c r="D1162" s="45" t="s">
        <v>652</v>
      </c>
      <c r="E1162" s="46"/>
      <c r="F1162" s="50">
        <v>10</v>
      </c>
      <c r="G1162" s="50">
        <v>10</v>
      </c>
      <c r="H1162" s="50">
        <v>10</v>
      </c>
      <c r="I1162" s="50">
        <v>10</v>
      </c>
      <c r="J1162" s="50">
        <v>60</v>
      </c>
      <c r="K1162" s="51"/>
      <c r="L1162" s="50">
        <v>100</v>
      </c>
      <c r="M1162" s="49"/>
      <c r="N1162" s="29"/>
      <c r="O1162" s="29"/>
      <c r="P1162" s="19"/>
      <c r="Q1162" s="19"/>
      <c r="R1162" s="11"/>
    </row>
    <row r="1163" s="1" customFormat="1" ht="21.95" customHeight="1" spans="1:18">
      <c r="A1163" s="7"/>
      <c r="B1163" s="12"/>
      <c r="C1163" s="33"/>
      <c r="D1163" s="52" t="s">
        <v>751</v>
      </c>
      <c r="E1163" s="53"/>
      <c r="F1163" s="54">
        <f ca="1">IFERROR(VLOOKUP(F1146,'RR-3.1-5TH'!$A$12:'RR-3.1-5TH'!$BN$111,9,0),"")</f>
        <v>1</v>
      </c>
      <c r="G1163" s="54">
        <f ca="1">IFERROR(VLOOKUP(F1146,'RR-3.1-5TH'!$A$12:'RR-3.1-5TH'!$BN$111,10,0),"")</f>
        <v>0</v>
      </c>
      <c r="H1163" s="54">
        <f ca="1">IFERROR(VLOOKUP(F1146,'RR-3.1-5TH'!$A$12:'RR-3.1-5TH'!$BN$111,11,0),"")</f>
        <v>0</v>
      </c>
      <c r="I1163" s="54">
        <f ca="1">IFERROR(VLOOKUP(F1146,'RR-3.1-5TH'!$A$12:'RR-3.1-5TH'!$BN$111,12,0),"")</f>
        <v>0</v>
      </c>
      <c r="J1163" s="54">
        <f ca="1">IFERROR(VLOOKUP(F1146,'RR-3.1-5TH'!$A$12:'RR-3.1-5TH'!$BN$111,13,0),"")</f>
        <v>30</v>
      </c>
      <c r="K1163" s="54">
        <f ca="1">IFERROR(VLOOKUP(F1146,'RR-3.1-5TH'!$A$12:'RR-3.1-5TH'!$BN$111,14,0),"")</f>
        <v>0</v>
      </c>
      <c r="L1163" s="55">
        <f ca="1" t="shared" ref="L1163:L1168" si="60">SUM(F1163,G1163,H1163,I1163,J1163,K1163)</f>
        <v>31</v>
      </c>
      <c r="M1163" s="56" t="str">
        <f ca="1">IF(F1146&gt;ENTRY!$D$24,"",IF(L1163=0,"Ab",IF(L1163&gt;80,"A",IF(L1163&gt;60,"B",IF(L1163&gt;44,"C",IF(L1163&gt;=33,"D",IF(L1163&lt;=32,"E","")))))))</f>
        <v>E</v>
      </c>
      <c r="N1163" s="57" t="s">
        <v>729</v>
      </c>
      <c r="O1163" s="58"/>
      <c r="P1163" s="59"/>
      <c r="Q1163" s="19"/>
      <c r="R1163" s="11"/>
    </row>
    <row r="1164" s="1" customFormat="1" ht="21.95" customHeight="1" spans="1:18">
      <c r="A1164" s="7"/>
      <c r="B1164" s="12"/>
      <c r="C1164" s="33"/>
      <c r="D1164" s="52" t="s">
        <v>513</v>
      </c>
      <c r="E1164" s="53"/>
      <c r="F1164" s="54">
        <f ca="1">IFERROR(VLOOKUP(F1146,'RR-3.1-5TH'!$A$12:'RR-3.1-5TH'!$BN$111,17,0),"")</f>
        <v>1</v>
      </c>
      <c r="G1164" s="54">
        <f ca="1">IFERROR(VLOOKUP(F1146,'RR-3.1-5TH'!$A$12:'RR-3.1-5TH'!$BN$111,18,0),"")</f>
        <v>0</v>
      </c>
      <c r="H1164" s="54">
        <f ca="1">IFERROR(VLOOKUP(F1146,'RR-3.1-5TH'!$A$12:'RR-3.1-5TH'!$BN$111,19,0),"")</f>
        <v>0</v>
      </c>
      <c r="I1164" s="54">
        <f ca="1">IFERROR(VLOOKUP(F1146,'RR-3.1-5TH'!$A$12:'RR-3.1-5TH'!$BN$111,20,0),"")</f>
        <v>0</v>
      </c>
      <c r="J1164" s="54">
        <f ca="1">IFERROR(VLOOKUP(F1146,'RR-3.1-5TH'!$A$12:'RR-3.1-5TH'!$BN$111,21,0),"")</f>
        <v>13</v>
      </c>
      <c r="K1164" s="54">
        <f ca="1">IFERROR(VLOOKUP(F1146,'RR-3.1-5TH'!$A$12:'RR-3.1-5TH'!$BN$111,22,0),"")</f>
        <v>0</v>
      </c>
      <c r="L1164" s="55">
        <f ca="1" t="shared" si="60"/>
        <v>14</v>
      </c>
      <c r="M1164" s="56" t="str">
        <f ca="1">IF(F1146&gt;ENTRY!$D$24,"",IF(L1164=0,"Ab",IF(L1164&gt;80,"A",IF(L1164&gt;60,"B",IF(L1164&gt;44,"C",IF(L1164&gt;=33,"D",IF(L1164&lt;=32,"E","")))))))</f>
        <v>E</v>
      </c>
      <c r="N1164" s="58"/>
      <c r="O1164" s="58"/>
      <c r="P1164" s="59"/>
      <c r="Q1164" s="19"/>
      <c r="R1164" s="11"/>
    </row>
    <row r="1165" s="1" customFormat="1" ht="21.95" customHeight="1" spans="1:18">
      <c r="A1165" s="7"/>
      <c r="B1165" s="12"/>
      <c r="C1165" s="33"/>
      <c r="D1165" s="52" t="s">
        <v>718</v>
      </c>
      <c r="E1165" s="53"/>
      <c r="F1165" s="54">
        <f ca="1">IFERROR(VLOOKUP(F1146,'RR-3.1-5TH'!$A$12:'RR-3.1-5TH'!$BN$111,25,0),"")</f>
        <v>1</v>
      </c>
      <c r="G1165" s="54">
        <f ca="1">IFERROR(VLOOKUP(F1146,'RR-3.1-5TH'!$A$12:'RR-3.1-5TH'!$BN$111,26,0),"")</f>
        <v>0</v>
      </c>
      <c r="H1165" s="54">
        <f ca="1">IFERROR(VLOOKUP(F1146,'RR-3.1-5TH'!$A$12:'RR-3.1-5TH'!$BN$111,27,0),"")</f>
        <v>0</v>
      </c>
      <c r="I1165" s="54">
        <f ca="1">IFERROR(VLOOKUP(F1146,'RR-3.1-5TH'!$A$12:'RR-3.1-5TH'!$BN$111,28,0),"")</f>
        <v>0</v>
      </c>
      <c r="J1165" s="54">
        <f ca="1">IFERROR(VLOOKUP(F1146,'RR-3.1-5TH'!$A$12:'RR-3.1-5TH'!$BN$111,29,0),"")</f>
        <v>13</v>
      </c>
      <c r="K1165" s="54">
        <f ca="1">IFERROR(VLOOKUP(F1146,'RR-3.1-5TH'!$A$12:'RR-3.1-5TH'!$BN$111,30,0),"")</f>
        <v>0</v>
      </c>
      <c r="L1165" s="55">
        <f ca="1" t="shared" si="60"/>
        <v>14</v>
      </c>
      <c r="M1165" s="56" t="str">
        <f ca="1">IF(F1146&gt;ENTRY!$D$24,"",IF(L1165=0,"Ab",IF(L1165&gt;80,"A",IF(L1165&gt;60,"B",IF(L1165&gt;44,"C",IF(L1165&gt;=33,"D",IF(L1165&lt;=32,"E","")))))))</f>
        <v>E</v>
      </c>
      <c r="N1165" s="29"/>
      <c r="O1165" s="29"/>
      <c r="P1165" s="19"/>
      <c r="Q1165" s="19"/>
      <c r="R1165" s="11"/>
    </row>
    <row r="1166" s="1" customFormat="1" ht="21.95" customHeight="1" spans="1:18">
      <c r="A1166" s="7"/>
      <c r="B1166" s="12"/>
      <c r="C1166" s="33"/>
      <c r="D1166" s="52" t="s">
        <v>719</v>
      </c>
      <c r="E1166" s="53"/>
      <c r="F1166" s="54">
        <f ca="1">IFERROR(VLOOKUP(F1146,'RR-3.1-5TH'!$A$12:'RR-3.1-5TH'!$BN$111,33,0),"")</f>
        <v>1</v>
      </c>
      <c r="G1166" s="54">
        <f ca="1">IFERROR(VLOOKUP(F1146,'RR-3.1-5TH'!$A$12:'RR-3.1-5TH'!$BN$111,34,0),"")</f>
        <v>0</v>
      </c>
      <c r="H1166" s="54">
        <f ca="1">IFERROR(VLOOKUP(F1146,'RR-3.1-5TH'!$A$12:'RR-3.1-5TH'!$BN$111,35,0),"")</f>
        <v>0</v>
      </c>
      <c r="I1166" s="54">
        <f ca="1">IFERROR(VLOOKUP(F1146,'RR-3.1-5TH'!$A$12:'RR-3.1-5TH'!$BN$111,36,0),"")</f>
        <v>0</v>
      </c>
      <c r="J1166" s="54">
        <f ca="1">IFERROR(VLOOKUP(F1146,'RR-3.1-5TH'!$A$12:'RR-3.1-5TH'!$BN$111,37,0),"")</f>
        <v>13</v>
      </c>
      <c r="K1166" s="54">
        <f ca="1">IFERROR(VLOOKUP(F1146,'RR-3.1-5TH'!$A$12:'RR-3.1-5TH'!$BN$111,38,0),"")</f>
        <v>0</v>
      </c>
      <c r="L1166" s="55">
        <f ca="1" t="shared" si="60"/>
        <v>14</v>
      </c>
      <c r="M1166" s="56" t="str">
        <f ca="1">IF(F1146&gt;ENTRY!$D$24,"",IF(L1166=0,"Ab",IF(L1166&gt;80,"A",IF(L1166&gt;60,"B",IF(L1166&gt;44,"C",IF(L1166&gt;=33,"D",IF(L1166&lt;=32,"E","")))))))</f>
        <v>E</v>
      </c>
      <c r="N1166" s="29"/>
      <c r="O1166" s="29"/>
      <c r="P1166" s="19"/>
      <c r="Q1166" s="19"/>
      <c r="R1166" s="11"/>
    </row>
    <row r="1167" s="1" customFormat="1" ht="21.95" customHeight="1" spans="1:18">
      <c r="A1167" s="7"/>
      <c r="B1167" s="12"/>
      <c r="C1167" s="33"/>
      <c r="D1167" s="52" t="s">
        <v>548</v>
      </c>
      <c r="E1167" s="53"/>
      <c r="F1167" s="54">
        <f ca="1">IFERROR(VLOOKUP(F1146,'RR-3.1-5TH'!$A$12:'RR-3.1-5TH'!$BN$111,41,0),"")</f>
        <v>0</v>
      </c>
      <c r="G1167" s="54">
        <f ca="1">IFERROR(VLOOKUP(F1146,'RR-3.1-5TH'!$A$12:'RR-3.1-5TH'!$BN$111,42,0),"")</f>
        <v>0</v>
      </c>
      <c r="H1167" s="54">
        <f ca="1">IFERROR(VLOOKUP(F1146,'RR-3.1-5TH'!$A$12:'RR-3.1-5TH'!$BN$111,43,0),"")</f>
        <v>0</v>
      </c>
      <c r="I1167" s="54">
        <f ca="1">IFERROR(VLOOKUP(F1146,'RR-3.1-5TH'!$A$12:'RR-3.1-5TH'!$BN$111,44,0),"")</f>
        <v>0</v>
      </c>
      <c r="J1167" s="54">
        <f ca="1">IFERROR(VLOOKUP(F1146,'RR-3.1-5TH'!$A$12:'RR-3.1-5TH'!$BN$111,45,0),"")</f>
        <v>13</v>
      </c>
      <c r="K1167" s="54">
        <f ca="1">IFERROR(VLOOKUP(F1146,'RR-3.1-5TH'!$A$12:'RR-3.1-5TH'!$BN$111,46,0),"")</f>
        <v>0</v>
      </c>
      <c r="L1167" s="55">
        <f ca="1" t="shared" si="60"/>
        <v>13</v>
      </c>
      <c r="M1167" s="56" t="str">
        <f ca="1">IF(F1146&gt;ENTRY!$D$24,"",IF(L1167=0,"Ab",IF(L1167&gt;80,"A",IF(L1167&gt;60,"B",IF(L1167&gt;44,"C",IF(L1167&gt;=33,"D",IF(L1167&lt;=32,"E","")))))))</f>
        <v>E</v>
      </c>
      <c r="N1167" s="29"/>
      <c r="O1167" s="29"/>
      <c r="P1167" s="19"/>
      <c r="Q1167" s="19"/>
      <c r="R1167" s="11"/>
    </row>
    <row r="1168" s="1" customFormat="1" ht="21.95" customHeight="1" spans="1:18">
      <c r="A1168" s="7"/>
      <c r="B1168" s="12"/>
      <c r="C1168" s="33"/>
      <c r="D1168" s="52" t="s">
        <v>549</v>
      </c>
      <c r="E1168" s="53"/>
      <c r="F1168" s="54">
        <f ca="1">IFERROR(VLOOKUP(F1146,'RR-3.1-5TH'!$A$12:'RR-3.1-5TH'!$BN$111,49,0),"")</f>
        <v>2</v>
      </c>
      <c r="G1168" s="54">
        <f ca="1">IFERROR(VLOOKUP(F1146,'RR-3.1-5TH'!$A$12:'RR-3.1-5TH'!$BN$111,50,0),"")</f>
        <v>0</v>
      </c>
      <c r="H1168" s="54">
        <f ca="1">IFERROR(VLOOKUP(F1146,'RR-3.1-5TH'!$A$12:'RR-3.1-5TH'!$BN$111,51,0),"")</f>
        <v>0</v>
      </c>
      <c r="I1168" s="54">
        <f ca="1">IFERROR(VLOOKUP(F1146,'RR-3.1-5TH'!$A$12:'RR-3.1-5TH'!$BN$111,52,0),"")</f>
        <v>0</v>
      </c>
      <c r="J1168" s="54">
        <f ca="1">IFERROR(VLOOKUP(F1146,'RR-3.1-5TH'!$A$12:'RR-3.1-5TH'!$BN$111,53,0),"")</f>
        <v>18</v>
      </c>
      <c r="K1168" s="54">
        <f ca="1">IFERROR(VLOOKUP(F1146,'RR-3.1-5TH'!$A$12:'RR-3.1-5TH'!$BN$111,54,0),"")</f>
        <v>0</v>
      </c>
      <c r="L1168" s="55">
        <f ca="1" t="shared" si="60"/>
        <v>20</v>
      </c>
      <c r="M1168" s="56" t="str">
        <f ca="1">IF(F1146&gt;ENTRY!$D$24,"",IF(L1168=0,"Ab",IF(L1168&gt;80,"A",IF(L1168&gt;60,"B",IF(L1168&gt;44,"C",IF(L1168&gt;=33,"D",IF(L1168&lt;=32,"E","")))))))</f>
        <v>E</v>
      </c>
      <c r="N1168" s="57" t="s">
        <v>752</v>
      </c>
      <c r="O1168" s="58"/>
      <c r="P1168" s="59"/>
      <c r="Q1168" s="19"/>
      <c r="R1168" s="11"/>
    </row>
    <row r="1169" s="1" customFormat="1" ht="21.95" customHeight="1" spans="1:19">
      <c r="A1169" s="7"/>
      <c r="B1169" s="12"/>
      <c r="C1169" s="33"/>
      <c r="D1169" s="52" t="s">
        <v>753</v>
      </c>
      <c r="E1169" s="53"/>
      <c r="F1169" s="60"/>
      <c r="G1169" s="54"/>
      <c r="H1169" s="54"/>
      <c r="I1169" s="54"/>
      <c r="J1169" s="54"/>
      <c r="K1169" s="54"/>
      <c r="L1169" s="55">
        <f t="shared" ref="L1169" si="61">SUM(G1169:K1169)</f>
        <v>0</v>
      </c>
      <c r="M1169" s="56" t="str">
        <f>IF(F1146&gt;ENTRY!$D$24,"",IF(L1169=0,"",IF(L1169&gt;79,"A",IF(L1169&gt;59,"B",IF(L1169&gt;44,"C",IF(L1169&gt;=33,"D",IF(L1169&lt;=32,"E","")))))))</f>
        <v/>
      </c>
      <c r="N1169" s="58"/>
      <c r="O1169" s="58"/>
      <c r="P1169" s="59"/>
      <c r="Q1169" s="19"/>
      <c r="R1169" s="11"/>
    </row>
    <row r="1170" s="1" customFormat="1" ht="21.95" customHeight="1" spans="1:19">
      <c r="A1170" s="7"/>
      <c r="B1170" s="12"/>
      <c r="C1170" s="33"/>
      <c r="D1170" s="45" t="s">
        <v>382</v>
      </c>
      <c r="E1170" s="46"/>
      <c r="F1170" s="54">
        <f ca="1" t="shared" ref="F1170:L1170" si="62">IFERROR(SUM(F1163:F1169),"")</f>
        <v>6</v>
      </c>
      <c r="G1170" s="54">
        <f ca="1" t="shared" si="62"/>
        <v>0</v>
      </c>
      <c r="H1170" s="54">
        <f ca="1" t="shared" si="62"/>
        <v>0</v>
      </c>
      <c r="I1170" s="54">
        <f ca="1" t="shared" si="62"/>
        <v>0</v>
      </c>
      <c r="J1170" s="54">
        <f ca="1" t="shared" si="62"/>
        <v>100</v>
      </c>
      <c r="K1170" s="54">
        <f ca="1" t="shared" si="62"/>
        <v>0</v>
      </c>
      <c r="L1170" s="55">
        <f ca="1" t="shared" si="62"/>
        <v>106</v>
      </c>
      <c r="M1170" s="61" t="str">
        <f ca="1">IF(F1146&gt;ENTRY!$D$24,"",IF(N1171="Ab","Ab",IF(N1171&gt;79.5,"A",IF(N1171&gt;59.5,"B",IF(N1171&gt;44.5,"C",IF(N1171&gt;=33,"D",IF(N1171&lt;33,"E","")))))))</f>
        <v>E</v>
      </c>
      <c r="N1170" s="62"/>
      <c r="O1170" s="58"/>
      <c r="P1170" s="59"/>
      <c r="Q1170" s="19"/>
      <c r="R1170" s="11"/>
    </row>
    <row r="1171" s="1" customFormat="1" ht="21.95" customHeight="1" spans="1:19">
      <c r="A1171" s="7"/>
      <c r="B1171" s="12"/>
      <c r="C1171" s="33"/>
      <c r="D1171" s="63" t="s">
        <v>721</v>
      </c>
      <c r="E1171" s="63"/>
      <c r="F1171" s="63"/>
      <c r="G1171" s="63"/>
      <c r="H1171" s="63"/>
      <c r="I1171" s="63"/>
      <c r="J1171" s="63"/>
      <c r="K1171" s="63"/>
      <c r="L1171" s="63"/>
      <c r="M1171" s="63"/>
      <c r="N1171" s="64">
        <f ca="1">IF(L1170="Ab","Ab",L1170/6)</f>
        <v>17.6666666666667</v>
      </c>
      <c r="O1171" s="65"/>
      <c r="P1171" s="19"/>
      <c r="Q1171" s="19"/>
      <c r="R1171" s="11"/>
    </row>
    <row r="1172" s="1" customFormat="1" ht="21.95" customHeight="1" spans="1:19">
      <c r="A1172" s="7"/>
      <c r="B1172" s="12"/>
      <c r="C1172" s="33"/>
      <c r="D1172" s="29" t="s">
        <v>716</v>
      </c>
      <c r="E1172" s="18" t="str">
        <f>IFERROR(VLOOKUP(F1146,'1to4-2.1-RR'!$A$12:$BG$111,57,0),"")</f>
        <v>PROMOTED</v>
      </c>
      <c r="F1172" s="18"/>
      <c r="G1172" s="18"/>
      <c r="H1172" s="18"/>
      <c r="I1172" s="18"/>
      <c r="J1172" s="18"/>
      <c r="K1172" s="18"/>
      <c r="L1172" s="18"/>
      <c r="M1172" s="18"/>
      <c r="N1172" s="29"/>
      <c r="O1172" s="29"/>
      <c r="P1172" s="19"/>
      <c r="Q1172" s="19"/>
      <c r="R1172" s="11"/>
    </row>
    <row r="1173" s="1" customFormat="1" ht="9.95" customHeight="1" spans="1:19">
      <c r="A1173" s="7"/>
      <c r="B1173" s="12"/>
      <c r="C1173" s="33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19"/>
      <c r="Q1173" s="19"/>
      <c r="R1173" s="11"/>
    </row>
    <row r="1174" s="1" customFormat="1" ht="36" spans="1:19">
      <c r="A1174" s="7"/>
      <c r="B1174" s="12"/>
      <c r="C1174" s="33"/>
      <c r="D1174" s="66" t="s">
        <v>576</v>
      </c>
      <c r="E1174" s="67" t="s">
        <v>754</v>
      </c>
      <c r="F1174" s="47">
        <f>IF(F1146&gt;ENTRY!$D$24,"",IFERROR(VLOOKUP(F1146,PASHEET!$A$4:$CJ$103,88,0),""))</f>
        <v>0</v>
      </c>
      <c r="G1174" s="67" t="s">
        <v>755</v>
      </c>
      <c r="H1174" s="47">
        <f>IF(F1146&gt;ENTRY!$D$24,"",IFERROR(VLOOKUP(F1146,PASHEET!$A$4:$CJ$103,87,0),""))</f>
        <v>0</v>
      </c>
      <c r="I1174" s="68" t="s">
        <v>756</v>
      </c>
      <c r="J1174" s="69" t="str">
        <f>IF(F1146&gt;ENTRY!$D$24,"",IFERROR(IF(F1146&gt;0,H1174/F1174*100),""))</f>
        <v/>
      </c>
      <c r="K1174" s="60" t="s">
        <v>757</v>
      </c>
      <c r="L1174" s="70">
        <f ca="1">IF(F1146&gt;ENTRY!$D$24,"",IFERROR(L1170/600*100,""))</f>
        <v>17.6666666666667</v>
      </c>
      <c r="M1174" s="47" t="str">
        <f ca="1">IF(F1146&gt;ENTRY!$D$24,"",IFERROR(L1170&amp;" / "&amp;"600",""))</f>
        <v>106 / 600</v>
      </c>
      <c r="N1174" s="29"/>
      <c r="O1174" s="29"/>
      <c r="P1174" s="19"/>
      <c r="Q1174" s="19"/>
      <c r="R1174" s="11"/>
    </row>
    <row r="1175" s="1" customFormat="1" ht="9.95" customHeight="1" spans="1:19">
      <c r="A1175" s="7"/>
      <c r="B1175" s="12"/>
      <c r="C1175" s="39"/>
      <c r="D1175" s="40"/>
      <c r="E1175" s="40"/>
      <c r="F1175" s="40"/>
      <c r="G1175" s="40"/>
      <c r="H1175" s="40"/>
      <c r="I1175" s="40"/>
      <c r="J1175" s="40"/>
      <c r="K1175" s="40"/>
      <c r="L1175" s="40"/>
      <c r="M1175" s="40"/>
      <c r="N1175" s="40"/>
      <c r="O1175" s="40"/>
      <c r="P1175" s="41"/>
      <c r="Q1175" s="19"/>
      <c r="R1175" s="11"/>
    </row>
    <row r="1176" s="1" customFormat="1" ht="9.95" customHeight="1" spans="1:19">
      <c r="A1176" s="7"/>
      <c r="B1176" s="12"/>
      <c r="C1176" s="71"/>
      <c r="D1176" s="71"/>
      <c r="E1176" s="71"/>
      <c r="F1176" s="29"/>
      <c r="G1176" s="71"/>
      <c r="H1176" s="71"/>
      <c r="I1176" s="71"/>
      <c r="J1176" s="71"/>
      <c r="K1176" s="71"/>
      <c r="L1176" s="71"/>
      <c r="M1176" s="71"/>
      <c r="N1176" s="71"/>
      <c r="O1176" s="71"/>
      <c r="P1176" s="71"/>
      <c r="Q1176" s="19"/>
      <c r="R1176" s="11"/>
    </row>
    <row r="1177" s="1" customFormat="1" ht="9.95" customHeight="1" spans="1:19">
      <c r="A1177" s="7"/>
      <c r="B1177" s="12"/>
      <c r="C1177" s="29"/>
      <c r="D1177" s="29"/>
      <c r="E1177" s="29"/>
      <c r="F1177" s="72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19"/>
      <c r="R1177" s="11"/>
    </row>
    <row r="1178" s="1" customFormat="1" ht="9.95" customHeight="1" spans="1:19">
      <c r="A1178" s="7"/>
      <c r="B1178" s="12"/>
      <c r="C1178" s="30"/>
      <c r="D1178" s="31"/>
      <c r="E1178" s="31"/>
      <c r="F1178" s="31"/>
      <c r="G1178" s="31"/>
      <c r="H1178" s="31"/>
      <c r="I1178" s="31"/>
      <c r="J1178" s="31"/>
      <c r="K1178" s="31"/>
      <c r="L1178" s="31"/>
      <c r="M1178" s="31"/>
      <c r="N1178" s="31"/>
      <c r="O1178" s="31"/>
      <c r="P1178" s="32"/>
      <c r="Q1178" s="19"/>
      <c r="R1178" s="11"/>
    </row>
    <row r="1179" s="1" customFormat="1" ht="21.95" customHeight="1" spans="1:19">
      <c r="A1179" s="7"/>
      <c r="B1179" s="12"/>
      <c r="C1179" s="73" t="s">
        <v>7</v>
      </c>
      <c r="D1179" s="13"/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74"/>
      <c r="Q1179" s="19"/>
      <c r="R1179" s="11"/>
      <c r="S1179" s="2"/>
    </row>
    <row r="1180" s="1" customFormat="1" ht="21.95" customHeight="1" spans="1:19">
      <c r="A1180" s="7"/>
      <c r="B1180" s="12"/>
      <c r="C1180" s="33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19"/>
      <c r="Q1180" s="19"/>
      <c r="R1180" s="11"/>
    </row>
    <row r="1181" s="1" customFormat="1" ht="21.95" customHeight="1" spans="1:19">
      <c r="A1181" s="7"/>
      <c r="B1181" s="12"/>
      <c r="C1181" s="75" t="str">
        <f>"SESSION-"&amp;ENTRY!$D$11</f>
        <v>SESSION-2026-27</v>
      </c>
      <c r="D1181" s="15"/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76"/>
      <c r="Q1181" s="19"/>
      <c r="R1181" s="11"/>
    </row>
    <row r="1182" s="1" customFormat="1" ht="18" customHeight="1" spans="1:19">
      <c r="A1182" s="7"/>
      <c r="B1182" s="12"/>
      <c r="C1182" s="33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19"/>
      <c r="Q1182" s="19"/>
      <c r="R1182" s="11"/>
    </row>
    <row r="1183" s="1" customFormat="1" ht="21.95" customHeight="1" spans="1:19">
      <c r="A1183" s="7"/>
      <c r="B1183" s="12"/>
      <c r="C1183" s="33"/>
      <c r="D1183" s="77" t="s">
        <v>758</v>
      </c>
      <c r="E1183" s="77"/>
      <c r="F1183" s="78" t="str">
        <f>IFERROR(PROPER(VLOOKUP(F1146,STUDENT!$A$2:$BP$101,5,0)),"")</f>
        <v>Sobhit Paswan</v>
      </c>
      <c r="G1183" s="78"/>
      <c r="H1183" s="78"/>
      <c r="I1183" s="78"/>
      <c r="J1183" s="78"/>
      <c r="K1183" s="78"/>
      <c r="L1183" s="78"/>
      <c r="M1183" s="78"/>
      <c r="N1183" s="79" t="s">
        <v>759</v>
      </c>
      <c r="O1183" s="79"/>
      <c r="P1183" s="19"/>
      <c r="Q1183" s="19"/>
      <c r="R1183" s="11"/>
    </row>
    <row r="1184" s="1" customFormat="1" ht="21.95" customHeight="1" spans="1:19">
      <c r="A1184" s="7"/>
      <c r="B1184" s="12"/>
      <c r="C1184" s="33"/>
      <c r="D1184" s="80" t="s">
        <v>760</v>
      </c>
      <c r="E1184" s="81" t="str">
        <f>IFERROR(PROPER(VLOOKUP(F1146,STUDENT!$A$2:$BP$101,9,0)),"")</f>
        <v>Soni Devi</v>
      </c>
      <c r="F1184" s="81"/>
      <c r="G1184" s="81"/>
      <c r="H1184" s="80" t="s">
        <v>761</v>
      </c>
      <c r="I1184" s="82" t="str">
        <f>IFERROR(PROPER(VLOOKUP(F1146,STUDENT!$A$2:$BP$101,8,0)),"")</f>
        <v>Shankar Paswan</v>
      </c>
      <c r="J1184" s="82"/>
      <c r="K1184" s="82"/>
      <c r="L1184" s="82"/>
      <c r="M1184" s="80" t="s">
        <v>762</v>
      </c>
      <c r="N1184" s="83" t="str">
        <f>IFERROR(VLOOKUP(F1146,STUDENT!$A$2:$BP$101,59,0),"")</f>
        <v/>
      </c>
      <c r="O1184" s="83"/>
      <c r="P1184" s="19"/>
      <c r="Q1184" s="19"/>
      <c r="R1184" s="11"/>
    </row>
    <row r="1185" s="1" customFormat="1" ht="21.95" customHeight="1" spans="1:18">
      <c r="A1185" s="7"/>
      <c r="B1185" s="12"/>
      <c r="C1185" s="33"/>
      <c r="D1185" s="77" t="str">
        <f>"has    completed     his  /  her     primary     level     education    in    the    year    "&amp;RIGHT(ENTRY!$D1151,4)&amp;"    from    ( School    Name )"</f>
        <v>has    completed     his  /  her     primary     level     education    in    the    year        from    ( School    Name )</v>
      </c>
      <c r="E1185" s="77"/>
      <c r="F1185" s="77"/>
      <c r="G1185" s="77"/>
      <c r="H1185" s="77"/>
      <c r="I1185" s="77"/>
      <c r="J1185" s="77"/>
      <c r="K1185" s="77"/>
      <c r="L1185" s="77"/>
      <c r="M1185" s="77"/>
      <c r="N1185" s="77"/>
      <c r="O1185" s="77"/>
      <c r="P1185" s="19"/>
      <c r="Q1185" s="19"/>
      <c r="R1185" s="11"/>
    </row>
    <row r="1186" s="1" customFormat="1" ht="21.95" customHeight="1" spans="1:18">
      <c r="A1186" s="7"/>
      <c r="B1186" s="12"/>
      <c r="C1186" s="33"/>
      <c r="D1186" s="81" t="str">
        <f>IF(F1146&gt;0,ENTRY!$D$6,"")</f>
        <v>MCP NITHARI NO 1 BOYS</v>
      </c>
      <c r="E1186" s="81"/>
      <c r="F1186" s="81"/>
      <c r="G1186" s="81"/>
      <c r="H1186" s="81"/>
      <c r="I1186" s="81"/>
      <c r="J1186" s="81"/>
      <c r="K1186" s="81"/>
      <c r="L1186" s="81"/>
      <c r="M1186" s="80" t="s">
        <v>763</v>
      </c>
      <c r="N1186" s="84">
        <f>IF(F1146&gt;0,ENTRY!$D$7,"")</f>
        <v>0</v>
      </c>
      <c r="O1186" s="84"/>
      <c r="P1186" s="85" t="s">
        <v>727</v>
      </c>
      <c r="Q1186" s="19"/>
      <c r="R1186" s="11"/>
    </row>
    <row r="1187" s="1" customFormat="1" ht="21.95" customHeight="1" spans="1:18">
      <c r="A1187" s="7"/>
      <c r="B1187" s="12"/>
      <c r="C1187" s="33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19"/>
      <c r="Q1187" s="19"/>
      <c r="R1187" s="11"/>
    </row>
    <row r="1188" s="1" customFormat="1" ht="21.95" customHeight="1" spans="1:18">
      <c r="A1188" s="7"/>
      <c r="B1188" s="12"/>
      <c r="C1188" s="33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19"/>
      <c r="Q1188" s="19"/>
      <c r="R1188" s="11"/>
    </row>
    <row r="1189" s="1" customFormat="1" ht="21.95" customHeight="1" spans="1:18">
      <c r="A1189" s="7"/>
      <c r="B1189" s="12"/>
      <c r="C1189" s="33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19"/>
      <c r="Q1189" s="19"/>
      <c r="R1189" s="11"/>
    </row>
    <row r="1190" s="1" customFormat="1" ht="21.95" customHeight="1" spans="1:18">
      <c r="A1190" s="7"/>
      <c r="B1190" s="12"/>
      <c r="C1190" s="33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19"/>
      <c r="Q1190" s="19"/>
      <c r="R1190" s="11"/>
    </row>
    <row r="1191" s="1" customFormat="1" ht="21.95" customHeight="1" spans="1:18">
      <c r="A1191" s="7"/>
      <c r="B1191" s="12"/>
      <c r="C1191" s="33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19"/>
      <c r="Q1191" s="19"/>
      <c r="R1191" s="11"/>
    </row>
    <row r="1192" s="1" customFormat="1" ht="21.95" customHeight="1" spans="1:18">
      <c r="A1192" s="7"/>
      <c r="B1192" s="12"/>
      <c r="C1192" s="33"/>
      <c r="D1192" s="80" t="s">
        <v>728</v>
      </c>
      <c r="E1192" s="86">
        <f>ENTRY!$D$27</f>
        <v>46102</v>
      </c>
      <c r="F1192" s="86"/>
      <c r="G1192" s="29"/>
      <c r="H1192" s="29"/>
      <c r="I1192" s="29"/>
      <c r="J1192" s="29"/>
      <c r="K1192" s="29"/>
      <c r="L1192" s="29"/>
      <c r="M1192" s="87" t="s">
        <v>730</v>
      </c>
      <c r="N1192" s="87"/>
      <c r="O1192" s="87"/>
      <c r="P1192" s="19"/>
      <c r="Q1192" s="19"/>
      <c r="R1192" s="11"/>
    </row>
    <row r="1193" s="1" customFormat="1" ht="21.95" customHeight="1" spans="1:18">
      <c r="A1193" s="7"/>
      <c r="B1193" s="12"/>
      <c r="C1193" s="33"/>
      <c r="D1193" s="80" t="s">
        <v>731</v>
      </c>
      <c r="E1193" s="88" t="str">
        <f>PROPER(ENTRY!$D$28)</f>
        <v>New Delhi</v>
      </c>
      <c r="F1193" s="88"/>
      <c r="G1193" s="29"/>
      <c r="H1193" s="29"/>
      <c r="I1193" s="29"/>
      <c r="J1193" s="29"/>
      <c r="K1193" s="29"/>
      <c r="L1193" s="29"/>
      <c r="M1193" s="89" t="s">
        <v>732</v>
      </c>
      <c r="N1193" s="89"/>
      <c r="O1193" s="89"/>
      <c r="P1193" s="19"/>
      <c r="Q1193" s="19"/>
      <c r="R1193" s="11"/>
    </row>
    <row r="1194" s="1" customFormat="1" ht="21.95" customHeight="1" spans="1:18">
      <c r="A1194" s="7"/>
      <c r="B1194" s="12"/>
      <c r="C1194" s="90"/>
      <c r="D1194" s="91"/>
      <c r="E1194" s="91"/>
      <c r="F1194" s="91"/>
      <c r="G1194" s="91"/>
      <c r="H1194" s="91"/>
      <c r="I1194" s="91"/>
      <c r="J1194" s="91"/>
      <c r="K1194" s="91"/>
      <c r="L1194" s="91"/>
      <c r="M1194" s="91"/>
      <c r="N1194" s="91"/>
      <c r="O1194" s="91"/>
      <c r="P1194" s="92"/>
      <c r="Q1194" s="14"/>
      <c r="R1194" s="11"/>
    </row>
    <row r="1195" s="1" customFormat="1" ht="5.1" customHeight="1" spans="1:18">
      <c r="A1195" s="7"/>
      <c r="B1195" s="90"/>
      <c r="C1195" s="91"/>
      <c r="D1195" s="91"/>
      <c r="E1195" s="91"/>
      <c r="F1195" s="91"/>
      <c r="G1195" s="91"/>
      <c r="H1195" s="91"/>
      <c r="I1195" s="91"/>
      <c r="J1195" s="91"/>
      <c r="K1195" s="91"/>
      <c r="L1195" s="91"/>
      <c r="M1195" s="91"/>
      <c r="N1195" s="91"/>
      <c r="O1195" s="91"/>
      <c r="P1195" s="91"/>
      <c r="Q1195" s="92"/>
      <c r="R1195" s="11"/>
    </row>
    <row r="1196" s="1" customFormat="1" ht="5.1" customHeight="1" spans="1:18">
      <c r="A1196" s="93"/>
      <c r="B1196" s="94"/>
      <c r="C1196" s="94"/>
      <c r="D1196" s="94"/>
      <c r="E1196" s="94"/>
      <c r="F1196" s="94"/>
      <c r="G1196" s="94"/>
      <c r="H1196" s="94"/>
      <c r="I1196" s="94"/>
      <c r="J1196" s="94"/>
      <c r="K1196" s="94"/>
      <c r="L1196" s="94"/>
      <c r="M1196" s="94"/>
      <c r="N1196" s="94"/>
      <c r="O1196" s="94"/>
      <c r="P1196" s="94"/>
      <c r="Q1196" s="94"/>
      <c r="R1196" s="95"/>
    </row>
    <row r="1197" s="2" customFormat="1" ht="9.95" customHeight="1"/>
    <row r="1198" s="1" customFormat="1" ht="5.1" customHeight="1" spans="1:18">
      <c r="A1198" s="4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6"/>
    </row>
    <row r="1199" s="1" customFormat="1" ht="15" customHeight="1" spans="1:18">
      <c r="A1199" s="7"/>
      <c r="B1199" s="8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9"/>
      <c r="O1199" s="9"/>
      <c r="P1199" s="9"/>
      <c r="Q1199" s="10"/>
      <c r="R1199" s="11"/>
    </row>
    <row r="1200" s="1" customFormat="1" ht="21.95" customHeight="1" spans="1:18">
      <c r="A1200" s="7"/>
      <c r="B1200" s="12"/>
      <c r="C1200" s="13" t="s">
        <v>7</v>
      </c>
      <c r="D1200" s="13"/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/>
      <c r="Q1200" s="14"/>
      <c r="R1200" s="11"/>
    </row>
    <row r="1201" s="1" customFormat="1" ht="21.95" customHeight="1" spans="1:18">
      <c r="A1201" s="7"/>
      <c r="B1201" s="1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14"/>
      <c r="R1201" s="11"/>
    </row>
    <row r="1202" s="1" customFormat="1" ht="21.95" customHeight="1" spans="1:18">
      <c r="A1202" s="7"/>
      <c r="B1202" s="12"/>
      <c r="C1202" s="15" t="str">
        <f>"SESSION-"&amp;ENTRY!$D$11</f>
        <v>SESSION-2026-27</v>
      </c>
      <c r="D1202" s="15"/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4"/>
      <c r="R1202" s="11"/>
    </row>
    <row r="1203" s="1" customFormat="1" ht="21.95" customHeight="1" spans="1:18">
      <c r="A1203" s="7"/>
      <c r="B1203" s="12"/>
      <c r="C1203" s="2"/>
      <c r="D1203" s="2"/>
      <c r="E1203" s="2"/>
      <c r="F1203" s="16">
        <f>F1146+1</f>
        <v>22</v>
      </c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14"/>
      <c r="R1203" s="11"/>
    </row>
    <row r="1204" s="1" customFormat="1" ht="21.95" customHeight="1" spans="1:18">
      <c r="A1204" s="7"/>
      <c r="B1204" s="12"/>
      <c r="C1204" s="17" t="s">
        <v>392</v>
      </c>
      <c r="D1204" s="17"/>
      <c r="E1204" s="17"/>
      <c r="F1204" s="18" t="str">
        <f>IF(F1203&gt;0,ENTRY!$D$6,"")</f>
        <v>MCP NITHARI NO 1 BOYS</v>
      </c>
      <c r="G1204" s="18"/>
      <c r="H1204" s="18"/>
      <c r="I1204" s="18"/>
      <c r="J1204" s="18"/>
      <c r="K1204" s="18"/>
      <c r="L1204" s="18"/>
      <c r="M1204" s="18"/>
      <c r="N1204" s="18"/>
      <c r="O1204" s="18"/>
      <c r="P1204" s="18"/>
      <c r="Q1204" s="19"/>
      <c r="R1204" s="11"/>
    </row>
    <row r="1205" s="1" customFormat="1" ht="21.95" customHeight="1" spans="1:18">
      <c r="A1205" s="7"/>
      <c r="B1205" s="12"/>
      <c r="C1205" s="17" t="s">
        <v>393</v>
      </c>
      <c r="D1205" s="17"/>
      <c r="E1205" s="17"/>
      <c r="F1205" s="18">
        <f>IF(F1203&gt;0,ENTRY!$D$7,"")</f>
        <v>0</v>
      </c>
      <c r="G1205" s="18"/>
      <c r="H1205" s="20" t="s">
        <v>702</v>
      </c>
      <c r="I1205" s="20"/>
      <c r="J1205" s="21">
        <f>IF(F1203&gt;0,ENTRY!$D$10,"")</f>
        <v>40</v>
      </c>
      <c r="K1205" s="20" t="s">
        <v>703</v>
      </c>
      <c r="L1205" s="22" t="str">
        <f>IF(F1203&gt;0,ENTRY!$D$5,"")</f>
        <v>ROHINI ZONE</v>
      </c>
      <c r="M1205" s="22"/>
      <c r="N1205" s="22"/>
      <c r="O1205" s="22"/>
      <c r="P1205" s="22"/>
      <c r="Q1205" s="19"/>
      <c r="R1205" s="11"/>
    </row>
    <row r="1206" s="1" customFormat="1" ht="21.95" customHeight="1" spans="1:18">
      <c r="A1206" s="7"/>
      <c r="B1206" s="12"/>
      <c r="C1206" s="17" t="s">
        <v>706</v>
      </c>
      <c r="D1206" s="17"/>
      <c r="E1206" s="17"/>
      <c r="F1206" s="23" t="str">
        <f>IFERROR(VLOOKUP(F1203,STUDENT!$A$2:$BP$101,5,0),"")</f>
        <v>ABHISHEK MUKHIYA</v>
      </c>
      <c r="G1206" s="23"/>
      <c r="H1206" s="23"/>
      <c r="I1206" s="23"/>
      <c r="J1206" s="23"/>
      <c r="K1206" s="23"/>
      <c r="L1206" s="20" t="s">
        <v>707</v>
      </c>
      <c r="M1206" s="20"/>
      <c r="N1206" s="24" t="str">
        <f>IF(F1203&gt;0,ENTRY!$D$20&amp;"-"&amp;ENTRY!$D$21,"")</f>
        <v>III-A</v>
      </c>
      <c r="O1206" s="24"/>
      <c r="P1206" s="24"/>
      <c r="Q1206" s="19"/>
      <c r="R1206" s="11"/>
    </row>
    <row r="1207" s="1" customFormat="1" ht="21.95" customHeight="1" spans="1:18">
      <c r="A1207" s="7"/>
      <c r="B1207" s="12"/>
      <c r="C1207" s="17" t="s">
        <v>708</v>
      </c>
      <c r="D1207" s="17"/>
      <c r="E1207" s="17"/>
      <c r="F1207" s="25">
        <f>IFERROR(VLOOKUP(F1203,STUDENT!$A$2:$BP$101,6,0),"")</f>
        <v>14804</v>
      </c>
      <c r="G1207" s="25"/>
      <c r="H1207" s="26" t="s">
        <v>709</v>
      </c>
      <c r="I1207" s="27" t="str">
        <f>IFERROR(VLOOKUP(F1203,STUDENT!$A$2:$BP$101,59,0),"")</f>
        <v/>
      </c>
      <c r="J1207" s="27"/>
      <c r="K1207" s="20" t="s">
        <v>710</v>
      </c>
      <c r="L1207" s="20"/>
      <c r="M1207" s="28">
        <f>IFERROR(VLOOKUP(F1203,STUDENT!$A$2:$BP$101,20,0),"")</f>
        <v>9311687350</v>
      </c>
      <c r="N1207" s="28"/>
      <c r="O1207" s="28"/>
      <c r="P1207" s="28"/>
      <c r="Q1207" s="19"/>
      <c r="R1207" s="11"/>
    </row>
    <row r="1208" s="1" customFormat="1" ht="21.95" customHeight="1" spans="1:18">
      <c r="A1208" s="7"/>
      <c r="B1208" s="12"/>
      <c r="C1208" s="17" t="s">
        <v>711</v>
      </c>
      <c r="D1208" s="17"/>
      <c r="E1208" s="17"/>
      <c r="F1208" s="23" t="str">
        <f>IFERROR(VLOOKUP(F1203,STUDENT!$A$2:$BP$101,9,0),"")</f>
        <v>SUNITA DEVI</v>
      </c>
      <c r="G1208" s="23"/>
      <c r="H1208" s="23"/>
      <c r="I1208" s="23"/>
      <c r="J1208" s="17" t="s">
        <v>620</v>
      </c>
      <c r="K1208" s="17"/>
      <c r="L1208" s="23" t="str">
        <f>IFERROR(VLOOKUP(F1203,STUDENT!$A$2:$BP$101,8,0),"")</f>
        <v>ARJUN MUKHIYA</v>
      </c>
      <c r="M1208" s="23"/>
      <c r="N1208" s="23"/>
      <c r="O1208" s="23"/>
      <c r="P1208" s="23"/>
      <c r="Q1208" s="19"/>
      <c r="R1208" s="11"/>
    </row>
    <row r="1209" s="1" customFormat="1" ht="21.95" customHeight="1" spans="1:18">
      <c r="A1209" s="7"/>
      <c r="B1209" s="12"/>
      <c r="C1209" s="17" t="s">
        <v>712</v>
      </c>
      <c r="D1209" s="17"/>
      <c r="E1209" s="17"/>
      <c r="F1209" s="23" t="str">
        <f>IFERROR(VLOOKUP(F1203,STUDENT!$A$2:$BP$101,22,0),"")</f>
        <v>D-577 INDER ENCLAVE KIRARI SULEMAN NAGAR</v>
      </c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19"/>
      <c r="R1209" s="11"/>
    </row>
    <row r="1210" s="1" customFormat="1" ht="9.95" customHeight="1" spans="1:18">
      <c r="A1210" s="7"/>
      <c r="B1210" s="12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19"/>
      <c r="R1210" s="11"/>
    </row>
    <row r="1211" s="1" customFormat="1" ht="9.95" customHeight="1" spans="1:18">
      <c r="A1211" s="7"/>
      <c r="B1211" s="12"/>
      <c r="C1211" s="30"/>
      <c r="D1211" s="31"/>
      <c r="E1211" s="31"/>
      <c r="F1211" s="31"/>
      <c r="G1211" s="31"/>
      <c r="H1211" s="31"/>
      <c r="I1211" s="31"/>
      <c r="J1211" s="31"/>
      <c r="K1211" s="31"/>
      <c r="L1211" s="31"/>
      <c r="M1211" s="31"/>
      <c r="N1211" s="31"/>
      <c r="O1211" s="31"/>
      <c r="P1211" s="32"/>
      <c r="Q1211" s="19"/>
      <c r="R1211" s="11"/>
    </row>
    <row r="1212" s="1" customFormat="1" ht="21.95" customHeight="1" spans="1:18">
      <c r="A1212" s="7"/>
      <c r="B1212" s="12"/>
      <c r="C1212" s="33"/>
      <c r="D1212" s="34" t="s">
        <v>713</v>
      </c>
      <c r="E1212" s="20" t="s">
        <v>714</v>
      </c>
      <c r="F1212" s="35" t="str">
        <f>"Level - "&amp;IFERROR(VLOOKUP(F1203,FLN!$A$4:$K$103,9,0),"")</f>
        <v>Level - 2</v>
      </c>
      <c r="G1212" s="36"/>
      <c r="H1212" s="37" t="s">
        <v>715</v>
      </c>
      <c r="I1212" s="20"/>
      <c r="J1212" s="35" t="str">
        <f>"Level - "&amp;IFERROR(VLOOKUP(F1203,FLN!$A$4:$K$103,11,0),"")</f>
        <v>Level - 3</v>
      </c>
      <c r="K1212" s="36"/>
      <c r="L1212" s="37" t="s">
        <v>408</v>
      </c>
      <c r="M1212" s="20"/>
      <c r="N1212" s="35" t="str">
        <f>"Level - "&amp;IFERROR(VLOOKUP(F1203,FLN!$A$4:$K$103,10,0),"")</f>
        <v>Level - 2</v>
      </c>
      <c r="O1212" s="36"/>
      <c r="P1212" s="19"/>
      <c r="Q1212" s="19"/>
      <c r="R1212" s="11"/>
    </row>
    <row r="1213" s="1" customFormat="1" ht="21.95" customHeight="1" spans="1:18">
      <c r="A1213" s="7"/>
      <c r="B1213" s="12"/>
      <c r="C1213" s="33"/>
      <c r="D1213" s="38"/>
      <c r="E1213" s="20" t="s">
        <v>716</v>
      </c>
      <c r="F1213" s="18" t="str">
        <f ca="1">IF(L1227&gt;197,"PERFORMED WELL","")</f>
        <v/>
      </c>
      <c r="G1213" s="18"/>
      <c r="H1213" s="18"/>
      <c r="I1213" s="18"/>
      <c r="J1213" s="18"/>
      <c r="K1213" s="18"/>
      <c r="L1213" s="18"/>
      <c r="M1213" s="18"/>
      <c r="N1213" s="18"/>
      <c r="O1213" s="18"/>
      <c r="P1213" s="19"/>
      <c r="Q1213" s="19"/>
      <c r="R1213" s="11"/>
    </row>
    <row r="1214" s="1" customFormat="1" ht="9.95" customHeight="1" spans="1:18">
      <c r="A1214" s="7"/>
      <c r="B1214" s="12"/>
      <c r="C1214" s="39"/>
      <c r="D1214" s="40"/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  <c r="O1214" s="40"/>
      <c r="P1214" s="41"/>
      <c r="Q1214" s="19"/>
      <c r="R1214" s="11"/>
    </row>
    <row r="1215" s="1" customFormat="1" ht="9.95" customHeight="1" spans="1:18">
      <c r="A1215" s="7"/>
      <c r="B1215" s="12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19"/>
      <c r="R1215" s="11"/>
    </row>
    <row r="1216" s="1" customFormat="1" ht="9.95" customHeight="1" spans="1:18">
      <c r="A1216" s="7"/>
      <c r="B1216" s="12"/>
      <c r="C1216" s="30"/>
      <c r="D1216" s="31"/>
      <c r="E1216" s="31"/>
      <c r="F1216" s="31"/>
      <c r="G1216" s="31"/>
      <c r="H1216" s="31"/>
      <c r="I1216" s="31"/>
      <c r="J1216" s="31"/>
      <c r="K1216" s="31"/>
      <c r="L1216" s="31"/>
      <c r="M1216" s="31"/>
      <c r="N1216" s="31"/>
      <c r="O1216" s="31"/>
      <c r="P1216" s="32"/>
      <c r="Q1216" s="19"/>
      <c r="R1216" s="11"/>
    </row>
    <row r="1217" s="1" customFormat="1" ht="21.95" customHeight="1" spans="1:18">
      <c r="A1217" s="7"/>
      <c r="B1217" s="12"/>
      <c r="C1217" s="33"/>
      <c r="D1217" s="35"/>
      <c r="E1217" s="24"/>
      <c r="F1217" s="42" t="s">
        <v>717</v>
      </c>
      <c r="G1217" s="42"/>
      <c r="H1217" s="42"/>
      <c r="I1217" s="42"/>
      <c r="J1217" s="42"/>
      <c r="K1217" s="42"/>
      <c r="L1217" s="43"/>
      <c r="M1217" s="44"/>
      <c r="N1217" s="29"/>
      <c r="O1217" s="29"/>
      <c r="P1217" s="19"/>
      <c r="Q1217" s="19"/>
      <c r="R1217" s="11"/>
    </row>
    <row r="1218" s="1" customFormat="1" ht="21.95" customHeight="1" spans="1:18">
      <c r="A1218" s="7"/>
      <c r="B1218" s="12"/>
      <c r="C1218" s="33"/>
      <c r="D1218" s="45"/>
      <c r="E1218" s="46"/>
      <c r="F1218" s="47" t="s">
        <v>541</v>
      </c>
      <c r="G1218" s="47" t="s">
        <v>542</v>
      </c>
      <c r="H1218" s="47" t="s">
        <v>543</v>
      </c>
      <c r="I1218" s="47" t="s">
        <v>544</v>
      </c>
      <c r="J1218" s="47" t="s">
        <v>561</v>
      </c>
      <c r="K1218" s="48" t="s">
        <v>750</v>
      </c>
      <c r="L1218" s="47" t="s">
        <v>382</v>
      </c>
      <c r="M1218" s="49" t="s">
        <v>546</v>
      </c>
      <c r="N1218" s="29"/>
      <c r="O1218" s="29"/>
      <c r="P1218" s="19"/>
      <c r="Q1218" s="19"/>
      <c r="R1218" s="11"/>
    </row>
    <row r="1219" s="1" customFormat="1" ht="21.95" customHeight="1" spans="1:18">
      <c r="A1219" s="7"/>
      <c r="B1219" s="12"/>
      <c r="C1219" s="33"/>
      <c r="D1219" s="45" t="s">
        <v>652</v>
      </c>
      <c r="E1219" s="46"/>
      <c r="F1219" s="50">
        <v>10</v>
      </c>
      <c r="G1219" s="50">
        <v>10</v>
      </c>
      <c r="H1219" s="50">
        <v>10</v>
      </c>
      <c r="I1219" s="50">
        <v>10</v>
      </c>
      <c r="J1219" s="50">
        <v>60</v>
      </c>
      <c r="K1219" s="51"/>
      <c r="L1219" s="50">
        <v>100</v>
      </c>
      <c r="M1219" s="49"/>
      <c r="N1219" s="29"/>
      <c r="O1219" s="29"/>
      <c r="P1219" s="19"/>
      <c r="Q1219" s="19"/>
      <c r="R1219" s="11"/>
    </row>
    <row r="1220" s="1" customFormat="1" ht="21.95" customHeight="1" spans="1:18">
      <c r="A1220" s="7"/>
      <c r="B1220" s="12"/>
      <c r="C1220" s="33"/>
      <c r="D1220" s="52" t="s">
        <v>751</v>
      </c>
      <c r="E1220" s="53"/>
      <c r="F1220" s="54">
        <f ca="1">IFERROR(VLOOKUP(F1203,'RR-3.1-5TH'!$A$12:'RR-3.1-5TH'!$BN$111,9,0),"")</f>
        <v>2</v>
      </c>
      <c r="G1220" s="54">
        <f ca="1">IFERROR(VLOOKUP(F1203,'RR-3.1-5TH'!$A$12:'RR-3.1-5TH'!$BN$111,10,0),"")</f>
        <v>0</v>
      </c>
      <c r="H1220" s="54">
        <f ca="1">IFERROR(VLOOKUP(F1203,'RR-3.1-5TH'!$A$12:'RR-3.1-5TH'!$BN$111,11,0),"")</f>
        <v>0</v>
      </c>
      <c r="I1220" s="54">
        <f ca="1">IFERROR(VLOOKUP(F1203,'RR-3.1-5TH'!$A$12:'RR-3.1-5TH'!$BN$111,12,0),"")</f>
        <v>0</v>
      </c>
      <c r="J1220" s="54">
        <f ca="1">IFERROR(VLOOKUP(F1203,'RR-3.1-5TH'!$A$12:'RR-3.1-5TH'!$BN$111,13,0),"")</f>
        <v>45</v>
      </c>
      <c r="K1220" s="54">
        <f ca="1">IFERROR(VLOOKUP(F1203,'RR-3.1-5TH'!$A$12:'RR-3.1-5TH'!$BN$111,14,0),"")</f>
        <v>0</v>
      </c>
      <c r="L1220" s="55">
        <f ca="1" t="shared" ref="L1220:L1225" si="63">SUM(F1220,G1220,H1220,I1220,J1220,K1220)</f>
        <v>47</v>
      </c>
      <c r="M1220" s="56" t="str">
        <f ca="1">IF(F1203&gt;ENTRY!$D$24,"",IF(L1220=0,"Ab",IF(L1220&gt;80,"A",IF(L1220&gt;60,"B",IF(L1220&gt;44,"C",IF(L1220&gt;=33,"D",IF(L1220&lt;=32,"E","")))))))</f>
        <v>C</v>
      </c>
      <c r="N1220" s="57" t="s">
        <v>729</v>
      </c>
      <c r="O1220" s="58"/>
      <c r="P1220" s="59"/>
      <c r="Q1220" s="19"/>
      <c r="R1220" s="11"/>
    </row>
    <row r="1221" s="1" customFormat="1" ht="21.95" customHeight="1" spans="1:18">
      <c r="A1221" s="7"/>
      <c r="B1221" s="12"/>
      <c r="C1221" s="33"/>
      <c r="D1221" s="52" t="s">
        <v>513</v>
      </c>
      <c r="E1221" s="53"/>
      <c r="F1221" s="54">
        <f ca="1">IFERROR(VLOOKUP(F1203,'RR-3.1-5TH'!$A$12:'RR-3.1-5TH'!$BN$111,17,0),"")</f>
        <v>2</v>
      </c>
      <c r="G1221" s="54">
        <f ca="1">IFERROR(VLOOKUP(F1203,'RR-3.1-5TH'!$A$12:'RR-3.1-5TH'!$BN$111,18,0),"")</f>
        <v>0</v>
      </c>
      <c r="H1221" s="54">
        <f ca="1">IFERROR(VLOOKUP(F1203,'RR-3.1-5TH'!$A$12:'RR-3.1-5TH'!$BN$111,19,0),"")</f>
        <v>0</v>
      </c>
      <c r="I1221" s="54">
        <f ca="1">IFERROR(VLOOKUP(F1203,'RR-3.1-5TH'!$A$12:'RR-3.1-5TH'!$BN$111,20,0),"")</f>
        <v>0</v>
      </c>
      <c r="J1221" s="54">
        <f ca="1">IFERROR(VLOOKUP(F1203,'RR-3.1-5TH'!$A$12:'RR-3.1-5TH'!$BN$111,21,0),"")</f>
        <v>26</v>
      </c>
      <c r="K1221" s="54">
        <f ca="1">IFERROR(VLOOKUP(F1203,'RR-3.1-5TH'!$A$12:'RR-3.1-5TH'!$BN$111,22,0),"")</f>
        <v>0</v>
      </c>
      <c r="L1221" s="55">
        <f ca="1" t="shared" si="63"/>
        <v>28</v>
      </c>
      <c r="M1221" s="56" t="str">
        <f ca="1">IF(F1203&gt;ENTRY!$D$24,"",IF(L1221=0,"Ab",IF(L1221&gt;80,"A",IF(L1221&gt;60,"B",IF(L1221&gt;44,"C",IF(L1221&gt;=33,"D",IF(L1221&lt;=32,"E","")))))))</f>
        <v>E</v>
      </c>
      <c r="N1221" s="58"/>
      <c r="O1221" s="58"/>
      <c r="P1221" s="59"/>
      <c r="Q1221" s="19"/>
      <c r="R1221" s="11"/>
    </row>
    <row r="1222" s="1" customFormat="1" ht="21.95" customHeight="1" spans="1:18">
      <c r="A1222" s="7"/>
      <c r="B1222" s="12"/>
      <c r="C1222" s="33"/>
      <c r="D1222" s="52" t="s">
        <v>718</v>
      </c>
      <c r="E1222" s="53"/>
      <c r="F1222" s="54">
        <f ca="1">IFERROR(VLOOKUP(F1203,'RR-3.1-5TH'!$A$12:'RR-3.1-5TH'!$BN$111,25,0),"")</f>
        <v>2</v>
      </c>
      <c r="G1222" s="54">
        <f ca="1">IFERROR(VLOOKUP(F1203,'RR-3.1-5TH'!$A$12:'RR-3.1-5TH'!$BN$111,26,0),"")</f>
        <v>0</v>
      </c>
      <c r="H1222" s="54">
        <f ca="1">IFERROR(VLOOKUP(F1203,'RR-3.1-5TH'!$A$12:'RR-3.1-5TH'!$BN$111,27,0),"")</f>
        <v>0</v>
      </c>
      <c r="I1222" s="54">
        <f ca="1">IFERROR(VLOOKUP(F1203,'RR-3.1-5TH'!$A$12:'RR-3.1-5TH'!$BN$111,28,0),"")</f>
        <v>0</v>
      </c>
      <c r="J1222" s="54">
        <f ca="1">IFERROR(VLOOKUP(F1203,'RR-3.1-5TH'!$A$12:'RR-3.1-5TH'!$BN$111,29,0),"")</f>
        <v>22</v>
      </c>
      <c r="K1222" s="54">
        <f ca="1">IFERROR(VLOOKUP(F1203,'RR-3.1-5TH'!$A$12:'RR-3.1-5TH'!$BN$111,30,0),"")</f>
        <v>0</v>
      </c>
      <c r="L1222" s="55">
        <f ca="1" t="shared" si="63"/>
        <v>24</v>
      </c>
      <c r="M1222" s="56" t="str">
        <f ca="1">IF(F1203&gt;ENTRY!$D$24,"",IF(L1222=0,"Ab",IF(L1222&gt;80,"A",IF(L1222&gt;60,"B",IF(L1222&gt;44,"C",IF(L1222&gt;=33,"D",IF(L1222&lt;=32,"E","")))))))</f>
        <v>E</v>
      </c>
      <c r="N1222" s="29"/>
      <c r="O1222" s="29"/>
      <c r="P1222" s="19"/>
      <c r="Q1222" s="19"/>
      <c r="R1222" s="11"/>
    </row>
    <row r="1223" s="1" customFormat="1" ht="21.95" customHeight="1" spans="1:18">
      <c r="A1223" s="7"/>
      <c r="B1223" s="12"/>
      <c r="C1223" s="33"/>
      <c r="D1223" s="52" t="s">
        <v>719</v>
      </c>
      <c r="E1223" s="53"/>
      <c r="F1223" s="54">
        <f ca="1">IFERROR(VLOOKUP(F1203,'RR-3.1-5TH'!$A$12:'RR-3.1-5TH'!$BN$111,33,0),"")</f>
        <v>2</v>
      </c>
      <c r="G1223" s="54">
        <f ca="1">IFERROR(VLOOKUP(F1203,'RR-3.1-5TH'!$A$12:'RR-3.1-5TH'!$BN$111,34,0),"")</f>
        <v>0</v>
      </c>
      <c r="H1223" s="54">
        <f ca="1">IFERROR(VLOOKUP(F1203,'RR-3.1-5TH'!$A$12:'RR-3.1-5TH'!$BN$111,35,0),"")</f>
        <v>0</v>
      </c>
      <c r="I1223" s="54">
        <f ca="1">IFERROR(VLOOKUP(F1203,'RR-3.1-5TH'!$A$12:'RR-3.1-5TH'!$BN$111,36,0),"")</f>
        <v>0</v>
      </c>
      <c r="J1223" s="54">
        <f ca="1">IFERROR(VLOOKUP(F1203,'RR-3.1-5TH'!$A$12:'RR-3.1-5TH'!$BN$111,37,0),"")</f>
        <v>23</v>
      </c>
      <c r="K1223" s="54">
        <f ca="1">IFERROR(VLOOKUP(F1203,'RR-3.1-5TH'!$A$12:'RR-3.1-5TH'!$BN$111,38,0),"")</f>
        <v>0</v>
      </c>
      <c r="L1223" s="55">
        <f ca="1" t="shared" si="63"/>
        <v>25</v>
      </c>
      <c r="M1223" s="56" t="str">
        <f ca="1">IF(F1203&gt;ENTRY!$D$24,"",IF(L1223=0,"Ab",IF(L1223&gt;80,"A",IF(L1223&gt;60,"B",IF(L1223&gt;44,"C",IF(L1223&gt;=33,"D",IF(L1223&lt;=32,"E","")))))))</f>
        <v>E</v>
      </c>
      <c r="N1223" s="29"/>
      <c r="O1223" s="29"/>
      <c r="P1223" s="19"/>
      <c r="Q1223" s="19"/>
      <c r="R1223" s="11"/>
    </row>
    <row r="1224" s="1" customFormat="1" ht="21.95" customHeight="1" spans="1:18">
      <c r="A1224" s="7"/>
      <c r="B1224" s="12"/>
      <c r="C1224" s="33"/>
      <c r="D1224" s="52" t="s">
        <v>548</v>
      </c>
      <c r="E1224" s="53"/>
      <c r="F1224" s="54">
        <f ca="1">IFERROR(VLOOKUP(F1203,'RR-3.1-5TH'!$A$12:'RR-3.1-5TH'!$BN$111,41,0),"")</f>
        <v>0</v>
      </c>
      <c r="G1224" s="54">
        <f ca="1">IFERROR(VLOOKUP(F1203,'RR-3.1-5TH'!$A$12:'RR-3.1-5TH'!$BN$111,42,0),"")</f>
        <v>0</v>
      </c>
      <c r="H1224" s="54">
        <f ca="1">IFERROR(VLOOKUP(F1203,'RR-3.1-5TH'!$A$12:'RR-3.1-5TH'!$BN$111,43,0),"")</f>
        <v>0</v>
      </c>
      <c r="I1224" s="54">
        <f ca="1">IFERROR(VLOOKUP(F1203,'RR-3.1-5TH'!$A$12:'RR-3.1-5TH'!$BN$111,44,0),"")</f>
        <v>0</v>
      </c>
      <c r="J1224" s="54">
        <f ca="1">IFERROR(VLOOKUP(F1203,'RR-3.1-5TH'!$A$12:'RR-3.1-5TH'!$BN$111,45,0),"")</f>
        <v>25</v>
      </c>
      <c r="K1224" s="54">
        <f ca="1">IFERROR(VLOOKUP(F1203,'RR-3.1-5TH'!$A$12:'RR-3.1-5TH'!$BN$111,46,0),"")</f>
        <v>0</v>
      </c>
      <c r="L1224" s="55">
        <f ca="1" t="shared" si="63"/>
        <v>25</v>
      </c>
      <c r="M1224" s="56" t="str">
        <f ca="1">IF(F1203&gt;ENTRY!$D$24,"",IF(L1224=0,"Ab",IF(L1224&gt;80,"A",IF(L1224&gt;60,"B",IF(L1224&gt;44,"C",IF(L1224&gt;=33,"D",IF(L1224&lt;=32,"E","")))))))</f>
        <v>E</v>
      </c>
      <c r="N1224" s="29"/>
      <c r="O1224" s="29"/>
      <c r="P1224" s="19"/>
      <c r="Q1224" s="19"/>
      <c r="R1224" s="11"/>
    </row>
    <row r="1225" s="1" customFormat="1" ht="21.95" customHeight="1" spans="1:18">
      <c r="A1225" s="7"/>
      <c r="B1225" s="12"/>
      <c r="C1225" s="33"/>
      <c r="D1225" s="52" t="s">
        <v>549</v>
      </c>
      <c r="E1225" s="53"/>
      <c r="F1225" s="54">
        <f ca="1">IFERROR(VLOOKUP(F1203,'RR-3.1-5TH'!$A$12:'RR-3.1-5TH'!$BN$111,49,0),"")</f>
        <v>2</v>
      </c>
      <c r="G1225" s="54">
        <f ca="1">IFERROR(VLOOKUP(F1203,'RR-3.1-5TH'!$A$12:'RR-3.1-5TH'!$BN$111,50,0),"")</f>
        <v>0</v>
      </c>
      <c r="H1225" s="54">
        <f ca="1">IFERROR(VLOOKUP(F1203,'RR-3.1-5TH'!$A$12:'RR-3.1-5TH'!$BN$111,51,0),"")</f>
        <v>0</v>
      </c>
      <c r="I1225" s="54">
        <f ca="1">IFERROR(VLOOKUP(F1203,'RR-3.1-5TH'!$A$12:'RR-3.1-5TH'!$BN$111,52,0),"")</f>
        <v>0</v>
      </c>
      <c r="J1225" s="54">
        <f ca="1">IFERROR(VLOOKUP(F1203,'RR-3.1-5TH'!$A$12:'RR-3.1-5TH'!$BN$111,53,0),"")</f>
        <v>25</v>
      </c>
      <c r="K1225" s="54">
        <f ca="1">IFERROR(VLOOKUP(F1203,'RR-3.1-5TH'!$A$12:'RR-3.1-5TH'!$BN$111,54,0),"")</f>
        <v>0</v>
      </c>
      <c r="L1225" s="55">
        <f ca="1" t="shared" si="63"/>
        <v>27</v>
      </c>
      <c r="M1225" s="56" t="str">
        <f ca="1">IF(F1203&gt;ENTRY!$D$24,"",IF(L1225=0,"Ab",IF(L1225&gt;80,"A",IF(L1225&gt;60,"B",IF(L1225&gt;44,"C",IF(L1225&gt;=33,"D",IF(L1225&lt;=32,"E","")))))))</f>
        <v>E</v>
      </c>
      <c r="N1225" s="57" t="s">
        <v>752</v>
      </c>
      <c r="O1225" s="58"/>
      <c r="P1225" s="59"/>
      <c r="Q1225" s="19"/>
      <c r="R1225" s="11"/>
    </row>
    <row r="1226" s="1" customFormat="1" ht="21.95" customHeight="1" spans="1:18">
      <c r="A1226" s="7"/>
      <c r="B1226" s="12"/>
      <c r="C1226" s="33"/>
      <c r="D1226" s="52" t="s">
        <v>753</v>
      </c>
      <c r="E1226" s="53"/>
      <c r="F1226" s="60"/>
      <c r="G1226" s="54"/>
      <c r="H1226" s="54"/>
      <c r="I1226" s="54"/>
      <c r="J1226" s="54"/>
      <c r="K1226" s="54"/>
      <c r="L1226" s="55">
        <f t="shared" ref="L1226" si="64">SUM(G1226:K1226)</f>
        <v>0</v>
      </c>
      <c r="M1226" s="56" t="str">
        <f>IF(F1203&gt;ENTRY!$D$24,"",IF(L1226=0,"",IF(L1226&gt;79,"A",IF(L1226&gt;59,"B",IF(L1226&gt;44,"C",IF(L1226&gt;=33,"D",IF(L1226&lt;=32,"E","")))))))</f>
        <v/>
      </c>
      <c r="N1226" s="58"/>
      <c r="O1226" s="58"/>
      <c r="P1226" s="59"/>
      <c r="Q1226" s="19"/>
      <c r="R1226" s="11"/>
    </row>
    <row r="1227" s="1" customFormat="1" ht="21.95" customHeight="1" spans="1:18">
      <c r="A1227" s="7"/>
      <c r="B1227" s="12"/>
      <c r="C1227" s="33"/>
      <c r="D1227" s="45" t="s">
        <v>382</v>
      </c>
      <c r="E1227" s="46"/>
      <c r="F1227" s="54">
        <f ca="1" t="shared" ref="F1227:L1227" si="65">IFERROR(SUM(F1220:F1226),"")</f>
        <v>10</v>
      </c>
      <c r="G1227" s="54">
        <f ca="1" t="shared" si="65"/>
        <v>0</v>
      </c>
      <c r="H1227" s="54">
        <f ca="1" t="shared" si="65"/>
        <v>0</v>
      </c>
      <c r="I1227" s="54">
        <f ca="1" t="shared" si="65"/>
        <v>0</v>
      </c>
      <c r="J1227" s="54">
        <f ca="1" t="shared" si="65"/>
        <v>166</v>
      </c>
      <c r="K1227" s="54">
        <f ca="1" t="shared" si="65"/>
        <v>0</v>
      </c>
      <c r="L1227" s="55">
        <f ca="1" t="shared" si="65"/>
        <v>176</v>
      </c>
      <c r="M1227" s="61" t="str">
        <f ca="1">IF(F1203&gt;ENTRY!$D$24,"",IF(N1228="Ab","Ab",IF(N1228&gt;79.5,"A",IF(N1228&gt;59.5,"B",IF(N1228&gt;44.5,"C",IF(N1228&gt;=33,"D",IF(N1228&lt;33,"E","")))))))</f>
        <v>E</v>
      </c>
      <c r="N1227" s="62"/>
      <c r="O1227" s="58"/>
      <c r="P1227" s="59"/>
      <c r="Q1227" s="19"/>
      <c r="R1227" s="11"/>
    </row>
    <row r="1228" s="1" customFormat="1" ht="21.95" customHeight="1" spans="1:18">
      <c r="A1228" s="7"/>
      <c r="B1228" s="12"/>
      <c r="C1228" s="33"/>
      <c r="D1228" s="63" t="s">
        <v>721</v>
      </c>
      <c r="E1228" s="63"/>
      <c r="F1228" s="63"/>
      <c r="G1228" s="63"/>
      <c r="H1228" s="63"/>
      <c r="I1228" s="63"/>
      <c r="J1228" s="63"/>
      <c r="K1228" s="63"/>
      <c r="L1228" s="63"/>
      <c r="M1228" s="63"/>
      <c r="N1228" s="64">
        <f ca="1">IF(L1227="Ab","Ab",L1227/6)</f>
        <v>29.3333333333333</v>
      </c>
      <c r="O1228" s="65"/>
      <c r="P1228" s="19"/>
      <c r="Q1228" s="19"/>
      <c r="R1228" s="11"/>
    </row>
    <row r="1229" s="1" customFormat="1" ht="21.95" customHeight="1" spans="1:18">
      <c r="A1229" s="7"/>
      <c r="B1229" s="12"/>
      <c r="C1229" s="33"/>
      <c r="D1229" s="29" t="s">
        <v>716</v>
      </c>
      <c r="E1229" s="18" t="str">
        <f>IFERROR(VLOOKUP(F1203,'1to4-2.1-RR'!$A$12:$BG$111,57,0),"")</f>
        <v>PROMOTED</v>
      </c>
      <c r="F1229" s="18"/>
      <c r="G1229" s="18"/>
      <c r="H1229" s="18"/>
      <c r="I1229" s="18"/>
      <c r="J1229" s="18"/>
      <c r="K1229" s="18"/>
      <c r="L1229" s="18"/>
      <c r="M1229" s="18"/>
      <c r="N1229" s="29"/>
      <c r="O1229" s="29"/>
      <c r="P1229" s="19"/>
      <c r="Q1229" s="19"/>
      <c r="R1229" s="11"/>
    </row>
    <row r="1230" s="1" customFormat="1" ht="9.95" customHeight="1" spans="1:18">
      <c r="A1230" s="7"/>
      <c r="B1230" s="12"/>
      <c r="C1230" s="33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19"/>
      <c r="Q1230" s="19"/>
      <c r="R1230" s="11"/>
    </row>
    <row r="1231" s="1" customFormat="1" ht="36" spans="1:18">
      <c r="A1231" s="7"/>
      <c r="B1231" s="12"/>
      <c r="C1231" s="33"/>
      <c r="D1231" s="66" t="s">
        <v>576</v>
      </c>
      <c r="E1231" s="67" t="s">
        <v>754</v>
      </c>
      <c r="F1231" s="47">
        <f>IF(F1203&gt;ENTRY!$D$24,"",IFERROR(VLOOKUP(F1203,PASHEET!$A$4:$CJ$103,88,0),""))</f>
        <v>0</v>
      </c>
      <c r="G1231" s="67" t="s">
        <v>755</v>
      </c>
      <c r="H1231" s="47">
        <f>IF(F1203&gt;ENTRY!$D$24,"",IFERROR(VLOOKUP(F1203,PASHEET!$A$4:$CJ$103,87,0),""))</f>
        <v>0</v>
      </c>
      <c r="I1231" s="68" t="s">
        <v>756</v>
      </c>
      <c r="J1231" s="69" t="str">
        <f>IF(F1203&gt;ENTRY!$D$24,"",IFERROR(IF(F1203&gt;0,H1231/F1231*100),""))</f>
        <v/>
      </c>
      <c r="K1231" s="60" t="s">
        <v>757</v>
      </c>
      <c r="L1231" s="70">
        <f ca="1">IF(F1203&gt;ENTRY!$D$24,"",IFERROR(L1227/600*100,""))</f>
        <v>29.3333333333333</v>
      </c>
      <c r="M1231" s="47" t="str">
        <f ca="1">IF(F1203&gt;ENTRY!$D$24,"",IFERROR(L1227&amp;" / "&amp;"600",""))</f>
        <v>176 / 600</v>
      </c>
      <c r="N1231" s="29"/>
      <c r="O1231" s="29"/>
      <c r="P1231" s="19"/>
      <c r="Q1231" s="19"/>
      <c r="R1231" s="11"/>
    </row>
    <row r="1232" s="1" customFormat="1" ht="9.95" customHeight="1" spans="1:18">
      <c r="A1232" s="7"/>
      <c r="B1232" s="12"/>
      <c r="C1232" s="39"/>
      <c r="D1232" s="40"/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  <c r="O1232" s="40"/>
      <c r="P1232" s="41"/>
      <c r="Q1232" s="19"/>
      <c r="R1232" s="11"/>
    </row>
    <row r="1233" s="1" customFormat="1" ht="9.95" customHeight="1" spans="1:19">
      <c r="A1233" s="7"/>
      <c r="B1233" s="12"/>
      <c r="C1233" s="71"/>
      <c r="D1233" s="71"/>
      <c r="E1233" s="71"/>
      <c r="F1233" s="29"/>
      <c r="G1233" s="71"/>
      <c r="H1233" s="71"/>
      <c r="I1233" s="71"/>
      <c r="J1233" s="71"/>
      <c r="K1233" s="71"/>
      <c r="L1233" s="71"/>
      <c r="M1233" s="71"/>
      <c r="N1233" s="71"/>
      <c r="O1233" s="71"/>
      <c r="P1233" s="71"/>
      <c r="Q1233" s="19"/>
      <c r="R1233" s="11"/>
    </row>
    <row r="1234" s="1" customFormat="1" ht="9.95" customHeight="1" spans="1:19">
      <c r="A1234" s="7"/>
      <c r="B1234" s="12"/>
      <c r="C1234" s="29"/>
      <c r="D1234" s="29"/>
      <c r="E1234" s="29"/>
      <c r="F1234" s="72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19"/>
      <c r="R1234" s="11"/>
    </row>
    <row r="1235" s="1" customFormat="1" ht="9.95" customHeight="1" spans="1:19">
      <c r="A1235" s="7"/>
      <c r="B1235" s="12"/>
      <c r="C1235" s="30"/>
      <c r="D1235" s="31"/>
      <c r="E1235" s="31"/>
      <c r="F1235" s="31"/>
      <c r="G1235" s="31"/>
      <c r="H1235" s="31"/>
      <c r="I1235" s="31"/>
      <c r="J1235" s="31"/>
      <c r="K1235" s="31"/>
      <c r="L1235" s="31"/>
      <c r="M1235" s="31"/>
      <c r="N1235" s="31"/>
      <c r="O1235" s="31"/>
      <c r="P1235" s="32"/>
      <c r="Q1235" s="19"/>
      <c r="R1235" s="11"/>
    </row>
    <row r="1236" s="1" customFormat="1" ht="21.95" customHeight="1" spans="1:19">
      <c r="A1236" s="7"/>
      <c r="B1236" s="12"/>
      <c r="C1236" s="73" t="s">
        <v>7</v>
      </c>
      <c r="D1236" s="13"/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74"/>
      <c r="Q1236" s="19"/>
      <c r="R1236" s="11"/>
      <c r="S1236" s="2"/>
    </row>
    <row r="1237" s="1" customFormat="1" ht="21.95" customHeight="1" spans="1:19">
      <c r="A1237" s="7"/>
      <c r="B1237" s="12"/>
      <c r="C1237" s="33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19"/>
      <c r="Q1237" s="19"/>
      <c r="R1237" s="11"/>
    </row>
    <row r="1238" s="1" customFormat="1" ht="21.95" customHeight="1" spans="1:19">
      <c r="A1238" s="7"/>
      <c r="B1238" s="12"/>
      <c r="C1238" s="75" t="str">
        <f>"SESSION-"&amp;ENTRY!$D$11</f>
        <v>SESSION-2026-27</v>
      </c>
      <c r="D1238" s="15"/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76"/>
      <c r="Q1238" s="19"/>
      <c r="R1238" s="11"/>
    </row>
    <row r="1239" s="1" customFormat="1" ht="18" customHeight="1" spans="1:19">
      <c r="A1239" s="7"/>
      <c r="B1239" s="12"/>
      <c r="C1239" s="33"/>
      <c r="D1239" s="29"/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19"/>
      <c r="Q1239" s="19"/>
      <c r="R1239" s="11"/>
    </row>
    <row r="1240" s="1" customFormat="1" ht="21.95" customHeight="1" spans="1:19">
      <c r="A1240" s="7"/>
      <c r="B1240" s="12"/>
      <c r="C1240" s="33"/>
      <c r="D1240" s="77" t="s">
        <v>758</v>
      </c>
      <c r="E1240" s="77"/>
      <c r="F1240" s="78" t="str">
        <f>IFERROR(PROPER(VLOOKUP(F1203,STUDENT!$A$2:$BP$101,5,0)),"")</f>
        <v>Abhishek Mukhiya</v>
      </c>
      <c r="G1240" s="78"/>
      <c r="H1240" s="78"/>
      <c r="I1240" s="78"/>
      <c r="J1240" s="78"/>
      <c r="K1240" s="78"/>
      <c r="L1240" s="78"/>
      <c r="M1240" s="78"/>
      <c r="N1240" s="79" t="s">
        <v>759</v>
      </c>
      <c r="O1240" s="79"/>
      <c r="P1240" s="19"/>
      <c r="Q1240" s="19"/>
      <c r="R1240" s="11"/>
    </row>
    <row r="1241" s="1" customFormat="1" ht="21.95" customHeight="1" spans="1:19">
      <c r="A1241" s="7"/>
      <c r="B1241" s="12"/>
      <c r="C1241" s="33"/>
      <c r="D1241" s="80" t="s">
        <v>760</v>
      </c>
      <c r="E1241" s="81" t="str">
        <f>IFERROR(PROPER(VLOOKUP(F1203,STUDENT!$A$2:$BP$101,9,0)),"")</f>
        <v>Sunita Devi</v>
      </c>
      <c r="F1241" s="81"/>
      <c r="G1241" s="81"/>
      <c r="H1241" s="80" t="s">
        <v>761</v>
      </c>
      <c r="I1241" s="82" t="str">
        <f>IFERROR(PROPER(VLOOKUP(F1203,STUDENT!$A$2:$BP$101,8,0)),"")</f>
        <v>Arjun Mukhiya</v>
      </c>
      <c r="J1241" s="82"/>
      <c r="K1241" s="82"/>
      <c r="L1241" s="82"/>
      <c r="M1241" s="80" t="s">
        <v>762</v>
      </c>
      <c r="N1241" s="83" t="str">
        <f>IFERROR(VLOOKUP(F1203,STUDENT!$A$2:$BP$101,59,0),"")</f>
        <v/>
      </c>
      <c r="O1241" s="83"/>
      <c r="P1241" s="19"/>
      <c r="Q1241" s="19"/>
      <c r="R1241" s="11"/>
    </row>
    <row r="1242" s="1" customFormat="1" ht="21.95" customHeight="1" spans="1:19">
      <c r="A1242" s="7"/>
      <c r="B1242" s="12"/>
      <c r="C1242" s="33"/>
      <c r="D1242" s="77" t="str">
        <f>"has    completed     his  /  her     primary     level     education    in    the    year    "&amp;RIGHT(ENTRY!$D1208,4)&amp;"    from    ( School    Name )"</f>
        <v>has    completed     his  /  her     primary     level     education    in    the    year        from    ( School    Name )</v>
      </c>
      <c r="E1242" s="77"/>
      <c r="F1242" s="77"/>
      <c r="G1242" s="77"/>
      <c r="H1242" s="77"/>
      <c r="I1242" s="77"/>
      <c r="J1242" s="77"/>
      <c r="K1242" s="77"/>
      <c r="L1242" s="77"/>
      <c r="M1242" s="77"/>
      <c r="N1242" s="77"/>
      <c r="O1242" s="77"/>
      <c r="P1242" s="19"/>
      <c r="Q1242" s="19"/>
      <c r="R1242" s="11"/>
    </row>
    <row r="1243" s="1" customFormat="1" ht="21.95" customHeight="1" spans="1:19">
      <c r="A1243" s="7"/>
      <c r="B1243" s="12"/>
      <c r="C1243" s="33"/>
      <c r="D1243" s="81" t="str">
        <f>IF(F1203&gt;0,ENTRY!$D$6,"")</f>
        <v>MCP NITHARI NO 1 BOYS</v>
      </c>
      <c r="E1243" s="81"/>
      <c r="F1243" s="81"/>
      <c r="G1243" s="81"/>
      <c r="H1243" s="81"/>
      <c r="I1243" s="81"/>
      <c r="J1243" s="81"/>
      <c r="K1243" s="81"/>
      <c r="L1243" s="81"/>
      <c r="M1243" s="80" t="s">
        <v>763</v>
      </c>
      <c r="N1243" s="84">
        <f>IF(F1203&gt;0,ENTRY!$D$7,"")</f>
        <v>0</v>
      </c>
      <c r="O1243" s="84"/>
      <c r="P1243" s="85" t="s">
        <v>727</v>
      </c>
      <c r="Q1243" s="19"/>
      <c r="R1243" s="11"/>
    </row>
    <row r="1244" s="1" customFormat="1" ht="21.95" customHeight="1" spans="1:19">
      <c r="A1244" s="7"/>
      <c r="B1244" s="12"/>
      <c r="C1244" s="33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19"/>
      <c r="Q1244" s="19"/>
      <c r="R1244" s="11"/>
    </row>
    <row r="1245" s="1" customFormat="1" ht="21.95" customHeight="1" spans="1:19">
      <c r="A1245" s="7"/>
      <c r="B1245" s="12"/>
      <c r="C1245" s="33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19"/>
      <c r="Q1245" s="19"/>
      <c r="R1245" s="11"/>
    </row>
    <row r="1246" s="1" customFormat="1" ht="21.95" customHeight="1" spans="1:19">
      <c r="A1246" s="7"/>
      <c r="B1246" s="12"/>
      <c r="C1246" s="33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19"/>
      <c r="Q1246" s="19"/>
      <c r="R1246" s="11"/>
    </row>
    <row r="1247" s="1" customFormat="1" ht="21.95" customHeight="1" spans="1:19">
      <c r="A1247" s="7"/>
      <c r="B1247" s="12"/>
      <c r="C1247" s="33"/>
      <c r="D1247" s="29"/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  <c r="O1247" s="29"/>
      <c r="P1247" s="19"/>
      <c r="Q1247" s="19"/>
      <c r="R1247" s="11"/>
    </row>
    <row r="1248" s="1" customFormat="1" ht="21.95" customHeight="1" spans="1:19">
      <c r="A1248" s="7"/>
      <c r="B1248" s="12"/>
      <c r="C1248" s="33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19"/>
      <c r="Q1248" s="19"/>
      <c r="R1248" s="11"/>
    </row>
    <row r="1249" s="1" customFormat="1" ht="21.95" customHeight="1" spans="1:18">
      <c r="A1249" s="7"/>
      <c r="B1249" s="12"/>
      <c r="C1249" s="33"/>
      <c r="D1249" s="80" t="s">
        <v>728</v>
      </c>
      <c r="E1249" s="86">
        <f>ENTRY!$D$27</f>
        <v>46102</v>
      </c>
      <c r="F1249" s="86"/>
      <c r="G1249" s="29"/>
      <c r="H1249" s="29"/>
      <c r="I1249" s="29"/>
      <c r="J1249" s="29"/>
      <c r="K1249" s="29"/>
      <c r="L1249" s="29"/>
      <c r="M1249" s="87" t="s">
        <v>730</v>
      </c>
      <c r="N1249" s="87"/>
      <c r="O1249" s="87"/>
      <c r="P1249" s="19"/>
      <c r="Q1249" s="19"/>
      <c r="R1249" s="11"/>
    </row>
    <row r="1250" s="1" customFormat="1" ht="21.95" customHeight="1" spans="1:18">
      <c r="A1250" s="7"/>
      <c r="B1250" s="12"/>
      <c r="C1250" s="33"/>
      <c r="D1250" s="80" t="s">
        <v>731</v>
      </c>
      <c r="E1250" s="88" t="str">
        <f>PROPER(ENTRY!$D$28)</f>
        <v>New Delhi</v>
      </c>
      <c r="F1250" s="88"/>
      <c r="G1250" s="29"/>
      <c r="H1250" s="29"/>
      <c r="I1250" s="29"/>
      <c r="J1250" s="29"/>
      <c r="K1250" s="29"/>
      <c r="L1250" s="29"/>
      <c r="M1250" s="89" t="s">
        <v>732</v>
      </c>
      <c r="N1250" s="89"/>
      <c r="O1250" s="89"/>
      <c r="P1250" s="19"/>
      <c r="Q1250" s="19"/>
      <c r="R1250" s="11"/>
    </row>
    <row r="1251" s="1" customFormat="1" ht="21.95" customHeight="1" spans="1:18">
      <c r="A1251" s="7"/>
      <c r="B1251" s="12"/>
      <c r="C1251" s="90"/>
      <c r="D1251" s="91"/>
      <c r="E1251" s="91"/>
      <c r="F1251" s="91"/>
      <c r="G1251" s="91"/>
      <c r="H1251" s="91"/>
      <c r="I1251" s="91"/>
      <c r="J1251" s="91"/>
      <c r="K1251" s="91"/>
      <c r="L1251" s="91"/>
      <c r="M1251" s="91"/>
      <c r="N1251" s="91"/>
      <c r="O1251" s="91"/>
      <c r="P1251" s="92"/>
      <c r="Q1251" s="14"/>
      <c r="R1251" s="11"/>
    </row>
    <row r="1252" s="1" customFormat="1" ht="5.1" customHeight="1" spans="1:18">
      <c r="A1252" s="7"/>
      <c r="B1252" s="90"/>
      <c r="C1252" s="91"/>
      <c r="D1252" s="91"/>
      <c r="E1252" s="91"/>
      <c r="F1252" s="91"/>
      <c r="G1252" s="91"/>
      <c r="H1252" s="91"/>
      <c r="I1252" s="91"/>
      <c r="J1252" s="91"/>
      <c r="K1252" s="91"/>
      <c r="L1252" s="91"/>
      <c r="M1252" s="91"/>
      <c r="N1252" s="91"/>
      <c r="O1252" s="91"/>
      <c r="P1252" s="91"/>
      <c r="Q1252" s="92"/>
      <c r="R1252" s="11"/>
    </row>
    <row r="1253" s="1" customFormat="1" ht="5.1" customHeight="1" spans="1:18">
      <c r="A1253" s="93"/>
      <c r="B1253" s="94"/>
      <c r="C1253" s="94"/>
      <c r="D1253" s="94"/>
      <c r="E1253" s="94"/>
      <c r="F1253" s="94"/>
      <c r="G1253" s="94"/>
      <c r="H1253" s="94"/>
      <c r="I1253" s="94"/>
      <c r="J1253" s="94"/>
      <c r="K1253" s="94"/>
      <c r="L1253" s="94"/>
      <c r="M1253" s="94"/>
      <c r="N1253" s="94"/>
      <c r="O1253" s="94"/>
      <c r="P1253" s="94"/>
      <c r="Q1253" s="94"/>
      <c r="R1253" s="95"/>
    </row>
    <row r="1254" s="2" customFormat="1" ht="9.95" customHeight="1"/>
    <row r="1255" s="1" customFormat="1" ht="5.1" customHeight="1" spans="1:18">
      <c r="A1255" s="4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6"/>
    </row>
    <row r="1256" s="1" customFormat="1" ht="15" customHeight="1" spans="1:18">
      <c r="A1256" s="7"/>
      <c r="B1256" s="8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10"/>
      <c r="R1256" s="11"/>
    </row>
    <row r="1257" s="1" customFormat="1" ht="21.95" customHeight="1" spans="1:18">
      <c r="A1257" s="7"/>
      <c r="B1257" s="12"/>
      <c r="C1257" s="13" t="s">
        <v>7</v>
      </c>
      <c r="D1257" s="13"/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/>
      <c r="Q1257" s="14"/>
      <c r="R1257" s="11"/>
    </row>
    <row r="1258" s="1" customFormat="1" ht="21.95" customHeight="1" spans="1:18">
      <c r="A1258" s="7"/>
      <c r="B1258" s="1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14"/>
      <c r="R1258" s="11"/>
    </row>
    <row r="1259" s="1" customFormat="1" ht="21.95" customHeight="1" spans="1:18">
      <c r="A1259" s="7"/>
      <c r="B1259" s="12"/>
      <c r="C1259" s="15" t="str">
        <f>"SESSION-"&amp;ENTRY!$D$11</f>
        <v>SESSION-2026-27</v>
      </c>
      <c r="D1259" s="15"/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4"/>
      <c r="R1259" s="11"/>
    </row>
    <row r="1260" s="1" customFormat="1" ht="21.95" customHeight="1" spans="1:18">
      <c r="A1260" s="7"/>
      <c r="B1260" s="12"/>
      <c r="C1260" s="2"/>
      <c r="D1260" s="2"/>
      <c r="E1260" s="2"/>
      <c r="F1260" s="16">
        <f>F1203+1</f>
        <v>23</v>
      </c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14"/>
      <c r="R1260" s="11"/>
    </row>
    <row r="1261" s="1" customFormat="1" ht="21.95" customHeight="1" spans="1:18">
      <c r="A1261" s="7"/>
      <c r="B1261" s="12"/>
      <c r="C1261" s="17" t="s">
        <v>392</v>
      </c>
      <c r="D1261" s="17"/>
      <c r="E1261" s="17"/>
      <c r="F1261" s="18" t="str">
        <f>IF(F1260&gt;0,ENTRY!$D$6,"")</f>
        <v>MCP NITHARI NO 1 BOYS</v>
      </c>
      <c r="G1261" s="18"/>
      <c r="H1261" s="18"/>
      <c r="I1261" s="18"/>
      <c r="J1261" s="18"/>
      <c r="K1261" s="18"/>
      <c r="L1261" s="18"/>
      <c r="M1261" s="18"/>
      <c r="N1261" s="18"/>
      <c r="O1261" s="18"/>
      <c r="P1261" s="18"/>
      <c r="Q1261" s="19"/>
      <c r="R1261" s="11"/>
    </row>
    <row r="1262" s="1" customFormat="1" ht="21.95" customHeight="1" spans="1:18">
      <c r="A1262" s="7"/>
      <c r="B1262" s="12"/>
      <c r="C1262" s="17" t="s">
        <v>393</v>
      </c>
      <c r="D1262" s="17"/>
      <c r="E1262" s="17"/>
      <c r="F1262" s="18">
        <f>IF(F1260&gt;0,ENTRY!$D$7,"")</f>
        <v>0</v>
      </c>
      <c r="G1262" s="18"/>
      <c r="H1262" s="20" t="s">
        <v>702</v>
      </c>
      <c r="I1262" s="20"/>
      <c r="J1262" s="21">
        <f>IF(F1260&gt;0,ENTRY!$D$10,"")</f>
        <v>40</v>
      </c>
      <c r="K1262" s="20" t="s">
        <v>703</v>
      </c>
      <c r="L1262" s="22" t="str">
        <f>IF(F1260&gt;0,ENTRY!$D$5,"")</f>
        <v>ROHINI ZONE</v>
      </c>
      <c r="M1262" s="22"/>
      <c r="N1262" s="22"/>
      <c r="O1262" s="22"/>
      <c r="P1262" s="22"/>
      <c r="Q1262" s="19"/>
      <c r="R1262" s="11"/>
    </row>
    <row r="1263" s="1" customFormat="1" ht="21.95" customHeight="1" spans="1:18">
      <c r="A1263" s="7"/>
      <c r="B1263" s="12"/>
      <c r="C1263" s="17" t="s">
        <v>706</v>
      </c>
      <c r="D1263" s="17"/>
      <c r="E1263" s="17"/>
      <c r="F1263" s="23" t="str">
        <f>IFERROR(VLOOKUP(F1260,STUDENT!$A$2:$BP$101,5,0),"")</f>
        <v>NITIN</v>
      </c>
      <c r="G1263" s="23"/>
      <c r="H1263" s="23"/>
      <c r="I1263" s="23"/>
      <c r="J1263" s="23"/>
      <c r="K1263" s="23"/>
      <c r="L1263" s="20" t="s">
        <v>707</v>
      </c>
      <c r="M1263" s="20"/>
      <c r="N1263" s="24" t="str">
        <f>IF(F1260&gt;0,ENTRY!$D$20&amp;"-"&amp;ENTRY!$D$21,"")</f>
        <v>III-A</v>
      </c>
      <c r="O1263" s="24"/>
      <c r="P1263" s="24"/>
      <c r="Q1263" s="19"/>
      <c r="R1263" s="11"/>
    </row>
    <row r="1264" s="1" customFormat="1" ht="21.95" customHeight="1" spans="1:18">
      <c r="A1264" s="7"/>
      <c r="B1264" s="12"/>
      <c r="C1264" s="17" t="s">
        <v>708</v>
      </c>
      <c r="D1264" s="17"/>
      <c r="E1264" s="17"/>
      <c r="F1264" s="25">
        <f>IFERROR(VLOOKUP(F1260,STUDENT!$A$2:$BP$101,6,0),"")</f>
        <v>14805</v>
      </c>
      <c r="G1264" s="25"/>
      <c r="H1264" s="26" t="s">
        <v>709</v>
      </c>
      <c r="I1264" s="27" t="str">
        <f>IFERROR(VLOOKUP(F1260,STUDENT!$A$2:$BP$101,59,0),"")</f>
        <v/>
      </c>
      <c r="J1264" s="27"/>
      <c r="K1264" s="20" t="s">
        <v>710</v>
      </c>
      <c r="L1264" s="20"/>
      <c r="M1264" s="28">
        <f>IFERROR(VLOOKUP(F1260,STUDENT!$A$2:$BP$101,20,0),"")</f>
        <v>9971046177</v>
      </c>
      <c r="N1264" s="28"/>
      <c r="O1264" s="28"/>
      <c r="P1264" s="28"/>
      <c r="Q1264" s="19"/>
      <c r="R1264" s="11"/>
    </row>
    <row r="1265" s="1" customFormat="1" ht="21.95" customHeight="1" spans="1:18">
      <c r="A1265" s="7"/>
      <c r="B1265" s="12"/>
      <c r="C1265" s="17" t="s">
        <v>711</v>
      </c>
      <c r="D1265" s="17"/>
      <c r="E1265" s="17"/>
      <c r="F1265" s="23" t="str">
        <f>IFERROR(VLOOKUP(F1260,STUDENT!$A$2:$BP$101,9,0),"")</f>
        <v>RADHA</v>
      </c>
      <c r="G1265" s="23"/>
      <c r="H1265" s="23"/>
      <c r="I1265" s="23"/>
      <c r="J1265" s="17" t="s">
        <v>620</v>
      </c>
      <c r="K1265" s="17"/>
      <c r="L1265" s="23" t="str">
        <f>IFERROR(VLOOKUP(F1260,STUDENT!$A$2:$BP$101,8,0),"")</f>
        <v>AJAY</v>
      </c>
      <c r="M1265" s="23"/>
      <c r="N1265" s="23"/>
      <c r="O1265" s="23"/>
      <c r="P1265" s="23"/>
      <c r="Q1265" s="19"/>
      <c r="R1265" s="11"/>
    </row>
    <row r="1266" s="1" customFormat="1" ht="21.95" customHeight="1" spans="1:18">
      <c r="A1266" s="7"/>
      <c r="B1266" s="12"/>
      <c r="C1266" s="17" t="s">
        <v>712</v>
      </c>
      <c r="D1266" s="17"/>
      <c r="E1266" s="17"/>
      <c r="F1266" s="23" t="str">
        <f>IFERROR(VLOOKUP(F1260,STUDENT!$A$2:$BP$101,22,0),"")</f>
        <v>H.NO-422 JANTA ENCLAVE GALI NO-11 PREM NAGAR -3 KIRARI SULEMAN NAGAR</v>
      </c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19"/>
      <c r="R1266" s="11"/>
    </row>
    <row r="1267" s="1" customFormat="1" ht="9.95" customHeight="1" spans="1:18">
      <c r="A1267" s="7"/>
      <c r="B1267" s="12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19"/>
      <c r="R1267" s="11"/>
    </row>
    <row r="1268" s="1" customFormat="1" ht="9.95" customHeight="1" spans="1:18">
      <c r="A1268" s="7"/>
      <c r="B1268" s="12"/>
      <c r="C1268" s="30"/>
      <c r="D1268" s="31"/>
      <c r="E1268" s="31"/>
      <c r="F1268" s="31"/>
      <c r="G1268" s="31"/>
      <c r="H1268" s="31"/>
      <c r="I1268" s="31"/>
      <c r="J1268" s="31"/>
      <c r="K1268" s="31"/>
      <c r="L1268" s="31"/>
      <c r="M1268" s="31"/>
      <c r="N1268" s="31"/>
      <c r="O1268" s="31"/>
      <c r="P1268" s="32"/>
      <c r="Q1268" s="19"/>
      <c r="R1268" s="11"/>
    </row>
    <row r="1269" s="1" customFormat="1" ht="21.95" customHeight="1" spans="1:18">
      <c r="A1269" s="7"/>
      <c r="B1269" s="12"/>
      <c r="C1269" s="33"/>
      <c r="D1269" s="34" t="s">
        <v>713</v>
      </c>
      <c r="E1269" s="20" t="s">
        <v>714</v>
      </c>
      <c r="F1269" s="35" t="str">
        <f>"Level - "&amp;IFERROR(VLOOKUP(F1260,FLN!$A$4:$K$103,9,0),"")</f>
        <v>Level - 4</v>
      </c>
      <c r="G1269" s="36"/>
      <c r="H1269" s="37" t="s">
        <v>715</v>
      </c>
      <c r="I1269" s="20"/>
      <c r="J1269" s="35" t="str">
        <f>"Level - "&amp;IFERROR(VLOOKUP(F1260,FLN!$A$4:$K$103,11,0),"")</f>
        <v>Level - 4</v>
      </c>
      <c r="K1269" s="36"/>
      <c r="L1269" s="37" t="s">
        <v>408</v>
      </c>
      <c r="M1269" s="20"/>
      <c r="N1269" s="35" t="str">
        <f>"Level - "&amp;IFERROR(VLOOKUP(F1260,FLN!$A$4:$K$103,10,0),"")</f>
        <v>Level - 3</v>
      </c>
      <c r="O1269" s="36"/>
      <c r="P1269" s="19"/>
      <c r="Q1269" s="19"/>
      <c r="R1269" s="11"/>
    </row>
    <row r="1270" s="1" customFormat="1" ht="21.95" customHeight="1" spans="1:18">
      <c r="A1270" s="7"/>
      <c r="B1270" s="12"/>
      <c r="C1270" s="33"/>
      <c r="D1270" s="38"/>
      <c r="E1270" s="20" t="s">
        <v>716</v>
      </c>
      <c r="F1270" s="18" t="str">
        <f ca="1">IF(L1284&gt;197,"PERFORMED WELL","")</f>
        <v/>
      </c>
      <c r="G1270" s="18"/>
      <c r="H1270" s="18"/>
      <c r="I1270" s="18"/>
      <c r="J1270" s="18"/>
      <c r="K1270" s="18"/>
      <c r="L1270" s="18"/>
      <c r="M1270" s="18"/>
      <c r="N1270" s="18"/>
      <c r="O1270" s="18"/>
      <c r="P1270" s="19"/>
      <c r="Q1270" s="19"/>
      <c r="R1270" s="11"/>
    </row>
    <row r="1271" s="1" customFormat="1" ht="9.95" customHeight="1" spans="1:18">
      <c r="A1271" s="7"/>
      <c r="B1271" s="12"/>
      <c r="C1271" s="39"/>
      <c r="D1271" s="40"/>
      <c r="E1271" s="40"/>
      <c r="F1271" s="40"/>
      <c r="G1271" s="40"/>
      <c r="H1271" s="40"/>
      <c r="I1271" s="40"/>
      <c r="J1271" s="40"/>
      <c r="K1271" s="40"/>
      <c r="L1271" s="40"/>
      <c r="M1271" s="40"/>
      <c r="N1271" s="40"/>
      <c r="O1271" s="40"/>
      <c r="P1271" s="41"/>
      <c r="Q1271" s="19"/>
      <c r="R1271" s="11"/>
    </row>
    <row r="1272" s="1" customFormat="1" ht="9.95" customHeight="1" spans="1:18">
      <c r="A1272" s="7"/>
      <c r="B1272" s="12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19"/>
      <c r="R1272" s="11"/>
    </row>
    <row r="1273" s="1" customFormat="1" ht="9.95" customHeight="1" spans="1:18">
      <c r="A1273" s="7"/>
      <c r="B1273" s="12"/>
      <c r="C1273" s="30"/>
      <c r="D1273" s="31"/>
      <c r="E1273" s="31"/>
      <c r="F1273" s="31"/>
      <c r="G1273" s="31"/>
      <c r="H1273" s="31"/>
      <c r="I1273" s="31"/>
      <c r="J1273" s="31"/>
      <c r="K1273" s="31"/>
      <c r="L1273" s="31"/>
      <c r="M1273" s="31"/>
      <c r="N1273" s="31"/>
      <c r="O1273" s="31"/>
      <c r="P1273" s="32"/>
      <c r="Q1273" s="19"/>
      <c r="R1273" s="11"/>
    </row>
    <row r="1274" s="1" customFormat="1" ht="21.95" customHeight="1" spans="1:18">
      <c r="A1274" s="7"/>
      <c r="B1274" s="12"/>
      <c r="C1274" s="33"/>
      <c r="D1274" s="35"/>
      <c r="E1274" s="24"/>
      <c r="F1274" s="42" t="s">
        <v>717</v>
      </c>
      <c r="G1274" s="42"/>
      <c r="H1274" s="42"/>
      <c r="I1274" s="42"/>
      <c r="J1274" s="42"/>
      <c r="K1274" s="42"/>
      <c r="L1274" s="43"/>
      <c r="M1274" s="44"/>
      <c r="N1274" s="29"/>
      <c r="O1274" s="29"/>
      <c r="P1274" s="19"/>
      <c r="Q1274" s="19"/>
      <c r="R1274" s="11"/>
    </row>
    <row r="1275" s="1" customFormat="1" ht="21.95" customHeight="1" spans="1:18">
      <c r="A1275" s="7"/>
      <c r="B1275" s="12"/>
      <c r="C1275" s="33"/>
      <c r="D1275" s="45"/>
      <c r="E1275" s="46"/>
      <c r="F1275" s="47" t="s">
        <v>541</v>
      </c>
      <c r="G1275" s="47" t="s">
        <v>542</v>
      </c>
      <c r="H1275" s="47" t="s">
        <v>543</v>
      </c>
      <c r="I1275" s="47" t="s">
        <v>544</v>
      </c>
      <c r="J1275" s="47" t="s">
        <v>561</v>
      </c>
      <c r="K1275" s="48" t="s">
        <v>750</v>
      </c>
      <c r="L1275" s="47" t="s">
        <v>382</v>
      </c>
      <c r="M1275" s="49" t="s">
        <v>546</v>
      </c>
      <c r="N1275" s="29"/>
      <c r="O1275" s="29"/>
      <c r="P1275" s="19"/>
      <c r="Q1275" s="19"/>
      <c r="R1275" s="11"/>
    </row>
    <row r="1276" s="1" customFormat="1" ht="21.95" customHeight="1" spans="1:18">
      <c r="A1276" s="7"/>
      <c r="B1276" s="12"/>
      <c r="C1276" s="33"/>
      <c r="D1276" s="45" t="s">
        <v>652</v>
      </c>
      <c r="E1276" s="46"/>
      <c r="F1276" s="50">
        <v>10</v>
      </c>
      <c r="G1276" s="50">
        <v>10</v>
      </c>
      <c r="H1276" s="50">
        <v>10</v>
      </c>
      <c r="I1276" s="50">
        <v>10</v>
      </c>
      <c r="J1276" s="50">
        <v>60</v>
      </c>
      <c r="K1276" s="51"/>
      <c r="L1276" s="50">
        <v>100</v>
      </c>
      <c r="M1276" s="49"/>
      <c r="N1276" s="29"/>
      <c r="O1276" s="29"/>
      <c r="P1276" s="19"/>
      <c r="Q1276" s="19"/>
      <c r="R1276" s="11"/>
    </row>
    <row r="1277" s="1" customFormat="1" ht="21.95" customHeight="1" spans="1:18">
      <c r="A1277" s="7"/>
      <c r="B1277" s="12"/>
      <c r="C1277" s="33"/>
      <c r="D1277" s="52" t="s">
        <v>751</v>
      </c>
      <c r="E1277" s="53"/>
      <c r="F1277" s="54">
        <f ca="1">IFERROR(VLOOKUP(F1260,'RR-3.1-5TH'!$A$12:'RR-3.1-5TH'!$BN$111,9,0),"")</f>
        <v>2</v>
      </c>
      <c r="G1277" s="54">
        <f ca="1">IFERROR(VLOOKUP(F1260,'RR-3.1-5TH'!$A$12:'RR-3.1-5TH'!$BN$111,10,0),"")</f>
        <v>0</v>
      </c>
      <c r="H1277" s="54">
        <f ca="1">IFERROR(VLOOKUP(F1260,'RR-3.1-5TH'!$A$12:'RR-3.1-5TH'!$BN$111,11,0),"")</f>
        <v>0</v>
      </c>
      <c r="I1277" s="54">
        <f ca="1">IFERROR(VLOOKUP(F1260,'RR-3.1-5TH'!$A$12:'RR-3.1-5TH'!$BN$111,12,0),"")</f>
        <v>0</v>
      </c>
      <c r="J1277" s="54">
        <f ca="1">IFERROR(VLOOKUP(F1260,'RR-3.1-5TH'!$A$12:'RR-3.1-5TH'!$BN$111,13,0),"")</f>
        <v>45</v>
      </c>
      <c r="K1277" s="54">
        <f ca="1">IFERROR(VLOOKUP(F1260,'RR-3.1-5TH'!$A$12:'RR-3.1-5TH'!$BN$111,14,0),"")</f>
        <v>0</v>
      </c>
      <c r="L1277" s="55">
        <f ca="1" t="shared" ref="L1277:L1282" si="66">SUM(F1277,G1277,H1277,I1277,J1277,K1277)</f>
        <v>47</v>
      </c>
      <c r="M1277" s="56" t="str">
        <f ca="1">IF(F1260&gt;ENTRY!$D$24,"",IF(L1277=0,"Ab",IF(L1277&gt;80,"A",IF(L1277&gt;60,"B",IF(L1277&gt;44,"C",IF(L1277&gt;=33,"D",IF(L1277&lt;=32,"E","")))))))</f>
        <v>C</v>
      </c>
      <c r="N1277" s="57" t="s">
        <v>729</v>
      </c>
      <c r="O1277" s="58"/>
      <c r="P1277" s="59"/>
      <c r="Q1277" s="19"/>
      <c r="R1277" s="11"/>
    </row>
    <row r="1278" s="1" customFormat="1" ht="21.95" customHeight="1" spans="1:18">
      <c r="A1278" s="7"/>
      <c r="B1278" s="12"/>
      <c r="C1278" s="33"/>
      <c r="D1278" s="52" t="s">
        <v>513</v>
      </c>
      <c r="E1278" s="53"/>
      <c r="F1278" s="54">
        <f ca="1">IFERROR(VLOOKUP(F1260,'RR-3.1-5TH'!$A$12:'RR-3.1-5TH'!$BN$111,17,0),"")</f>
        <v>2</v>
      </c>
      <c r="G1278" s="54">
        <f ca="1">IFERROR(VLOOKUP(F1260,'RR-3.1-5TH'!$A$12:'RR-3.1-5TH'!$BN$111,18,0),"")</f>
        <v>0</v>
      </c>
      <c r="H1278" s="54">
        <f ca="1">IFERROR(VLOOKUP(F1260,'RR-3.1-5TH'!$A$12:'RR-3.1-5TH'!$BN$111,19,0),"")</f>
        <v>0</v>
      </c>
      <c r="I1278" s="54">
        <f ca="1">IFERROR(VLOOKUP(F1260,'RR-3.1-5TH'!$A$12:'RR-3.1-5TH'!$BN$111,20,0),"")</f>
        <v>0</v>
      </c>
      <c r="J1278" s="54">
        <f ca="1">IFERROR(VLOOKUP(F1260,'RR-3.1-5TH'!$A$12:'RR-3.1-5TH'!$BN$111,21,0),"")</f>
        <v>23</v>
      </c>
      <c r="K1278" s="54">
        <f ca="1">IFERROR(VLOOKUP(F1260,'RR-3.1-5TH'!$A$12:'RR-3.1-5TH'!$BN$111,22,0),"")</f>
        <v>0</v>
      </c>
      <c r="L1278" s="55">
        <f ca="1" t="shared" si="66"/>
        <v>25</v>
      </c>
      <c r="M1278" s="56" t="str">
        <f ca="1">IF(F1260&gt;ENTRY!$D$24,"",IF(L1278=0,"Ab",IF(L1278&gt;80,"A",IF(L1278&gt;60,"B",IF(L1278&gt;44,"C",IF(L1278&gt;=33,"D",IF(L1278&lt;=32,"E","")))))))</f>
        <v>E</v>
      </c>
      <c r="N1278" s="58"/>
      <c r="O1278" s="58"/>
      <c r="P1278" s="59"/>
      <c r="Q1278" s="19"/>
      <c r="R1278" s="11"/>
    </row>
    <row r="1279" s="1" customFormat="1" ht="21.95" customHeight="1" spans="1:18">
      <c r="A1279" s="7"/>
      <c r="B1279" s="12"/>
      <c r="C1279" s="33"/>
      <c r="D1279" s="52" t="s">
        <v>718</v>
      </c>
      <c r="E1279" s="53"/>
      <c r="F1279" s="54">
        <f ca="1">IFERROR(VLOOKUP(F1260,'RR-3.1-5TH'!$A$12:'RR-3.1-5TH'!$BN$111,25,0),"")</f>
        <v>1</v>
      </c>
      <c r="G1279" s="54">
        <f ca="1">IFERROR(VLOOKUP(F1260,'RR-3.1-5TH'!$A$12:'RR-3.1-5TH'!$BN$111,26,0),"")</f>
        <v>0</v>
      </c>
      <c r="H1279" s="54">
        <f ca="1">IFERROR(VLOOKUP(F1260,'RR-3.1-5TH'!$A$12:'RR-3.1-5TH'!$BN$111,27,0),"")</f>
        <v>0</v>
      </c>
      <c r="I1279" s="54">
        <f ca="1">IFERROR(VLOOKUP(F1260,'RR-3.1-5TH'!$A$12:'RR-3.1-5TH'!$BN$111,28,0),"")</f>
        <v>0</v>
      </c>
      <c r="J1279" s="54">
        <f ca="1">IFERROR(VLOOKUP(F1260,'RR-3.1-5TH'!$A$12:'RR-3.1-5TH'!$BN$111,29,0),"")</f>
        <v>22</v>
      </c>
      <c r="K1279" s="54">
        <f ca="1">IFERROR(VLOOKUP(F1260,'RR-3.1-5TH'!$A$12:'RR-3.1-5TH'!$BN$111,30,0),"")</f>
        <v>0</v>
      </c>
      <c r="L1279" s="55">
        <f ca="1" t="shared" si="66"/>
        <v>23</v>
      </c>
      <c r="M1279" s="56" t="str">
        <f ca="1">IF(F1260&gt;ENTRY!$D$24,"",IF(L1279=0,"Ab",IF(L1279&gt;80,"A",IF(L1279&gt;60,"B",IF(L1279&gt;44,"C",IF(L1279&gt;=33,"D",IF(L1279&lt;=32,"E","")))))))</f>
        <v>E</v>
      </c>
      <c r="N1279" s="29"/>
      <c r="O1279" s="29"/>
      <c r="P1279" s="19"/>
      <c r="Q1279" s="19"/>
      <c r="R1279" s="11"/>
    </row>
    <row r="1280" s="1" customFormat="1" ht="21.95" customHeight="1" spans="1:18">
      <c r="A1280" s="7"/>
      <c r="B1280" s="12"/>
      <c r="C1280" s="33"/>
      <c r="D1280" s="52" t="s">
        <v>719</v>
      </c>
      <c r="E1280" s="53"/>
      <c r="F1280" s="54">
        <f ca="1">IFERROR(VLOOKUP(F1260,'RR-3.1-5TH'!$A$12:'RR-3.1-5TH'!$BN$111,33,0),"")</f>
        <v>1</v>
      </c>
      <c r="G1280" s="54">
        <f ca="1">IFERROR(VLOOKUP(F1260,'RR-3.1-5TH'!$A$12:'RR-3.1-5TH'!$BN$111,34,0),"")</f>
        <v>0</v>
      </c>
      <c r="H1280" s="54">
        <f ca="1">IFERROR(VLOOKUP(F1260,'RR-3.1-5TH'!$A$12:'RR-3.1-5TH'!$BN$111,35,0),"")</f>
        <v>0</v>
      </c>
      <c r="I1280" s="54">
        <f ca="1">IFERROR(VLOOKUP(F1260,'RR-3.1-5TH'!$A$12:'RR-3.1-5TH'!$BN$111,36,0),"")</f>
        <v>0</v>
      </c>
      <c r="J1280" s="54">
        <f ca="1">IFERROR(VLOOKUP(F1260,'RR-3.1-5TH'!$A$12:'RR-3.1-5TH'!$BN$111,37,0),"")</f>
        <v>23</v>
      </c>
      <c r="K1280" s="54">
        <f ca="1">IFERROR(VLOOKUP(F1260,'RR-3.1-5TH'!$A$12:'RR-3.1-5TH'!$BN$111,38,0),"")</f>
        <v>0</v>
      </c>
      <c r="L1280" s="55">
        <f ca="1" t="shared" si="66"/>
        <v>24</v>
      </c>
      <c r="M1280" s="56" t="str">
        <f ca="1">IF(F1260&gt;ENTRY!$D$24,"",IF(L1280=0,"Ab",IF(L1280&gt;80,"A",IF(L1280&gt;60,"B",IF(L1280&gt;44,"C",IF(L1280&gt;=33,"D",IF(L1280&lt;=32,"E","")))))))</f>
        <v>E</v>
      </c>
      <c r="N1280" s="29"/>
      <c r="O1280" s="29"/>
      <c r="P1280" s="19"/>
      <c r="Q1280" s="19"/>
      <c r="R1280" s="11"/>
    </row>
    <row r="1281" s="1" customFormat="1" ht="21.95" customHeight="1" spans="1:19">
      <c r="A1281" s="7"/>
      <c r="B1281" s="12"/>
      <c r="C1281" s="33"/>
      <c r="D1281" s="52" t="s">
        <v>548</v>
      </c>
      <c r="E1281" s="53"/>
      <c r="F1281" s="54">
        <f ca="1">IFERROR(VLOOKUP(F1260,'RR-3.1-5TH'!$A$12:'RR-3.1-5TH'!$BN$111,41,0),"")</f>
        <v>0</v>
      </c>
      <c r="G1281" s="54">
        <f ca="1">IFERROR(VLOOKUP(F1260,'RR-3.1-5TH'!$A$12:'RR-3.1-5TH'!$BN$111,42,0),"")</f>
        <v>0</v>
      </c>
      <c r="H1281" s="54">
        <f ca="1">IFERROR(VLOOKUP(F1260,'RR-3.1-5TH'!$A$12:'RR-3.1-5TH'!$BN$111,43,0),"")</f>
        <v>0</v>
      </c>
      <c r="I1281" s="54">
        <f ca="1">IFERROR(VLOOKUP(F1260,'RR-3.1-5TH'!$A$12:'RR-3.1-5TH'!$BN$111,44,0),"")</f>
        <v>0</v>
      </c>
      <c r="J1281" s="54">
        <f ca="1">IFERROR(VLOOKUP(F1260,'RR-3.1-5TH'!$A$12:'RR-3.1-5TH'!$BN$111,45,0),"")</f>
        <v>21</v>
      </c>
      <c r="K1281" s="54">
        <f ca="1">IFERROR(VLOOKUP(F1260,'RR-3.1-5TH'!$A$12:'RR-3.1-5TH'!$BN$111,46,0),"")</f>
        <v>0</v>
      </c>
      <c r="L1281" s="55">
        <f ca="1" t="shared" si="66"/>
        <v>21</v>
      </c>
      <c r="M1281" s="56" t="str">
        <f ca="1">IF(F1260&gt;ENTRY!$D$24,"",IF(L1281=0,"Ab",IF(L1281&gt;80,"A",IF(L1281&gt;60,"B",IF(L1281&gt;44,"C",IF(L1281&gt;=33,"D",IF(L1281&lt;=32,"E","")))))))</f>
        <v>E</v>
      </c>
      <c r="N1281" s="29"/>
      <c r="O1281" s="29"/>
      <c r="P1281" s="19"/>
      <c r="Q1281" s="19"/>
      <c r="R1281" s="11"/>
    </row>
    <row r="1282" s="1" customFormat="1" ht="21.95" customHeight="1" spans="1:19">
      <c r="A1282" s="7"/>
      <c r="B1282" s="12"/>
      <c r="C1282" s="33"/>
      <c r="D1282" s="52" t="s">
        <v>549</v>
      </c>
      <c r="E1282" s="53"/>
      <c r="F1282" s="54">
        <f ca="1">IFERROR(VLOOKUP(F1260,'RR-3.1-5TH'!$A$12:'RR-3.1-5TH'!$BN$111,49,0),"")</f>
        <v>2</v>
      </c>
      <c r="G1282" s="54">
        <f ca="1">IFERROR(VLOOKUP(F1260,'RR-3.1-5TH'!$A$12:'RR-3.1-5TH'!$BN$111,50,0),"")</f>
        <v>0</v>
      </c>
      <c r="H1282" s="54">
        <f ca="1">IFERROR(VLOOKUP(F1260,'RR-3.1-5TH'!$A$12:'RR-3.1-5TH'!$BN$111,51,0),"")</f>
        <v>0</v>
      </c>
      <c r="I1282" s="54">
        <f ca="1">IFERROR(VLOOKUP(F1260,'RR-3.1-5TH'!$A$12:'RR-3.1-5TH'!$BN$111,52,0),"")</f>
        <v>0</v>
      </c>
      <c r="J1282" s="54">
        <f ca="1">IFERROR(VLOOKUP(F1260,'RR-3.1-5TH'!$A$12:'RR-3.1-5TH'!$BN$111,53,0),"")</f>
        <v>27</v>
      </c>
      <c r="K1282" s="54">
        <f ca="1">IFERROR(VLOOKUP(F1260,'RR-3.1-5TH'!$A$12:'RR-3.1-5TH'!$BN$111,54,0),"")</f>
        <v>0</v>
      </c>
      <c r="L1282" s="55">
        <f ca="1" t="shared" si="66"/>
        <v>29</v>
      </c>
      <c r="M1282" s="56" t="str">
        <f ca="1">IF(F1260&gt;ENTRY!$D$24,"",IF(L1282=0,"Ab",IF(L1282&gt;80,"A",IF(L1282&gt;60,"B",IF(L1282&gt;44,"C",IF(L1282&gt;=33,"D",IF(L1282&lt;=32,"E","")))))))</f>
        <v>E</v>
      </c>
      <c r="N1282" s="57" t="s">
        <v>752</v>
      </c>
      <c r="O1282" s="58"/>
      <c r="P1282" s="59"/>
      <c r="Q1282" s="19"/>
      <c r="R1282" s="11"/>
    </row>
    <row r="1283" s="1" customFormat="1" ht="21.95" customHeight="1" spans="1:19">
      <c r="A1283" s="7"/>
      <c r="B1283" s="12"/>
      <c r="C1283" s="33"/>
      <c r="D1283" s="52" t="s">
        <v>753</v>
      </c>
      <c r="E1283" s="53"/>
      <c r="F1283" s="60"/>
      <c r="G1283" s="54"/>
      <c r="H1283" s="54"/>
      <c r="I1283" s="54"/>
      <c r="J1283" s="54"/>
      <c r="K1283" s="54"/>
      <c r="L1283" s="55">
        <f t="shared" ref="L1283" si="67">SUM(G1283:K1283)</f>
        <v>0</v>
      </c>
      <c r="M1283" s="56" t="str">
        <f>IF(F1260&gt;ENTRY!$D$24,"",IF(L1283=0,"",IF(L1283&gt;79,"A",IF(L1283&gt;59,"B",IF(L1283&gt;44,"C",IF(L1283&gt;=33,"D",IF(L1283&lt;=32,"E","")))))))</f>
        <v/>
      </c>
      <c r="N1283" s="58"/>
      <c r="O1283" s="58"/>
      <c r="P1283" s="59"/>
      <c r="Q1283" s="19"/>
      <c r="R1283" s="11"/>
    </row>
    <row r="1284" s="1" customFormat="1" ht="21.95" customHeight="1" spans="1:19">
      <c r="A1284" s="7"/>
      <c r="B1284" s="12"/>
      <c r="C1284" s="33"/>
      <c r="D1284" s="45" t="s">
        <v>382</v>
      </c>
      <c r="E1284" s="46"/>
      <c r="F1284" s="54">
        <f ca="1" t="shared" ref="F1284:L1284" si="68">IFERROR(SUM(F1277:F1283),"")</f>
        <v>8</v>
      </c>
      <c r="G1284" s="54">
        <f ca="1" t="shared" si="68"/>
        <v>0</v>
      </c>
      <c r="H1284" s="54">
        <f ca="1" t="shared" si="68"/>
        <v>0</v>
      </c>
      <c r="I1284" s="54">
        <f ca="1" t="shared" si="68"/>
        <v>0</v>
      </c>
      <c r="J1284" s="54">
        <f ca="1" t="shared" si="68"/>
        <v>161</v>
      </c>
      <c r="K1284" s="54">
        <f ca="1" t="shared" si="68"/>
        <v>0</v>
      </c>
      <c r="L1284" s="55">
        <f ca="1" t="shared" si="68"/>
        <v>169</v>
      </c>
      <c r="M1284" s="61" t="str">
        <f ca="1">IF(F1260&gt;ENTRY!$D$24,"",IF(N1285="Ab","Ab",IF(N1285&gt;79.5,"A",IF(N1285&gt;59.5,"B",IF(N1285&gt;44.5,"C",IF(N1285&gt;=33,"D",IF(N1285&lt;33,"E","")))))))</f>
        <v>E</v>
      </c>
      <c r="N1284" s="62"/>
      <c r="O1284" s="58"/>
      <c r="P1284" s="59"/>
      <c r="Q1284" s="19"/>
      <c r="R1284" s="11"/>
    </row>
    <row r="1285" s="1" customFormat="1" ht="21.95" customHeight="1" spans="1:19">
      <c r="A1285" s="7"/>
      <c r="B1285" s="12"/>
      <c r="C1285" s="33"/>
      <c r="D1285" s="63" t="s">
        <v>721</v>
      </c>
      <c r="E1285" s="63"/>
      <c r="F1285" s="63"/>
      <c r="G1285" s="63"/>
      <c r="H1285" s="63"/>
      <c r="I1285" s="63"/>
      <c r="J1285" s="63"/>
      <c r="K1285" s="63"/>
      <c r="L1285" s="63"/>
      <c r="M1285" s="63"/>
      <c r="N1285" s="64">
        <f ca="1">IF(L1284="Ab","Ab",L1284/6)</f>
        <v>28.1666666666667</v>
      </c>
      <c r="O1285" s="65"/>
      <c r="P1285" s="19"/>
      <c r="Q1285" s="19"/>
      <c r="R1285" s="11"/>
    </row>
    <row r="1286" s="1" customFormat="1" ht="21.95" customHeight="1" spans="1:19">
      <c r="A1286" s="7"/>
      <c r="B1286" s="12"/>
      <c r="C1286" s="33"/>
      <c r="D1286" s="29" t="s">
        <v>716</v>
      </c>
      <c r="E1286" s="18" t="str">
        <f>IFERROR(VLOOKUP(F1260,'1to4-2.1-RR'!$A$12:$BG$111,57,0),"")</f>
        <v>PROMOTED</v>
      </c>
      <c r="F1286" s="18"/>
      <c r="G1286" s="18"/>
      <c r="H1286" s="18"/>
      <c r="I1286" s="18"/>
      <c r="J1286" s="18"/>
      <c r="K1286" s="18"/>
      <c r="L1286" s="18"/>
      <c r="M1286" s="18"/>
      <c r="N1286" s="29"/>
      <c r="O1286" s="29"/>
      <c r="P1286" s="19"/>
      <c r="Q1286" s="19"/>
      <c r="R1286" s="11"/>
    </row>
    <row r="1287" s="1" customFormat="1" ht="9.95" customHeight="1" spans="1:19">
      <c r="A1287" s="7"/>
      <c r="B1287" s="12"/>
      <c r="C1287" s="33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19"/>
      <c r="Q1287" s="19"/>
      <c r="R1287" s="11"/>
    </row>
    <row r="1288" s="1" customFormat="1" ht="36" spans="1:19">
      <c r="A1288" s="7"/>
      <c r="B1288" s="12"/>
      <c r="C1288" s="33"/>
      <c r="D1288" s="66" t="s">
        <v>576</v>
      </c>
      <c r="E1288" s="67" t="s">
        <v>754</v>
      </c>
      <c r="F1288" s="47">
        <f>IF(F1260&gt;ENTRY!$D$24,"",IFERROR(VLOOKUP(F1260,PASHEET!$A$4:$CJ$103,88,0),""))</f>
        <v>0</v>
      </c>
      <c r="G1288" s="67" t="s">
        <v>755</v>
      </c>
      <c r="H1288" s="47">
        <f>IF(F1260&gt;ENTRY!$D$24,"",IFERROR(VLOOKUP(F1260,PASHEET!$A$4:$CJ$103,87,0),""))</f>
        <v>0</v>
      </c>
      <c r="I1288" s="68" t="s">
        <v>756</v>
      </c>
      <c r="J1288" s="69" t="str">
        <f>IF(F1260&gt;ENTRY!$D$24,"",IFERROR(IF(F1260&gt;0,H1288/F1288*100),""))</f>
        <v/>
      </c>
      <c r="K1288" s="60" t="s">
        <v>757</v>
      </c>
      <c r="L1288" s="70">
        <f ca="1">IF(F1260&gt;ENTRY!$D$24,"",IFERROR(L1284/600*100,""))</f>
        <v>28.1666666666667</v>
      </c>
      <c r="M1288" s="47" t="str">
        <f ca="1">IF(F1260&gt;ENTRY!$D$24,"",IFERROR(L1284&amp;" / "&amp;"600",""))</f>
        <v>169 / 600</v>
      </c>
      <c r="N1288" s="29"/>
      <c r="O1288" s="29"/>
      <c r="P1288" s="19"/>
      <c r="Q1288" s="19"/>
      <c r="R1288" s="11"/>
    </row>
    <row r="1289" s="1" customFormat="1" ht="9.95" customHeight="1" spans="1:19">
      <c r="A1289" s="7"/>
      <c r="B1289" s="12"/>
      <c r="C1289" s="39"/>
      <c r="D1289" s="40"/>
      <c r="E1289" s="40"/>
      <c r="F1289" s="40"/>
      <c r="G1289" s="40"/>
      <c r="H1289" s="40"/>
      <c r="I1289" s="40"/>
      <c r="J1289" s="40"/>
      <c r="K1289" s="40"/>
      <c r="L1289" s="40"/>
      <c r="M1289" s="40"/>
      <c r="N1289" s="40"/>
      <c r="O1289" s="40"/>
      <c r="P1289" s="41"/>
      <c r="Q1289" s="19"/>
      <c r="R1289" s="11"/>
    </row>
    <row r="1290" s="1" customFormat="1" ht="9.95" customHeight="1" spans="1:19">
      <c r="A1290" s="7"/>
      <c r="B1290" s="12"/>
      <c r="C1290" s="71"/>
      <c r="D1290" s="71"/>
      <c r="E1290" s="71"/>
      <c r="F1290" s="29"/>
      <c r="G1290" s="71"/>
      <c r="H1290" s="71"/>
      <c r="I1290" s="71"/>
      <c r="J1290" s="71"/>
      <c r="K1290" s="71"/>
      <c r="L1290" s="71"/>
      <c r="M1290" s="71"/>
      <c r="N1290" s="71"/>
      <c r="O1290" s="71"/>
      <c r="P1290" s="71"/>
      <c r="Q1290" s="19"/>
      <c r="R1290" s="11"/>
    </row>
    <row r="1291" s="1" customFormat="1" ht="9.95" customHeight="1" spans="1:19">
      <c r="A1291" s="7"/>
      <c r="B1291" s="12"/>
      <c r="C1291" s="29"/>
      <c r="D1291" s="29"/>
      <c r="E1291" s="29"/>
      <c r="F1291" s="72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19"/>
      <c r="R1291" s="11"/>
    </row>
    <row r="1292" s="1" customFormat="1" ht="9.95" customHeight="1" spans="1:19">
      <c r="A1292" s="7"/>
      <c r="B1292" s="12"/>
      <c r="C1292" s="30"/>
      <c r="D1292" s="31"/>
      <c r="E1292" s="31"/>
      <c r="F1292" s="31"/>
      <c r="G1292" s="31"/>
      <c r="H1292" s="31"/>
      <c r="I1292" s="31"/>
      <c r="J1292" s="31"/>
      <c r="K1292" s="31"/>
      <c r="L1292" s="31"/>
      <c r="M1292" s="31"/>
      <c r="N1292" s="31"/>
      <c r="O1292" s="31"/>
      <c r="P1292" s="32"/>
      <c r="Q1292" s="19"/>
      <c r="R1292" s="11"/>
    </row>
    <row r="1293" s="1" customFormat="1" ht="21.95" customHeight="1" spans="1:19">
      <c r="A1293" s="7"/>
      <c r="B1293" s="12"/>
      <c r="C1293" s="73" t="s">
        <v>7</v>
      </c>
      <c r="D1293" s="13"/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74"/>
      <c r="Q1293" s="19"/>
      <c r="R1293" s="11"/>
      <c r="S1293" s="2"/>
    </row>
    <row r="1294" s="1" customFormat="1" ht="21.95" customHeight="1" spans="1:19">
      <c r="A1294" s="7"/>
      <c r="B1294" s="12"/>
      <c r="C1294" s="33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19"/>
      <c r="Q1294" s="19"/>
      <c r="R1294" s="11"/>
    </row>
    <row r="1295" s="1" customFormat="1" ht="21.95" customHeight="1" spans="1:19">
      <c r="A1295" s="7"/>
      <c r="B1295" s="12"/>
      <c r="C1295" s="75" t="str">
        <f>"SESSION-"&amp;ENTRY!$D$11</f>
        <v>SESSION-2026-27</v>
      </c>
      <c r="D1295" s="15"/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76"/>
      <c r="Q1295" s="19"/>
      <c r="R1295" s="11"/>
    </row>
    <row r="1296" s="1" customFormat="1" ht="18" customHeight="1" spans="1:19">
      <c r="A1296" s="7"/>
      <c r="B1296" s="12"/>
      <c r="C1296" s="33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19"/>
      <c r="Q1296" s="19"/>
      <c r="R1296" s="11"/>
    </row>
    <row r="1297" s="1" customFormat="1" ht="21.95" customHeight="1" spans="1:18">
      <c r="A1297" s="7"/>
      <c r="B1297" s="12"/>
      <c r="C1297" s="33"/>
      <c r="D1297" s="77" t="s">
        <v>758</v>
      </c>
      <c r="E1297" s="77"/>
      <c r="F1297" s="78" t="str">
        <f>IFERROR(PROPER(VLOOKUP(F1260,STUDENT!$A$2:$BP$101,5,0)),"")</f>
        <v>Nitin</v>
      </c>
      <c r="G1297" s="78"/>
      <c r="H1297" s="78"/>
      <c r="I1297" s="78"/>
      <c r="J1297" s="78"/>
      <c r="K1297" s="78"/>
      <c r="L1297" s="78"/>
      <c r="M1297" s="78"/>
      <c r="N1297" s="79" t="s">
        <v>759</v>
      </c>
      <c r="O1297" s="79"/>
      <c r="P1297" s="19"/>
      <c r="Q1297" s="19"/>
      <c r="R1297" s="11"/>
    </row>
    <row r="1298" s="1" customFormat="1" ht="21.95" customHeight="1" spans="1:18">
      <c r="A1298" s="7"/>
      <c r="B1298" s="12"/>
      <c r="C1298" s="33"/>
      <c r="D1298" s="80" t="s">
        <v>760</v>
      </c>
      <c r="E1298" s="81" t="str">
        <f>IFERROR(PROPER(VLOOKUP(F1260,STUDENT!$A$2:$BP$101,9,0)),"")</f>
        <v>Radha</v>
      </c>
      <c r="F1298" s="81"/>
      <c r="G1298" s="81"/>
      <c r="H1298" s="80" t="s">
        <v>761</v>
      </c>
      <c r="I1298" s="82" t="str">
        <f>IFERROR(PROPER(VLOOKUP(F1260,STUDENT!$A$2:$BP$101,8,0)),"")</f>
        <v>Ajay</v>
      </c>
      <c r="J1298" s="82"/>
      <c r="K1298" s="82"/>
      <c r="L1298" s="82"/>
      <c r="M1298" s="80" t="s">
        <v>762</v>
      </c>
      <c r="N1298" s="83" t="str">
        <f>IFERROR(VLOOKUP(F1260,STUDENT!$A$2:$BP$101,59,0),"")</f>
        <v/>
      </c>
      <c r="O1298" s="83"/>
      <c r="P1298" s="19"/>
      <c r="Q1298" s="19"/>
      <c r="R1298" s="11"/>
    </row>
    <row r="1299" s="1" customFormat="1" ht="21.95" customHeight="1" spans="1:18">
      <c r="A1299" s="7"/>
      <c r="B1299" s="12"/>
      <c r="C1299" s="33"/>
      <c r="D1299" s="77" t="str">
        <f>"has    completed     his  /  her     primary     level     education    in    the    year    "&amp;RIGHT(ENTRY!$D1265,4)&amp;"    from    ( School    Name )"</f>
        <v>has    completed     his  /  her     primary     level     education    in    the    year        from    ( School    Name )</v>
      </c>
      <c r="E1299" s="77"/>
      <c r="F1299" s="77"/>
      <c r="G1299" s="77"/>
      <c r="H1299" s="77"/>
      <c r="I1299" s="77"/>
      <c r="J1299" s="77"/>
      <c r="K1299" s="77"/>
      <c r="L1299" s="77"/>
      <c r="M1299" s="77"/>
      <c r="N1299" s="77"/>
      <c r="O1299" s="77"/>
      <c r="P1299" s="19"/>
      <c r="Q1299" s="19"/>
      <c r="R1299" s="11"/>
    </row>
    <row r="1300" s="1" customFormat="1" ht="21.95" customHeight="1" spans="1:18">
      <c r="A1300" s="7"/>
      <c r="B1300" s="12"/>
      <c r="C1300" s="33"/>
      <c r="D1300" s="81" t="str">
        <f>IF(F1260&gt;0,ENTRY!$D$6,"")</f>
        <v>MCP NITHARI NO 1 BOYS</v>
      </c>
      <c r="E1300" s="81"/>
      <c r="F1300" s="81"/>
      <c r="G1300" s="81"/>
      <c r="H1300" s="81"/>
      <c r="I1300" s="81"/>
      <c r="J1300" s="81"/>
      <c r="K1300" s="81"/>
      <c r="L1300" s="81"/>
      <c r="M1300" s="80" t="s">
        <v>763</v>
      </c>
      <c r="N1300" s="84">
        <f>IF(F1260&gt;0,ENTRY!$D$7,"")</f>
        <v>0</v>
      </c>
      <c r="O1300" s="84"/>
      <c r="P1300" s="85" t="s">
        <v>727</v>
      </c>
      <c r="Q1300" s="19"/>
      <c r="R1300" s="11"/>
    </row>
    <row r="1301" s="1" customFormat="1" ht="21.95" customHeight="1" spans="1:18">
      <c r="A1301" s="7"/>
      <c r="B1301" s="12"/>
      <c r="C1301" s="33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19"/>
      <c r="Q1301" s="19"/>
      <c r="R1301" s="11"/>
    </row>
    <row r="1302" s="1" customFormat="1" ht="21.95" customHeight="1" spans="1:18">
      <c r="A1302" s="7"/>
      <c r="B1302" s="12"/>
      <c r="C1302" s="33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19"/>
      <c r="Q1302" s="19"/>
      <c r="R1302" s="11"/>
    </row>
    <row r="1303" s="1" customFormat="1" ht="21.95" customHeight="1" spans="1:18">
      <c r="A1303" s="7"/>
      <c r="B1303" s="12"/>
      <c r="C1303" s="33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19"/>
      <c r="Q1303" s="19"/>
      <c r="R1303" s="11"/>
    </row>
    <row r="1304" s="1" customFormat="1" ht="21.95" customHeight="1" spans="1:18">
      <c r="A1304" s="7"/>
      <c r="B1304" s="12"/>
      <c r="C1304" s="33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19"/>
      <c r="Q1304" s="19"/>
      <c r="R1304" s="11"/>
    </row>
    <row r="1305" s="1" customFormat="1" ht="21.95" customHeight="1" spans="1:18">
      <c r="A1305" s="7"/>
      <c r="B1305" s="12"/>
      <c r="C1305" s="33"/>
      <c r="D1305" s="29"/>
      <c r="E1305" s="29"/>
      <c r="F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19"/>
      <c r="Q1305" s="19"/>
      <c r="R1305" s="11"/>
    </row>
    <row r="1306" s="1" customFormat="1" ht="21.95" customHeight="1" spans="1:18">
      <c r="A1306" s="7"/>
      <c r="B1306" s="12"/>
      <c r="C1306" s="33"/>
      <c r="D1306" s="80" t="s">
        <v>728</v>
      </c>
      <c r="E1306" s="86">
        <f>ENTRY!$D$27</f>
        <v>46102</v>
      </c>
      <c r="F1306" s="86"/>
      <c r="G1306" s="29"/>
      <c r="H1306" s="29"/>
      <c r="I1306" s="29"/>
      <c r="J1306" s="29"/>
      <c r="K1306" s="29"/>
      <c r="L1306" s="29"/>
      <c r="M1306" s="87" t="s">
        <v>730</v>
      </c>
      <c r="N1306" s="87"/>
      <c r="O1306" s="87"/>
      <c r="P1306" s="19"/>
      <c r="Q1306" s="19"/>
      <c r="R1306" s="11"/>
    </row>
    <row r="1307" s="1" customFormat="1" ht="21.95" customHeight="1" spans="1:18">
      <c r="A1307" s="7"/>
      <c r="B1307" s="12"/>
      <c r="C1307" s="33"/>
      <c r="D1307" s="80" t="s">
        <v>731</v>
      </c>
      <c r="E1307" s="88" t="str">
        <f>PROPER(ENTRY!$D$28)</f>
        <v>New Delhi</v>
      </c>
      <c r="F1307" s="88"/>
      <c r="G1307" s="29"/>
      <c r="H1307" s="29"/>
      <c r="I1307" s="29"/>
      <c r="J1307" s="29"/>
      <c r="K1307" s="29"/>
      <c r="L1307" s="29"/>
      <c r="M1307" s="89" t="s">
        <v>732</v>
      </c>
      <c r="N1307" s="89"/>
      <c r="O1307" s="89"/>
      <c r="P1307" s="19"/>
      <c r="Q1307" s="19"/>
      <c r="R1307" s="11"/>
    </row>
    <row r="1308" s="1" customFormat="1" ht="21.95" customHeight="1" spans="1:18">
      <c r="A1308" s="7"/>
      <c r="B1308" s="12"/>
      <c r="C1308" s="90"/>
      <c r="D1308" s="91"/>
      <c r="E1308" s="91"/>
      <c r="F1308" s="91"/>
      <c r="G1308" s="91"/>
      <c r="H1308" s="91"/>
      <c r="I1308" s="91"/>
      <c r="J1308" s="91"/>
      <c r="K1308" s="91"/>
      <c r="L1308" s="91"/>
      <c r="M1308" s="91"/>
      <c r="N1308" s="91"/>
      <c r="O1308" s="91"/>
      <c r="P1308" s="92"/>
      <c r="Q1308" s="14"/>
      <c r="R1308" s="11"/>
    </row>
    <row r="1309" s="1" customFormat="1" ht="5.1" customHeight="1" spans="1:18">
      <c r="A1309" s="7"/>
      <c r="B1309" s="90"/>
      <c r="C1309" s="91"/>
      <c r="D1309" s="91"/>
      <c r="E1309" s="91"/>
      <c r="F1309" s="91"/>
      <c r="G1309" s="91"/>
      <c r="H1309" s="91"/>
      <c r="I1309" s="91"/>
      <c r="J1309" s="91"/>
      <c r="K1309" s="91"/>
      <c r="L1309" s="91"/>
      <c r="M1309" s="91"/>
      <c r="N1309" s="91"/>
      <c r="O1309" s="91"/>
      <c r="P1309" s="91"/>
      <c r="Q1309" s="92"/>
      <c r="R1309" s="11"/>
    </row>
    <row r="1310" s="1" customFormat="1" ht="5.1" customHeight="1" spans="1:18">
      <c r="A1310" s="93"/>
      <c r="B1310" s="94"/>
      <c r="C1310" s="94"/>
      <c r="D1310" s="94"/>
      <c r="E1310" s="94"/>
      <c r="F1310" s="94"/>
      <c r="G1310" s="94"/>
      <c r="H1310" s="94"/>
      <c r="I1310" s="94"/>
      <c r="J1310" s="94"/>
      <c r="K1310" s="94"/>
      <c r="L1310" s="94"/>
      <c r="M1310" s="94"/>
      <c r="N1310" s="94"/>
      <c r="O1310" s="94"/>
      <c r="P1310" s="94"/>
      <c r="Q1310" s="94"/>
      <c r="R1310" s="95"/>
    </row>
    <row r="1311" s="2" customFormat="1" ht="9.95" customHeight="1"/>
    <row r="1312" s="1" customFormat="1" ht="5.1" customHeight="1" spans="1:18">
      <c r="A1312" s="4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6"/>
    </row>
    <row r="1313" s="1" customFormat="1" ht="15" customHeight="1" spans="1:18">
      <c r="A1313" s="7"/>
      <c r="B1313" s="8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9"/>
      <c r="O1313" s="9"/>
      <c r="P1313" s="9"/>
      <c r="Q1313" s="10"/>
      <c r="R1313" s="11"/>
    </row>
    <row r="1314" s="1" customFormat="1" ht="21.95" customHeight="1" spans="1:18">
      <c r="A1314" s="7"/>
      <c r="B1314" s="12"/>
      <c r="C1314" s="13" t="s">
        <v>7</v>
      </c>
      <c r="D1314" s="13"/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/>
      <c r="Q1314" s="14"/>
      <c r="R1314" s="11"/>
    </row>
    <row r="1315" s="1" customFormat="1" ht="21.95" customHeight="1" spans="1:18">
      <c r="A1315" s="7"/>
      <c r="B1315" s="1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14"/>
      <c r="R1315" s="11"/>
    </row>
    <row r="1316" s="1" customFormat="1" ht="21.95" customHeight="1" spans="1:18">
      <c r="A1316" s="7"/>
      <c r="B1316" s="12"/>
      <c r="C1316" s="15" t="str">
        <f>"SESSION-"&amp;ENTRY!$D$11</f>
        <v>SESSION-2026-27</v>
      </c>
      <c r="D1316" s="15"/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4"/>
      <c r="R1316" s="11"/>
    </row>
    <row r="1317" s="1" customFormat="1" ht="21.95" customHeight="1" spans="1:18">
      <c r="A1317" s="7"/>
      <c r="B1317" s="12"/>
      <c r="C1317" s="2"/>
      <c r="D1317" s="2"/>
      <c r="E1317" s="2"/>
      <c r="F1317" s="16">
        <f>F1260+1</f>
        <v>24</v>
      </c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14"/>
      <c r="R1317" s="11"/>
    </row>
    <row r="1318" s="1" customFormat="1" ht="21.95" customHeight="1" spans="1:18">
      <c r="A1318" s="7"/>
      <c r="B1318" s="12"/>
      <c r="C1318" s="17" t="s">
        <v>392</v>
      </c>
      <c r="D1318" s="17"/>
      <c r="E1318" s="17"/>
      <c r="F1318" s="18" t="str">
        <f>IF(F1317&gt;0,ENTRY!$D$6,"")</f>
        <v>MCP NITHARI NO 1 BOYS</v>
      </c>
      <c r="G1318" s="18"/>
      <c r="H1318" s="18"/>
      <c r="I1318" s="18"/>
      <c r="J1318" s="18"/>
      <c r="K1318" s="18"/>
      <c r="L1318" s="18"/>
      <c r="M1318" s="18"/>
      <c r="N1318" s="18"/>
      <c r="O1318" s="18"/>
      <c r="P1318" s="18"/>
      <c r="Q1318" s="19"/>
      <c r="R1318" s="11"/>
    </row>
    <row r="1319" s="1" customFormat="1" ht="21.95" customHeight="1" spans="1:18">
      <c r="A1319" s="7"/>
      <c r="B1319" s="12"/>
      <c r="C1319" s="17" t="s">
        <v>393</v>
      </c>
      <c r="D1319" s="17"/>
      <c r="E1319" s="17"/>
      <c r="F1319" s="18">
        <f>IF(F1317&gt;0,ENTRY!$D$7,"")</f>
        <v>0</v>
      </c>
      <c r="G1319" s="18"/>
      <c r="H1319" s="20" t="s">
        <v>702</v>
      </c>
      <c r="I1319" s="20"/>
      <c r="J1319" s="21">
        <f>IF(F1317&gt;0,ENTRY!$D$10,"")</f>
        <v>40</v>
      </c>
      <c r="K1319" s="20" t="s">
        <v>703</v>
      </c>
      <c r="L1319" s="22" t="str">
        <f>IF(F1317&gt;0,ENTRY!$D$5,"")</f>
        <v>ROHINI ZONE</v>
      </c>
      <c r="M1319" s="22"/>
      <c r="N1319" s="22"/>
      <c r="O1319" s="22"/>
      <c r="P1319" s="22"/>
      <c r="Q1319" s="19"/>
      <c r="R1319" s="11"/>
    </row>
    <row r="1320" s="1" customFormat="1" ht="21.95" customHeight="1" spans="1:18">
      <c r="A1320" s="7"/>
      <c r="B1320" s="12"/>
      <c r="C1320" s="17" t="s">
        <v>706</v>
      </c>
      <c r="D1320" s="17"/>
      <c r="E1320" s="17"/>
      <c r="F1320" s="23" t="str">
        <f>IFERROR(VLOOKUP(F1317,STUDENT!$A$2:$BP$101,5,0),"")</f>
        <v>SOORYA VANSHAL</v>
      </c>
      <c r="G1320" s="23"/>
      <c r="H1320" s="23"/>
      <c r="I1320" s="23"/>
      <c r="J1320" s="23"/>
      <c r="K1320" s="23"/>
      <c r="L1320" s="20" t="s">
        <v>707</v>
      </c>
      <c r="M1320" s="20"/>
      <c r="N1320" s="24" t="str">
        <f>IF(F1317&gt;0,ENTRY!$D$20&amp;"-"&amp;ENTRY!$D$21,"")</f>
        <v>III-A</v>
      </c>
      <c r="O1320" s="24"/>
      <c r="P1320" s="24"/>
      <c r="Q1320" s="19"/>
      <c r="R1320" s="11"/>
    </row>
    <row r="1321" s="1" customFormat="1" ht="21.95" customHeight="1" spans="1:18">
      <c r="A1321" s="7"/>
      <c r="B1321" s="12"/>
      <c r="C1321" s="17" t="s">
        <v>708</v>
      </c>
      <c r="D1321" s="17"/>
      <c r="E1321" s="17"/>
      <c r="F1321" s="25">
        <f>IFERROR(VLOOKUP(F1317,STUDENT!$A$2:$BP$101,6,0),"")</f>
        <v>14806</v>
      </c>
      <c r="G1321" s="25"/>
      <c r="H1321" s="26" t="s">
        <v>709</v>
      </c>
      <c r="I1321" s="27" t="str">
        <f>IFERROR(VLOOKUP(F1317,STUDENT!$A$2:$BP$101,59,0),"")</f>
        <v/>
      </c>
      <c r="J1321" s="27"/>
      <c r="K1321" s="20" t="s">
        <v>710</v>
      </c>
      <c r="L1321" s="20"/>
      <c r="M1321" s="28">
        <f>IFERROR(VLOOKUP(F1317,STUDENT!$A$2:$BP$101,20,0),"")</f>
        <v>9654517254</v>
      </c>
      <c r="N1321" s="28"/>
      <c r="O1321" s="28"/>
      <c r="P1321" s="28"/>
      <c r="Q1321" s="19"/>
      <c r="R1321" s="11"/>
    </row>
    <row r="1322" s="1" customFormat="1" ht="21.95" customHeight="1" spans="1:18">
      <c r="A1322" s="7"/>
      <c r="B1322" s="12"/>
      <c r="C1322" s="17" t="s">
        <v>711</v>
      </c>
      <c r="D1322" s="17"/>
      <c r="E1322" s="17"/>
      <c r="F1322" s="23" t="str">
        <f>IFERROR(VLOOKUP(F1317,STUDENT!$A$2:$BP$101,9,0),"")</f>
        <v>SARITA</v>
      </c>
      <c r="G1322" s="23"/>
      <c r="H1322" s="23"/>
      <c r="I1322" s="23"/>
      <c r="J1322" s="17" t="s">
        <v>620</v>
      </c>
      <c r="K1322" s="17"/>
      <c r="L1322" s="23" t="str">
        <f>IFERROR(VLOOKUP(F1317,STUDENT!$A$2:$BP$101,8,0),"")</f>
        <v>KAMLESH KUMAR</v>
      </c>
      <c r="M1322" s="23"/>
      <c r="N1322" s="23"/>
      <c r="O1322" s="23"/>
      <c r="P1322" s="23"/>
      <c r="Q1322" s="19"/>
      <c r="R1322" s="11"/>
    </row>
    <row r="1323" s="1" customFormat="1" ht="21.95" customHeight="1" spans="1:18">
      <c r="A1323" s="7"/>
      <c r="B1323" s="12"/>
      <c r="C1323" s="17" t="s">
        <v>712</v>
      </c>
      <c r="D1323" s="17"/>
      <c r="E1323" s="17"/>
      <c r="F1323" s="23" t="str">
        <f>IFERROR(VLOOKUP(F1317,STUDENT!$A$2:$BP$101,22,0),"")</f>
        <v>PLOT -546 KH NO .-33/13/1 BLOCK -E AGAR NAGAR PREM NAGAR -3 KIRARI SULEMAN NAGAR</v>
      </c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19"/>
      <c r="R1323" s="11"/>
    </row>
    <row r="1324" s="1" customFormat="1" ht="9.95" customHeight="1" spans="1:18">
      <c r="A1324" s="7"/>
      <c r="B1324" s="12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19"/>
      <c r="R1324" s="11"/>
    </row>
    <row r="1325" s="1" customFormat="1" ht="9.95" customHeight="1" spans="1:18">
      <c r="A1325" s="7"/>
      <c r="B1325" s="12"/>
      <c r="C1325" s="30"/>
      <c r="D1325" s="31"/>
      <c r="E1325" s="31"/>
      <c r="F1325" s="31"/>
      <c r="G1325" s="31"/>
      <c r="H1325" s="31"/>
      <c r="I1325" s="31"/>
      <c r="J1325" s="31"/>
      <c r="K1325" s="31"/>
      <c r="L1325" s="31"/>
      <c r="M1325" s="31"/>
      <c r="N1325" s="31"/>
      <c r="O1325" s="31"/>
      <c r="P1325" s="32"/>
      <c r="Q1325" s="19"/>
      <c r="R1325" s="11"/>
    </row>
    <row r="1326" s="1" customFormat="1" ht="21.95" customHeight="1" spans="1:18">
      <c r="A1326" s="7"/>
      <c r="B1326" s="12"/>
      <c r="C1326" s="33"/>
      <c r="D1326" s="34" t="s">
        <v>713</v>
      </c>
      <c r="E1326" s="20" t="s">
        <v>714</v>
      </c>
      <c r="F1326" s="35" t="str">
        <f>"Level - "&amp;IFERROR(VLOOKUP(F1317,FLN!$A$4:$K$103,9,0),"")</f>
        <v>Level - 2</v>
      </c>
      <c r="G1326" s="36"/>
      <c r="H1326" s="37" t="s">
        <v>715</v>
      </c>
      <c r="I1326" s="20"/>
      <c r="J1326" s="35" t="str">
        <f>"Level - "&amp;IFERROR(VLOOKUP(F1317,FLN!$A$4:$K$103,11,0),"")</f>
        <v>Level - 3</v>
      </c>
      <c r="K1326" s="36"/>
      <c r="L1326" s="37" t="s">
        <v>408</v>
      </c>
      <c r="M1326" s="20"/>
      <c r="N1326" s="35" t="str">
        <f>"Level - "&amp;IFERROR(VLOOKUP(F1317,FLN!$A$4:$K$103,10,0),"")</f>
        <v>Level - 2</v>
      </c>
      <c r="O1326" s="36"/>
      <c r="P1326" s="19"/>
      <c r="Q1326" s="19"/>
      <c r="R1326" s="11"/>
    </row>
    <row r="1327" s="1" customFormat="1" ht="21.95" customHeight="1" spans="1:18">
      <c r="A1327" s="7"/>
      <c r="B1327" s="12"/>
      <c r="C1327" s="33"/>
      <c r="D1327" s="38"/>
      <c r="E1327" s="20" t="s">
        <v>716</v>
      </c>
      <c r="F1327" s="18" t="str">
        <f ca="1">IF(L1341&gt;197,"PERFORMED WELL","")</f>
        <v/>
      </c>
      <c r="G1327" s="18"/>
      <c r="H1327" s="18"/>
      <c r="I1327" s="18"/>
      <c r="J1327" s="18"/>
      <c r="K1327" s="18"/>
      <c r="L1327" s="18"/>
      <c r="M1327" s="18"/>
      <c r="N1327" s="18"/>
      <c r="O1327" s="18"/>
      <c r="P1327" s="19"/>
      <c r="Q1327" s="19"/>
      <c r="R1327" s="11"/>
    </row>
    <row r="1328" s="1" customFormat="1" ht="9.95" customHeight="1" spans="1:18">
      <c r="A1328" s="7"/>
      <c r="B1328" s="12"/>
      <c r="C1328" s="39"/>
      <c r="D1328" s="40"/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  <c r="O1328" s="40"/>
      <c r="P1328" s="41"/>
      <c r="Q1328" s="19"/>
      <c r="R1328" s="11"/>
    </row>
    <row r="1329" s="1" customFormat="1" ht="9.95" customHeight="1" spans="1:18">
      <c r="A1329" s="7"/>
      <c r="B1329" s="12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19"/>
      <c r="R1329" s="11"/>
    </row>
    <row r="1330" s="1" customFormat="1" ht="9.95" customHeight="1" spans="1:18">
      <c r="A1330" s="7"/>
      <c r="B1330" s="12"/>
      <c r="C1330" s="30"/>
      <c r="D1330" s="31"/>
      <c r="E1330" s="31"/>
      <c r="F1330" s="31"/>
      <c r="G1330" s="31"/>
      <c r="H1330" s="31"/>
      <c r="I1330" s="31"/>
      <c r="J1330" s="31"/>
      <c r="K1330" s="31"/>
      <c r="L1330" s="31"/>
      <c r="M1330" s="31"/>
      <c r="N1330" s="31"/>
      <c r="O1330" s="31"/>
      <c r="P1330" s="32"/>
      <c r="Q1330" s="19"/>
      <c r="R1330" s="11"/>
    </row>
    <row r="1331" s="1" customFormat="1" ht="21.95" customHeight="1" spans="1:18">
      <c r="A1331" s="7"/>
      <c r="B1331" s="12"/>
      <c r="C1331" s="33"/>
      <c r="D1331" s="35"/>
      <c r="E1331" s="24"/>
      <c r="F1331" s="42" t="s">
        <v>717</v>
      </c>
      <c r="G1331" s="42"/>
      <c r="H1331" s="42"/>
      <c r="I1331" s="42"/>
      <c r="J1331" s="42"/>
      <c r="K1331" s="42"/>
      <c r="L1331" s="43"/>
      <c r="M1331" s="44"/>
      <c r="N1331" s="29"/>
      <c r="O1331" s="29"/>
      <c r="P1331" s="19"/>
      <c r="Q1331" s="19"/>
      <c r="R1331" s="11"/>
    </row>
    <row r="1332" s="1" customFormat="1" ht="21.95" customHeight="1" spans="1:18">
      <c r="A1332" s="7"/>
      <c r="B1332" s="12"/>
      <c r="C1332" s="33"/>
      <c r="D1332" s="45"/>
      <c r="E1332" s="46"/>
      <c r="F1332" s="47" t="s">
        <v>541</v>
      </c>
      <c r="G1332" s="47" t="s">
        <v>542</v>
      </c>
      <c r="H1332" s="47" t="s">
        <v>543</v>
      </c>
      <c r="I1332" s="47" t="s">
        <v>544</v>
      </c>
      <c r="J1332" s="47" t="s">
        <v>561</v>
      </c>
      <c r="K1332" s="48" t="s">
        <v>750</v>
      </c>
      <c r="L1332" s="47" t="s">
        <v>382</v>
      </c>
      <c r="M1332" s="49" t="s">
        <v>546</v>
      </c>
      <c r="N1332" s="29"/>
      <c r="O1332" s="29"/>
      <c r="P1332" s="19"/>
      <c r="Q1332" s="19"/>
      <c r="R1332" s="11"/>
    </row>
    <row r="1333" s="1" customFormat="1" ht="21.95" customHeight="1" spans="1:18">
      <c r="A1333" s="7"/>
      <c r="B1333" s="12"/>
      <c r="C1333" s="33"/>
      <c r="D1333" s="45" t="s">
        <v>652</v>
      </c>
      <c r="E1333" s="46"/>
      <c r="F1333" s="50">
        <v>10</v>
      </c>
      <c r="G1333" s="50">
        <v>10</v>
      </c>
      <c r="H1333" s="50">
        <v>10</v>
      </c>
      <c r="I1333" s="50">
        <v>10</v>
      </c>
      <c r="J1333" s="50">
        <v>60</v>
      </c>
      <c r="K1333" s="51"/>
      <c r="L1333" s="50">
        <v>100</v>
      </c>
      <c r="M1333" s="49"/>
      <c r="N1333" s="29"/>
      <c r="O1333" s="29"/>
      <c r="P1333" s="19"/>
      <c r="Q1333" s="19"/>
      <c r="R1333" s="11"/>
    </row>
    <row r="1334" s="1" customFormat="1" ht="21.95" customHeight="1" spans="1:18">
      <c r="A1334" s="7"/>
      <c r="B1334" s="12"/>
      <c r="C1334" s="33"/>
      <c r="D1334" s="52" t="s">
        <v>751</v>
      </c>
      <c r="E1334" s="53"/>
      <c r="F1334" s="54">
        <f ca="1">IFERROR(VLOOKUP(F1317,'RR-3.1-5TH'!$A$12:'RR-3.1-5TH'!$BN$111,9,0),"")</f>
        <v>1</v>
      </c>
      <c r="G1334" s="54">
        <f ca="1">IFERROR(VLOOKUP(F1317,'RR-3.1-5TH'!$A$12:'RR-3.1-5TH'!$BN$111,10,0),"")</f>
        <v>0</v>
      </c>
      <c r="H1334" s="54">
        <f ca="1">IFERROR(VLOOKUP(F1317,'RR-3.1-5TH'!$A$12:'RR-3.1-5TH'!$BN$111,11,0),"")</f>
        <v>0</v>
      </c>
      <c r="I1334" s="54">
        <f ca="1">IFERROR(VLOOKUP(F1317,'RR-3.1-5TH'!$A$12:'RR-3.1-5TH'!$BN$111,12,0),"")</f>
        <v>0</v>
      </c>
      <c r="J1334" s="54">
        <f ca="1">IFERROR(VLOOKUP(F1317,'RR-3.1-5TH'!$A$12:'RR-3.1-5TH'!$BN$111,13,0),"")</f>
        <v>47</v>
      </c>
      <c r="K1334" s="54">
        <f ca="1">IFERROR(VLOOKUP(F1317,'RR-3.1-5TH'!$A$12:'RR-3.1-5TH'!$BN$111,14,0),"")</f>
        <v>0</v>
      </c>
      <c r="L1334" s="55">
        <f ca="1" t="shared" ref="L1334:L1339" si="69">SUM(F1334,G1334,H1334,I1334,J1334,K1334)</f>
        <v>48</v>
      </c>
      <c r="M1334" s="56" t="str">
        <f ca="1">IF(F1317&gt;ENTRY!$D$24,"",IF(L1334=0,"Ab",IF(L1334&gt;80,"A",IF(L1334&gt;60,"B",IF(L1334&gt;44,"C",IF(L1334&gt;=33,"D",IF(L1334&lt;=32,"E","")))))))</f>
        <v>C</v>
      </c>
      <c r="N1334" s="57" t="s">
        <v>729</v>
      </c>
      <c r="O1334" s="58"/>
      <c r="P1334" s="59"/>
      <c r="Q1334" s="19"/>
      <c r="R1334" s="11"/>
    </row>
    <row r="1335" s="1" customFormat="1" ht="21.95" customHeight="1" spans="1:18">
      <c r="A1335" s="7"/>
      <c r="B1335" s="12"/>
      <c r="C1335" s="33"/>
      <c r="D1335" s="52" t="s">
        <v>513</v>
      </c>
      <c r="E1335" s="53"/>
      <c r="F1335" s="54">
        <f ca="1">IFERROR(VLOOKUP(F1317,'RR-3.1-5TH'!$A$12:'RR-3.1-5TH'!$BN$111,17,0),"")</f>
        <v>1</v>
      </c>
      <c r="G1335" s="54">
        <f ca="1">IFERROR(VLOOKUP(F1317,'RR-3.1-5TH'!$A$12:'RR-3.1-5TH'!$BN$111,18,0),"")</f>
        <v>0</v>
      </c>
      <c r="H1335" s="54">
        <f ca="1">IFERROR(VLOOKUP(F1317,'RR-3.1-5TH'!$A$12:'RR-3.1-5TH'!$BN$111,19,0),"")</f>
        <v>0</v>
      </c>
      <c r="I1335" s="54">
        <f ca="1">IFERROR(VLOOKUP(F1317,'RR-3.1-5TH'!$A$12:'RR-3.1-5TH'!$BN$111,20,0),"")</f>
        <v>0</v>
      </c>
      <c r="J1335" s="54">
        <f ca="1">IFERROR(VLOOKUP(F1317,'RR-3.1-5TH'!$A$12:'RR-3.1-5TH'!$BN$111,21,0),"")</f>
        <v>22</v>
      </c>
      <c r="K1335" s="54">
        <f ca="1">IFERROR(VLOOKUP(F1317,'RR-3.1-5TH'!$A$12:'RR-3.1-5TH'!$BN$111,22,0),"")</f>
        <v>0</v>
      </c>
      <c r="L1335" s="55">
        <f ca="1" t="shared" si="69"/>
        <v>23</v>
      </c>
      <c r="M1335" s="56" t="str">
        <f ca="1">IF(F1317&gt;ENTRY!$D$24,"",IF(L1335=0,"Ab",IF(L1335&gt;80,"A",IF(L1335&gt;60,"B",IF(L1335&gt;44,"C",IF(L1335&gt;=33,"D",IF(L1335&lt;=32,"E","")))))))</f>
        <v>E</v>
      </c>
      <c r="N1335" s="58"/>
      <c r="O1335" s="58"/>
      <c r="P1335" s="59"/>
      <c r="Q1335" s="19"/>
      <c r="R1335" s="11"/>
    </row>
    <row r="1336" s="1" customFormat="1" ht="21.95" customHeight="1" spans="1:18">
      <c r="A1336" s="7"/>
      <c r="B1336" s="12"/>
      <c r="C1336" s="33"/>
      <c r="D1336" s="52" t="s">
        <v>718</v>
      </c>
      <c r="E1336" s="53"/>
      <c r="F1336" s="54">
        <f ca="1">IFERROR(VLOOKUP(F1317,'RR-3.1-5TH'!$A$12:'RR-3.1-5TH'!$BN$111,25,0),"")</f>
        <v>1</v>
      </c>
      <c r="G1336" s="54">
        <f ca="1">IFERROR(VLOOKUP(F1317,'RR-3.1-5TH'!$A$12:'RR-3.1-5TH'!$BN$111,26,0),"")</f>
        <v>0</v>
      </c>
      <c r="H1336" s="54">
        <f ca="1">IFERROR(VLOOKUP(F1317,'RR-3.1-5TH'!$A$12:'RR-3.1-5TH'!$BN$111,27,0),"")</f>
        <v>0</v>
      </c>
      <c r="I1336" s="54">
        <f ca="1">IFERROR(VLOOKUP(F1317,'RR-3.1-5TH'!$A$12:'RR-3.1-5TH'!$BN$111,28,0),"")</f>
        <v>0</v>
      </c>
      <c r="J1336" s="54">
        <f ca="1">IFERROR(VLOOKUP(F1317,'RR-3.1-5TH'!$A$12:'RR-3.1-5TH'!$BN$111,29,0),"")</f>
        <v>20</v>
      </c>
      <c r="K1336" s="54">
        <f ca="1">IFERROR(VLOOKUP(F1317,'RR-3.1-5TH'!$A$12:'RR-3.1-5TH'!$BN$111,30,0),"")</f>
        <v>0</v>
      </c>
      <c r="L1336" s="55">
        <f ca="1" t="shared" si="69"/>
        <v>21</v>
      </c>
      <c r="M1336" s="56" t="str">
        <f ca="1">IF(F1317&gt;ENTRY!$D$24,"",IF(L1336=0,"Ab",IF(L1336&gt;80,"A",IF(L1336&gt;60,"B",IF(L1336&gt;44,"C",IF(L1336&gt;=33,"D",IF(L1336&lt;=32,"E","")))))))</f>
        <v>E</v>
      </c>
      <c r="N1336" s="29"/>
      <c r="O1336" s="29"/>
      <c r="P1336" s="19"/>
      <c r="Q1336" s="19"/>
      <c r="R1336" s="11"/>
    </row>
    <row r="1337" s="1" customFormat="1" ht="21.95" customHeight="1" spans="1:18">
      <c r="A1337" s="7"/>
      <c r="B1337" s="12"/>
      <c r="C1337" s="33"/>
      <c r="D1337" s="52" t="s">
        <v>719</v>
      </c>
      <c r="E1337" s="53"/>
      <c r="F1337" s="54">
        <f ca="1">IFERROR(VLOOKUP(F1317,'RR-3.1-5TH'!$A$12:'RR-3.1-5TH'!$BN$111,33,0),"")</f>
        <v>1</v>
      </c>
      <c r="G1337" s="54">
        <f ca="1">IFERROR(VLOOKUP(F1317,'RR-3.1-5TH'!$A$12:'RR-3.1-5TH'!$BN$111,34,0),"")</f>
        <v>0</v>
      </c>
      <c r="H1337" s="54">
        <f ca="1">IFERROR(VLOOKUP(F1317,'RR-3.1-5TH'!$A$12:'RR-3.1-5TH'!$BN$111,35,0),"")</f>
        <v>0</v>
      </c>
      <c r="I1337" s="54">
        <f ca="1">IFERROR(VLOOKUP(F1317,'RR-3.1-5TH'!$A$12:'RR-3.1-5TH'!$BN$111,36,0),"")</f>
        <v>0</v>
      </c>
      <c r="J1337" s="54">
        <f ca="1">IFERROR(VLOOKUP(F1317,'RR-3.1-5TH'!$A$12:'RR-3.1-5TH'!$BN$111,37,0),"")</f>
        <v>21</v>
      </c>
      <c r="K1337" s="54">
        <f ca="1">IFERROR(VLOOKUP(F1317,'RR-3.1-5TH'!$A$12:'RR-3.1-5TH'!$BN$111,38,0),"")</f>
        <v>0</v>
      </c>
      <c r="L1337" s="55">
        <f ca="1" t="shared" si="69"/>
        <v>22</v>
      </c>
      <c r="M1337" s="56" t="str">
        <f ca="1">IF(F1317&gt;ENTRY!$D$24,"",IF(L1337=0,"Ab",IF(L1337&gt;80,"A",IF(L1337&gt;60,"B",IF(L1337&gt;44,"C",IF(L1337&gt;=33,"D",IF(L1337&lt;=32,"E","")))))))</f>
        <v>E</v>
      </c>
      <c r="N1337" s="29"/>
      <c r="O1337" s="29"/>
      <c r="P1337" s="19"/>
      <c r="Q1337" s="19"/>
      <c r="R1337" s="11"/>
    </row>
    <row r="1338" s="1" customFormat="1" ht="21.95" customHeight="1" spans="1:18">
      <c r="A1338" s="7"/>
      <c r="B1338" s="12"/>
      <c r="C1338" s="33"/>
      <c r="D1338" s="52" t="s">
        <v>548</v>
      </c>
      <c r="E1338" s="53"/>
      <c r="F1338" s="54">
        <f ca="1">IFERROR(VLOOKUP(F1317,'RR-3.1-5TH'!$A$12:'RR-3.1-5TH'!$BN$111,41,0),"")</f>
        <v>0</v>
      </c>
      <c r="G1338" s="54">
        <f ca="1">IFERROR(VLOOKUP(F1317,'RR-3.1-5TH'!$A$12:'RR-3.1-5TH'!$BN$111,42,0),"")</f>
        <v>0</v>
      </c>
      <c r="H1338" s="54">
        <f ca="1">IFERROR(VLOOKUP(F1317,'RR-3.1-5TH'!$A$12:'RR-3.1-5TH'!$BN$111,43,0),"")</f>
        <v>0</v>
      </c>
      <c r="I1338" s="54">
        <f ca="1">IFERROR(VLOOKUP(F1317,'RR-3.1-5TH'!$A$12:'RR-3.1-5TH'!$BN$111,44,0),"")</f>
        <v>0</v>
      </c>
      <c r="J1338" s="54">
        <f ca="1">IFERROR(VLOOKUP(F1317,'RR-3.1-5TH'!$A$12:'RR-3.1-5TH'!$BN$111,45,0),"")</f>
        <v>21</v>
      </c>
      <c r="K1338" s="54">
        <f ca="1">IFERROR(VLOOKUP(F1317,'RR-3.1-5TH'!$A$12:'RR-3.1-5TH'!$BN$111,46,0),"")</f>
        <v>0</v>
      </c>
      <c r="L1338" s="55">
        <f ca="1" t="shared" si="69"/>
        <v>21</v>
      </c>
      <c r="M1338" s="56" t="str">
        <f ca="1">IF(F1317&gt;ENTRY!$D$24,"",IF(L1338=0,"Ab",IF(L1338&gt;80,"A",IF(L1338&gt;60,"B",IF(L1338&gt;44,"C",IF(L1338&gt;=33,"D",IF(L1338&lt;=32,"E","")))))))</f>
        <v>E</v>
      </c>
      <c r="N1338" s="29"/>
      <c r="O1338" s="29"/>
      <c r="P1338" s="19"/>
      <c r="Q1338" s="19"/>
      <c r="R1338" s="11"/>
    </row>
    <row r="1339" s="1" customFormat="1" ht="21.95" customHeight="1" spans="1:18">
      <c r="A1339" s="7"/>
      <c r="B1339" s="12"/>
      <c r="C1339" s="33"/>
      <c r="D1339" s="52" t="s">
        <v>549</v>
      </c>
      <c r="E1339" s="53"/>
      <c r="F1339" s="54">
        <f ca="1">IFERROR(VLOOKUP(F1317,'RR-3.1-5TH'!$A$12:'RR-3.1-5TH'!$BN$111,49,0),"")</f>
        <v>2</v>
      </c>
      <c r="G1339" s="54">
        <f ca="1">IFERROR(VLOOKUP(F1317,'RR-3.1-5TH'!$A$12:'RR-3.1-5TH'!$BN$111,50,0),"")</f>
        <v>0</v>
      </c>
      <c r="H1339" s="54">
        <f ca="1">IFERROR(VLOOKUP(F1317,'RR-3.1-5TH'!$A$12:'RR-3.1-5TH'!$BN$111,51,0),"")</f>
        <v>0</v>
      </c>
      <c r="I1339" s="54">
        <f ca="1">IFERROR(VLOOKUP(F1317,'RR-3.1-5TH'!$A$12:'RR-3.1-5TH'!$BN$111,52,0),"")</f>
        <v>0</v>
      </c>
      <c r="J1339" s="54">
        <f ca="1">IFERROR(VLOOKUP(F1317,'RR-3.1-5TH'!$A$12:'RR-3.1-5TH'!$BN$111,53,0),"")</f>
        <v>26</v>
      </c>
      <c r="K1339" s="54">
        <f ca="1">IFERROR(VLOOKUP(F1317,'RR-3.1-5TH'!$A$12:'RR-3.1-5TH'!$BN$111,54,0),"")</f>
        <v>0</v>
      </c>
      <c r="L1339" s="55">
        <f ca="1" t="shared" si="69"/>
        <v>28</v>
      </c>
      <c r="M1339" s="56" t="str">
        <f ca="1">IF(F1317&gt;ENTRY!$D$24,"",IF(L1339=0,"Ab",IF(L1339&gt;80,"A",IF(L1339&gt;60,"B",IF(L1339&gt;44,"C",IF(L1339&gt;=33,"D",IF(L1339&lt;=32,"E","")))))))</f>
        <v>E</v>
      </c>
      <c r="N1339" s="57" t="s">
        <v>752</v>
      </c>
      <c r="O1339" s="58"/>
      <c r="P1339" s="59"/>
      <c r="Q1339" s="19"/>
      <c r="R1339" s="11"/>
    </row>
    <row r="1340" s="1" customFormat="1" ht="21.95" customHeight="1" spans="1:18">
      <c r="A1340" s="7"/>
      <c r="B1340" s="12"/>
      <c r="C1340" s="33"/>
      <c r="D1340" s="52" t="s">
        <v>753</v>
      </c>
      <c r="E1340" s="53"/>
      <c r="F1340" s="60"/>
      <c r="G1340" s="54"/>
      <c r="H1340" s="54"/>
      <c r="I1340" s="54"/>
      <c r="J1340" s="54"/>
      <c r="K1340" s="54"/>
      <c r="L1340" s="55">
        <f t="shared" ref="L1340" si="70">SUM(G1340:K1340)</f>
        <v>0</v>
      </c>
      <c r="M1340" s="56" t="str">
        <f>IF(F1317&gt;ENTRY!$D$24,"",IF(L1340=0,"",IF(L1340&gt;79,"A",IF(L1340&gt;59,"B",IF(L1340&gt;44,"C",IF(L1340&gt;=33,"D",IF(L1340&lt;=32,"E","")))))))</f>
        <v/>
      </c>
      <c r="N1340" s="58"/>
      <c r="O1340" s="58"/>
      <c r="P1340" s="59"/>
      <c r="Q1340" s="19"/>
      <c r="R1340" s="11"/>
    </row>
    <row r="1341" s="1" customFormat="1" ht="21.95" customHeight="1" spans="1:18">
      <c r="A1341" s="7"/>
      <c r="B1341" s="12"/>
      <c r="C1341" s="33"/>
      <c r="D1341" s="45" t="s">
        <v>382</v>
      </c>
      <c r="E1341" s="46"/>
      <c r="F1341" s="54">
        <f ca="1" t="shared" ref="F1341:L1341" si="71">IFERROR(SUM(F1334:F1340),"")</f>
        <v>6</v>
      </c>
      <c r="G1341" s="54">
        <f ca="1" t="shared" si="71"/>
        <v>0</v>
      </c>
      <c r="H1341" s="54">
        <f ca="1" t="shared" si="71"/>
        <v>0</v>
      </c>
      <c r="I1341" s="54">
        <f ca="1" t="shared" si="71"/>
        <v>0</v>
      </c>
      <c r="J1341" s="54">
        <f ca="1" t="shared" si="71"/>
        <v>157</v>
      </c>
      <c r="K1341" s="54">
        <f ca="1" t="shared" si="71"/>
        <v>0</v>
      </c>
      <c r="L1341" s="55">
        <f ca="1" t="shared" si="71"/>
        <v>163</v>
      </c>
      <c r="M1341" s="61" t="str">
        <f ca="1">IF(F1317&gt;ENTRY!$D$24,"",IF(N1342="Ab","Ab",IF(N1342&gt;79.5,"A",IF(N1342&gt;59.5,"B",IF(N1342&gt;44.5,"C",IF(N1342&gt;=33,"D",IF(N1342&lt;33,"E","")))))))</f>
        <v>E</v>
      </c>
      <c r="N1341" s="62"/>
      <c r="O1341" s="58"/>
      <c r="P1341" s="59"/>
      <c r="Q1341" s="19"/>
      <c r="R1341" s="11"/>
    </row>
    <row r="1342" s="1" customFormat="1" ht="21.95" customHeight="1" spans="1:18">
      <c r="A1342" s="7"/>
      <c r="B1342" s="12"/>
      <c r="C1342" s="33"/>
      <c r="D1342" s="63" t="s">
        <v>721</v>
      </c>
      <c r="E1342" s="63"/>
      <c r="F1342" s="63"/>
      <c r="G1342" s="63"/>
      <c r="H1342" s="63"/>
      <c r="I1342" s="63"/>
      <c r="J1342" s="63"/>
      <c r="K1342" s="63"/>
      <c r="L1342" s="63"/>
      <c r="M1342" s="63"/>
      <c r="N1342" s="64">
        <f ca="1">IF(L1341="Ab","Ab",L1341/6)</f>
        <v>27.1666666666667</v>
      </c>
      <c r="O1342" s="65"/>
      <c r="P1342" s="19"/>
      <c r="Q1342" s="19"/>
      <c r="R1342" s="11"/>
    </row>
    <row r="1343" s="1" customFormat="1" ht="21.95" customHeight="1" spans="1:18">
      <c r="A1343" s="7"/>
      <c r="B1343" s="12"/>
      <c r="C1343" s="33"/>
      <c r="D1343" s="29" t="s">
        <v>716</v>
      </c>
      <c r="E1343" s="18" t="str">
        <f>IFERROR(VLOOKUP(F1317,'1to4-2.1-RR'!$A$12:$BG$111,57,0),"")</f>
        <v>PROMOTED</v>
      </c>
      <c r="F1343" s="18"/>
      <c r="G1343" s="18"/>
      <c r="H1343" s="18"/>
      <c r="I1343" s="18"/>
      <c r="J1343" s="18"/>
      <c r="K1343" s="18"/>
      <c r="L1343" s="18"/>
      <c r="M1343" s="18"/>
      <c r="N1343" s="29"/>
      <c r="O1343" s="29"/>
      <c r="P1343" s="19"/>
      <c r="Q1343" s="19"/>
      <c r="R1343" s="11"/>
    </row>
    <row r="1344" s="1" customFormat="1" ht="9.95" customHeight="1" spans="1:18">
      <c r="A1344" s="7"/>
      <c r="B1344" s="12"/>
      <c r="C1344" s="33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19"/>
      <c r="Q1344" s="19"/>
      <c r="R1344" s="11"/>
    </row>
    <row r="1345" s="1" customFormat="1" ht="36" spans="1:19">
      <c r="A1345" s="7"/>
      <c r="B1345" s="12"/>
      <c r="C1345" s="33"/>
      <c r="D1345" s="66" t="s">
        <v>576</v>
      </c>
      <c r="E1345" s="67" t="s">
        <v>754</v>
      </c>
      <c r="F1345" s="47">
        <f>IF(F1317&gt;ENTRY!$D$24,"",IFERROR(VLOOKUP(F1317,PASHEET!$A$4:$CJ$103,88,0),""))</f>
        <v>0</v>
      </c>
      <c r="G1345" s="67" t="s">
        <v>755</v>
      </c>
      <c r="H1345" s="47">
        <f>IF(F1317&gt;ENTRY!$D$24,"",IFERROR(VLOOKUP(F1317,PASHEET!$A$4:$CJ$103,87,0),""))</f>
        <v>0</v>
      </c>
      <c r="I1345" s="68" t="s">
        <v>756</v>
      </c>
      <c r="J1345" s="69" t="str">
        <f>IF(F1317&gt;ENTRY!$D$24,"",IFERROR(IF(F1317&gt;0,H1345/F1345*100),""))</f>
        <v/>
      </c>
      <c r="K1345" s="60" t="s">
        <v>757</v>
      </c>
      <c r="L1345" s="70">
        <f ca="1">IF(F1317&gt;ENTRY!$D$24,"",IFERROR(L1341/600*100,""))</f>
        <v>27.1666666666667</v>
      </c>
      <c r="M1345" s="47" t="str">
        <f ca="1">IF(F1317&gt;ENTRY!$D$24,"",IFERROR(L1341&amp;" / "&amp;"600",""))</f>
        <v>163 / 600</v>
      </c>
      <c r="N1345" s="29"/>
      <c r="O1345" s="29"/>
      <c r="P1345" s="19"/>
      <c r="Q1345" s="19"/>
      <c r="R1345" s="11"/>
    </row>
    <row r="1346" s="1" customFormat="1" ht="9.95" customHeight="1" spans="1:19">
      <c r="A1346" s="7"/>
      <c r="B1346" s="12"/>
      <c r="C1346" s="39"/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  <c r="O1346" s="40"/>
      <c r="P1346" s="41"/>
      <c r="Q1346" s="19"/>
      <c r="R1346" s="11"/>
    </row>
    <row r="1347" s="1" customFormat="1" ht="9.95" customHeight="1" spans="1:19">
      <c r="A1347" s="7"/>
      <c r="B1347" s="12"/>
      <c r="C1347" s="71"/>
      <c r="D1347" s="71"/>
      <c r="E1347" s="71"/>
      <c r="F1347" s="29"/>
      <c r="G1347" s="71"/>
      <c r="H1347" s="71"/>
      <c r="I1347" s="71"/>
      <c r="J1347" s="71"/>
      <c r="K1347" s="71"/>
      <c r="L1347" s="71"/>
      <c r="M1347" s="71"/>
      <c r="N1347" s="71"/>
      <c r="O1347" s="71"/>
      <c r="P1347" s="71"/>
      <c r="Q1347" s="19"/>
      <c r="R1347" s="11"/>
    </row>
    <row r="1348" s="1" customFormat="1" ht="9.95" customHeight="1" spans="1:19">
      <c r="A1348" s="7"/>
      <c r="B1348" s="12"/>
      <c r="C1348" s="29"/>
      <c r="D1348" s="29"/>
      <c r="E1348" s="29"/>
      <c r="F1348" s="72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19"/>
      <c r="R1348" s="11"/>
    </row>
    <row r="1349" s="1" customFormat="1" ht="9.95" customHeight="1" spans="1:19">
      <c r="A1349" s="7"/>
      <c r="B1349" s="12"/>
      <c r="C1349" s="30"/>
      <c r="D1349" s="31"/>
      <c r="E1349" s="31"/>
      <c r="F1349" s="31"/>
      <c r="G1349" s="31"/>
      <c r="H1349" s="31"/>
      <c r="I1349" s="31"/>
      <c r="J1349" s="31"/>
      <c r="K1349" s="31"/>
      <c r="L1349" s="31"/>
      <c r="M1349" s="31"/>
      <c r="N1349" s="31"/>
      <c r="O1349" s="31"/>
      <c r="P1349" s="32"/>
      <c r="Q1349" s="19"/>
      <c r="R1349" s="11"/>
    </row>
    <row r="1350" s="1" customFormat="1" ht="21.95" customHeight="1" spans="1:19">
      <c r="A1350" s="7"/>
      <c r="B1350" s="12"/>
      <c r="C1350" s="73" t="s">
        <v>7</v>
      </c>
      <c r="D1350" s="13"/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74"/>
      <c r="Q1350" s="19"/>
      <c r="R1350" s="11"/>
      <c r="S1350" s="2"/>
    </row>
    <row r="1351" s="1" customFormat="1" ht="21.95" customHeight="1" spans="1:19">
      <c r="A1351" s="7"/>
      <c r="B1351" s="12"/>
      <c r="C1351" s="33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19"/>
      <c r="Q1351" s="19"/>
      <c r="R1351" s="11"/>
    </row>
    <row r="1352" s="1" customFormat="1" ht="21.95" customHeight="1" spans="1:19">
      <c r="A1352" s="7"/>
      <c r="B1352" s="12"/>
      <c r="C1352" s="75" t="str">
        <f>"SESSION-"&amp;ENTRY!$D$11</f>
        <v>SESSION-2026-27</v>
      </c>
      <c r="D1352" s="15"/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76"/>
      <c r="Q1352" s="19"/>
      <c r="R1352" s="11"/>
    </row>
    <row r="1353" s="1" customFormat="1" ht="18" customHeight="1" spans="1:19">
      <c r="A1353" s="7"/>
      <c r="B1353" s="12"/>
      <c r="C1353" s="33"/>
      <c r="D1353" s="29"/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19"/>
      <c r="Q1353" s="19"/>
      <c r="R1353" s="11"/>
    </row>
    <row r="1354" s="1" customFormat="1" ht="21.95" customHeight="1" spans="1:19">
      <c r="A1354" s="7"/>
      <c r="B1354" s="12"/>
      <c r="C1354" s="33"/>
      <c r="D1354" s="77" t="s">
        <v>758</v>
      </c>
      <c r="E1354" s="77"/>
      <c r="F1354" s="78" t="str">
        <f>IFERROR(PROPER(VLOOKUP(F1317,STUDENT!$A$2:$BP$101,5,0)),"")</f>
        <v>Soorya Vanshal</v>
      </c>
      <c r="G1354" s="78"/>
      <c r="H1354" s="78"/>
      <c r="I1354" s="78"/>
      <c r="J1354" s="78"/>
      <c r="K1354" s="78"/>
      <c r="L1354" s="78"/>
      <c r="M1354" s="78"/>
      <c r="N1354" s="79" t="s">
        <v>759</v>
      </c>
      <c r="O1354" s="79"/>
      <c r="P1354" s="19"/>
      <c r="Q1354" s="19"/>
      <c r="R1354" s="11"/>
    </row>
    <row r="1355" s="1" customFormat="1" ht="21.95" customHeight="1" spans="1:19">
      <c r="A1355" s="7"/>
      <c r="B1355" s="12"/>
      <c r="C1355" s="33"/>
      <c r="D1355" s="80" t="s">
        <v>760</v>
      </c>
      <c r="E1355" s="81" t="str">
        <f>IFERROR(PROPER(VLOOKUP(F1317,STUDENT!$A$2:$BP$101,9,0)),"")</f>
        <v>Sarita</v>
      </c>
      <c r="F1355" s="81"/>
      <c r="G1355" s="81"/>
      <c r="H1355" s="80" t="s">
        <v>761</v>
      </c>
      <c r="I1355" s="82" t="str">
        <f>IFERROR(PROPER(VLOOKUP(F1317,STUDENT!$A$2:$BP$101,8,0)),"")</f>
        <v>Kamlesh Kumar</v>
      </c>
      <c r="J1355" s="82"/>
      <c r="K1355" s="82"/>
      <c r="L1355" s="82"/>
      <c r="M1355" s="80" t="s">
        <v>762</v>
      </c>
      <c r="N1355" s="83" t="str">
        <f>IFERROR(VLOOKUP(F1317,STUDENT!$A$2:$BP$101,59,0),"")</f>
        <v/>
      </c>
      <c r="O1355" s="83"/>
      <c r="P1355" s="19"/>
      <c r="Q1355" s="19"/>
      <c r="R1355" s="11"/>
    </row>
    <row r="1356" s="1" customFormat="1" ht="21.95" customHeight="1" spans="1:19">
      <c r="A1356" s="7"/>
      <c r="B1356" s="12"/>
      <c r="C1356" s="33"/>
      <c r="D1356" s="77" t="str">
        <f>"has    completed     his  /  her     primary     level     education    in    the    year    "&amp;RIGHT(ENTRY!$D1322,4)&amp;"    from    ( School    Name )"</f>
        <v>has    completed     his  /  her     primary     level     education    in    the    year        from    ( School    Name )</v>
      </c>
      <c r="E1356" s="77"/>
      <c r="F1356" s="77"/>
      <c r="G1356" s="77"/>
      <c r="H1356" s="77"/>
      <c r="I1356" s="77"/>
      <c r="J1356" s="77"/>
      <c r="K1356" s="77"/>
      <c r="L1356" s="77"/>
      <c r="M1356" s="77"/>
      <c r="N1356" s="77"/>
      <c r="O1356" s="77"/>
      <c r="P1356" s="19"/>
      <c r="Q1356" s="19"/>
      <c r="R1356" s="11"/>
    </row>
    <row r="1357" s="1" customFormat="1" ht="21.95" customHeight="1" spans="1:19">
      <c r="A1357" s="7"/>
      <c r="B1357" s="12"/>
      <c r="C1357" s="33"/>
      <c r="D1357" s="81" t="str">
        <f>IF(F1317&gt;0,ENTRY!$D$6,"")</f>
        <v>MCP NITHARI NO 1 BOYS</v>
      </c>
      <c r="E1357" s="81"/>
      <c r="F1357" s="81"/>
      <c r="G1357" s="81"/>
      <c r="H1357" s="81"/>
      <c r="I1357" s="81"/>
      <c r="J1357" s="81"/>
      <c r="K1357" s="81"/>
      <c r="L1357" s="81"/>
      <c r="M1357" s="80" t="s">
        <v>763</v>
      </c>
      <c r="N1357" s="84">
        <f>IF(F1317&gt;0,ENTRY!$D$7,"")</f>
        <v>0</v>
      </c>
      <c r="O1357" s="84"/>
      <c r="P1357" s="85" t="s">
        <v>727</v>
      </c>
      <c r="Q1357" s="19"/>
      <c r="R1357" s="11"/>
    </row>
    <row r="1358" s="1" customFormat="1" ht="21.95" customHeight="1" spans="1:19">
      <c r="A1358" s="7"/>
      <c r="B1358" s="12"/>
      <c r="C1358" s="33"/>
      <c r="D1358" s="29"/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19"/>
      <c r="Q1358" s="19"/>
      <c r="R1358" s="11"/>
    </row>
    <row r="1359" s="1" customFormat="1" ht="21.95" customHeight="1" spans="1:19">
      <c r="A1359" s="7"/>
      <c r="B1359" s="12"/>
      <c r="C1359" s="33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19"/>
      <c r="Q1359" s="19"/>
      <c r="R1359" s="11"/>
    </row>
    <row r="1360" s="1" customFormat="1" ht="21.95" customHeight="1" spans="1:19">
      <c r="A1360" s="7"/>
      <c r="B1360" s="12"/>
      <c r="C1360" s="33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19"/>
      <c r="Q1360" s="19"/>
      <c r="R1360" s="11"/>
    </row>
    <row r="1361" s="1" customFormat="1" ht="21.95" customHeight="1" spans="1:18">
      <c r="A1361" s="7"/>
      <c r="B1361" s="12"/>
      <c r="C1361" s="33"/>
      <c r="D1361" s="29"/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  <c r="O1361" s="29"/>
      <c r="P1361" s="19"/>
      <c r="Q1361" s="19"/>
      <c r="R1361" s="11"/>
    </row>
    <row r="1362" s="1" customFormat="1" ht="21.95" customHeight="1" spans="1:18">
      <c r="A1362" s="7"/>
      <c r="B1362" s="12"/>
      <c r="C1362" s="33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19"/>
      <c r="Q1362" s="19"/>
      <c r="R1362" s="11"/>
    </row>
    <row r="1363" s="1" customFormat="1" ht="21.95" customHeight="1" spans="1:18">
      <c r="A1363" s="7"/>
      <c r="B1363" s="12"/>
      <c r="C1363" s="33"/>
      <c r="D1363" s="80" t="s">
        <v>728</v>
      </c>
      <c r="E1363" s="86">
        <f>ENTRY!$D$27</f>
        <v>46102</v>
      </c>
      <c r="F1363" s="86"/>
      <c r="G1363" s="29"/>
      <c r="H1363" s="29"/>
      <c r="I1363" s="29"/>
      <c r="J1363" s="29"/>
      <c r="K1363" s="29"/>
      <c r="L1363" s="29"/>
      <c r="M1363" s="87" t="s">
        <v>730</v>
      </c>
      <c r="N1363" s="87"/>
      <c r="O1363" s="87"/>
      <c r="P1363" s="19"/>
      <c r="Q1363" s="19"/>
      <c r="R1363" s="11"/>
    </row>
    <row r="1364" s="1" customFormat="1" ht="21.95" customHeight="1" spans="1:18">
      <c r="A1364" s="7"/>
      <c r="B1364" s="12"/>
      <c r="C1364" s="33"/>
      <c r="D1364" s="80" t="s">
        <v>731</v>
      </c>
      <c r="E1364" s="88" t="str">
        <f>PROPER(ENTRY!$D$28)</f>
        <v>New Delhi</v>
      </c>
      <c r="F1364" s="88"/>
      <c r="G1364" s="29"/>
      <c r="H1364" s="29"/>
      <c r="I1364" s="29"/>
      <c r="J1364" s="29"/>
      <c r="K1364" s="29"/>
      <c r="L1364" s="29"/>
      <c r="M1364" s="89" t="s">
        <v>732</v>
      </c>
      <c r="N1364" s="89"/>
      <c r="O1364" s="89"/>
      <c r="P1364" s="19"/>
      <c r="Q1364" s="19"/>
      <c r="R1364" s="11"/>
    </row>
    <row r="1365" s="1" customFormat="1" ht="21.95" customHeight="1" spans="1:18">
      <c r="A1365" s="7"/>
      <c r="B1365" s="12"/>
      <c r="C1365" s="90"/>
      <c r="D1365" s="91"/>
      <c r="E1365" s="91"/>
      <c r="F1365" s="91"/>
      <c r="G1365" s="91"/>
      <c r="H1365" s="91"/>
      <c r="I1365" s="91"/>
      <c r="J1365" s="91"/>
      <c r="K1365" s="91"/>
      <c r="L1365" s="91"/>
      <c r="M1365" s="91"/>
      <c r="N1365" s="91"/>
      <c r="O1365" s="91"/>
      <c r="P1365" s="92"/>
      <c r="Q1365" s="14"/>
      <c r="R1365" s="11"/>
    </row>
    <row r="1366" s="1" customFormat="1" ht="5.1" customHeight="1" spans="1:18">
      <c r="A1366" s="7"/>
      <c r="B1366" s="90"/>
      <c r="C1366" s="91"/>
      <c r="D1366" s="91"/>
      <c r="E1366" s="91"/>
      <c r="F1366" s="91"/>
      <c r="G1366" s="91"/>
      <c r="H1366" s="91"/>
      <c r="I1366" s="91"/>
      <c r="J1366" s="91"/>
      <c r="K1366" s="91"/>
      <c r="L1366" s="91"/>
      <c r="M1366" s="91"/>
      <c r="N1366" s="91"/>
      <c r="O1366" s="91"/>
      <c r="P1366" s="91"/>
      <c r="Q1366" s="92"/>
      <c r="R1366" s="11"/>
    </row>
    <row r="1367" s="1" customFormat="1" ht="5.1" customHeight="1" spans="1:18">
      <c r="A1367" s="93"/>
      <c r="B1367" s="94"/>
      <c r="C1367" s="94"/>
      <c r="D1367" s="94"/>
      <c r="E1367" s="94"/>
      <c r="F1367" s="94"/>
      <c r="G1367" s="94"/>
      <c r="H1367" s="94"/>
      <c r="I1367" s="94"/>
      <c r="J1367" s="94"/>
      <c r="K1367" s="94"/>
      <c r="L1367" s="94"/>
      <c r="M1367" s="94"/>
      <c r="N1367" s="94"/>
      <c r="O1367" s="94"/>
      <c r="P1367" s="94"/>
      <c r="Q1367" s="94"/>
      <c r="R1367" s="95"/>
    </row>
    <row r="1368" s="2" customFormat="1" ht="9.95" customHeight="1"/>
    <row r="1369" s="1" customFormat="1" ht="5.1" customHeight="1" spans="1:18">
      <c r="A1369" s="4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6"/>
    </row>
    <row r="1370" s="1" customFormat="1" ht="15" customHeight="1" spans="1:18">
      <c r="A1370" s="7"/>
      <c r="B1370" s="8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9"/>
      <c r="O1370" s="9"/>
      <c r="P1370" s="9"/>
      <c r="Q1370" s="10"/>
      <c r="R1370" s="11"/>
    </row>
    <row r="1371" s="1" customFormat="1" ht="21.95" customHeight="1" spans="1:18">
      <c r="A1371" s="7"/>
      <c r="B1371" s="12"/>
      <c r="C1371" s="13" t="s">
        <v>7</v>
      </c>
      <c r="D1371" s="13"/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/>
      <c r="Q1371" s="14"/>
      <c r="R1371" s="11"/>
    </row>
    <row r="1372" s="1" customFormat="1" ht="21.95" customHeight="1" spans="1:18">
      <c r="A1372" s="7"/>
      <c r="B1372" s="1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14"/>
      <c r="R1372" s="11"/>
    </row>
    <row r="1373" s="1" customFormat="1" ht="21.95" customHeight="1" spans="1:18">
      <c r="A1373" s="7"/>
      <c r="B1373" s="12"/>
      <c r="C1373" s="15" t="str">
        <f>"SESSION-"&amp;ENTRY!$D$11</f>
        <v>SESSION-2026-27</v>
      </c>
      <c r="D1373" s="15"/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4"/>
      <c r="R1373" s="11"/>
    </row>
    <row r="1374" s="1" customFormat="1" ht="21.95" customHeight="1" spans="1:18">
      <c r="A1374" s="7"/>
      <c r="B1374" s="12"/>
      <c r="C1374" s="2"/>
      <c r="D1374" s="2"/>
      <c r="E1374" s="2"/>
      <c r="F1374" s="16">
        <f>F1317+1</f>
        <v>25</v>
      </c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14"/>
      <c r="R1374" s="11"/>
    </row>
    <row r="1375" s="1" customFormat="1" ht="21.95" customHeight="1" spans="1:18">
      <c r="A1375" s="7"/>
      <c r="B1375" s="12"/>
      <c r="C1375" s="17" t="s">
        <v>392</v>
      </c>
      <c r="D1375" s="17"/>
      <c r="E1375" s="17"/>
      <c r="F1375" s="18" t="str">
        <f>IF(F1374&gt;0,ENTRY!$D$6,"")</f>
        <v>MCP NITHARI NO 1 BOYS</v>
      </c>
      <c r="G1375" s="18"/>
      <c r="H1375" s="18"/>
      <c r="I1375" s="18"/>
      <c r="J1375" s="18"/>
      <c r="K1375" s="18"/>
      <c r="L1375" s="18"/>
      <c r="M1375" s="18"/>
      <c r="N1375" s="18"/>
      <c r="O1375" s="18"/>
      <c r="P1375" s="18"/>
      <c r="Q1375" s="19"/>
      <c r="R1375" s="11"/>
    </row>
    <row r="1376" s="1" customFormat="1" ht="21.95" customHeight="1" spans="1:18">
      <c r="A1376" s="7"/>
      <c r="B1376" s="12"/>
      <c r="C1376" s="17" t="s">
        <v>393</v>
      </c>
      <c r="D1376" s="17"/>
      <c r="E1376" s="17"/>
      <c r="F1376" s="18">
        <f>IF(F1374&gt;0,ENTRY!$D$7,"")</f>
        <v>0</v>
      </c>
      <c r="G1376" s="18"/>
      <c r="H1376" s="20" t="s">
        <v>702</v>
      </c>
      <c r="I1376" s="20"/>
      <c r="J1376" s="21">
        <f>IF(F1374&gt;0,ENTRY!$D$10,"")</f>
        <v>40</v>
      </c>
      <c r="K1376" s="20" t="s">
        <v>703</v>
      </c>
      <c r="L1376" s="22" t="str">
        <f>IF(F1374&gt;0,ENTRY!$D$5,"")</f>
        <v>ROHINI ZONE</v>
      </c>
      <c r="M1376" s="22"/>
      <c r="N1376" s="22"/>
      <c r="O1376" s="22"/>
      <c r="P1376" s="22"/>
      <c r="Q1376" s="19"/>
      <c r="R1376" s="11"/>
    </row>
    <row r="1377" s="1" customFormat="1" ht="21.95" customHeight="1" spans="1:18">
      <c r="A1377" s="7"/>
      <c r="B1377" s="12"/>
      <c r="C1377" s="17" t="s">
        <v>706</v>
      </c>
      <c r="D1377" s="17"/>
      <c r="E1377" s="17"/>
      <c r="F1377" s="23" t="str">
        <f>IFERROR(VLOOKUP(F1374,STUDENT!$A$2:$BP$101,5,0),"")</f>
        <v>ANSHU KUMAR PANDIT</v>
      </c>
      <c r="G1377" s="23"/>
      <c r="H1377" s="23"/>
      <c r="I1377" s="23"/>
      <c r="J1377" s="23"/>
      <c r="K1377" s="23"/>
      <c r="L1377" s="20" t="s">
        <v>707</v>
      </c>
      <c r="M1377" s="20"/>
      <c r="N1377" s="24" t="str">
        <f>IF(F1374&gt;0,ENTRY!$D$20&amp;"-"&amp;ENTRY!$D$21,"")</f>
        <v>III-A</v>
      </c>
      <c r="O1377" s="24"/>
      <c r="P1377" s="24"/>
      <c r="Q1377" s="19"/>
      <c r="R1377" s="11"/>
    </row>
    <row r="1378" s="1" customFormat="1" ht="21.95" customHeight="1" spans="1:18">
      <c r="A1378" s="7"/>
      <c r="B1378" s="12"/>
      <c r="C1378" s="17" t="s">
        <v>708</v>
      </c>
      <c r="D1378" s="17"/>
      <c r="E1378" s="17"/>
      <c r="F1378" s="25">
        <f>IFERROR(VLOOKUP(F1374,STUDENT!$A$2:$BP$101,6,0),"")</f>
        <v>14943</v>
      </c>
      <c r="G1378" s="25"/>
      <c r="H1378" s="26" t="s">
        <v>709</v>
      </c>
      <c r="I1378" s="27" t="str">
        <f>IFERROR(VLOOKUP(F1374,STUDENT!$A$2:$BP$101,59,0),"")</f>
        <v/>
      </c>
      <c r="J1378" s="27"/>
      <c r="K1378" s="20" t="s">
        <v>710</v>
      </c>
      <c r="L1378" s="20"/>
      <c r="M1378" s="28">
        <f>IFERROR(VLOOKUP(F1374,STUDENT!$A$2:$BP$101,20,0),"")</f>
        <v>8800332010</v>
      </c>
      <c r="N1378" s="28"/>
      <c r="O1378" s="28"/>
      <c r="P1378" s="28"/>
      <c r="Q1378" s="19"/>
      <c r="R1378" s="11"/>
    </row>
    <row r="1379" s="1" customFormat="1" ht="21.95" customHeight="1" spans="1:18">
      <c r="A1379" s="7"/>
      <c r="B1379" s="12"/>
      <c r="C1379" s="17" t="s">
        <v>711</v>
      </c>
      <c r="D1379" s="17"/>
      <c r="E1379" s="17"/>
      <c r="F1379" s="23" t="str">
        <f>IFERROR(VLOOKUP(F1374,STUDENT!$A$2:$BP$101,9,0),"")</f>
        <v>PRATIBHA KUMARI</v>
      </c>
      <c r="G1379" s="23"/>
      <c r="H1379" s="23"/>
      <c r="I1379" s="23"/>
      <c r="J1379" s="17" t="s">
        <v>620</v>
      </c>
      <c r="K1379" s="17"/>
      <c r="L1379" s="23" t="str">
        <f>IFERROR(VLOOKUP(F1374,STUDENT!$A$2:$BP$101,8,0),"")</f>
        <v>RAMESH KUMAR PANDIT</v>
      </c>
      <c r="M1379" s="23"/>
      <c r="N1379" s="23"/>
      <c r="O1379" s="23"/>
      <c r="P1379" s="23"/>
      <c r="Q1379" s="19"/>
      <c r="R1379" s="11"/>
    </row>
    <row r="1380" s="1" customFormat="1" ht="21.95" customHeight="1" spans="1:18">
      <c r="A1380" s="7"/>
      <c r="B1380" s="12"/>
      <c r="C1380" s="17" t="s">
        <v>712</v>
      </c>
      <c r="D1380" s="17"/>
      <c r="E1380" s="17"/>
      <c r="F1380" s="23" t="str">
        <f>IFERROR(VLOOKUP(F1374,STUDENT!$A$2:$BP$101,22,0),"")</f>
        <v>D-32 INDER ENCLAVE PH-2 KIRARI</v>
      </c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19"/>
      <c r="R1380" s="11"/>
    </row>
    <row r="1381" s="1" customFormat="1" ht="9.95" customHeight="1" spans="1:18">
      <c r="A1381" s="7"/>
      <c r="B1381" s="12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19"/>
      <c r="R1381" s="11"/>
    </row>
    <row r="1382" s="1" customFormat="1" ht="9.95" customHeight="1" spans="1:18">
      <c r="A1382" s="7"/>
      <c r="B1382" s="12"/>
      <c r="C1382" s="30"/>
      <c r="D1382" s="31"/>
      <c r="E1382" s="31"/>
      <c r="F1382" s="31"/>
      <c r="G1382" s="31"/>
      <c r="H1382" s="31"/>
      <c r="I1382" s="31"/>
      <c r="J1382" s="31"/>
      <c r="K1382" s="31"/>
      <c r="L1382" s="31"/>
      <c r="M1382" s="31"/>
      <c r="N1382" s="31"/>
      <c r="O1382" s="31"/>
      <c r="P1382" s="32"/>
      <c r="Q1382" s="19"/>
      <c r="R1382" s="11"/>
    </row>
    <row r="1383" s="1" customFormat="1" ht="21.95" customHeight="1" spans="1:18">
      <c r="A1383" s="7"/>
      <c r="B1383" s="12"/>
      <c r="C1383" s="33"/>
      <c r="D1383" s="34" t="s">
        <v>713</v>
      </c>
      <c r="E1383" s="20" t="s">
        <v>714</v>
      </c>
      <c r="F1383" s="35" t="str">
        <f>"Level - "&amp;IFERROR(VLOOKUP(F1374,FLN!$A$4:$K$103,9,0),"")</f>
        <v>Level - 3</v>
      </c>
      <c r="G1383" s="36"/>
      <c r="H1383" s="37" t="s">
        <v>715</v>
      </c>
      <c r="I1383" s="20"/>
      <c r="J1383" s="35" t="str">
        <f>"Level - "&amp;IFERROR(VLOOKUP(F1374,FLN!$A$4:$K$103,11,0),"")</f>
        <v>Level - 4</v>
      </c>
      <c r="K1383" s="36"/>
      <c r="L1383" s="37" t="s">
        <v>408</v>
      </c>
      <c r="M1383" s="20"/>
      <c r="N1383" s="35" t="str">
        <f>"Level - "&amp;IFERROR(VLOOKUP(F1374,FLN!$A$4:$K$103,10,0),"")</f>
        <v>Level - 2</v>
      </c>
      <c r="O1383" s="36"/>
      <c r="P1383" s="19"/>
      <c r="Q1383" s="19"/>
      <c r="R1383" s="11"/>
    </row>
    <row r="1384" s="1" customFormat="1" ht="21.95" customHeight="1" spans="1:18">
      <c r="A1384" s="7"/>
      <c r="B1384" s="12"/>
      <c r="C1384" s="33"/>
      <c r="D1384" s="38"/>
      <c r="E1384" s="20" t="s">
        <v>716</v>
      </c>
      <c r="F1384" s="18" t="str">
        <f ca="1">IF(L1398&gt;197,"PERFORMED WELL","")</f>
        <v/>
      </c>
      <c r="G1384" s="18"/>
      <c r="H1384" s="18"/>
      <c r="I1384" s="18"/>
      <c r="J1384" s="18"/>
      <c r="K1384" s="18"/>
      <c r="L1384" s="18"/>
      <c r="M1384" s="18"/>
      <c r="N1384" s="18"/>
      <c r="O1384" s="18"/>
      <c r="P1384" s="19"/>
      <c r="Q1384" s="19"/>
      <c r="R1384" s="11"/>
    </row>
    <row r="1385" s="1" customFormat="1" ht="9.95" customHeight="1" spans="1:18">
      <c r="A1385" s="7"/>
      <c r="B1385" s="12"/>
      <c r="C1385" s="39"/>
      <c r="D1385" s="40"/>
      <c r="E1385" s="40"/>
      <c r="F1385" s="40"/>
      <c r="G1385" s="40"/>
      <c r="H1385" s="40"/>
      <c r="I1385" s="40"/>
      <c r="J1385" s="40"/>
      <c r="K1385" s="40"/>
      <c r="L1385" s="40"/>
      <c r="M1385" s="40"/>
      <c r="N1385" s="40"/>
      <c r="O1385" s="40"/>
      <c r="P1385" s="41"/>
      <c r="Q1385" s="19"/>
      <c r="R1385" s="11"/>
    </row>
    <row r="1386" s="1" customFormat="1" ht="9.95" customHeight="1" spans="1:18">
      <c r="A1386" s="7"/>
      <c r="B1386" s="12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19"/>
      <c r="R1386" s="11"/>
    </row>
    <row r="1387" s="1" customFormat="1" ht="9.95" customHeight="1" spans="1:18">
      <c r="A1387" s="7"/>
      <c r="B1387" s="12"/>
      <c r="C1387" s="30"/>
      <c r="D1387" s="31"/>
      <c r="E1387" s="31"/>
      <c r="F1387" s="31"/>
      <c r="G1387" s="31"/>
      <c r="H1387" s="31"/>
      <c r="I1387" s="31"/>
      <c r="J1387" s="31"/>
      <c r="K1387" s="31"/>
      <c r="L1387" s="31"/>
      <c r="M1387" s="31"/>
      <c r="N1387" s="31"/>
      <c r="O1387" s="31"/>
      <c r="P1387" s="32"/>
      <c r="Q1387" s="19"/>
      <c r="R1387" s="11"/>
    </row>
    <row r="1388" s="1" customFormat="1" ht="21.95" customHeight="1" spans="1:18">
      <c r="A1388" s="7"/>
      <c r="B1388" s="12"/>
      <c r="C1388" s="33"/>
      <c r="D1388" s="35"/>
      <c r="E1388" s="24"/>
      <c r="F1388" s="42" t="s">
        <v>717</v>
      </c>
      <c r="G1388" s="42"/>
      <c r="H1388" s="42"/>
      <c r="I1388" s="42"/>
      <c r="J1388" s="42"/>
      <c r="K1388" s="42"/>
      <c r="L1388" s="43"/>
      <c r="M1388" s="44"/>
      <c r="N1388" s="29"/>
      <c r="O1388" s="29"/>
      <c r="P1388" s="19"/>
      <c r="Q1388" s="19"/>
      <c r="R1388" s="11"/>
    </row>
    <row r="1389" s="1" customFormat="1" ht="21.95" customHeight="1" spans="1:18">
      <c r="A1389" s="7"/>
      <c r="B1389" s="12"/>
      <c r="C1389" s="33"/>
      <c r="D1389" s="45"/>
      <c r="E1389" s="46"/>
      <c r="F1389" s="47" t="s">
        <v>541</v>
      </c>
      <c r="G1389" s="47" t="s">
        <v>542</v>
      </c>
      <c r="H1389" s="47" t="s">
        <v>543</v>
      </c>
      <c r="I1389" s="47" t="s">
        <v>544</v>
      </c>
      <c r="J1389" s="47" t="s">
        <v>561</v>
      </c>
      <c r="K1389" s="48" t="s">
        <v>750</v>
      </c>
      <c r="L1389" s="47" t="s">
        <v>382</v>
      </c>
      <c r="M1389" s="49" t="s">
        <v>546</v>
      </c>
      <c r="N1389" s="29"/>
      <c r="O1389" s="29"/>
      <c r="P1389" s="19"/>
      <c r="Q1389" s="19"/>
      <c r="R1389" s="11"/>
    </row>
    <row r="1390" s="1" customFormat="1" ht="21.95" customHeight="1" spans="1:18">
      <c r="A1390" s="7"/>
      <c r="B1390" s="12"/>
      <c r="C1390" s="33"/>
      <c r="D1390" s="45" t="s">
        <v>652</v>
      </c>
      <c r="E1390" s="46"/>
      <c r="F1390" s="50">
        <v>10</v>
      </c>
      <c r="G1390" s="50">
        <v>10</v>
      </c>
      <c r="H1390" s="50">
        <v>10</v>
      </c>
      <c r="I1390" s="50">
        <v>10</v>
      </c>
      <c r="J1390" s="50">
        <v>60</v>
      </c>
      <c r="K1390" s="51"/>
      <c r="L1390" s="50">
        <v>100</v>
      </c>
      <c r="M1390" s="49"/>
      <c r="N1390" s="29"/>
      <c r="O1390" s="29"/>
      <c r="P1390" s="19"/>
      <c r="Q1390" s="19"/>
      <c r="R1390" s="11"/>
    </row>
    <row r="1391" s="1" customFormat="1" ht="21.95" customHeight="1" spans="1:18">
      <c r="A1391" s="7"/>
      <c r="B1391" s="12"/>
      <c r="C1391" s="33"/>
      <c r="D1391" s="52" t="s">
        <v>751</v>
      </c>
      <c r="E1391" s="53"/>
      <c r="F1391" s="54">
        <f ca="1">IFERROR(VLOOKUP(F1374,'RR-3.1-5TH'!$A$12:'RR-3.1-5TH'!$BN$111,9,0),"")</f>
        <v>2</v>
      </c>
      <c r="G1391" s="54">
        <f ca="1">IFERROR(VLOOKUP(F1374,'RR-3.1-5TH'!$A$12:'RR-3.1-5TH'!$BN$111,10,0),"")</f>
        <v>0</v>
      </c>
      <c r="H1391" s="54">
        <f ca="1">IFERROR(VLOOKUP(F1374,'RR-3.1-5TH'!$A$12:'RR-3.1-5TH'!$BN$111,11,0),"")</f>
        <v>0</v>
      </c>
      <c r="I1391" s="54">
        <f ca="1">IFERROR(VLOOKUP(F1374,'RR-3.1-5TH'!$A$12:'RR-3.1-5TH'!$BN$111,12,0),"")</f>
        <v>0</v>
      </c>
      <c r="J1391" s="54">
        <f ca="1">IFERROR(VLOOKUP(F1374,'RR-3.1-5TH'!$A$12:'RR-3.1-5TH'!$BN$111,13,0),"")</f>
        <v>48</v>
      </c>
      <c r="K1391" s="54">
        <f ca="1">IFERROR(VLOOKUP(F1374,'RR-3.1-5TH'!$A$12:'RR-3.1-5TH'!$BN$111,14,0),"")</f>
        <v>0</v>
      </c>
      <c r="L1391" s="55">
        <f ca="1" t="shared" ref="L1391:L1396" si="72">SUM(F1391,G1391,H1391,I1391,J1391,K1391)</f>
        <v>50</v>
      </c>
      <c r="M1391" s="56" t="str">
        <f ca="1">IF(F1374&gt;ENTRY!$D$24,"",IF(L1391=0,"Ab",IF(L1391&gt;80,"A",IF(L1391&gt;60,"B",IF(L1391&gt;44,"C",IF(L1391&gt;=33,"D",IF(L1391&lt;=32,"E","")))))))</f>
        <v>C</v>
      </c>
      <c r="N1391" s="57" t="s">
        <v>729</v>
      </c>
      <c r="O1391" s="58"/>
      <c r="P1391" s="59"/>
      <c r="Q1391" s="19"/>
      <c r="R1391" s="11"/>
    </row>
    <row r="1392" s="1" customFormat="1" ht="21.95" customHeight="1" spans="1:18">
      <c r="A1392" s="7"/>
      <c r="B1392" s="12"/>
      <c r="C1392" s="33"/>
      <c r="D1392" s="52" t="s">
        <v>513</v>
      </c>
      <c r="E1392" s="53"/>
      <c r="F1392" s="54">
        <f ca="1">IFERROR(VLOOKUP(F1374,'RR-3.1-5TH'!$A$12:'RR-3.1-5TH'!$BN$111,17,0),"")</f>
        <v>2</v>
      </c>
      <c r="G1392" s="54">
        <f ca="1">IFERROR(VLOOKUP(F1374,'RR-3.1-5TH'!$A$12:'RR-3.1-5TH'!$BN$111,18,0),"")</f>
        <v>0</v>
      </c>
      <c r="H1392" s="54">
        <f ca="1">IFERROR(VLOOKUP(F1374,'RR-3.1-5TH'!$A$12:'RR-3.1-5TH'!$BN$111,19,0),"")</f>
        <v>0</v>
      </c>
      <c r="I1392" s="54">
        <f ca="1">IFERROR(VLOOKUP(F1374,'RR-3.1-5TH'!$A$12:'RR-3.1-5TH'!$BN$111,20,0),"")</f>
        <v>0</v>
      </c>
      <c r="J1392" s="54">
        <f ca="1">IFERROR(VLOOKUP(F1374,'RR-3.1-5TH'!$A$12:'RR-3.1-5TH'!$BN$111,21,0),"")</f>
        <v>21</v>
      </c>
      <c r="K1392" s="54">
        <f ca="1">IFERROR(VLOOKUP(F1374,'RR-3.1-5TH'!$A$12:'RR-3.1-5TH'!$BN$111,22,0),"")</f>
        <v>0</v>
      </c>
      <c r="L1392" s="55">
        <f ca="1" t="shared" si="72"/>
        <v>23</v>
      </c>
      <c r="M1392" s="56" t="str">
        <f ca="1">IF(F1374&gt;ENTRY!$D$24,"",IF(L1392=0,"Ab",IF(L1392&gt;80,"A",IF(L1392&gt;60,"B",IF(L1392&gt;44,"C",IF(L1392&gt;=33,"D",IF(L1392&lt;=32,"E","")))))))</f>
        <v>E</v>
      </c>
      <c r="N1392" s="58"/>
      <c r="O1392" s="58"/>
      <c r="P1392" s="59"/>
      <c r="Q1392" s="19"/>
      <c r="R1392" s="11"/>
    </row>
    <row r="1393" s="1" customFormat="1" ht="21.95" customHeight="1" spans="1:19">
      <c r="A1393" s="7"/>
      <c r="B1393" s="12"/>
      <c r="C1393" s="33"/>
      <c r="D1393" s="52" t="s">
        <v>718</v>
      </c>
      <c r="E1393" s="53"/>
      <c r="F1393" s="54">
        <f ca="1">IFERROR(VLOOKUP(F1374,'RR-3.1-5TH'!$A$12:'RR-3.1-5TH'!$BN$111,25,0),"")</f>
        <v>2</v>
      </c>
      <c r="G1393" s="54">
        <f ca="1">IFERROR(VLOOKUP(F1374,'RR-3.1-5TH'!$A$12:'RR-3.1-5TH'!$BN$111,26,0),"")</f>
        <v>0</v>
      </c>
      <c r="H1393" s="54">
        <f ca="1">IFERROR(VLOOKUP(F1374,'RR-3.1-5TH'!$A$12:'RR-3.1-5TH'!$BN$111,27,0),"")</f>
        <v>0</v>
      </c>
      <c r="I1393" s="54">
        <f ca="1">IFERROR(VLOOKUP(F1374,'RR-3.1-5TH'!$A$12:'RR-3.1-5TH'!$BN$111,28,0),"")</f>
        <v>0</v>
      </c>
      <c r="J1393" s="54">
        <f ca="1">IFERROR(VLOOKUP(F1374,'RR-3.1-5TH'!$A$12:'RR-3.1-5TH'!$BN$111,29,0),"")</f>
        <v>25</v>
      </c>
      <c r="K1393" s="54">
        <f ca="1">IFERROR(VLOOKUP(F1374,'RR-3.1-5TH'!$A$12:'RR-3.1-5TH'!$BN$111,30,0),"")</f>
        <v>0</v>
      </c>
      <c r="L1393" s="55">
        <f ca="1" t="shared" si="72"/>
        <v>27</v>
      </c>
      <c r="M1393" s="56" t="str">
        <f ca="1">IF(F1374&gt;ENTRY!$D$24,"",IF(L1393=0,"Ab",IF(L1393&gt;80,"A",IF(L1393&gt;60,"B",IF(L1393&gt;44,"C",IF(L1393&gt;=33,"D",IF(L1393&lt;=32,"E","")))))))</f>
        <v>E</v>
      </c>
      <c r="N1393" s="29"/>
      <c r="O1393" s="29"/>
      <c r="P1393" s="19"/>
      <c r="Q1393" s="19"/>
      <c r="R1393" s="11"/>
    </row>
    <row r="1394" s="1" customFormat="1" ht="21.95" customHeight="1" spans="1:19">
      <c r="A1394" s="7"/>
      <c r="B1394" s="12"/>
      <c r="C1394" s="33"/>
      <c r="D1394" s="52" t="s">
        <v>719</v>
      </c>
      <c r="E1394" s="53"/>
      <c r="F1394" s="54">
        <f ca="1">IFERROR(VLOOKUP(F1374,'RR-3.1-5TH'!$A$12:'RR-3.1-5TH'!$BN$111,33,0),"")</f>
        <v>2</v>
      </c>
      <c r="G1394" s="54">
        <f ca="1">IFERROR(VLOOKUP(F1374,'RR-3.1-5TH'!$A$12:'RR-3.1-5TH'!$BN$111,34,0),"")</f>
        <v>0</v>
      </c>
      <c r="H1394" s="54">
        <f ca="1">IFERROR(VLOOKUP(F1374,'RR-3.1-5TH'!$A$12:'RR-3.1-5TH'!$BN$111,35,0),"")</f>
        <v>0</v>
      </c>
      <c r="I1394" s="54">
        <f ca="1">IFERROR(VLOOKUP(F1374,'RR-3.1-5TH'!$A$12:'RR-3.1-5TH'!$BN$111,36,0),"")</f>
        <v>0</v>
      </c>
      <c r="J1394" s="54">
        <f ca="1">IFERROR(VLOOKUP(F1374,'RR-3.1-5TH'!$A$12:'RR-3.1-5TH'!$BN$111,37,0),"")</f>
        <v>26</v>
      </c>
      <c r="K1394" s="54">
        <f ca="1">IFERROR(VLOOKUP(F1374,'RR-3.1-5TH'!$A$12:'RR-3.1-5TH'!$BN$111,38,0),"")</f>
        <v>0</v>
      </c>
      <c r="L1394" s="55">
        <f ca="1" t="shared" si="72"/>
        <v>28</v>
      </c>
      <c r="M1394" s="56" t="str">
        <f ca="1">IF(F1374&gt;ENTRY!$D$24,"",IF(L1394=0,"Ab",IF(L1394&gt;80,"A",IF(L1394&gt;60,"B",IF(L1394&gt;44,"C",IF(L1394&gt;=33,"D",IF(L1394&lt;=32,"E","")))))))</f>
        <v>E</v>
      </c>
      <c r="N1394" s="29"/>
      <c r="O1394" s="29"/>
      <c r="P1394" s="19"/>
      <c r="Q1394" s="19"/>
      <c r="R1394" s="11"/>
    </row>
    <row r="1395" s="1" customFormat="1" ht="21.95" customHeight="1" spans="1:19">
      <c r="A1395" s="7"/>
      <c r="B1395" s="12"/>
      <c r="C1395" s="33"/>
      <c r="D1395" s="52" t="s">
        <v>548</v>
      </c>
      <c r="E1395" s="53"/>
      <c r="F1395" s="54">
        <f ca="1">IFERROR(VLOOKUP(F1374,'RR-3.1-5TH'!$A$12:'RR-3.1-5TH'!$BN$111,41,0),"")</f>
        <v>0</v>
      </c>
      <c r="G1395" s="54">
        <f ca="1">IFERROR(VLOOKUP(F1374,'RR-3.1-5TH'!$A$12:'RR-3.1-5TH'!$BN$111,42,0),"")</f>
        <v>0</v>
      </c>
      <c r="H1395" s="54">
        <f ca="1">IFERROR(VLOOKUP(F1374,'RR-3.1-5TH'!$A$12:'RR-3.1-5TH'!$BN$111,43,0),"")</f>
        <v>0</v>
      </c>
      <c r="I1395" s="54">
        <f ca="1">IFERROR(VLOOKUP(F1374,'RR-3.1-5TH'!$A$12:'RR-3.1-5TH'!$BN$111,44,0),"")</f>
        <v>0</v>
      </c>
      <c r="J1395" s="54">
        <f ca="1">IFERROR(VLOOKUP(F1374,'RR-3.1-5TH'!$A$12:'RR-3.1-5TH'!$BN$111,45,0),"")</f>
        <v>25</v>
      </c>
      <c r="K1395" s="54">
        <f ca="1">IFERROR(VLOOKUP(F1374,'RR-3.1-5TH'!$A$12:'RR-3.1-5TH'!$BN$111,46,0),"")</f>
        <v>0</v>
      </c>
      <c r="L1395" s="55">
        <f ca="1" t="shared" si="72"/>
        <v>25</v>
      </c>
      <c r="M1395" s="56" t="str">
        <f ca="1">IF(F1374&gt;ENTRY!$D$24,"",IF(L1395=0,"Ab",IF(L1395&gt;80,"A",IF(L1395&gt;60,"B",IF(L1395&gt;44,"C",IF(L1395&gt;=33,"D",IF(L1395&lt;=32,"E","")))))))</f>
        <v>E</v>
      </c>
      <c r="N1395" s="29"/>
      <c r="O1395" s="29"/>
      <c r="P1395" s="19"/>
      <c r="Q1395" s="19"/>
      <c r="R1395" s="11"/>
    </row>
    <row r="1396" s="1" customFormat="1" ht="21.95" customHeight="1" spans="1:19">
      <c r="A1396" s="7"/>
      <c r="B1396" s="12"/>
      <c r="C1396" s="33"/>
      <c r="D1396" s="52" t="s">
        <v>549</v>
      </c>
      <c r="E1396" s="53"/>
      <c r="F1396" s="54">
        <f ca="1">IFERROR(VLOOKUP(F1374,'RR-3.1-5TH'!$A$12:'RR-3.1-5TH'!$BN$111,49,0),"")</f>
        <v>2</v>
      </c>
      <c r="G1396" s="54">
        <f ca="1">IFERROR(VLOOKUP(F1374,'RR-3.1-5TH'!$A$12:'RR-3.1-5TH'!$BN$111,50,0),"")</f>
        <v>0</v>
      </c>
      <c r="H1396" s="54">
        <f ca="1">IFERROR(VLOOKUP(F1374,'RR-3.1-5TH'!$A$12:'RR-3.1-5TH'!$BN$111,51,0),"")</f>
        <v>0</v>
      </c>
      <c r="I1396" s="54">
        <f ca="1">IFERROR(VLOOKUP(F1374,'RR-3.1-5TH'!$A$12:'RR-3.1-5TH'!$BN$111,52,0),"")</f>
        <v>0</v>
      </c>
      <c r="J1396" s="54">
        <f ca="1">IFERROR(VLOOKUP(F1374,'RR-3.1-5TH'!$A$12:'RR-3.1-5TH'!$BN$111,53,0),"")</f>
        <v>28</v>
      </c>
      <c r="K1396" s="54">
        <f ca="1">IFERROR(VLOOKUP(F1374,'RR-3.1-5TH'!$A$12:'RR-3.1-5TH'!$BN$111,54,0),"")</f>
        <v>0</v>
      </c>
      <c r="L1396" s="55">
        <f ca="1" t="shared" si="72"/>
        <v>30</v>
      </c>
      <c r="M1396" s="56" t="str">
        <f ca="1">IF(F1374&gt;ENTRY!$D$24,"",IF(L1396=0,"Ab",IF(L1396&gt;80,"A",IF(L1396&gt;60,"B",IF(L1396&gt;44,"C",IF(L1396&gt;=33,"D",IF(L1396&lt;=32,"E","")))))))</f>
        <v>E</v>
      </c>
      <c r="N1396" s="57" t="s">
        <v>752</v>
      </c>
      <c r="O1396" s="58"/>
      <c r="P1396" s="59"/>
      <c r="Q1396" s="19"/>
      <c r="R1396" s="11"/>
    </row>
    <row r="1397" s="1" customFormat="1" ht="21.95" customHeight="1" spans="1:19">
      <c r="A1397" s="7"/>
      <c r="B1397" s="12"/>
      <c r="C1397" s="33"/>
      <c r="D1397" s="52" t="s">
        <v>753</v>
      </c>
      <c r="E1397" s="53"/>
      <c r="F1397" s="60"/>
      <c r="G1397" s="54"/>
      <c r="H1397" s="54"/>
      <c r="I1397" s="54"/>
      <c r="J1397" s="54"/>
      <c r="K1397" s="54"/>
      <c r="L1397" s="55">
        <f t="shared" ref="L1397" si="73">SUM(G1397:K1397)</f>
        <v>0</v>
      </c>
      <c r="M1397" s="56" t="str">
        <f>IF(F1374&gt;ENTRY!$D$24,"",IF(L1397=0,"",IF(L1397&gt;79,"A",IF(L1397&gt;59,"B",IF(L1397&gt;44,"C",IF(L1397&gt;=33,"D",IF(L1397&lt;=32,"E","")))))))</f>
        <v/>
      </c>
      <c r="N1397" s="58"/>
      <c r="O1397" s="58"/>
      <c r="P1397" s="59"/>
      <c r="Q1397" s="19"/>
      <c r="R1397" s="11"/>
    </row>
    <row r="1398" s="1" customFormat="1" ht="21.95" customHeight="1" spans="1:19">
      <c r="A1398" s="7"/>
      <c r="B1398" s="12"/>
      <c r="C1398" s="33"/>
      <c r="D1398" s="45" t="s">
        <v>382</v>
      </c>
      <c r="E1398" s="46"/>
      <c r="F1398" s="54">
        <f ca="1" t="shared" ref="F1398:L1398" si="74">IFERROR(SUM(F1391:F1397),"")</f>
        <v>10</v>
      </c>
      <c r="G1398" s="54">
        <f ca="1" t="shared" si="74"/>
        <v>0</v>
      </c>
      <c r="H1398" s="54">
        <f ca="1" t="shared" si="74"/>
        <v>0</v>
      </c>
      <c r="I1398" s="54">
        <f ca="1" t="shared" si="74"/>
        <v>0</v>
      </c>
      <c r="J1398" s="54">
        <f ca="1" t="shared" si="74"/>
        <v>173</v>
      </c>
      <c r="K1398" s="54">
        <f ca="1" t="shared" si="74"/>
        <v>0</v>
      </c>
      <c r="L1398" s="55">
        <f ca="1" t="shared" si="74"/>
        <v>183</v>
      </c>
      <c r="M1398" s="61" t="str">
        <f ca="1">IF(F1374&gt;ENTRY!$D$24,"",IF(N1399="Ab","Ab",IF(N1399&gt;79.5,"A",IF(N1399&gt;59.5,"B",IF(N1399&gt;44.5,"C",IF(N1399&gt;=33,"D",IF(N1399&lt;33,"E","")))))))</f>
        <v>E</v>
      </c>
      <c r="N1398" s="62"/>
      <c r="O1398" s="58"/>
      <c r="P1398" s="59"/>
      <c r="Q1398" s="19"/>
      <c r="R1398" s="11"/>
    </row>
    <row r="1399" s="1" customFormat="1" ht="21.95" customHeight="1" spans="1:19">
      <c r="A1399" s="7"/>
      <c r="B1399" s="12"/>
      <c r="C1399" s="33"/>
      <c r="D1399" s="63" t="s">
        <v>721</v>
      </c>
      <c r="E1399" s="63"/>
      <c r="F1399" s="63"/>
      <c r="G1399" s="63"/>
      <c r="H1399" s="63"/>
      <c r="I1399" s="63"/>
      <c r="J1399" s="63"/>
      <c r="K1399" s="63"/>
      <c r="L1399" s="63"/>
      <c r="M1399" s="63"/>
      <c r="N1399" s="64">
        <f ca="1">IF(L1398="Ab","Ab",L1398/6)</f>
        <v>30.5</v>
      </c>
      <c r="O1399" s="65"/>
      <c r="P1399" s="19"/>
      <c r="Q1399" s="19"/>
      <c r="R1399" s="11"/>
    </row>
    <row r="1400" s="1" customFormat="1" ht="21.95" customHeight="1" spans="1:19">
      <c r="A1400" s="7"/>
      <c r="B1400" s="12"/>
      <c r="C1400" s="33"/>
      <c r="D1400" s="29" t="s">
        <v>716</v>
      </c>
      <c r="E1400" s="18" t="str">
        <f>IFERROR(VLOOKUP(F1374,'1to4-2.1-RR'!$A$12:$BG$111,57,0),"")</f>
        <v>THIRD</v>
      </c>
      <c r="F1400" s="18"/>
      <c r="G1400" s="18"/>
      <c r="H1400" s="18"/>
      <c r="I1400" s="18"/>
      <c r="J1400" s="18"/>
      <c r="K1400" s="18"/>
      <c r="L1400" s="18"/>
      <c r="M1400" s="18"/>
      <c r="N1400" s="29"/>
      <c r="O1400" s="29"/>
      <c r="P1400" s="19"/>
      <c r="Q1400" s="19"/>
      <c r="R1400" s="11"/>
    </row>
    <row r="1401" s="1" customFormat="1" ht="9.95" customHeight="1" spans="1:19">
      <c r="A1401" s="7"/>
      <c r="B1401" s="12"/>
      <c r="C1401" s="33"/>
      <c r="D1401" s="29"/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  <c r="O1401" s="29"/>
      <c r="P1401" s="19"/>
      <c r="Q1401" s="19"/>
      <c r="R1401" s="11"/>
    </row>
    <row r="1402" s="1" customFormat="1" ht="36" spans="1:19">
      <c r="A1402" s="7"/>
      <c r="B1402" s="12"/>
      <c r="C1402" s="33"/>
      <c r="D1402" s="66" t="s">
        <v>576</v>
      </c>
      <c r="E1402" s="67" t="s">
        <v>754</v>
      </c>
      <c r="F1402" s="47">
        <f>IF(F1374&gt;ENTRY!$D$24,"",IFERROR(VLOOKUP(F1374,PASHEET!$A$4:$CJ$103,88,0),""))</f>
        <v>0</v>
      </c>
      <c r="G1402" s="67" t="s">
        <v>755</v>
      </c>
      <c r="H1402" s="47">
        <f>IF(F1374&gt;ENTRY!$D$24,"",IFERROR(VLOOKUP(F1374,PASHEET!$A$4:$CJ$103,87,0),""))</f>
        <v>0</v>
      </c>
      <c r="I1402" s="68" t="s">
        <v>756</v>
      </c>
      <c r="J1402" s="69" t="str">
        <f>IF(F1374&gt;ENTRY!$D$24,"",IFERROR(IF(F1374&gt;0,H1402/F1402*100),""))</f>
        <v/>
      </c>
      <c r="K1402" s="60" t="s">
        <v>757</v>
      </c>
      <c r="L1402" s="70">
        <f ca="1">IF(F1374&gt;ENTRY!$D$24,"",IFERROR(L1398/600*100,""))</f>
        <v>30.5</v>
      </c>
      <c r="M1402" s="47" t="str">
        <f ca="1">IF(F1374&gt;ENTRY!$D$24,"",IFERROR(L1398&amp;" / "&amp;"600",""))</f>
        <v>183 / 600</v>
      </c>
      <c r="N1402" s="29"/>
      <c r="O1402" s="29"/>
      <c r="P1402" s="19"/>
      <c r="Q1402" s="19"/>
      <c r="R1402" s="11"/>
    </row>
    <row r="1403" s="1" customFormat="1" ht="9.95" customHeight="1" spans="1:19">
      <c r="A1403" s="7"/>
      <c r="B1403" s="12"/>
      <c r="C1403" s="39"/>
      <c r="D1403" s="40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  <c r="O1403" s="40"/>
      <c r="P1403" s="41"/>
      <c r="Q1403" s="19"/>
      <c r="R1403" s="11"/>
    </row>
    <row r="1404" s="1" customFormat="1" ht="9.95" customHeight="1" spans="1:19">
      <c r="A1404" s="7"/>
      <c r="B1404" s="12"/>
      <c r="C1404" s="71"/>
      <c r="D1404" s="71"/>
      <c r="E1404" s="71"/>
      <c r="F1404" s="29"/>
      <c r="G1404" s="71"/>
      <c r="H1404" s="71"/>
      <c r="I1404" s="71"/>
      <c r="J1404" s="71"/>
      <c r="K1404" s="71"/>
      <c r="L1404" s="71"/>
      <c r="M1404" s="71"/>
      <c r="N1404" s="71"/>
      <c r="O1404" s="71"/>
      <c r="P1404" s="71"/>
      <c r="Q1404" s="19"/>
      <c r="R1404" s="11"/>
    </row>
    <row r="1405" s="1" customFormat="1" ht="9.95" customHeight="1" spans="1:19">
      <c r="A1405" s="7"/>
      <c r="B1405" s="12"/>
      <c r="C1405" s="29"/>
      <c r="D1405" s="29"/>
      <c r="E1405" s="29"/>
      <c r="F1405" s="72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19"/>
      <c r="R1405" s="11"/>
    </row>
    <row r="1406" s="1" customFormat="1" ht="9.95" customHeight="1" spans="1:19">
      <c r="A1406" s="7"/>
      <c r="B1406" s="12"/>
      <c r="C1406" s="30"/>
      <c r="D1406" s="31"/>
      <c r="E1406" s="31"/>
      <c r="F1406" s="31"/>
      <c r="G1406" s="31"/>
      <c r="H1406" s="31"/>
      <c r="I1406" s="31"/>
      <c r="J1406" s="31"/>
      <c r="K1406" s="31"/>
      <c r="L1406" s="31"/>
      <c r="M1406" s="31"/>
      <c r="N1406" s="31"/>
      <c r="O1406" s="31"/>
      <c r="P1406" s="32"/>
      <c r="Q1406" s="19"/>
      <c r="R1406" s="11"/>
    </row>
    <row r="1407" s="1" customFormat="1" ht="21.95" customHeight="1" spans="1:19">
      <c r="A1407" s="7"/>
      <c r="B1407" s="12"/>
      <c r="C1407" s="73" t="s">
        <v>7</v>
      </c>
      <c r="D1407" s="13"/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74"/>
      <c r="Q1407" s="19"/>
      <c r="R1407" s="11"/>
      <c r="S1407" s="2"/>
    </row>
    <row r="1408" s="1" customFormat="1" ht="21.95" customHeight="1" spans="1:19">
      <c r="A1408" s="7"/>
      <c r="B1408" s="12"/>
      <c r="C1408" s="33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19"/>
      <c r="Q1408" s="19"/>
      <c r="R1408" s="11"/>
    </row>
    <row r="1409" s="1" customFormat="1" ht="21.95" customHeight="1" spans="1:18">
      <c r="A1409" s="7"/>
      <c r="B1409" s="12"/>
      <c r="C1409" s="75" t="str">
        <f>"SESSION-"&amp;ENTRY!$D$11</f>
        <v>SESSION-2026-27</v>
      </c>
      <c r="D1409" s="15"/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76"/>
      <c r="Q1409" s="19"/>
      <c r="R1409" s="11"/>
    </row>
    <row r="1410" s="1" customFormat="1" ht="18" customHeight="1" spans="1:18">
      <c r="A1410" s="7"/>
      <c r="B1410" s="12"/>
      <c r="C1410" s="33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19"/>
      <c r="Q1410" s="19"/>
      <c r="R1410" s="11"/>
    </row>
    <row r="1411" s="1" customFormat="1" ht="21.95" customHeight="1" spans="1:18">
      <c r="A1411" s="7"/>
      <c r="B1411" s="12"/>
      <c r="C1411" s="33"/>
      <c r="D1411" s="77" t="s">
        <v>758</v>
      </c>
      <c r="E1411" s="77"/>
      <c r="F1411" s="78" t="str">
        <f>IFERROR(PROPER(VLOOKUP(F1374,STUDENT!$A$2:$BP$101,5,0)),"")</f>
        <v>Anshu Kumar Pandit</v>
      </c>
      <c r="G1411" s="78"/>
      <c r="H1411" s="78"/>
      <c r="I1411" s="78"/>
      <c r="J1411" s="78"/>
      <c r="K1411" s="78"/>
      <c r="L1411" s="78"/>
      <c r="M1411" s="78"/>
      <c r="N1411" s="79" t="s">
        <v>759</v>
      </c>
      <c r="O1411" s="79"/>
      <c r="P1411" s="19"/>
      <c r="Q1411" s="19"/>
      <c r="R1411" s="11"/>
    </row>
    <row r="1412" s="1" customFormat="1" ht="21.95" customHeight="1" spans="1:18">
      <c r="A1412" s="7"/>
      <c r="B1412" s="12"/>
      <c r="C1412" s="33"/>
      <c r="D1412" s="80" t="s">
        <v>760</v>
      </c>
      <c r="E1412" s="81" t="str">
        <f>IFERROR(PROPER(VLOOKUP(F1374,STUDENT!$A$2:$BP$101,9,0)),"")</f>
        <v>Pratibha Kumari</v>
      </c>
      <c r="F1412" s="81"/>
      <c r="G1412" s="81"/>
      <c r="H1412" s="80" t="s">
        <v>761</v>
      </c>
      <c r="I1412" s="82" t="str">
        <f>IFERROR(PROPER(VLOOKUP(F1374,STUDENT!$A$2:$BP$101,8,0)),"")</f>
        <v>Ramesh Kumar Pandit</v>
      </c>
      <c r="J1412" s="82"/>
      <c r="K1412" s="82"/>
      <c r="L1412" s="82"/>
      <c r="M1412" s="80" t="s">
        <v>762</v>
      </c>
      <c r="N1412" s="83" t="str">
        <f>IFERROR(VLOOKUP(F1374,STUDENT!$A$2:$BP$101,59,0),"")</f>
        <v/>
      </c>
      <c r="O1412" s="83"/>
      <c r="P1412" s="19"/>
      <c r="Q1412" s="19"/>
      <c r="R1412" s="11"/>
    </row>
    <row r="1413" s="1" customFormat="1" ht="21.95" customHeight="1" spans="1:18">
      <c r="A1413" s="7"/>
      <c r="B1413" s="12"/>
      <c r="C1413" s="33"/>
      <c r="D1413" s="77" t="str">
        <f>"has    completed     his  /  her     primary     level     education    in    the    year    "&amp;RIGHT(ENTRY!$D1379,4)&amp;"    from    ( School    Name )"</f>
        <v>has    completed     his  /  her     primary     level     education    in    the    year        from    ( School    Name )</v>
      </c>
      <c r="E1413" s="77"/>
      <c r="F1413" s="77"/>
      <c r="G1413" s="77"/>
      <c r="H1413" s="77"/>
      <c r="I1413" s="77"/>
      <c r="J1413" s="77"/>
      <c r="K1413" s="77"/>
      <c r="L1413" s="77"/>
      <c r="M1413" s="77"/>
      <c r="N1413" s="77"/>
      <c r="O1413" s="77"/>
      <c r="P1413" s="19"/>
      <c r="Q1413" s="19"/>
      <c r="R1413" s="11"/>
    </row>
    <row r="1414" s="1" customFormat="1" ht="21.95" customHeight="1" spans="1:18">
      <c r="A1414" s="7"/>
      <c r="B1414" s="12"/>
      <c r="C1414" s="33"/>
      <c r="D1414" s="81" t="str">
        <f>IF(F1374&gt;0,ENTRY!$D$6,"")</f>
        <v>MCP NITHARI NO 1 BOYS</v>
      </c>
      <c r="E1414" s="81"/>
      <c r="F1414" s="81"/>
      <c r="G1414" s="81"/>
      <c r="H1414" s="81"/>
      <c r="I1414" s="81"/>
      <c r="J1414" s="81"/>
      <c r="K1414" s="81"/>
      <c r="L1414" s="81"/>
      <c r="M1414" s="80" t="s">
        <v>763</v>
      </c>
      <c r="N1414" s="84">
        <f>IF(F1374&gt;0,ENTRY!$D$7,"")</f>
        <v>0</v>
      </c>
      <c r="O1414" s="84"/>
      <c r="P1414" s="85" t="s">
        <v>727</v>
      </c>
      <c r="Q1414" s="19"/>
      <c r="R1414" s="11"/>
    </row>
    <row r="1415" s="1" customFormat="1" ht="21.95" customHeight="1" spans="1:18">
      <c r="A1415" s="7"/>
      <c r="B1415" s="12"/>
      <c r="C1415" s="33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19"/>
      <c r="Q1415" s="19"/>
      <c r="R1415" s="11"/>
    </row>
    <row r="1416" s="1" customFormat="1" ht="21.95" customHeight="1" spans="1:18">
      <c r="A1416" s="7"/>
      <c r="B1416" s="12"/>
      <c r="C1416" s="33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19"/>
      <c r="Q1416" s="19"/>
      <c r="R1416" s="11"/>
    </row>
    <row r="1417" s="1" customFormat="1" ht="21.95" customHeight="1" spans="1:18">
      <c r="A1417" s="7"/>
      <c r="B1417" s="12"/>
      <c r="C1417" s="33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19"/>
      <c r="Q1417" s="19"/>
      <c r="R1417" s="11"/>
    </row>
    <row r="1418" s="1" customFormat="1" ht="21.95" customHeight="1" spans="1:18">
      <c r="A1418" s="7"/>
      <c r="B1418" s="12"/>
      <c r="C1418" s="33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19"/>
      <c r="Q1418" s="19"/>
      <c r="R1418" s="11"/>
    </row>
    <row r="1419" s="1" customFormat="1" ht="21.95" customHeight="1" spans="1:18">
      <c r="A1419" s="7"/>
      <c r="B1419" s="12"/>
      <c r="C1419" s="33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19"/>
      <c r="Q1419" s="19"/>
      <c r="R1419" s="11"/>
    </row>
    <row r="1420" s="1" customFormat="1" ht="21.95" customHeight="1" spans="1:18">
      <c r="A1420" s="7"/>
      <c r="B1420" s="12"/>
      <c r="C1420" s="33"/>
      <c r="D1420" s="80" t="s">
        <v>728</v>
      </c>
      <c r="E1420" s="86">
        <f>ENTRY!$D$27</f>
        <v>46102</v>
      </c>
      <c r="F1420" s="86"/>
      <c r="G1420" s="29"/>
      <c r="H1420" s="29"/>
      <c r="I1420" s="29"/>
      <c r="J1420" s="29"/>
      <c r="K1420" s="29"/>
      <c r="L1420" s="29"/>
      <c r="M1420" s="87" t="s">
        <v>730</v>
      </c>
      <c r="N1420" s="87"/>
      <c r="O1420" s="87"/>
      <c r="P1420" s="19"/>
      <c r="Q1420" s="19"/>
      <c r="R1420" s="11"/>
    </row>
    <row r="1421" s="1" customFormat="1" ht="21.95" customHeight="1" spans="1:18">
      <c r="A1421" s="7"/>
      <c r="B1421" s="12"/>
      <c r="C1421" s="33"/>
      <c r="D1421" s="80" t="s">
        <v>731</v>
      </c>
      <c r="E1421" s="88" t="str">
        <f>PROPER(ENTRY!$D$28)</f>
        <v>New Delhi</v>
      </c>
      <c r="F1421" s="88"/>
      <c r="G1421" s="29"/>
      <c r="H1421" s="29"/>
      <c r="I1421" s="29"/>
      <c r="J1421" s="29"/>
      <c r="K1421" s="29"/>
      <c r="L1421" s="29"/>
      <c r="M1421" s="89" t="s">
        <v>732</v>
      </c>
      <c r="N1421" s="89"/>
      <c r="O1421" s="89"/>
      <c r="P1421" s="19"/>
      <c r="Q1421" s="19"/>
      <c r="R1421" s="11"/>
    </row>
    <row r="1422" s="1" customFormat="1" ht="21.95" customHeight="1" spans="1:18">
      <c r="A1422" s="7"/>
      <c r="B1422" s="12"/>
      <c r="C1422" s="90"/>
      <c r="D1422" s="91"/>
      <c r="E1422" s="91"/>
      <c r="F1422" s="91"/>
      <c r="G1422" s="91"/>
      <c r="H1422" s="91"/>
      <c r="I1422" s="91"/>
      <c r="J1422" s="91"/>
      <c r="K1422" s="91"/>
      <c r="L1422" s="91"/>
      <c r="M1422" s="91"/>
      <c r="N1422" s="91"/>
      <c r="O1422" s="91"/>
      <c r="P1422" s="92"/>
      <c r="Q1422" s="14"/>
      <c r="R1422" s="11"/>
    </row>
    <row r="1423" s="1" customFormat="1" ht="5.1" customHeight="1" spans="1:18">
      <c r="A1423" s="7"/>
      <c r="B1423" s="90"/>
      <c r="C1423" s="91"/>
      <c r="D1423" s="91"/>
      <c r="E1423" s="91"/>
      <c r="F1423" s="91"/>
      <c r="G1423" s="91"/>
      <c r="H1423" s="91"/>
      <c r="I1423" s="91"/>
      <c r="J1423" s="91"/>
      <c r="K1423" s="91"/>
      <c r="L1423" s="91"/>
      <c r="M1423" s="91"/>
      <c r="N1423" s="91"/>
      <c r="O1423" s="91"/>
      <c r="P1423" s="91"/>
      <c r="Q1423" s="92"/>
      <c r="R1423" s="11"/>
    </row>
    <row r="1424" s="1" customFormat="1" ht="5.1" customHeight="1" spans="1:18">
      <c r="A1424" s="93"/>
      <c r="B1424" s="94"/>
      <c r="C1424" s="94"/>
      <c r="D1424" s="94"/>
      <c r="E1424" s="94"/>
      <c r="F1424" s="94"/>
      <c r="G1424" s="94"/>
      <c r="H1424" s="94"/>
      <c r="I1424" s="94"/>
      <c r="J1424" s="94"/>
      <c r="K1424" s="94"/>
      <c r="L1424" s="94"/>
      <c r="M1424" s="94"/>
      <c r="N1424" s="94"/>
      <c r="O1424" s="94"/>
      <c r="P1424" s="94"/>
      <c r="Q1424" s="94"/>
      <c r="R1424" s="95"/>
    </row>
    <row r="1425" s="2" customFormat="1" ht="9.95" customHeight="1"/>
    <row r="1426" s="1" customFormat="1" ht="5.1" customHeight="1" spans="1:18">
      <c r="A1426" s="4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6"/>
    </row>
    <row r="1427" s="1" customFormat="1" ht="15" customHeight="1" spans="1:18">
      <c r="A1427" s="7"/>
      <c r="B1427" s="8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9"/>
      <c r="O1427" s="9"/>
      <c r="P1427" s="9"/>
      <c r="Q1427" s="10"/>
      <c r="R1427" s="11"/>
    </row>
    <row r="1428" s="1" customFormat="1" ht="21.95" customHeight="1" spans="1:18">
      <c r="A1428" s="7"/>
      <c r="B1428" s="12"/>
      <c r="C1428" s="13" t="s">
        <v>7</v>
      </c>
      <c r="D1428" s="13"/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/>
      <c r="Q1428" s="14"/>
      <c r="R1428" s="11"/>
    </row>
    <row r="1429" s="1" customFormat="1" ht="21.95" customHeight="1" spans="1:18">
      <c r="A1429" s="7"/>
      <c r="B1429" s="1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14"/>
      <c r="R1429" s="11"/>
    </row>
    <row r="1430" s="1" customFormat="1" ht="21.95" customHeight="1" spans="1:18">
      <c r="A1430" s="7"/>
      <c r="B1430" s="12"/>
      <c r="C1430" s="15" t="str">
        <f>"SESSION-"&amp;ENTRY!$D$11</f>
        <v>SESSION-2026-27</v>
      </c>
      <c r="D1430" s="15"/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4"/>
      <c r="R1430" s="11"/>
    </row>
    <row r="1431" s="1" customFormat="1" ht="21.95" customHeight="1" spans="1:18">
      <c r="A1431" s="7"/>
      <c r="B1431" s="12"/>
      <c r="C1431" s="2"/>
      <c r="D1431" s="2"/>
      <c r="E1431" s="2"/>
      <c r="F1431" s="16">
        <f>F1374+1</f>
        <v>26</v>
      </c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14"/>
      <c r="R1431" s="11"/>
    </row>
    <row r="1432" s="1" customFormat="1" ht="21.95" customHeight="1" spans="1:18">
      <c r="A1432" s="7"/>
      <c r="B1432" s="12"/>
      <c r="C1432" s="17" t="s">
        <v>392</v>
      </c>
      <c r="D1432" s="17"/>
      <c r="E1432" s="17"/>
      <c r="F1432" s="18" t="str">
        <f>IF(F1431&gt;0,ENTRY!$D$6,"")</f>
        <v>MCP NITHARI NO 1 BOYS</v>
      </c>
      <c r="G1432" s="18"/>
      <c r="H1432" s="18"/>
      <c r="I1432" s="18"/>
      <c r="J1432" s="18"/>
      <c r="K1432" s="18"/>
      <c r="L1432" s="18"/>
      <c r="M1432" s="18"/>
      <c r="N1432" s="18"/>
      <c r="O1432" s="18"/>
      <c r="P1432" s="18"/>
      <c r="Q1432" s="19"/>
      <c r="R1432" s="11"/>
    </row>
    <row r="1433" s="1" customFormat="1" ht="21.95" customHeight="1" spans="1:18">
      <c r="A1433" s="7"/>
      <c r="B1433" s="12"/>
      <c r="C1433" s="17" t="s">
        <v>393</v>
      </c>
      <c r="D1433" s="17"/>
      <c r="E1433" s="17"/>
      <c r="F1433" s="18">
        <f>IF(F1431&gt;0,ENTRY!$D$7,"")</f>
        <v>0</v>
      </c>
      <c r="G1433" s="18"/>
      <c r="H1433" s="20" t="s">
        <v>702</v>
      </c>
      <c r="I1433" s="20"/>
      <c r="J1433" s="21">
        <f>IF(F1431&gt;0,ENTRY!$D$10,"")</f>
        <v>40</v>
      </c>
      <c r="K1433" s="20" t="s">
        <v>703</v>
      </c>
      <c r="L1433" s="22" t="str">
        <f>IF(F1431&gt;0,ENTRY!$D$5,"")</f>
        <v>ROHINI ZONE</v>
      </c>
      <c r="M1433" s="22"/>
      <c r="N1433" s="22"/>
      <c r="O1433" s="22"/>
      <c r="P1433" s="22"/>
      <c r="Q1433" s="19"/>
      <c r="R1433" s="11"/>
    </row>
    <row r="1434" s="1" customFormat="1" ht="21.95" customHeight="1" spans="1:18">
      <c r="A1434" s="7"/>
      <c r="B1434" s="12"/>
      <c r="C1434" s="17" t="s">
        <v>706</v>
      </c>
      <c r="D1434" s="17"/>
      <c r="E1434" s="17"/>
      <c r="F1434" s="23" t="str">
        <f>IFERROR(VLOOKUP(F1431,STUDENT!$A$2:$BP$101,5,0),"")</f>
        <v>MD ADAN SHEKH</v>
      </c>
      <c r="G1434" s="23"/>
      <c r="H1434" s="23"/>
      <c r="I1434" s="23"/>
      <c r="J1434" s="23"/>
      <c r="K1434" s="23"/>
      <c r="L1434" s="20" t="s">
        <v>707</v>
      </c>
      <c r="M1434" s="20"/>
      <c r="N1434" s="24" t="str">
        <f>IF(F1431&gt;0,ENTRY!$D$20&amp;"-"&amp;ENTRY!$D$21,"")</f>
        <v>III-A</v>
      </c>
      <c r="O1434" s="24"/>
      <c r="P1434" s="24"/>
      <c r="Q1434" s="19"/>
      <c r="R1434" s="11"/>
    </row>
    <row r="1435" s="1" customFormat="1" ht="21.95" customHeight="1" spans="1:18">
      <c r="A1435" s="7"/>
      <c r="B1435" s="12"/>
      <c r="C1435" s="17" t="s">
        <v>708</v>
      </c>
      <c r="D1435" s="17"/>
      <c r="E1435" s="17"/>
      <c r="F1435" s="25">
        <f>IFERROR(VLOOKUP(F1431,STUDENT!$A$2:$BP$101,6,0),"")</f>
        <v>14960</v>
      </c>
      <c r="G1435" s="25"/>
      <c r="H1435" s="26" t="s">
        <v>709</v>
      </c>
      <c r="I1435" s="27" t="str">
        <f>IFERROR(VLOOKUP(F1431,STUDENT!$A$2:$BP$101,59,0),"")</f>
        <v/>
      </c>
      <c r="J1435" s="27"/>
      <c r="K1435" s="20" t="s">
        <v>710</v>
      </c>
      <c r="L1435" s="20"/>
      <c r="M1435" s="28">
        <f>IFERROR(VLOOKUP(F1431,STUDENT!$A$2:$BP$101,20,0),"")</f>
        <v>8285323941</v>
      </c>
      <c r="N1435" s="28"/>
      <c r="O1435" s="28"/>
      <c r="P1435" s="28"/>
      <c r="Q1435" s="19"/>
      <c r="R1435" s="11"/>
    </row>
    <row r="1436" s="1" customFormat="1" ht="21.95" customHeight="1" spans="1:18">
      <c r="A1436" s="7"/>
      <c r="B1436" s="12"/>
      <c r="C1436" s="17" t="s">
        <v>711</v>
      </c>
      <c r="D1436" s="17"/>
      <c r="E1436" s="17"/>
      <c r="F1436" s="23" t="str">
        <f>IFERROR(VLOOKUP(F1431,STUDENT!$A$2:$BP$101,9,0),"")</f>
        <v>SAHJAHAN KHATOON</v>
      </c>
      <c r="G1436" s="23"/>
      <c r="H1436" s="23"/>
      <c r="I1436" s="23"/>
      <c r="J1436" s="17" t="s">
        <v>620</v>
      </c>
      <c r="K1436" s="17"/>
      <c r="L1436" s="23" t="str">
        <f>IFERROR(VLOOKUP(F1431,STUDENT!$A$2:$BP$101,8,0),"")</f>
        <v>MD ISHTIKHAR</v>
      </c>
      <c r="M1436" s="23"/>
      <c r="N1436" s="23"/>
      <c r="O1436" s="23"/>
      <c r="P1436" s="23"/>
      <c r="Q1436" s="19"/>
      <c r="R1436" s="11"/>
    </row>
    <row r="1437" s="1" customFormat="1" ht="21.95" customHeight="1" spans="1:18">
      <c r="A1437" s="7"/>
      <c r="B1437" s="12"/>
      <c r="C1437" s="17" t="s">
        <v>712</v>
      </c>
      <c r="D1437" s="17"/>
      <c r="E1437" s="17"/>
      <c r="F1437" s="23" t="str">
        <f>IFERROR(VLOOKUP(F1431,STUDENT!$A$2:$BP$101,22,0),"")</f>
        <v>PLOT NO-43 KHASRA NO -139 148 GALI NO -20 BLOCK - B PREM NAGAR</v>
      </c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19"/>
      <c r="R1437" s="11"/>
    </row>
    <row r="1438" s="1" customFormat="1" ht="9.95" customHeight="1" spans="1:18">
      <c r="A1438" s="7"/>
      <c r="B1438" s="12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19"/>
      <c r="R1438" s="11"/>
    </row>
    <row r="1439" s="1" customFormat="1" ht="9.95" customHeight="1" spans="1:18">
      <c r="A1439" s="7"/>
      <c r="B1439" s="12"/>
      <c r="C1439" s="30"/>
      <c r="D1439" s="31"/>
      <c r="E1439" s="31"/>
      <c r="F1439" s="31"/>
      <c r="G1439" s="31"/>
      <c r="H1439" s="31"/>
      <c r="I1439" s="31"/>
      <c r="J1439" s="31"/>
      <c r="K1439" s="31"/>
      <c r="L1439" s="31"/>
      <c r="M1439" s="31"/>
      <c r="N1439" s="31"/>
      <c r="O1439" s="31"/>
      <c r="P1439" s="32"/>
      <c r="Q1439" s="19"/>
      <c r="R1439" s="11"/>
    </row>
    <row r="1440" s="1" customFormat="1" ht="21.95" customHeight="1" spans="1:18">
      <c r="A1440" s="7"/>
      <c r="B1440" s="12"/>
      <c r="C1440" s="33"/>
      <c r="D1440" s="34" t="s">
        <v>713</v>
      </c>
      <c r="E1440" s="20" t="s">
        <v>714</v>
      </c>
      <c r="F1440" s="35" t="str">
        <f>"Level - "&amp;IFERROR(VLOOKUP(F1431,FLN!$A$4:$K$103,9,0),"")</f>
        <v>Level - 2</v>
      </c>
      <c r="G1440" s="36"/>
      <c r="H1440" s="37" t="s">
        <v>715</v>
      </c>
      <c r="I1440" s="20"/>
      <c r="J1440" s="35" t="str">
        <f>"Level - "&amp;IFERROR(VLOOKUP(F1431,FLN!$A$4:$K$103,11,0),"")</f>
        <v>Level - 3</v>
      </c>
      <c r="K1440" s="36"/>
      <c r="L1440" s="37" t="s">
        <v>408</v>
      </c>
      <c r="M1440" s="20"/>
      <c r="N1440" s="35" t="str">
        <f>"Level - "&amp;IFERROR(VLOOKUP(F1431,FLN!$A$4:$K$103,10,0),"")</f>
        <v>Level - 2</v>
      </c>
      <c r="O1440" s="36"/>
      <c r="P1440" s="19"/>
      <c r="Q1440" s="19"/>
      <c r="R1440" s="11"/>
    </row>
    <row r="1441" s="1" customFormat="1" ht="21.95" customHeight="1" spans="1:18">
      <c r="A1441" s="7"/>
      <c r="B1441" s="12"/>
      <c r="C1441" s="33"/>
      <c r="D1441" s="38"/>
      <c r="E1441" s="20" t="s">
        <v>716</v>
      </c>
      <c r="F1441" s="18" t="str">
        <f ca="1">IF(L1455&gt;197,"PERFORMED WELL","")</f>
        <v/>
      </c>
      <c r="G1441" s="18"/>
      <c r="H1441" s="18"/>
      <c r="I1441" s="18"/>
      <c r="J1441" s="18"/>
      <c r="K1441" s="18"/>
      <c r="L1441" s="18"/>
      <c r="M1441" s="18"/>
      <c r="N1441" s="18"/>
      <c r="O1441" s="18"/>
      <c r="P1441" s="19"/>
      <c r="Q1441" s="19"/>
      <c r="R1441" s="11"/>
    </row>
    <row r="1442" s="1" customFormat="1" ht="9.95" customHeight="1" spans="1:18">
      <c r="A1442" s="7"/>
      <c r="B1442" s="12"/>
      <c r="C1442" s="39"/>
      <c r="D1442" s="40"/>
      <c r="E1442" s="40"/>
      <c r="F1442" s="40"/>
      <c r="G1442" s="40"/>
      <c r="H1442" s="40"/>
      <c r="I1442" s="40"/>
      <c r="J1442" s="40"/>
      <c r="K1442" s="40"/>
      <c r="L1442" s="40"/>
      <c r="M1442" s="40"/>
      <c r="N1442" s="40"/>
      <c r="O1442" s="40"/>
      <c r="P1442" s="41"/>
      <c r="Q1442" s="19"/>
      <c r="R1442" s="11"/>
    </row>
    <row r="1443" s="1" customFormat="1" ht="9.95" customHeight="1" spans="1:18">
      <c r="A1443" s="7"/>
      <c r="B1443" s="12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19"/>
      <c r="R1443" s="11"/>
    </row>
    <row r="1444" s="1" customFormat="1" ht="9.95" customHeight="1" spans="1:18">
      <c r="A1444" s="7"/>
      <c r="B1444" s="12"/>
      <c r="C1444" s="30"/>
      <c r="D1444" s="31"/>
      <c r="E1444" s="31"/>
      <c r="F1444" s="31"/>
      <c r="G1444" s="31"/>
      <c r="H1444" s="31"/>
      <c r="I1444" s="31"/>
      <c r="J1444" s="31"/>
      <c r="K1444" s="31"/>
      <c r="L1444" s="31"/>
      <c r="M1444" s="31"/>
      <c r="N1444" s="31"/>
      <c r="O1444" s="31"/>
      <c r="P1444" s="32"/>
      <c r="Q1444" s="19"/>
      <c r="R1444" s="11"/>
    </row>
    <row r="1445" s="1" customFormat="1" ht="21.95" customHeight="1" spans="1:18">
      <c r="A1445" s="7"/>
      <c r="B1445" s="12"/>
      <c r="C1445" s="33"/>
      <c r="D1445" s="35"/>
      <c r="E1445" s="24"/>
      <c r="F1445" s="42" t="s">
        <v>717</v>
      </c>
      <c r="G1445" s="42"/>
      <c r="H1445" s="42"/>
      <c r="I1445" s="42"/>
      <c r="J1445" s="42"/>
      <c r="K1445" s="42"/>
      <c r="L1445" s="43"/>
      <c r="M1445" s="44"/>
      <c r="N1445" s="29"/>
      <c r="O1445" s="29"/>
      <c r="P1445" s="19"/>
      <c r="Q1445" s="19"/>
      <c r="R1445" s="11"/>
    </row>
    <row r="1446" s="1" customFormat="1" ht="21.95" customHeight="1" spans="1:18">
      <c r="A1446" s="7"/>
      <c r="B1446" s="12"/>
      <c r="C1446" s="33"/>
      <c r="D1446" s="45"/>
      <c r="E1446" s="46"/>
      <c r="F1446" s="47" t="s">
        <v>541</v>
      </c>
      <c r="G1446" s="47" t="s">
        <v>542</v>
      </c>
      <c r="H1446" s="47" t="s">
        <v>543</v>
      </c>
      <c r="I1446" s="47" t="s">
        <v>544</v>
      </c>
      <c r="J1446" s="47" t="s">
        <v>561</v>
      </c>
      <c r="K1446" s="48" t="s">
        <v>750</v>
      </c>
      <c r="L1446" s="47" t="s">
        <v>382</v>
      </c>
      <c r="M1446" s="49" t="s">
        <v>546</v>
      </c>
      <c r="N1446" s="29"/>
      <c r="O1446" s="29"/>
      <c r="P1446" s="19"/>
      <c r="Q1446" s="19"/>
      <c r="R1446" s="11"/>
    </row>
    <row r="1447" s="1" customFormat="1" ht="21.95" customHeight="1" spans="1:18">
      <c r="A1447" s="7"/>
      <c r="B1447" s="12"/>
      <c r="C1447" s="33"/>
      <c r="D1447" s="45" t="s">
        <v>652</v>
      </c>
      <c r="E1447" s="46"/>
      <c r="F1447" s="50">
        <v>10</v>
      </c>
      <c r="G1447" s="50">
        <v>10</v>
      </c>
      <c r="H1447" s="50">
        <v>10</v>
      </c>
      <c r="I1447" s="50">
        <v>10</v>
      </c>
      <c r="J1447" s="50">
        <v>60</v>
      </c>
      <c r="K1447" s="51"/>
      <c r="L1447" s="50">
        <v>100</v>
      </c>
      <c r="M1447" s="49"/>
      <c r="N1447" s="29"/>
      <c r="O1447" s="29"/>
      <c r="P1447" s="19"/>
      <c r="Q1447" s="19"/>
      <c r="R1447" s="11"/>
    </row>
    <row r="1448" s="1" customFormat="1" ht="21.95" customHeight="1" spans="1:18">
      <c r="A1448" s="7"/>
      <c r="B1448" s="12"/>
      <c r="C1448" s="33"/>
      <c r="D1448" s="52" t="s">
        <v>751</v>
      </c>
      <c r="E1448" s="53"/>
      <c r="F1448" s="54">
        <f ca="1">IFERROR(VLOOKUP(F1431,'RR-3.1-5TH'!$A$12:'RR-3.1-5TH'!$BN$111,9,0),"")</f>
        <v>1</v>
      </c>
      <c r="G1448" s="54">
        <f ca="1">IFERROR(VLOOKUP(F1431,'RR-3.1-5TH'!$A$12:'RR-3.1-5TH'!$BN$111,10,0),"")</f>
        <v>0</v>
      </c>
      <c r="H1448" s="54">
        <f ca="1">IFERROR(VLOOKUP(F1431,'RR-3.1-5TH'!$A$12:'RR-3.1-5TH'!$BN$111,11,0),"")</f>
        <v>0</v>
      </c>
      <c r="I1448" s="54">
        <f ca="1">IFERROR(VLOOKUP(F1431,'RR-3.1-5TH'!$A$12:'RR-3.1-5TH'!$BN$111,12,0),"")</f>
        <v>0</v>
      </c>
      <c r="J1448" s="54">
        <f ca="1">IFERROR(VLOOKUP(F1431,'RR-3.1-5TH'!$A$12:'RR-3.1-5TH'!$BN$111,13,0),"")</f>
        <v>39</v>
      </c>
      <c r="K1448" s="54">
        <f ca="1">IFERROR(VLOOKUP(F1431,'RR-3.1-5TH'!$A$12:'RR-3.1-5TH'!$BN$111,14,0),"")</f>
        <v>0</v>
      </c>
      <c r="L1448" s="55">
        <f ca="1" t="shared" ref="L1448:L1453" si="75">SUM(F1448,G1448,H1448,I1448,J1448,K1448)</f>
        <v>40</v>
      </c>
      <c r="M1448" s="56" t="str">
        <f ca="1">IF(F1431&gt;ENTRY!$D$24,"",IF(L1448=0,"Ab",IF(L1448&gt;80,"A",IF(L1448&gt;60,"B",IF(L1448&gt;44,"C",IF(L1448&gt;=33,"D",IF(L1448&lt;=32,"E","")))))))</f>
        <v>D</v>
      </c>
      <c r="N1448" s="57" t="s">
        <v>729</v>
      </c>
      <c r="O1448" s="58"/>
      <c r="P1448" s="59"/>
      <c r="Q1448" s="19"/>
      <c r="R1448" s="11"/>
    </row>
    <row r="1449" s="1" customFormat="1" ht="21.95" customHeight="1" spans="1:18">
      <c r="A1449" s="7"/>
      <c r="B1449" s="12"/>
      <c r="C1449" s="33"/>
      <c r="D1449" s="52" t="s">
        <v>513</v>
      </c>
      <c r="E1449" s="53"/>
      <c r="F1449" s="54">
        <f ca="1">IFERROR(VLOOKUP(F1431,'RR-3.1-5TH'!$A$12:'RR-3.1-5TH'!$BN$111,17,0),"")</f>
        <v>1</v>
      </c>
      <c r="G1449" s="54">
        <f ca="1">IFERROR(VLOOKUP(F1431,'RR-3.1-5TH'!$A$12:'RR-3.1-5TH'!$BN$111,18,0),"")</f>
        <v>0</v>
      </c>
      <c r="H1449" s="54">
        <f ca="1">IFERROR(VLOOKUP(F1431,'RR-3.1-5TH'!$A$12:'RR-3.1-5TH'!$BN$111,19,0),"")</f>
        <v>0</v>
      </c>
      <c r="I1449" s="54">
        <f ca="1">IFERROR(VLOOKUP(F1431,'RR-3.1-5TH'!$A$12:'RR-3.1-5TH'!$BN$111,20,0),"")</f>
        <v>0</v>
      </c>
      <c r="J1449" s="54">
        <f ca="1">IFERROR(VLOOKUP(F1431,'RR-3.1-5TH'!$A$12:'RR-3.1-5TH'!$BN$111,21,0),"")</f>
        <v>21</v>
      </c>
      <c r="K1449" s="54">
        <f ca="1">IFERROR(VLOOKUP(F1431,'RR-3.1-5TH'!$A$12:'RR-3.1-5TH'!$BN$111,22,0),"")</f>
        <v>0</v>
      </c>
      <c r="L1449" s="55">
        <f ca="1" t="shared" si="75"/>
        <v>22</v>
      </c>
      <c r="M1449" s="56" t="str">
        <f ca="1">IF(F1431&gt;ENTRY!$D$24,"",IF(L1449=0,"Ab",IF(L1449&gt;80,"A",IF(L1449&gt;60,"B",IF(L1449&gt;44,"C",IF(L1449&gt;=33,"D",IF(L1449&lt;=32,"E","")))))))</f>
        <v>E</v>
      </c>
      <c r="N1449" s="58"/>
      <c r="O1449" s="58"/>
      <c r="P1449" s="59"/>
      <c r="Q1449" s="19"/>
      <c r="R1449" s="11"/>
    </row>
    <row r="1450" s="1" customFormat="1" ht="21.95" customHeight="1" spans="1:18">
      <c r="A1450" s="7"/>
      <c r="B1450" s="12"/>
      <c r="C1450" s="33"/>
      <c r="D1450" s="52" t="s">
        <v>718</v>
      </c>
      <c r="E1450" s="53"/>
      <c r="F1450" s="54">
        <f ca="1">IFERROR(VLOOKUP(F1431,'RR-3.1-5TH'!$A$12:'RR-3.1-5TH'!$BN$111,25,0),"")</f>
        <v>1</v>
      </c>
      <c r="G1450" s="54">
        <f ca="1">IFERROR(VLOOKUP(F1431,'RR-3.1-5TH'!$A$12:'RR-3.1-5TH'!$BN$111,26,0),"")</f>
        <v>0</v>
      </c>
      <c r="H1450" s="54">
        <f ca="1">IFERROR(VLOOKUP(F1431,'RR-3.1-5TH'!$A$12:'RR-3.1-5TH'!$BN$111,27,0),"")</f>
        <v>0</v>
      </c>
      <c r="I1450" s="54">
        <f ca="1">IFERROR(VLOOKUP(F1431,'RR-3.1-5TH'!$A$12:'RR-3.1-5TH'!$BN$111,28,0),"")</f>
        <v>0</v>
      </c>
      <c r="J1450" s="54">
        <f ca="1">IFERROR(VLOOKUP(F1431,'RR-3.1-5TH'!$A$12:'RR-3.1-5TH'!$BN$111,29,0),"")</f>
        <v>23</v>
      </c>
      <c r="K1450" s="54">
        <f ca="1">IFERROR(VLOOKUP(F1431,'RR-3.1-5TH'!$A$12:'RR-3.1-5TH'!$BN$111,30,0),"")</f>
        <v>0</v>
      </c>
      <c r="L1450" s="55">
        <f ca="1" t="shared" si="75"/>
        <v>24</v>
      </c>
      <c r="M1450" s="56" t="str">
        <f ca="1">IF(F1431&gt;ENTRY!$D$24,"",IF(L1450=0,"Ab",IF(L1450&gt;80,"A",IF(L1450&gt;60,"B",IF(L1450&gt;44,"C",IF(L1450&gt;=33,"D",IF(L1450&lt;=32,"E","")))))))</f>
        <v>E</v>
      </c>
      <c r="N1450" s="29"/>
      <c r="O1450" s="29"/>
      <c r="P1450" s="19"/>
      <c r="Q1450" s="19"/>
      <c r="R1450" s="11"/>
    </row>
    <row r="1451" s="1" customFormat="1" ht="21.95" customHeight="1" spans="1:18">
      <c r="A1451" s="7"/>
      <c r="B1451" s="12"/>
      <c r="C1451" s="33"/>
      <c r="D1451" s="52" t="s">
        <v>719</v>
      </c>
      <c r="E1451" s="53"/>
      <c r="F1451" s="54">
        <f ca="1">IFERROR(VLOOKUP(F1431,'RR-3.1-5TH'!$A$12:'RR-3.1-5TH'!$BN$111,33,0),"")</f>
        <v>1</v>
      </c>
      <c r="G1451" s="54">
        <f ca="1">IFERROR(VLOOKUP(F1431,'RR-3.1-5TH'!$A$12:'RR-3.1-5TH'!$BN$111,34,0),"")</f>
        <v>0</v>
      </c>
      <c r="H1451" s="54">
        <f ca="1">IFERROR(VLOOKUP(F1431,'RR-3.1-5TH'!$A$12:'RR-3.1-5TH'!$BN$111,35,0),"")</f>
        <v>0</v>
      </c>
      <c r="I1451" s="54">
        <f ca="1">IFERROR(VLOOKUP(F1431,'RR-3.1-5TH'!$A$12:'RR-3.1-5TH'!$BN$111,36,0),"")</f>
        <v>0</v>
      </c>
      <c r="J1451" s="54">
        <f ca="1">IFERROR(VLOOKUP(F1431,'RR-3.1-5TH'!$A$12:'RR-3.1-5TH'!$BN$111,37,0),"")</f>
        <v>25</v>
      </c>
      <c r="K1451" s="54">
        <f ca="1">IFERROR(VLOOKUP(F1431,'RR-3.1-5TH'!$A$12:'RR-3.1-5TH'!$BN$111,38,0),"")</f>
        <v>0</v>
      </c>
      <c r="L1451" s="55">
        <f ca="1" t="shared" si="75"/>
        <v>26</v>
      </c>
      <c r="M1451" s="56" t="str">
        <f ca="1">IF(F1431&gt;ENTRY!$D$24,"",IF(L1451=0,"Ab",IF(L1451&gt;80,"A",IF(L1451&gt;60,"B",IF(L1451&gt;44,"C",IF(L1451&gt;=33,"D",IF(L1451&lt;=32,"E","")))))))</f>
        <v>E</v>
      </c>
      <c r="N1451" s="29"/>
      <c r="O1451" s="29"/>
      <c r="P1451" s="19"/>
      <c r="Q1451" s="19"/>
      <c r="R1451" s="11"/>
    </row>
    <row r="1452" s="1" customFormat="1" ht="21.95" customHeight="1" spans="1:18">
      <c r="A1452" s="7"/>
      <c r="B1452" s="12"/>
      <c r="C1452" s="33"/>
      <c r="D1452" s="52" t="s">
        <v>548</v>
      </c>
      <c r="E1452" s="53"/>
      <c r="F1452" s="54">
        <f ca="1">IFERROR(VLOOKUP(F1431,'RR-3.1-5TH'!$A$12:'RR-3.1-5TH'!$BN$111,41,0),"")</f>
        <v>0</v>
      </c>
      <c r="G1452" s="54">
        <f ca="1">IFERROR(VLOOKUP(F1431,'RR-3.1-5TH'!$A$12:'RR-3.1-5TH'!$BN$111,42,0),"")</f>
        <v>0</v>
      </c>
      <c r="H1452" s="54">
        <f ca="1">IFERROR(VLOOKUP(F1431,'RR-3.1-5TH'!$A$12:'RR-3.1-5TH'!$BN$111,43,0),"")</f>
        <v>0</v>
      </c>
      <c r="I1452" s="54">
        <f ca="1">IFERROR(VLOOKUP(F1431,'RR-3.1-5TH'!$A$12:'RR-3.1-5TH'!$BN$111,44,0),"")</f>
        <v>0</v>
      </c>
      <c r="J1452" s="54">
        <f ca="1">IFERROR(VLOOKUP(F1431,'RR-3.1-5TH'!$A$12:'RR-3.1-5TH'!$BN$111,45,0),"")</f>
        <v>23</v>
      </c>
      <c r="K1452" s="54">
        <f ca="1">IFERROR(VLOOKUP(F1431,'RR-3.1-5TH'!$A$12:'RR-3.1-5TH'!$BN$111,46,0),"")</f>
        <v>0</v>
      </c>
      <c r="L1452" s="55">
        <f ca="1" t="shared" si="75"/>
        <v>23</v>
      </c>
      <c r="M1452" s="56" t="str">
        <f ca="1">IF(F1431&gt;ENTRY!$D$24,"",IF(L1452=0,"Ab",IF(L1452&gt;80,"A",IF(L1452&gt;60,"B",IF(L1452&gt;44,"C",IF(L1452&gt;=33,"D",IF(L1452&lt;=32,"E","")))))))</f>
        <v>E</v>
      </c>
      <c r="N1452" s="29"/>
      <c r="O1452" s="29"/>
      <c r="P1452" s="19"/>
      <c r="Q1452" s="19"/>
      <c r="R1452" s="11"/>
    </row>
    <row r="1453" s="1" customFormat="1" ht="21.95" customHeight="1" spans="1:18">
      <c r="A1453" s="7"/>
      <c r="B1453" s="12"/>
      <c r="C1453" s="33"/>
      <c r="D1453" s="52" t="s">
        <v>549</v>
      </c>
      <c r="E1453" s="53"/>
      <c r="F1453" s="54">
        <f ca="1">IFERROR(VLOOKUP(F1431,'RR-3.1-5TH'!$A$12:'RR-3.1-5TH'!$BN$111,49,0),"")</f>
        <v>1</v>
      </c>
      <c r="G1453" s="54">
        <f ca="1">IFERROR(VLOOKUP(F1431,'RR-3.1-5TH'!$A$12:'RR-3.1-5TH'!$BN$111,50,0),"")</f>
        <v>0</v>
      </c>
      <c r="H1453" s="54">
        <f ca="1">IFERROR(VLOOKUP(F1431,'RR-3.1-5TH'!$A$12:'RR-3.1-5TH'!$BN$111,51,0),"")</f>
        <v>0</v>
      </c>
      <c r="I1453" s="54">
        <f ca="1">IFERROR(VLOOKUP(F1431,'RR-3.1-5TH'!$A$12:'RR-3.1-5TH'!$BN$111,52,0),"")</f>
        <v>0</v>
      </c>
      <c r="J1453" s="54">
        <f ca="1">IFERROR(VLOOKUP(F1431,'RR-3.1-5TH'!$A$12:'RR-3.1-5TH'!$BN$111,53,0),"")</f>
        <v>27</v>
      </c>
      <c r="K1453" s="54">
        <f ca="1">IFERROR(VLOOKUP(F1431,'RR-3.1-5TH'!$A$12:'RR-3.1-5TH'!$BN$111,54,0),"")</f>
        <v>0</v>
      </c>
      <c r="L1453" s="55">
        <f ca="1" t="shared" si="75"/>
        <v>28</v>
      </c>
      <c r="M1453" s="56" t="str">
        <f ca="1">IF(F1431&gt;ENTRY!$D$24,"",IF(L1453=0,"Ab",IF(L1453&gt;80,"A",IF(L1453&gt;60,"B",IF(L1453&gt;44,"C",IF(L1453&gt;=33,"D",IF(L1453&lt;=32,"E","")))))))</f>
        <v>E</v>
      </c>
      <c r="N1453" s="57" t="s">
        <v>752</v>
      </c>
      <c r="O1453" s="58"/>
      <c r="P1453" s="59"/>
      <c r="Q1453" s="19"/>
      <c r="R1453" s="11"/>
    </row>
    <row r="1454" s="1" customFormat="1" ht="21.95" customHeight="1" spans="1:18">
      <c r="A1454" s="7"/>
      <c r="B1454" s="12"/>
      <c r="C1454" s="33"/>
      <c r="D1454" s="52" t="s">
        <v>753</v>
      </c>
      <c r="E1454" s="53"/>
      <c r="F1454" s="60"/>
      <c r="G1454" s="54"/>
      <c r="H1454" s="54"/>
      <c r="I1454" s="54"/>
      <c r="J1454" s="54"/>
      <c r="K1454" s="54"/>
      <c r="L1454" s="55">
        <f t="shared" ref="L1454" si="76">SUM(G1454:K1454)</f>
        <v>0</v>
      </c>
      <c r="M1454" s="56" t="str">
        <f>IF(F1431&gt;ENTRY!$D$24,"",IF(L1454=0,"",IF(L1454&gt;79,"A",IF(L1454&gt;59,"B",IF(L1454&gt;44,"C",IF(L1454&gt;=33,"D",IF(L1454&lt;=32,"E","")))))))</f>
        <v/>
      </c>
      <c r="N1454" s="58"/>
      <c r="O1454" s="58"/>
      <c r="P1454" s="59"/>
      <c r="Q1454" s="19"/>
      <c r="R1454" s="11"/>
    </row>
    <row r="1455" s="1" customFormat="1" ht="21.95" customHeight="1" spans="1:18">
      <c r="A1455" s="7"/>
      <c r="B1455" s="12"/>
      <c r="C1455" s="33"/>
      <c r="D1455" s="45" t="s">
        <v>382</v>
      </c>
      <c r="E1455" s="46"/>
      <c r="F1455" s="54">
        <f ca="1" t="shared" ref="F1455:L1455" si="77">IFERROR(SUM(F1448:F1454),"")</f>
        <v>5</v>
      </c>
      <c r="G1455" s="54">
        <f ca="1" t="shared" si="77"/>
        <v>0</v>
      </c>
      <c r="H1455" s="54">
        <f ca="1" t="shared" si="77"/>
        <v>0</v>
      </c>
      <c r="I1455" s="54">
        <f ca="1" t="shared" si="77"/>
        <v>0</v>
      </c>
      <c r="J1455" s="54">
        <f ca="1" t="shared" si="77"/>
        <v>158</v>
      </c>
      <c r="K1455" s="54">
        <f ca="1" t="shared" si="77"/>
        <v>0</v>
      </c>
      <c r="L1455" s="55">
        <f ca="1" t="shared" si="77"/>
        <v>163</v>
      </c>
      <c r="M1455" s="61" t="str">
        <f ca="1">IF(F1431&gt;ENTRY!$D$24,"",IF(N1456="Ab","Ab",IF(N1456&gt;79.5,"A",IF(N1456&gt;59.5,"B",IF(N1456&gt;44.5,"C",IF(N1456&gt;=33,"D",IF(N1456&lt;33,"E","")))))))</f>
        <v>E</v>
      </c>
      <c r="N1455" s="62"/>
      <c r="O1455" s="58"/>
      <c r="P1455" s="59"/>
      <c r="Q1455" s="19"/>
      <c r="R1455" s="11"/>
    </row>
    <row r="1456" s="1" customFormat="1" ht="21.95" customHeight="1" spans="1:18">
      <c r="A1456" s="7"/>
      <c r="B1456" s="12"/>
      <c r="C1456" s="33"/>
      <c r="D1456" s="63" t="s">
        <v>721</v>
      </c>
      <c r="E1456" s="63"/>
      <c r="F1456" s="63"/>
      <c r="G1456" s="63"/>
      <c r="H1456" s="63"/>
      <c r="I1456" s="63"/>
      <c r="J1456" s="63"/>
      <c r="K1456" s="63"/>
      <c r="L1456" s="63"/>
      <c r="M1456" s="63"/>
      <c r="N1456" s="64">
        <f ca="1">IF(L1455="Ab","Ab",L1455/6)</f>
        <v>27.1666666666667</v>
      </c>
      <c r="O1456" s="65"/>
      <c r="P1456" s="19"/>
      <c r="Q1456" s="19"/>
      <c r="R1456" s="11"/>
    </row>
    <row r="1457" s="1" customFormat="1" ht="21.95" customHeight="1" spans="1:19">
      <c r="A1457" s="7"/>
      <c r="B1457" s="12"/>
      <c r="C1457" s="33"/>
      <c r="D1457" s="29" t="s">
        <v>716</v>
      </c>
      <c r="E1457" s="18" t="str">
        <f>IFERROR(VLOOKUP(F1431,'1to4-2.1-RR'!$A$12:$BG$111,57,0),"")</f>
        <v>PROMOTED</v>
      </c>
      <c r="F1457" s="18"/>
      <c r="G1457" s="18"/>
      <c r="H1457" s="18"/>
      <c r="I1457" s="18"/>
      <c r="J1457" s="18"/>
      <c r="K1457" s="18"/>
      <c r="L1457" s="18"/>
      <c r="M1457" s="18"/>
      <c r="N1457" s="29"/>
      <c r="O1457" s="29"/>
      <c r="P1457" s="19"/>
      <c r="Q1457" s="19"/>
      <c r="R1457" s="11"/>
    </row>
    <row r="1458" s="1" customFormat="1" ht="9.95" customHeight="1" spans="1:19">
      <c r="A1458" s="7"/>
      <c r="B1458" s="12"/>
      <c r="C1458" s="33"/>
      <c r="D1458" s="29"/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19"/>
      <c r="Q1458" s="19"/>
      <c r="R1458" s="11"/>
    </row>
    <row r="1459" s="1" customFormat="1" ht="36" spans="1:19">
      <c r="A1459" s="7"/>
      <c r="B1459" s="12"/>
      <c r="C1459" s="33"/>
      <c r="D1459" s="66" t="s">
        <v>576</v>
      </c>
      <c r="E1459" s="67" t="s">
        <v>754</v>
      </c>
      <c r="F1459" s="47">
        <f>IF(F1431&gt;ENTRY!$D$24,"",IFERROR(VLOOKUP(F1431,PASHEET!$A$4:$CJ$103,88,0),""))</f>
        <v>0</v>
      </c>
      <c r="G1459" s="67" t="s">
        <v>755</v>
      </c>
      <c r="H1459" s="47">
        <f>IF(F1431&gt;ENTRY!$D$24,"",IFERROR(VLOOKUP(F1431,PASHEET!$A$4:$CJ$103,87,0),""))</f>
        <v>0</v>
      </c>
      <c r="I1459" s="68" t="s">
        <v>756</v>
      </c>
      <c r="J1459" s="69" t="str">
        <f>IF(F1431&gt;ENTRY!$D$24,"",IFERROR(IF(F1431&gt;0,H1459/F1459*100),""))</f>
        <v/>
      </c>
      <c r="K1459" s="60" t="s">
        <v>757</v>
      </c>
      <c r="L1459" s="70">
        <f ca="1">IF(F1431&gt;ENTRY!$D$24,"",IFERROR(L1455/600*100,""))</f>
        <v>27.1666666666667</v>
      </c>
      <c r="M1459" s="47" t="str">
        <f ca="1">IF(F1431&gt;ENTRY!$D$24,"",IFERROR(L1455&amp;" / "&amp;"600",""))</f>
        <v>163 / 600</v>
      </c>
      <c r="N1459" s="29"/>
      <c r="O1459" s="29"/>
      <c r="P1459" s="19"/>
      <c r="Q1459" s="19"/>
      <c r="R1459" s="11"/>
    </row>
    <row r="1460" s="1" customFormat="1" ht="9.95" customHeight="1" spans="1:19">
      <c r="A1460" s="7"/>
      <c r="B1460" s="12"/>
      <c r="C1460" s="39"/>
      <c r="D1460" s="40"/>
      <c r="E1460" s="40"/>
      <c r="F1460" s="40"/>
      <c r="G1460" s="40"/>
      <c r="H1460" s="40"/>
      <c r="I1460" s="40"/>
      <c r="J1460" s="40"/>
      <c r="K1460" s="40"/>
      <c r="L1460" s="40"/>
      <c r="M1460" s="40"/>
      <c r="N1460" s="40"/>
      <c r="O1460" s="40"/>
      <c r="P1460" s="41"/>
      <c r="Q1460" s="19"/>
      <c r="R1460" s="11"/>
    </row>
    <row r="1461" s="1" customFormat="1" ht="9.95" customHeight="1" spans="1:19">
      <c r="A1461" s="7"/>
      <c r="B1461" s="12"/>
      <c r="C1461" s="71"/>
      <c r="D1461" s="71"/>
      <c r="E1461" s="71"/>
      <c r="F1461" s="29"/>
      <c r="G1461" s="71"/>
      <c r="H1461" s="71"/>
      <c r="I1461" s="71"/>
      <c r="J1461" s="71"/>
      <c r="K1461" s="71"/>
      <c r="L1461" s="71"/>
      <c r="M1461" s="71"/>
      <c r="N1461" s="71"/>
      <c r="O1461" s="71"/>
      <c r="P1461" s="71"/>
      <c r="Q1461" s="19"/>
      <c r="R1461" s="11"/>
    </row>
    <row r="1462" s="1" customFormat="1" ht="9.95" customHeight="1" spans="1:19">
      <c r="A1462" s="7"/>
      <c r="B1462" s="12"/>
      <c r="C1462" s="29"/>
      <c r="D1462" s="29"/>
      <c r="E1462" s="29"/>
      <c r="F1462" s="72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19"/>
      <c r="R1462" s="11"/>
    </row>
    <row r="1463" s="1" customFormat="1" ht="9.95" customHeight="1" spans="1:19">
      <c r="A1463" s="7"/>
      <c r="B1463" s="12"/>
      <c r="C1463" s="30"/>
      <c r="D1463" s="31"/>
      <c r="E1463" s="31"/>
      <c r="F1463" s="31"/>
      <c r="G1463" s="31"/>
      <c r="H1463" s="31"/>
      <c r="I1463" s="31"/>
      <c r="J1463" s="31"/>
      <c r="K1463" s="31"/>
      <c r="L1463" s="31"/>
      <c r="M1463" s="31"/>
      <c r="N1463" s="31"/>
      <c r="O1463" s="31"/>
      <c r="P1463" s="32"/>
      <c r="Q1463" s="19"/>
      <c r="R1463" s="11"/>
    </row>
    <row r="1464" s="1" customFormat="1" ht="21.95" customHeight="1" spans="1:19">
      <c r="A1464" s="7"/>
      <c r="B1464" s="12"/>
      <c r="C1464" s="73" t="s">
        <v>7</v>
      </c>
      <c r="D1464" s="13"/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74"/>
      <c r="Q1464" s="19"/>
      <c r="R1464" s="11"/>
      <c r="S1464" s="2"/>
    </row>
    <row r="1465" s="1" customFormat="1" ht="21.95" customHeight="1" spans="1:19">
      <c r="A1465" s="7"/>
      <c r="B1465" s="12"/>
      <c r="C1465" s="33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19"/>
      <c r="Q1465" s="19"/>
      <c r="R1465" s="11"/>
    </row>
    <row r="1466" s="1" customFormat="1" ht="21.95" customHeight="1" spans="1:19">
      <c r="A1466" s="7"/>
      <c r="B1466" s="12"/>
      <c r="C1466" s="75" t="str">
        <f>"SESSION-"&amp;ENTRY!$D$11</f>
        <v>SESSION-2026-27</v>
      </c>
      <c r="D1466" s="15"/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76"/>
      <c r="Q1466" s="19"/>
      <c r="R1466" s="11"/>
    </row>
    <row r="1467" s="1" customFormat="1" ht="18" customHeight="1" spans="1:19">
      <c r="A1467" s="7"/>
      <c r="B1467" s="12"/>
      <c r="C1467" s="33"/>
      <c r="D1467" s="29"/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19"/>
      <c r="Q1467" s="19"/>
      <c r="R1467" s="11"/>
    </row>
    <row r="1468" s="1" customFormat="1" ht="21.95" customHeight="1" spans="1:19">
      <c r="A1468" s="7"/>
      <c r="B1468" s="12"/>
      <c r="C1468" s="33"/>
      <c r="D1468" s="77" t="s">
        <v>758</v>
      </c>
      <c r="E1468" s="77"/>
      <c r="F1468" s="78" t="str">
        <f>IFERROR(PROPER(VLOOKUP(F1431,STUDENT!$A$2:$BP$101,5,0)),"")</f>
        <v>Md Adan Shekh</v>
      </c>
      <c r="G1468" s="78"/>
      <c r="H1468" s="78"/>
      <c r="I1468" s="78"/>
      <c r="J1468" s="78"/>
      <c r="K1468" s="78"/>
      <c r="L1468" s="78"/>
      <c r="M1468" s="78"/>
      <c r="N1468" s="79" t="s">
        <v>759</v>
      </c>
      <c r="O1468" s="79"/>
      <c r="P1468" s="19"/>
      <c r="Q1468" s="19"/>
      <c r="R1468" s="11"/>
    </row>
    <row r="1469" s="1" customFormat="1" ht="21.95" customHeight="1" spans="1:19">
      <c r="A1469" s="7"/>
      <c r="B1469" s="12"/>
      <c r="C1469" s="33"/>
      <c r="D1469" s="80" t="s">
        <v>760</v>
      </c>
      <c r="E1469" s="81" t="str">
        <f>IFERROR(PROPER(VLOOKUP(F1431,STUDENT!$A$2:$BP$101,9,0)),"")</f>
        <v>Sahjahan Khatoon</v>
      </c>
      <c r="F1469" s="81"/>
      <c r="G1469" s="81"/>
      <c r="H1469" s="80" t="s">
        <v>761</v>
      </c>
      <c r="I1469" s="82" t="str">
        <f>IFERROR(PROPER(VLOOKUP(F1431,STUDENT!$A$2:$BP$101,8,0)),"")</f>
        <v>Md Ishtikhar</v>
      </c>
      <c r="J1469" s="82"/>
      <c r="K1469" s="82"/>
      <c r="L1469" s="82"/>
      <c r="M1469" s="80" t="s">
        <v>762</v>
      </c>
      <c r="N1469" s="83" t="str">
        <f>IFERROR(VLOOKUP(F1431,STUDENT!$A$2:$BP$101,59,0),"")</f>
        <v/>
      </c>
      <c r="O1469" s="83"/>
      <c r="P1469" s="19"/>
      <c r="Q1469" s="19"/>
      <c r="R1469" s="11"/>
    </row>
    <row r="1470" s="1" customFormat="1" ht="21.95" customHeight="1" spans="1:19">
      <c r="A1470" s="7"/>
      <c r="B1470" s="12"/>
      <c r="C1470" s="33"/>
      <c r="D1470" s="77" t="str">
        <f>"has    completed     his  /  her     primary     level     education    in    the    year    "&amp;RIGHT(ENTRY!$D1436,4)&amp;"    from    ( School    Name )"</f>
        <v>has    completed     his  /  her     primary     level     education    in    the    year        from    ( School    Name )</v>
      </c>
      <c r="E1470" s="77"/>
      <c r="F1470" s="77"/>
      <c r="G1470" s="77"/>
      <c r="H1470" s="77"/>
      <c r="I1470" s="77"/>
      <c r="J1470" s="77"/>
      <c r="K1470" s="77"/>
      <c r="L1470" s="77"/>
      <c r="M1470" s="77"/>
      <c r="N1470" s="77"/>
      <c r="O1470" s="77"/>
      <c r="P1470" s="19"/>
      <c r="Q1470" s="19"/>
      <c r="R1470" s="11"/>
    </row>
    <row r="1471" s="1" customFormat="1" ht="21.95" customHeight="1" spans="1:19">
      <c r="A1471" s="7"/>
      <c r="B1471" s="12"/>
      <c r="C1471" s="33"/>
      <c r="D1471" s="81" t="str">
        <f>IF(F1431&gt;0,ENTRY!$D$6,"")</f>
        <v>MCP NITHARI NO 1 BOYS</v>
      </c>
      <c r="E1471" s="81"/>
      <c r="F1471" s="81"/>
      <c r="G1471" s="81"/>
      <c r="H1471" s="81"/>
      <c r="I1471" s="81"/>
      <c r="J1471" s="81"/>
      <c r="K1471" s="81"/>
      <c r="L1471" s="81"/>
      <c r="M1471" s="80" t="s">
        <v>763</v>
      </c>
      <c r="N1471" s="84">
        <f>IF(F1431&gt;0,ENTRY!$D$7,"")</f>
        <v>0</v>
      </c>
      <c r="O1471" s="84"/>
      <c r="P1471" s="85" t="s">
        <v>727</v>
      </c>
      <c r="Q1471" s="19"/>
      <c r="R1471" s="11"/>
    </row>
    <row r="1472" s="1" customFormat="1" ht="21.95" customHeight="1" spans="1:19">
      <c r="A1472" s="7"/>
      <c r="B1472" s="12"/>
      <c r="C1472" s="33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19"/>
      <c r="Q1472" s="19"/>
      <c r="R1472" s="11"/>
    </row>
    <row r="1473" s="1" customFormat="1" ht="21.95" customHeight="1" spans="1:18">
      <c r="A1473" s="7"/>
      <c r="B1473" s="12"/>
      <c r="C1473" s="33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19"/>
      <c r="Q1473" s="19"/>
      <c r="R1473" s="11"/>
    </row>
    <row r="1474" s="1" customFormat="1" ht="21.95" customHeight="1" spans="1:18">
      <c r="A1474" s="7"/>
      <c r="B1474" s="12"/>
      <c r="C1474" s="33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19"/>
      <c r="Q1474" s="19"/>
      <c r="R1474" s="11"/>
    </row>
    <row r="1475" s="1" customFormat="1" ht="21.95" customHeight="1" spans="1:18">
      <c r="A1475" s="7"/>
      <c r="B1475" s="12"/>
      <c r="C1475" s="33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19"/>
      <c r="Q1475" s="19"/>
      <c r="R1475" s="11"/>
    </row>
    <row r="1476" s="1" customFormat="1" ht="21.95" customHeight="1" spans="1:18">
      <c r="A1476" s="7"/>
      <c r="B1476" s="12"/>
      <c r="C1476" s="33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19"/>
      <c r="Q1476" s="19"/>
      <c r="R1476" s="11"/>
    </row>
    <row r="1477" s="1" customFormat="1" ht="21.95" customHeight="1" spans="1:18">
      <c r="A1477" s="7"/>
      <c r="B1477" s="12"/>
      <c r="C1477" s="33"/>
      <c r="D1477" s="80" t="s">
        <v>728</v>
      </c>
      <c r="E1477" s="86">
        <f>ENTRY!$D$27</f>
        <v>46102</v>
      </c>
      <c r="F1477" s="86"/>
      <c r="G1477" s="29"/>
      <c r="H1477" s="29"/>
      <c r="I1477" s="29"/>
      <c r="J1477" s="29"/>
      <c r="K1477" s="29"/>
      <c r="L1477" s="29"/>
      <c r="M1477" s="87" t="s">
        <v>730</v>
      </c>
      <c r="N1477" s="87"/>
      <c r="O1477" s="87"/>
      <c r="P1477" s="19"/>
      <c r="Q1477" s="19"/>
      <c r="R1477" s="11"/>
    </row>
    <row r="1478" s="1" customFormat="1" ht="21.95" customHeight="1" spans="1:18">
      <c r="A1478" s="7"/>
      <c r="B1478" s="12"/>
      <c r="C1478" s="33"/>
      <c r="D1478" s="80" t="s">
        <v>731</v>
      </c>
      <c r="E1478" s="88" t="str">
        <f>PROPER(ENTRY!$D$28)</f>
        <v>New Delhi</v>
      </c>
      <c r="F1478" s="88"/>
      <c r="G1478" s="29"/>
      <c r="H1478" s="29"/>
      <c r="I1478" s="29"/>
      <c r="J1478" s="29"/>
      <c r="K1478" s="29"/>
      <c r="L1478" s="29"/>
      <c r="M1478" s="89" t="s">
        <v>732</v>
      </c>
      <c r="N1478" s="89"/>
      <c r="O1478" s="89"/>
      <c r="P1478" s="19"/>
      <c r="Q1478" s="19"/>
      <c r="R1478" s="11"/>
    </row>
    <row r="1479" s="1" customFormat="1" ht="21.95" customHeight="1" spans="1:18">
      <c r="A1479" s="7"/>
      <c r="B1479" s="12"/>
      <c r="C1479" s="90"/>
      <c r="D1479" s="91"/>
      <c r="E1479" s="91"/>
      <c r="F1479" s="91"/>
      <c r="G1479" s="91"/>
      <c r="H1479" s="91"/>
      <c r="I1479" s="91"/>
      <c r="J1479" s="91"/>
      <c r="K1479" s="91"/>
      <c r="L1479" s="91"/>
      <c r="M1479" s="91"/>
      <c r="N1479" s="91"/>
      <c r="O1479" s="91"/>
      <c r="P1479" s="92"/>
      <c r="Q1479" s="14"/>
      <c r="R1479" s="11"/>
    </row>
    <row r="1480" s="1" customFormat="1" ht="5.1" customHeight="1" spans="1:18">
      <c r="A1480" s="7"/>
      <c r="B1480" s="90"/>
      <c r="C1480" s="91"/>
      <c r="D1480" s="91"/>
      <c r="E1480" s="91"/>
      <c r="F1480" s="91"/>
      <c r="G1480" s="91"/>
      <c r="H1480" s="91"/>
      <c r="I1480" s="91"/>
      <c r="J1480" s="91"/>
      <c r="K1480" s="91"/>
      <c r="L1480" s="91"/>
      <c r="M1480" s="91"/>
      <c r="N1480" s="91"/>
      <c r="O1480" s="91"/>
      <c r="P1480" s="91"/>
      <c r="Q1480" s="92"/>
      <c r="R1480" s="11"/>
    </row>
    <row r="1481" s="1" customFormat="1" ht="5.1" customHeight="1" spans="1:18">
      <c r="A1481" s="93"/>
      <c r="B1481" s="94"/>
      <c r="C1481" s="94"/>
      <c r="D1481" s="94"/>
      <c r="E1481" s="94"/>
      <c r="F1481" s="94"/>
      <c r="G1481" s="94"/>
      <c r="H1481" s="94"/>
      <c r="I1481" s="94"/>
      <c r="J1481" s="94"/>
      <c r="K1481" s="94"/>
      <c r="L1481" s="94"/>
      <c r="M1481" s="94"/>
      <c r="N1481" s="94"/>
      <c r="O1481" s="94"/>
      <c r="P1481" s="94"/>
      <c r="Q1481" s="94"/>
      <c r="R1481" s="95"/>
    </row>
    <row r="1482" s="2" customFormat="1" ht="9.95" customHeight="1"/>
    <row r="1483" s="1" customFormat="1" ht="5.1" customHeight="1" spans="1:18">
      <c r="A1483" s="4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6"/>
    </row>
    <row r="1484" s="1" customFormat="1" ht="15" customHeight="1" spans="1:18">
      <c r="A1484" s="7"/>
      <c r="B1484" s="8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9"/>
      <c r="O1484" s="9"/>
      <c r="P1484" s="9"/>
      <c r="Q1484" s="10"/>
      <c r="R1484" s="11"/>
    </row>
    <row r="1485" s="1" customFormat="1" ht="21.95" customHeight="1" spans="1:18">
      <c r="A1485" s="7"/>
      <c r="B1485" s="12"/>
      <c r="C1485" s="13" t="s">
        <v>7</v>
      </c>
      <c r="D1485" s="13"/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/>
      <c r="Q1485" s="14"/>
      <c r="R1485" s="11"/>
    </row>
    <row r="1486" s="1" customFormat="1" ht="21.95" customHeight="1" spans="1:18">
      <c r="A1486" s="7"/>
      <c r="B1486" s="1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14"/>
      <c r="R1486" s="11"/>
    </row>
    <row r="1487" s="1" customFormat="1" ht="21.95" customHeight="1" spans="1:18">
      <c r="A1487" s="7"/>
      <c r="B1487" s="12"/>
      <c r="C1487" s="15" t="str">
        <f>"SESSION-"&amp;ENTRY!$D$11</f>
        <v>SESSION-2026-27</v>
      </c>
      <c r="D1487" s="15"/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4"/>
      <c r="R1487" s="11"/>
    </row>
    <row r="1488" s="1" customFormat="1" ht="21.95" customHeight="1" spans="1:18">
      <c r="A1488" s="7"/>
      <c r="B1488" s="12"/>
      <c r="C1488" s="2"/>
      <c r="D1488" s="2"/>
      <c r="E1488" s="2"/>
      <c r="F1488" s="16">
        <f>F1431+1</f>
        <v>27</v>
      </c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14"/>
      <c r="R1488" s="11"/>
    </row>
    <row r="1489" s="1" customFormat="1" ht="21.95" customHeight="1" spans="1:18">
      <c r="A1489" s="7"/>
      <c r="B1489" s="12"/>
      <c r="C1489" s="17" t="s">
        <v>392</v>
      </c>
      <c r="D1489" s="17"/>
      <c r="E1489" s="17"/>
      <c r="F1489" s="18" t="str">
        <f>IF(F1488&gt;0,ENTRY!$D$6,"")</f>
        <v>MCP NITHARI NO 1 BOYS</v>
      </c>
      <c r="G1489" s="18"/>
      <c r="H1489" s="18"/>
      <c r="I1489" s="18"/>
      <c r="J1489" s="18"/>
      <c r="K1489" s="18"/>
      <c r="L1489" s="18"/>
      <c r="M1489" s="18"/>
      <c r="N1489" s="18"/>
      <c r="O1489" s="18"/>
      <c r="P1489" s="18"/>
      <c r="Q1489" s="19"/>
      <c r="R1489" s="11"/>
    </row>
    <row r="1490" s="1" customFormat="1" ht="21.95" customHeight="1" spans="1:18">
      <c r="A1490" s="7"/>
      <c r="B1490" s="12"/>
      <c r="C1490" s="17" t="s">
        <v>393</v>
      </c>
      <c r="D1490" s="17"/>
      <c r="E1490" s="17"/>
      <c r="F1490" s="18">
        <f>IF(F1488&gt;0,ENTRY!$D$7,"")</f>
        <v>0</v>
      </c>
      <c r="G1490" s="18"/>
      <c r="H1490" s="20" t="s">
        <v>702</v>
      </c>
      <c r="I1490" s="20"/>
      <c r="J1490" s="21">
        <f>IF(F1488&gt;0,ENTRY!$D$10,"")</f>
        <v>40</v>
      </c>
      <c r="K1490" s="20" t="s">
        <v>703</v>
      </c>
      <c r="L1490" s="22" t="str">
        <f>IF(F1488&gt;0,ENTRY!$D$5,"")</f>
        <v>ROHINI ZONE</v>
      </c>
      <c r="M1490" s="22"/>
      <c r="N1490" s="22"/>
      <c r="O1490" s="22"/>
      <c r="P1490" s="22"/>
      <c r="Q1490" s="19"/>
      <c r="R1490" s="11"/>
    </row>
    <row r="1491" s="1" customFormat="1" ht="21.95" customHeight="1" spans="1:18">
      <c r="A1491" s="7"/>
      <c r="B1491" s="12"/>
      <c r="C1491" s="17" t="s">
        <v>706</v>
      </c>
      <c r="D1491" s="17"/>
      <c r="E1491" s="17"/>
      <c r="F1491" s="23" t="str">
        <f>IFERROR(VLOOKUP(F1488,STUDENT!$A$2:$BP$101,5,0),"")</f>
        <v>KARTIK</v>
      </c>
      <c r="G1491" s="23"/>
      <c r="H1491" s="23"/>
      <c r="I1491" s="23"/>
      <c r="J1491" s="23"/>
      <c r="K1491" s="23"/>
      <c r="L1491" s="20" t="s">
        <v>707</v>
      </c>
      <c r="M1491" s="20"/>
      <c r="N1491" s="24" t="str">
        <f>IF(F1488&gt;0,ENTRY!$D$20&amp;"-"&amp;ENTRY!$D$21,"")</f>
        <v>III-A</v>
      </c>
      <c r="O1491" s="24"/>
      <c r="P1491" s="24"/>
      <c r="Q1491" s="19"/>
      <c r="R1491" s="11"/>
    </row>
    <row r="1492" s="1" customFormat="1" ht="21.95" customHeight="1" spans="1:18">
      <c r="A1492" s="7"/>
      <c r="B1492" s="12"/>
      <c r="C1492" s="17" t="s">
        <v>708</v>
      </c>
      <c r="D1492" s="17"/>
      <c r="E1492" s="17"/>
      <c r="F1492" s="25">
        <f>IFERROR(VLOOKUP(F1488,STUDENT!$A$2:$BP$101,6,0),"")</f>
        <v>14976</v>
      </c>
      <c r="G1492" s="25"/>
      <c r="H1492" s="26" t="s">
        <v>709</v>
      </c>
      <c r="I1492" s="27" t="str">
        <f>IFERROR(VLOOKUP(F1488,STUDENT!$A$2:$BP$101,59,0),"")</f>
        <v/>
      </c>
      <c r="J1492" s="27"/>
      <c r="K1492" s="20" t="s">
        <v>710</v>
      </c>
      <c r="L1492" s="20"/>
      <c r="M1492" s="28">
        <f>IFERROR(VLOOKUP(F1488,STUDENT!$A$2:$BP$101,20,0),"")</f>
        <v>9718355129</v>
      </c>
      <c r="N1492" s="28"/>
      <c r="O1492" s="28"/>
      <c r="P1492" s="28"/>
      <c r="Q1492" s="19"/>
      <c r="R1492" s="11"/>
    </row>
    <row r="1493" s="1" customFormat="1" ht="21.95" customHeight="1" spans="1:18">
      <c r="A1493" s="7"/>
      <c r="B1493" s="12"/>
      <c r="C1493" s="17" t="s">
        <v>711</v>
      </c>
      <c r="D1493" s="17"/>
      <c r="E1493" s="17"/>
      <c r="F1493" s="23" t="str">
        <f>IFERROR(VLOOKUP(F1488,STUDENT!$A$2:$BP$101,9,0),"")</f>
        <v>MEENA</v>
      </c>
      <c r="G1493" s="23"/>
      <c r="H1493" s="23"/>
      <c r="I1493" s="23"/>
      <c r="J1493" s="17" t="s">
        <v>620</v>
      </c>
      <c r="K1493" s="17"/>
      <c r="L1493" s="23" t="str">
        <f>IFERROR(VLOOKUP(F1488,STUDENT!$A$2:$BP$101,8,0),"")</f>
        <v>SUNIL</v>
      </c>
      <c r="M1493" s="23"/>
      <c r="N1493" s="23"/>
      <c r="O1493" s="23"/>
      <c r="P1493" s="23"/>
      <c r="Q1493" s="19"/>
      <c r="R1493" s="11"/>
    </row>
    <row r="1494" s="1" customFormat="1" ht="21.95" customHeight="1" spans="1:18">
      <c r="A1494" s="7"/>
      <c r="B1494" s="12"/>
      <c r="C1494" s="17" t="s">
        <v>712</v>
      </c>
      <c r="D1494" s="17"/>
      <c r="E1494" s="17"/>
      <c r="F1494" s="23" t="str">
        <f>IFERROR(VLOOKUP(F1488,STUDENT!$A$2:$BP$101,22,0),"")</f>
        <v>H.NO -560 INDER ENCLAVE</v>
      </c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19"/>
      <c r="R1494" s="11"/>
    </row>
    <row r="1495" s="1" customFormat="1" ht="9.95" customHeight="1" spans="1:18">
      <c r="A1495" s="7"/>
      <c r="B1495" s="12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19"/>
      <c r="R1495" s="11"/>
    </row>
    <row r="1496" s="1" customFormat="1" ht="9.95" customHeight="1" spans="1:18">
      <c r="A1496" s="7"/>
      <c r="B1496" s="12"/>
      <c r="C1496" s="30"/>
      <c r="D1496" s="31"/>
      <c r="E1496" s="31"/>
      <c r="F1496" s="31"/>
      <c r="G1496" s="31"/>
      <c r="H1496" s="31"/>
      <c r="I1496" s="31"/>
      <c r="J1496" s="31"/>
      <c r="K1496" s="31"/>
      <c r="L1496" s="31"/>
      <c r="M1496" s="31"/>
      <c r="N1496" s="31"/>
      <c r="O1496" s="31"/>
      <c r="P1496" s="32"/>
      <c r="Q1496" s="19"/>
      <c r="R1496" s="11"/>
    </row>
    <row r="1497" s="1" customFormat="1" ht="21.95" customHeight="1" spans="1:18">
      <c r="A1497" s="7"/>
      <c r="B1497" s="12"/>
      <c r="C1497" s="33"/>
      <c r="D1497" s="34" t="s">
        <v>713</v>
      </c>
      <c r="E1497" s="20" t="s">
        <v>714</v>
      </c>
      <c r="F1497" s="35" t="str">
        <f>"Level - "&amp;IFERROR(VLOOKUP(F1488,FLN!$A$4:$K$103,9,0),"")</f>
        <v>Level - 2</v>
      </c>
      <c r="G1497" s="36"/>
      <c r="H1497" s="37" t="s">
        <v>715</v>
      </c>
      <c r="I1497" s="20"/>
      <c r="J1497" s="35" t="str">
        <f>"Level - "&amp;IFERROR(VLOOKUP(F1488,FLN!$A$4:$K$103,11,0),"")</f>
        <v>Level - 3</v>
      </c>
      <c r="K1497" s="36"/>
      <c r="L1497" s="37" t="s">
        <v>408</v>
      </c>
      <c r="M1497" s="20"/>
      <c r="N1497" s="35" t="str">
        <f>"Level - "&amp;IFERROR(VLOOKUP(F1488,FLN!$A$4:$K$103,10,0),"")</f>
        <v>Level - 2</v>
      </c>
      <c r="O1497" s="36"/>
      <c r="P1497" s="19"/>
      <c r="Q1497" s="19"/>
      <c r="R1497" s="11"/>
    </row>
    <row r="1498" s="1" customFormat="1" ht="21.95" customHeight="1" spans="1:18">
      <c r="A1498" s="7"/>
      <c r="B1498" s="12"/>
      <c r="C1498" s="33"/>
      <c r="D1498" s="38"/>
      <c r="E1498" s="20" t="s">
        <v>716</v>
      </c>
      <c r="F1498" s="18" t="str">
        <f ca="1">IF(L1512&gt;197,"PERFORMED WELL","")</f>
        <v/>
      </c>
      <c r="G1498" s="18"/>
      <c r="H1498" s="18"/>
      <c r="I1498" s="18"/>
      <c r="J1498" s="18"/>
      <c r="K1498" s="18"/>
      <c r="L1498" s="18"/>
      <c r="M1498" s="18"/>
      <c r="N1498" s="18"/>
      <c r="O1498" s="18"/>
      <c r="P1498" s="19"/>
      <c r="Q1498" s="19"/>
      <c r="R1498" s="11"/>
    </row>
    <row r="1499" s="1" customFormat="1" ht="9.95" customHeight="1" spans="1:18">
      <c r="A1499" s="7"/>
      <c r="B1499" s="12"/>
      <c r="C1499" s="39"/>
      <c r="D1499" s="40"/>
      <c r="E1499" s="40"/>
      <c r="F1499" s="40"/>
      <c r="G1499" s="40"/>
      <c r="H1499" s="40"/>
      <c r="I1499" s="40"/>
      <c r="J1499" s="40"/>
      <c r="K1499" s="40"/>
      <c r="L1499" s="40"/>
      <c r="M1499" s="40"/>
      <c r="N1499" s="40"/>
      <c r="O1499" s="40"/>
      <c r="P1499" s="41"/>
      <c r="Q1499" s="19"/>
      <c r="R1499" s="11"/>
    </row>
    <row r="1500" s="1" customFormat="1" ht="9.95" customHeight="1" spans="1:18">
      <c r="A1500" s="7"/>
      <c r="B1500" s="12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19"/>
      <c r="R1500" s="11"/>
    </row>
    <row r="1501" s="1" customFormat="1" ht="9.95" customHeight="1" spans="1:18">
      <c r="A1501" s="7"/>
      <c r="B1501" s="12"/>
      <c r="C1501" s="30"/>
      <c r="D1501" s="31"/>
      <c r="E1501" s="31"/>
      <c r="F1501" s="31"/>
      <c r="G1501" s="31"/>
      <c r="H1501" s="31"/>
      <c r="I1501" s="31"/>
      <c r="J1501" s="31"/>
      <c r="K1501" s="31"/>
      <c r="L1501" s="31"/>
      <c r="M1501" s="31"/>
      <c r="N1501" s="31"/>
      <c r="O1501" s="31"/>
      <c r="P1501" s="32"/>
      <c r="Q1501" s="19"/>
      <c r="R1501" s="11"/>
    </row>
    <row r="1502" s="1" customFormat="1" ht="21.95" customHeight="1" spans="1:18">
      <c r="A1502" s="7"/>
      <c r="B1502" s="12"/>
      <c r="C1502" s="33"/>
      <c r="D1502" s="35"/>
      <c r="E1502" s="24"/>
      <c r="F1502" s="42" t="s">
        <v>717</v>
      </c>
      <c r="G1502" s="42"/>
      <c r="H1502" s="42"/>
      <c r="I1502" s="42"/>
      <c r="J1502" s="42"/>
      <c r="K1502" s="42"/>
      <c r="L1502" s="43"/>
      <c r="M1502" s="44"/>
      <c r="N1502" s="29"/>
      <c r="O1502" s="29"/>
      <c r="P1502" s="19"/>
      <c r="Q1502" s="19"/>
      <c r="R1502" s="11"/>
    </row>
    <row r="1503" s="1" customFormat="1" ht="21.95" customHeight="1" spans="1:18">
      <c r="A1503" s="7"/>
      <c r="B1503" s="12"/>
      <c r="C1503" s="33"/>
      <c r="D1503" s="45"/>
      <c r="E1503" s="46"/>
      <c r="F1503" s="47" t="s">
        <v>541</v>
      </c>
      <c r="G1503" s="47" t="s">
        <v>542</v>
      </c>
      <c r="H1503" s="47" t="s">
        <v>543</v>
      </c>
      <c r="I1503" s="47" t="s">
        <v>544</v>
      </c>
      <c r="J1503" s="47" t="s">
        <v>561</v>
      </c>
      <c r="K1503" s="48" t="s">
        <v>750</v>
      </c>
      <c r="L1503" s="47" t="s">
        <v>382</v>
      </c>
      <c r="M1503" s="49" t="s">
        <v>546</v>
      </c>
      <c r="N1503" s="29"/>
      <c r="O1503" s="29"/>
      <c r="P1503" s="19"/>
      <c r="Q1503" s="19"/>
      <c r="R1503" s="11"/>
    </row>
    <row r="1504" s="1" customFormat="1" ht="21.95" customHeight="1" spans="1:18">
      <c r="A1504" s="7"/>
      <c r="B1504" s="12"/>
      <c r="C1504" s="33"/>
      <c r="D1504" s="45" t="s">
        <v>652</v>
      </c>
      <c r="E1504" s="46"/>
      <c r="F1504" s="50">
        <v>10</v>
      </c>
      <c r="G1504" s="50">
        <v>10</v>
      </c>
      <c r="H1504" s="50">
        <v>10</v>
      </c>
      <c r="I1504" s="50">
        <v>10</v>
      </c>
      <c r="J1504" s="50">
        <v>60</v>
      </c>
      <c r="K1504" s="51"/>
      <c r="L1504" s="50">
        <v>100</v>
      </c>
      <c r="M1504" s="49"/>
      <c r="N1504" s="29"/>
      <c r="O1504" s="29"/>
      <c r="P1504" s="19"/>
      <c r="Q1504" s="19"/>
      <c r="R1504" s="11"/>
    </row>
    <row r="1505" s="1" customFormat="1" ht="21.95" customHeight="1" spans="1:18">
      <c r="A1505" s="7"/>
      <c r="B1505" s="12"/>
      <c r="C1505" s="33"/>
      <c r="D1505" s="52" t="s">
        <v>751</v>
      </c>
      <c r="E1505" s="53"/>
      <c r="F1505" s="54">
        <f ca="1">IFERROR(VLOOKUP(F1488,'RR-3.1-5TH'!$A$12:'RR-3.1-5TH'!$BN$111,9,0),"")</f>
        <v>1</v>
      </c>
      <c r="G1505" s="54">
        <f ca="1">IFERROR(VLOOKUP(F1488,'RR-3.1-5TH'!$A$12:'RR-3.1-5TH'!$BN$111,10,0),"")</f>
        <v>0</v>
      </c>
      <c r="H1505" s="54">
        <f ca="1">IFERROR(VLOOKUP(F1488,'RR-3.1-5TH'!$A$12:'RR-3.1-5TH'!$BN$111,11,0),"")</f>
        <v>0</v>
      </c>
      <c r="I1505" s="54">
        <f ca="1">IFERROR(VLOOKUP(F1488,'RR-3.1-5TH'!$A$12:'RR-3.1-5TH'!$BN$111,12,0),"")</f>
        <v>0</v>
      </c>
      <c r="J1505" s="54">
        <f ca="1">IFERROR(VLOOKUP(F1488,'RR-3.1-5TH'!$A$12:'RR-3.1-5TH'!$BN$111,13,0),"")</f>
        <v>29</v>
      </c>
      <c r="K1505" s="54">
        <f ca="1">IFERROR(VLOOKUP(F1488,'RR-3.1-5TH'!$A$12:'RR-3.1-5TH'!$BN$111,14,0),"")</f>
        <v>0</v>
      </c>
      <c r="L1505" s="55">
        <f ca="1" t="shared" ref="L1505:L1510" si="78">SUM(F1505,G1505,H1505,I1505,J1505,K1505)</f>
        <v>30</v>
      </c>
      <c r="M1505" s="56" t="str">
        <f ca="1">IF(F1488&gt;ENTRY!$D$24,"",IF(L1505=0,"Ab",IF(L1505&gt;80,"A",IF(L1505&gt;60,"B",IF(L1505&gt;44,"C",IF(L1505&gt;=33,"D",IF(L1505&lt;=32,"E","")))))))</f>
        <v>E</v>
      </c>
      <c r="N1505" s="57" t="s">
        <v>729</v>
      </c>
      <c r="O1505" s="58"/>
      <c r="P1505" s="59"/>
      <c r="Q1505" s="19"/>
      <c r="R1505" s="11"/>
    </row>
    <row r="1506" s="1" customFormat="1" ht="21.95" customHeight="1" spans="1:18">
      <c r="A1506" s="7"/>
      <c r="B1506" s="12"/>
      <c r="C1506" s="33"/>
      <c r="D1506" s="52" t="s">
        <v>513</v>
      </c>
      <c r="E1506" s="53"/>
      <c r="F1506" s="54">
        <f ca="1">IFERROR(VLOOKUP(F1488,'RR-3.1-5TH'!$A$12:'RR-3.1-5TH'!$BN$111,17,0),"")</f>
        <v>1</v>
      </c>
      <c r="G1506" s="54">
        <f ca="1">IFERROR(VLOOKUP(F1488,'RR-3.1-5TH'!$A$12:'RR-3.1-5TH'!$BN$111,18,0),"")</f>
        <v>0</v>
      </c>
      <c r="H1506" s="54">
        <f ca="1">IFERROR(VLOOKUP(F1488,'RR-3.1-5TH'!$A$12:'RR-3.1-5TH'!$BN$111,19,0),"")</f>
        <v>0</v>
      </c>
      <c r="I1506" s="54">
        <f ca="1">IFERROR(VLOOKUP(F1488,'RR-3.1-5TH'!$A$12:'RR-3.1-5TH'!$BN$111,20,0),"")</f>
        <v>0</v>
      </c>
      <c r="J1506" s="54">
        <f ca="1">IFERROR(VLOOKUP(F1488,'RR-3.1-5TH'!$A$12:'RR-3.1-5TH'!$BN$111,21,0),"")</f>
        <v>11</v>
      </c>
      <c r="K1506" s="54">
        <f ca="1">IFERROR(VLOOKUP(F1488,'RR-3.1-5TH'!$A$12:'RR-3.1-5TH'!$BN$111,22,0),"")</f>
        <v>0</v>
      </c>
      <c r="L1506" s="55">
        <f ca="1" t="shared" si="78"/>
        <v>12</v>
      </c>
      <c r="M1506" s="56" t="str">
        <f ca="1">IF(F1488&gt;ENTRY!$D$24,"",IF(L1506=0,"Ab",IF(L1506&gt;80,"A",IF(L1506&gt;60,"B",IF(L1506&gt;44,"C",IF(L1506&gt;=33,"D",IF(L1506&lt;=32,"E","")))))))</f>
        <v>E</v>
      </c>
      <c r="N1506" s="58"/>
      <c r="O1506" s="58"/>
      <c r="P1506" s="59"/>
      <c r="Q1506" s="19"/>
      <c r="R1506" s="11"/>
    </row>
    <row r="1507" s="1" customFormat="1" ht="21.95" customHeight="1" spans="1:18">
      <c r="A1507" s="7"/>
      <c r="B1507" s="12"/>
      <c r="C1507" s="33"/>
      <c r="D1507" s="52" t="s">
        <v>718</v>
      </c>
      <c r="E1507" s="53"/>
      <c r="F1507" s="54">
        <f ca="1">IFERROR(VLOOKUP(F1488,'RR-3.1-5TH'!$A$12:'RR-3.1-5TH'!$BN$111,25,0),"")</f>
        <v>2</v>
      </c>
      <c r="G1507" s="54">
        <f ca="1">IFERROR(VLOOKUP(F1488,'RR-3.1-5TH'!$A$12:'RR-3.1-5TH'!$BN$111,26,0),"")</f>
        <v>0</v>
      </c>
      <c r="H1507" s="54">
        <f ca="1">IFERROR(VLOOKUP(F1488,'RR-3.1-5TH'!$A$12:'RR-3.1-5TH'!$BN$111,27,0),"")</f>
        <v>0</v>
      </c>
      <c r="I1507" s="54">
        <f ca="1">IFERROR(VLOOKUP(F1488,'RR-3.1-5TH'!$A$12:'RR-3.1-5TH'!$BN$111,28,0),"")</f>
        <v>0</v>
      </c>
      <c r="J1507" s="54">
        <f ca="1">IFERROR(VLOOKUP(F1488,'RR-3.1-5TH'!$A$12:'RR-3.1-5TH'!$BN$111,29,0),"")</f>
        <v>15</v>
      </c>
      <c r="K1507" s="54">
        <f ca="1">IFERROR(VLOOKUP(F1488,'RR-3.1-5TH'!$A$12:'RR-3.1-5TH'!$BN$111,30,0),"")</f>
        <v>0</v>
      </c>
      <c r="L1507" s="55">
        <f ca="1" t="shared" si="78"/>
        <v>17</v>
      </c>
      <c r="M1507" s="56" t="str">
        <f ca="1">IF(F1488&gt;ENTRY!$D$24,"",IF(L1507=0,"Ab",IF(L1507&gt;80,"A",IF(L1507&gt;60,"B",IF(L1507&gt;44,"C",IF(L1507&gt;=33,"D",IF(L1507&lt;=32,"E","")))))))</f>
        <v>E</v>
      </c>
      <c r="N1507" s="29"/>
      <c r="O1507" s="29"/>
      <c r="P1507" s="19"/>
      <c r="Q1507" s="19"/>
      <c r="R1507" s="11"/>
    </row>
    <row r="1508" s="1" customFormat="1" ht="21.95" customHeight="1" spans="1:18">
      <c r="A1508" s="7"/>
      <c r="B1508" s="12"/>
      <c r="C1508" s="33"/>
      <c r="D1508" s="52" t="s">
        <v>719</v>
      </c>
      <c r="E1508" s="53"/>
      <c r="F1508" s="54">
        <f ca="1">IFERROR(VLOOKUP(F1488,'RR-3.1-5TH'!$A$12:'RR-3.1-5TH'!$BN$111,33,0),"")</f>
        <v>2</v>
      </c>
      <c r="G1508" s="54">
        <f ca="1">IFERROR(VLOOKUP(F1488,'RR-3.1-5TH'!$A$12:'RR-3.1-5TH'!$BN$111,34,0),"")</f>
        <v>0</v>
      </c>
      <c r="H1508" s="54">
        <f ca="1">IFERROR(VLOOKUP(F1488,'RR-3.1-5TH'!$A$12:'RR-3.1-5TH'!$BN$111,35,0),"")</f>
        <v>0</v>
      </c>
      <c r="I1508" s="54">
        <f ca="1">IFERROR(VLOOKUP(F1488,'RR-3.1-5TH'!$A$12:'RR-3.1-5TH'!$BN$111,36,0),"")</f>
        <v>0</v>
      </c>
      <c r="J1508" s="54">
        <f ca="1">IFERROR(VLOOKUP(F1488,'RR-3.1-5TH'!$A$12:'RR-3.1-5TH'!$BN$111,37,0),"")</f>
        <v>11</v>
      </c>
      <c r="K1508" s="54">
        <f ca="1">IFERROR(VLOOKUP(F1488,'RR-3.1-5TH'!$A$12:'RR-3.1-5TH'!$BN$111,38,0),"")</f>
        <v>0</v>
      </c>
      <c r="L1508" s="55">
        <f ca="1" t="shared" si="78"/>
        <v>13</v>
      </c>
      <c r="M1508" s="56" t="str">
        <f ca="1">IF(F1488&gt;ENTRY!$D$24,"",IF(L1508=0,"Ab",IF(L1508&gt;80,"A",IF(L1508&gt;60,"B",IF(L1508&gt;44,"C",IF(L1508&gt;=33,"D",IF(L1508&lt;=32,"E","")))))))</f>
        <v>E</v>
      </c>
      <c r="N1508" s="29"/>
      <c r="O1508" s="29"/>
      <c r="P1508" s="19"/>
      <c r="Q1508" s="19"/>
      <c r="R1508" s="11"/>
    </row>
    <row r="1509" s="1" customFormat="1" ht="21.95" customHeight="1" spans="1:18">
      <c r="A1509" s="7"/>
      <c r="B1509" s="12"/>
      <c r="C1509" s="33"/>
      <c r="D1509" s="52" t="s">
        <v>548</v>
      </c>
      <c r="E1509" s="53"/>
      <c r="F1509" s="54">
        <f ca="1">IFERROR(VLOOKUP(F1488,'RR-3.1-5TH'!$A$12:'RR-3.1-5TH'!$BN$111,41,0),"")</f>
        <v>0</v>
      </c>
      <c r="G1509" s="54">
        <f ca="1">IFERROR(VLOOKUP(F1488,'RR-3.1-5TH'!$A$12:'RR-3.1-5TH'!$BN$111,42,0),"")</f>
        <v>0</v>
      </c>
      <c r="H1509" s="54">
        <f ca="1">IFERROR(VLOOKUP(F1488,'RR-3.1-5TH'!$A$12:'RR-3.1-5TH'!$BN$111,43,0),"")</f>
        <v>0</v>
      </c>
      <c r="I1509" s="54">
        <f ca="1">IFERROR(VLOOKUP(F1488,'RR-3.1-5TH'!$A$12:'RR-3.1-5TH'!$BN$111,44,0),"")</f>
        <v>0</v>
      </c>
      <c r="J1509" s="54">
        <f ca="1">IFERROR(VLOOKUP(F1488,'RR-3.1-5TH'!$A$12:'RR-3.1-5TH'!$BN$111,45,0),"")</f>
        <v>16</v>
      </c>
      <c r="K1509" s="54">
        <f ca="1">IFERROR(VLOOKUP(F1488,'RR-3.1-5TH'!$A$12:'RR-3.1-5TH'!$BN$111,46,0),"")</f>
        <v>0</v>
      </c>
      <c r="L1509" s="55">
        <f ca="1" t="shared" si="78"/>
        <v>16</v>
      </c>
      <c r="M1509" s="56" t="str">
        <f ca="1">IF(F1488&gt;ENTRY!$D$24,"",IF(L1509=0,"Ab",IF(L1509&gt;80,"A",IF(L1509&gt;60,"B",IF(L1509&gt;44,"C",IF(L1509&gt;=33,"D",IF(L1509&lt;=32,"E","")))))))</f>
        <v>E</v>
      </c>
      <c r="N1509" s="29"/>
      <c r="O1509" s="29"/>
      <c r="P1509" s="19"/>
      <c r="Q1509" s="19"/>
      <c r="R1509" s="11"/>
    </row>
    <row r="1510" s="1" customFormat="1" ht="21.95" customHeight="1" spans="1:18">
      <c r="A1510" s="7"/>
      <c r="B1510" s="12"/>
      <c r="C1510" s="33"/>
      <c r="D1510" s="52" t="s">
        <v>549</v>
      </c>
      <c r="E1510" s="53"/>
      <c r="F1510" s="54">
        <f ca="1">IFERROR(VLOOKUP(F1488,'RR-3.1-5TH'!$A$12:'RR-3.1-5TH'!$BN$111,49,0),"")</f>
        <v>2</v>
      </c>
      <c r="G1510" s="54">
        <f ca="1">IFERROR(VLOOKUP(F1488,'RR-3.1-5TH'!$A$12:'RR-3.1-5TH'!$BN$111,50,0),"")</f>
        <v>0</v>
      </c>
      <c r="H1510" s="54">
        <f ca="1">IFERROR(VLOOKUP(F1488,'RR-3.1-5TH'!$A$12:'RR-3.1-5TH'!$BN$111,51,0),"")</f>
        <v>0</v>
      </c>
      <c r="I1510" s="54">
        <f ca="1">IFERROR(VLOOKUP(F1488,'RR-3.1-5TH'!$A$12:'RR-3.1-5TH'!$BN$111,52,0),"")</f>
        <v>0</v>
      </c>
      <c r="J1510" s="54">
        <f ca="1">IFERROR(VLOOKUP(F1488,'RR-3.1-5TH'!$A$12:'RR-3.1-5TH'!$BN$111,53,0),"")</f>
        <v>13</v>
      </c>
      <c r="K1510" s="54">
        <f ca="1">IFERROR(VLOOKUP(F1488,'RR-3.1-5TH'!$A$12:'RR-3.1-5TH'!$BN$111,54,0),"")</f>
        <v>0</v>
      </c>
      <c r="L1510" s="55">
        <f ca="1" t="shared" si="78"/>
        <v>15</v>
      </c>
      <c r="M1510" s="56" t="str">
        <f ca="1">IF(F1488&gt;ENTRY!$D$24,"",IF(L1510=0,"Ab",IF(L1510&gt;80,"A",IF(L1510&gt;60,"B",IF(L1510&gt;44,"C",IF(L1510&gt;=33,"D",IF(L1510&lt;=32,"E","")))))))</f>
        <v>E</v>
      </c>
      <c r="N1510" s="57" t="s">
        <v>752</v>
      </c>
      <c r="O1510" s="58"/>
      <c r="P1510" s="59"/>
      <c r="Q1510" s="19"/>
      <c r="R1510" s="11"/>
    </row>
    <row r="1511" s="1" customFormat="1" ht="21.95" customHeight="1" spans="1:18">
      <c r="A1511" s="7"/>
      <c r="B1511" s="12"/>
      <c r="C1511" s="33"/>
      <c r="D1511" s="52" t="s">
        <v>753</v>
      </c>
      <c r="E1511" s="53"/>
      <c r="F1511" s="60"/>
      <c r="G1511" s="54"/>
      <c r="H1511" s="54"/>
      <c r="I1511" s="54"/>
      <c r="J1511" s="54"/>
      <c r="K1511" s="54"/>
      <c r="L1511" s="55">
        <f t="shared" ref="L1511" si="79">SUM(G1511:K1511)</f>
        <v>0</v>
      </c>
      <c r="M1511" s="56" t="str">
        <f>IF(F1488&gt;ENTRY!$D$24,"",IF(L1511=0,"",IF(L1511&gt;79,"A",IF(L1511&gt;59,"B",IF(L1511&gt;44,"C",IF(L1511&gt;=33,"D",IF(L1511&lt;=32,"E","")))))))</f>
        <v/>
      </c>
      <c r="N1511" s="58"/>
      <c r="O1511" s="58"/>
      <c r="P1511" s="59"/>
      <c r="Q1511" s="19"/>
      <c r="R1511" s="11"/>
    </row>
    <row r="1512" s="1" customFormat="1" ht="21.95" customHeight="1" spans="1:18">
      <c r="A1512" s="7"/>
      <c r="B1512" s="12"/>
      <c r="C1512" s="33"/>
      <c r="D1512" s="45" t="s">
        <v>382</v>
      </c>
      <c r="E1512" s="46"/>
      <c r="F1512" s="54">
        <f ca="1" t="shared" ref="F1512:L1512" si="80">IFERROR(SUM(F1505:F1511),"")</f>
        <v>8</v>
      </c>
      <c r="G1512" s="54">
        <f ca="1" t="shared" si="80"/>
        <v>0</v>
      </c>
      <c r="H1512" s="54">
        <f ca="1" t="shared" si="80"/>
        <v>0</v>
      </c>
      <c r="I1512" s="54">
        <f ca="1" t="shared" si="80"/>
        <v>0</v>
      </c>
      <c r="J1512" s="54">
        <f ca="1" t="shared" si="80"/>
        <v>95</v>
      </c>
      <c r="K1512" s="54">
        <f ca="1" t="shared" si="80"/>
        <v>0</v>
      </c>
      <c r="L1512" s="55">
        <f ca="1" t="shared" si="80"/>
        <v>103</v>
      </c>
      <c r="M1512" s="61" t="str">
        <f ca="1">IF(F1488&gt;ENTRY!$D$24,"",IF(N1513="Ab","Ab",IF(N1513&gt;79.5,"A",IF(N1513&gt;59.5,"B",IF(N1513&gt;44.5,"C",IF(N1513&gt;=33,"D",IF(N1513&lt;33,"E","")))))))</f>
        <v>E</v>
      </c>
      <c r="N1512" s="62"/>
      <c r="O1512" s="58"/>
      <c r="P1512" s="59"/>
      <c r="Q1512" s="19"/>
      <c r="R1512" s="11"/>
    </row>
    <row r="1513" s="1" customFormat="1" ht="21.95" customHeight="1" spans="1:18">
      <c r="A1513" s="7"/>
      <c r="B1513" s="12"/>
      <c r="C1513" s="33"/>
      <c r="D1513" s="63" t="s">
        <v>721</v>
      </c>
      <c r="E1513" s="63"/>
      <c r="F1513" s="63"/>
      <c r="G1513" s="63"/>
      <c r="H1513" s="63"/>
      <c r="I1513" s="63"/>
      <c r="J1513" s="63"/>
      <c r="K1513" s="63"/>
      <c r="L1513" s="63"/>
      <c r="M1513" s="63"/>
      <c r="N1513" s="64">
        <f ca="1">IF(L1512="Ab","Ab",L1512/6)</f>
        <v>17.1666666666667</v>
      </c>
      <c r="O1513" s="65"/>
      <c r="P1513" s="19"/>
      <c r="Q1513" s="19"/>
      <c r="R1513" s="11"/>
    </row>
    <row r="1514" s="1" customFormat="1" ht="21.95" customHeight="1" spans="1:18">
      <c r="A1514" s="7"/>
      <c r="B1514" s="12"/>
      <c r="C1514" s="33"/>
      <c r="D1514" s="29" t="s">
        <v>716</v>
      </c>
      <c r="E1514" s="18" t="str">
        <f>IFERROR(VLOOKUP(F1488,'1to4-2.1-RR'!$A$12:$BG$111,57,0),"")</f>
        <v>PROMOTED</v>
      </c>
      <c r="F1514" s="18"/>
      <c r="G1514" s="18"/>
      <c r="H1514" s="18"/>
      <c r="I1514" s="18"/>
      <c r="J1514" s="18"/>
      <c r="K1514" s="18"/>
      <c r="L1514" s="18"/>
      <c r="M1514" s="18"/>
      <c r="N1514" s="29"/>
      <c r="O1514" s="29"/>
      <c r="P1514" s="19"/>
      <c r="Q1514" s="19"/>
      <c r="R1514" s="11"/>
    </row>
    <row r="1515" s="1" customFormat="1" ht="9.95" customHeight="1" spans="1:18">
      <c r="A1515" s="7"/>
      <c r="B1515" s="12"/>
      <c r="C1515" s="33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19"/>
      <c r="Q1515" s="19"/>
      <c r="R1515" s="11"/>
    </row>
    <row r="1516" s="1" customFormat="1" ht="36" spans="1:18">
      <c r="A1516" s="7"/>
      <c r="B1516" s="12"/>
      <c r="C1516" s="33"/>
      <c r="D1516" s="66" t="s">
        <v>576</v>
      </c>
      <c r="E1516" s="67" t="s">
        <v>754</v>
      </c>
      <c r="F1516" s="47">
        <f>IF(F1488&gt;ENTRY!$D$24,"",IFERROR(VLOOKUP(F1488,PASHEET!$A$4:$CJ$103,88,0),""))</f>
        <v>0</v>
      </c>
      <c r="G1516" s="67" t="s">
        <v>755</v>
      </c>
      <c r="H1516" s="47">
        <f>IF(F1488&gt;ENTRY!$D$24,"",IFERROR(VLOOKUP(F1488,PASHEET!$A$4:$CJ$103,87,0),""))</f>
        <v>0</v>
      </c>
      <c r="I1516" s="68" t="s">
        <v>756</v>
      </c>
      <c r="J1516" s="69" t="str">
        <f>IF(F1488&gt;ENTRY!$D$24,"",IFERROR(IF(F1488&gt;0,H1516/F1516*100),""))</f>
        <v/>
      </c>
      <c r="K1516" s="60" t="s">
        <v>757</v>
      </c>
      <c r="L1516" s="70">
        <f ca="1">IF(F1488&gt;ENTRY!$D$24,"",IFERROR(L1512/600*100,""))</f>
        <v>17.1666666666667</v>
      </c>
      <c r="M1516" s="47" t="str">
        <f ca="1">IF(F1488&gt;ENTRY!$D$24,"",IFERROR(L1512&amp;" / "&amp;"600",""))</f>
        <v>103 / 600</v>
      </c>
      <c r="N1516" s="29"/>
      <c r="O1516" s="29"/>
      <c r="P1516" s="19"/>
      <c r="Q1516" s="19"/>
      <c r="R1516" s="11"/>
    </row>
    <row r="1517" s="1" customFormat="1" ht="9.95" customHeight="1" spans="1:18">
      <c r="A1517" s="7"/>
      <c r="B1517" s="12"/>
      <c r="C1517" s="39"/>
      <c r="D1517" s="40"/>
      <c r="E1517" s="40"/>
      <c r="F1517" s="40"/>
      <c r="G1517" s="40"/>
      <c r="H1517" s="40"/>
      <c r="I1517" s="40"/>
      <c r="J1517" s="40"/>
      <c r="K1517" s="40"/>
      <c r="L1517" s="40"/>
      <c r="M1517" s="40"/>
      <c r="N1517" s="40"/>
      <c r="O1517" s="40"/>
      <c r="P1517" s="41"/>
      <c r="Q1517" s="19"/>
      <c r="R1517" s="11"/>
    </row>
    <row r="1518" s="1" customFormat="1" ht="9.95" customHeight="1" spans="1:18">
      <c r="A1518" s="7"/>
      <c r="B1518" s="12"/>
      <c r="C1518" s="71"/>
      <c r="D1518" s="71"/>
      <c r="E1518" s="71"/>
      <c r="F1518" s="29"/>
      <c r="G1518" s="71"/>
      <c r="H1518" s="71"/>
      <c r="I1518" s="71"/>
      <c r="J1518" s="71"/>
      <c r="K1518" s="71"/>
      <c r="L1518" s="71"/>
      <c r="M1518" s="71"/>
      <c r="N1518" s="71"/>
      <c r="O1518" s="71"/>
      <c r="P1518" s="71"/>
      <c r="Q1518" s="19"/>
      <c r="R1518" s="11"/>
    </row>
    <row r="1519" s="1" customFormat="1" ht="9.95" customHeight="1" spans="1:18">
      <c r="A1519" s="7"/>
      <c r="B1519" s="12"/>
      <c r="C1519" s="29"/>
      <c r="D1519" s="29"/>
      <c r="E1519" s="29"/>
      <c r="F1519" s="72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19"/>
      <c r="R1519" s="11"/>
    </row>
    <row r="1520" s="1" customFormat="1" ht="9.95" customHeight="1" spans="1:18">
      <c r="A1520" s="7"/>
      <c r="B1520" s="12"/>
      <c r="C1520" s="30"/>
      <c r="D1520" s="31"/>
      <c r="E1520" s="31"/>
      <c r="F1520" s="31"/>
      <c r="G1520" s="31"/>
      <c r="H1520" s="31"/>
      <c r="I1520" s="31"/>
      <c r="J1520" s="31"/>
      <c r="K1520" s="31"/>
      <c r="L1520" s="31"/>
      <c r="M1520" s="31"/>
      <c r="N1520" s="31"/>
      <c r="O1520" s="31"/>
      <c r="P1520" s="32"/>
      <c r="Q1520" s="19"/>
      <c r="R1520" s="11"/>
    </row>
    <row r="1521" s="1" customFormat="1" ht="21.95" customHeight="1" spans="1:19">
      <c r="A1521" s="7"/>
      <c r="B1521" s="12"/>
      <c r="C1521" s="73" t="s">
        <v>7</v>
      </c>
      <c r="D1521" s="13"/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74"/>
      <c r="Q1521" s="19"/>
      <c r="R1521" s="11"/>
      <c r="S1521" s="2"/>
    </row>
    <row r="1522" s="1" customFormat="1" ht="21.95" customHeight="1" spans="1:19">
      <c r="A1522" s="7"/>
      <c r="B1522" s="12"/>
      <c r="C1522" s="33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19"/>
      <c r="Q1522" s="19"/>
      <c r="R1522" s="11"/>
    </row>
    <row r="1523" s="1" customFormat="1" ht="21.95" customHeight="1" spans="1:19">
      <c r="A1523" s="7"/>
      <c r="B1523" s="12"/>
      <c r="C1523" s="75" t="str">
        <f>"SESSION-"&amp;ENTRY!$D$11</f>
        <v>SESSION-2026-27</v>
      </c>
      <c r="D1523" s="15"/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76"/>
      <c r="Q1523" s="19"/>
      <c r="R1523" s="11"/>
    </row>
    <row r="1524" s="1" customFormat="1" ht="18" customHeight="1" spans="1:19">
      <c r="A1524" s="7"/>
      <c r="B1524" s="12"/>
      <c r="C1524" s="33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19"/>
      <c r="Q1524" s="19"/>
      <c r="R1524" s="11"/>
    </row>
    <row r="1525" s="1" customFormat="1" ht="21.95" customHeight="1" spans="1:19">
      <c r="A1525" s="7"/>
      <c r="B1525" s="12"/>
      <c r="C1525" s="33"/>
      <c r="D1525" s="77" t="s">
        <v>758</v>
      </c>
      <c r="E1525" s="77"/>
      <c r="F1525" s="78" t="str">
        <f>IFERROR(PROPER(VLOOKUP(F1488,STUDENT!$A$2:$BP$101,5,0)),"")</f>
        <v>Kartik</v>
      </c>
      <c r="G1525" s="78"/>
      <c r="H1525" s="78"/>
      <c r="I1525" s="78"/>
      <c r="J1525" s="78"/>
      <c r="K1525" s="78"/>
      <c r="L1525" s="78"/>
      <c r="M1525" s="78"/>
      <c r="N1525" s="79" t="s">
        <v>759</v>
      </c>
      <c r="O1525" s="79"/>
      <c r="P1525" s="19"/>
      <c r="Q1525" s="19"/>
      <c r="R1525" s="11"/>
    </row>
    <row r="1526" s="1" customFormat="1" ht="21.95" customHeight="1" spans="1:19">
      <c r="A1526" s="7"/>
      <c r="B1526" s="12"/>
      <c r="C1526" s="33"/>
      <c r="D1526" s="80" t="s">
        <v>760</v>
      </c>
      <c r="E1526" s="81" t="str">
        <f>IFERROR(PROPER(VLOOKUP(F1488,STUDENT!$A$2:$BP$101,9,0)),"")</f>
        <v>Meena</v>
      </c>
      <c r="F1526" s="81"/>
      <c r="G1526" s="81"/>
      <c r="H1526" s="80" t="s">
        <v>761</v>
      </c>
      <c r="I1526" s="82" t="str">
        <f>IFERROR(PROPER(VLOOKUP(F1488,STUDENT!$A$2:$BP$101,8,0)),"")</f>
        <v>Sunil</v>
      </c>
      <c r="J1526" s="82"/>
      <c r="K1526" s="82"/>
      <c r="L1526" s="82"/>
      <c r="M1526" s="80" t="s">
        <v>762</v>
      </c>
      <c r="N1526" s="83" t="str">
        <f>IFERROR(VLOOKUP(F1488,STUDENT!$A$2:$BP$101,59,0),"")</f>
        <v/>
      </c>
      <c r="O1526" s="83"/>
      <c r="P1526" s="19"/>
      <c r="Q1526" s="19"/>
      <c r="R1526" s="11"/>
    </row>
    <row r="1527" s="1" customFormat="1" ht="21.95" customHeight="1" spans="1:19">
      <c r="A1527" s="7"/>
      <c r="B1527" s="12"/>
      <c r="C1527" s="33"/>
      <c r="D1527" s="77" t="str">
        <f>"has    completed     his  /  her     primary     level     education    in    the    year    "&amp;RIGHT(ENTRY!$D1493,4)&amp;"    from    ( School    Name )"</f>
        <v>has    completed     his  /  her     primary     level     education    in    the    year        from    ( School    Name )</v>
      </c>
      <c r="E1527" s="77"/>
      <c r="F1527" s="77"/>
      <c r="G1527" s="77"/>
      <c r="H1527" s="77"/>
      <c r="I1527" s="77"/>
      <c r="J1527" s="77"/>
      <c r="K1527" s="77"/>
      <c r="L1527" s="77"/>
      <c r="M1527" s="77"/>
      <c r="N1527" s="77"/>
      <c r="O1527" s="77"/>
      <c r="P1527" s="19"/>
      <c r="Q1527" s="19"/>
      <c r="R1527" s="11"/>
    </row>
    <row r="1528" s="1" customFormat="1" ht="21.95" customHeight="1" spans="1:19">
      <c r="A1528" s="7"/>
      <c r="B1528" s="12"/>
      <c r="C1528" s="33"/>
      <c r="D1528" s="81" t="str">
        <f>IF(F1488&gt;0,ENTRY!$D$6,"")</f>
        <v>MCP NITHARI NO 1 BOYS</v>
      </c>
      <c r="E1528" s="81"/>
      <c r="F1528" s="81"/>
      <c r="G1528" s="81"/>
      <c r="H1528" s="81"/>
      <c r="I1528" s="81"/>
      <c r="J1528" s="81"/>
      <c r="K1528" s="81"/>
      <c r="L1528" s="81"/>
      <c r="M1528" s="80" t="s">
        <v>763</v>
      </c>
      <c r="N1528" s="84">
        <f>IF(F1488&gt;0,ENTRY!$D$7,"")</f>
        <v>0</v>
      </c>
      <c r="O1528" s="84"/>
      <c r="P1528" s="85" t="s">
        <v>727</v>
      </c>
      <c r="Q1528" s="19"/>
      <c r="R1528" s="11"/>
    </row>
    <row r="1529" s="1" customFormat="1" ht="21.95" customHeight="1" spans="1:19">
      <c r="A1529" s="7"/>
      <c r="B1529" s="12"/>
      <c r="C1529" s="33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19"/>
      <c r="Q1529" s="19"/>
      <c r="R1529" s="11"/>
    </row>
    <row r="1530" s="1" customFormat="1" ht="21.95" customHeight="1" spans="1:19">
      <c r="A1530" s="7"/>
      <c r="B1530" s="12"/>
      <c r="C1530" s="33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19"/>
      <c r="Q1530" s="19"/>
      <c r="R1530" s="11"/>
    </row>
    <row r="1531" s="1" customFormat="1" ht="21.95" customHeight="1" spans="1:19">
      <c r="A1531" s="7"/>
      <c r="B1531" s="12"/>
      <c r="C1531" s="33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19"/>
      <c r="Q1531" s="19"/>
      <c r="R1531" s="11"/>
    </row>
    <row r="1532" s="1" customFormat="1" ht="21.95" customHeight="1" spans="1:19">
      <c r="A1532" s="7"/>
      <c r="B1532" s="12"/>
      <c r="C1532" s="33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19"/>
      <c r="Q1532" s="19"/>
      <c r="R1532" s="11"/>
    </row>
    <row r="1533" s="1" customFormat="1" ht="21.95" customHeight="1" spans="1:19">
      <c r="A1533" s="7"/>
      <c r="B1533" s="12"/>
      <c r="C1533" s="33"/>
      <c r="D1533" s="29"/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19"/>
      <c r="Q1533" s="19"/>
      <c r="R1533" s="11"/>
    </row>
    <row r="1534" s="1" customFormat="1" ht="21.95" customHeight="1" spans="1:19">
      <c r="A1534" s="7"/>
      <c r="B1534" s="12"/>
      <c r="C1534" s="33"/>
      <c r="D1534" s="80" t="s">
        <v>728</v>
      </c>
      <c r="E1534" s="86">
        <f>ENTRY!$D$27</f>
        <v>46102</v>
      </c>
      <c r="F1534" s="86"/>
      <c r="G1534" s="29"/>
      <c r="H1534" s="29"/>
      <c r="I1534" s="29"/>
      <c r="J1534" s="29"/>
      <c r="K1534" s="29"/>
      <c r="L1534" s="29"/>
      <c r="M1534" s="87" t="s">
        <v>730</v>
      </c>
      <c r="N1534" s="87"/>
      <c r="O1534" s="87"/>
      <c r="P1534" s="19"/>
      <c r="Q1534" s="19"/>
      <c r="R1534" s="11"/>
    </row>
    <row r="1535" s="1" customFormat="1" ht="21.95" customHeight="1" spans="1:19">
      <c r="A1535" s="7"/>
      <c r="B1535" s="12"/>
      <c r="C1535" s="33"/>
      <c r="D1535" s="80" t="s">
        <v>731</v>
      </c>
      <c r="E1535" s="88" t="str">
        <f>PROPER(ENTRY!$D$28)</f>
        <v>New Delhi</v>
      </c>
      <c r="F1535" s="88"/>
      <c r="G1535" s="29"/>
      <c r="H1535" s="29"/>
      <c r="I1535" s="29"/>
      <c r="J1535" s="29"/>
      <c r="K1535" s="29"/>
      <c r="L1535" s="29"/>
      <c r="M1535" s="89" t="s">
        <v>732</v>
      </c>
      <c r="N1535" s="89"/>
      <c r="O1535" s="89"/>
      <c r="P1535" s="19"/>
      <c r="Q1535" s="19"/>
      <c r="R1535" s="11"/>
    </row>
    <row r="1536" s="1" customFormat="1" ht="21.95" customHeight="1" spans="1:19">
      <c r="A1536" s="7"/>
      <c r="B1536" s="12"/>
      <c r="C1536" s="90"/>
      <c r="D1536" s="91"/>
      <c r="E1536" s="91"/>
      <c r="F1536" s="91"/>
      <c r="G1536" s="91"/>
      <c r="H1536" s="91"/>
      <c r="I1536" s="91"/>
      <c r="J1536" s="91"/>
      <c r="K1536" s="91"/>
      <c r="L1536" s="91"/>
      <c r="M1536" s="91"/>
      <c r="N1536" s="91"/>
      <c r="O1536" s="91"/>
      <c r="P1536" s="92"/>
      <c r="Q1536" s="14"/>
      <c r="R1536" s="11"/>
    </row>
    <row r="1537" s="1" customFormat="1" ht="5.1" customHeight="1" spans="1:18">
      <c r="A1537" s="7"/>
      <c r="B1537" s="90"/>
      <c r="C1537" s="91"/>
      <c r="D1537" s="91"/>
      <c r="E1537" s="91"/>
      <c r="F1537" s="91"/>
      <c r="G1537" s="91"/>
      <c r="H1537" s="91"/>
      <c r="I1537" s="91"/>
      <c r="J1537" s="91"/>
      <c r="K1537" s="91"/>
      <c r="L1537" s="91"/>
      <c r="M1537" s="91"/>
      <c r="N1537" s="91"/>
      <c r="O1537" s="91"/>
      <c r="P1537" s="91"/>
      <c r="Q1537" s="92"/>
      <c r="R1537" s="11"/>
    </row>
    <row r="1538" s="1" customFormat="1" ht="5.1" customHeight="1" spans="1:18">
      <c r="A1538" s="93"/>
      <c r="B1538" s="94"/>
      <c r="C1538" s="94"/>
      <c r="D1538" s="94"/>
      <c r="E1538" s="94"/>
      <c r="F1538" s="94"/>
      <c r="G1538" s="94"/>
      <c r="H1538" s="94"/>
      <c r="I1538" s="94"/>
      <c r="J1538" s="94"/>
      <c r="K1538" s="94"/>
      <c r="L1538" s="94"/>
      <c r="M1538" s="94"/>
      <c r="N1538" s="94"/>
      <c r="O1538" s="94"/>
      <c r="P1538" s="94"/>
      <c r="Q1538" s="94"/>
      <c r="R1538" s="95"/>
    </row>
    <row r="1539" s="2" customFormat="1" ht="9.95" customHeight="1"/>
    <row r="1540" s="1" customFormat="1" ht="5.1" customHeight="1" spans="1:18">
      <c r="A1540" s="4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6"/>
    </row>
    <row r="1541" s="1" customFormat="1" ht="15" customHeight="1" spans="1:18">
      <c r="A1541" s="7"/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9"/>
      <c r="O1541" s="9"/>
      <c r="P1541" s="9"/>
      <c r="Q1541" s="10"/>
      <c r="R1541" s="11"/>
    </row>
    <row r="1542" s="1" customFormat="1" ht="21.95" customHeight="1" spans="1:18">
      <c r="A1542" s="7"/>
      <c r="B1542" s="12"/>
      <c r="C1542" s="13" t="s">
        <v>7</v>
      </c>
      <c r="D1542" s="13"/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/>
      <c r="Q1542" s="14"/>
      <c r="R1542" s="11"/>
    </row>
    <row r="1543" s="1" customFormat="1" ht="21.95" customHeight="1" spans="1:18">
      <c r="A1543" s="7"/>
      <c r="B1543" s="1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14"/>
      <c r="R1543" s="11"/>
    </row>
    <row r="1544" s="1" customFormat="1" ht="21.95" customHeight="1" spans="1:18">
      <c r="A1544" s="7"/>
      <c r="B1544" s="12"/>
      <c r="C1544" s="15" t="str">
        <f>"SESSION-"&amp;ENTRY!$D$11</f>
        <v>SESSION-2026-27</v>
      </c>
      <c r="D1544" s="15"/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4"/>
      <c r="R1544" s="11"/>
    </row>
    <row r="1545" s="1" customFormat="1" ht="21.95" customHeight="1" spans="1:18">
      <c r="A1545" s="7"/>
      <c r="B1545" s="12"/>
      <c r="C1545" s="2"/>
      <c r="D1545" s="2"/>
      <c r="E1545" s="2"/>
      <c r="F1545" s="16">
        <f>F1488+1</f>
        <v>28</v>
      </c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14"/>
      <c r="R1545" s="11"/>
    </row>
    <row r="1546" s="1" customFormat="1" ht="21.95" customHeight="1" spans="1:18">
      <c r="A1546" s="7"/>
      <c r="B1546" s="12"/>
      <c r="C1546" s="17" t="s">
        <v>392</v>
      </c>
      <c r="D1546" s="17"/>
      <c r="E1546" s="17"/>
      <c r="F1546" s="18" t="str">
        <f>IF(F1545&gt;0,ENTRY!$D$6,"")</f>
        <v>MCP NITHARI NO 1 BOYS</v>
      </c>
      <c r="G1546" s="18"/>
      <c r="H1546" s="18"/>
      <c r="I1546" s="18"/>
      <c r="J1546" s="18"/>
      <c r="K1546" s="18"/>
      <c r="L1546" s="18"/>
      <c r="M1546" s="18"/>
      <c r="N1546" s="18"/>
      <c r="O1546" s="18"/>
      <c r="P1546" s="18"/>
      <c r="Q1546" s="19"/>
      <c r="R1546" s="11"/>
    </row>
    <row r="1547" s="1" customFormat="1" ht="21.95" customHeight="1" spans="1:18">
      <c r="A1547" s="7"/>
      <c r="B1547" s="12"/>
      <c r="C1547" s="17" t="s">
        <v>393</v>
      </c>
      <c r="D1547" s="17"/>
      <c r="E1547" s="17"/>
      <c r="F1547" s="18">
        <f>IF(F1545&gt;0,ENTRY!$D$7,"")</f>
        <v>0</v>
      </c>
      <c r="G1547" s="18"/>
      <c r="H1547" s="20" t="s">
        <v>702</v>
      </c>
      <c r="I1547" s="20"/>
      <c r="J1547" s="21">
        <f>IF(F1545&gt;0,ENTRY!$D$10,"")</f>
        <v>40</v>
      </c>
      <c r="K1547" s="20" t="s">
        <v>703</v>
      </c>
      <c r="L1547" s="22" t="str">
        <f>IF(F1545&gt;0,ENTRY!$D$5,"")</f>
        <v>ROHINI ZONE</v>
      </c>
      <c r="M1547" s="22"/>
      <c r="N1547" s="22"/>
      <c r="O1547" s="22"/>
      <c r="P1547" s="22"/>
      <c r="Q1547" s="19"/>
      <c r="R1547" s="11"/>
    </row>
    <row r="1548" s="1" customFormat="1" ht="21.95" customHeight="1" spans="1:18">
      <c r="A1548" s="7"/>
      <c r="B1548" s="12"/>
      <c r="C1548" s="17" t="s">
        <v>706</v>
      </c>
      <c r="D1548" s="17"/>
      <c r="E1548" s="17"/>
      <c r="F1548" s="23" t="str">
        <f>IFERROR(VLOOKUP(F1545,STUDENT!$A$2:$BP$101,5,0),"")</f>
        <v>ABDUL REHMAN</v>
      </c>
      <c r="G1548" s="23"/>
      <c r="H1548" s="23"/>
      <c r="I1548" s="23"/>
      <c r="J1548" s="23"/>
      <c r="K1548" s="23"/>
      <c r="L1548" s="20" t="s">
        <v>707</v>
      </c>
      <c r="M1548" s="20"/>
      <c r="N1548" s="24" t="str">
        <f>IF(F1545&gt;0,ENTRY!$D$20&amp;"-"&amp;ENTRY!$D$21,"")</f>
        <v>III-A</v>
      </c>
      <c r="O1548" s="24"/>
      <c r="P1548" s="24"/>
      <c r="Q1548" s="19"/>
      <c r="R1548" s="11"/>
    </row>
    <row r="1549" s="1" customFormat="1" ht="21.95" customHeight="1" spans="1:18">
      <c r="A1549" s="7"/>
      <c r="B1549" s="12"/>
      <c r="C1549" s="17" t="s">
        <v>708</v>
      </c>
      <c r="D1549" s="17"/>
      <c r="E1549" s="17"/>
      <c r="F1549" s="25">
        <f>IFERROR(VLOOKUP(F1545,STUDENT!$A$2:$BP$101,6,0),"")</f>
        <v>14999</v>
      </c>
      <c r="G1549" s="25"/>
      <c r="H1549" s="26" t="s">
        <v>709</v>
      </c>
      <c r="I1549" s="27" t="str">
        <f>IFERROR(VLOOKUP(F1545,STUDENT!$A$2:$BP$101,59,0),"")</f>
        <v/>
      </c>
      <c r="J1549" s="27"/>
      <c r="K1549" s="20" t="s">
        <v>710</v>
      </c>
      <c r="L1549" s="20"/>
      <c r="M1549" s="28">
        <f>IFERROR(VLOOKUP(F1545,STUDENT!$A$2:$BP$101,20,0),"")</f>
        <v>8527438978</v>
      </c>
      <c r="N1549" s="28"/>
      <c r="O1549" s="28"/>
      <c r="P1549" s="28"/>
      <c r="Q1549" s="19"/>
      <c r="R1549" s="11"/>
    </row>
    <row r="1550" s="1" customFormat="1" ht="21.95" customHeight="1" spans="1:18">
      <c r="A1550" s="7"/>
      <c r="B1550" s="12"/>
      <c r="C1550" s="17" t="s">
        <v>711</v>
      </c>
      <c r="D1550" s="17"/>
      <c r="E1550" s="17"/>
      <c r="F1550" s="23" t="str">
        <f>IFERROR(VLOOKUP(F1545,STUDENT!$A$2:$BP$101,9,0),"")</f>
        <v>SHAIN PRVEEN</v>
      </c>
      <c r="G1550" s="23"/>
      <c r="H1550" s="23"/>
      <c r="I1550" s="23"/>
      <c r="J1550" s="17" t="s">
        <v>620</v>
      </c>
      <c r="K1550" s="17"/>
      <c r="L1550" s="23" t="str">
        <f>IFERROR(VLOOKUP(F1545,STUDENT!$A$2:$BP$101,8,0),"")</f>
        <v>MD LAL BABU</v>
      </c>
      <c r="M1550" s="23"/>
      <c r="N1550" s="23"/>
      <c r="O1550" s="23"/>
      <c r="P1550" s="23"/>
      <c r="Q1550" s="19"/>
      <c r="R1550" s="11"/>
    </row>
    <row r="1551" s="1" customFormat="1" ht="21.95" customHeight="1" spans="1:18">
      <c r="A1551" s="7"/>
      <c r="B1551" s="12"/>
      <c r="C1551" s="17" t="s">
        <v>712</v>
      </c>
      <c r="D1551" s="17"/>
      <c r="E1551" s="17"/>
      <c r="F1551" s="23" t="str">
        <f>IFERROR(VLOOKUP(F1545,STUDENT!$A$2:$BP$101,22,0),"")</f>
        <v>PLOT NO. 248-A KH.NO 861 BLOCK -A HARI ENCLAVE PHASE -1 KIRARI</v>
      </c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19"/>
      <c r="R1551" s="11"/>
    </row>
    <row r="1552" s="1" customFormat="1" ht="9.95" customHeight="1" spans="1:18">
      <c r="A1552" s="7"/>
      <c r="B1552" s="12"/>
      <c r="C1552" s="29"/>
      <c r="D1552" s="29"/>
      <c r="E1552" s="29"/>
      <c r="F1552" s="29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19"/>
      <c r="R1552" s="11"/>
    </row>
    <row r="1553" s="1" customFormat="1" ht="9.95" customHeight="1" spans="1:18">
      <c r="A1553" s="7"/>
      <c r="B1553" s="12"/>
      <c r="C1553" s="30"/>
      <c r="D1553" s="31"/>
      <c r="E1553" s="31"/>
      <c r="F1553" s="31"/>
      <c r="G1553" s="31"/>
      <c r="H1553" s="31"/>
      <c r="I1553" s="31"/>
      <c r="J1553" s="31"/>
      <c r="K1553" s="31"/>
      <c r="L1553" s="31"/>
      <c r="M1553" s="31"/>
      <c r="N1553" s="31"/>
      <c r="O1553" s="31"/>
      <c r="P1553" s="32"/>
      <c r="Q1553" s="19"/>
      <c r="R1553" s="11"/>
    </row>
    <row r="1554" s="1" customFormat="1" ht="21.95" customHeight="1" spans="1:18">
      <c r="A1554" s="7"/>
      <c r="B1554" s="12"/>
      <c r="C1554" s="33"/>
      <c r="D1554" s="34" t="s">
        <v>713</v>
      </c>
      <c r="E1554" s="20" t="s">
        <v>714</v>
      </c>
      <c r="F1554" s="35" t="str">
        <f>"Level - "&amp;IFERROR(VLOOKUP(F1545,FLN!$A$4:$K$103,9,0),"")</f>
        <v>Level - 2</v>
      </c>
      <c r="G1554" s="36"/>
      <c r="H1554" s="37" t="s">
        <v>715</v>
      </c>
      <c r="I1554" s="20"/>
      <c r="J1554" s="35" t="str">
        <f>"Level - "&amp;IFERROR(VLOOKUP(F1545,FLN!$A$4:$K$103,11,0),"")</f>
        <v>Level - 3</v>
      </c>
      <c r="K1554" s="36"/>
      <c r="L1554" s="37" t="s">
        <v>408</v>
      </c>
      <c r="M1554" s="20"/>
      <c r="N1554" s="35" t="str">
        <f>"Level - "&amp;IFERROR(VLOOKUP(F1545,FLN!$A$4:$K$103,10,0),"")</f>
        <v>Level - 2</v>
      </c>
      <c r="O1554" s="36"/>
      <c r="P1554" s="19"/>
      <c r="Q1554" s="19"/>
      <c r="R1554" s="11"/>
    </row>
    <row r="1555" s="1" customFormat="1" ht="21.95" customHeight="1" spans="1:18">
      <c r="A1555" s="7"/>
      <c r="B1555" s="12"/>
      <c r="C1555" s="33"/>
      <c r="D1555" s="38"/>
      <c r="E1555" s="20" t="s">
        <v>716</v>
      </c>
      <c r="F1555" s="18" t="str">
        <f ca="1">IF(L1569&gt;197,"PERFORMED WELL","")</f>
        <v/>
      </c>
      <c r="G1555" s="18"/>
      <c r="H1555" s="18"/>
      <c r="I1555" s="18"/>
      <c r="J1555" s="18"/>
      <c r="K1555" s="18"/>
      <c r="L1555" s="18"/>
      <c r="M1555" s="18"/>
      <c r="N1555" s="18"/>
      <c r="O1555" s="18"/>
      <c r="P1555" s="19"/>
      <c r="Q1555" s="19"/>
      <c r="R1555" s="11"/>
    </row>
    <row r="1556" s="1" customFormat="1" ht="9.95" customHeight="1" spans="1:18">
      <c r="A1556" s="7"/>
      <c r="B1556" s="12"/>
      <c r="C1556" s="39"/>
      <c r="D1556" s="40"/>
      <c r="E1556" s="40"/>
      <c r="F1556" s="40"/>
      <c r="G1556" s="40"/>
      <c r="H1556" s="40"/>
      <c r="I1556" s="40"/>
      <c r="J1556" s="40"/>
      <c r="K1556" s="40"/>
      <c r="L1556" s="40"/>
      <c r="M1556" s="40"/>
      <c r="N1556" s="40"/>
      <c r="O1556" s="40"/>
      <c r="P1556" s="41"/>
      <c r="Q1556" s="19"/>
      <c r="R1556" s="11"/>
    </row>
    <row r="1557" s="1" customFormat="1" ht="9.95" customHeight="1" spans="1:18">
      <c r="A1557" s="7"/>
      <c r="B1557" s="12"/>
      <c r="C1557" s="29"/>
      <c r="D1557" s="29"/>
      <c r="E1557" s="29"/>
      <c r="F1557" s="29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19"/>
      <c r="R1557" s="11"/>
    </row>
    <row r="1558" s="1" customFormat="1" ht="9.95" customHeight="1" spans="1:18">
      <c r="A1558" s="7"/>
      <c r="B1558" s="12"/>
      <c r="C1558" s="30"/>
      <c r="D1558" s="31"/>
      <c r="E1558" s="31"/>
      <c r="F1558" s="31"/>
      <c r="G1558" s="31"/>
      <c r="H1558" s="31"/>
      <c r="I1558" s="31"/>
      <c r="J1558" s="31"/>
      <c r="K1558" s="31"/>
      <c r="L1558" s="31"/>
      <c r="M1558" s="31"/>
      <c r="N1558" s="31"/>
      <c r="O1558" s="31"/>
      <c r="P1558" s="32"/>
      <c r="Q1558" s="19"/>
      <c r="R1558" s="11"/>
    </row>
    <row r="1559" s="1" customFormat="1" ht="21.95" customHeight="1" spans="1:18">
      <c r="A1559" s="7"/>
      <c r="B1559" s="12"/>
      <c r="C1559" s="33"/>
      <c r="D1559" s="35"/>
      <c r="E1559" s="24"/>
      <c r="F1559" s="42" t="s">
        <v>717</v>
      </c>
      <c r="G1559" s="42"/>
      <c r="H1559" s="42"/>
      <c r="I1559" s="42"/>
      <c r="J1559" s="42"/>
      <c r="K1559" s="42"/>
      <c r="L1559" s="43"/>
      <c r="M1559" s="44"/>
      <c r="N1559" s="29"/>
      <c r="O1559" s="29"/>
      <c r="P1559" s="19"/>
      <c r="Q1559" s="19"/>
      <c r="R1559" s="11"/>
    </row>
    <row r="1560" s="1" customFormat="1" ht="21.95" customHeight="1" spans="1:18">
      <c r="A1560" s="7"/>
      <c r="B1560" s="12"/>
      <c r="C1560" s="33"/>
      <c r="D1560" s="45"/>
      <c r="E1560" s="46"/>
      <c r="F1560" s="47" t="s">
        <v>541</v>
      </c>
      <c r="G1560" s="47" t="s">
        <v>542</v>
      </c>
      <c r="H1560" s="47" t="s">
        <v>543</v>
      </c>
      <c r="I1560" s="47" t="s">
        <v>544</v>
      </c>
      <c r="J1560" s="47" t="s">
        <v>561</v>
      </c>
      <c r="K1560" s="48" t="s">
        <v>750</v>
      </c>
      <c r="L1560" s="47" t="s">
        <v>382</v>
      </c>
      <c r="M1560" s="49" t="s">
        <v>546</v>
      </c>
      <c r="N1560" s="29"/>
      <c r="O1560" s="29"/>
      <c r="P1560" s="19"/>
      <c r="Q1560" s="19"/>
      <c r="R1560" s="11"/>
    </row>
    <row r="1561" s="1" customFormat="1" ht="21.95" customHeight="1" spans="1:18">
      <c r="A1561" s="7"/>
      <c r="B1561" s="12"/>
      <c r="C1561" s="33"/>
      <c r="D1561" s="45" t="s">
        <v>652</v>
      </c>
      <c r="E1561" s="46"/>
      <c r="F1561" s="50">
        <v>10</v>
      </c>
      <c r="G1561" s="50">
        <v>10</v>
      </c>
      <c r="H1561" s="50">
        <v>10</v>
      </c>
      <c r="I1561" s="50">
        <v>10</v>
      </c>
      <c r="J1561" s="50">
        <v>60</v>
      </c>
      <c r="K1561" s="51"/>
      <c r="L1561" s="50">
        <v>100</v>
      </c>
      <c r="M1561" s="49"/>
      <c r="N1561" s="29"/>
      <c r="O1561" s="29"/>
      <c r="P1561" s="19"/>
      <c r="Q1561" s="19"/>
      <c r="R1561" s="11"/>
    </row>
    <row r="1562" s="1" customFormat="1" ht="21.95" customHeight="1" spans="1:18">
      <c r="A1562" s="7"/>
      <c r="B1562" s="12"/>
      <c r="C1562" s="33"/>
      <c r="D1562" s="52" t="s">
        <v>751</v>
      </c>
      <c r="E1562" s="53"/>
      <c r="F1562" s="54">
        <f ca="1">IFERROR(VLOOKUP(F1545,'RR-3.1-5TH'!$A$12:'RR-3.1-5TH'!$BN$111,9,0),"")</f>
        <v>1</v>
      </c>
      <c r="G1562" s="54">
        <f ca="1">IFERROR(VLOOKUP(F1545,'RR-3.1-5TH'!$A$12:'RR-3.1-5TH'!$BN$111,10,0),"")</f>
        <v>0</v>
      </c>
      <c r="H1562" s="54">
        <f ca="1">IFERROR(VLOOKUP(F1545,'RR-3.1-5TH'!$A$12:'RR-3.1-5TH'!$BN$111,11,0),"")</f>
        <v>0</v>
      </c>
      <c r="I1562" s="54">
        <f ca="1">IFERROR(VLOOKUP(F1545,'RR-3.1-5TH'!$A$12:'RR-3.1-5TH'!$BN$111,12,0),"")</f>
        <v>0</v>
      </c>
      <c r="J1562" s="54">
        <f ca="1">IFERROR(VLOOKUP(F1545,'RR-3.1-5TH'!$A$12:'RR-3.1-5TH'!$BN$111,13,0),"")</f>
        <v>31</v>
      </c>
      <c r="K1562" s="54">
        <f ca="1">IFERROR(VLOOKUP(F1545,'RR-3.1-5TH'!$A$12:'RR-3.1-5TH'!$BN$111,14,0),"")</f>
        <v>0</v>
      </c>
      <c r="L1562" s="55">
        <f ca="1" t="shared" ref="L1562:L1567" si="81">SUM(F1562,G1562,H1562,I1562,J1562,K1562)</f>
        <v>32</v>
      </c>
      <c r="M1562" s="56" t="str">
        <f ca="1">IF(F1545&gt;ENTRY!$D$24,"",IF(L1562=0,"Ab",IF(L1562&gt;80,"A",IF(L1562&gt;60,"B",IF(L1562&gt;44,"C",IF(L1562&gt;=33,"D",IF(L1562&lt;=32,"E","")))))))</f>
        <v>E</v>
      </c>
      <c r="N1562" s="57" t="s">
        <v>729</v>
      </c>
      <c r="O1562" s="58"/>
      <c r="P1562" s="59"/>
      <c r="Q1562" s="19"/>
      <c r="R1562" s="11"/>
    </row>
    <row r="1563" s="1" customFormat="1" ht="21.95" customHeight="1" spans="1:18">
      <c r="A1563" s="7"/>
      <c r="B1563" s="12"/>
      <c r="C1563" s="33"/>
      <c r="D1563" s="52" t="s">
        <v>513</v>
      </c>
      <c r="E1563" s="53"/>
      <c r="F1563" s="54">
        <f ca="1">IFERROR(VLOOKUP(F1545,'RR-3.1-5TH'!$A$12:'RR-3.1-5TH'!$BN$111,17,0),"")</f>
        <v>2</v>
      </c>
      <c r="G1563" s="54">
        <f ca="1">IFERROR(VLOOKUP(F1545,'RR-3.1-5TH'!$A$12:'RR-3.1-5TH'!$BN$111,18,0),"")</f>
        <v>0</v>
      </c>
      <c r="H1563" s="54">
        <f ca="1">IFERROR(VLOOKUP(F1545,'RR-3.1-5TH'!$A$12:'RR-3.1-5TH'!$BN$111,19,0),"")</f>
        <v>0</v>
      </c>
      <c r="I1563" s="54">
        <f ca="1">IFERROR(VLOOKUP(F1545,'RR-3.1-5TH'!$A$12:'RR-3.1-5TH'!$BN$111,20,0),"")</f>
        <v>0</v>
      </c>
      <c r="J1563" s="54">
        <f ca="1">IFERROR(VLOOKUP(F1545,'RR-3.1-5TH'!$A$12:'RR-3.1-5TH'!$BN$111,21,0),"")</f>
        <v>11</v>
      </c>
      <c r="K1563" s="54">
        <f ca="1">IFERROR(VLOOKUP(F1545,'RR-3.1-5TH'!$A$12:'RR-3.1-5TH'!$BN$111,22,0),"")</f>
        <v>0</v>
      </c>
      <c r="L1563" s="55">
        <f ca="1" t="shared" si="81"/>
        <v>13</v>
      </c>
      <c r="M1563" s="56" t="str">
        <f ca="1">IF(F1545&gt;ENTRY!$D$24,"",IF(L1563=0,"Ab",IF(L1563&gt;80,"A",IF(L1563&gt;60,"B",IF(L1563&gt;44,"C",IF(L1563&gt;=33,"D",IF(L1563&lt;=32,"E","")))))))</f>
        <v>E</v>
      </c>
      <c r="N1563" s="58"/>
      <c r="O1563" s="58"/>
      <c r="P1563" s="59"/>
      <c r="Q1563" s="19"/>
      <c r="R1563" s="11"/>
    </row>
    <row r="1564" s="1" customFormat="1" ht="21.95" customHeight="1" spans="1:18">
      <c r="A1564" s="7"/>
      <c r="B1564" s="12"/>
      <c r="C1564" s="33"/>
      <c r="D1564" s="52" t="s">
        <v>718</v>
      </c>
      <c r="E1564" s="53"/>
      <c r="F1564" s="54">
        <f ca="1">IFERROR(VLOOKUP(F1545,'RR-3.1-5TH'!$A$12:'RR-3.1-5TH'!$BN$111,25,0),"")</f>
        <v>1</v>
      </c>
      <c r="G1564" s="54">
        <f ca="1">IFERROR(VLOOKUP(F1545,'RR-3.1-5TH'!$A$12:'RR-3.1-5TH'!$BN$111,26,0),"")</f>
        <v>0</v>
      </c>
      <c r="H1564" s="54">
        <f ca="1">IFERROR(VLOOKUP(F1545,'RR-3.1-5TH'!$A$12:'RR-3.1-5TH'!$BN$111,27,0),"")</f>
        <v>0</v>
      </c>
      <c r="I1564" s="54">
        <f ca="1">IFERROR(VLOOKUP(F1545,'RR-3.1-5TH'!$A$12:'RR-3.1-5TH'!$BN$111,28,0),"")</f>
        <v>0</v>
      </c>
      <c r="J1564" s="54">
        <f ca="1">IFERROR(VLOOKUP(F1545,'RR-3.1-5TH'!$A$12:'RR-3.1-5TH'!$BN$111,29,0),"")</f>
        <v>11</v>
      </c>
      <c r="K1564" s="54">
        <f ca="1">IFERROR(VLOOKUP(F1545,'RR-3.1-5TH'!$A$12:'RR-3.1-5TH'!$BN$111,30,0),"")</f>
        <v>0</v>
      </c>
      <c r="L1564" s="55">
        <f ca="1" t="shared" si="81"/>
        <v>12</v>
      </c>
      <c r="M1564" s="56" t="str">
        <f ca="1">IF(F1545&gt;ENTRY!$D$24,"",IF(L1564=0,"Ab",IF(L1564&gt;80,"A",IF(L1564&gt;60,"B",IF(L1564&gt;44,"C",IF(L1564&gt;=33,"D",IF(L1564&lt;=32,"E","")))))))</f>
        <v>E</v>
      </c>
      <c r="N1564" s="29"/>
      <c r="O1564" s="29"/>
      <c r="P1564" s="19"/>
      <c r="Q1564" s="19"/>
      <c r="R1564" s="11"/>
    </row>
    <row r="1565" s="1" customFormat="1" ht="21.95" customHeight="1" spans="1:18">
      <c r="A1565" s="7"/>
      <c r="B1565" s="12"/>
      <c r="C1565" s="33"/>
      <c r="D1565" s="52" t="s">
        <v>719</v>
      </c>
      <c r="E1565" s="53"/>
      <c r="F1565" s="54">
        <f ca="1">IFERROR(VLOOKUP(F1545,'RR-3.1-5TH'!$A$12:'RR-3.1-5TH'!$BN$111,33,0),"")</f>
        <v>1</v>
      </c>
      <c r="G1565" s="54">
        <f ca="1">IFERROR(VLOOKUP(F1545,'RR-3.1-5TH'!$A$12:'RR-3.1-5TH'!$BN$111,34,0),"")</f>
        <v>0</v>
      </c>
      <c r="H1565" s="54">
        <f ca="1">IFERROR(VLOOKUP(F1545,'RR-3.1-5TH'!$A$12:'RR-3.1-5TH'!$BN$111,35,0),"")</f>
        <v>0</v>
      </c>
      <c r="I1565" s="54">
        <f ca="1">IFERROR(VLOOKUP(F1545,'RR-3.1-5TH'!$A$12:'RR-3.1-5TH'!$BN$111,36,0),"")</f>
        <v>0</v>
      </c>
      <c r="J1565" s="54">
        <f ca="1">IFERROR(VLOOKUP(F1545,'RR-3.1-5TH'!$A$12:'RR-3.1-5TH'!$BN$111,37,0),"")</f>
        <v>13</v>
      </c>
      <c r="K1565" s="54">
        <f ca="1">IFERROR(VLOOKUP(F1545,'RR-3.1-5TH'!$A$12:'RR-3.1-5TH'!$BN$111,38,0),"")</f>
        <v>0</v>
      </c>
      <c r="L1565" s="55">
        <f ca="1" t="shared" si="81"/>
        <v>14</v>
      </c>
      <c r="M1565" s="56" t="str">
        <f ca="1">IF(F1545&gt;ENTRY!$D$24,"",IF(L1565=0,"Ab",IF(L1565&gt;80,"A",IF(L1565&gt;60,"B",IF(L1565&gt;44,"C",IF(L1565&gt;=33,"D",IF(L1565&lt;=32,"E","")))))))</f>
        <v>E</v>
      </c>
      <c r="N1565" s="29"/>
      <c r="O1565" s="29"/>
      <c r="P1565" s="19"/>
      <c r="Q1565" s="19"/>
      <c r="R1565" s="11"/>
    </row>
    <row r="1566" s="1" customFormat="1" ht="21.95" customHeight="1" spans="1:18">
      <c r="A1566" s="7"/>
      <c r="B1566" s="12"/>
      <c r="C1566" s="33"/>
      <c r="D1566" s="52" t="s">
        <v>548</v>
      </c>
      <c r="E1566" s="53"/>
      <c r="F1566" s="54">
        <f ca="1">IFERROR(VLOOKUP(F1545,'RR-3.1-5TH'!$A$12:'RR-3.1-5TH'!$BN$111,41,0),"")</f>
        <v>0</v>
      </c>
      <c r="G1566" s="54">
        <f ca="1">IFERROR(VLOOKUP(F1545,'RR-3.1-5TH'!$A$12:'RR-3.1-5TH'!$BN$111,42,0),"")</f>
        <v>0</v>
      </c>
      <c r="H1566" s="54">
        <f ca="1">IFERROR(VLOOKUP(F1545,'RR-3.1-5TH'!$A$12:'RR-3.1-5TH'!$BN$111,43,0),"")</f>
        <v>0</v>
      </c>
      <c r="I1566" s="54">
        <f ca="1">IFERROR(VLOOKUP(F1545,'RR-3.1-5TH'!$A$12:'RR-3.1-5TH'!$BN$111,44,0),"")</f>
        <v>0</v>
      </c>
      <c r="J1566" s="54">
        <f ca="1">IFERROR(VLOOKUP(F1545,'RR-3.1-5TH'!$A$12:'RR-3.1-5TH'!$BN$111,45,0),"")</f>
        <v>16</v>
      </c>
      <c r="K1566" s="54">
        <f ca="1">IFERROR(VLOOKUP(F1545,'RR-3.1-5TH'!$A$12:'RR-3.1-5TH'!$BN$111,46,0),"")</f>
        <v>0</v>
      </c>
      <c r="L1566" s="55">
        <f ca="1" t="shared" si="81"/>
        <v>16</v>
      </c>
      <c r="M1566" s="56" t="str">
        <f ca="1">IF(F1545&gt;ENTRY!$D$24,"",IF(L1566=0,"Ab",IF(L1566&gt;80,"A",IF(L1566&gt;60,"B",IF(L1566&gt;44,"C",IF(L1566&gt;=33,"D",IF(L1566&lt;=32,"E","")))))))</f>
        <v>E</v>
      </c>
      <c r="N1566" s="29"/>
      <c r="O1566" s="29"/>
      <c r="P1566" s="19"/>
      <c r="Q1566" s="19"/>
      <c r="R1566" s="11"/>
    </row>
    <row r="1567" s="1" customFormat="1" ht="21.95" customHeight="1" spans="1:18">
      <c r="A1567" s="7"/>
      <c r="B1567" s="12"/>
      <c r="C1567" s="33"/>
      <c r="D1567" s="52" t="s">
        <v>549</v>
      </c>
      <c r="E1567" s="53"/>
      <c r="F1567" s="54">
        <f ca="1">IFERROR(VLOOKUP(F1545,'RR-3.1-5TH'!$A$12:'RR-3.1-5TH'!$BN$111,49,0),"")</f>
        <v>2</v>
      </c>
      <c r="G1567" s="54">
        <f ca="1">IFERROR(VLOOKUP(F1545,'RR-3.1-5TH'!$A$12:'RR-3.1-5TH'!$BN$111,50,0),"")</f>
        <v>0</v>
      </c>
      <c r="H1567" s="54">
        <f ca="1">IFERROR(VLOOKUP(F1545,'RR-3.1-5TH'!$A$12:'RR-3.1-5TH'!$BN$111,51,0),"")</f>
        <v>0</v>
      </c>
      <c r="I1567" s="54">
        <f ca="1">IFERROR(VLOOKUP(F1545,'RR-3.1-5TH'!$A$12:'RR-3.1-5TH'!$BN$111,52,0),"")</f>
        <v>0</v>
      </c>
      <c r="J1567" s="54">
        <f ca="1">IFERROR(VLOOKUP(F1545,'RR-3.1-5TH'!$A$12:'RR-3.1-5TH'!$BN$111,53,0),"")</f>
        <v>13</v>
      </c>
      <c r="K1567" s="54">
        <f ca="1">IFERROR(VLOOKUP(F1545,'RR-3.1-5TH'!$A$12:'RR-3.1-5TH'!$BN$111,54,0),"")</f>
        <v>0</v>
      </c>
      <c r="L1567" s="55">
        <f ca="1" t="shared" si="81"/>
        <v>15</v>
      </c>
      <c r="M1567" s="56" t="str">
        <f ca="1">IF(F1545&gt;ENTRY!$D$24,"",IF(L1567=0,"Ab",IF(L1567&gt;80,"A",IF(L1567&gt;60,"B",IF(L1567&gt;44,"C",IF(L1567&gt;=33,"D",IF(L1567&lt;=32,"E","")))))))</f>
        <v>E</v>
      </c>
      <c r="N1567" s="57" t="s">
        <v>752</v>
      </c>
      <c r="O1567" s="58"/>
      <c r="P1567" s="59"/>
      <c r="Q1567" s="19"/>
      <c r="R1567" s="11"/>
    </row>
    <row r="1568" s="1" customFormat="1" ht="21.95" customHeight="1" spans="1:18">
      <c r="A1568" s="7"/>
      <c r="B1568" s="12"/>
      <c r="C1568" s="33"/>
      <c r="D1568" s="52" t="s">
        <v>753</v>
      </c>
      <c r="E1568" s="53"/>
      <c r="F1568" s="60"/>
      <c r="G1568" s="54"/>
      <c r="H1568" s="54"/>
      <c r="I1568" s="54"/>
      <c r="J1568" s="54"/>
      <c r="K1568" s="54"/>
      <c r="L1568" s="55">
        <f t="shared" ref="L1568" si="82">SUM(G1568:K1568)</f>
        <v>0</v>
      </c>
      <c r="M1568" s="56" t="str">
        <f>IF(F1545&gt;ENTRY!$D$24,"",IF(L1568=0,"",IF(L1568&gt;79,"A",IF(L1568&gt;59,"B",IF(L1568&gt;44,"C",IF(L1568&gt;=33,"D",IF(L1568&lt;=32,"E","")))))))</f>
        <v/>
      </c>
      <c r="N1568" s="58"/>
      <c r="O1568" s="58"/>
      <c r="P1568" s="59"/>
      <c r="Q1568" s="19"/>
      <c r="R1568" s="11"/>
    </row>
    <row r="1569" s="1" customFormat="1" ht="21.95" customHeight="1" spans="1:19">
      <c r="A1569" s="7"/>
      <c r="B1569" s="12"/>
      <c r="C1569" s="33"/>
      <c r="D1569" s="45" t="s">
        <v>382</v>
      </c>
      <c r="E1569" s="46"/>
      <c r="F1569" s="54">
        <f ca="1" t="shared" ref="F1569:L1569" si="83">IFERROR(SUM(F1562:F1568),"")</f>
        <v>7</v>
      </c>
      <c r="G1569" s="54">
        <f ca="1" t="shared" si="83"/>
        <v>0</v>
      </c>
      <c r="H1569" s="54">
        <f ca="1" t="shared" si="83"/>
        <v>0</v>
      </c>
      <c r="I1569" s="54">
        <f ca="1" t="shared" si="83"/>
        <v>0</v>
      </c>
      <c r="J1569" s="54">
        <f ca="1" t="shared" si="83"/>
        <v>95</v>
      </c>
      <c r="K1569" s="54">
        <f ca="1" t="shared" si="83"/>
        <v>0</v>
      </c>
      <c r="L1569" s="55">
        <f ca="1" t="shared" si="83"/>
        <v>102</v>
      </c>
      <c r="M1569" s="61" t="str">
        <f ca="1">IF(F1545&gt;ENTRY!$D$24,"",IF(N1570="Ab","Ab",IF(N1570&gt;79.5,"A",IF(N1570&gt;59.5,"B",IF(N1570&gt;44.5,"C",IF(N1570&gt;=33,"D",IF(N1570&lt;33,"E","")))))))</f>
        <v>E</v>
      </c>
      <c r="N1569" s="62"/>
      <c r="O1569" s="58"/>
      <c r="P1569" s="59"/>
      <c r="Q1569" s="19"/>
      <c r="R1569" s="11"/>
    </row>
    <row r="1570" s="1" customFormat="1" ht="21.95" customHeight="1" spans="1:19">
      <c r="A1570" s="7"/>
      <c r="B1570" s="12"/>
      <c r="C1570" s="33"/>
      <c r="D1570" s="63" t="s">
        <v>721</v>
      </c>
      <c r="E1570" s="63"/>
      <c r="F1570" s="63"/>
      <c r="G1570" s="63"/>
      <c r="H1570" s="63"/>
      <c r="I1570" s="63"/>
      <c r="J1570" s="63"/>
      <c r="K1570" s="63"/>
      <c r="L1570" s="63"/>
      <c r="M1570" s="63"/>
      <c r="N1570" s="64">
        <f ca="1">IF(L1569="Ab","Ab",L1569/6)</f>
        <v>17</v>
      </c>
      <c r="O1570" s="65"/>
      <c r="P1570" s="19"/>
      <c r="Q1570" s="19"/>
      <c r="R1570" s="11"/>
    </row>
    <row r="1571" s="1" customFormat="1" ht="21.95" customHeight="1" spans="1:19">
      <c r="A1571" s="7"/>
      <c r="B1571" s="12"/>
      <c r="C1571" s="33"/>
      <c r="D1571" s="29" t="s">
        <v>716</v>
      </c>
      <c r="E1571" s="18" t="str">
        <f>IFERROR(VLOOKUP(F1545,'1to4-2.1-RR'!$A$12:$BG$111,57,0),"")</f>
        <v>PROMOTED</v>
      </c>
      <c r="F1571" s="18"/>
      <c r="G1571" s="18"/>
      <c r="H1571" s="18"/>
      <c r="I1571" s="18"/>
      <c r="J1571" s="18"/>
      <c r="K1571" s="18"/>
      <c r="L1571" s="18"/>
      <c r="M1571" s="18"/>
      <c r="N1571" s="29"/>
      <c r="O1571" s="29"/>
      <c r="P1571" s="19"/>
      <c r="Q1571" s="19"/>
      <c r="R1571" s="11"/>
    </row>
    <row r="1572" s="1" customFormat="1" ht="9.95" customHeight="1" spans="1:19">
      <c r="A1572" s="7"/>
      <c r="B1572" s="12"/>
      <c r="C1572" s="33"/>
      <c r="D1572" s="29"/>
      <c r="E1572" s="29"/>
      <c r="F1572" s="29"/>
      <c r="G1572" s="29"/>
      <c r="H1572" s="29"/>
      <c r="I1572" s="29"/>
      <c r="J1572" s="29"/>
      <c r="K1572" s="29"/>
      <c r="L1572" s="29"/>
      <c r="M1572" s="29"/>
      <c r="N1572" s="29"/>
      <c r="O1572" s="29"/>
      <c r="P1572" s="19"/>
      <c r="Q1572" s="19"/>
      <c r="R1572" s="11"/>
    </row>
    <row r="1573" s="1" customFormat="1" ht="36" spans="1:19">
      <c r="A1573" s="7"/>
      <c r="B1573" s="12"/>
      <c r="C1573" s="33"/>
      <c r="D1573" s="66" t="s">
        <v>576</v>
      </c>
      <c r="E1573" s="67" t="s">
        <v>754</v>
      </c>
      <c r="F1573" s="47">
        <f>IF(F1545&gt;ENTRY!$D$24,"",IFERROR(VLOOKUP(F1545,PASHEET!$A$4:$CJ$103,88,0),""))</f>
        <v>0</v>
      </c>
      <c r="G1573" s="67" t="s">
        <v>755</v>
      </c>
      <c r="H1573" s="47">
        <f>IF(F1545&gt;ENTRY!$D$24,"",IFERROR(VLOOKUP(F1545,PASHEET!$A$4:$CJ$103,87,0),""))</f>
        <v>0</v>
      </c>
      <c r="I1573" s="68" t="s">
        <v>756</v>
      </c>
      <c r="J1573" s="69" t="str">
        <f>IF(F1545&gt;ENTRY!$D$24,"",IFERROR(IF(F1545&gt;0,H1573/F1573*100),""))</f>
        <v/>
      </c>
      <c r="K1573" s="60" t="s">
        <v>757</v>
      </c>
      <c r="L1573" s="70">
        <f ca="1">IF(F1545&gt;ENTRY!$D$24,"",IFERROR(L1569/600*100,""))</f>
        <v>17</v>
      </c>
      <c r="M1573" s="47" t="str">
        <f ca="1">IF(F1545&gt;ENTRY!$D$24,"",IFERROR(L1569&amp;" / "&amp;"600",""))</f>
        <v>102 / 600</v>
      </c>
      <c r="N1573" s="29"/>
      <c r="O1573" s="29"/>
      <c r="P1573" s="19"/>
      <c r="Q1573" s="19"/>
      <c r="R1573" s="11"/>
    </row>
    <row r="1574" s="1" customFormat="1" ht="9.95" customHeight="1" spans="1:19">
      <c r="A1574" s="7"/>
      <c r="B1574" s="12"/>
      <c r="C1574" s="39"/>
      <c r="D1574" s="40"/>
      <c r="E1574" s="40"/>
      <c r="F1574" s="40"/>
      <c r="G1574" s="40"/>
      <c r="H1574" s="40"/>
      <c r="I1574" s="40"/>
      <c r="J1574" s="40"/>
      <c r="K1574" s="40"/>
      <c r="L1574" s="40"/>
      <c r="M1574" s="40"/>
      <c r="N1574" s="40"/>
      <c r="O1574" s="40"/>
      <c r="P1574" s="41"/>
      <c r="Q1574" s="19"/>
      <c r="R1574" s="11"/>
    </row>
    <row r="1575" s="1" customFormat="1" ht="9.95" customHeight="1" spans="1:19">
      <c r="A1575" s="7"/>
      <c r="B1575" s="12"/>
      <c r="C1575" s="71"/>
      <c r="D1575" s="71"/>
      <c r="E1575" s="71"/>
      <c r="F1575" s="29"/>
      <c r="G1575" s="71"/>
      <c r="H1575" s="71"/>
      <c r="I1575" s="71"/>
      <c r="J1575" s="71"/>
      <c r="K1575" s="71"/>
      <c r="L1575" s="71"/>
      <c r="M1575" s="71"/>
      <c r="N1575" s="71"/>
      <c r="O1575" s="71"/>
      <c r="P1575" s="71"/>
      <c r="Q1575" s="19"/>
      <c r="R1575" s="11"/>
    </row>
    <row r="1576" s="1" customFormat="1" ht="9.95" customHeight="1" spans="1:19">
      <c r="A1576" s="7"/>
      <c r="B1576" s="12"/>
      <c r="C1576" s="29"/>
      <c r="D1576" s="29"/>
      <c r="E1576" s="29"/>
      <c r="F1576" s="72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19"/>
      <c r="R1576" s="11"/>
    </row>
    <row r="1577" s="1" customFormat="1" ht="9.95" customHeight="1" spans="1:19">
      <c r="A1577" s="7"/>
      <c r="B1577" s="12"/>
      <c r="C1577" s="30"/>
      <c r="D1577" s="31"/>
      <c r="E1577" s="31"/>
      <c r="F1577" s="31"/>
      <c r="G1577" s="31"/>
      <c r="H1577" s="31"/>
      <c r="I1577" s="31"/>
      <c r="J1577" s="31"/>
      <c r="K1577" s="31"/>
      <c r="L1577" s="31"/>
      <c r="M1577" s="31"/>
      <c r="N1577" s="31"/>
      <c r="O1577" s="31"/>
      <c r="P1577" s="32"/>
      <c r="Q1577" s="19"/>
      <c r="R1577" s="11"/>
    </row>
    <row r="1578" s="1" customFormat="1" ht="21.95" customHeight="1" spans="1:19">
      <c r="A1578" s="7"/>
      <c r="B1578" s="12"/>
      <c r="C1578" s="73" t="s">
        <v>7</v>
      </c>
      <c r="D1578" s="13"/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74"/>
      <c r="Q1578" s="19"/>
      <c r="R1578" s="11"/>
      <c r="S1578" s="2"/>
    </row>
    <row r="1579" s="1" customFormat="1" ht="21.95" customHeight="1" spans="1:19">
      <c r="A1579" s="7"/>
      <c r="B1579" s="12"/>
      <c r="C1579" s="33"/>
      <c r="D1579" s="29"/>
      <c r="E1579" s="29"/>
      <c r="F1579" s="29"/>
      <c r="G1579" s="29"/>
      <c r="H1579" s="29"/>
      <c r="I1579" s="29"/>
      <c r="J1579" s="29"/>
      <c r="K1579" s="29"/>
      <c r="L1579" s="29"/>
      <c r="M1579" s="29"/>
      <c r="N1579" s="29"/>
      <c r="O1579" s="29"/>
      <c r="P1579" s="19"/>
      <c r="Q1579" s="19"/>
      <c r="R1579" s="11"/>
    </row>
    <row r="1580" s="1" customFormat="1" ht="21.95" customHeight="1" spans="1:19">
      <c r="A1580" s="7"/>
      <c r="B1580" s="12"/>
      <c r="C1580" s="75" t="str">
        <f>"SESSION-"&amp;ENTRY!$D$11</f>
        <v>SESSION-2026-27</v>
      </c>
      <c r="D1580" s="15"/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76"/>
      <c r="Q1580" s="19"/>
      <c r="R1580" s="11"/>
    </row>
    <row r="1581" s="1" customFormat="1" ht="18" customHeight="1" spans="1:19">
      <c r="A1581" s="7"/>
      <c r="B1581" s="12"/>
      <c r="C1581" s="33"/>
      <c r="D1581" s="29"/>
      <c r="E1581" s="29"/>
      <c r="F1581" s="29"/>
      <c r="G1581" s="29"/>
      <c r="H1581" s="29"/>
      <c r="I1581" s="29"/>
      <c r="J1581" s="29"/>
      <c r="K1581" s="29"/>
      <c r="L1581" s="29"/>
      <c r="M1581" s="29"/>
      <c r="N1581" s="29"/>
      <c r="O1581" s="29"/>
      <c r="P1581" s="19"/>
      <c r="Q1581" s="19"/>
      <c r="R1581" s="11"/>
    </row>
    <row r="1582" s="1" customFormat="1" ht="21.95" customHeight="1" spans="1:19">
      <c r="A1582" s="7"/>
      <c r="B1582" s="12"/>
      <c r="C1582" s="33"/>
      <c r="D1582" s="77" t="s">
        <v>758</v>
      </c>
      <c r="E1582" s="77"/>
      <c r="F1582" s="78" t="str">
        <f>IFERROR(PROPER(VLOOKUP(F1545,STUDENT!$A$2:$BP$101,5,0)),"")</f>
        <v>Abdul Rehman</v>
      </c>
      <c r="G1582" s="78"/>
      <c r="H1582" s="78"/>
      <c r="I1582" s="78"/>
      <c r="J1582" s="78"/>
      <c r="K1582" s="78"/>
      <c r="L1582" s="78"/>
      <c r="M1582" s="78"/>
      <c r="N1582" s="79" t="s">
        <v>759</v>
      </c>
      <c r="O1582" s="79"/>
      <c r="P1582" s="19"/>
      <c r="Q1582" s="19"/>
      <c r="R1582" s="11"/>
    </row>
    <row r="1583" s="1" customFormat="1" ht="21.95" customHeight="1" spans="1:19">
      <c r="A1583" s="7"/>
      <c r="B1583" s="12"/>
      <c r="C1583" s="33"/>
      <c r="D1583" s="80" t="s">
        <v>760</v>
      </c>
      <c r="E1583" s="81" t="str">
        <f>IFERROR(PROPER(VLOOKUP(F1545,STUDENT!$A$2:$BP$101,9,0)),"")</f>
        <v>Shain Prveen</v>
      </c>
      <c r="F1583" s="81"/>
      <c r="G1583" s="81"/>
      <c r="H1583" s="80" t="s">
        <v>761</v>
      </c>
      <c r="I1583" s="82" t="str">
        <f>IFERROR(PROPER(VLOOKUP(F1545,STUDENT!$A$2:$BP$101,8,0)),"")</f>
        <v>Md Lal Babu</v>
      </c>
      <c r="J1583" s="82"/>
      <c r="K1583" s="82"/>
      <c r="L1583" s="82"/>
      <c r="M1583" s="80" t="s">
        <v>762</v>
      </c>
      <c r="N1583" s="83" t="str">
        <f>IFERROR(VLOOKUP(F1545,STUDENT!$A$2:$BP$101,59,0),"")</f>
        <v/>
      </c>
      <c r="O1583" s="83"/>
      <c r="P1583" s="19"/>
      <c r="Q1583" s="19"/>
      <c r="R1583" s="11"/>
    </row>
    <row r="1584" s="1" customFormat="1" ht="21.95" customHeight="1" spans="1:19">
      <c r="A1584" s="7"/>
      <c r="B1584" s="12"/>
      <c r="C1584" s="33"/>
      <c r="D1584" s="77" t="str">
        <f>"has    completed     his  /  her     primary     level     education    in    the    year    "&amp;RIGHT(ENTRY!$D1550,4)&amp;"    from    ( School    Name )"</f>
        <v>has    completed     his  /  her     primary     level     education    in    the    year        from    ( School    Name )</v>
      </c>
      <c r="E1584" s="77"/>
      <c r="F1584" s="77"/>
      <c r="G1584" s="77"/>
      <c r="H1584" s="77"/>
      <c r="I1584" s="77"/>
      <c r="J1584" s="77"/>
      <c r="K1584" s="77"/>
      <c r="L1584" s="77"/>
      <c r="M1584" s="77"/>
      <c r="N1584" s="77"/>
      <c r="O1584" s="77"/>
      <c r="P1584" s="19"/>
      <c r="Q1584" s="19"/>
      <c r="R1584" s="11"/>
    </row>
    <row r="1585" s="1" customFormat="1" ht="21.95" customHeight="1" spans="1:18">
      <c r="A1585" s="7"/>
      <c r="B1585" s="12"/>
      <c r="C1585" s="33"/>
      <c r="D1585" s="81" t="str">
        <f>IF(F1545&gt;0,ENTRY!$D$6,"")</f>
        <v>MCP NITHARI NO 1 BOYS</v>
      </c>
      <c r="E1585" s="81"/>
      <c r="F1585" s="81"/>
      <c r="G1585" s="81"/>
      <c r="H1585" s="81"/>
      <c r="I1585" s="81"/>
      <c r="J1585" s="81"/>
      <c r="K1585" s="81"/>
      <c r="L1585" s="81"/>
      <c r="M1585" s="80" t="s">
        <v>763</v>
      </c>
      <c r="N1585" s="84">
        <f>IF(F1545&gt;0,ENTRY!$D$7,"")</f>
        <v>0</v>
      </c>
      <c r="O1585" s="84"/>
      <c r="P1585" s="85" t="s">
        <v>727</v>
      </c>
      <c r="Q1585" s="19"/>
      <c r="R1585" s="11"/>
    </row>
    <row r="1586" s="1" customFormat="1" ht="21.95" customHeight="1" spans="1:18">
      <c r="A1586" s="7"/>
      <c r="B1586" s="12"/>
      <c r="C1586" s="33"/>
      <c r="D1586" s="29"/>
      <c r="E1586" s="29"/>
      <c r="F1586" s="29"/>
      <c r="G1586" s="29"/>
      <c r="H1586" s="29"/>
      <c r="I1586" s="29"/>
      <c r="J1586" s="29"/>
      <c r="K1586" s="29"/>
      <c r="L1586" s="29"/>
      <c r="M1586" s="29"/>
      <c r="N1586" s="29"/>
      <c r="O1586" s="29"/>
      <c r="P1586" s="19"/>
      <c r="Q1586" s="19"/>
      <c r="R1586" s="11"/>
    </row>
    <row r="1587" s="1" customFormat="1" ht="21.95" customHeight="1" spans="1:18">
      <c r="A1587" s="7"/>
      <c r="B1587" s="12"/>
      <c r="C1587" s="33"/>
      <c r="D1587" s="29"/>
      <c r="E1587" s="29"/>
      <c r="F1587" s="29"/>
      <c r="G1587" s="29"/>
      <c r="H1587" s="29"/>
      <c r="I1587" s="29"/>
      <c r="J1587" s="29"/>
      <c r="K1587" s="29"/>
      <c r="L1587" s="29"/>
      <c r="M1587" s="29"/>
      <c r="N1587" s="29"/>
      <c r="O1587" s="29"/>
      <c r="P1587" s="19"/>
      <c r="Q1587" s="19"/>
      <c r="R1587" s="11"/>
    </row>
    <row r="1588" s="1" customFormat="1" ht="21.95" customHeight="1" spans="1:18">
      <c r="A1588" s="7"/>
      <c r="B1588" s="12"/>
      <c r="C1588" s="33"/>
      <c r="D1588" s="29"/>
      <c r="E1588" s="29"/>
      <c r="F1588" s="29"/>
      <c r="G1588" s="29"/>
      <c r="H1588" s="29"/>
      <c r="I1588" s="29"/>
      <c r="J1588" s="29"/>
      <c r="K1588" s="29"/>
      <c r="L1588" s="29"/>
      <c r="M1588" s="29"/>
      <c r="N1588" s="29"/>
      <c r="O1588" s="29"/>
      <c r="P1588" s="19"/>
      <c r="Q1588" s="19"/>
      <c r="R1588" s="11"/>
    </row>
    <row r="1589" s="1" customFormat="1" ht="21.95" customHeight="1" spans="1:18">
      <c r="A1589" s="7"/>
      <c r="B1589" s="12"/>
      <c r="C1589" s="33"/>
      <c r="D1589" s="29"/>
      <c r="E1589" s="29"/>
      <c r="F1589" s="29"/>
      <c r="G1589" s="29"/>
      <c r="H1589" s="29"/>
      <c r="I1589" s="29"/>
      <c r="J1589" s="29"/>
      <c r="K1589" s="29"/>
      <c r="L1589" s="29"/>
      <c r="M1589" s="29"/>
      <c r="N1589" s="29"/>
      <c r="O1589" s="29"/>
      <c r="P1589" s="19"/>
      <c r="Q1589" s="19"/>
      <c r="R1589" s="11"/>
    </row>
    <row r="1590" s="1" customFormat="1" ht="21.95" customHeight="1" spans="1:18">
      <c r="A1590" s="7"/>
      <c r="B1590" s="12"/>
      <c r="C1590" s="33"/>
      <c r="D1590" s="29"/>
      <c r="E1590" s="29"/>
      <c r="F1590" s="29"/>
      <c r="G1590" s="29"/>
      <c r="H1590" s="29"/>
      <c r="I1590" s="29"/>
      <c r="J1590" s="29"/>
      <c r="K1590" s="29"/>
      <c r="L1590" s="29"/>
      <c r="M1590" s="29"/>
      <c r="N1590" s="29"/>
      <c r="O1590" s="29"/>
      <c r="P1590" s="19"/>
      <c r="Q1590" s="19"/>
      <c r="R1590" s="11"/>
    </row>
    <row r="1591" s="1" customFormat="1" ht="21.95" customHeight="1" spans="1:18">
      <c r="A1591" s="7"/>
      <c r="B1591" s="12"/>
      <c r="C1591" s="33"/>
      <c r="D1591" s="80" t="s">
        <v>728</v>
      </c>
      <c r="E1591" s="86">
        <f>ENTRY!$D$27</f>
        <v>46102</v>
      </c>
      <c r="F1591" s="86"/>
      <c r="G1591" s="29"/>
      <c r="H1591" s="29"/>
      <c r="I1591" s="29"/>
      <c r="J1591" s="29"/>
      <c r="K1591" s="29"/>
      <c r="L1591" s="29"/>
      <c r="M1591" s="87" t="s">
        <v>730</v>
      </c>
      <c r="N1591" s="87"/>
      <c r="O1591" s="87"/>
      <c r="P1591" s="19"/>
      <c r="Q1591" s="19"/>
      <c r="R1591" s="11"/>
    </row>
    <row r="1592" s="1" customFormat="1" ht="21.95" customHeight="1" spans="1:18">
      <c r="A1592" s="7"/>
      <c r="B1592" s="12"/>
      <c r="C1592" s="33"/>
      <c r="D1592" s="80" t="s">
        <v>731</v>
      </c>
      <c r="E1592" s="88" t="str">
        <f>PROPER(ENTRY!$D$28)</f>
        <v>New Delhi</v>
      </c>
      <c r="F1592" s="88"/>
      <c r="G1592" s="29"/>
      <c r="H1592" s="29"/>
      <c r="I1592" s="29"/>
      <c r="J1592" s="29"/>
      <c r="K1592" s="29"/>
      <c r="L1592" s="29"/>
      <c r="M1592" s="89" t="s">
        <v>732</v>
      </c>
      <c r="N1592" s="89"/>
      <c r="O1592" s="89"/>
      <c r="P1592" s="19"/>
      <c r="Q1592" s="19"/>
      <c r="R1592" s="11"/>
    </row>
    <row r="1593" s="1" customFormat="1" ht="21.95" customHeight="1" spans="1:18">
      <c r="A1593" s="7"/>
      <c r="B1593" s="12"/>
      <c r="C1593" s="90"/>
      <c r="D1593" s="91"/>
      <c r="E1593" s="91"/>
      <c r="F1593" s="91"/>
      <c r="G1593" s="91"/>
      <c r="H1593" s="91"/>
      <c r="I1593" s="91"/>
      <c r="J1593" s="91"/>
      <c r="K1593" s="91"/>
      <c r="L1593" s="91"/>
      <c r="M1593" s="91"/>
      <c r="N1593" s="91"/>
      <c r="O1593" s="91"/>
      <c r="P1593" s="92"/>
      <c r="Q1593" s="14"/>
      <c r="R1593" s="11"/>
    </row>
    <row r="1594" s="1" customFormat="1" ht="5.1" customHeight="1" spans="1:18">
      <c r="A1594" s="7"/>
      <c r="B1594" s="90"/>
      <c r="C1594" s="91"/>
      <c r="D1594" s="91"/>
      <c r="E1594" s="91"/>
      <c r="F1594" s="91"/>
      <c r="G1594" s="91"/>
      <c r="H1594" s="91"/>
      <c r="I1594" s="91"/>
      <c r="J1594" s="91"/>
      <c r="K1594" s="91"/>
      <c r="L1594" s="91"/>
      <c r="M1594" s="91"/>
      <c r="N1594" s="91"/>
      <c r="O1594" s="91"/>
      <c r="P1594" s="91"/>
      <c r="Q1594" s="92"/>
      <c r="R1594" s="11"/>
    </row>
    <row r="1595" s="1" customFormat="1" ht="5.1" customHeight="1" spans="1:18">
      <c r="A1595" s="93"/>
      <c r="B1595" s="94"/>
      <c r="C1595" s="94"/>
      <c r="D1595" s="94"/>
      <c r="E1595" s="94"/>
      <c r="F1595" s="94"/>
      <c r="G1595" s="94"/>
      <c r="H1595" s="94"/>
      <c r="I1595" s="94"/>
      <c r="J1595" s="94"/>
      <c r="K1595" s="94"/>
      <c r="L1595" s="94"/>
      <c r="M1595" s="94"/>
      <c r="N1595" s="94"/>
      <c r="O1595" s="94"/>
      <c r="P1595" s="94"/>
      <c r="Q1595" s="94"/>
      <c r="R1595" s="95"/>
    </row>
    <row r="1596" s="2" customFormat="1" ht="9.95" customHeight="1"/>
    <row r="1597" s="1" customFormat="1" ht="5.1" customHeight="1" spans="1:18">
      <c r="A1597" s="4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6"/>
    </row>
    <row r="1598" s="1" customFormat="1" ht="15" customHeight="1" spans="1:18">
      <c r="A1598" s="7"/>
      <c r="B1598" s="8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9"/>
      <c r="O1598" s="9"/>
      <c r="P1598" s="9"/>
      <c r="Q1598" s="10"/>
      <c r="R1598" s="11"/>
    </row>
    <row r="1599" s="1" customFormat="1" ht="21.95" customHeight="1" spans="1:18">
      <c r="A1599" s="7"/>
      <c r="B1599" s="12"/>
      <c r="C1599" s="13" t="s">
        <v>7</v>
      </c>
      <c r="D1599" s="13"/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/>
      <c r="Q1599" s="14"/>
      <c r="R1599" s="11"/>
    </row>
    <row r="1600" s="1" customFormat="1" ht="21.95" customHeight="1" spans="1:18">
      <c r="A1600" s="7"/>
      <c r="B1600" s="1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14"/>
      <c r="R1600" s="11"/>
    </row>
    <row r="1601" s="1" customFormat="1" ht="21.95" customHeight="1" spans="1:18">
      <c r="A1601" s="7"/>
      <c r="B1601" s="12"/>
      <c r="C1601" s="15" t="str">
        <f>"SESSION-"&amp;ENTRY!$D$11</f>
        <v>SESSION-2026-27</v>
      </c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4"/>
      <c r="R1601" s="11"/>
    </row>
    <row r="1602" s="1" customFormat="1" ht="21.95" customHeight="1" spans="1:18">
      <c r="A1602" s="7"/>
      <c r="B1602" s="12"/>
      <c r="C1602" s="2"/>
      <c r="D1602" s="2"/>
      <c r="E1602" s="2"/>
      <c r="F1602" s="16">
        <f>F1545+1</f>
        <v>29</v>
      </c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14"/>
      <c r="R1602" s="11"/>
    </row>
    <row r="1603" s="1" customFormat="1" ht="21.95" customHeight="1" spans="1:18">
      <c r="A1603" s="7"/>
      <c r="B1603" s="12"/>
      <c r="C1603" s="17" t="s">
        <v>392</v>
      </c>
      <c r="D1603" s="17"/>
      <c r="E1603" s="17"/>
      <c r="F1603" s="18" t="str">
        <f>IF(F1602&gt;0,ENTRY!$D$6,"")</f>
        <v>MCP NITHARI NO 1 BOYS</v>
      </c>
      <c r="G1603" s="18"/>
      <c r="H1603" s="18"/>
      <c r="I1603" s="18"/>
      <c r="J1603" s="18"/>
      <c r="K1603" s="18"/>
      <c r="L1603" s="18"/>
      <c r="M1603" s="18"/>
      <c r="N1603" s="18"/>
      <c r="O1603" s="18"/>
      <c r="P1603" s="18"/>
      <c r="Q1603" s="19"/>
      <c r="R1603" s="11"/>
    </row>
    <row r="1604" s="1" customFormat="1" ht="21.95" customHeight="1" spans="1:18">
      <c r="A1604" s="7"/>
      <c r="B1604" s="12"/>
      <c r="C1604" s="17" t="s">
        <v>393</v>
      </c>
      <c r="D1604" s="17"/>
      <c r="E1604" s="17"/>
      <c r="F1604" s="18">
        <f>IF(F1602&gt;0,ENTRY!$D$7,"")</f>
        <v>0</v>
      </c>
      <c r="G1604" s="18"/>
      <c r="H1604" s="20" t="s">
        <v>702</v>
      </c>
      <c r="I1604" s="20"/>
      <c r="J1604" s="21">
        <f>IF(F1602&gt;0,ENTRY!$D$10,"")</f>
        <v>40</v>
      </c>
      <c r="K1604" s="20" t="s">
        <v>703</v>
      </c>
      <c r="L1604" s="22" t="str">
        <f>IF(F1602&gt;0,ENTRY!$D$5,"")</f>
        <v>ROHINI ZONE</v>
      </c>
      <c r="M1604" s="22"/>
      <c r="N1604" s="22"/>
      <c r="O1604" s="22"/>
      <c r="P1604" s="22"/>
      <c r="Q1604" s="19"/>
      <c r="R1604" s="11"/>
    </row>
    <row r="1605" s="1" customFormat="1" ht="21.95" customHeight="1" spans="1:18">
      <c r="A1605" s="7"/>
      <c r="B1605" s="12"/>
      <c r="C1605" s="17" t="s">
        <v>706</v>
      </c>
      <c r="D1605" s="17"/>
      <c r="E1605" s="17"/>
      <c r="F1605" s="23" t="str">
        <f>IFERROR(VLOOKUP(F1602,STUDENT!$A$2:$BP$101,5,0),"")</f>
        <v>KARTIK</v>
      </c>
      <c r="G1605" s="23"/>
      <c r="H1605" s="23"/>
      <c r="I1605" s="23"/>
      <c r="J1605" s="23"/>
      <c r="K1605" s="23"/>
      <c r="L1605" s="20" t="s">
        <v>707</v>
      </c>
      <c r="M1605" s="20"/>
      <c r="N1605" s="24" t="str">
        <f>IF(F1602&gt;0,ENTRY!$D$20&amp;"-"&amp;ENTRY!$D$21,"")</f>
        <v>III-A</v>
      </c>
      <c r="O1605" s="24"/>
      <c r="P1605" s="24"/>
      <c r="Q1605" s="19"/>
      <c r="R1605" s="11"/>
    </row>
    <row r="1606" s="1" customFormat="1" ht="21.95" customHeight="1" spans="1:18">
      <c r="A1606" s="7"/>
      <c r="B1606" s="12"/>
      <c r="C1606" s="17" t="s">
        <v>708</v>
      </c>
      <c r="D1606" s="17"/>
      <c r="E1606" s="17"/>
      <c r="F1606" s="25">
        <f>IFERROR(VLOOKUP(F1602,STUDENT!$A$2:$BP$101,6,0),"")</f>
        <v>15000</v>
      </c>
      <c r="G1606" s="25"/>
      <c r="H1606" s="26" t="s">
        <v>709</v>
      </c>
      <c r="I1606" s="27" t="str">
        <f>IFERROR(VLOOKUP(F1602,STUDENT!$A$2:$BP$101,59,0),"")</f>
        <v/>
      </c>
      <c r="J1606" s="27"/>
      <c r="K1606" s="20" t="s">
        <v>710</v>
      </c>
      <c r="L1606" s="20"/>
      <c r="M1606" s="28">
        <f>IFERROR(VLOOKUP(F1602,STUDENT!$A$2:$BP$101,20,0),"")</f>
        <v>8860231535</v>
      </c>
      <c r="N1606" s="28"/>
      <c r="O1606" s="28"/>
      <c r="P1606" s="28"/>
      <c r="Q1606" s="19"/>
      <c r="R1606" s="11"/>
    </row>
    <row r="1607" s="1" customFormat="1" ht="21.95" customHeight="1" spans="1:18">
      <c r="A1607" s="7"/>
      <c r="B1607" s="12"/>
      <c r="C1607" s="17" t="s">
        <v>711</v>
      </c>
      <c r="D1607" s="17"/>
      <c r="E1607" s="17"/>
      <c r="F1607" s="23" t="str">
        <f>IFERROR(VLOOKUP(F1602,STUDENT!$A$2:$BP$101,9,0),"")</f>
        <v>KAJAL</v>
      </c>
      <c r="G1607" s="23"/>
      <c r="H1607" s="23"/>
      <c r="I1607" s="23"/>
      <c r="J1607" s="17" t="s">
        <v>620</v>
      </c>
      <c r="K1607" s="17"/>
      <c r="L1607" s="23" t="str">
        <f>IFERROR(VLOOKUP(F1602,STUDENT!$A$2:$BP$101,8,0),"")</f>
        <v>AMAN YADAV</v>
      </c>
      <c r="M1607" s="23"/>
      <c r="N1607" s="23"/>
      <c r="O1607" s="23"/>
      <c r="P1607" s="23"/>
      <c r="Q1607" s="19"/>
      <c r="R1607" s="11"/>
    </row>
    <row r="1608" s="1" customFormat="1" ht="21.95" customHeight="1" spans="1:18">
      <c r="A1608" s="7"/>
      <c r="B1608" s="12"/>
      <c r="C1608" s="17" t="s">
        <v>712</v>
      </c>
      <c r="D1608" s="17"/>
      <c r="E1608" s="17"/>
      <c r="F1608" s="23" t="str">
        <f>IFERROR(VLOOKUP(F1602,STUDENT!$A$2:$BP$101,22,0),"")</f>
        <v>PLOT NO-1/6 KH.NO-62-66 BRIJ VIHAR PREM NAGAR -3</v>
      </c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19"/>
      <c r="R1608" s="11"/>
    </row>
    <row r="1609" s="1" customFormat="1" ht="9.95" customHeight="1" spans="1:18">
      <c r="A1609" s="7"/>
      <c r="B1609" s="12"/>
      <c r="C1609" s="29"/>
      <c r="D1609" s="29"/>
      <c r="E1609" s="29"/>
      <c r="F1609" s="29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19"/>
      <c r="R1609" s="11"/>
    </row>
    <row r="1610" s="1" customFormat="1" ht="9.95" customHeight="1" spans="1:18">
      <c r="A1610" s="7"/>
      <c r="B1610" s="12"/>
      <c r="C1610" s="30"/>
      <c r="D1610" s="31"/>
      <c r="E1610" s="31"/>
      <c r="F1610" s="31"/>
      <c r="G1610" s="31"/>
      <c r="H1610" s="31"/>
      <c r="I1610" s="31"/>
      <c r="J1610" s="31"/>
      <c r="K1610" s="31"/>
      <c r="L1610" s="31"/>
      <c r="M1610" s="31"/>
      <c r="N1610" s="31"/>
      <c r="O1610" s="31"/>
      <c r="P1610" s="32"/>
      <c r="Q1610" s="19"/>
      <c r="R1610" s="11"/>
    </row>
    <row r="1611" s="1" customFormat="1" ht="21.95" customHeight="1" spans="1:18">
      <c r="A1611" s="7"/>
      <c r="B1611" s="12"/>
      <c r="C1611" s="33"/>
      <c r="D1611" s="34" t="s">
        <v>713</v>
      </c>
      <c r="E1611" s="20" t="s">
        <v>714</v>
      </c>
      <c r="F1611" s="35" t="str">
        <f>"Level - "&amp;IFERROR(VLOOKUP(F1602,FLN!$A$4:$K$103,9,0),"")</f>
        <v>Level - 2</v>
      </c>
      <c r="G1611" s="36"/>
      <c r="H1611" s="37" t="s">
        <v>715</v>
      </c>
      <c r="I1611" s="20"/>
      <c r="J1611" s="35" t="str">
        <f>"Level - "&amp;IFERROR(VLOOKUP(F1602,FLN!$A$4:$K$103,11,0),"")</f>
        <v>Level - 3</v>
      </c>
      <c r="K1611" s="36"/>
      <c r="L1611" s="37" t="s">
        <v>408</v>
      </c>
      <c r="M1611" s="20"/>
      <c r="N1611" s="35" t="str">
        <f>"Level - "&amp;IFERROR(VLOOKUP(F1602,FLN!$A$4:$K$103,10,0),"")</f>
        <v>Level - 2</v>
      </c>
      <c r="O1611" s="36"/>
      <c r="P1611" s="19"/>
      <c r="Q1611" s="19"/>
      <c r="R1611" s="11"/>
    </row>
    <row r="1612" s="1" customFormat="1" ht="21.95" customHeight="1" spans="1:18">
      <c r="A1612" s="7"/>
      <c r="B1612" s="12"/>
      <c r="C1612" s="33"/>
      <c r="D1612" s="38"/>
      <c r="E1612" s="20" t="s">
        <v>716</v>
      </c>
      <c r="F1612" s="18" t="str">
        <f ca="1">IF(L1626&gt;197,"PERFORMED WELL","")</f>
        <v/>
      </c>
      <c r="G1612" s="18"/>
      <c r="H1612" s="18"/>
      <c r="I1612" s="18"/>
      <c r="J1612" s="18"/>
      <c r="K1612" s="18"/>
      <c r="L1612" s="18"/>
      <c r="M1612" s="18"/>
      <c r="N1612" s="18"/>
      <c r="O1612" s="18"/>
      <c r="P1612" s="19"/>
      <c r="Q1612" s="19"/>
      <c r="R1612" s="11"/>
    </row>
    <row r="1613" s="1" customFormat="1" ht="9.95" customHeight="1" spans="1:18">
      <c r="A1613" s="7"/>
      <c r="B1613" s="12"/>
      <c r="C1613" s="39"/>
      <c r="D1613" s="40"/>
      <c r="E1613" s="40"/>
      <c r="F1613" s="40"/>
      <c r="G1613" s="40"/>
      <c r="H1613" s="40"/>
      <c r="I1613" s="40"/>
      <c r="J1613" s="40"/>
      <c r="K1613" s="40"/>
      <c r="L1613" s="40"/>
      <c r="M1613" s="40"/>
      <c r="N1613" s="40"/>
      <c r="O1613" s="40"/>
      <c r="P1613" s="41"/>
      <c r="Q1613" s="19"/>
      <c r="R1613" s="11"/>
    </row>
    <row r="1614" s="1" customFormat="1" ht="9.95" customHeight="1" spans="1:18">
      <c r="A1614" s="7"/>
      <c r="B1614" s="12"/>
      <c r="C1614" s="29"/>
      <c r="D1614" s="29"/>
      <c r="E1614" s="29"/>
      <c r="F1614" s="29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19"/>
      <c r="R1614" s="11"/>
    </row>
    <row r="1615" s="1" customFormat="1" ht="9.95" customHeight="1" spans="1:18">
      <c r="A1615" s="7"/>
      <c r="B1615" s="12"/>
      <c r="C1615" s="30"/>
      <c r="D1615" s="31"/>
      <c r="E1615" s="31"/>
      <c r="F1615" s="31"/>
      <c r="G1615" s="31"/>
      <c r="H1615" s="31"/>
      <c r="I1615" s="31"/>
      <c r="J1615" s="31"/>
      <c r="K1615" s="31"/>
      <c r="L1615" s="31"/>
      <c r="M1615" s="31"/>
      <c r="N1615" s="31"/>
      <c r="O1615" s="31"/>
      <c r="P1615" s="32"/>
      <c r="Q1615" s="19"/>
      <c r="R1615" s="11"/>
    </row>
    <row r="1616" s="1" customFormat="1" ht="21.95" customHeight="1" spans="1:18">
      <c r="A1616" s="7"/>
      <c r="B1616" s="12"/>
      <c r="C1616" s="33"/>
      <c r="D1616" s="35"/>
      <c r="E1616" s="24"/>
      <c r="F1616" s="42" t="s">
        <v>717</v>
      </c>
      <c r="G1616" s="42"/>
      <c r="H1616" s="42"/>
      <c r="I1616" s="42"/>
      <c r="J1616" s="42"/>
      <c r="K1616" s="42"/>
      <c r="L1616" s="43"/>
      <c r="M1616" s="44"/>
      <c r="N1616" s="29"/>
      <c r="O1616" s="29"/>
      <c r="P1616" s="19"/>
      <c r="Q1616" s="19"/>
      <c r="R1616" s="11"/>
    </row>
    <row r="1617" s="1" customFormat="1" ht="21.95" customHeight="1" spans="1:18">
      <c r="A1617" s="7"/>
      <c r="B1617" s="12"/>
      <c r="C1617" s="33"/>
      <c r="D1617" s="45"/>
      <c r="E1617" s="46"/>
      <c r="F1617" s="47" t="s">
        <v>541</v>
      </c>
      <c r="G1617" s="47" t="s">
        <v>542</v>
      </c>
      <c r="H1617" s="47" t="s">
        <v>543</v>
      </c>
      <c r="I1617" s="47" t="s">
        <v>544</v>
      </c>
      <c r="J1617" s="47" t="s">
        <v>561</v>
      </c>
      <c r="K1617" s="48" t="s">
        <v>750</v>
      </c>
      <c r="L1617" s="47" t="s">
        <v>382</v>
      </c>
      <c r="M1617" s="49" t="s">
        <v>546</v>
      </c>
      <c r="N1617" s="29"/>
      <c r="O1617" s="29"/>
      <c r="P1617" s="19"/>
      <c r="Q1617" s="19"/>
      <c r="R1617" s="11"/>
    </row>
    <row r="1618" s="1" customFormat="1" ht="21.95" customHeight="1" spans="1:18">
      <c r="A1618" s="7"/>
      <c r="B1618" s="12"/>
      <c r="C1618" s="33"/>
      <c r="D1618" s="45" t="s">
        <v>652</v>
      </c>
      <c r="E1618" s="46"/>
      <c r="F1618" s="50">
        <v>10</v>
      </c>
      <c r="G1618" s="50">
        <v>10</v>
      </c>
      <c r="H1618" s="50">
        <v>10</v>
      </c>
      <c r="I1618" s="50">
        <v>10</v>
      </c>
      <c r="J1618" s="50">
        <v>60</v>
      </c>
      <c r="K1618" s="51"/>
      <c r="L1618" s="50">
        <v>100</v>
      </c>
      <c r="M1618" s="49"/>
      <c r="N1618" s="29"/>
      <c r="O1618" s="29"/>
      <c r="P1618" s="19"/>
      <c r="Q1618" s="19"/>
      <c r="R1618" s="11"/>
    </row>
    <row r="1619" s="1" customFormat="1" ht="21.95" customHeight="1" spans="1:18">
      <c r="A1619" s="7"/>
      <c r="B1619" s="12"/>
      <c r="C1619" s="33"/>
      <c r="D1619" s="52" t="s">
        <v>751</v>
      </c>
      <c r="E1619" s="53"/>
      <c r="F1619" s="54">
        <f ca="1">IFERROR(VLOOKUP(F1602,'RR-3.1-5TH'!$A$12:'RR-3.1-5TH'!$BN$111,9,0),"")</f>
        <v>1</v>
      </c>
      <c r="G1619" s="54">
        <f ca="1">IFERROR(VLOOKUP(F1602,'RR-3.1-5TH'!$A$12:'RR-3.1-5TH'!$BN$111,10,0),"")</f>
        <v>0</v>
      </c>
      <c r="H1619" s="54">
        <f ca="1">IFERROR(VLOOKUP(F1602,'RR-3.1-5TH'!$A$12:'RR-3.1-5TH'!$BN$111,11,0),"")</f>
        <v>0</v>
      </c>
      <c r="I1619" s="54">
        <f ca="1">IFERROR(VLOOKUP(F1602,'RR-3.1-5TH'!$A$12:'RR-3.1-5TH'!$BN$111,12,0),"")</f>
        <v>0</v>
      </c>
      <c r="J1619" s="54">
        <f ca="1">IFERROR(VLOOKUP(F1602,'RR-3.1-5TH'!$A$12:'RR-3.1-5TH'!$BN$111,13,0),"")</f>
        <v>37</v>
      </c>
      <c r="K1619" s="54">
        <f ca="1">IFERROR(VLOOKUP(F1602,'RR-3.1-5TH'!$A$12:'RR-3.1-5TH'!$BN$111,14,0),"")</f>
        <v>0</v>
      </c>
      <c r="L1619" s="55">
        <f ca="1" t="shared" ref="L1619:L1624" si="84">SUM(F1619,G1619,H1619,I1619,J1619,K1619)</f>
        <v>38</v>
      </c>
      <c r="M1619" s="56" t="str">
        <f ca="1">IF(F1602&gt;ENTRY!$D$24,"",IF(L1619=0,"Ab",IF(L1619&gt;80,"A",IF(L1619&gt;60,"B",IF(L1619&gt;44,"C",IF(L1619&gt;=33,"D",IF(L1619&lt;=32,"E","")))))))</f>
        <v>D</v>
      </c>
      <c r="N1619" s="57" t="s">
        <v>729</v>
      </c>
      <c r="O1619" s="58"/>
      <c r="P1619" s="59"/>
      <c r="Q1619" s="19"/>
      <c r="R1619" s="11"/>
    </row>
    <row r="1620" s="1" customFormat="1" ht="21.95" customHeight="1" spans="1:18">
      <c r="A1620" s="7"/>
      <c r="B1620" s="12"/>
      <c r="C1620" s="33"/>
      <c r="D1620" s="52" t="s">
        <v>513</v>
      </c>
      <c r="E1620" s="53"/>
      <c r="F1620" s="54">
        <f ca="1">IFERROR(VLOOKUP(F1602,'RR-3.1-5TH'!$A$12:'RR-3.1-5TH'!$BN$111,17,0),"")</f>
        <v>1</v>
      </c>
      <c r="G1620" s="54">
        <f ca="1">IFERROR(VLOOKUP(F1602,'RR-3.1-5TH'!$A$12:'RR-3.1-5TH'!$BN$111,18,0),"")</f>
        <v>0</v>
      </c>
      <c r="H1620" s="54">
        <f ca="1">IFERROR(VLOOKUP(F1602,'RR-3.1-5TH'!$A$12:'RR-3.1-5TH'!$BN$111,19,0),"")</f>
        <v>0</v>
      </c>
      <c r="I1620" s="54">
        <f ca="1">IFERROR(VLOOKUP(F1602,'RR-3.1-5TH'!$A$12:'RR-3.1-5TH'!$BN$111,20,0),"")</f>
        <v>0</v>
      </c>
      <c r="J1620" s="54">
        <f ca="1">IFERROR(VLOOKUP(F1602,'RR-3.1-5TH'!$A$12:'RR-3.1-5TH'!$BN$111,21,0),"")</f>
        <v>13</v>
      </c>
      <c r="K1620" s="54">
        <f ca="1">IFERROR(VLOOKUP(F1602,'RR-3.1-5TH'!$A$12:'RR-3.1-5TH'!$BN$111,22,0),"")</f>
        <v>0</v>
      </c>
      <c r="L1620" s="55">
        <f ca="1" t="shared" si="84"/>
        <v>14</v>
      </c>
      <c r="M1620" s="56" t="str">
        <f ca="1">IF(F1602&gt;ENTRY!$D$24,"",IF(L1620=0,"Ab",IF(L1620&gt;80,"A",IF(L1620&gt;60,"B",IF(L1620&gt;44,"C",IF(L1620&gt;=33,"D",IF(L1620&lt;=32,"E","")))))))</f>
        <v>E</v>
      </c>
      <c r="N1620" s="58"/>
      <c r="O1620" s="58"/>
      <c r="P1620" s="59"/>
      <c r="Q1620" s="19"/>
      <c r="R1620" s="11"/>
    </row>
    <row r="1621" s="1" customFormat="1" ht="21.95" customHeight="1" spans="1:18">
      <c r="A1621" s="7"/>
      <c r="B1621" s="12"/>
      <c r="C1621" s="33"/>
      <c r="D1621" s="52" t="s">
        <v>718</v>
      </c>
      <c r="E1621" s="53"/>
      <c r="F1621" s="54">
        <f ca="1">IFERROR(VLOOKUP(F1602,'RR-3.1-5TH'!$A$12:'RR-3.1-5TH'!$BN$111,25,0),"")</f>
        <v>1</v>
      </c>
      <c r="G1621" s="54">
        <f ca="1">IFERROR(VLOOKUP(F1602,'RR-3.1-5TH'!$A$12:'RR-3.1-5TH'!$BN$111,26,0),"")</f>
        <v>0</v>
      </c>
      <c r="H1621" s="54">
        <f ca="1">IFERROR(VLOOKUP(F1602,'RR-3.1-5TH'!$A$12:'RR-3.1-5TH'!$BN$111,27,0),"")</f>
        <v>0</v>
      </c>
      <c r="I1621" s="54">
        <f ca="1">IFERROR(VLOOKUP(F1602,'RR-3.1-5TH'!$A$12:'RR-3.1-5TH'!$BN$111,28,0),"")</f>
        <v>0</v>
      </c>
      <c r="J1621" s="54">
        <f ca="1">IFERROR(VLOOKUP(F1602,'RR-3.1-5TH'!$A$12:'RR-3.1-5TH'!$BN$111,29,0),"")</f>
        <v>12</v>
      </c>
      <c r="K1621" s="54">
        <f ca="1">IFERROR(VLOOKUP(F1602,'RR-3.1-5TH'!$A$12:'RR-3.1-5TH'!$BN$111,30,0),"")</f>
        <v>0</v>
      </c>
      <c r="L1621" s="55">
        <f ca="1" t="shared" si="84"/>
        <v>13</v>
      </c>
      <c r="M1621" s="56" t="str">
        <f ca="1">IF(F1602&gt;ENTRY!$D$24,"",IF(L1621=0,"Ab",IF(L1621&gt;80,"A",IF(L1621&gt;60,"B",IF(L1621&gt;44,"C",IF(L1621&gt;=33,"D",IF(L1621&lt;=32,"E","")))))))</f>
        <v>E</v>
      </c>
      <c r="N1621" s="29"/>
      <c r="O1621" s="29"/>
      <c r="P1621" s="19"/>
      <c r="Q1621" s="19"/>
      <c r="R1621" s="11"/>
    </row>
    <row r="1622" s="1" customFormat="1" ht="21.95" customHeight="1" spans="1:18">
      <c r="A1622" s="7"/>
      <c r="B1622" s="12"/>
      <c r="C1622" s="33"/>
      <c r="D1622" s="52" t="s">
        <v>719</v>
      </c>
      <c r="E1622" s="53"/>
      <c r="F1622" s="54">
        <f ca="1">IFERROR(VLOOKUP(F1602,'RR-3.1-5TH'!$A$12:'RR-3.1-5TH'!$BN$111,33,0),"")</f>
        <v>1</v>
      </c>
      <c r="G1622" s="54">
        <f ca="1">IFERROR(VLOOKUP(F1602,'RR-3.1-5TH'!$A$12:'RR-3.1-5TH'!$BN$111,34,0),"")</f>
        <v>0</v>
      </c>
      <c r="H1622" s="54">
        <f ca="1">IFERROR(VLOOKUP(F1602,'RR-3.1-5TH'!$A$12:'RR-3.1-5TH'!$BN$111,35,0),"")</f>
        <v>0</v>
      </c>
      <c r="I1622" s="54">
        <f ca="1">IFERROR(VLOOKUP(F1602,'RR-3.1-5TH'!$A$12:'RR-3.1-5TH'!$BN$111,36,0),"")</f>
        <v>0</v>
      </c>
      <c r="J1622" s="54">
        <f ca="1">IFERROR(VLOOKUP(F1602,'RR-3.1-5TH'!$A$12:'RR-3.1-5TH'!$BN$111,37,0),"")</f>
        <v>13</v>
      </c>
      <c r="K1622" s="54">
        <f ca="1">IFERROR(VLOOKUP(F1602,'RR-3.1-5TH'!$A$12:'RR-3.1-5TH'!$BN$111,38,0),"")</f>
        <v>0</v>
      </c>
      <c r="L1622" s="55">
        <f ca="1" t="shared" si="84"/>
        <v>14</v>
      </c>
      <c r="M1622" s="56" t="str">
        <f ca="1">IF(F1602&gt;ENTRY!$D$24,"",IF(L1622=0,"Ab",IF(L1622&gt;80,"A",IF(L1622&gt;60,"B",IF(L1622&gt;44,"C",IF(L1622&gt;=33,"D",IF(L1622&lt;=32,"E","")))))))</f>
        <v>E</v>
      </c>
      <c r="N1622" s="29"/>
      <c r="O1622" s="29"/>
      <c r="P1622" s="19"/>
      <c r="Q1622" s="19"/>
      <c r="R1622" s="11"/>
    </row>
    <row r="1623" s="1" customFormat="1" ht="21.95" customHeight="1" spans="1:18">
      <c r="A1623" s="7"/>
      <c r="B1623" s="12"/>
      <c r="C1623" s="33"/>
      <c r="D1623" s="52" t="s">
        <v>548</v>
      </c>
      <c r="E1623" s="53"/>
      <c r="F1623" s="54">
        <f ca="1">IFERROR(VLOOKUP(F1602,'RR-3.1-5TH'!$A$12:'RR-3.1-5TH'!$BN$111,41,0),"")</f>
        <v>0</v>
      </c>
      <c r="G1623" s="54">
        <f ca="1">IFERROR(VLOOKUP(F1602,'RR-3.1-5TH'!$A$12:'RR-3.1-5TH'!$BN$111,42,0),"")</f>
        <v>0</v>
      </c>
      <c r="H1623" s="54">
        <f ca="1">IFERROR(VLOOKUP(F1602,'RR-3.1-5TH'!$A$12:'RR-3.1-5TH'!$BN$111,43,0),"")</f>
        <v>0</v>
      </c>
      <c r="I1623" s="54">
        <f ca="1">IFERROR(VLOOKUP(F1602,'RR-3.1-5TH'!$A$12:'RR-3.1-5TH'!$BN$111,44,0),"")</f>
        <v>0</v>
      </c>
      <c r="J1623" s="54">
        <f ca="1">IFERROR(VLOOKUP(F1602,'RR-3.1-5TH'!$A$12:'RR-3.1-5TH'!$BN$111,45,0),"")</f>
        <v>13</v>
      </c>
      <c r="K1623" s="54">
        <f ca="1">IFERROR(VLOOKUP(F1602,'RR-3.1-5TH'!$A$12:'RR-3.1-5TH'!$BN$111,46,0),"")</f>
        <v>0</v>
      </c>
      <c r="L1623" s="55">
        <f ca="1" t="shared" si="84"/>
        <v>13</v>
      </c>
      <c r="M1623" s="56" t="str">
        <f ca="1">IF(F1602&gt;ENTRY!$D$24,"",IF(L1623=0,"Ab",IF(L1623&gt;80,"A",IF(L1623&gt;60,"B",IF(L1623&gt;44,"C",IF(L1623&gt;=33,"D",IF(L1623&lt;=32,"E","")))))))</f>
        <v>E</v>
      </c>
      <c r="N1623" s="29"/>
      <c r="O1623" s="29"/>
      <c r="P1623" s="19"/>
      <c r="Q1623" s="19"/>
      <c r="R1623" s="11"/>
    </row>
    <row r="1624" s="1" customFormat="1" ht="21.95" customHeight="1" spans="1:18">
      <c r="A1624" s="7"/>
      <c r="B1624" s="12"/>
      <c r="C1624" s="33"/>
      <c r="D1624" s="52" t="s">
        <v>549</v>
      </c>
      <c r="E1624" s="53"/>
      <c r="F1624" s="54">
        <f ca="1">IFERROR(VLOOKUP(F1602,'RR-3.1-5TH'!$A$12:'RR-3.1-5TH'!$BN$111,49,0),"")</f>
        <v>1</v>
      </c>
      <c r="G1624" s="54">
        <f ca="1">IFERROR(VLOOKUP(F1602,'RR-3.1-5TH'!$A$12:'RR-3.1-5TH'!$BN$111,50,0),"")</f>
        <v>0</v>
      </c>
      <c r="H1624" s="54">
        <f ca="1">IFERROR(VLOOKUP(F1602,'RR-3.1-5TH'!$A$12:'RR-3.1-5TH'!$BN$111,51,0),"")</f>
        <v>0</v>
      </c>
      <c r="I1624" s="54">
        <f ca="1">IFERROR(VLOOKUP(F1602,'RR-3.1-5TH'!$A$12:'RR-3.1-5TH'!$BN$111,52,0),"")</f>
        <v>0</v>
      </c>
      <c r="J1624" s="54">
        <f ca="1">IFERROR(VLOOKUP(F1602,'RR-3.1-5TH'!$A$12:'RR-3.1-5TH'!$BN$111,53,0),"")</f>
        <v>27</v>
      </c>
      <c r="K1624" s="54">
        <f ca="1">IFERROR(VLOOKUP(F1602,'RR-3.1-5TH'!$A$12:'RR-3.1-5TH'!$BN$111,54,0),"")</f>
        <v>0</v>
      </c>
      <c r="L1624" s="55">
        <f ca="1" t="shared" si="84"/>
        <v>28</v>
      </c>
      <c r="M1624" s="56" t="str">
        <f ca="1">IF(F1602&gt;ENTRY!$D$24,"",IF(L1624=0,"Ab",IF(L1624&gt;80,"A",IF(L1624&gt;60,"B",IF(L1624&gt;44,"C",IF(L1624&gt;=33,"D",IF(L1624&lt;=32,"E","")))))))</f>
        <v>E</v>
      </c>
      <c r="N1624" s="57" t="s">
        <v>752</v>
      </c>
      <c r="O1624" s="58"/>
      <c r="P1624" s="59"/>
      <c r="Q1624" s="19"/>
      <c r="R1624" s="11"/>
    </row>
    <row r="1625" s="1" customFormat="1" ht="21.95" customHeight="1" spans="1:18">
      <c r="A1625" s="7"/>
      <c r="B1625" s="12"/>
      <c r="C1625" s="33"/>
      <c r="D1625" s="52" t="s">
        <v>753</v>
      </c>
      <c r="E1625" s="53"/>
      <c r="F1625" s="60"/>
      <c r="G1625" s="54"/>
      <c r="H1625" s="54"/>
      <c r="I1625" s="54"/>
      <c r="J1625" s="54"/>
      <c r="K1625" s="54"/>
      <c r="L1625" s="55">
        <f t="shared" ref="L1625" si="85">SUM(G1625:K1625)</f>
        <v>0</v>
      </c>
      <c r="M1625" s="56" t="str">
        <f>IF(F1602&gt;ENTRY!$D$24,"",IF(L1625=0,"",IF(L1625&gt;79,"A",IF(L1625&gt;59,"B",IF(L1625&gt;44,"C",IF(L1625&gt;=33,"D",IF(L1625&lt;=32,"E","")))))))</f>
        <v/>
      </c>
      <c r="N1625" s="58"/>
      <c r="O1625" s="58"/>
      <c r="P1625" s="59"/>
      <c r="Q1625" s="19"/>
      <c r="R1625" s="11"/>
    </row>
    <row r="1626" s="1" customFormat="1" ht="21.95" customHeight="1" spans="1:18">
      <c r="A1626" s="7"/>
      <c r="B1626" s="12"/>
      <c r="C1626" s="33"/>
      <c r="D1626" s="45" t="s">
        <v>382</v>
      </c>
      <c r="E1626" s="46"/>
      <c r="F1626" s="54">
        <f ca="1" t="shared" ref="F1626:L1626" si="86">IFERROR(SUM(F1619:F1625),"")</f>
        <v>5</v>
      </c>
      <c r="G1626" s="54">
        <f ca="1" t="shared" si="86"/>
        <v>0</v>
      </c>
      <c r="H1626" s="54">
        <f ca="1" t="shared" si="86"/>
        <v>0</v>
      </c>
      <c r="I1626" s="54">
        <f ca="1" t="shared" si="86"/>
        <v>0</v>
      </c>
      <c r="J1626" s="54">
        <f ca="1" t="shared" si="86"/>
        <v>115</v>
      </c>
      <c r="K1626" s="54">
        <f ca="1" t="shared" si="86"/>
        <v>0</v>
      </c>
      <c r="L1626" s="55">
        <f ca="1" t="shared" si="86"/>
        <v>120</v>
      </c>
      <c r="M1626" s="61" t="str">
        <f ca="1">IF(F1602&gt;ENTRY!$D$24,"",IF(N1627="Ab","Ab",IF(N1627&gt;79.5,"A",IF(N1627&gt;59.5,"B",IF(N1627&gt;44.5,"C",IF(N1627&gt;=33,"D",IF(N1627&lt;33,"E","")))))))</f>
        <v>E</v>
      </c>
      <c r="N1626" s="62"/>
      <c r="O1626" s="58"/>
      <c r="P1626" s="59"/>
      <c r="Q1626" s="19"/>
      <c r="R1626" s="11"/>
    </row>
    <row r="1627" s="1" customFormat="1" ht="21.95" customHeight="1" spans="1:18">
      <c r="A1627" s="7"/>
      <c r="B1627" s="12"/>
      <c r="C1627" s="33"/>
      <c r="D1627" s="63" t="s">
        <v>721</v>
      </c>
      <c r="E1627" s="63"/>
      <c r="F1627" s="63"/>
      <c r="G1627" s="63"/>
      <c r="H1627" s="63"/>
      <c r="I1627" s="63"/>
      <c r="J1627" s="63"/>
      <c r="K1627" s="63"/>
      <c r="L1627" s="63"/>
      <c r="M1627" s="63"/>
      <c r="N1627" s="64">
        <f ca="1">IF(L1626="Ab","Ab",L1626/6)</f>
        <v>20</v>
      </c>
      <c r="O1627" s="65"/>
      <c r="P1627" s="19"/>
      <c r="Q1627" s="19"/>
      <c r="R1627" s="11"/>
    </row>
    <row r="1628" s="1" customFormat="1" ht="21.95" customHeight="1" spans="1:18">
      <c r="A1628" s="7"/>
      <c r="B1628" s="12"/>
      <c r="C1628" s="33"/>
      <c r="D1628" s="29" t="s">
        <v>716</v>
      </c>
      <c r="E1628" s="18" t="str">
        <f>IFERROR(VLOOKUP(F1602,'1to4-2.1-RR'!$A$12:$BG$111,57,0),"")</f>
        <v>PROMOTED</v>
      </c>
      <c r="F1628" s="18"/>
      <c r="G1628" s="18"/>
      <c r="H1628" s="18"/>
      <c r="I1628" s="18"/>
      <c r="J1628" s="18"/>
      <c r="K1628" s="18"/>
      <c r="L1628" s="18"/>
      <c r="M1628" s="18"/>
      <c r="N1628" s="29"/>
      <c r="O1628" s="29"/>
      <c r="P1628" s="19"/>
      <c r="Q1628" s="19"/>
      <c r="R1628" s="11"/>
    </row>
    <row r="1629" s="1" customFormat="1" ht="9.95" customHeight="1" spans="1:18">
      <c r="A1629" s="7"/>
      <c r="B1629" s="12"/>
      <c r="C1629" s="33"/>
      <c r="D1629" s="29"/>
      <c r="E1629" s="29"/>
      <c r="F1629" s="29"/>
      <c r="G1629" s="29"/>
      <c r="H1629" s="29"/>
      <c r="I1629" s="29"/>
      <c r="J1629" s="29"/>
      <c r="K1629" s="29"/>
      <c r="L1629" s="29"/>
      <c r="M1629" s="29"/>
      <c r="N1629" s="29"/>
      <c r="O1629" s="29"/>
      <c r="P1629" s="19"/>
      <c r="Q1629" s="19"/>
      <c r="R1629" s="11"/>
    </row>
    <row r="1630" s="1" customFormat="1" ht="36" spans="1:18">
      <c r="A1630" s="7"/>
      <c r="B1630" s="12"/>
      <c r="C1630" s="33"/>
      <c r="D1630" s="66" t="s">
        <v>576</v>
      </c>
      <c r="E1630" s="67" t="s">
        <v>754</v>
      </c>
      <c r="F1630" s="47">
        <f>IF(F1602&gt;ENTRY!$D$24,"",IFERROR(VLOOKUP(F1602,PASHEET!$A$4:$CJ$103,88,0),""))</f>
        <v>0</v>
      </c>
      <c r="G1630" s="67" t="s">
        <v>755</v>
      </c>
      <c r="H1630" s="47">
        <f>IF(F1602&gt;ENTRY!$D$24,"",IFERROR(VLOOKUP(F1602,PASHEET!$A$4:$CJ$103,87,0),""))</f>
        <v>0</v>
      </c>
      <c r="I1630" s="68" t="s">
        <v>756</v>
      </c>
      <c r="J1630" s="69" t="str">
        <f>IF(F1602&gt;ENTRY!$D$24,"",IFERROR(IF(F1602&gt;0,H1630/F1630*100),""))</f>
        <v/>
      </c>
      <c r="K1630" s="60" t="s">
        <v>757</v>
      </c>
      <c r="L1630" s="70">
        <f ca="1">IF(F1602&gt;ENTRY!$D$24,"",IFERROR(L1626/600*100,""))</f>
        <v>20</v>
      </c>
      <c r="M1630" s="47" t="str">
        <f ca="1">IF(F1602&gt;ENTRY!$D$24,"",IFERROR(L1626&amp;" / "&amp;"600",""))</f>
        <v>120 / 600</v>
      </c>
      <c r="N1630" s="29"/>
      <c r="O1630" s="29"/>
      <c r="P1630" s="19"/>
      <c r="Q1630" s="19"/>
      <c r="R1630" s="11"/>
    </row>
    <row r="1631" s="1" customFormat="1" ht="9.95" customHeight="1" spans="1:18">
      <c r="A1631" s="7"/>
      <c r="B1631" s="12"/>
      <c r="C1631" s="39"/>
      <c r="D1631" s="40"/>
      <c r="E1631" s="40"/>
      <c r="F1631" s="40"/>
      <c r="G1631" s="40"/>
      <c r="H1631" s="40"/>
      <c r="I1631" s="40"/>
      <c r="J1631" s="40"/>
      <c r="K1631" s="40"/>
      <c r="L1631" s="40"/>
      <c r="M1631" s="40"/>
      <c r="N1631" s="40"/>
      <c r="O1631" s="40"/>
      <c r="P1631" s="41"/>
      <c r="Q1631" s="19"/>
      <c r="R1631" s="11"/>
    </row>
    <row r="1632" s="1" customFormat="1" ht="9.95" customHeight="1" spans="1:18">
      <c r="A1632" s="7"/>
      <c r="B1632" s="12"/>
      <c r="C1632" s="71"/>
      <c r="D1632" s="71"/>
      <c r="E1632" s="71"/>
      <c r="F1632" s="29"/>
      <c r="G1632" s="71"/>
      <c r="H1632" s="71"/>
      <c r="I1632" s="71"/>
      <c r="J1632" s="71"/>
      <c r="K1632" s="71"/>
      <c r="L1632" s="71"/>
      <c r="M1632" s="71"/>
      <c r="N1632" s="71"/>
      <c r="O1632" s="71"/>
      <c r="P1632" s="71"/>
      <c r="Q1632" s="19"/>
      <c r="R1632" s="11"/>
    </row>
    <row r="1633" s="1" customFormat="1" ht="9.95" customHeight="1" spans="1:19">
      <c r="A1633" s="7"/>
      <c r="B1633" s="12"/>
      <c r="C1633" s="29"/>
      <c r="D1633" s="29"/>
      <c r="E1633" s="29"/>
      <c r="F1633" s="72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19"/>
      <c r="R1633" s="11"/>
    </row>
    <row r="1634" s="1" customFormat="1" ht="9.95" customHeight="1" spans="1:19">
      <c r="A1634" s="7"/>
      <c r="B1634" s="12"/>
      <c r="C1634" s="30"/>
      <c r="D1634" s="31"/>
      <c r="E1634" s="31"/>
      <c r="F1634" s="31"/>
      <c r="G1634" s="31"/>
      <c r="H1634" s="31"/>
      <c r="I1634" s="31"/>
      <c r="J1634" s="31"/>
      <c r="K1634" s="31"/>
      <c r="L1634" s="31"/>
      <c r="M1634" s="31"/>
      <c r="N1634" s="31"/>
      <c r="O1634" s="31"/>
      <c r="P1634" s="32"/>
      <c r="Q1634" s="19"/>
      <c r="R1634" s="11"/>
    </row>
    <row r="1635" s="1" customFormat="1" ht="21.95" customHeight="1" spans="1:19">
      <c r="A1635" s="7"/>
      <c r="B1635" s="12"/>
      <c r="C1635" s="73" t="s">
        <v>7</v>
      </c>
      <c r="D1635" s="13"/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74"/>
      <c r="Q1635" s="19"/>
      <c r="R1635" s="11"/>
      <c r="S1635" s="2"/>
    </row>
    <row r="1636" s="1" customFormat="1" ht="21.95" customHeight="1" spans="1:19">
      <c r="A1636" s="7"/>
      <c r="B1636" s="12"/>
      <c r="C1636" s="33"/>
      <c r="D1636" s="29"/>
      <c r="E1636" s="29"/>
      <c r="F1636" s="29"/>
      <c r="G1636" s="29"/>
      <c r="H1636" s="29"/>
      <c r="I1636" s="29"/>
      <c r="J1636" s="29"/>
      <c r="K1636" s="29"/>
      <c r="L1636" s="29"/>
      <c r="M1636" s="29"/>
      <c r="N1636" s="29"/>
      <c r="O1636" s="29"/>
      <c r="P1636" s="19"/>
      <c r="Q1636" s="19"/>
      <c r="R1636" s="11"/>
    </row>
    <row r="1637" s="1" customFormat="1" ht="21.95" customHeight="1" spans="1:19">
      <c r="A1637" s="7"/>
      <c r="B1637" s="12"/>
      <c r="C1637" s="75" t="str">
        <f>"SESSION-"&amp;ENTRY!$D$11</f>
        <v>SESSION-2026-27</v>
      </c>
      <c r="D1637" s="15"/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76"/>
      <c r="Q1637" s="19"/>
      <c r="R1637" s="11"/>
    </row>
    <row r="1638" s="1" customFormat="1" ht="18" customHeight="1" spans="1:19">
      <c r="A1638" s="7"/>
      <c r="B1638" s="12"/>
      <c r="C1638" s="33"/>
      <c r="D1638" s="29"/>
      <c r="E1638" s="29"/>
      <c r="F1638" s="29"/>
      <c r="G1638" s="29"/>
      <c r="H1638" s="29"/>
      <c r="I1638" s="29"/>
      <c r="J1638" s="29"/>
      <c r="K1638" s="29"/>
      <c r="L1638" s="29"/>
      <c r="M1638" s="29"/>
      <c r="N1638" s="29"/>
      <c r="O1638" s="29"/>
      <c r="P1638" s="19"/>
      <c r="Q1638" s="19"/>
      <c r="R1638" s="11"/>
    </row>
    <row r="1639" s="1" customFormat="1" ht="21.95" customHeight="1" spans="1:19">
      <c r="A1639" s="7"/>
      <c r="B1639" s="12"/>
      <c r="C1639" s="33"/>
      <c r="D1639" s="77" t="s">
        <v>758</v>
      </c>
      <c r="E1639" s="77"/>
      <c r="F1639" s="78" t="str">
        <f>IFERROR(PROPER(VLOOKUP(F1602,STUDENT!$A$2:$BP$101,5,0)),"")</f>
        <v>Kartik</v>
      </c>
      <c r="G1639" s="78"/>
      <c r="H1639" s="78"/>
      <c r="I1639" s="78"/>
      <c r="J1639" s="78"/>
      <c r="K1639" s="78"/>
      <c r="L1639" s="78"/>
      <c r="M1639" s="78"/>
      <c r="N1639" s="79" t="s">
        <v>759</v>
      </c>
      <c r="O1639" s="79"/>
      <c r="P1639" s="19"/>
      <c r="Q1639" s="19"/>
      <c r="R1639" s="11"/>
    </row>
    <row r="1640" s="1" customFormat="1" ht="21.95" customHeight="1" spans="1:19">
      <c r="A1640" s="7"/>
      <c r="B1640" s="12"/>
      <c r="C1640" s="33"/>
      <c r="D1640" s="80" t="s">
        <v>760</v>
      </c>
      <c r="E1640" s="81" t="str">
        <f>IFERROR(PROPER(VLOOKUP(F1602,STUDENT!$A$2:$BP$101,9,0)),"")</f>
        <v>Kajal</v>
      </c>
      <c r="F1640" s="81"/>
      <c r="G1640" s="81"/>
      <c r="H1640" s="80" t="s">
        <v>761</v>
      </c>
      <c r="I1640" s="82" t="str">
        <f>IFERROR(PROPER(VLOOKUP(F1602,STUDENT!$A$2:$BP$101,8,0)),"")</f>
        <v>Aman Yadav</v>
      </c>
      <c r="J1640" s="82"/>
      <c r="K1640" s="82"/>
      <c r="L1640" s="82"/>
      <c r="M1640" s="80" t="s">
        <v>762</v>
      </c>
      <c r="N1640" s="83" t="str">
        <f>IFERROR(VLOOKUP(F1602,STUDENT!$A$2:$BP$101,59,0),"")</f>
        <v/>
      </c>
      <c r="O1640" s="83"/>
      <c r="P1640" s="19"/>
      <c r="Q1640" s="19"/>
      <c r="R1640" s="11"/>
    </row>
    <row r="1641" s="1" customFormat="1" ht="21.95" customHeight="1" spans="1:19">
      <c r="A1641" s="7"/>
      <c r="B1641" s="12"/>
      <c r="C1641" s="33"/>
      <c r="D1641" s="77" t="str">
        <f>"has    completed     his  /  her     primary     level     education    in    the    year    "&amp;RIGHT(ENTRY!$D1607,4)&amp;"    from    ( School    Name )"</f>
        <v>has    completed     his  /  her     primary     level     education    in    the    year        from    ( School    Name )</v>
      </c>
      <c r="E1641" s="77"/>
      <c r="F1641" s="77"/>
      <c r="G1641" s="77"/>
      <c r="H1641" s="77"/>
      <c r="I1641" s="77"/>
      <c r="J1641" s="77"/>
      <c r="K1641" s="77"/>
      <c r="L1641" s="77"/>
      <c r="M1641" s="77"/>
      <c r="N1641" s="77"/>
      <c r="O1641" s="77"/>
      <c r="P1641" s="19"/>
      <c r="Q1641" s="19"/>
      <c r="R1641" s="11"/>
    </row>
    <row r="1642" s="1" customFormat="1" ht="21.95" customHeight="1" spans="1:19">
      <c r="A1642" s="7"/>
      <c r="B1642" s="12"/>
      <c r="C1642" s="33"/>
      <c r="D1642" s="81" t="str">
        <f>IF(F1602&gt;0,ENTRY!$D$6,"")</f>
        <v>MCP NITHARI NO 1 BOYS</v>
      </c>
      <c r="E1642" s="81"/>
      <c r="F1642" s="81"/>
      <c r="G1642" s="81"/>
      <c r="H1642" s="81"/>
      <c r="I1642" s="81"/>
      <c r="J1642" s="81"/>
      <c r="K1642" s="81"/>
      <c r="L1642" s="81"/>
      <c r="M1642" s="80" t="s">
        <v>763</v>
      </c>
      <c r="N1642" s="84">
        <f>IF(F1602&gt;0,ENTRY!$D$7,"")</f>
        <v>0</v>
      </c>
      <c r="O1642" s="84"/>
      <c r="P1642" s="85" t="s">
        <v>727</v>
      </c>
      <c r="Q1642" s="19"/>
      <c r="R1642" s="11"/>
    </row>
    <row r="1643" s="1" customFormat="1" ht="21.95" customHeight="1" spans="1:19">
      <c r="A1643" s="7"/>
      <c r="B1643" s="12"/>
      <c r="C1643" s="33"/>
      <c r="D1643" s="29"/>
      <c r="E1643" s="29"/>
      <c r="F1643" s="29"/>
      <c r="G1643" s="29"/>
      <c r="H1643" s="29"/>
      <c r="I1643" s="29"/>
      <c r="J1643" s="29"/>
      <c r="K1643" s="29"/>
      <c r="L1643" s="29"/>
      <c r="M1643" s="29"/>
      <c r="N1643" s="29"/>
      <c r="O1643" s="29"/>
      <c r="P1643" s="19"/>
      <c r="Q1643" s="19"/>
      <c r="R1643" s="11"/>
    </row>
    <row r="1644" s="1" customFormat="1" ht="21.95" customHeight="1" spans="1:19">
      <c r="A1644" s="7"/>
      <c r="B1644" s="12"/>
      <c r="C1644" s="33"/>
      <c r="D1644" s="29"/>
      <c r="E1644" s="29"/>
      <c r="F1644" s="29"/>
      <c r="G1644" s="29"/>
      <c r="H1644" s="29"/>
      <c r="I1644" s="29"/>
      <c r="J1644" s="29"/>
      <c r="K1644" s="29"/>
      <c r="L1644" s="29"/>
      <c r="M1644" s="29"/>
      <c r="N1644" s="29"/>
      <c r="O1644" s="29"/>
      <c r="P1644" s="19"/>
      <c r="Q1644" s="19"/>
      <c r="R1644" s="11"/>
    </row>
    <row r="1645" s="1" customFormat="1" ht="21.95" customHeight="1" spans="1:19">
      <c r="A1645" s="7"/>
      <c r="B1645" s="12"/>
      <c r="C1645" s="33"/>
      <c r="D1645" s="29"/>
      <c r="E1645" s="29"/>
      <c r="F1645" s="29"/>
      <c r="G1645" s="29"/>
      <c r="H1645" s="29"/>
      <c r="I1645" s="29"/>
      <c r="J1645" s="29"/>
      <c r="K1645" s="29"/>
      <c r="L1645" s="29"/>
      <c r="M1645" s="29"/>
      <c r="N1645" s="29"/>
      <c r="O1645" s="29"/>
      <c r="P1645" s="19"/>
      <c r="Q1645" s="19"/>
      <c r="R1645" s="11"/>
    </row>
    <row r="1646" s="1" customFormat="1" ht="21.95" customHeight="1" spans="1:19">
      <c r="A1646" s="7"/>
      <c r="B1646" s="12"/>
      <c r="C1646" s="33"/>
      <c r="D1646" s="29"/>
      <c r="E1646" s="29"/>
      <c r="F1646" s="29"/>
      <c r="G1646" s="29"/>
      <c r="H1646" s="29"/>
      <c r="I1646" s="29"/>
      <c r="J1646" s="29"/>
      <c r="K1646" s="29"/>
      <c r="L1646" s="29"/>
      <c r="M1646" s="29"/>
      <c r="N1646" s="29"/>
      <c r="O1646" s="29"/>
      <c r="P1646" s="19"/>
      <c r="Q1646" s="19"/>
      <c r="R1646" s="11"/>
    </row>
    <row r="1647" s="1" customFormat="1" ht="21.95" customHeight="1" spans="1:19">
      <c r="A1647" s="7"/>
      <c r="B1647" s="12"/>
      <c r="C1647" s="33"/>
      <c r="D1647" s="29"/>
      <c r="E1647" s="29"/>
      <c r="F1647" s="29"/>
      <c r="G1647" s="29"/>
      <c r="H1647" s="29"/>
      <c r="I1647" s="29"/>
      <c r="J1647" s="29"/>
      <c r="K1647" s="29"/>
      <c r="L1647" s="29"/>
      <c r="M1647" s="29"/>
      <c r="N1647" s="29"/>
      <c r="O1647" s="29"/>
      <c r="P1647" s="19"/>
      <c r="Q1647" s="19"/>
      <c r="R1647" s="11"/>
    </row>
    <row r="1648" s="1" customFormat="1" ht="21.95" customHeight="1" spans="1:19">
      <c r="A1648" s="7"/>
      <c r="B1648" s="12"/>
      <c r="C1648" s="33"/>
      <c r="D1648" s="80" t="s">
        <v>728</v>
      </c>
      <c r="E1648" s="86">
        <f>ENTRY!$D$27</f>
        <v>46102</v>
      </c>
      <c r="F1648" s="86"/>
      <c r="G1648" s="29"/>
      <c r="H1648" s="29"/>
      <c r="I1648" s="29"/>
      <c r="J1648" s="29"/>
      <c r="K1648" s="29"/>
      <c r="L1648" s="29"/>
      <c r="M1648" s="87" t="s">
        <v>730</v>
      </c>
      <c r="N1648" s="87"/>
      <c r="O1648" s="87"/>
      <c r="P1648" s="19"/>
      <c r="Q1648" s="19"/>
      <c r="R1648" s="11"/>
    </row>
    <row r="1649" s="1" customFormat="1" ht="21.95" customHeight="1" spans="1:18">
      <c r="A1649" s="7"/>
      <c r="B1649" s="12"/>
      <c r="C1649" s="33"/>
      <c r="D1649" s="80" t="s">
        <v>731</v>
      </c>
      <c r="E1649" s="88" t="str">
        <f>PROPER(ENTRY!$D$28)</f>
        <v>New Delhi</v>
      </c>
      <c r="F1649" s="88"/>
      <c r="G1649" s="29"/>
      <c r="H1649" s="29"/>
      <c r="I1649" s="29"/>
      <c r="J1649" s="29"/>
      <c r="K1649" s="29"/>
      <c r="L1649" s="29"/>
      <c r="M1649" s="89" t="s">
        <v>732</v>
      </c>
      <c r="N1649" s="89"/>
      <c r="O1649" s="89"/>
      <c r="P1649" s="19"/>
      <c r="Q1649" s="19"/>
      <c r="R1649" s="11"/>
    </row>
    <row r="1650" s="1" customFormat="1" ht="21.95" customHeight="1" spans="1:18">
      <c r="A1650" s="7"/>
      <c r="B1650" s="12"/>
      <c r="C1650" s="90"/>
      <c r="D1650" s="91"/>
      <c r="E1650" s="91"/>
      <c r="F1650" s="91"/>
      <c r="G1650" s="91"/>
      <c r="H1650" s="91"/>
      <c r="I1650" s="91"/>
      <c r="J1650" s="91"/>
      <c r="K1650" s="91"/>
      <c r="L1650" s="91"/>
      <c r="M1650" s="91"/>
      <c r="N1650" s="91"/>
      <c r="O1650" s="91"/>
      <c r="P1650" s="92"/>
      <c r="Q1650" s="14"/>
      <c r="R1650" s="11"/>
    </row>
    <row r="1651" s="1" customFormat="1" ht="5.1" customHeight="1" spans="1:18">
      <c r="A1651" s="7"/>
      <c r="B1651" s="90"/>
      <c r="C1651" s="91"/>
      <c r="D1651" s="91"/>
      <c r="E1651" s="91"/>
      <c r="F1651" s="91"/>
      <c r="G1651" s="91"/>
      <c r="H1651" s="91"/>
      <c r="I1651" s="91"/>
      <c r="J1651" s="91"/>
      <c r="K1651" s="91"/>
      <c r="L1651" s="91"/>
      <c r="M1651" s="91"/>
      <c r="N1651" s="91"/>
      <c r="O1651" s="91"/>
      <c r="P1651" s="91"/>
      <c r="Q1651" s="92"/>
      <c r="R1651" s="11"/>
    </row>
    <row r="1652" s="1" customFormat="1" ht="5.1" customHeight="1" spans="1:18">
      <c r="A1652" s="93"/>
      <c r="B1652" s="94"/>
      <c r="C1652" s="94"/>
      <c r="D1652" s="94"/>
      <c r="E1652" s="94"/>
      <c r="F1652" s="94"/>
      <c r="G1652" s="94"/>
      <c r="H1652" s="94"/>
      <c r="I1652" s="94"/>
      <c r="J1652" s="94"/>
      <c r="K1652" s="94"/>
      <c r="L1652" s="94"/>
      <c r="M1652" s="94"/>
      <c r="N1652" s="94"/>
      <c r="O1652" s="94"/>
      <c r="P1652" s="94"/>
      <c r="Q1652" s="94"/>
      <c r="R1652" s="95"/>
    </row>
    <row r="1653" s="2" customFormat="1" ht="9.95" customHeight="1"/>
    <row r="1654" s="1" customFormat="1" ht="5.1" customHeight="1" spans="1:18">
      <c r="A1654" s="4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6"/>
    </row>
    <row r="1655" s="1" customFormat="1" ht="15" customHeight="1" spans="1:18">
      <c r="A1655" s="7"/>
      <c r="B1655" s="8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9"/>
      <c r="O1655" s="9"/>
      <c r="P1655" s="9"/>
      <c r="Q1655" s="10"/>
      <c r="R1655" s="11"/>
    </row>
    <row r="1656" s="1" customFormat="1" ht="21.95" customHeight="1" spans="1:18">
      <c r="A1656" s="7"/>
      <c r="B1656" s="12"/>
      <c r="C1656" s="13" t="s">
        <v>7</v>
      </c>
      <c r="D1656" s="13"/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/>
      <c r="Q1656" s="14"/>
      <c r="R1656" s="11"/>
    </row>
    <row r="1657" s="1" customFormat="1" ht="21.95" customHeight="1" spans="1:18">
      <c r="A1657" s="7"/>
      <c r="B1657" s="1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14"/>
      <c r="R1657" s="11"/>
    </row>
    <row r="1658" s="1" customFormat="1" ht="21.95" customHeight="1" spans="1:18">
      <c r="A1658" s="7"/>
      <c r="B1658" s="12"/>
      <c r="C1658" s="15" t="str">
        <f>"SESSION-"&amp;ENTRY!$D$11</f>
        <v>SESSION-2026-27</v>
      </c>
      <c r="D1658" s="15"/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4"/>
      <c r="R1658" s="11"/>
    </row>
    <row r="1659" s="1" customFormat="1" ht="21.95" customHeight="1" spans="1:18">
      <c r="A1659" s="7"/>
      <c r="B1659" s="12"/>
      <c r="C1659" s="2"/>
      <c r="D1659" s="2"/>
      <c r="E1659" s="2"/>
      <c r="F1659" s="16">
        <f>F1602+1</f>
        <v>30</v>
      </c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14"/>
      <c r="R1659" s="11"/>
    </row>
    <row r="1660" s="1" customFormat="1" ht="21.95" customHeight="1" spans="1:18">
      <c r="A1660" s="7"/>
      <c r="B1660" s="12"/>
      <c r="C1660" s="17" t="s">
        <v>392</v>
      </c>
      <c r="D1660" s="17"/>
      <c r="E1660" s="17"/>
      <c r="F1660" s="18" t="str">
        <f>IF(F1659&gt;0,ENTRY!$D$6,"")</f>
        <v>MCP NITHARI NO 1 BOYS</v>
      </c>
      <c r="G1660" s="18"/>
      <c r="H1660" s="18"/>
      <c r="I1660" s="18"/>
      <c r="J1660" s="18"/>
      <c r="K1660" s="18"/>
      <c r="L1660" s="18"/>
      <c r="M1660" s="18"/>
      <c r="N1660" s="18"/>
      <c r="O1660" s="18"/>
      <c r="P1660" s="18"/>
      <c r="Q1660" s="19"/>
      <c r="R1660" s="11"/>
    </row>
    <row r="1661" s="1" customFormat="1" ht="21.95" customHeight="1" spans="1:18">
      <c r="A1661" s="7"/>
      <c r="B1661" s="12"/>
      <c r="C1661" s="17" t="s">
        <v>393</v>
      </c>
      <c r="D1661" s="17"/>
      <c r="E1661" s="17"/>
      <c r="F1661" s="18">
        <f>IF(F1659&gt;0,ENTRY!$D$7,"")</f>
        <v>0</v>
      </c>
      <c r="G1661" s="18"/>
      <c r="H1661" s="20" t="s">
        <v>702</v>
      </c>
      <c r="I1661" s="20"/>
      <c r="J1661" s="21">
        <f>IF(F1659&gt;0,ENTRY!$D$10,"")</f>
        <v>40</v>
      </c>
      <c r="K1661" s="20" t="s">
        <v>703</v>
      </c>
      <c r="L1661" s="22" t="str">
        <f>IF(F1659&gt;0,ENTRY!$D$5,"")</f>
        <v>ROHINI ZONE</v>
      </c>
      <c r="M1661" s="22"/>
      <c r="N1661" s="22"/>
      <c r="O1661" s="22"/>
      <c r="P1661" s="22"/>
      <c r="Q1661" s="19"/>
      <c r="R1661" s="11"/>
    </row>
    <row r="1662" s="1" customFormat="1" ht="21.95" customHeight="1" spans="1:18">
      <c r="A1662" s="7"/>
      <c r="B1662" s="12"/>
      <c r="C1662" s="17" t="s">
        <v>706</v>
      </c>
      <c r="D1662" s="17"/>
      <c r="E1662" s="17"/>
      <c r="F1662" s="23" t="str">
        <f>IFERROR(VLOOKUP(F1659,STUDENT!$A$2:$BP$101,5,0),"")</f>
        <v>AYAN</v>
      </c>
      <c r="G1662" s="23"/>
      <c r="H1662" s="23"/>
      <c r="I1662" s="23"/>
      <c r="J1662" s="23"/>
      <c r="K1662" s="23"/>
      <c r="L1662" s="20" t="s">
        <v>707</v>
      </c>
      <c r="M1662" s="20"/>
      <c r="N1662" s="24" t="str">
        <f>IF(F1659&gt;0,ENTRY!$D$20&amp;"-"&amp;ENTRY!$D$21,"")</f>
        <v>III-A</v>
      </c>
      <c r="O1662" s="24"/>
      <c r="P1662" s="24"/>
      <c r="Q1662" s="19"/>
      <c r="R1662" s="11"/>
    </row>
    <row r="1663" s="1" customFormat="1" ht="21.95" customHeight="1" spans="1:18">
      <c r="A1663" s="7"/>
      <c r="B1663" s="12"/>
      <c r="C1663" s="17" t="s">
        <v>708</v>
      </c>
      <c r="D1663" s="17"/>
      <c r="E1663" s="17"/>
      <c r="F1663" s="25">
        <f>IFERROR(VLOOKUP(F1659,STUDENT!$A$2:$BP$101,6,0),"")</f>
        <v>15022</v>
      </c>
      <c r="G1663" s="25"/>
      <c r="H1663" s="26" t="s">
        <v>709</v>
      </c>
      <c r="I1663" s="27" t="str">
        <f>IFERROR(VLOOKUP(F1659,STUDENT!$A$2:$BP$101,59,0),"")</f>
        <v/>
      </c>
      <c r="J1663" s="27"/>
      <c r="K1663" s="20" t="s">
        <v>710</v>
      </c>
      <c r="L1663" s="20"/>
      <c r="M1663" s="28">
        <f>IFERROR(VLOOKUP(F1659,STUDENT!$A$2:$BP$101,20,0),"")</f>
        <v>9315749491</v>
      </c>
      <c r="N1663" s="28"/>
      <c r="O1663" s="28"/>
      <c r="P1663" s="28"/>
      <c r="Q1663" s="19"/>
      <c r="R1663" s="11"/>
    </row>
    <row r="1664" s="1" customFormat="1" ht="21.95" customHeight="1" spans="1:18">
      <c r="A1664" s="7"/>
      <c r="B1664" s="12"/>
      <c r="C1664" s="17" t="s">
        <v>711</v>
      </c>
      <c r="D1664" s="17"/>
      <c r="E1664" s="17"/>
      <c r="F1664" s="23" t="str">
        <f>IFERROR(VLOOKUP(F1659,STUDENT!$A$2:$BP$101,9,0),"")</f>
        <v>HURVANO</v>
      </c>
      <c r="G1664" s="23"/>
      <c r="H1664" s="23"/>
      <c r="I1664" s="23"/>
      <c r="J1664" s="17" t="s">
        <v>620</v>
      </c>
      <c r="K1664" s="17"/>
      <c r="L1664" s="23" t="str">
        <f>IFERROR(VLOOKUP(F1659,STUDENT!$A$2:$BP$101,8,0),"")</f>
        <v>BABU HASAN</v>
      </c>
      <c r="M1664" s="23"/>
      <c r="N1664" s="23"/>
      <c r="O1664" s="23"/>
      <c r="P1664" s="23"/>
      <c r="Q1664" s="19"/>
      <c r="R1664" s="11"/>
    </row>
    <row r="1665" s="1" customFormat="1" ht="21.95" customHeight="1" spans="1:18">
      <c r="A1665" s="7"/>
      <c r="B1665" s="12"/>
      <c r="C1665" s="17" t="s">
        <v>712</v>
      </c>
      <c r="D1665" s="17"/>
      <c r="E1665" s="17"/>
      <c r="F1665" s="23" t="str">
        <f>IFERROR(VLOOKUP(F1659,STUDENT!$A$2:$BP$101,22,0),"")</f>
        <v>HOUSE NO. 230 PLOT NO. 53 BLK B INDER ENCLAVE</v>
      </c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19"/>
      <c r="R1665" s="11"/>
    </row>
    <row r="1666" s="1" customFormat="1" ht="9.95" customHeight="1" spans="1:18">
      <c r="A1666" s="7"/>
      <c r="B1666" s="12"/>
      <c r="C1666" s="29"/>
      <c r="D1666" s="29"/>
      <c r="E1666" s="29"/>
      <c r="F1666" s="29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19"/>
      <c r="R1666" s="11"/>
    </row>
    <row r="1667" s="1" customFormat="1" ht="9.95" customHeight="1" spans="1:18">
      <c r="A1667" s="7"/>
      <c r="B1667" s="12"/>
      <c r="C1667" s="30"/>
      <c r="D1667" s="31"/>
      <c r="E1667" s="31"/>
      <c r="F1667" s="31"/>
      <c r="G1667" s="31"/>
      <c r="H1667" s="31"/>
      <c r="I1667" s="31"/>
      <c r="J1667" s="31"/>
      <c r="K1667" s="31"/>
      <c r="L1667" s="31"/>
      <c r="M1667" s="31"/>
      <c r="N1667" s="31"/>
      <c r="O1667" s="31"/>
      <c r="P1667" s="32"/>
      <c r="Q1667" s="19"/>
      <c r="R1667" s="11"/>
    </row>
    <row r="1668" s="1" customFormat="1" ht="21.95" customHeight="1" spans="1:18">
      <c r="A1668" s="7"/>
      <c r="B1668" s="12"/>
      <c r="C1668" s="33"/>
      <c r="D1668" s="34" t="s">
        <v>713</v>
      </c>
      <c r="E1668" s="20" t="s">
        <v>714</v>
      </c>
      <c r="F1668" s="35" t="str">
        <f>"Level - "&amp;IFERROR(VLOOKUP(F1659,FLN!$A$4:$K$103,9,0),"")</f>
        <v>Level - 2</v>
      </c>
      <c r="G1668" s="36"/>
      <c r="H1668" s="37" t="s">
        <v>715</v>
      </c>
      <c r="I1668" s="20"/>
      <c r="J1668" s="35" t="str">
        <f>"Level - "&amp;IFERROR(VLOOKUP(F1659,FLN!$A$4:$K$103,11,0),"")</f>
        <v>Level - 3</v>
      </c>
      <c r="K1668" s="36"/>
      <c r="L1668" s="37" t="s">
        <v>408</v>
      </c>
      <c r="M1668" s="20"/>
      <c r="N1668" s="35" t="str">
        <f>"Level - "&amp;IFERROR(VLOOKUP(F1659,FLN!$A$4:$K$103,10,0),"")</f>
        <v>Level - 2</v>
      </c>
      <c r="O1668" s="36"/>
      <c r="P1668" s="19"/>
      <c r="Q1668" s="19"/>
      <c r="R1668" s="11"/>
    </row>
    <row r="1669" s="1" customFormat="1" ht="21.95" customHeight="1" spans="1:18">
      <c r="A1669" s="7"/>
      <c r="B1669" s="12"/>
      <c r="C1669" s="33"/>
      <c r="D1669" s="38"/>
      <c r="E1669" s="20" t="s">
        <v>716</v>
      </c>
      <c r="F1669" s="18" t="str">
        <f ca="1">IF(L1683&gt;197,"PERFORMED WELL","")</f>
        <v/>
      </c>
      <c r="G1669" s="18"/>
      <c r="H1669" s="18"/>
      <c r="I1669" s="18"/>
      <c r="J1669" s="18"/>
      <c r="K1669" s="18"/>
      <c r="L1669" s="18"/>
      <c r="M1669" s="18"/>
      <c r="N1669" s="18"/>
      <c r="O1669" s="18"/>
      <c r="P1669" s="19"/>
      <c r="Q1669" s="19"/>
      <c r="R1669" s="11"/>
    </row>
    <row r="1670" s="1" customFormat="1" ht="9.95" customHeight="1" spans="1:18">
      <c r="A1670" s="7"/>
      <c r="B1670" s="12"/>
      <c r="C1670" s="39"/>
      <c r="D1670" s="40"/>
      <c r="E1670" s="40"/>
      <c r="F1670" s="40"/>
      <c r="G1670" s="40"/>
      <c r="H1670" s="40"/>
      <c r="I1670" s="40"/>
      <c r="J1670" s="40"/>
      <c r="K1670" s="40"/>
      <c r="L1670" s="40"/>
      <c r="M1670" s="40"/>
      <c r="N1670" s="40"/>
      <c r="O1670" s="40"/>
      <c r="P1670" s="41"/>
      <c r="Q1670" s="19"/>
      <c r="R1670" s="11"/>
    </row>
    <row r="1671" s="1" customFormat="1" ht="9.95" customHeight="1" spans="1:18">
      <c r="A1671" s="7"/>
      <c r="B1671" s="12"/>
      <c r="C1671" s="29"/>
      <c r="D1671" s="29"/>
      <c r="E1671" s="29"/>
      <c r="F1671" s="29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19"/>
      <c r="R1671" s="11"/>
    </row>
    <row r="1672" s="1" customFormat="1" ht="9.95" customHeight="1" spans="1:18">
      <c r="A1672" s="7"/>
      <c r="B1672" s="12"/>
      <c r="C1672" s="30"/>
      <c r="D1672" s="31"/>
      <c r="E1672" s="31"/>
      <c r="F1672" s="31"/>
      <c r="G1672" s="31"/>
      <c r="H1672" s="31"/>
      <c r="I1672" s="31"/>
      <c r="J1672" s="31"/>
      <c r="K1672" s="31"/>
      <c r="L1672" s="31"/>
      <c r="M1672" s="31"/>
      <c r="N1672" s="31"/>
      <c r="O1672" s="31"/>
      <c r="P1672" s="32"/>
      <c r="Q1672" s="19"/>
      <c r="R1672" s="11"/>
    </row>
    <row r="1673" s="1" customFormat="1" ht="21.95" customHeight="1" spans="1:18">
      <c r="A1673" s="7"/>
      <c r="B1673" s="12"/>
      <c r="C1673" s="33"/>
      <c r="D1673" s="35"/>
      <c r="E1673" s="24"/>
      <c r="F1673" s="42" t="s">
        <v>717</v>
      </c>
      <c r="G1673" s="42"/>
      <c r="H1673" s="42"/>
      <c r="I1673" s="42"/>
      <c r="J1673" s="42"/>
      <c r="K1673" s="42"/>
      <c r="L1673" s="43"/>
      <c r="M1673" s="44"/>
      <c r="N1673" s="29"/>
      <c r="O1673" s="29"/>
      <c r="P1673" s="19"/>
      <c r="Q1673" s="19"/>
      <c r="R1673" s="11"/>
    </row>
    <row r="1674" s="1" customFormat="1" ht="21.95" customHeight="1" spans="1:18">
      <c r="A1674" s="7"/>
      <c r="B1674" s="12"/>
      <c r="C1674" s="33"/>
      <c r="D1674" s="45"/>
      <c r="E1674" s="46"/>
      <c r="F1674" s="47" t="s">
        <v>541</v>
      </c>
      <c r="G1674" s="47" t="s">
        <v>542</v>
      </c>
      <c r="H1674" s="47" t="s">
        <v>543</v>
      </c>
      <c r="I1674" s="47" t="s">
        <v>544</v>
      </c>
      <c r="J1674" s="47" t="s">
        <v>561</v>
      </c>
      <c r="K1674" s="48" t="s">
        <v>750</v>
      </c>
      <c r="L1674" s="47" t="s">
        <v>382</v>
      </c>
      <c r="M1674" s="49" t="s">
        <v>546</v>
      </c>
      <c r="N1674" s="29"/>
      <c r="O1674" s="29"/>
      <c r="P1674" s="19"/>
      <c r="Q1674" s="19"/>
      <c r="R1674" s="11"/>
    </row>
    <row r="1675" s="1" customFormat="1" ht="21.95" customHeight="1" spans="1:18">
      <c r="A1675" s="7"/>
      <c r="B1675" s="12"/>
      <c r="C1675" s="33"/>
      <c r="D1675" s="45" t="s">
        <v>652</v>
      </c>
      <c r="E1675" s="46"/>
      <c r="F1675" s="50">
        <v>10</v>
      </c>
      <c r="G1675" s="50">
        <v>10</v>
      </c>
      <c r="H1675" s="50">
        <v>10</v>
      </c>
      <c r="I1675" s="50">
        <v>10</v>
      </c>
      <c r="J1675" s="50">
        <v>60</v>
      </c>
      <c r="K1675" s="51"/>
      <c r="L1675" s="50">
        <v>100</v>
      </c>
      <c r="M1675" s="49"/>
      <c r="N1675" s="29"/>
      <c r="O1675" s="29"/>
      <c r="P1675" s="19"/>
      <c r="Q1675" s="19"/>
      <c r="R1675" s="11"/>
    </row>
    <row r="1676" s="1" customFormat="1" ht="21.95" customHeight="1" spans="1:18">
      <c r="A1676" s="7"/>
      <c r="B1676" s="12"/>
      <c r="C1676" s="33"/>
      <c r="D1676" s="52" t="s">
        <v>751</v>
      </c>
      <c r="E1676" s="53"/>
      <c r="F1676" s="54">
        <f ca="1">IFERROR(VLOOKUP(F1659,'RR-3.1-5TH'!$A$12:'RR-3.1-5TH'!$BN$111,9,0),"")</f>
        <v>1</v>
      </c>
      <c r="G1676" s="54">
        <f ca="1">IFERROR(VLOOKUP(F1659,'RR-3.1-5TH'!$A$12:'RR-3.1-5TH'!$BN$111,10,0),"")</f>
        <v>0</v>
      </c>
      <c r="H1676" s="54">
        <f ca="1">IFERROR(VLOOKUP(F1659,'RR-3.1-5TH'!$A$12:'RR-3.1-5TH'!$BN$111,11,0),"")</f>
        <v>0</v>
      </c>
      <c r="I1676" s="54">
        <f ca="1">IFERROR(VLOOKUP(F1659,'RR-3.1-5TH'!$A$12:'RR-3.1-5TH'!$BN$111,12,0),"")</f>
        <v>0</v>
      </c>
      <c r="J1676" s="54">
        <f ca="1">IFERROR(VLOOKUP(F1659,'RR-3.1-5TH'!$A$12:'RR-3.1-5TH'!$BN$111,13,0),"")</f>
        <v>52</v>
      </c>
      <c r="K1676" s="54">
        <f ca="1">IFERROR(VLOOKUP(F1659,'RR-3.1-5TH'!$A$12:'RR-3.1-5TH'!$BN$111,14,0),"")</f>
        <v>0</v>
      </c>
      <c r="L1676" s="55">
        <f ca="1" t="shared" ref="L1676:L1681" si="87">SUM(F1676,G1676,H1676,I1676,J1676,K1676)</f>
        <v>53</v>
      </c>
      <c r="M1676" s="56" t="str">
        <f ca="1">IF(F1659&gt;ENTRY!$D$24,"",IF(L1676=0,"Ab",IF(L1676&gt;80,"A",IF(L1676&gt;60,"B",IF(L1676&gt;44,"C",IF(L1676&gt;=33,"D",IF(L1676&lt;=32,"E","")))))))</f>
        <v>C</v>
      </c>
      <c r="N1676" s="57" t="s">
        <v>729</v>
      </c>
      <c r="O1676" s="58"/>
      <c r="P1676" s="59"/>
      <c r="Q1676" s="19"/>
      <c r="R1676" s="11"/>
    </row>
    <row r="1677" s="1" customFormat="1" ht="21.95" customHeight="1" spans="1:18">
      <c r="A1677" s="7"/>
      <c r="B1677" s="12"/>
      <c r="C1677" s="33"/>
      <c r="D1677" s="52" t="s">
        <v>513</v>
      </c>
      <c r="E1677" s="53"/>
      <c r="F1677" s="54">
        <f ca="1">IFERROR(VLOOKUP(F1659,'RR-3.1-5TH'!$A$12:'RR-3.1-5TH'!$BN$111,17,0),"")</f>
        <v>1</v>
      </c>
      <c r="G1677" s="54">
        <f ca="1">IFERROR(VLOOKUP(F1659,'RR-3.1-5TH'!$A$12:'RR-3.1-5TH'!$BN$111,18,0),"")</f>
        <v>0</v>
      </c>
      <c r="H1677" s="54">
        <f ca="1">IFERROR(VLOOKUP(F1659,'RR-3.1-5TH'!$A$12:'RR-3.1-5TH'!$BN$111,19,0),"")</f>
        <v>0</v>
      </c>
      <c r="I1677" s="54">
        <f ca="1">IFERROR(VLOOKUP(F1659,'RR-3.1-5TH'!$A$12:'RR-3.1-5TH'!$BN$111,20,0),"")</f>
        <v>0</v>
      </c>
      <c r="J1677" s="54">
        <f ca="1">IFERROR(VLOOKUP(F1659,'RR-3.1-5TH'!$A$12:'RR-3.1-5TH'!$BN$111,21,0),"")</f>
        <v>25</v>
      </c>
      <c r="K1677" s="54">
        <f ca="1">IFERROR(VLOOKUP(F1659,'RR-3.1-5TH'!$A$12:'RR-3.1-5TH'!$BN$111,22,0),"")</f>
        <v>0</v>
      </c>
      <c r="L1677" s="55">
        <f ca="1" t="shared" si="87"/>
        <v>26</v>
      </c>
      <c r="M1677" s="56" t="str">
        <f ca="1">IF(F1659&gt;ENTRY!$D$24,"",IF(L1677=0,"Ab",IF(L1677&gt;80,"A",IF(L1677&gt;60,"B",IF(L1677&gt;44,"C",IF(L1677&gt;=33,"D",IF(L1677&lt;=32,"E","")))))))</f>
        <v>E</v>
      </c>
      <c r="N1677" s="58"/>
      <c r="O1677" s="58"/>
      <c r="P1677" s="59"/>
      <c r="Q1677" s="19"/>
      <c r="R1677" s="11"/>
    </row>
    <row r="1678" s="1" customFormat="1" ht="21.95" customHeight="1" spans="1:18">
      <c r="A1678" s="7"/>
      <c r="B1678" s="12"/>
      <c r="C1678" s="33"/>
      <c r="D1678" s="52" t="s">
        <v>718</v>
      </c>
      <c r="E1678" s="53"/>
      <c r="F1678" s="54">
        <f ca="1">IFERROR(VLOOKUP(F1659,'RR-3.1-5TH'!$A$12:'RR-3.1-5TH'!$BN$111,25,0),"")</f>
        <v>1</v>
      </c>
      <c r="G1678" s="54">
        <f ca="1">IFERROR(VLOOKUP(F1659,'RR-3.1-5TH'!$A$12:'RR-3.1-5TH'!$BN$111,26,0),"")</f>
        <v>0</v>
      </c>
      <c r="H1678" s="54">
        <f ca="1">IFERROR(VLOOKUP(F1659,'RR-3.1-5TH'!$A$12:'RR-3.1-5TH'!$BN$111,27,0),"")</f>
        <v>0</v>
      </c>
      <c r="I1678" s="54">
        <f ca="1">IFERROR(VLOOKUP(F1659,'RR-3.1-5TH'!$A$12:'RR-3.1-5TH'!$BN$111,28,0),"")</f>
        <v>0</v>
      </c>
      <c r="J1678" s="54">
        <f ca="1">IFERROR(VLOOKUP(F1659,'RR-3.1-5TH'!$A$12:'RR-3.1-5TH'!$BN$111,29,0),"")</f>
        <v>20</v>
      </c>
      <c r="K1678" s="54">
        <f ca="1">IFERROR(VLOOKUP(F1659,'RR-3.1-5TH'!$A$12:'RR-3.1-5TH'!$BN$111,30,0),"")</f>
        <v>0</v>
      </c>
      <c r="L1678" s="55">
        <f ca="1" t="shared" si="87"/>
        <v>21</v>
      </c>
      <c r="M1678" s="56" t="str">
        <f ca="1">IF(F1659&gt;ENTRY!$D$24,"",IF(L1678=0,"Ab",IF(L1678&gt;80,"A",IF(L1678&gt;60,"B",IF(L1678&gt;44,"C",IF(L1678&gt;=33,"D",IF(L1678&lt;=32,"E","")))))))</f>
        <v>E</v>
      </c>
      <c r="N1678" s="29"/>
      <c r="O1678" s="29"/>
      <c r="P1678" s="19"/>
      <c r="Q1678" s="19"/>
      <c r="R1678" s="11"/>
    </row>
    <row r="1679" s="1" customFormat="1" ht="21.95" customHeight="1" spans="1:18">
      <c r="A1679" s="7"/>
      <c r="B1679" s="12"/>
      <c r="C1679" s="33"/>
      <c r="D1679" s="52" t="s">
        <v>719</v>
      </c>
      <c r="E1679" s="53"/>
      <c r="F1679" s="54">
        <f ca="1">IFERROR(VLOOKUP(F1659,'RR-3.1-5TH'!$A$12:'RR-3.1-5TH'!$BN$111,33,0),"")</f>
        <v>2</v>
      </c>
      <c r="G1679" s="54">
        <f ca="1">IFERROR(VLOOKUP(F1659,'RR-3.1-5TH'!$A$12:'RR-3.1-5TH'!$BN$111,34,0),"")</f>
        <v>0</v>
      </c>
      <c r="H1679" s="54">
        <f ca="1">IFERROR(VLOOKUP(F1659,'RR-3.1-5TH'!$A$12:'RR-3.1-5TH'!$BN$111,35,0),"")</f>
        <v>0</v>
      </c>
      <c r="I1679" s="54">
        <f ca="1">IFERROR(VLOOKUP(F1659,'RR-3.1-5TH'!$A$12:'RR-3.1-5TH'!$BN$111,36,0),"")</f>
        <v>0</v>
      </c>
      <c r="J1679" s="54">
        <f ca="1">IFERROR(VLOOKUP(F1659,'RR-3.1-5TH'!$A$12:'RR-3.1-5TH'!$BN$111,37,0),"")</f>
        <v>26</v>
      </c>
      <c r="K1679" s="54">
        <f ca="1">IFERROR(VLOOKUP(F1659,'RR-3.1-5TH'!$A$12:'RR-3.1-5TH'!$BN$111,38,0),"")</f>
        <v>0</v>
      </c>
      <c r="L1679" s="55">
        <f ca="1" t="shared" si="87"/>
        <v>28</v>
      </c>
      <c r="M1679" s="56" t="str">
        <f ca="1">IF(F1659&gt;ENTRY!$D$24,"",IF(L1679=0,"Ab",IF(L1679&gt;80,"A",IF(L1679&gt;60,"B",IF(L1679&gt;44,"C",IF(L1679&gt;=33,"D",IF(L1679&lt;=32,"E","")))))))</f>
        <v>E</v>
      </c>
      <c r="N1679" s="29"/>
      <c r="O1679" s="29"/>
      <c r="P1679" s="19"/>
      <c r="Q1679" s="19"/>
      <c r="R1679" s="11"/>
    </row>
    <row r="1680" s="1" customFormat="1" ht="21.95" customHeight="1" spans="1:18">
      <c r="A1680" s="7"/>
      <c r="B1680" s="12"/>
      <c r="C1680" s="33"/>
      <c r="D1680" s="52" t="s">
        <v>548</v>
      </c>
      <c r="E1680" s="53"/>
      <c r="F1680" s="54">
        <f ca="1">IFERROR(VLOOKUP(F1659,'RR-3.1-5TH'!$A$12:'RR-3.1-5TH'!$BN$111,41,0),"")</f>
        <v>0</v>
      </c>
      <c r="G1680" s="54">
        <f ca="1">IFERROR(VLOOKUP(F1659,'RR-3.1-5TH'!$A$12:'RR-3.1-5TH'!$BN$111,42,0),"")</f>
        <v>0</v>
      </c>
      <c r="H1680" s="54">
        <f ca="1">IFERROR(VLOOKUP(F1659,'RR-3.1-5TH'!$A$12:'RR-3.1-5TH'!$BN$111,43,0),"")</f>
        <v>0</v>
      </c>
      <c r="I1680" s="54">
        <f ca="1">IFERROR(VLOOKUP(F1659,'RR-3.1-5TH'!$A$12:'RR-3.1-5TH'!$BN$111,44,0),"")</f>
        <v>0</v>
      </c>
      <c r="J1680" s="54">
        <f ca="1">IFERROR(VLOOKUP(F1659,'RR-3.1-5TH'!$A$12:'RR-3.1-5TH'!$BN$111,45,0),"")</f>
        <v>25</v>
      </c>
      <c r="K1680" s="54">
        <f ca="1">IFERROR(VLOOKUP(F1659,'RR-3.1-5TH'!$A$12:'RR-3.1-5TH'!$BN$111,46,0),"")</f>
        <v>0</v>
      </c>
      <c r="L1680" s="55">
        <f ca="1" t="shared" si="87"/>
        <v>25</v>
      </c>
      <c r="M1680" s="56" t="str">
        <f ca="1">IF(F1659&gt;ENTRY!$D$24,"",IF(L1680=0,"Ab",IF(L1680&gt;80,"A",IF(L1680&gt;60,"B",IF(L1680&gt;44,"C",IF(L1680&gt;=33,"D",IF(L1680&lt;=32,"E","")))))))</f>
        <v>E</v>
      </c>
      <c r="N1680" s="29"/>
      <c r="O1680" s="29"/>
      <c r="P1680" s="19"/>
      <c r="Q1680" s="19"/>
      <c r="R1680" s="11"/>
    </row>
    <row r="1681" s="1" customFormat="1" ht="21.95" customHeight="1" spans="1:19">
      <c r="A1681" s="7"/>
      <c r="B1681" s="12"/>
      <c r="C1681" s="33"/>
      <c r="D1681" s="52" t="s">
        <v>549</v>
      </c>
      <c r="E1681" s="53"/>
      <c r="F1681" s="54">
        <f ca="1">IFERROR(VLOOKUP(F1659,'RR-3.1-5TH'!$A$12:'RR-3.1-5TH'!$BN$111,49,0),"")</f>
        <v>2</v>
      </c>
      <c r="G1681" s="54">
        <f ca="1">IFERROR(VLOOKUP(F1659,'RR-3.1-5TH'!$A$12:'RR-3.1-5TH'!$BN$111,50,0),"")</f>
        <v>0</v>
      </c>
      <c r="H1681" s="54">
        <f ca="1">IFERROR(VLOOKUP(F1659,'RR-3.1-5TH'!$A$12:'RR-3.1-5TH'!$BN$111,51,0),"")</f>
        <v>0</v>
      </c>
      <c r="I1681" s="54">
        <f ca="1">IFERROR(VLOOKUP(F1659,'RR-3.1-5TH'!$A$12:'RR-3.1-5TH'!$BN$111,52,0),"")</f>
        <v>0</v>
      </c>
      <c r="J1681" s="54">
        <f ca="1">IFERROR(VLOOKUP(F1659,'RR-3.1-5TH'!$A$12:'RR-3.1-5TH'!$BN$111,53,0),"")</f>
        <v>27</v>
      </c>
      <c r="K1681" s="54">
        <f ca="1">IFERROR(VLOOKUP(F1659,'RR-3.1-5TH'!$A$12:'RR-3.1-5TH'!$BN$111,54,0),"")</f>
        <v>0</v>
      </c>
      <c r="L1681" s="55">
        <f ca="1" t="shared" si="87"/>
        <v>29</v>
      </c>
      <c r="M1681" s="56" t="str">
        <f ca="1">IF(F1659&gt;ENTRY!$D$24,"",IF(L1681=0,"Ab",IF(L1681&gt;80,"A",IF(L1681&gt;60,"B",IF(L1681&gt;44,"C",IF(L1681&gt;=33,"D",IF(L1681&lt;=32,"E","")))))))</f>
        <v>E</v>
      </c>
      <c r="N1681" s="57" t="s">
        <v>752</v>
      </c>
      <c r="O1681" s="58"/>
      <c r="P1681" s="59"/>
      <c r="Q1681" s="19"/>
      <c r="R1681" s="11"/>
    </row>
    <row r="1682" s="1" customFormat="1" ht="21.95" customHeight="1" spans="1:19">
      <c r="A1682" s="7"/>
      <c r="B1682" s="12"/>
      <c r="C1682" s="33"/>
      <c r="D1682" s="52" t="s">
        <v>753</v>
      </c>
      <c r="E1682" s="53"/>
      <c r="F1682" s="60"/>
      <c r="G1682" s="54"/>
      <c r="H1682" s="54"/>
      <c r="I1682" s="54"/>
      <c r="J1682" s="54"/>
      <c r="K1682" s="54"/>
      <c r="L1682" s="55">
        <f t="shared" ref="L1682" si="88">SUM(G1682:K1682)</f>
        <v>0</v>
      </c>
      <c r="M1682" s="56" t="str">
        <f>IF(F1659&gt;ENTRY!$D$24,"",IF(L1682=0,"",IF(L1682&gt;79,"A",IF(L1682&gt;59,"B",IF(L1682&gt;44,"C",IF(L1682&gt;=33,"D",IF(L1682&lt;=32,"E","")))))))</f>
        <v/>
      </c>
      <c r="N1682" s="58"/>
      <c r="O1682" s="58"/>
      <c r="P1682" s="59"/>
      <c r="Q1682" s="19"/>
      <c r="R1682" s="11"/>
    </row>
    <row r="1683" s="1" customFormat="1" ht="21.95" customHeight="1" spans="1:19">
      <c r="A1683" s="7"/>
      <c r="B1683" s="12"/>
      <c r="C1683" s="33"/>
      <c r="D1683" s="45" t="s">
        <v>382</v>
      </c>
      <c r="E1683" s="46"/>
      <c r="F1683" s="54">
        <f ca="1" t="shared" ref="F1683:L1683" si="89">IFERROR(SUM(F1676:F1682),"")</f>
        <v>7</v>
      </c>
      <c r="G1683" s="54">
        <f ca="1" t="shared" si="89"/>
        <v>0</v>
      </c>
      <c r="H1683" s="54">
        <f ca="1" t="shared" si="89"/>
        <v>0</v>
      </c>
      <c r="I1683" s="54">
        <f ca="1" t="shared" si="89"/>
        <v>0</v>
      </c>
      <c r="J1683" s="54">
        <f ca="1" t="shared" si="89"/>
        <v>175</v>
      </c>
      <c r="K1683" s="54">
        <f ca="1" t="shared" si="89"/>
        <v>0</v>
      </c>
      <c r="L1683" s="55">
        <f ca="1" t="shared" si="89"/>
        <v>182</v>
      </c>
      <c r="M1683" s="61" t="str">
        <f ca="1">IF(F1659&gt;ENTRY!$D$24,"",IF(N1684="Ab","Ab",IF(N1684&gt;79.5,"A",IF(N1684&gt;59.5,"B",IF(N1684&gt;44.5,"C",IF(N1684&gt;=33,"D",IF(N1684&lt;33,"E","")))))))</f>
        <v>E</v>
      </c>
      <c r="N1683" s="62"/>
      <c r="O1683" s="58"/>
      <c r="P1683" s="59"/>
      <c r="Q1683" s="19"/>
      <c r="R1683" s="11"/>
    </row>
    <row r="1684" s="1" customFormat="1" ht="21.95" customHeight="1" spans="1:19">
      <c r="A1684" s="7"/>
      <c r="B1684" s="12"/>
      <c r="C1684" s="33"/>
      <c r="D1684" s="63" t="s">
        <v>721</v>
      </c>
      <c r="E1684" s="63"/>
      <c r="F1684" s="63"/>
      <c r="G1684" s="63"/>
      <c r="H1684" s="63"/>
      <c r="I1684" s="63"/>
      <c r="J1684" s="63"/>
      <c r="K1684" s="63"/>
      <c r="L1684" s="63"/>
      <c r="M1684" s="63"/>
      <c r="N1684" s="64">
        <f ca="1">IF(L1683="Ab","Ab",L1683/6)</f>
        <v>30.3333333333333</v>
      </c>
      <c r="O1684" s="65"/>
      <c r="P1684" s="19"/>
      <c r="Q1684" s="19"/>
      <c r="R1684" s="11"/>
    </row>
    <row r="1685" s="1" customFormat="1" ht="21.95" customHeight="1" spans="1:19">
      <c r="A1685" s="7"/>
      <c r="B1685" s="12"/>
      <c r="C1685" s="33"/>
      <c r="D1685" s="29" t="s">
        <v>716</v>
      </c>
      <c r="E1685" s="18" t="str">
        <f>IFERROR(VLOOKUP(F1659,'1to4-2.1-RR'!$A$12:$BG$111,57,0),"")</f>
        <v>PROMOTED</v>
      </c>
      <c r="F1685" s="18"/>
      <c r="G1685" s="18"/>
      <c r="H1685" s="18"/>
      <c r="I1685" s="18"/>
      <c r="J1685" s="18"/>
      <c r="K1685" s="18"/>
      <c r="L1685" s="18"/>
      <c r="M1685" s="18"/>
      <c r="N1685" s="29"/>
      <c r="O1685" s="29"/>
      <c r="P1685" s="19"/>
      <c r="Q1685" s="19"/>
      <c r="R1685" s="11"/>
    </row>
    <row r="1686" s="1" customFormat="1" ht="9.95" customHeight="1" spans="1:19">
      <c r="A1686" s="7"/>
      <c r="B1686" s="12"/>
      <c r="C1686" s="33"/>
      <c r="D1686" s="29"/>
      <c r="E1686" s="29"/>
      <c r="F1686" s="29"/>
      <c r="G1686" s="29"/>
      <c r="H1686" s="29"/>
      <c r="I1686" s="29"/>
      <c r="J1686" s="29"/>
      <c r="K1686" s="29"/>
      <c r="L1686" s="29"/>
      <c r="M1686" s="29"/>
      <c r="N1686" s="29"/>
      <c r="O1686" s="29"/>
      <c r="P1686" s="19"/>
      <c r="Q1686" s="19"/>
      <c r="R1686" s="11"/>
    </row>
    <row r="1687" s="1" customFormat="1" ht="36" spans="1:19">
      <c r="A1687" s="7"/>
      <c r="B1687" s="12"/>
      <c r="C1687" s="33"/>
      <c r="D1687" s="66" t="s">
        <v>576</v>
      </c>
      <c r="E1687" s="67" t="s">
        <v>754</v>
      </c>
      <c r="F1687" s="47">
        <f>IF(F1659&gt;ENTRY!$D$24,"",IFERROR(VLOOKUP(F1659,PASHEET!$A$4:$CJ$103,88,0),""))</f>
        <v>0</v>
      </c>
      <c r="G1687" s="67" t="s">
        <v>755</v>
      </c>
      <c r="H1687" s="47">
        <f>IF(F1659&gt;ENTRY!$D$24,"",IFERROR(VLOOKUP(F1659,PASHEET!$A$4:$CJ$103,87,0),""))</f>
        <v>0</v>
      </c>
      <c r="I1687" s="68" t="s">
        <v>756</v>
      </c>
      <c r="J1687" s="69" t="str">
        <f>IF(F1659&gt;ENTRY!$D$24,"",IFERROR(IF(F1659&gt;0,H1687/F1687*100),""))</f>
        <v/>
      </c>
      <c r="K1687" s="60" t="s">
        <v>757</v>
      </c>
      <c r="L1687" s="70">
        <f ca="1">IF(F1659&gt;ENTRY!$D$24,"",IFERROR(L1683/600*100,""))</f>
        <v>30.3333333333333</v>
      </c>
      <c r="M1687" s="47" t="str">
        <f ca="1">IF(F1659&gt;ENTRY!$D$24,"",IFERROR(L1683&amp;" / "&amp;"600",""))</f>
        <v>182 / 600</v>
      </c>
      <c r="N1687" s="29"/>
      <c r="O1687" s="29"/>
      <c r="P1687" s="19"/>
      <c r="Q1687" s="19"/>
      <c r="R1687" s="11"/>
    </row>
    <row r="1688" s="1" customFormat="1" ht="9.95" customHeight="1" spans="1:19">
      <c r="A1688" s="7"/>
      <c r="B1688" s="12"/>
      <c r="C1688" s="39"/>
      <c r="D1688" s="40"/>
      <c r="E1688" s="40"/>
      <c r="F1688" s="40"/>
      <c r="G1688" s="40"/>
      <c r="H1688" s="40"/>
      <c r="I1688" s="40"/>
      <c r="J1688" s="40"/>
      <c r="K1688" s="40"/>
      <c r="L1688" s="40"/>
      <c r="M1688" s="40"/>
      <c r="N1688" s="40"/>
      <c r="O1688" s="40"/>
      <c r="P1688" s="41"/>
      <c r="Q1688" s="19"/>
      <c r="R1688" s="11"/>
    </row>
    <row r="1689" s="1" customFormat="1" ht="9.95" customHeight="1" spans="1:19">
      <c r="A1689" s="7"/>
      <c r="B1689" s="12"/>
      <c r="C1689" s="71"/>
      <c r="D1689" s="71"/>
      <c r="E1689" s="71"/>
      <c r="F1689" s="29"/>
      <c r="G1689" s="71"/>
      <c r="H1689" s="71"/>
      <c r="I1689" s="71"/>
      <c r="J1689" s="71"/>
      <c r="K1689" s="71"/>
      <c r="L1689" s="71"/>
      <c r="M1689" s="71"/>
      <c r="N1689" s="71"/>
      <c r="O1689" s="71"/>
      <c r="P1689" s="71"/>
      <c r="Q1689" s="19"/>
      <c r="R1689" s="11"/>
    </row>
    <row r="1690" s="1" customFormat="1" ht="9.95" customHeight="1" spans="1:19">
      <c r="A1690" s="7"/>
      <c r="B1690" s="12"/>
      <c r="C1690" s="29"/>
      <c r="D1690" s="29"/>
      <c r="E1690" s="29"/>
      <c r="F1690" s="72"/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19"/>
      <c r="R1690" s="11"/>
    </row>
    <row r="1691" s="1" customFormat="1" ht="9.95" customHeight="1" spans="1:19">
      <c r="A1691" s="7"/>
      <c r="B1691" s="12"/>
      <c r="C1691" s="30"/>
      <c r="D1691" s="31"/>
      <c r="E1691" s="31"/>
      <c r="F1691" s="31"/>
      <c r="G1691" s="31"/>
      <c r="H1691" s="31"/>
      <c r="I1691" s="31"/>
      <c r="J1691" s="31"/>
      <c r="K1691" s="31"/>
      <c r="L1691" s="31"/>
      <c r="M1691" s="31"/>
      <c r="N1691" s="31"/>
      <c r="O1691" s="31"/>
      <c r="P1691" s="32"/>
      <c r="Q1691" s="19"/>
      <c r="R1691" s="11"/>
    </row>
    <row r="1692" s="1" customFormat="1" ht="21.95" customHeight="1" spans="1:19">
      <c r="A1692" s="7"/>
      <c r="B1692" s="12"/>
      <c r="C1692" s="73" t="s">
        <v>7</v>
      </c>
      <c r="D1692" s="13"/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74"/>
      <c r="Q1692" s="19"/>
      <c r="R1692" s="11"/>
      <c r="S1692" s="2"/>
    </row>
    <row r="1693" s="1" customFormat="1" ht="21.95" customHeight="1" spans="1:19">
      <c r="A1693" s="7"/>
      <c r="B1693" s="12"/>
      <c r="C1693" s="33"/>
      <c r="D1693" s="29"/>
      <c r="E1693" s="29"/>
      <c r="F1693" s="29"/>
      <c r="G1693" s="29"/>
      <c r="H1693" s="29"/>
      <c r="I1693" s="29"/>
      <c r="J1693" s="29"/>
      <c r="K1693" s="29"/>
      <c r="L1693" s="29"/>
      <c r="M1693" s="29"/>
      <c r="N1693" s="29"/>
      <c r="O1693" s="29"/>
      <c r="P1693" s="19"/>
      <c r="Q1693" s="19"/>
      <c r="R1693" s="11"/>
    </row>
    <row r="1694" s="1" customFormat="1" ht="21.95" customHeight="1" spans="1:19">
      <c r="A1694" s="7"/>
      <c r="B1694" s="12"/>
      <c r="C1694" s="75" t="str">
        <f>"SESSION-"&amp;ENTRY!$D$11</f>
        <v>SESSION-2026-27</v>
      </c>
      <c r="D1694" s="15"/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76"/>
      <c r="Q1694" s="19"/>
      <c r="R1694" s="11"/>
    </row>
    <row r="1695" s="1" customFormat="1" ht="18" customHeight="1" spans="1:19">
      <c r="A1695" s="7"/>
      <c r="B1695" s="12"/>
      <c r="C1695" s="33"/>
      <c r="D1695" s="29"/>
      <c r="E1695" s="29"/>
      <c r="F1695" s="29"/>
      <c r="G1695" s="29"/>
      <c r="H1695" s="29"/>
      <c r="I1695" s="29"/>
      <c r="J1695" s="29"/>
      <c r="K1695" s="29"/>
      <c r="L1695" s="29"/>
      <c r="M1695" s="29"/>
      <c r="N1695" s="29"/>
      <c r="O1695" s="29"/>
      <c r="P1695" s="19"/>
      <c r="Q1695" s="19"/>
      <c r="R1695" s="11"/>
    </row>
    <row r="1696" s="1" customFormat="1" ht="21.95" customHeight="1" spans="1:19">
      <c r="A1696" s="7"/>
      <c r="B1696" s="12"/>
      <c r="C1696" s="33"/>
      <c r="D1696" s="77" t="s">
        <v>758</v>
      </c>
      <c r="E1696" s="77"/>
      <c r="F1696" s="78" t="str">
        <f>IFERROR(PROPER(VLOOKUP(F1659,STUDENT!$A$2:$BP$101,5,0)),"")</f>
        <v>Ayan</v>
      </c>
      <c r="G1696" s="78"/>
      <c r="H1696" s="78"/>
      <c r="I1696" s="78"/>
      <c r="J1696" s="78"/>
      <c r="K1696" s="78"/>
      <c r="L1696" s="78"/>
      <c r="M1696" s="78"/>
      <c r="N1696" s="79" t="s">
        <v>759</v>
      </c>
      <c r="O1696" s="79"/>
      <c r="P1696" s="19"/>
      <c r="Q1696" s="19"/>
      <c r="R1696" s="11"/>
    </row>
    <row r="1697" s="1" customFormat="1" ht="21.95" customHeight="1" spans="1:18">
      <c r="A1697" s="7"/>
      <c r="B1697" s="12"/>
      <c r="C1697" s="33"/>
      <c r="D1697" s="80" t="s">
        <v>760</v>
      </c>
      <c r="E1697" s="81" t="str">
        <f>IFERROR(PROPER(VLOOKUP(F1659,STUDENT!$A$2:$BP$101,9,0)),"")</f>
        <v>Hurvano</v>
      </c>
      <c r="F1697" s="81"/>
      <c r="G1697" s="81"/>
      <c r="H1697" s="80" t="s">
        <v>761</v>
      </c>
      <c r="I1697" s="82" t="str">
        <f>IFERROR(PROPER(VLOOKUP(F1659,STUDENT!$A$2:$BP$101,8,0)),"")</f>
        <v>Babu Hasan</v>
      </c>
      <c r="J1697" s="82"/>
      <c r="K1697" s="82"/>
      <c r="L1697" s="82"/>
      <c r="M1697" s="80" t="s">
        <v>762</v>
      </c>
      <c r="N1697" s="83" t="str">
        <f>IFERROR(VLOOKUP(F1659,STUDENT!$A$2:$BP$101,59,0),"")</f>
        <v/>
      </c>
      <c r="O1697" s="83"/>
      <c r="P1697" s="19"/>
      <c r="Q1697" s="19"/>
      <c r="R1697" s="11"/>
    </row>
    <row r="1698" s="1" customFormat="1" ht="21.95" customHeight="1" spans="1:18">
      <c r="A1698" s="7"/>
      <c r="B1698" s="12"/>
      <c r="C1698" s="33"/>
      <c r="D1698" s="77" t="str">
        <f>"has    completed     his  /  her     primary     level     education    in    the    year    "&amp;RIGHT(ENTRY!$D1664,4)&amp;"    from    ( School    Name )"</f>
        <v>has    completed     his  /  her     primary     level     education    in    the    year        from    ( School    Name )</v>
      </c>
      <c r="E1698" s="77"/>
      <c r="F1698" s="77"/>
      <c r="G1698" s="77"/>
      <c r="H1698" s="77"/>
      <c r="I1698" s="77"/>
      <c r="J1698" s="77"/>
      <c r="K1698" s="77"/>
      <c r="L1698" s="77"/>
      <c r="M1698" s="77"/>
      <c r="N1698" s="77"/>
      <c r="O1698" s="77"/>
      <c r="P1698" s="19"/>
      <c r="Q1698" s="19"/>
      <c r="R1698" s="11"/>
    </row>
    <row r="1699" s="1" customFormat="1" ht="21.95" customHeight="1" spans="1:18">
      <c r="A1699" s="7"/>
      <c r="B1699" s="12"/>
      <c r="C1699" s="33"/>
      <c r="D1699" s="81" t="str">
        <f>IF(F1659&gt;0,ENTRY!$D$6,"")</f>
        <v>MCP NITHARI NO 1 BOYS</v>
      </c>
      <c r="E1699" s="81"/>
      <c r="F1699" s="81"/>
      <c r="G1699" s="81"/>
      <c r="H1699" s="81"/>
      <c r="I1699" s="81"/>
      <c r="J1699" s="81"/>
      <c r="K1699" s="81"/>
      <c r="L1699" s="81"/>
      <c r="M1699" s="80" t="s">
        <v>763</v>
      </c>
      <c r="N1699" s="84">
        <f>IF(F1659&gt;0,ENTRY!$D$7,"")</f>
        <v>0</v>
      </c>
      <c r="O1699" s="84"/>
      <c r="P1699" s="85" t="s">
        <v>727</v>
      </c>
      <c r="Q1699" s="19"/>
      <c r="R1699" s="11"/>
    </row>
    <row r="1700" s="1" customFormat="1" ht="21.95" customHeight="1" spans="1:18">
      <c r="A1700" s="7"/>
      <c r="B1700" s="12"/>
      <c r="C1700" s="33"/>
      <c r="D1700" s="29"/>
      <c r="E1700" s="29"/>
      <c r="F1700" s="29"/>
      <c r="G1700" s="29"/>
      <c r="H1700" s="29"/>
      <c r="I1700" s="29"/>
      <c r="J1700" s="29"/>
      <c r="K1700" s="29"/>
      <c r="L1700" s="29"/>
      <c r="M1700" s="29"/>
      <c r="N1700" s="29"/>
      <c r="O1700" s="29"/>
      <c r="P1700" s="19"/>
      <c r="Q1700" s="19"/>
      <c r="R1700" s="11"/>
    </row>
    <row r="1701" s="1" customFormat="1" ht="21.95" customHeight="1" spans="1:18">
      <c r="A1701" s="7"/>
      <c r="B1701" s="12"/>
      <c r="C1701" s="33"/>
      <c r="D1701" s="29"/>
      <c r="E1701" s="29"/>
      <c r="F1701" s="29"/>
      <c r="G1701" s="29"/>
      <c r="H1701" s="29"/>
      <c r="I1701" s="29"/>
      <c r="J1701" s="29"/>
      <c r="K1701" s="29"/>
      <c r="L1701" s="29"/>
      <c r="M1701" s="29"/>
      <c r="N1701" s="29"/>
      <c r="O1701" s="29"/>
      <c r="P1701" s="19"/>
      <c r="Q1701" s="19"/>
      <c r="R1701" s="11"/>
    </row>
    <row r="1702" s="1" customFormat="1" ht="21.95" customHeight="1" spans="1:18">
      <c r="A1702" s="7"/>
      <c r="B1702" s="12"/>
      <c r="C1702" s="33"/>
      <c r="D1702" s="29"/>
      <c r="E1702" s="29"/>
      <c r="F1702" s="29"/>
      <c r="G1702" s="29"/>
      <c r="H1702" s="29"/>
      <c r="I1702" s="29"/>
      <c r="J1702" s="29"/>
      <c r="K1702" s="29"/>
      <c r="L1702" s="29"/>
      <c r="M1702" s="29"/>
      <c r="N1702" s="29"/>
      <c r="O1702" s="29"/>
      <c r="P1702" s="19"/>
      <c r="Q1702" s="19"/>
      <c r="R1702" s="11"/>
    </row>
    <row r="1703" s="1" customFormat="1" ht="21.95" customHeight="1" spans="1:18">
      <c r="A1703" s="7"/>
      <c r="B1703" s="12"/>
      <c r="C1703" s="33"/>
      <c r="D1703" s="29"/>
      <c r="E1703" s="29"/>
      <c r="F1703" s="29"/>
      <c r="G1703" s="29"/>
      <c r="H1703" s="29"/>
      <c r="I1703" s="29"/>
      <c r="J1703" s="29"/>
      <c r="K1703" s="29"/>
      <c r="L1703" s="29"/>
      <c r="M1703" s="29"/>
      <c r="N1703" s="29"/>
      <c r="O1703" s="29"/>
      <c r="P1703" s="19"/>
      <c r="Q1703" s="19"/>
      <c r="R1703" s="11"/>
    </row>
    <row r="1704" s="1" customFormat="1" ht="21.95" customHeight="1" spans="1:18">
      <c r="A1704" s="7"/>
      <c r="B1704" s="12"/>
      <c r="C1704" s="33"/>
      <c r="D1704" s="29"/>
      <c r="E1704" s="29"/>
      <c r="F1704" s="29"/>
      <c r="G1704" s="29"/>
      <c r="H1704" s="29"/>
      <c r="I1704" s="29"/>
      <c r="J1704" s="29"/>
      <c r="K1704" s="29"/>
      <c r="L1704" s="29"/>
      <c r="M1704" s="29"/>
      <c r="N1704" s="29"/>
      <c r="O1704" s="29"/>
      <c r="P1704" s="19"/>
      <c r="Q1704" s="19"/>
      <c r="R1704" s="11"/>
    </row>
    <row r="1705" s="1" customFormat="1" ht="21.95" customHeight="1" spans="1:18">
      <c r="A1705" s="7"/>
      <c r="B1705" s="12"/>
      <c r="C1705" s="33"/>
      <c r="D1705" s="80" t="s">
        <v>728</v>
      </c>
      <c r="E1705" s="86">
        <f>ENTRY!$D$27</f>
        <v>46102</v>
      </c>
      <c r="F1705" s="86"/>
      <c r="G1705" s="29"/>
      <c r="H1705" s="29"/>
      <c r="I1705" s="29"/>
      <c r="J1705" s="29"/>
      <c r="K1705" s="29"/>
      <c r="L1705" s="29"/>
      <c r="M1705" s="87" t="s">
        <v>730</v>
      </c>
      <c r="N1705" s="87"/>
      <c r="O1705" s="87"/>
      <c r="P1705" s="19"/>
      <c r="Q1705" s="19"/>
      <c r="R1705" s="11"/>
    </row>
    <row r="1706" s="1" customFormat="1" ht="21.95" customHeight="1" spans="1:18">
      <c r="A1706" s="7"/>
      <c r="B1706" s="12"/>
      <c r="C1706" s="33"/>
      <c r="D1706" s="80" t="s">
        <v>731</v>
      </c>
      <c r="E1706" s="88" t="str">
        <f>PROPER(ENTRY!$D$28)</f>
        <v>New Delhi</v>
      </c>
      <c r="F1706" s="88"/>
      <c r="G1706" s="29"/>
      <c r="H1706" s="29"/>
      <c r="I1706" s="29"/>
      <c r="J1706" s="29"/>
      <c r="K1706" s="29"/>
      <c r="L1706" s="29"/>
      <c r="M1706" s="89" t="s">
        <v>732</v>
      </c>
      <c r="N1706" s="89"/>
      <c r="O1706" s="89"/>
      <c r="P1706" s="19"/>
      <c r="Q1706" s="19"/>
      <c r="R1706" s="11"/>
    </row>
    <row r="1707" s="1" customFormat="1" ht="21.95" customHeight="1" spans="1:18">
      <c r="A1707" s="7"/>
      <c r="B1707" s="12"/>
      <c r="C1707" s="90"/>
      <c r="D1707" s="91"/>
      <c r="E1707" s="91"/>
      <c r="F1707" s="91"/>
      <c r="G1707" s="91"/>
      <c r="H1707" s="91"/>
      <c r="I1707" s="91"/>
      <c r="J1707" s="91"/>
      <c r="K1707" s="91"/>
      <c r="L1707" s="91"/>
      <c r="M1707" s="91"/>
      <c r="N1707" s="91"/>
      <c r="O1707" s="91"/>
      <c r="P1707" s="92"/>
      <c r="Q1707" s="14"/>
      <c r="R1707" s="11"/>
    </row>
    <row r="1708" s="1" customFormat="1" ht="5.1" customHeight="1" spans="1:18">
      <c r="A1708" s="7"/>
      <c r="B1708" s="90"/>
      <c r="C1708" s="91"/>
      <c r="D1708" s="91"/>
      <c r="E1708" s="91"/>
      <c r="F1708" s="91"/>
      <c r="G1708" s="91"/>
      <c r="H1708" s="91"/>
      <c r="I1708" s="91"/>
      <c r="J1708" s="91"/>
      <c r="K1708" s="91"/>
      <c r="L1708" s="91"/>
      <c r="M1708" s="91"/>
      <c r="N1708" s="91"/>
      <c r="O1708" s="91"/>
      <c r="P1708" s="91"/>
      <c r="Q1708" s="92"/>
      <c r="R1708" s="11"/>
    </row>
    <row r="1709" s="1" customFormat="1" ht="5.1" customHeight="1" spans="1:18">
      <c r="A1709" s="93"/>
      <c r="B1709" s="94"/>
      <c r="C1709" s="94"/>
      <c r="D1709" s="94"/>
      <c r="E1709" s="94"/>
      <c r="F1709" s="94"/>
      <c r="G1709" s="94"/>
      <c r="H1709" s="94"/>
      <c r="I1709" s="94"/>
      <c r="J1709" s="94"/>
      <c r="K1709" s="94"/>
      <c r="L1709" s="94"/>
      <c r="M1709" s="94"/>
      <c r="N1709" s="94"/>
      <c r="O1709" s="94"/>
      <c r="P1709" s="94"/>
      <c r="Q1709" s="94"/>
      <c r="R1709" s="95"/>
    </row>
    <row r="1710" s="2" customFormat="1" ht="9.95" customHeight="1"/>
    <row r="1711" s="1" customFormat="1" ht="5.1" customHeight="1" spans="1:18">
      <c r="A1711" s="4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6"/>
    </row>
    <row r="1712" s="1" customFormat="1" ht="15" customHeight="1" spans="1:18">
      <c r="A1712" s="7"/>
      <c r="B1712" s="8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9"/>
      <c r="O1712" s="9"/>
      <c r="P1712" s="9"/>
      <c r="Q1712" s="10"/>
      <c r="R1712" s="11"/>
    </row>
    <row r="1713" s="1" customFormat="1" ht="21.95" customHeight="1" spans="1:18">
      <c r="A1713" s="7"/>
      <c r="B1713" s="12"/>
      <c r="C1713" s="13" t="s">
        <v>7</v>
      </c>
      <c r="D1713" s="13"/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/>
      <c r="Q1713" s="14"/>
      <c r="R1713" s="11"/>
    </row>
    <row r="1714" s="1" customFormat="1" ht="21.95" customHeight="1" spans="1:18">
      <c r="A1714" s="7"/>
      <c r="B1714" s="1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14"/>
      <c r="R1714" s="11"/>
    </row>
    <row r="1715" s="1" customFormat="1" ht="21.95" customHeight="1" spans="1:18">
      <c r="A1715" s="7"/>
      <c r="B1715" s="12"/>
      <c r="C1715" s="15" t="str">
        <f>"SESSION-"&amp;ENTRY!$D$11</f>
        <v>SESSION-2026-27</v>
      </c>
      <c r="D1715" s="15"/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4"/>
      <c r="R1715" s="11"/>
    </row>
    <row r="1716" s="1" customFormat="1" ht="21.95" customHeight="1" spans="1:18">
      <c r="A1716" s="7"/>
      <c r="B1716" s="12"/>
      <c r="C1716" s="2"/>
      <c r="D1716" s="2"/>
      <c r="E1716" s="2"/>
      <c r="F1716" s="16">
        <f>F1659+1</f>
        <v>31</v>
      </c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14"/>
      <c r="R1716" s="11"/>
    </row>
    <row r="1717" s="1" customFormat="1" ht="21.95" customHeight="1" spans="1:18">
      <c r="A1717" s="7"/>
      <c r="B1717" s="12"/>
      <c r="C1717" s="17" t="s">
        <v>392</v>
      </c>
      <c r="D1717" s="17"/>
      <c r="E1717" s="17"/>
      <c r="F1717" s="18" t="str">
        <f>IF(F1716&gt;0,ENTRY!$D$6,"")</f>
        <v>MCP NITHARI NO 1 BOYS</v>
      </c>
      <c r="G1717" s="18"/>
      <c r="H1717" s="18"/>
      <c r="I1717" s="18"/>
      <c r="J1717" s="18"/>
      <c r="K1717" s="18"/>
      <c r="L1717" s="18"/>
      <c r="M1717" s="18"/>
      <c r="N1717" s="18"/>
      <c r="O1717" s="18"/>
      <c r="P1717" s="18"/>
      <c r="Q1717" s="19"/>
      <c r="R1717" s="11"/>
    </row>
    <row r="1718" s="1" customFormat="1" ht="21.95" customHeight="1" spans="1:18">
      <c r="A1718" s="7"/>
      <c r="B1718" s="12"/>
      <c r="C1718" s="17" t="s">
        <v>393</v>
      </c>
      <c r="D1718" s="17"/>
      <c r="E1718" s="17"/>
      <c r="F1718" s="18">
        <f>IF(F1716&gt;0,ENTRY!$D$7,"")</f>
        <v>0</v>
      </c>
      <c r="G1718" s="18"/>
      <c r="H1718" s="20" t="s">
        <v>702</v>
      </c>
      <c r="I1718" s="20"/>
      <c r="J1718" s="21">
        <f>IF(F1716&gt;0,ENTRY!$D$10,"")</f>
        <v>40</v>
      </c>
      <c r="K1718" s="20" t="s">
        <v>703</v>
      </c>
      <c r="L1718" s="22" t="str">
        <f>IF(F1716&gt;0,ENTRY!$D$5,"")</f>
        <v>ROHINI ZONE</v>
      </c>
      <c r="M1718" s="22"/>
      <c r="N1718" s="22"/>
      <c r="O1718" s="22"/>
      <c r="P1718" s="22"/>
      <c r="Q1718" s="19"/>
      <c r="R1718" s="11"/>
    </row>
    <row r="1719" s="1" customFormat="1" ht="21.95" customHeight="1" spans="1:18">
      <c r="A1719" s="7"/>
      <c r="B1719" s="12"/>
      <c r="C1719" s="17" t="s">
        <v>706</v>
      </c>
      <c r="D1719" s="17"/>
      <c r="E1719" s="17"/>
      <c r="F1719" s="23" t="str">
        <f>IFERROR(VLOOKUP(F1716,STUDENT!$A$2:$BP$101,5,0),"")</f>
        <v>RAM CHANDER KUMAR</v>
      </c>
      <c r="G1719" s="23"/>
      <c r="H1719" s="23"/>
      <c r="I1719" s="23"/>
      <c r="J1719" s="23"/>
      <c r="K1719" s="23"/>
      <c r="L1719" s="20" t="s">
        <v>707</v>
      </c>
      <c r="M1719" s="20"/>
      <c r="N1719" s="24" t="str">
        <f>IF(F1716&gt;0,ENTRY!$D$20&amp;"-"&amp;ENTRY!$D$21,"")</f>
        <v>III-A</v>
      </c>
      <c r="O1719" s="24"/>
      <c r="P1719" s="24"/>
      <c r="Q1719" s="19"/>
      <c r="R1719" s="11"/>
    </row>
    <row r="1720" s="1" customFormat="1" ht="21.95" customHeight="1" spans="1:18">
      <c r="A1720" s="7"/>
      <c r="B1720" s="12"/>
      <c r="C1720" s="17" t="s">
        <v>708</v>
      </c>
      <c r="D1720" s="17"/>
      <c r="E1720" s="17"/>
      <c r="F1720" s="25">
        <f>IFERROR(VLOOKUP(F1716,STUDENT!$A$2:$BP$101,6,0),"")</f>
        <v>15034</v>
      </c>
      <c r="G1720" s="25"/>
      <c r="H1720" s="26" t="s">
        <v>709</v>
      </c>
      <c r="I1720" s="27" t="str">
        <f>IFERROR(VLOOKUP(F1716,STUDENT!$A$2:$BP$101,59,0),"")</f>
        <v/>
      </c>
      <c r="J1720" s="27"/>
      <c r="K1720" s="20" t="s">
        <v>710</v>
      </c>
      <c r="L1720" s="20"/>
      <c r="M1720" s="28">
        <f>IFERROR(VLOOKUP(F1716,STUDENT!$A$2:$BP$101,20,0),"")</f>
        <v>8448641560</v>
      </c>
      <c r="N1720" s="28"/>
      <c r="O1720" s="28"/>
      <c r="P1720" s="28"/>
      <c r="Q1720" s="19"/>
      <c r="R1720" s="11"/>
    </row>
    <row r="1721" s="1" customFormat="1" ht="21.95" customHeight="1" spans="1:18">
      <c r="A1721" s="7"/>
      <c r="B1721" s="12"/>
      <c r="C1721" s="17" t="s">
        <v>711</v>
      </c>
      <c r="D1721" s="17"/>
      <c r="E1721" s="17"/>
      <c r="F1721" s="23" t="str">
        <f>IFERROR(VLOOKUP(F1716,STUDENT!$A$2:$BP$101,9,0),"")</f>
        <v>RAJANI KUMARI</v>
      </c>
      <c r="G1721" s="23"/>
      <c r="H1721" s="23"/>
      <c r="I1721" s="23"/>
      <c r="J1721" s="17" t="s">
        <v>620</v>
      </c>
      <c r="K1721" s="17"/>
      <c r="L1721" s="23" t="str">
        <f>IFERROR(VLOOKUP(F1716,STUDENT!$A$2:$BP$101,8,0),"")</f>
        <v>AKASH SHARMA</v>
      </c>
      <c r="M1721" s="23"/>
      <c r="N1721" s="23"/>
      <c r="O1721" s="23"/>
      <c r="P1721" s="23"/>
      <c r="Q1721" s="19"/>
      <c r="R1721" s="11"/>
    </row>
    <row r="1722" s="1" customFormat="1" ht="21.95" customHeight="1" spans="1:18">
      <c r="A1722" s="7"/>
      <c r="B1722" s="12"/>
      <c r="C1722" s="17" t="s">
        <v>712</v>
      </c>
      <c r="D1722" s="17"/>
      <c r="E1722" s="17"/>
      <c r="F1722" s="23" t="str">
        <f>IFERROR(VLOOKUP(F1716,STUDENT!$A$2:$BP$101,22,0),"")</f>
        <v>A-14 CHANDAN PARK SHISH MAHAL ENCLAVE PREM NAGAR -3 KIRARI</v>
      </c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19"/>
      <c r="R1722" s="11"/>
    </row>
    <row r="1723" s="1" customFormat="1" ht="9.95" customHeight="1" spans="1:18">
      <c r="A1723" s="7"/>
      <c r="B1723" s="12"/>
      <c r="C1723" s="29"/>
      <c r="D1723" s="29"/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19"/>
      <c r="R1723" s="11"/>
    </row>
    <row r="1724" s="1" customFormat="1" ht="9.95" customHeight="1" spans="1:18">
      <c r="A1724" s="7"/>
      <c r="B1724" s="12"/>
      <c r="C1724" s="30"/>
      <c r="D1724" s="31"/>
      <c r="E1724" s="31"/>
      <c r="F1724" s="31"/>
      <c r="G1724" s="31"/>
      <c r="H1724" s="31"/>
      <c r="I1724" s="31"/>
      <c r="J1724" s="31"/>
      <c r="K1724" s="31"/>
      <c r="L1724" s="31"/>
      <c r="M1724" s="31"/>
      <c r="N1724" s="31"/>
      <c r="O1724" s="31"/>
      <c r="P1724" s="32"/>
      <c r="Q1724" s="19"/>
      <c r="R1724" s="11"/>
    </row>
    <row r="1725" s="1" customFormat="1" ht="21.95" customHeight="1" spans="1:18">
      <c r="A1725" s="7"/>
      <c r="B1725" s="12"/>
      <c r="C1725" s="33"/>
      <c r="D1725" s="34" t="s">
        <v>713</v>
      </c>
      <c r="E1725" s="20" t="s">
        <v>714</v>
      </c>
      <c r="F1725" s="35" t="str">
        <f>"Level - "&amp;IFERROR(VLOOKUP(F1716,FLN!$A$4:$K$103,9,0),"")</f>
        <v>Level - 2</v>
      </c>
      <c r="G1725" s="36"/>
      <c r="H1725" s="37" t="s">
        <v>715</v>
      </c>
      <c r="I1725" s="20"/>
      <c r="J1725" s="35" t="str">
        <f>"Level - "&amp;IFERROR(VLOOKUP(F1716,FLN!$A$4:$K$103,11,0),"")</f>
        <v>Level - 3</v>
      </c>
      <c r="K1725" s="36"/>
      <c r="L1725" s="37" t="s">
        <v>408</v>
      </c>
      <c r="M1725" s="20"/>
      <c r="N1725" s="35" t="str">
        <f>"Level - "&amp;IFERROR(VLOOKUP(F1716,FLN!$A$4:$K$103,10,0),"")</f>
        <v>Level - 2</v>
      </c>
      <c r="O1725" s="36"/>
      <c r="P1725" s="19"/>
      <c r="Q1725" s="19"/>
      <c r="R1725" s="11"/>
    </row>
    <row r="1726" s="1" customFormat="1" ht="21.95" customHeight="1" spans="1:18">
      <c r="A1726" s="7"/>
      <c r="B1726" s="12"/>
      <c r="C1726" s="33"/>
      <c r="D1726" s="38"/>
      <c r="E1726" s="20" t="s">
        <v>716</v>
      </c>
      <c r="F1726" s="18" t="str">
        <f ca="1">IF(L1740&gt;197,"PERFORMED WELL","")</f>
        <v/>
      </c>
      <c r="G1726" s="18"/>
      <c r="H1726" s="18"/>
      <c r="I1726" s="18"/>
      <c r="J1726" s="18"/>
      <c r="K1726" s="18"/>
      <c r="L1726" s="18"/>
      <c r="M1726" s="18"/>
      <c r="N1726" s="18"/>
      <c r="O1726" s="18"/>
      <c r="P1726" s="19"/>
      <c r="Q1726" s="19"/>
      <c r="R1726" s="11"/>
    </row>
    <row r="1727" s="1" customFormat="1" ht="9.95" customHeight="1" spans="1:18">
      <c r="A1727" s="7"/>
      <c r="B1727" s="12"/>
      <c r="C1727" s="39"/>
      <c r="D1727" s="40"/>
      <c r="E1727" s="40"/>
      <c r="F1727" s="40"/>
      <c r="G1727" s="40"/>
      <c r="H1727" s="40"/>
      <c r="I1727" s="40"/>
      <c r="J1727" s="40"/>
      <c r="K1727" s="40"/>
      <c r="L1727" s="40"/>
      <c r="M1727" s="40"/>
      <c r="N1727" s="40"/>
      <c r="O1727" s="40"/>
      <c r="P1727" s="41"/>
      <c r="Q1727" s="19"/>
      <c r="R1727" s="11"/>
    </row>
    <row r="1728" s="1" customFormat="1" ht="9.95" customHeight="1" spans="1:18">
      <c r="A1728" s="7"/>
      <c r="B1728" s="12"/>
      <c r="C1728" s="29"/>
      <c r="D1728" s="29"/>
      <c r="E1728" s="29"/>
      <c r="F1728" s="29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19"/>
      <c r="R1728" s="11"/>
    </row>
    <row r="1729" s="1" customFormat="1" ht="9.95" customHeight="1" spans="1:18">
      <c r="A1729" s="7"/>
      <c r="B1729" s="12"/>
      <c r="C1729" s="30"/>
      <c r="D1729" s="31"/>
      <c r="E1729" s="31"/>
      <c r="F1729" s="31"/>
      <c r="G1729" s="31"/>
      <c r="H1729" s="31"/>
      <c r="I1729" s="31"/>
      <c r="J1729" s="31"/>
      <c r="K1729" s="31"/>
      <c r="L1729" s="31"/>
      <c r="M1729" s="31"/>
      <c r="N1729" s="31"/>
      <c r="O1729" s="31"/>
      <c r="P1729" s="32"/>
      <c r="Q1729" s="19"/>
      <c r="R1729" s="11"/>
    </row>
    <row r="1730" s="1" customFormat="1" ht="21.95" customHeight="1" spans="1:18">
      <c r="A1730" s="7"/>
      <c r="B1730" s="12"/>
      <c r="C1730" s="33"/>
      <c r="D1730" s="35"/>
      <c r="E1730" s="24"/>
      <c r="F1730" s="42" t="s">
        <v>717</v>
      </c>
      <c r="G1730" s="42"/>
      <c r="H1730" s="42"/>
      <c r="I1730" s="42"/>
      <c r="J1730" s="42"/>
      <c r="K1730" s="42"/>
      <c r="L1730" s="43"/>
      <c r="M1730" s="44"/>
      <c r="N1730" s="29"/>
      <c r="O1730" s="29"/>
      <c r="P1730" s="19"/>
      <c r="Q1730" s="19"/>
      <c r="R1730" s="11"/>
    </row>
    <row r="1731" s="1" customFormat="1" ht="21.95" customHeight="1" spans="1:18">
      <c r="A1731" s="7"/>
      <c r="B1731" s="12"/>
      <c r="C1731" s="33"/>
      <c r="D1731" s="45"/>
      <c r="E1731" s="46"/>
      <c r="F1731" s="47" t="s">
        <v>541</v>
      </c>
      <c r="G1731" s="47" t="s">
        <v>542</v>
      </c>
      <c r="H1731" s="47" t="s">
        <v>543</v>
      </c>
      <c r="I1731" s="47" t="s">
        <v>544</v>
      </c>
      <c r="J1731" s="47" t="s">
        <v>561</v>
      </c>
      <c r="K1731" s="48" t="s">
        <v>750</v>
      </c>
      <c r="L1731" s="47" t="s">
        <v>382</v>
      </c>
      <c r="M1731" s="49" t="s">
        <v>546</v>
      </c>
      <c r="N1731" s="29"/>
      <c r="O1731" s="29"/>
      <c r="P1731" s="19"/>
      <c r="Q1731" s="19"/>
      <c r="R1731" s="11"/>
    </row>
    <row r="1732" s="1" customFormat="1" ht="21.95" customHeight="1" spans="1:18">
      <c r="A1732" s="7"/>
      <c r="B1732" s="12"/>
      <c r="C1732" s="33"/>
      <c r="D1732" s="45" t="s">
        <v>652</v>
      </c>
      <c r="E1732" s="46"/>
      <c r="F1732" s="50">
        <v>10</v>
      </c>
      <c r="G1732" s="50">
        <v>10</v>
      </c>
      <c r="H1732" s="50">
        <v>10</v>
      </c>
      <c r="I1732" s="50">
        <v>10</v>
      </c>
      <c r="J1732" s="50">
        <v>60</v>
      </c>
      <c r="K1732" s="51"/>
      <c r="L1732" s="50">
        <v>100</v>
      </c>
      <c r="M1732" s="49"/>
      <c r="N1732" s="29"/>
      <c r="O1732" s="29"/>
      <c r="P1732" s="19"/>
      <c r="Q1732" s="19"/>
      <c r="R1732" s="11"/>
    </row>
    <row r="1733" s="1" customFormat="1" ht="21.95" customHeight="1" spans="1:18">
      <c r="A1733" s="7"/>
      <c r="B1733" s="12"/>
      <c r="C1733" s="33"/>
      <c r="D1733" s="52" t="s">
        <v>751</v>
      </c>
      <c r="E1733" s="53"/>
      <c r="F1733" s="54">
        <f ca="1">IFERROR(VLOOKUP(F1716,'RR-3.1-5TH'!$A$12:'RR-3.1-5TH'!$BN$111,9,0),"")</f>
        <v>1</v>
      </c>
      <c r="G1733" s="54">
        <f ca="1">IFERROR(VLOOKUP(F1716,'RR-3.1-5TH'!$A$12:'RR-3.1-5TH'!$BN$111,10,0),"")</f>
        <v>0</v>
      </c>
      <c r="H1733" s="54">
        <f ca="1">IFERROR(VLOOKUP(F1716,'RR-3.1-5TH'!$A$12:'RR-3.1-5TH'!$BN$111,11,0),"")</f>
        <v>0</v>
      </c>
      <c r="I1733" s="54">
        <f ca="1">IFERROR(VLOOKUP(F1716,'RR-3.1-5TH'!$A$12:'RR-3.1-5TH'!$BN$111,12,0),"")</f>
        <v>0</v>
      </c>
      <c r="J1733" s="54">
        <f ca="1">IFERROR(VLOOKUP(F1716,'RR-3.1-5TH'!$A$12:'RR-3.1-5TH'!$BN$111,13,0),"")</f>
        <v>34</v>
      </c>
      <c r="K1733" s="54">
        <f ca="1">IFERROR(VLOOKUP(F1716,'RR-3.1-5TH'!$A$12:'RR-3.1-5TH'!$BN$111,14,0),"")</f>
        <v>0</v>
      </c>
      <c r="L1733" s="55">
        <f ca="1" t="shared" ref="L1733:L1738" si="90">SUM(F1733,G1733,H1733,I1733,J1733,K1733)</f>
        <v>35</v>
      </c>
      <c r="M1733" s="56" t="str">
        <f ca="1">IF(F1716&gt;ENTRY!$D$24,"",IF(L1733=0,"Ab",IF(L1733&gt;80,"A",IF(L1733&gt;60,"B",IF(L1733&gt;44,"C",IF(L1733&gt;=33,"D",IF(L1733&lt;=32,"E","")))))))</f>
        <v>D</v>
      </c>
      <c r="N1733" s="57" t="s">
        <v>729</v>
      </c>
      <c r="O1733" s="58"/>
      <c r="P1733" s="59"/>
      <c r="Q1733" s="19"/>
      <c r="R1733" s="11"/>
    </row>
    <row r="1734" s="1" customFormat="1" ht="21.95" customHeight="1" spans="1:18">
      <c r="A1734" s="7"/>
      <c r="B1734" s="12"/>
      <c r="C1734" s="33"/>
      <c r="D1734" s="52" t="s">
        <v>513</v>
      </c>
      <c r="E1734" s="53"/>
      <c r="F1734" s="54">
        <f ca="1">IFERROR(VLOOKUP(F1716,'RR-3.1-5TH'!$A$12:'RR-3.1-5TH'!$BN$111,17,0),"")</f>
        <v>1</v>
      </c>
      <c r="G1734" s="54">
        <f ca="1">IFERROR(VLOOKUP(F1716,'RR-3.1-5TH'!$A$12:'RR-3.1-5TH'!$BN$111,18,0),"")</f>
        <v>0</v>
      </c>
      <c r="H1734" s="54">
        <f ca="1">IFERROR(VLOOKUP(F1716,'RR-3.1-5TH'!$A$12:'RR-3.1-5TH'!$BN$111,19,0),"")</f>
        <v>0</v>
      </c>
      <c r="I1734" s="54">
        <f ca="1">IFERROR(VLOOKUP(F1716,'RR-3.1-5TH'!$A$12:'RR-3.1-5TH'!$BN$111,20,0),"")</f>
        <v>0</v>
      </c>
      <c r="J1734" s="54">
        <f ca="1">IFERROR(VLOOKUP(F1716,'RR-3.1-5TH'!$A$12:'RR-3.1-5TH'!$BN$111,21,0),"")</f>
        <v>15</v>
      </c>
      <c r="K1734" s="54">
        <f ca="1">IFERROR(VLOOKUP(F1716,'RR-3.1-5TH'!$A$12:'RR-3.1-5TH'!$BN$111,22,0),"")</f>
        <v>0</v>
      </c>
      <c r="L1734" s="55">
        <f ca="1" t="shared" si="90"/>
        <v>16</v>
      </c>
      <c r="M1734" s="56" t="str">
        <f ca="1">IF(F1716&gt;ENTRY!$D$24,"",IF(L1734=0,"Ab",IF(L1734&gt;80,"A",IF(L1734&gt;60,"B",IF(L1734&gt;44,"C",IF(L1734&gt;=33,"D",IF(L1734&lt;=32,"E","")))))))</f>
        <v>E</v>
      </c>
      <c r="N1734" s="58"/>
      <c r="O1734" s="58"/>
      <c r="P1734" s="59"/>
      <c r="Q1734" s="19"/>
      <c r="R1734" s="11"/>
    </row>
    <row r="1735" s="1" customFormat="1" ht="21.95" customHeight="1" spans="1:18">
      <c r="A1735" s="7"/>
      <c r="B1735" s="12"/>
      <c r="C1735" s="33"/>
      <c r="D1735" s="52" t="s">
        <v>718</v>
      </c>
      <c r="E1735" s="53"/>
      <c r="F1735" s="54">
        <f ca="1">IFERROR(VLOOKUP(F1716,'RR-3.1-5TH'!$A$12:'RR-3.1-5TH'!$BN$111,25,0),"")</f>
        <v>1</v>
      </c>
      <c r="G1735" s="54">
        <f ca="1">IFERROR(VLOOKUP(F1716,'RR-3.1-5TH'!$A$12:'RR-3.1-5TH'!$BN$111,26,0),"")</f>
        <v>0</v>
      </c>
      <c r="H1735" s="54">
        <f ca="1">IFERROR(VLOOKUP(F1716,'RR-3.1-5TH'!$A$12:'RR-3.1-5TH'!$BN$111,27,0),"")</f>
        <v>0</v>
      </c>
      <c r="I1735" s="54">
        <f ca="1">IFERROR(VLOOKUP(F1716,'RR-3.1-5TH'!$A$12:'RR-3.1-5TH'!$BN$111,28,0),"")</f>
        <v>0</v>
      </c>
      <c r="J1735" s="54">
        <f ca="1">IFERROR(VLOOKUP(F1716,'RR-3.1-5TH'!$A$12:'RR-3.1-5TH'!$BN$111,29,0),"")</f>
        <v>15</v>
      </c>
      <c r="K1735" s="54">
        <f ca="1">IFERROR(VLOOKUP(F1716,'RR-3.1-5TH'!$A$12:'RR-3.1-5TH'!$BN$111,30,0),"")</f>
        <v>0</v>
      </c>
      <c r="L1735" s="55">
        <f ca="1" t="shared" si="90"/>
        <v>16</v>
      </c>
      <c r="M1735" s="56" t="str">
        <f ca="1">IF(F1716&gt;ENTRY!$D$24,"",IF(L1735=0,"Ab",IF(L1735&gt;80,"A",IF(L1735&gt;60,"B",IF(L1735&gt;44,"C",IF(L1735&gt;=33,"D",IF(L1735&lt;=32,"E","")))))))</f>
        <v>E</v>
      </c>
      <c r="N1735" s="29"/>
      <c r="O1735" s="29"/>
      <c r="P1735" s="19"/>
      <c r="Q1735" s="19"/>
      <c r="R1735" s="11"/>
    </row>
    <row r="1736" s="1" customFormat="1" ht="21.95" customHeight="1" spans="1:18">
      <c r="A1736" s="7"/>
      <c r="B1736" s="12"/>
      <c r="C1736" s="33"/>
      <c r="D1736" s="52" t="s">
        <v>719</v>
      </c>
      <c r="E1736" s="53"/>
      <c r="F1736" s="54">
        <f ca="1">IFERROR(VLOOKUP(F1716,'RR-3.1-5TH'!$A$12:'RR-3.1-5TH'!$BN$111,33,0),"")</f>
        <v>1</v>
      </c>
      <c r="G1736" s="54">
        <f ca="1">IFERROR(VLOOKUP(F1716,'RR-3.1-5TH'!$A$12:'RR-3.1-5TH'!$BN$111,34,0),"")</f>
        <v>0</v>
      </c>
      <c r="H1736" s="54">
        <f ca="1">IFERROR(VLOOKUP(F1716,'RR-3.1-5TH'!$A$12:'RR-3.1-5TH'!$BN$111,35,0),"")</f>
        <v>0</v>
      </c>
      <c r="I1736" s="54">
        <f ca="1">IFERROR(VLOOKUP(F1716,'RR-3.1-5TH'!$A$12:'RR-3.1-5TH'!$BN$111,36,0),"")</f>
        <v>0</v>
      </c>
      <c r="J1736" s="54">
        <f ca="1">IFERROR(VLOOKUP(F1716,'RR-3.1-5TH'!$A$12:'RR-3.1-5TH'!$BN$111,37,0),"")</f>
        <v>16</v>
      </c>
      <c r="K1736" s="54">
        <f ca="1">IFERROR(VLOOKUP(F1716,'RR-3.1-5TH'!$A$12:'RR-3.1-5TH'!$BN$111,38,0),"")</f>
        <v>0</v>
      </c>
      <c r="L1736" s="55">
        <f ca="1" t="shared" si="90"/>
        <v>17</v>
      </c>
      <c r="M1736" s="56" t="str">
        <f ca="1">IF(F1716&gt;ENTRY!$D$24,"",IF(L1736=0,"Ab",IF(L1736&gt;80,"A",IF(L1736&gt;60,"B",IF(L1736&gt;44,"C",IF(L1736&gt;=33,"D",IF(L1736&lt;=32,"E","")))))))</f>
        <v>E</v>
      </c>
      <c r="N1736" s="29"/>
      <c r="O1736" s="29"/>
      <c r="P1736" s="19"/>
      <c r="Q1736" s="19"/>
      <c r="R1736" s="11"/>
    </row>
    <row r="1737" s="1" customFormat="1" ht="21.95" customHeight="1" spans="1:18">
      <c r="A1737" s="7"/>
      <c r="B1737" s="12"/>
      <c r="C1737" s="33"/>
      <c r="D1737" s="52" t="s">
        <v>548</v>
      </c>
      <c r="E1737" s="53"/>
      <c r="F1737" s="54">
        <f ca="1">IFERROR(VLOOKUP(F1716,'RR-3.1-5TH'!$A$12:'RR-3.1-5TH'!$BN$111,41,0),"")</f>
        <v>0</v>
      </c>
      <c r="G1737" s="54">
        <f ca="1">IFERROR(VLOOKUP(F1716,'RR-3.1-5TH'!$A$12:'RR-3.1-5TH'!$BN$111,42,0),"")</f>
        <v>0</v>
      </c>
      <c r="H1737" s="54">
        <f ca="1">IFERROR(VLOOKUP(F1716,'RR-3.1-5TH'!$A$12:'RR-3.1-5TH'!$BN$111,43,0),"")</f>
        <v>0</v>
      </c>
      <c r="I1737" s="54">
        <f ca="1">IFERROR(VLOOKUP(F1716,'RR-3.1-5TH'!$A$12:'RR-3.1-5TH'!$BN$111,44,0),"")</f>
        <v>0</v>
      </c>
      <c r="J1737" s="54">
        <f ca="1">IFERROR(VLOOKUP(F1716,'RR-3.1-5TH'!$A$12:'RR-3.1-5TH'!$BN$111,45,0),"")</f>
        <v>15</v>
      </c>
      <c r="K1737" s="54">
        <f ca="1">IFERROR(VLOOKUP(F1716,'RR-3.1-5TH'!$A$12:'RR-3.1-5TH'!$BN$111,46,0),"")</f>
        <v>0</v>
      </c>
      <c r="L1737" s="55">
        <f ca="1" t="shared" si="90"/>
        <v>15</v>
      </c>
      <c r="M1737" s="56" t="str">
        <f ca="1">IF(F1716&gt;ENTRY!$D$24,"",IF(L1737=0,"Ab",IF(L1737&gt;80,"A",IF(L1737&gt;60,"B",IF(L1737&gt;44,"C",IF(L1737&gt;=33,"D",IF(L1737&lt;=32,"E","")))))))</f>
        <v>E</v>
      </c>
      <c r="N1737" s="29"/>
      <c r="O1737" s="29"/>
      <c r="P1737" s="19"/>
      <c r="Q1737" s="19"/>
      <c r="R1737" s="11"/>
    </row>
    <row r="1738" s="1" customFormat="1" ht="21.95" customHeight="1" spans="1:18">
      <c r="A1738" s="7"/>
      <c r="B1738" s="12"/>
      <c r="C1738" s="33"/>
      <c r="D1738" s="52" t="s">
        <v>549</v>
      </c>
      <c r="E1738" s="53"/>
      <c r="F1738" s="54">
        <f ca="1">IFERROR(VLOOKUP(F1716,'RR-3.1-5TH'!$A$12:'RR-3.1-5TH'!$BN$111,49,0),"")</f>
        <v>2</v>
      </c>
      <c r="G1738" s="54">
        <f ca="1">IFERROR(VLOOKUP(F1716,'RR-3.1-5TH'!$A$12:'RR-3.1-5TH'!$BN$111,50,0),"")</f>
        <v>0</v>
      </c>
      <c r="H1738" s="54">
        <f ca="1">IFERROR(VLOOKUP(F1716,'RR-3.1-5TH'!$A$12:'RR-3.1-5TH'!$BN$111,51,0),"")</f>
        <v>0</v>
      </c>
      <c r="I1738" s="54">
        <f ca="1">IFERROR(VLOOKUP(F1716,'RR-3.1-5TH'!$A$12:'RR-3.1-5TH'!$BN$111,52,0),"")</f>
        <v>0</v>
      </c>
      <c r="J1738" s="54">
        <f ca="1">IFERROR(VLOOKUP(F1716,'RR-3.1-5TH'!$A$12:'RR-3.1-5TH'!$BN$111,53,0),"")</f>
        <v>17</v>
      </c>
      <c r="K1738" s="54">
        <f ca="1">IFERROR(VLOOKUP(F1716,'RR-3.1-5TH'!$A$12:'RR-3.1-5TH'!$BN$111,54,0),"")</f>
        <v>0</v>
      </c>
      <c r="L1738" s="55">
        <f ca="1" t="shared" si="90"/>
        <v>19</v>
      </c>
      <c r="M1738" s="56" t="str">
        <f ca="1">IF(F1716&gt;ENTRY!$D$24,"",IF(L1738=0,"Ab",IF(L1738&gt;80,"A",IF(L1738&gt;60,"B",IF(L1738&gt;44,"C",IF(L1738&gt;=33,"D",IF(L1738&lt;=32,"E","")))))))</f>
        <v>E</v>
      </c>
      <c r="N1738" s="57" t="s">
        <v>752</v>
      </c>
      <c r="O1738" s="58"/>
      <c r="P1738" s="59"/>
      <c r="Q1738" s="19"/>
      <c r="R1738" s="11"/>
    </row>
    <row r="1739" s="1" customFormat="1" ht="21.95" customHeight="1" spans="1:18">
      <c r="A1739" s="7"/>
      <c r="B1739" s="12"/>
      <c r="C1739" s="33"/>
      <c r="D1739" s="52" t="s">
        <v>753</v>
      </c>
      <c r="E1739" s="53"/>
      <c r="F1739" s="60"/>
      <c r="G1739" s="54"/>
      <c r="H1739" s="54"/>
      <c r="I1739" s="54"/>
      <c r="J1739" s="54"/>
      <c r="K1739" s="54"/>
      <c r="L1739" s="55">
        <f t="shared" ref="L1739" si="91">SUM(G1739:K1739)</f>
        <v>0</v>
      </c>
      <c r="M1739" s="56" t="str">
        <f>IF(F1716&gt;ENTRY!$D$24,"",IF(L1739=0,"",IF(L1739&gt;79,"A",IF(L1739&gt;59,"B",IF(L1739&gt;44,"C",IF(L1739&gt;=33,"D",IF(L1739&lt;=32,"E","")))))))</f>
        <v/>
      </c>
      <c r="N1739" s="58"/>
      <c r="O1739" s="58"/>
      <c r="P1739" s="59"/>
      <c r="Q1739" s="19"/>
      <c r="R1739" s="11"/>
    </row>
    <row r="1740" s="1" customFormat="1" ht="21.95" customHeight="1" spans="1:18">
      <c r="A1740" s="7"/>
      <c r="B1740" s="12"/>
      <c r="C1740" s="33"/>
      <c r="D1740" s="45" t="s">
        <v>382</v>
      </c>
      <c r="E1740" s="46"/>
      <c r="F1740" s="54">
        <f ca="1" t="shared" ref="F1740:L1740" si="92">IFERROR(SUM(F1733:F1739),"")</f>
        <v>6</v>
      </c>
      <c r="G1740" s="54">
        <f ca="1" t="shared" si="92"/>
        <v>0</v>
      </c>
      <c r="H1740" s="54">
        <f ca="1" t="shared" si="92"/>
        <v>0</v>
      </c>
      <c r="I1740" s="54">
        <f ca="1" t="shared" si="92"/>
        <v>0</v>
      </c>
      <c r="J1740" s="54">
        <f ca="1" t="shared" si="92"/>
        <v>112</v>
      </c>
      <c r="K1740" s="54">
        <f ca="1" t="shared" si="92"/>
        <v>0</v>
      </c>
      <c r="L1740" s="55">
        <f ca="1" t="shared" si="92"/>
        <v>118</v>
      </c>
      <c r="M1740" s="61" t="str">
        <f ca="1">IF(F1716&gt;ENTRY!$D$24,"",IF(N1741="Ab","Ab",IF(N1741&gt;79.5,"A",IF(N1741&gt;59.5,"B",IF(N1741&gt;44.5,"C",IF(N1741&gt;=33,"D",IF(N1741&lt;33,"E","")))))))</f>
        <v>E</v>
      </c>
      <c r="N1740" s="62"/>
      <c r="O1740" s="58"/>
      <c r="P1740" s="59"/>
      <c r="Q1740" s="19"/>
      <c r="R1740" s="11"/>
    </row>
    <row r="1741" s="1" customFormat="1" ht="21.95" customHeight="1" spans="1:18">
      <c r="A1741" s="7"/>
      <c r="B1741" s="12"/>
      <c r="C1741" s="33"/>
      <c r="D1741" s="63" t="s">
        <v>721</v>
      </c>
      <c r="E1741" s="63"/>
      <c r="F1741" s="63"/>
      <c r="G1741" s="63"/>
      <c r="H1741" s="63"/>
      <c r="I1741" s="63"/>
      <c r="J1741" s="63"/>
      <c r="K1741" s="63"/>
      <c r="L1741" s="63"/>
      <c r="M1741" s="63"/>
      <c r="N1741" s="64">
        <f ca="1">IF(L1740="Ab","Ab",L1740/6)</f>
        <v>19.6666666666667</v>
      </c>
      <c r="O1741" s="65"/>
      <c r="P1741" s="19"/>
      <c r="Q1741" s="19"/>
      <c r="R1741" s="11"/>
    </row>
    <row r="1742" s="1" customFormat="1" ht="21.95" customHeight="1" spans="1:18">
      <c r="A1742" s="7"/>
      <c r="B1742" s="12"/>
      <c r="C1742" s="33"/>
      <c r="D1742" s="29" t="s">
        <v>716</v>
      </c>
      <c r="E1742" s="18" t="str">
        <f>IFERROR(VLOOKUP(F1716,'1to4-2.1-RR'!$A$12:$BG$111,57,0),"")</f>
        <v>PROMOTED</v>
      </c>
      <c r="F1742" s="18"/>
      <c r="G1742" s="18"/>
      <c r="H1742" s="18"/>
      <c r="I1742" s="18"/>
      <c r="J1742" s="18"/>
      <c r="K1742" s="18"/>
      <c r="L1742" s="18"/>
      <c r="M1742" s="18"/>
      <c r="N1742" s="29"/>
      <c r="O1742" s="29"/>
      <c r="P1742" s="19"/>
      <c r="Q1742" s="19"/>
      <c r="R1742" s="11"/>
    </row>
    <row r="1743" s="1" customFormat="1" ht="9.95" customHeight="1" spans="1:18">
      <c r="A1743" s="7"/>
      <c r="B1743" s="12"/>
      <c r="C1743" s="33"/>
      <c r="D1743" s="29"/>
      <c r="E1743" s="29"/>
      <c r="F1743" s="29"/>
      <c r="G1743" s="29"/>
      <c r="H1743" s="29"/>
      <c r="I1743" s="29"/>
      <c r="J1743" s="29"/>
      <c r="K1743" s="29"/>
      <c r="L1743" s="29"/>
      <c r="M1743" s="29"/>
      <c r="N1743" s="29"/>
      <c r="O1743" s="29"/>
      <c r="P1743" s="19"/>
      <c r="Q1743" s="19"/>
      <c r="R1743" s="11"/>
    </row>
    <row r="1744" s="1" customFormat="1" ht="36" spans="1:18">
      <c r="A1744" s="7"/>
      <c r="B1744" s="12"/>
      <c r="C1744" s="33"/>
      <c r="D1744" s="66" t="s">
        <v>576</v>
      </c>
      <c r="E1744" s="67" t="s">
        <v>754</v>
      </c>
      <c r="F1744" s="47">
        <f>IF(F1716&gt;ENTRY!$D$24,"",IFERROR(VLOOKUP(F1716,PASHEET!$A$4:$CJ$103,88,0),""))</f>
        <v>0</v>
      </c>
      <c r="G1744" s="67" t="s">
        <v>755</v>
      </c>
      <c r="H1744" s="47">
        <f>IF(F1716&gt;ENTRY!$D$24,"",IFERROR(VLOOKUP(F1716,PASHEET!$A$4:$CJ$103,87,0),""))</f>
        <v>0</v>
      </c>
      <c r="I1744" s="68" t="s">
        <v>756</v>
      </c>
      <c r="J1744" s="69" t="str">
        <f>IF(F1716&gt;ENTRY!$D$24,"",IFERROR(IF(F1716&gt;0,H1744/F1744*100),""))</f>
        <v/>
      </c>
      <c r="K1744" s="60" t="s">
        <v>757</v>
      </c>
      <c r="L1744" s="70">
        <f ca="1">IF(F1716&gt;ENTRY!$D$24,"",IFERROR(L1740/600*100,""))</f>
        <v>19.6666666666667</v>
      </c>
      <c r="M1744" s="47" t="str">
        <f ca="1">IF(F1716&gt;ENTRY!$D$24,"",IFERROR(L1740&amp;" / "&amp;"600",""))</f>
        <v>118 / 600</v>
      </c>
      <c r="N1744" s="29"/>
      <c r="O1744" s="29"/>
      <c r="P1744" s="19"/>
      <c r="Q1744" s="19"/>
      <c r="R1744" s="11"/>
    </row>
    <row r="1745" s="1" customFormat="1" ht="9.95" customHeight="1" spans="1:19">
      <c r="A1745" s="7"/>
      <c r="B1745" s="12"/>
      <c r="C1745" s="39"/>
      <c r="D1745" s="40"/>
      <c r="E1745" s="40"/>
      <c r="F1745" s="40"/>
      <c r="G1745" s="40"/>
      <c r="H1745" s="40"/>
      <c r="I1745" s="40"/>
      <c r="J1745" s="40"/>
      <c r="K1745" s="40"/>
      <c r="L1745" s="40"/>
      <c r="M1745" s="40"/>
      <c r="N1745" s="40"/>
      <c r="O1745" s="40"/>
      <c r="P1745" s="41"/>
      <c r="Q1745" s="19"/>
      <c r="R1745" s="11"/>
    </row>
    <row r="1746" s="1" customFormat="1" ht="9.95" customHeight="1" spans="1:19">
      <c r="A1746" s="7"/>
      <c r="B1746" s="12"/>
      <c r="C1746" s="71"/>
      <c r="D1746" s="71"/>
      <c r="E1746" s="71"/>
      <c r="F1746" s="29"/>
      <c r="G1746" s="71"/>
      <c r="H1746" s="71"/>
      <c r="I1746" s="71"/>
      <c r="J1746" s="71"/>
      <c r="K1746" s="71"/>
      <c r="L1746" s="71"/>
      <c r="M1746" s="71"/>
      <c r="N1746" s="71"/>
      <c r="O1746" s="71"/>
      <c r="P1746" s="71"/>
      <c r="Q1746" s="19"/>
      <c r="R1746" s="11"/>
    </row>
    <row r="1747" s="1" customFormat="1" ht="9.95" customHeight="1" spans="1:19">
      <c r="A1747" s="7"/>
      <c r="B1747" s="12"/>
      <c r="C1747" s="29"/>
      <c r="D1747" s="29"/>
      <c r="E1747" s="29"/>
      <c r="F1747" s="72"/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19"/>
      <c r="R1747" s="11"/>
    </row>
    <row r="1748" s="1" customFormat="1" ht="9.95" customHeight="1" spans="1:19">
      <c r="A1748" s="7"/>
      <c r="B1748" s="12"/>
      <c r="C1748" s="30"/>
      <c r="D1748" s="31"/>
      <c r="E1748" s="31"/>
      <c r="F1748" s="31"/>
      <c r="G1748" s="31"/>
      <c r="H1748" s="31"/>
      <c r="I1748" s="31"/>
      <c r="J1748" s="31"/>
      <c r="K1748" s="31"/>
      <c r="L1748" s="31"/>
      <c r="M1748" s="31"/>
      <c r="N1748" s="31"/>
      <c r="O1748" s="31"/>
      <c r="P1748" s="32"/>
      <c r="Q1748" s="19"/>
      <c r="R1748" s="11"/>
    </row>
    <row r="1749" s="1" customFormat="1" ht="21.95" customHeight="1" spans="1:19">
      <c r="A1749" s="7"/>
      <c r="B1749" s="12"/>
      <c r="C1749" s="73" t="s">
        <v>7</v>
      </c>
      <c r="D1749" s="13"/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74"/>
      <c r="Q1749" s="19"/>
      <c r="R1749" s="11"/>
      <c r="S1749" s="2"/>
    </row>
    <row r="1750" s="1" customFormat="1" ht="21.95" customHeight="1" spans="1:19">
      <c r="A1750" s="7"/>
      <c r="B1750" s="12"/>
      <c r="C1750" s="33"/>
      <c r="D1750" s="29"/>
      <c r="E1750" s="29"/>
      <c r="F1750" s="29"/>
      <c r="G1750" s="29"/>
      <c r="H1750" s="29"/>
      <c r="I1750" s="29"/>
      <c r="J1750" s="29"/>
      <c r="K1750" s="29"/>
      <c r="L1750" s="29"/>
      <c r="M1750" s="29"/>
      <c r="N1750" s="29"/>
      <c r="O1750" s="29"/>
      <c r="P1750" s="19"/>
      <c r="Q1750" s="19"/>
      <c r="R1750" s="11"/>
    </row>
    <row r="1751" s="1" customFormat="1" ht="21.95" customHeight="1" spans="1:19">
      <c r="A1751" s="7"/>
      <c r="B1751" s="12"/>
      <c r="C1751" s="75" t="str">
        <f>"SESSION-"&amp;ENTRY!$D$11</f>
        <v>SESSION-2026-27</v>
      </c>
      <c r="D1751" s="15"/>
      <c r="E1751" s="15"/>
      <c r="F1751" s="15"/>
      <c r="G1751" s="15"/>
      <c r="H1751" s="15"/>
      <c r="I1751" s="15"/>
      <c r="J1751" s="15"/>
      <c r="K1751" s="15"/>
      <c r="L1751" s="15"/>
      <c r="M1751" s="15"/>
      <c r="N1751" s="15"/>
      <c r="O1751" s="15"/>
      <c r="P1751" s="76"/>
      <c r="Q1751" s="19"/>
      <c r="R1751" s="11"/>
    </row>
    <row r="1752" s="1" customFormat="1" ht="18" customHeight="1" spans="1:19">
      <c r="A1752" s="7"/>
      <c r="B1752" s="12"/>
      <c r="C1752" s="33"/>
      <c r="D1752" s="29"/>
      <c r="E1752" s="29"/>
      <c r="F1752" s="29"/>
      <c r="G1752" s="29"/>
      <c r="H1752" s="29"/>
      <c r="I1752" s="29"/>
      <c r="J1752" s="29"/>
      <c r="K1752" s="29"/>
      <c r="L1752" s="29"/>
      <c r="M1752" s="29"/>
      <c r="N1752" s="29"/>
      <c r="O1752" s="29"/>
      <c r="P1752" s="19"/>
      <c r="Q1752" s="19"/>
      <c r="R1752" s="11"/>
    </row>
    <row r="1753" s="1" customFormat="1" ht="21.95" customHeight="1" spans="1:19">
      <c r="A1753" s="7"/>
      <c r="B1753" s="12"/>
      <c r="C1753" s="33"/>
      <c r="D1753" s="77" t="s">
        <v>758</v>
      </c>
      <c r="E1753" s="77"/>
      <c r="F1753" s="78" t="str">
        <f>IFERROR(PROPER(VLOOKUP(F1716,STUDENT!$A$2:$BP$101,5,0)),"")</f>
        <v>Ram Chander Kumar</v>
      </c>
      <c r="G1753" s="78"/>
      <c r="H1753" s="78"/>
      <c r="I1753" s="78"/>
      <c r="J1753" s="78"/>
      <c r="K1753" s="78"/>
      <c r="L1753" s="78"/>
      <c r="M1753" s="78"/>
      <c r="N1753" s="79" t="s">
        <v>759</v>
      </c>
      <c r="O1753" s="79"/>
      <c r="P1753" s="19"/>
      <c r="Q1753" s="19"/>
      <c r="R1753" s="11"/>
    </row>
    <row r="1754" s="1" customFormat="1" ht="21.95" customHeight="1" spans="1:19">
      <c r="A1754" s="7"/>
      <c r="B1754" s="12"/>
      <c r="C1754" s="33"/>
      <c r="D1754" s="80" t="s">
        <v>760</v>
      </c>
      <c r="E1754" s="81" t="str">
        <f>IFERROR(PROPER(VLOOKUP(F1716,STUDENT!$A$2:$BP$101,9,0)),"")</f>
        <v>Rajani Kumari</v>
      </c>
      <c r="F1754" s="81"/>
      <c r="G1754" s="81"/>
      <c r="H1754" s="80" t="s">
        <v>761</v>
      </c>
      <c r="I1754" s="82" t="str">
        <f>IFERROR(PROPER(VLOOKUP(F1716,STUDENT!$A$2:$BP$101,8,0)),"")</f>
        <v>Akash Sharma</v>
      </c>
      <c r="J1754" s="82"/>
      <c r="K1754" s="82"/>
      <c r="L1754" s="82"/>
      <c r="M1754" s="80" t="s">
        <v>762</v>
      </c>
      <c r="N1754" s="83" t="str">
        <f>IFERROR(VLOOKUP(F1716,STUDENT!$A$2:$BP$101,59,0),"")</f>
        <v/>
      </c>
      <c r="O1754" s="83"/>
      <c r="P1754" s="19"/>
      <c r="Q1754" s="19"/>
      <c r="R1754" s="11"/>
    </row>
    <row r="1755" s="1" customFormat="1" ht="21.95" customHeight="1" spans="1:19">
      <c r="A1755" s="7"/>
      <c r="B1755" s="12"/>
      <c r="C1755" s="33"/>
      <c r="D1755" s="77" t="str">
        <f>"has    completed     his  /  her     primary     level     education    in    the    year    "&amp;RIGHT(ENTRY!$D1721,4)&amp;"    from    ( School    Name )"</f>
        <v>has    completed     his  /  her     primary     level     education    in    the    year        from    ( School    Name )</v>
      </c>
      <c r="E1755" s="77"/>
      <c r="F1755" s="77"/>
      <c r="G1755" s="77"/>
      <c r="H1755" s="77"/>
      <c r="I1755" s="77"/>
      <c r="J1755" s="77"/>
      <c r="K1755" s="77"/>
      <c r="L1755" s="77"/>
      <c r="M1755" s="77"/>
      <c r="N1755" s="77"/>
      <c r="O1755" s="77"/>
      <c r="P1755" s="19"/>
      <c r="Q1755" s="19"/>
      <c r="R1755" s="11"/>
    </row>
    <row r="1756" s="1" customFormat="1" ht="21.95" customHeight="1" spans="1:19">
      <c r="A1756" s="7"/>
      <c r="B1756" s="12"/>
      <c r="C1756" s="33"/>
      <c r="D1756" s="81" t="str">
        <f>IF(F1716&gt;0,ENTRY!$D$6,"")</f>
        <v>MCP NITHARI NO 1 BOYS</v>
      </c>
      <c r="E1756" s="81"/>
      <c r="F1756" s="81"/>
      <c r="G1756" s="81"/>
      <c r="H1756" s="81"/>
      <c r="I1756" s="81"/>
      <c r="J1756" s="81"/>
      <c r="K1756" s="81"/>
      <c r="L1756" s="81"/>
      <c r="M1756" s="80" t="s">
        <v>763</v>
      </c>
      <c r="N1756" s="84">
        <f>IF(F1716&gt;0,ENTRY!$D$7,"")</f>
        <v>0</v>
      </c>
      <c r="O1756" s="84"/>
      <c r="P1756" s="85" t="s">
        <v>727</v>
      </c>
      <c r="Q1756" s="19"/>
      <c r="R1756" s="11"/>
    </row>
    <row r="1757" s="1" customFormat="1" ht="21.95" customHeight="1" spans="1:19">
      <c r="A1757" s="7"/>
      <c r="B1757" s="12"/>
      <c r="C1757" s="33"/>
      <c r="D1757" s="29"/>
      <c r="E1757" s="29"/>
      <c r="F1757" s="29"/>
      <c r="G1757" s="29"/>
      <c r="H1757" s="29"/>
      <c r="I1757" s="29"/>
      <c r="J1757" s="29"/>
      <c r="K1757" s="29"/>
      <c r="L1757" s="29"/>
      <c r="M1757" s="29"/>
      <c r="N1757" s="29"/>
      <c r="O1757" s="29"/>
      <c r="P1757" s="19"/>
      <c r="Q1757" s="19"/>
      <c r="R1757" s="11"/>
    </row>
    <row r="1758" s="1" customFormat="1" ht="21.95" customHeight="1" spans="1:19">
      <c r="A1758" s="7"/>
      <c r="B1758" s="12"/>
      <c r="C1758" s="33"/>
      <c r="D1758" s="29"/>
      <c r="E1758" s="29"/>
      <c r="F1758" s="29"/>
      <c r="G1758" s="29"/>
      <c r="H1758" s="29"/>
      <c r="I1758" s="29"/>
      <c r="J1758" s="29"/>
      <c r="K1758" s="29"/>
      <c r="L1758" s="29"/>
      <c r="M1758" s="29"/>
      <c r="N1758" s="29"/>
      <c r="O1758" s="29"/>
      <c r="P1758" s="19"/>
      <c r="Q1758" s="19"/>
      <c r="R1758" s="11"/>
    </row>
    <row r="1759" s="1" customFormat="1" ht="21.95" customHeight="1" spans="1:19">
      <c r="A1759" s="7"/>
      <c r="B1759" s="12"/>
      <c r="C1759" s="33"/>
      <c r="D1759" s="29"/>
      <c r="E1759" s="29"/>
      <c r="F1759" s="29"/>
      <c r="G1759" s="29"/>
      <c r="H1759" s="29"/>
      <c r="I1759" s="29"/>
      <c r="J1759" s="29"/>
      <c r="K1759" s="29"/>
      <c r="L1759" s="29"/>
      <c r="M1759" s="29"/>
      <c r="N1759" s="29"/>
      <c r="O1759" s="29"/>
      <c r="P1759" s="19"/>
      <c r="Q1759" s="19"/>
      <c r="R1759" s="11"/>
    </row>
    <row r="1760" s="1" customFormat="1" ht="21.95" customHeight="1" spans="1:19">
      <c r="A1760" s="7"/>
      <c r="B1760" s="12"/>
      <c r="C1760" s="33"/>
      <c r="D1760" s="29"/>
      <c r="E1760" s="29"/>
      <c r="F1760" s="29"/>
      <c r="G1760" s="29"/>
      <c r="H1760" s="29"/>
      <c r="I1760" s="29"/>
      <c r="J1760" s="29"/>
      <c r="K1760" s="29"/>
      <c r="L1760" s="29"/>
      <c r="M1760" s="29"/>
      <c r="N1760" s="29"/>
      <c r="O1760" s="29"/>
      <c r="P1760" s="19"/>
      <c r="Q1760" s="19"/>
      <c r="R1760" s="11"/>
    </row>
    <row r="1761" s="1" customFormat="1" ht="21.95" customHeight="1" spans="1:18">
      <c r="A1761" s="7"/>
      <c r="B1761" s="12"/>
      <c r="C1761" s="33"/>
      <c r="D1761" s="29"/>
      <c r="E1761" s="29"/>
      <c r="F1761" s="29"/>
      <c r="G1761" s="29"/>
      <c r="H1761" s="29"/>
      <c r="I1761" s="29"/>
      <c r="J1761" s="29"/>
      <c r="K1761" s="29"/>
      <c r="L1761" s="29"/>
      <c r="M1761" s="29"/>
      <c r="N1761" s="29"/>
      <c r="O1761" s="29"/>
      <c r="P1761" s="19"/>
      <c r="Q1761" s="19"/>
      <c r="R1761" s="11"/>
    </row>
    <row r="1762" s="1" customFormat="1" ht="21.95" customHeight="1" spans="1:18">
      <c r="A1762" s="7"/>
      <c r="B1762" s="12"/>
      <c r="C1762" s="33"/>
      <c r="D1762" s="80" t="s">
        <v>728</v>
      </c>
      <c r="E1762" s="86">
        <f>ENTRY!$D$27</f>
        <v>46102</v>
      </c>
      <c r="F1762" s="86"/>
      <c r="G1762" s="29"/>
      <c r="H1762" s="29"/>
      <c r="I1762" s="29"/>
      <c r="J1762" s="29"/>
      <c r="K1762" s="29"/>
      <c r="L1762" s="29"/>
      <c r="M1762" s="87" t="s">
        <v>730</v>
      </c>
      <c r="N1762" s="87"/>
      <c r="O1762" s="87"/>
      <c r="P1762" s="19"/>
      <c r="Q1762" s="19"/>
      <c r="R1762" s="11"/>
    </row>
    <row r="1763" s="1" customFormat="1" ht="21.95" customHeight="1" spans="1:18">
      <c r="A1763" s="7"/>
      <c r="B1763" s="12"/>
      <c r="C1763" s="33"/>
      <c r="D1763" s="80" t="s">
        <v>731</v>
      </c>
      <c r="E1763" s="88" t="str">
        <f>PROPER(ENTRY!$D$28)</f>
        <v>New Delhi</v>
      </c>
      <c r="F1763" s="88"/>
      <c r="G1763" s="29"/>
      <c r="H1763" s="29"/>
      <c r="I1763" s="29"/>
      <c r="J1763" s="29"/>
      <c r="K1763" s="29"/>
      <c r="L1763" s="29"/>
      <c r="M1763" s="89" t="s">
        <v>732</v>
      </c>
      <c r="N1763" s="89"/>
      <c r="O1763" s="89"/>
      <c r="P1763" s="19"/>
      <c r="Q1763" s="19"/>
      <c r="R1763" s="11"/>
    </row>
    <row r="1764" s="1" customFormat="1" ht="21.95" customHeight="1" spans="1:18">
      <c r="A1764" s="7"/>
      <c r="B1764" s="12"/>
      <c r="C1764" s="90"/>
      <c r="D1764" s="91"/>
      <c r="E1764" s="91"/>
      <c r="F1764" s="91"/>
      <c r="G1764" s="91"/>
      <c r="H1764" s="91"/>
      <c r="I1764" s="91"/>
      <c r="J1764" s="91"/>
      <c r="K1764" s="91"/>
      <c r="L1764" s="91"/>
      <c r="M1764" s="91"/>
      <c r="N1764" s="91"/>
      <c r="O1764" s="91"/>
      <c r="P1764" s="92"/>
      <c r="Q1764" s="14"/>
      <c r="R1764" s="11"/>
    </row>
    <row r="1765" s="1" customFormat="1" ht="5.1" customHeight="1" spans="1:18">
      <c r="A1765" s="7"/>
      <c r="B1765" s="90"/>
      <c r="C1765" s="91"/>
      <c r="D1765" s="91"/>
      <c r="E1765" s="91"/>
      <c r="F1765" s="91"/>
      <c r="G1765" s="91"/>
      <c r="H1765" s="91"/>
      <c r="I1765" s="91"/>
      <c r="J1765" s="91"/>
      <c r="K1765" s="91"/>
      <c r="L1765" s="91"/>
      <c r="M1765" s="91"/>
      <c r="N1765" s="91"/>
      <c r="O1765" s="91"/>
      <c r="P1765" s="91"/>
      <c r="Q1765" s="92"/>
      <c r="R1765" s="11"/>
    </row>
    <row r="1766" s="1" customFormat="1" ht="5.1" customHeight="1" spans="1:18">
      <c r="A1766" s="93"/>
      <c r="B1766" s="94"/>
      <c r="C1766" s="94"/>
      <c r="D1766" s="94"/>
      <c r="E1766" s="94"/>
      <c r="F1766" s="94"/>
      <c r="G1766" s="94"/>
      <c r="H1766" s="94"/>
      <c r="I1766" s="94"/>
      <c r="J1766" s="94"/>
      <c r="K1766" s="94"/>
      <c r="L1766" s="94"/>
      <c r="M1766" s="94"/>
      <c r="N1766" s="94"/>
      <c r="O1766" s="94"/>
      <c r="P1766" s="94"/>
      <c r="Q1766" s="94"/>
      <c r="R1766" s="95"/>
    </row>
    <row r="1767" s="2" customFormat="1" ht="9.95" customHeight="1"/>
    <row r="1768" s="1" customFormat="1" ht="5.1" customHeight="1" spans="1:18">
      <c r="A1768" s="4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6"/>
    </row>
    <row r="1769" s="1" customFormat="1" ht="15" customHeight="1" spans="1:18">
      <c r="A1769" s="7"/>
      <c r="B1769" s="8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9"/>
      <c r="O1769" s="9"/>
      <c r="P1769" s="9"/>
      <c r="Q1769" s="10"/>
      <c r="R1769" s="11"/>
    </row>
    <row r="1770" s="1" customFormat="1" ht="21.95" customHeight="1" spans="1:18">
      <c r="A1770" s="7"/>
      <c r="B1770" s="12"/>
      <c r="C1770" s="13" t="s">
        <v>7</v>
      </c>
      <c r="D1770" s="13"/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/>
      <c r="Q1770" s="14"/>
      <c r="R1770" s="11"/>
    </row>
    <row r="1771" s="1" customFormat="1" ht="21.95" customHeight="1" spans="1:18">
      <c r="A1771" s="7"/>
      <c r="B1771" s="1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14"/>
      <c r="R1771" s="11"/>
    </row>
    <row r="1772" s="1" customFormat="1" ht="21.95" customHeight="1" spans="1:18">
      <c r="A1772" s="7"/>
      <c r="B1772" s="12"/>
      <c r="C1772" s="15" t="str">
        <f>"SESSION-"&amp;ENTRY!$D$11</f>
        <v>SESSION-2026-27</v>
      </c>
      <c r="D1772" s="15"/>
      <c r="E1772" s="15"/>
      <c r="F1772" s="15"/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4"/>
      <c r="R1772" s="11"/>
    </row>
    <row r="1773" s="1" customFormat="1" ht="21.95" customHeight="1" spans="1:18">
      <c r="A1773" s="7"/>
      <c r="B1773" s="12"/>
      <c r="C1773" s="2"/>
      <c r="D1773" s="2"/>
      <c r="E1773" s="2"/>
      <c r="F1773" s="16">
        <f>F1716+1</f>
        <v>32</v>
      </c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14"/>
      <c r="R1773" s="11"/>
    </row>
    <row r="1774" s="1" customFormat="1" ht="21.95" customHeight="1" spans="1:18">
      <c r="A1774" s="7"/>
      <c r="B1774" s="12"/>
      <c r="C1774" s="17" t="s">
        <v>392</v>
      </c>
      <c r="D1774" s="17"/>
      <c r="E1774" s="17"/>
      <c r="F1774" s="18" t="str">
        <f>IF(F1773&gt;0,ENTRY!$D$6,"")</f>
        <v>MCP NITHARI NO 1 BOYS</v>
      </c>
      <c r="G1774" s="18"/>
      <c r="H1774" s="18"/>
      <c r="I1774" s="18"/>
      <c r="J1774" s="18"/>
      <c r="K1774" s="18"/>
      <c r="L1774" s="18"/>
      <c r="M1774" s="18"/>
      <c r="N1774" s="18"/>
      <c r="O1774" s="18"/>
      <c r="P1774" s="18"/>
      <c r="Q1774" s="19"/>
      <c r="R1774" s="11"/>
    </row>
    <row r="1775" s="1" customFormat="1" ht="21.95" customHeight="1" spans="1:18">
      <c r="A1775" s="7"/>
      <c r="B1775" s="12"/>
      <c r="C1775" s="17" t="s">
        <v>393</v>
      </c>
      <c r="D1775" s="17"/>
      <c r="E1775" s="17"/>
      <c r="F1775" s="18">
        <f>IF(F1773&gt;0,ENTRY!$D$7,"")</f>
        <v>0</v>
      </c>
      <c r="G1775" s="18"/>
      <c r="H1775" s="20" t="s">
        <v>702</v>
      </c>
      <c r="I1775" s="20"/>
      <c r="J1775" s="21">
        <f>IF(F1773&gt;0,ENTRY!$D$10,"")</f>
        <v>40</v>
      </c>
      <c r="K1775" s="20" t="s">
        <v>703</v>
      </c>
      <c r="L1775" s="22" t="str">
        <f>IF(F1773&gt;0,ENTRY!$D$5,"")</f>
        <v>ROHINI ZONE</v>
      </c>
      <c r="M1775" s="22"/>
      <c r="N1775" s="22"/>
      <c r="O1775" s="22"/>
      <c r="P1775" s="22"/>
      <c r="Q1775" s="19"/>
      <c r="R1775" s="11"/>
    </row>
    <row r="1776" s="1" customFormat="1" ht="21.95" customHeight="1" spans="1:18">
      <c r="A1776" s="7"/>
      <c r="B1776" s="12"/>
      <c r="C1776" s="17" t="s">
        <v>706</v>
      </c>
      <c r="D1776" s="17"/>
      <c r="E1776" s="17"/>
      <c r="F1776" s="23" t="str">
        <f>IFERROR(VLOOKUP(F1773,STUDENT!$A$2:$BP$101,5,0),"")</f>
        <v>HARSHIT</v>
      </c>
      <c r="G1776" s="23"/>
      <c r="H1776" s="23"/>
      <c r="I1776" s="23"/>
      <c r="J1776" s="23"/>
      <c r="K1776" s="23"/>
      <c r="L1776" s="20" t="s">
        <v>707</v>
      </c>
      <c r="M1776" s="20"/>
      <c r="N1776" s="24" t="str">
        <f>IF(F1773&gt;0,ENTRY!$D$20&amp;"-"&amp;ENTRY!$D$21,"")</f>
        <v>III-A</v>
      </c>
      <c r="O1776" s="24"/>
      <c r="P1776" s="24"/>
      <c r="Q1776" s="19"/>
      <c r="R1776" s="11"/>
    </row>
    <row r="1777" s="1" customFormat="1" ht="21.95" customHeight="1" spans="1:18">
      <c r="A1777" s="7"/>
      <c r="B1777" s="12"/>
      <c r="C1777" s="17" t="s">
        <v>708</v>
      </c>
      <c r="D1777" s="17"/>
      <c r="E1777" s="17"/>
      <c r="F1777" s="25">
        <f>IFERROR(VLOOKUP(F1773,STUDENT!$A$2:$BP$101,6,0),"")</f>
        <v>15035</v>
      </c>
      <c r="G1777" s="25"/>
      <c r="H1777" s="26" t="s">
        <v>709</v>
      </c>
      <c r="I1777" s="27" t="str">
        <f>IFERROR(VLOOKUP(F1773,STUDENT!$A$2:$BP$101,59,0),"")</f>
        <v/>
      </c>
      <c r="J1777" s="27"/>
      <c r="K1777" s="20" t="s">
        <v>710</v>
      </c>
      <c r="L1777" s="20"/>
      <c r="M1777" s="28">
        <f>IFERROR(VLOOKUP(F1773,STUDENT!$A$2:$BP$101,20,0),"")</f>
        <v>6261811930</v>
      </c>
      <c r="N1777" s="28"/>
      <c r="O1777" s="28"/>
      <c r="P1777" s="28"/>
      <c r="Q1777" s="19"/>
      <c r="R1777" s="11"/>
    </row>
    <row r="1778" s="1" customFormat="1" ht="21.95" customHeight="1" spans="1:18">
      <c r="A1778" s="7"/>
      <c r="B1778" s="12"/>
      <c r="C1778" s="17" t="s">
        <v>711</v>
      </c>
      <c r="D1778" s="17"/>
      <c r="E1778" s="17"/>
      <c r="F1778" s="23" t="str">
        <f>IFERROR(VLOOKUP(F1773,STUDENT!$A$2:$BP$101,9,0),"")</f>
        <v>JYOTI</v>
      </c>
      <c r="G1778" s="23"/>
      <c r="H1778" s="23"/>
      <c r="I1778" s="23"/>
      <c r="J1778" s="17" t="s">
        <v>620</v>
      </c>
      <c r="K1778" s="17"/>
      <c r="L1778" s="23" t="str">
        <f>IFERROR(VLOOKUP(F1773,STUDENT!$A$2:$BP$101,8,0),"")</f>
        <v>ANKIT SINGH</v>
      </c>
      <c r="M1778" s="23"/>
      <c r="N1778" s="23"/>
      <c r="O1778" s="23"/>
      <c r="P1778" s="23"/>
      <c r="Q1778" s="19"/>
      <c r="R1778" s="11"/>
    </row>
    <row r="1779" s="1" customFormat="1" ht="21.95" customHeight="1" spans="1:18">
      <c r="A1779" s="7"/>
      <c r="B1779" s="12"/>
      <c r="C1779" s="17" t="s">
        <v>712</v>
      </c>
      <c r="D1779" s="17"/>
      <c r="E1779" s="17"/>
      <c r="F1779" s="23" t="str">
        <f>IFERROR(VLOOKUP(F1773,STUDENT!$A$2:$BP$101,22,0),"")</f>
        <v>B-150 G.NO -3 INDER ENCL PH-1</v>
      </c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19"/>
      <c r="R1779" s="11"/>
    </row>
    <row r="1780" s="1" customFormat="1" ht="9.95" customHeight="1" spans="1:18">
      <c r="A1780" s="7"/>
      <c r="B1780" s="12"/>
      <c r="C1780" s="29"/>
      <c r="D1780" s="29"/>
      <c r="E1780" s="29"/>
      <c r="F1780" s="29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19"/>
      <c r="R1780" s="11"/>
    </row>
    <row r="1781" s="1" customFormat="1" ht="9.95" customHeight="1" spans="1:18">
      <c r="A1781" s="7"/>
      <c r="B1781" s="12"/>
      <c r="C1781" s="30"/>
      <c r="D1781" s="31"/>
      <c r="E1781" s="31"/>
      <c r="F1781" s="31"/>
      <c r="G1781" s="31"/>
      <c r="H1781" s="31"/>
      <c r="I1781" s="31"/>
      <c r="J1781" s="31"/>
      <c r="K1781" s="31"/>
      <c r="L1781" s="31"/>
      <c r="M1781" s="31"/>
      <c r="N1781" s="31"/>
      <c r="O1781" s="31"/>
      <c r="P1781" s="32"/>
      <c r="Q1781" s="19"/>
      <c r="R1781" s="11"/>
    </row>
    <row r="1782" s="1" customFormat="1" ht="21.95" customHeight="1" spans="1:18">
      <c r="A1782" s="7"/>
      <c r="B1782" s="12"/>
      <c r="C1782" s="33"/>
      <c r="D1782" s="34" t="s">
        <v>713</v>
      </c>
      <c r="E1782" s="20" t="s">
        <v>714</v>
      </c>
      <c r="F1782" s="35" t="str">
        <f>"Level - "&amp;IFERROR(VLOOKUP(F1773,FLN!$A$4:$K$103,9,0),"")</f>
        <v>Level - 2</v>
      </c>
      <c r="G1782" s="36"/>
      <c r="H1782" s="37" t="s">
        <v>715</v>
      </c>
      <c r="I1782" s="20"/>
      <c r="J1782" s="35" t="str">
        <f>"Level - "&amp;IFERROR(VLOOKUP(F1773,FLN!$A$4:$K$103,11,0),"")</f>
        <v>Level - 3</v>
      </c>
      <c r="K1782" s="36"/>
      <c r="L1782" s="37" t="s">
        <v>408</v>
      </c>
      <c r="M1782" s="20"/>
      <c r="N1782" s="35" t="str">
        <f>"Level - "&amp;IFERROR(VLOOKUP(F1773,FLN!$A$4:$K$103,10,0),"")</f>
        <v>Level - 2</v>
      </c>
      <c r="O1782" s="36"/>
      <c r="P1782" s="19"/>
      <c r="Q1782" s="19"/>
      <c r="R1782" s="11"/>
    </row>
    <row r="1783" s="1" customFormat="1" ht="21.95" customHeight="1" spans="1:18">
      <c r="A1783" s="7"/>
      <c r="B1783" s="12"/>
      <c r="C1783" s="33"/>
      <c r="D1783" s="38"/>
      <c r="E1783" s="20" t="s">
        <v>716</v>
      </c>
      <c r="F1783" s="18" t="str">
        <f ca="1">IF(L1797&gt;197,"PERFORMED WELL","")</f>
        <v>PERFORMED WELL</v>
      </c>
      <c r="G1783" s="18"/>
      <c r="H1783" s="18"/>
      <c r="I1783" s="18"/>
      <c r="J1783" s="18"/>
      <c r="K1783" s="18"/>
      <c r="L1783" s="18"/>
      <c r="M1783" s="18"/>
      <c r="N1783" s="18"/>
      <c r="O1783" s="18"/>
      <c r="P1783" s="19"/>
      <c r="Q1783" s="19"/>
      <c r="R1783" s="11"/>
    </row>
    <row r="1784" s="1" customFormat="1" ht="9.95" customHeight="1" spans="1:18">
      <c r="A1784" s="7"/>
      <c r="B1784" s="12"/>
      <c r="C1784" s="39"/>
      <c r="D1784" s="40"/>
      <c r="E1784" s="40"/>
      <c r="F1784" s="40"/>
      <c r="G1784" s="40"/>
      <c r="H1784" s="40"/>
      <c r="I1784" s="40"/>
      <c r="J1784" s="40"/>
      <c r="K1784" s="40"/>
      <c r="L1784" s="40"/>
      <c r="M1784" s="40"/>
      <c r="N1784" s="40"/>
      <c r="O1784" s="40"/>
      <c r="P1784" s="41"/>
      <c r="Q1784" s="19"/>
      <c r="R1784" s="11"/>
    </row>
    <row r="1785" s="1" customFormat="1" ht="9.95" customHeight="1" spans="1:18">
      <c r="A1785" s="7"/>
      <c r="B1785" s="12"/>
      <c r="C1785" s="29"/>
      <c r="D1785" s="29"/>
      <c r="E1785" s="29"/>
      <c r="F1785" s="29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19"/>
      <c r="R1785" s="11"/>
    </row>
    <row r="1786" s="1" customFormat="1" ht="9.95" customHeight="1" spans="1:18">
      <c r="A1786" s="7"/>
      <c r="B1786" s="12"/>
      <c r="C1786" s="30"/>
      <c r="D1786" s="31"/>
      <c r="E1786" s="31"/>
      <c r="F1786" s="31"/>
      <c r="G1786" s="31"/>
      <c r="H1786" s="31"/>
      <c r="I1786" s="31"/>
      <c r="J1786" s="31"/>
      <c r="K1786" s="31"/>
      <c r="L1786" s="31"/>
      <c r="M1786" s="31"/>
      <c r="N1786" s="31"/>
      <c r="O1786" s="31"/>
      <c r="P1786" s="32"/>
      <c r="Q1786" s="19"/>
      <c r="R1786" s="11"/>
    </row>
    <row r="1787" s="1" customFormat="1" ht="21.95" customHeight="1" spans="1:18">
      <c r="A1787" s="7"/>
      <c r="B1787" s="12"/>
      <c r="C1787" s="33"/>
      <c r="D1787" s="35"/>
      <c r="E1787" s="24"/>
      <c r="F1787" s="42" t="s">
        <v>717</v>
      </c>
      <c r="G1787" s="42"/>
      <c r="H1787" s="42"/>
      <c r="I1787" s="42"/>
      <c r="J1787" s="42"/>
      <c r="K1787" s="42"/>
      <c r="L1787" s="43"/>
      <c r="M1787" s="44"/>
      <c r="N1787" s="29"/>
      <c r="O1787" s="29"/>
      <c r="P1787" s="19"/>
      <c r="Q1787" s="19"/>
      <c r="R1787" s="11"/>
    </row>
    <row r="1788" s="1" customFormat="1" ht="21.95" customHeight="1" spans="1:18">
      <c r="A1788" s="7"/>
      <c r="B1788" s="12"/>
      <c r="C1788" s="33"/>
      <c r="D1788" s="45"/>
      <c r="E1788" s="46"/>
      <c r="F1788" s="47" t="s">
        <v>541</v>
      </c>
      <c r="G1788" s="47" t="s">
        <v>542</v>
      </c>
      <c r="H1788" s="47" t="s">
        <v>543</v>
      </c>
      <c r="I1788" s="47" t="s">
        <v>544</v>
      </c>
      <c r="J1788" s="47" t="s">
        <v>561</v>
      </c>
      <c r="K1788" s="48" t="s">
        <v>750</v>
      </c>
      <c r="L1788" s="47" t="s">
        <v>382</v>
      </c>
      <c r="M1788" s="49" t="s">
        <v>546</v>
      </c>
      <c r="N1788" s="29"/>
      <c r="O1788" s="29"/>
      <c r="P1788" s="19"/>
      <c r="Q1788" s="19"/>
      <c r="R1788" s="11"/>
    </row>
    <row r="1789" s="1" customFormat="1" ht="21.95" customHeight="1" spans="1:18">
      <c r="A1789" s="7"/>
      <c r="B1789" s="12"/>
      <c r="C1789" s="33"/>
      <c r="D1789" s="45" t="s">
        <v>652</v>
      </c>
      <c r="E1789" s="46"/>
      <c r="F1789" s="50">
        <v>10</v>
      </c>
      <c r="G1789" s="50">
        <v>10</v>
      </c>
      <c r="H1789" s="50">
        <v>10</v>
      </c>
      <c r="I1789" s="50">
        <v>10</v>
      </c>
      <c r="J1789" s="50">
        <v>60</v>
      </c>
      <c r="K1789" s="51"/>
      <c r="L1789" s="50">
        <v>100</v>
      </c>
      <c r="M1789" s="49"/>
      <c r="N1789" s="29"/>
      <c r="O1789" s="29"/>
      <c r="P1789" s="19"/>
      <c r="Q1789" s="19"/>
      <c r="R1789" s="11"/>
    </row>
    <row r="1790" s="1" customFormat="1" ht="21.95" customHeight="1" spans="1:18">
      <c r="A1790" s="7"/>
      <c r="B1790" s="12"/>
      <c r="C1790" s="33"/>
      <c r="D1790" s="52" t="s">
        <v>751</v>
      </c>
      <c r="E1790" s="53"/>
      <c r="F1790" s="54">
        <f ca="1">IFERROR(VLOOKUP(F1773,'RR-3.1-5TH'!$A$12:'RR-3.1-5TH'!$BN$111,9,0),"")</f>
        <v>2</v>
      </c>
      <c r="G1790" s="54">
        <f ca="1">IFERROR(VLOOKUP(F1773,'RR-3.1-5TH'!$A$12:'RR-3.1-5TH'!$BN$111,10,0),"")</f>
        <v>0</v>
      </c>
      <c r="H1790" s="54">
        <f ca="1">IFERROR(VLOOKUP(F1773,'RR-3.1-5TH'!$A$12:'RR-3.1-5TH'!$BN$111,11,0),"")</f>
        <v>0</v>
      </c>
      <c r="I1790" s="54">
        <f ca="1">IFERROR(VLOOKUP(F1773,'RR-3.1-5TH'!$A$12:'RR-3.1-5TH'!$BN$111,12,0),"")</f>
        <v>0</v>
      </c>
      <c r="J1790" s="54">
        <f ca="1">IFERROR(VLOOKUP(F1773,'RR-3.1-5TH'!$A$12:'RR-3.1-5TH'!$BN$111,13,0),"")</f>
        <v>56</v>
      </c>
      <c r="K1790" s="54">
        <f ca="1">IFERROR(VLOOKUP(F1773,'RR-3.1-5TH'!$A$12:'RR-3.1-5TH'!$BN$111,14,0),"")</f>
        <v>0</v>
      </c>
      <c r="L1790" s="55">
        <f ca="1" t="shared" ref="L1790:L1795" si="93">SUM(F1790,G1790,H1790,I1790,J1790,K1790)</f>
        <v>58</v>
      </c>
      <c r="M1790" s="56" t="str">
        <f ca="1">IF(F1773&gt;ENTRY!$D$24,"",IF(L1790=0,"Ab",IF(L1790&gt;80,"A",IF(L1790&gt;60,"B",IF(L1790&gt;44,"C",IF(L1790&gt;=33,"D",IF(L1790&lt;=32,"E","")))))))</f>
        <v>C</v>
      </c>
      <c r="N1790" s="57" t="s">
        <v>729</v>
      </c>
      <c r="O1790" s="58"/>
      <c r="P1790" s="59"/>
      <c r="Q1790" s="19"/>
      <c r="R1790" s="11"/>
    </row>
    <row r="1791" s="1" customFormat="1" ht="21.95" customHeight="1" spans="1:18">
      <c r="A1791" s="7"/>
      <c r="B1791" s="12"/>
      <c r="C1791" s="33"/>
      <c r="D1791" s="52" t="s">
        <v>513</v>
      </c>
      <c r="E1791" s="53"/>
      <c r="F1791" s="54">
        <f ca="1">IFERROR(VLOOKUP(F1773,'RR-3.1-5TH'!$A$12:'RR-3.1-5TH'!$BN$111,17,0),"")</f>
        <v>2</v>
      </c>
      <c r="G1791" s="54">
        <f ca="1">IFERROR(VLOOKUP(F1773,'RR-3.1-5TH'!$A$12:'RR-3.1-5TH'!$BN$111,18,0),"")</f>
        <v>0</v>
      </c>
      <c r="H1791" s="54">
        <f ca="1">IFERROR(VLOOKUP(F1773,'RR-3.1-5TH'!$A$12:'RR-3.1-5TH'!$BN$111,19,0),"")</f>
        <v>0</v>
      </c>
      <c r="I1791" s="54">
        <f ca="1">IFERROR(VLOOKUP(F1773,'RR-3.1-5TH'!$A$12:'RR-3.1-5TH'!$BN$111,20,0),"")</f>
        <v>0</v>
      </c>
      <c r="J1791" s="54">
        <f ca="1">IFERROR(VLOOKUP(F1773,'RR-3.1-5TH'!$A$12:'RR-3.1-5TH'!$BN$111,21,0),"")</f>
        <v>26</v>
      </c>
      <c r="K1791" s="54">
        <f ca="1">IFERROR(VLOOKUP(F1773,'RR-3.1-5TH'!$A$12:'RR-3.1-5TH'!$BN$111,22,0),"")</f>
        <v>0</v>
      </c>
      <c r="L1791" s="55">
        <f ca="1" t="shared" si="93"/>
        <v>28</v>
      </c>
      <c r="M1791" s="56" t="str">
        <f ca="1">IF(F1773&gt;ENTRY!$D$24,"",IF(L1791=0,"Ab",IF(L1791&gt;80,"A",IF(L1791&gt;60,"B",IF(L1791&gt;44,"C",IF(L1791&gt;=33,"D",IF(L1791&lt;=32,"E","")))))))</f>
        <v>E</v>
      </c>
      <c r="N1791" s="58"/>
      <c r="O1791" s="58"/>
      <c r="P1791" s="59"/>
      <c r="Q1791" s="19"/>
      <c r="R1791" s="11"/>
    </row>
    <row r="1792" s="1" customFormat="1" ht="21.95" customHeight="1" spans="1:18">
      <c r="A1792" s="7"/>
      <c r="B1792" s="12"/>
      <c r="C1792" s="33"/>
      <c r="D1792" s="52" t="s">
        <v>718</v>
      </c>
      <c r="E1792" s="53"/>
      <c r="F1792" s="54">
        <f ca="1">IFERROR(VLOOKUP(F1773,'RR-3.1-5TH'!$A$12:'RR-3.1-5TH'!$BN$111,25,0),"")</f>
        <v>2</v>
      </c>
      <c r="G1792" s="54">
        <f ca="1">IFERROR(VLOOKUP(F1773,'RR-3.1-5TH'!$A$12:'RR-3.1-5TH'!$BN$111,26,0),"")</f>
        <v>0</v>
      </c>
      <c r="H1792" s="54">
        <f ca="1">IFERROR(VLOOKUP(F1773,'RR-3.1-5TH'!$A$12:'RR-3.1-5TH'!$BN$111,27,0),"")</f>
        <v>0</v>
      </c>
      <c r="I1792" s="54">
        <f ca="1">IFERROR(VLOOKUP(F1773,'RR-3.1-5TH'!$A$12:'RR-3.1-5TH'!$BN$111,28,0),"")</f>
        <v>0</v>
      </c>
      <c r="J1792" s="54">
        <f ca="1">IFERROR(VLOOKUP(F1773,'RR-3.1-5TH'!$A$12:'RR-3.1-5TH'!$BN$111,29,0),"")</f>
        <v>26</v>
      </c>
      <c r="K1792" s="54">
        <f ca="1">IFERROR(VLOOKUP(F1773,'RR-3.1-5TH'!$A$12:'RR-3.1-5TH'!$BN$111,30,0),"")</f>
        <v>0</v>
      </c>
      <c r="L1792" s="55">
        <f ca="1" t="shared" si="93"/>
        <v>28</v>
      </c>
      <c r="M1792" s="56" t="str">
        <f ca="1">IF(F1773&gt;ENTRY!$D$24,"",IF(L1792=0,"Ab",IF(L1792&gt;80,"A",IF(L1792&gt;60,"B",IF(L1792&gt;44,"C",IF(L1792&gt;=33,"D",IF(L1792&lt;=32,"E","")))))))</f>
        <v>E</v>
      </c>
      <c r="N1792" s="29"/>
      <c r="O1792" s="29"/>
      <c r="P1792" s="19"/>
      <c r="Q1792" s="19"/>
      <c r="R1792" s="11"/>
    </row>
    <row r="1793" s="1" customFormat="1" ht="21.95" customHeight="1" spans="1:19">
      <c r="A1793" s="7"/>
      <c r="B1793" s="12"/>
      <c r="C1793" s="33"/>
      <c r="D1793" s="52" t="s">
        <v>719</v>
      </c>
      <c r="E1793" s="53"/>
      <c r="F1793" s="54">
        <f ca="1">IFERROR(VLOOKUP(F1773,'RR-3.1-5TH'!$A$12:'RR-3.1-5TH'!$BN$111,33,0),"")</f>
        <v>2</v>
      </c>
      <c r="G1793" s="54">
        <f ca="1">IFERROR(VLOOKUP(F1773,'RR-3.1-5TH'!$A$12:'RR-3.1-5TH'!$BN$111,34,0),"")</f>
        <v>0</v>
      </c>
      <c r="H1793" s="54">
        <f ca="1">IFERROR(VLOOKUP(F1773,'RR-3.1-5TH'!$A$12:'RR-3.1-5TH'!$BN$111,35,0),"")</f>
        <v>0</v>
      </c>
      <c r="I1793" s="54">
        <f ca="1">IFERROR(VLOOKUP(F1773,'RR-3.1-5TH'!$A$12:'RR-3.1-5TH'!$BN$111,36,0),"")</f>
        <v>0</v>
      </c>
      <c r="J1793" s="54">
        <f ca="1">IFERROR(VLOOKUP(F1773,'RR-3.1-5TH'!$A$12:'RR-3.1-5TH'!$BN$111,37,0),"")</f>
        <v>28</v>
      </c>
      <c r="K1793" s="54">
        <f ca="1">IFERROR(VLOOKUP(F1773,'RR-3.1-5TH'!$A$12:'RR-3.1-5TH'!$BN$111,38,0),"")</f>
        <v>0</v>
      </c>
      <c r="L1793" s="55">
        <f ca="1" t="shared" si="93"/>
        <v>30</v>
      </c>
      <c r="M1793" s="56" t="str">
        <f ca="1">IF(F1773&gt;ENTRY!$D$24,"",IF(L1793=0,"Ab",IF(L1793&gt;80,"A",IF(L1793&gt;60,"B",IF(L1793&gt;44,"C",IF(L1793&gt;=33,"D",IF(L1793&lt;=32,"E","")))))))</f>
        <v>E</v>
      </c>
      <c r="N1793" s="29"/>
      <c r="O1793" s="29"/>
      <c r="P1793" s="19"/>
      <c r="Q1793" s="19"/>
      <c r="R1793" s="11"/>
    </row>
    <row r="1794" s="1" customFormat="1" ht="21.95" customHeight="1" spans="1:19">
      <c r="A1794" s="7"/>
      <c r="B1794" s="12"/>
      <c r="C1794" s="33"/>
      <c r="D1794" s="52" t="s">
        <v>548</v>
      </c>
      <c r="E1794" s="53"/>
      <c r="F1794" s="54">
        <f ca="1">IFERROR(VLOOKUP(F1773,'RR-3.1-5TH'!$A$12:'RR-3.1-5TH'!$BN$111,41,0),"")</f>
        <v>0</v>
      </c>
      <c r="G1794" s="54">
        <f ca="1">IFERROR(VLOOKUP(F1773,'RR-3.1-5TH'!$A$12:'RR-3.1-5TH'!$BN$111,42,0),"")</f>
        <v>0</v>
      </c>
      <c r="H1794" s="54">
        <f ca="1">IFERROR(VLOOKUP(F1773,'RR-3.1-5TH'!$A$12:'RR-3.1-5TH'!$BN$111,43,0),"")</f>
        <v>0</v>
      </c>
      <c r="I1794" s="54">
        <f ca="1">IFERROR(VLOOKUP(F1773,'RR-3.1-5TH'!$A$12:'RR-3.1-5TH'!$BN$111,44,0),"")</f>
        <v>0</v>
      </c>
      <c r="J1794" s="54">
        <f ca="1">IFERROR(VLOOKUP(F1773,'RR-3.1-5TH'!$A$12:'RR-3.1-5TH'!$BN$111,45,0),"")</f>
        <v>25</v>
      </c>
      <c r="K1794" s="54">
        <f ca="1">IFERROR(VLOOKUP(F1773,'RR-3.1-5TH'!$A$12:'RR-3.1-5TH'!$BN$111,46,0),"")</f>
        <v>0</v>
      </c>
      <c r="L1794" s="55">
        <f ca="1" t="shared" si="93"/>
        <v>25</v>
      </c>
      <c r="M1794" s="56" t="str">
        <f ca="1">IF(F1773&gt;ENTRY!$D$24,"",IF(L1794=0,"Ab",IF(L1794&gt;80,"A",IF(L1794&gt;60,"B",IF(L1794&gt;44,"C",IF(L1794&gt;=33,"D",IF(L1794&lt;=32,"E","")))))))</f>
        <v>E</v>
      </c>
      <c r="N1794" s="29"/>
      <c r="O1794" s="29"/>
      <c r="P1794" s="19"/>
      <c r="Q1794" s="19"/>
      <c r="R1794" s="11"/>
    </row>
    <row r="1795" s="1" customFormat="1" ht="21.95" customHeight="1" spans="1:19">
      <c r="A1795" s="7"/>
      <c r="B1795" s="12"/>
      <c r="C1795" s="33"/>
      <c r="D1795" s="52" t="s">
        <v>549</v>
      </c>
      <c r="E1795" s="53"/>
      <c r="F1795" s="54">
        <f ca="1">IFERROR(VLOOKUP(F1773,'RR-3.1-5TH'!$A$12:'RR-3.1-5TH'!$BN$111,49,0),"")</f>
        <v>2</v>
      </c>
      <c r="G1795" s="54">
        <f ca="1">IFERROR(VLOOKUP(F1773,'RR-3.1-5TH'!$A$12:'RR-3.1-5TH'!$BN$111,50,0),"")</f>
        <v>0</v>
      </c>
      <c r="H1795" s="54">
        <f ca="1">IFERROR(VLOOKUP(F1773,'RR-3.1-5TH'!$A$12:'RR-3.1-5TH'!$BN$111,51,0),"")</f>
        <v>0</v>
      </c>
      <c r="I1795" s="54">
        <f ca="1">IFERROR(VLOOKUP(F1773,'RR-3.1-5TH'!$A$12:'RR-3.1-5TH'!$BN$111,52,0),"")</f>
        <v>0</v>
      </c>
      <c r="J1795" s="54">
        <f ca="1">IFERROR(VLOOKUP(F1773,'RR-3.1-5TH'!$A$12:'RR-3.1-5TH'!$BN$111,53,0),"")</f>
        <v>28</v>
      </c>
      <c r="K1795" s="54">
        <f ca="1">IFERROR(VLOOKUP(F1773,'RR-3.1-5TH'!$A$12:'RR-3.1-5TH'!$BN$111,54,0),"")</f>
        <v>0</v>
      </c>
      <c r="L1795" s="55">
        <f ca="1" t="shared" si="93"/>
        <v>30</v>
      </c>
      <c r="M1795" s="56" t="str">
        <f ca="1">IF(F1773&gt;ENTRY!$D$24,"",IF(L1795=0,"Ab",IF(L1795&gt;80,"A",IF(L1795&gt;60,"B",IF(L1795&gt;44,"C",IF(L1795&gt;=33,"D",IF(L1795&lt;=32,"E","")))))))</f>
        <v>E</v>
      </c>
      <c r="N1795" s="57" t="s">
        <v>752</v>
      </c>
      <c r="O1795" s="58"/>
      <c r="P1795" s="59"/>
      <c r="Q1795" s="19"/>
      <c r="R1795" s="11"/>
    </row>
    <row r="1796" s="1" customFormat="1" ht="21.95" customHeight="1" spans="1:19">
      <c r="A1796" s="7"/>
      <c r="B1796" s="12"/>
      <c r="C1796" s="33"/>
      <c r="D1796" s="52" t="s">
        <v>753</v>
      </c>
      <c r="E1796" s="53"/>
      <c r="F1796" s="60"/>
      <c r="G1796" s="54"/>
      <c r="H1796" s="54"/>
      <c r="I1796" s="54"/>
      <c r="J1796" s="54"/>
      <c r="K1796" s="54"/>
      <c r="L1796" s="55">
        <f t="shared" ref="L1796" si="94">SUM(G1796:K1796)</f>
        <v>0</v>
      </c>
      <c r="M1796" s="56" t="str">
        <f>IF(F1773&gt;ENTRY!$D$24,"",IF(L1796=0,"",IF(L1796&gt;79,"A",IF(L1796&gt;59,"B",IF(L1796&gt;44,"C",IF(L1796&gt;=33,"D",IF(L1796&lt;=32,"E","")))))))</f>
        <v/>
      </c>
      <c r="N1796" s="58"/>
      <c r="O1796" s="58"/>
      <c r="P1796" s="59"/>
      <c r="Q1796" s="19"/>
      <c r="R1796" s="11"/>
    </row>
    <row r="1797" s="1" customFormat="1" ht="21.95" customHeight="1" spans="1:19">
      <c r="A1797" s="7"/>
      <c r="B1797" s="12"/>
      <c r="C1797" s="33"/>
      <c r="D1797" s="45" t="s">
        <v>382</v>
      </c>
      <c r="E1797" s="46"/>
      <c r="F1797" s="54">
        <f ca="1" t="shared" ref="F1797:L1797" si="95">IFERROR(SUM(F1790:F1796),"")</f>
        <v>10</v>
      </c>
      <c r="G1797" s="54">
        <f ca="1" t="shared" si="95"/>
        <v>0</v>
      </c>
      <c r="H1797" s="54">
        <f ca="1" t="shared" si="95"/>
        <v>0</v>
      </c>
      <c r="I1797" s="54">
        <f ca="1" t="shared" si="95"/>
        <v>0</v>
      </c>
      <c r="J1797" s="54">
        <f ca="1" t="shared" si="95"/>
        <v>189</v>
      </c>
      <c r="K1797" s="54">
        <f ca="1" t="shared" si="95"/>
        <v>0</v>
      </c>
      <c r="L1797" s="55">
        <f ca="1" t="shared" si="95"/>
        <v>199</v>
      </c>
      <c r="M1797" s="61" t="str">
        <f ca="1">IF(F1773&gt;ENTRY!$D$24,"",IF(N1798="Ab","Ab",IF(N1798&gt;79.5,"A",IF(N1798&gt;59.5,"B",IF(N1798&gt;44.5,"C",IF(N1798&gt;=33,"D",IF(N1798&lt;33,"E","")))))))</f>
        <v>D</v>
      </c>
      <c r="N1797" s="62"/>
      <c r="O1797" s="58"/>
      <c r="P1797" s="59"/>
      <c r="Q1797" s="19"/>
      <c r="R1797" s="11"/>
    </row>
    <row r="1798" s="1" customFormat="1" ht="21.95" customHeight="1" spans="1:19">
      <c r="A1798" s="7"/>
      <c r="B1798" s="12"/>
      <c r="C1798" s="33"/>
      <c r="D1798" s="63" t="s">
        <v>721</v>
      </c>
      <c r="E1798" s="63"/>
      <c r="F1798" s="63"/>
      <c r="G1798" s="63"/>
      <c r="H1798" s="63"/>
      <c r="I1798" s="63"/>
      <c r="J1798" s="63"/>
      <c r="K1798" s="63"/>
      <c r="L1798" s="63"/>
      <c r="M1798" s="63"/>
      <c r="N1798" s="64">
        <f ca="1">IF(L1797="Ab","Ab",L1797/6)</f>
        <v>33.1666666666667</v>
      </c>
      <c r="O1798" s="65"/>
      <c r="P1798" s="19"/>
      <c r="Q1798" s="19"/>
      <c r="R1798" s="11"/>
    </row>
    <row r="1799" s="1" customFormat="1" ht="21.95" customHeight="1" spans="1:19">
      <c r="A1799" s="7"/>
      <c r="B1799" s="12"/>
      <c r="C1799" s="33"/>
      <c r="D1799" s="29" t="s">
        <v>716</v>
      </c>
      <c r="E1799" s="18" t="str">
        <f>IFERROR(VLOOKUP(F1773,'1to4-2.1-RR'!$A$12:$BG$111,57,0),"")</f>
        <v>FIRST</v>
      </c>
      <c r="F1799" s="18"/>
      <c r="G1799" s="18"/>
      <c r="H1799" s="18"/>
      <c r="I1799" s="18"/>
      <c r="J1799" s="18"/>
      <c r="K1799" s="18"/>
      <c r="L1799" s="18"/>
      <c r="M1799" s="18"/>
      <c r="N1799" s="29"/>
      <c r="O1799" s="29"/>
      <c r="P1799" s="19"/>
      <c r="Q1799" s="19"/>
      <c r="R1799" s="11"/>
    </row>
    <row r="1800" s="1" customFormat="1" ht="9.95" customHeight="1" spans="1:19">
      <c r="A1800" s="7"/>
      <c r="B1800" s="12"/>
      <c r="C1800" s="33"/>
      <c r="D1800" s="29"/>
      <c r="E1800" s="29"/>
      <c r="F1800" s="29"/>
      <c r="G1800" s="29"/>
      <c r="H1800" s="29"/>
      <c r="I1800" s="29"/>
      <c r="J1800" s="29"/>
      <c r="K1800" s="29"/>
      <c r="L1800" s="29"/>
      <c r="M1800" s="29"/>
      <c r="N1800" s="29"/>
      <c r="O1800" s="29"/>
      <c r="P1800" s="19"/>
      <c r="Q1800" s="19"/>
      <c r="R1800" s="11"/>
    </row>
    <row r="1801" s="1" customFormat="1" ht="36" spans="1:19">
      <c r="A1801" s="7"/>
      <c r="B1801" s="12"/>
      <c r="C1801" s="33"/>
      <c r="D1801" s="66" t="s">
        <v>576</v>
      </c>
      <c r="E1801" s="67" t="s">
        <v>754</v>
      </c>
      <c r="F1801" s="47">
        <f>IF(F1773&gt;ENTRY!$D$24,"",IFERROR(VLOOKUP(F1773,PASHEET!$A$4:$CJ$103,88,0),""))</f>
        <v>0</v>
      </c>
      <c r="G1801" s="67" t="s">
        <v>755</v>
      </c>
      <c r="H1801" s="47">
        <f>IF(F1773&gt;ENTRY!$D$24,"",IFERROR(VLOOKUP(F1773,PASHEET!$A$4:$CJ$103,87,0),""))</f>
        <v>0</v>
      </c>
      <c r="I1801" s="68" t="s">
        <v>756</v>
      </c>
      <c r="J1801" s="69" t="str">
        <f>IF(F1773&gt;ENTRY!$D$24,"",IFERROR(IF(F1773&gt;0,H1801/F1801*100),""))</f>
        <v/>
      </c>
      <c r="K1801" s="60" t="s">
        <v>757</v>
      </c>
      <c r="L1801" s="70">
        <f ca="1">IF(F1773&gt;ENTRY!$D$24,"",IFERROR(L1797/600*100,""))</f>
        <v>33.1666666666667</v>
      </c>
      <c r="M1801" s="47" t="str">
        <f ca="1">IF(F1773&gt;ENTRY!$D$24,"",IFERROR(L1797&amp;" / "&amp;"600",""))</f>
        <v>199 / 600</v>
      </c>
      <c r="N1801" s="29"/>
      <c r="O1801" s="29"/>
      <c r="P1801" s="19"/>
      <c r="Q1801" s="19"/>
      <c r="R1801" s="11"/>
    </row>
    <row r="1802" s="1" customFormat="1" ht="9.95" customHeight="1" spans="1:19">
      <c r="A1802" s="7"/>
      <c r="B1802" s="12"/>
      <c r="C1802" s="39"/>
      <c r="D1802" s="40"/>
      <c r="E1802" s="40"/>
      <c r="F1802" s="40"/>
      <c r="G1802" s="40"/>
      <c r="H1802" s="40"/>
      <c r="I1802" s="40"/>
      <c r="J1802" s="40"/>
      <c r="K1802" s="40"/>
      <c r="L1802" s="40"/>
      <c r="M1802" s="40"/>
      <c r="N1802" s="40"/>
      <c r="O1802" s="40"/>
      <c r="P1802" s="41"/>
      <c r="Q1802" s="19"/>
      <c r="R1802" s="11"/>
    </row>
    <row r="1803" s="1" customFormat="1" ht="9.95" customHeight="1" spans="1:19">
      <c r="A1803" s="7"/>
      <c r="B1803" s="12"/>
      <c r="C1803" s="71"/>
      <c r="D1803" s="71"/>
      <c r="E1803" s="71"/>
      <c r="F1803" s="29"/>
      <c r="G1803" s="71"/>
      <c r="H1803" s="71"/>
      <c r="I1803" s="71"/>
      <c r="J1803" s="71"/>
      <c r="K1803" s="71"/>
      <c r="L1803" s="71"/>
      <c r="M1803" s="71"/>
      <c r="N1803" s="71"/>
      <c r="O1803" s="71"/>
      <c r="P1803" s="71"/>
      <c r="Q1803" s="19"/>
      <c r="R1803" s="11"/>
    </row>
    <row r="1804" s="1" customFormat="1" ht="9.95" customHeight="1" spans="1:19">
      <c r="A1804" s="7"/>
      <c r="B1804" s="12"/>
      <c r="C1804" s="29"/>
      <c r="D1804" s="29"/>
      <c r="E1804" s="29"/>
      <c r="F1804" s="72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19"/>
      <c r="R1804" s="11"/>
    </row>
    <row r="1805" s="1" customFormat="1" ht="9.95" customHeight="1" spans="1:19">
      <c r="A1805" s="7"/>
      <c r="B1805" s="12"/>
      <c r="C1805" s="30"/>
      <c r="D1805" s="31"/>
      <c r="E1805" s="31"/>
      <c r="F1805" s="31"/>
      <c r="G1805" s="31"/>
      <c r="H1805" s="31"/>
      <c r="I1805" s="31"/>
      <c r="J1805" s="31"/>
      <c r="K1805" s="31"/>
      <c r="L1805" s="31"/>
      <c r="M1805" s="31"/>
      <c r="N1805" s="31"/>
      <c r="O1805" s="31"/>
      <c r="P1805" s="32"/>
      <c r="Q1805" s="19"/>
      <c r="R1805" s="11"/>
    </row>
    <row r="1806" s="1" customFormat="1" ht="21.95" customHeight="1" spans="1:19">
      <c r="A1806" s="7"/>
      <c r="B1806" s="12"/>
      <c r="C1806" s="73" t="s">
        <v>7</v>
      </c>
      <c r="D1806" s="13"/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74"/>
      <c r="Q1806" s="19"/>
      <c r="R1806" s="11"/>
      <c r="S1806" s="2"/>
    </row>
    <row r="1807" s="1" customFormat="1" ht="21.95" customHeight="1" spans="1:19">
      <c r="A1807" s="7"/>
      <c r="B1807" s="12"/>
      <c r="C1807" s="33"/>
      <c r="D1807" s="29"/>
      <c r="E1807" s="29"/>
      <c r="F1807" s="29"/>
      <c r="G1807" s="29"/>
      <c r="H1807" s="29"/>
      <c r="I1807" s="29"/>
      <c r="J1807" s="29"/>
      <c r="K1807" s="29"/>
      <c r="L1807" s="29"/>
      <c r="M1807" s="29"/>
      <c r="N1807" s="29"/>
      <c r="O1807" s="29"/>
      <c r="P1807" s="19"/>
      <c r="Q1807" s="19"/>
      <c r="R1807" s="11"/>
    </row>
    <row r="1808" s="1" customFormat="1" ht="21.95" customHeight="1" spans="1:19">
      <c r="A1808" s="7"/>
      <c r="B1808" s="12"/>
      <c r="C1808" s="75" t="str">
        <f>"SESSION-"&amp;ENTRY!$D$11</f>
        <v>SESSION-2026-27</v>
      </c>
      <c r="D1808" s="15"/>
      <c r="E1808" s="15"/>
      <c r="F1808" s="15"/>
      <c r="G1808" s="15"/>
      <c r="H1808" s="15"/>
      <c r="I1808" s="15"/>
      <c r="J1808" s="15"/>
      <c r="K1808" s="15"/>
      <c r="L1808" s="15"/>
      <c r="M1808" s="15"/>
      <c r="N1808" s="15"/>
      <c r="O1808" s="15"/>
      <c r="P1808" s="76"/>
      <c r="Q1808" s="19"/>
      <c r="R1808" s="11"/>
    </row>
    <row r="1809" s="1" customFormat="1" ht="18" customHeight="1" spans="1:18">
      <c r="A1809" s="7"/>
      <c r="B1809" s="12"/>
      <c r="C1809" s="33"/>
      <c r="D1809" s="29"/>
      <c r="E1809" s="29"/>
      <c r="F1809" s="29"/>
      <c r="G1809" s="29"/>
      <c r="H1809" s="29"/>
      <c r="I1809" s="29"/>
      <c r="J1809" s="29"/>
      <c r="K1809" s="29"/>
      <c r="L1809" s="29"/>
      <c r="M1809" s="29"/>
      <c r="N1809" s="29"/>
      <c r="O1809" s="29"/>
      <c r="P1809" s="19"/>
      <c r="Q1809" s="19"/>
      <c r="R1809" s="11"/>
    </row>
    <row r="1810" s="1" customFormat="1" ht="21.95" customHeight="1" spans="1:18">
      <c r="A1810" s="7"/>
      <c r="B1810" s="12"/>
      <c r="C1810" s="33"/>
      <c r="D1810" s="77" t="s">
        <v>758</v>
      </c>
      <c r="E1810" s="77"/>
      <c r="F1810" s="78" t="str">
        <f>IFERROR(PROPER(VLOOKUP(F1773,STUDENT!$A$2:$BP$101,5,0)),"")</f>
        <v>Harshit</v>
      </c>
      <c r="G1810" s="78"/>
      <c r="H1810" s="78"/>
      <c r="I1810" s="78"/>
      <c r="J1810" s="78"/>
      <c r="K1810" s="78"/>
      <c r="L1810" s="78"/>
      <c r="M1810" s="78"/>
      <c r="N1810" s="79" t="s">
        <v>759</v>
      </c>
      <c r="O1810" s="79"/>
      <c r="P1810" s="19"/>
      <c r="Q1810" s="19"/>
      <c r="R1810" s="11"/>
    </row>
    <row r="1811" s="1" customFormat="1" ht="21.95" customHeight="1" spans="1:18">
      <c r="A1811" s="7"/>
      <c r="B1811" s="12"/>
      <c r="C1811" s="33"/>
      <c r="D1811" s="80" t="s">
        <v>760</v>
      </c>
      <c r="E1811" s="81" t="str">
        <f>IFERROR(PROPER(VLOOKUP(F1773,STUDENT!$A$2:$BP$101,9,0)),"")</f>
        <v>Jyoti</v>
      </c>
      <c r="F1811" s="81"/>
      <c r="G1811" s="81"/>
      <c r="H1811" s="80" t="s">
        <v>761</v>
      </c>
      <c r="I1811" s="82" t="str">
        <f>IFERROR(PROPER(VLOOKUP(F1773,STUDENT!$A$2:$BP$101,8,0)),"")</f>
        <v>Ankit Singh</v>
      </c>
      <c r="J1811" s="82"/>
      <c r="K1811" s="82"/>
      <c r="L1811" s="82"/>
      <c r="M1811" s="80" t="s">
        <v>762</v>
      </c>
      <c r="N1811" s="83" t="str">
        <f>IFERROR(VLOOKUP(F1773,STUDENT!$A$2:$BP$101,59,0),"")</f>
        <v/>
      </c>
      <c r="O1811" s="83"/>
      <c r="P1811" s="19"/>
      <c r="Q1811" s="19"/>
      <c r="R1811" s="11"/>
    </row>
    <row r="1812" s="1" customFormat="1" ht="21.95" customHeight="1" spans="1:18">
      <c r="A1812" s="7"/>
      <c r="B1812" s="12"/>
      <c r="C1812" s="33"/>
      <c r="D1812" s="77" t="str">
        <f>"has    completed     his  /  her     primary     level     education    in    the    year    "&amp;RIGHT(ENTRY!$D1778,4)&amp;"    from    ( School    Name )"</f>
        <v>has    completed     his  /  her     primary     level     education    in    the    year        from    ( School    Name )</v>
      </c>
      <c r="E1812" s="77"/>
      <c r="F1812" s="77"/>
      <c r="G1812" s="77"/>
      <c r="H1812" s="77"/>
      <c r="I1812" s="77"/>
      <c r="J1812" s="77"/>
      <c r="K1812" s="77"/>
      <c r="L1812" s="77"/>
      <c r="M1812" s="77"/>
      <c r="N1812" s="77"/>
      <c r="O1812" s="77"/>
      <c r="P1812" s="19"/>
      <c r="Q1812" s="19"/>
      <c r="R1812" s="11"/>
    </row>
    <row r="1813" s="1" customFormat="1" ht="21.95" customHeight="1" spans="1:18">
      <c r="A1813" s="7"/>
      <c r="B1813" s="12"/>
      <c r="C1813" s="33"/>
      <c r="D1813" s="81" t="str">
        <f>IF(F1773&gt;0,ENTRY!$D$6,"")</f>
        <v>MCP NITHARI NO 1 BOYS</v>
      </c>
      <c r="E1813" s="81"/>
      <c r="F1813" s="81"/>
      <c r="G1813" s="81"/>
      <c r="H1813" s="81"/>
      <c r="I1813" s="81"/>
      <c r="J1813" s="81"/>
      <c r="K1813" s="81"/>
      <c r="L1813" s="81"/>
      <c r="M1813" s="80" t="s">
        <v>763</v>
      </c>
      <c r="N1813" s="84">
        <f>IF(F1773&gt;0,ENTRY!$D$7,"")</f>
        <v>0</v>
      </c>
      <c r="O1813" s="84"/>
      <c r="P1813" s="85" t="s">
        <v>727</v>
      </c>
      <c r="Q1813" s="19"/>
      <c r="R1813" s="11"/>
    </row>
    <row r="1814" s="1" customFormat="1" ht="21.95" customHeight="1" spans="1:18">
      <c r="A1814" s="7"/>
      <c r="B1814" s="12"/>
      <c r="C1814" s="33"/>
      <c r="D1814" s="29"/>
      <c r="E1814" s="29"/>
      <c r="F1814" s="29"/>
      <c r="G1814" s="29"/>
      <c r="H1814" s="29"/>
      <c r="I1814" s="29"/>
      <c r="J1814" s="29"/>
      <c r="K1814" s="29"/>
      <c r="L1814" s="29"/>
      <c r="M1814" s="29"/>
      <c r="N1814" s="29"/>
      <c r="O1814" s="29"/>
      <c r="P1814" s="19"/>
      <c r="Q1814" s="19"/>
      <c r="R1814" s="11"/>
    </row>
    <row r="1815" s="1" customFormat="1" ht="21.95" customHeight="1" spans="1:18">
      <c r="A1815" s="7"/>
      <c r="B1815" s="12"/>
      <c r="C1815" s="33"/>
      <c r="D1815" s="29"/>
      <c r="E1815" s="29"/>
      <c r="F1815" s="29"/>
      <c r="G1815" s="29"/>
      <c r="H1815" s="29"/>
      <c r="I1815" s="29"/>
      <c r="J1815" s="29"/>
      <c r="K1815" s="29"/>
      <c r="L1815" s="29"/>
      <c r="M1815" s="29"/>
      <c r="N1815" s="29"/>
      <c r="O1815" s="29"/>
      <c r="P1815" s="19"/>
      <c r="Q1815" s="19"/>
      <c r="R1815" s="11"/>
    </row>
    <row r="1816" s="1" customFormat="1" ht="21.95" customHeight="1" spans="1:18">
      <c r="A1816" s="7"/>
      <c r="B1816" s="12"/>
      <c r="C1816" s="33"/>
      <c r="D1816" s="29"/>
      <c r="E1816" s="29"/>
      <c r="F1816" s="29"/>
      <c r="G1816" s="29"/>
      <c r="H1816" s="29"/>
      <c r="I1816" s="29"/>
      <c r="J1816" s="29"/>
      <c r="K1816" s="29"/>
      <c r="L1816" s="29"/>
      <c r="M1816" s="29"/>
      <c r="N1816" s="29"/>
      <c r="O1816" s="29"/>
      <c r="P1816" s="19"/>
      <c r="Q1816" s="19"/>
      <c r="R1816" s="11"/>
    </row>
    <row r="1817" s="1" customFormat="1" ht="21.95" customHeight="1" spans="1:18">
      <c r="A1817" s="7"/>
      <c r="B1817" s="12"/>
      <c r="C1817" s="33"/>
      <c r="D1817" s="29"/>
      <c r="E1817" s="29"/>
      <c r="F1817" s="29"/>
      <c r="G1817" s="29"/>
      <c r="H1817" s="29"/>
      <c r="I1817" s="29"/>
      <c r="J1817" s="29"/>
      <c r="K1817" s="29"/>
      <c r="L1817" s="29"/>
      <c r="M1817" s="29"/>
      <c r="N1817" s="29"/>
      <c r="O1817" s="29"/>
      <c r="P1817" s="19"/>
      <c r="Q1817" s="19"/>
      <c r="R1817" s="11"/>
    </row>
    <row r="1818" s="1" customFormat="1" ht="21.95" customHeight="1" spans="1:18">
      <c r="A1818" s="7"/>
      <c r="B1818" s="12"/>
      <c r="C1818" s="33"/>
      <c r="D1818" s="29"/>
      <c r="E1818" s="29"/>
      <c r="F1818" s="29"/>
      <c r="G1818" s="29"/>
      <c r="H1818" s="29"/>
      <c r="I1818" s="29"/>
      <c r="J1818" s="29"/>
      <c r="K1818" s="29"/>
      <c r="L1818" s="29"/>
      <c r="M1818" s="29"/>
      <c r="N1818" s="29"/>
      <c r="O1818" s="29"/>
      <c r="P1818" s="19"/>
      <c r="Q1818" s="19"/>
      <c r="R1818" s="11"/>
    </row>
    <row r="1819" s="1" customFormat="1" ht="21.95" customHeight="1" spans="1:18">
      <c r="A1819" s="7"/>
      <c r="B1819" s="12"/>
      <c r="C1819" s="33"/>
      <c r="D1819" s="80" t="s">
        <v>728</v>
      </c>
      <c r="E1819" s="86">
        <f>ENTRY!$D$27</f>
        <v>46102</v>
      </c>
      <c r="F1819" s="86"/>
      <c r="G1819" s="29"/>
      <c r="H1819" s="29"/>
      <c r="I1819" s="29"/>
      <c r="J1819" s="29"/>
      <c r="K1819" s="29"/>
      <c r="L1819" s="29"/>
      <c r="M1819" s="87" t="s">
        <v>730</v>
      </c>
      <c r="N1819" s="87"/>
      <c r="O1819" s="87"/>
      <c r="P1819" s="19"/>
      <c r="Q1819" s="19"/>
      <c r="R1819" s="11"/>
    </row>
    <row r="1820" s="1" customFormat="1" ht="21.95" customHeight="1" spans="1:18">
      <c r="A1820" s="7"/>
      <c r="B1820" s="12"/>
      <c r="C1820" s="33"/>
      <c r="D1820" s="80" t="s">
        <v>731</v>
      </c>
      <c r="E1820" s="88" t="str">
        <f>PROPER(ENTRY!$D$28)</f>
        <v>New Delhi</v>
      </c>
      <c r="F1820" s="88"/>
      <c r="G1820" s="29"/>
      <c r="H1820" s="29"/>
      <c r="I1820" s="29"/>
      <c r="J1820" s="29"/>
      <c r="K1820" s="29"/>
      <c r="L1820" s="29"/>
      <c r="M1820" s="89" t="s">
        <v>732</v>
      </c>
      <c r="N1820" s="89"/>
      <c r="O1820" s="89"/>
      <c r="P1820" s="19"/>
      <c r="Q1820" s="19"/>
      <c r="R1820" s="11"/>
    </row>
    <row r="1821" s="1" customFormat="1" ht="21.95" customHeight="1" spans="1:18">
      <c r="A1821" s="7"/>
      <c r="B1821" s="12"/>
      <c r="C1821" s="90"/>
      <c r="D1821" s="91"/>
      <c r="E1821" s="91"/>
      <c r="F1821" s="91"/>
      <c r="G1821" s="91"/>
      <c r="H1821" s="91"/>
      <c r="I1821" s="91"/>
      <c r="J1821" s="91"/>
      <c r="K1821" s="91"/>
      <c r="L1821" s="91"/>
      <c r="M1821" s="91"/>
      <c r="N1821" s="91"/>
      <c r="O1821" s="91"/>
      <c r="P1821" s="92"/>
      <c r="Q1821" s="14"/>
      <c r="R1821" s="11"/>
    </row>
    <row r="1822" s="1" customFormat="1" ht="5.1" customHeight="1" spans="1:18">
      <c r="A1822" s="7"/>
      <c r="B1822" s="90"/>
      <c r="C1822" s="91"/>
      <c r="D1822" s="91"/>
      <c r="E1822" s="91"/>
      <c r="F1822" s="91"/>
      <c r="G1822" s="91"/>
      <c r="H1822" s="91"/>
      <c r="I1822" s="91"/>
      <c r="J1822" s="91"/>
      <c r="K1822" s="91"/>
      <c r="L1822" s="91"/>
      <c r="M1822" s="91"/>
      <c r="N1822" s="91"/>
      <c r="O1822" s="91"/>
      <c r="P1822" s="91"/>
      <c r="Q1822" s="92"/>
      <c r="R1822" s="11"/>
    </row>
    <row r="1823" s="1" customFormat="1" ht="5.1" customHeight="1" spans="1:18">
      <c r="A1823" s="93"/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5"/>
    </row>
    <row r="1824" s="2" customFormat="1" ht="9.95" customHeight="1"/>
    <row r="1825" s="1" customFormat="1" ht="5.1" customHeight="1" spans="1:18">
      <c r="A1825" s="4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6"/>
    </row>
    <row r="1826" s="1" customFormat="1" ht="15" customHeight="1" spans="1:18">
      <c r="A1826" s="7"/>
      <c r="B1826" s="8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9"/>
      <c r="O1826" s="9"/>
      <c r="P1826" s="9"/>
      <c r="Q1826" s="10"/>
      <c r="R1826" s="11"/>
    </row>
    <row r="1827" s="1" customFormat="1" ht="21.95" customHeight="1" spans="1:18">
      <c r="A1827" s="7"/>
      <c r="B1827" s="12"/>
      <c r="C1827" s="13" t="s">
        <v>7</v>
      </c>
      <c r="D1827" s="13"/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/>
      <c r="Q1827" s="14"/>
      <c r="R1827" s="11"/>
    </row>
    <row r="1828" s="1" customFormat="1" ht="21.95" customHeight="1" spans="1:18">
      <c r="A1828" s="7"/>
      <c r="B1828" s="1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14"/>
      <c r="R1828" s="11"/>
    </row>
    <row r="1829" s="1" customFormat="1" ht="21.95" customHeight="1" spans="1:18">
      <c r="A1829" s="7"/>
      <c r="B1829" s="12"/>
      <c r="C1829" s="15" t="str">
        <f>"SESSION-"&amp;ENTRY!$D$11</f>
        <v>SESSION-2026-27</v>
      </c>
      <c r="D1829" s="15"/>
      <c r="E1829" s="15"/>
      <c r="F1829" s="15"/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4"/>
      <c r="R1829" s="11"/>
    </row>
    <row r="1830" s="1" customFormat="1" ht="21.95" customHeight="1" spans="1:18">
      <c r="A1830" s="7"/>
      <c r="B1830" s="12"/>
      <c r="C1830" s="2"/>
      <c r="D1830" s="2"/>
      <c r="E1830" s="2"/>
      <c r="F1830" s="16">
        <f>F1773+1</f>
        <v>33</v>
      </c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14"/>
      <c r="R1830" s="11"/>
    </row>
    <row r="1831" s="1" customFormat="1" ht="21.95" customHeight="1" spans="1:18">
      <c r="A1831" s="7"/>
      <c r="B1831" s="12"/>
      <c r="C1831" s="17" t="s">
        <v>392</v>
      </c>
      <c r="D1831" s="17"/>
      <c r="E1831" s="17"/>
      <c r="F1831" s="18" t="str">
        <f>IF(F1830&gt;0,ENTRY!$D$6,"")</f>
        <v>MCP NITHARI NO 1 BOYS</v>
      </c>
      <c r="G1831" s="18"/>
      <c r="H1831" s="18"/>
      <c r="I1831" s="18"/>
      <c r="J1831" s="18"/>
      <c r="K1831" s="18"/>
      <c r="L1831" s="18"/>
      <c r="M1831" s="18"/>
      <c r="N1831" s="18"/>
      <c r="O1831" s="18"/>
      <c r="P1831" s="18"/>
      <c r="Q1831" s="19"/>
      <c r="R1831" s="11"/>
    </row>
    <row r="1832" s="1" customFormat="1" ht="21.95" customHeight="1" spans="1:18">
      <c r="A1832" s="7"/>
      <c r="B1832" s="12"/>
      <c r="C1832" s="17" t="s">
        <v>393</v>
      </c>
      <c r="D1832" s="17"/>
      <c r="E1832" s="17"/>
      <c r="F1832" s="18">
        <f>IF(F1830&gt;0,ENTRY!$D$7,"")</f>
        <v>0</v>
      </c>
      <c r="G1832" s="18"/>
      <c r="H1832" s="20" t="s">
        <v>702</v>
      </c>
      <c r="I1832" s="20"/>
      <c r="J1832" s="21">
        <f>IF(F1830&gt;0,ENTRY!$D$10,"")</f>
        <v>40</v>
      </c>
      <c r="K1832" s="20" t="s">
        <v>703</v>
      </c>
      <c r="L1832" s="22" t="str">
        <f>IF(F1830&gt;0,ENTRY!$D$5,"")</f>
        <v>ROHINI ZONE</v>
      </c>
      <c r="M1832" s="22"/>
      <c r="N1832" s="22"/>
      <c r="O1832" s="22"/>
      <c r="P1832" s="22"/>
      <c r="Q1832" s="19"/>
      <c r="R1832" s="11"/>
    </row>
    <row r="1833" s="1" customFormat="1" ht="21.95" customHeight="1" spans="1:18">
      <c r="A1833" s="7"/>
      <c r="B1833" s="12"/>
      <c r="C1833" s="17" t="s">
        <v>706</v>
      </c>
      <c r="D1833" s="17"/>
      <c r="E1833" s="17"/>
      <c r="F1833" s="23" t="str">
        <f>IFERROR(VLOOKUP(F1830,STUDENT!$A$2:$BP$101,5,0),"")</f>
        <v>HEMANT KUMAR</v>
      </c>
      <c r="G1833" s="23"/>
      <c r="H1833" s="23"/>
      <c r="I1833" s="23"/>
      <c r="J1833" s="23"/>
      <c r="K1833" s="23"/>
      <c r="L1833" s="20" t="s">
        <v>707</v>
      </c>
      <c r="M1833" s="20"/>
      <c r="N1833" s="24" t="str">
        <f>IF(F1830&gt;0,ENTRY!$D$20&amp;"-"&amp;ENTRY!$D$21,"")</f>
        <v>III-A</v>
      </c>
      <c r="O1833" s="24"/>
      <c r="P1833" s="24"/>
      <c r="Q1833" s="19"/>
      <c r="R1833" s="11"/>
    </row>
    <row r="1834" s="1" customFormat="1" ht="21.95" customHeight="1" spans="1:18">
      <c r="A1834" s="7"/>
      <c r="B1834" s="12"/>
      <c r="C1834" s="17" t="s">
        <v>708</v>
      </c>
      <c r="D1834" s="17"/>
      <c r="E1834" s="17"/>
      <c r="F1834" s="25">
        <f>IFERROR(VLOOKUP(F1830,STUDENT!$A$2:$BP$101,6,0),"")</f>
        <v>15077</v>
      </c>
      <c r="G1834" s="25"/>
      <c r="H1834" s="26" t="s">
        <v>709</v>
      </c>
      <c r="I1834" s="27" t="str">
        <f>IFERROR(VLOOKUP(F1830,STUDENT!$A$2:$BP$101,59,0),"")</f>
        <v/>
      </c>
      <c r="J1834" s="27"/>
      <c r="K1834" s="20" t="s">
        <v>710</v>
      </c>
      <c r="L1834" s="20"/>
      <c r="M1834" s="28">
        <f>IFERROR(VLOOKUP(F1830,STUDENT!$A$2:$BP$101,20,0),"")</f>
        <v>6397053728</v>
      </c>
      <c r="N1834" s="28"/>
      <c r="O1834" s="28"/>
      <c r="P1834" s="28"/>
      <c r="Q1834" s="19"/>
      <c r="R1834" s="11"/>
    </row>
    <row r="1835" s="1" customFormat="1" ht="21.95" customHeight="1" spans="1:18">
      <c r="A1835" s="7"/>
      <c r="B1835" s="12"/>
      <c r="C1835" s="17" t="s">
        <v>711</v>
      </c>
      <c r="D1835" s="17"/>
      <c r="E1835" s="17"/>
      <c r="F1835" s="23" t="str">
        <f>IFERROR(VLOOKUP(F1830,STUDENT!$A$2:$BP$101,9,0),"")</f>
        <v>GEETA KUMARI</v>
      </c>
      <c r="G1835" s="23"/>
      <c r="H1835" s="23"/>
      <c r="I1835" s="23"/>
      <c r="J1835" s="17" t="s">
        <v>620</v>
      </c>
      <c r="K1835" s="17"/>
      <c r="L1835" s="23" t="str">
        <f>IFERROR(VLOOKUP(F1830,STUDENT!$A$2:$BP$101,8,0),"")</f>
        <v>PRADEEP KUMAR</v>
      </c>
      <c r="M1835" s="23"/>
      <c r="N1835" s="23"/>
      <c r="O1835" s="23"/>
      <c r="P1835" s="23"/>
      <c r="Q1835" s="19"/>
      <c r="R1835" s="11"/>
    </row>
    <row r="1836" s="1" customFormat="1" ht="21.95" customHeight="1" spans="1:18">
      <c r="A1836" s="7"/>
      <c r="B1836" s="12"/>
      <c r="C1836" s="17" t="s">
        <v>712</v>
      </c>
      <c r="D1836" s="17"/>
      <c r="E1836" s="17"/>
      <c r="F1836" s="23" t="str">
        <f>IFERROR(VLOOKUP(F1830,STUDENT!$A$2:$BP$101,22,0),"")</f>
        <v>H.NO -113 GALI NO-9 PRATAP VIHAR PART -3 KIRARI</v>
      </c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19"/>
      <c r="R1836" s="11"/>
    </row>
    <row r="1837" s="1" customFormat="1" ht="9.95" customHeight="1" spans="1:18">
      <c r="A1837" s="7"/>
      <c r="B1837" s="12"/>
      <c r="C1837" s="29"/>
      <c r="D1837" s="29"/>
      <c r="E1837" s="29"/>
      <c r="F1837" s="29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19"/>
      <c r="R1837" s="11"/>
    </row>
    <row r="1838" s="1" customFormat="1" ht="9.95" customHeight="1" spans="1:18">
      <c r="A1838" s="7"/>
      <c r="B1838" s="12"/>
      <c r="C1838" s="30"/>
      <c r="D1838" s="31"/>
      <c r="E1838" s="31"/>
      <c r="F1838" s="31"/>
      <c r="G1838" s="31"/>
      <c r="H1838" s="31"/>
      <c r="I1838" s="31"/>
      <c r="J1838" s="31"/>
      <c r="K1838" s="31"/>
      <c r="L1838" s="31"/>
      <c r="M1838" s="31"/>
      <c r="N1838" s="31"/>
      <c r="O1838" s="31"/>
      <c r="P1838" s="32"/>
      <c r="Q1838" s="19"/>
      <c r="R1838" s="11"/>
    </row>
    <row r="1839" s="1" customFormat="1" ht="21.95" customHeight="1" spans="1:18">
      <c r="A1839" s="7"/>
      <c r="B1839" s="12"/>
      <c r="C1839" s="33"/>
      <c r="D1839" s="34" t="s">
        <v>713</v>
      </c>
      <c r="E1839" s="20" t="s">
        <v>714</v>
      </c>
      <c r="F1839" s="35" t="str">
        <f>"Level - "&amp;IFERROR(VLOOKUP(F1830,FLN!$A$4:$K$103,9,0),"")</f>
        <v>Level - 2</v>
      </c>
      <c r="G1839" s="36"/>
      <c r="H1839" s="37" t="s">
        <v>715</v>
      </c>
      <c r="I1839" s="20"/>
      <c r="J1839" s="35" t="str">
        <f>"Level - "&amp;IFERROR(VLOOKUP(F1830,FLN!$A$4:$K$103,11,0),"")</f>
        <v>Level - 3</v>
      </c>
      <c r="K1839" s="36"/>
      <c r="L1839" s="37" t="s">
        <v>408</v>
      </c>
      <c r="M1839" s="20"/>
      <c r="N1839" s="35" t="str">
        <f>"Level - "&amp;IFERROR(VLOOKUP(F1830,FLN!$A$4:$K$103,10,0),"")</f>
        <v>Level - 2</v>
      </c>
      <c r="O1839" s="36"/>
      <c r="P1839" s="19"/>
      <c r="Q1839" s="19"/>
      <c r="R1839" s="11"/>
    </row>
    <row r="1840" s="1" customFormat="1" ht="21.95" customHeight="1" spans="1:18">
      <c r="A1840" s="7"/>
      <c r="B1840" s="12"/>
      <c r="C1840" s="33"/>
      <c r="D1840" s="38"/>
      <c r="E1840" s="20" t="s">
        <v>716</v>
      </c>
      <c r="F1840" s="18" t="str">
        <f ca="1">IF(L1854&gt;197,"PERFORMED WELL","")</f>
        <v/>
      </c>
      <c r="G1840" s="18"/>
      <c r="H1840" s="18"/>
      <c r="I1840" s="18"/>
      <c r="J1840" s="18"/>
      <c r="K1840" s="18"/>
      <c r="L1840" s="18"/>
      <c r="M1840" s="18"/>
      <c r="N1840" s="18"/>
      <c r="O1840" s="18"/>
      <c r="P1840" s="19"/>
      <c r="Q1840" s="19"/>
      <c r="R1840" s="11"/>
    </row>
    <row r="1841" s="1" customFormat="1" ht="9.95" customHeight="1" spans="1:18">
      <c r="A1841" s="7"/>
      <c r="B1841" s="12"/>
      <c r="C1841" s="39"/>
      <c r="D1841" s="40"/>
      <c r="E1841" s="40"/>
      <c r="F1841" s="40"/>
      <c r="G1841" s="40"/>
      <c r="H1841" s="40"/>
      <c r="I1841" s="40"/>
      <c r="J1841" s="40"/>
      <c r="K1841" s="40"/>
      <c r="L1841" s="40"/>
      <c r="M1841" s="40"/>
      <c r="N1841" s="40"/>
      <c r="O1841" s="40"/>
      <c r="P1841" s="41"/>
      <c r="Q1841" s="19"/>
      <c r="R1841" s="11"/>
    </row>
    <row r="1842" s="1" customFormat="1" ht="9.95" customHeight="1" spans="1:18">
      <c r="A1842" s="7"/>
      <c r="B1842" s="12"/>
      <c r="C1842" s="29"/>
      <c r="D1842" s="29"/>
      <c r="E1842" s="29"/>
      <c r="F1842" s="29"/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19"/>
      <c r="R1842" s="11"/>
    </row>
    <row r="1843" s="1" customFormat="1" ht="9.95" customHeight="1" spans="1:18">
      <c r="A1843" s="7"/>
      <c r="B1843" s="12"/>
      <c r="C1843" s="30"/>
      <c r="D1843" s="31"/>
      <c r="E1843" s="31"/>
      <c r="F1843" s="31"/>
      <c r="G1843" s="31"/>
      <c r="H1843" s="31"/>
      <c r="I1843" s="31"/>
      <c r="J1843" s="31"/>
      <c r="K1843" s="31"/>
      <c r="L1843" s="31"/>
      <c r="M1843" s="31"/>
      <c r="N1843" s="31"/>
      <c r="O1843" s="31"/>
      <c r="P1843" s="32"/>
      <c r="Q1843" s="19"/>
      <c r="R1843" s="11"/>
    </row>
    <row r="1844" s="1" customFormat="1" ht="21.95" customHeight="1" spans="1:18">
      <c r="A1844" s="7"/>
      <c r="B1844" s="12"/>
      <c r="C1844" s="33"/>
      <c r="D1844" s="35"/>
      <c r="E1844" s="24"/>
      <c r="F1844" s="42" t="s">
        <v>717</v>
      </c>
      <c r="G1844" s="42"/>
      <c r="H1844" s="42"/>
      <c r="I1844" s="42"/>
      <c r="J1844" s="42"/>
      <c r="K1844" s="42"/>
      <c r="L1844" s="43"/>
      <c r="M1844" s="44"/>
      <c r="N1844" s="29"/>
      <c r="O1844" s="29"/>
      <c r="P1844" s="19"/>
      <c r="Q1844" s="19"/>
      <c r="R1844" s="11"/>
    </row>
    <row r="1845" s="1" customFormat="1" ht="21.95" customHeight="1" spans="1:18">
      <c r="A1845" s="7"/>
      <c r="B1845" s="12"/>
      <c r="C1845" s="33"/>
      <c r="D1845" s="45"/>
      <c r="E1845" s="46"/>
      <c r="F1845" s="47" t="s">
        <v>541</v>
      </c>
      <c r="G1845" s="47" t="s">
        <v>542</v>
      </c>
      <c r="H1845" s="47" t="s">
        <v>543</v>
      </c>
      <c r="I1845" s="47" t="s">
        <v>544</v>
      </c>
      <c r="J1845" s="47" t="s">
        <v>561</v>
      </c>
      <c r="K1845" s="48" t="s">
        <v>750</v>
      </c>
      <c r="L1845" s="47" t="s">
        <v>382</v>
      </c>
      <c r="M1845" s="49" t="s">
        <v>546</v>
      </c>
      <c r="N1845" s="29"/>
      <c r="O1845" s="29"/>
      <c r="P1845" s="19"/>
      <c r="Q1845" s="19"/>
      <c r="R1845" s="11"/>
    </row>
    <row r="1846" s="1" customFormat="1" ht="21.95" customHeight="1" spans="1:18">
      <c r="A1846" s="7"/>
      <c r="B1846" s="12"/>
      <c r="C1846" s="33"/>
      <c r="D1846" s="45" t="s">
        <v>652</v>
      </c>
      <c r="E1846" s="46"/>
      <c r="F1846" s="50">
        <v>10</v>
      </c>
      <c r="G1846" s="50">
        <v>10</v>
      </c>
      <c r="H1846" s="50">
        <v>10</v>
      </c>
      <c r="I1846" s="50">
        <v>10</v>
      </c>
      <c r="J1846" s="50">
        <v>60</v>
      </c>
      <c r="K1846" s="51"/>
      <c r="L1846" s="50">
        <v>100</v>
      </c>
      <c r="M1846" s="49"/>
      <c r="N1846" s="29"/>
      <c r="O1846" s="29"/>
      <c r="P1846" s="19"/>
      <c r="Q1846" s="19"/>
      <c r="R1846" s="11"/>
    </row>
    <row r="1847" s="1" customFormat="1" ht="21.95" customHeight="1" spans="1:18">
      <c r="A1847" s="7"/>
      <c r="B1847" s="12"/>
      <c r="C1847" s="33"/>
      <c r="D1847" s="52" t="s">
        <v>751</v>
      </c>
      <c r="E1847" s="53"/>
      <c r="F1847" s="54">
        <f ca="1">IFERROR(VLOOKUP(F1830,'RR-3.1-5TH'!$A$12:'RR-3.1-5TH'!$BN$111,9,0),"")</f>
        <v>2</v>
      </c>
      <c r="G1847" s="54">
        <f ca="1">IFERROR(VLOOKUP(F1830,'RR-3.1-5TH'!$A$12:'RR-3.1-5TH'!$BN$111,10,0),"")</f>
        <v>0</v>
      </c>
      <c r="H1847" s="54">
        <f ca="1">IFERROR(VLOOKUP(F1830,'RR-3.1-5TH'!$A$12:'RR-3.1-5TH'!$BN$111,11,0),"")</f>
        <v>0</v>
      </c>
      <c r="I1847" s="54">
        <f ca="1">IFERROR(VLOOKUP(F1830,'RR-3.1-5TH'!$A$12:'RR-3.1-5TH'!$BN$111,12,0),"")</f>
        <v>0</v>
      </c>
      <c r="J1847" s="54">
        <f ca="1">IFERROR(VLOOKUP(F1830,'RR-3.1-5TH'!$A$12:'RR-3.1-5TH'!$BN$111,13,0),"")</f>
        <v>43</v>
      </c>
      <c r="K1847" s="54">
        <f ca="1">IFERROR(VLOOKUP(F1830,'RR-3.1-5TH'!$A$12:'RR-3.1-5TH'!$BN$111,14,0),"")</f>
        <v>0</v>
      </c>
      <c r="L1847" s="55">
        <f ca="1" t="shared" ref="L1847:L1852" si="96">SUM(F1847,G1847,H1847,I1847,J1847,K1847)</f>
        <v>45</v>
      </c>
      <c r="M1847" s="56" t="str">
        <f ca="1">IF(F1830&gt;ENTRY!$D$24,"",IF(L1847=0,"Ab",IF(L1847&gt;80,"A",IF(L1847&gt;60,"B",IF(L1847&gt;44,"C",IF(L1847&gt;=33,"D",IF(L1847&lt;=32,"E","")))))))</f>
        <v>C</v>
      </c>
      <c r="N1847" s="57" t="s">
        <v>729</v>
      </c>
      <c r="O1847" s="58"/>
      <c r="P1847" s="59"/>
      <c r="Q1847" s="19"/>
      <c r="R1847" s="11"/>
    </row>
    <row r="1848" s="1" customFormat="1" ht="21.95" customHeight="1" spans="1:18">
      <c r="A1848" s="7"/>
      <c r="B1848" s="12"/>
      <c r="C1848" s="33"/>
      <c r="D1848" s="52" t="s">
        <v>513</v>
      </c>
      <c r="E1848" s="53"/>
      <c r="F1848" s="54">
        <f ca="1">IFERROR(VLOOKUP(F1830,'RR-3.1-5TH'!$A$12:'RR-3.1-5TH'!$BN$111,17,0),"")</f>
        <v>2</v>
      </c>
      <c r="G1848" s="54">
        <f ca="1">IFERROR(VLOOKUP(F1830,'RR-3.1-5TH'!$A$12:'RR-3.1-5TH'!$BN$111,18,0),"")</f>
        <v>0</v>
      </c>
      <c r="H1848" s="54">
        <f ca="1">IFERROR(VLOOKUP(F1830,'RR-3.1-5TH'!$A$12:'RR-3.1-5TH'!$BN$111,19,0),"")</f>
        <v>0</v>
      </c>
      <c r="I1848" s="54">
        <f ca="1">IFERROR(VLOOKUP(F1830,'RR-3.1-5TH'!$A$12:'RR-3.1-5TH'!$BN$111,20,0),"")</f>
        <v>0</v>
      </c>
      <c r="J1848" s="54">
        <f ca="1">IFERROR(VLOOKUP(F1830,'RR-3.1-5TH'!$A$12:'RR-3.1-5TH'!$BN$111,21,0),"")</f>
        <v>12</v>
      </c>
      <c r="K1848" s="54">
        <f ca="1">IFERROR(VLOOKUP(F1830,'RR-3.1-5TH'!$A$12:'RR-3.1-5TH'!$BN$111,22,0),"")</f>
        <v>0</v>
      </c>
      <c r="L1848" s="55">
        <f ca="1" t="shared" si="96"/>
        <v>14</v>
      </c>
      <c r="M1848" s="56" t="str">
        <f ca="1">IF(F1830&gt;ENTRY!$D$24,"",IF(L1848=0,"Ab",IF(L1848&gt;80,"A",IF(L1848&gt;60,"B",IF(L1848&gt;44,"C",IF(L1848&gt;=33,"D",IF(L1848&lt;=32,"E","")))))))</f>
        <v>E</v>
      </c>
      <c r="N1848" s="58"/>
      <c r="O1848" s="58"/>
      <c r="P1848" s="59"/>
      <c r="Q1848" s="19"/>
      <c r="R1848" s="11"/>
    </row>
    <row r="1849" s="1" customFormat="1" ht="21.95" customHeight="1" spans="1:18">
      <c r="A1849" s="7"/>
      <c r="B1849" s="12"/>
      <c r="C1849" s="33"/>
      <c r="D1849" s="52" t="s">
        <v>718</v>
      </c>
      <c r="E1849" s="53"/>
      <c r="F1849" s="54">
        <f ca="1">IFERROR(VLOOKUP(F1830,'RR-3.1-5TH'!$A$12:'RR-3.1-5TH'!$BN$111,25,0),"")</f>
        <v>2</v>
      </c>
      <c r="G1849" s="54">
        <f ca="1">IFERROR(VLOOKUP(F1830,'RR-3.1-5TH'!$A$12:'RR-3.1-5TH'!$BN$111,26,0),"")</f>
        <v>0</v>
      </c>
      <c r="H1849" s="54">
        <f ca="1">IFERROR(VLOOKUP(F1830,'RR-3.1-5TH'!$A$12:'RR-3.1-5TH'!$BN$111,27,0),"")</f>
        <v>0</v>
      </c>
      <c r="I1849" s="54">
        <f ca="1">IFERROR(VLOOKUP(F1830,'RR-3.1-5TH'!$A$12:'RR-3.1-5TH'!$BN$111,28,0),"")</f>
        <v>0</v>
      </c>
      <c r="J1849" s="54">
        <f ca="1">IFERROR(VLOOKUP(F1830,'RR-3.1-5TH'!$A$12:'RR-3.1-5TH'!$BN$111,29,0),"")</f>
        <v>15</v>
      </c>
      <c r="K1849" s="54">
        <f ca="1">IFERROR(VLOOKUP(F1830,'RR-3.1-5TH'!$A$12:'RR-3.1-5TH'!$BN$111,30,0),"")</f>
        <v>0</v>
      </c>
      <c r="L1849" s="55">
        <f ca="1" t="shared" si="96"/>
        <v>17</v>
      </c>
      <c r="M1849" s="56" t="str">
        <f ca="1">IF(F1830&gt;ENTRY!$D$24,"",IF(L1849=0,"Ab",IF(L1849&gt;80,"A",IF(L1849&gt;60,"B",IF(L1849&gt;44,"C",IF(L1849&gt;=33,"D",IF(L1849&lt;=32,"E","")))))))</f>
        <v>E</v>
      </c>
      <c r="N1849" s="29"/>
      <c r="O1849" s="29"/>
      <c r="P1849" s="19"/>
      <c r="Q1849" s="19"/>
      <c r="R1849" s="11"/>
    </row>
    <row r="1850" s="1" customFormat="1" ht="21.95" customHeight="1" spans="1:18">
      <c r="A1850" s="7"/>
      <c r="B1850" s="12"/>
      <c r="C1850" s="33"/>
      <c r="D1850" s="52" t="s">
        <v>719</v>
      </c>
      <c r="E1850" s="53"/>
      <c r="F1850" s="54">
        <f ca="1">IFERROR(VLOOKUP(F1830,'RR-3.1-5TH'!$A$12:'RR-3.1-5TH'!$BN$111,33,0),"")</f>
        <v>2</v>
      </c>
      <c r="G1850" s="54">
        <f ca="1">IFERROR(VLOOKUP(F1830,'RR-3.1-5TH'!$A$12:'RR-3.1-5TH'!$BN$111,34,0),"")</f>
        <v>0</v>
      </c>
      <c r="H1850" s="54">
        <f ca="1">IFERROR(VLOOKUP(F1830,'RR-3.1-5TH'!$A$12:'RR-3.1-5TH'!$BN$111,35,0),"")</f>
        <v>0</v>
      </c>
      <c r="I1850" s="54">
        <f ca="1">IFERROR(VLOOKUP(F1830,'RR-3.1-5TH'!$A$12:'RR-3.1-5TH'!$BN$111,36,0),"")</f>
        <v>0</v>
      </c>
      <c r="J1850" s="54">
        <f ca="1">IFERROR(VLOOKUP(F1830,'RR-3.1-5TH'!$A$12:'RR-3.1-5TH'!$BN$111,37,0),"")</f>
        <v>16</v>
      </c>
      <c r="K1850" s="54">
        <f ca="1">IFERROR(VLOOKUP(F1830,'RR-3.1-5TH'!$A$12:'RR-3.1-5TH'!$BN$111,38,0),"")</f>
        <v>0</v>
      </c>
      <c r="L1850" s="55">
        <f ca="1" t="shared" si="96"/>
        <v>18</v>
      </c>
      <c r="M1850" s="56" t="str">
        <f ca="1">IF(F1830&gt;ENTRY!$D$24,"",IF(L1850=0,"Ab",IF(L1850&gt;80,"A",IF(L1850&gt;60,"B",IF(L1850&gt;44,"C",IF(L1850&gt;=33,"D",IF(L1850&lt;=32,"E","")))))))</f>
        <v>E</v>
      </c>
      <c r="N1850" s="29"/>
      <c r="O1850" s="29"/>
      <c r="P1850" s="19"/>
      <c r="Q1850" s="19"/>
      <c r="R1850" s="11"/>
    </row>
    <row r="1851" s="1" customFormat="1" ht="21.95" customHeight="1" spans="1:18">
      <c r="A1851" s="7"/>
      <c r="B1851" s="12"/>
      <c r="C1851" s="33"/>
      <c r="D1851" s="52" t="s">
        <v>548</v>
      </c>
      <c r="E1851" s="53"/>
      <c r="F1851" s="54">
        <f ca="1">IFERROR(VLOOKUP(F1830,'RR-3.1-5TH'!$A$12:'RR-3.1-5TH'!$BN$111,41,0),"")</f>
        <v>0</v>
      </c>
      <c r="G1851" s="54">
        <f ca="1">IFERROR(VLOOKUP(F1830,'RR-3.1-5TH'!$A$12:'RR-3.1-5TH'!$BN$111,42,0),"")</f>
        <v>0</v>
      </c>
      <c r="H1851" s="54">
        <f ca="1">IFERROR(VLOOKUP(F1830,'RR-3.1-5TH'!$A$12:'RR-3.1-5TH'!$BN$111,43,0),"")</f>
        <v>0</v>
      </c>
      <c r="I1851" s="54">
        <f ca="1">IFERROR(VLOOKUP(F1830,'RR-3.1-5TH'!$A$12:'RR-3.1-5TH'!$BN$111,44,0),"")</f>
        <v>0</v>
      </c>
      <c r="J1851" s="54">
        <f ca="1">IFERROR(VLOOKUP(F1830,'RR-3.1-5TH'!$A$12:'RR-3.1-5TH'!$BN$111,45,0),"")</f>
        <v>18</v>
      </c>
      <c r="K1851" s="54">
        <f ca="1">IFERROR(VLOOKUP(F1830,'RR-3.1-5TH'!$A$12:'RR-3.1-5TH'!$BN$111,46,0),"")</f>
        <v>0</v>
      </c>
      <c r="L1851" s="55">
        <f ca="1" t="shared" si="96"/>
        <v>18</v>
      </c>
      <c r="M1851" s="56" t="str">
        <f ca="1">IF(F1830&gt;ENTRY!$D$24,"",IF(L1851=0,"Ab",IF(L1851&gt;80,"A",IF(L1851&gt;60,"B",IF(L1851&gt;44,"C",IF(L1851&gt;=33,"D",IF(L1851&lt;=32,"E","")))))))</f>
        <v>E</v>
      </c>
      <c r="N1851" s="29"/>
      <c r="O1851" s="29"/>
      <c r="P1851" s="19"/>
      <c r="Q1851" s="19"/>
      <c r="R1851" s="11"/>
    </row>
    <row r="1852" s="1" customFormat="1" ht="21.95" customHeight="1" spans="1:18">
      <c r="A1852" s="7"/>
      <c r="B1852" s="12"/>
      <c r="C1852" s="33"/>
      <c r="D1852" s="52" t="s">
        <v>549</v>
      </c>
      <c r="E1852" s="53"/>
      <c r="F1852" s="54">
        <f ca="1">IFERROR(VLOOKUP(F1830,'RR-3.1-5TH'!$A$12:'RR-3.1-5TH'!$BN$111,49,0),"")</f>
        <v>2</v>
      </c>
      <c r="G1852" s="54">
        <f ca="1">IFERROR(VLOOKUP(F1830,'RR-3.1-5TH'!$A$12:'RR-3.1-5TH'!$BN$111,50,0),"")</f>
        <v>0</v>
      </c>
      <c r="H1852" s="54">
        <f ca="1">IFERROR(VLOOKUP(F1830,'RR-3.1-5TH'!$A$12:'RR-3.1-5TH'!$BN$111,51,0),"")</f>
        <v>0</v>
      </c>
      <c r="I1852" s="54">
        <f ca="1">IFERROR(VLOOKUP(F1830,'RR-3.1-5TH'!$A$12:'RR-3.1-5TH'!$BN$111,52,0),"")</f>
        <v>0</v>
      </c>
      <c r="J1852" s="54">
        <f ca="1">IFERROR(VLOOKUP(F1830,'RR-3.1-5TH'!$A$12:'RR-3.1-5TH'!$BN$111,53,0),"")</f>
        <v>12</v>
      </c>
      <c r="K1852" s="54">
        <f ca="1">IFERROR(VLOOKUP(F1830,'RR-3.1-5TH'!$A$12:'RR-3.1-5TH'!$BN$111,54,0),"")</f>
        <v>0</v>
      </c>
      <c r="L1852" s="55">
        <f ca="1" t="shared" si="96"/>
        <v>14</v>
      </c>
      <c r="M1852" s="56" t="str">
        <f ca="1">IF(F1830&gt;ENTRY!$D$24,"",IF(L1852=0,"Ab",IF(L1852&gt;80,"A",IF(L1852&gt;60,"B",IF(L1852&gt;44,"C",IF(L1852&gt;=33,"D",IF(L1852&lt;=32,"E","")))))))</f>
        <v>E</v>
      </c>
      <c r="N1852" s="57" t="s">
        <v>752</v>
      </c>
      <c r="O1852" s="58"/>
      <c r="P1852" s="59"/>
      <c r="Q1852" s="19"/>
      <c r="R1852" s="11"/>
    </row>
    <row r="1853" s="1" customFormat="1" ht="21.95" customHeight="1" spans="1:18">
      <c r="A1853" s="7"/>
      <c r="B1853" s="12"/>
      <c r="C1853" s="33"/>
      <c r="D1853" s="52" t="s">
        <v>753</v>
      </c>
      <c r="E1853" s="53"/>
      <c r="F1853" s="60"/>
      <c r="G1853" s="54"/>
      <c r="H1853" s="54"/>
      <c r="I1853" s="54"/>
      <c r="J1853" s="54"/>
      <c r="K1853" s="54"/>
      <c r="L1853" s="55">
        <f t="shared" ref="L1853" si="97">SUM(G1853:K1853)</f>
        <v>0</v>
      </c>
      <c r="M1853" s="56" t="str">
        <f>IF(F1830&gt;ENTRY!$D$24,"",IF(L1853=0,"",IF(L1853&gt;79,"A",IF(L1853&gt;59,"B",IF(L1853&gt;44,"C",IF(L1853&gt;=33,"D",IF(L1853&lt;=32,"E","")))))))</f>
        <v/>
      </c>
      <c r="N1853" s="58"/>
      <c r="O1853" s="58"/>
      <c r="P1853" s="59"/>
      <c r="Q1853" s="19"/>
      <c r="R1853" s="11"/>
    </row>
    <row r="1854" s="1" customFormat="1" ht="21.95" customHeight="1" spans="1:18">
      <c r="A1854" s="7"/>
      <c r="B1854" s="12"/>
      <c r="C1854" s="33"/>
      <c r="D1854" s="45" t="s">
        <v>382</v>
      </c>
      <c r="E1854" s="46"/>
      <c r="F1854" s="54">
        <f ca="1" t="shared" ref="F1854:L1854" si="98">IFERROR(SUM(F1847:F1853),"")</f>
        <v>10</v>
      </c>
      <c r="G1854" s="54">
        <f ca="1" t="shared" si="98"/>
        <v>0</v>
      </c>
      <c r="H1854" s="54">
        <f ca="1" t="shared" si="98"/>
        <v>0</v>
      </c>
      <c r="I1854" s="54">
        <f ca="1" t="shared" si="98"/>
        <v>0</v>
      </c>
      <c r="J1854" s="54">
        <f ca="1" t="shared" si="98"/>
        <v>116</v>
      </c>
      <c r="K1854" s="54">
        <f ca="1" t="shared" si="98"/>
        <v>0</v>
      </c>
      <c r="L1854" s="55">
        <f ca="1" t="shared" si="98"/>
        <v>126</v>
      </c>
      <c r="M1854" s="61" t="str">
        <f ca="1">IF(F1830&gt;ENTRY!$D$24,"",IF(N1855="Ab","Ab",IF(N1855&gt;79.5,"A",IF(N1855&gt;59.5,"B",IF(N1855&gt;44.5,"C",IF(N1855&gt;=33,"D",IF(N1855&lt;33,"E","")))))))</f>
        <v>E</v>
      </c>
      <c r="N1854" s="62"/>
      <c r="O1854" s="58"/>
      <c r="P1854" s="59"/>
      <c r="Q1854" s="19"/>
      <c r="R1854" s="11"/>
    </row>
    <row r="1855" s="1" customFormat="1" ht="21.95" customHeight="1" spans="1:18">
      <c r="A1855" s="7"/>
      <c r="B1855" s="12"/>
      <c r="C1855" s="33"/>
      <c r="D1855" s="63" t="s">
        <v>721</v>
      </c>
      <c r="E1855" s="63"/>
      <c r="F1855" s="63"/>
      <c r="G1855" s="63"/>
      <c r="H1855" s="63"/>
      <c r="I1855" s="63"/>
      <c r="J1855" s="63"/>
      <c r="K1855" s="63"/>
      <c r="L1855" s="63"/>
      <c r="M1855" s="63"/>
      <c r="N1855" s="64">
        <f ca="1">IF(L1854="Ab","Ab",L1854/6)</f>
        <v>21</v>
      </c>
      <c r="O1855" s="65"/>
      <c r="P1855" s="19"/>
      <c r="Q1855" s="19"/>
      <c r="R1855" s="11"/>
    </row>
    <row r="1856" s="1" customFormat="1" ht="21.95" customHeight="1" spans="1:18">
      <c r="A1856" s="7"/>
      <c r="B1856" s="12"/>
      <c r="C1856" s="33"/>
      <c r="D1856" s="29" t="s">
        <v>716</v>
      </c>
      <c r="E1856" s="18" t="str">
        <f>IFERROR(VLOOKUP(F1830,'1to4-2.1-RR'!$A$12:$BG$111,57,0),"")</f>
        <v>PROMOTED</v>
      </c>
      <c r="F1856" s="18"/>
      <c r="G1856" s="18"/>
      <c r="H1856" s="18"/>
      <c r="I1856" s="18"/>
      <c r="J1856" s="18"/>
      <c r="K1856" s="18"/>
      <c r="L1856" s="18"/>
      <c r="M1856" s="18"/>
      <c r="N1856" s="29"/>
      <c r="O1856" s="29"/>
      <c r="P1856" s="19"/>
      <c r="Q1856" s="19"/>
      <c r="R1856" s="11"/>
    </row>
    <row r="1857" s="1" customFormat="1" ht="9.95" customHeight="1" spans="1:19">
      <c r="A1857" s="7"/>
      <c r="B1857" s="12"/>
      <c r="C1857" s="33"/>
      <c r="D1857" s="29"/>
      <c r="E1857" s="29"/>
      <c r="F1857" s="29"/>
      <c r="G1857" s="29"/>
      <c r="H1857" s="29"/>
      <c r="I1857" s="29"/>
      <c r="J1857" s="29"/>
      <c r="K1857" s="29"/>
      <c r="L1857" s="29"/>
      <c r="M1857" s="29"/>
      <c r="N1857" s="29"/>
      <c r="O1857" s="29"/>
      <c r="P1857" s="19"/>
      <c r="Q1857" s="19"/>
      <c r="R1857" s="11"/>
    </row>
    <row r="1858" s="1" customFormat="1" ht="36" spans="1:19">
      <c r="A1858" s="7"/>
      <c r="B1858" s="12"/>
      <c r="C1858" s="33"/>
      <c r="D1858" s="66" t="s">
        <v>576</v>
      </c>
      <c r="E1858" s="67" t="s">
        <v>754</v>
      </c>
      <c r="F1858" s="47">
        <f>IF(F1830&gt;ENTRY!$D$24,"",IFERROR(VLOOKUP(F1830,PASHEET!$A$4:$CJ$103,88,0),""))</f>
        <v>0</v>
      </c>
      <c r="G1858" s="67" t="s">
        <v>755</v>
      </c>
      <c r="H1858" s="47">
        <f>IF(F1830&gt;ENTRY!$D$24,"",IFERROR(VLOOKUP(F1830,PASHEET!$A$4:$CJ$103,87,0),""))</f>
        <v>0</v>
      </c>
      <c r="I1858" s="68" t="s">
        <v>756</v>
      </c>
      <c r="J1858" s="69" t="str">
        <f>IF(F1830&gt;ENTRY!$D$24,"",IFERROR(IF(F1830&gt;0,H1858/F1858*100),""))</f>
        <v/>
      </c>
      <c r="K1858" s="60" t="s">
        <v>757</v>
      </c>
      <c r="L1858" s="70">
        <f ca="1">IF(F1830&gt;ENTRY!$D$24,"",IFERROR(L1854/600*100,""))</f>
        <v>21</v>
      </c>
      <c r="M1858" s="47" t="str">
        <f ca="1">IF(F1830&gt;ENTRY!$D$24,"",IFERROR(L1854&amp;" / "&amp;"600",""))</f>
        <v>126 / 600</v>
      </c>
      <c r="N1858" s="29"/>
      <c r="O1858" s="29"/>
      <c r="P1858" s="19"/>
      <c r="Q1858" s="19"/>
      <c r="R1858" s="11"/>
    </row>
    <row r="1859" s="1" customFormat="1" ht="9.95" customHeight="1" spans="1:19">
      <c r="A1859" s="7"/>
      <c r="B1859" s="12"/>
      <c r="C1859" s="39"/>
      <c r="D1859" s="40"/>
      <c r="E1859" s="40"/>
      <c r="F1859" s="40"/>
      <c r="G1859" s="40"/>
      <c r="H1859" s="40"/>
      <c r="I1859" s="40"/>
      <c r="J1859" s="40"/>
      <c r="K1859" s="40"/>
      <c r="L1859" s="40"/>
      <c r="M1859" s="40"/>
      <c r="N1859" s="40"/>
      <c r="O1859" s="40"/>
      <c r="P1859" s="41"/>
      <c r="Q1859" s="19"/>
      <c r="R1859" s="11"/>
    </row>
    <row r="1860" s="1" customFormat="1" ht="9.95" customHeight="1" spans="1:19">
      <c r="A1860" s="7"/>
      <c r="B1860" s="12"/>
      <c r="C1860" s="71"/>
      <c r="D1860" s="71"/>
      <c r="E1860" s="71"/>
      <c r="F1860" s="29"/>
      <c r="G1860" s="71"/>
      <c r="H1860" s="71"/>
      <c r="I1860" s="71"/>
      <c r="J1860" s="71"/>
      <c r="K1860" s="71"/>
      <c r="L1860" s="71"/>
      <c r="M1860" s="71"/>
      <c r="N1860" s="71"/>
      <c r="O1860" s="71"/>
      <c r="P1860" s="71"/>
      <c r="Q1860" s="19"/>
      <c r="R1860" s="11"/>
    </row>
    <row r="1861" s="1" customFormat="1" ht="9.95" customHeight="1" spans="1:19">
      <c r="A1861" s="7"/>
      <c r="B1861" s="12"/>
      <c r="C1861" s="29"/>
      <c r="D1861" s="29"/>
      <c r="E1861" s="29"/>
      <c r="F1861" s="72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19"/>
      <c r="R1861" s="11"/>
    </row>
    <row r="1862" s="1" customFormat="1" ht="9.95" customHeight="1" spans="1:19">
      <c r="A1862" s="7"/>
      <c r="B1862" s="12"/>
      <c r="C1862" s="30"/>
      <c r="D1862" s="31"/>
      <c r="E1862" s="31"/>
      <c r="F1862" s="31"/>
      <c r="G1862" s="31"/>
      <c r="H1862" s="31"/>
      <c r="I1862" s="31"/>
      <c r="J1862" s="31"/>
      <c r="K1862" s="31"/>
      <c r="L1862" s="31"/>
      <c r="M1862" s="31"/>
      <c r="N1862" s="31"/>
      <c r="O1862" s="31"/>
      <c r="P1862" s="32"/>
      <c r="Q1862" s="19"/>
      <c r="R1862" s="11"/>
    </row>
    <row r="1863" s="1" customFormat="1" ht="21.95" customHeight="1" spans="1:19">
      <c r="A1863" s="7"/>
      <c r="B1863" s="12"/>
      <c r="C1863" s="73" t="s">
        <v>7</v>
      </c>
      <c r="D1863" s="13"/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74"/>
      <c r="Q1863" s="19"/>
      <c r="R1863" s="11"/>
      <c r="S1863" s="2"/>
    </row>
    <row r="1864" s="1" customFormat="1" ht="21.95" customHeight="1" spans="1:19">
      <c r="A1864" s="7"/>
      <c r="B1864" s="12"/>
      <c r="C1864" s="33"/>
      <c r="D1864" s="29"/>
      <c r="E1864" s="29"/>
      <c r="F1864" s="29"/>
      <c r="G1864" s="29"/>
      <c r="H1864" s="29"/>
      <c r="I1864" s="29"/>
      <c r="J1864" s="29"/>
      <c r="K1864" s="29"/>
      <c r="L1864" s="29"/>
      <c r="M1864" s="29"/>
      <c r="N1864" s="29"/>
      <c r="O1864" s="29"/>
      <c r="P1864" s="19"/>
      <c r="Q1864" s="19"/>
      <c r="R1864" s="11"/>
    </row>
    <row r="1865" s="1" customFormat="1" ht="21.95" customHeight="1" spans="1:19">
      <c r="A1865" s="7"/>
      <c r="B1865" s="12"/>
      <c r="C1865" s="75" t="str">
        <f>"SESSION-"&amp;ENTRY!$D$11</f>
        <v>SESSION-2026-27</v>
      </c>
      <c r="D1865" s="15"/>
      <c r="E1865" s="15"/>
      <c r="F1865" s="15"/>
      <c r="G1865" s="15"/>
      <c r="H1865" s="15"/>
      <c r="I1865" s="15"/>
      <c r="J1865" s="15"/>
      <c r="K1865" s="15"/>
      <c r="L1865" s="15"/>
      <c r="M1865" s="15"/>
      <c r="N1865" s="15"/>
      <c r="O1865" s="15"/>
      <c r="P1865" s="76"/>
      <c r="Q1865" s="19"/>
      <c r="R1865" s="11"/>
    </row>
    <row r="1866" s="1" customFormat="1" ht="18" customHeight="1" spans="1:19">
      <c r="A1866" s="7"/>
      <c r="B1866" s="12"/>
      <c r="C1866" s="33"/>
      <c r="D1866" s="29"/>
      <c r="E1866" s="29"/>
      <c r="F1866" s="29"/>
      <c r="G1866" s="29"/>
      <c r="H1866" s="29"/>
      <c r="I1866" s="29"/>
      <c r="J1866" s="29"/>
      <c r="K1866" s="29"/>
      <c r="L1866" s="29"/>
      <c r="M1866" s="29"/>
      <c r="N1866" s="29"/>
      <c r="O1866" s="29"/>
      <c r="P1866" s="19"/>
      <c r="Q1866" s="19"/>
      <c r="R1866" s="11"/>
    </row>
    <row r="1867" s="1" customFormat="1" ht="21.95" customHeight="1" spans="1:19">
      <c r="A1867" s="7"/>
      <c r="B1867" s="12"/>
      <c r="C1867" s="33"/>
      <c r="D1867" s="77" t="s">
        <v>758</v>
      </c>
      <c r="E1867" s="77"/>
      <c r="F1867" s="78" t="str">
        <f>IFERROR(PROPER(VLOOKUP(F1830,STUDENT!$A$2:$BP$101,5,0)),"")</f>
        <v>Hemant Kumar</v>
      </c>
      <c r="G1867" s="78"/>
      <c r="H1867" s="78"/>
      <c r="I1867" s="78"/>
      <c r="J1867" s="78"/>
      <c r="K1867" s="78"/>
      <c r="L1867" s="78"/>
      <c r="M1867" s="78"/>
      <c r="N1867" s="79" t="s">
        <v>759</v>
      </c>
      <c r="O1867" s="79"/>
      <c r="P1867" s="19"/>
      <c r="Q1867" s="19"/>
      <c r="R1867" s="11"/>
    </row>
    <row r="1868" s="1" customFormat="1" ht="21.95" customHeight="1" spans="1:19">
      <c r="A1868" s="7"/>
      <c r="B1868" s="12"/>
      <c r="C1868" s="33"/>
      <c r="D1868" s="80" t="s">
        <v>760</v>
      </c>
      <c r="E1868" s="81" t="str">
        <f>IFERROR(PROPER(VLOOKUP(F1830,STUDENT!$A$2:$BP$101,9,0)),"")</f>
        <v>Geeta Kumari</v>
      </c>
      <c r="F1868" s="81"/>
      <c r="G1868" s="81"/>
      <c r="H1868" s="80" t="s">
        <v>761</v>
      </c>
      <c r="I1868" s="82" t="str">
        <f>IFERROR(PROPER(VLOOKUP(F1830,STUDENT!$A$2:$BP$101,8,0)),"")</f>
        <v>Pradeep Kumar</v>
      </c>
      <c r="J1868" s="82"/>
      <c r="K1868" s="82"/>
      <c r="L1868" s="82"/>
      <c r="M1868" s="80" t="s">
        <v>762</v>
      </c>
      <c r="N1868" s="83" t="str">
        <f>IFERROR(VLOOKUP(F1830,STUDENT!$A$2:$BP$101,59,0),"")</f>
        <v/>
      </c>
      <c r="O1868" s="83"/>
      <c r="P1868" s="19"/>
      <c r="Q1868" s="19"/>
      <c r="R1868" s="11"/>
    </row>
    <row r="1869" s="1" customFormat="1" ht="21.95" customHeight="1" spans="1:19">
      <c r="A1869" s="7"/>
      <c r="B1869" s="12"/>
      <c r="C1869" s="33"/>
      <c r="D1869" s="77" t="str">
        <f>"has    completed     his  /  her     primary     level     education    in    the    year    "&amp;RIGHT(ENTRY!$D1835,4)&amp;"    from    ( School    Name )"</f>
        <v>has    completed     his  /  her     primary     level     education    in    the    year        from    ( School    Name )</v>
      </c>
      <c r="E1869" s="77"/>
      <c r="F1869" s="77"/>
      <c r="G1869" s="77"/>
      <c r="H1869" s="77"/>
      <c r="I1869" s="77"/>
      <c r="J1869" s="77"/>
      <c r="K1869" s="77"/>
      <c r="L1869" s="77"/>
      <c r="M1869" s="77"/>
      <c r="N1869" s="77"/>
      <c r="O1869" s="77"/>
      <c r="P1869" s="19"/>
      <c r="Q1869" s="19"/>
      <c r="R1869" s="11"/>
    </row>
    <row r="1870" s="1" customFormat="1" ht="21.95" customHeight="1" spans="1:19">
      <c r="A1870" s="7"/>
      <c r="B1870" s="12"/>
      <c r="C1870" s="33"/>
      <c r="D1870" s="81" t="str">
        <f>IF(F1830&gt;0,ENTRY!$D$6,"")</f>
        <v>MCP NITHARI NO 1 BOYS</v>
      </c>
      <c r="E1870" s="81"/>
      <c r="F1870" s="81"/>
      <c r="G1870" s="81"/>
      <c r="H1870" s="81"/>
      <c r="I1870" s="81"/>
      <c r="J1870" s="81"/>
      <c r="K1870" s="81"/>
      <c r="L1870" s="81"/>
      <c r="M1870" s="80" t="s">
        <v>763</v>
      </c>
      <c r="N1870" s="84">
        <f>IF(F1830&gt;0,ENTRY!$D$7,"")</f>
        <v>0</v>
      </c>
      <c r="O1870" s="84"/>
      <c r="P1870" s="85" t="s">
        <v>727</v>
      </c>
      <c r="Q1870" s="19"/>
      <c r="R1870" s="11"/>
    </row>
    <row r="1871" s="1" customFormat="1" ht="21.95" customHeight="1" spans="1:19">
      <c r="A1871" s="7"/>
      <c r="B1871" s="12"/>
      <c r="C1871" s="33"/>
      <c r="D1871" s="29"/>
      <c r="E1871" s="29"/>
      <c r="F1871" s="29"/>
      <c r="G1871" s="29"/>
      <c r="H1871" s="29"/>
      <c r="I1871" s="29"/>
      <c r="J1871" s="29"/>
      <c r="K1871" s="29"/>
      <c r="L1871" s="29"/>
      <c r="M1871" s="29"/>
      <c r="N1871" s="29"/>
      <c r="O1871" s="29"/>
      <c r="P1871" s="19"/>
      <c r="Q1871" s="19"/>
      <c r="R1871" s="11"/>
    </row>
    <row r="1872" s="1" customFormat="1" ht="21.95" customHeight="1" spans="1:19">
      <c r="A1872" s="7"/>
      <c r="B1872" s="12"/>
      <c r="C1872" s="33"/>
      <c r="D1872" s="29"/>
      <c r="E1872" s="29"/>
      <c r="F1872" s="29"/>
      <c r="G1872" s="29"/>
      <c r="H1872" s="29"/>
      <c r="I1872" s="29"/>
      <c r="J1872" s="29"/>
      <c r="K1872" s="29"/>
      <c r="L1872" s="29"/>
      <c r="M1872" s="29"/>
      <c r="N1872" s="29"/>
      <c r="O1872" s="29"/>
      <c r="P1872" s="19"/>
      <c r="Q1872" s="19"/>
      <c r="R1872" s="11"/>
    </row>
    <row r="1873" s="1" customFormat="1" ht="21.95" customHeight="1" spans="1:18">
      <c r="A1873" s="7"/>
      <c r="B1873" s="12"/>
      <c r="C1873" s="33"/>
      <c r="D1873" s="29"/>
      <c r="E1873" s="29"/>
      <c r="F1873" s="29"/>
      <c r="G1873" s="29"/>
      <c r="H1873" s="29"/>
      <c r="I1873" s="29"/>
      <c r="J1873" s="29"/>
      <c r="K1873" s="29"/>
      <c r="L1873" s="29"/>
      <c r="M1873" s="29"/>
      <c r="N1873" s="29"/>
      <c r="O1873" s="29"/>
      <c r="P1873" s="19"/>
      <c r="Q1873" s="19"/>
      <c r="R1873" s="11"/>
    </row>
    <row r="1874" s="1" customFormat="1" ht="21.95" customHeight="1" spans="1:18">
      <c r="A1874" s="7"/>
      <c r="B1874" s="12"/>
      <c r="C1874" s="33"/>
      <c r="D1874" s="29"/>
      <c r="E1874" s="29"/>
      <c r="F1874" s="29"/>
      <c r="G1874" s="29"/>
      <c r="H1874" s="29"/>
      <c r="I1874" s="29"/>
      <c r="J1874" s="29"/>
      <c r="K1874" s="29"/>
      <c r="L1874" s="29"/>
      <c r="M1874" s="29"/>
      <c r="N1874" s="29"/>
      <c r="O1874" s="29"/>
      <c r="P1874" s="19"/>
      <c r="Q1874" s="19"/>
      <c r="R1874" s="11"/>
    </row>
    <row r="1875" s="1" customFormat="1" ht="21.95" customHeight="1" spans="1:18">
      <c r="A1875" s="7"/>
      <c r="B1875" s="12"/>
      <c r="C1875" s="33"/>
      <c r="D1875" s="29"/>
      <c r="E1875" s="29"/>
      <c r="F1875" s="29"/>
      <c r="G1875" s="29"/>
      <c r="H1875" s="29"/>
      <c r="I1875" s="29"/>
      <c r="J1875" s="29"/>
      <c r="K1875" s="29"/>
      <c r="L1875" s="29"/>
      <c r="M1875" s="29"/>
      <c r="N1875" s="29"/>
      <c r="O1875" s="29"/>
      <c r="P1875" s="19"/>
      <c r="Q1875" s="19"/>
      <c r="R1875" s="11"/>
    </row>
    <row r="1876" s="1" customFormat="1" ht="21.95" customHeight="1" spans="1:18">
      <c r="A1876" s="7"/>
      <c r="B1876" s="12"/>
      <c r="C1876" s="33"/>
      <c r="D1876" s="80" t="s">
        <v>728</v>
      </c>
      <c r="E1876" s="86">
        <f>ENTRY!$D$27</f>
        <v>46102</v>
      </c>
      <c r="F1876" s="86"/>
      <c r="G1876" s="29"/>
      <c r="H1876" s="29"/>
      <c r="I1876" s="29"/>
      <c r="J1876" s="29"/>
      <c r="K1876" s="29"/>
      <c r="L1876" s="29"/>
      <c r="M1876" s="87" t="s">
        <v>730</v>
      </c>
      <c r="N1876" s="87"/>
      <c r="O1876" s="87"/>
      <c r="P1876" s="19"/>
      <c r="Q1876" s="19"/>
      <c r="R1876" s="11"/>
    </row>
    <row r="1877" s="1" customFormat="1" ht="21.95" customHeight="1" spans="1:18">
      <c r="A1877" s="7"/>
      <c r="B1877" s="12"/>
      <c r="C1877" s="33"/>
      <c r="D1877" s="80" t="s">
        <v>731</v>
      </c>
      <c r="E1877" s="88" t="str">
        <f>PROPER(ENTRY!$D$28)</f>
        <v>New Delhi</v>
      </c>
      <c r="F1877" s="88"/>
      <c r="G1877" s="29"/>
      <c r="H1877" s="29"/>
      <c r="I1877" s="29"/>
      <c r="J1877" s="29"/>
      <c r="K1877" s="29"/>
      <c r="L1877" s="29"/>
      <c r="M1877" s="89" t="s">
        <v>732</v>
      </c>
      <c r="N1877" s="89"/>
      <c r="O1877" s="89"/>
      <c r="P1877" s="19"/>
      <c r="Q1877" s="19"/>
      <c r="R1877" s="11"/>
    </row>
    <row r="1878" s="1" customFormat="1" ht="21.95" customHeight="1" spans="1:18">
      <c r="A1878" s="7"/>
      <c r="B1878" s="12"/>
      <c r="C1878" s="90"/>
      <c r="D1878" s="91"/>
      <c r="E1878" s="91"/>
      <c r="F1878" s="91"/>
      <c r="G1878" s="91"/>
      <c r="H1878" s="91"/>
      <c r="I1878" s="91"/>
      <c r="J1878" s="91"/>
      <c r="K1878" s="91"/>
      <c r="L1878" s="91"/>
      <c r="M1878" s="91"/>
      <c r="N1878" s="91"/>
      <c r="O1878" s="91"/>
      <c r="P1878" s="92"/>
      <c r="Q1878" s="14"/>
      <c r="R1878" s="11"/>
    </row>
    <row r="1879" s="1" customFormat="1" ht="5.1" customHeight="1" spans="1:18">
      <c r="A1879" s="7"/>
      <c r="B1879" s="90"/>
      <c r="C1879" s="91"/>
      <c r="D1879" s="91"/>
      <c r="E1879" s="91"/>
      <c r="F1879" s="91"/>
      <c r="G1879" s="91"/>
      <c r="H1879" s="91"/>
      <c r="I1879" s="91"/>
      <c r="J1879" s="91"/>
      <c r="K1879" s="91"/>
      <c r="L1879" s="91"/>
      <c r="M1879" s="91"/>
      <c r="N1879" s="91"/>
      <c r="O1879" s="91"/>
      <c r="P1879" s="91"/>
      <c r="Q1879" s="92"/>
      <c r="R1879" s="11"/>
    </row>
    <row r="1880" s="1" customFormat="1" ht="5.1" customHeight="1" spans="1:18">
      <c r="A1880" s="93"/>
      <c r="B1880" s="94"/>
      <c r="C1880" s="94"/>
      <c r="D1880" s="94"/>
      <c r="E1880" s="94"/>
      <c r="F1880" s="94"/>
      <c r="G1880" s="94"/>
      <c r="H1880" s="94"/>
      <c r="I1880" s="94"/>
      <c r="J1880" s="94"/>
      <c r="K1880" s="94"/>
      <c r="L1880" s="94"/>
      <c r="M1880" s="94"/>
      <c r="N1880" s="94"/>
      <c r="O1880" s="94"/>
      <c r="P1880" s="94"/>
      <c r="Q1880" s="94"/>
      <c r="R1880" s="95"/>
    </row>
    <row r="1881" s="2" customFormat="1" ht="9.95" customHeight="1"/>
    <row r="1882" s="1" customFormat="1" ht="5.1" customHeight="1" spans="1:18">
      <c r="A1882" s="4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6"/>
    </row>
    <row r="1883" s="1" customFormat="1" ht="15" customHeight="1" spans="1:18">
      <c r="A1883" s="7"/>
      <c r="B1883" s="8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  <c r="Q1883" s="10"/>
      <c r="R1883" s="11"/>
    </row>
    <row r="1884" s="1" customFormat="1" ht="21.95" customHeight="1" spans="1:18">
      <c r="A1884" s="7"/>
      <c r="B1884" s="12"/>
      <c r="C1884" s="13" t="s">
        <v>7</v>
      </c>
      <c r="D1884" s="13"/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/>
      <c r="Q1884" s="14"/>
      <c r="R1884" s="11"/>
    </row>
    <row r="1885" s="1" customFormat="1" ht="21.95" customHeight="1" spans="1:18">
      <c r="A1885" s="7"/>
      <c r="B1885" s="1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14"/>
      <c r="R1885" s="11"/>
    </row>
    <row r="1886" s="1" customFormat="1" ht="21.95" customHeight="1" spans="1:18">
      <c r="A1886" s="7"/>
      <c r="B1886" s="12"/>
      <c r="C1886" s="15" t="str">
        <f>"SESSION-"&amp;ENTRY!$D$11</f>
        <v>SESSION-2026-27</v>
      </c>
      <c r="D1886" s="15"/>
      <c r="E1886" s="15"/>
      <c r="F1886" s="15"/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4"/>
      <c r="R1886" s="11"/>
    </row>
    <row r="1887" s="1" customFormat="1" ht="21.95" customHeight="1" spans="1:18">
      <c r="A1887" s="7"/>
      <c r="B1887" s="12"/>
      <c r="C1887" s="2"/>
      <c r="D1887" s="2"/>
      <c r="E1887" s="2"/>
      <c r="F1887" s="16">
        <f>F1830+1</f>
        <v>34</v>
      </c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14"/>
      <c r="R1887" s="11"/>
    </row>
    <row r="1888" s="1" customFormat="1" ht="21.95" customHeight="1" spans="1:18">
      <c r="A1888" s="7"/>
      <c r="B1888" s="12"/>
      <c r="C1888" s="17" t="s">
        <v>392</v>
      </c>
      <c r="D1888" s="17"/>
      <c r="E1888" s="17"/>
      <c r="F1888" s="18" t="str">
        <f>IF(F1887&gt;0,ENTRY!$D$6,"")</f>
        <v>MCP NITHARI NO 1 BOYS</v>
      </c>
      <c r="G1888" s="18"/>
      <c r="H1888" s="18"/>
      <c r="I1888" s="18"/>
      <c r="J1888" s="18"/>
      <c r="K1888" s="18"/>
      <c r="L1888" s="18"/>
      <c r="M1888" s="18"/>
      <c r="N1888" s="18"/>
      <c r="O1888" s="18"/>
      <c r="P1888" s="18"/>
      <c r="Q1888" s="19"/>
      <c r="R1888" s="11"/>
    </row>
    <row r="1889" s="1" customFormat="1" ht="21.95" customHeight="1" spans="1:18">
      <c r="A1889" s="7"/>
      <c r="B1889" s="12"/>
      <c r="C1889" s="17" t="s">
        <v>393</v>
      </c>
      <c r="D1889" s="17"/>
      <c r="E1889" s="17"/>
      <c r="F1889" s="18">
        <f>IF(F1887&gt;0,ENTRY!$D$7,"")</f>
        <v>0</v>
      </c>
      <c r="G1889" s="18"/>
      <c r="H1889" s="20" t="s">
        <v>702</v>
      </c>
      <c r="I1889" s="20"/>
      <c r="J1889" s="21">
        <f>IF(F1887&gt;0,ENTRY!$D$10,"")</f>
        <v>40</v>
      </c>
      <c r="K1889" s="20" t="s">
        <v>703</v>
      </c>
      <c r="L1889" s="22" t="str">
        <f>IF(F1887&gt;0,ENTRY!$D$5,"")</f>
        <v>ROHINI ZONE</v>
      </c>
      <c r="M1889" s="22"/>
      <c r="N1889" s="22"/>
      <c r="O1889" s="22"/>
      <c r="P1889" s="22"/>
      <c r="Q1889" s="19"/>
      <c r="R1889" s="11"/>
    </row>
    <row r="1890" s="1" customFormat="1" ht="21.95" customHeight="1" spans="1:18">
      <c r="A1890" s="7"/>
      <c r="B1890" s="12"/>
      <c r="C1890" s="17" t="s">
        <v>706</v>
      </c>
      <c r="D1890" s="17"/>
      <c r="E1890" s="17"/>
      <c r="F1890" s="23" t="str">
        <f>IFERROR(VLOOKUP(F1887,STUDENT!$A$2:$BP$101,5,0),"")</f>
        <v>VEERPARTAP SINGH</v>
      </c>
      <c r="G1890" s="23"/>
      <c r="H1890" s="23"/>
      <c r="I1890" s="23"/>
      <c r="J1890" s="23"/>
      <c r="K1890" s="23"/>
      <c r="L1890" s="20" t="s">
        <v>707</v>
      </c>
      <c r="M1890" s="20"/>
      <c r="N1890" s="24" t="str">
        <f>IF(F1887&gt;0,ENTRY!$D$20&amp;"-"&amp;ENTRY!$D$21,"")</f>
        <v>III-A</v>
      </c>
      <c r="O1890" s="24"/>
      <c r="P1890" s="24"/>
      <c r="Q1890" s="19"/>
      <c r="R1890" s="11"/>
    </row>
    <row r="1891" s="1" customFormat="1" ht="21.95" customHeight="1" spans="1:18">
      <c r="A1891" s="7"/>
      <c r="B1891" s="12"/>
      <c r="C1891" s="17" t="s">
        <v>708</v>
      </c>
      <c r="D1891" s="17"/>
      <c r="E1891" s="17"/>
      <c r="F1891" s="25">
        <f>IFERROR(VLOOKUP(F1887,STUDENT!$A$2:$BP$101,6,0),"")</f>
        <v>15088</v>
      </c>
      <c r="G1891" s="25"/>
      <c r="H1891" s="26" t="s">
        <v>709</v>
      </c>
      <c r="I1891" s="27" t="str">
        <f>IFERROR(VLOOKUP(F1887,STUDENT!$A$2:$BP$101,59,0),"")</f>
        <v/>
      </c>
      <c r="J1891" s="27"/>
      <c r="K1891" s="20" t="s">
        <v>710</v>
      </c>
      <c r="L1891" s="20"/>
      <c r="M1891" s="28">
        <f>IFERROR(VLOOKUP(F1887,STUDENT!$A$2:$BP$101,20,0),"")</f>
        <v>8360224558</v>
      </c>
      <c r="N1891" s="28"/>
      <c r="O1891" s="28"/>
      <c r="P1891" s="28"/>
      <c r="Q1891" s="19"/>
      <c r="R1891" s="11"/>
    </row>
    <row r="1892" s="1" customFormat="1" ht="21.95" customHeight="1" spans="1:18">
      <c r="A1892" s="7"/>
      <c r="B1892" s="12"/>
      <c r="C1892" s="17" t="s">
        <v>711</v>
      </c>
      <c r="D1892" s="17"/>
      <c r="E1892" s="17"/>
      <c r="F1892" s="23" t="str">
        <f>IFERROR(VLOOKUP(F1887,STUDENT!$A$2:$BP$101,9,0),"")</f>
        <v>SARITA KUMARI</v>
      </c>
      <c r="G1892" s="23"/>
      <c r="H1892" s="23"/>
      <c r="I1892" s="23"/>
      <c r="J1892" s="17" t="s">
        <v>620</v>
      </c>
      <c r="K1892" s="17"/>
      <c r="L1892" s="23" t="str">
        <f>IFERROR(VLOOKUP(F1887,STUDENT!$A$2:$BP$101,8,0),"")</f>
        <v>VIJAY SINGH</v>
      </c>
      <c r="M1892" s="23"/>
      <c r="N1892" s="23"/>
      <c r="O1892" s="23"/>
      <c r="P1892" s="23"/>
      <c r="Q1892" s="19"/>
      <c r="R1892" s="11"/>
    </row>
    <row r="1893" s="1" customFormat="1" ht="21.95" customHeight="1" spans="1:18">
      <c r="A1893" s="7"/>
      <c r="B1893" s="12"/>
      <c r="C1893" s="17" t="s">
        <v>712</v>
      </c>
      <c r="D1893" s="17"/>
      <c r="E1893" s="17"/>
      <c r="F1893" s="23" t="str">
        <f>IFERROR(VLOOKUP(F1887,STUDENT!$A$2:$BP$101,22,0),"")</f>
        <v>H.NO -511 BLK -B INDER ENCLAVE PH-2</v>
      </c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19"/>
      <c r="R1893" s="11"/>
    </row>
    <row r="1894" s="1" customFormat="1" ht="9.95" customHeight="1" spans="1:18">
      <c r="A1894" s="7"/>
      <c r="B1894" s="12"/>
      <c r="C1894" s="29"/>
      <c r="D1894" s="29"/>
      <c r="E1894" s="29"/>
      <c r="F1894" s="29"/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19"/>
      <c r="R1894" s="11"/>
    </row>
    <row r="1895" s="1" customFormat="1" ht="9.95" customHeight="1" spans="1:18">
      <c r="A1895" s="7"/>
      <c r="B1895" s="12"/>
      <c r="C1895" s="30"/>
      <c r="D1895" s="31"/>
      <c r="E1895" s="31"/>
      <c r="F1895" s="31"/>
      <c r="G1895" s="31"/>
      <c r="H1895" s="31"/>
      <c r="I1895" s="31"/>
      <c r="J1895" s="31"/>
      <c r="K1895" s="31"/>
      <c r="L1895" s="31"/>
      <c r="M1895" s="31"/>
      <c r="N1895" s="31"/>
      <c r="O1895" s="31"/>
      <c r="P1895" s="32"/>
      <c r="Q1895" s="19"/>
      <c r="R1895" s="11"/>
    </row>
    <row r="1896" s="1" customFormat="1" ht="21.95" customHeight="1" spans="1:18">
      <c r="A1896" s="7"/>
      <c r="B1896" s="12"/>
      <c r="C1896" s="33"/>
      <c r="D1896" s="34" t="s">
        <v>713</v>
      </c>
      <c r="E1896" s="20" t="s">
        <v>714</v>
      </c>
      <c r="F1896" s="35" t="str">
        <f>"Level - "&amp;IFERROR(VLOOKUP(F1887,FLN!$A$4:$K$103,9,0),"")</f>
        <v>Level - </v>
      </c>
      <c r="G1896" s="36"/>
      <c r="H1896" s="37" t="s">
        <v>715</v>
      </c>
      <c r="I1896" s="20"/>
      <c r="J1896" s="35" t="str">
        <f>"Level - "&amp;IFERROR(VLOOKUP(F1887,FLN!$A$4:$K$103,11,0),"")</f>
        <v>Level - </v>
      </c>
      <c r="K1896" s="36"/>
      <c r="L1896" s="37" t="s">
        <v>408</v>
      </c>
      <c r="M1896" s="20"/>
      <c r="N1896" s="35" t="str">
        <f>"Level - "&amp;IFERROR(VLOOKUP(F1887,FLN!$A$4:$K$103,10,0),"")</f>
        <v>Level - </v>
      </c>
      <c r="O1896" s="36"/>
      <c r="P1896" s="19"/>
      <c r="Q1896" s="19"/>
      <c r="R1896" s="11"/>
    </row>
    <row r="1897" s="1" customFormat="1" ht="21.95" customHeight="1" spans="1:18">
      <c r="A1897" s="7"/>
      <c r="B1897" s="12"/>
      <c r="C1897" s="33"/>
      <c r="D1897" s="38"/>
      <c r="E1897" s="20" t="s">
        <v>716</v>
      </c>
      <c r="F1897" s="18" t="str">
        <f ca="1">IF(L1911&gt;197,"PERFORMED WELL","")</f>
        <v/>
      </c>
      <c r="G1897" s="18"/>
      <c r="H1897" s="18"/>
      <c r="I1897" s="18"/>
      <c r="J1897" s="18"/>
      <c r="K1897" s="18"/>
      <c r="L1897" s="18"/>
      <c r="M1897" s="18"/>
      <c r="N1897" s="18"/>
      <c r="O1897" s="18"/>
      <c r="P1897" s="19"/>
      <c r="Q1897" s="19"/>
      <c r="R1897" s="11"/>
    </row>
    <row r="1898" s="1" customFormat="1" ht="9.95" customHeight="1" spans="1:18">
      <c r="A1898" s="7"/>
      <c r="B1898" s="12"/>
      <c r="C1898" s="39"/>
      <c r="D1898" s="40"/>
      <c r="E1898" s="40"/>
      <c r="F1898" s="40"/>
      <c r="G1898" s="40"/>
      <c r="H1898" s="40"/>
      <c r="I1898" s="40"/>
      <c r="J1898" s="40"/>
      <c r="K1898" s="40"/>
      <c r="L1898" s="40"/>
      <c r="M1898" s="40"/>
      <c r="N1898" s="40"/>
      <c r="O1898" s="40"/>
      <c r="P1898" s="41"/>
      <c r="Q1898" s="19"/>
      <c r="R1898" s="11"/>
    </row>
    <row r="1899" s="1" customFormat="1" ht="9.95" customHeight="1" spans="1:18">
      <c r="A1899" s="7"/>
      <c r="B1899" s="12"/>
      <c r="C1899" s="29"/>
      <c r="D1899" s="29"/>
      <c r="E1899" s="29"/>
      <c r="F1899" s="29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19"/>
      <c r="R1899" s="11"/>
    </row>
    <row r="1900" s="1" customFormat="1" ht="9.95" customHeight="1" spans="1:18">
      <c r="A1900" s="7"/>
      <c r="B1900" s="12"/>
      <c r="C1900" s="30"/>
      <c r="D1900" s="31"/>
      <c r="E1900" s="31"/>
      <c r="F1900" s="31"/>
      <c r="G1900" s="31"/>
      <c r="H1900" s="31"/>
      <c r="I1900" s="31"/>
      <c r="J1900" s="31"/>
      <c r="K1900" s="31"/>
      <c r="L1900" s="31"/>
      <c r="M1900" s="31"/>
      <c r="N1900" s="31"/>
      <c r="O1900" s="31"/>
      <c r="P1900" s="32"/>
      <c r="Q1900" s="19"/>
      <c r="R1900" s="11"/>
    </row>
    <row r="1901" s="1" customFormat="1" ht="21.95" customHeight="1" spans="1:18">
      <c r="A1901" s="7"/>
      <c r="B1901" s="12"/>
      <c r="C1901" s="33"/>
      <c r="D1901" s="35"/>
      <c r="E1901" s="24"/>
      <c r="F1901" s="42" t="s">
        <v>717</v>
      </c>
      <c r="G1901" s="42"/>
      <c r="H1901" s="42"/>
      <c r="I1901" s="42"/>
      <c r="J1901" s="42"/>
      <c r="K1901" s="42"/>
      <c r="L1901" s="43"/>
      <c r="M1901" s="44"/>
      <c r="N1901" s="29"/>
      <c r="O1901" s="29"/>
      <c r="P1901" s="19"/>
      <c r="Q1901" s="19"/>
      <c r="R1901" s="11"/>
    </row>
    <row r="1902" s="1" customFormat="1" ht="21.95" customHeight="1" spans="1:18">
      <c r="A1902" s="7"/>
      <c r="B1902" s="12"/>
      <c r="C1902" s="33"/>
      <c r="D1902" s="45"/>
      <c r="E1902" s="46"/>
      <c r="F1902" s="47" t="s">
        <v>541</v>
      </c>
      <c r="G1902" s="47" t="s">
        <v>542</v>
      </c>
      <c r="H1902" s="47" t="s">
        <v>543</v>
      </c>
      <c r="I1902" s="47" t="s">
        <v>544</v>
      </c>
      <c r="J1902" s="47" t="s">
        <v>561</v>
      </c>
      <c r="K1902" s="48" t="s">
        <v>750</v>
      </c>
      <c r="L1902" s="47" t="s">
        <v>382</v>
      </c>
      <c r="M1902" s="49" t="s">
        <v>546</v>
      </c>
      <c r="N1902" s="29"/>
      <c r="O1902" s="29"/>
      <c r="P1902" s="19"/>
      <c r="Q1902" s="19"/>
      <c r="R1902" s="11"/>
    </row>
    <row r="1903" s="1" customFormat="1" ht="21.95" customHeight="1" spans="1:18">
      <c r="A1903" s="7"/>
      <c r="B1903" s="12"/>
      <c r="C1903" s="33"/>
      <c r="D1903" s="45" t="s">
        <v>652</v>
      </c>
      <c r="E1903" s="46"/>
      <c r="F1903" s="50">
        <v>10</v>
      </c>
      <c r="G1903" s="50">
        <v>10</v>
      </c>
      <c r="H1903" s="50">
        <v>10</v>
      </c>
      <c r="I1903" s="50">
        <v>10</v>
      </c>
      <c r="J1903" s="50">
        <v>60</v>
      </c>
      <c r="K1903" s="51"/>
      <c r="L1903" s="50">
        <v>100</v>
      </c>
      <c r="M1903" s="49"/>
      <c r="N1903" s="29"/>
      <c r="O1903" s="29"/>
      <c r="P1903" s="19"/>
      <c r="Q1903" s="19"/>
      <c r="R1903" s="11"/>
    </row>
    <row r="1904" s="1" customFormat="1" ht="21.95" customHeight="1" spans="1:18">
      <c r="A1904" s="7"/>
      <c r="B1904" s="12"/>
      <c r="C1904" s="33"/>
      <c r="D1904" s="52" t="s">
        <v>751</v>
      </c>
      <c r="E1904" s="53"/>
      <c r="F1904" s="54">
        <f ca="1">IFERROR(VLOOKUP(F1887,'RR-3.1-5TH'!$A$12:'RR-3.1-5TH'!$BN$111,9,0),"")</f>
        <v>0</v>
      </c>
      <c r="G1904" s="54">
        <f ca="1">IFERROR(VLOOKUP(F1887,'RR-3.1-5TH'!$A$12:'RR-3.1-5TH'!$BN$111,10,0),"")</f>
        <v>0</v>
      </c>
      <c r="H1904" s="54">
        <f ca="1">IFERROR(VLOOKUP(F1887,'RR-3.1-5TH'!$A$12:'RR-3.1-5TH'!$BN$111,11,0),"")</f>
        <v>0</v>
      </c>
      <c r="I1904" s="54">
        <f ca="1">IFERROR(VLOOKUP(F1887,'RR-3.1-5TH'!$A$12:'RR-3.1-5TH'!$BN$111,12,0),"")</f>
        <v>0</v>
      </c>
      <c r="J1904" s="54">
        <f ca="1">IFERROR(VLOOKUP(F1887,'RR-3.1-5TH'!$A$12:'RR-3.1-5TH'!$BN$111,13,0),"")</f>
        <v>38</v>
      </c>
      <c r="K1904" s="54">
        <f ca="1">IFERROR(VLOOKUP(F1887,'RR-3.1-5TH'!$A$12:'RR-3.1-5TH'!$BN$111,14,0),"")</f>
        <v>0</v>
      </c>
      <c r="L1904" s="55">
        <f ca="1" t="shared" ref="L1904:L1909" si="99">SUM(F1904,G1904,H1904,I1904,J1904,K1904)</f>
        <v>38</v>
      </c>
      <c r="M1904" s="56" t="str">
        <f ca="1">IF(F1887&gt;ENTRY!$D$24,"",IF(L1904=0,"Ab",IF(L1904&gt;80,"A",IF(L1904&gt;60,"B",IF(L1904&gt;44,"C",IF(L1904&gt;=33,"D",IF(L1904&lt;=32,"E","")))))))</f>
        <v>D</v>
      </c>
      <c r="N1904" s="57" t="s">
        <v>729</v>
      </c>
      <c r="O1904" s="58"/>
      <c r="P1904" s="59"/>
      <c r="Q1904" s="19"/>
      <c r="R1904" s="11"/>
    </row>
    <row r="1905" s="1" customFormat="1" ht="21.95" customHeight="1" spans="1:19">
      <c r="A1905" s="7"/>
      <c r="B1905" s="12"/>
      <c r="C1905" s="33"/>
      <c r="D1905" s="52" t="s">
        <v>513</v>
      </c>
      <c r="E1905" s="53"/>
      <c r="F1905" s="54">
        <f ca="1">IFERROR(VLOOKUP(F1887,'RR-3.1-5TH'!$A$12:'RR-3.1-5TH'!$BN$111,17,0),"")</f>
        <v>0</v>
      </c>
      <c r="G1905" s="54">
        <f ca="1">IFERROR(VLOOKUP(F1887,'RR-3.1-5TH'!$A$12:'RR-3.1-5TH'!$BN$111,18,0),"")</f>
        <v>0</v>
      </c>
      <c r="H1905" s="54">
        <f ca="1">IFERROR(VLOOKUP(F1887,'RR-3.1-5TH'!$A$12:'RR-3.1-5TH'!$BN$111,19,0),"")</f>
        <v>0</v>
      </c>
      <c r="I1905" s="54">
        <f ca="1">IFERROR(VLOOKUP(F1887,'RR-3.1-5TH'!$A$12:'RR-3.1-5TH'!$BN$111,20,0),"")</f>
        <v>0</v>
      </c>
      <c r="J1905" s="54">
        <f ca="1">IFERROR(VLOOKUP(F1887,'RR-3.1-5TH'!$A$12:'RR-3.1-5TH'!$BN$111,21,0),"")</f>
        <v>11</v>
      </c>
      <c r="K1905" s="54">
        <f ca="1">IFERROR(VLOOKUP(F1887,'RR-3.1-5TH'!$A$12:'RR-3.1-5TH'!$BN$111,22,0),"")</f>
        <v>0</v>
      </c>
      <c r="L1905" s="55">
        <f ca="1" t="shared" si="99"/>
        <v>11</v>
      </c>
      <c r="M1905" s="56" t="str">
        <f ca="1">IF(F1887&gt;ENTRY!$D$24,"",IF(L1905=0,"Ab",IF(L1905&gt;80,"A",IF(L1905&gt;60,"B",IF(L1905&gt;44,"C",IF(L1905&gt;=33,"D",IF(L1905&lt;=32,"E","")))))))</f>
        <v>E</v>
      </c>
      <c r="N1905" s="58"/>
      <c r="O1905" s="58"/>
      <c r="P1905" s="59"/>
      <c r="Q1905" s="19"/>
      <c r="R1905" s="11"/>
    </row>
    <row r="1906" s="1" customFormat="1" ht="21.95" customHeight="1" spans="1:19">
      <c r="A1906" s="7"/>
      <c r="B1906" s="12"/>
      <c r="C1906" s="33"/>
      <c r="D1906" s="52" t="s">
        <v>718</v>
      </c>
      <c r="E1906" s="53"/>
      <c r="F1906" s="54">
        <f ca="1">IFERROR(VLOOKUP(F1887,'RR-3.1-5TH'!$A$12:'RR-3.1-5TH'!$BN$111,25,0),"")</f>
        <v>0</v>
      </c>
      <c r="G1906" s="54">
        <f ca="1">IFERROR(VLOOKUP(F1887,'RR-3.1-5TH'!$A$12:'RR-3.1-5TH'!$BN$111,26,0),"")</f>
        <v>0</v>
      </c>
      <c r="H1906" s="54">
        <f ca="1">IFERROR(VLOOKUP(F1887,'RR-3.1-5TH'!$A$12:'RR-3.1-5TH'!$BN$111,27,0),"")</f>
        <v>0</v>
      </c>
      <c r="I1906" s="54">
        <f ca="1">IFERROR(VLOOKUP(F1887,'RR-3.1-5TH'!$A$12:'RR-3.1-5TH'!$BN$111,28,0),"")</f>
        <v>0</v>
      </c>
      <c r="J1906" s="54">
        <f ca="1">IFERROR(VLOOKUP(F1887,'RR-3.1-5TH'!$A$12:'RR-3.1-5TH'!$BN$111,29,0),"")</f>
        <v>17</v>
      </c>
      <c r="K1906" s="54">
        <f ca="1">IFERROR(VLOOKUP(F1887,'RR-3.1-5TH'!$A$12:'RR-3.1-5TH'!$BN$111,30,0),"")</f>
        <v>0</v>
      </c>
      <c r="L1906" s="55">
        <f ca="1" t="shared" si="99"/>
        <v>17</v>
      </c>
      <c r="M1906" s="56" t="str">
        <f ca="1">IF(F1887&gt;ENTRY!$D$24,"",IF(L1906=0,"Ab",IF(L1906&gt;80,"A",IF(L1906&gt;60,"B",IF(L1906&gt;44,"C",IF(L1906&gt;=33,"D",IF(L1906&lt;=32,"E","")))))))</f>
        <v>E</v>
      </c>
      <c r="N1906" s="29"/>
      <c r="O1906" s="29"/>
      <c r="P1906" s="19"/>
      <c r="Q1906" s="19"/>
      <c r="R1906" s="11"/>
    </row>
    <row r="1907" s="1" customFormat="1" ht="21.95" customHeight="1" spans="1:19">
      <c r="A1907" s="7"/>
      <c r="B1907" s="12"/>
      <c r="C1907" s="33"/>
      <c r="D1907" s="52" t="s">
        <v>719</v>
      </c>
      <c r="E1907" s="53"/>
      <c r="F1907" s="54">
        <f ca="1">IFERROR(VLOOKUP(F1887,'RR-3.1-5TH'!$A$12:'RR-3.1-5TH'!$BN$111,33,0),"")</f>
        <v>0</v>
      </c>
      <c r="G1907" s="54">
        <f ca="1">IFERROR(VLOOKUP(F1887,'RR-3.1-5TH'!$A$12:'RR-3.1-5TH'!$BN$111,34,0),"")</f>
        <v>0</v>
      </c>
      <c r="H1907" s="54">
        <f ca="1">IFERROR(VLOOKUP(F1887,'RR-3.1-5TH'!$A$12:'RR-3.1-5TH'!$BN$111,35,0),"")</f>
        <v>0</v>
      </c>
      <c r="I1907" s="54">
        <f ca="1">IFERROR(VLOOKUP(F1887,'RR-3.1-5TH'!$A$12:'RR-3.1-5TH'!$BN$111,36,0),"")</f>
        <v>0</v>
      </c>
      <c r="J1907" s="54">
        <f ca="1">IFERROR(VLOOKUP(F1887,'RR-3.1-5TH'!$A$12:'RR-3.1-5TH'!$BN$111,37,0),"")</f>
        <v>20</v>
      </c>
      <c r="K1907" s="54">
        <f ca="1">IFERROR(VLOOKUP(F1887,'RR-3.1-5TH'!$A$12:'RR-3.1-5TH'!$BN$111,38,0),"")</f>
        <v>0</v>
      </c>
      <c r="L1907" s="55">
        <f ca="1" t="shared" si="99"/>
        <v>20</v>
      </c>
      <c r="M1907" s="56" t="str">
        <f ca="1">IF(F1887&gt;ENTRY!$D$24,"",IF(L1907=0,"Ab",IF(L1907&gt;80,"A",IF(L1907&gt;60,"B",IF(L1907&gt;44,"C",IF(L1907&gt;=33,"D",IF(L1907&lt;=32,"E","")))))))</f>
        <v>E</v>
      </c>
      <c r="N1907" s="29"/>
      <c r="O1907" s="29"/>
      <c r="P1907" s="19"/>
      <c r="Q1907" s="19"/>
      <c r="R1907" s="11"/>
    </row>
    <row r="1908" s="1" customFormat="1" ht="21.95" customHeight="1" spans="1:19">
      <c r="A1908" s="7"/>
      <c r="B1908" s="12"/>
      <c r="C1908" s="33"/>
      <c r="D1908" s="52" t="s">
        <v>548</v>
      </c>
      <c r="E1908" s="53"/>
      <c r="F1908" s="54">
        <f ca="1">IFERROR(VLOOKUP(F1887,'RR-3.1-5TH'!$A$12:'RR-3.1-5TH'!$BN$111,41,0),"")</f>
        <v>0</v>
      </c>
      <c r="G1908" s="54">
        <f ca="1">IFERROR(VLOOKUP(F1887,'RR-3.1-5TH'!$A$12:'RR-3.1-5TH'!$BN$111,42,0),"")</f>
        <v>0</v>
      </c>
      <c r="H1908" s="54">
        <f ca="1">IFERROR(VLOOKUP(F1887,'RR-3.1-5TH'!$A$12:'RR-3.1-5TH'!$BN$111,43,0),"")</f>
        <v>0</v>
      </c>
      <c r="I1908" s="54">
        <f ca="1">IFERROR(VLOOKUP(F1887,'RR-3.1-5TH'!$A$12:'RR-3.1-5TH'!$BN$111,44,0),"")</f>
        <v>0</v>
      </c>
      <c r="J1908" s="54">
        <f ca="1">IFERROR(VLOOKUP(F1887,'RR-3.1-5TH'!$A$12:'RR-3.1-5TH'!$BN$111,45,0),"")</f>
        <v>23</v>
      </c>
      <c r="K1908" s="54">
        <f ca="1">IFERROR(VLOOKUP(F1887,'RR-3.1-5TH'!$A$12:'RR-3.1-5TH'!$BN$111,46,0),"")</f>
        <v>0</v>
      </c>
      <c r="L1908" s="55">
        <f ca="1" t="shared" si="99"/>
        <v>23</v>
      </c>
      <c r="M1908" s="56" t="str">
        <f ca="1">IF(F1887&gt;ENTRY!$D$24,"",IF(L1908=0,"Ab",IF(L1908&gt;80,"A",IF(L1908&gt;60,"B",IF(L1908&gt;44,"C",IF(L1908&gt;=33,"D",IF(L1908&lt;=32,"E","")))))))</f>
        <v>E</v>
      </c>
      <c r="N1908" s="29"/>
      <c r="O1908" s="29"/>
      <c r="P1908" s="19"/>
      <c r="Q1908" s="19"/>
      <c r="R1908" s="11"/>
    </row>
    <row r="1909" s="1" customFormat="1" ht="21.95" customHeight="1" spans="1:19">
      <c r="A1909" s="7"/>
      <c r="B1909" s="12"/>
      <c r="C1909" s="33"/>
      <c r="D1909" s="52" t="s">
        <v>549</v>
      </c>
      <c r="E1909" s="53"/>
      <c r="F1909" s="54">
        <f ca="1">IFERROR(VLOOKUP(F1887,'RR-3.1-5TH'!$A$12:'RR-3.1-5TH'!$BN$111,49,0),"")</f>
        <v>0</v>
      </c>
      <c r="G1909" s="54">
        <f ca="1">IFERROR(VLOOKUP(F1887,'RR-3.1-5TH'!$A$12:'RR-3.1-5TH'!$BN$111,50,0),"")</f>
        <v>0</v>
      </c>
      <c r="H1909" s="54">
        <f ca="1">IFERROR(VLOOKUP(F1887,'RR-3.1-5TH'!$A$12:'RR-3.1-5TH'!$BN$111,51,0),"")</f>
        <v>0</v>
      </c>
      <c r="I1909" s="54">
        <f ca="1">IFERROR(VLOOKUP(F1887,'RR-3.1-5TH'!$A$12:'RR-3.1-5TH'!$BN$111,52,0),"")</f>
        <v>0</v>
      </c>
      <c r="J1909" s="54">
        <f ca="1">IFERROR(VLOOKUP(F1887,'RR-3.1-5TH'!$A$12:'RR-3.1-5TH'!$BN$111,53,0),"")</f>
        <v>23</v>
      </c>
      <c r="K1909" s="54">
        <f ca="1">IFERROR(VLOOKUP(F1887,'RR-3.1-5TH'!$A$12:'RR-3.1-5TH'!$BN$111,54,0),"")</f>
        <v>0</v>
      </c>
      <c r="L1909" s="55">
        <f ca="1" t="shared" si="99"/>
        <v>23</v>
      </c>
      <c r="M1909" s="56" t="str">
        <f ca="1">IF(F1887&gt;ENTRY!$D$24,"",IF(L1909=0,"Ab",IF(L1909&gt;80,"A",IF(L1909&gt;60,"B",IF(L1909&gt;44,"C",IF(L1909&gt;=33,"D",IF(L1909&lt;=32,"E","")))))))</f>
        <v>E</v>
      </c>
      <c r="N1909" s="57" t="s">
        <v>752</v>
      </c>
      <c r="O1909" s="58"/>
      <c r="P1909" s="59"/>
      <c r="Q1909" s="19"/>
      <c r="R1909" s="11"/>
    </row>
    <row r="1910" s="1" customFormat="1" ht="21.95" customHeight="1" spans="1:19">
      <c r="A1910" s="7"/>
      <c r="B1910" s="12"/>
      <c r="C1910" s="33"/>
      <c r="D1910" s="52" t="s">
        <v>753</v>
      </c>
      <c r="E1910" s="53"/>
      <c r="F1910" s="60"/>
      <c r="G1910" s="54"/>
      <c r="H1910" s="54"/>
      <c r="I1910" s="54"/>
      <c r="J1910" s="54"/>
      <c r="K1910" s="54"/>
      <c r="L1910" s="55">
        <f t="shared" ref="L1910" si="100">SUM(G1910:K1910)</f>
        <v>0</v>
      </c>
      <c r="M1910" s="56" t="str">
        <f>IF(F1887&gt;ENTRY!$D$24,"",IF(L1910=0,"",IF(L1910&gt;79,"A",IF(L1910&gt;59,"B",IF(L1910&gt;44,"C",IF(L1910&gt;=33,"D",IF(L1910&lt;=32,"E","")))))))</f>
        <v/>
      </c>
      <c r="N1910" s="58"/>
      <c r="O1910" s="58"/>
      <c r="P1910" s="59"/>
      <c r="Q1910" s="19"/>
      <c r="R1910" s="11"/>
    </row>
    <row r="1911" s="1" customFormat="1" ht="21.95" customHeight="1" spans="1:19">
      <c r="A1911" s="7"/>
      <c r="B1911" s="12"/>
      <c r="C1911" s="33"/>
      <c r="D1911" s="45" t="s">
        <v>382</v>
      </c>
      <c r="E1911" s="46"/>
      <c r="F1911" s="54">
        <f ca="1" t="shared" ref="F1911:L1911" si="101">IFERROR(SUM(F1904:F1910),"")</f>
        <v>0</v>
      </c>
      <c r="G1911" s="54">
        <f ca="1" t="shared" si="101"/>
        <v>0</v>
      </c>
      <c r="H1911" s="54">
        <f ca="1" t="shared" si="101"/>
        <v>0</v>
      </c>
      <c r="I1911" s="54">
        <f ca="1" t="shared" si="101"/>
        <v>0</v>
      </c>
      <c r="J1911" s="54">
        <f ca="1" t="shared" si="101"/>
        <v>132</v>
      </c>
      <c r="K1911" s="54">
        <f ca="1" t="shared" si="101"/>
        <v>0</v>
      </c>
      <c r="L1911" s="55">
        <f ca="1" t="shared" si="101"/>
        <v>132</v>
      </c>
      <c r="M1911" s="61" t="str">
        <f ca="1">IF(F1887&gt;ENTRY!$D$24,"",IF(N1912="Ab","Ab",IF(N1912&gt;79.5,"A",IF(N1912&gt;59.5,"B",IF(N1912&gt;44.5,"C",IF(N1912&gt;=33,"D",IF(N1912&lt;33,"E","")))))))</f>
        <v>E</v>
      </c>
      <c r="N1911" s="62"/>
      <c r="O1911" s="58"/>
      <c r="P1911" s="59"/>
      <c r="Q1911" s="19"/>
      <c r="R1911" s="11"/>
    </row>
    <row r="1912" s="1" customFormat="1" ht="21.95" customHeight="1" spans="1:19">
      <c r="A1912" s="7"/>
      <c r="B1912" s="12"/>
      <c r="C1912" s="33"/>
      <c r="D1912" s="63" t="s">
        <v>721</v>
      </c>
      <c r="E1912" s="63"/>
      <c r="F1912" s="63"/>
      <c r="G1912" s="63"/>
      <c r="H1912" s="63"/>
      <c r="I1912" s="63"/>
      <c r="J1912" s="63"/>
      <c r="K1912" s="63"/>
      <c r="L1912" s="63"/>
      <c r="M1912" s="63"/>
      <c r="N1912" s="64">
        <f ca="1">IF(L1911="Ab","Ab",L1911/6)</f>
        <v>22</v>
      </c>
      <c r="O1912" s="65"/>
      <c r="P1912" s="19"/>
      <c r="Q1912" s="19"/>
      <c r="R1912" s="11"/>
    </row>
    <row r="1913" s="1" customFormat="1" ht="21.95" customHeight="1" spans="1:19">
      <c r="A1913" s="7"/>
      <c r="B1913" s="12"/>
      <c r="C1913" s="33"/>
      <c r="D1913" s="29" t="s">
        <v>716</v>
      </c>
      <c r="E1913" s="18" t="str">
        <f>IFERROR(VLOOKUP(F1887,'1to4-2.1-RR'!$A$12:$BG$111,57,0),"")</f>
        <v>PROMOTED</v>
      </c>
      <c r="F1913" s="18"/>
      <c r="G1913" s="18"/>
      <c r="H1913" s="18"/>
      <c r="I1913" s="18"/>
      <c r="J1913" s="18"/>
      <c r="K1913" s="18"/>
      <c r="L1913" s="18"/>
      <c r="M1913" s="18"/>
      <c r="N1913" s="29"/>
      <c r="O1913" s="29"/>
      <c r="P1913" s="19"/>
      <c r="Q1913" s="19"/>
      <c r="R1913" s="11"/>
    </row>
    <row r="1914" s="1" customFormat="1" ht="9.95" customHeight="1" spans="1:19">
      <c r="A1914" s="7"/>
      <c r="B1914" s="12"/>
      <c r="C1914" s="33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  <c r="O1914" s="29"/>
      <c r="P1914" s="19"/>
      <c r="Q1914" s="19"/>
      <c r="R1914" s="11"/>
    </row>
    <row r="1915" s="1" customFormat="1" ht="36" spans="1:19">
      <c r="A1915" s="7"/>
      <c r="B1915" s="12"/>
      <c r="C1915" s="33"/>
      <c r="D1915" s="66" t="s">
        <v>576</v>
      </c>
      <c r="E1915" s="67" t="s">
        <v>754</v>
      </c>
      <c r="F1915" s="47">
        <f>IF(F1887&gt;ENTRY!$D$24,"",IFERROR(VLOOKUP(F1887,PASHEET!$A$4:$CJ$103,88,0),""))</f>
        <v>0</v>
      </c>
      <c r="G1915" s="67" t="s">
        <v>755</v>
      </c>
      <c r="H1915" s="47">
        <f>IF(F1887&gt;ENTRY!$D$24,"",IFERROR(VLOOKUP(F1887,PASHEET!$A$4:$CJ$103,87,0),""))</f>
        <v>0</v>
      </c>
      <c r="I1915" s="68" t="s">
        <v>756</v>
      </c>
      <c r="J1915" s="69" t="str">
        <f>IF(F1887&gt;ENTRY!$D$24,"",IFERROR(IF(F1887&gt;0,H1915/F1915*100),""))</f>
        <v/>
      </c>
      <c r="K1915" s="60" t="s">
        <v>757</v>
      </c>
      <c r="L1915" s="70">
        <f ca="1">IF(F1887&gt;ENTRY!$D$24,"",IFERROR(L1911/600*100,""))</f>
        <v>22</v>
      </c>
      <c r="M1915" s="47" t="str">
        <f ca="1">IF(F1887&gt;ENTRY!$D$24,"",IFERROR(L1911&amp;" / "&amp;"600",""))</f>
        <v>132 / 600</v>
      </c>
      <c r="N1915" s="29"/>
      <c r="O1915" s="29"/>
      <c r="P1915" s="19"/>
      <c r="Q1915" s="19"/>
      <c r="R1915" s="11"/>
    </row>
    <row r="1916" s="1" customFormat="1" ht="9.95" customHeight="1" spans="1:19">
      <c r="A1916" s="7"/>
      <c r="B1916" s="12"/>
      <c r="C1916" s="39"/>
      <c r="D1916" s="40"/>
      <c r="E1916" s="40"/>
      <c r="F1916" s="40"/>
      <c r="G1916" s="40"/>
      <c r="H1916" s="40"/>
      <c r="I1916" s="40"/>
      <c r="J1916" s="40"/>
      <c r="K1916" s="40"/>
      <c r="L1916" s="40"/>
      <c r="M1916" s="40"/>
      <c r="N1916" s="40"/>
      <c r="O1916" s="40"/>
      <c r="P1916" s="41"/>
      <c r="Q1916" s="19"/>
      <c r="R1916" s="11"/>
    </row>
    <row r="1917" s="1" customFormat="1" ht="9.95" customHeight="1" spans="1:19">
      <c r="A1917" s="7"/>
      <c r="B1917" s="12"/>
      <c r="C1917" s="71"/>
      <c r="D1917" s="71"/>
      <c r="E1917" s="71"/>
      <c r="F1917" s="29"/>
      <c r="G1917" s="71"/>
      <c r="H1917" s="71"/>
      <c r="I1917" s="71"/>
      <c r="J1917" s="71"/>
      <c r="K1917" s="71"/>
      <c r="L1917" s="71"/>
      <c r="M1917" s="71"/>
      <c r="N1917" s="71"/>
      <c r="O1917" s="71"/>
      <c r="P1917" s="71"/>
      <c r="Q1917" s="19"/>
      <c r="R1917" s="11"/>
    </row>
    <row r="1918" s="1" customFormat="1" ht="9.95" customHeight="1" spans="1:19">
      <c r="A1918" s="7"/>
      <c r="B1918" s="12"/>
      <c r="C1918" s="29"/>
      <c r="D1918" s="29"/>
      <c r="E1918" s="29"/>
      <c r="F1918" s="72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19"/>
      <c r="R1918" s="11"/>
    </row>
    <row r="1919" s="1" customFormat="1" ht="9.95" customHeight="1" spans="1:19">
      <c r="A1919" s="7"/>
      <c r="B1919" s="12"/>
      <c r="C1919" s="30"/>
      <c r="D1919" s="31"/>
      <c r="E1919" s="31"/>
      <c r="F1919" s="31"/>
      <c r="G1919" s="31"/>
      <c r="H1919" s="31"/>
      <c r="I1919" s="31"/>
      <c r="J1919" s="31"/>
      <c r="K1919" s="31"/>
      <c r="L1919" s="31"/>
      <c r="M1919" s="31"/>
      <c r="N1919" s="31"/>
      <c r="O1919" s="31"/>
      <c r="P1919" s="32"/>
      <c r="Q1919" s="19"/>
      <c r="R1919" s="11"/>
    </row>
    <row r="1920" s="1" customFormat="1" ht="21.95" customHeight="1" spans="1:19">
      <c r="A1920" s="7"/>
      <c r="B1920" s="12"/>
      <c r="C1920" s="73" t="s">
        <v>7</v>
      </c>
      <c r="D1920" s="13"/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74"/>
      <c r="Q1920" s="19"/>
      <c r="R1920" s="11"/>
      <c r="S1920" s="2"/>
    </row>
    <row r="1921" s="1" customFormat="1" ht="21.95" customHeight="1" spans="1:18">
      <c r="A1921" s="7"/>
      <c r="B1921" s="12"/>
      <c r="C1921" s="33"/>
      <c r="D1921" s="29"/>
      <c r="E1921" s="29"/>
      <c r="F1921" s="29"/>
      <c r="G1921" s="29"/>
      <c r="H1921" s="29"/>
      <c r="I1921" s="29"/>
      <c r="J1921" s="29"/>
      <c r="K1921" s="29"/>
      <c r="L1921" s="29"/>
      <c r="M1921" s="29"/>
      <c r="N1921" s="29"/>
      <c r="O1921" s="29"/>
      <c r="P1921" s="19"/>
      <c r="Q1921" s="19"/>
      <c r="R1921" s="11"/>
    </row>
    <row r="1922" s="1" customFormat="1" ht="21.95" customHeight="1" spans="1:18">
      <c r="A1922" s="7"/>
      <c r="B1922" s="12"/>
      <c r="C1922" s="75" t="str">
        <f>"SESSION-"&amp;ENTRY!$D$11</f>
        <v>SESSION-2026-27</v>
      </c>
      <c r="D1922" s="15"/>
      <c r="E1922" s="15"/>
      <c r="F1922" s="15"/>
      <c r="G1922" s="15"/>
      <c r="H1922" s="15"/>
      <c r="I1922" s="15"/>
      <c r="J1922" s="15"/>
      <c r="K1922" s="15"/>
      <c r="L1922" s="15"/>
      <c r="M1922" s="15"/>
      <c r="N1922" s="15"/>
      <c r="O1922" s="15"/>
      <c r="P1922" s="76"/>
      <c r="Q1922" s="19"/>
      <c r="R1922" s="11"/>
    </row>
    <row r="1923" s="1" customFormat="1" ht="18" customHeight="1" spans="1:18">
      <c r="A1923" s="7"/>
      <c r="B1923" s="12"/>
      <c r="C1923" s="33"/>
      <c r="D1923" s="29"/>
      <c r="E1923" s="29"/>
      <c r="F1923" s="29"/>
      <c r="G1923" s="29"/>
      <c r="H1923" s="29"/>
      <c r="I1923" s="29"/>
      <c r="J1923" s="29"/>
      <c r="K1923" s="29"/>
      <c r="L1923" s="29"/>
      <c r="M1923" s="29"/>
      <c r="N1923" s="29"/>
      <c r="O1923" s="29"/>
      <c r="P1923" s="19"/>
      <c r="Q1923" s="19"/>
      <c r="R1923" s="11"/>
    </row>
    <row r="1924" s="1" customFormat="1" ht="21.95" customHeight="1" spans="1:18">
      <c r="A1924" s="7"/>
      <c r="B1924" s="12"/>
      <c r="C1924" s="33"/>
      <c r="D1924" s="77" t="s">
        <v>758</v>
      </c>
      <c r="E1924" s="77"/>
      <c r="F1924" s="78" t="str">
        <f>IFERROR(PROPER(VLOOKUP(F1887,STUDENT!$A$2:$BP$101,5,0)),"")</f>
        <v>Veerpartap Singh</v>
      </c>
      <c r="G1924" s="78"/>
      <c r="H1924" s="78"/>
      <c r="I1924" s="78"/>
      <c r="J1924" s="78"/>
      <c r="K1924" s="78"/>
      <c r="L1924" s="78"/>
      <c r="M1924" s="78"/>
      <c r="N1924" s="79" t="s">
        <v>759</v>
      </c>
      <c r="O1924" s="79"/>
      <c r="P1924" s="19"/>
      <c r="Q1924" s="19"/>
      <c r="R1924" s="11"/>
    </row>
    <row r="1925" s="1" customFormat="1" ht="21.95" customHeight="1" spans="1:18">
      <c r="A1925" s="7"/>
      <c r="B1925" s="12"/>
      <c r="C1925" s="33"/>
      <c r="D1925" s="80" t="s">
        <v>760</v>
      </c>
      <c r="E1925" s="81" t="str">
        <f>IFERROR(PROPER(VLOOKUP(F1887,STUDENT!$A$2:$BP$101,9,0)),"")</f>
        <v>Sarita Kumari</v>
      </c>
      <c r="F1925" s="81"/>
      <c r="G1925" s="81"/>
      <c r="H1925" s="80" t="s">
        <v>761</v>
      </c>
      <c r="I1925" s="82" t="str">
        <f>IFERROR(PROPER(VLOOKUP(F1887,STUDENT!$A$2:$BP$101,8,0)),"")</f>
        <v>Vijay Singh</v>
      </c>
      <c r="J1925" s="82"/>
      <c r="K1925" s="82"/>
      <c r="L1925" s="82"/>
      <c r="M1925" s="80" t="s">
        <v>762</v>
      </c>
      <c r="N1925" s="83" t="str">
        <f>IFERROR(VLOOKUP(F1887,STUDENT!$A$2:$BP$101,59,0),"")</f>
        <v/>
      </c>
      <c r="O1925" s="83"/>
      <c r="P1925" s="19"/>
      <c r="Q1925" s="19"/>
      <c r="R1925" s="11"/>
    </row>
    <row r="1926" s="1" customFormat="1" ht="21.95" customHeight="1" spans="1:18">
      <c r="A1926" s="7"/>
      <c r="B1926" s="12"/>
      <c r="C1926" s="33"/>
      <c r="D1926" s="77" t="str">
        <f>"has    completed     his  /  her     primary     level     education    in    the    year    "&amp;RIGHT(ENTRY!$D1892,4)&amp;"    from    ( School    Name )"</f>
        <v>has    completed     his  /  her     primary     level     education    in    the    year        from    ( School    Name )</v>
      </c>
      <c r="E1926" s="77"/>
      <c r="F1926" s="77"/>
      <c r="G1926" s="77"/>
      <c r="H1926" s="77"/>
      <c r="I1926" s="77"/>
      <c r="J1926" s="77"/>
      <c r="K1926" s="77"/>
      <c r="L1926" s="77"/>
      <c r="M1926" s="77"/>
      <c r="N1926" s="77"/>
      <c r="O1926" s="77"/>
      <c r="P1926" s="19"/>
      <c r="Q1926" s="19"/>
      <c r="R1926" s="11"/>
    </row>
    <row r="1927" s="1" customFormat="1" ht="21.95" customHeight="1" spans="1:18">
      <c r="A1927" s="7"/>
      <c r="B1927" s="12"/>
      <c r="C1927" s="33"/>
      <c r="D1927" s="81" t="str">
        <f>IF(F1887&gt;0,ENTRY!$D$6,"")</f>
        <v>MCP NITHARI NO 1 BOYS</v>
      </c>
      <c r="E1927" s="81"/>
      <c r="F1927" s="81"/>
      <c r="G1927" s="81"/>
      <c r="H1927" s="81"/>
      <c r="I1927" s="81"/>
      <c r="J1927" s="81"/>
      <c r="K1927" s="81"/>
      <c r="L1927" s="81"/>
      <c r="M1927" s="80" t="s">
        <v>763</v>
      </c>
      <c r="N1927" s="84">
        <f>IF(F1887&gt;0,ENTRY!$D$7,"")</f>
        <v>0</v>
      </c>
      <c r="O1927" s="84"/>
      <c r="P1927" s="85" t="s">
        <v>727</v>
      </c>
      <c r="Q1927" s="19"/>
      <c r="R1927" s="11"/>
    </row>
    <row r="1928" s="1" customFormat="1" ht="21.95" customHeight="1" spans="1:18">
      <c r="A1928" s="7"/>
      <c r="B1928" s="12"/>
      <c r="C1928" s="33"/>
      <c r="D1928" s="29"/>
      <c r="E1928" s="29"/>
      <c r="F1928" s="29"/>
      <c r="G1928" s="29"/>
      <c r="H1928" s="29"/>
      <c r="I1928" s="29"/>
      <c r="J1928" s="29"/>
      <c r="K1928" s="29"/>
      <c r="L1928" s="29"/>
      <c r="M1928" s="29"/>
      <c r="N1928" s="29"/>
      <c r="O1928" s="29"/>
      <c r="P1928" s="19"/>
      <c r="Q1928" s="19"/>
      <c r="R1928" s="11"/>
    </row>
    <row r="1929" s="1" customFormat="1" ht="21.95" customHeight="1" spans="1:18">
      <c r="A1929" s="7"/>
      <c r="B1929" s="12"/>
      <c r="C1929" s="33"/>
      <c r="D1929" s="29"/>
      <c r="E1929" s="29"/>
      <c r="F1929" s="29"/>
      <c r="G1929" s="29"/>
      <c r="H1929" s="29"/>
      <c r="I1929" s="29"/>
      <c r="J1929" s="29"/>
      <c r="K1929" s="29"/>
      <c r="L1929" s="29"/>
      <c r="M1929" s="29"/>
      <c r="N1929" s="29"/>
      <c r="O1929" s="29"/>
      <c r="P1929" s="19"/>
      <c r="Q1929" s="19"/>
      <c r="R1929" s="11"/>
    </row>
    <row r="1930" s="1" customFormat="1" ht="21.95" customHeight="1" spans="1:18">
      <c r="A1930" s="7"/>
      <c r="B1930" s="12"/>
      <c r="C1930" s="33"/>
      <c r="D1930" s="29"/>
      <c r="E1930" s="29"/>
      <c r="F1930" s="29"/>
      <c r="G1930" s="29"/>
      <c r="H1930" s="29"/>
      <c r="I1930" s="29"/>
      <c r="J1930" s="29"/>
      <c r="K1930" s="29"/>
      <c r="L1930" s="29"/>
      <c r="M1930" s="29"/>
      <c r="N1930" s="29"/>
      <c r="O1930" s="29"/>
      <c r="P1930" s="19"/>
      <c r="Q1930" s="19"/>
      <c r="R1930" s="11"/>
    </row>
    <row r="1931" s="1" customFormat="1" ht="21.95" customHeight="1" spans="1:18">
      <c r="A1931" s="7"/>
      <c r="B1931" s="12"/>
      <c r="C1931" s="33"/>
      <c r="D1931" s="29"/>
      <c r="E1931" s="29"/>
      <c r="F1931" s="29"/>
      <c r="G1931" s="29"/>
      <c r="H1931" s="29"/>
      <c r="I1931" s="29"/>
      <c r="J1931" s="29"/>
      <c r="K1931" s="29"/>
      <c r="L1931" s="29"/>
      <c r="M1931" s="29"/>
      <c r="N1931" s="29"/>
      <c r="O1931" s="29"/>
      <c r="P1931" s="19"/>
      <c r="Q1931" s="19"/>
      <c r="R1931" s="11"/>
    </row>
    <row r="1932" s="1" customFormat="1" ht="21.95" customHeight="1" spans="1:18">
      <c r="A1932" s="7"/>
      <c r="B1932" s="12"/>
      <c r="C1932" s="33"/>
      <c r="D1932" s="29"/>
      <c r="E1932" s="29"/>
      <c r="F1932" s="29"/>
      <c r="G1932" s="29"/>
      <c r="H1932" s="29"/>
      <c r="I1932" s="29"/>
      <c r="J1932" s="29"/>
      <c r="K1932" s="29"/>
      <c r="L1932" s="29"/>
      <c r="M1932" s="29"/>
      <c r="N1932" s="29"/>
      <c r="O1932" s="29"/>
      <c r="P1932" s="19"/>
      <c r="Q1932" s="19"/>
      <c r="R1932" s="11"/>
    </row>
    <row r="1933" s="1" customFormat="1" ht="21.95" customHeight="1" spans="1:18">
      <c r="A1933" s="7"/>
      <c r="B1933" s="12"/>
      <c r="C1933" s="33"/>
      <c r="D1933" s="80" t="s">
        <v>728</v>
      </c>
      <c r="E1933" s="86">
        <f>ENTRY!$D$27</f>
        <v>46102</v>
      </c>
      <c r="F1933" s="86"/>
      <c r="G1933" s="29"/>
      <c r="H1933" s="29"/>
      <c r="I1933" s="29"/>
      <c r="J1933" s="29"/>
      <c r="K1933" s="29"/>
      <c r="L1933" s="29"/>
      <c r="M1933" s="87" t="s">
        <v>730</v>
      </c>
      <c r="N1933" s="87"/>
      <c r="O1933" s="87"/>
      <c r="P1933" s="19"/>
      <c r="Q1933" s="19"/>
      <c r="R1933" s="11"/>
    </row>
    <row r="1934" s="1" customFormat="1" ht="21.95" customHeight="1" spans="1:18">
      <c r="A1934" s="7"/>
      <c r="B1934" s="12"/>
      <c r="C1934" s="33"/>
      <c r="D1934" s="80" t="s">
        <v>731</v>
      </c>
      <c r="E1934" s="88" t="str">
        <f>PROPER(ENTRY!$D$28)</f>
        <v>New Delhi</v>
      </c>
      <c r="F1934" s="88"/>
      <c r="G1934" s="29"/>
      <c r="H1934" s="29"/>
      <c r="I1934" s="29"/>
      <c r="J1934" s="29"/>
      <c r="K1934" s="29"/>
      <c r="L1934" s="29"/>
      <c r="M1934" s="89" t="s">
        <v>732</v>
      </c>
      <c r="N1934" s="89"/>
      <c r="O1934" s="89"/>
      <c r="P1934" s="19"/>
      <c r="Q1934" s="19"/>
      <c r="R1934" s="11"/>
    </row>
    <row r="1935" s="1" customFormat="1" ht="21.95" customHeight="1" spans="1:18">
      <c r="A1935" s="7"/>
      <c r="B1935" s="12"/>
      <c r="C1935" s="90"/>
      <c r="D1935" s="91"/>
      <c r="E1935" s="91"/>
      <c r="F1935" s="91"/>
      <c r="G1935" s="91"/>
      <c r="H1935" s="91"/>
      <c r="I1935" s="91"/>
      <c r="J1935" s="91"/>
      <c r="K1935" s="91"/>
      <c r="L1935" s="91"/>
      <c r="M1935" s="91"/>
      <c r="N1935" s="91"/>
      <c r="O1935" s="91"/>
      <c r="P1935" s="92"/>
      <c r="Q1935" s="14"/>
      <c r="R1935" s="11"/>
    </row>
    <row r="1936" s="1" customFormat="1" ht="5.1" customHeight="1" spans="1:18">
      <c r="A1936" s="7"/>
      <c r="B1936" s="90"/>
      <c r="C1936" s="91"/>
      <c r="D1936" s="91"/>
      <c r="E1936" s="91"/>
      <c r="F1936" s="91"/>
      <c r="G1936" s="91"/>
      <c r="H1936" s="91"/>
      <c r="I1936" s="91"/>
      <c r="J1936" s="91"/>
      <c r="K1936" s="91"/>
      <c r="L1936" s="91"/>
      <c r="M1936" s="91"/>
      <c r="N1936" s="91"/>
      <c r="O1936" s="91"/>
      <c r="P1936" s="91"/>
      <c r="Q1936" s="92"/>
      <c r="R1936" s="11"/>
    </row>
    <row r="1937" s="1" customFormat="1" ht="5.1" customHeight="1" spans="1:18">
      <c r="A1937" s="93"/>
      <c r="B1937" s="94"/>
      <c r="C1937" s="94"/>
      <c r="D1937" s="94"/>
      <c r="E1937" s="94"/>
      <c r="F1937" s="94"/>
      <c r="G1937" s="94"/>
      <c r="H1937" s="94"/>
      <c r="I1937" s="94"/>
      <c r="J1937" s="94"/>
      <c r="K1937" s="94"/>
      <c r="L1937" s="94"/>
      <c r="M1937" s="94"/>
      <c r="N1937" s="94"/>
      <c r="O1937" s="94"/>
      <c r="P1937" s="94"/>
      <c r="Q1937" s="94"/>
      <c r="R1937" s="95"/>
    </row>
    <row r="1938" s="2" customFormat="1" ht="9.95" customHeight="1"/>
    <row r="1939" s="1" customFormat="1" ht="5.1" customHeight="1" spans="1:18">
      <c r="A1939" s="4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6"/>
    </row>
    <row r="1940" s="1" customFormat="1" ht="15" customHeight="1" spans="1:18">
      <c r="A1940" s="7"/>
      <c r="B1940" s="8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9"/>
      <c r="O1940" s="9"/>
      <c r="P1940" s="9"/>
      <c r="Q1940" s="10"/>
      <c r="R1940" s="11"/>
    </row>
    <row r="1941" s="1" customFormat="1" ht="21.95" customHeight="1" spans="1:18">
      <c r="A1941" s="7"/>
      <c r="B1941" s="12"/>
      <c r="C1941" s="13" t="s">
        <v>7</v>
      </c>
      <c r="D1941" s="13"/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/>
      <c r="Q1941" s="14"/>
      <c r="R1941" s="11"/>
    </row>
    <row r="1942" s="1" customFormat="1" ht="21.95" customHeight="1" spans="1:18">
      <c r="A1942" s="7"/>
      <c r="B1942" s="1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14"/>
      <c r="R1942" s="11"/>
    </row>
    <row r="1943" s="1" customFormat="1" ht="21.95" customHeight="1" spans="1:18">
      <c r="A1943" s="7"/>
      <c r="B1943" s="12"/>
      <c r="C1943" s="15" t="str">
        <f>"SESSION-"&amp;ENTRY!$D$11</f>
        <v>SESSION-2026-27</v>
      </c>
      <c r="D1943" s="15"/>
      <c r="E1943" s="15"/>
      <c r="F1943" s="15"/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4"/>
      <c r="R1943" s="11"/>
    </row>
    <row r="1944" s="1" customFormat="1" ht="21.95" customHeight="1" spans="1:18">
      <c r="A1944" s="7"/>
      <c r="B1944" s="12"/>
      <c r="C1944" s="2"/>
      <c r="D1944" s="2"/>
      <c r="E1944" s="2"/>
      <c r="F1944" s="16">
        <f>F1887+1</f>
        <v>35</v>
      </c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14"/>
      <c r="R1944" s="11"/>
    </row>
    <row r="1945" s="1" customFormat="1" ht="21.95" customHeight="1" spans="1:18">
      <c r="A1945" s="7"/>
      <c r="B1945" s="12"/>
      <c r="C1945" s="17" t="s">
        <v>392</v>
      </c>
      <c r="D1945" s="17"/>
      <c r="E1945" s="17"/>
      <c r="F1945" s="18" t="str">
        <f>IF(F1944&gt;0,ENTRY!$D$6,"")</f>
        <v>MCP NITHARI NO 1 BOYS</v>
      </c>
      <c r="G1945" s="18"/>
      <c r="H1945" s="18"/>
      <c r="I1945" s="18"/>
      <c r="J1945" s="18"/>
      <c r="K1945" s="18"/>
      <c r="L1945" s="18"/>
      <c r="M1945" s="18"/>
      <c r="N1945" s="18"/>
      <c r="O1945" s="18"/>
      <c r="P1945" s="18"/>
      <c r="Q1945" s="19"/>
      <c r="R1945" s="11"/>
    </row>
    <row r="1946" s="1" customFormat="1" ht="21.95" customHeight="1" spans="1:18">
      <c r="A1946" s="7"/>
      <c r="B1946" s="12"/>
      <c r="C1946" s="17" t="s">
        <v>393</v>
      </c>
      <c r="D1946" s="17"/>
      <c r="E1946" s="17"/>
      <c r="F1946" s="18">
        <f>IF(F1944&gt;0,ENTRY!$D$7,"")</f>
        <v>0</v>
      </c>
      <c r="G1946" s="18"/>
      <c r="H1946" s="20" t="s">
        <v>702</v>
      </c>
      <c r="I1946" s="20"/>
      <c r="J1946" s="21">
        <f>IF(F1944&gt;0,ENTRY!$D$10,"")</f>
        <v>40</v>
      </c>
      <c r="K1946" s="20" t="s">
        <v>703</v>
      </c>
      <c r="L1946" s="22" t="str">
        <f>IF(F1944&gt;0,ENTRY!$D$5,"")</f>
        <v>ROHINI ZONE</v>
      </c>
      <c r="M1946" s="22"/>
      <c r="N1946" s="22"/>
      <c r="O1946" s="22"/>
      <c r="P1946" s="22"/>
      <c r="Q1946" s="19"/>
      <c r="R1946" s="11"/>
    </row>
    <row r="1947" s="1" customFormat="1" ht="21.95" customHeight="1" spans="1:18">
      <c r="A1947" s="7"/>
      <c r="B1947" s="12"/>
      <c r="C1947" s="17" t="s">
        <v>706</v>
      </c>
      <c r="D1947" s="17"/>
      <c r="E1947" s="17"/>
      <c r="F1947" s="23" t="str">
        <f>IFERROR(VLOOKUP(F1944,STUDENT!$A$2:$BP$101,5,0),"")</f>
        <v>NIKHIL KUMAR</v>
      </c>
      <c r="G1947" s="23"/>
      <c r="H1947" s="23"/>
      <c r="I1947" s="23"/>
      <c r="J1947" s="23"/>
      <c r="K1947" s="23"/>
      <c r="L1947" s="20" t="s">
        <v>707</v>
      </c>
      <c r="M1947" s="20"/>
      <c r="N1947" s="24" t="str">
        <f>IF(F1944&gt;0,ENTRY!$D$20&amp;"-"&amp;ENTRY!$D$21,"")</f>
        <v>III-A</v>
      </c>
      <c r="O1947" s="24"/>
      <c r="P1947" s="24"/>
      <c r="Q1947" s="19"/>
      <c r="R1947" s="11"/>
    </row>
    <row r="1948" s="1" customFormat="1" ht="21.95" customHeight="1" spans="1:18">
      <c r="A1948" s="7"/>
      <c r="B1948" s="12"/>
      <c r="C1948" s="17" t="s">
        <v>708</v>
      </c>
      <c r="D1948" s="17"/>
      <c r="E1948" s="17"/>
      <c r="F1948" s="25">
        <f>IFERROR(VLOOKUP(F1944,STUDENT!$A$2:$BP$101,6,0),"")</f>
        <v>15104</v>
      </c>
      <c r="G1948" s="25"/>
      <c r="H1948" s="26" t="s">
        <v>709</v>
      </c>
      <c r="I1948" s="27" t="str">
        <f>IFERROR(VLOOKUP(F1944,STUDENT!$A$2:$BP$101,59,0),"")</f>
        <v/>
      </c>
      <c r="J1948" s="27"/>
      <c r="K1948" s="20" t="s">
        <v>710</v>
      </c>
      <c r="L1948" s="20"/>
      <c r="M1948" s="28">
        <f>IFERROR(VLOOKUP(F1944,STUDENT!$A$2:$BP$101,20,0),"")</f>
        <v>9717319030</v>
      </c>
      <c r="N1948" s="28"/>
      <c r="O1948" s="28"/>
      <c r="P1948" s="28"/>
      <c r="Q1948" s="19"/>
      <c r="R1948" s="11"/>
    </row>
    <row r="1949" s="1" customFormat="1" ht="21.95" customHeight="1" spans="1:18">
      <c r="A1949" s="7"/>
      <c r="B1949" s="12"/>
      <c r="C1949" s="17" t="s">
        <v>711</v>
      </c>
      <c r="D1949" s="17"/>
      <c r="E1949" s="17"/>
      <c r="F1949" s="23" t="str">
        <f>IFERROR(VLOOKUP(F1944,STUDENT!$A$2:$BP$101,9,0),"")</f>
        <v>NEETU</v>
      </c>
      <c r="G1949" s="23"/>
      <c r="H1949" s="23"/>
      <c r="I1949" s="23"/>
      <c r="J1949" s="17" t="s">
        <v>620</v>
      </c>
      <c r="K1949" s="17"/>
      <c r="L1949" s="23" t="str">
        <f>IFERROR(VLOOKUP(F1944,STUDENT!$A$2:$BP$101,8,0),"")</f>
        <v>SUNIL KUMAR</v>
      </c>
      <c r="M1949" s="23"/>
      <c r="N1949" s="23"/>
      <c r="O1949" s="23"/>
      <c r="P1949" s="23"/>
      <c r="Q1949" s="19"/>
      <c r="R1949" s="11"/>
    </row>
    <row r="1950" s="1" customFormat="1" ht="21.95" customHeight="1" spans="1:18">
      <c r="A1950" s="7"/>
      <c r="B1950" s="12"/>
      <c r="C1950" s="17" t="s">
        <v>712</v>
      </c>
      <c r="D1950" s="17"/>
      <c r="E1950" s="17"/>
      <c r="F1950" s="23" t="str">
        <f>IFERROR(VLOOKUP(F1944,STUDENT!$A$2:$BP$101,22,0),"")</f>
        <v>E-236 GALI NO -2 PREM NAGAR</v>
      </c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19"/>
      <c r="R1950" s="11"/>
    </row>
    <row r="1951" s="1" customFormat="1" ht="9.95" customHeight="1" spans="1:18">
      <c r="A1951" s="7"/>
      <c r="B1951" s="12"/>
      <c r="C1951" s="29"/>
      <c r="D1951" s="29"/>
      <c r="E1951" s="29"/>
      <c r="F1951" s="29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19"/>
      <c r="R1951" s="11"/>
    </row>
    <row r="1952" s="1" customFormat="1" ht="9.95" customHeight="1" spans="1:18">
      <c r="A1952" s="7"/>
      <c r="B1952" s="12"/>
      <c r="C1952" s="30"/>
      <c r="D1952" s="31"/>
      <c r="E1952" s="31"/>
      <c r="F1952" s="31"/>
      <c r="G1952" s="31"/>
      <c r="H1952" s="31"/>
      <c r="I1952" s="31"/>
      <c r="J1952" s="31"/>
      <c r="K1952" s="31"/>
      <c r="L1952" s="31"/>
      <c r="M1952" s="31"/>
      <c r="N1952" s="31"/>
      <c r="O1952" s="31"/>
      <c r="P1952" s="32"/>
      <c r="Q1952" s="19"/>
      <c r="R1952" s="11"/>
    </row>
    <row r="1953" s="1" customFormat="1" ht="21.95" customHeight="1" spans="1:18">
      <c r="A1953" s="7"/>
      <c r="B1953" s="12"/>
      <c r="C1953" s="33"/>
      <c r="D1953" s="34" t="s">
        <v>713</v>
      </c>
      <c r="E1953" s="20" t="s">
        <v>714</v>
      </c>
      <c r="F1953" s="35" t="str">
        <f>"Level - "&amp;IFERROR(VLOOKUP(F1944,FLN!$A$4:$K$103,9,0),"")</f>
        <v>Level - 2</v>
      </c>
      <c r="G1953" s="36"/>
      <c r="H1953" s="37" t="s">
        <v>715</v>
      </c>
      <c r="I1953" s="20"/>
      <c r="J1953" s="35" t="str">
        <f>"Level - "&amp;IFERROR(VLOOKUP(F1944,FLN!$A$4:$K$103,11,0),"")</f>
        <v>Level - 3</v>
      </c>
      <c r="K1953" s="36"/>
      <c r="L1953" s="37" t="s">
        <v>408</v>
      </c>
      <c r="M1953" s="20"/>
      <c r="N1953" s="35" t="str">
        <f>"Level - "&amp;IFERROR(VLOOKUP(F1944,FLN!$A$4:$K$103,10,0),"")</f>
        <v>Level - 2</v>
      </c>
      <c r="O1953" s="36"/>
      <c r="P1953" s="19"/>
      <c r="Q1953" s="19"/>
      <c r="R1953" s="11"/>
    </row>
    <row r="1954" s="1" customFormat="1" ht="21.95" customHeight="1" spans="1:18">
      <c r="A1954" s="7"/>
      <c r="B1954" s="12"/>
      <c r="C1954" s="33"/>
      <c r="D1954" s="38"/>
      <c r="E1954" s="20" t="s">
        <v>716</v>
      </c>
      <c r="F1954" s="18" t="str">
        <f ca="1">IF(L1968&gt;197,"PERFORMED WELL","")</f>
        <v/>
      </c>
      <c r="G1954" s="18"/>
      <c r="H1954" s="18"/>
      <c r="I1954" s="18"/>
      <c r="J1954" s="18"/>
      <c r="K1954" s="18"/>
      <c r="L1954" s="18"/>
      <c r="M1954" s="18"/>
      <c r="N1954" s="18"/>
      <c r="O1954" s="18"/>
      <c r="P1954" s="19"/>
      <c r="Q1954" s="19"/>
      <c r="R1954" s="11"/>
    </row>
    <row r="1955" s="1" customFormat="1" ht="9.95" customHeight="1" spans="1:18">
      <c r="A1955" s="7"/>
      <c r="B1955" s="12"/>
      <c r="C1955" s="39"/>
      <c r="D1955" s="40"/>
      <c r="E1955" s="40"/>
      <c r="F1955" s="40"/>
      <c r="G1955" s="40"/>
      <c r="H1955" s="40"/>
      <c r="I1955" s="40"/>
      <c r="J1955" s="40"/>
      <c r="K1955" s="40"/>
      <c r="L1955" s="40"/>
      <c r="M1955" s="40"/>
      <c r="N1955" s="40"/>
      <c r="O1955" s="40"/>
      <c r="P1955" s="41"/>
      <c r="Q1955" s="19"/>
      <c r="R1955" s="11"/>
    </row>
    <row r="1956" s="1" customFormat="1" ht="9.95" customHeight="1" spans="1:18">
      <c r="A1956" s="7"/>
      <c r="B1956" s="12"/>
      <c r="C1956" s="29"/>
      <c r="D1956" s="29"/>
      <c r="E1956" s="29"/>
      <c r="F1956" s="29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19"/>
      <c r="R1956" s="11"/>
    </row>
    <row r="1957" s="1" customFormat="1" ht="9.95" customHeight="1" spans="1:18">
      <c r="A1957" s="7"/>
      <c r="B1957" s="12"/>
      <c r="C1957" s="30"/>
      <c r="D1957" s="31"/>
      <c r="E1957" s="31"/>
      <c r="F1957" s="31"/>
      <c r="G1957" s="31"/>
      <c r="H1957" s="31"/>
      <c r="I1957" s="31"/>
      <c r="J1957" s="31"/>
      <c r="K1957" s="31"/>
      <c r="L1957" s="31"/>
      <c r="M1957" s="31"/>
      <c r="N1957" s="31"/>
      <c r="O1957" s="31"/>
      <c r="P1957" s="32"/>
      <c r="Q1957" s="19"/>
      <c r="R1957" s="11"/>
    </row>
    <row r="1958" s="1" customFormat="1" ht="21.95" customHeight="1" spans="1:18">
      <c r="A1958" s="7"/>
      <c r="B1958" s="12"/>
      <c r="C1958" s="33"/>
      <c r="D1958" s="35"/>
      <c r="E1958" s="24"/>
      <c r="F1958" s="42" t="s">
        <v>717</v>
      </c>
      <c r="G1958" s="42"/>
      <c r="H1958" s="42"/>
      <c r="I1958" s="42"/>
      <c r="J1958" s="42"/>
      <c r="K1958" s="42"/>
      <c r="L1958" s="43"/>
      <c r="M1958" s="44"/>
      <c r="N1958" s="29"/>
      <c r="O1958" s="29"/>
      <c r="P1958" s="19"/>
      <c r="Q1958" s="19"/>
      <c r="R1958" s="11"/>
    </row>
    <row r="1959" s="1" customFormat="1" ht="21.95" customHeight="1" spans="1:18">
      <c r="A1959" s="7"/>
      <c r="B1959" s="12"/>
      <c r="C1959" s="33"/>
      <c r="D1959" s="45"/>
      <c r="E1959" s="46"/>
      <c r="F1959" s="47" t="s">
        <v>541</v>
      </c>
      <c r="G1959" s="47" t="s">
        <v>542</v>
      </c>
      <c r="H1959" s="47" t="s">
        <v>543</v>
      </c>
      <c r="I1959" s="47" t="s">
        <v>544</v>
      </c>
      <c r="J1959" s="47" t="s">
        <v>561</v>
      </c>
      <c r="K1959" s="48" t="s">
        <v>750</v>
      </c>
      <c r="L1959" s="47" t="s">
        <v>382</v>
      </c>
      <c r="M1959" s="49" t="s">
        <v>546</v>
      </c>
      <c r="N1959" s="29"/>
      <c r="O1959" s="29"/>
      <c r="P1959" s="19"/>
      <c r="Q1959" s="19"/>
      <c r="R1959" s="11"/>
    </row>
    <row r="1960" s="1" customFormat="1" ht="21.95" customHeight="1" spans="1:18">
      <c r="A1960" s="7"/>
      <c r="B1960" s="12"/>
      <c r="C1960" s="33"/>
      <c r="D1960" s="45" t="s">
        <v>652</v>
      </c>
      <c r="E1960" s="46"/>
      <c r="F1960" s="50">
        <v>10</v>
      </c>
      <c r="G1960" s="50">
        <v>10</v>
      </c>
      <c r="H1960" s="50">
        <v>10</v>
      </c>
      <c r="I1960" s="50">
        <v>10</v>
      </c>
      <c r="J1960" s="50">
        <v>60</v>
      </c>
      <c r="K1960" s="51"/>
      <c r="L1960" s="50">
        <v>100</v>
      </c>
      <c r="M1960" s="49"/>
      <c r="N1960" s="29"/>
      <c r="O1960" s="29"/>
      <c r="P1960" s="19"/>
      <c r="Q1960" s="19"/>
      <c r="R1960" s="11"/>
    </row>
    <row r="1961" s="1" customFormat="1" ht="21.95" customHeight="1" spans="1:18">
      <c r="A1961" s="7"/>
      <c r="B1961" s="12"/>
      <c r="C1961" s="33"/>
      <c r="D1961" s="52" t="s">
        <v>751</v>
      </c>
      <c r="E1961" s="53"/>
      <c r="F1961" s="54">
        <f ca="1">IFERROR(VLOOKUP(F1944,'RR-3.1-5TH'!$A$12:'RR-3.1-5TH'!$BN$111,9,0),"")</f>
        <v>1</v>
      </c>
      <c r="G1961" s="54">
        <f ca="1">IFERROR(VLOOKUP(F1944,'RR-3.1-5TH'!$A$12:'RR-3.1-5TH'!$BN$111,10,0),"")</f>
        <v>0</v>
      </c>
      <c r="H1961" s="54">
        <f ca="1">IFERROR(VLOOKUP(F1944,'RR-3.1-5TH'!$A$12:'RR-3.1-5TH'!$BN$111,11,0),"")</f>
        <v>0</v>
      </c>
      <c r="I1961" s="54">
        <f ca="1">IFERROR(VLOOKUP(F1944,'RR-3.1-5TH'!$A$12:'RR-3.1-5TH'!$BN$111,12,0),"")</f>
        <v>0</v>
      </c>
      <c r="J1961" s="54">
        <f ca="1">IFERROR(VLOOKUP(F1944,'RR-3.1-5TH'!$A$12:'RR-3.1-5TH'!$BN$111,13,0),"")</f>
        <v>36</v>
      </c>
      <c r="K1961" s="54">
        <f ca="1">IFERROR(VLOOKUP(F1944,'RR-3.1-5TH'!$A$12:'RR-3.1-5TH'!$BN$111,14,0),"")</f>
        <v>0</v>
      </c>
      <c r="L1961" s="55">
        <f ca="1" t="shared" ref="L1961:L1966" si="102">SUM(F1961,G1961,H1961,I1961,J1961,K1961)</f>
        <v>37</v>
      </c>
      <c r="M1961" s="56" t="str">
        <f ca="1">IF(F1944&gt;ENTRY!$D$24,"",IF(L1961=0,"Ab",IF(L1961&gt;80,"A",IF(L1961&gt;60,"B",IF(L1961&gt;44,"C",IF(L1961&gt;=33,"D",IF(L1961&lt;=32,"E","")))))))</f>
        <v>D</v>
      </c>
      <c r="N1961" s="57" t="s">
        <v>729</v>
      </c>
      <c r="O1961" s="58"/>
      <c r="P1961" s="59"/>
      <c r="Q1961" s="19"/>
      <c r="R1961" s="11"/>
    </row>
    <row r="1962" s="1" customFormat="1" ht="21.95" customHeight="1" spans="1:18">
      <c r="A1962" s="7"/>
      <c r="B1962" s="12"/>
      <c r="C1962" s="33"/>
      <c r="D1962" s="52" t="s">
        <v>513</v>
      </c>
      <c r="E1962" s="53"/>
      <c r="F1962" s="54">
        <f ca="1">IFERROR(VLOOKUP(F1944,'RR-3.1-5TH'!$A$12:'RR-3.1-5TH'!$BN$111,17,0),"")</f>
        <v>1</v>
      </c>
      <c r="G1962" s="54">
        <f ca="1">IFERROR(VLOOKUP(F1944,'RR-3.1-5TH'!$A$12:'RR-3.1-5TH'!$BN$111,18,0),"")</f>
        <v>0</v>
      </c>
      <c r="H1962" s="54">
        <f ca="1">IFERROR(VLOOKUP(F1944,'RR-3.1-5TH'!$A$12:'RR-3.1-5TH'!$BN$111,19,0),"")</f>
        <v>0</v>
      </c>
      <c r="I1962" s="54">
        <f ca="1">IFERROR(VLOOKUP(F1944,'RR-3.1-5TH'!$A$12:'RR-3.1-5TH'!$BN$111,20,0),"")</f>
        <v>0</v>
      </c>
      <c r="J1962" s="54">
        <f ca="1">IFERROR(VLOOKUP(F1944,'RR-3.1-5TH'!$A$12:'RR-3.1-5TH'!$BN$111,21,0),"")</f>
        <v>11</v>
      </c>
      <c r="K1962" s="54">
        <f ca="1">IFERROR(VLOOKUP(F1944,'RR-3.1-5TH'!$A$12:'RR-3.1-5TH'!$BN$111,22,0),"")</f>
        <v>0</v>
      </c>
      <c r="L1962" s="55">
        <f ca="1" t="shared" si="102"/>
        <v>12</v>
      </c>
      <c r="M1962" s="56" t="str">
        <f ca="1">IF(F1944&gt;ENTRY!$D$24,"",IF(L1962=0,"Ab",IF(L1962&gt;80,"A",IF(L1962&gt;60,"B",IF(L1962&gt;44,"C",IF(L1962&gt;=33,"D",IF(L1962&lt;=32,"E","")))))))</f>
        <v>E</v>
      </c>
      <c r="N1962" s="58"/>
      <c r="O1962" s="58"/>
      <c r="P1962" s="59"/>
      <c r="Q1962" s="19"/>
      <c r="R1962" s="11"/>
    </row>
    <row r="1963" s="1" customFormat="1" ht="21.95" customHeight="1" spans="1:18">
      <c r="A1963" s="7"/>
      <c r="B1963" s="12"/>
      <c r="C1963" s="33"/>
      <c r="D1963" s="52" t="s">
        <v>718</v>
      </c>
      <c r="E1963" s="53"/>
      <c r="F1963" s="54">
        <f ca="1">IFERROR(VLOOKUP(F1944,'RR-3.1-5TH'!$A$12:'RR-3.1-5TH'!$BN$111,25,0),"")</f>
        <v>2</v>
      </c>
      <c r="G1963" s="54">
        <f ca="1">IFERROR(VLOOKUP(F1944,'RR-3.1-5TH'!$A$12:'RR-3.1-5TH'!$BN$111,26,0),"")</f>
        <v>0</v>
      </c>
      <c r="H1963" s="54">
        <f ca="1">IFERROR(VLOOKUP(F1944,'RR-3.1-5TH'!$A$12:'RR-3.1-5TH'!$BN$111,27,0),"")</f>
        <v>0</v>
      </c>
      <c r="I1963" s="54">
        <f ca="1">IFERROR(VLOOKUP(F1944,'RR-3.1-5TH'!$A$12:'RR-3.1-5TH'!$BN$111,28,0),"")</f>
        <v>0</v>
      </c>
      <c r="J1963" s="54">
        <f ca="1">IFERROR(VLOOKUP(F1944,'RR-3.1-5TH'!$A$12:'RR-3.1-5TH'!$BN$111,29,0),"")</f>
        <v>22</v>
      </c>
      <c r="K1963" s="54">
        <f ca="1">IFERROR(VLOOKUP(F1944,'RR-3.1-5TH'!$A$12:'RR-3.1-5TH'!$BN$111,30,0),"")</f>
        <v>0</v>
      </c>
      <c r="L1963" s="55">
        <f ca="1" t="shared" si="102"/>
        <v>24</v>
      </c>
      <c r="M1963" s="56" t="str">
        <f ca="1">IF(F1944&gt;ENTRY!$D$24,"",IF(L1963=0,"Ab",IF(L1963&gt;80,"A",IF(L1963&gt;60,"B",IF(L1963&gt;44,"C",IF(L1963&gt;=33,"D",IF(L1963&lt;=32,"E","")))))))</f>
        <v>E</v>
      </c>
      <c r="N1963" s="29"/>
      <c r="O1963" s="29"/>
      <c r="P1963" s="19"/>
      <c r="Q1963" s="19"/>
      <c r="R1963" s="11"/>
    </row>
    <row r="1964" s="1" customFormat="1" ht="21.95" customHeight="1" spans="1:18">
      <c r="A1964" s="7"/>
      <c r="B1964" s="12"/>
      <c r="C1964" s="33"/>
      <c r="D1964" s="52" t="s">
        <v>719</v>
      </c>
      <c r="E1964" s="53"/>
      <c r="F1964" s="54">
        <f ca="1">IFERROR(VLOOKUP(F1944,'RR-3.1-5TH'!$A$12:'RR-3.1-5TH'!$BN$111,33,0),"")</f>
        <v>1</v>
      </c>
      <c r="G1964" s="54">
        <f ca="1">IFERROR(VLOOKUP(F1944,'RR-3.1-5TH'!$A$12:'RR-3.1-5TH'!$BN$111,34,0),"")</f>
        <v>0</v>
      </c>
      <c r="H1964" s="54">
        <f ca="1">IFERROR(VLOOKUP(F1944,'RR-3.1-5TH'!$A$12:'RR-3.1-5TH'!$BN$111,35,0),"")</f>
        <v>0</v>
      </c>
      <c r="I1964" s="54">
        <f ca="1">IFERROR(VLOOKUP(F1944,'RR-3.1-5TH'!$A$12:'RR-3.1-5TH'!$BN$111,36,0),"")</f>
        <v>0</v>
      </c>
      <c r="J1964" s="54">
        <f ca="1">IFERROR(VLOOKUP(F1944,'RR-3.1-5TH'!$A$12:'RR-3.1-5TH'!$BN$111,37,0),"")</f>
        <v>13</v>
      </c>
      <c r="K1964" s="54">
        <f ca="1">IFERROR(VLOOKUP(F1944,'RR-3.1-5TH'!$A$12:'RR-3.1-5TH'!$BN$111,38,0),"")</f>
        <v>0</v>
      </c>
      <c r="L1964" s="55">
        <f ca="1" t="shared" si="102"/>
        <v>14</v>
      </c>
      <c r="M1964" s="56" t="str">
        <f ca="1">IF(F1944&gt;ENTRY!$D$24,"",IF(L1964=0,"Ab",IF(L1964&gt;80,"A",IF(L1964&gt;60,"B",IF(L1964&gt;44,"C",IF(L1964&gt;=33,"D",IF(L1964&lt;=32,"E","")))))))</f>
        <v>E</v>
      </c>
      <c r="N1964" s="29"/>
      <c r="O1964" s="29"/>
      <c r="P1964" s="19"/>
      <c r="Q1964" s="19"/>
      <c r="R1964" s="11"/>
    </row>
    <row r="1965" s="1" customFormat="1" ht="21.95" customHeight="1" spans="1:18">
      <c r="A1965" s="7"/>
      <c r="B1965" s="12"/>
      <c r="C1965" s="33"/>
      <c r="D1965" s="52" t="s">
        <v>548</v>
      </c>
      <c r="E1965" s="53"/>
      <c r="F1965" s="54">
        <f ca="1">IFERROR(VLOOKUP(F1944,'RR-3.1-5TH'!$A$12:'RR-3.1-5TH'!$BN$111,41,0),"")</f>
        <v>0</v>
      </c>
      <c r="G1965" s="54">
        <f ca="1">IFERROR(VLOOKUP(F1944,'RR-3.1-5TH'!$A$12:'RR-3.1-5TH'!$BN$111,42,0),"")</f>
        <v>0</v>
      </c>
      <c r="H1965" s="54">
        <f ca="1">IFERROR(VLOOKUP(F1944,'RR-3.1-5TH'!$A$12:'RR-3.1-5TH'!$BN$111,43,0),"")</f>
        <v>0</v>
      </c>
      <c r="I1965" s="54">
        <f ca="1">IFERROR(VLOOKUP(F1944,'RR-3.1-5TH'!$A$12:'RR-3.1-5TH'!$BN$111,44,0),"")</f>
        <v>0</v>
      </c>
      <c r="J1965" s="54">
        <f ca="1">IFERROR(VLOOKUP(F1944,'RR-3.1-5TH'!$A$12:'RR-3.1-5TH'!$BN$111,45,0),"")</f>
        <v>14</v>
      </c>
      <c r="K1965" s="54">
        <f ca="1">IFERROR(VLOOKUP(F1944,'RR-3.1-5TH'!$A$12:'RR-3.1-5TH'!$BN$111,46,0),"")</f>
        <v>0</v>
      </c>
      <c r="L1965" s="55">
        <f ca="1" t="shared" si="102"/>
        <v>14</v>
      </c>
      <c r="M1965" s="56" t="str">
        <f ca="1">IF(F1944&gt;ENTRY!$D$24,"",IF(L1965=0,"Ab",IF(L1965&gt;80,"A",IF(L1965&gt;60,"B",IF(L1965&gt;44,"C",IF(L1965&gt;=33,"D",IF(L1965&lt;=32,"E","")))))))</f>
        <v>E</v>
      </c>
      <c r="N1965" s="29"/>
      <c r="O1965" s="29"/>
      <c r="P1965" s="19"/>
      <c r="Q1965" s="19"/>
      <c r="R1965" s="11"/>
    </row>
    <row r="1966" s="1" customFormat="1" ht="21.95" customHeight="1" spans="1:18">
      <c r="A1966" s="7"/>
      <c r="B1966" s="12"/>
      <c r="C1966" s="33"/>
      <c r="D1966" s="52" t="s">
        <v>549</v>
      </c>
      <c r="E1966" s="53"/>
      <c r="F1966" s="54">
        <f ca="1">IFERROR(VLOOKUP(F1944,'RR-3.1-5TH'!$A$12:'RR-3.1-5TH'!$BN$111,49,0),"")</f>
        <v>2</v>
      </c>
      <c r="G1966" s="54">
        <f ca="1">IFERROR(VLOOKUP(F1944,'RR-3.1-5TH'!$A$12:'RR-3.1-5TH'!$BN$111,50,0),"")</f>
        <v>0</v>
      </c>
      <c r="H1966" s="54">
        <f ca="1">IFERROR(VLOOKUP(F1944,'RR-3.1-5TH'!$A$12:'RR-3.1-5TH'!$BN$111,51,0),"")</f>
        <v>0</v>
      </c>
      <c r="I1966" s="54">
        <f ca="1">IFERROR(VLOOKUP(F1944,'RR-3.1-5TH'!$A$12:'RR-3.1-5TH'!$BN$111,52,0),"")</f>
        <v>0</v>
      </c>
      <c r="J1966" s="54">
        <f ca="1">IFERROR(VLOOKUP(F1944,'RR-3.1-5TH'!$A$12:'RR-3.1-5TH'!$BN$111,53,0),"")</f>
        <v>22</v>
      </c>
      <c r="K1966" s="54">
        <f ca="1">IFERROR(VLOOKUP(F1944,'RR-3.1-5TH'!$A$12:'RR-3.1-5TH'!$BN$111,54,0),"")</f>
        <v>0</v>
      </c>
      <c r="L1966" s="55">
        <f ca="1" t="shared" si="102"/>
        <v>24</v>
      </c>
      <c r="M1966" s="56" t="str">
        <f ca="1">IF(F1944&gt;ENTRY!$D$24,"",IF(L1966=0,"Ab",IF(L1966&gt;80,"A",IF(L1966&gt;60,"B",IF(L1966&gt;44,"C",IF(L1966&gt;=33,"D",IF(L1966&lt;=32,"E","")))))))</f>
        <v>E</v>
      </c>
      <c r="N1966" s="57" t="s">
        <v>752</v>
      </c>
      <c r="O1966" s="58"/>
      <c r="P1966" s="59"/>
      <c r="Q1966" s="19"/>
      <c r="R1966" s="11"/>
    </row>
    <row r="1967" s="1" customFormat="1" ht="21.95" customHeight="1" spans="1:18">
      <c r="A1967" s="7"/>
      <c r="B1967" s="12"/>
      <c r="C1967" s="33"/>
      <c r="D1967" s="52" t="s">
        <v>753</v>
      </c>
      <c r="E1967" s="53"/>
      <c r="F1967" s="60"/>
      <c r="G1967" s="54"/>
      <c r="H1967" s="54"/>
      <c r="I1967" s="54"/>
      <c r="J1967" s="54"/>
      <c r="K1967" s="54"/>
      <c r="L1967" s="55">
        <f t="shared" ref="L1967" si="103">SUM(G1967:K1967)</f>
        <v>0</v>
      </c>
      <c r="M1967" s="56" t="str">
        <f>IF(F1944&gt;ENTRY!$D$24,"",IF(L1967=0,"",IF(L1967&gt;79,"A",IF(L1967&gt;59,"B",IF(L1967&gt;44,"C",IF(L1967&gt;=33,"D",IF(L1967&lt;=32,"E","")))))))</f>
        <v/>
      </c>
      <c r="N1967" s="58"/>
      <c r="O1967" s="58"/>
      <c r="P1967" s="59"/>
      <c r="Q1967" s="19"/>
      <c r="R1967" s="11"/>
    </row>
    <row r="1968" s="1" customFormat="1" ht="21.95" customHeight="1" spans="1:18">
      <c r="A1968" s="7"/>
      <c r="B1968" s="12"/>
      <c r="C1968" s="33"/>
      <c r="D1968" s="45" t="s">
        <v>382</v>
      </c>
      <c r="E1968" s="46"/>
      <c r="F1968" s="54">
        <f ca="1" t="shared" ref="F1968:L1968" si="104">IFERROR(SUM(F1961:F1967),"")</f>
        <v>7</v>
      </c>
      <c r="G1968" s="54">
        <f ca="1" t="shared" si="104"/>
        <v>0</v>
      </c>
      <c r="H1968" s="54">
        <f ca="1" t="shared" si="104"/>
        <v>0</v>
      </c>
      <c r="I1968" s="54">
        <f ca="1" t="shared" si="104"/>
        <v>0</v>
      </c>
      <c r="J1968" s="54">
        <f ca="1" t="shared" si="104"/>
        <v>118</v>
      </c>
      <c r="K1968" s="54">
        <f ca="1" t="shared" si="104"/>
        <v>0</v>
      </c>
      <c r="L1968" s="55">
        <f ca="1" t="shared" si="104"/>
        <v>125</v>
      </c>
      <c r="M1968" s="61" t="str">
        <f ca="1">IF(F1944&gt;ENTRY!$D$24,"",IF(N1969="Ab","Ab",IF(N1969&gt;79.5,"A",IF(N1969&gt;59.5,"B",IF(N1969&gt;44.5,"C",IF(N1969&gt;=33,"D",IF(N1969&lt;33,"E","")))))))</f>
        <v>E</v>
      </c>
      <c r="N1968" s="62"/>
      <c r="O1968" s="58"/>
      <c r="P1968" s="59"/>
      <c r="Q1968" s="19"/>
      <c r="R1968" s="11"/>
    </row>
    <row r="1969" s="1" customFormat="1" ht="21.95" customHeight="1" spans="1:19">
      <c r="A1969" s="7"/>
      <c r="B1969" s="12"/>
      <c r="C1969" s="33"/>
      <c r="D1969" s="63" t="s">
        <v>721</v>
      </c>
      <c r="E1969" s="63"/>
      <c r="F1969" s="63"/>
      <c r="G1969" s="63"/>
      <c r="H1969" s="63"/>
      <c r="I1969" s="63"/>
      <c r="J1969" s="63"/>
      <c r="K1969" s="63"/>
      <c r="L1969" s="63"/>
      <c r="M1969" s="63"/>
      <c r="N1969" s="64">
        <f ca="1">IF(L1968="Ab","Ab",L1968/6)</f>
        <v>20.8333333333333</v>
      </c>
      <c r="O1969" s="65"/>
      <c r="P1969" s="19"/>
      <c r="Q1969" s="19"/>
      <c r="R1969" s="11"/>
    </row>
    <row r="1970" s="1" customFormat="1" ht="21.95" customHeight="1" spans="1:19">
      <c r="A1970" s="7"/>
      <c r="B1970" s="12"/>
      <c r="C1970" s="33"/>
      <c r="D1970" s="29" t="s">
        <v>716</v>
      </c>
      <c r="E1970" s="18" t="str">
        <f>IFERROR(VLOOKUP(F1944,'1to4-2.1-RR'!$A$12:$BG$111,57,0),"")</f>
        <v>PROMOTED</v>
      </c>
      <c r="F1970" s="18"/>
      <c r="G1970" s="18"/>
      <c r="H1970" s="18"/>
      <c r="I1970" s="18"/>
      <c r="J1970" s="18"/>
      <c r="K1970" s="18"/>
      <c r="L1970" s="18"/>
      <c r="M1970" s="18"/>
      <c r="N1970" s="29"/>
      <c r="O1970" s="29"/>
      <c r="P1970" s="19"/>
      <c r="Q1970" s="19"/>
      <c r="R1970" s="11"/>
    </row>
    <row r="1971" s="1" customFormat="1" ht="9.95" customHeight="1" spans="1:19">
      <c r="A1971" s="7"/>
      <c r="B1971" s="12"/>
      <c r="C1971" s="33"/>
      <c r="D1971" s="29"/>
      <c r="E1971" s="29"/>
      <c r="F1971" s="29"/>
      <c r="G1971" s="29"/>
      <c r="H1971" s="29"/>
      <c r="I1971" s="29"/>
      <c r="J1971" s="29"/>
      <c r="K1971" s="29"/>
      <c r="L1971" s="29"/>
      <c r="M1971" s="29"/>
      <c r="N1971" s="29"/>
      <c r="O1971" s="29"/>
      <c r="P1971" s="19"/>
      <c r="Q1971" s="19"/>
      <c r="R1971" s="11"/>
    </row>
    <row r="1972" s="1" customFormat="1" ht="36" spans="1:19">
      <c r="A1972" s="7"/>
      <c r="B1972" s="12"/>
      <c r="C1972" s="33"/>
      <c r="D1972" s="66" t="s">
        <v>576</v>
      </c>
      <c r="E1972" s="67" t="s">
        <v>754</v>
      </c>
      <c r="F1972" s="47">
        <f>IF(F1944&gt;ENTRY!$D$24,"",IFERROR(VLOOKUP(F1944,PASHEET!$A$4:$CJ$103,88,0),""))</f>
        <v>0</v>
      </c>
      <c r="G1972" s="67" t="s">
        <v>755</v>
      </c>
      <c r="H1972" s="47">
        <f>IF(F1944&gt;ENTRY!$D$24,"",IFERROR(VLOOKUP(F1944,PASHEET!$A$4:$CJ$103,87,0),""))</f>
        <v>0</v>
      </c>
      <c r="I1972" s="68" t="s">
        <v>756</v>
      </c>
      <c r="J1972" s="69" t="str">
        <f>IF(F1944&gt;ENTRY!$D$24,"",IFERROR(IF(F1944&gt;0,H1972/F1972*100),""))</f>
        <v/>
      </c>
      <c r="K1972" s="60" t="s">
        <v>757</v>
      </c>
      <c r="L1972" s="70">
        <f ca="1">IF(F1944&gt;ENTRY!$D$24,"",IFERROR(L1968/600*100,""))</f>
        <v>20.8333333333333</v>
      </c>
      <c r="M1972" s="47" t="str">
        <f ca="1">IF(F1944&gt;ENTRY!$D$24,"",IFERROR(L1968&amp;" / "&amp;"600",""))</f>
        <v>125 / 600</v>
      </c>
      <c r="N1972" s="29"/>
      <c r="O1972" s="29"/>
      <c r="P1972" s="19"/>
      <c r="Q1972" s="19"/>
      <c r="R1972" s="11"/>
    </row>
    <row r="1973" s="1" customFormat="1" ht="9.95" customHeight="1" spans="1:19">
      <c r="A1973" s="7"/>
      <c r="B1973" s="12"/>
      <c r="C1973" s="39"/>
      <c r="D1973" s="40"/>
      <c r="E1973" s="40"/>
      <c r="F1973" s="40"/>
      <c r="G1973" s="40"/>
      <c r="H1973" s="40"/>
      <c r="I1973" s="40"/>
      <c r="J1973" s="40"/>
      <c r="K1973" s="40"/>
      <c r="L1973" s="40"/>
      <c r="M1973" s="40"/>
      <c r="N1973" s="40"/>
      <c r="O1973" s="40"/>
      <c r="P1973" s="41"/>
      <c r="Q1973" s="19"/>
      <c r="R1973" s="11"/>
    </row>
    <row r="1974" s="1" customFormat="1" ht="9.95" customHeight="1" spans="1:19">
      <c r="A1974" s="7"/>
      <c r="B1974" s="12"/>
      <c r="C1974" s="71"/>
      <c r="D1974" s="71"/>
      <c r="E1974" s="71"/>
      <c r="F1974" s="29"/>
      <c r="G1974" s="71"/>
      <c r="H1974" s="71"/>
      <c r="I1974" s="71"/>
      <c r="J1974" s="71"/>
      <c r="K1974" s="71"/>
      <c r="L1974" s="71"/>
      <c r="M1974" s="71"/>
      <c r="N1974" s="71"/>
      <c r="O1974" s="71"/>
      <c r="P1974" s="71"/>
      <c r="Q1974" s="19"/>
      <c r="R1974" s="11"/>
    </row>
    <row r="1975" s="1" customFormat="1" ht="9.95" customHeight="1" spans="1:19">
      <c r="A1975" s="7"/>
      <c r="B1975" s="12"/>
      <c r="C1975" s="29"/>
      <c r="D1975" s="29"/>
      <c r="E1975" s="29"/>
      <c r="F1975" s="72"/>
      <c r="G1975" s="29"/>
      <c r="H1975" s="29"/>
      <c r="I1975" s="29"/>
      <c r="J1975" s="29"/>
      <c r="K1975" s="29"/>
      <c r="L1975" s="29"/>
      <c r="M1975" s="29"/>
      <c r="N1975" s="29"/>
      <c r="O1975" s="29"/>
      <c r="P1975" s="29"/>
      <c r="Q1975" s="19"/>
      <c r="R1975" s="11"/>
    </row>
    <row r="1976" s="1" customFormat="1" ht="9.95" customHeight="1" spans="1:19">
      <c r="A1976" s="7"/>
      <c r="B1976" s="12"/>
      <c r="C1976" s="30"/>
      <c r="D1976" s="31"/>
      <c r="E1976" s="31"/>
      <c r="F1976" s="31"/>
      <c r="G1976" s="31"/>
      <c r="H1976" s="31"/>
      <c r="I1976" s="31"/>
      <c r="J1976" s="31"/>
      <c r="K1976" s="31"/>
      <c r="L1976" s="31"/>
      <c r="M1976" s="31"/>
      <c r="N1976" s="31"/>
      <c r="O1976" s="31"/>
      <c r="P1976" s="32"/>
      <c r="Q1976" s="19"/>
      <c r="R1976" s="11"/>
    </row>
    <row r="1977" s="1" customFormat="1" ht="21.95" customHeight="1" spans="1:19">
      <c r="A1977" s="7"/>
      <c r="B1977" s="12"/>
      <c r="C1977" s="73" t="s">
        <v>7</v>
      </c>
      <c r="D1977" s="13"/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74"/>
      <c r="Q1977" s="19"/>
      <c r="R1977" s="11"/>
      <c r="S1977" s="2"/>
    </row>
    <row r="1978" s="1" customFormat="1" ht="21.95" customHeight="1" spans="1:19">
      <c r="A1978" s="7"/>
      <c r="B1978" s="12"/>
      <c r="C1978" s="33"/>
      <c r="D1978" s="29"/>
      <c r="E1978" s="29"/>
      <c r="F1978" s="29"/>
      <c r="G1978" s="29"/>
      <c r="H1978" s="29"/>
      <c r="I1978" s="29"/>
      <c r="J1978" s="29"/>
      <c r="K1978" s="29"/>
      <c r="L1978" s="29"/>
      <c r="M1978" s="29"/>
      <c r="N1978" s="29"/>
      <c r="O1978" s="29"/>
      <c r="P1978" s="19"/>
      <c r="Q1978" s="19"/>
      <c r="R1978" s="11"/>
    </row>
    <row r="1979" s="1" customFormat="1" ht="21.95" customHeight="1" spans="1:19">
      <c r="A1979" s="7"/>
      <c r="B1979" s="12"/>
      <c r="C1979" s="75" t="str">
        <f>"SESSION-"&amp;ENTRY!$D$11</f>
        <v>SESSION-2026-27</v>
      </c>
      <c r="D1979" s="15"/>
      <c r="E1979" s="15"/>
      <c r="F1979" s="15"/>
      <c r="G1979" s="15"/>
      <c r="H1979" s="15"/>
      <c r="I1979" s="15"/>
      <c r="J1979" s="15"/>
      <c r="K1979" s="15"/>
      <c r="L1979" s="15"/>
      <c r="M1979" s="15"/>
      <c r="N1979" s="15"/>
      <c r="O1979" s="15"/>
      <c r="P1979" s="76"/>
      <c r="Q1979" s="19"/>
      <c r="R1979" s="11"/>
    </row>
    <row r="1980" s="1" customFormat="1" ht="18" customHeight="1" spans="1:19">
      <c r="A1980" s="7"/>
      <c r="B1980" s="12"/>
      <c r="C1980" s="33"/>
      <c r="D1980" s="29"/>
      <c r="E1980" s="29"/>
      <c r="F1980" s="29"/>
      <c r="G1980" s="29"/>
      <c r="H1980" s="29"/>
      <c r="I1980" s="29"/>
      <c r="J1980" s="29"/>
      <c r="K1980" s="29"/>
      <c r="L1980" s="29"/>
      <c r="M1980" s="29"/>
      <c r="N1980" s="29"/>
      <c r="O1980" s="29"/>
      <c r="P1980" s="19"/>
      <c r="Q1980" s="19"/>
      <c r="R1980" s="11"/>
    </row>
    <row r="1981" s="1" customFormat="1" ht="21.95" customHeight="1" spans="1:19">
      <c r="A1981" s="7"/>
      <c r="B1981" s="12"/>
      <c r="C1981" s="33"/>
      <c r="D1981" s="77" t="s">
        <v>758</v>
      </c>
      <c r="E1981" s="77"/>
      <c r="F1981" s="78" t="str">
        <f>IFERROR(PROPER(VLOOKUP(F1944,STUDENT!$A$2:$BP$101,5,0)),"")</f>
        <v>Nikhil Kumar</v>
      </c>
      <c r="G1981" s="78"/>
      <c r="H1981" s="78"/>
      <c r="I1981" s="78"/>
      <c r="J1981" s="78"/>
      <c r="K1981" s="78"/>
      <c r="L1981" s="78"/>
      <c r="M1981" s="78"/>
      <c r="N1981" s="79" t="s">
        <v>759</v>
      </c>
      <c r="O1981" s="79"/>
      <c r="P1981" s="19"/>
      <c r="Q1981" s="19"/>
      <c r="R1981" s="11"/>
    </row>
    <row r="1982" s="1" customFormat="1" ht="21.95" customHeight="1" spans="1:19">
      <c r="A1982" s="7"/>
      <c r="B1982" s="12"/>
      <c r="C1982" s="33"/>
      <c r="D1982" s="80" t="s">
        <v>760</v>
      </c>
      <c r="E1982" s="81" t="str">
        <f>IFERROR(PROPER(VLOOKUP(F1944,STUDENT!$A$2:$BP$101,9,0)),"")</f>
        <v>Neetu</v>
      </c>
      <c r="F1982" s="81"/>
      <c r="G1982" s="81"/>
      <c r="H1982" s="80" t="s">
        <v>761</v>
      </c>
      <c r="I1982" s="82" t="str">
        <f>IFERROR(PROPER(VLOOKUP(F1944,STUDENT!$A$2:$BP$101,8,0)),"")</f>
        <v>Sunil Kumar</v>
      </c>
      <c r="J1982" s="82"/>
      <c r="K1982" s="82"/>
      <c r="L1982" s="82"/>
      <c r="M1982" s="80" t="s">
        <v>762</v>
      </c>
      <c r="N1982" s="83" t="str">
        <f>IFERROR(VLOOKUP(F1944,STUDENT!$A$2:$BP$101,59,0),"")</f>
        <v/>
      </c>
      <c r="O1982" s="83"/>
      <c r="P1982" s="19"/>
      <c r="Q1982" s="19"/>
      <c r="R1982" s="11"/>
    </row>
    <row r="1983" s="1" customFormat="1" ht="21.95" customHeight="1" spans="1:19">
      <c r="A1983" s="7"/>
      <c r="B1983" s="12"/>
      <c r="C1983" s="33"/>
      <c r="D1983" s="77" t="str">
        <f>"has    completed     his  /  her     primary     level     education    in    the    year    "&amp;RIGHT(ENTRY!$D1949,4)&amp;"    from    ( School    Name )"</f>
        <v>has    completed     his  /  her     primary     level     education    in    the    year        from    ( School    Name )</v>
      </c>
      <c r="E1983" s="77"/>
      <c r="F1983" s="77"/>
      <c r="G1983" s="77"/>
      <c r="H1983" s="77"/>
      <c r="I1983" s="77"/>
      <c r="J1983" s="77"/>
      <c r="K1983" s="77"/>
      <c r="L1983" s="77"/>
      <c r="M1983" s="77"/>
      <c r="N1983" s="77"/>
      <c r="O1983" s="77"/>
      <c r="P1983" s="19"/>
      <c r="Q1983" s="19"/>
      <c r="R1983" s="11"/>
    </row>
    <row r="1984" s="1" customFormat="1" ht="21.95" customHeight="1" spans="1:19">
      <c r="A1984" s="7"/>
      <c r="B1984" s="12"/>
      <c r="C1984" s="33"/>
      <c r="D1984" s="81" t="str">
        <f>IF(F1944&gt;0,ENTRY!$D$6,"")</f>
        <v>MCP NITHARI NO 1 BOYS</v>
      </c>
      <c r="E1984" s="81"/>
      <c r="F1984" s="81"/>
      <c r="G1984" s="81"/>
      <c r="H1984" s="81"/>
      <c r="I1984" s="81"/>
      <c r="J1984" s="81"/>
      <c r="K1984" s="81"/>
      <c r="L1984" s="81"/>
      <c r="M1984" s="80" t="s">
        <v>763</v>
      </c>
      <c r="N1984" s="84">
        <f>IF(F1944&gt;0,ENTRY!$D$7,"")</f>
        <v>0</v>
      </c>
      <c r="O1984" s="84"/>
      <c r="P1984" s="85" t="s">
        <v>727</v>
      </c>
      <c r="Q1984" s="19"/>
      <c r="R1984" s="11"/>
    </row>
    <row r="1985" s="1" customFormat="1" ht="21.95" customHeight="1" spans="1:18">
      <c r="A1985" s="7"/>
      <c r="B1985" s="12"/>
      <c r="C1985" s="33"/>
      <c r="D1985" s="29"/>
      <c r="E1985" s="29"/>
      <c r="F1985" s="29"/>
      <c r="G1985" s="29"/>
      <c r="H1985" s="29"/>
      <c r="I1985" s="29"/>
      <c r="J1985" s="29"/>
      <c r="K1985" s="29"/>
      <c r="L1985" s="29"/>
      <c r="M1985" s="29"/>
      <c r="N1985" s="29"/>
      <c r="O1985" s="29"/>
      <c r="P1985" s="19"/>
      <c r="Q1985" s="19"/>
      <c r="R1985" s="11"/>
    </row>
    <row r="1986" s="1" customFormat="1" ht="21.95" customHeight="1" spans="1:18">
      <c r="A1986" s="7"/>
      <c r="B1986" s="12"/>
      <c r="C1986" s="33"/>
      <c r="D1986" s="29"/>
      <c r="E1986" s="29"/>
      <c r="F1986" s="29"/>
      <c r="G1986" s="29"/>
      <c r="H1986" s="29"/>
      <c r="I1986" s="29"/>
      <c r="J1986" s="29"/>
      <c r="K1986" s="29"/>
      <c r="L1986" s="29"/>
      <c r="M1986" s="29"/>
      <c r="N1986" s="29"/>
      <c r="O1986" s="29"/>
      <c r="P1986" s="19"/>
      <c r="Q1986" s="19"/>
      <c r="R1986" s="11"/>
    </row>
    <row r="1987" s="1" customFormat="1" ht="21.95" customHeight="1" spans="1:18">
      <c r="A1987" s="7"/>
      <c r="B1987" s="12"/>
      <c r="C1987" s="33"/>
      <c r="D1987" s="29"/>
      <c r="E1987" s="29"/>
      <c r="F1987" s="29"/>
      <c r="G1987" s="29"/>
      <c r="H1987" s="29"/>
      <c r="I1987" s="29"/>
      <c r="J1987" s="29"/>
      <c r="K1987" s="29"/>
      <c r="L1987" s="29"/>
      <c r="M1987" s="29"/>
      <c r="N1987" s="29"/>
      <c r="O1987" s="29"/>
      <c r="P1987" s="19"/>
      <c r="Q1987" s="19"/>
      <c r="R1987" s="11"/>
    </row>
    <row r="1988" s="1" customFormat="1" ht="21.95" customHeight="1" spans="1:18">
      <c r="A1988" s="7"/>
      <c r="B1988" s="12"/>
      <c r="C1988" s="33"/>
      <c r="D1988" s="29"/>
      <c r="E1988" s="29"/>
      <c r="F1988" s="29"/>
      <c r="G1988" s="29"/>
      <c r="H1988" s="29"/>
      <c r="I1988" s="29"/>
      <c r="J1988" s="29"/>
      <c r="K1988" s="29"/>
      <c r="L1988" s="29"/>
      <c r="M1988" s="29"/>
      <c r="N1988" s="29"/>
      <c r="O1988" s="29"/>
      <c r="P1988" s="19"/>
      <c r="Q1988" s="19"/>
      <c r="R1988" s="11"/>
    </row>
    <row r="1989" s="1" customFormat="1" ht="21.95" customHeight="1" spans="1:18">
      <c r="A1989" s="7"/>
      <c r="B1989" s="12"/>
      <c r="C1989" s="33"/>
      <c r="D1989" s="29"/>
      <c r="E1989" s="29"/>
      <c r="F1989" s="29"/>
      <c r="G1989" s="29"/>
      <c r="H1989" s="29"/>
      <c r="I1989" s="29"/>
      <c r="J1989" s="29"/>
      <c r="K1989" s="29"/>
      <c r="L1989" s="29"/>
      <c r="M1989" s="29"/>
      <c r="N1989" s="29"/>
      <c r="O1989" s="29"/>
      <c r="P1989" s="19"/>
      <c r="Q1989" s="19"/>
      <c r="R1989" s="11"/>
    </row>
    <row r="1990" s="1" customFormat="1" ht="21.95" customHeight="1" spans="1:18">
      <c r="A1990" s="7"/>
      <c r="B1990" s="12"/>
      <c r="C1990" s="33"/>
      <c r="D1990" s="80" t="s">
        <v>728</v>
      </c>
      <c r="E1990" s="86">
        <f>ENTRY!$D$27</f>
        <v>46102</v>
      </c>
      <c r="F1990" s="86"/>
      <c r="G1990" s="29"/>
      <c r="H1990" s="29"/>
      <c r="I1990" s="29"/>
      <c r="J1990" s="29"/>
      <c r="K1990" s="29"/>
      <c r="L1990" s="29"/>
      <c r="M1990" s="87" t="s">
        <v>730</v>
      </c>
      <c r="N1990" s="87"/>
      <c r="O1990" s="87"/>
      <c r="P1990" s="19"/>
      <c r="Q1990" s="19"/>
      <c r="R1990" s="11"/>
    </row>
    <row r="1991" s="1" customFormat="1" ht="21.95" customHeight="1" spans="1:18">
      <c r="A1991" s="7"/>
      <c r="B1991" s="12"/>
      <c r="C1991" s="33"/>
      <c r="D1991" s="80" t="s">
        <v>731</v>
      </c>
      <c r="E1991" s="88" t="str">
        <f>PROPER(ENTRY!$D$28)</f>
        <v>New Delhi</v>
      </c>
      <c r="F1991" s="88"/>
      <c r="G1991" s="29"/>
      <c r="H1991" s="29"/>
      <c r="I1991" s="29"/>
      <c r="J1991" s="29"/>
      <c r="K1991" s="29"/>
      <c r="L1991" s="29"/>
      <c r="M1991" s="89" t="s">
        <v>732</v>
      </c>
      <c r="N1991" s="89"/>
      <c r="O1991" s="89"/>
      <c r="P1991" s="19"/>
      <c r="Q1991" s="19"/>
      <c r="R1991" s="11"/>
    </row>
    <row r="1992" s="1" customFormat="1" ht="21.95" customHeight="1" spans="1:18">
      <c r="A1992" s="7"/>
      <c r="B1992" s="12"/>
      <c r="C1992" s="90"/>
      <c r="D1992" s="91"/>
      <c r="E1992" s="91"/>
      <c r="F1992" s="91"/>
      <c r="G1992" s="91"/>
      <c r="H1992" s="91"/>
      <c r="I1992" s="91"/>
      <c r="J1992" s="91"/>
      <c r="K1992" s="91"/>
      <c r="L1992" s="91"/>
      <c r="M1992" s="91"/>
      <c r="N1992" s="91"/>
      <c r="O1992" s="91"/>
      <c r="P1992" s="92"/>
      <c r="Q1992" s="14"/>
      <c r="R1992" s="11"/>
    </row>
    <row r="1993" s="1" customFormat="1" ht="5.1" customHeight="1" spans="1:18">
      <c r="A1993" s="7"/>
      <c r="B1993" s="90"/>
      <c r="C1993" s="91"/>
      <c r="D1993" s="91"/>
      <c r="E1993" s="91"/>
      <c r="F1993" s="91"/>
      <c r="G1993" s="91"/>
      <c r="H1993" s="91"/>
      <c r="I1993" s="91"/>
      <c r="J1993" s="91"/>
      <c r="K1993" s="91"/>
      <c r="L1993" s="91"/>
      <c r="M1993" s="91"/>
      <c r="N1993" s="91"/>
      <c r="O1993" s="91"/>
      <c r="P1993" s="91"/>
      <c r="Q1993" s="92"/>
      <c r="R1993" s="11"/>
    </row>
    <row r="1994" s="1" customFormat="1" ht="5.1" customHeight="1" spans="1:18">
      <c r="A1994" s="93"/>
      <c r="B1994" s="94"/>
      <c r="C1994" s="94"/>
      <c r="D1994" s="94"/>
      <c r="E1994" s="94"/>
      <c r="F1994" s="94"/>
      <c r="G1994" s="94"/>
      <c r="H1994" s="94"/>
      <c r="I1994" s="94"/>
      <c r="J1994" s="94"/>
      <c r="K1994" s="94"/>
      <c r="L1994" s="94"/>
      <c r="M1994" s="94"/>
      <c r="N1994" s="94"/>
      <c r="O1994" s="94"/>
      <c r="P1994" s="94"/>
      <c r="Q1994" s="94"/>
      <c r="R1994" s="95"/>
    </row>
    <row r="1995" s="2" customFormat="1" ht="9.95" customHeight="1"/>
    <row r="1996" s="1" customFormat="1" ht="5.1" customHeight="1" spans="1:18">
      <c r="A1996" s="4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6"/>
    </row>
    <row r="1997" s="1" customFormat="1" ht="15" customHeight="1" spans="1:18">
      <c r="A1997" s="7"/>
      <c r="B1997" s="8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9"/>
      <c r="O1997" s="9"/>
      <c r="P1997" s="9"/>
      <c r="Q1997" s="10"/>
      <c r="R1997" s="11"/>
    </row>
    <row r="1998" s="1" customFormat="1" ht="21.95" customHeight="1" spans="1:18">
      <c r="A1998" s="7"/>
      <c r="B1998" s="12"/>
      <c r="C1998" s="13" t="s">
        <v>7</v>
      </c>
      <c r="D1998" s="13"/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/>
      <c r="Q1998" s="14"/>
      <c r="R1998" s="11"/>
    </row>
    <row r="1999" s="1" customFormat="1" ht="21.95" customHeight="1" spans="1:18">
      <c r="A1999" s="7"/>
      <c r="B1999" s="1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14"/>
      <c r="R1999" s="11"/>
    </row>
    <row r="2000" s="1" customFormat="1" ht="21.95" customHeight="1" spans="1:18">
      <c r="A2000" s="7"/>
      <c r="B2000" s="12"/>
      <c r="C2000" s="15" t="str">
        <f>"SESSION-"&amp;ENTRY!$D$11</f>
        <v>SESSION-2026-27</v>
      </c>
      <c r="D2000" s="15"/>
      <c r="E2000" s="15"/>
      <c r="F2000" s="15"/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4"/>
      <c r="R2000" s="11"/>
    </row>
    <row r="2001" s="1" customFormat="1" ht="21.95" customHeight="1" spans="1:18">
      <c r="A2001" s="7"/>
      <c r="B2001" s="12"/>
      <c r="C2001" s="2"/>
      <c r="D2001" s="2"/>
      <c r="E2001" s="2"/>
      <c r="F2001" s="16">
        <f>F1944+1</f>
        <v>36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14"/>
      <c r="R2001" s="11"/>
    </row>
    <row r="2002" s="1" customFormat="1" ht="21.95" customHeight="1" spans="1:18">
      <c r="A2002" s="7"/>
      <c r="B2002" s="12"/>
      <c r="C2002" s="17" t="s">
        <v>392</v>
      </c>
      <c r="D2002" s="17"/>
      <c r="E2002" s="17"/>
      <c r="F2002" s="18" t="str">
        <f>IF(F2001&gt;0,ENTRY!$D$6,"")</f>
        <v>MCP NITHARI NO 1 BOYS</v>
      </c>
      <c r="G2002" s="18"/>
      <c r="H2002" s="18"/>
      <c r="I2002" s="18"/>
      <c r="J2002" s="18"/>
      <c r="K2002" s="18"/>
      <c r="L2002" s="18"/>
      <c r="M2002" s="18"/>
      <c r="N2002" s="18"/>
      <c r="O2002" s="18"/>
      <c r="P2002" s="18"/>
      <c r="Q2002" s="19"/>
      <c r="R2002" s="11"/>
    </row>
    <row r="2003" s="1" customFormat="1" ht="21.95" customHeight="1" spans="1:18">
      <c r="A2003" s="7"/>
      <c r="B2003" s="12"/>
      <c r="C2003" s="17" t="s">
        <v>393</v>
      </c>
      <c r="D2003" s="17"/>
      <c r="E2003" s="17"/>
      <c r="F2003" s="18">
        <f>IF(F2001&gt;0,ENTRY!$D$7,"")</f>
        <v>0</v>
      </c>
      <c r="G2003" s="18"/>
      <c r="H2003" s="20" t="s">
        <v>702</v>
      </c>
      <c r="I2003" s="20"/>
      <c r="J2003" s="21">
        <f>IF(F2001&gt;0,ENTRY!$D$10,"")</f>
        <v>40</v>
      </c>
      <c r="K2003" s="20" t="s">
        <v>703</v>
      </c>
      <c r="L2003" s="22" t="str">
        <f>IF(F2001&gt;0,ENTRY!$D$5,"")</f>
        <v>ROHINI ZONE</v>
      </c>
      <c r="M2003" s="22"/>
      <c r="N2003" s="22"/>
      <c r="O2003" s="22"/>
      <c r="P2003" s="22"/>
      <c r="Q2003" s="19"/>
      <c r="R2003" s="11"/>
    </row>
    <row r="2004" s="1" customFormat="1" ht="21.95" customHeight="1" spans="1:18">
      <c r="A2004" s="7"/>
      <c r="B2004" s="12"/>
      <c r="C2004" s="17" t="s">
        <v>706</v>
      </c>
      <c r="D2004" s="17"/>
      <c r="E2004" s="17"/>
      <c r="F2004" s="23" t="str">
        <f>IFERROR(VLOOKUP(F2001,STUDENT!$A$2:$BP$101,5,0),"")</f>
        <v>JITENDRA</v>
      </c>
      <c r="G2004" s="23"/>
      <c r="H2004" s="23"/>
      <c r="I2004" s="23"/>
      <c r="J2004" s="23"/>
      <c r="K2004" s="23"/>
      <c r="L2004" s="20" t="s">
        <v>707</v>
      </c>
      <c r="M2004" s="20"/>
      <c r="N2004" s="24" t="str">
        <f>IF(F2001&gt;0,ENTRY!$D$20&amp;"-"&amp;ENTRY!$D$21,"")</f>
        <v>III-A</v>
      </c>
      <c r="O2004" s="24"/>
      <c r="P2004" s="24"/>
      <c r="Q2004" s="19"/>
      <c r="R2004" s="11"/>
    </row>
    <row r="2005" s="1" customFormat="1" ht="21.95" customHeight="1" spans="1:18">
      <c r="A2005" s="7"/>
      <c r="B2005" s="12"/>
      <c r="C2005" s="17" t="s">
        <v>708</v>
      </c>
      <c r="D2005" s="17"/>
      <c r="E2005" s="17"/>
      <c r="F2005" s="25">
        <f>IFERROR(VLOOKUP(F2001,STUDENT!$A$2:$BP$101,6,0),"")</f>
        <v>15143</v>
      </c>
      <c r="G2005" s="25"/>
      <c r="H2005" s="26" t="s">
        <v>709</v>
      </c>
      <c r="I2005" s="27" t="str">
        <f>IFERROR(VLOOKUP(F2001,STUDENT!$A$2:$BP$101,59,0),"")</f>
        <v/>
      </c>
      <c r="J2005" s="27"/>
      <c r="K2005" s="20" t="s">
        <v>710</v>
      </c>
      <c r="L2005" s="20"/>
      <c r="M2005" s="28">
        <f>IFERROR(VLOOKUP(F2001,STUDENT!$A$2:$BP$101,20,0),"")</f>
        <v>7991829115</v>
      </c>
      <c r="N2005" s="28"/>
      <c r="O2005" s="28"/>
      <c r="P2005" s="28"/>
      <c r="Q2005" s="19"/>
      <c r="R2005" s="11"/>
    </row>
    <row r="2006" s="1" customFormat="1" ht="21.95" customHeight="1" spans="1:18">
      <c r="A2006" s="7"/>
      <c r="B2006" s="12"/>
      <c r="C2006" s="17" t="s">
        <v>711</v>
      </c>
      <c r="D2006" s="17"/>
      <c r="E2006" s="17"/>
      <c r="F2006" s="23" t="str">
        <f>IFERROR(VLOOKUP(F2001,STUDENT!$A$2:$BP$101,9,0),"")</f>
        <v>POOJA DEVI</v>
      </c>
      <c r="G2006" s="23"/>
      <c r="H2006" s="23"/>
      <c r="I2006" s="23"/>
      <c r="J2006" s="17" t="s">
        <v>620</v>
      </c>
      <c r="K2006" s="17"/>
      <c r="L2006" s="23" t="str">
        <f>IFERROR(VLOOKUP(F2001,STUDENT!$A$2:$BP$101,8,0),"")</f>
        <v>RAM SUMAR</v>
      </c>
      <c r="M2006" s="23"/>
      <c r="N2006" s="23"/>
      <c r="O2006" s="23"/>
      <c r="P2006" s="23"/>
      <c r="Q2006" s="19"/>
      <c r="R2006" s="11"/>
    </row>
    <row r="2007" s="1" customFormat="1" ht="21.95" customHeight="1" spans="1:18">
      <c r="A2007" s="7"/>
      <c r="B2007" s="12"/>
      <c r="C2007" s="17" t="s">
        <v>712</v>
      </c>
      <c r="D2007" s="17"/>
      <c r="E2007" s="17"/>
      <c r="F2007" s="23" t="str">
        <f>IFERROR(VLOOKUP(F2001,STUDENT!$A$2:$BP$101,22,0),"")</f>
        <v>H.NO-A-204 NEAR SHANI BAZAR PREM NAGAR -3</v>
      </c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19"/>
      <c r="R2007" s="11"/>
    </row>
    <row r="2008" s="1" customFormat="1" ht="9.95" customHeight="1" spans="1:18">
      <c r="A2008" s="7"/>
      <c r="B2008" s="12"/>
      <c r="C2008" s="29"/>
      <c r="D2008" s="29"/>
      <c r="E2008" s="29"/>
      <c r="F2008" s="29"/>
      <c r="G2008" s="29"/>
      <c r="H2008" s="29"/>
      <c r="I2008" s="29"/>
      <c r="J2008" s="29"/>
      <c r="K2008" s="29"/>
      <c r="L2008" s="29"/>
      <c r="M2008" s="29"/>
      <c r="N2008" s="29"/>
      <c r="O2008" s="29"/>
      <c r="P2008" s="29"/>
      <c r="Q2008" s="19"/>
      <c r="R2008" s="11"/>
    </row>
    <row r="2009" s="1" customFormat="1" ht="9.95" customHeight="1" spans="1:18">
      <c r="A2009" s="7"/>
      <c r="B2009" s="12"/>
      <c r="C2009" s="30"/>
      <c r="D2009" s="31"/>
      <c r="E2009" s="31"/>
      <c r="F2009" s="31"/>
      <c r="G2009" s="31"/>
      <c r="H2009" s="31"/>
      <c r="I2009" s="31"/>
      <c r="J2009" s="31"/>
      <c r="K2009" s="31"/>
      <c r="L2009" s="31"/>
      <c r="M2009" s="31"/>
      <c r="N2009" s="31"/>
      <c r="O2009" s="31"/>
      <c r="P2009" s="32"/>
      <c r="Q2009" s="19"/>
      <c r="R2009" s="11"/>
    </row>
    <row r="2010" s="1" customFormat="1" ht="21.95" customHeight="1" spans="1:18">
      <c r="A2010" s="7"/>
      <c r="B2010" s="12"/>
      <c r="C2010" s="33"/>
      <c r="D2010" s="34" t="s">
        <v>713</v>
      </c>
      <c r="E2010" s="20" t="s">
        <v>714</v>
      </c>
      <c r="F2010" s="35" t="str">
        <f>"Level - "&amp;IFERROR(VLOOKUP(F2001,FLN!$A$4:$K$103,9,0),"")</f>
        <v>Level - 2</v>
      </c>
      <c r="G2010" s="36"/>
      <c r="H2010" s="37" t="s">
        <v>715</v>
      </c>
      <c r="I2010" s="20"/>
      <c r="J2010" s="35" t="str">
        <f>"Level - "&amp;IFERROR(VLOOKUP(F2001,FLN!$A$4:$K$103,11,0),"")</f>
        <v>Level - 3</v>
      </c>
      <c r="K2010" s="36"/>
      <c r="L2010" s="37" t="s">
        <v>408</v>
      </c>
      <c r="M2010" s="20"/>
      <c r="N2010" s="35" t="str">
        <f>"Level - "&amp;IFERROR(VLOOKUP(F2001,FLN!$A$4:$K$103,10,0),"")</f>
        <v>Level - 2</v>
      </c>
      <c r="O2010" s="36"/>
      <c r="P2010" s="19"/>
      <c r="Q2010" s="19"/>
      <c r="R2010" s="11"/>
    </row>
    <row r="2011" s="1" customFormat="1" ht="21.95" customHeight="1" spans="1:18">
      <c r="A2011" s="7"/>
      <c r="B2011" s="12"/>
      <c r="C2011" s="33"/>
      <c r="D2011" s="38"/>
      <c r="E2011" s="20" t="s">
        <v>716</v>
      </c>
      <c r="F2011" s="18" t="str">
        <f ca="1">IF(L2025&gt;197,"PERFORMED WELL","")</f>
        <v/>
      </c>
      <c r="G2011" s="18"/>
      <c r="H2011" s="18"/>
      <c r="I2011" s="18"/>
      <c r="J2011" s="18"/>
      <c r="K2011" s="18"/>
      <c r="L2011" s="18"/>
      <c r="M2011" s="18"/>
      <c r="N2011" s="18"/>
      <c r="O2011" s="18"/>
      <c r="P2011" s="19"/>
      <c r="Q2011" s="19"/>
      <c r="R2011" s="11"/>
    </row>
    <row r="2012" s="1" customFormat="1" ht="9.95" customHeight="1" spans="1:18">
      <c r="A2012" s="7"/>
      <c r="B2012" s="12"/>
      <c r="C2012" s="39"/>
      <c r="D2012" s="40"/>
      <c r="E2012" s="40"/>
      <c r="F2012" s="40"/>
      <c r="G2012" s="40"/>
      <c r="H2012" s="40"/>
      <c r="I2012" s="40"/>
      <c r="J2012" s="40"/>
      <c r="K2012" s="40"/>
      <c r="L2012" s="40"/>
      <c r="M2012" s="40"/>
      <c r="N2012" s="40"/>
      <c r="O2012" s="40"/>
      <c r="P2012" s="41"/>
      <c r="Q2012" s="19"/>
      <c r="R2012" s="11"/>
    </row>
    <row r="2013" s="1" customFormat="1" ht="9.95" customHeight="1" spans="1:18">
      <c r="A2013" s="7"/>
      <c r="B2013" s="12"/>
      <c r="C2013" s="29"/>
      <c r="D2013" s="29"/>
      <c r="E2013" s="29"/>
      <c r="F2013" s="29"/>
      <c r="G2013" s="29"/>
      <c r="H2013" s="29"/>
      <c r="I2013" s="29"/>
      <c r="J2013" s="29"/>
      <c r="K2013" s="29"/>
      <c r="L2013" s="29"/>
      <c r="M2013" s="29"/>
      <c r="N2013" s="29"/>
      <c r="O2013" s="29"/>
      <c r="P2013" s="29"/>
      <c r="Q2013" s="19"/>
      <c r="R2013" s="11"/>
    </row>
    <row r="2014" s="1" customFormat="1" ht="9.95" customHeight="1" spans="1:18">
      <c r="A2014" s="7"/>
      <c r="B2014" s="12"/>
      <c r="C2014" s="30"/>
      <c r="D2014" s="31"/>
      <c r="E2014" s="31"/>
      <c r="F2014" s="31"/>
      <c r="G2014" s="31"/>
      <c r="H2014" s="31"/>
      <c r="I2014" s="31"/>
      <c r="J2014" s="31"/>
      <c r="K2014" s="31"/>
      <c r="L2014" s="31"/>
      <c r="M2014" s="31"/>
      <c r="N2014" s="31"/>
      <c r="O2014" s="31"/>
      <c r="P2014" s="32"/>
      <c r="Q2014" s="19"/>
      <c r="R2014" s="11"/>
    </row>
    <row r="2015" s="1" customFormat="1" ht="21.95" customHeight="1" spans="1:18">
      <c r="A2015" s="7"/>
      <c r="B2015" s="12"/>
      <c r="C2015" s="33"/>
      <c r="D2015" s="35"/>
      <c r="E2015" s="24"/>
      <c r="F2015" s="42" t="s">
        <v>717</v>
      </c>
      <c r="G2015" s="42"/>
      <c r="H2015" s="42"/>
      <c r="I2015" s="42"/>
      <c r="J2015" s="42"/>
      <c r="K2015" s="42"/>
      <c r="L2015" s="43"/>
      <c r="M2015" s="44"/>
      <c r="N2015" s="29"/>
      <c r="O2015" s="29"/>
      <c r="P2015" s="19"/>
      <c r="Q2015" s="19"/>
      <c r="R2015" s="11"/>
    </row>
    <row r="2016" s="1" customFormat="1" ht="21.95" customHeight="1" spans="1:18">
      <c r="A2016" s="7"/>
      <c r="B2016" s="12"/>
      <c r="C2016" s="33"/>
      <c r="D2016" s="45"/>
      <c r="E2016" s="46"/>
      <c r="F2016" s="47" t="s">
        <v>541</v>
      </c>
      <c r="G2016" s="47" t="s">
        <v>542</v>
      </c>
      <c r="H2016" s="47" t="s">
        <v>543</v>
      </c>
      <c r="I2016" s="47" t="s">
        <v>544</v>
      </c>
      <c r="J2016" s="47" t="s">
        <v>561</v>
      </c>
      <c r="K2016" s="48" t="s">
        <v>750</v>
      </c>
      <c r="L2016" s="47" t="s">
        <v>382</v>
      </c>
      <c r="M2016" s="49" t="s">
        <v>546</v>
      </c>
      <c r="N2016" s="29"/>
      <c r="O2016" s="29"/>
      <c r="P2016" s="19"/>
      <c r="Q2016" s="19"/>
      <c r="R2016" s="11"/>
    </row>
    <row r="2017" s="1" customFormat="1" ht="21.95" customHeight="1" spans="1:18">
      <c r="A2017" s="7"/>
      <c r="B2017" s="12"/>
      <c r="C2017" s="33"/>
      <c r="D2017" s="45" t="s">
        <v>652</v>
      </c>
      <c r="E2017" s="46"/>
      <c r="F2017" s="50">
        <v>10</v>
      </c>
      <c r="G2017" s="50">
        <v>10</v>
      </c>
      <c r="H2017" s="50">
        <v>10</v>
      </c>
      <c r="I2017" s="50">
        <v>10</v>
      </c>
      <c r="J2017" s="50">
        <v>60</v>
      </c>
      <c r="K2017" s="51"/>
      <c r="L2017" s="50">
        <v>100</v>
      </c>
      <c r="M2017" s="49"/>
      <c r="N2017" s="29"/>
      <c r="O2017" s="29"/>
      <c r="P2017" s="19"/>
      <c r="Q2017" s="19"/>
      <c r="R2017" s="11"/>
    </row>
    <row r="2018" s="1" customFormat="1" ht="21.95" customHeight="1" spans="1:18">
      <c r="A2018" s="7"/>
      <c r="B2018" s="12"/>
      <c r="C2018" s="33"/>
      <c r="D2018" s="52" t="s">
        <v>751</v>
      </c>
      <c r="E2018" s="53"/>
      <c r="F2018" s="54">
        <f ca="1">IFERROR(VLOOKUP(F2001,'RR-3.1-5TH'!$A$12:'RR-3.1-5TH'!$BN$111,9,0),"")</f>
        <v>2</v>
      </c>
      <c r="G2018" s="54">
        <f ca="1">IFERROR(VLOOKUP(F2001,'RR-3.1-5TH'!$A$12:'RR-3.1-5TH'!$BN$111,10,0),"")</f>
        <v>0</v>
      </c>
      <c r="H2018" s="54">
        <f ca="1">IFERROR(VLOOKUP(F2001,'RR-3.1-5TH'!$A$12:'RR-3.1-5TH'!$BN$111,11,0),"")</f>
        <v>0</v>
      </c>
      <c r="I2018" s="54">
        <f ca="1">IFERROR(VLOOKUP(F2001,'RR-3.1-5TH'!$A$12:'RR-3.1-5TH'!$BN$111,12,0),"")</f>
        <v>0</v>
      </c>
      <c r="J2018" s="54">
        <f ca="1">IFERROR(VLOOKUP(F2001,'RR-3.1-5TH'!$A$12:'RR-3.1-5TH'!$BN$111,13,0),"")</f>
        <v>33</v>
      </c>
      <c r="K2018" s="54">
        <f ca="1">IFERROR(VLOOKUP(F2001,'RR-3.1-5TH'!$A$12:'RR-3.1-5TH'!$BN$111,14,0),"")</f>
        <v>0</v>
      </c>
      <c r="L2018" s="55">
        <f ca="1" t="shared" ref="L2018:L2023" si="105">SUM(F2018,G2018,H2018,I2018,J2018,K2018)</f>
        <v>35</v>
      </c>
      <c r="M2018" s="56" t="str">
        <f ca="1">IF(F2001&gt;ENTRY!$D$24,"",IF(L2018=0,"Ab",IF(L2018&gt;80,"A",IF(L2018&gt;60,"B",IF(L2018&gt;44,"C",IF(L2018&gt;=33,"D",IF(L2018&lt;=32,"E","")))))))</f>
        <v>D</v>
      </c>
      <c r="N2018" s="57" t="s">
        <v>729</v>
      </c>
      <c r="O2018" s="58"/>
      <c r="P2018" s="59"/>
      <c r="Q2018" s="19"/>
      <c r="R2018" s="11"/>
    </row>
    <row r="2019" s="1" customFormat="1" ht="21.95" customHeight="1" spans="1:18">
      <c r="A2019" s="7"/>
      <c r="B2019" s="12"/>
      <c r="C2019" s="33"/>
      <c r="D2019" s="52" t="s">
        <v>513</v>
      </c>
      <c r="E2019" s="53"/>
      <c r="F2019" s="54">
        <f ca="1">IFERROR(VLOOKUP(F2001,'RR-3.1-5TH'!$A$12:'RR-3.1-5TH'!$BN$111,17,0),"")</f>
        <v>1</v>
      </c>
      <c r="G2019" s="54">
        <f ca="1">IFERROR(VLOOKUP(F2001,'RR-3.1-5TH'!$A$12:'RR-3.1-5TH'!$BN$111,18,0),"")</f>
        <v>0</v>
      </c>
      <c r="H2019" s="54">
        <f ca="1">IFERROR(VLOOKUP(F2001,'RR-3.1-5TH'!$A$12:'RR-3.1-5TH'!$BN$111,19,0),"")</f>
        <v>0</v>
      </c>
      <c r="I2019" s="54">
        <f ca="1">IFERROR(VLOOKUP(F2001,'RR-3.1-5TH'!$A$12:'RR-3.1-5TH'!$BN$111,20,0),"")</f>
        <v>0</v>
      </c>
      <c r="J2019" s="54">
        <f ca="1">IFERROR(VLOOKUP(F2001,'RR-3.1-5TH'!$A$12:'RR-3.1-5TH'!$BN$111,21,0),"")</f>
        <v>13</v>
      </c>
      <c r="K2019" s="54">
        <f ca="1">IFERROR(VLOOKUP(F2001,'RR-3.1-5TH'!$A$12:'RR-3.1-5TH'!$BN$111,22,0),"")</f>
        <v>0</v>
      </c>
      <c r="L2019" s="55">
        <f ca="1" t="shared" si="105"/>
        <v>14</v>
      </c>
      <c r="M2019" s="56" t="str">
        <f ca="1">IF(F2001&gt;ENTRY!$D$24,"",IF(L2019=0,"Ab",IF(L2019&gt;80,"A",IF(L2019&gt;60,"B",IF(L2019&gt;44,"C",IF(L2019&gt;=33,"D",IF(L2019&lt;=32,"E","")))))))</f>
        <v>E</v>
      </c>
      <c r="N2019" s="58"/>
      <c r="O2019" s="58"/>
      <c r="P2019" s="59"/>
      <c r="Q2019" s="19"/>
      <c r="R2019" s="11"/>
    </row>
    <row r="2020" s="1" customFormat="1" ht="21.95" customHeight="1" spans="1:18">
      <c r="A2020" s="7"/>
      <c r="B2020" s="12"/>
      <c r="C2020" s="33"/>
      <c r="D2020" s="52" t="s">
        <v>718</v>
      </c>
      <c r="E2020" s="53"/>
      <c r="F2020" s="54">
        <f ca="1">IFERROR(VLOOKUP(F2001,'RR-3.1-5TH'!$A$12:'RR-3.1-5TH'!$BN$111,25,0),"")</f>
        <v>1</v>
      </c>
      <c r="G2020" s="54">
        <f ca="1">IFERROR(VLOOKUP(F2001,'RR-3.1-5TH'!$A$12:'RR-3.1-5TH'!$BN$111,26,0),"")</f>
        <v>0</v>
      </c>
      <c r="H2020" s="54">
        <f ca="1">IFERROR(VLOOKUP(F2001,'RR-3.1-5TH'!$A$12:'RR-3.1-5TH'!$BN$111,27,0),"")</f>
        <v>0</v>
      </c>
      <c r="I2020" s="54">
        <f ca="1">IFERROR(VLOOKUP(F2001,'RR-3.1-5TH'!$A$12:'RR-3.1-5TH'!$BN$111,28,0),"")</f>
        <v>0</v>
      </c>
      <c r="J2020" s="54">
        <f ca="1">IFERROR(VLOOKUP(F2001,'RR-3.1-5TH'!$A$12:'RR-3.1-5TH'!$BN$111,29,0),"")</f>
        <v>13</v>
      </c>
      <c r="K2020" s="54">
        <f ca="1">IFERROR(VLOOKUP(F2001,'RR-3.1-5TH'!$A$12:'RR-3.1-5TH'!$BN$111,30,0),"")</f>
        <v>0</v>
      </c>
      <c r="L2020" s="55">
        <f ca="1" t="shared" si="105"/>
        <v>14</v>
      </c>
      <c r="M2020" s="56" t="str">
        <f ca="1">IF(F2001&gt;ENTRY!$D$24,"",IF(L2020=0,"Ab",IF(L2020&gt;80,"A",IF(L2020&gt;60,"B",IF(L2020&gt;44,"C",IF(L2020&gt;=33,"D",IF(L2020&lt;=32,"E","")))))))</f>
        <v>E</v>
      </c>
      <c r="N2020" s="29"/>
      <c r="O2020" s="29"/>
      <c r="P2020" s="19"/>
      <c r="Q2020" s="19"/>
      <c r="R2020" s="11"/>
    </row>
    <row r="2021" s="1" customFormat="1" ht="21.95" customHeight="1" spans="1:18">
      <c r="A2021" s="7"/>
      <c r="B2021" s="12"/>
      <c r="C2021" s="33"/>
      <c r="D2021" s="52" t="s">
        <v>719</v>
      </c>
      <c r="E2021" s="53"/>
      <c r="F2021" s="54">
        <f ca="1">IFERROR(VLOOKUP(F2001,'RR-3.1-5TH'!$A$12:'RR-3.1-5TH'!$BN$111,33,0),"")</f>
        <v>1</v>
      </c>
      <c r="G2021" s="54">
        <f ca="1">IFERROR(VLOOKUP(F2001,'RR-3.1-5TH'!$A$12:'RR-3.1-5TH'!$BN$111,34,0),"")</f>
        <v>0</v>
      </c>
      <c r="H2021" s="54">
        <f ca="1">IFERROR(VLOOKUP(F2001,'RR-3.1-5TH'!$A$12:'RR-3.1-5TH'!$BN$111,35,0),"")</f>
        <v>0</v>
      </c>
      <c r="I2021" s="54">
        <f ca="1">IFERROR(VLOOKUP(F2001,'RR-3.1-5TH'!$A$12:'RR-3.1-5TH'!$BN$111,36,0),"")</f>
        <v>0</v>
      </c>
      <c r="J2021" s="54">
        <f ca="1">IFERROR(VLOOKUP(F2001,'RR-3.1-5TH'!$A$12:'RR-3.1-5TH'!$BN$111,37,0),"")</f>
        <v>13</v>
      </c>
      <c r="K2021" s="54">
        <f ca="1">IFERROR(VLOOKUP(F2001,'RR-3.1-5TH'!$A$12:'RR-3.1-5TH'!$BN$111,38,0),"")</f>
        <v>0</v>
      </c>
      <c r="L2021" s="55">
        <f ca="1" t="shared" si="105"/>
        <v>14</v>
      </c>
      <c r="M2021" s="56" t="str">
        <f ca="1">IF(F2001&gt;ENTRY!$D$24,"",IF(L2021=0,"Ab",IF(L2021&gt;80,"A",IF(L2021&gt;60,"B",IF(L2021&gt;44,"C",IF(L2021&gt;=33,"D",IF(L2021&lt;=32,"E","")))))))</f>
        <v>E</v>
      </c>
      <c r="N2021" s="29"/>
      <c r="O2021" s="29"/>
      <c r="P2021" s="19"/>
      <c r="Q2021" s="19"/>
      <c r="R2021" s="11"/>
    </row>
    <row r="2022" s="1" customFormat="1" ht="21.95" customHeight="1" spans="1:18">
      <c r="A2022" s="7"/>
      <c r="B2022" s="12"/>
      <c r="C2022" s="33"/>
      <c r="D2022" s="52" t="s">
        <v>548</v>
      </c>
      <c r="E2022" s="53"/>
      <c r="F2022" s="54">
        <f ca="1">IFERROR(VLOOKUP(F2001,'RR-3.1-5TH'!$A$12:'RR-3.1-5TH'!$BN$111,41,0),"")</f>
        <v>0</v>
      </c>
      <c r="G2022" s="54">
        <f ca="1">IFERROR(VLOOKUP(F2001,'RR-3.1-5TH'!$A$12:'RR-3.1-5TH'!$BN$111,42,0),"")</f>
        <v>0</v>
      </c>
      <c r="H2022" s="54">
        <f ca="1">IFERROR(VLOOKUP(F2001,'RR-3.1-5TH'!$A$12:'RR-3.1-5TH'!$BN$111,43,0),"")</f>
        <v>0</v>
      </c>
      <c r="I2022" s="54">
        <f ca="1">IFERROR(VLOOKUP(F2001,'RR-3.1-5TH'!$A$12:'RR-3.1-5TH'!$BN$111,44,0),"")</f>
        <v>0</v>
      </c>
      <c r="J2022" s="54">
        <f ca="1">IFERROR(VLOOKUP(F2001,'RR-3.1-5TH'!$A$12:'RR-3.1-5TH'!$BN$111,45,0),"")</f>
        <v>12</v>
      </c>
      <c r="K2022" s="54">
        <f ca="1">IFERROR(VLOOKUP(F2001,'RR-3.1-5TH'!$A$12:'RR-3.1-5TH'!$BN$111,46,0),"")</f>
        <v>0</v>
      </c>
      <c r="L2022" s="55">
        <f ca="1" t="shared" si="105"/>
        <v>12</v>
      </c>
      <c r="M2022" s="56" t="str">
        <f ca="1">IF(F2001&gt;ENTRY!$D$24,"",IF(L2022=0,"Ab",IF(L2022&gt;80,"A",IF(L2022&gt;60,"B",IF(L2022&gt;44,"C",IF(L2022&gt;=33,"D",IF(L2022&lt;=32,"E","")))))))</f>
        <v>E</v>
      </c>
      <c r="N2022" s="29"/>
      <c r="O2022" s="29"/>
      <c r="P2022" s="19"/>
      <c r="Q2022" s="19"/>
      <c r="R2022" s="11"/>
    </row>
    <row r="2023" s="1" customFormat="1" ht="21.95" customHeight="1" spans="1:18">
      <c r="A2023" s="7"/>
      <c r="B2023" s="12"/>
      <c r="C2023" s="33"/>
      <c r="D2023" s="52" t="s">
        <v>549</v>
      </c>
      <c r="E2023" s="53"/>
      <c r="F2023" s="54">
        <f ca="1">IFERROR(VLOOKUP(F2001,'RR-3.1-5TH'!$A$12:'RR-3.1-5TH'!$BN$111,49,0),"")</f>
        <v>1</v>
      </c>
      <c r="G2023" s="54">
        <f ca="1">IFERROR(VLOOKUP(F2001,'RR-3.1-5TH'!$A$12:'RR-3.1-5TH'!$BN$111,50,0),"")</f>
        <v>0</v>
      </c>
      <c r="H2023" s="54">
        <f ca="1">IFERROR(VLOOKUP(F2001,'RR-3.1-5TH'!$A$12:'RR-3.1-5TH'!$BN$111,51,0),"")</f>
        <v>0</v>
      </c>
      <c r="I2023" s="54">
        <f ca="1">IFERROR(VLOOKUP(F2001,'RR-3.1-5TH'!$A$12:'RR-3.1-5TH'!$BN$111,52,0),"")</f>
        <v>0</v>
      </c>
      <c r="J2023" s="54">
        <f ca="1">IFERROR(VLOOKUP(F2001,'RR-3.1-5TH'!$A$12:'RR-3.1-5TH'!$BN$111,53,0),"")</f>
        <v>23</v>
      </c>
      <c r="K2023" s="54">
        <f ca="1">IFERROR(VLOOKUP(F2001,'RR-3.1-5TH'!$A$12:'RR-3.1-5TH'!$BN$111,54,0),"")</f>
        <v>0</v>
      </c>
      <c r="L2023" s="55">
        <f ca="1" t="shared" si="105"/>
        <v>24</v>
      </c>
      <c r="M2023" s="56" t="str">
        <f ca="1">IF(F2001&gt;ENTRY!$D$24,"",IF(L2023=0,"Ab",IF(L2023&gt;80,"A",IF(L2023&gt;60,"B",IF(L2023&gt;44,"C",IF(L2023&gt;=33,"D",IF(L2023&lt;=32,"E","")))))))</f>
        <v>E</v>
      </c>
      <c r="N2023" s="57" t="s">
        <v>752</v>
      </c>
      <c r="O2023" s="58"/>
      <c r="P2023" s="59"/>
      <c r="Q2023" s="19"/>
      <c r="R2023" s="11"/>
    </row>
    <row r="2024" s="1" customFormat="1" ht="21.95" customHeight="1" spans="1:18">
      <c r="A2024" s="7"/>
      <c r="B2024" s="12"/>
      <c r="C2024" s="33"/>
      <c r="D2024" s="52" t="s">
        <v>753</v>
      </c>
      <c r="E2024" s="53"/>
      <c r="F2024" s="60"/>
      <c r="G2024" s="54"/>
      <c r="H2024" s="54"/>
      <c r="I2024" s="54"/>
      <c r="J2024" s="54"/>
      <c r="K2024" s="54"/>
      <c r="L2024" s="55">
        <f t="shared" ref="L2024" si="106">SUM(G2024:K2024)</f>
        <v>0</v>
      </c>
      <c r="M2024" s="56" t="str">
        <f>IF(F2001&gt;ENTRY!$D$24,"",IF(L2024=0,"",IF(L2024&gt;79,"A",IF(L2024&gt;59,"B",IF(L2024&gt;44,"C",IF(L2024&gt;=33,"D",IF(L2024&lt;=32,"E","")))))))</f>
        <v/>
      </c>
      <c r="N2024" s="58"/>
      <c r="O2024" s="58"/>
      <c r="P2024" s="59"/>
      <c r="Q2024" s="19"/>
      <c r="R2024" s="11"/>
    </row>
    <row r="2025" s="1" customFormat="1" ht="21.95" customHeight="1" spans="1:18">
      <c r="A2025" s="7"/>
      <c r="B2025" s="12"/>
      <c r="C2025" s="33"/>
      <c r="D2025" s="45" t="s">
        <v>382</v>
      </c>
      <c r="E2025" s="46"/>
      <c r="F2025" s="54">
        <f ca="1" t="shared" ref="F2025:L2025" si="107">IFERROR(SUM(F2018:F2024),"")</f>
        <v>6</v>
      </c>
      <c r="G2025" s="54">
        <f ca="1" t="shared" si="107"/>
        <v>0</v>
      </c>
      <c r="H2025" s="54">
        <f ca="1" t="shared" si="107"/>
        <v>0</v>
      </c>
      <c r="I2025" s="54">
        <f ca="1" t="shared" si="107"/>
        <v>0</v>
      </c>
      <c r="J2025" s="54">
        <f ca="1" t="shared" si="107"/>
        <v>107</v>
      </c>
      <c r="K2025" s="54">
        <f ca="1" t="shared" si="107"/>
        <v>0</v>
      </c>
      <c r="L2025" s="55">
        <f ca="1" t="shared" si="107"/>
        <v>113</v>
      </c>
      <c r="M2025" s="61" t="str">
        <f ca="1">IF(F2001&gt;ENTRY!$D$24,"",IF(N2026="Ab","Ab",IF(N2026&gt;79.5,"A",IF(N2026&gt;59.5,"B",IF(N2026&gt;44.5,"C",IF(N2026&gt;=33,"D",IF(N2026&lt;33,"E","")))))))</f>
        <v>E</v>
      </c>
      <c r="N2025" s="62"/>
      <c r="O2025" s="58"/>
      <c r="P2025" s="59"/>
      <c r="Q2025" s="19"/>
      <c r="R2025" s="11"/>
    </row>
    <row r="2026" s="1" customFormat="1" ht="21.95" customHeight="1" spans="1:18">
      <c r="A2026" s="7"/>
      <c r="B2026" s="12"/>
      <c r="C2026" s="33"/>
      <c r="D2026" s="63" t="s">
        <v>721</v>
      </c>
      <c r="E2026" s="63"/>
      <c r="F2026" s="63"/>
      <c r="G2026" s="63"/>
      <c r="H2026" s="63"/>
      <c r="I2026" s="63"/>
      <c r="J2026" s="63"/>
      <c r="K2026" s="63"/>
      <c r="L2026" s="63"/>
      <c r="M2026" s="63"/>
      <c r="N2026" s="64">
        <f ca="1">IF(L2025="Ab","Ab",L2025/6)</f>
        <v>18.8333333333333</v>
      </c>
      <c r="O2026" s="65"/>
      <c r="P2026" s="19"/>
      <c r="Q2026" s="19"/>
      <c r="R2026" s="11"/>
    </row>
    <row r="2027" s="1" customFormat="1" ht="21.95" customHeight="1" spans="1:18">
      <c r="A2027" s="7"/>
      <c r="B2027" s="12"/>
      <c r="C2027" s="33"/>
      <c r="D2027" s="29" t="s">
        <v>716</v>
      </c>
      <c r="E2027" s="18" t="str">
        <f>IFERROR(VLOOKUP(F2001,'1to4-2.1-RR'!$A$12:$BG$111,57,0),"")</f>
        <v>PROMOTED</v>
      </c>
      <c r="F2027" s="18"/>
      <c r="G2027" s="18"/>
      <c r="H2027" s="18"/>
      <c r="I2027" s="18"/>
      <c r="J2027" s="18"/>
      <c r="K2027" s="18"/>
      <c r="L2027" s="18"/>
      <c r="M2027" s="18"/>
      <c r="N2027" s="29"/>
      <c r="O2027" s="29"/>
      <c r="P2027" s="19"/>
      <c r="Q2027" s="19"/>
      <c r="R2027" s="11"/>
    </row>
    <row r="2028" s="1" customFormat="1" ht="9.95" customHeight="1" spans="1:18">
      <c r="A2028" s="7"/>
      <c r="B2028" s="12"/>
      <c r="C2028" s="33"/>
      <c r="D2028" s="29"/>
      <c r="E2028" s="29"/>
      <c r="F2028" s="29"/>
      <c r="G2028" s="29"/>
      <c r="H2028" s="29"/>
      <c r="I2028" s="29"/>
      <c r="J2028" s="29"/>
      <c r="K2028" s="29"/>
      <c r="L2028" s="29"/>
      <c r="M2028" s="29"/>
      <c r="N2028" s="29"/>
      <c r="O2028" s="29"/>
      <c r="P2028" s="19"/>
      <c r="Q2028" s="19"/>
      <c r="R2028" s="11"/>
    </row>
    <row r="2029" s="1" customFormat="1" ht="36" spans="1:18">
      <c r="A2029" s="7"/>
      <c r="B2029" s="12"/>
      <c r="C2029" s="33"/>
      <c r="D2029" s="66" t="s">
        <v>576</v>
      </c>
      <c r="E2029" s="67" t="s">
        <v>754</v>
      </c>
      <c r="F2029" s="47">
        <f>IF(F2001&gt;ENTRY!$D$24,"",IFERROR(VLOOKUP(F2001,PASHEET!$A$4:$CJ$103,88,0),""))</f>
        <v>0</v>
      </c>
      <c r="G2029" s="67" t="s">
        <v>755</v>
      </c>
      <c r="H2029" s="47">
        <f>IF(F2001&gt;ENTRY!$D$24,"",IFERROR(VLOOKUP(F2001,PASHEET!$A$4:$CJ$103,87,0),""))</f>
        <v>0</v>
      </c>
      <c r="I2029" s="68" t="s">
        <v>756</v>
      </c>
      <c r="J2029" s="69" t="str">
        <f>IF(F2001&gt;ENTRY!$D$24,"",IFERROR(IF(F2001&gt;0,H2029/F2029*100),""))</f>
        <v/>
      </c>
      <c r="K2029" s="60" t="s">
        <v>757</v>
      </c>
      <c r="L2029" s="70">
        <f ca="1">IF(F2001&gt;ENTRY!$D$24,"",IFERROR(L2025/600*100,""))</f>
        <v>18.8333333333333</v>
      </c>
      <c r="M2029" s="47" t="str">
        <f ca="1">IF(F2001&gt;ENTRY!$D$24,"",IFERROR(L2025&amp;" / "&amp;"600",""))</f>
        <v>113 / 600</v>
      </c>
      <c r="N2029" s="29"/>
      <c r="O2029" s="29"/>
      <c r="P2029" s="19"/>
      <c r="Q2029" s="19"/>
      <c r="R2029" s="11"/>
    </row>
    <row r="2030" s="1" customFormat="1" ht="9.95" customHeight="1" spans="1:18">
      <c r="A2030" s="7"/>
      <c r="B2030" s="12"/>
      <c r="C2030" s="39"/>
      <c r="D2030" s="40"/>
      <c r="E2030" s="40"/>
      <c r="F2030" s="40"/>
      <c r="G2030" s="40"/>
      <c r="H2030" s="40"/>
      <c r="I2030" s="40"/>
      <c r="J2030" s="40"/>
      <c r="K2030" s="40"/>
      <c r="L2030" s="40"/>
      <c r="M2030" s="40"/>
      <c r="N2030" s="40"/>
      <c r="O2030" s="40"/>
      <c r="P2030" s="41"/>
      <c r="Q2030" s="19"/>
      <c r="R2030" s="11"/>
    </row>
    <row r="2031" s="1" customFormat="1" ht="9.95" customHeight="1" spans="1:18">
      <c r="A2031" s="7"/>
      <c r="B2031" s="12"/>
      <c r="C2031" s="71"/>
      <c r="D2031" s="71"/>
      <c r="E2031" s="71"/>
      <c r="F2031" s="29"/>
      <c r="G2031" s="71"/>
      <c r="H2031" s="71"/>
      <c r="I2031" s="71"/>
      <c r="J2031" s="71"/>
      <c r="K2031" s="71"/>
      <c r="L2031" s="71"/>
      <c r="M2031" s="71"/>
      <c r="N2031" s="71"/>
      <c r="O2031" s="71"/>
      <c r="P2031" s="71"/>
      <c r="Q2031" s="19"/>
      <c r="R2031" s="11"/>
    </row>
    <row r="2032" s="1" customFormat="1" ht="9.95" customHeight="1" spans="1:18">
      <c r="A2032" s="7"/>
      <c r="B2032" s="12"/>
      <c r="C2032" s="29"/>
      <c r="D2032" s="29"/>
      <c r="E2032" s="29"/>
      <c r="F2032" s="72"/>
      <c r="G2032" s="29"/>
      <c r="H2032" s="29"/>
      <c r="I2032" s="29"/>
      <c r="J2032" s="29"/>
      <c r="K2032" s="29"/>
      <c r="L2032" s="29"/>
      <c r="M2032" s="29"/>
      <c r="N2032" s="29"/>
      <c r="O2032" s="29"/>
      <c r="P2032" s="29"/>
      <c r="Q2032" s="19"/>
      <c r="R2032" s="11"/>
    </row>
    <row r="2033" s="1" customFormat="1" ht="9.95" customHeight="1" spans="1:19">
      <c r="A2033" s="7"/>
      <c r="B2033" s="12"/>
      <c r="C2033" s="30"/>
      <c r="D2033" s="31"/>
      <c r="E2033" s="31"/>
      <c r="F2033" s="31"/>
      <c r="G2033" s="31"/>
      <c r="H2033" s="31"/>
      <c r="I2033" s="31"/>
      <c r="J2033" s="31"/>
      <c r="K2033" s="31"/>
      <c r="L2033" s="31"/>
      <c r="M2033" s="31"/>
      <c r="N2033" s="31"/>
      <c r="O2033" s="31"/>
      <c r="P2033" s="32"/>
      <c r="Q2033" s="19"/>
      <c r="R2033" s="11"/>
    </row>
    <row r="2034" s="1" customFormat="1" ht="21.95" customHeight="1" spans="1:19">
      <c r="A2034" s="7"/>
      <c r="B2034" s="12"/>
      <c r="C2034" s="73" t="s">
        <v>7</v>
      </c>
      <c r="D2034" s="13"/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74"/>
      <c r="Q2034" s="19"/>
      <c r="R2034" s="11"/>
      <c r="S2034" s="2"/>
    </row>
    <row r="2035" s="1" customFormat="1" ht="21.95" customHeight="1" spans="1:19">
      <c r="A2035" s="7"/>
      <c r="B2035" s="12"/>
      <c r="C2035" s="33"/>
      <c r="D2035" s="29"/>
      <c r="E2035" s="29"/>
      <c r="F2035" s="29"/>
      <c r="G2035" s="29"/>
      <c r="H2035" s="29"/>
      <c r="I2035" s="29"/>
      <c r="J2035" s="29"/>
      <c r="K2035" s="29"/>
      <c r="L2035" s="29"/>
      <c r="M2035" s="29"/>
      <c r="N2035" s="29"/>
      <c r="O2035" s="29"/>
      <c r="P2035" s="19"/>
      <c r="Q2035" s="19"/>
      <c r="R2035" s="11"/>
    </row>
    <row r="2036" s="1" customFormat="1" ht="21.95" customHeight="1" spans="1:19">
      <c r="A2036" s="7"/>
      <c r="B2036" s="12"/>
      <c r="C2036" s="75" t="str">
        <f>"SESSION-"&amp;ENTRY!$D$11</f>
        <v>SESSION-2026-27</v>
      </c>
      <c r="D2036" s="15"/>
      <c r="E2036" s="15"/>
      <c r="F2036" s="15"/>
      <c r="G2036" s="15"/>
      <c r="H2036" s="15"/>
      <c r="I2036" s="15"/>
      <c r="J2036" s="15"/>
      <c r="K2036" s="15"/>
      <c r="L2036" s="15"/>
      <c r="M2036" s="15"/>
      <c r="N2036" s="15"/>
      <c r="O2036" s="15"/>
      <c r="P2036" s="76"/>
      <c r="Q2036" s="19"/>
      <c r="R2036" s="11"/>
    </row>
    <row r="2037" s="1" customFormat="1" ht="18" customHeight="1" spans="1:19">
      <c r="A2037" s="7"/>
      <c r="B2037" s="12"/>
      <c r="C2037" s="33"/>
      <c r="D2037" s="29"/>
      <c r="E2037" s="29"/>
      <c r="F2037" s="29"/>
      <c r="G2037" s="29"/>
      <c r="H2037" s="29"/>
      <c r="I2037" s="29"/>
      <c r="J2037" s="29"/>
      <c r="K2037" s="29"/>
      <c r="L2037" s="29"/>
      <c r="M2037" s="29"/>
      <c r="N2037" s="29"/>
      <c r="O2037" s="29"/>
      <c r="P2037" s="19"/>
      <c r="Q2037" s="19"/>
      <c r="R2037" s="11"/>
    </row>
    <row r="2038" s="1" customFormat="1" ht="21.95" customHeight="1" spans="1:19">
      <c r="A2038" s="7"/>
      <c r="B2038" s="12"/>
      <c r="C2038" s="33"/>
      <c r="D2038" s="77" t="s">
        <v>758</v>
      </c>
      <c r="E2038" s="77"/>
      <c r="F2038" s="78" t="str">
        <f>IFERROR(PROPER(VLOOKUP(F2001,STUDENT!$A$2:$BP$101,5,0)),"")</f>
        <v>Jitendra</v>
      </c>
      <c r="G2038" s="78"/>
      <c r="H2038" s="78"/>
      <c r="I2038" s="78"/>
      <c r="J2038" s="78"/>
      <c r="K2038" s="78"/>
      <c r="L2038" s="78"/>
      <c r="M2038" s="78"/>
      <c r="N2038" s="79" t="s">
        <v>759</v>
      </c>
      <c r="O2038" s="79"/>
      <c r="P2038" s="19"/>
      <c r="Q2038" s="19"/>
      <c r="R2038" s="11"/>
    </row>
    <row r="2039" s="1" customFormat="1" ht="21.95" customHeight="1" spans="1:19">
      <c r="A2039" s="7"/>
      <c r="B2039" s="12"/>
      <c r="C2039" s="33"/>
      <c r="D2039" s="80" t="s">
        <v>760</v>
      </c>
      <c r="E2039" s="81" t="str">
        <f>IFERROR(PROPER(VLOOKUP(F2001,STUDENT!$A$2:$BP$101,9,0)),"")</f>
        <v>Pooja Devi</v>
      </c>
      <c r="F2039" s="81"/>
      <c r="G2039" s="81"/>
      <c r="H2039" s="80" t="s">
        <v>761</v>
      </c>
      <c r="I2039" s="82" t="str">
        <f>IFERROR(PROPER(VLOOKUP(F2001,STUDENT!$A$2:$BP$101,8,0)),"")</f>
        <v>Ram Sumar</v>
      </c>
      <c r="J2039" s="82"/>
      <c r="K2039" s="82"/>
      <c r="L2039" s="82"/>
      <c r="M2039" s="80" t="s">
        <v>762</v>
      </c>
      <c r="N2039" s="83" t="str">
        <f>IFERROR(VLOOKUP(F2001,STUDENT!$A$2:$BP$101,59,0),"")</f>
        <v/>
      </c>
      <c r="O2039" s="83"/>
      <c r="P2039" s="19"/>
      <c r="Q2039" s="19"/>
      <c r="R2039" s="11"/>
    </row>
    <row r="2040" s="1" customFormat="1" ht="21.95" customHeight="1" spans="1:19">
      <c r="A2040" s="7"/>
      <c r="B2040" s="12"/>
      <c r="C2040" s="33"/>
      <c r="D2040" s="77" t="str">
        <f>"has    completed     his  /  her     primary     level     education    in    the    year    "&amp;RIGHT(ENTRY!$D2006,4)&amp;"    from    ( School    Name )"</f>
        <v>has    completed     his  /  her     primary     level     education    in    the    year        from    ( School    Name )</v>
      </c>
      <c r="E2040" s="77"/>
      <c r="F2040" s="77"/>
      <c r="G2040" s="77"/>
      <c r="H2040" s="77"/>
      <c r="I2040" s="77"/>
      <c r="J2040" s="77"/>
      <c r="K2040" s="77"/>
      <c r="L2040" s="77"/>
      <c r="M2040" s="77"/>
      <c r="N2040" s="77"/>
      <c r="O2040" s="77"/>
      <c r="P2040" s="19"/>
      <c r="Q2040" s="19"/>
      <c r="R2040" s="11"/>
    </row>
    <row r="2041" s="1" customFormat="1" ht="21.95" customHeight="1" spans="1:19">
      <c r="A2041" s="7"/>
      <c r="B2041" s="12"/>
      <c r="C2041" s="33"/>
      <c r="D2041" s="81" t="str">
        <f>IF(F2001&gt;0,ENTRY!$D$6,"")</f>
        <v>MCP NITHARI NO 1 BOYS</v>
      </c>
      <c r="E2041" s="81"/>
      <c r="F2041" s="81"/>
      <c r="G2041" s="81"/>
      <c r="H2041" s="81"/>
      <c r="I2041" s="81"/>
      <c r="J2041" s="81"/>
      <c r="K2041" s="81"/>
      <c r="L2041" s="81"/>
      <c r="M2041" s="80" t="s">
        <v>763</v>
      </c>
      <c r="N2041" s="84">
        <f>IF(F2001&gt;0,ENTRY!$D$7,"")</f>
        <v>0</v>
      </c>
      <c r="O2041" s="84"/>
      <c r="P2041" s="85" t="s">
        <v>727</v>
      </c>
      <c r="Q2041" s="19"/>
      <c r="R2041" s="11"/>
    </row>
    <row r="2042" s="1" customFormat="1" ht="21.95" customHeight="1" spans="1:19">
      <c r="A2042" s="7"/>
      <c r="B2042" s="12"/>
      <c r="C2042" s="33"/>
      <c r="D2042" s="29"/>
      <c r="E2042" s="29"/>
      <c r="F2042" s="29"/>
      <c r="G2042" s="29"/>
      <c r="H2042" s="29"/>
      <c r="I2042" s="29"/>
      <c r="J2042" s="29"/>
      <c r="K2042" s="29"/>
      <c r="L2042" s="29"/>
      <c r="M2042" s="29"/>
      <c r="N2042" s="29"/>
      <c r="O2042" s="29"/>
      <c r="P2042" s="19"/>
      <c r="Q2042" s="19"/>
      <c r="R2042" s="11"/>
    </row>
    <row r="2043" s="1" customFormat="1" ht="21.95" customHeight="1" spans="1:19">
      <c r="A2043" s="7"/>
      <c r="B2043" s="12"/>
      <c r="C2043" s="33"/>
      <c r="D2043" s="29"/>
      <c r="E2043" s="29"/>
      <c r="F2043" s="29"/>
      <c r="G2043" s="29"/>
      <c r="H2043" s="29"/>
      <c r="I2043" s="29"/>
      <c r="J2043" s="29"/>
      <c r="K2043" s="29"/>
      <c r="L2043" s="29"/>
      <c r="M2043" s="29"/>
      <c r="N2043" s="29"/>
      <c r="O2043" s="29"/>
      <c r="P2043" s="19"/>
      <c r="Q2043" s="19"/>
      <c r="R2043" s="11"/>
    </row>
    <row r="2044" s="1" customFormat="1" ht="21.95" customHeight="1" spans="1:19">
      <c r="A2044" s="7"/>
      <c r="B2044" s="12"/>
      <c r="C2044" s="33"/>
      <c r="D2044" s="29"/>
      <c r="E2044" s="29"/>
      <c r="F2044" s="29"/>
      <c r="G2044" s="29"/>
      <c r="H2044" s="29"/>
      <c r="I2044" s="29"/>
      <c r="J2044" s="29"/>
      <c r="K2044" s="29"/>
      <c r="L2044" s="29"/>
      <c r="M2044" s="29"/>
      <c r="N2044" s="29"/>
      <c r="O2044" s="29"/>
      <c r="P2044" s="19"/>
      <c r="Q2044" s="19"/>
      <c r="R2044" s="11"/>
    </row>
    <row r="2045" s="1" customFormat="1" ht="21.95" customHeight="1" spans="1:19">
      <c r="A2045" s="7"/>
      <c r="B2045" s="12"/>
      <c r="C2045" s="33"/>
      <c r="D2045" s="29"/>
      <c r="E2045" s="29"/>
      <c r="F2045" s="29"/>
      <c r="G2045" s="29"/>
      <c r="H2045" s="29"/>
      <c r="I2045" s="29"/>
      <c r="J2045" s="29"/>
      <c r="K2045" s="29"/>
      <c r="L2045" s="29"/>
      <c r="M2045" s="29"/>
      <c r="N2045" s="29"/>
      <c r="O2045" s="29"/>
      <c r="P2045" s="19"/>
      <c r="Q2045" s="19"/>
      <c r="R2045" s="11"/>
    </row>
    <row r="2046" s="1" customFormat="1" ht="21.95" customHeight="1" spans="1:19">
      <c r="A2046" s="7"/>
      <c r="B2046" s="12"/>
      <c r="C2046" s="33"/>
      <c r="D2046" s="29"/>
      <c r="E2046" s="29"/>
      <c r="F2046" s="29"/>
      <c r="G2046" s="29"/>
      <c r="H2046" s="29"/>
      <c r="I2046" s="29"/>
      <c r="J2046" s="29"/>
      <c r="K2046" s="29"/>
      <c r="L2046" s="29"/>
      <c r="M2046" s="29"/>
      <c r="N2046" s="29"/>
      <c r="O2046" s="29"/>
      <c r="P2046" s="19"/>
      <c r="Q2046" s="19"/>
      <c r="R2046" s="11"/>
    </row>
    <row r="2047" s="1" customFormat="1" ht="21.95" customHeight="1" spans="1:19">
      <c r="A2047" s="7"/>
      <c r="B2047" s="12"/>
      <c r="C2047" s="33"/>
      <c r="D2047" s="80" t="s">
        <v>728</v>
      </c>
      <c r="E2047" s="86">
        <f>ENTRY!$D$27</f>
        <v>46102</v>
      </c>
      <c r="F2047" s="86"/>
      <c r="G2047" s="29"/>
      <c r="H2047" s="29"/>
      <c r="I2047" s="29"/>
      <c r="J2047" s="29"/>
      <c r="K2047" s="29"/>
      <c r="L2047" s="29"/>
      <c r="M2047" s="87" t="s">
        <v>730</v>
      </c>
      <c r="N2047" s="87"/>
      <c r="O2047" s="87"/>
      <c r="P2047" s="19"/>
      <c r="Q2047" s="19"/>
      <c r="R2047" s="11"/>
    </row>
    <row r="2048" s="1" customFormat="1" ht="21.95" customHeight="1" spans="1:19">
      <c r="A2048" s="7"/>
      <c r="B2048" s="12"/>
      <c r="C2048" s="33"/>
      <c r="D2048" s="80" t="s">
        <v>731</v>
      </c>
      <c r="E2048" s="88" t="str">
        <f>PROPER(ENTRY!$D$28)</f>
        <v>New Delhi</v>
      </c>
      <c r="F2048" s="88"/>
      <c r="G2048" s="29"/>
      <c r="H2048" s="29"/>
      <c r="I2048" s="29"/>
      <c r="J2048" s="29"/>
      <c r="K2048" s="29"/>
      <c r="L2048" s="29"/>
      <c r="M2048" s="89" t="s">
        <v>732</v>
      </c>
      <c r="N2048" s="89"/>
      <c r="O2048" s="89"/>
      <c r="P2048" s="19"/>
      <c r="Q2048" s="19"/>
      <c r="R2048" s="11"/>
    </row>
    <row r="2049" s="1" customFormat="1" ht="21.95" customHeight="1" spans="1:18">
      <c r="A2049" s="7"/>
      <c r="B2049" s="12"/>
      <c r="C2049" s="90"/>
      <c r="D2049" s="91"/>
      <c r="E2049" s="91"/>
      <c r="F2049" s="91"/>
      <c r="G2049" s="91"/>
      <c r="H2049" s="91"/>
      <c r="I2049" s="91"/>
      <c r="J2049" s="91"/>
      <c r="K2049" s="91"/>
      <c r="L2049" s="91"/>
      <c r="M2049" s="91"/>
      <c r="N2049" s="91"/>
      <c r="O2049" s="91"/>
      <c r="P2049" s="92"/>
      <c r="Q2049" s="14"/>
      <c r="R2049" s="11"/>
    </row>
    <row r="2050" s="1" customFormat="1" ht="5.1" customHeight="1" spans="1:18">
      <c r="A2050" s="7"/>
      <c r="B2050" s="90"/>
      <c r="C2050" s="91"/>
      <c r="D2050" s="91"/>
      <c r="E2050" s="91"/>
      <c r="F2050" s="91"/>
      <c r="G2050" s="91"/>
      <c r="H2050" s="91"/>
      <c r="I2050" s="91"/>
      <c r="J2050" s="91"/>
      <c r="K2050" s="91"/>
      <c r="L2050" s="91"/>
      <c r="M2050" s="91"/>
      <c r="N2050" s="91"/>
      <c r="O2050" s="91"/>
      <c r="P2050" s="91"/>
      <c r="Q2050" s="92"/>
      <c r="R2050" s="11"/>
    </row>
    <row r="2051" s="1" customFormat="1" ht="5.1" customHeight="1" spans="1:18">
      <c r="A2051" s="93"/>
      <c r="B2051" s="94"/>
      <c r="C2051" s="94"/>
      <c r="D2051" s="94"/>
      <c r="E2051" s="94"/>
      <c r="F2051" s="94"/>
      <c r="G2051" s="94"/>
      <c r="H2051" s="94"/>
      <c r="I2051" s="94"/>
      <c r="J2051" s="94"/>
      <c r="K2051" s="94"/>
      <c r="L2051" s="94"/>
      <c r="M2051" s="94"/>
      <c r="N2051" s="94"/>
      <c r="O2051" s="94"/>
      <c r="P2051" s="94"/>
      <c r="Q2051" s="94"/>
      <c r="R2051" s="95"/>
    </row>
    <row r="2052" s="2" customFormat="1" ht="9.95" customHeight="1"/>
    <row r="2053" s="1" customFormat="1" ht="5.1" customHeight="1" spans="1:18">
      <c r="A2053" s="4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  <c r="O2053" s="5"/>
      <c r="P2053" s="5"/>
      <c r="Q2053" s="5"/>
      <c r="R2053" s="6"/>
    </row>
    <row r="2054" s="1" customFormat="1" ht="15" customHeight="1" spans="1:18">
      <c r="A2054" s="7"/>
      <c r="B2054" s="8"/>
      <c r="C2054" s="9"/>
      <c r="D2054" s="9"/>
      <c r="E2054" s="9"/>
      <c r="F2054" s="9"/>
      <c r="G2054" s="9"/>
      <c r="H2054" s="9"/>
      <c r="I2054" s="9"/>
      <c r="J2054" s="9"/>
      <c r="K2054" s="9"/>
      <c r="L2054" s="9"/>
      <c r="M2054" s="9"/>
      <c r="N2054" s="9"/>
      <c r="O2054" s="9"/>
      <c r="P2054" s="9"/>
      <c r="Q2054" s="10"/>
      <c r="R2054" s="11"/>
    </row>
    <row r="2055" s="1" customFormat="1" ht="21.95" customHeight="1" spans="1:18">
      <c r="A2055" s="7"/>
      <c r="B2055" s="12"/>
      <c r="C2055" s="13" t="s">
        <v>7</v>
      </c>
      <c r="D2055" s="13"/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/>
      <c r="Q2055" s="14"/>
      <c r="R2055" s="11"/>
    </row>
    <row r="2056" s="1" customFormat="1" ht="21.95" customHeight="1" spans="1:18">
      <c r="A2056" s="7"/>
      <c r="B2056" s="1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14"/>
      <c r="R2056" s="11"/>
    </row>
    <row r="2057" s="1" customFormat="1" ht="21.95" customHeight="1" spans="1:18">
      <c r="A2057" s="7"/>
      <c r="B2057" s="12"/>
      <c r="C2057" s="15" t="str">
        <f>"SESSION-"&amp;ENTRY!$D$11</f>
        <v>SESSION-2026-27</v>
      </c>
      <c r="D2057" s="15"/>
      <c r="E2057" s="15"/>
      <c r="F2057" s="15"/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4"/>
      <c r="R2057" s="11"/>
    </row>
    <row r="2058" s="1" customFormat="1" ht="21.95" customHeight="1" spans="1:18">
      <c r="A2058" s="7"/>
      <c r="B2058" s="12"/>
      <c r="C2058" s="2"/>
      <c r="D2058" s="2"/>
      <c r="E2058" s="2"/>
      <c r="F2058" s="16">
        <f>F2001+1</f>
        <v>37</v>
      </c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14"/>
      <c r="R2058" s="11"/>
    </row>
    <row r="2059" s="1" customFormat="1" ht="21.95" customHeight="1" spans="1:18">
      <c r="A2059" s="7"/>
      <c r="B2059" s="12"/>
      <c r="C2059" s="17" t="s">
        <v>392</v>
      </c>
      <c r="D2059" s="17"/>
      <c r="E2059" s="17"/>
      <c r="F2059" s="18" t="str">
        <f>IF(F2058&gt;0,ENTRY!$D$6,"")</f>
        <v>MCP NITHARI NO 1 BOYS</v>
      </c>
      <c r="G2059" s="18"/>
      <c r="H2059" s="18"/>
      <c r="I2059" s="18"/>
      <c r="J2059" s="18"/>
      <c r="K2059" s="18"/>
      <c r="L2059" s="18"/>
      <c r="M2059" s="18"/>
      <c r="N2059" s="18"/>
      <c r="O2059" s="18"/>
      <c r="P2059" s="18"/>
      <c r="Q2059" s="19"/>
      <c r="R2059" s="11"/>
    </row>
    <row r="2060" s="1" customFormat="1" ht="21.95" customHeight="1" spans="1:18">
      <c r="A2060" s="7"/>
      <c r="B2060" s="12"/>
      <c r="C2060" s="17" t="s">
        <v>393</v>
      </c>
      <c r="D2060" s="17"/>
      <c r="E2060" s="17"/>
      <c r="F2060" s="18">
        <f>IF(F2058&gt;0,ENTRY!$D$7,"")</f>
        <v>0</v>
      </c>
      <c r="G2060" s="18"/>
      <c r="H2060" s="20" t="s">
        <v>702</v>
      </c>
      <c r="I2060" s="20"/>
      <c r="J2060" s="21">
        <f>IF(F2058&gt;0,ENTRY!$D$10,"")</f>
        <v>40</v>
      </c>
      <c r="K2060" s="20" t="s">
        <v>703</v>
      </c>
      <c r="L2060" s="22" t="str">
        <f>IF(F2058&gt;0,ENTRY!$D$5,"")</f>
        <v>ROHINI ZONE</v>
      </c>
      <c r="M2060" s="22"/>
      <c r="N2060" s="22"/>
      <c r="O2060" s="22"/>
      <c r="P2060" s="22"/>
      <c r="Q2060" s="19"/>
      <c r="R2060" s="11"/>
    </row>
    <row r="2061" s="1" customFormat="1" ht="21.95" customHeight="1" spans="1:18">
      <c r="A2061" s="7"/>
      <c r="B2061" s="12"/>
      <c r="C2061" s="17" t="s">
        <v>706</v>
      </c>
      <c r="D2061" s="17"/>
      <c r="E2061" s="17"/>
      <c r="F2061" s="23" t="str">
        <f>IFERROR(VLOOKUP(F2058,STUDENT!$A$2:$BP$101,5,0),"")</f>
        <v>MOHD AYAN</v>
      </c>
      <c r="G2061" s="23"/>
      <c r="H2061" s="23"/>
      <c r="I2061" s="23"/>
      <c r="J2061" s="23"/>
      <c r="K2061" s="23"/>
      <c r="L2061" s="20" t="s">
        <v>707</v>
      </c>
      <c r="M2061" s="20"/>
      <c r="N2061" s="24" t="str">
        <f>IF(F2058&gt;0,ENTRY!$D$20&amp;"-"&amp;ENTRY!$D$21,"")</f>
        <v>III-A</v>
      </c>
      <c r="O2061" s="24"/>
      <c r="P2061" s="24"/>
      <c r="Q2061" s="19"/>
      <c r="R2061" s="11"/>
    </row>
    <row r="2062" s="1" customFormat="1" ht="21.95" customHeight="1" spans="1:18">
      <c r="A2062" s="7"/>
      <c r="B2062" s="12"/>
      <c r="C2062" s="17" t="s">
        <v>708</v>
      </c>
      <c r="D2062" s="17"/>
      <c r="E2062" s="17"/>
      <c r="F2062" s="25">
        <f>IFERROR(VLOOKUP(F2058,STUDENT!$A$2:$BP$101,6,0),"")</f>
        <v>15144</v>
      </c>
      <c r="G2062" s="25"/>
      <c r="H2062" s="26" t="s">
        <v>709</v>
      </c>
      <c r="I2062" s="27" t="str">
        <f>IFERROR(VLOOKUP(F2058,STUDENT!$A$2:$BP$101,59,0),"")</f>
        <v/>
      </c>
      <c r="J2062" s="27"/>
      <c r="K2062" s="20" t="s">
        <v>710</v>
      </c>
      <c r="L2062" s="20"/>
      <c r="M2062" s="28">
        <f>IFERROR(VLOOKUP(F2058,STUDENT!$A$2:$BP$101,20,0),"")</f>
        <v>8882628140</v>
      </c>
      <c r="N2062" s="28"/>
      <c r="O2062" s="28"/>
      <c r="P2062" s="28"/>
      <c r="Q2062" s="19"/>
      <c r="R2062" s="11"/>
    </row>
    <row r="2063" s="1" customFormat="1" ht="21.95" customHeight="1" spans="1:18">
      <c r="A2063" s="7"/>
      <c r="B2063" s="12"/>
      <c r="C2063" s="17" t="s">
        <v>711</v>
      </c>
      <c r="D2063" s="17"/>
      <c r="E2063" s="17"/>
      <c r="F2063" s="23" t="str">
        <f>IFERROR(VLOOKUP(F2058,STUDENT!$A$2:$BP$101,9,0),"")</f>
        <v>GULBASA KHATUN</v>
      </c>
      <c r="G2063" s="23"/>
      <c r="H2063" s="23"/>
      <c r="I2063" s="23"/>
      <c r="J2063" s="17" t="s">
        <v>620</v>
      </c>
      <c r="K2063" s="17"/>
      <c r="L2063" s="23" t="str">
        <f>IFERROR(VLOOKUP(F2058,STUDENT!$A$2:$BP$101,8,0),"")</f>
        <v>BUDHAN MIYAN</v>
      </c>
      <c r="M2063" s="23"/>
      <c r="N2063" s="23"/>
      <c r="O2063" s="23"/>
      <c r="P2063" s="23"/>
      <c r="Q2063" s="19"/>
      <c r="R2063" s="11"/>
    </row>
    <row r="2064" s="1" customFormat="1" ht="21.95" customHeight="1" spans="1:18">
      <c r="A2064" s="7"/>
      <c r="B2064" s="12"/>
      <c r="C2064" s="17" t="s">
        <v>712</v>
      </c>
      <c r="D2064" s="17"/>
      <c r="E2064" s="17"/>
      <c r="F2064" s="23" t="str">
        <f>IFERROR(VLOOKUP(F2058,STUDENT!$A$2:$BP$101,22,0),"")</f>
        <v>H.NO-981 PLOT NO OLD NO-6 KH.NO-19/16 MUBARAKPUR BLOCK -F PH-2</v>
      </c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19"/>
      <c r="R2064" s="11"/>
    </row>
    <row r="2065" s="1" customFormat="1" ht="9.95" customHeight="1" spans="1:18">
      <c r="A2065" s="7"/>
      <c r="B2065" s="12"/>
      <c r="C2065" s="29"/>
      <c r="D2065" s="29"/>
      <c r="E2065" s="29"/>
      <c r="F2065" s="29"/>
      <c r="G2065" s="29"/>
      <c r="H2065" s="29"/>
      <c r="I2065" s="29"/>
      <c r="J2065" s="29"/>
      <c r="K2065" s="29"/>
      <c r="L2065" s="29"/>
      <c r="M2065" s="29"/>
      <c r="N2065" s="29"/>
      <c r="O2065" s="29"/>
      <c r="P2065" s="29"/>
      <c r="Q2065" s="19"/>
      <c r="R2065" s="11"/>
    </row>
    <row r="2066" s="1" customFormat="1" ht="9.95" customHeight="1" spans="1:18">
      <c r="A2066" s="7"/>
      <c r="B2066" s="12"/>
      <c r="C2066" s="30"/>
      <c r="D2066" s="31"/>
      <c r="E2066" s="31"/>
      <c r="F2066" s="31"/>
      <c r="G2066" s="31"/>
      <c r="H2066" s="31"/>
      <c r="I2066" s="31"/>
      <c r="J2066" s="31"/>
      <c r="K2066" s="31"/>
      <c r="L2066" s="31"/>
      <c r="M2066" s="31"/>
      <c r="N2066" s="31"/>
      <c r="O2066" s="31"/>
      <c r="P2066" s="32"/>
      <c r="Q2066" s="19"/>
      <c r="R2066" s="11"/>
    </row>
    <row r="2067" s="1" customFormat="1" ht="21.95" customHeight="1" spans="1:18">
      <c r="A2067" s="7"/>
      <c r="B2067" s="12"/>
      <c r="C2067" s="33"/>
      <c r="D2067" s="34" t="s">
        <v>713</v>
      </c>
      <c r="E2067" s="20" t="s">
        <v>714</v>
      </c>
      <c r="F2067" s="35" t="str">
        <f>"Level - "&amp;IFERROR(VLOOKUP(F2058,FLN!$A$4:$K$103,9,0),"")</f>
        <v>Level - 2</v>
      </c>
      <c r="G2067" s="36"/>
      <c r="H2067" s="37" t="s">
        <v>715</v>
      </c>
      <c r="I2067" s="20"/>
      <c r="J2067" s="35" t="str">
        <f>"Level - "&amp;IFERROR(VLOOKUP(F2058,FLN!$A$4:$K$103,11,0),"")</f>
        <v>Level - 3</v>
      </c>
      <c r="K2067" s="36"/>
      <c r="L2067" s="37" t="s">
        <v>408</v>
      </c>
      <c r="M2067" s="20"/>
      <c r="N2067" s="35" t="str">
        <f>"Level - "&amp;IFERROR(VLOOKUP(F2058,FLN!$A$4:$K$103,10,0),"")</f>
        <v>Level - 2</v>
      </c>
      <c r="O2067" s="36"/>
      <c r="P2067" s="19"/>
      <c r="Q2067" s="19"/>
      <c r="R2067" s="11"/>
    </row>
    <row r="2068" s="1" customFormat="1" ht="21.95" customHeight="1" spans="1:18">
      <c r="A2068" s="7"/>
      <c r="B2068" s="12"/>
      <c r="C2068" s="33"/>
      <c r="D2068" s="38"/>
      <c r="E2068" s="20" t="s">
        <v>716</v>
      </c>
      <c r="F2068" s="18" t="str">
        <f ca="1">IF(L2082&gt;197,"PERFORMED WELL","")</f>
        <v/>
      </c>
      <c r="G2068" s="18"/>
      <c r="H2068" s="18"/>
      <c r="I2068" s="18"/>
      <c r="J2068" s="18"/>
      <c r="K2068" s="18"/>
      <c r="L2068" s="18"/>
      <c r="M2068" s="18"/>
      <c r="N2068" s="18"/>
      <c r="O2068" s="18"/>
      <c r="P2068" s="19"/>
      <c r="Q2068" s="19"/>
      <c r="R2068" s="11"/>
    </row>
    <row r="2069" s="1" customFormat="1" ht="9.95" customHeight="1" spans="1:18">
      <c r="A2069" s="7"/>
      <c r="B2069" s="12"/>
      <c r="C2069" s="39"/>
      <c r="D2069" s="40"/>
      <c r="E2069" s="40"/>
      <c r="F2069" s="40"/>
      <c r="G2069" s="40"/>
      <c r="H2069" s="40"/>
      <c r="I2069" s="40"/>
      <c r="J2069" s="40"/>
      <c r="K2069" s="40"/>
      <c r="L2069" s="40"/>
      <c r="M2069" s="40"/>
      <c r="N2069" s="40"/>
      <c r="O2069" s="40"/>
      <c r="P2069" s="41"/>
      <c r="Q2069" s="19"/>
      <c r="R2069" s="11"/>
    </row>
    <row r="2070" s="1" customFormat="1" ht="9.95" customHeight="1" spans="1:18">
      <c r="A2070" s="7"/>
      <c r="B2070" s="12"/>
      <c r="C2070" s="29"/>
      <c r="D2070" s="29"/>
      <c r="E2070" s="29"/>
      <c r="F2070" s="29"/>
      <c r="G2070" s="29"/>
      <c r="H2070" s="29"/>
      <c r="I2070" s="29"/>
      <c r="J2070" s="29"/>
      <c r="K2070" s="29"/>
      <c r="L2070" s="29"/>
      <c r="M2070" s="29"/>
      <c r="N2070" s="29"/>
      <c r="O2070" s="29"/>
      <c r="P2070" s="29"/>
      <c r="Q2070" s="19"/>
      <c r="R2070" s="11"/>
    </row>
    <row r="2071" s="1" customFormat="1" ht="9.95" customHeight="1" spans="1:18">
      <c r="A2071" s="7"/>
      <c r="B2071" s="12"/>
      <c r="C2071" s="30"/>
      <c r="D2071" s="31"/>
      <c r="E2071" s="31"/>
      <c r="F2071" s="31"/>
      <c r="G2071" s="31"/>
      <c r="H2071" s="31"/>
      <c r="I2071" s="31"/>
      <c r="J2071" s="31"/>
      <c r="K2071" s="31"/>
      <c r="L2071" s="31"/>
      <c r="M2071" s="31"/>
      <c r="N2071" s="31"/>
      <c r="O2071" s="31"/>
      <c r="P2071" s="32"/>
      <c r="Q2071" s="19"/>
      <c r="R2071" s="11"/>
    </row>
    <row r="2072" s="1" customFormat="1" ht="21.95" customHeight="1" spans="1:18">
      <c r="A2072" s="7"/>
      <c r="B2072" s="12"/>
      <c r="C2072" s="33"/>
      <c r="D2072" s="35"/>
      <c r="E2072" s="24"/>
      <c r="F2072" s="42" t="s">
        <v>717</v>
      </c>
      <c r="G2072" s="42"/>
      <c r="H2072" s="42"/>
      <c r="I2072" s="42"/>
      <c r="J2072" s="42"/>
      <c r="K2072" s="42"/>
      <c r="L2072" s="43"/>
      <c r="M2072" s="44"/>
      <c r="N2072" s="29"/>
      <c r="O2072" s="29"/>
      <c r="P2072" s="19"/>
      <c r="Q2072" s="19"/>
      <c r="R2072" s="11"/>
    </row>
    <row r="2073" s="1" customFormat="1" ht="21.95" customHeight="1" spans="1:18">
      <c r="A2073" s="7"/>
      <c r="B2073" s="12"/>
      <c r="C2073" s="33"/>
      <c r="D2073" s="45"/>
      <c r="E2073" s="46"/>
      <c r="F2073" s="47" t="s">
        <v>541</v>
      </c>
      <c r="G2073" s="47" t="s">
        <v>542</v>
      </c>
      <c r="H2073" s="47" t="s">
        <v>543</v>
      </c>
      <c r="I2073" s="47" t="s">
        <v>544</v>
      </c>
      <c r="J2073" s="47" t="s">
        <v>561</v>
      </c>
      <c r="K2073" s="48" t="s">
        <v>750</v>
      </c>
      <c r="L2073" s="47" t="s">
        <v>382</v>
      </c>
      <c r="M2073" s="49" t="s">
        <v>546</v>
      </c>
      <c r="N2073" s="29"/>
      <c r="O2073" s="29"/>
      <c r="P2073" s="19"/>
      <c r="Q2073" s="19"/>
      <c r="R2073" s="11"/>
    </row>
    <row r="2074" s="1" customFormat="1" ht="21.95" customHeight="1" spans="1:18">
      <c r="A2074" s="7"/>
      <c r="B2074" s="12"/>
      <c r="C2074" s="33"/>
      <c r="D2074" s="45" t="s">
        <v>652</v>
      </c>
      <c r="E2074" s="46"/>
      <c r="F2074" s="50">
        <v>10</v>
      </c>
      <c r="G2074" s="50">
        <v>10</v>
      </c>
      <c r="H2074" s="50">
        <v>10</v>
      </c>
      <c r="I2074" s="50">
        <v>10</v>
      </c>
      <c r="J2074" s="50">
        <v>60</v>
      </c>
      <c r="K2074" s="51"/>
      <c r="L2074" s="50">
        <v>100</v>
      </c>
      <c r="M2074" s="49"/>
      <c r="N2074" s="29"/>
      <c r="O2074" s="29"/>
      <c r="P2074" s="19"/>
      <c r="Q2074" s="19"/>
      <c r="R2074" s="11"/>
    </row>
    <row r="2075" s="1" customFormat="1" ht="21.95" customHeight="1" spans="1:18">
      <c r="A2075" s="7"/>
      <c r="B2075" s="12"/>
      <c r="C2075" s="33"/>
      <c r="D2075" s="52" t="s">
        <v>751</v>
      </c>
      <c r="E2075" s="53"/>
      <c r="F2075" s="54">
        <f ca="1">IFERROR(VLOOKUP(F2058,'RR-3.1-5TH'!$A$12:'RR-3.1-5TH'!$BN$111,9,0),"")</f>
        <v>0</v>
      </c>
      <c r="G2075" s="54">
        <f ca="1">IFERROR(VLOOKUP(F2058,'RR-3.1-5TH'!$A$12:'RR-3.1-5TH'!$BN$111,10,0),"")</f>
        <v>0</v>
      </c>
      <c r="H2075" s="54">
        <f ca="1">IFERROR(VLOOKUP(F2058,'RR-3.1-5TH'!$A$12:'RR-3.1-5TH'!$BN$111,11,0),"")</f>
        <v>0</v>
      </c>
      <c r="I2075" s="54">
        <f ca="1">IFERROR(VLOOKUP(F2058,'RR-3.1-5TH'!$A$12:'RR-3.1-5TH'!$BN$111,12,0),"")</f>
        <v>0</v>
      </c>
      <c r="J2075" s="54">
        <f ca="1">IFERROR(VLOOKUP(F2058,'RR-3.1-5TH'!$A$12:'RR-3.1-5TH'!$BN$111,13,0),"")</f>
        <v>33</v>
      </c>
      <c r="K2075" s="54">
        <f ca="1">IFERROR(VLOOKUP(F2058,'RR-3.1-5TH'!$A$12:'RR-3.1-5TH'!$BN$111,14,0),"")</f>
        <v>0</v>
      </c>
      <c r="L2075" s="55">
        <f ca="1" t="shared" ref="L2075:L2080" si="108">SUM(F2075,G2075,H2075,I2075,J2075,K2075)</f>
        <v>33</v>
      </c>
      <c r="M2075" s="56" t="str">
        <f ca="1">IF(F2058&gt;ENTRY!$D$24,"",IF(L2075=0,"Ab",IF(L2075&gt;80,"A",IF(L2075&gt;60,"B",IF(L2075&gt;44,"C",IF(L2075&gt;=33,"D",IF(L2075&lt;=32,"E","")))))))</f>
        <v>D</v>
      </c>
      <c r="N2075" s="57" t="s">
        <v>729</v>
      </c>
      <c r="O2075" s="58"/>
      <c r="P2075" s="59"/>
      <c r="Q2075" s="19"/>
      <c r="R2075" s="11"/>
    </row>
    <row r="2076" s="1" customFormat="1" ht="21.95" customHeight="1" spans="1:18">
      <c r="A2076" s="7"/>
      <c r="B2076" s="12"/>
      <c r="C2076" s="33"/>
      <c r="D2076" s="52" t="s">
        <v>513</v>
      </c>
      <c r="E2076" s="53"/>
      <c r="F2076" s="54">
        <f ca="1">IFERROR(VLOOKUP(F2058,'RR-3.1-5TH'!$A$12:'RR-3.1-5TH'!$BN$111,17,0),"")</f>
        <v>0</v>
      </c>
      <c r="G2076" s="54">
        <f ca="1">IFERROR(VLOOKUP(F2058,'RR-3.1-5TH'!$A$12:'RR-3.1-5TH'!$BN$111,18,0),"")</f>
        <v>0</v>
      </c>
      <c r="H2076" s="54">
        <f ca="1">IFERROR(VLOOKUP(F2058,'RR-3.1-5TH'!$A$12:'RR-3.1-5TH'!$BN$111,19,0),"")</f>
        <v>0</v>
      </c>
      <c r="I2076" s="54">
        <f ca="1">IFERROR(VLOOKUP(F2058,'RR-3.1-5TH'!$A$12:'RR-3.1-5TH'!$BN$111,20,0),"")</f>
        <v>0</v>
      </c>
      <c r="J2076" s="54">
        <f ca="1">IFERROR(VLOOKUP(F2058,'RR-3.1-5TH'!$A$12:'RR-3.1-5TH'!$BN$111,21,0),"")</f>
        <v>14</v>
      </c>
      <c r="K2076" s="54">
        <f ca="1">IFERROR(VLOOKUP(F2058,'RR-3.1-5TH'!$A$12:'RR-3.1-5TH'!$BN$111,22,0),"")</f>
        <v>0</v>
      </c>
      <c r="L2076" s="55">
        <f ca="1" t="shared" si="108"/>
        <v>14</v>
      </c>
      <c r="M2076" s="56" t="str">
        <f ca="1">IF(F2058&gt;ENTRY!$D$24,"",IF(L2076=0,"Ab",IF(L2076&gt;80,"A",IF(L2076&gt;60,"B",IF(L2076&gt;44,"C",IF(L2076&gt;=33,"D",IF(L2076&lt;=32,"E","")))))))</f>
        <v>E</v>
      </c>
      <c r="N2076" s="58"/>
      <c r="O2076" s="58"/>
      <c r="P2076" s="59"/>
      <c r="Q2076" s="19"/>
      <c r="R2076" s="11"/>
    </row>
    <row r="2077" s="1" customFormat="1" ht="21.95" customHeight="1" spans="1:18">
      <c r="A2077" s="7"/>
      <c r="B2077" s="12"/>
      <c r="C2077" s="33"/>
      <c r="D2077" s="52" t="s">
        <v>718</v>
      </c>
      <c r="E2077" s="53"/>
      <c r="F2077" s="54">
        <f ca="1">IFERROR(VLOOKUP(F2058,'RR-3.1-5TH'!$A$12:'RR-3.1-5TH'!$BN$111,25,0),"")</f>
        <v>0</v>
      </c>
      <c r="G2077" s="54">
        <f ca="1">IFERROR(VLOOKUP(F2058,'RR-3.1-5TH'!$A$12:'RR-3.1-5TH'!$BN$111,26,0),"")</f>
        <v>0</v>
      </c>
      <c r="H2077" s="54">
        <f ca="1">IFERROR(VLOOKUP(F2058,'RR-3.1-5TH'!$A$12:'RR-3.1-5TH'!$BN$111,27,0),"")</f>
        <v>0</v>
      </c>
      <c r="I2077" s="54">
        <f ca="1">IFERROR(VLOOKUP(F2058,'RR-3.1-5TH'!$A$12:'RR-3.1-5TH'!$BN$111,28,0),"")</f>
        <v>0</v>
      </c>
      <c r="J2077" s="54">
        <f ca="1">IFERROR(VLOOKUP(F2058,'RR-3.1-5TH'!$A$12:'RR-3.1-5TH'!$BN$111,29,0),"")</f>
        <v>15</v>
      </c>
      <c r="K2077" s="54">
        <f ca="1">IFERROR(VLOOKUP(F2058,'RR-3.1-5TH'!$A$12:'RR-3.1-5TH'!$BN$111,30,0),"")</f>
        <v>0</v>
      </c>
      <c r="L2077" s="55">
        <f ca="1" t="shared" si="108"/>
        <v>15</v>
      </c>
      <c r="M2077" s="56" t="str">
        <f ca="1">IF(F2058&gt;ENTRY!$D$24,"",IF(L2077=0,"Ab",IF(L2077&gt;80,"A",IF(L2077&gt;60,"B",IF(L2077&gt;44,"C",IF(L2077&gt;=33,"D",IF(L2077&lt;=32,"E","")))))))</f>
        <v>E</v>
      </c>
      <c r="N2077" s="29"/>
      <c r="O2077" s="29"/>
      <c r="P2077" s="19"/>
      <c r="Q2077" s="19"/>
      <c r="R2077" s="11"/>
    </row>
    <row r="2078" s="1" customFormat="1" ht="21.95" customHeight="1" spans="1:18">
      <c r="A2078" s="7"/>
      <c r="B2078" s="12"/>
      <c r="C2078" s="33"/>
      <c r="D2078" s="52" t="s">
        <v>719</v>
      </c>
      <c r="E2078" s="53"/>
      <c r="F2078" s="54">
        <f ca="1">IFERROR(VLOOKUP(F2058,'RR-3.1-5TH'!$A$12:'RR-3.1-5TH'!$BN$111,33,0),"")</f>
        <v>0</v>
      </c>
      <c r="G2078" s="54">
        <f ca="1">IFERROR(VLOOKUP(F2058,'RR-3.1-5TH'!$A$12:'RR-3.1-5TH'!$BN$111,34,0),"")</f>
        <v>0</v>
      </c>
      <c r="H2078" s="54">
        <f ca="1">IFERROR(VLOOKUP(F2058,'RR-3.1-5TH'!$A$12:'RR-3.1-5TH'!$BN$111,35,0),"")</f>
        <v>0</v>
      </c>
      <c r="I2078" s="54">
        <f ca="1">IFERROR(VLOOKUP(F2058,'RR-3.1-5TH'!$A$12:'RR-3.1-5TH'!$BN$111,36,0),"")</f>
        <v>0</v>
      </c>
      <c r="J2078" s="54">
        <f ca="1">IFERROR(VLOOKUP(F2058,'RR-3.1-5TH'!$A$12:'RR-3.1-5TH'!$BN$111,37,0),"")</f>
        <v>16</v>
      </c>
      <c r="K2078" s="54">
        <f ca="1">IFERROR(VLOOKUP(F2058,'RR-3.1-5TH'!$A$12:'RR-3.1-5TH'!$BN$111,38,0),"")</f>
        <v>0</v>
      </c>
      <c r="L2078" s="55">
        <f ca="1" t="shared" si="108"/>
        <v>16</v>
      </c>
      <c r="M2078" s="56" t="str">
        <f ca="1">IF(F2058&gt;ENTRY!$D$24,"",IF(L2078=0,"Ab",IF(L2078&gt;80,"A",IF(L2078&gt;60,"B",IF(L2078&gt;44,"C",IF(L2078&gt;=33,"D",IF(L2078&lt;=32,"E","")))))))</f>
        <v>E</v>
      </c>
      <c r="N2078" s="29"/>
      <c r="O2078" s="29"/>
      <c r="P2078" s="19"/>
      <c r="Q2078" s="19"/>
      <c r="R2078" s="11"/>
    </row>
    <row r="2079" s="1" customFormat="1" ht="21.95" customHeight="1" spans="1:18">
      <c r="A2079" s="7"/>
      <c r="B2079" s="12"/>
      <c r="C2079" s="33"/>
      <c r="D2079" s="52" t="s">
        <v>548</v>
      </c>
      <c r="E2079" s="53"/>
      <c r="F2079" s="54">
        <f ca="1">IFERROR(VLOOKUP(F2058,'RR-3.1-5TH'!$A$12:'RR-3.1-5TH'!$BN$111,41,0),"")</f>
        <v>0</v>
      </c>
      <c r="G2079" s="54">
        <f ca="1">IFERROR(VLOOKUP(F2058,'RR-3.1-5TH'!$A$12:'RR-3.1-5TH'!$BN$111,42,0),"")</f>
        <v>0</v>
      </c>
      <c r="H2079" s="54">
        <f ca="1">IFERROR(VLOOKUP(F2058,'RR-3.1-5TH'!$A$12:'RR-3.1-5TH'!$BN$111,43,0),"")</f>
        <v>0</v>
      </c>
      <c r="I2079" s="54">
        <f ca="1">IFERROR(VLOOKUP(F2058,'RR-3.1-5TH'!$A$12:'RR-3.1-5TH'!$BN$111,44,0),"")</f>
        <v>0</v>
      </c>
      <c r="J2079" s="54">
        <f ca="1">IFERROR(VLOOKUP(F2058,'RR-3.1-5TH'!$A$12:'RR-3.1-5TH'!$BN$111,45,0),"")</f>
        <v>16</v>
      </c>
      <c r="K2079" s="54">
        <f ca="1">IFERROR(VLOOKUP(F2058,'RR-3.1-5TH'!$A$12:'RR-3.1-5TH'!$BN$111,46,0),"")</f>
        <v>0</v>
      </c>
      <c r="L2079" s="55">
        <f ca="1" t="shared" si="108"/>
        <v>16</v>
      </c>
      <c r="M2079" s="56" t="str">
        <f ca="1">IF(F2058&gt;ENTRY!$D$24,"",IF(L2079=0,"Ab",IF(L2079&gt;80,"A",IF(L2079&gt;60,"B",IF(L2079&gt;44,"C",IF(L2079&gt;=33,"D",IF(L2079&lt;=32,"E","")))))))</f>
        <v>E</v>
      </c>
      <c r="N2079" s="29"/>
      <c r="O2079" s="29"/>
      <c r="P2079" s="19"/>
      <c r="Q2079" s="19"/>
      <c r="R2079" s="11"/>
    </row>
    <row r="2080" s="1" customFormat="1" ht="21.95" customHeight="1" spans="1:18">
      <c r="A2080" s="7"/>
      <c r="B2080" s="12"/>
      <c r="C2080" s="33"/>
      <c r="D2080" s="52" t="s">
        <v>549</v>
      </c>
      <c r="E2080" s="53"/>
      <c r="F2080" s="54">
        <f ca="1">IFERROR(VLOOKUP(F2058,'RR-3.1-5TH'!$A$12:'RR-3.1-5TH'!$BN$111,49,0),"")</f>
        <v>0</v>
      </c>
      <c r="G2080" s="54">
        <f ca="1">IFERROR(VLOOKUP(F2058,'RR-3.1-5TH'!$A$12:'RR-3.1-5TH'!$BN$111,50,0),"")</f>
        <v>0</v>
      </c>
      <c r="H2080" s="54">
        <f ca="1">IFERROR(VLOOKUP(F2058,'RR-3.1-5TH'!$A$12:'RR-3.1-5TH'!$BN$111,51,0),"")</f>
        <v>0</v>
      </c>
      <c r="I2080" s="54">
        <f ca="1">IFERROR(VLOOKUP(F2058,'RR-3.1-5TH'!$A$12:'RR-3.1-5TH'!$BN$111,52,0),"")</f>
        <v>0</v>
      </c>
      <c r="J2080" s="54">
        <f ca="1">IFERROR(VLOOKUP(F2058,'RR-3.1-5TH'!$A$12:'RR-3.1-5TH'!$BN$111,53,0),"")</f>
        <v>23</v>
      </c>
      <c r="K2080" s="54">
        <f ca="1">IFERROR(VLOOKUP(F2058,'RR-3.1-5TH'!$A$12:'RR-3.1-5TH'!$BN$111,54,0),"")</f>
        <v>0</v>
      </c>
      <c r="L2080" s="55">
        <f ca="1" t="shared" si="108"/>
        <v>23</v>
      </c>
      <c r="M2080" s="56" t="str">
        <f ca="1">IF(F2058&gt;ENTRY!$D$24,"",IF(L2080=0,"Ab",IF(L2080&gt;80,"A",IF(L2080&gt;60,"B",IF(L2080&gt;44,"C",IF(L2080&gt;=33,"D",IF(L2080&lt;=32,"E","")))))))</f>
        <v>E</v>
      </c>
      <c r="N2080" s="57" t="s">
        <v>752</v>
      </c>
      <c r="O2080" s="58"/>
      <c r="P2080" s="59"/>
      <c r="Q2080" s="19"/>
      <c r="R2080" s="11"/>
    </row>
    <row r="2081" s="1" customFormat="1" ht="21.95" customHeight="1" spans="1:19">
      <c r="A2081" s="7"/>
      <c r="B2081" s="12"/>
      <c r="C2081" s="33"/>
      <c r="D2081" s="52" t="s">
        <v>753</v>
      </c>
      <c r="E2081" s="53"/>
      <c r="F2081" s="60"/>
      <c r="G2081" s="54"/>
      <c r="H2081" s="54"/>
      <c r="I2081" s="54"/>
      <c r="J2081" s="54"/>
      <c r="K2081" s="54"/>
      <c r="L2081" s="55">
        <f t="shared" ref="L2081" si="109">SUM(G2081:K2081)</f>
        <v>0</v>
      </c>
      <c r="M2081" s="56" t="str">
        <f>IF(F2058&gt;ENTRY!$D$24,"",IF(L2081=0,"",IF(L2081&gt;79,"A",IF(L2081&gt;59,"B",IF(L2081&gt;44,"C",IF(L2081&gt;=33,"D",IF(L2081&lt;=32,"E","")))))))</f>
        <v/>
      </c>
      <c r="N2081" s="58"/>
      <c r="O2081" s="58"/>
      <c r="P2081" s="59"/>
      <c r="Q2081" s="19"/>
      <c r="R2081" s="11"/>
    </row>
    <row r="2082" s="1" customFormat="1" ht="21.95" customHeight="1" spans="1:19">
      <c r="A2082" s="7"/>
      <c r="B2082" s="12"/>
      <c r="C2082" s="33"/>
      <c r="D2082" s="45" t="s">
        <v>382</v>
      </c>
      <c r="E2082" s="46"/>
      <c r="F2082" s="54">
        <f ca="1" t="shared" ref="F2082:L2082" si="110">IFERROR(SUM(F2075:F2081),"")</f>
        <v>0</v>
      </c>
      <c r="G2082" s="54">
        <f ca="1" t="shared" si="110"/>
        <v>0</v>
      </c>
      <c r="H2082" s="54">
        <f ca="1" t="shared" si="110"/>
        <v>0</v>
      </c>
      <c r="I2082" s="54">
        <f ca="1" t="shared" si="110"/>
        <v>0</v>
      </c>
      <c r="J2082" s="54">
        <f ca="1" t="shared" si="110"/>
        <v>117</v>
      </c>
      <c r="K2082" s="54">
        <f ca="1" t="shared" si="110"/>
        <v>0</v>
      </c>
      <c r="L2082" s="55">
        <f ca="1" t="shared" si="110"/>
        <v>117</v>
      </c>
      <c r="M2082" s="61" t="str">
        <f ca="1">IF(F2058&gt;ENTRY!$D$24,"",IF(N2083="Ab","Ab",IF(N2083&gt;79.5,"A",IF(N2083&gt;59.5,"B",IF(N2083&gt;44.5,"C",IF(N2083&gt;=33,"D",IF(N2083&lt;33,"E","")))))))</f>
        <v>E</v>
      </c>
      <c r="N2082" s="62"/>
      <c r="O2082" s="58"/>
      <c r="P2082" s="59"/>
      <c r="Q2082" s="19"/>
      <c r="R2082" s="11"/>
    </row>
    <row r="2083" s="1" customFormat="1" ht="21.95" customHeight="1" spans="1:19">
      <c r="A2083" s="7"/>
      <c r="B2083" s="12"/>
      <c r="C2083" s="33"/>
      <c r="D2083" s="63" t="s">
        <v>721</v>
      </c>
      <c r="E2083" s="63"/>
      <c r="F2083" s="63"/>
      <c r="G2083" s="63"/>
      <c r="H2083" s="63"/>
      <c r="I2083" s="63"/>
      <c r="J2083" s="63"/>
      <c r="K2083" s="63"/>
      <c r="L2083" s="63"/>
      <c r="M2083" s="63"/>
      <c r="N2083" s="64">
        <f ca="1">IF(L2082="Ab","Ab",L2082/6)</f>
        <v>19.5</v>
      </c>
      <c r="O2083" s="65"/>
      <c r="P2083" s="19"/>
      <c r="Q2083" s="19"/>
      <c r="R2083" s="11"/>
    </row>
    <row r="2084" s="1" customFormat="1" ht="21.95" customHeight="1" spans="1:19">
      <c r="A2084" s="7"/>
      <c r="B2084" s="12"/>
      <c r="C2084" s="33"/>
      <c r="D2084" s="29" t="s">
        <v>716</v>
      </c>
      <c r="E2084" s="18" t="str">
        <f>IFERROR(VLOOKUP(F2058,'1to4-2.1-RR'!$A$12:$BG$111,57,0),"")</f>
        <v>PROMOTED</v>
      </c>
      <c r="F2084" s="18"/>
      <c r="G2084" s="18"/>
      <c r="H2084" s="18"/>
      <c r="I2084" s="18"/>
      <c r="J2084" s="18"/>
      <c r="K2084" s="18"/>
      <c r="L2084" s="18"/>
      <c r="M2084" s="18"/>
      <c r="N2084" s="29"/>
      <c r="O2084" s="29"/>
      <c r="P2084" s="19"/>
      <c r="Q2084" s="19"/>
      <c r="R2084" s="11"/>
    </row>
    <row r="2085" s="1" customFormat="1" ht="9.95" customHeight="1" spans="1:19">
      <c r="A2085" s="7"/>
      <c r="B2085" s="12"/>
      <c r="C2085" s="33"/>
      <c r="D2085" s="29"/>
      <c r="E2085" s="29"/>
      <c r="F2085" s="29"/>
      <c r="G2085" s="29"/>
      <c r="H2085" s="29"/>
      <c r="I2085" s="29"/>
      <c r="J2085" s="29"/>
      <c r="K2085" s="29"/>
      <c r="L2085" s="29"/>
      <c r="M2085" s="29"/>
      <c r="N2085" s="29"/>
      <c r="O2085" s="29"/>
      <c r="P2085" s="19"/>
      <c r="Q2085" s="19"/>
      <c r="R2085" s="11"/>
    </row>
    <row r="2086" s="1" customFormat="1" ht="36" spans="1:19">
      <c r="A2086" s="7"/>
      <c r="B2086" s="12"/>
      <c r="C2086" s="33"/>
      <c r="D2086" s="66" t="s">
        <v>576</v>
      </c>
      <c r="E2086" s="67" t="s">
        <v>754</v>
      </c>
      <c r="F2086" s="47">
        <f>IF(F2058&gt;ENTRY!$D$24,"",IFERROR(VLOOKUP(F2058,PASHEET!$A$4:$CJ$103,88,0),""))</f>
        <v>0</v>
      </c>
      <c r="G2086" s="67" t="s">
        <v>755</v>
      </c>
      <c r="H2086" s="47">
        <f>IF(F2058&gt;ENTRY!$D$24,"",IFERROR(VLOOKUP(F2058,PASHEET!$A$4:$CJ$103,87,0),""))</f>
        <v>0</v>
      </c>
      <c r="I2086" s="68" t="s">
        <v>756</v>
      </c>
      <c r="J2086" s="69" t="str">
        <f>IF(F2058&gt;ENTRY!$D$24,"",IFERROR(IF(F2058&gt;0,H2086/F2086*100),""))</f>
        <v/>
      </c>
      <c r="K2086" s="60" t="s">
        <v>757</v>
      </c>
      <c r="L2086" s="70">
        <f ca="1">IF(F2058&gt;ENTRY!$D$24,"",IFERROR(L2082/600*100,""))</f>
        <v>19.5</v>
      </c>
      <c r="M2086" s="47" t="str">
        <f ca="1">IF(F2058&gt;ENTRY!$D$24,"",IFERROR(L2082&amp;" / "&amp;"600",""))</f>
        <v>117 / 600</v>
      </c>
      <c r="N2086" s="29"/>
      <c r="O2086" s="29"/>
      <c r="P2086" s="19"/>
      <c r="Q2086" s="19"/>
      <c r="R2086" s="11"/>
    </row>
    <row r="2087" s="1" customFormat="1" ht="9.95" customHeight="1" spans="1:19">
      <c r="A2087" s="7"/>
      <c r="B2087" s="12"/>
      <c r="C2087" s="39"/>
      <c r="D2087" s="40"/>
      <c r="E2087" s="40"/>
      <c r="F2087" s="40"/>
      <c r="G2087" s="40"/>
      <c r="H2087" s="40"/>
      <c r="I2087" s="40"/>
      <c r="J2087" s="40"/>
      <c r="K2087" s="40"/>
      <c r="L2087" s="40"/>
      <c r="M2087" s="40"/>
      <c r="N2087" s="40"/>
      <c r="O2087" s="40"/>
      <c r="P2087" s="41"/>
      <c r="Q2087" s="19"/>
      <c r="R2087" s="11"/>
    </row>
    <row r="2088" s="1" customFormat="1" ht="9.95" customHeight="1" spans="1:19">
      <c r="A2088" s="7"/>
      <c r="B2088" s="12"/>
      <c r="C2088" s="71"/>
      <c r="D2088" s="71"/>
      <c r="E2088" s="71"/>
      <c r="F2088" s="29"/>
      <c r="G2088" s="71"/>
      <c r="H2088" s="71"/>
      <c r="I2088" s="71"/>
      <c r="J2088" s="71"/>
      <c r="K2088" s="71"/>
      <c r="L2088" s="71"/>
      <c r="M2088" s="71"/>
      <c r="N2088" s="71"/>
      <c r="O2088" s="71"/>
      <c r="P2088" s="71"/>
      <c r="Q2088" s="19"/>
      <c r="R2088" s="11"/>
    </row>
    <row r="2089" s="1" customFormat="1" ht="9.95" customHeight="1" spans="1:19">
      <c r="A2089" s="7"/>
      <c r="B2089" s="12"/>
      <c r="C2089" s="29"/>
      <c r="D2089" s="29"/>
      <c r="E2089" s="29"/>
      <c r="F2089" s="72"/>
      <c r="G2089" s="29"/>
      <c r="H2089" s="29"/>
      <c r="I2089" s="29"/>
      <c r="J2089" s="29"/>
      <c r="K2089" s="29"/>
      <c r="L2089" s="29"/>
      <c r="M2089" s="29"/>
      <c r="N2089" s="29"/>
      <c r="O2089" s="29"/>
      <c r="P2089" s="29"/>
      <c r="Q2089" s="19"/>
      <c r="R2089" s="11"/>
    </row>
    <row r="2090" s="1" customFormat="1" ht="9.95" customHeight="1" spans="1:19">
      <c r="A2090" s="7"/>
      <c r="B2090" s="12"/>
      <c r="C2090" s="30"/>
      <c r="D2090" s="31"/>
      <c r="E2090" s="31"/>
      <c r="F2090" s="31"/>
      <c r="G2090" s="31"/>
      <c r="H2090" s="31"/>
      <c r="I2090" s="31"/>
      <c r="J2090" s="31"/>
      <c r="K2090" s="31"/>
      <c r="L2090" s="31"/>
      <c r="M2090" s="31"/>
      <c r="N2090" s="31"/>
      <c r="O2090" s="31"/>
      <c r="P2090" s="32"/>
      <c r="Q2090" s="19"/>
      <c r="R2090" s="11"/>
    </row>
    <row r="2091" s="1" customFormat="1" ht="21.95" customHeight="1" spans="1:19">
      <c r="A2091" s="7"/>
      <c r="B2091" s="12"/>
      <c r="C2091" s="73" t="s">
        <v>7</v>
      </c>
      <c r="D2091" s="13"/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74"/>
      <c r="Q2091" s="19"/>
      <c r="R2091" s="11"/>
      <c r="S2091" s="2"/>
    </row>
    <row r="2092" s="1" customFormat="1" ht="21.95" customHeight="1" spans="1:19">
      <c r="A2092" s="7"/>
      <c r="B2092" s="12"/>
      <c r="C2092" s="33"/>
      <c r="D2092" s="29"/>
      <c r="E2092" s="29"/>
      <c r="F2092" s="29"/>
      <c r="G2092" s="29"/>
      <c r="H2092" s="29"/>
      <c r="I2092" s="29"/>
      <c r="J2092" s="29"/>
      <c r="K2092" s="29"/>
      <c r="L2092" s="29"/>
      <c r="M2092" s="29"/>
      <c r="N2092" s="29"/>
      <c r="O2092" s="29"/>
      <c r="P2092" s="19"/>
      <c r="Q2092" s="19"/>
      <c r="R2092" s="11"/>
    </row>
    <row r="2093" s="1" customFormat="1" ht="21.95" customHeight="1" spans="1:19">
      <c r="A2093" s="7"/>
      <c r="B2093" s="12"/>
      <c r="C2093" s="75" t="str">
        <f>"SESSION-"&amp;ENTRY!$D$11</f>
        <v>SESSION-2026-27</v>
      </c>
      <c r="D2093" s="15"/>
      <c r="E2093" s="15"/>
      <c r="F2093" s="15"/>
      <c r="G2093" s="15"/>
      <c r="H2093" s="15"/>
      <c r="I2093" s="15"/>
      <c r="J2093" s="15"/>
      <c r="K2093" s="15"/>
      <c r="L2093" s="15"/>
      <c r="M2093" s="15"/>
      <c r="N2093" s="15"/>
      <c r="O2093" s="15"/>
      <c r="P2093" s="76"/>
      <c r="Q2093" s="19"/>
      <c r="R2093" s="11"/>
    </row>
    <row r="2094" s="1" customFormat="1" ht="18" customHeight="1" spans="1:19">
      <c r="A2094" s="7"/>
      <c r="B2094" s="12"/>
      <c r="C2094" s="33"/>
      <c r="D2094" s="29"/>
      <c r="E2094" s="29"/>
      <c r="F2094" s="29"/>
      <c r="G2094" s="29"/>
      <c r="H2094" s="29"/>
      <c r="I2094" s="29"/>
      <c r="J2094" s="29"/>
      <c r="K2094" s="29"/>
      <c r="L2094" s="29"/>
      <c r="M2094" s="29"/>
      <c r="N2094" s="29"/>
      <c r="O2094" s="29"/>
      <c r="P2094" s="19"/>
      <c r="Q2094" s="19"/>
      <c r="R2094" s="11"/>
    </row>
    <row r="2095" s="1" customFormat="1" ht="21.95" customHeight="1" spans="1:19">
      <c r="A2095" s="7"/>
      <c r="B2095" s="12"/>
      <c r="C2095" s="33"/>
      <c r="D2095" s="77" t="s">
        <v>758</v>
      </c>
      <c r="E2095" s="77"/>
      <c r="F2095" s="78" t="str">
        <f>IFERROR(PROPER(VLOOKUP(F2058,STUDENT!$A$2:$BP$101,5,0)),"")</f>
        <v>Mohd Ayan</v>
      </c>
      <c r="G2095" s="78"/>
      <c r="H2095" s="78"/>
      <c r="I2095" s="78"/>
      <c r="J2095" s="78"/>
      <c r="K2095" s="78"/>
      <c r="L2095" s="78"/>
      <c r="M2095" s="78"/>
      <c r="N2095" s="79" t="s">
        <v>759</v>
      </c>
      <c r="O2095" s="79"/>
      <c r="P2095" s="19"/>
      <c r="Q2095" s="19"/>
      <c r="R2095" s="11"/>
    </row>
    <row r="2096" s="1" customFormat="1" ht="21.95" customHeight="1" spans="1:19">
      <c r="A2096" s="7"/>
      <c r="B2096" s="12"/>
      <c r="C2096" s="33"/>
      <c r="D2096" s="80" t="s">
        <v>760</v>
      </c>
      <c r="E2096" s="81" t="str">
        <f>IFERROR(PROPER(VLOOKUP(F2058,STUDENT!$A$2:$BP$101,9,0)),"")</f>
        <v>Gulbasa Khatun</v>
      </c>
      <c r="F2096" s="81"/>
      <c r="G2096" s="81"/>
      <c r="H2096" s="80" t="s">
        <v>761</v>
      </c>
      <c r="I2096" s="82" t="str">
        <f>IFERROR(PROPER(VLOOKUP(F2058,STUDENT!$A$2:$BP$101,8,0)),"")</f>
        <v>Budhan Miyan</v>
      </c>
      <c r="J2096" s="82"/>
      <c r="K2096" s="82"/>
      <c r="L2096" s="82"/>
      <c r="M2096" s="80" t="s">
        <v>762</v>
      </c>
      <c r="N2096" s="83" t="str">
        <f>IFERROR(VLOOKUP(F2058,STUDENT!$A$2:$BP$101,59,0),"")</f>
        <v/>
      </c>
      <c r="O2096" s="83"/>
      <c r="P2096" s="19"/>
      <c r="Q2096" s="19"/>
      <c r="R2096" s="11"/>
    </row>
    <row r="2097" s="1" customFormat="1" ht="21.95" customHeight="1" spans="1:18">
      <c r="A2097" s="7"/>
      <c r="B2097" s="12"/>
      <c r="C2097" s="33"/>
      <c r="D2097" s="77" t="str">
        <f>"has    completed     his  /  her     primary     level     education    in    the    year    "&amp;RIGHT(ENTRY!$D2063,4)&amp;"    from    ( School    Name )"</f>
        <v>has    completed     his  /  her     primary     level     education    in    the    year        from    ( School    Name )</v>
      </c>
      <c r="E2097" s="77"/>
      <c r="F2097" s="77"/>
      <c r="G2097" s="77"/>
      <c r="H2097" s="77"/>
      <c r="I2097" s="77"/>
      <c r="J2097" s="77"/>
      <c r="K2097" s="77"/>
      <c r="L2097" s="77"/>
      <c r="M2097" s="77"/>
      <c r="N2097" s="77"/>
      <c r="O2097" s="77"/>
      <c r="P2097" s="19"/>
      <c r="Q2097" s="19"/>
      <c r="R2097" s="11"/>
    </row>
    <row r="2098" s="1" customFormat="1" ht="21.95" customHeight="1" spans="1:18">
      <c r="A2098" s="7"/>
      <c r="B2098" s="12"/>
      <c r="C2098" s="33"/>
      <c r="D2098" s="81" t="str">
        <f>IF(F2058&gt;0,ENTRY!$D$6,"")</f>
        <v>MCP NITHARI NO 1 BOYS</v>
      </c>
      <c r="E2098" s="81"/>
      <c r="F2098" s="81"/>
      <c r="G2098" s="81"/>
      <c r="H2098" s="81"/>
      <c r="I2098" s="81"/>
      <c r="J2098" s="81"/>
      <c r="K2098" s="81"/>
      <c r="L2098" s="81"/>
      <c r="M2098" s="80" t="s">
        <v>763</v>
      </c>
      <c r="N2098" s="84">
        <f>IF(F2058&gt;0,ENTRY!$D$7,"")</f>
        <v>0</v>
      </c>
      <c r="O2098" s="84"/>
      <c r="P2098" s="85" t="s">
        <v>727</v>
      </c>
      <c r="Q2098" s="19"/>
      <c r="R2098" s="11"/>
    </row>
    <row r="2099" s="1" customFormat="1" ht="21.95" customHeight="1" spans="1:18">
      <c r="A2099" s="7"/>
      <c r="B2099" s="12"/>
      <c r="C2099" s="33"/>
      <c r="D2099" s="29"/>
      <c r="E2099" s="29"/>
      <c r="F2099" s="29"/>
      <c r="G2099" s="29"/>
      <c r="H2099" s="29"/>
      <c r="I2099" s="29"/>
      <c r="J2099" s="29"/>
      <c r="K2099" s="29"/>
      <c r="L2099" s="29"/>
      <c r="M2099" s="29"/>
      <c r="N2099" s="29"/>
      <c r="O2099" s="29"/>
      <c r="P2099" s="19"/>
      <c r="Q2099" s="19"/>
      <c r="R2099" s="11"/>
    </row>
    <row r="2100" s="1" customFormat="1" ht="21.95" customHeight="1" spans="1:18">
      <c r="A2100" s="7"/>
      <c r="B2100" s="12"/>
      <c r="C2100" s="33"/>
      <c r="D2100" s="29"/>
      <c r="E2100" s="29"/>
      <c r="F2100" s="29"/>
      <c r="G2100" s="29"/>
      <c r="H2100" s="29"/>
      <c r="I2100" s="29"/>
      <c r="J2100" s="29"/>
      <c r="K2100" s="29"/>
      <c r="L2100" s="29"/>
      <c r="M2100" s="29"/>
      <c r="N2100" s="29"/>
      <c r="O2100" s="29"/>
      <c r="P2100" s="19"/>
      <c r="Q2100" s="19"/>
      <c r="R2100" s="11"/>
    </row>
    <row r="2101" s="1" customFormat="1" ht="21.95" customHeight="1" spans="1:18">
      <c r="A2101" s="7"/>
      <c r="B2101" s="12"/>
      <c r="C2101" s="33"/>
      <c r="D2101" s="29"/>
      <c r="E2101" s="29"/>
      <c r="F2101" s="29"/>
      <c r="G2101" s="29"/>
      <c r="H2101" s="29"/>
      <c r="I2101" s="29"/>
      <c r="J2101" s="29"/>
      <c r="K2101" s="29"/>
      <c r="L2101" s="29"/>
      <c r="M2101" s="29"/>
      <c r="N2101" s="29"/>
      <c r="O2101" s="29"/>
      <c r="P2101" s="19"/>
      <c r="Q2101" s="19"/>
      <c r="R2101" s="11"/>
    </row>
    <row r="2102" s="1" customFormat="1" ht="21.95" customHeight="1" spans="1:18">
      <c r="A2102" s="7"/>
      <c r="B2102" s="12"/>
      <c r="C2102" s="33"/>
      <c r="D2102" s="29"/>
      <c r="E2102" s="29"/>
      <c r="F2102" s="29"/>
      <c r="G2102" s="29"/>
      <c r="H2102" s="29"/>
      <c r="I2102" s="29"/>
      <c r="J2102" s="29"/>
      <c r="K2102" s="29"/>
      <c r="L2102" s="29"/>
      <c r="M2102" s="29"/>
      <c r="N2102" s="29"/>
      <c r="O2102" s="29"/>
      <c r="P2102" s="19"/>
      <c r="Q2102" s="19"/>
      <c r="R2102" s="11"/>
    </row>
    <row r="2103" s="1" customFormat="1" ht="21.95" customHeight="1" spans="1:18">
      <c r="A2103" s="7"/>
      <c r="B2103" s="12"/>
      <c r="C2103" s="33"/>
      <c r="D2103" s="29"/>
      <c r="E2103" s="29"/>
      <c r="F2103" s="29"/>
      <c r="G2103" s="29"/>
      <c r="H2103" s="29"/>
      <c r="I2103" s="29"/>
      <c r="J2103" s="29"/>
      <c r="K2103" s="29"/>
      <c r="L2103" s="29"/>
      <c r="M2103" s="29"/>
      <c r="N2103" s="29"/>
      <c r="O2103" s="29"/>
      <c r="P2103" s="19"/>
      <c r="Q2103" s="19"/>
      <c r="R2103" s="11"/>
    </row>
    <row r="2104" s="1" customFormat="1" ht="21.95" customHeight="1" spans="1:18">
      <c r="A2104" s="7"/>
      <c r="B2104" s="12"/>
      <c r="C2104" s="33"/>
      <c r="D2104" s="80" t="s">
        <v>728</v>
      </c>
      <c r="E2104" s="86">
        <f>ENTRY!$D$27</f>
        <v>46102</v>
      </c>
      <c r="F2104" s="86"/>
      <c r="G2104" s="29"/>
      <c r="H2104" s="29"/>
      <c r="I2104" s="29"/>
      <c r="J2104" s="29"/>
      <c r="K2104" s="29"/>
      <c r="L2104" s="29"/>
      <c r="M2104" s="87" t="s">
        <v>730</v>
      </c>
      <c r="N2104" s="87"/>
      <c r="O2104" s="87"/>
      <c r="P2104" s="19"/>
      <c r="Q2104" s="19"/>
      <c r="R2104" s="11"/>
    </row>
    <row r="2105" s="1" customFormat="1" ht="21.95" customHeight="1" spans="1:18">
      <c r="A2105" s="7"/>
      <c r="B2105" s="12"/>
      <c r="C2105" s="33"/>
      <c r="D2105" s="80" t="s">
        <v>731</v>
      </c>
      <c r="E2105" s="88" t="str">
        <f>PROPER(ENTRY!$D$28)</f>
        <v>New Delhi</v>
      </c>
      <c r="F2105" s="88"/>
      <c r="G2105" s="29"/>
      <c r="H2105" s="29"/>
      <c r="I2105" s="29"/>
      <c r="J2105" s="29"/>
      <c r="K2105" s="29"/>
      <c r="L2105" s="29"/>
      <c r="M2105" s="89" t="s">
        <v>732</v>
      </c>
      <c r="N2105" s="89"/>
      <c r="O2105" s="89"/>
      <c r="P2105" s="19"/>
      <c r="Q2105" s="19"/>
      <c r="R2105" s="11"/>
    </row>
    <row r="2106" s="1" customFormat="1" ht="21.95" customHeight="1" spans="1:18">
      <c r="A2106" s="7"/>
      <c r="B2106" s="12"/>
      <c r="C2106" s="90"/>
      <c r="D2106" s="91"/>
      <c r="E2106" s="91"/>
      <c r="F2106" s="91"/>
      <c r="G2106" s="91"/>
      <c r="H2106" s="91"/>
      <c r="I2106" s="91"/>
      <c r="J2106" s="91"/>
      <c r="K2106" s="91"/>
      <c r="L2106" s="91"/>
      <c r="M2106" s="91"/>
      <c r="N2106" s="91"/>
      <c r="O2106" s="91"/>
      <c r="P2106" s="92"/>
      <c r="Q2106" s="14"/>
      <c r="R2106" s="11"/>
    </row>
    <row r="2107" s="1" customFormat="1" ht="5.1" customHeight="1" spans="1:18">
      <c r="A2107" s="7"/>
      <c r="B2107" s="90"/>
      <c r="C2107" s="91"/>
      <c r="D2107" s="91"/>
      <c r="E2107" s="91"/>
      <c r="F2107" s="91"/>
      <c r="G2107" s="91"/>
      <c r="H2107" s="91"/>
      <c r="I2107" s="91"/>
      <c r="J2107" s="91"/>
      <c r="K2107" s="91"/>
      <c r="L2107" s="91"/>
      <c r="M2107" s="91"/>
      <c r="N2107" s="91"/>
      <c r="O2107" s="91"/>
      <c r="P2107" s="91"/>
      <c r="Q2107" s="92"/>
      <c r="R2107" s="11"/>
    </row>
    <row r="2108" s="1" customFormat="1" ht="5.1" customHeight="1" spans="1:18">
      <c r="A2108" s="93"/>
      <c r="B2108" s="94"/>
      <c r="C2108" s="94"/>
      <c r="D2108" s="94"/>
      <c r="E2108" s="94"/>
      <c r="F2108" s="94"/>
      <c r="G2108" s="94"/>
      <c r="H2108" s="94"/>
      <c r="I2108" s="94"/>
      <c r="J2108" s="94"/>
      <c r="K2108" s="94"/>
      <c r="L2108" s="94"/>
      <c r="M2108" s="94"/>
      <c r="N2108" s="94"/>
      <c r="O2108" s="94"/>
      <c r="P2108" s="94"/>
      <c r="Q2108" s="94"/>
      <c r="R2108" s="95"/>
    </row>
    <row r="2109" s="2" customFormat="1" ht="9.95" customHeight="1"/>
    <row r="2110" s="1" customFormat="1" ht="5.1" customHeight="1" spans="1:18">
      <c r="A2110" s="4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  <c r="O2110" s="5"/>
      <c r="P2110" s="5"/>
      <c r="Q2110" s="5"/>
      <c r="R2110" s="6"/>
    </row>
    <row r="2111" s="1" customFormat="1" ht="15" customHeight="1" spans="1:18">
      <c r="A2111" s="7"/>
      <c r="B2111" s="8"/>
      <c r="C2111" s="9"/>
      <c r="D2111" s="9"/>
      <c r="E2111" s="9"/>
      <c r="F2111" s="9"/>
      <c r="G2111" s="9"/>
      <c r="H2111" s="9"/>
      <c r="I2111" s="9"/>
      <c r="J2111" s="9"/>
      <c r="K2111" s="9"/>
      <c r="L2111" s="9"/>
      <c r="M2111" s="9"/>
      <c r="N2111" s="9"/>
      <c r="O2111" s="9"/>
      <c r="P2111" s="9"/>
      <c r="Q2111" s="10"/>
      <c r="R2111" s="11"/>
    </row>
    <row r="2112" s="1" customFormat="1" ht="21.95" customHeight="1" spans="1:18">
      <c r="A2112" s="7"/>
      <c r="B2112" s="12"/>
      <c r="C2112" s="13" t="s">
        <v>7</v>
      </c>
      <c r="D2112" s="13"/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/>
      <c r="Q2112" s="14"/>
      <c r="R2112" s="11"/>
    </row>
    <row r="2113" s="1" customFormat="1" ht="21.95" customHeight="1" spans="1:18">
      <c r="A2113" s="7"/>
      <c r="B2113" s="1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14"/>
      <c r="R2113" s="11"/>
    </row>
    <row r="2114" s="1" customFormat="1" ht="21.95" customHeight="1" spans="1:18">
      <c r="A2114" s="7"/>
      <c r="B2114" s="12"/>
      <c r="C2114" s="15" t="str">
        <f>"SESSION-"&amp;ENTRY!$D$11</f>
        <v>SESSION-2026-27</v>
      </c>
      <c r="D2114" s="15"/>
      <c r="E2114" s="15"/>
      <c r="F2114" s="15"/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4"/>
      <c r="R2114" s="11"/>
    </row>
    <row r="2115" s="1" customFormat="1" ht="21.95" customHeight="1" spans="1:18">
      <c r="A2115" s="7"/>
      <c r="B2115" s="12"/>
      <c r="C2115" s="2"/>
      <c r="D2115" s="2"/>
      <c r="E2115" s="2"/>
      <c r="F2115" s="16">
        <f>F2058+1</f>
        <v>38</v>
      </c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14"/>
      <c r="R2115" s="11"/>
    </row>
    <row r="2116" s="1" customFormat="1" ht="21.95" customHeight="1" spans="1:18">
      <c r="A2116" s="7"/>
      <c r="B2116" s="12"/>
      <c r="C2116" s="17" t="s">
        <v>392</v>
      </c>
      <c r="D2116" s="17"/>
      <c r="E2116" s="17"/>
      <c r="F2116" s="18" t="str">
        <f>IF(F2115&gt;0,ENTRY!$D$6,"")</f>
        <v>MCP NITHARI NO 1 BOYS</v>
      </c>
      <c r="G2116" s="18"/>
      <c r="H2116" s="18"/>
      <c r="I2116" s="18"/>
      <c r="J2116" s="18"/>
      <c r="K2116" s="18"/>
      <c r="L2116" s="18"/>
      <c r="M2116" s="18"/>
      <c r="N2116" s="18"/>
      <c r="O2116" s="18"/>
      <c r="P2116" s="18"/>
      <c r="Q2116" s="19"/>
      <c r="R2116" s="11"/>
    </row>
    <row r="2117" s="1" customFormat="1" ht="21.95" customHeight="1" spans="1:18">
      <c r="A2117" s="7"/>
      <c r="B2117" s="12"/>
      <c r="C2117" s="17" t="s">
        <v>393</v>
      </c>
      <c r="D2117" s="17"/>
      <c r="E2117" s="17"/>
      <c r="F2117" s="18">
        <f>IF(F2115&gt;0,ENTRY!$D$7,"")</f>
        <v>0</v>
      </c>
      <c r="G2117" s="18"/>
      <c r="H2117" s="20" t="s">
        <v>702</v>
      </c>
      <c r="I2117" s="20"/>
      <c r="J2117" s="21">
        <f>IF(F2115&gt;0,ENTRY!$D$10,"")</f>
        <v>40</v>
      </c>
      <c r="K2117" s="20" t="s">
        <v>703</v>
      </c>
      <c r="L2117" s="22" t="str">
        <f>IF(F2115&gt;0,ENTRY!$D$5,"")</f>
        <v>ROHINI ZONE</v>
      </c>
      <c r="M2117" s="22"/>
      <c r="N2117" s="22"/>
      <c r="O2117" s="22"/>
      <c r="P2117" s="22"/>
      <c r="Q2117" s="19"/>
      <c r="R2117" s="11"/>
    </row>
    <row r="2118" s="1" customFormat="1" ht="21.95" customHeight="1" spans="1:18">
      <c r="A2118" s="7"/>
      <c r="B2118" s="12"/>
      <c r="C2118" s="17" t="s">
        <v>706</v>
      </c>
      <c r="D2118" s="17"/>
      <c r="E2118" s="17"/>
      <c r="F2118" s="23" t="str">
        <f>IFERROR(VLOOKUP(F2115,STUDENT!$A$2:$BP$101,5,0),"")</f>
        <v>RAJA KUMAR</v>
      </c>
      <c r="G2118" s="23"/>
      <c r="H2118" s="23"/>
      <c r="I2118" s="23"/>
      <c r="J2118" s="23"/>
      <c r="K2118" s="23"/>
      <c r="L2118" s="20" t="s">
        <v>707</v>
      </c>
      <c r="M2118" s="20"/>
      <c r="N2118" s="24" t="str">
        <f>IF(F2115&gt;0,ENTRY!$D$20&amp;"-"&amp;ENTRY!$D$21,"")</f>
        <v>III-A</v>
      </c>
      <c r="O2118" s="24"/>
      <c r="P2118" s="24"/>
      <c r="Q2118" s="19"/>
      <c r="R2118" s="11"/>
    </row>
    <row r="2119" s="1" customFormat="1" ht="21.95" customHeight="1" spans="1:18">
      <c r="A2119" s="7"/>
      <c r="B2119" s="12"/>
      <c r="C2119" s="17" t="s">
        <v>708</v>
      </c>
      <c r="D2119" s="17"/>
      <c r="E2119" s="17"/>
      <c r="F2119" s="25">
        <f>IFERROR(VLOOKUP(F2115,STUDENT!$A$2:$BP$101,6,0),"")</f>
        <v>15145</v>
      </c>
      <c r="G2119" s="25"/>
      <c r="H2119" s="26" t="s">
        <v>709</v>
      </c>
      <c r="I2119" s="27" t="str">
        <f>IFERROR(VLOOKUP(F2115,STUDENT!$A$2:$BP$101,59,0),"")</f>
        <v/>
      </c>
      <c r="J2119" s="27"/>
      <c r="K2119" s="20" t="s">
        <v>710</v>
      </c>
      <c r="L2119" s="20"/>
      <c r="M2119" s="28">
        <f>IFERROR(VLOOKUP(F2115,STUDENT!$A$2:$BP$101,20,0),"")</f>
        <v>9315426800</v>
      </c>
      <c r="N2119" s="28"/>
      <c r="O2119" s="28"/>
      <c r="P2119" s="28"/>
      <c r="Q2119" s="19"/>
      <c r="R2119" s="11"/>
    </row>
    <row r="2120" s="1" customFormat="1" ht="21.95" customHeight="1" spans="1:18">
      <c r="A2120" s="7"/>
      <c r="B2120" s="12"/>
      <c r="C2120" s="17" t="s">
        <v>711</v>
      </c>
      <c r="D2120" s="17"/>
      <c r="E2120" s="17"/>
      <c r="F2120" s="23" t="str">
        <f>IFERROR(VLOOKUP(F2115,STUDENT!$A$2:$BP$101,9,0),"")</f>
        <v>SUJITA DEVI</v>
      </c>
      <c r="G2120" s="23"/>
      <c r="H2120" s="23"/>
      <c r="I2120" s="23"/>
      <c r="J2120" s="17" t="s">
        <v>620</v>
      </c>
      <c r="K2120" s="17"/>
      <c r="L2120" s="23" t="str">
        <f>IFERROR(VLOOKUP(F2115,STUDENT!$A$2:$BP$101,8,0),"")</f>
        <v>AMAR PODDAR</v>
      </c>
      <c r="M2120" s="23"/>
      <c r="N2120" s="23"/>
      <c r="O2120" s="23"/>
      <c r="P2120" s="23"/>
      <c r="Q2120" s="19"/>
      <c r="R2120" s="11"/>
    </row>
    <row r="2121" s="1" customFormat="1" ht="21.95" customHeight="1" spans="1:18">
      <c r="A2121" s="7"/>
      <c r="B2121" s="12"/>
      <c r="C2121" s="17" t="s">
        <v>712</v>
      </c>
      <c r="D2121" s="17"/>
      <c r="E2121" s="17"/>
      <c r="F2121" s="23" t="str">
        <f>IFERROR(VLOOKUP(F2115,STUDENT!$A$2:$BP$101,22,0),"")</f>
        <v>H.NO-93 BLK-A SHANTI VIHAR PREM NAGAR PH-3</v>
      </c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19"/>
      <c r="R2121" s="11"/>
    </row>
    <row r="2122" s="1" customFormat="1" ht="9.95" customHeight="1" spans="1:18">
      <c r="A2122" s="7"/>
      <c r="B2122" s="12"/>
      <c r="C2122" s="29"/>
      <c r="D2122" s="29"/>
      <c r="E2122" s="29"/>
      <c r="F2122" s="29"/>
      <c r="G2122" s="29"/>
      <c r="H2122" s="29"/>
      <c r="I2122" s="29"/>
      <c r="J2122" s="29"/>
      <c r="K2122" s="29"/>
      <c r="L2122" s="29"/>
      <c r="M2122" s="29"/>
      <c r="N2122" s="29"/>
      <c r="O2122" s="29"/>
      <c r="P2122" s="29"/>
      <c r="Q2122" s="19"/>
      <c r="R2122" s="11"/>
    </row>
    <row r="2123" s="1" customFormat="1" ht="9.95" customHeight="1" spans="1:18">
      <c r="A2123" s="7"/>
      <c r="B2123" s="12"/>
      <c r="C2123" s="30"/>
      <c r="D2123" s="31"/>
      <c r="E2123" s="31"/>
      <c r="F2123" s="31"/>
      <c r="G2123" s="31"/>
      <c r="H2123" s="31"/>
      <c r="I2123" s="31"/>
      <c r="J2123" s="31"/>
      <c r="K2123" s="31"/>
      <c r="L2123" s="31"/>
      <c r="M2123" s="31"/>
      <c r="N2123" s="31"/>
      <c r="O2123" s="31"/>
      <c r="P2123" s="32"/>
      <c r="Q2123" s="19"/>
      <c r="R2123" s="11"/>
    </row>
    <row r="2124" s="1" customFormat="1" ht="21.95" customHeight="1" spans="1:18">
      <c r="A2124" s="7"/>
      <c r="B2124" s="12"/>
      <c r="C2124" s="33"/>
      <c r="D2124" s="34" t="s">
        <v>713</v>
      </c>
      <c r="E2124" s="20" t="s">
        <v>714</v>
      </c>
      <c r="F2124" s="35" t="str">
        <f>"Level - "&amp;IFERROR(VLOOKUP(F2115,FLN!$A$4:$K$103,9,0),"")</f>
        <v>Level - 2</v>
      </c>
      <c r="G2124" s="36"/>
      <c r="H2124" s="37" t="s">
        <v>715</v>
      </c>
      <c r="I2124" s="20"/>
      <c r="J2124" s="35" t="str">
        <f>"Level - "&amp;IFERROR(VLOOKUP(F2115,FLN!$A$4:$K$103,11,0),"")</f>
        <v>Level - 3</v>
      </c>
      <c r="K2124" s="36"/>
      <c r="L2124" s="37" t="s">
        <v>408</v>
      </c>
      <c r="M2124" s="20"/>
      <c r="N2124" s="35" t="str">
        <f>"Level - "&amp;IFERROR(VLOOKUP(F2115,FLN!$A$4:$K$103,10,0),"")</f>
        <v>Level - 2</v>
      </c>
      <c r="O2124" s="36"/>
      <c r="P2124" s="19"/>
      <c r="Q2124" s="19"/>
      <c r="R2124" s="11"/>
    </row>
    <row r="2125" s="1" customFormat="1" ht="21.95" customHeight="1" spans="1:18">
      <c r="A2125" s="7"/>
      <c r="B2125" s="12"/>
      <c r="C2125" s="33"/>
      <c r="D2125" s="38"/>
      <c r="E2125" s="20" t="s">
        <v>716</v>
      </c>
      <c r="F2125" s="18" t="str">
        <f ca="1">IF(L2139&gt;197,"PERFORMED WELL","")</f>
        <v/>
      </c>
      <c r="G2125" s="18"/>
      <c r="H2125" s="18"/>
      <c r="I2125" s="18"/>
      <c r="J2125" s="18"/>
      <c r="K2125" s="18"/>
      <c r="L2125" s="18"/>
      <c r="M2125" s="18"/>
      <c r="N2125" s="18"/>
      <c r="O2125" s="18"/>
      <c r="P2125" s="19"/>
      <c r="Q2125" s="19"/>
      <c r="R2125" s="11"/>
    </row>
    <row r="2126" s="1" customFormat="1" ht="9.95" customHeight="1" spans="1:18">
      <c r="A2126" s="7"/>
      <c r="B2126" s="12"/>
      <c r="C2126" s="39"/>
      <c r="D2126" s="40"/>
      <c r="E2126" s="40"/>
      <c r="F2126" s="40"/>
      <c r="G2126" s="40"/>
      <c r="H2126" s="40"/>
      <c r="I2126" s="40"/>
      <c r="J2126" s="40"/>
      <c r="K2126" s="40"/>
      <c r="L2126" s="40"/>
      <c r="M2126" s="40"/>
      <c r="N2126" s="40"/>
      <c r="O2126" s="40"/>
      <c r="P2126" s="41"/>
      <c r="Q2126" s="19"/>
      <c r="R2126" s="11"/>
    </row>
    <row r="2127" s="1" customFormat="1" ht="9.95" customHeight="1" spans="1:18">
      <c r="A2127" s="7"/>
      <c r="B2127" s="12"/>
      <c r="C2127" s="29"/>
      <c r="D2127" s="29"/>
      <c r="E2127" s="29"/>
      <c r="F2127" s="29"/>
      <c r="G2127" s="29"/>
      <c r="H2127" s="29"/>
      <c r="I2127" s="29"/>
      <c r="J2127" s="29"/>
      <c r="K2127" s="29"/>
      <c r="L2127" s="29"/>
      <c r="M2127" s="29"/>
      <c r="N2127" s="29"/>
      <c r="O2127" s="29"/>
      <c r="P2127" s="29"/>
      <c r="Q2127" s="19"/>
      <c r="R2127" s="11"/>
    </row>
    <row r="2128" s="1" customFormat="1" ht="9.95" customHeight="1" spans="1:18">
      <c r="A2128" s="7"/>
      <c r="B2128" s="12"/>
      <c r="C2128" s="30"/>
      <c r="D2128" s="31"/>
      <c r="E2128" s="31"/>
      <c r="F2128" s="31"/>
      <c r="G2128" s="31"/>
      <c r="H2128" s="31"/>
      <c r="I2128" s="31"/>
      <c r="J2128" s="31"/>
      <c r="K2128" s="31"/>
      <c r="L2128" s="31"/>
      <c r="M2128" s="31"/>
      <c r="N2128" s="31"/>
      <c r="O2128" s="31"/>
      <c r="P2128" s="32"/>
      <c r="Q2128" s="19"/>
      <c r="R2128" s="11"/>
    </row>
    <row r="2129" s="1" customFormat="1" ht="21.95" customHeight="1" spans="1:18">
      <c r="A2129" s="7"/>
      <c r="B2129" s="12"/>
      <c r="C2129" s="33"/>
      <c r="D2129" s="35"/>
      <c r="E2129" s="24"/>
      <c r="F2129" s="42" t="s">
        <v>717</v>
      </c>
      <c r="G2129" s="42"/>
      <c r="H2129" s="42"/>
      <c r="I2129" s="42"/>
      <c r="J2129" s="42"/>
      <c r="K2129" s="42"/>
      <c r="L2129" s="43"/>
      <c r="M2129" s="44"/>
      <c r="N2129" s="29"/>
      <c r="O2129" s="29"/>
      <c r="P2129" s="19"/>
      <c r="Q2129" s="19"/>
      <c r="R2129" s="11"/>
    </row>
    <row r="2130" s="1" customFormat="1" ht="21.95" customHeight="1" spans="1:18">
      <c r="A2130" s="7"/>
      <c r="B2130" s="12"/>
      <c r="C2130" s="33"/>
      <c r="D2130" s="45"/>
      <c r="E2130" s="46"/>
      <c r="F2130" s="47" t="s">
        <v>541</v>
      </c>
      <c r="G2130" s="47" t="s">
        <v>542</v>
      </c>
      <c r="H2130" s="47" t="s">
        <v>543</v>
      </c>
      <c r="I2130" s="47" t="s">
        <v>544</v>
      </c>
      <c r="J2130" s="47" t="s">
        <v>561</v>
      </c>
      <c r="K2130" s="48" t="s">
        <v>750</v>
      </c>
      <c r="L2130" s="47" t="s">
        <v>382</v>
      </c>
      <c r="M2130" s="49" t="s">
        <v>546</v>
      </c>
      <c r="N2130" s="29"/>
      <c r="O2130" s="29"/>
      <c r="P2130" s="19"/>
      <c r="Q2130" s="19"/>
      <c r="R2130" s="11"/>
    </row>
    <row r="2131" s="1" customFormat="1" ht="21.95" customHeight="1" spans="1:18">
      <c r="A2131" s="7"/>
      <c r="B2131" s="12"/>
      <c r="C2131" s="33"/>
      <c r="D2131" s="45" t="s">
        <v>652</v>
      </c>
      <c r="E2131" s="46"/>
      <c r="F2131" s="50">
        <v>10</v>
      </c>
      <c r="G2131" s="50">
        <v>10</v>
      </c>
      <c r="H2131" s="50">
        <v>10</v>
      </c>
      <c r="I2131" s="50">
        <v>10</v>
      </c>
      <c r="J2131" s="50">
        <v>60</v>
      </c>
      <c r="K2131" s="51"/>
      <c r="L2131" s="50">
        <v>100</v>
      </c>
      <c r="M2131" s="49"/>
      <c r="N2131" s="29"/>
      <c r="O2131" s="29"/>
      <c r="P2131" s="19"/>
      <c r="Q2131" s="19"/>
      <c r="R2131" s="11"/>
    </row>
    <row r="2132" s="1" customFormat="1" ht="21.95" customHeight="1" spans="1:18">
      <c r="A2132" s="7"/>
      <c r="B2132" s="12"/>
      <c r="C2132" s="33"/>
      <c r="D2132" s="52" t="s">
        <v>751</v>
      </c>
      <c r="E2132" s="53"/>
      <c r="F2132" s="54">
        <f ca="1">IFERROR(VLOOKUP(F2115,'RR-3.1-5TH'!$A$12:'RR-3.1-5TH'!$BN$111,9,0),"")</f>
        <v>0</v>
      </c>
      <c r="G2132" s="54">
        <f ca="1">IFERROR(VLOOKUP(F2115,'RR-3.1-5TH'!$A$12:'RR-3.1-5TH'!$BN$111,10,0),"")</f>
        <v>0</v>
      </c>
      <c r="H2132" s="54">
        <f ca="1">IFERROR(VLOOKUP(F2115,'RR-3.1-5TH'!$A$12:'RR-3.1-5TH'!$BN$111,11,0),"")</f>
        <v>0</v>
      </c>
      <c r="I2132" s="54">
        <f ca="1">IFERROR(VLOOKUP(F2115,'RR-3.1-5TH'!$A$12:'RR-3.1-5TH'!$BN$111,12,0),"")</f>
        <v>0</v>
      </c>
      <c r="J2132" s="54">
        <f ca="1">IFERROR(VLOOKUP(F2115,'RR-3.1-5TH'!$A$12:'RR-3.1-5TH'!$BN$111,13,0),"")</f>
        <v>28</v>
      </c>
      <c r="K2132" s="54">
        <f ca="1">IFERROR(VLOOKUP(F2115,'RR-3.1-5TH'!$A$12:'RR-3.1-5TH'!$BN$111,14,0),"")</f>
        <v>0</v>
      </c>
      <c r="L2132" s="55">
        <f ca="1" t="shared" ref="L2132:L2137" si="111">SUM(F2132,G2132,H2132,I2132,J2132,K2132)</f>
        <v>28</v>
      </c>
      <c r="M2132" s="56" t="str">
        <f ca="1">IF(F2115&gt;ENTRY!$D$24,"",IF(L2132=0,"Ab",IF(L2132&gt;80,"A",IF(L2132&gt;60,"B",IF(L2132&gt;44,"C",IF(L2132&gt;=33,"D",IF(L2132&lt;=32,"E","")))))))</f>
        <v>E</v>
      </c>
      <c r="N2132" s="57" t="s">
        <v>729</v>
      </c>
      <c r="O2132" s="58"/>
      <c r="P2132" s="59"/>
      <c r="Q2132" s="19"/>
      <c r="R2132" s="11"/>
    </row>
    <row r="2133" s="1" customFormat="1" ht="21.95" customHeight="1" spans="1:18">
      <c r="A2133" s="7"/>
      <c r="B2133" s="12"/>
      <c r="C2133" s="33"/>
      <c r="D2133" s="52" t="s">
        <v>513</v>
      </c>
      <c r="E2133" s="53"/>
      <c r="F2133" s="54">
        <f ca="1">IFERROR(VLOOKUP(F2115,'RR-3.1-5TH'!$A$12:'RR-3.1-5TH'!$BN$111,17,0),"")</f>
        <v>0</v>
      </c>
      <c r="G2133" s="54">
        <f ca="1">IFERROR(VLOOKUP(F2115,'RR-3.1-5TH'!$A$12:'RR-3.1-5TH'!$BN$111,18,0),"")</f>
        <v>0</v>
      </c>
      <c r="H2133" s="54">
        <f ca="1">IFERROR(VLOOKUP(F2115,'RR-3.1-5TH'!$A$12:'RR-3.1-5TH'!$BN$111,19,0),"")</f>
        <v>0</v>
      </c>
      <c r="I2133" s="54">
        <f ca="1">IFERROR(VLOOKUP(F2115,'RR-3.1-5TH'!$A$12:'RR-3.1-5TH'!$BN$111,20,0),"")</f>
        <v>0</v>
      </c>
      <c r="J2133" s="54">
        <f ca="1">IFERROR(VLOOKUP(F2115,'RR-3.1-5TH'!$A$12:'RR-3.1-5TH'!$BN$111,21,0),"")</f>
        <v>12</v>
      </c>
      <c r="K2133" s="54">
        <f ca="1">IFERROR(VLOOKUP(F2115,'RR-3.1-5TH'!$A$12:'RR-3.1-5TH'!$BN$111,22,0),"")</f>
        <v>0</v>
      </c>
      <c r="L2133" s="55">
        <f ca="1" t="shared" si="111"/>
        <v>12</v>
      </c>
      <c r="M2133" s="56" t="str">
        <f ca="1">IF(F2115&gt;ENTRY!$D$24,"",IF(L2133=0,"Ab",IF(L2133&gt;80,"A",IF(L2133&gt;60,"B",IF(L2133&gt;44,"C",IF(L2133&gt;=33,"D",IF(L2133&lt;=32,"E","")))))))</f>
        <v>E</v>
      </c>
      <c r="N2133" s="58"/>
      <c r="O2133" s="58"/>
      <c r="P2133" s="59"/>
      <c r="Q2133" s="19"/>
      <c r="R2133" s="11"/>
    </row>
    <row r="2134" s="1" customFormat="1" ht="21.95" customHeight="1" spans="1:18">
      <c r="A2134" s="7"/>
      <c r="B2134" s="12"/>
      <c r="C2134" s="33"/>
      <c r="D2134" s="52" t="s">
        <v>718</v>
      </c>
      <c r="E2134" s="53"/>
      <c r="F2134" s="54">
        <f ca="1">IFERROR(VLOOKUP(F2115,'RR-3.1-5TH'!$A$12:'RR-3.1-5TH'!$BN$111,25,0),"")</f>
        <v>0</v>
      </c>
      <c r="G2134" s="54">
        <f ca="1">IFERROR(VLOOKUP(F2115,'RR-3.1-5TH'!$A$12:'RR-3.1-5TH'!$BN$111,26,0),"")</f>
        <v>0</v>
      </c>
      <c r="H2134" s="54">
        <f ca="1">IFERROR(VLOOKUP(F2115,'RR-3.1-5TH'!$A$12:'RR-3.1-5TH'!$BN$111,27,0),"")</f>
        <v>0</v>
      </c>
      <c r="I2134" s="54">
        <f ca="1">IFERROR(VLOOKUP(F2115,'RR-3.1-5TH'!$A$12:'RR-3.1-5TH'!$BN$111,28,0),"")</f>
        <v>0</v>
      </c>
      <c r="J2134" s="54">
        <f ca="1">IFERROR(VLOOKUP(F2115,'RR-3.1-5TH'!$A$12:'RR-3.1-5TH'!$BN$111,29,0),"")</f>
        <v>12</v>
      </c>
      <c r="K2134" s="54">
        <f ca="1">IFERROR(VLOOKUP(F2115,'RR-3.1-5TH'!$A$12:'RR-3.1-5TH'!$BN$111,30,0),"")</f>
        <v>0</v>
      </c>
      <c r="L2134" s="55">
        <f ca="1" t="shared" si="111"/>
        <v>12</v>
      </c>
      <c r="M2134" s="56" t="str">
        <f ca="1">IF(F2115&gt;ENTRY!$D$24,"",IF(L2134=0,"Ab",IF(L2134&gt;80,"A",IF(L2134&gt;60,"B",IF(L2134&gt;44,"C",IF(L2134&gt;=33,"D",IF(L2134&lt;=32,"E","")))))))</f>
        <v>E</v>
      </c>
      <c r="N2134" s="29"/>
      <c r="O2134" s="29"/>
      <c r="P2134" s="19"/>
      <c r="Q2134" s="19"/>
      <c r="R2134" s="11"/>
    </row>
    <row r="2135" s="1" customFormat="1" ht="21.95" customHeight="1" spans="1:18">
      <c r="A2135" s="7"/>
      <c r="B2135" s="12"/>
      <c r="C2135" s="33"/>
      <c r="D2135" s="52" t="s">
        <v>719</v>
      </c>
      <c r="E2135" s="53"/>
      <c r="F2135" s="54">
        <f ca="1">IFERROR(VLOOKUP(F2115,'RR-3.1-5TH'!$A$12:'RR-3.1-5TH'!$BN$111,33,0),"")</f>
        <v>0</v>
      </c>
      <c r="G2135" s="54">
        <f ca="1">IFERROR(VLOOKUP(F2115,'RR-3.1-5TH'!$A$12:'RR-3.1-5TH'!$BN$111,34,0),"")</f>
        <v>0</v>
      </c>
      <c r="H2135" s="54">
        <f ca="1">IFERROR(VLOOKUP(F2115,'RR-3.1-5TH'!$A$12:'RR-3.1-5TH'!$BN$111,35,0),"")</f>
        <v>0</v>
      </c>
      <c r="I2135" s="54">
        <f ca="1">IFERROR(VLOOKUP(F2115,'RR-3.1-5TH'!$A$12:'RR-3.1-5TH'!$BN$111,36,0),"")</f>
        <v>0</v>
      </c>
      <c r="J2135" s="54">
        <f ca="1">IFERROR(VLOOKUP(F2115,'RR-3.1-5TH'!$A$12:'RR-3.1-5TH'!$BN$111,37,0),"")</f>
        <v>13</v>
      </c>
      <c r="K2135" s="54">
        <f ca="1">IFERROR(VLOOKUP(F2115,'RR-3.1-5TH'!$A$12:'RR-3.1-5TH'!$BN$111,38,0),"")</f>
        <v>0</v>
      </c>
      <c r="L2135" s="55">
        <f ca="1" t="shared" si="111"/>
        <v>13</v>
      </c>
      <c r="M2135" s="56" t="str">
        <f ca="1">IF(F2115&gt;ENTRY!$D$24,"",IF(L2135=0,"Ab",IF(L2135&gt;80,"A",IF(L2135&gt;60,"B",IF(L2135&gt;44,"C",IF(L2135&gt;=33,"D",IF(L2135&lt;=32,"E","")))))))</f>
        <v>E</v>
      </c>
      <c r="N2135" s="29"/>
      <c r="O2135" s="29"/>
      <c r="P2135" s="19"/>
      <c r="Q2135" s="19"/>
      <c r="R2135" s="11"/>
    </row>
    <row r="2136" s="1" customFormat="1" ht="21.95" customHeight="1" spans="1:18">
      <c r="A2136" s="7"/>
      <c r="B2136" s="12"/>
      <c r="C2136" s="33"/>
      <c r="D2136" s="52" t="s">
        <v>548</v>
      </c>
      <c r="E2136" s="53"/>
      <c r="F2136" s="54">
        <f ca="1">IFERROR(VLOOKUP(F2115,'RR-3.1-5TH'!$A$12:'RR-3.1-5TH'!$BN$111,41,0),"")</f>
        <v>0</v>
      </c>
      <c r="G2136" s="54">
        <f ca="1">IFERROR(VLOOKUP(F2115,'RR-3.1-5TH'!$A$12:'RR-3.1-5TH'!$BN$111,42,0),"")</f>
        <v>0</v>
      </c>
      <c r="H2136" s="54">
        <f ca="1">IFERROR(VLOOKUP(F2115,'RR-3.1-5TH'!$A$12:'RR-3.1-5TH'!$BN$111,43,0),"")</f>
        <v>0</v>
      </c>
      <c r="I2136" s="54">
        <f ca="1">IFERROR(VLOOKUP(F2115,'RR-3.1-5TH'!$A$12:'RR-3.1-5TH'!$BN$111,44,0),"")</f>
        <v>0</v>
      </c>
      <c r="J2136" s="54">
        <f ca="1">IFERROR(VLOOKUP(F2115,'RR-3.1-5TH'!$A$12:'RR-3.1-5TH'!$BN$111,45,0),"")</f>
        <v>17</v>
      </c>
      <c r="K2136" s="54">
        <f ca="1">IFERROR(VLOOKUP(F2115,'RR-3.1-5TH'!$A$12:'RR-3.1-5TH'!$BN$111,46,0),"")</f>
        <v>0</v>
      </c>
      <c r="L2136" s="55">
        <f ca="1" t="shared" si="111"/>
        <v>17</v>
      </c>
      <c r="M2136" s="56" t="str">
        <f ca="1">IF(F2115&gt;ENTRY!$D$24,"",IF(L2136=0,"Ab",IF(L2136&gt;80,"A",IF(L2136&gt;60,"B",IF(L2136&gt;44,"C",IF(L2136&gt;=33,"D",IF(L2136&lt;=32,"E","")))))))</f>
        <v>E</v>
      </c>
      <c r="N2136" s="29"/>
      <c r="O2136" s="29"/>
      <c r="P2136" s="19"/>
      <c r="Q2136" s="19"/>
      <c r="R2136" s="11"/>
    </row>
    <row r="2137" s="1" customFormat="1" ht="21.95" customHeight="1" spans="1:18">
      <c r="A2137" s="7"/>
      <c r="B2137" s="12"/>
      <c r="C2137" s="33"/>
      <c r="D2137" s="52" t="s">
        <v>549</v>
      </c>
      <c r="E2137" s="53"/>
      <c r="F2137" s="54">
        <f ca="1">IFERROR(VLOOKUP(F2115,'RR-3.1-5TH'!$A$12:'RR-3.1-5TH'!$BN$111,49,0),"")</f>
        <v>0</v>
      </c>
      <c r="G2137" s="54">
        <f ca="1">IFERROR(VLOOKUP(F2115,'RR-3.1-5TH'!$A$12:'RR-3.1-5TH'!$BN$111,50,0),"")</f>
        <v>0</v>
      </c>
      <c r="H2137" s="54">
        <f ca="1">IFERROR(VLOOKUP(F2115,'RR-3.1-5TH'!$A$12:'RR-3.1-5TH'!$BN$111,51,0),"")</f>
        <v>0</v>
      </c>
      <c r="I2137" s="54">
        <f ca="1">IFERROR(VLOOKUP(F2115,'RR-3.1-5TH'!$A$12:'RR-3.1-5TH'!$BN$111,52,0),"")</f>
        <v>0</v>
      </c>
      <c r="J2137" s="54">
        <f ca="1">IFERROR(VLOOKUP(F2115,'RR-3.1-5TH'!$A$12:'RR-3.1-5TH'!$BN$111,53,0),"")</f>
        <v>25</v>
      </c>
      <c r="K2137" s="54">
        <f ca="1">IFERROR(VLOOKUP(F2115,'RR-3.1-5TH'!$A$12:'RR-3.1-5TH'!$BN$111,54,0),"")</f>
        <v>0</v>
      </c>
      <c r="L2137" s="55">
        <f ca="1" t="shared" si="111"/>
        <v>25</v>
      </c>
      <c r="M2137" s="56" t="str">
        <f ca="1">IF(F2115&gt;ENTRY!$D$24,"",IF(L2137=0,"Ab",IF(L2137&gt;80,"A",IF(L2137&gt;60,"B",IF(L2137&gt;44,"C",IF(L2137&gt;=33,"D",IF(L2137&lt;=32,"E","")))))))</f>
        <v>E</v>
      </c>
      <c r="N2137" s="57" t="s">
        <v>752</v>
      </c>
      <c r="O2137" s="58"/>
      <c r="P2137" s="59"/>
      <c r="Q2137" s="19"/>
      <c r="R2137" s="11"/>
    </row>
    <row r="2138" s="1" customFormat="1" ht="21.95" customHeight="1" spans="1:18">
      <c r="A2138" s="7"/>
      <c r="B2138" s="12"/>
      <c r="C2138" s="33"/>
      <c r="D2138" s="52" t="s">
        <v>753</v>
      </c>
      <c r="E2138" s="53"/>
      <c r="F2138" s="60"/>
      <c r="G2138" s="54"/>
      <c r="H2138" s="54"/>
      <c r="I2138" s="54"/>
      <c r="J2138" s="54"/>
      <c r="K2138" s="54"/>
      <c r="L2138" s="55">
        <f t="shared" ref="L2138" si="112">SUM(G2138:K2138)</f>
        <v>0</v>
      </c>
      <c r="M2138" s="56" t="str">
        <f>IF(F2115&gt;ENTRY!$D$24,"",IF(L2138=0,"",IF(L2138&gt;79,"A",IF(L2138&gt;59,"B",IF(L2138&gt;44,"C",IF(L2138&gt;=33,"D",IF(L2138&lt;=32,"E","")))))))</f>
        <v/>
      </c>
      <c r="N2138" s="58"/>
      <c r="O2138" s="58"/>
      <c r="P2138" s="59"/>
      <c r="Q2138" s="19"/>
      <c r="R2138" s="11"/>
    </row>
    <row r="2139" s="1" customFormat="1" ht="21.95" customHeight="1" spans="1:18">
      <c r="A2139" s="7"/>
      <c r="B2139" s="12"/>
      <c r="C2139" s="33"/>
      <c r="D2139" s="45" t="s">
        <v>382</v>
      </c>
      <c r="E2139" s="46"/>
      <c r="F2139" s="54">
        <f ca="1" t="shared" ref="F2139:L2139" si="113">IFERROR(SUM(F2132:F2138),"")</f>
        <v>0</v>
      </c>
      <c r="G2139" s="54">
        <f ca="1" t="shared" si="113"/>
        <v>0</v>
      </c>
      <c r="H2139" s="54">
        <f ca="1" t="shared" si="113"/>
        <v>0</v>
      </c>
      <c r="I2139" s="54">
        <f ca="1" t="shared" si="113"/>
        <v>0</v>
      </c>
      <c r="J2139" s="54">
        <f ca="1" t="shared" si="113"/>
        <v>107</v>
      </c>
      <c r="K2139" s="54">
        <f ca="1" t="shared" si="113"/>
        <v>0</v>
      </c>
      <c r="L2139" s="55">
        <f ca="1" t="shared" si="113"/>
        <v>107</v>
      </c>
      <c r="M2139" s="61" t="str">
        <f ca="1">IF(F2115&gt;ENTRY!$D$24,"",IF(N2140="Ab","Ab",IF(N2140&gt;79.5,"A",IF(N2140&gt;59.5,"B",IF(N2140&gt;44.5,"C",IF(N2140&gt;=33,"D",IF(N2140&lt;33,"E","")))))))</f>
        <v>E</v>
      </c>
      <c r="N2139" s="62"/>
      <c r="O2139" s="58"/>
      <c r="P2139" s="59"/>
      <c r="Q2139" s="19"/>
      <c r="R2139" s="11"/>
    </row>
    <row r="2140" s="1" customFormat="1" ht="21.95" customHeight="1" spans="1:18">
      <c r="A2140" s="7"/>
      <c r="B2140" s="12"/>
      <c r="C2140" s="33"/>
      <c r="D2140" s="63" t="s">
        <v>721</v>
      </c>
      <c r="E2140" s="63"/>
      <c r="F2140" s="63"/>
      <c r="G2140" s="63"/>
      <c r="H2140" s="63"/>
      <c r="I2140" s="63"/>
      <c r="J2140" s="63"/>
      <c r="K2140" s="63"/>
      <c r="L2140" s="63"/>
      <c r="M2140" s="63"/>
      <c r="N2140" s="64">
        <f ca="1">IF(L2139="Ab","Ab",L2139/6)</f>
        <v>17.8333333333333</v>
      </c>
      <c r="O2140" s="65"/>
      <c r="P2140" s="19"/>
      <c r="Q2140" s="19"/>
      <c r="R2140" s="11"/>
    </row>
    <row r="2141" s="1" customFormat="1" ht="21.95" customHeight="1" spans="1:18">
      <c r="A2141" s="7"/>
      <c r="B2141" s="12"/>
      <c r="C2141" s="33"/>
      <c r="D2141" s="29" t="s">
        <v>716</v>
      </c>
      <c r="E2141" s="18" t="str">
        <f>IFERROR(VLOOKUP(F2115,'1to4-2.1-RR'!$A$12:$BG$111,57,0),"")</f>
        <v>PROMOTED</v>
      </c>
      <c r="F2141" s="18"/>
      <c r="G2141" s="18"/>
      <c r="H2141" s="18"/>
      <c r="I2141" s="18"/>
      <c r="J2141" s="18"/>
      <c r="K2141" s="18"/>
      <c r="L2141" s="18"/>
      <c r="M2141" s="18"/>
      <c r="N2141" s="29"/>
      <c r="O2141" s="29"/>
      <c r="P2141" s="19"/>
      <c r="Q2141" s="19"/>
      <c r="R2141" s="11"/>
    </row>
    <row r="2142" s="1" customFormat="1" ht="9.95" customHeight="1" spans="1:18">
      <c r="A2142" s="7"/>
      <c r="B2142" s="12"/>
      <c r="C2142" s="33"/>
      <c r="D2142" s="29"/>
      <c r="E2142" s="29"/>
      <c r="F2142" s="29"/>
      <c r="G2142" s="29"/>
      <c r="H2142" s="29"/>
      <c r="I2142" s="29"/>
      <c r="J2142" s="29"/>
      <c r="K2142" s="29"/>
      <c r="L2142" s="29"/>
      <c r="M2142" s="29"/>
      <c r="N2142" s="29"/>
      <c r="O2142" s="29"/>
      <c r="P2142" s="19"/>
      <c r="Q2142" s="19"/>
      <c r="R2142" s="11"/>
    </row>
    <row r="2143" s="1" customFormat="1" ht="36" spans="1:18">
      <c r="A2143" s="7"/>
      <c r="B2143" s="12"/>
      <c r="C2143" s="33"/>
      <c r="D2143" s="66" t="s">
        <v>576</v>
      </c>
      <c r="E2143" s="67" t="s">
        <v>754</v>
      </c>
      <c r="F2143" s="47">
        <f>IF(F2115&gt;ENTRY!$D$24,"",IFERROR(VLOOKUP(F2115,PASHEET!$A$4:$CJ$103,88,0),""))</f>
        <v>0</v>
      </c>
      <c r="G2143" s="67" t="s">
        <v>755</v>
      </c>
      <c r="H2143" s="47">
        <f>IF(F2115&gt;ENTRY!$D$24,"",IFERROR(VLOOKUP(F2115,PASHEET!$A$4:$CJ$103,87,0),""))</f>
        <v>0</v>
      </c>
      <c r="I2143" s="68" t="s">
        <v>756</v>
      </c>
      <c r="J2143" s="69" t="str">
        <f>IF(F2115&gt;ENTRY!$D$24,"",IFERROR(IF(F2115&gt;0,H2143/F2143*100),""))</f>
        <v/>
      </c>
      <c r="K2143" s="60" t="s">
        <v>757</v>
      </c>
      <c r="L2143" s="70">
        <f ca="1">IF(F2115&gt;ENTRY!$D$24,"",IFERROR(L2139/600*100,""))</f>
        <v>17.8333333333333</v>
      </c>
      <c r="M2143" s="47" t="str">
        <f ca="1">IF(F2115&gt;ENTRY!$D$24,"",IFERROR(L2139&amp;" / "&amp;"600",""))</f>
        <v>107 / 600</v>
      </c>
      <c r="N2143" s="29"/>
      <c r="O2143" s="29"/>
      <c r="P2143" s="19"/>
      <c r="Q2143" s="19"/>
      <c r="R2143" s="11"/>
    </row>
    <row r="2144" s="1" customFormat="1" ht="9.95" customHeight="1" spans="1:18">
      <c r="A2144" s="7"/>
      <c r="B2144" s="12"/>
      <c r="C2144" s="39"/>
      <c r="D2144" s="40"/>
      <c r="E2144" s="40"/>
      <c r="F2144" s="40"/>
      <c r="G2144" s="40"/>
      <c r="H2144" s="40"/>
      <c r="I2144" s="40"/>
      <c r="J2144" s="40"/>
      <c r="K2144" s="40"/>
      <c r="L2144" s="40"/>
      <c r="M2144" s="40"/>
      <c r="N2144" s="40"/>
      <c r="O2144" s="40"/>
      <c r="P2144" s="41"/>
      <c r="Q2144" s="19"/>
      <c r="R2144" s="11"/>
    </row>
    <row r="2145" s="1" customFormat="1" ht="9.95" customHeight="1" spans="1:19">
      <c r="A2145" s="7"/>
      <c r="B2145" s="12"/>
      <c r="C2145" s="71"/>
      <c r="D2145" s="71"/>
      <c r="E2145" s="71"/>
      <c r="F2145" s="29"/>
      <c r="G2145" s="71"/>
      <c r="H2145" s="71"/>
      <c r="I2145" s="71"/>
      <c r="J2145" s="71"/>
      <c r="K2145" s="71"/>
      <c r="L2145" s="71"/>
      <c r="M2145" s="71"/>
      <c r="N2145" s="71"/>
      <c r="O2145" s="71"/>
      <c r="P2145" s="71"/>
      <c r="Q2145" s="19"/>
      <c r="R2145" s="11"/>
    </row>
    <row r="2146" s="1" customFormat="1" ht="9.95" customHeight="1" spans="1:19">
      <c r="A2146" s="7"/>
      <c r="B2146" s="12"/>
      <c r="C2146" s="29"/>
      <c r="D2146" s="29"/>
      <c r="E2146" s="29"/>
      <c r="F2146" s="72"/>
      <c r="G2146" s="29"/>
      <c r="H2146" s="29"/>
      <c r="I2146" s="29"/>
      <c r="J2146" s="29"/>
      <c r="K2146" s="29"/>
      <c r="L2146" s="29"/>
      <c r="M2146" s="29"/>
      <c r="N2146" s="29"/>
      <c r="O2146" s="29"/>
      <c r="P2146" s="29"/>
      <c r="Q2146" s="19"/>
      <c r="R2146" s="11"/>
    </row>
    <row r="2147" s="1" customFormat="1" ht="9.95" customHeight="1" spans="1:19">
      <c r="A2147" s="7"/>
      <c r="B2147" s="12"/>
      <c r="C2147" s="30"/>
      <c r="D2147" s="31"/>
      <c r="E2147" s="31"/>
      <c r="F2147" s="31"/>
      <c r="G2147" s="31"/>
      <c r="H2147" s="31"/>
      <c r="I2147" s="31"/>
      <c r="J2147" s="31"/>
      <c r="K2147" s="31"/>
      <c r="L2147" s="31"/>
      <c r="M2147" s="31"/>
      <c r="N2147" s="31"/>
      <c r="O2147" s="31"/>
      <c r="P2147" s="32"/>
      <c r="Q2147" s="19"/>
      <c r="R2147" s="11"/>
    </row>
    <row r="2148" s="1" customFormat="1" ht="21.95" customHeight="1" spans="1:19">
      <c r="A2148" s="7"/>
      <c r="B2148" s="12"/>
      <c r="C2148" s="73" t="s">
        <v>7</v>
      </c>
      <c r="D2148" s="13"/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74"/>
      <c r="Q2148" s="19"/>
      <c r="R2148" s="11"/>
      <c r="S2148" s="2"/>
    </row>
    <row r="2149" s="1" customFormat="1" ht="21.95" customHeight="1" spans="1:19">
      <c r="A2149" s="7"/>
      <c r="B2149" s="12"/>
      <c r="C2149" s="33"/>
      <c r="D2149" s="29"/>
      <c r="E2149" s="29"/>
      <c r="F2149" s="29"/>
      <c r="G2149" s="29"/>
      <c r="H2149" s="29"/>
      <c r="I2149" s="29"/>
      <c r="J2149" s="29"/>
      <c r="K2149" s="29"/>
      <c r="L2149" s="29"/>
      <c r="M2149" s="29"/>
      <c r="N2149" s="29"/>
      <c r="O2149" s="29"/>
      <c r="P2149" s="19"/>
      <c r="Q2149" s="19"/>
      <c r="R2149" s="11"/>
    </row>
    <row r="2150" s="1" customFormat="1" ht="21.95" customHeight="1" spans="1:19">
      <c r="A2150" s="7"/>
      <c r="B2150" s="12"/>
      <c r="C2150" s="75" t="str">
        <f>"SESSION-"&amp;ENTRY!$D$11</f>
        <v>SESSION-2026-27</v>
      </c>
      <c r="D2150" s="15"/>
      <c r="E2150" s="15"/>
      <c r="F2150" s="15"/>
      <c r="G2150" s="15"/>
      <c r="H2150" s="15"/>
      <c r="I2150" s="15"/>
      <c r="J2150" s="15"/>
      <c r="K2150" s="15"/>
      <c r="L2150" s="15"/>
      <c r="M2150" s="15"/>
      <c r="N2150" s="15"/>
      <c r="O2150" s="15"/>
      <c r="P2150" s="76"/>
      <c r="Q2150" s="19"/>
      <c r="R2150" s="11"/>
    </row>
    <row r="2151" s="1" customFormat="1" ht="18" customHeight="1" spans="1:19">
      <c r="A2151" s="7"/>
      <c r="B2151" s="12"/>
      <c r="C2151" s="33"/>
      <c r="D2151" s="29"/>
      <c r="E2151" s="29"/>
      <c r="F2151" s="29"/>
      <c r="G2151" s="29"/>
      <c r="H2151" s="29"/>
      <c r="I2151" s="29"/>
      <c r="J2151" s="29"/>
      <c r="K2151" s="29"/>
      <c r="L2151" s="29"/>
      <c r="M2151" s="29"/>
      <c r="N2151" s="29"/>
      <c r="O2151" s="29"/>
      <c r="P2151" s="19"/>
      <c r="Q2151" s="19"/>
      <c r="R2151" s="11"/>
    </row>
    <row r="2152" s="1" customFormat="1" ht="21.95" customHeight="1" spans="1:19">
      <c r="A2152" s="7"/>
      <c r="B2152" s="12"/>
      <c r="C2152" s="33"/>
      <c r="D2152" s="77" t="s">
        <v>758</v>
      </c>
      <c r="E2152" s="77"/>
      <c r="F2152" s="78" t="str">
        <f>IFERROR(PROPER(VLOOKUP(F2115,STUDENT!$A$2:$BP$101,5,0)),"")</f>
        <v>Raja Kumar</v>
      </c>
      <c r="G2152" s="78"/>
      <c r="H2152" s="78"/>
      <c r="I2152" s="78"/>
      <c r="J2152" s="78"/>
      <c r="K2152" s="78"/>
      <c r="L2152" s="78"/>
      <c r="M2152" s="78"/>
      <c r="N2152" s="79" t="s">
        <v>759</v>
      </c>
      <c r="O2152" s="79"/>
      <c r="P2152" s="19"/>
      <c r="Q2152" s="19"/>
      <c r="R2152" s="11"/>
    </row>
    <row r="2153" s="1" customFormat="1" ht="21.95" customHeight="1" spans="1:19">
      <c r="A2153" s="7"/>
      <c r="B2153" s="12"/>
      <c r="C2153" s="33"/>
      <c r="D2153" s="80" t="s">
        <v>760</v>
      </c>
      <c r="E2153" s="81" t="str">
        <f>IFERROR(PROPER(VLOOKUP(F2115,STUDENT!$A$2:$BP$101,9,0)),"")</f>
        <v>Sujita Devi</v>
      </c>
      <c r="F2153" s="81"/>
      <c r="G2153" s="81"/>
      <c r="H2153" s="80" t="s">
        <v>761</v>
      </c>
      <c r="I2153" s="82" t="str">
        <f>IFERROR(PROPER(VLOOKUP(F2115,STUDENT!$A$2:$BP$101,8,0)),"")</f>
        <v>Amar Poddar</v>
      </c>
      <c r="J2153" s="82"/>
      <c r="K2153" s="82"/>
      <c r="L2153" s="82"/>
      <c r="M2153" s="80" t="s">
        <v>762</v>
      </c>
      <c r="N2153" s="83" t="str">
        <f>IFERROR(VLOOKUP(F2115,STUDENT!$A$2:$BP$101,59,0),"")</f>
        <v/>
      </c>
      <c r="O2153" s="83"/>
      <c r="P2153" s="19"/>
      <c r="Q2153" s="19"/>
      <c r="R2153" s="11"/>
    </row>
    <row r="2154" s="1" customFormat="1" ht="21.95" customHeight="1" spans="1:19">
      <c r="A2154" s="7"/>
      <c r="B2154" s="12"/>
      <c r="C2154" s="33"/>
      <c r="D2154" s="77" t="str">
        <f>"has    completed     his  /  her     primary     level     education    in    the    year    "&amp;RIGHT(ENTRY!$D2120,4)&amp;"    from    ( School    Name )"</f>
        <v>has    completed     his  /  her     primary     level     education    in    the    year        from    ( School    Name )</v>
      </c>
      <c r="E2154" s="77"/>
      <c r="F2154" s="77"/>
      <c r="G2154" s="77"/>
      <c r="H2154" s="77"/>
      <c r="I2154" s="77"/>
      <c r="J2154" s="77"/>
      <c r="K2154" s="77"/>
      <c r="L2154" s="77"/>
      <c r="M2154" s="77"/>
      <c r="N2154" s="77"/>
      <c r="O2154" s="77"/>
      <c r="P2154" s="19"/>
      <c r="Q2154" s="19"/>
      <c r="R2154" s="11"/>
    </row>
    <row r="2155" s="1" customFormat="1" ht="21.95" customHeight="1" spans="1:19">
      <c r="A2155" s="7"/>
      <c r="B2155" s="12"/>
      <c r="C2155" s="33"/>
      <c r="D2155" s="81" t="str">
        <f>IF(F2115&gt;0,ENTRY!$D$6,"")</f>
        <v>MCP NITHARI NO 1 BOYS</v>
      </c>
      <c r="E2155" s="81"/>
      <c r="F2155" s="81"/>
      <c r="G2155" s="81"/>
      <c r="H2155" s="81"/>
      <c r="I2155" s="81"/>
      <c r="J2155" s="81"/>
      <c r="K2155" s="81"/>
      <c r="L2155" s="81"/>
      <c r="M2155" s="80" t="s">
        <v>763</v>
      </c>
      <c r="N2155" s="84">
        <f>IF(F2115&gt;0,ENTRY!$D$7,"")</f>
        <v>0</v>
      </c>
      <c r="O2155" s="84"/>
      <c r="P2155" s="85" t="s">
        <v>727</v>
      </c>
      <c r="Q2155" s="19"/>
      <c r="R2155" s="11"/>
    </row>
    <row r="2156" s="1" customFormat="1" ht="21.95" customHeight="1" spans="1:19">
      <c r="A2156" s="7"/>
      <c r="B2156" s="12"/>
      <c r="C2156" s="33"/>
      <c r="D2156" s="29"/>
      <c r="E2156" s="29"/>
      <c r="F2156" s="29"/>
      <c r="G2156" s="29"/>
      <c r="H2156" s="29"/>
      <c r="I2156" s="29"/>
      <c r="J2156" s="29"/>
      <c r="K2156" s="29"/>
      <c r="L2156" s="29"/>
      <c r="M2156" s="29"/>
      <c r="N2156" s="29"/>
      <c r="O2156" s="29"/>
      <c r="P2156" s="19"/>
      <c r="Q2156" s="19"/>
      <c r="R2156" s="11"/>
    </row>
    <row r="2157" s="1" customFormat="1" ht="21.95" customHeight="1" spans="1:19">
      <c r="A2157" s="7"/>
      <c r="B2157" s="12"/>
      <c r="C2157" s="33"/>
      <c r="D2157" s="29"/>
      <c r="E2157" s="29"/>
      <c r="F2157" s="29"/>
      <c r="G2157" s="29"/>
      <c r="H2157" s="29"/>
      <c r="I2157" s="29"/>
      <c r="J2157" s="29"/>
      <c r="K2157" s="29"/>
      <c r="L2157" s="29"/>
      <c r="M2157" s="29"/>
      <c r="N2157" s="29"/>
      <c r="O2157" s="29"/>
      <c r="P2157" s="19"/>
      <c r="Q2157" s="19"/>
      <c r="R2157" s="11"/>
    </row>
    <row r="2158" s="1" customFormat="1" ht="21.95" customHeight="1" spans="1:19">
      <c r="A2158" s="7"/>
      <c r="B2158" s="12"/>
      <c r="C2158" s="33"/>
      <c r="D2158" s="29"/>
      <c r="E2158" s="29"/>
      <c r="F2158" s="29"/>
      <c r="G2158" s="29"/>
      <c r="H2158" s="29"/>
      <c r="I2158" s="29"/>
      <c r="J2158" s="29"/>
      <c r="K2158" s="29"/>
      <c r="L2158" s="29"/>
      <c r="M2158" s="29"/>
      <c r="N2158" s="29"/>
      <c r="O2158" s="29"/>
      <c r="P2158" s="19"/>
      <c r="Q2158" s="19"/>
      <c r="R2158" s="11"/>
    </row>
    <row r="2159" s="1" customFormat="1" ht="21.95" customHeight="1" spans="1:19">
      <c r="A2159" s="7"/>
      <c r="B2159" s="12"/>
      <c r="C2159" s="33"/>
      <c r="D2159" s="29"/>
      <c r="E2159" s="29"/>
      <c r="F2159" s="29"/>
      <c r="G2159" s="29"/>
      <c r="H2159" s="29"/>
      <c r="I2159" s="29"/>
      <c r="J2159" s="29"/>
      <c r="K2159" s="29"/>
      <c r="L2159" s="29"/>
      <c r="M2159" s="29"/>
      <c r="N2159" s="29"/>
      <c r="O2159" s="29"/>
      <c r="P2159" s="19"/>
      <c r="Q2159" s="19"/>
      <c r="R2159" s="11"/>
    </row>
    <row r="2160" s="1" customFormat="1" ht="21.95" customHeight="1" spans="1:19">
      <c r="A2160" s="7"/>
      <c r="B2160" s="12"/>
      <c r="C2160" s="33"/>
      <c r="D2160" s="29"/>
      <c r="E2160" s="29"/>
      <c r="F2160" s="29"/>
      <c r="G2160" s="29"/>
      <c r="H2160" s="29"/>
      <c r="I2160" s="29"/>
      <c r="J2160" s="29"/>
      <c r="K2160" s="29"/>
      <c r="L2160" s="29"/>
      <c r="M2160" s="29"/>
      <c r="N2160" s="29"/>
      <c r="O2160" s="29"/>
      <c r="P2160" s="19"/>
      <c r="Q2160" s="19"/>
      <c r="R2160" s="11"/>
    </row>
    <row r="2161" s="1" customFormat="1" ht="21.95" customHeight="1" spans="1:18">
      <c r="A2161" s="7"/>
      <c r="B2161" s="12"/>
      <c r="C2161" s="33"/>
      <c r="D2161" s="80" t="s">
        <v>728</v>
      </c>
      <c r="E2161" s="86">
        <f>ENTRY!$D$27</f>
        <v>46102</v>
      </c>
      <c r="F2161" s="86"/>
      <c r="G2161" s="29"/>
      <c r="H2161" s="29"/>
      <c r="I2161" s="29"/>
      <c r="J2161" s="29"/>
      <c r="K2161" s="29"/>
      <c r="L2161" s="29"/>
      <c r="M2161" s="87" t="s">
        <v>730</v>
      </c>
      <c r="N2161" s="87"/>
      <c r="O2161" s="87"/>
      <c r="P2161" s="19"/>
      <c r="Q2161" s="19"/>
      <c r="R2161" s="11"/>
    </row>
    <row r="2162" s="1" customFormat="1" ht="21.95" customHeight="1" spans="1:18">
      <c r="A2162" s="7"/>
      <c r="B2162" s="12"/>
      <c r="C2162" s="33"/>
      <c r="D2162" s="80" t="s">
        <v>731</v>
      </c>
      <c r="E2162" s="88" t="str">
        <f>PROPER(ENTRY!$D$28)</f>
        <v>New Delhi</v>
      </c>
      <c r="F2162" s="88"/>
      <c r="G2162" s="29"/>
      <c r="H2162" s="29"/>
      <c r="I2162" s="29"/>
      <c r="J2162" s="29"/>
      <c r="K2162" s="29"/>
      <c r="L2162" s="29"/>
      <c r="M2162" s="89" t="s">
        <v>732</v>
      </c>
      <c r="N2162" s="89"/>
      <c r="O2162" s="89"/>
      <c r="P2162" s="19"/>
      <c r="Q2162" s="19"/>
      <c r="R2162" s="11"/>
    </row>
    <row r="2163" s="1" customFormat="1" ht="21.95" customHeight="1" spans="1:18">
      <c r="A2163" s="7"/>
      <c r="B2163" s="12"/>
      <c r="C2163" s="90"/>
      <c r="D2163" s="91"/>
      <c r="E2163" s="91"/>
      <c r="F2163" s="91"/>
      <c r="G2163" s="91"/>
      <c r="H2163" s="91"/>
      <c r="I2163" s="91"/>
      <c r="J2163" s="91"/>
      <c r="K2163" s="91"/>
      <c r="L2163" s="91"/>
      <c r="M2163" s="91"/>
      <c r="N2163" s="91"/>
      <c r="O2163" s="91"/>
      <c r="P2163" s="92"/>
      <c r="Q2163" s="14"/>
      <c r="R2163" s="11"/>
    </row>
    <row r="2164" s="1" customFormat="1" ht="5.1" customHeight="1" spans="1:18">
      <c r="A2164" s="7"/>
      <c r="B2164" s="90"/>
      <c r="C2164" s="91"/>
      <c r="D2164" s="91"/>
      <c r="E2164" s="91"/>
      <c r="F2164" s="91"/>
      <c r="G2164" s="91"/>
      <c r="H2164" s="91"/>
      <c r="I2164" s="91"/>
      <c r="J2164" s="91"/>
      <c r="K2164" s="91"/>
      <c r="L2164" s="91"/>
      <c r="M2164" s="91"/>
      <c r="N2164" s="91"/>
      <c r="O2164" s="91"/>
      <c r="P2164" s="91"/>
      <c r="Q2164" s="92"/>
      <c r="R2164" s="11"/>
    </row>
    <row r="2165" s="1" customFormat="1" ht="5.1" customHeight="1" spans="1:18">
      <c r="A2165" s="93"/>
      <c r="B2165" s="94"/>
      <c r="C2165" s="94"/>
      <c r="D2165" s="94"/>
      <c r="E2165" s="94"/>
      <c r="F2165" s="94"/>
      <c r="G2165" s="94"/>
      <c r="H2165" s="94"/>
      <c r="I2165" s="94"/>
      <c r="J2165" s="94"/>
      <c r="K2165" s="94"/>
      <c r="L2165" s="94"/>
      <c r="M2165" s="94"/>
      <c r="N2165" s="94"/>
      <c r="O2165" s="94"/>
      <c r="P2165" s="94"/>
      <c r="Q2165" s="94"/>
      <c r="R2165" s="95"/>
    </row>
    <row r="2166" s="2" customFormat="1" ht="9.95" customHeight="1"/>
    <row r="2167" s="1" customFormat="1" ht="5.1" customHeight="1" spans="1:18">
      <c r="A2167" s="4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  <c r="O2167" s="5"/>
      <c r="P2167" s="5"/>
      <c r="Q2167" s="5"/>
      <c r="R2167" s="6"/>
    </row>
    <row r="2168" s="1" customFormat="1" ht="15" customHeight="1" spans="1:18">
      <c r="A2168" s="7"/>
      <c r="B2168" s="8"/>
      <c r="C2168" s="9"/>
      <c r="D2168" s="9"/>
      <c r="E2168" s="9"/>
      <c r="F2168" s="9"/>
      <c r="G2168" s="9"/>
      <c r="H2168" s="9"/>
      <c r="I2168" s="9"/>
      <c r="J2168" s="9"/>
      <c r="K2168" s="9"/>
      <c r="L2168" s="9"/>
      <c r="M2168" s="9"/>
      <c r="N2168" s="9"/>
      <c r="O2168" s="9"/>
      <c r="P2168" s="9"/>
      <c r="Q2168" s="10"/>
      <c r="R2168" s="11"/>
    </row>
    <row r="2169" s="1" customFormat="1" ht="21.95" customHeight="1" spans="1:18">
      <c r="A2169" s="7"/>
      <c r="B2169" s="12"/>
      <c r="C2169" s="13" t="s">
        <v>7</v>
      </c>
      <c r="D2169" s="13"/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/>
      <c r="Q2169" s="14"/>
      <c r="R2169" s="11"/>
    </row>
    <row r="2170" s="1" customFormat="1" ht="21.95" customHeight="1" spans="1:18">
      <c r="A2170" s="7"/>
      <c r="B2170" s="1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14"/>
      <c r="R2170" s="11"/>
    </row>
    <row r="2171" s="1" customFormat="1" ht="21.95" customHeight="1" spans="1:18">
      <c r="A2171" s="7"/>
      <c r="B2171" s="12"/>
      <c r="C2171" s="15" t="str">
        <f>"SESSION-"&amp;ENTRY!$D$11</f>
        <v>SESSION-2026-27</v>
      </c>
      <c r="D2171" s="15"/>
      <c r="E2171" s="15"/>
      <c r="F2171" s="15"/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4"/>
      <c r="R2171" s="11"/>
    </row>
    <row r="2172" s="1" customFormat="1" ht="21.95" customHeight="1" spans="1:18">
      <c r="A2172" s="7"/>
      <c r="B2172" s="12"/>
      <c r="C2172" s="2"/>
      <c r="D2172" s="2"/>
      <c r="E2172" s="2"/>
      <c r="F2172" s="16">
        <f>F2115+1</f>
        <v>39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14"/>
      <c r="R2172" s="11"/>
    </row>
    <row r="2173" s="1" customFormat="1" ht="21.95" customHeight="1" spans="1:18">
      <c r="A2173" s="7"/>
      <c r="B2173" s="12"/>
      <c r="C2173" s="17" t="s">
        <v>392</v>
      </c>
      <c r="D2173" s="17"/>
      <c r="E2173" s="17"/>
      <c r="F2173" s="18" t="str">
        <f>IF(F2172&gt;0,ENTRY!$D$6,"")</f>
        <v>MCP NITHARI NO 1 BOYS</v>
      </c>
      <c r="G2173" s="18"/>
      <c r="H2173" s="18"/>
      <c r="I2173" s="18"/>
      <c r="J2173" s="18"/>
      <c r="K2173" s="18"/>
      <c r="L2173" s="18"/>
      <c r="M2173" s="18"/>
      <c r="N2173" s="18"/>
      <c r="O2173" s="18"/>
      <c r="P2173" s="18"/>
      <c r="Q2173" s="19"/>
      <c r="R2173" s="11"/>
    </row>
    <row r="2174" s="1" customFormat="1" ht="21.95" customHeight="1" spans="1:18">
      <c r="A2174" s="7"/>
      <c r="B2174" s="12"/>
      <c r="C2174" s="17" t="s">
        <v>393</v>
      </c>
      <c r="D2174" s="17"/>
      <c r="E2174" s="17"/>
      <c r="F2174" s="18">
        <f>IF(F2172&gt;0,ENTRY!$D$7,"")</f>
        <v>0</v>
      </c>
      <c r="G2174" s="18"/>
      <c r="H2174" s="20" t="s">
        <v>702</v>
      </c>
      <c r="I2174" s="20"/>
      <c r="J2174" s="21">
        <f>IF(F2172&gt;0,ENTRY!$D$10,"")</f>
        <v>40</v>
      </c>
      <c r="K2174" s="20" t="s">
        <v>703</v>
      </c>
      <c r="L2174" s="22" t="str">
        <f>IF(F2172&gt;0,ENTRY!$D$5,"")</f>
        <v>ROHINI ZONE</v>
      </c>
      <c r="M2174" s="22"/>
      <c r="N2174" s="22"/>
      <c r="O2174" s="22"/>
      <c r="P2174" s="22"/>
      <c r="Q2174" s="19"/>
      <c r="R2174" s="11"/>
    </row>
    <row r="2175" s="1" customFormat="1" ht="21.95" customHeight="1" spans="1:18">
      <c r="A2175" s="7"/>
      <c r="B2175" s="12"/>
      <c r="C2175" s="17" t="s">
        <v>706</v>
      </c>
      <c r="D2175" s="17"/>
      <c r="E2175" s="17"/>
      <c r="F2175" s="23" t="str">
        <f>IFERROR(VLOOKUP(F2172,STUDENT!$A$2:$BP$101,5,0),"")</f>
        <v>LOVECESH KUMAR</v>
      </c>
      <c r="G2175" s="23"/>
      <c r="H2175" s="23"/>
      <c r="I2175" s="23"/>
      <c r="J2175" s="23"/>
      <c r="K2175" s="23"/>
      <c r="L2175" s="20" t="s">
        <v>707</v>
      </c>
      <c r="M2175" s="20"/>
      <c r="N2175" s="24" t="str">
        <f>IF(F2172&gt;0,ENTRY!$D$20&amp;"-"&amp;ENTRY!$D$21,"")</f>
        <v>III-A</v>
      </c>
      <c r="O2175" s="24"/>
      <c r="P2175" s="24"/>
      <c r="Q2175" s="19"/>
      <c r="R2175" s="11"/>
    </row>
    <row r="2176" s="1" customFormat="1" ht="21.95" customHeight="1" spans="1:18">
      <c r="A2176" s="7"/>
      <c r="B2176" s="12"/>
      <c r="C2176" s="17" t="s">
        <v>708</v>
      </c>
      <c r="D2176" s="17"/>
      <c r="E2176" s="17"/>
      <c r="F2176" s="25">
        <f>IFERROR(VLOOKUP(F2172,STUDENT!$A$2:$BP$101,6,0),"")</f>
        <v>15149</v>
      </c>
      <c r="G2176" s="25"/>
      <c r="H2176" s="26" t="s">
        <v>709</v>
      </c>
      <c r="I2176" s="27" t="str">
        <f>IFERROR(VLOOKUP(F2172,STUDENT!$A$2:$BP$101,59,0),"")</f>
        <v/>
      </c>
      <c r="J2176" s="27"/>
      <c r="K2176" s="20" t="s">
        <v>710</v>
      </c>
      <c r="L2176" s="20"/>
      <c r="M2176" s="28">
        <f>IFERROR(VLOOKUP(F2172,STUDENT!$A$2:$BP$101,20,0),"")</f>
        <v>6280119792</v>
      </c>
      <c r="N2176" s="28"/>
      <c r="O2176" s="28"/>
      <c r="P2176" s="28"/>
      <c r="Q2176" s="19"/>
      <c r="R2176" s="11"/>
    </row>
    <row r="2177" s="1" customFormat="1" ht="21.95" customHeight="1" spans="1:18">
      <c r="A2177" s="7"/>
      <c r="B2177" s="12"/>
      <c r="C2177" s="17" t="s">
        <v>711</v>
      </c>
      <c r="D2177" s="17"/>
      <c r="E2177" s="17"/>
      <c r="F2177" s="23" t="str">
        <f>IFERROR(VLOOKUP(F2172,STUDENT!$A$2:$BP$101,9,0),"")</f>
        <v>ANJU KUMARI</v>
      </c>
      <c r="G2177" s="23"/>
      <c r="H2177" s="23"/>
      <c r="I2177" s="23"/>
      <c r="J2177" s="17" t="s">
        <v>620</v>
      </c>
      <c r="K2177" s="17"/>
      <c r="L2177" s="23" t="str">
        <f>IFERROR(VLOOKUP(F2172,STUDENT!$A$2:$BP$101,8,0),"")</f>
        <v>SANDEEP KUMAR</v>
      </c>
      <c r="M2177" s="23"/>
      <c r="N2177" s="23"/>
      <c r="O2177" s="23"/>
      <c r="P2177" s="23"/>
      <c r="Q2177" s="19"/>
      <c r="R2177" s="11"/>
    </row>
    <row r="2178" s="1" customFormat="1" ht="21.95" customHeight="1" spans="1:18">
      <c r="A2178" s="7"/>
      <c r="B2178" s="12"/>
      <c r="C2178" s="17" t="s">
        <v>712</v>
      </c>
      <c r="D2178" s="17"/>
      <c r="E2178" s="17"/>
      <c r="F2178" s="23" t="str">
        <f>IFERROR(VLOOKUP(F2172,STUDENT!$A$2:$BP$101,22,0),"")</f>
        <v>HOUSE NO-150 KH .NO . A/24 GROUND FLOOR NITHARI</v>
      </c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19"/>
      <c r="R2178" s="11"/>
    </row>
    <row r="2179" s="1" customFormat="1" ht="9.95" customHeight="1" spans="1:18">
      <c r="A2179" s="7"/>
      <c r="B2179" s="12"/>
      <c r="C2179" s="29"/>
      <c r="D2179" s="29"/>
      <c r="E2179" s="29"/>
      <c r="F2179" s="29"/>
      <c r="G2179" s="29"/>
      <c r="H2179" s="29"/>
      <c r="I2179" s="29"/>
      <c r="J2179" s="29"/>
      <c r="K2179" s="29"/>
      <c r="L2179" s="29"/>
      <c r="M2179" s="29"/>
      <c r="N2179" s="29"/>
      <c r="O2179" s="29"/>
      <c r="P2179" s="29"/>
      <c r="Q2179" s="19"/>
      <c r="R2179" s="11"/>
    </row>
    <row r="2180" s="1" customFormat="1" ht="9.95" customHeight="1" spans="1:18">
      <c r="A2180" s="7"/>
      <c r="B2180" s="12"/>
      <c r="C2180" s="30"/>
      <c r="D2180" s="31"/>
      <c r="E2180" s="31"/>
      <c r="F2180" s="31"/>
      <c r="G2180" s="31"/>
      <c r="H2180" s="31"/>
      <c r="I2180" s="31"/>
      <c r="J2180" s="31"/>
      <c r="K2180" s="31"/>
      <c r="L2180" s="31"/>
      <c r="M2180" s="31"/>
      <c r="N2180" s="31"/>
      <c r="O2180" s="31"/>
      <c r="P2180" s="32"/>
      <c r="Q2180" s="19"/>
      <c r="R2180" s="11"/>
    </row>
    <row r="2181" s="1" customFormat="1" ht="21.95" customHeight="1" spans="1:18">
      <c r="A2181" s="7"/>
      <c r="B2181" s="12"/>
      <c r="C2181" s="33"/>
      <c r="D2181" s="34" t="s">
        <v>713</v>
      </c>
      <c r="E2181" s="20" t="s">
        <v>714</v>
      </c>
      <c r="F2181" s="35" t="str">
        <f>"Level - "&amp;IFERROR(VLOOKUP(F2172,FLN!$A$4:$K$103,9,0),"")</f>
        <v>Level - </v>
      </c>
      <c r="G2181" s="36"/>
      <c r="H2181" s="37" t="s">
        <v>715</v>
      </c>
      <c r="I2181" s="20"/>
      <c r="J2181" s="35" t="str">
        <f>"Level - "&amp;IFERROR(VLOOKUP(F2172,FLN!$A$4:$K$103,11,0),"")</f>
        <v>Level - </v>
      </c>
      <c r="K2181" s="36"/>
      <c r="L2181" s="37" t="s">
        <v>408</v>
      </c>
      <c r="M2181" s="20"/>
      <c r="N2181" s="35" t="str">
        <f>"Level - "&amp;IFERROR(VLOOKUP(F2172,FLN!$A$4:$K$103,10,0),"")</f>
        <v>Level - </v>
      </c>
      <c r="O2181" s="36"/>
      <c r="P2181" s="19"/>
      <c r="Q2181" s="19"/>
      <c r="R2181" s="11"/>
    </row>
    <row r="2182" s="1" customFormat="1" ht="21.95" customHeight="1" spans="1:18">
      <c r="A2182" s="7"/>
      <c r="B2182" s="12"/>
      <c r="C2182" s="33"/>
      <c r="D2182" s="38"/>
      <c r="E2182" s="20" t="s">
        <v>716</v>
      </c>
      <c r="F2182" s="18" t="str">
        <f ca="1">IF(L2196&gt;197,"PERFORMED WELL","")</f>
        <v/>
      </c>
      <c r="G2182" s="18"/>
      <c r="H2182" s="18"/>
      <c r="I2182" s="18"/>
      <c r="J2182" s="18"/>
      <c r="K2182" s="18"/>
      <c r="L2182" s="18"/>
      <c r="M2182" s="18"/>
      <c r="N2182" s="18"/>
      <c r="O2182" s="18"/>
      <c r="P2182" s="19"/>
      <c r="Q2182" s="19"/>
      <c r="R2182" s="11"/>
    </row>
    <row r="2183" s="1" customFormat="1" ht="9.95" customHeight="1" spans="1:18">
      <c r="A2183" s="7"/>
      <c r="B2183" s="12"/>
      <c r="C2183" s="39"/>
      <c r="D2183" s="40"/>
      <c r="E2183" s="40"/>
      <c r="F2183" s="40"/>
      <c r="G2183" s="40"/>
      <c r="H2183" s="40"/>
      <c r="I2183" s="40"/>
      <c r="J2183" s="40"/>
      <c r="K2183" s="40"/>
      <c r="L2183" s="40"/>
      <c r="M2183" s="40"/>
      <c r="N2183" s="40"/>
      <c r="O2183" s="40"/>
      <c r="P2183" s="41"/>
      <c r="Q2183" s="19"/>
      <c r="R2183" s="11"/>
    </row>
    <row r="2184" s="1" customFormat="1" ht="9.95" customHeight="1" spans="1:18">
      <c r="A2184" s="7"/>
      <c r="B2184" s="12"/>
      <c r="C2184" s="29"/>
      <c r="D2184" s="29"/>
      <c r="E2184" s="29"/>
      <c r="F2184" s="29"/>
      <c r="G2184" s="29"/>
      <c r="H2184" s="29"/>
      <c r="I2184" s="29"/>
      <c r="J2184" s="29"/>
      <c r="K2184" s="29"/>
      <c r="L2184" s="29"/>
      <c r="M2184" s="29"/>
      <c r="N2184" s="29"/>
      <c r="O2184" s="29"/>
      <c r="P2184" s="29"/>
      <c r="Q2184" s="19"/>
      <c r="R2184" s="11"/>
    </row>
    <row r="2185" s="1" customFormat="1" ht="9.95" customHeight="1" spans="1:18">
      <c r="A2185" s="7"/>
      <c r="B2185" s="12"/>
      <c r="C2185" s="30"/>
      <c r="D2185" s="31"/>
      <c r="E2185" s="31"/>
      <c r="F2185" s="31"/>
      <c r="G2185" s="31"/>
      <c r="H2185" s="31"/>
      <c r="I2185" s="31"/>
      <c r="J2185" s="31"/>
      <c r="K2185" s="31"/>
      <c r="L2185" s="31"/>
      <c r="M2185" s="31"/>
      <c r="N2185" s="31"/>
      <c r="O2185" s="31"/>
      <c r="P2185" s="32"/>
      <c r="Q2185" s="19"/>
      <c r="R2185" s="11"/>
    </row>
    <row r="2186" s="1" customFormat="1" ht="21.95" customHeight="1" spans="1:18">
      <c r="A2186" s="7"/>
      <c r="B2186" s="12"/>
      <c r="C2186" s="33"/>
      <c r="D2186" s="35"/>
      <c r="E2186" s="24"/>
      <c r="F2186" s="42" t="s">
        <v>717</v>
      </c>
      <c r="G2186" s="42"/>
      <c r="H2186" s="42"/>
      <c r="I2186" s="42"/>
      <c r="J2186" s="42"/>
      <c r="K2186" s="42"/>
      <c r="L2186" s="43"/>
      <c r="M2186" s="44"/>
      <c r="N2186" s="29"/>
      <c r="O2186" s="29"/>
      <c r="P2186" s="19"/>
      <c r="Q2186" s="19"/>
      <c r="R2186" s="11"/>
    </row>
    <row r="2187" s="1" customFormat="1" ht="21.95" customHeight="1" spans="1:18">
      <c r="A2187" s="7"/>
      <c r="B2187" s="12"/>
      <c r="C2187" s="33"/>
      <c r="D2187" s="45"/>
      <c r="E2187" s="46"/>
      <c r="F2187" s="47" t="s">
        <v>541</v>
      </c>
      <c r="G2187" s="47" t="s">
        <v>542</v>
      </c>
      <c r="H2187" s="47" t="s">
        <v>543</v>
      </c>
      <c r="I2187" s="47" t="s">
        <v>544</v>
      </c>
      <c r="J2187" s="47" t="s">
        <v>561</v>
      </c>
      <c r="K2187" s="48" t="s">
        <v>750</v>
      </c>
      <c r="L2187" s="47" t="s">
        <v>382</v>
      </c>
      <c r="M2187" s="49" t="s">
        <v>546</v>
      </c>
      <c r="N2187" s="29"/>
      <c r="O2187" s="29"/>
      <c r="P2187" s="19"/>
      <c r="Q2187" s="19"/>
      <c r="R2187" s="11"/>
    </row>
    <row r="2188" s="1" customFormat="1" ht="21.95" customHeight="1" spans="1:18">
      <c r="A2188" s="7"/>
      <c r="B2188" s="12"/>
      <c r="C2188" s="33"/>
      <c r="D2188" s="45" t="s">
        <v>652</v>
      </c>
      <c r="E2188" s="46"/>
      <c r="F2188" s="50">
        <v>10</v>
      </c>
      <c r="G2188" s="50">
        <v>10</v>
      </c>
      <c r="H2188" s="50">
        <v>10</v>
      </c>
      <c r="I2188" s="50">
        <v>10</v>
      </c>
      <c r="J2188" s="50">
        <v>60</v>
      </c>
      <c r="K2188" s="51"/>
      <c r="L2188" s="50">
        <v>100</v>
      </c>
      <c r="M2188" s="49"/>
      <c r="N2188" s="29"/>
      <c r="O2188" s="29"/>
      <c r="P2188" s="19"/>
      <c r="Q2188" s="19"/>
      <c r="R2188" s="11"/>
    </row>
    <row r="2189" s="1" customFormat="1" ht="21.95" customHeight="1" spans="1:18">
      <c r="A2189" s="7"/>
      <c r="B2189" s="12"/>
      <c r="C2189" s="33"/>
      <c r="D2189" s="52" t="s">
        <v>751</v>
      </c>
      <c r="E2189" s="53"/>
      <c r="F2189" s="54">
        <f ca="1">IFERROR(VLOOKUP(F2172,'RR-3.1-5TH'!$A$12:'RR-3.1-5TH'!$BN$111,9,0),"")</f>
        <v>0</v>
      </c>
      <c r="G2189" s="54">
        <f ca="1">IFERROR(VLOOKUP(F2172,'RR-3.1-5TH'!$A$12:'RR-3.1-5TH'!$BN$111,10,0),"")</f>
        <v>0</v>
      </c>
      <c r="H2189" s="54">
        <f ca="1">IFERROR(VLOOKUP(F2172,'RR-3.1-5TH'!$A$12:'RR-3.1-5TH'!$BN$111,11,0),"")</f>
        <v>0</v>
      </c>
      <c r="I2189" s="54">
        <f ca="1">IFERROR(VLOOKUP(F2172,'RR-3.1-5TH'!$A$12:'RR-3.1-5TH'!$BN$111,12,0),"")</f>
        <v>0</v>
      </c>
      <c r="J2189" s="54">
        <f ca="1">IFERROR(VLOOKUP(F2172,'RR-3.1-5TH'!$A$12:'RR-3.1-5TH'!$BN$111,13,0),"")</f>
        <v>31</v>
      </c>
      <c r="K2189" s="54">
        <f ca="1">IFERROR(VLOOKUP(F2172,'RR-3.1-5TH'!$A$12:'RR-3.1-5TH'!$BN$111,14,0),"")</f>
        <v>0</v>
      </c>
      <c r="L2189" s="55">
        <f ca="1" t="shared" ref="L2189:L2194" si="114">SUM(F2189,G2189,H2189,I2189,J2189,K2189)</f>
        <v>31</v>
      </c>
      <c r="M2189" s="56" t="str">
        <f ca="1">IF(F2172&gt;ENTRY!$D$24,"",IF(L2189=0,"Ab",IF(L2189&gt;80,"A",IF(L2189&gt;60,"B",IF(L2189&gt;44,"C",IF(L2189&gt;=33,"D",IF(L2189&lt;=32,"E","")))))))</f>
        <v>E</v>
      </c>
      <c r="N2189" s="57" t="s">
        <v>729</v>
      </c>
      <c r="O2189" s="58"/>
      <c r="P2189" s="59"/>
      <c r="Q2189" s="19"/>
      <c r="R2189" s="11"/>
    </row>
    <row r="2190" s="1" customFormat="1" ht="21.95" customHeight="1" spans="1:18">
      <c r="A2190" s="7"/>
      <c r="B2190" s="12"/>
      <c r="C2190" s="33"/>
      <c r="D2190" s="52" t="s">
        <v>513</v>
      </c>
      <c r="E2190" s="53"/>
      <c r="F2190" s="54">
        <f ca="1">IFERROR(VLOOKUP(F2172,'RR-3.1-5TH'!$A$12:'RR-3.1-5TH'!$BN$111,17,0),"")</f>
        <v>0</v>
      </c>
      <c r="G2190" s="54">
        <f ca="1">IFERROR(VLOOKUP(F2172,'RR-3.1-5TH'!$A$12:'RR-3.1-5TH'!$BN$111,18,0),"")</f>
        <v>0</v>
      </c>
      <c r="H2190" s="54">
        <f ca="1">IFERROR(VLOOKUP(F2172,'RR-3.1-5TH'!$A$12:'RR-3.1-5TH'!$BN$111,19,0),"")</f>
        <v>0</v>
      </c>
      <c r="I2190" s="54">
        <f ca="1">IFERROR(VLOOKUP(F2172,'RR-3.1-5TH'!$A$12:'RR-3.1-5TH'!$BN$111,20,0),"")</f>
        <v>0</v>
      </c>
      <c r="J2190" s="54">
        <f ca="1">IFERROR(VLOOKUP(F2172,'RR-3.1-5TH'!$A$12:'RR-3.1-5TH'!$BN$111,21,0),"")</f>
        <v>21</v>
      </c>
      <c r="K2190" s="54">
        <f ca="1">IFERROR(VLOOKUP(F2172,'RR-3.1-5TH'!$A$12:'RR-3.1-5TH'!$BN$111,22,0),"")</f>
        <v>0</v>
      </c>
      <c r="L2190" s="55">
        <f ca="1" t="shared" si="114"/>
        <v>21</v>
      </c>
      <c r="M2190" s="56" t="str">
        <f ca="1">IF(F2172&gt;ENTRY!$D$24,"",IF(L2190=0,"Ab",IF(L2190&gt;80,"A",IF(L2190&gt;60,"B",IF(L2190&gt;44,"C",IF(L2190&gt;=33,"D",IF(L2190&lt;=32,"E","")))))))</f>
        <v>E</v>
      </c>
      <c r="N2190" s="58"/>
      <c r="O2190" s="58"/>
      <c r="P2190" s="59"/>
      <c r="Q2190" s="19"/>
      <c r="R2190" s="11"/>
    </row>
    <row r="2191" s="1" customFormat="1" ht="21.95" customHeight="1" spans="1:18">
      <c r="A2191" s="7"/>
      <c r="B2191" s="12"/>
      <c r="C2191" s="33"/>
      <c r="D2191" s="52" t="s">
        <v>718</v>
      </c>
      <c r="E2191" s="53"/>
      <c r="F2191" s="54">
        <f ca="1">IFERROR(VLOOKUP(F2172,'RR-3.1-5TH'!$A$12:'RR-3.1-5TH'!$BN$111,25,0),"")</f>
        <v>0</v>
      </c>
      <c r="G2191" s="54">
        <f ca="1">IFERROR(VLOOKUP(F2172,'RR-3.1-5TH'!$A$12:'RR-3.1-5TH'!$BN$111,26,0),"")</f>
        <v>0</v>
      </c>
      <c r="H2191" s="54">
        <f ca="1">IFERROR(VLOOKUP(F2172,'RR-3.1-5TH'!$A$12:'RR-3.1-5TH'!$BN$111,27,0),"")</f>
        <v>0</v>
      </c>
      <c r="I2191" s="54">
        <f ca="1">IFERROR(VLOOKUP(F2172,'RR-3.1-5TH'!$A$12:'RR-3.1-5TH'!$BN$111,28,0),"")</f>
        <v>0</v>
      </c>
      <c r="J2191" s="54">
        <f ca="1">IFERROR(VLOOKUP(F2172,'RR-3.1-5TH'!$A$12:'RR-3.1-5TH'!$BN$111,29,0),"")</f>
        <v>15</v>
      </c>
      <c r="K2191" s="54">
        <f ca="1">IFERROR(VLOOKUP(F2172,'RR-3.1-5TH'!$A$12:'RR-3.1-5TH'!$BN$111,30,0),"")</f>
        <v>0</v>
      </c>
      <c r="L2191" s="55">
        <f ca="1" t="shared" si="114"/>
        <v>15</v>
      </c>
      <c r="M2191" s="56" t="str">
        <f ca="1">IF(F2172&gt;ENTRY!$D$24,"",IF(L2191=0,"Ab",IF(L2191&gt;80,"A",IF(L2191&gt;60,"B",IF(L2191&gt;44,"C",IF(L2191&gt;=33,"D",IF(L2191&lt;=32,"E","")))))))</f>
        <v>E</v>
      </c>
      <c r="N2191" s="29"/>
      <c r="O2191" s="29"/>
      <c r="P2191" s="19"/>
      <c r="Q2191" s="19"/>
      <c r="R2191" s="11"/>
    </row>
    <row r="2192" s="1" customFormat="1" ht="21.95" customHeight="1" spans="1:18">
      <c r="A2192" s="7"/>
      <c r="B2192" s="12"/>
      <c r="C2192" s="33"/>
      <c r="D2192" s="52" t="s">
        <v>719</v>
      </c>
      <c r="E2192" s="53"/>
      <c r="F2192" s="54">
        <f ca="1">IFERROR(VLOOKUP(F2172,'RR-3.1-5TH'!$A$12:'RR-3.1-5TH'!$BN$111,33,0),"")</f>
        <v>0</v>
      </c>
      <c r="G2192" s="54">
        <f ca="1">IFERROR(VLOOKUP(F2172,'RR-3.1-5TH'!$A$12:'RR-3.1-5TH'!$BN$111,34,0),"")</f>
        <v>0</v>
      </c>
      <c r="H2192" s="54">
        <f ca="1">IFERROR(VLOOKUP(F2172,'RR-3.1-5TH'!$A$12:'RR-3.1-5TH'!$BN$111,35,0),"")</f>
        <v>0</v>
      </c>
      <c r="I2192" s="54">
        <f ca="1">IFERROR(VLOOKUP(F2172,'RR-3.1-5TH'!$A$12:'RR-3.1-5TH'!$BN$111,36,0),"")</f>
        <v>0</v>
      </c>
      <c r="J2192" s="54">
        <f ca="1">IFERROR(VLOOKUP(F2172,'RR-3.1-5TH'!$A$12:'RR-3.1-5TH'!$BN$111,37,0),"")</f>
        <v>13</v>
      </c>
      <c r="K2192" s="54">
        <f ca="1">IFERROR(VLOOKUP(F2172,'RR-3.1-5TH'!$A$12:'RR-3.1-5TH'!$BN$111,38,0),"")</f>
        <v>0</v>
      </c>
      <c r="L2192" s="55">
        <f ca="1" t="shared" si="114"/>
        <v>13</v>
      </c>
      <c r="M2192" s="56" t="str">
        <f ca="1">IF(F2172&gt;ENTRY!$D$24,"",IF(L2192=0,"Ab",IF(L2192&gt;80,"A",IF(L2192&gt;60,"B",IF(L2192&gt;44,"C",IF(L2192&gt;=33,"D",IF(L2192&lt;=32,"E","")))))))</f>
        <v>E</v>
      </c>
      <c r="N2192" s="29"/>
      <c r="O2192" s="29"/>
      <c r="P2192" s="19"/>
      <c r="Q2192" s="19"/>
      <c r="R2192" s="11"/>
    </row>
    <row r="2193" s="1" customFormat="1" ht="21.95" customHeight="1" spans="1:19">
      <c r="A2193" s="7"/>
      <c r="B2193" s="12"/>
      <c r="C2193" s="33"/>
      <c r="D2193" s="52" t="s">
        <v>548</v>
      </c>
      <c r="E2193" s="53"/>
      <c r="F2193" s="54">
        <f ca="1">IFERROR(VLOOKUP(F2172,'RR-3.1-5TH'!$A$12:'RR-3.1-5TH'!$BN$111,41,0),"")</f>
        <v>0</v>
      </c>
      <c r="G2193" s="54">
        <f ca="1">IFERROR(VLOOKUP(F2172,'RR-3.1-5TH'!$A$12:'RR-3.1-5TH'!$BN$111,42,0),"")</f>
        <v>0</v>
      </c>
      <c r="H2193" s="54">
        <f ca="1">IFERROR(VLOOKUP(F2172,'RR-3.1-5TH'!$A$12:'RR-3.1-5TH'!$BN$111,43,0),"")</f>
        <v>0</v>
      </c>
      <c r="I2193" s="54">
        <f ca="1">IFERROR(VLOOKUP(F2172,'RR-3.1-5TH'!$A$12:'RR-3.1-5TH'!$BN$111,44,0),"")</f>
        <v>0</v>
      </c>
      <c r="J2193" s="54">
        <f ca="1">IFERROR(VLOOKUP(F2172,'RR-3.1-5TH'!$A$12:'RR-3.1-5TH'!$BN$111,45,0),"")</f>
        <v>16</v>
      </c>
      <c r="K2193" s="54">
        <f ca="1">IFERROR(VLOOKUP(F2172,'RR-3.1-5TH'!$A$12:'RR-3.1-5TH'!$BN$111,46,0),"")</f>
        <v>0</v>
      </c>
      <c r="L2193" s="55">
        <f ca="1" t="shared" si="114"/>
        <v>16</v>
      </c>
      <c r="M2193" s="56" t="str">
        <f ca="1">IF(F2172&gt;ENTRY!$D$24,"",IF(L2193=0,"Ab",IF(L2193&gt;80,"A",IF(L2193&gt;60,"B",IF(L2193&gt;44,"C",IF(L2193&gt;=33,"D",IF(L2193&lt;=32,"E","")))))))</f>
        <v>E</v>
      </c>
      <c r="N2193" s="29"/>
      <c r="O2193" s="29"/>
      <c r="P2193" s="19"/>
      <c r="Q2193" s="19"/>
      <c r="R2193" s="11"/>
    </row>
    <row r="2194" s="1" customFormat="1" ht="21.95" customHeight="1" spans="1:19">
      <c r="A2194" s="7"/>
      <c r="B2194" s="12"/>
      <c r="C2194" s="33"/>
      <c r="D2194" s="52" t="s">
        <v>549</v>
      </c>
      <c r="E2194" s="53"/>
      <c r="F2194" s="54">
        <f ca="1">IFERROR(VLOOKUP(F2172,'RR-3.1-5TH'!$A$12:'RR-3.1-5TH'!$BN$111,49,0),"")</f>
        <v>0</v>
      </c>
      <c r="G2194" s="54">
        <f ca="1">IFERROR(VLOOKUP(F2172,'RR-3.1-5TH'!$A$12:'RR-3.1-5TH'!$BN$111,50,0),"")</f>
        <v>0</v>
      </c>
      <c r="H2194" s="54">
        <f ca="1">IFERROR(VLOOKUP(F2172,'RR-3.1-5TH'!$A$12:'RR-3.1-5TH'!$BN$111,51,0),"")</f>
        <v>0</v>
      </c>
      <c r="I2194" s="54">
        <f ca="1">IFERROR(VLOOKUP(F2172,'RR-3.1-5TH'!$A$12:'RR-3.1-5TH'!$BN$111,52,0),"")</f>
        <v>0</v>
      </c>
      <c r="J2194" s="54">
        <f ca="1">IFERROR(VLOOKUP(F2172,'RR-3.1-5TH'!$A$12:'RR-3.1-5TH'!$BN$111,53,0),"")</f>
        <v>20</v>
      </c>
      <c r="K2194" s="54">
        <f ca="1">IFERROR(VLOOKUP(F2172,'RR-3.1-5TH'!$A$12:'RR-3.1-5TH'!$BN$111,54,0),"")</f>
        <v>0</v>
      </c>
      <c r="L2194" s="55">
        <f ca="1" t="shared" si="114"/>
        <v>20</v>
      </c>
      <c r="M2194" s="56" t="str">
        <f ca="1">IF(F2172&gt;ENTRY!$D$24,"",IF(L2194=0,"Ab",IF(L2194&gt;80,"A",IF(L2194&gt;60,"B",IF(L2194&gt;44,"C",IF(L2194&gt;=33,"D",IF(L2194&lt;=32,"E","")))))))</f>
        <v>E</v>
      </c>
      <c r="N2194" s="57" t="s">
        <v>752</v>
      </c>
      <c r="O2194" s="58"/>
      <c r="P2194" s="59"/>
      <c r="Q2194" s="19"/>
      <c r="R2194" s="11"/>
    </row>
    <row r="2195" s="1" customFormat="1" ht="21.95" customHeight="1" spans="1:19">
      <c r="A2195" s="7"/>
      <c r="B2195" s="12"/>
      <c r="C2195" s="33"/>
      <c r="D2195" s="52" t="s">
        <v>753</v>
      </c>
      <c r="E2195" s="53"/>
      <c r="F2195" s="60"/>
      <c r="G2195" s="54"/>
      <c r="H2195" s="54"/>
      <c r="I2195" s="54"/>
      <c r="J2195" s="54"/>
      <c r="K2195" s="54"/>
      <c r="L2195" s="55">
        <f t="shared" ref="L2195" si="115">SUM(G2195:K2195)</f>
        <v>0</v>
      </c>
      <c r="M2195" s="56" t="str">
        <f>IF(F2172&gt;ENTRY!$D$24,"",IF(L2195=0,"",IF(L2195&gt;79,"A",IF(L2195&gt;59,"B",IF(L2195&gt;44,"C",IF(L2195&gt;=33,"D",IF(L2195&lt;=32,"E","")))))))</f>
        <v/>
      </c>
      <c r="N2195" s="58"/>
      <c r="O2195" s="58"/>
      <c r="P2195" s="59"/>
      <c r="Q2195" s="19"/>
      <c r="R2195" s="11"/>
    </row>
    <row r="2196" s="1" customFormat="1" ht="21.95" customHeight="1" spans="1:19">
      <c r="A2196" s="7"/>
      <c r="B2196" s="12"/>
      <c r="C2196" s="33"/>
      <c r="D2196" s="45" t="s">
        <v>382</v>
      </c>
      <c r="E2196" s="46"/>
      <c r="F2196" s="54">
        <f ca="1" t="shared" ref="F2196:L2196" si="116">IFERROR(SUM(F2189:F2195),"")</f>
        <v>0</v>
      </c>
      <c r="G2196" s="54">
        <f ca="1" t="shared" si="116"/>
        <v>0</v>
      </c>
      <c r="H2196" s="54">
        <f ca="1" t="shared" si="116"/>
        <v>0</v>
      </c>
      <c r="I2196" s="54">
        <f ca="1" t="shared" si="116"/>
        <v>0</v>
      </c>
      <c r="J2196" s="54">
        <f ca="1" t="shared" si="116"/>
        <v>116</v>
      </c>
      <c r="K2196" s="54">
        <f ca="1" t="shared" si="116"/>
        <v>0</v>
      </c>
      <c r="L2196" s="55">
        <f ca="1" t="shared" si="116"/>
        <v>116</v>
      </c>
      <c r="M2196" s="61" t="str">
        <f ca="1">IF(F2172&gt;ENTRY!$D$24,"",IF(N2197="Ab","Ab",IF(N2197&gt;79.5,"A",IF(N2197&gt;59.5,"B",IF(N2197&gt;44.5,"C",IF(N2197&gt;=33,"D",IF(N2197&lt;33,"E","")))))))</f>
        <v>E</v>
      </c>
      <c r="N2196" s="62"/>
      <c r="O2196" s="58"/>
      <c r="P2196" s="59"/>
      <c r="Q2196" s="19"/>
      <c r="R2196" s="11"/>
    </row>
    <row r="2197" s="1" customFormat="1" ht="21.95" customHeight="1" spans="1:19">
      <c r="A2197" s="7"/>
      <c r="B2197" s="12"/>
      <c r="C2197" s="33"/>
      <c r="D2197" s="63" t="s">
        <v>721</v>
      </c>
      <c r="E2197" s="63"/>
      <c r="F2197" s="63"/>
      <c r="G2197" s="63"/>
      <c r="H2197" s="63"/>
      <c r="I2197" s="63"/>
      <c r="J2197" s="63"/>
      <c r="K2197" s="63"/>
      <c r="L2197" s="63"/>
      <c r="M2197" s="63"/>
      <c r="N2197" s="64">
        <f ca="1">IF(L2196="Ab","Ab",L2196/6)</f>
        <v>19.3333333333333</v>
      </c>
      <c r="O2197" s="65"/>
      <c r="P2197" s="19"/>
      <c r="Q2197" s="19"/>
      <c r="R2197" s="11"/>
    </row>
    <row r="2198" s="1" customFormat="1" ht="21.95" customHeight="1" spans="1:19">
      <c r="A2198" s="7"/>
      <c r="B2198" s="12"/>
      <c r="C2198" s="33"/>
      <c r="D2198" s="29" t="s">
        <v>716</v>
      </c>
      <c r="E2198" s="18" t="str">
        <f>IFERROR(VLOOKUP(F2172,'1to4-2.1-RR'!$A$12:$BG$111,57,0),"")</f>
        <v>PROMOTED</v>
      </c>
      <c r="F2198" s="18"/>
      <c r="G2198" s="18"/>
      <c r="H2198" s="18"/>
      <c r="I2198" s="18"/>
      <c r="J2198" s="18"/>
      <c r="K2198" s="18"/>
      <c r="L2198" s="18"/>
      <c r="M2198" s="18"/>
      <c r="N2198" s="29"/>
      <c r="O2198" s="29"/>
      <c r="P2198" s="19"/>
      <c r="Q2198" s="19"/>
      <c r="R2198" s="11"/>
    </row>
    <row r="2199" s="1" customFormat="1" ht="9.95" customHeight="1" spans="1:19">
      <c r="A2199" s="7"/>
      <c r="B2199" s="12"/>
      <c r="C2199" s="33"/>
      <c r="D2199" s="29"/>
      <c r="E2199" s="29"/>
      <c r="F2199" s="29"/>
      <c r="G2199" s="29"/>
      <c r="H2199" s="29"/>
      <c r="I2199" s="29"/>
      <c r="J2199" s="29"/>
      <c r="K2199" s="29"/>
      <c r="L2199" s="29"/>
      <c r="M2199" s="29"/>
      <c r="N2199" s="29"/>
      <c r="O2199" s="29"/>
      <c r="P2199" s="19"/>
      <c r="Q2199" s="19"/>
      <c r="R2199" s="11"/>
    </row>
    <row r="2200" s="1" customFormat="1" ht="36" spans="1:19">
      <c r="A2200" s="7"/>
      <c r="B2200" s="12"/>
      <c r="C2200" s="33"/>
      <c r="D2200" s="66" t="s">
        <v>576</v>
      </c>
      <c r="E2200" s="67" t="s">
        <v>754</v>
      </c>
      <c r="F2200" s="47">
        <f>IF(F2172&gt;ENTRY!$D$24,"",IFERROR(VLOOKUP(F2172,PASHEET!$A$4:$CJ$103,88,0),""))</f>
        <v>0</v>
      </c>
      <c r="G2200" s="67" t="s">
        <v>755</v>
      </c>
      <c r="H2200" s="47">
        <f>IF(F2172&gt;ENTRY!$D$24,"",IFERROR(VLOOKUP(F2172,PASHEET!$A$4:$CJ$103,87,0),""))</f>
        <v>0</v>
      </c>
      <c r="I2200" s="68" t="s">
        <v>756</v>
      </c>
      <c r="J2200" s="69" t="str">
        <f>IF(F2172&gt;ENTRY!$D$24,"",IFERROR(IF(F2172&gt;0,H2200/F2200*100),""))</f>
        <v/>
      </c>
      <c r="K2200" s="60" t="s">
        <v>757</v>
      </c>
      <c r="L2200" s="70">
        <f ca="1">IF(F2172&gt;ENTRY!$D$24,"",IFERROR(L2196/600*100,""))</f>
        <v>19.3333333333333</v>
      </c>
      <c r="M2200" s="47" t="str">
        <f ca="1">IF(F2172&gt;ENTRY!$D$24,"",IFERROR(L2196&amp;" / "&amp;"600",""))</f>
        <v>116 / 600</v>
      </c>
      <c r="N2200" s="29"/>
      <c r="O2200" s="29"/>
      <c r="P2200" s="19"/>
      <c r="Q2200" s="19"/>
      <c r="R2200" s="11"/>
    </row>
    <row r="2201" s="1" customFormat="1" ht="9.95" customHeight="1" spans="1:19">
      <c r="A2201" s="7"/>
      <c r="B2201" s="12"/>
      <c r="C2201" s="39"/>
      <c r="D2201" s="40"/>
      <c r="E2201" s="40"/>
      <c r="F2201" s="40"/>
      <c r="G2201" s="40"/>
      <c r="H2201" s="40"/>
      <c r="I2201" s="40"/>
      <c r="J2201" s="40"/>
      <c r="K2201" s="40"/>
      <c r="L2201" s="40"/>
      <c r="M2201" s="40"/>
      <c r="N2201" s="40"/>
      <c r="O2201" s="40"/>
      <c r="P2201" s="41"/>
      <c r="Q2201" s="19"/>
      <c r="R2201" s="11"/>
    </row>
    <row r="2202" s="1" customFormat="1" ht="9.95" customHeight="1" spans="1:19">
      <c r="A2202" s="7"/>
      <c r="B2202" s="12"/>
      <c r="C2202" s="71"/>
      <c r="D2202" s="71"/>
      <c r="E2202" s="71"/>
      <c r="F2202" s="29"/>
      <c r="G2202" s="71"/>
      <c r="H2202" s="71"/>
      <c r="I2202" s="71"/>
      <c r="J2202" s="71"/>
      <c r="K2202" s="71"/>
      <c r="L2202" s="71"/>
      <c r="M2202" s="71"/>
      <c r="N2202" s="71"/>
      <c r="O2202" s="71"/>
      <c r="P2202" s="71"/>
      <c r="Q2202" s="19"/>
      <c r="R2202" s="11"/>
    </row>
    <row r="2203" s="1" customFormat="1" ht="9.95" customHeight="1" spans="1:19">
      <c r="A2203" s="7"/>
      <c r="B2203" s="12"/>
      <c r="C2203" s="29"/>
      <c r="D2203" s="29"/>
      <c r="E2203" s="29"/>
      <c r="F2203" s="72"/>
      <c r="G2203" s="29"/>
      <c r="H2203" s="29"/>
      <c r="I2203" s="29"/>
      <c r="J2203" s="29"/>
      <c r="K2203" s="29"/>
      <c r="L2203" s="29"/>
      <c r="M2203" s="29"/>
      <c r="N2203" s="29"/>
      <c r="O2203" s="29"/>
      <c r="P2203" s="29"/>
      <c r="Q2203" s="19"/>
      <c r="R2203" s="11"/>
    </row>
    <row r="2204" s="1" customFormat="1" ht="9.95" customHeight="1" spans="1:19">
      <c r="A2204" s="7"/>
      <c r="B2204" s="12"/>
      <c r="C2204" s="30"/>
      <c r="D2204" s="31"/>
      <c r="E2204" s="31"/>
      <c r="F2204" s="31"/>
      <c r="G2204" s="31"/>
      <c r="H2204" s="31"/>
      <c r="I2204" s="31"/>
      <c r="J2204" s="31"/>
      <c r="K2204" s="31"/>
      <c r="L2204" s="31"/>
      <c r="M2204" s="31"/>
      <c r="N2204" s="31"/>
      <c r="O2204" s="31"/>
      <c r="P2204" s="32"/>
      <c r="Q2204" s="19"/>
      <c r="R2204" s="11"/>
    </row>
    <row r="2205" s="1" customFormat="1" ht="21.95" customHeight="1" spans="1:19">
      <c r="A2205" s="7"/>
      <c r="B2205" s="12"/>
      <c r="C2205" s="73" t="s">
        <v>7</v>
      </c>
      <c r="D2205" s="13"/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74"/>
      <c r="Q2205" s="19"/>
      <c r="R2205" s="11"/>
      <c r="S2205" s="2"/>
    </row>
    <row r="2206" s="1" customFormat="1" ht="21.95" customHeight="1" spans="1:19">
      <c r="A2206" s="7"/>
      <c r="B2206" s="12"/>
      <c r="C2206" s="33"/>
      <c r="D2206" s="29"/>
      <c r="E2206" s="29"/>
      <c r="F2206" s="29"/>
      <c r="G2206" s="29"/>
      <c r="H2206" s="29"/>
      <c r="I2206" s="29"/>
      <c r="J2206" s="29"/>
      <c r="K2206" s="29"/>
      <c r="L2206" s="29"/>
      <c r="M2206" s="29"/>
      <c r="N2206" s="29"/>
      <c r="O2206" s="29"/>
      <c r="P2206" s="19"/>
      <c r="Q2206" s="19"/>
      <c r="R2206" s="11"/>
    </row>
    <row r="2207" s="1" customFormat="1" ht="21.95" customHeight="1" spans="1:19">
      <c r="A2207" s="7"/>
      <c r="B2207" s="12"/>
      <c r="C2207" s="75" t="str">
        <f>"SESSION-"&amp;ENTRY!$D$11</f>
        <v>SESSION-2026-27</v>
      </c>
      <c r="D2207" s="15"/>
      <c r="E2207" s="15"/>
      <c r="F2207" s="15"/>
      <c r="G2207" s="15"/>
      <c r="H2207" s="15"/>
      <c r="I2207" s="15"/>
      <c r="J2207" s="15"/>
      <c r="K2207" s="15"/>
      <c r="L2207" s="15"/>
      <c r="M2207" s="15"/>
      <c r="N2207" s="15"/>
      <c r="O2207" s="15"/>
      <c r="P2207" s="76"/>
      <c r="Q2207" s="19"/>
      <c r="R2207" s="11"/>
    </row>
    <row r="2208" s="1" customFormat="1" ht="18" customHeight="1" spans="1:19">
      <c r="A2208" s="7"/>
      <c r="B2208" s="12"/>
      <c r="C2208" s="33"/>
      <c r="D2208" s="29"/>
      <c r="E2208" s="29"/>
      <c r="F2208" s="29"/>
      <c r="G2208" s="29"/>
      <c r="H2208" s="29"/>
      <c r="I2208" s="29"/>
      <c r="J2208" s="29"/>
      <c r="K2208" s="29"/>
      <c r="L2208" s="29"/>
      <c r="M2208" s="29"/>
      <c r="N2208" s="29"/>
      <c r="O2208" s="29"/>
      <c r="P2208" s="19"/>
      <c r="Q2208" s="19"/>
      <c r="R2208" s="11"/>
    </row>
    <row r="2209" s="1" customFormat="1" ht="21.95" customHeight="1" spans="1:18">
      <c r="A2209" s="7"/>
      <c r="B2209" s="12"/>
      <c r="C2209" s="33"/>
      <c r="D2209" s="77" t="s">
        <v>758</v>
      </c>
      <c r="E2209" s="77"/>
      <c r="F2209" s="78" t="str">
        <f>IFERROR(PROPER(VLOOKUP(F2172,STUDENT!$A$2:$BP$101,5,0)),"")</f>
        <v>Lovecesh Kumar</v>
      </c>
      <c r="G2209" s="78"/>
      <c r="H2209" s="78"/>
      <c r="I2209" s="78"/>
      <c r="J2209" s="78"/>
      <c r="K2209" s="78"/>
      <c r="L2209" s="78"/>
      <c r="M2209" s="78"/>
      <c r="N2209" s="79" t="s">
        <v>759</v>
      </c>
      <c r="O2209" s="79"/>
      <c r="P2209" s="19"/>
      <c r="Q2209" s="19"/>
      <c r="R2209" s="11"/>
    </row>
    <row r="2210" s="1" customFormat="1" ht="21.95" customHeight="1" spans="1:18">
      <c r="A2210" s="7"/>
      <c r="B2210" s="12"/>
      <c r="C2210" s="33"/>
      <c r="D2210" s="80" t="s">
        <v>760</v>
      </c>
      <c r="E2210" s="81" t="str">
        <f>IFERROR(PROPER(VLOOKUP(F2172,STUDENT!$A$2:$BP$101,9,0)),"")</f>
        <v>Anju Kumari</v>
      </c>
      <c r="F2210" s="81"/>
      <c r="G2210" s="81"/>
      <c r="H2210" s="80" t="s">
        <v>761</v>
      </c>
      <c r="I2210" s="82" t="str">
        <f>IFERROR(PROPER(VLOOKUP(F2172,STUDENT!$A$2:$BP$101,8,0)),"")</f>
        <v>Sandeep Kumar</v>
      </c>
      <c r="J2210" s="82"/>
      <c r="K2210" s="82"/>
      <c r="L2210" s="82"/>
      <c r="M2210" s="80" t="s">
        <v>762</v>
      </c>
      <c r="N2210" s="83" t="str">
        <f>IFERROR(VLOOKUP(F2172,STUDENT!$A$2:$BP$101,59,0),"")</f>
        <v/>
      </c>
      <c r="O2210" s="83"/>
      <c r="P2210" s="19"/>
      <c r="Q2210" s="19"/>
      <c r="R2210" s="11"/>
    </row>
    <row r="2211" s="1" customFormat="1" ht="21.95" customHeight="1" spans="1:18">
      <c r="A2211" s="7"/>
      <c r="B2211" s="12"/>
      <c r="C2211" s="33"/>
      <c r="D2211" s="77" t="str">
        <f>"has    completed     his  /  her     primary     level     education    in    the    year    "&amp;RIGHT(ENTRY!$D2177,4)&amp;"    from    ( School    Name )"</f>
        <v>has    completed     his  /  her     primary     level     education    in    the    year        from    ( School    Name )</v>
      </c>
      <c r="E2211" s="77"/>
      <c r="F2211" s="77"/>
      <c r="G2211" s="77"/>
      <c r="H2211" s="77"/>
      <c r="I2211" s="77"/>
      <c r="J2211" s="77"/>
      <c r="K2211" s="77"/>
      <c r="L2211" s="77"/>
      <c r="M2211" s="77"/>
      <c r="N2211" s="77"/>
      <c r="O2211" s="77"/>
      <c r="P2211" s="19"/>
      <c r="Q2211" s="19"/>
      <c r="R2211" s="11"/>
    </row>
    <row r="2212" s="1" customFormat="1" ht="21.95" customHeight="1" spans="1:18">
      <c r="A2212" s="7"/>
      <c r="B2212" s="12"/>
      <c r="C2212" s="33"/>
      <c r="D2212" s="81" t="str">
        <f>IF(F2172&gt;0,ENTRY!$D$6,"")</f>
        <v>MCP NITHARI NO 1 BOYS</v>
      </c>
      <c r="E2212" s="81"/>
      <c r="F2212" s="81"/>
      <c r="G2212" s="81"/>
      <c r="H2212" s="81"/>
      <c r="I2212" s="81"/>
      <c r="J2212" s="81"/>
      <c r="K2212" s="81"/>
      <c r="L2212" s="81"/>
      <c r="M2212" s="80" t="s">
        <v>763</v>
      </c>
      <c r="N2212" s="84">
        <f>IF(F2172&gt;0,ENTRY!$D$7,"")</f>
        <v>0</v>
      </c>
      <c r="O2212" s="84"/>
      <c r="P2212" s="85" t="s">
        <v>727</v>
      </c>
      <c r="Q2212" s="19"/>
      <c r="R2212" s="11"/>
    </row>
    <row r="2213" s="1" customFormat="1" ht="21.95" customHeight="1" spans="1:18">
      <c r="A2213" s="7"/>
      <c r="B2213" s="12"/>
      <c r="C2213" s="33"/>
      <c r="D2213" s="29"/>
      <c r="E2213" s="29"/>
      <c r="F2213" s="29"/>
      <c r="G2213" s="29"/>
      <c r="H2213" s="29"/>
      <c r="I2213" s="29"/>
      <c r="J2213" s="29"/>
      <c r="K2213" s="29"/>
      <c r="L2213" s="29"/>
      <c r="M2213" s="29"/>
      <c r="N2213" s="29"/>
      <c r="O2213" s="29"/>
      <c r="P2213" s="19"/>
      <c r="Q2213" s="19"/>
      <c r="R2213" s="11"/>
    </row>
    <row r="2214" s="1" customFormat="1" ht="21.95" customHeight="1" spans="1:18">
      <c r="A2214" s="7"/>
      <c r="B2214" s="12"/>
      <c r="C2214" s="33"/>
      <c r="D2214" s="29"/>
      <c r="E2214" s="29"/>
      <c r="F2214" s="29"/>
      <c r="G2214" s="29"/>
      <c r="H2214" s="29"/>
      <c r="I2214" s="29"/>
      <c r="J2214" s="29"/>
      <c r="K2214" s="29"/>
      <c r="L2214" s="29"/>
      <c r="M2214" s="29"/>
      <c r="N2214" s="29"/>
      <c r="O2214" s="29"/>
      <c r="P2214" s="19"/>
      <c r="Q2214" s="19"/>
      <c r="R2214" s="11"/>
    </row>
    <row r="2215" s="1" customFormat="1" ht="21.95" customHeight="1" spans="1:18">
      <c r="A2215" s="7"/>
      <c r="B2215" s="12"/>
      <c r="C2215" s="33"/>
      <c r="D2215" s="29"/>
      <c r="E2215" s="29"/>
      <c r="F2215" s="29"/>
      <c r="G2215" s="29"/>
      <c r="H2215" s="29"/>
      <c r="I2215" s="29"/>
      <c r="J2215" s="29"/>
      <c r="K2215" s="29"/>
      <c r="L2215" s="29"/>
      <c r="M2215" s="29"/>
      <c r="N2215" s="29"/>
      <c r="O2215" s="29"/>
      <c r="P2215" s="19"/>
      <c r="Q2215" s="19"/>
      <c r="R2215" s="11"/>
    </row>
    <row r="2216" s="1" customFormat="1" ht="21.95" customHeight="1" spans="1:18">
      <c r="A2216" s="7"/>
      <c r="B2216" s="12"/>
      <c r="C2216" s="33"/>
      <c r="D2216" s="29"/>
      <c r="E2216" s="29"/>
      <c r="F2216" s="29"/>
      <c r="G2216" s="29"/>
      <c r="H2216" s="29"/>
      <c r="I2216" s="29"/>
      <c r="J2216" s="29"/>
      <c r="K2216" s="29"/>
      <c r="L2216" s="29"/>
      <c r="M2216" s="29"/>
      <c r="N2216" s="29"/>
      <c r="O2216" s="29"/>
      <c r="P2216" s="19"/>
      <c r="Q2216" s="19"/>
      <c r="R2216" s="11"/>
    </row>
    <row r="2217" s="1" customFormat="1" ht="21.95" customHeight="1" spans="1:18">
      <c r="A2217" s="7"/>
      <c r="B2217" s="12"/>
      <c r="C2217" s="33"/>
      <c r="D2217" s="29"/>
      <c r="E2217" s="29"/>
      <c r="F2217" s="29"/>
      <c r="G2217" s="29"/>
      <c r="H2217" s="29"/>
      <c r="I2217" s="29"/>
      <c r="J2217" s="29"/>
      <c r="K2217" s="29"/>
      <c r="L2217" s="29"/>
      <c r="M2217" s="29"/>
      <c r="N2217" s="29"/>
      <c r="O2217" s="29"/>
      <c r="P2217" s="19"/>
      <c r="Q2217" s="19"/>
      <c r="R2217" s="11"/>
    </row>
    <row r="2218" s="1" customFormat="1" ht="21.95" customHeight="1" spans="1:18">
      <c r="A2218" s="7"/>
      <c r="B2218" s="12"/>
      <c r="C2218" s="33"/>
      <c r="D2218" s="80" t="s">
        <v>728</v>
      </c>
      <c r="E2218" s="86">
        <f>ENTRY!$D$27</f>
        <v>46102</v>
      </c>
      <c r="F2218" s="86"/>
      <c r="G2218" s="29"/>
      <c r="H2218" s="29"/>
      <c r="I2218" s="29"/>
      <c r="J2218" s="29"/>
      <c r="K2218" s="29"/>
      <c r="L2218" s="29"/>
      <c r="M2218" s="87" t="s">
        <v>730</v>
      </c>
      <c r="N2218" s="87"/>
      <c r="O2218" s="87"/>
      <c r="P2218" s="19"/>
      <c r="Q2218" s="19"/>
      <c r="R2218" s="11"/>
    </row>
    <row r="2219" s="1" customFormat="1" ht="21.95" customHeight="1" spans="1:18">
      <c r="A2219" s="7"/>
      <c r="B2219" s="12"/>
      <c r="C2219" s="33"/>
      <c r="D2219" s="80" t="s">
        <v>731</v>
      </c>
      <c r="E2219" s="88" t="str">
        <f>PROPER(ENTRY!$D$28)</f>
        <v>New Delhi</v>
      </c>
      <c r="F2219" s="88"/>
      <c r="G2219" s="29"/>
      <c r="H2219" s="29"/>
      <c r="I2219" s="29"/>
      <c r="J2219" s="29"/>
      <c r="K2219" s="29"/>
      <c r="L2219" s="29"/>
      <c r="M2219" s="89" t="s">
        <v>732</v>
      </c>
      <c r="N2219" s="89"/>
      <c r="O2219" s="89"/>
      <c r="P2219" s="19"/>
      <c r="Q2219" s="19"/>
      <c r="R2219" s="11"/>
    </row>
    <row r="2220" s="1" customFormat="1" ht="21.95" customHeight="1" spans="1:18">
      <c r="A2220" s="7"/>
      <c r="B2220" s="12"/>
      <c r="C2220" s="90"/>
      <c r="D2220" s="91"/>
      <c r="E2220" s="91"/>
      <c r="F2220" s="91"/>
      <c r="G2220" s="91"/>
      <c r="H2220" s="91"/>
      <c r="I2220" s="91"/>
      <c r="J2220" s="91"/>
      <c r="K2220" s="91"/>
      <c r="L2220" s="91"/>
      <c r="M2220" s="91"/>
      <c r="N2220" s="91"/>
      <c r="O2220" s="91"/>
      <c r="P2220" s="92"/>
      <c r="Q2220" s="14"/>
      <c r="R2220" s="11"/>
    </row>
    <row r="2221" s="1" customFormat="1" ht="5.1" customHeight="1" spans="1:18">
      <c r="A2221" s="7"/>
      <c r="B2221" s="90"/>
      <c r="C2221" s="91"/>
      <c r="D2221" s="91"/>
      <c r="E2221" s="91"/>
      <c r="F2221" s="91"/>
      <c r="G2221" s="91"/>
      <c r="H2221" s="91"/>
      <c r="I2221" s="91"/>
      <c r="J2221" s="91"/>
      <c r="K2221" s="91"/>
      <c r="L2221" s="91"/>
      <c r="M2221" s="91"/>
      <c r="N2221" s="91"/>
      <c r="O2221" s="91"/>
      <c r="P2221" s="91"/>
      <c r="Q2221" s="92"/>
      <c r="R2221" s="11"/>
    </row>
    <row r="2222" s="1" customFormat="1" ht="5.1" customHeight="1" spans="1:18">
      <c r="A2222" s="93"/>
      <c r="B2222" s="94"/>
      <c r="C2222" s="94"/>
      <c r="D2222" s="94"/>
      <c r="E2222" s="94"/>
      <c r="F2222" s="94"/>
      <c r="G2222" s="94"/>
      <c r="H2222" s="94"/>
      <c r="I2222" s="94"/>
      <c r="J2222" s="94"/>
      <c r="K2222" s="94"/>
      <c r="L2222" s="94"/>
      <c r="M2222" s="94"/>
      <c r="N2222" s="94"/>
      <c r="O2222" s="94"/>
      <c r="P2222" s="94"/>
      <c r="Q2222" s="94"/>
      <c r="R2222" s="95"/>
    </row>
    <row r="2223" s="2" customFormat="1" ht="9.95" customHeight="1"/>
    <row r="2224" s="1" customFormat="1" ht="5.1" customHeight="1" spans="1:18">
      <c r="A2224" s="4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  <c r="O2224" s="5"/>
      <c r="P2224" s="5"/>
      <c r="Q2224" s="5"/>
      <c r="R2224" s="6"/>
    </row>
    <row r="2225" s="1" customFormat="1" ht="15" customHeight="1" spans="1:18">
      <c r="A2225" s="7"/>
      <c r="B2225" s="8"/>
      <c r="C2225" s="9"/>
      <c r="D2225" s="9"/>
      <c r="E2225" s="9"/>
      <c r="F2225" s="9"/>
      <c r="G2225" s="9"/>
      <c r="H2225" s="9"/>
      <c r="I2225" s="9"/>
      <c r="J2225" s="9"/>
      <c r="K2225" s="9"/>
      <c r="L2225" s="9"/>
      <c r="M2225" s="9"/>
      <c r="N2225" s="9"/>
      <c r="O2225" s="9"/>
      <c r="P2225" s="9"/>
      <c r="Q2225" s="10"/>
      <c r="R2225" s="11"/>
    </row>
    <row r="2226" s="1" customFormat="1" ht="21.95" customHeight="1" spans="1:18">
      <c r="A2226" s="7"/>
      <c r="B2226" s="12"/>
      <c r="C2226" s="13" t="s">
        <v>7</v>
      </c>
      <c r="D2226" s="13"/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/>
      <c r="Q2226" s="14"/>
      <c r="R2226" s="11"/>
    </row>
    <row r="2227" s="1" customFormat="1" ht="21.95" customHeight="1" spans="1:18">
      <c r="A2227" s="7"/>
      <c r="B2227" s="1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14"/>
      <c r="R2227" s="11"/>
    </row>
    <row r="2228" s="1" customFormat="1" ht="21.95" customHeight="1" spans="1:18">
      <c r="A2228" s="7"/>
      <c r="B2228" s="12"/>
      <c r="C2228" s="15" t="str">
        <f>"SESSION-"&amp;ENTRY!$D$11</f>
        <v>SESSION-2026-27</v>
      </c>
      <c r="D2228" s="15"/>
      <c r="E2228" s="15"/>
      <c r="F2228" s="15"/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4"/>
      <c r="R2228" s="11"/>
    </row>
    <row r="2229" s="1" customFormat="1" ht="21.95" customHeight="1" spans="1:18">
      <c r="A2229" s="7"/>
      <c r="B2229" s="12"/>
      <c r="C2229" s="2"/>
      <c r="D2229" s="2"/>
      <c r="E2229" s="2"/>
      <c r="F2229" s="16">
        <f>F2172+1</f>
        <v>40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14"/>
      <c r="R2229" s="11"/>
    </row>
    <row r="2230" s="1" customFormat="1" ht="21.95" customHeight="1" spans="1:18">
      <c r="A2230" s="7"/>
      <c r="B2230" s="12"/>
      <c r="C2230" s="17" t="s">
        <v>392</v>
      </c>
      <c r="D2230" s="17"/>
      <c r="E2230" s="17"/>
      <c r="F2230" s="18" t="str">
        <f>IF(F2229&gt;0,ENTRY!$D$6,"")</f>
        <v>MCP NITHARI NO 1 BOYS</v>
      </c>
      <c r="G2230" s="18"/>
      <c r="H2230" s="18"/>
      <c r="I2230" s="18"/>
      <c r="J2230" s="18"/>
      <c r="K2230" s="18"/>
      <c r="L2230" s="18"/>
      <c r="M2230" s="18"/>
      <c r="N2230" s="18"/>
      <c r="O2230" s="18"/>
      <c r="P2230" s="18"/>
      <c r="Q2230" s="19"/>
      <c r="R2230" s="11"/>
    </row>
    <row r="2231" s="1" customFormat="1" ht="21.95" customHeight="1" spans="1:18">
      <c r="A2231" s="7"/>
      <c r="B2231" s="12"/>
      <c r="C2231" s="17" t="s">
        <v>393</v>
      </c>
      <c r="D2231" s="17"/>
      <c r="E2231" s="17"/>
      <c r="F2231" s="18">
        <f>IF(F2229&gt;0,ENTRY!$D$7,"")</f>
        <v>0</v>
      </c>
      <c r="G2231" s="18"/>
      <c r="H2231" s="20" t="s">
        <v>702</v>
      </c>
      <c r="I2231" s="20"/>
      <c r="J2231" s="21">
        <f>IF(F2229&gt;0,ENTRY!$D$10,"")</f>
        <v>40</v>
      </c>
      <c r="K2231" s="20" t="s">
        <v>703</v>
      </c>
      <c r="L2231" s="22" t="str">
        <f>IF(F2229&gt;0,ENTRY!$D$5,"")</f>
        <v>ROHINI ZONE</v>
      </c>
      <c r="M2231" s="22"/>
      <c r="N2231" s="22"/>
      <c r="O2231" s="22"/>
      <c r="P2231" s="22"/>
      <c r="Q2231" s="19"/>
      <c r="R2231" s="11"/>
    </row>
    <row r="2232" s="1" customFormat="1" ht="21.95" customHeight="1" spans="1:18">
      <c r="A2232" s="7"/>
      <c r="B2232" s="12"/>
      <c r="C2232" s="17" t="s">
        <v>706</v>
      </c>
      <c r="D2232" s="17"/>
      <c r="E2232" s="17"/>
      <c r="F2232" s="23">
        <f>IFERROR(VLOOKUP(F2229,STUDENT!$A$2:$BP$101,5,0),"")</f>
        <v>0</v>
      </c>
      <c r="G2232" s="23"/>
      <c r="H2232" s="23"/>
      <c r="I2232" s="23"/>
      <c r="J2232" s="23"/>
      <c r="K2232" s="23"/>
      <c r="L2232" s="20" t="s">
        <v>707</v>
      </c>
      <c r="M2232" s="20"/>
      <c r="N2232" s="24" t="str">
        <f>IF(F2229&gt;0,ENTRY!$D$20&amp;"-"&amp;ENTRY!$D$21,"")</f>
        <v>III-A</v>
      </c>
      <c r="O2232" s="24"/>
      <c r="P2232" s="24"/>
      <c r="Q2232" s="19"/>
      <c r="R2232" s="11"/>
    </row>
    <row r="2233" s="1" customFormat="1" ht="21.95" customHeight="1" spans="1:18">
      <c r="A2233" s="7"/>
      <c r="B2233" s="12"/>
      <c r="C2233" s="17" t="s">
        <v>708</v>
      </c>
      <c r="D2233" s="17"/>
      <c r="E2233" s="17"/>
      <c r="F2233" s="25">
        <f>IFERROR(VLOOKUP(F2229,STUDENT!$A$2:$BP$101,6,0),"")</f>
        <v>0</v>
      </c>
      <c r="G2233" s="25"/>
      <c r="H2233" s="26" t="s">
        <v>709</v>
      </c>
      <c r="I2233" s="27" t="str">
        <f>IFERROR(VLOOKUP(F2229,STUDENT!$A$2:$BP$101,59,0),"")</f>
        <v/>
      </c>
      <c r="J2233" s="27"/>
      <c r="K2233" s="20" t="s">
        <v>710</v>
      </c>
      <c r="L2233" s="20"/>
      <c r="M2233" s="28">
        <f>IFERROR(VLOOKUP(F2229,STUDENT!$A$2:$BP$101,20,0),"")</f>
        <v>0</v>
      </c>
      <c r="N2233" s="28"/>
      <c r="O2233" s="28"/>
      <c r="P2233" s="28"/>
      <c r="Q2233" s="19"/>
      <c r="R2233" s="11"/>
    </row>
    <row r="2234" s="1" customFormat="1" ht="21.95" customHeight="1" spans="1:18">
      <c r="A2234" s="7"/>
      <c r="B2234" s="12"/>
      <c r="C2234" s="17" t="s">
        <v>711</v>
      </c>
      <c r="D2234" s="17"/>
      <c r="E2234" s="17"/>
      <c r="F2234" s="23">
        <f>IFERROR(VLOOKUP(F2229,STUDENT!$A$2:$BP$101,9,0),"")</f>
        <v>0</v>
      </c>
      <c r="G2234" s="23"/>
      <c r="H2234" s="23"/>
      <c r="I2234" s="23"/>
      <c r="J2234" s="17" t="s">
        <v>620</v>
      </c>
      <c r="K2234" s="17"/>
      <c r="L2234" s="23">
        <f>IFERROR(VLOOKUP(F2229,STUDENT!$A$2:$BP$101,8,0),"")</f>
        <v>0</v>
      </c>
      <c r="M2234" s="23"/>
      <c r="N2234" s="23"/>
      <c r="O2234" s="23"/>
      <c r="P2234" s="23"/>
      <c r="Q2234" s="19"/>
      <c r="R2234" s="11"/>
    </row>
    <row r="2235" s="1" customFormat="1" ht="21.95" customHeight="1" spans="1:18">
      <c r="A2235" s="7"/>
      <c r="B2235" s="12"/>
      <c r="C2235" s="17" t="s">
        <v>712</v>
      </c>
      <c r="D2235" s="17"/>
      <c r="E2235" s="17"/>
      <c r="F2235" s="23">
        <f>IFERROR(VLOOKUP(F2229,STUDENT!$A$2:$BP$101,22,0),"")</f>
        <v>0</v>
      </c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19"/>
      <c r="R2235" s="11"/>
    </row>
    <row r="2236" s="1" customFormat="1" ht="9.95" customHeight="1" spans="1:18">
      <c r="A2236" s="7"/>
      <c r="B2236" s="12"/>
      <c r="C2236" s="29"/>
      <c r="D2236" s="29"/>
      <c r="E2236" s="29"/>
      <c r="F2236" s="29"/>
      <c r="G2236" s="29"/>
      <c r="H2236" s="29"/>
      <c r="I2236" s="29"/>
      <c r="J2236" s="29"/>
      <c r="K2236" s="29"/>
      <c r="L2236" s="29"/>
      <c r="M2236" s="29"/>
      <c r="N2236" s="29"/>
      <c r="O2236" s="29"/>
      <c r="P2236" s="29"/>
      <c r="Q2236" s="19"/>
      <c r="R2236" s="11"/>
    </row>
    <row r="2237" s="1" customFormat="1" ht="9.95" customHeight="1" spans="1:18">
      <c r="A2237" s="7"/>
      <c r="B2237" s="12"/>
      <c r="C2237" s="30"/>
      <c r="D2237" s="31"/>
      <c r="E2237" s="31"/>
      <c r="F2237" s="31"/>
      <c r="G2237" s="31"/>
      <c r="H2237" s="31"/>
      <c r="I2237" s="31"/>
      <c r="J2237" s="31"/>
      <c r="K2237" s="31"/>
      <c r="L2237" s="31"/>
      <c r="M2237" s="31"/>
      <c r="N2237" s="31"/>
      <c r="O2237" s="31"/>
      <c r="P2237" s="32"/>
      <c r="Q2237" s="19"/>
      <c r="R2237" s="11"/>
    </row>
    <row r="2238" s="1" customFormat="1" ht="21.95" customHeight="1" spans="1:18">
      <c r="A2238" s="7"/>
      <c r="B2238" s="12"/>
      <c r="C2238" s="33"/>
      <c r="D2238" s="34" t="s">
        <v>713</v>
      </c>
      <c r="E2238" s="20" t="s">
        <v>714</v>
      </c>
      <c r="F2238" s="35" t="str">
        <f>"Level - "&amp;IFERROR(VLOOKUP(F2229,FLN!$A$4:$K$103,9,0),"")</f>
        <v>Level - </v>
      </c>
      <c r="G2238" s="36"/>
      <c r="H2238" s="37" t="s">
        <v>715</v>
      </c>
      <c r="I2238" s="20"/>
      <c r="J2238" s="35" t="str">
        <f>"Level - "&amp;IFERROR(VLOOKUP(F2229,FLN!$A$4:$K$103,11,0),"")</f>
        <v>Level - </v>
      </c>
      <c r="K2238" s="36"/>
      <c r="L2238" s="37" t="s">
        <v>408</v>
      </c>
      <c r="M2238" s="20"/>
      <c r="N2238" s="35" t="str">
        <f>"Level - "&amp;IFERROR(VLOOKUP(F2229,FLN!$A$4:$K$103,10,0),"")</f>
        <v>Level - </v>
      </c>
      <c r="O2238" s="36"/>
      <c r="P2238" s="19"/>
      <c r="Q2238" s="19"/>
      <c r="R2238" s="11"/>
    </row>
    <row r="2239" s="1" customFormat="1" ht="21.95" customHeight="1" spans="1:18">
      <c r="A2239" s="7"/>
      <c r="B2239" s="12"/>
      <c r="C2239" s="33"/>
      <c r="D2239" s="38"/>
      <c r="E2239" s="20" t="s">
        <v>716</v>
      </c>
      <c r="F2239" s="18" t="str">
        <f ca="1">IF(L2253&gt;197,"PERFORMED WELL","")</f>
        <v/>
      </c>
      <c r="G2239" s="18"/>
      <c r="H2239" s="18"/>
      <c r="I2239" s="18"/>
      <c r="J2239" s="18"/>
      <c r="K2239" s="18"/>
      <c r="L2239" s="18"/>
      <c r="M2239" s="18"/>
      <c r="N2239" s="18"/>
      <c r="O2239" s="18"/>
      <c r="P2239" s="19"/>
      <c r="Q2239" s="19"/>
      <c r="R2239" s="11"/>
    </row>
    <row r="2240" s="1" customFormat="1" ht="9.95" customHeight="1" spans="1:18">
      <c r="A2240" s="7"/>
      <c r="B2240" s="12"/>
      <c r="C2240" s="39"/>
      <c r="D2240" s="40"/>
      <c r="E2240" s="40"/>
      <c r="F2240" s="40"/>
      <c r="G2240" s="40"/>
      <c r="H2240" s="40"/>
      <c r="I2240" s="40"/>
      <c r="J2240" s="40"/>
      <c r="K2240" s="40"/>
      <c r="L2240" s="40"/>
      <c r="M2240" s="40"/>
      <c r="N2240" s="40"/>
      <c r="O2240" s="40"/>
      <c r="P2240" s="41"/>
      <c r="Q2240" s="19"/>
      <c r="R2240" s="11"/>
    </row>
    <row r="2241" s="1" customFormat="1" ht="9.95" customHeight="1" spans="1:18">
      <c r="A2241" s="7"/>
      <c r="B2241" s="12"/>
      <c r="C2241" s="29"/>
      <c r="D2241" s="29"/>
      <c r="E2241" s="29"/>
      <c r="F2241" s="29"/>
      <c r="G2241" s="29"/>
      <c r="H2241" s="29"/>
      <c r="I2241" s="29"/>
      <c r="J2241" s="29"/>
      <c r="K2241" s="29"/>
      <c r="L2241" s="29"/>
      <c r="M2241" s="29"/>
      <c r="N2241" s="29"/>
      <c r="O2241" s="29"/>
      <c r="P2241" s="29"/>
      <c r="Q2241" s="19"/>
      <c r="R2241" s="11"/>
    </row>
    <row r="2242" s="1" customFormat="1" ht="9.95" customHeight="1" spans="1:18">
      <c r="A2242" s="7"/>
      <c r="B2242" s="12"/>
      <c r="C2242" s="30"/>
      <c r="D2242" s="31"/>
      <c r="E2242" s="31"/>
      <c r="F2242" s="31"/>
      <c r="G2242" s="31"/>
      <c r="H2242" s="31"/>
      <c r="I2242" s="31"/>
      <c r="J2242" s="31"/>
      <c r="K2242" s="31"/>
      <c r="L2242" s="31"/>
      <c r="M2242" s="31"/>
      <c r="N2242" s="31"/>
      <c r="O2242" s="31"/>
      <c r="P2242" s="32"/>
      <c r="Q2242" s="19"/>
      <c r="R2242" s="11"/>
    </row>
    <row r="2243" s="1" customFormat="1" ht="21.95" customHeight="1" spans="1:18">
      <c r="A2243" s="7"/>
      <c r="B2243" s="12"/>
      <c r="C2243" s="33"/>
      <c r="D2243" s="35"/>
      <c r="E2243" s="24"/>
      <c r="F2243" s="42" t="s">
        <v>717</v>
      </c>
      <c r="G2243" s="42"/>
      <c r="H2243" s="42"/>
      <c r="I2243" s="42"/>
      <c r="J2243" s="42"/>
      <c r="K2243" s="42"/>
      <c r="L2243" s="43"/>
      <c r="M2243" s="44"/>
      <c r="N2243" s="29"/>
      <c r="O2243" s="29"/>
      <c r="P2243" s="19"/>
      <c r="Q2243" s="19"/>
      <c r="R2243" s="11"/>
    </row>
    <row r="2244" s="1" customFormat="1" ht="21.95" customHeight="1" spans="1:18">
      <c r="A2244" s="7"/>
      <c r="B2244" s="12"/>
      <c r="C2244" s="33"/>
      <c r="D2244" s="45"/>
      <c r="E2244" s="46"/>
      <c r="F2244" s="47" t="s">
        <v>541</v>
      </c>
      <c r="G2244" s="47" t="s">
        <v>542</v>
      </c>
      <c r="H2244" s="47" t="s">
        <v>543</v>
      </c>
      <c r="I2244" s="47" t="s">
        <v>544</v>
      </c>
      <c r="J2244" s="47" t="s">
        <v>561</v>
      </c>
      <c r="K2244" s="48" t="s">
        <v>750</v>
      </c>
      <c r="L2244" s="47" t="s">
        <v>382</v>
      </c>
      <c r="M2244" s="49" t="s">
        <v>546</v>
      </c>
      <c r="N2244" s="29"/>
      <c r="O2244" s="29"/>
      <c r="P2244" s="19"/>
      <c r="Q2244" s="19"/>
      <c r="R2244" s="11"/>
    </row>
    <row r="2245" s="1" customFormat="1" ht="21.95" customHeight="1" spans="1:18">
      <c r="A2245" s="7"/>
      <c r="B2245" s="12"/>
      <c r="C2245" s="33"/>
      <c r="D2245" s="45" t="s">
        <v>652</v>
      </c>
      <c r="E2245" s="46"/>
      <c r="F2245" s="50">
        <v>10</v>
      </c>
      <c r="G2245" s="50">
        <v>10</v>
      </c>
      <c r="H2245" s="50">
        <v>10</v>
      </c>
      <c r="I2245" s="50">
        <v>10</v>
      </c>
      <c r="J2245" s="50">
        <v>60</v>
      </c>
      <c r="K2245" s="51"/>
      <c r="L2245" s="50">
        <v>100</v>
      </c>
      <c r="M2245" s="49"/>
      <c r="N2245" s="29"/>
      <c r="O2245" s="29"/>
      <c r="P2245" s="19"/>
      <c r="Q2245" s="19"/>
      <c r="R2245" s="11"/>
    </row>
    <row r="2246" s="1" customFormat="1" ht="21.95" customHeight="1" spans="1:18">
      <c r="A2246" s="7"/>
      <c r="B2246" s="12"/>
      <c r="C2246" s="33"/>
      <c r="D2246" s="52" t="s">
        <v>751</v>
      </c>
      <c r="E2246" s="53"/>
      <c r="F2246" s="54" t="str">
        <f ca="1">IFERROR(VLOOKUP(F2229,'RR-3.1-5TH'!$A$12:'RR-3.1-5TH'!$BN$111,9,0),"")</f>
        <v/>
      </c>
      <c r="G2246" s="54" t="str">
        <f ca="1">IFERROR(VLOOKUP(F2229,'RR-3.1-5TH'!$A$12:'RR-3.1-5TH'!$BN$111,10,0),"")</f>
        <v/>
      </c>
      <c r="H2246" s="54" t="str">
        <f ca="1">IFERROR(VLOOKUP(F2229,'RR-3.1-5TH'!$A$12:'RR-3.1-5TH'!$BN$111,11,0),"")</f>
        <v/>
      </c>
      <c r="I2246" s="54" t="str">
        <f ca="1">IFERROR(VLOOKUP(F2229,'RR-3.1-5TH'!$A$12:'RR-3.1-5TH'!$BN$111,12,0),"")</f>
        <v/>
      </c>
      <c r="J2246" s="54" t="str">
        <f ca="1">IFERROR(VLOOKUP(F2229,'RR-3.1-5TH'!$A$12:'RR-3.1-5TH'!$BN$111,13,0),"")</f>
        <v/>
      </c>
      <c r="K2246" s="54" t="str">
        <f ca="1">IFERROR(VLOOKUP(F2229,'RR-3.1-5TH'!$A$12:'RR-3.1-5TH'!$BN$111,14,0),"")</f>
        <v/>
      </c>
      <c r="L2246" s="55">
        <f ca="1" t="shared" ref="L2246:L2251" si="117">SUM(F2246,G2246,H2246,I2246,J2246,K2246)</f>
        <v>0</v>
      </c>
      <c r="M2246" s="56" t="str">
        <f ca="1">IF(F2229&gt;ENTRY!$D$24,"",IF(L2246=0,"Ab",IF(L2246&gt;80,"A",IF(L2246&gt;60,"B",IF(L2246&gt;44,"C",IF(L2246&gt;=33,"D",IF(L2246&lt;=32,"E","")))))))</f>
        <v/>
      </c>
      <c r="N2246" s="57" t="s">
        <v>729</v>
      </c>
      <c r="O2246" s="58"/>
      <c r="P2246" s="59"/>
      <c r="Q2246" s="19"/>
      <c r="R2246" s="11"/>
    </row>
    <row r="2247" s="1" customFormat="1" ht="21.95" customHeight="1" spans="1:18">
      <c r="A2247" s="7"/>
      <c r="B2247" s="12"/>
      <c r="C2247" s="33"/>
      <c r="D2247" s="52" t="s">
        <v>513</v>
      </c>
      <c r="E2247" s="53"/>
      <c r="F2247" s="54" t="str">
        <f ca="1">IFERROR(VLOOKUP(F2229,'RR-3.1-5TH'!$A$12:'RR-3.1-5TH'!$BN$111,17,0),"")</f>
        <v/>
      </c>
      <c r="G2247" s="54" t="str">
        <f ca="1">IFERROR(VLOOKUP(F2229,'RR-3.1-5TH'!$A$12:'RR-3.1-5TH'!$BN$111,18,0),"")</f>
        <v/>
      </c>
      <c r="H2247" s="54" t="str">
        <f ca="1">IFERROR(VLOOKUP(F2229,'RR-3.1-5TH'!$A$12:'RR-3.1-5TH'!$BN$111,19,0),"")</f>
        <v/>
      </c>
      <c r="I2247" s="54" t="str">
        <f ca="1">IFERROR(VLOOKUP(F2229,'RR-3.1-5TH'!$A$12:'RR-3.1-5TH'!$BN$111,20,0),"")</f>
        <v/>
      </c>
      <c r="J2247" s="54" t="str">
        <f ca="1">IFERROR(VLOOKUP(F2229,'RR-3.1-5TH'!$A$12:'RR-3.1-5TH'!$BN$111,21,0),"")</f>
        <v/>
      </c>
      <c r="K2247" s="54" t="str">
        <f ca="1">IFERROR(VLOOKUP(F2229,'RR-3.1-5TH'!$A$12:'RR-3.1-5TH'!$BN$111,22,0),"")</f>
        <v/>
      </c>
      <c r="L2247" s="55">
        <f ca="1" t="shared" si="117"/>
        <v>0</v>
      </c>
      <c r="M2247" s="56" t="str">
        <f ca="1">IF(F2229&gt;ENTRY!$D$24,"",IF(L2247=0,"Ab",IF(L2247&gt;80,"A",IF(L2247&gt;60,"B",IF(L2247&gt;44,"C",IF(L2247&gt;=33,"D",IF(L2247&lt;=32,"E","")))))))</f>
        <v/>
      </c>
      <c r="N2247" s="58"/>
      <c r="O2247" s="58"/>
      <c r="P2247" s="59"/>
      <c r="Q2247" s="19"/>
      <c r="R2247" s="11"/>
    </row>
    <row r="2248" s="1" customFormat="1" ht="21.95" customHeight="1" spans="1:18">
      <c r="A2248" s="7"/>
      <c r="B2248" s="12"/>
      <c r="C2248" s="33"/>
      <c r="D2248" s="52" t="s">
        <v>718</v>
      </c>
      <c r="E2248" s="53"/>
      <c r="F2248" s="54" t="str">
        <f ca="1">IFERROR(VLOOKUP(F2229,'RR-3.1-5TH'!$A$12:'RR-3.1-5TH'!$BN$111,25,0),"")</f>
        <v/>
      </c>
      <c r="G2248" s="54" t="str">
        <f ca="1">IFERROR(VLOOKUP(F2229,'RR-3.1-5TH'!$A$12:'RR-3.1-5TH'!$BN$111,26,0),"")</f>
        <v/>
      </c>
      <c r="H2248" s="54" t="str">
        <f ca="1">IFERROR(VLOOKUP(F2229,'RR-3.1-5TH'!$A$12:'RR-3.1-5TH'!$BN$111,27,0),"")</f>
        <v/>
      </c>
      <c r="I2248" s="54" t="str">
        <f ca="1">IFERROR(VLOOKUP(F2229,'RR-3.1-5TH'!$A$12:'RR-3.1-5TH'!$BN$111,28,0),"")</f>
        <v/>
      </c>
      <c r="J2248" s="54" t="str">
        <f ca="1">IFERROR(VLOOKUP(F2229,'RR-3.1-5TH'!$A$12:'RR-3.1-5TH'!$BN$111,29,0),"")</f>
        <v/>
      </c>
      <c r="K2248" s="54" t="str">
        <f ca="1">IFERROR(VLOOKUP(F2229,'RR-3.1-5TH'!$A$12:'RR-3.1-5TH'!$BN$111,30,0),"")</f>
        <v/>
      </c>
      <c r="L2248" s="55">
        <f ca="1" t="shared" si="117"/>
        <v>0</v>
      </c>
      <c r="M2248" s="56" t="str">
        <f ca="1">IF(F2229&gt;ENTRY!$D$24,"",IF(L2248=0,"Ab",IF(L2248&gt;80,"A",IF(L2248&gt;60,"B",IF(L2248&gt;44,"C",IF(L2248&gt;=33,"D",IF(L2248&lt;=32,"E","")))))))</f>
        <v/>
      </c>
      <c r="N2248" s="29"/>
      <c r="O2248" s="29"/>
      <c r="P2248" s="19"/>
      <c r="Q2248" s="19"/>
      <c r="R2248" s="11"/>
    </row>
    <row r="2249" s="1" customFormat="1" ht="21.95" customHeight="1" spans="1:18">
      <c r="A2249" s="7"/>
      <c r="B2249" s="12"/>
      <c r="C2249" s="33"/>
      <c r="D2249" s="52" t="s">
        <v>719</v>
      </c>
      <c r="E2249" s="53"/>
      <c r="F2249" s="54" t="str">
        <f ca="1">IFERROR(VLOOKUP(F2229,'RR-3.1-5TH'!$A$12:'RR-3.1-5TH'!$BN$111,33,0),"")</f>
        <v/>
      </c>
      <c r="G2249" s="54" t="str">
        <f ca="1">IFERROR(VLOOKUP(F2229,'RR-3.1-5TH'!$A$12:'RR-3.1-5TH'!$BN$111,34,0),"")</f>
        <v/>
      </c>
      <c r="H2249" s="54" t="str">
        <f ca="1">IFERROR(VLOOKUP(F2229,'RR-3.1-5TH'!$A$12:'RR-3.1-5TH'!$BN$111,35,0),"")</f>
        <v/>
      </c>
      <c r="I2249" s="54" t="str">
        <f ca="1">IFERROR(VLOOKUP(F2229,'RR-3.1-5TH'!$A$12:'RR-3.1-5TH'!$BN$111,36,0),"")</f>
        <v/>
      </c>
      <c r="J2249" s="54" t="str">
        <f ca="1">IFERROR(VLOOKUP(F2229,'RR-3.1-5TH'!$A$12:'RR-3.1-5TH'!$BN$111,37,0),"")</f>
        <v/>
      </c>
      <c r="K2249" s="54" t="str">
        <f ca="1">IFERROR(VLOOKUP(F2229,'RR-3.1-5TH'!$A$12:'RR-3.1-5TH'!$BN$111,38,0),"")</f>
        <v/>
      </c>
      <c r="L2249" s="55">
        <f ca="1" t="shared" si="117"/>
        <v>0</v>
      </c>
      <c r="M2249" s="56" t="str">
        <f ca="1">IF(F2229&gt;ENTRY!$D$24,"",IF(L2249=0,"Ab",IF(L2249&gt;80,"A",IF(L2249&gt;60,"B",IF(L2249&gt;44,"C",IF(L2249&gt;=33,"D",IF(L2249&lt;=32,"E","")))))))</f>
        <v/>
      </c>
      <c r="N2249" s="29"/>
      <c r="O2249" s="29"/>
      <c r="P2249" s="19"/>
      <c r="Q2249" s="19"/>
      <c r="R2249" s="11"/>
    </row>
    <row r="2250" s="1" customFormat="1" ht="21.95" customHeight="1" spans="1:18">
      <c r="A2250" s="7"/>
      <c r="B2250" s="12"/>
      <c r="C2250" s="33"/>
      <c r="D2250" s="52" t="s">
        <v>548</v>
      </c>
      <c r="E2250" s="53"/>
      <c r="F2250" s="54" t="str">
        <f ca="1">IFERROR(VLOOKUP(F2229,'RR-3.1-5TH'!$A$12:'RR-3.1-5TH'!$BN$111,41,0),"")</f>
        <v/>
      </c>
      <c r="G2250" s="54" t="str">
        <f ca="1">IFERROR(VLOOKUP(F2229,'RR-3.1-5TH'!$A$12:'RR-3.1-5TH'!$BN$111,42,0),"")</f>
        <v/>
      </c>
      <c r="H2250" s="54" t="str">
        <f ca="1">IFERROR(VLOOKUP(F2229,'RR-3.1-5TH'!$A$12:'RR-3.1-5TH'!$BN$111,43,0),"")</f>
        <v/>
      </c>
      <c r="I2250" s="54" t="str">
        <f ca="1">IFERROR(VLOOKUP(F2229,'RR-3.1-5TH'!$A$12:'RR-3.1-5TH'!$BN$111,44,0),"")</f>
        <v/>
      </c>
      <c r="J2250" s="54" t="str">
        <f ca="1">IFERROR(VLOOKUP(F2229,'RR-3.1-5TH'!$A$12:'RR-3.1-5TH'!$BN$111,45,0),"")</f>
        <v/>
      </c>
      <c r="K2250" s="54" t="str">
        <f ca="1">IFERROR(VLOOKUP(F2229,'RR-3.1-5TH'!$A$12:'RR-3.1-5TH'!$BN$111,46,0),"")</f>
        <v/>
      </c>
      <c r="L2250" s="55">
        <f ca="1" t="shared" si="117"/>
        <v>0</v>
      </c>
      <c r="M2250" s="56" t="str">
        <f ca="1">IF(F2229&gt;ENTRY!$D$24,"",IF(L2250=0,"Ab",IF(L2250&gt;80,"A",IF(L2250&gt;60,"B",IF(L2250&gt;44,"C",IF(L2250&gt;=33,"D",IF(L2250&lt;=32,"E","")))))))</f>
        <v/>
      </c>
      <c r="N2250" s="29"/>
      <c r="O2250" s="29"/>
      <c r="P2250" s="19"/>
      <c r="Q2250" s="19"/>
      <c r="R2250" s="11"/>
    </row>
    <row r="2251" s="1" customFormat="1" ht="21.95" customHeight="1" spans="1:18">
      <c r="A2251" s="7"/>
      <c r="B2251" s="12"/>
      <c r="C2251" s="33"/>
      <c r="D2251" s="52" t="s">
        <v>549</v>
      </c>
      <c r="E2251" s="53"/>
      <c r="F2251" s="54" t="str">
        <f ca="1">IFERROR(VLOOKUP(F2229,'RR-3.1-5TH'!$A$12:'RR-3.1-5TH'!$BN$111,49,0),"")</f>
        <v/>
      </c>
      <c r="G2251" s="54" t="str">
        <f ca="1">IFERROR(VLOOKUP(F2229,'RR-3.1-5TH'!$A$12:'RR-3.1-5TH'!$BN$111,50,0),"")</f>
        <v/>
      </c>
      <c r="H2251" s="54" t="str">
        <f ca="1">IFERROR(VLOOKUP(F2229,'RR-3.1-5TH'!$A$12:'RR-3.1-5TH'!$BN$111,51,0),"")</f>
        <v/>
      </c>
      <c r="I2251" s="54" t="str">
        <f ca="1">IFERROR(VLOOKUP(F2229,'RR-3.1-5TH'!$A$12:'RR-3.1-5TH'!$BN$111,52,0),"")</f>
        <v/>
      </c>
      <c r="J2251" s="54" t="str">
        <f ca="1">IFERROR(VLOOKUP(F2229,'RR-3.1-5TH'!$A$12:'RR-3.1-5TH'!$BN$111,53,0),"")</f>
        <v/>
      </c>
      <c r="K2251" s="54" t="str">
        <f ca="1">IFERROR(VLOOKUP(F2229,'RR-3.1-5TH'!$A$12:'RR-3.1-5TH'!$BN$111,54,0),"")</f>
        <v/>
      </c>
      <c r="L2251" s="55">
        <f ca="1" t="shared" si="117"/>
        <v>0</v>
      </c>
      <c r="M2251" s="56" t="str">
        <f ca="1">IF(F2229&gt;ENTRY!$D$24,"",IF(L2251=0,"Ab",IF(L2251&gt;80,"A",IF(L2251&gt;60,"B",IF(L2251&gt;44,"C",IF(L2251&gt;=33,"D",IF(L2251&lt;=32,"E","")))))))</f>
        <v/>
      </c>
      <c r="N2251" s="57" t="s">
        <v>752</v>
      </c>
      <c r="O2251" s="58"/>
      <c r="P2251" s="59"/>
      <c r="Q2251" s="19"/>
      <c r="R2251" s="11"/>
    </row>
    <row r="2252" s="1" customFormat="1" ht="21.95" customHeight="1" spans="1:18">
      <c r="A2252" s="7"/>
      <c r="B2252" s="12"/>
      <c r="C2252" s="33"/>
      <c r="D2252" s="52" t="s">
        <v>753</v>
      </c>
      <c r="E2252" s="53"/>
      <c r="F2252" s="60"/>
      <c r="G2252" s="54"/>
      <c r="H2252" s="54"/>
      <c r="I2252" s="54"/>
      <c r="J2252" s="54"/>
      <c r="K2252" s="54"/>
      <c r="L2252" s="55">
        <f t="shared" ref="L2252" si="118">SUM(G2252:K2252)</f>
        <v>0</v>
      </c>
      <c r="M2252" s="56" t="str">
        <f>IF(F2229&gt;ENTRY!$D$24,"",IF(L2252=0,"",IF(L2252&gt;79,"A",IF(L2252&gt;59,"B",IF(L2252&gt;44,"C",IF(L2252&gt;=33,"D",IF(L2252&lt;=32,"E","")))))))</f>
        <v/>
      </c>
      <c r="N2252" s="58"/>
      <c r="O2252" s="58"/>
      <c r="P2252" s="59"/>
      <c r="Q2252" s="19"/>
      <c r="R2252" s="11"/>
    </row>
    <row r="2253" s="1" customFormat="1" ht="21.95" customHeight="1" spans="1:18">
      <c r="A2253" s="7"/>
      <c r="B2253" s="12"/>
      <c r="C2253" s="33"/>
      <c r="D2253" s="45" t="s">
        <v>382</v>
      </c>
      <c r="E2253" s="46"/>
      <c r="F2253" s="54">
        <f ca="1" t="shared" ref="F2253:L2253" si="119">IFERROR(SUM(F2246:F2252),"")</f>
        <v>0</v>
      </c>
      <c r="G2253" s="54">
        <f ca="1" t="shared" si="119"/>
        <v>0</v>
      </c>
      <c r="H2253" s="54">
        <f ca="1" t="shared" si="119"/>
        <v>0</v>
      </c>
      <c r="I2253" s="54">
        <f ca="1" t="shared" si="119"/>
        <v>0</v>
      </c>
      <c r="J2253" s="54">
        <f ca="1" t="shared" si="119"/>
        <v>0</v>
      </c>
      <c r="K2253" s="54">
        <f ca="1" t="shared" si="119"/>
        <v>0</v>
      </c>
      <c r="L2253" s="55">
        <f ca="1" t="shared" si="119"/>
        <v>0</v>
      </c>
      <c r="M2253" s="61" t="str">
        <f ca="1">IF(F2229&gt;ENTRY!$D$24,"",IF(N2254="Ab","Ab",IF(N2254&gt;79.5,"A",IF(N2254&gt;59.5,"B",IF(N2254&gt;44.5,"C",IF(N2254&gt;=33,"D",IF(N2254&lt;33,"E","")))))))</f>
        <v/>
      </c>
      <c r="N2253" s="62"/>
      <c r="O2253" s="58"/>
      <c r="P2253" s="59"/>
      <c r="Q2253" s="19"/>
      <c r="R2253" s="11"/>
    </row>
    <row r="2254" s="1" customFormat="1" ht="21.95" customHeight="1" spans="1:18">
      <c r="A2254" s="7"/>
      <c r="B2254" s="12"/>
      <c r="C2254" s="33"/>
      <c r="D2254" s="63" t="s">
        <v>721</v>
      </c>
      <c r="E2254" s="63"/>
      <c r="F2254" s="63"/>
      <c r="G2254" s="63"/>
      <c r="H2254" s="63"/>
      <c r="I2254" s="63"/>
      <c r="J2254" s="63"/>
      <c r="K2254" s="63"/>
      <c r="L2254" s="63"/>
      <c r="M2254" s="63"/>
      <c r="N2254" s="64">
        <f ca="1">IF(L2253="Ab","Ab",L2253/6)</f>
        <v>0</v>
      </c>
      <c r="O2254" s="65"/>
      <c r="P2254" s="19"/>
      <c r="Q2254" s="19"/>
      <c r="R2254" s="11"/>
    </row>
    <row r="2255" s="1" customFormat="1" ht="21.95" customHeight="1" spans="1:18">
      <c r="A2255" s="7"/>
      <c r="B2255" s="12"/>
      <c r="C2255" s="33"/>
      <c r="D2255" s="29" t="s">
        <v>716</v>
      </c>
      <c r="E2255" s="18" t="str">
        <f>IFERROR(VLOOKUP(F2229,'1to4-2.1-RR'!$A$12:$BG$111,57,0),"")</f>
        <v/>
      </c>
      <c r="F2255" s="18"/>
      <c r="G2255" s="18"/>
      <c r="H2255" s="18"/>
      <c r="I2255" s="18"/>
      <c r="J2255" s="18"/>
      <c r="K2255" s="18"/>
      <c r="L2255" s="18"/>
      <c r="M2255" s="18"/>
      <c r="N2255" s="29"/>
      <c r="O2255" s="29"/>
      <c r="P2255" s="19"/>
      <c r="Q2255" s="19"/>
      <c r="R2255" s="11"/>
    </row>
    <row r="2256" s="1" customFormat="1" ht="9.95" customHeight="1" spans="1:18">
      <c r="A2256" s="7"/>
      <c r="B2256" s="12"/>
      <c r="C2256" s="33"/>
      <c r="D2256" s="29"/>
      <c r="E2256" s="29"/>
      <c r="F2256" s="29"/>
      <c r="G2256" s="29"/>
      <c r="H2256" s="29"/>
      <c r="I2256" s="29"/>
      <c r="J2256" s="29"/>
      <c r="K2256" s="29"/>
      <c r="L2256" s="29"/>
      <c r="M2256" s="29"/>
      <c r="N2256" s="29"/>
      <c r="O2256" s="29"/>
      <c r="P2256" s="19"/>
      <c r="Q2256" s="19"/>
      <c r="R2256" s="11"/>
    </row>
    <row r="2257" s="1" customFormat="1" ht="36" spans="1:19">
      <c r="A2257" s="7"/>
      <c r="B2257" s="12"/>
      <c r="C2257" s="33"/>
      <c r="D2257" s="66" t="s">
        <v>576</v>
      </c>
      <c r="E2257" s="67" t="s">
        <v>754</v>
      </c>
      <c r="F2257" s="47" t="str">
        <f>IF(F2229&gt;ENTRY!$D$24,"",IFERROR(VLOOKUP(F2229,PASHEET!$A$4:$CJ$103,88,0),""))</f>
        <v/>
      </c>
      <c r="G2257" s="67" t="s">
        <v>755</v>
      </c>
      <c r="H2257" s="47" t="str">
        <f>IF(F2229&gt;ENTRY!$D$24,"",IFERROR(VLOOKUP(F2229,PASHEET!$A$4:$CJ$103,87,0),""))</f>
        <v/>
      </c>
      <c r="I2257" s="68" t="s">
        <v>756</v>
      </c>
      <c r="J2257" s="69" t="str">
        <f>IF(F2229&gt;ENTRY!$D$24,"",IFERROR(IF(F2229&gt;0,H2257/F2257*100),""))</f>
        <v/>
      </c>
      <c r="K2257" s="60" t="s">
        <v>757</v>
      </c>
      <c r="L2257" s="70" t="str">
        <f ca="1">IF(F2229&gt;ENTRY!$D$24,"",IFERROR(L2253/600*100,""))</f>
        <v/>
      </c>
      <c r="M2257" s="47" t="str">
        <f ca="1">IF(F2229&gt;ENTRY!$D$24,"",IFERROR(L2253&amp;" / "&amp;"600",""))</f>
        <v/>
      </c>
      <c r="N2257" s="29"/>
      <c r="O2257" s="29"/>
      <c r="P2257" s="19"/>
      <c r="Q2257" s="19"/>
      <c r="R2257" s="11"/>
    </row>
    <row r="2258" s="1" customFormat="1" ht="9.95" customHeight="1" spans="1:19">
      <c r="A2258" s="7"/>
      <c r="B2258" s="12"/>
      <c r="C2258" s="39"/>
      <c r="D2258" s="40"/>
      <c r="E2258" s="40"/>
      <c r="F2258" s="40"/>
      <c r="G2258" s="40"/>
      <c r="H2258" s="40"/>
      <c r="I2258" s="40"/>
      <c r="J2258" s="40"/>
      <c r="K2258" s="40"/>
      <c r="L2258" s="40"/>
      <c r="M2258" s="40"/>
      <c r="N2258" s="40"/>
      <c r="O2258" s="40"/>
      <c r="P2258" s="41"/>
      <c r="Q2258" s="19"/>
      <c r="R2258" s="11"/>
    </row>
    <row r="2259" s="1" customFormat="1" ht="9.95" customHeight="1" spans="1:19">
      <c r="A2259" s="7"/>
      <c r="B2259" s="12"/>
      <c r="C2259" s="71"/>
      <c r="D2259" s="71"/>
      <c r="E2259" s="71"/>
      <c r="F2259" s="29"/>
      <c r="G2259" s="71"/>
      <c r="H2259" s="71"/>
      <c r="I2259" s="71"/>
      <c r="J2259" s="71"/>
      <c r="K2259" s="71"/>
      <c r="L2259" s="71"/>
      <c r="M2259" s="71"/>
      <c r="N2259" s="71"/>
      <c r="O2259" s="71"/>
      <c r="P2259" s="71"/>
      <c r="Q2259" s="19"/>
      <c r="R2259" s="11"/>
    </row>
    <row r="2260" s="1" customFormat="1" ht="9.95" customHeight="1" spans="1:19">
      <c r="A2260" s="7"/>
      <c r="B2260" s="12"/>
      <c r="C2260" s="29"/>
      <c r="D2260" s="29"/>
      <c r="E2260" s="29"/>
      <c r="F2260" s="72"/>
      <c r="G2260" s="29"/>
      <c r="H2260" s="29"/>
      <c r="I2260" s="29"/>
      <c r="J2260" s="29"/>
      <c r="K2260" s="29"/>
      <c r="L2260" s="29"/>
      <c r="M2260" s="29"/>
      <c r="N2260" s="29"/>
      <c r="O2260" s="29"/>
      <c r="P2260" s="29"/>
      <c r="Q2260" s="19"/>
      <c r="R2260" s="11"/>
    </row>
    <row r="2261" s="1" customFormat="1" ht="9.95" customHeight="1" spans="1:19">
      <c r="A2261" s="7"/>
      <c r="B2261" s="12"/>
      <c r="C2261" s="30"/>
      <c r="D2261" s="31"/>
      <c r="E2261" s="31"/>
      <c r="F2261" s="31"/>
      <c r="G2261" s="31"/>
      <c r="H2261" s="31"/>
      <c r="I2261" s="31"/>
      <c r="J2261" s="31"/>
      <c r="K2261" s="31"/>
      <c r="L2261" s="31"/>
      <c r="M2261" s="31"/>
      <c r="N2261" s="31"/>
      <c r="O2261" s="31"/>
      <c r="P2261" s="32"/>
      <c r="Q2261" s="19"/>
      <c r="R2261" s="11"/>
    </row>
    <row r="2262" s="1" customFormat="1" ht="21.95" customHeight="1" spans="1:19">
      <c r="A2262" s="7"/>
      <c r="B2262" s="12"/>
      <c r="C2262" s="73" t="s">
        <v>7</v>
      </c>
      <c r="D2262" s="13"/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74"/>
      <c r="Q2262" s="19"/>
      <c r="R2262" s="11"/>
      <c r="S2262" s="2"/>
    </row>
    <row r="2263" s="1" customFormat="1" ht="21.95" customHeight="1" spans="1:19">
      <c r="A2263" s="7"/>
      <c r="B2263" s="12"/>
      <c r="C2263" s="33"/>
      <c r="D2263" s="29"/>
      <c r="E2263" s="29"/>
      <c r="F2263" s="29"/>
      <c r="G2263" s="29"/>
      <c r="H2263" s="29"/>
      <c r="I2263" s="29"/>
      <c r="J2263" s="29"/>
      <c r="K2263" s="29"/>
      <c r="L2263" s="29"/>
      <c r="M2263" s="29"/>
      <c r="N2263" s="29"/>
      <c r="O2263" s="29"/>
      <c r="P2263" s="19"/>
      <c r="Q2263" s="19"/>
      <c r="R2263" s="11"/>
    </row>
    <row r="2264" s="1" customFormat="1" ht="21.95" customHeight="1" spans="1:19">
      <c r="A2264" s="7"/>
      <c r="B2264" s="12"/>
      <c r="C2264" s="75" t="str">
        <f>"SESSION-"&amp;ENTRY!$D$11</f>
        <v>SESSION-2026-27</v>
      </c>
      <c r="D2264" s="15"/>
      <c r="E2264" s="15"/>
      <c r="F2264" s="15"/>
      <c r="G2264" s="15"/>
      <c r="H2264" s="15"/>
      <c r="I2264" s="15"/>
      <c r="J2264" s="15"/>
      <c r="K2264" s="15"/>
      <c r="L2264" s="15"/>
      <c r="M2264" s="15"/>
      <c r="N2264" s="15"/>
      <c r="O2264" s="15"/>
      <c r="P2264" s="76"/>
      <c r="Q2264" s="19"/>
      <c r="R2264" s="11"/>
    </row>
    <row r="2265" s="1" customFormat="1" ht="18" customHeight="1" spans="1:19">
      <c r="A2265" s="7"/>
      <c r="B2265" s="12"/>
      <c r="C2265" s="33"/>
      <c r="D2265" s="29"/>
      <c r="E2265" s="29"/>
      <c r="F2265" s="29"/>
      <c r="G2265" s="29"/>
      <c r="H2265" s="29"/>
      <c r="I2265" s="29"/>
      <c r="J2265" s="29"/>
      <c r="K2265" s="29"/>
      <c r="L2265" s="29"/>
      <c r="M2265" s="29"/>
      <c r="N2265" s="29"/>
      <c r="O2265" s="29"/>
      <c r="P2265" s="19"/>
      <c r="Q2265" s="19"/>
      <c r="R2265" s="11"/>
    </row>
    <row r="2266" s="1" customFormat="1" ht="21.95" customHeight="1" spans="1:19">
      <c r="A2266" s="7"/>
      <c r="B2266" s="12"/>
      <c r="C2266" s="33"/>
      <c r="D2266" s="77" t="s">
        <v>758</v>
      </c>
      <c r="E2266" s="77"/>
      <c r="F2266" s="78" t="str">
        <f>IFERROR(PROPER(VLOOKUP(F2229,STUDENT!$A$2:$BP$101,5,0)),"")</f>
        <v/>
      </c>
      <c r="G2266" s="78"/>
      <c r="H2266" s="78"/>
      <c r="I2266" s="78"/>
      <c r="J2266" s="78"/>
      <c r="K2266" s="78"/>
      <c r="L2266" s="78"/>
      <c r="M2266" s="78"/>
      <c r="N2266" s="79" t="s">
        <v>759</v>
      </c>
      <c r="O2266" s="79"/>
      <c r="P2266" s="19"/>
      <c r="Q2266" s="19"/>
      <c r="R2266" s="11"/>
    </row>
    <row r="2267" s="1" customFormat="1" ht="21.95" customHeight="1" spans="1:19">
      <c r="A2267" s="7"/>
      <c r="B2267" s="12"/>
      <c r="C2267" s="33"/>
      <c r="D2267" s="80" t="s">
        <v>760</v>
      </c>
      <c r="E2267" s="81" t="str">
        <f>IFERROR(PROPER(VLOOKUP(F2229,STUDENT!$A$2:$BP$101,9,0)),"")</f>
        <v/>
      </c>
      <c r="F2267" s="81"/>
      <c r="G2267" s="81"/>
      <c r="H2267" s="80" t="s">
        <v>761</v>
      </c>
      <c r="I2267" s="82" t="str">
        <f>IFERROR(PROPER(VLOOKUP(F2229,STUDENT!$A$2:$BP$101,8,0)),"")</f>
        <v/>
      </c>
      <c r="J2267" s="82"/>
      <c r="K2267" s="82"/>
      <c r="L2267" s="82"/>
      <c r="M2267" s="80" t="s">
        <v>762</v>
      </c>
      <c r="N2267" s="83" t="str">
        <f>IFERROR(VLOOKUP(F2229,STUDENT!$A$2:$BP$101,59,0),"")</f>
        <v/>
      </c>
      <c r="O2267" s="83"/>
      <c r="P2267" s="19"/>
      <c r="Q2267" s="19"/>
      <c r="R2267" s="11"/>
    </row>
    <row r="2268" s="1" customFormat="1" ht="21.95" customHeight="1" spans="1:19">
      <c r="A2268" s="7"/>
      <c r="B2268" s="12"/>
      <c r="C2268" s="33"/>
      <c r="D2268" s="77" t="str">
        <f>"has    completed     his  /  her     primary     level     education    in    the    year    "&amp;RIGHT(ENTRY!$D2234,4)&amp;"    from    ( School    Name )"</f>
        <v>has    completed     his  /  her     primary     level     education    in    the    year        from    ( School    Name )</v>
      </c>
      <c r="E2268" s="77"/>
      <c r="F2268" s="77"/>
      <c r="G2268" s="77"/>
      <c r="H2268" s="77"/>
      <c r="I2268" s="77"/>
      <c r="J2268" s="77"/>
      <c r="K2268" s="77"/>
      <c r="L2268" s="77"/>
      <c r="M2268" s="77"/>
      <c r="N2268" s="77"/>
      <c r="O2268" s="77"/>
      <c r="P2268" s="19"/>
      <c r="Q2268" s="19"/>
      <c r="R2268" s="11"/>
    </row>
    <row r="2269" s="1" customFormat="1" ht="21.95" customHeight="1" spans="1:19">
      <c r="A2269" s="7"/>
      <c r="B2269" s="12"/>
      <c r="C2269" s="33"/>
      <c r="D2269" s="81" t="str">
        <f>IF(F2229&gt;0,ENTRY!$D$6,"")</f>
        <v>MCP NITHARI NO 1 BOYS</v>
      </c>
      <c r="E2269" s="81"/>
      <c r="F2269" s="81"/>
      <c r="G2269" s="81"/>
      <c r="H2269" s="81"/>
      <c r="I2269" s="81"/>
      <c r="J2269" s="81"/>
      <c r="K2269" s="81"/>
      <c r="L2269" s="81"/>
      <c r="M2269" s="80" t="s">
        <v>763</v>
      </c>
      <c r="N2269" s="84">
        <f>IF(F2229&gt;0,ENTRY!$D$7,"")</f>
        <v>0</v>
      </c>
      <c r="O2269" s="84"/>
      <c r="P2269" s="85" t="s">
        <v>727</v>
      </c>
      <c r="Q2269" s="19"/>
      <c r="R2269" s="11"/>
    </row>
    <row r="2270" s="1" customFormat="1" ht="21.95" customHeight="1" spans="1:19">
      <c r="A2270" s="7"/>
      <c r="B2270" s="12"/>
      <c r="C2270" s="33"/>
      <c r="D2270" s="29"/>
      <c r="E2270" s="29"/>
      <c r="F2270" s="29"/>
      <c r="G2270" s="29"/>
      <c r="H2270" s="29"/>
      <c r="I2270" s="29"/>
      <c r="J2270" s="29"/>
      <c r="K2270" s="29"/>
      <c r="L2270" s="29"/>
      <c r="M2270" s="29"/>
      <c r="N2270" s="29"/>
      <c r="O2270" s="29"/>
      <c r="P2270" s="19"/>
      <c r="Q2270" s="19"/>
      <c r="R2270" s="11"/>
    </row>
    <row r="2271" s="1" customFormat="1" ht="21.95" customHeight="1" spans="1:19">
      <c r="A2271" s="7"/>
      <c r="B2271" s="12"/>
      <c r="C2271" s="33"/>
      <c r="D2271" s="29"/>
      <c r="E2271" s="29"/>
      <c r="F2271" s="29"/>
      <c r="G2271" s="29"/>
      <c r="H2271" s="29"/>
      <c r="I2271" s="29"/>
      <c r="J2271" s="29"/>
      <c r="K2271" s="29"/>
      <c r="L2271" s="29"/>
      <c r="M2271" s="29"/>
      <c r="N2271" s="29"/>
      <c r="O2271" s="29"/>
      <c r="P2271" s="19"/>
      <c r="Q2271" s="19"/>
      <c r="R2271" s="11"/>
    </row>
    <row r="2272" s="1" customFormat="1" ht="21.95" customHeight="1" spans="1:19">
      <c r="A2272" s="7"/>
      <c r="B2272" s="12"/>
      <c r="C2272" s="33"/>
      <c r="D2272" s="29"/>
      <c r="E2272" s="29"/>
      <c r="F2272" s="29"/>
      <c r="G2272" s="29"/>
      <c r="H2272" s="29"/>
      <c r="I2272" s="29"/>
      <c r="J2272" s="29"/>
      <c r="K2272" s="29"/>
      <c r="L2272" s="29"/>
      <c r="M2272" s="29"/>
      <c r="N2272" s="29"/>
      <c r="O2272" s="29"/>
      <c r="P2272" s="19"/>
      <c r="Q2272" s="19"/>
      <c r="R2272" s="11"/>
    </row>
    <row r="2273" s="1" customFormat="1" ht="21.95" customHeight="1" spans="1:18">
      <c r="A2273" s="7"/>
      <c r="B2273" s="12"/>
      <c r="C2273" s="33"/>
      <c r="D2273" s="29"/>
      <c r="E2273" s="29"/>
      <c r="F2273" s="29"/>
      <c r="G2273" s="29"/>
      <c r="H2273" s="29"/>
      <c r="I2273" s="29"/>
      <c r="J2273" s="29"/>
      <c r="K2273" s="29"/>
      <c r="L2273" s="29"/>
      <c r="M2273" s="29"/>
      <c r="N2273" s="29"/>
      <c r="O2273" s="29"/>
      <c r="P2273" s="19"/>
      <c r="Q2273" s="19"/>
      <c r="R2273" s="11"/>
    </row>
    <row r="2274" s="1" customFormat="1" ht="21.95" customHeight="1" spans="1:18">
      <c r="A2274" s="7"/>
      <c r="B2274" s="12"/>
      <c r="C2274" s="33"/>
      <c r="D2274" s="29"/>
      <c r="E2274" s="29"/>
      <c r="F2274" s="29"/>
      <c r="G2274" s="29"/>
      <c r="H2274" s="29"/>
      <c r="I2274" s="29"/>
      <c r="J2274" s="29"/>
      <c r="K2274" s="29"/>
      <c r="L2274" s="29"/>
      <c r="M2274" s="29"/>
      <c r="N2274" s="29"/>
      <c r="O2274" s="29"/>
      <c r="P2274" s="19"/>
      <c r="Q2274" s="19"/>
      <c r="R2274" s="11"/>
    </row>
    <row r="2275" s="1" customFormat="1" ht="21.95" customHeight="1" spans="1:18">
      <c r="A2275" s="7"/>
      <c r="B2275" s="12"/>
      <c r="C2275" s="33"/>
      <c r="D2275" s="80" t="s">
        <v>728</v>
      </c>
      <c r="E2275" s="86">
        <f>ENTRY!$D$27</f>
        <v>46102</v>
      </c>
      <c r="F2275" s="86"/>
      <c r="G2275" s="29"/>
      <c r="H2275" s="29"/>
      <c r="I2275" s="29"/>
      <c r="J2275" s="29"/>
      <c r="K2275" s="29"/>
      <c r="L2275" s="29"/>
      <c r="M2275" s="87" t="s">
        <v>730</v>
      </c>
      <c r="N2275" s="87"/>
      <c r="O2275" s="87"/>
      <c r="P2275" s="19"/>
      <c r="Q2275" s="19"/>
      <c r="R2275" s="11"/>
    </row>
    <row r="2276" s="1" customFormat="1" ht="21.95" customHeight="1" spans="1:18">
      <c r="A2276" s="7"/>
      <c r="B2276" s="12"/>
      <c r="C2276" s="33"/>
      <c r="D2276" s="80" t="s">
        <v>731</v>
      </c>
      <c r="E2276" s="88" t="str">
        <f>PROPER(ENTRY!$D$28)</f>
        <v>New Delhi</v>
      </c>
      <c r="F2276" s="88"/>
      <c r="G2276" s="29"/>
      <c r="H2276" s="29"/>
      <c r="I2276" s="29"/>
      <c r="J2276" s="29"/>
      <c r="K2276" s="29"/>
      <c r="L2276" s="29"/>
      <c r="M2276" s="89" t="s">
        <v>732</v>
      </c>
      <c r="N2276" s="89"/>
      <c r="O2276" s="89"/>
      <c r="P2276" s="19"/>
      <c r="Q2276" s="19"/>
      <c r="R2276" s="11"/>
    </row>
    <row r="2277" s="1" customFormat="1" ht="21.95" customHeight="1" spans="1:18">
      <c r="A2277" s="7"/>
      <c r="B2277" s="12"/>
      <c r="C2277" s="90"/>
      <c r="D2277" s="91"/>
      <c r="E2277" s="91"/>
      <c r="F2277" s="91"/>
      <c r="G2277" s="91"/>
      <c r="H2277" s="91"/>
      <c r="I2277" s="91"/>
      <c r="J2277" s="91"/>
      <c r="K2277" s="91"/>
      <c r="L2277" s="91"/>
      <c r="M2277" s="91"/>
      <c r="N2277" s="91"/>
      <c r="O2277" s="91"/>
      <c r="P2277" s="92"/>
      <c r="Q2277" s="14"/>
      <c r="R2277" s="11"/>
    </row>
    <row r="2278" s="1" customFormat="1" ht="5.1" customHeight="1" spans="1:18">
      <c r="A2278" s="7"/>
      <c r="B2278" s="90"/>
      <c r="C2278" s="91"/>
      <c r="D2278" s="91"/>
      <c r="E2278" s="91"/>
      <c r="F2278" s="91"/>
      <c r="G2278" s="91"/>
      <c r="H2278" s="91"/>
      <c r="I2278" s="91"/>
      <c r="J2278" s="91"/>
      <c r="K2278" s="91"/>
      <c r="L2278" s="91"/>
      <c r="M2278" s="91"/>
      <c r="N2278" s="91"/>
      <c r="O2278" s="91"/>
      <c r="P2278" s="91"/>
      <c r="Q2278" s="92"/>
      <c r="R2278" s="11"/>
    </row>
    <row r="2279" s="1" customFormat="1" ht="5.1" customHeight="1" spans="1:18">
      <c r="A2279" s="93"/>
      <c r="B2279" s="94"/>
      <c r="C2279" s="94"/>
      <c r="D2279" s="94"/>
      <c r="E2279" s="94"/>
      <c r="F2279" s="94"/>
      <c r="G2279" s="94"/>
      <c r="H2279" s="94"/>
      <c r="I2279" s="94"/>
      <c r="J2279" s="94"/>
      <c r="K2279" s="94"/>
      <c r="L2279" s="94"/>
      <c r="M2279" s="94"/>
      <c r="N2279" s="94"/>
      <c r="O2279" s="94"/>
      <c r="P2279" s="94"/>
      <c r="Q2279" s="94"/>
      <c r="R2279" s="95"/>
    </row>
    <row r="2280" s="2" customFormat="1" ht="9.95" customHeight="1"/>
    <row r="2281" s="1" customFormat="1" ht="5.1" customHeight="1" spans="1:18">
      <c r="A2281" s="4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  <c r="O2281" s="5"/>
      <c r="P2281" s="5"/>
      <c r="Q2281" s="5"/>
      <c r="R2281" s="6"/>
    </row>
    <row r="2282" s="1" customFormat="1" ht="15" customHeight="1" spans="1:18">
      <c r="A2282" s="7"/>
      <c r="B2282" s="8"/>
      <c r="C2282" s="9"/>
      <c r="D2282" s="9"/>
      <c r="E2282" s="9"/>
      <c r="F2282" s="9"/>
      <c r="G2282" s="9"/>
      <c r="H2282" s="9"/>
      <c r="I2282" s="9"/>
      <c r="J2282" s="9"/>
      <c r="K2282" s="9"/>
      <c r="L2282" s="9"/>
      <c r="M2282" s="9"/>
      <c r="N2282" s="9"/>
      <c r="O2282" s="9"/>
      <c r="P2282" s="9"/>
      <c r="Q2282" s="10"/>
      <c r="R2282" s="11"/>
    </row>
    <row r="2283" s="1" customFormat="1" ht="21.95" customHeight="1" spans="1:18">
      <c r="A2283" s="7"/>
      <c r="B2283" s="12"/>
      <c r="C2283" s="13" t="s">
        <v>7</v>
      </c>
      <c r="D2283" s="13"/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/>
      <c r="Q2283" s="14"/>
      <c r="R2283" s="11"/>
    </row>
    <row r="2284" s="1" customFormat="1" ht="21.95" customHeight="1" spans="1:18">
      <c r="A2284" s="7"/>
      <c r="B2284" s="1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14"/>
      <c r="R2284" s="11"/>
    </row>
    <row r="2285" s="1" customFormat="1" ht="21.95" customHeight="1" spans="1:18">
      <c r="A2285" s="7"/>
      <c r="B2285" s="12"/>
      <c r="C2285" s="15" t="str">
        <f>"SESSION-"&amp;ENTRY!$D$11</f>
        <v>SESSION-2026-27</v>
      </c>
      <c r="D2285" s="15"/>
      <c r="E2285" s="15"/>
      <c r="F2285" s="15"/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4"/>
      <c r="R2285" s="11"/>
    </row>
    <row r="2286" s="1" customFormat="1" ht="21.95" customHeight="1" spans="1:18">
      <c r="A2286" s="7"/>
      <c r="B2286" s="12"/>
      <c r="C2286" s="2"/>
      <c r="D2286" s="2"/>
      <c r="E2286" s="2"/>
      <c r="F2286" s="16">
        <f>F2229+1</f>
        <v>41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14"/>
      <c r="R2286" s="11"/>
    </row>
    <row r="2287" s="1" customFormat="1" ht="21.95" customHeight="1" spans="1:18">
      <c r="A2287" s="7"/>
      <c r="B2287" s="12"/>
      <c r="C2287" s="17" t="s">
        <v>392</v>
      </c>
      <c r="D2287" s="17"/>
      <c r="E2287" s="17"/>
      <c r="F2287" s="18" t="str">
        <f>IF(F2286&gt;0,ENTRY!$D$6,"")</f>
        <v>MCP NITHARI NO 1 BOYS</v>
      </c>
      <c r="G2287" s="18"/>
      <c r="H2287" s="18"/>
      <c r="I2287" s="18"/>
      <c r="J2287" s="18"/>
      <c r="K2287" s="18"/>
      <c r="L2287" s="18"/>
      <c r="M2287" s="18"/>
      <c r="N2287" s="18"/>
      <c r="O2287" s="18"/>
      <c r="P2287" s="18"/>
      <c r="Q2287" s="19"/>
      <c r="R2287" s="11"/>
    </row>
    <row r="2288" s="1" customFormat="1" ht="21.95" customHeight="1" spans="1:18">
      <c r="A2288" s="7"/>
      <c r="B2288" s="12"/>
      <c r="C2288" s="17" t="s">
        <v>393</v>
      </c>
      <c r="D2288" s="17"/>
      <c r="E2288" s="17"/>
      <c r="F2288" s="18">
        <f>IF(F2286&gt;0,ENTRY!$D$7,"")</f>
        <v>0</v>
      </c>
      <c r="G2288" s="18"/>
      <c r="H2288" s="20" t="s">
        <v>702</v>
      </c>
      <c r="I2288" s="20"/>
      <c r="J2288" s="21">
        <f>IF(F2286&gt;0,ENTRY!$D$10,"")</f>
        <v>40</v>
      </c>
      <c r="K2288" s="20" t="s">
        <v>703</v>
      </c>
      <c r="L2288" s="22" t="str">
        <f>IF(F2286&gt;0,ENTRY!$D$5,"")</f>
        <v>ROHINI ZONE</v>
      </c>
      <c r="M2288" s="22"/>
      <c r="N2288" s="22"/>
      <c r="O2288" s="22"/>
      <c r="P2288" s="22"/>
      <c r="Q2288" s="19"/>
      <c r="R2288" s="11"/>
    </row>
    <row r="2289" s="1" customFormat="1" ht="21.95" customHeight="1" spans="1:18">
      <c r="A2289" s="7"/>
      <c r="B2289" s="12"/>
      <c r="C2289" s="17" t="s">
        <v>706</v>
      </c>
      <c r="D2289" s="17"/>
      <c r="E2289" s="17"/>
      <c r="F2289" s="23">
        <f>IFERROR(VLOOKUP(F2286,STUDENT!$A$2:$BP$101,5,0),"")</f>
        <v>0</v>
      </c>
      <c r="G2289" s="23"/>
      <c r="H2289" s="23"/>
      <c r="I2289" s="23"/>
      <c r="J2289" s="23"/>
      <c r="K2289" s="23"/>
      <c r="L2289" s="20" t="s">
        <v>707</v>
      </c>
      <c r="M2289" s="20"/>
      <c r="N2289" s="24" t="str">
        <f>IF(F2286&gt;0,ENTRY!$D$20&amp;"-"&amp;ENTRY!$D$21,"")</f>
        <v>III-A</v>
      </c>
      <c r="O2289" s="24"/>
      <c r="P2289" s="24"/>
      <c r="Q2289" s="19"/>
      <c r="R2289" s="11"/>
    </row>
    <row r="2290" s="1" customFormat="1" ht="21.95" customHeight="1" spans="1:18">
      <c r="A2290" s="7"/>
      <c r="B2290" s="12"/>
      <c r="C2290" s="17" t="s">
        <v>708</v>
      </c>
      <c r="D2290" s="17"/>
      <c r="E2290" s="17"/>
      <c r="F2290" s="25">
        <f>IFERROR(VLOOKUP(F2286,STUDENT!$A$2:$BP$101,6,0),"")</f>
        <v>0</v>
      </c>
      <c r="G2290" s="25"/>
      <c r="H2290" s="26" t="s">
        <v>709</v>
      </c>
      <c r="I2290" s="27" t="str">
        <f>IFERROR(VLOOKUP(F2286,STUDENT!$A$2:$BP$101,59,0),"")</f>
        <v/>
      </c>
      <c r="J2290" s="27"/>
      <c r="K2290" s="20" t="s">
        <v>710</v>
      </c>
      <c r="L2290" s="20"/>
      <c r="M2290" s="28">
        <f>IFERROR(VLOOKUP(F2286,STUDENT!$A$2:$BP$101,20,0),"")</f>
        <v>0</v>
      </c>
      <c r="N2290" s="28"/>
      <c r="O2290" s="28"/>
      <c r="P2290" s="28"/>
      <c r="Q2290" s="19"/>
      <c r="R2290" s="11"/>
    </row>
    <row r="2291" s="1" customFormat="1" ht="21.95" customHeight="1" spans="1:18">
      <c r="A2291" s="7"/>
      <c r="B2291" s="12"/>
      <c r="C2291" s="17" t="s">
        <v>711</v>
      </c>
      <c r="D2291" s="17"/>
      <c r="E2291" s="17"/>
      <c r="F2291" s="23">
        <f>IFERROR(VLOOKUP(F2286,STUDENT!$A$2:$BP$101,9,0),"")</f>
        <v>0</v>
      </c>
      <c r="G2291" s="23"/>
      <c r="H2291" s="23"/>
      <c r="I2291" s="23"/>
      <c r="J2291" s="17" t="s">
        <v>620</v>
      </c>
      <c r="K2291" s="17"/>
      <c r="L2291" s="23">
        <f>IFERROR(VLOOKUP(F2286,STUDENT!$A$2:$BP$101,8,0),"")</f>
        <v>0</v>
      </c>
      <c r="M2291" s="23"/>
      <c r="N2291" s="23"/>
      <c r="O2291" s="23"/>
      <c r="P2291" s="23"/>
      <c r="Q2291" s="19"/>
      <c r="R2291" s="11"/>
    </row>
    <row r="2292" s="1" customFormat="1" ht="21.95" customHeight="1" spans="1:18">
      <c r="A2292" s="7"/>
      <c r="B2292" s="12"/>
      <c r="C2292" s="17" t="s">
        <v>712</v>
      </c>
      <c r="D2292" s="17"/>
      <c r="E2292" s="17"/>
      <c r="F2292" s="23">
        <f>IFERROR(VLOOKUP(F2286,STUDENT!$A$2:$BP$101,22,0),"")</f>
        <v>0</v>
      </c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19"/>
      <c r="R2292" s="11"/>
    </row>
    <row r="2293" s="1" customFormat="1" ht="9.95" customHeight="1" spans="1:18">
      <c r="A2293" s="7"/>
      <c r="B2293" s="12"/>
      <c r="C2293" s="29"/>
      <c r="D2293" s="29"/>
      <c r="E2293" s="29"/>
      <c r="F2293" s="29"/>
      <c r="G2293" s="29"/>
      <c r="H2293" s="29"/>
      <c r="I2293" s="29"/>
      <c r="J2293" s="29"/>
      <c r="K2293" s="29"/>
      <c r="L2293" s="29"/>
      <c r="M2293" s="29"/>
      <c r="N2293" s="29"/>
      <c r="O2293" s="29"/>
      <c r="P2293" s="29"/>
      <c r="Q2293" s="19"/>
      <c r="R2293" s="11"/>
    </row>
    <row r="2294" s="1" customFormat="1" ht="9.95" customHeight="1" spans="1:18">
      <c r="A2294" s="7"/>
      <c r="B2294" s="12"/>
      <c r="C2294" s="30"/>
      <c r="D2294" s="31"/>
      <c r="E2294" s="31"/>
      <c r="F2294" s="31"/>
      <c r="G2294" s="31"/>
      <c r="H2294" s="31"/>
      <c r="I2294" s="31"/>
      <c r="J2294" s="31"/>
      <c r="K2294" s="31"/>
      <c r="L2294" s="31"/>
      <c r="M2294" s="31"/>
      <c r="N2294" s="31"/>
      <c r="O2294" s="31"/>
      <c r="P2294" s="32"/>
      <c r="Q2294" s="19"/>
      <c r="R2294" s="11"/>
    </row>
    <row r="2295" s="1" customFormat="1" ht="21.95" customHeight="1" spans="1:18">
      <c r="A2295" s="7"/>
      <c r="B2295" s="12"/>
      <c r="C2295" s="33"/>
      <c r="D2295" s="34" t="s">
        <v>713</v>
      </c>
      <c r="E2295" s="20" t="s">
        <v>714</v>
      </c>
      <c r="F2295" s="35" t="str">
        <f>"Level - "&amp;IFERROR(VLOOKUP(F2286,FLN!$A$4:$K$103,9,0),"")</f>
        <v>Level - </v>
      </c>
      <c r="G2295" s="36"/>
      <c r="H2295" s="37" t="s">
        <v>715</v>
      </c>
      <c r="I2295" s="20"/>
      <c r="J2295" s="35" t="str">
        <f>"Level - "&amp;IFERROR(VLOOKUP(F2286,FLN!$A$4:$K$103,11,0),"")</f>
        <v>Level - </v>
      </c>
      <c r="K2295" s="36"/>
      <c r="L2295" s="37" t="s">
        <v>408</v>
      </c>
      <c r="M2295" s="20"/>
      <c r="N2295" s="35" t="str">
        <f>"Level - "&amp;IFERROR(VLOOKUP(F2286,FLN!$A$4:$K$103,10,0),"")</f>
        <v>Level - </v>
      </c>
      <c r="O2295" s="36"/>
      <c r="P2295" s="19"/>
      <c r="Q2295" s="19"/>
      <c r="R2295" s="11"/>
    </row>
    <row r="2296" s="1" customFormat="1" ht="21.95" customHeight="1" spans="1:18">
      <c r="A2296" s="7"/>
      <c r="B2296" s="12"/>
      <c r="C2296" s="33"/>
      <c r="D2296" s="38"/>
      <c r="E2296" s="20" t="s">
        <v>716</v>
      </c>
      <c r="F2296" s="18" t="str">
        <f ca="1">IF(L2310&gt;197,"PERFORMED WELL","")</f>
        <v/>
      </c>
      <c r="G2296" s="18"/>
      <c r="H2296" s="18"/>
      <c r="I2296" s="18"/>
      <c r="J2296" s="18"/>
      <c r="K2296" s="18"/>
      <c r="L2296" s="18"/>
      <c r="M2296" s="18"/>
      <c r="N2296" s="18"/>
      <c r="O2296" s="18"/>
      <c r="P2296" s="19"/>
      <c r="Q2296" s="19"/>
      <c r="R2296" s="11"/>
    </row>
    <row r="2297" s="1" customFormat="1" ht="9.95" customHeight="1" spans="1:18">
      <c r="A2297" s="7"/>
      <c r="B2297" s="12"/>
      <c r="C2297" s="39"/>
      <c r="D2297" s="40"/>
      <c r="E2297" s="40"/>
      <c r="F2297" s="40"/>
      <c r="G2297" s="40"/>
      <c r="H2297" s="40"/>
      <c r="I2297" s="40"/>
      <c r="J2297" s="40"/>
      <c r="K2297" s="40"/>
      <c r="L2297" s="40"/>
      <c r="M2297" s="40"/>
      <c r="N2297" s="40"/>
      <c r="O2297" s="40"/>
      <c r="P2297" s="41"/>
      <c r="Q2297" s="19"/>
      <c r="R2297" s="11"/>
    </row>
    <row r="2298" s="1" customFormat="1" ht="9.95" customHeight="1" spans="1:18">
      <c r="A2298" s="7"/>
      <c r="B2298" s="12"/>
      <c r="C2298" s="29"/>
      <c r="D2298" s="29"/>
      <c r="E2298" s="29"/>
      <c r="F2298" s="29"/>
      <c r="G2298" s="29"/>
      <c r="H2298" s="29"/>
      <c r="I2298" s="29"/>
      <c r="J2298" s="29"/>
      <c r="K2298" s="29"/>
      <c r="L2298" s="29"/>
      <c r="M2298" s="29"/>
      <c r="N2298" s="29"/>
      <c r="O2298" s="29"/>
      <c r="P2298" s="29"/>
      <c r="Q2298" s="19"/>
      <c r="R2298" s="11"/>
    </row>
    <row r="2299" s="1" customFormat="1" ht="9.95" customHeight="1" spans="1:18">
      <c r="A2299" s="7"/>
      <c r="B2299" s="12"/>
      <c r="C2299" s="30"/>
      <c r="D2299" s="31"/>
      <c r="E2299" s="31"/>
      <c r="F2299" s="31"/>
      <c r="G2299" s="31"/>
      <c r="H2299" s="31"/>
      <c r="I2299" s="31"/>
      <c r="J2299" s="31"/>
      <c r="K2299" s="31"/>
      <c r="L2299" s="31"/>
      <c r="M2299" s="31"/>
      <c r="N2299" s="31"/>
      <c r="O2299" s="31"/>
      <c r="P2299" s="32"/>
      <c r="Q2299" s="19"/>
      <c r="R2299" s="11"/>
    </row>
    <row r="2300" s="1" customFormat="1" ht="21.95" customHeight="1" spans="1:18">
      <c r="A2300" s="7"/>
      <c r="B2300" s="12"/>
      <c r="C2300" s="33"/>
      <c r="D2300" s="35"/>
      <c r="E2300" s="24"/>
      <c r="F2300" s="42" t="s">
        <v>717</v>
      </c>
      <c r="G2300" s="42"/>
      <c r="H2300" s="42"/>
      <c r="I2300" s="42"/>
      <c r="J2300" s="42"/>
      <c r="K2300" s="42"/>
      <c r="L2300" s="43"/>
      <c r="M2300" s="44"/>
      <c r="N2300" s="29"/>
      <c r="O2300" s="29"/>
      <c r="P2300" s="19"/>
      <c r="Q2300" s="19"/>
      <c r="R2300" s="11"/>
    </row>
    <row r="2301" s="1" customFormat="1" ht="21.95" customHeight="1" spans="1:18">
      <c r="A2301" s="7"/>
      <c r="B2301" s="12"/>
      <c r="C2301" s="33"/>
      <c r="D2301" s="45"/>
      <c r="E2301" s="46"/>
      <c r="F2301" s="47" t="s">
        <v>541</v>
      </c>
      <c r="G2301" s="47" t="s">
        <v>542</v>
      </c>
      <c r="H2301" s="47" t="s">
        <v>543</v>
      </c>
      <c r="I2301" s="47" t="s">
        <v>544</v>
      </c>
      <c r="J2301" s="47" t="s">
        <v>561</v>
      </c>
      <c r="K2301" s="48" t="s">
        <v>750</v>
      </c>
      <c r="L2301" s="47" t="s">
        <v>382</v>
      </c>
      <c r="M2301" s="49" t="s">
        <v>546</v>
      </c>
      <c r="N2301" s="29"/>
      <c r="O2301" s="29"/>
      <c r="P2301" s="19"/>
      <c r="Q2301" s="19"/>
      <c r="R2301" s="11"/>
    </row>
    <row r="2302" s="1" customFormat="1" ht="21.95" customHeight="1" spans="1:18">
      <c r="A2302" s="7"/>
      <c r="B2302" s="12"/>
      <c r="C2302" s="33"/>
      <c r="D2302" s="45" t="s">
        <v>652</v>
      </c>
      <c r="E2302" s="46"/>
      <c r="F2302" s="50">
        <v>10</v>
      </c>
      <c r="G2302" s="50">
        <v>10</v>
      </c>
      <c r="H2302" s="50">
        <v>10</v>
      </c>
      <c r="I2302" s="50">
        <v>10</v>
      </c>
      <c r="J2302" s="50">
        <v>60</v>
      </c>
      <c r="K2302" s="51"/>
      <c r="L2302" s="50">
        <v>100</v>
      </c>
      <c r="M2302" s="49"/>
      <c r="N2302" s="29"/>
      <c r="O2302" s="29"/>
      <c r="P2302" s="19"/>
      <c r="Q2302" s="19"/>
      <c r="R2302" s="11"/>
    </row>
    <row r="2303" s="1" customFormat="1" ht="21.95" customHeight="1" spans="1:18">
      <c r="A2303" s="7"/>
      <c r="B2303" s="12"/>
      <c r="C2303" s="33"/>
      <c r="D2303" s="52" t="s">
        <v>751</v>
      </c>
      <c r="E2303" s="53"/>
      <c r="F2303" s="54" t="str">
        <f ca="1">IFERROR(VLOOKUP(F2286,'RR-3.1-5TH'!$A$12:'RR-3.1-5TH'!$BN$111,9,0),"")</f>
        <v/>
      </c>
      <c r="G2303" s="54" t="str">
        <f ca="1">IFERROR(VLOOKUP(F2286,'RR-3.1-5TH'!$A$12:'RR-3.1-5TH'!$BN$111,10,0),"")</f>
        <v/>
      </c>
      <c r="H2303" s="54" t="str">
        <f ca="1">IFERROR(VLOOKUP(F2286,'RR-3.1-5TH'!$A$12:'RR-3.1-5TH'!$BN$111,11,0),"")</f>
        <v/>
      </c>
      <c r="I2303" s="54" t="str">
        <f ca="1">IFERROR(VLOOKUP(F2286,'RR-3.1-5TH'!$A$12:'RR-3.1-5TH'!$BN$111,12,0),"")</f>
        <v/>
      </c>
      <c r="J2303" s="54" t="str">
        <f ca="1">IFERROR(VLOOKUP(F2286,'RR-3.1-5TH'!$A$12:'RR-3.1-5TH'!$BN$111,13,0),"")</f>
        <v/>
      </c>
      <c r="K2303" s="54" t="str">
        <f ca="1">IFERROR(VLOOKUP(F2286,'RR-3.1-5TH'!$A$12:'RR-3.1-5TH'!$BN$111,14,0),"")</f>
        <v/>
      </c>
      <c r="L2303" s="55">
        <f ca="1" t="shared" ref="L2303:L2308" si="120">SUM(F2303,G2303,H2303,I2303,J2303,K2303)</f>
        <v>0</v>
      </c>
      <c r="M2303" s="56" t="str">
        <f ca="1">IF(F2286&gt;ENTRY!$D$24,"",IF(L2303=0,"Ab",IF(L2303&gt;80,"A",IF(L2303&gt;60,"B",IF(L2303&gt;44,"C",IF(L2303&gt;=33,"D",IF(L2303&lt;=32,"E","")))))))</f>
        <v/>
      </c>
      <c r="N2303" s="57" t="s">
        <v>729</v>
      </c>
      <c r="O2303" s="58"/>
      <c r="P2303" s="59"/>
      <c r="Q2303" s="19"/>
      <c r="R2303" s="11"/>
    </row>
    <row r="2304" s="1" customFormat="1" ht="21.95" customHeight="1" spans="1:18">
      <c r="A2304" s="7"/>
      <c r="B2304" s="12"/>
      <c r="C2304" s="33"/>
      <c r="D2304" s="52" t="s">
        <v>513</v>
      </c>
      <c r="E2304" s="53"/>
      <c r="F2304" s="54" t="str">
        <f ca="1">IFERROR(VLOOKUP(F2286,'RR-3.1-5TH'!$A$12:'RR-3.1-5TH'!$BN$111,17,0),"")</f>
        <v/>
      </c>
      <c r="G2304" s="54" t="str">
        <f ca="1">IFERROR(VLOOKUP(F2286,'RR-3.1-5TH'!$A$12:'RR-3.1-5TH'!$BN$111,18,0),"")</f>
        <v/>
      </c>
      <c r="H2304" s="54" t="str">
        <f ca="1">IFERROR(VLOOKUP(F2286,'RR-3.1-5TH'!$A$12:'RR-3.1-5TH'!$BN$111,19,0),"")</f>
        <v/>
      </c>
      <c r="I2304" s="54" t="str">
        <f ca="1">IFERROR(VLOOKUP(F2286,'RR-3.1-5TH'!$A$12:'RR-3.1-5TH'!$BN$111,20,0),"")</f>
        <v/>
      </c>
      <c r="J2304" s="54" t="str">
        <f ca="1">IFERROR(VLOOKUP(F2286,'RR-3.1-5TH'!$A$12:'RR-3.1-5TH'!$BN$111,21,0),"")</f>
        <v/>
      </c>
      <c r="K2304" s="54" t="str">
        <f ca="1">IFERROR(VLOOKUP(F2286,'RR-3.1-5TH'!$A$12:'RR-3.1-5TH'!$BN$111,22,0),"")</f>
        <v/>
      </c>
      <c r="L2304" s="55">
        <f ca="1" t="shared" si="120"/>
        <v>0</v>
      </c>
      <c r="M2304" s="56" t="str">
        <f ca="1">IF(F2286&gt;ENTRY!$D$24,"",IF(L2304=0,"Ab",IF(L2304&gt;80,"A",IF(L2304&gt;60,"B",IF(L2304&gt;44,"C",IF(L2304&gt;=33,"D",IF(L2304&lt;=32,"E","")))))))</f>
        <v/>
      </c>
      <c r="N2304" s="58"/>
      <c r="O2304" s="58"/>
      <c r="P2304" s="59"/>
      <c r="Q2304" s="19"/>
      <c r="R2304" s="11"/>
    </row>
    <row r="2305" s="1" customFormat="1" ht="21.95" customHeight="1" spans="1:19">
      <c r="A2305" s="7"/>
      <c r="B2305" s="12"/>
      <c r="C2305" s="33"/>
      <c r="D2305" s="52" t="s">
        <v>718</v>
      </c>
      <c r="E2305" s="53"/>
      <c r="F2305" s="54" t="str">
        <f ca="1">IFERROR(VLOOKUP(F2286,'RR-3.1-5TH'!$A$12:'RR-3.1-5TH'!$BN$111,25,0),"")</f>
        <v/>
      </c>
      <c r="G2305" s="54" t="str">
        <f ca="1">IFERROR(VLOOKUP(F2286,'RR-3.1-5TH'!$A$12:'RR-3.1-5TH'!$BN$111,26,0),"")</f>
        <v/>
      </c>
      <c r="H2305" s="54" t="str">
        <f ca="1">IFERROR(VLOOKUP(F2286,'RR-3.1-5TH'!$A$12:'RR-3.1-5TH'!$BN$111,27,0),"")</f>
        <v/>
      </c>
      <c r="I2305" s="54" t="str">
        <f ca="1">IFERROR(VLOOKUP(F2286,'RR-3.1-5TH'!$A$12:'RR-3.1-5TH'!$BN$111,28,0),"")</f>
        <v/>
      </c>
      <c r="J2305" s="54" t="str">
        <f ca="1">IFERROR(VLOOKUP(F2286,'RR-3.1-5TH'!$A$12:'RR-3.1-5TH'!$BN$111,29,0),"")</f>
        <v/>
      </c>
      <c r="K2305" s="54" t="str">
        <f ca="1">IFERROR(VLOOKUP(F2286,'RR-3.1-5TH'!$A$12:'RR-3.1-5TH'!$BN$111,30,0),"")</f>
        <v/>
      </c>
      <c r="L2305" s="55">
        <f ca="1" t="shared" si="120"/>
        <v>0</v>
      </c>
      <c r="M2305" s="56" t="str">
        <f ca="1">IF(F2286&gt;ENTRY!$D$24,"",IF(L2305=0,"Ab",IF(L2305&gt;80,"A",IF(L2305&gt;60,"B",IF(L2305&gt;44,"C",IF(L2305&gt;=33,"D",IF(L2305&lt;=32,"E","")))))))</f>
        <v/>
      </c>
      <c r="N2305" s="29"/>
      <c r="O2305" s="29"/>
      <c r="P2305" s="19"/>
      <c r="Q2305" s="19"/>
      <c r="R2305" s="11"/>
    </row>
    <row r="2306" s="1" customFormat="1" ht="21.95" customHeight="1" spans="1:19">
      <c r="A2306" s="7"/>
      <c r="B2306" s="12"/>
      <c r="C2306" s="33"/>
      <c r="D2306" s="52" t="s">
        <v>719</v>
      </c>
      <c r="E2306" s="53"/>
      <c r="F2306" s="54" t="str">
        <f ca="1">IFERROR(VLOOKUP(F2286,'RR-3.1-5TH'!$A$12:'RR-3.1-5TH'!$BN$111,33,0),"")</f>
        <v/>
      </c>
      <c r="G2306" s="54" t="str">
        <f ca="1">IFERROR(VLOOKUP(F2286,'RR-3.1-5TH'!$A$12:'RR-3.1-5TH'!$BN$111,34,0),"")</f>
        <v/>
      </c>
      <c r="H2306" s="54" t="str">
        <f ca="1">IFERROR(VLOOKUP(F2286,'RR-3.1-5TH'!$A$12:'RR-3.1-5TH'!$BN$111,35,0),"")</f>
        <v/>
      </c>
      <c r="I2306" s="54" t="str">
        <f ca="1">IFERROR(VLOOKUP(F2286,'RR-3.1-5TH'!$A$12:'RR-3.1-5TH'!$BN$111,36,0),"")</f>
        <v/>
      </c>
      <c r="J2306" s="54" t="str">
        <f ca="1">IFERROR(VLOOKUP(F2286,'RR-3.1-5TH'!$A$12:'RR-3.1-5TH'!$BN$111,37,0),"")</f>
        <v/>
      </c>
      <c r="K2306" s="54" t="str">
        <f ca="1">IFERROR(VLOOKUP(F2286,'RR-3.1-5TH'!$A$12:'RR-3.1-5TH'!$BN$111,38,0),"")</f>
        <v/>
      </c>
      <c r="L2306" s="55">
        <f ca="1" t="shared" si="120"/>
        <v>0</v>
      </c>
      <c r="M2306" s="56" t="str">
        <f ca="1">IF(F2286&gt;ENTRY!$D$24,"",IF(L2306=0,"Ab",IF(L2306&gt;80,"A",IF(L2306&gt;60,"B",IF(L2306&gt;44,"C",IF(L2306&gt;=33,"D",IF(L2306&lt;=32,"E","")))))))</f>
        <v/>
      </c>
      <c r="N2306" s="29"/>
      <c r="O2306" s="29"/>
      <c r="P2306" s="19"/>
      <c r="Q2306" s="19"/>
      <c r="R2306" s="11"/>
    </row>
    <row r="2307" s="1" customFormat="1" ht="21.95" customHeight="1" spans="1:19">
      <c r="A2307" s="7"/>
      <c r="B2307" s="12"/>
      <c r="C2307" s="33"/>
      <c r="D2307" s="52" t="s">
        <v>548</v>
      </c>
      <c r="E2307" s="53"/>
      <c r="F2307" s="54" t="str">
        <f ca="1">IFERROR(VLOOKUP(F2286,'RR-3.1-5TH'!$A$12:'RR-3.1-5TH'!$BN$111,41,0),"")</f>
        <v/>
      </c>
      <c r="G2307" s="54" t="str">
        <f ca="1">IFERROR(VLOOKUP(F2286,'RR-3.1-5TH'!$A$12:'RR-3.1-5TH'!$BN$111,42,0),"")</f>
        <v/>
      </c>
      <c r="H2307" s="54" t="str">
        <f ca="1">IFERROR(VLOOKUP(F2286,'RR-3.1-5TH'!$A$12:'RR-3.1-5TH'!$BN$111,43,0),"")</f>
        <v/>
      </c>
      <c r="I2307" s="54" t="str">
        <f ca="1">IFERROR(VLOOKUP(F2286,'RR-3.1-5TH'!$A$12:'RR-3.1-5TH'!$BN$111,44,0),"")</f>
        <v/>
      </c>
      <c r="J2307" s="54" t="str">
        <f ca="1">IFERROR(VLOOKUP(F2286,'RR-3.1-5TH'!$A$12:'RR-3.1-5TH'!$BN$111,45,0),"")</f>
        <v/>
      </c>
      <c r="K2307" s="54" t="str">
        <f ca="1">IFERROR(VLOOKUP(F2286,'RR-3.1-5TH'!$A$12:'RR-3.1-5TH'!$BN$111,46,0),"")</f>
        <v/>
      </c>
      <c r="L2307" s="55">
        <f ca="1" t="shared" si="120"/>
        <v>0</v>
      </c>
      <c r="M2307" s="56" t="str">
        <f ca="1">IF(F2286&gt;ENTRY!$D$24,"",IF(L2307=0,"Ab",IF(L2307&gt;80,"A",IF(L2307&gt;60,"B",IF(L2307&gt;44,"C",IF(L2307&gt;=33,"D",IF(L2307&lt;=32,"E","")))))))</f>
        <v/>
      </c>
      <c r="N2307" s="29"/>
      <c r="O2307" s="29"/>
      <c r="P2307" s="19"/>
      <c r="Q2307" s="19"/>
      <c r="R2307" s="11"/>
    </row>
    <row r="2308" s="1" customFormat="1" ht="21.95" customHeight="1" spans="1:19">
      <c r="A2308" s="7"/>
      <c r="B2308" s="12"/>
      <c r="C2308" s="33"/>
      <c r="D2308" s="52" t="s">
        <v>549</v>
      </c>
      <c r="E2308" s="53"/>
      <c r="F2308" s="54" t="str">
        <f ca="1">IFERROR(VLOOKUP(F2286,'RR-3.1-5TH'!$A$12:'RR-3.1-5TH'!$BN$111,49,0),"")</f>
        <v/>
      </c>
      <c r="G2308" s="54" t="str">
        <f ca="1">IFERROR(VLOOKUP(F2286,'RR-3.1-5TH'!$A$12:'RR-3.1-5TH'!$BN$111,50,0),"")</f>
        <v/>
      </c>
      <c r="H2308" s="54" t="str">
        <f ca="1">IFERROR(VLOOKUP(F2286,'RR-3.1-5TH'!$A$12:'RR-3.1-5TH'!$BN$111,51,0),"")</f>
        <v/>
      </c>
      <c r="I2308" s="54" t="str">
        <f ca="1">IFERROR(VLOOKUP(F2286,'RR-3.1-5TH'!$A$12:'RR-3.1-5TH'!$BN$111,52,0),"")</f>
        <v/>
      </c>
      <c r="J2308" s="54" t="str">
        <f ca="1">IFERROR(VLOOKUP(F2286,'RR-3.1-5TH'!$A$12:'RR-3.1-5TH'!$BN$111,53,0),"")</f>
        <v/>
      </c>
      <c r="K2308" s="54" t="str">
        <f ca="1">IFERROR(VLOOKUP(F2286,'RR-3.1-5TH'!$A$12:'RR-3.1-5TH'!$BN$111,54,0),"")</f>
        <v/>
      </c>
      <c r="L2308" s="55">
        <f ca="1" t="shared" si="120"/>
        <v>0</v>
      </c>
      <c r="M2308" s="56" t="str">
        <f ca="1">IF(F2286&gt;ENTRY!$D$24,"",IF(L2308=0,"Ab",IF(L2308&gt;80,"A",IF(L2308&gt;60,"B",IF(L2308&gt;44,"C",IF(L2308&gt;=33,"D",IF(L2308&lt;=32,"E","")))))))</f>
        <v/>
      </c>
      <c r="N2308" s="57" t="s">
        <v>752</v>
      </c>
      <c r="O2308" s="58"/>
      <c r="P2308" s="59"/>
      <c r="Q2308" s="19"/>
      <c r="R2308" s="11"/>
    </row>
    <row r="2309" s="1" customFormat="1" ht="21.95" customHeight="1" spans="1:19">
      <c r="A2309" s="7"/>
      <c r="B2309" s="12"/>
      <c r="C2309" s="33"/>
      <c r="D2309" s="52" t="s">
        <v>753</v>
      </c>
      <c r="E2309" s="53"/>
      <c r="F2309" s="60"/>
      <c r="G2309" s="54"/>
      <c r="H2309" s="54"/>
      <c r="I2309" s="54"/>
      <c r="J2309" s="54"/>
      <c r="K2309" s="54"/>
      <c r="L2309" s="55">
        <f t="shared" ref="L2309" si="121">SUM(G2309:K2309)</f>
        <v>0</v>
      </c>
      <c r="M2309" s="56" t="str">
        <f>IF(F2286&gt;ENTRY!$D$24,"",IF(L2309=0,"",IF(L2309&gt;79,"A",IF(L2309&gt;59,"B",IF(L2309&gt;44,"C",IF(L2309&gt;=33,"D",IF(L2309&lt;=32,"E","")))))))</f>
        <v/>
      </c>
      <c r="N2309" s="58"/>
      <c r="O2309" s="58"/>
      <c r="P2309" s="59"/>
      <c r="Q2309" s="19"/>
      <c r="R2309" s="11"/>
    </row>
    <row r="2310" s="1" customFormat="1" ht="21.95" customHeight="1" spans="1:19">
      <c r="A2310" s="7"/>
      <c r="B2310" s="12"/>
      <c r="C2310" s="33"/>
      <c r="D2310" s="45" t="s">
        <v>382</v>
      </c>
      <c r="E2310" s="46"/>
      <c r="F2310" s="54">
        <f ca="1" t="shared" ref="F2310:L2310" si="122">IFERROR(SUM(F2303:F2309),"")</f>
        <v>0</v>
      </c>
      <c r="G2310" s="54">
        <f ca="1" t="shared" si="122"/>
        <v>0</v>
      </c>
      <c r="H2310" s="54">
        <f ca="1" t="shared" si="122"/>
        <v>0</v>
      </c>
      <c r="I2310" s="54">
        <f ca="1" t="shared" si="122"/>
        <v>0</v>
      </c>
      <c r="J2310" s="54">
        <f ca="1" t="shared" si="122"/>
        <v>0</v>
      </c>
      <c r="K2310" s="54">
        <f ca="1" t="shared" si="122"/>
        <v>0</v>
      </c>
      <c r="L2310" s="55">
        <f ca="1" t="shared" si="122"/>
        <v>0</v>
      </c>
      <c r="M2310" s="61" t="str">
        <f ca="1">IF(F2286&gt;ENTRY!$D$24,"",IF(N2311="Ab","Ab",IF(N2311&gt;79.5,"A",IF(N2311&gt;59.5,"B",IF(N2311&gt;44.5,"C",IF(N2311&gt;=33,"D",IF(N2311&lt;33,"E","")))))))</f>
        <v/>
      </c>
      <c r="N2310" s="62"/>
      <c r="O2310" s="58"/>
      <c r="P2310" s="59"/>
      <c r="Q2310" s="19"/>
      <c r="R2310" s="11"/>
    </row>
    <row r="2311" s="1" customFormat="1" ht="21.95" customHeight="1" spans="1:19">
      <c r="A2311" s="7"/>
      <c r="B2311" s="12"/>
      <c r="C2311" s="33"/>
      <c r="D2311" s="63" t="s">
        <v>721</v>
      </c>
      <c r="E2311" s="63"/>
      <c r="F2311" s="63"/>
      <c r="G2311" s="63"/>
      <c r="H2311" s="63"/>
      <c r="I2311" s="63"/>
      <c r="J2311" s="63"/>
      <c r="K2311" s="63"/>
      <c r="L2311" s="63"/>
      <c r="M2311" s="63"/>
      <c r="N2311" s="64">
        <f ca="1">IF(L2310="Ab","Ab",L2310/6)</f>
        <v>0</v>
      </c>
      <c r="O2311" s="65"/>
      <c r="P2311" s="19"/>
      <c r="Q2311" s="19"/>
      <c r="R2311" s="11"/>
    </row>
    <row r="2312" s="1" customFormat="1" ht="21.95" customHeight="1" spans="1:19">
      <c r="A2312" s="7"/>
      <c r="B2312" s="12"/>
      <c r="C2312" s="33"/>
      <c r="D2312" s="29" t="s">
        <v>716</v>
      </c>
      <c r="E2312" s="18" t="str">
        <f>IFERROR(VLOOKUP(F2286,'1to4-2.1-RR'!$A$12:$BG$111,57,0),"")</f>
        <v/>
      </c>
      <c r="F2312" s="18"/>
      <c r="G2312" s="18"/>
      <c r="H2312" s="18"/>
      <c r="I2312" s="18"/>
      <c r="J2312" s="18"/>
      <c r="K2312" s="18"/>
      <c r="L2312" s="18"/>
      <c r="M2312" s="18"/>
      <c r="N2312" s="29"/>
      <c r="O2312" s="29"/>
      <c r="P2312" s="19"/>
      <c r="Q2312" s="19"/>
      <c r="R2312" s="11"/>
    </row>
    <row r="2313" s="1" customFormat="1" ht="9.95" customHeight="1" spans="1:19">
      <c r="A2313" s="7"/>
      <c r="B2313" s="12"/>
      <c r="C2313" s="33"/>
      <c r="D2313" s="29"/>
      <c r="E2313" s="29"/>
      <c r="F2313" s="29"/>
      <c r="G2313" s="29"/>
      <c r="H2313" s="29"/>
      <c r="I2313" s="29"/>
      <c r="J2313" s="29"/>
      <c r="K2313" s="29"/>
      <c r="L2313" s="29"/>
      <c r="M2313" s="29"/>
      <c r="N2313" s="29"/>
      <c r="O2313" s="29"/>
      <c r="P2313" s="19"/>
      <c r="Q2313" s="19"/>
      <c r="R2313" s="11"/>
    </row>
    <row r="2314" s="1" customFormat="1" ht="36" spans="1:19">
      <c r="A2314" s="7"/>
      <c r="B2314" s="12"/>
      <c r="C2314" s="33"/>
      <c r="D2314" s="66" t="s">
        <v>576</v>
      </c>
      <c r="E2314" s="67" t="s">
        <v>754</v>
      </c>
      <c r="F2314" s="47" t="str">
        <f>IF(F2286&gt;ENTRY!$D$24,"",IFERROR(VLOOKUP(F2286,PASHEET!$A$4:$CJ$103,88,0),""))</f>
        <v/>
      </c>
      <c r="G2314" s="67" t="s">
        <v>755</v>
      </c>
      <c r="H2314" s="47" t="str">
        <f>IF(F2286&gt;ENTRY!$D$24,"",IFERROR(VLOOKUP(F2286,PASHEET!$A$4:$CJ$103,87,0),""))</f>
        <v/>
      </c>
      <c r="I2314" s="68" t="s">
        <v>756</v>
      </c>
      <c r="J2314" s="69" t="str">
        <f>IF(F2286&gt;ENTRY!$D$24,"",IFERROR(IF(F2286&gt;0,H2314/F2314*100),""))</f>
        <v/>
      </c>
      <c r="K2314" s="60" t="s">
        <v>757</v>
      </c>
      <c r="L2314" s="70" t="str">
        <f ca="1">IF(F2286&gt;ENTRY!$D$24,"",IFERROR(L2310/600*100,""))</f>
        <v/>
      </c>
      <c r="M2314" s="47" t="str">
        <f ca="1">IF(F2286&gt;ENTRY!$D$24,"",IFERROR(L2310&amp;" / "&amp;"600",""))</f>
        <v/>
      </c>
      <c r="N2314" s="29"/>
      <c r="O2314" s="29"/>
      <c r="P2314" s="19"/>
      <c r="Q2314" s="19"/>
      <c r="R2314" s="11"/>
    </row>
    <row r="2315" s="1" customFormat="1" ht="9.95" customHeight="1" spans="1:19">
      <c r="A2315" s="7"/>
      <c r="B2315" s="12"/>
      <c r="C2315" s="39"/>
      <c r="D2315" s="40"/>
      <c r="E2315" s="40"/>
      <c r="F2315" s="40"/>
      <c r="G2315" s="40"/>
      <c r="H2315" s="40"/>
      <c r="I2315" s="40"/>
      <c r="J2315" s="40"/>
      <c r="K2315" s="40"/>
      <c r="L2315" s="40"/>
      <c r="M2315" s="40"/>
      <c r="N2315" s="40"/>
      <c r="O2315" s="40"/>
      <c r="P2315" s="41"/>
      <c r="Q2315" s="19"/>
      <c r="R2315" s="11"/>
    </row>
    <row r="2316" s="1" customFormat="1" ht="9.95" customHeight="1" spans="1:19">
      <c r="A2316" s="7"/>
      <c r="B2316" s="12"/>
      <c r="C2316" s="71"/>
      <c r="D2316" s="71"/>
      <c r="E2316" s="71"/>
      <c r="F2316" s="29"/>
      <c r="G2316" s="71"/>
      <c r="H2316" s="71"/>
      <c r="I2316" s="71"/>
      <c r="J2316" s="71"/>
      <c r="K2316" s="71"/>
      <c r="L2316" s="71"/>
      <c r="M2316" s="71"/>
      <c r="N2316" s="71"/>
      <c r="O2316" s="71"/>
      <c r="P2316" s="71"/>
      <c r="Q2316" s="19"/>
      <c r="R2316" s="11"/>
    </row>
    <row r="2317" s="1" customFormat="1" ht="9.95" customHeight="1" spans="1:19">
      <c r="A2317" s="7"/>
      <c r="B2317" s="12"/>
      <c r="C2317" s="29"/>
      <c r="D2317" s="29"/>
      <c r="E2317" s="29"/>
      <c r="F2317" s="72"/>
      <c r="G2317" s="29"/>
      <c r="H2317" s="29"/>
      <c r="I2317" s="29"/>
      <c r="J2317" s="29"/>
      <c r="K2317" s="29"/>
      <c r="L2317" s="29"/>
      <c r="M2317" s="29"/>
      <c r="N2317" s="29"/>
      <c r="O2317" s="29"/>
      <c r="P2317" s="29"/>
      <c r="Q2317" s="19"/>
      <c r="R2317" s="11"/>
    </row>
    <row r="2318" s="1" customFormat="1" ht="9.95" customHeight="1" spans="1:19">
      <c r="A2318" s="7"/>
      <c r="B2318" s="12"/>
      <c r="C2318" s="30"/>
      <c r="D2318" s="31"/>
      <c r="E2318" s="31"/>
      <c r="F2318" s="31"/>
      <c r="G2318" s="31"/>
      <c r="H2318" s="31"/>
      <c r="I2318" s="31"/>
      <c r="J2318" s="31"/>
      <c r="K2318" s="31"/>
      <c r="L2318" s="31"/>
      <c r="M2318" s="31"/>
      <c r="N2318" s="31"/>
      <c r="O2318" s="31"/>
      <c r="P2318" s="32"/>
      <c r="Q2318" s="19"/>
      <c r="R2318" s="11"/>
    </row>
    <row r="2319" s="1" customFormat="1" ht="21.95" customHeight="1" spans="1:19">
      <c r="A2319" s="7"/>
      <c r="B2319" s="12"/>
      <c r="C2319" s="73" t="s">
        <v>7</v>
      </c>
      <c r="D2319" s="13"/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74"/>
      <c r="Q2319" s="19"/>
      <c r="R2319" s="11"/>
      <c r="S2319" s="2"/>
    </row>
    <row r="2320" s="1" customFormat="1" ht="21.95" customHeight="1" spans="1:19">
      <c r="A2320" s="7"/>
      <c r="B2320" s="12"/>
      <c r="C2320" s="33"/>
      <c r="D2320" s="29"/>
      <c r="E2320" s="29"/>
      <c r="F2320" s="29"/>
      <c r="G2320" s="29"/>
      <c r="H2320" s="29"/>
      <c r="I2320" s="29"/>
      <c r="J2320" s="29"/>
      <c r="K2320" s="29"/>
      <c r="L2320" s="29"/>
      <c r="M2320" s="29"/>
      <c r="N2320" s="29"/>
      <c r="O2320" s="29"/>
      <c r="P2320" s="19"/>
      <c r="Q2320" s="19"/>
      <c r="R2320" s="11"/>
    </row>
    <row r="2321" s="1" customFormat="1" ht="21.95" customHeight="1" spans="1:18">
      <c r="A2321" s="7"/>
      <c r="B2321" s="12"/>
      <c r="C2321" s="75" t="str">
        <f>"SESSION-"&amp;ENTRY!$D$11</f>
        <v>SESSION-2026-27</v>
      </c>
      <c r="D2321" s="15"/>
      <c r="E2321" s="15"/>
      <c r="F2321" s="15"/>
      <c r="G2321" s="15"/>
      <c r="H2321" s="15"/>
      <c r="I2321" s="15"/>
      <c r="J2321" s="15"/>
      <c r="K2321" s="15"/>
      <c r="L2321" s="15"/>
      <c r="M2321" s="15"/>
      <c r="N2321" s="15"/>
      <c r="O2321" s="15"/>
      <c r="P2321" s="76"/>
      <c r="Q2321" s="19"/>
      <c r="R2321" s="11"/>
    </row>
    <row r="2322" s="1" customFormat="1" ht="18" customHeight="1" spans="1:18">
      <c r="A2322" s="7"/>
      <c r="B2322" s="12"/>
      <c r="C2322" s="33"/>
      <c r="D2322" s="29"/>
      <c r="E2322" s="29"/>
      <c r="F2322" s="29"/>
      <c r="G2322" s="29"/>
      <c r="H2322" s="29"/>
      <c r="I2322" s="29"/>
      <c r="J2322" s="29"/>
      <c r="K2322" s="29"/>
      <c r="L2322" s="29"/>
      <c r="M2322" s="29"/>
      <c r="N2322" s="29"/>
      <c r="O2322" s="29"/>
      <c r="P2322" s="19"/>
      <c r="Q2322" s="19"/>
      <c r="R2322" s="11"/>
    </row>
    <row r="2323" s="1" customFormat="1" ht="21.95" customHeight="1" spans="1:18">
      <c r="A2323" s="7"/>
      <c r="B2323" s="12"/>
      <c r="C2323" s="33"/>
      <c r="D2323" s="77" t="s">
        <v>758</v>
      </c>
      <c r="E2323" s="77"/>
      <c r="F2323" s="78" t="str">
        <f>IFERROR(PROPER(VLOOKUP(F2286,STUDENT!$A$2:$BP$101,5,0)),"")</f>
        <v/>
      </c>
      <c r="G2323" s="78"/>
      <c r="H2323" s="78"/>
      <c r="I2323" s="78"/>
      <c r="J2323" s="78"/>
      <c r="K2323" s="78"/>
      <c r="L2323" s="78"/>
      <c r="M2323" s="78"/>
      <c r="N2323" s="79" t="s">
        <v>759</v>
      </c>
      <c r="O2323" s="79"/>
      <c r="P2323" s="19"/>
      <c r="Q2323" s="19"/>
      <c r="R2323" s="11"/>
    </row>
    <row r="2324" s="1" customFormat="1" ht="21.95" customHeight="1" spans="1:18">
      <c r="A2324" s="7"/>
      <c r="B2324" s="12"/>
      <c r="C2324" s="33"/>
      <c r="D2324" s="80" t="s">
        <v>760</v>
      </c>
      <c r="E2324" s="81" t="str">
        <f>IFERROR(PROPER(VLOOKUP(F2286,STUDENT!$A$2:$BP$101,9,0)),"")</f>
        <v/>
      </c>
      <c r="F2324" s="81"/>
      <c r="G2324" s="81"/>
      <c r="H2324" s="80" t="s">
        <v>761</v>
      </c>
      <c r="I2324" s="82" t="str">
        <f>IFERROR(PROPER(VLOOKUP(F2286,STUDENT!$A$2:$BP$101,8,0)),"")</f>
        <v/>
      </c>
      <c r="J2324" s="82"/>
      <c r="K2324" s="82"/>
      <c r="L2324" s="82"/>
      <c r="M2324" s="80" t="s">
        <v>762</v>
      </c>
      <c r="N2324" s="83" t="str">
        <f>IFERROR(VLOOKUP(F2286,STUDENT!$A$2:$BP$101,59,0),"")</f>
        <v/>
      </c>
      <c r="O2324" s="83"/>
      <c r="P2324" s="19"/>
      <c r="Q2324" s="19"/>
      <c r="R2324" s="11"/>
    </row>
    <row r="2325" s="1" customFormat="1" ht="21.95" customHeight="1" spans="1:18">
      <c r="A2325" s="7"/>
      <c r="B2325" s="12"/>
      <c r="C2325" s="33"/>
      <c r="D2325" s="77" t="str">
        <f>"has    completed     his  /  her     primary     level     education    in    the    year    "&amp;RIGHT(ENTRY!$D2291,4)&amp;"    from    ( School    Name )"</f>
        <v>has    completed     his  /  her     primary     level     education    in    the    year        from    ( School    Name )</v>
      </c>
      <c r="E2325" s="77"/>
      <c r="F2325" s="77"/>
      <c r="G2325" s="77"/>
      <c r="H2325" s="77"/>
      <c r="I2325" s="77"/>
      <c r="J2325" s="77"/>
      <c r="K2325" s="77"/>
      <c r="L2325" s="77"/>
      <c r="M2325" s="77"/>
      <c r="N2325" s="77"/>
      <c r="O2325" s="77"/>
      <c r="P2325" s="19"/>
      <c r="Q2325" s="19"/>
      <c r="R2325" s="11"/>
    </row>
    <row r="2326" s="1" customFormat="1" ht="21.95" customHeight="1" spans="1:18">
      <c r="A2326" s="7"/>
      <c r="B2326" s="12"/>
      <c r="C2326" s="33"/>
      <c r="D2326" s="81" t="str">
        <f>IF(F2286&gt;0,ENTRY!$D$6,"")</f>
        <v>MCP NITHARI NO 1 BOYS</v>
      </c>
      <c r="E2326" s="81"/>
      <c r="F2326" s="81"/>
      <c r="G2326" s="81"/>
      <c r="H2326" s="81"/>
      <c r="I2326" s="81"/>
      <c r="J2326" s="81"/>
      <c r="K2326" s="81"/>
      <c r="L2326" s="81"/>
      <c r="M2326" s="80" t="s">
        <v>763</v>
      </c>
      <c r="N2326" s="84">
        <f>IF(F2286&gt;0,ENTRY!$D$7,"")</f>
        <v>0</v>
      </c>
      <c r="O2326" s="84"/>
      <c r="P2326" s="85" t="s">
        <v>727</v>
      </c>
      <c r="Q2326" s="19"/>
      <c r="R2326" s="11"/>
    </row>
    <row r="2327" s="1" customFormat="1" ht="21.95" customHeight="1" spans="1:18">
      <c r="A2327" s="7"/>
      <c r="B2327" s="12"/>
      <c r="C2327" s="33"/>
      <c r="D2327" s="29"/>
      <c r="E2327" s="29"/>
      <c r="F2327" s="29"/>
      <c r="G2327" s="29"/>
      <c r="H2327" s="29"/>
      <c r="I2327" s="29"/>
      <c r="J2327" s="29"/>
      <c r="K2327" s="29"/>
      <c r="L2327" s="29"/>
      <c r="M2327" s="29"/>
      <c r="N2327" s="29"/>
      <c r="O2327" s="29"/>
      <c r="P2327" s="19"/>
      <c r="Q2327" s="19"/>
      <c r="R2327" s="11"/>
    </row>
    <row r="2328" s="1" customFormat="1" ht="21.95" customHeight="1" spans="1:18">
      <c r="A2328" s="7"/>
      <c r="B2328" s="12"/>
      <c r="C2328" s="33"/>
      <c r="D2328" s="29"/>
      <c r="E2328" s="29"/>
      <c r="F2328" s="29"/>
      <c r="G2328" s="29"/>
      <c r="H2328" s="29"/>
      <c r="I2328" s="29"/>
      <c r="J2328" s="29"/>
      <c r="K2328" s="29"/>
      <c r="L2328" s="29"/>
      <c r="M2328" s="29"/>
      <c r="N2328" s="29"/>
      <c r="O2328" s="29"/>
      <c r="P2328" s="19"/>
      <c r="Q2328" s="19"/>
      <c r="R2328" s="11"/>
    </row>
    <row r="2329" s="1" customFormat="1" ht="21.95" customHeight="1" spans="1:18">
      <c r="A2329" s="7"/>
      <c r="B2329" s="12"/>
      <c r="C2329" s="33"/>
      <c r="D2329" s="29"/>
      <c r="E2329" s="29"/>
      <c r="F2329" s="29"/>
      <c r="G2329" s="29"/>
      <c r="H2329" s="29"/>
      <c r="I2329" s="29"/>
      <c r="J2329" s="29"/>
      <c r="K2329" s="29"/>
      <c r="L2329" s="29"/>
      <c r="M2329" s="29"/>
      <c r="N2329" s="29"/>
      <c r="O2329" s="29"/>
      <c r="P2329" s="19"/>
      <c r="Q2329" s="19"/>
      <c r="R2329" s="11"/>
    </row>
    <row r="2330" s="1" customFormat="1" ht="21.95" customHeight="1" spans="1:18">
      <c r="A2330" s="7"/>
      <c r="B2330" s="12"/>
      <c r="C2330" s="33"/>
      <c r="D2330" s="29"/>
      <c r="E2330" s="29"/>
      <c r="F2330" s="29"/>
      <c r="G2330" s="29"/>
      <c r="H2330" s="29"/>
      <c r="I2330" s="29"/>
      <c r="J2330" s="29"/>
      <c r="K2330" s="29"/>
      <c r="L2330" s="29"/>
      <c r="M2330" s="29"/>
      <c r="N2330" s="29"/>
      <c r="O2330" s="29"/>
      <c r="P2330" s="19"/>
      <c r="Q2330" s="19"/>
      <c r="R2330" s="11"/>
    </row>
    <row r="2331" s="1" customFormat="1" ht="21.95" customHeight="1" spans="1:18">
      <c r="A2331" s="7"/>
      <c r="B2331" s="12"/>
      <c r="C2331" s="33"/>
      <c r="D2331" s="29"/>
      <c r="E2331" s="29"/>
      <c r="F2331" s="29"/>
      <c r="G2331" s="29"/>
      <c r="H2331" s="29"/>
      <c r="I2331" s="29"/>
      <c r="J2331" s="29"/>
      <c r="K2331" s="29"/>
      <c r="L2331" s="29"/>
      <c r="M2331" s="29"/>
      <c r="N2331" s="29"/>
      <c r="O2331" s="29"/>
      <c r="P2331" s="19"/>
      <c r="Q2331" s="19"/>
      <c r="R2331" s="11"/>
    </row>
    <row r="2332" s="1" customFormat="1" ht="21.95" customHeight="1" spans="1:18">
      <c r="A2332" s="7"/>
      <c r="B2332" s="12"/>
      <c r="C2332" s="33"/>
      <c r="D2332" s="80" t="s">
        <v>728</v>
      </c>
      <c r="E2332" s="86">
        <f>ENTRY!$D$27</f>
        <v>46102</v>
      </c>
      <c r="F2332" s="86"/>
      <c r="G2332" s="29"/>
      <c r="H2332" s="29"/>
      <c r="I2332" s="29"/>
      <c r="J2332" s="29"/>
      <c r="K2332" s="29"/>
      <c r="L2332" s="29"/>
      <c r="M2332" s="87" t="s">
        <v>730</v>
      </c>
      <c r="N2332" s="87"/>
      <c r="O2332" s="87"/>
      <c r="P2332" s="19"/>
      <c r="Q2332" s="19"/>
      <c r="R2332" s="11"/>
    </row>
    <row r="2333" s="1" customFormat="1" ht="21.95" customHeight="1" spans="1:18">
      <c r="A2333" s="7"/>
      <c r="B2333" s="12"/>
      <c r="C2333" s="33"/>
      <c r="D2333" s="80" t="s">
        <v>731</v>
      </c>
      <c r="E2333" s="88" t="str">
        <f>PROPER(ENTRY!$D$28)</f>
        <v>New Delhi</v>
      </c>
      <c r="F2333" s="88"/>
      <c r="G2333" s="29"/>
      <c r="H2333" s="29"/>
      <c r="I2333" s="29"/>
      <c r="J2333" s="29"/>
      <c r="K2333" s="29"/>
      <c r="L2333" s="29"/>
      <c r="M2333" s="89" t="s">
        <v>732</v>
      </c>
      <c r="N2333" s="89"/>
      <c r="O2333" s="89"/>
      <c r="P2333" s="19"/>
      <c r="Q2333" s="19"/>
      <c r="R2333" s="11"/>
    </row>
    <row r="2334" s="1" customFormat="1" ht="21.95" customHeight="1" spans="1:18">
      <c r="A2334" s="7"/>
      <c r="B2334" s="12"/>
      <c r="C2334" s="90"/>
      <c r="D2334" s="91"/>
      <c r="E2334" s="91"/>
      <c r="F2334" s="91"/>
      <c r="G2334" s="91"/>
      <c r="H2334" s="91"/>
      <c r="I2334" s="91"/>
      <c r="J2334" s="91"/>
      <c r="K2334" s="91"/>
      <c r="L2334" s="91"/>
      <c r="M2334" s="91"/>
      <c r="N2334" s="91"/>
      <c r="O2334" s="91"/>
      <c r="P2334" s="92"/>
      <c r="Q2334" s="14"/>
      <c r="R2334" s="11"/>
    </row>
    <row r="2335" s="1" customFormat="1" ht="5.1" customHeight="1" spans="1:18">
      <c r="A2335" s="7"/>
      <c r="B2335" s="90"/>
      <c r="C2335" s="91"/>
      <c r="D2335" s="91"/>
      <c r="E2335" s="91"/>
      <c r="F2335" s="91"/>
      <c r="G2335" s="91"/>
      <c r="H2335" s="91"/>
      <c r="I2335" s="91"/>
      <c r="J2335" s="91"/>
      <c r="K2335" s="91"/>
      <c r="L2335" s="91"/>
      <c r="M2335" s="91"/>
      <c r="N2335" s="91"/>
      <c r="O2335" s="91"/>
      <c r="P2335" s="91"/>
      <c r="Q2335" s="92"/>
      <c r="R2335" s="11"/>
    </row>
    <row r="2336" s="1" customFormat="1" ht="5.1" customHeight="1" spans="1:18">
      <c r="A2336" s="93"/>
      <c r="B2336" s="94"/>
      <c r="C2336" s="94"/>
      <c r="D2336" s="94"/>
      <c r="E2336" s="94"/>
      <c r="F2336" s="94"/>
      <c r="G2336" s="94"/>
      <c r="H2336" s="94"/>
      <c r="I2336" s="94"/>
      <c r="J2336" s="94"/>
      <c r="K2336" s="94"/>
      <c r="L2336" s="94"/>
      <c r="M2336" s="94"/>
      <c r="N2336" s="94"/>
      <c r="O2336" s="94"/>
      <c r="P2336" s="94"/>
      <c r="Q2336" s="94"/>
      <c r="R2336" s="95"/>
    </row>
    <row r="2337" s="2" customFormat="1" ht="9.95" customHeight="1"/>
    <row r="2338" s="1" customFormat="1" ht="5.1" customHeight="1" spans="1:18">
      <c r="A2338" s="4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  <c r="O2338" s="5"/>
      <c r="P2338" s="5"/>
      <c r="Q2338" s="5"/>
      <c r="R2338" s="6"/>
    </row>
    <row r="2339" s="1" customFormat="1" ht="15" customHeight="1" spans="1:18">
      <c r="A2339" s="7"/>
      <c r="B2339" s="8"/>
      <c r="C2339" s="9"/>
      <c r="D2339" s="9"/>
      <c r="E2339" s="9"/>
      <c r="F2339" s="9"/>
      <c r="G2339" s="9"/>
      <c r="H2339" s="9"/>
      <c r="I2339" s="9"/>
      <c r="J2339" s="9"/>
      <c r="K2339" s="9"/>
      <c r="L2339" s="9"/>
      <c r="M2339" s="9"/>
      <c r="N2339" s="9"/>
      <c r="O2339" s="9"/>
      <c r="P2339" s="9"/>
      <c r="Q2339" s="10"/>
      <c r="R2339" s="11"/>
    </row>
    <row r="2340" s="1" customFormat="1" ht="21.95" customHeight="1" spans="1:18">
      <c r="A2340" s="7"/>
      <c r="B2340" s="12"/>
      <c r="C2340" s="13" t="s">
        <v>7</v>
      </c>
      <c r="D2340" s="13"/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/>
      <c r="Q2340" s="14"/>
      <c r="R2340" s="11"/>
    </row>
    <row r="2341" s="1" customFormat="1" ht="21.95" customHeight="1" spans="1:18">
      <c r="A2341" s="7"/>
      <c r="B2341" s="1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14"/>
      <c r="R2341" s="11"/>
    </row>
    <row r="2342" s="1" customFormat="1" ht="21.95" customHeight="1" spans="1:18">
      <c r="A2342" s="7"/>
      <c r="B2342" s="12"/>
      <c r="C2342" s="15" t="str">
        <f>"SESSION-"&amp;ENTRY!$D$11</f>
        <v>SESSION-2026-27</v>
      </c>
      <c r="D2342" s="15"/>
      <c r="E2342" s="15"/>
      <c r="F2342" s="15"/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4"/>
      <c r="R2342" s="11"/>
    </row>
    <row r="2343" s="1" customFormat="1" ht="21.95" customHeight="1" spans="1:18">
      <c r="A2343" s="7"/>
      <c r="B2343" s="12"/>
      <c r="C2343" s="2"/>
      <c r="D2343" s="2"/>
      <c r="E2343" s="2"/>
      <c r="F2343" s="16">
        <f>F2286+1</f>
        <v>42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14"/>
      <c r="R2343" s="11"/>
    </row>
    <row r="2344" s="1" customFormat="1" ht="21.95" customHeight="1" spans="1:18">
      <c r="A2344" s="7"/>
      <c r="B2344" s="12"/>
      <c r="C2344" s="17" t="s">
        <v>392</v>
      </c>
      <c r="D2344" s="17"/>
      <c r="E2344" s="17"/>
      <c r="F2344" s="18" t="str">
        <f>IF(F2343&gt;0,ENTRY!$D$6,"")</f>
        <v>MCP NITHARI NO 1 BOYS</v>
      </c>
      <c r="G2344" s="18"/>
      <c r="H2344" s="18"/>
      <c r="I2344" s="18"/>
      <c r="J2344" s="18"/>
      <c r="K2344" s="18"/>
      <c r="L2344" s="18"/>
      <c r="M2344" s="18"/>
      <c r="N2344" s="18"/>
      <c r="O2344" s="18"/>
      <c r="P2344" s="18"/>
      <c r="Q2344" s="19"/>
      <c r="R2344" s="11"/>
    </row>
    <row r="2345" s="1" customFormat="1" ht="21.95" customHeight="1" spans="1:18">
      <c r="A2345" s="7"/>
      <c r="B2345" s="12"/>
      <c r="C2345" s="17" t="s">
        <v>393</v>
      </c>
      <c r="D2345" s="17"/>
      <c r="E2345" s="17"/>
      <c r="F2345" s="18">
        <f>IF(F2343&gt;0,ENTRY!$D$7,"")</f>
        <v>0</v>
      </c>
      <c r="G2345" s="18"/>
      <c r="H2345" s="20" t="s">
        <v>702</v>
      </c>
      <c r="I2345" s="20"/>
      <c r="J2345" s="21">
        <f>IF(F2343&gt;0,ENTRY!$D$10,"")</f>
        <v>40</v>
      </c>
      <c r="K2345" s="20" t="s">
        <v>703</v>
      </c>
      <c r="L2345" s="22" t="str">
        <f>IF(F2343&gt;0,ENTRY!$D$5,"")</f>
        <v>ROHINI ZONE</v>
      </c>
      <c r="M2345" s="22"/>
      <c r="N2345" s="22"/>
      <c r="O2345" s="22"/>
      <c r="P2345" s="22"/>
      <c r="Q2345" s="19"/>
      <c r="R2345" s="11"/>
    </row>
    <row r="2346" s="1" customFormat="1" ht="21.95" customHeight="1" spans="1:18">
      <c r="A2346" s="7"/>
      <c r="B2346" s="12"/>
      <c r="C2346" s="17" t="s">
        <v>706</v>
      </c>
      <c r="D2346" s="17"/>
      <c r="E2346" s="17"/>
      <c r="F2346" s="23">
        <f>IFERROR(VLOOKUP(F2343,STUDENT!$A$2:$BP$101,5,0),"")</f>
        <v>0</v>
      </c>
      <c r="G2346" s="23"/>
      <c r="H2346" s="23"/>
      <c r="I2346" s="23"/>
      <c r="J2346" s="23"/>
      <c r="K2346" s="23"/>
      <c r="L2346" s="20" t="s">
        <v>707</v>
      </c>
      <c r="M2346" s="20"/>
      <c r="N2346" s="24" t="str">
        <f>IF(F2343&gt;0,ENTRY!$D$20&amp;"-"&amp;ENTRY!$D$21,"")</f>
        <v>III-A</v>
      </c>
      <c r="O2346" s="24"/>
      <c r="P2346" s="24"/>
      <c r="Q2346" s="19"/>
      <c r="R2346" s="11"/>
    </row>
    <row r="2347" s="1" customFormat="1" ht="21.95" customHeight="1" spans="1:18">
      <c r="A2347" s="7"/>
      <c r="B2347" s="12"/>
      <c r="C2347" s="17" t="s">
        <v>708</v>
      </c>
      <c r="D2347" s="17"/>
      <c r="E2347" s="17"/>
      <c r="F2347" s="25">
        <f>IFERROR(VLOOKUP(F2343,STUDENT!$A$2:$BP$101,6,0),"")</f>
        <v>0</v>
      </c>
      <c r="G2347" s="25"/>
      <c r="H2347" s="26" t="s">
        <v>709</v>
      </c>
      <c r="I2347" s="27" t="str">
        <f>IFERROR(VLOOKUP(F2343,STUDENT!$A$2:$BP$101,59,0),"")</f>
        <v/>
      </c>
      <c r="J2347" s="27"/>
      <c r="K2347" s="20" t="s">
        <v>710</v>
      </c>
      <c r="L2347" s="20"/>
      <c r="M2347" s="28">
        <f>IFERROR(VLOOKUP(F2343,STUDENT!$A$2:$BP$101,20,0),"")</f>
        <v>0</v>
      </c>
      <c r="N2347" s="28"/>
      <c r="O2347" s="28"/>
      <c r="P2347" s="28"/>
      <c r="Q2347" s="19"/>
      <c r="R2347" s="11"/>
    </row>
    <row r="2348" s="1" customFormat="1" ht="21.95" customHeight="1" spans="1:18">
      <c r="A2348" s="7"/>
      <c r="B2348" s="12"/>
      <c r="C2348" s="17" t="s">
        <v>711</v>
      </c>
      <c r="D2348" s="17"/>
      <c r="E2348" s="17"/>
      <c r="F2348" s="23">
        <f>IFERROR(VLOOKUP(F2343,STUDENT!$A$2:$BP$101,9,0),"")</f>
        <v>0</v>
      </c>
      <c r="G2348" s="23"/>
      <c r="H2348" s="23"/>
      <c r="I2348" s="23"/>
      <c r="J2348" s="17" t="s">
        <v>620</v>
      </c>
      <c r="K2348" s="17"/>
      <c r="L2348" s="23">
        <f>IFERROR(VLOOKUP(F2343,STUDENT!$A$2:$BP$101,8,0),"")</f>
        <v>0</v>
      </c>
      <c r="M2348" s="23"/>
      <c r="N2348" s="23"/>
      <c r="O2348" s="23"/>
      <c r="P2348" s="23"/>
      <c r="Q2348" s="19"/>
      <c r="R2348" s="11"/>
    </row>
    <row r="2349" s="1" customFormat="1" ht="21.95" customHeight="1" spans="1:18">
      <c r="A2349" s="7"/>
      <c r="B2349" s="12"/>
      <c r="C2349" s="17" t="s">
        <v>712</v>
      </c>
      <c r="D2349" s="17"/>
      <c r="E2349" s="17"/>
      <c r="F2349" s="23">
        <f>IFERROR(VLOOKUP(F2343,STUDENT!$A$2:$BP$101,22,0),"")</f>
        <v>0</v>
      </c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19"/>
      <c r="R2349" s="11"/>
    </row>
    <row r="2350" s="1" customFormat="1" ht="9.95" customHeight="1" spans="1:18">
      <c r="A2350" s="7"/>
      <c r="B2350" s="12"/>
      <c r="C2350" s="29"/>
      <c r="D2350" s="29"/>
      <c r="E2350" s="29"/>
      <c r="F2350" s="29"/>
      <c r="G2350" s="29"/>
      <c r="H2350" s="29"/>
      <c r="I2350" s="29"/>
      <c r="J2350" s="29"/>
      <c r="K2350" s="29"/>
      <c r="L2350" s="29"/>
      <c r="M2350" s="29"/>
      <c r="N2350" s="29"/>
      <c r="O2350" s="29"/>
      <c r="P2350" s="29"/>
      <c r="Q2350" s="19"/>
      <c r="R2350" s="11"/>
    </row>
    <row r="2351" s="1" customFormat="1" ht="9.95" customHeight="1" spans="1:18">
      <c r="A2351" s="7"/>
      <c r="B2351" s="12"/>
      <c r="C2351" s="30"/>
      <c r="D2351" s="31"/>
      <c r="E2351" s="31"/>
      <c r="F2351" s="31"/>
      <c r="G2351" s="31"/>
      <c r="H2351" s="31"/>
      <c r="I2351" s="31"/>
      <c r="J2351" s="31"/>
      <c r="K2351" s="31"/>
      <c r="L2351" s="31"/>
      <c r="M2351" s="31"/>
      <c r="N2351" s="31"/>
      <c r="O2351" s="31"/>
      <c r="P2351" s="32"/>
      <c r="Q2351" s="19"/>
      <c r="R2351" s="11"/>
    </row>
    <row r="2352" s="1" customFormat="1" ht="21.95" customHeight="1" spans="1:18">
      <c r="A2352" s="7"/>
      <c r="B2352" s="12"/>
      <c r="C2352" s="33"/>
      <c r="D2352" s="34" t="s">
        <v>713</v>
      </c>
      <c r="E2352" s="20" t="s">
        <v>714</v>
      </c>
      <c r="F2352" s="35" t="str">
        <f>"Level - "&amp;IFERROR(VLOOKUP(F2343,FLN!$A$4:$K$103,9,0),"")</f>
        <v>Level - </v>
      </c>
      <c r="G2352" s="36"/>
      <c r="H2352" s="37" t="s">
        <v>715</v>
      </c>
      <c r="I2352" s="20"/>
      <c r="J2352" s="35" t="str">
        <f>"Level - "&amp;IFERROR(VLOOKUP(F2343,FLN!$A$4:$K$103,11,0),"")</f>
        <v>Level - </v>
      </c>
      <c r="K2352" s="36"/>
      <c r="L2352" s="37" t="s">
        <v>408</v>
      </c>
      <c r="M2352" s="20"/>
      <c r="N2352" s="35" t="str">
        <f>"Level - "&amp;IFERROR(VLOOKUP(F2343,FLN!$A$4:$K$103,10,0),"")</f>
        <v>Level - </v>
      </c>
      <c r="O2352" s="36"/>
      <c r="P2352" s="19"/>
      <c r="Q2352" s="19"/>
      <c r="R2352" s="11"/>
    </row>
    <row r="2353" s="1" customFormat="1" ht="21.95" customHeight="1" spans="1:18">
      <c r="A2353" s="7"/>
      <c r="B2353" s="12"/>
      <c r="C2353" s="33"/>
      <c r="D2353" s="38"/>
      <c r="E2353" s="20" t="s">
        <v>716</v>
      </c>
      <c r="F2353" s="18" t="str">
        <f ca="1">IF(L2367&gt;197,"PERFORMED WELL","")</f>
        <v/>
      </c>
      <c r="G2353" s="18"/>
      <c r="H2353" s="18"/>
      <c r="I2353" s="18"/>
      <c r="J2353" s="18"/>
      <c r="K2353" s="18"/>
      <c r="L2353" s="18"/>
      <c r="M2353" s="18"/>
      <c r="N2353" s="18"/>
      <c r="O2353" s="18"/>
      <c r="P2353" s="19"/>
      <c r="Q2353" s="19"/>
      <c r="R2353" s="11"/>
    </row>
    <row r="2354" s="1" customFormat="1" ht="9.95" customHeight="1" spans="1:18">
      <c r="A2354" s="7"/>
      <c r="B2354" s="12"/>
      <c r="C2354" s="39"/>
      <c r="D2354" s="40"/>
      <c r="E2354" s="40"/>
      <c r="F2354" s="40"/>
      <c r="G2354" s="40"/>
      <c r="H2354" s="40"/>
      <c r="I2354" s="40"/>
      <c r="J2354" s="40"/>
      <c r="K2354" s="40"/>
      <c r="L2354" s="40"/>
      <c r="M2354" s="40"/>
      <c r="N2354" s="40"/>
      <c r="O2354" s="40"/>
      <c r="P2354" s="41"/>
      <c r="Q2354" s="19"/>
      <c r="R2354" s="11"/>
    </row>
    <row r="2355" s="1" customFormat="1" ht="9.95" customHeight="1" spans="1:18">
      <c r="A2355" s="7"/>
      <c r="B2355" s="12"/>
      <c r="C2355" s="29"/>
      <c r="D2355" s="29"/>
      <c r="E2355" s="29"/>
      <c r="F2355" s="29"/>
      <c r="G2355" s="29"/>
      <c r="H2355" s="29"/>
      <c r="I2355" s="29"/>
      <c r="J2355" s="29"/>
      <c r="K2355" s="29"/>
      <c r="L2355" s="29"/>
      <c r="M2355" s="29"/>
      <c r="N2355" s="29"/>
      <c r="O2355" s="29"/>
      <c r="P2355" s="29"/>
      <c r="Q2355" s="19"/>
      <c r="R2355" s="11"/>
    </row>
    <row r="2356" s="1" customFormat="1" ht="9.95" customHeight="1" spans="1:18">
      <c r="A2356" s="7"/>
      <c r="B2356" s="12"/>
      <c r="C2356" s="30"/>
      <c r="D2356" s="31"/>
      <c r="E2356" s="31"/>
      <c r="F2356" s="31"/>
      <c r="G2356" s="31"/>
      <c r="H2356" s="31"/>
      <c r="I2356" s="31"/>
      <c r="J2356" s="31"/>
      <c r="K2356" s="31"/>
      <c r="L2356" s="31"/>
      <c r="M2356" s="31"/>
      <c r="N2356" s="31"/>
      <c r="O2356" s="31"/>
      <c r="P2356" s="32"/>
      <c r="Q2356" s="19"/>
      <c r="R2356" s="11"/>
    </row>
    <row r="2357" s="1" customFormat="1" ht="21.95" customHeight="1" spans="1:18">
      <c r="A2357" s="7"/>
      <c r="B2357" s="12"/>
      <c r="C2357" s="33"/>
      <c r="D2357" s="35"/>
      <c r="E2357" s="24"/>
      <c r="F2357" s="42" t="s">
        <v>717</v>
      </c>
      <c r="G2357" s="42"/>
      <c r="H2357" s="42"/>
      <c r="I2357" s="42"/>
      <c r="J2357" s="42"/>
      <c r="K2357" s="42"/>
      <c r="L2357" s="43"/>
      <c r="M2357" s="44"/>
      <c r="N2357" s="29"/>
      <c r="O2357" s="29"/>
      <c r="P2357" s="19"/>
      <c r="Q2357" s="19"/>
      <c r="R2357" s="11"/>
    </row>
    <row r="2358" s="1" customFormat="1" ht="21.95" customHeight="1" spans="1:18">
      <c r="A2358" s="7"/>
      <c r="B2358" s="12"/>
      <c r="C2358" s="33"/>
      <c r="D2358" s="45"/>
      <c r="E2358" s="46"/>
      <c r="F2358" s="47" t="s">
        <v>541</v>
      </c>
      <c r="G2358" s="47" t="s">
        <v>542</v>
      </c>
      <c r="H2358" s="47" t="s">
        <v>543</v>
      </c>
      <c r="I2358" s="47" t="s">
        <v>544</v>
      </c>
      <c r="J2358" s="47" t="s">
        <v>561</v>
      </c>
      <c r="K2358" s="48" t="s">
        <v>750</v>
      </c>
      <c r="L2358" s="47" t="s">
        <v>382</v>
      </c>
      <c r="M2358" s="49" t="s">
        <v>546</v>
      </c>
      <c r="N2358" s="29"/>
      <c r="O2358" s="29"/>
      <c r="P2358" s="19"/>
      <c r="Q2358" s="19"/>
      <c r="R2358" s="11"/>
    </row>
    <row r="2359" s="1" customFormat="1" ht="21.95" customHeight="1" spans="1:18">
      <c r="A2359" s="7"/>
      <c r="B2359" s="12"/>
      <c r="C2359" s="33"/>
      <c r="D2359" s="45" t="s">
        <v>652</v>
      </c>
      <c r="E2359" s="46"/>
      <c r="F2359" s="50">
        <v>10</v>
      </c>
      <c r="G2359" s="50">
        <v>10</v>
      </c>
      <c r="H2359" s="50">
        <v>10</v>
      </c>
      <c r="I2359" s="50">
        <v>10</v>
      </c>
      <c r="J2359" s="50">
        <v>60</v>
      </c>
      <c r="K2359" s="51"/>
      <c r="L2359" s="50">
        <v>100</v>
      </c>
      <c r="M2359" s="49"/>
      <c r="N2359" s="29"/>
      <c r="O2359" s="29"/>
      <c r="P2359" s="19"/>
      <c r="Q2359" s="19"/>
      <c r="R2359" s="11"/>
    </row>
    <row r="2360" s="1" customFormat="1" ht="21.95" customHeight="1" spans="1:18">
      <c r="A2360" s="7"/>
      <c r="B2360" s="12"/>
      <c r="C2360" s="33"/>
      <c r="D2360" s="52" t="s">
        <v>751</v>
      </c>
      <c r="E2360" s="53"/>
      <c r="F2360" s="54" t="str">
        <f ca="1">IFERROR(VLOOKUP(F2343,'RR-3.1-5TH'!$A$12:'RR-3.1-5TH'!$BN$111,9,0),"")</f>
        <v/>
      </c>
      <c r="G2360" s="54" t="str">
        <f ca="1">IFERROR(VLOOKUP(F2343,'RR-3.1-5TH'!$A$12:'RR-3.1-5TH'!$BN$111,10,0),"")</f>
        <v/>
      </c>
      <c r="H2360" s="54" t="str">
        <f ca="1">IFERROR(VLOOKUP(F2343,'RR-3.1-5TH'!$A$12:'RR-3.1-5TH'!$BN$111,11,0),"")</f>
        <v/>
      </c>
      <c r="I2360" s="54" t="str">
        <f ca="1">IFERROR(VLOOKUP(F2343,'RR-3.1-5TH'!$A$12:'RR-3.1-5TH'!$BN$111,12,0),"")</f>
        <v/>
      </c>
      <c r="J2360" s="54" t="str">
        <f ca="1">IFERROR(VLOOKUP(F2343,'RR-3.1-5TH'!$A$12:'RR-3.1-5TH'!$BN$111,13,0),"")</f>
        <v/>
      </c>
      <c r="K2360" s="54" t="str">
        <f ca="1">IFERROR(VLOOKUP(F2343,'RR-3.1-5TH'!$A$12:'RR-3.1-5TH'!$BN$111,14,0),"")</f>
        <v/>
      </c>
      <c r="L2360" s="55">
        <f ca="1" t="shared" ref="L2360:L2365" si="123">SUM(F2360,G2360,H2360,I2360,J2360,K2360)</f>
        <v>0</v>
      </c>
      <c r="M2360" s="56" t="str">
        <f ca="1">IF(F2343&gt;ENTRY!$D$24,"",IF(L2360=0,"Ab",IF(L2360&gt;80,"A",IF(L2360&gt;60,"B",IF(L2360&gt;44,"C",IF(L2360&gt;=33,"D",IF(L2360&lt;=32,"E","")))))))</f>
        <v/>
      </c>
      <c r="N2360" s="57" t="s">
        <v>729</v>
      </c>
      <c r="O2360" s="58"/>
      <c r="P2360" s="59"/>
      <c r="Q2360" s="19"/>
      <c r="R2360" s="11"/>
    </row>
    <row r="2361" s="1" customFormat="1" ht="21.95" customHeight="1" spans="1:18">
      <c r="A2361" s="7"/>
      <c r="B2361" s="12"/>
      <c r="C2361" s="33"/>
      <c r="D2361" s="52" t="s">
        <v>513</v>
      </c>
      <c r="E2361" s="53"/>
      <c r="F2361" s="54" t="str">
        <f ca="1">IFERROR(VLOOKUP(F2343,'RR-3.1-5TH'!$A$12:'RR-3.1-5TH'!$BN$111,17,0),"")</f>
        <v/>
      </c>
      <c r="G2361" s="54" t="str">
        <f ca="1">IFERROR(VLOOKUP(F2343,'RR-3.1-5TH'!$A$12:'RR-3.1-5TH'!$BN$111,18,0),"")</f>
        <v/>
      </c>
      <c r="H2361" s="54" t="str">
        <f ca="1">IFERROR(VLOOKUP(F2343,'RR-3.1-5TH'!$A$12:'RR-3.1-5TH'!$BN$111,19,0),"")</f>
        <v/>
      </c>
      <c r="I2361" s="54" t="str">
        <f ca="1">IFERROR(VLOOKUP(F2343,'RR-3.1-5TH'!$A$12:'RR-3.1-5TH'!$BN$111,20,0),"")</f>
        <v/>
      </c>
      <c r="J2361" s="54" t="str">
        <f ca="1">IFERROR(VLOOKUP(F2343,'RR-3.1-5TH'!$A$12:'RR-3.1-5TH'!$BN$111,21,0),"")</f>
        <v/>
      </c>
      <c r="K2361" s="54" t="str">
        <f ca="1">IFERROR(VLOOKUP(F2343,'RR-3.1-5TH'!$A$12:'RR-3.1-5TH'!$BN$111,22,0),"")</f>
        <v/>
      </c>
      <c r="L2361" s="55">
        <f ca="1" t="shared" si="123"/>
        <v>0</v>
      </c>
      <c r="M2361" s="56" t="str">
        <f ca="1">IF(F2343&gt;ENTRY!$D$24,"",IF(L2361=0,"Ab",IF(L2361&gt;80,"A",IF(L2361&gt;60,"B",IF(L2361&gt;44,"C",IF(L2361&gt;=33,"D",IF(L2361&lt;=32,"E","")))))))</f>
        <v/>
      </c>
      <c r="N2361" s="58"/>
      <c r="O2361" s="58"/>
      <c r="P2361" s="59"/>
      <c r="Q2361" s="19"/>
      <c r="R2361" s="11"/>
    </row>
    <row r="2362" s="1" customFormat="1" ht="21.95" customHeight="1" spans="1:18">
      <c r="A2362" s="7"/>
      <c r="B2362" s="12"/>
      <c r="C2362" s="33"/>
      <c r="D2362" s="52" t="s">
        <v>718</v>
      </c>
      <c r="E2362" s="53"/>
      <c r="F2362" s="54" t="str">
        <f ca="1">IFERROR(VLOOKUP(F2343,'RR-3.1-5TH'!$A$12:'RR-3.1-5TH'!$BN$111,25,0),"")</f>
        <v/>
      </c>
      <c r="G2362" s="54" t="str">
        <f ca="1">IFERROR(VLOOKUP(F2343,'RR-3.1-5TH'!$A$12:'RR-3.1-5TH'!$BN$111,26,0),"")</f>
        <v/>
      </c>
      <c r="H2362" s="54" t="str">
        <f ca="1">IFERROR(VLOOKUP(F2343,'RR-3.1-5TH'!$A$12:'RR-3.1-5TH'!$BN$111,27,0),"")</f>
        <v/>
      </c>
      <c r="I2362" s="54" t="str">
        <f ca="1">IFERROR(VLOOKUP(F2343,'RR-3.1-5TH'!$A$12:'RR-3.1-5TH'!$BN$111,28,0),"")</f>
        <v/>
      </c>
      <c r="J2362" s="54" t="str">
        <f ca="1">IFERROR(VLOOKUP(F2343,'RR-3.1-5TH'!$A$12:'RR-3.1-5TH'!$BN$111,29,0),"")</f>
        <v/>
      </c>
      <c r="K2362" s="54" t="str">
        <f ca="1">IFERROR(VLOOKUP(F2343,'RR-3.1-5TH'!$A$12:'RR-3.1-5TH'!$BN$111,30,0),"")</f>
        <v/>
      </c>
      <c r="L2362" s="55">
        <f ca="1" t="shared" si="123"/>
        <v>0</v>
      </c>
      <c r="M2362" s="56" t="str">
        <f ca="1">IF(F2343&gt;ENTRY!$D$24,"",IF(L2362=0,"Ab",IF(L2362&gt;80,"A",IF(L2362&gt;60,"B",IF(L2362&gt;44,"C",IF(L2362&gt;=33,"D",IF(L2362&lt;=32,"E","")))))))</f>
        <v/>
      </c>
      <c r="N2362" s="29"/>
      <c r="O2362" s="29"/>
      <c r="P2362" s="19"/>
      <c r="Q2362" s="19"/>
      <c r="R2362" s="11"/>
    </row>
    <row r="2363" s="1" customFormat="1" ht="21.95" customHeight="1" spans="1:18">
      <c r="A2363" s="7"/>
      <c r="B2363" s="12"/>
      <c r="C2363" s="33"/>
      <c r="D2363" s="52" t="s">
        <v>719</v>
      </c>
      <c r="E2363" s="53"/>
      <c r="F2363" s="54" t="str">
        <f ca="1">IFERROR(VLOOKUP(F2343,'RR-3.1-5TH'!$A$12:'RR-3.1-5TH'!$BN$111,33,0),"")</f>
        <v/>
      </c>
      <c r="G2363" s="54" t="str">
        <f ca="1">IFERROR(VLOOKUP(F2343,'RR-3.1-5TH'!$A$12:'RR-3.1-5TH'!$BN$111,34,0),"")</f>
        <v/>
      </c>
      <c r="H2363" s="54" t="str">
        <f ca="1">IFERROR(VLOOKUP(F2343,'RR-3.1-5TH'!$A$12:'RR-3.1-5TH'!$BN$111,35,0),"")</f>
        <v/>
      </c>
      <c r="I2363" s="54" t="str">
        <f ca="1">IFERROR(VLOOKUP(F2343,'RR-3.1-5TH'!$A$12:'RR-3.1-5TH'!$BN$111,36,0),"")</f>
        <v/>
      </c>
      <c r="J2363" s="54" t="str">
        <f ca="1">IFERROR(VLOOKUP(F2343,'RR-3.1-5TH'!$A$12:'RR-3.1-5TH'!$BN$111,37,0),"")</f>
        <v/>
      </c>
      <c r="K2363" s="54" t="str">
        <f ca="1">IFERROR(VLOOKUP(F2343,'RR-3.1-5TH'!$A$12:'RR-3.1-5TH'!$BN$111,38,0),"")</f>
        <v/>
      </c>
      <c r="L2363" s="55">
        <f ca="1" t="shared" si="123"/>
        <v>0</v>
      </c>
      <c r="M2363" s="56" t="str">
        <f ca="1">IF(F2343&gt;ENTRY!$D$24,"",IF(L2363=0,"Ab",IF(L2363&gt;80,"A",IF(L2363&gt;60,"B",IF(L2363&gt;44,"C",IF(L2363&gt;=33,"D",IF(L2363&lt;=32,"E","")))))))</f>
        <v/>
      </c>
      <c r="N2363" s="29"/>
      <c r="O2363" s="29"/>
      <c r="P2363" s="19"/>
      <c r="Q2363" s="19"/>
      <c r="R2363" s="11"/>
    </row>
    <row r="2364" s="1" customFormat="1" ht="21.95" customHeight="1" spans="1:18">
      <c r="A2364" s="7"/>
      <c r="B2364" s="12"/>
      <c r="C2364" s="33"/>
      <c r="D2364" s="52" t="s">
        <v>548</v>
      </c>
      <c r="E2364" s="53"/>
      <c r="F2364" s="54" t="str">
        <f ca="1">IFERROR(VLOOKUP(F2343,'RR-3.1-5TH'!$A$12:'RR-3.1-5TH'!$BN$111,41,0),"")</f>
        <v/>
      </c>
      <c r="G2364" s="54" t="str">
        <f ca="1">IFERROR(VLOOKUP(F2343,'RR-3.1-5TH'!$A$12:'RR-3.1-5TH'!$BN$111,42,0),"")</f>
        <v/>
      </c>
      <c r="H2364" s="54" t="str">
        <f ca="1">IFERROR(VLOOKUP(F2343,'RR-3.1-5TH'!$A$12:'RR-3.1-5TH'!$BN$111,43,0),"")</f>
        <v/>
      </c>
      <c r="I2364" s="54" t="str">
        <f ca="1">IFERROR(VLOOKUP(F2343,'RR-3.1-5TH'!$A$12:'RR-3.1-5TH'!$BN$111,44,0),"")</f>
        <v/>
      </c>
      <c r="J2364" s="54" t="str">
        <f ca="1">IFERROR(VLOOKUP(F2343,'RR-3.1-5TH'!$A$12:'RR-3.1-5TH'!$BN$111,45,0),"")</f>
        <v/>
      </c>
      <c r="K2364" s="54" t="str">
        <f ca="1">IFERROR(VLOOKUP(F2343,'RR-3.1-5TH'!$A$12:'RR-3.1-5TH'!$BN$111,46,0),"")</f>
        <v/>
      </c>
      <c r="L2364" s="55">
        <f ca="1" t="shared" si="123"/>
        <v>0</v>
      </c>
      <c r="M2364" s="56" t="str">
        <f ca="1">IF(F2343&gt;ENTRY!$D$24,"",IF(L2364=0,"Ab",IF(L2364&gt;80,"A",IF(L2364&gt;60,"B",IF(L2364&gt;44,"C",IF(L2364&gt;=33,"D",IF(L2364&lt;=32,"E","")))))))</f>
        <v/>
      </c>
      <c r="N2364" s="29"/>
      <c r="O2364" s="29"/>
      <c r="P2364" s="19"/>
      <c r="Q2364" s="19"/>
      <c r="R2364" s="11"/>
    </row>
    <row r="2365" s="1" customFormat="1" ht="21.95" customHeight="1" spans="1:18">
      <c r="A2365" s="7"/>
      <c r="B2365" s="12"/>
      <c r="C2365" s="33"/>
      <c r="D2365" s="52" t="s">
        <v>549</v>
      </c>
      <c r="E2365" s="53"/>
      <c r="F2365" s="54" t="str">
        <f ca="1">IFERROR(VLOOKUP(F2343,'RR-3.1-5TH'!$A$12:'RR-3.1-5TH'!$BN$111,49,0),"")</f>
        <v/>
      </c>
      <c r="G2365" s="54" t="str">
        <f ca="1">IFERROR(VLOOKUP(F2343,'RR-3.1-5TH'!$A$12:'RR-3.1-5TH'!$BN$111,50,0),"")</f>
        <v/>
      </c>
      <c r="H2365" s="54" t="str">
        <f ca="1">IFERROR(VLOOKUP(F2343,'RR-3.1-5TH'!$A$12:'RR-3.1-5TH'!$BN$111,51,0),"")</f>
        <v/>
      </c>
      <c r="I2365" s="54" t="str">
        <f ca="1">IFERROR(VLOOKUP(F2343,'RR-3.1-5TH'!$A$12:'RR-3.1-5TH'!$BN$111,52,0),"")</f>
        <v/>
      </c>
      <c r="J2365" s="54" t="str">
        <f ca="1">IFERROR(VLOOKUP(F2343,'RR-3.1-5TH'!$A$12:'RR-3.1-5TH'!$BN$111,53,0),"")</f>
        <v/>
      </c>
      <c r="K2365" s="54" t="str">
        <f ca="1">IFERROR(VLOOKUP(F2343,'RR-3.1-5TH'!$A$12:'RR-3.1-5TH'!$BN$111,54,0),"")</f>
        <v/>
      </c>
      <c r="L2365" s="55">
        <f ca="1" t="shared" si="123"/>
        <v>0</v>
      </c>
      <c r="M2365" s="56" t="str">
        <f ca="1">IF(F2343&gt;ENTRY!$D$24,"",IF(L2365=0,"Ab",IF(L2365&gt;80,"A",IF(L2365&gt;60,"B",IF(L2365&gt;44,"C",IF(L2365&gt;=33,"D",IF(L2365&lt;=32,"E","")))))))</f>
        <v/>
      </c>
      <c r="N2365" s="57" t="s">
        <v>752</v>
      </c>
      <c r="O2365" s="58"/>
      <c r="P2365" s="59"/>
      <c r="Q2365" s="19"/>
      <c r="R2365" s="11"/>
    </row>
    <row r="2366" s="1" customFormat="1" ht="21.95" customHeight="1" spans="1:18">
      <c r="A2366" s="7"/>
      <c r="B2366" s="12"/>
      <c r="C2366" s="33"/>
      <c r="D2366" s="52" t="s">
        <v>753</v>
      </c>
      <c r="E2366" s="53"/>
      <c r="F2366" s="60"/>
      <c r="G2366" s="54"/>
      <c r="H2366" s="54"/>
      <c r="I2366" s="54"/>
      <c r="J2366" s="54"/>
      <c r="K2366" s="54"/>
      <c r="L2366" s="55">
        <f t="shared" ref="L2366" si="124">SUM(G2366:K2366)</f>
        <v>0</v>
      </c>
      <c r="M2366" s="56" t="str">
        <f>IF(F2343&gt;ENTRY!$D$24,"",IF(L2366=0,"",IF(L2366&gt;79,"A",IF(L2366&gt;59,"B",IF(L2366&gt;44,"C",IF(L2366&gt;=33,"D",IF(L2366&lt;=32,"E","")))))))</f>
        <v/>
      </c>
      <c r="N2366" s="58"/>
      <c r="O2366" s="58"/>
      <c r="P2366" s="59"/>
      <c r="Q2366" s="19"/>
      <c r="R2366" s="11"/>
    </row>
    <row r="2367" s="1" customFormat="1" ht="21.95" customHeight="1" spans="1:18">
      <c r="A2367" s="7"/>
      <c r="B2367" s="12"/>
      <c r="C2367" s="33"/>
      <c r="D2367" s="45" t="s">
        <v>382</v>
      </c>
      <c r="E2367" s="46"/>
      <c r="F2367" s="54">
        <f ca="1" t="shared" ref="F2367:L2367" si="125">IFERROR(SUM(F2360:F2366),"")</f>
        <v>0</v>
      </c>
      <c r="G2367" s="54">
        <f ca="1" t="shared" si="125"/>
        <v>0</v>
      </c>
      <c r="H2367" s="54">
        <f ca="1" t="shared" si="125"/>
        <v>0</v>
      </c>
      <c r="I2367" s="54">
        <f ca="1" t="shared" si="125"/>
        <v>0</v>
      </c>
      <c r="J2367" s="54">
        <f ca="1" t="shared" si="125"/>
        <v>0</v>
      </c>
      <c r="K2367" s="54">
        <f ca="1" t="shared" si="125"/>
        <v>0</v>
      </c>
      <c r="L2367" s="55">
        <f ca="1" t="shared" si="125"/>
        <v>0</v>
      </c>
      <c r="M2367" s="61" t="str">
        <f ca="1">IF(F2343&gt;ENTRY!$D$24,"",IF(N2368="Ab","Ab",IF(N2368&gt;79.5,"A",IF(N2368&gt;59.5,"B",IF(N2368&gt;44.5,"C",IF(N2368&gt;=33,"D",IF(N2368&lt;33,"E","")))))))</f>
        <v/>
      </c>
      <c r="N2367" s="62"/>
      <c r="O2367" s="58"/>
      <c r="P2367" s="59"/>
      <c r="Q2367" s="19"/>
      <c r="R2367" s="11"/>
    </row>
    <row r="2368" s="1" customFormat="1" ht="21.95" customHeight="1" spans="1:18">
      <c r="A2368" s="7"/>
      <c r="B2368" s="12"/>
      <c r="C2368" s="33"/>
      <c r="D2368" s="63" t="s">
        <v>721</v>
      </c>
      <c r="E2368" s="63"/>
      <c r="F2368" s="63"/>
      <c r="G2368" s="63"/>
      <c r="H2368" s="63"/>
      <c r="I2368" s="63"/>
      <c r="J2368" s="63"/>
      <c r="K2368" s="63"/>
      <c r="L2368" s="63"/>
      <c r="M2368" s="63"/>
      <c r="N2368" s="64">
        <f ca="1">IF(L2367="Ab","Ab",L2367/6)</f>
        <v>0</v>
      </c>
      <c r="O2368" s="65"/>
      <c r="P2368" s="19"/>
      <c r="Q2368" s="19"/>
      <c r="R2368" s="11"/>
    </row>
    <row r="2369" s="1" customFormat="1" ht="21.95" customHeight="1" spans="1:19">
      <c r="A2369" s="7"/>
      <c r="B2369" s="12"/>
      <c r="C2369" s="33"/>
      <c r="D2369" s="29" t="s">
        <v>716</v>
      </c>
      <c r="E2369" s="18" t="str">
        <f>IFERROR(VLOOKUP(F2343,'1to4-2.1-RR'!$A$12:$BG$111,57,0),"")</f>
        <v/>
      </c>
      <c r="F2369" s="18"/>
      <c r="G2369" s="18"/>
      <c r="H2369" s="18"/>
      <c r="I2369" s="18"/>
      <c r="J2369" s="18"/>
      <c r="K2369" s="18"/>
      <c r="L2369" s="18"/>
      <c r="M2369" s="18"/>
      <c r="N2369" s="29"/>
      <c r="O2369" s="29"/>
      <c r="P2369" s="19"/>
      <c r="Q2369" s="19"/>
      <c r="R2369" s="11"/>
    </row>
    <row r="2370" s="1" customFormat="1" ht="9.95" customHeight="1" spans="1:19">
      <c r="A2370" s="7"/>
      <c r="B2370" s="12"/>
      <c r="C2370" s="33"/>
      <c r="D2370" s="29"/>
      <c r="E2370" s="29"/>
      <c r="F2370" s="29"/>
      <c r="G2370" s="29"/>
      <c r="H2370" s="29"/>
      <c r="I2370" s="29"/>
      <c r="J2370" s="29"/>
      <c r="K2370" s="29"/>
      <c r="L2370" s="29"/>
      <c r="M2370" s="29"/>
      <c r="N2370" s="29"/>
      <c r="O2370" s="29"/>
      <c r="P2370" s="19"/>
      <c r="Q2370" s="19"/>
      <c r="R2370" s="11"/>
    </row>
    <row r="2371" s="1" customFormat="1" ht="36" spans="1:19">
      <c r="A2371" s="7"/>
      <c r="B2371" s="12"/>
      <c r="C2371" s="33"/>
      <c r="D2371" s="66" t="s">
        <v>576</v>
      </c>
      <c r="E2371" s="67" t="s">
        <v>754</v>
      </c>
      <c r="F2371" s="47" t="str">
        <f>IF(F2343&gt;ENTRY!$D$24,"",IFERROR(VLOOKUP(F2343,PASHEET!$A$4:$CJ$103,88,0),""))</f>
        <v/>
      </c>
      <c r="G2371" s="67" t="s">
        <v>755</v>
      </c>
      <c r="H2371" s="47" t="str">
        <f>IF(F2343&gt;ENTRY!$D$24,"",IFERROR(VLOOKUP(F2343,PASHEET!$A$4:$CJ$103,87,0),""))</f>
        <v/>
      </c>
      <c r="I2371" s="68" t="s">
        <v>756</v>
      </c>
      <c r="J2371" s="69" t="str">
        <f>IF(F2343&gt;ENTRY!$D$24,"",IFERROR(IF(F2343&gt;0,H2371/F2371*100),""))</f>
        <v/>
      </c>
      <c r="K2371" s="60" t="s">
        <v>757</v>
      </c>
      <c r="L2371" s="70" t="str">
        <f ca="1">IF(F2343&gt;ENTRY!$D$24,"",IFERROR(L2367/600*100,""))</f>
        <v/>
      </c>
      <c r="M2371" s="47" t="str">
        <f ca="1">IF(F2343&gt;ENTRY!$D$24,"",IFERROR(L2367&amp;" / "&amp;"600",""))</f>
        <v/>
      </c>
      <c r="N2371" s="29"/>
      <c r="O2371" s="29"/>
      <c r="P2371" s="19"/>
      <c r="Q2371" s="19"/>
      <c r="R2371" s="11"/>
    </row>
    <row r="2372" s="1" customFormat="1" ht="9.95" customHeight="1" spans="1:19">
      <c r="A2372" s="7"/>
      <c r="B2372" s="12"/>
      <c r="C2372" s="39"/>
      <c r="D2372" s="40"/>
      <c r="E2372" s="40"/>
      <c r="F2372" s="40"/>
      <c r="G2372" s="40"/>
      <c r="H2372" s="40"/>
      <c r="I2372" s="40"/>
      <c r="J2372" s="40"/>
      <c r="K2372" s="40"/>
      <c r="L2372" s="40"/>
      <c r="M2372" s="40"/>
      <c r="N2372" s="40"/>
      <c r="O2372" s="40"/>
      <c r="P2372" s="41"/>
      <c r="Q2372" s="19"/>
      <c r="R2372" s="11"/>
    </row>
    <row r="2373" s="1" customFormat="1" ht="9.95" customHeight="1" spans="1:19">
      <c r="A2373" s="7"/>
      <c r="B2373" s="12"/>
      <c r="C2373" s="71"/>
      <c r="D2373" s="71"/>
      <c r="E2373" s="71"/>
      <c r="F2373" s="29"/>
      <c r="G2373" s="71"/>
      <c r="H2373" s="71"/>
      <c r="I2373" s="71"/>
      <c r="J2373" s="71"/>
      <c r="K2373" s="71"/>
      <c r="L2373" s="71"/>
      <c r="M2373" s="71"/>
      <c r="N2373" s="71"/>
      <c r="O2373" s="71"/>
      <c r="P2373" s="71"/>
      <c r="Q2373" s="19"/>
      <c r="R2373" s="11"/>
    </row>
    <row r="2374" s="1" customFormat="1" ht="9.95" customHeight="1" spans="1:19">
      <c r="A2374" s="7"/>
      <c r="B2374" s="12"/>
      <c r="C2374" s="29"/>
      <c r="D2374" s="29"/>
      <c r="E2374" s="29"/>
      <c r="F2374" s="72"/>
      <c r="G2374" s="29"/>
      <c r="H2374" s="29"/>
      <c r="I2374" s="29"/>
      <c r="J2374" s="29"/>
      <c r="K2374" s="29"/>
      <c r="L2374" s="29"/>
      <c r="M2374" s="29"/>
      <c r="N2374" s="29"/>
      <c r="O2374" s="29"/>
      <c r="P2374" s="29"/>
      <c r="Q2374" s="19"/>
      <c r="R2374" s="11"/>
    </row>
    <row r="2375" s="1" customFormat="1" ht="9.95" customHeight="1" spans="1:19">
      <c r="A2375" s="7"/>
      <c r="B2375" s="12"/>
      <c r="C2375" s="30"/>
      <c r="D2375" s="31"/>
      <c r="E2375" s="31"/>
      <c r="F2375" s="31"/>
      <c r="G2375" s="31"/>
      <c r="H2375" s="31"/>
      <c r="I2375" s="31"/>
      <c r="J2375" s="31"/>
      <c r="K2375" s="31"/>
      <c r="L2375" s="31"/>
      <c r="M2375" s="31"/>
      <c r="N2375" s="31"/>
      <c r="O2375" s="31"/>
      <c r="P2375" s="32"/>
      <c r="Q2375" s="19"/>
      <c r="R2375" s="11"/>
    </row>
    <row r="2376" s="1" customFormat="1" ht="21.95" customHeight="1" spans="1:19">
      <c r="A2376" s="7"/>
      <c r="B2376" s="12"/>
      <c r="C2376" s="73" t="s">
        <v>7</v>
      </c>
      <c r="D2376" s="13"/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74"/>
      <c r="Q2376" s="19"/>
      <c r="R2376" s="11"/>
      <c r="S2376" s="2"/>
    </row>
    <row r="2377" s="1" customFormat="1" ht="21.95" customHeight="1" spans="1:19">
      <c r="A2377" s="7"/>
      <c r="B2377" s="12"/>
      <c r="C2377" s="33"/>
      <c r="D2377" s="29"/>
      <c r="E2377" s="29"/>
      <c r="F2377" s="29"/>
      <c r="G2377" s="29"/>
      <c r="H2377" s="29"/>
      <c r="I2377" s="29"/>
      <c r="J2377" s="29"/>
      <c r="K2377" s="29"/>
      <c r="L2377" s="29"/>
      <c r="M2377" s="29"/>
      <c r="N2377" s="29"/>
      <c r="O2377" s="29"/>
      <c r="P2377" s="19"/>
      <c r="Q2377" s="19"/>
      <c r="R2377" s="11"/>
    </row>
    <row r="2378" s="1" customFormat="1" ht="21.95" customHeight="1" spans="1:19">
      <c r="A2378" s="7"/>
      <c r="B2378" s="12"/>
      <c r="C2378" s="75" t="str">
        <f>"SESSION-"&amp;ENTRY!$D$11</f>
        <v>SESSION-2026-27</v>
      </c>
      <c r="D2378" s="15"/>
      <c r="E2378" s="15"/>
      <c r="F2378" s="15"/>
      <c r="G2378" s="15"/>
      <c r="H2378" s="15"/>
      <c r="I2378" s="15"/>
      <c r="J2378" s="15"/>
      <c r="K2378" s="15"/>
      <c r="L2378" s="15"/>
      <c r="M2378" s="15"/>
      <c r="N2378" s="15"/>
      <c r="O2378" s="15"/>
      <c r="P2378" s="76"/>
      <c r="Q2378" s="19"/>
      <c r="R2378" s="11"/>
    </row>
    <row r="2379" s="1" customFormat="1" ht="18" customHeight="1" spans="1:19">
      <c r="A2379" s="7"/>
      <c r="B2379" s="12"/>
      <c r="C2379" s="33"/>
      <c r="D2379" s="29"/>
      <c r="E2379" s="29"/>
      <c r="F2379" s="29"/>
      <c r="G2379" s="29"/>
      <c r="H2379" s="29"/>
      <c r="I2379" s="29"/>
      <c r="J2379" s="29"/>
      <c r="K2379" s="29"/>
      <c r="L2379" s="29"/>
      <c r="M2379" s="29"/>
      <c r="N2379" s="29"/>
      <c r="O2379" s="29"/>
      <c r="P2379" s="19"/>
      <c r="Q2379" s="19"/>
      <c r="R2379" s="11"/>
    </row>
    <row r="2380" s="1" customFormat="1" ht="21.95" customHeight="1" spans="1:19">
      <c r="A2380" s="7"/>
      <c r="B2380" s="12"/>
      <c r="C2380" s="33"/>
      <c r="D2380" s="77" t="s">
        <v>758</v>
      </c>
      <c r="E2380" s="77"/>
      <c r="F2380" s="78" t="str">
        <f>IFERROR(PROPER(VLOOKUP(F2343,STUDENT!$A$2:$BP$101,5,0)),"")</f>
        <v/>
      </c>
      <c r="G2380" s="78"/>
      <c r="H2380" s="78"/>
      <c r="I2380" s="78"/>
      <c r="J2380" s="78"/>
      <c r="K2380" s="78"/>
      <c r="L2380" s="78"/>
      <c r="M2380" s="78"/>
      <c r="N2380" s="79" t="s">
        <v>759</v>
      </c>
      <c r="O2380" s="79"/>
      <c r="P2380" s="19"/>
      <c r="Q2380" s="19"/>
      <c r="R2380" s="11"/>
    </row>
    <row r="2381" s="1" customFormat="1" ht="21.95" customHeight="1" spans="1:19">
      <c r="A2381" s="7"/>
      <c r="B2381" s="12"/>
      <c r="C2381" s="33"/>
      <c r="D2381" s="80" t="s">
        <v>760</v>
      </c>
      <c r="E2381" s="81" t="str">
        <f>IFERROR(PROPER(VLOOKUP(F2343,STUDENT!$A$2:$BP$101,9,0)),"")</f>
        <v/>
      </c>
      <c r="F2381" s="81"/>
      <c r="G2381" s="81"/>
      <c r="H2381" s="80" t="s">
        <v>761</v>
      </c>
      <c r="I2381" s="82" t="str">
        <f>IFERROR(PROPER(VLOOKUP(F2343,STUDENT!$A$2:$BP$101,8,0)),"")</f>
        <v/>
      </c>
      <c r="J2381" s="82"/>
      <c r="K2381" s="82"/>
      <c r="L2381" s="82"/>
      <c r="M2381" s="80" t="s">
        <v>762</v>
      </c>
      <c r="N2381" s="83" t="str">
        <f>IFERROR(VLOOKUP(F2343,STUDENT!$A$2:$BP$101,59,0),"")</f>
        <v/>
      </c>
      <c r="O2381" s="83"/>
      <c r="P2381" s="19"/>
      <c r="Q2381" s="19"/>
      <c r="R2381" s="11"/>
    </row>
    <row r="2382" s="1" customFormat="1" ht="21.95" customHeight="1" spans="1:19">
      <c r="A2382" s="7"/>
      <c r="B2382" s="12"/>
      <c r="C2382" s="33"/>
      <c r="D2382" s="77" t="str">
        <f>"has    completed     his  /  her     primary     level     education    in    the    year    "&amp;RIGHT(ENTRY!$D2348,4)&amp;"    from    ( School    Name )"</f>
        <v>has    completed     his  /  her     primary     level     education    in    the    year        from    ( School    Name )</v>
      </c>
      <c r="E2382" s="77"/>
      <c r="F2382" s="77"/>
      <c r="G2382" s="77"/>
      <c r="H2382" s="77"/>
      <c r="I2382" s="77"/>
      <c r="J2382" s="77"/>
      <c r="K2382" s="77"/>
      <c r="L2382" s="77"/>
      <c r="M2382" s="77"/>
      <c r="N2382" s="77"/>
      <c r="O2382" s="77"/>
      <c r="P2382" s="19"/>
      <c r="Q2382" s="19"/>
      <c r="R2382" s="11"/>
    </row>
    <row r="2383" s="1" customFormat="1" ht="21.95" customHeight="1" spans="1:19">
      <c r="A2383" s="7"/>
      <c r="B2383" s="12"/>
      <c r="C2383" s="33"/>
      <c r="D2383" s="81" t="str">
        <f>IF(F2343&gt;0,ENTRY!$D$6,"")</f>
        <v>MCP NITHARI NO 1 BOYS</v>
      </c>
      <c r="E2383" s="81"/>
      <c r="F2383" s="81"/>
      <c r="G2383" s="81"/>
      <c r="H2383" s="81"/>
      <c r="I2383" s="81"/>
      <c r="J2383" s="81"/>
      <c r="K2383" s="81"/>
      <c r="L2383" s="81"/>
      <c r="M2383" s="80" t="s">
        <v>763</v>
      </c>
      <c r="N2383" s="84">
        <f>IF(F2343&gt;0,ENTRY!$D$7,"")</f>
        <v>0</v>
      </c>
      <c r="O2383" s="84"/>
      <c r="P2383" s="85" t="s">
        <v>727</v>
      </c>
      <c r="Q2383" s="19"/>
      <c r="R2383" s="11"/>
    </row>
    <row r="2384" s="1" customFormat="1" ht="21.95" customHeight="1" spans="1:19">
      <c r="A2384" s="7"/>
      <c r="B2384" s="12"/>
      <c r="C2384" s="33"/>
      <c r="D2384" s="29"/>
      <c r="E2384" s="29"/>
      <c r="F2384" s="29"/>
      <c r="G2384" s="29"/>
      <c r="H2384" s="29"/>
      <c r="I2384" s="29"/>
      <c r="J2384" s="29"/>
      <c r="K2384" s="29"/>
      <c r="L2384" s="29"/>
      <c r="M2384" s="29"/>
      <c r="N2384" s="29"/>
      <c r="O2384" s="29"/>
      <c r="P2384" s="19"/>
      <c r="Q2384" s="19"/>
      <c r="R2384" s="11"/>
    </row>
    <row r="2385" s="1" customFormat="1" ht="21.95" customHeight="1" spans="1:18">
      <c r="A2385" s="7"/>
      <c r="B2385" s="12"/>
      <c r="C2385" s="33"/>
      <c r="D2385" s="29"/>
      <c r="E2385" s="29"/>
      <c r="F2385" s="29"/>
      <c r="G2385" s="29"/>
      <c r="H2385" s="29"/>
      <c r="I2385" s="29"/>
      <c r="J2385" s="29"/>
      <c r="K2385" s="29"/>
      <c r="L2385" s="29"/>
      <c r="M2385" s="29"/>
      <c r="N2385" s="29"/>
      <c r="O2385" s="29"/>
      <c r="P2385" s="19"/>
      <c r="Q2385" s="19"/>
      <c r="R2385" s="11"/>
    </row>
    <row r="2386" s="1" customFormat="1" ht="21.95" customHeight="1" spans="1:18">
      <c r="A2386" s="7"/>
      <c r="B2386" s="12"/>
      <c r="C2386" s="33"/>
      <c r="D2386" s="29"/>
      <c r="E2386" s="29"/>
      <c r="F2386" s="29"/>
      <c r="G2386" s="29"/>
      <c r="H2386" s="29"/>
      <c r="I2386" s="29"/>
      <c r="J2386" s="29"/>
      <c r="K2386" s="29"/>
      <c r="L2386" s="29"/>
      <c r="M2386" s="29"/>
      <c r="N2386" s="29"/>
      <c r="O2386" s="29"/>
      <c r="P2386" s="19"/>
      <c r="Q2386" s="19"/>
      <c r="R2386" s="11"/>
    </row>
    <row r="2387" s="1" customFormat="1" ht="21.95" customHeight="1" spans="1:18">
      <c r="A2387" s="7"/>
      <c r="B2387" s="12"/>
      <c r="C2387" s="33"/>
      <c r="D2387" s="29"/>
      <c r="E2387" s="29"/>
      <c r="F2387" s="29"/>
      <c r="G2387" s="29"/>
      <c r="H2387" s="29"/>
      <c r="I2387" s="29"/>
      <c r="J2387" s="29"/>
      <c r="K2387" s="29"/>
      <c r="L2387" s="29"/>
      <c r="M2387" s="29"/>
      <c r="N2387" s="29"/>
      <c r="O2387" s="29"/>
      <c r="P2387" s="19"/>
      <c r="Q2387" s="19"/>
      <c r="R2387" s="11"/>
    </row>
    <row r="2388" s="1" customFormat="1" ht="21.95" customHeight="1" spans="1:18">
      <c r="A2388" s="7"/>
      <c r="B2388" s="12"/>
      <c r="C2388" s="33"/>
      <c r="D2388" s="29"/>
      <c r="E2388" s="29"/>
      <c r="F2388" s="29"/>
      <c r="G2388" s="29"/>
      <c r="H2388" s="29"/>
      <c r="I2388" s="29"/>
      <c r="J2388" s="29"/>
      <c r="K2388" s="29"/>
      <c r="L2388" s="29"/>
      <c r="M2388" s="29"/>
      <c r="N2388" s="29"/>
      <c r="O2388" s="29"/>
      <c r="P2388" s="19"/>
      <c r="Q2388" s="19"/>
      <c r="R2388" s="11"/>
    </row>
    <row r="2389" s="1" customFormat="1" ht="21.95" customHeight="1" spans="1:18">
      <c r="A2389" s="7"/>
      <c r="B2389" s="12"/>
      <c r="C2389" s="33"/>
      <c r="D2389" s="80" t="s">
        <v>728</v>
      </c>
      <c r="E2389" s="86">
        <f>ENTRY!$D$27</f>
        <v>46102</v>
      </c>
      <c r="F2389" s="86"/>
      <c r="G2389" s="29"/>
      <c r="H2389" s="29"/>
      <c r="I2389" s="29"/>
      <c r="J2389" s="29"/>
      <c r="K2389" s="29"/>
      <c r="L2389" s="29"/>
      <c r="M2389" s="87" t="s">
        <v>730</v>
      </c>
      <c r="N2389" s="87"/>
      <c r="O2389" s="87"/>
      <c r="P2389" s="19"/>
      <c r="Q2389" s="19"/>
      <c r="R2389" s="11"/>
    </row>
    <row r="2390" s="1" customFormat="1" ht="21.95" customHeight="1" spans="1:18">
      <c r="A2390" s="7"/>
      <c r="B2390" s="12"/>
      <c r="C2390" s="33"/>
      <c r="D2390" s="80" t="s">
        <v>731</v>
      </c>
      <c r="E2390" s="88" t="str">
        <f>PROPER(ENTRY!$D$28)</f>
        <v>New Delhi</v>
      </c>
      <c r="F2390" s="88"/>
      <c r="G2390" s="29"/>
      <c r="H2390" s="29"/>
      <c r="I2390" s="29"/>
      <c r="J2390" s="29"/>
      <c r="K2390" s="29"/>
      <c r="L2390" s="29"/>
      <c r="M2390" s="89" t="s">
        <v>732</v>
      </c>
      <c r="N2390" s="89"/>
      <c r="O2390" s="89"/>
      <c r="P2390" s="19"/>
      <c r="Q2390" s="19"/>
      <c r="R2390" s="11"/>
    </row>
    <row r="2391" s="1" customFormat="1" ht="21.95" customHeight="1" spans="1:18">
      <c r="A2391" s="7"/>
      <c r="B2391" s="12"/>
      <c r="C2391" s="90"/>
      <c r="D2391" s="91"/>
      <c r="E2391" s="91"/>
      <c r="F2391" s="91"/>
      <c r="G2391" s="91"/>
      <c r="H2391" s="91"/>
      <c r="I2391" s="91"/>
      <c r="J2391" s="91"/>
      <c r="K2391" s="91"/>
      <c r="L2391" s="91"/>
      <c r="M2391" s="91"/>
      <c r="N2391" s="91"/>
      <c r="O2391" s="91"/>
      <c r="P2391" s="92"/>
      <c r="Q2391" s="14"/>
      <c r="R2391" s="11"/>
    </row>
    <row r="2392" s="1" customFormat="1" ht="5.1" customHeight="1" spans="1:18">
      <c r="A2392" s="7"/>
      <c r="B2392" s="90"/>
      <c r="C2392" s="91"/>
      <c r="D2392" s="91"/>
      <c r="E2392" s="91"/>
      <c r="F2392" s="91"/>
      <c r="G2392" s="91"/>
      <c r="H2392" s="91"/>
      <c r="I2392" s="91"/>
      <c r="J2392" s="91"/>
      <c r="K2392" s="91"/>
      <c r="L2392" s="91"/>
      <c r="M2392" s="91"/>
      <c r="N2392" s="91"/>
      <c r="O2392" s="91"/>
      <c r="P2392" s="91"/>
      <c r="Q2392" s="92"/>
      <c r="R2392" s="11"/>
    </row>
    <row r="2393" s="1" customFormat="1" ht="5.1" customHeight="1" spans="1:18">
      <c r="A2393" s="93"/>
      <c r="B2393" s="94"/>
      <c r="C2393" s="94"/>
      <c r="D2393" s="94"/>
      <c r="E2393" s="94"/>
      <c r="F2393" s="94"/>
      <c r="G2393" s="94"/>
      <c r="H2393" s="94"/>
      <c r="I2393" s="94"/>
      <c r="J2393" s="94"/>
      <c r="K2393" s="94"/>
      <c r="L2393" s="94"/>
      <c r="M2393" s="94"/>
      <c r="N2393" s="94"/>
      <c r="O2393" s="94"/>
      <c r="P2393" s="94"/>
      <c r="Q2393" s="94"/>
      <c r="R2393" s="95"/>
    </row>
    <row r="2394" s="2" customFormat="1" ht="9.95" customHeight="1"/>
    <row r="2395" s="1" customFormat="1" ht="5.1" customHeight="1" spans="1:18">
      <c r="A2395" s="4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  <c r="O2395" s="5"/>
      <c r="P2395" s="5"/>
      <c r="Q2395" s="5"/>
      <c r="R2395" s="6"/>
    </row>
    <row r="2396" s="1" customFormat="1" ht="15" customHeight="1" spans="1:18">
      <c r="A2396" s="7"/>
      <c r="B2396" s="8"/>
      <c r="C2396" s="9"/>
      <c r="D2396" s="9"/>
      <c r="E2396" s="9"/>
      <c r="F2396" s="9"/>
      <c r="G2396" s="9"/>
      <c r="H2396" s="9"/>
      <c r="I2396" s="9"/>
      <c r="J2396" s="9"/>
      <c r="K2396" s="9"/>
      <c r="L2396" s="9"/>
      <c r="M2396" s="9"/>
      <c r="N2396" s="9"/>
      <c r="O2396" s="9"/>
      <c r="P2396" s="9"/>
      <c r="Q2396" s="10"/>
      <c r="R2396" s="11"/>
    </row>
    <row r="2397" s="1" customFormat="1" ht="21.95" customHeight="1" spans="1:18">
      <c r="A2397" s="7"/>
      <c r="B2397" s="12"/>
      <c r="C2397" s="13" t="s">
        <v>7</v>
      </c>
      <c r="D2397" s="13"/>
      <c r="E2397" s="13"/>
      <c r="F2397" s="13"/>
      <c r="G2397" s="13"/>
      <c r="H2397" s="13"/>
      <c r="I2397" s="13"/>
      <c r="J2397" s="13"/>
      <c r="K2397" s="13"/>
      <c r="L2397" s="13"/>
      <c r="M2397" s="13"/>
      <c r="N2397" s="13"/>
      <c r="O2397" s="13"/>
      <c r="P2397" s="13"/>
      <c r="Q2397" s="14"/>
      <c r="R2397" s="11"/>
    </row>
    <row r="2398" s="1" customFormat="1" ht="21.95" customHeight="1" spans="1:18">
      <c r="A2398" s="7"/>
      <c r="B2398" s="1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14"/>
      <c r="R2398" s="11"/>
    </row>
    <row r="2399" s="1" customFormat="1" ht="21.95" customHeight="1" spans="1:18">
      <c r="A2399" s="7"/>
      <c r="B2399" s="12"/>
      <c r="C2399" s="15" t="str">
        <f>"SESSION-"&amp;ENTRY!$D$11</f>
        <v>SESSION-2026-27</v>
      </c>
      <c r="D2399" s="15"/>
      <c r="E2399" s="15"/>
      <c r="F2399" s="15"/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4"/>
      <c r="R2399" s="11"/>
    </row>
    <row r="2400" s="1" customFormat="1" ht="21.95" customHeight="1" spans="1:18">
      <c r="A2400" s="7"/>
      <c r="B2400" s="12"/>
      <c r="C2400" s="2"/>
      <c r="D2400" s="2"/>
      <c r="E2400" s="2"/>
      <c r="F2400" s="16">
        <f>F2343+1</f>
        <v>43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14"/>
      <c r="R2400" s="11"/>
    </row>
    <row r="2401" s="1" customFormat="1" ht="21.95" customHeight="1" spans="1:18">
      <c r="A2401" s="7"/>
      <c r="B2401" s="12"/>
      <c r="C2401" s="17" t="s">
        <v>392</v>
      </c>
      <c r="D2401" s="17"/>
      <c r="E2401" s="17"/>
      <c r="F2401" s="18" t="str">
        <f>IF(F2400&gt;0,ENTRY!$D$6,"")</f>
        <v>MCP NITHARI NO 1 BOYS</v>
      </c>
      <c r="G2401" s="18"/>
      <c r="H2401" s="18"/>
      <c r="I2401" s="18"/>
      <c r="J2401" s="18"/>
      <c r="K2401" s="18"/>
      <c r="L2401" s="18"/>
      <c r="M2401" s="18"/>
      <c r="N2401" s="18"/>
      <c r="O2401" s="18"/>
      <c r="P2401" s="18"/>
      <c r="Q2401" s="19"/>
      <c r="R2401" s="11"/>
    </row>
    <row r="2402" s="1" customFormat="1" ht="21.95" customHeight="1" spans="1:18">
      <c r="A2402" s="7"/>
      <c r="B2402" s="12"/>
      <c r="C2402" s="17" t="s">
        <v>393</v>
      </c>
      <c r="D2402" s="17"/>
      <c r="E2402" s="17"/>
      <c r="F2402" s="18">
        <f>IF(F2400&gt;0,ENTRY!$D$7,"")</f>
        <v>0</v>
      </c>
      <c r="G2402" s="18"/>
      <c r="H2402" s="20" t="s">
        <v>702</v>
      </c>
      <c r="I2402" s="20"/>
      <c r="J2402" s="21">
        <f>IF(F2400&gt;0,ENTRY!$D$10,"")</f>
        <v>40</v>
      </c>
      <c r="K2402" s="20" t="s">
        <v>703</v>
      </c>
      <c r="L2402" s="22" t="str">
        <f>IF(F2400&gt;0,ENTRY!$D$5,"")</f>
        <v>ROHINI ZONE</v>
      </c>
      <c r="M2402" s="22"/>
      <c r="N2402" s="22"/>
      <c r="O2402" s="22"/>
      <c r="P2402" s="22"/>
      <c r="Q2402" s="19"/>
      <c r="R2402" s="11"/>
    </row>
    <row r="2403" s="1" customFormat="1" ht="21.95" customHeight="1" spans="1:18">
      <c r="A2403" s="7"/>
      <c r="B2403" s="12"/>
      <c r="C2403" s="17" t="s">
        <v>706</v>
      </c>
      <c r="D2403" s="17"/>
      <c r="E2403" s="17"/>
      <c r="F2403" s="23">
        <f>IFERROR(VLOOKUP(F2400,STUDENT!$A$2:$BP$101,5,0),"")</f>
        <v>0</v>
      </c>
      <c r="G2403" s="23"/>
      <c r="H2403" s="23"/>
      <c r="I2403" s="23"/>
      <c r="J2403" s="23"/>
      <c r="K2403" s="23"/>
      <c r="L2403" s="20" t="s">
        <v>707</v>
      </c>
      <c r="M2403" s="20"/>
      <c r="N2403" s="24" t="str">
        <f>IF(F2400&gt;0,ENTRY!$D$20&amp;"-"&amp;ENTRY!$D$21,"")</f>
        <v>III-A</v>
      </c>
      <c r="O2403" s="24"/>
      <c r="P2403" s="24"/>
      <c r="Q2403" s="19"/>
      <c r="R2403" s="11"/>
    </row>
    <row r="2404" s="1" customFormat="1" ht="21.95" customHeight="1" spans="1:18">
      <c r="A2404" s="7"/>
      <c r="B2404" s="12"/>
      <c r="C2404" s="17" t="s">
        <v>708</v>
      </c>
      <c r="D2404" s="17"/>
      <c r="E2404" s="17"/>
      <c r="F2404" s="25">
        <f>IFERROR(VLOOKUP(F2400,STUDENT!$A$2:$BP$101,6,0),"")</f>
        <v>0</v>
      </c>
      <c r="G2404" s="25"/>
      <c r="H2404" s="26" t="s">
        <v>709</v>
      </c>
      <c r="I2404" s="27" t="str">
        <f>IFERROR(VLOOKUP(F2400,STUDENT!$A$2:$BP$101,59,0),"")</f>
        <v/>
      </c>
      <c r="J2404" s="27"/>
      <c r="K2404" s="20" t="s">
        <v>710</v>
      </c>
      <c r="L2404" s="20"/>
      <c r="M2404" s="28">
        <f>IFERROR(VLOOKUP(F2400,STUDENT!$A$2:$BP$101,20,0),"")</f>
        <v>0</v>
      </c>
      <c r="N2404" s="28"/>
      <c r="O2404" s="28"/>
      <c r="P2404" s="28"/>
      <c r="Q2404" s="19"/>
      <c r="R2404" s="11"/>
    </row>
    <row r="2405" s="1" customFormat="1" ht="21.95" customHeight="1" spans="1:18">
      <c r="A2405" s="7"/>
      <c r="B2405" s="12"/>
      <c r="C2405" s="17" t="s">
        <v>711</v>
      </c>
      <c r="D2405" s="17"/>
      <c r="E2405" s="17"/>
      <c r="F2405" s="23">
        <f>IFERROR(VLOOKUP(F2400,STUDENT!$A$2:$BP$101,9,0),"")</f>
        <v>0</v>
      </c>
      <c r="G2405" s="23"/>
      <c r="H2405" s="23"/>
      <c r="I2405" s="23"/>
      <c r="J2405" s="17" t="s">
        <v>620</v>
      </c>
      <c r="K2405" s="17"/>
      <c r="L2405" s="23">
        <f>IFERROR(VLOOKUP(F2400,STUDENT!$A$2:$BP$101,8,0),"")</f>
        <v>0</v>
      </c>
      <c r="M2405" s="23"/>
      <c r="N2405" s="23"/>
      <c r="O2405" s="23"/>
      <c r="P2405" s="23"/>
      <c r="Q2405" s="19"/>
      <c r="R2405" s="11"/>
    </row>
    <row r="2406" s="1" customFormat="1" ht="21.95" customHeight="1" spans="1:18">
      <c r="A2406" s="7"/>
      <c r="B2406" s="12"/>
      <c r="C2406" s="17" t="s">
        <v>712</v>
      </c>
      <c r="D2406" s="17"/>
      <c r="E2406" s="17"/>
      <c r="F2406" s="23">
        <f>IFERROR(VLOOKUP(F2400,STUDENT!$A$2:$BP$101,22,0),"")</f>
        <v>0</v>
      </c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19"/>
      <c r="R2406" s="11"/>
    </row>
    <row r="2407" s="1" customFormat="1" ht="9.95" customHeight="1" spans="1:18">
      <c r="A2407" s="7"/>
      <c r="B2407" s="12"/>
      <c r="C2407" s="29"/>
      <c r="D2407" s="29"/>
      <c r="E2407" s="29"/>
      <c r="F2407" s="29"/>
      <c r="G2407" s="29"/>
      <c r="H2407" s="29"/>
      <c r="I2407" s="29"/>
      <c r="J2407" s="29"/>
      <c r="K2407" s="29"/>
      <c r="L2407" s="29"/>
      <c r="M2407" s="29"/>
      <c r="N2407" s="29"/>
      <c r="O2407" s="29"/>
      <c r="P2407" s="29"/>
      <c r="Q2407" s="19"/>
      <c r="R2407" s="11"/>
    </row>
    <row r="2408" s="1" customFormat="1" ht="9.95" customHeight="1" spans="1:18">
      <c r="A2408" s="7"/>
      <c r="B2408" s="12"/>
      <c r="C2408" s="30"/>
      <c r="D2408" s="31"/>
      <c r="E2408" s="31"/>
      <c r="F2408" s="31"/>
      <c r="G2408" s="31"/>
      <c r="H2408" s="31"/>
      <c r="I2408" s="31"/>
      <c r="J2408" s="31"/>
      <c r="K2408" s="31"/>
      <c r="L2408" s="31"/>
      <c r="M2408" s="31"/>
      <c r="N2408" s="31"/>
      <c r="O2408" s="31"/>
      <c r="P2408" s="32"/>
      <c r="Q2408" s="19"/>
      <c r="R2408" s="11"/>
    </row>
    <row r="2409" s="1" customFormat="1" ht="21.95" customHeight="1" spans="1:18">
      <c r="A2409" s="7"/>
      <c r="B2409" s="12"/>
      <c r="C2409" s="33"/>
      <c r="D2409" s="34" t="s">
        <v>713</v>
      </c>
      <c r="E2409" s="20" t="s">
        <v>714</v>
      </c>
      <c r="F2409" s="35" t="str">
        <f>"Level - "&amp;IFERROR(VLOOKUP(F2400,FLN!$A$4:$K$103,9,0),"")</f>
        <v>Level - </v>
      </c>
      <c r="G2409" s="36"/>
      <c r="H2409" s="37" t="s">
        <v>715</v>
      </c>
      <c r="I2409" s="20"/>
      <c r="J2409" s="35" t="str">
        <f>"Level - "&amp;IFERROR(VLOOKUP(F2400,FLN!$A$4:$K$103,11,0),"")</f>
        <v>Level - </v>
      </c>
      <c r="K2409" s="36"/>
      <c r="L2409" s="37" t="s">
        <v>408</v>
      </c>
      <c r="M2409" s="20"/>
      <c r="N2409" s="35" t="str">
        <f>"Level - "&amp;IFERROR(VLOOKUP(F2400,FLN!$A$4:$K$103,10,0),"")</f>
        <v>Level - </v>
      </c>
      <c r="O2409" s="36"/>
      <c r="P2409" s="19"/>
      <c r="Q2409" s="19"/>
      <c r="R2409" s="11"/>
    </row>
    <row r="2410" s="1" customFormat="1" ht="21.95" customHeight="1" spans="1:18">
      <c r="A2410" s="7"/>
      <c r="B2410" s="12"/>
      <c r="C2410" s="33"/>
      <c r="D2410" s="38"/>
      <c r="E2410" s="20" t="s">
        <v>716</v>
      </c>
      <c r="F2410" s="18" t="str">
        <f ca="1">IF(L2424&gt;197,"PERFORMED WELL","")</f>
        <v/>
      </c>
      <c r="G2410" s="18"/>
      <c r="H2410" s="18"/>
      <c r="I2410" s="18"/>
      <c r="J2410" s="18"/>
      <c r="K2410" s="18"/>
      <c r="L2410" s="18"/>
      <c r="M2410" s="18"/>
      <c r="N2410" s="18"/>
      <c r="O2410" s="18"/>
      <c r="P2410" s="19"/>
      <c r="Q2410" s="19"/>
      <c r="R2410" s="11"/>
    </row>
    <row r="2411" s="1" customFormat="1" ht="9.95" customHeight="1" spans="1:18">
      <c r="A2411" s="7"/>
      <c r="B2411" s="12"/>
      <c r="C2411" s="39"/>
      <c r="D2411" s="40"/>
      <c r="E2411" s="40"/>
      <c r="F2411" s="40"/>
      <c r="G2411" s="40"/>
      <c r="H2411" s="40"/>
      <c r="I2411" s="40"/>
      <c r="J2411" s="40"/>
      <c r="K2411" s="40"/>
      <c r="L2411" s="40"/>
      <c r="M2411" s="40"/>
      <c r="N2411" s="40"/>
      <c r="O2411" s="40"/>
      <c r="P2411" s="41"/>
      <c r="Q2411" s="19"/>
      <c r="R2411" s="11"/>
    </row>
    <row r="2412" s="1" customFormat="1" ht="9.95" customHeight="1" spans="1:18">
      <c r="A2412" s="7"/>
      <c r="B2412" s="12"/>
      <c r="C2412" s="29"/>
      <c r="D2412" s="29"/>
      <c r="E2412" s="29"/>
      <c r="F2412" s="29"/>
      <c r="G2412" s="29"/>
      <c r="H2412" s="29"/>
      <c r="I2412" s="29"/>
      <c r="J2412" s="29"/>
      <c r="K2412" s="29"/>
      <c r="L2412" s="29"/>
      <c r="M2412" s="29"/>
      <c r="N2412" s="29"/>
      <c r="O2412" s="29"/>
      <c r="P2412" s="29"/>
      <c r="Q2412" s="19"/>
      <c r="R2412" s="11"/>
    </row>
    <row r="2413" s="1" customFormat="1" ht="9.95" customHeight="1" spans="1:18">
      <c r="A2413" s="7"/>
      <c r="B2413" s="12"/>
      <c r="C2413" s="30"/>
      <c r="D2413" s="31"/>
      <c r="E2413" s="31"/>
      <c r="F2413" s="31"/>
      <c r="G2413" s="31"/>
      <c r="H2413" s="31"/>
      <c r="I2413" s="31"/>
      <c r="J2413" s="31"/>
      <c r="K2413" s="31"/>
      <c r="L2413" s="31"/>
      <c r="M2413" s="31"/>
      <c r="N2413" s="31"/>
      <c r="O2413" s="31"/>
      <c r="P2413" s="32"/>
      <c r="Q2413" s="19"/>
      <c r="R2413" s="11"/>
    </row>
    <row r="2414" s="1" customFormat="1" ht="21.95" customHeight="1" spans="1:18">
      <c r="A2414" s="7"/>
      <c r="B2414" s="12"/>
      <c r="C2414" s="33"/>
      <c r="D2414" s="35"/>
      <c r="E2414" s="24"/>
      <c r="F2414" s="42" t="s">
        <v>717</v>
      </c>
      <c r="G2414" s="42"/>
      <c r="H2414" s="42"/>
      <c r="I2414" s="42"/>
      <c r="J2414" s="42"/>
      <c r="K2414" s="42"/>
      <c r="L2414" s="43"/>
      <c r="M2414" s="44"/>
      <c r="N2414" s="29"/>
      <c r="O2414" s="29"/>
      <c r="P2414" s="19"/>
      <c r="Q2414" s="19"/>
      <c r="R2414" s="11"/>
    </row>
    <row r="2415" s="1" customFormat="1" ht="21.95" customHeight="1" spans="1:18">
      <c r="A2415" s="7"/>
      <c r="B2415" s="12"/>
      <c r="C2415" s="33"/>
      <c r="D2415" s="45"/>
      <c r="E2415" s="46"/>
      <c r="F2415" s="47" t="s">
        <v>541</v>
      </c>
      <c r="G2415" s="47" t="s">
        <v>542</v>
      </c>
      <c r="H2415" s="47" t="s">
        <v>543</v>
      </c>
      <c r="I2415" s="47" t="s">
        <v>544</v>
      </c>
      <c r="J2415" s="47" t="s">
        <v>561</v>
      </c>
      <c r="K2415" s="48" t="s">
        <v>750</v>
      </c>
      <c r="L2415" s="47" t="s">
        <v>382</v>
      </c>
      <c r="M2415" s="49" t="s">
        <v>546</v>
      </c>
      <c r="N2415" s="29"/>
      <c r="O2415" s="29"/>
      <c r="P2415" s="19"/>
      <c r="Q2415" s="19"/>
      <c r="R2415" s="11"/>
    </row>
    <row r="2416" s="1" customFormat="1" ht="21.95" customHeight="1" spans="1:18">
      <c r="A2416" s="7"/>
      <c r="B2416" s="12"/>
      <c r="C2416" s="33"/>
      <c r="D2416" s="45" t="s">
        <v>652</v>
      </c>
      <c r="E2416" s="46"/>
      <c r="F2416" s="50">
        <v>10</v>
      </c>
      <c r="G2416" s="50">
        <v>10</v>
      </c>
      <c r="H2416" s="50">
        <v>10</v>
      </c>
      <c r="I2416" s="50">
        <v>10</v>
      </c>
      <c r="J2416" s="50">
        <v>60</v>
      </c>
      <c r="K2416" s="51"/>
      <c r="L2416" s="50">
        <v>100</v>
      </c>
      <c r="M2416" s="49"/>
      <c r="N2416" s="29"/>
      <c r="O2416" s="29"/>
      <c r="P2416" s="19"/>
      <c r="Q2416" s="19"/>
      <c r="R2416" s="11"/>
    </row>
    <row r="2417" s="1" customFormat="1" ht="21.95" customHeight="1" spans="1:18">
      <c r="A2417" s="7"/>
      <c r="B2417" s="12"/>
      <c r="C2417" s="33"/>
      <c r="D2417" s="52" t="s">
        <v>751</v>
      </c>
      <c r="E2417" s="53"/>
      <c r="F2417" s="54" t="str">
        <f ca="1">IFERROR(VLOOKUP(F2400,'RR-3.1-5TH'!$A$12:'RR-3.1-5TH'!$BN$111,9,0),"")</f>
        <v/>
      </c>
      <c r="G2417" s="54" t="str">
        <f ca="1">IFERROR(VLOOKUP(F2400,'RR-3.1-5TH'!$A$12:'RR-3.1-5TH'!$BN$111,10,0),"")</f>
        <v/>
      </c>
      <c r="H2417" s="54" t="str">
        <f ca="1">IFERROR(VLOOKUP(F2400,'RR-3.1-5TH'!$A$12:'RR-3.1-5TH'!$BN$111,11,0),"")</f>
        <v/>
      </c>
      <c r="I2417" s="54" t="str">
        <f ca="1">IFERROR(VLOOKUP(F2400,'RR-3.1-5TH'!$A$12:'RR-3.1-5TH'!$BN$111,12,0),"")</f>
        <v/>
      </c>
      <c r="J2417" s="54" t="str">
        <f ca="1">IFERROR(VLOOKUP(F2400,'RR-3.1-5TH'!$A$12:'RR-3.1-5TH'!$BN$111,13,0),"")</f>
        <v/>
      </c>
      <c r="K2417" s="54" t="str">
        <f ca="1">IFERROR(VLOOKUP(F2400,'RR-3.1-5TH'!$A$12:'RR-3.1-5TH'!$BN$111,14,0),"")</f>
        <v/>
      </c>
      <c r="L2417" s="55">
        <f ca="1" t="shared" ref="L2417:L2422" si="126">SUM(F2417,G2417,H2417,I2417,J2417,K2417)</f>
        <v>0</v>
      </c>
      <c r="M2417" s="56" t="str">
        <f ca="1">IF(F2400&gt;ENTRY!$D$24,"",IF(L2417=0,"Ab",IF(L2417&gt;80,"A",IF(L2417&gt;60,"B",IF(L2417&gt;44,"C",IF(L2417&gt;=33,"D",IF(L2417&lt;=32,"E","")))))))</f>
        <v/>
      </c>
      <c r="N2417" s="57" t="s">
        <v>729</v>
      </c>
      <c r="O2417" s="58"/>
      <c r="P2417" s="59"/>
      <c r="Q2417" s="19"/>
      <c r="R2417" s="11"/>
    </row>
    <row r="2418" s="1" customFormat="1" ht="21.95" customHeight="1" spans="1:18">
      <c r="A2418" s="7"/>
      <c r="B2418" s="12"/>
      <c r="C2418" s="33"/>
      <c r="D2418" s="52" t="s">
        <v>513</v>
      </c>
      <c r="E2418" s="53"/>
      <c r="F2418" s="54" t="str">
        <f ca="1">IFERROR(VLOOKUP(F2400,'RR-3.1-5TH'!$A$12:'RR-3.1-5TH'!$BN$111,17,0),"")</f>
        <v/>
      </c>
      <c r="G2418" s="54" t="str">
        <f ca="1">IFERROR(VLOOKUP(F2400,'RR-3.1-5TH'!$A$12:'RR-3.1-5TH'!$BN$111,18,0),"")</f>
        <v/>
      </c>
      <c r="H2418" s="54" t="str">
        <f ca="1">IFERROR(VLOOKUP(F2400,'RR-3.1-5TH'!$A$12:'RR-3.1-5TH'!$BN$111,19,0),"")</f>
        <v/>
      </c>
      <c r="I2418" s="54" t="str">
        <f ca="1">IFERROR(VLOOKUP(F2400,'RR-3.1-5TH'!$A$12:'RR-3.1-5TH'!$BN$111,20,0),"")</f>
        <v/>
      </c>
      <c r="J2418" s="54" t="str">
        <f ca="1">IFERROR(VLOOKUP(F2400,'RR-3.1-5TH'!$A$12:'RR-3.1-5TH'!$BN$111,21,0),"")</f>
        <v/>
      </c>
      <c r="K2418" s="54" t="str">
        <f ca="1">IFERROR(VLOOKUP(F2400,'RR-3.1-5TH'!$A$12:'RR-3.1-5TH'!$BN$111,22,0),"")</f>
        <v/>
      </c>
      <c r="L2418" s="55">
        <f ca="1" t="shared" si="126"/>
        <v>0</v>
      </c>
      <c r="M2418" s="56" t="str">
        <f ca="1">IF(F2400&gt;ENTRY!$D$24,"",IF(L2418=0,"Ab",IF(L2418&gt;80,"A",IF(L2418&gt;60,"B",IF(L2418&gt;44,"C",IF(L2418&gt;=33,"D",IF(L2418&lt;=32,"E","")))))))</f>
        <v/>
      </c>
      <c r="N2418" s="58"/>
      <c r="O2418" s="58"/>
      <c r="P2418" s="59"/>
      <c r="Q2418" s="19"/>
      <c r="R2418" s="11"/>
    </row>
    <row r="2419" s="1" customFormat="1" ht="21.95" customHeight="1" spans="1:18">
      <c r="A2419" s="7"/>
      <c r="B2419" s="12"/>
      <c r="C2419" s="33"/>
      <c r="D2419" s="52" t="s">
        <v>718</v>
      </c>
      <c r="E2419" s="53"/>
      <c r="F2419" s="54" t="str">
        <f ca="1">IFERROR(VLOOKUP(F2400,'RR-3.1-5TH'!$A$12:'RR-3.1-5TH'!$BN$111,25,0),"")</f>
        <v/>
      </c>
      <c r="G2419" s="54" t="str">
        <f ca="1">IFERROR(VLOOKUP(F2400,'RR-3.1-5TH'!$A$12:'RR-3.1-5TH'!$BN$111,26,0),"")</f>
        <v/>
      </c>
      <c r="H2419" s="54" t="str">
        <f ca="1">IFERROR(VLOOKUP(F2400,'RR-3.1-5TH'!$A$12:'RR-3.1-5TH'!$BN$111,27,0),"")</f>
        <v/>
      </c>
      <c r="I2419" s="54" t="str">
        <f ca="1">IFERROR(VLOOKUP(F2400,'RR-3.1-5TH'!$A$12:'RR-3.1-5TH'!$BN$111,28,0),"")</f>
        <v/>
      </c>
      <c r="J2419" s="54" t="str">
        <f ca="1">IFERROR(VLOOKUP(F2400,'RR-3.1-5TH'!$A$12:'RR-3.1-5TH'!$BN$111,29,0),"")</f>
        <v/>
      </c>
      <c r="K2419" s="54" t="str">
        <f ca="1">IFERROR(VLOOKUP(F2400,'RR-3.1-5TH'!$A$12:'RR-3.1-5TH'!$BN$111,30,0),"")</f>
        <v/>
      </c>
      <c r="L2419" s="55">
        <f ca="1" t="shared" si="126"/>
        <v>0</v>
      </c>
      <c r="M2419" s="56" t="str">
        <f ca="1">IF(F2400&gt;ENTRY!$D$24,"",IF(L2419=0,"Ab",IF(L2419&gt;80,"A",IF(L2419&gt;60,"B",IF(L2419&gt;44,"C",IF(L2419&gt;=33,"D",IF(L2419&lt;=32,"E","")))))))</f>
        <v/>
      </c>
      <c r="N2419" s="29"/>
      <c r="O2419" s="29"/>
      <c r="P2419" s="19"/>
      <c r="Q2419" s="19"/>
      <c r="R2419" s="11"/>
    </row>
    <row r="2420" s="1" customFormat="1" ht="21.95" customHeight="1" spans="1:18">
      <c r="A2420" s="7"/>
      <c r="B2420" s="12"/>
      <c r="C2420" s="33"/>
      <c r="D2420" s="52" t="s">
        <v>719</v>
      </c>
      <c r="E2420" s="53"/>
      <c r="F2420" s="54" t="str">
        <f ca="1">IFERROR(VLOOKUP(F2400,'RR-3.1-5TH'!$A$12:'RR-3.1-5TH'!$BN$111,33,0),"")</f>
        <v/>
      </c>
      <c r="G2420" s="54" t="str">
        <f ca="1">IFERROR(VLOOKUP(F2400,'RR-3.1-5TH'!$A$12:'RR-3.1-5TH'!$BN$111,34,0),"")</f>
        <v/>
      </c>
      <c r="H2420" s="54" t="str">
        <f ca="1">IFERROR(VLOOKUP(F2400,'RR-3.1-5TH'!$A$12:'RR-3.1-5TH'!$BN$111,35,0),"")</f>
        <v/>
      </c>
      <c r="I2420" s="54" t="str">
        <f ca="1">IFERROR(VLOOKUP(F2400,'RR-3.1-5TH'!$A$12:'RR-3.1-5TH'!$BN$111,36,0),"")</f>
        <v/>
      </c>
      <c r="J2420" s="54" t="str">
        <f ca="1">IFERROR(VLOOKUP(F2400,'RR-3.1-5TH'!$A$12:'RR-3.1-5TH'!$BN$111,37,0),"")</f>
        <v/>
      </c>
      <c r="K2420" s="54" t="str">
        <f ca="1">IFERROR(VLOOKUP(F2400,'RR-3.1-5TH'!$A$12:'RR-3.1-5TH'!$BN$111,38,0),"")</f>
        <v/>
      </c>
      <c r="L2420" s="55">
        <f ca="1" t="shared" si="126"/>
        <v>0</v>
      </c>
      <c r="M2420" s="56" t="str">
        <f ca="1">IF(F2400&gt;ENTRY!$D$24,"",IF(L2420=0,"Ab",IF(L2420&gt;80,"A",IF(L2420&gt;60,"B",IF(L2420&gt;44,"C",IF(L2420&gt;=33,"D",IF(L2420&lt;=32,"E","")))))))</f>
        <v/>
      </c>
      <c r="N2420" s="29"/>
      <c r="O2420" s="29"/>
      <c r="P2420" s="19"/>
      <c r="Q2420" s="19"/>
      <c r="R2420" s="11"/>
    </row>
    <row r="2421" s="1" customFormat="1" ht="21.95" customHeight="1" spans="1:18">
      <c r="A2421" s="7"/>
      <c r="B2421" s="12"/>
      <c r="C2421" s="33"/>
      <c r="D2421" s="52" t="s">
        <v>548</v>
      </c>
      <c r="E2421" s="53"/>
      <c r="F2421" s="54" t="str">
        <f ca="1">IFERROR(VLOOKUP(F2400,'RR-3.1-5TH'!$A$12:'RR-3.1-5TH'!$BN$111,41,0),"")</f>
        <v/>
      </c>
      <c r="G2421" s="54" t="str">
        <f ca="1">IFERROR(VLOOKUP(F2400,'RR-3.1-5TH'!$A$12:'RR-3.1-5TH'!$BN$111,42,0),"")</f>
        <v/>
      </c>
      <c r="H2421" s="54" t="str">
        <f ca="1">IFERROR(VLOOKUP(F2400,'RR-3.1-5TH'!$A$12:'RR-3.1-5TH'!$BN$111,43,0),"")</f>
        <v/>
      </c>
      <c r="I2421" s="54" t="str">
        <f ca="1">IFERROR(VLOOKUP(F2400,'RR-3.1-5TH'!$A$12:'RR-3.1-5TH'!$BN$111,44,0),"")</f>
        <v/>
      </c>
      <c r="J2421" s="54" t="str">
        <f ca="1">IFERROR(VLOOKUP(F2400,'RR-3.1-5TH'!$A$12:'RR-3.1-5TH'!$BN$111,45,0),"")</f>
        <v/>
      </c>
      <c r="K2421" s="54" t="str">
        <f ca="1">IFERROR(VLOOKUP(F2400,'RR-3.1-5TH'!$A$12:'RR-3.1-5TH'!$BN$111,46,0),"")</f>
        <v/>
      </c>
      <c r="L2421" s="55">
        <f ca="1" t="shared" si="126"/>
        <v>0</v>
      </c>
      <c r="M2421" s="56" t="str">
        <f ca="1">IF(F2400&gt;ENTRY!$D$24,"",IF(L2421=0,"Ab",IF(L2421&gt;80,"A",IF(L2421&gt;60,"B",IF(L2421&gt;44,"C",IF(L2421&gt;=33,"D",IF(L2421&lt;=32,"E","")))))))</f>
        <v/>
      </c>
      <c r="N2421" s="29"/>
      <c r="O2421" s="29"/>
      <c r="P2421" s="19"/>
      <c r="Q2421" s="19"/>
      <c r="R2421" s="11"/>
    </row>
    <row r="2422" s="1" customFormat="1" ht="21.95" customHeight="1" spans="1:18">
      <c r="A2422" s="7"/>
      <c r="B2422" s="12"/>
      <c r="C2422" s="33"/>
      <c r="D2422" s="52" t="s">
        <v>549</v>
      </c>
      <c r="E2422" s="53"/>
      <c r="F2422" s="54" t="str">
        <f ca="1">IFERROR(VLOOKUP(F2400,'RR-3.1-5TH'!$A$12:'RR-3.1-5TH'!$BN$111,49,0),"")</f>
        <v/>
      </c>
      <c r="G2422" s="54" t="str">
        <f ca="1">IFERROR(VLOOKUP(F2400,'RR-3.1-5TH'!$A$12:'RR-3.1-5TH'!$BN$111,50,0),"")</f>
        <v/>
      </c>
      <c r="H2422" s="54" t="str">
        <f ca="1">IFERROR(VLOOKUP(F2400,'RR-3.1-5TH'!$A$12:'RR-3.1-5TH'!$BN$111,51,0),"")</f>
        <v/>
      </c>
      <c r="I2422" s="54" t="str">
        <f ca="1">IFERROR(VLOOKUP(F2400,'RR-3.1-5TH'!$A$12:'RR-3.1-5TH'!$BN$111,52,0),"")</f>
        <v/>
      </c>
      <c r="J2422" s="54" t="str">
        <f ca="1">IFERROR(VLOOKUP(F2400,'RR-3.1-5TH'!$A$12:'RR-3.1-5TH'!$BN$111,53,0),"")</f>
        <v/>
      </c>
      <c r="K2422" s="54" t="str">
        <f ca="1">IFERROR(VLOOKUP(F2400,'RR-3.1-5TH'!$A$12:'RR-3.1-5TH'!$BN$111,54,0),"")</f>
        <v/>
      </c>
      <c r="L2422" s="55">
        <f ca="1" t="shared" si="126"/>
        <v>0</v>
      </c>
      <c r="M2422" s="56" t="str">
        <f ca="1">IF(F2400&gt;ENTRY!$D$24,"",IF(L2422=0,"Ab",IF(L2422&gt;80,"A",IF(L2422&gt;60,"B",IF(L2422&gt;44,"C",IF(L2422&gt;=33,"D",IF(L2422&lt;=32,"E","")))))))</f>
        <v/>
      </c>
      <c r="N2422" s="57" t="s">
        <v>752</v>
      </c>
      <c r="O2422" s="58"/>
      <c r="P2422" s="59"/>
      <c r="Q2422" s="19"/>
      <c r="R2422" s="11"/>
    </row>
    <row r="2423" s="1" customFormat="1" ht="21.95" customHeight="1" spans="1:18">
      <c r="A2423" s="7"/>
      <c r="B2423" s="12"/>
      <c r="C2423" s="33"/>
      <c r="D2423" s="52" t="s">
        <v>753</v>
      </c>
      <c r="E2423" s="53"/>
      <c r="F2423" s="60"/>
      <c r="G2423" s="54"/>
      <c r="H2423" s="54"/>
      <c r="I2423" s="54"/>
      <c r="J2423" s="54"/>
      <c r="K2423" s="54"/>
      <c r="L2423" s="55">
        <f t="shared" ref="L2423" si="127">SUM(G2423:K2423)</f>
        <v>0</v>
      </c>
      <c r="M2423" s="56" t="str">
        <f>IF(F2400&gt;ENTRY!$D$24,"",IF(L2423=0,"",IF(L2423&gt;79,"A",IF(L2423&gt;59,"B",IF(L2423&gt;44,"C",IF(L2423&gt;=33,"D",IF(L2423&lt;=32,"E","")))))))</f>
        <v/>
      </c>
      <c r="N2423" s="58"/>
      <c r="O2423" s="58"/>
      <c r="P2423" s="59"/>
      <c r="Q2423" s="19"/>
      <c r="R2423" s="11"/>
    </row>
    <row r="2424" s="1" customFormat="1" ht="21.95" customHeight="1" spans="1:18">
      <c r="A2424" s="7"/>
      <c r="B2424" s="12"/>
      <c r="C2424" s="33"/>
      <c r="D2424" s="45" t="s">
        <v>382</v>
      </c>
      <c r="E2424" s="46"/>
      <c r="F2424" s="54">
        <f ca="1" t="shared" ref="F2424:L2424" si="128">IFERROR(SUM(F2417:F2423),"")</f>
        <v>0</v>
      </c>
      <c r="G2424" s="54">
        <f ca="1" t="shared" si="128"/>
        <v>0</v>
      </c>
      <c r="H2424" s="54">
        <f ca="1" t="shared" si="128"/>
        <v>0</v>
      </c>
      <c r="I2424" s="54">
        <f ca="1" t="shared" si="128"/>
        <v>0</v>
      </c>
      <c r="J2424" s="54">
        <f ca="1" t="shared" si="128"/>
        <v>0</v>
      </c>
      <c r="K2424" s="54">
        <f ca="1" t="shared" si="128"/>
        <v>0</v>
      </c>
      <c r="L2424" s="55">
        <f ca="1" t="shared" si="128"/>
        <v>0</v>
      </c>
      <c r="M2424" s="61" t="str">
        <f ca="1">IF(F2400&gt;ENTRY!$D$24,"",IF(N2425="Ab","Ab",IF(N2425&gt;79.5,"A",IF(N2425&gt;59.5,"B",IF(N2425&gt;44.5,"C",IF(N2425&gt;=33,"D",IF(N2425&lt;33,"E","")))))))</f>
        <v/>
      </c>
      <c r="N2424" s="62"/>
      <c r="O2424" s="58"/>
      <c r="P2424" s="59"/>
      <c r="Q2424" s="19"/>
      <c r="R2424" s="11"/>
    </row>
    <row r="2425" s="1" customFormat="1" ht="21.95" customHeight="1" spans="1:18">
      <c r="A2425" s="7"/>
      <c r="B2425" s="12"/>
      <c r="C2425" s="33"/>
      <c r="D2425" s="63" t="s">
        <v>721</v>
      </c>
      <c r="E2425" s="63"/>
      <c r="F2425" s="63"/>
      <c r="G2425" s="63"/>
      <c r="H2425" s="63"/>
      <c r="I2425" s="63"/>
      <c r="J2425" s="63"/>
      <c r="K2425" s="63"/>
      <c r="L2425" s="63"/>
      <c r="M2425" s="63"/>
      <c r="N2425" s="64">
        <f ca="1">IF(L2424="Ab","Ab",L2424/6)</f>
        <v>0</v>
      </c>
      <c r="O2425" s="65"/>
      <c r="P2425" s="19"/>
      <c r="Q2425" s="19"/>
      <c r="R2425" s="11"/>
    </row>
    <row r="2426" s="1" customFormat="1" ht="21.95" customHeight="1" spans="1:18">
      <c r="A2426" s="7"/>
      <c r="B2426" s="12"/>
      <c r="C2426" s="33"/>
      <c r="D2426" s="29" t="s">
        <v>716</v>
      </c>
      <c r="E2426" s="18" t="str">
        <f>IFERROR(VLOOKUP(F2400,'1to4-2.1-RR'!$A$12:$BG$111,57,0),"")</f>
        <v/>
      </c>
      <c r="F2426" s="18"/>
      <c r="G2426" s="18"/>
      <c r="H2426" s="18"/>
      <c r="I2426" s="18"/>
      <c r="J2426" s="18"/>
      <c r="K2426" s="18"/>
      <c r="L2426" s="18"/>
      <c r="M2426" s="18"/>
      <c r="N2426" s="29"/>
      <c r="O2426" s="29"/>
      <c r="P2426" s="19"/>
      <c r="Q2426" s="19"/>
      <c r="R2426" s="11"/>
    </row>
    <row r="2427" s="1" customFormat="1" ht="9.95" customHeight="1" spans="1:18">
      <c r="A2427" s="7"/>
      <c r="B2427" s="12"/>
      <c r="C2427" s="33"/>
      <c r="D2427" s="29"/>
      <c r="E2427" s="29"/>
      <c r="F2427" s="29"/>
      <c r="G2427" s="29"/>
      <c r="H2427" s="29"/>
      <c r="I2427" s="29"/>
      <c r="J2427" s="29"/>
      <c r="K2427" s="29"/>
      <c r="L2427" s="29"/>
      <c r="M2427" s="29"/>
      <c r="N2427" s="29"/>
      <c r="O2427" s="29"/>
      <c r="P2427" s="19"/>
      <c r="Q2427" s="19"/>
      <c r="R2427" s="11"/>
    </row>
    <row r="2428" s="1" customFormat="1" ht="36" spans="1:18">
      <c r="A2428" s="7"/>
      <c r="B2428" s="12"/>
      <c r="C2428" s="33"/>
      <c r="D2428" s="66" t="s">
        <v>576</v>
      </c>
      <c r="E2428" s="67" t="s">
        <v>754</v>
      </c>
      <c r="F2428" s="47" t="str">
        <f>IF(F2400&gt;ENTRY!$D$24,"",IFERROR(VLOOKUP(F2400,PASHEET!$A$4:$CJ$103,88,0),""))</f>
        <v/>
      </c>
      <c r="G2428" s="67" t="s">
        <v>755</v>
      </c>
      <c r="H2428" s="47" t="str">
        <f>IF(F2400&gt;ENTRY!$D$24,"",IFERROR(VLOOKUP(F2400,PASHEET!$A$4:$CJ$103,87,0),""))</f>
        <v/>
      </c>
      <c r="I2428" s="68" t="s">
        <v>756</v>
      </c>
      <c r="J2428" s="69" t="str">
        <f>IF(F2400&gt;ENTRY!$D$24,"",IFERROR(IF(F2400&gt;0,H2428/F2428*100),""))</f>
        <v/>
      </c>
      <c r="K2428" s="60" t="s">
        <v>757</v>
      </c>
      <c r="L2428" s="70" t="str">
        <f ca="1">IF(F2400&gt;ENTRY!$D$24,"",IFERROR(L2424/600*100,""))</f>
        <v/>
      </c>
      <c r="M2428" s="47" t="str">
        <f ca="1">IF(F2400&gt;ENTRY!$D$24,"",IFERROR(L2424&amp;" / "&amp;"600",""))</f>
        <v/>
      </c>
      <c r="N2428" s="29"/>
      <c r="O2428" s="29"/>
      <c r="P2428" s="19"/>
      <c r="Q2428" s="19"/>
      <c r="R2428" s="11"/>
    </row>
    <row r="2429" s="1" customFormat="1" ht="9.95" customHeight="1" spans="1:18">
      <c r="A2429" s="7"/>
      <c r="B2429" s="12"/>
      <c r="C2429" s="39"/>
      <c r="D2429" s="40"/>
      <c r="E2429" s="40"/>
      <c r="F2429" s="40"/>
      <c r="G2429" s="40"/>
      <c r="H2429" s="40"/>
      <c r="I2429" s="40"/>
      <c r="J2429" s="40"/>
      <c r="K2429" s="40"/>
      <c r="L2429" s="40"/>
      <c r="M2429" s="40"/>
      <c r="N2429" s="40"/>
      <c r="O2429" s="40"/>
      <c r="P2429" s="41"/>
      <c r="Q2429" s="19"/>
      <c r="R2429" s="11"/>
    </row>
    <row r="2430" s="1" customFormat="1" ht="9.95" customHeight="1" spans="1:18">
      <c r="A2430" s="7"/>
      <c r="B2430" s="12"/>
      <c r="C2430" s="71"/>
      <c r="D2430" s="71"/>
      <c r="E2430" s="71"/>
      <c r="F2430" s="29"/>
      <c r="G2430" s="71"/>
      <c r="H2430" s="71"/>
      <c r="I2430" s="71"/>
      <c r="J2430" s="71"/>
      <c r="K2430" s="71"/>
      <c r="L2430" s="71"/>
      <c r="M2430" s="71"/>
      <c r="N2430" s="71"/>
      <c r="O2430" s="71"/>
      <c r="P2430" s="71"/>
      <c r="Q2430" s="19"/>
      <c r="R2430" s="11"/>
    </row>
    <row r="2431" s="1" customFormat="1" ht="9.95" customHeight="1" spans="1:18">
      <c r="A2431" s="7"/>
      <c r="B2431" s="12"/>
      <c r="C2431" s="29"/>
      <c r="D2431" s="29"/>
      <c r="E2431" s="29"/>
      <c r="F2431" s="72"/>
      <c r="G2431" s="29"/>
      <c r="H2431" s="29"/>
      <c r="I2431" s="29"/>
      <c r="J2431" s="29"/>
      <c r="K2431" s="29"/>
      <c r="L2431" s="29"/>
      <c r="M2431" s="29"/>
      <c r="N2431" s="29"/>
      <c r="O2431" s="29"/>
      <c r="P2431" s="29"/>
      <c r="Q2431" s="19"/>
      <c r="R2431" s="11"/>
    </row>
    <row r="2432" s="1" customFormat="1" ht="9.95" customHeight="1" spans="1:18">
      <c r="A2432" s="7"/>
      <c r="B2432" s="12"/>
      <c r="C2432" s="30"/>
      <c r="D2432" s="31"/>
      <c r="E2432" s="31"/>
      <c r="F2432" s="31"/>
      <c r="G2432" s="31"/>
      <c r="H2432" s="31"/>
      <c r="I2432" s="31"/>
      <c r="J2432" s="31"/>
      <c r="K2432" s="31"/>
      <c r="L2432" s="31"/>
      <c r="M2432" s="31"/>
      <c r="N2432" s="31"/>
      <c r="O2432" s="31"/>
      <c r="P2432" s="32"/>
      <c r="Q2432" s="19"/>
      <c r="R2432" s="11"/>
    </row>
    <row r="2433" s="1" customFormat="1" ht="21.95" customHeight="1" spans="1:19">
      <c r="A2433" s="7"/>
      <c r="B2433" s="12"/>
      <c r="C2433" s="73" t="s">
        <v>7</v>
      </c>
      <c r="D2433" s="13"/>
      <c r="E2433" s="13"/>
      <c r="F2433" s="13"/>
      <c r="G2433" s="13"/>
      <c r="H2433" s="13"/>
      <c r="I2433" s="13"/>
      <c r="J2433" s="13"/>
      <c r="K2433" s="13"/>
      <c r="L2433" s="13"/>
      <c r="M2433" s="13"/>
      <c r="N2433" s="13"/>
      <c r="O2433" s="13"/>
      <c r="P2433" s="74"/>
      <c r="Q2433" s="19"/>
      <c r="R2433" s="11"/>
      <c r="S2433" s="2"/>
    </row>
    <row r="2434" s="1" customFormat="1" ht="21.95" customHeight="1" spans="1:19">
      <c r="A2434" s="7"/>
      <c r="B2434" s="12"/>
      <c r="C2434" s="33"/>
      <c r="D2434" s="29"/>
      <c r="E2434" s="29"/>
      <c r="F2434" s="29"/>
      <c r="G2434" s="29"/>
      <c r="H2434" s="29"/>
      <c r="I2434" s="29"/>
      <c r="J2434" s="29"/>
      <c r="K2434" s="29"/>
      <c r="L2434" s="29"/>
      <c r="M2434" s="29"/>
      <c r="N2434" s="29"/>
      <c r="O2434" s="29"/>
      <c r="P2434" s="19"/>
      <c r="Q2434" s="19"/>
      <c r="R2434" s="11"/>
    </row>
    <row r="2435" s="1" customFormat="1" ht="21.95" customHeight="1" spans="1:19">
      <c r="A2435" s="7"/>
      <c r="B2435" s="12"/>
      <c r="C2435" s="75" t="str">
        <f>"SESSION-"&amp;ENTRY!$D$11</f>
        <v>SESSION-2026-27</v>
      </c>
      <c r="D2435" s="15"/>
      <c r="E2435" s="15"/>
      <c r="F2435" s="15"/>
      <c r="G2435" s="15"/>
      <c r="H2435" s="15"/>
      <c r="I2435" s="15"/>
      <c r="J2435" s="15"/>
      <c r="K2435" s="15"/>
      <c r="L2435" s="15"/>
      <c r="M2435" s="15"/>
      <c r="N2435" s="15"/>
      <c r="O2435" s="15"/>
      <c r="P2435" s="76"/>
      <c r="Q2435" s="19"/>
      <c r="R2435" s="11"/>
    </row>
    <row r="2436" s="1" customFormat="1" ht="18" customHeight="1" spans="1:19">
      <c r="A2436" s="7"/>
      <c r="B2436" s="12"/>
      <c r="C2436" s="33"/>
      <c r="D2436" s="29"/>
      <c r="E2436" s="29"/>
      <c r="F2436" s="29"/>
      <c r="G2436" s="29"/>
      <c r="H2436" s="29"/>
      <c r="I2436" s="29"/>
      <c r="J2436" s="29"/>
      <c r="K2436" s="29"/>
      <c r="L2436" s="29"/>
      <c r="M2436" s="29"/>
      <c r="N2436" s="29"/>
      <c r="O2436" s="29"/>
      <c r="P2436" s="19"/>
      <c r="Q2436" s="19"/>
      <c r="R2436" s="11"/>
    </row>
    <row r="2437" s="1" customFormat="1" ht="21.95" customHeight="1" spans="1:19">
      <c r="A2437" s="7"/>
      <c r="B2437" s="12"/>
      <c r="C2437" s="33"/>
      <c r="D2437" s="77" t="s">
        <v>758</v>
      </c>
      <c r="E2437" s="77"/>
      <c r="F2437" s="78" t="str">
        <f>IFERROR(PROPER(VLOOKUP(F2400,STUDENT!$A$2:$BP$101,5,0)),"")</f>
        <v/>
      </c>
      <c r="G2437" s="78"/>
      <c r="H2437" s="78"/>
      <c r="I2437" s="78"/>
      <c r="J2437" s="78"/>
      <c r="K2437" s="78"/>
      <c r="L2437" s="78"/>
      <c r="M2437" s="78"/>
      <c r="N2437" s="79" t="s">
        <v>759</v>
      </c>
      <c r="O2437" s="79"/>
      <c r="P2437" s="19"/>
      <c r="Q2437" s="19"/>
      <c r="R2437" s="11"/>
    </row>
    <row r="2438" s="1" customFormat="1" ht="21.95" customHeight="1" spans="1:19">
      <c r="A2438" s="7"/>
      <c r="B2438" s="12"/>
      <c r="C2438" s="33"/>
      <c r="D2438" s="80" t="s">
        <v>760</v>
      </c>
      <c r="E2438" s="81" t="str">
        <f>IFERROR(PROPER(VLOOKUP(F2400,STUDENT!$A$2:$BP$101,9,0)),"")</f>
        <v/>
      </c>
      <c r="F2438" s="81"/>
      <c r="G2438" s="81"/>
      <c r="H2438" s="80" t="s">
        <v>761</v>
      </c>
      <c r="I2438" s="82" t="str">
        <f>IFERROR(PROPER(VLOOKUP(F2400,STUDENT!$A$2:$BP$101,8,0)),"")</f>
        <v/>
      </c>
      <c r="J2438" s="82"/>
      <c r="K2438" s="82"/>
      <c r="L2438" s="82"/>
      <c r="M2438" s="80" t="s">
        <v>762</v>
      </c>
      <c r="N2438" s="83" t="str">
        <f>IFERROR(VLOOKUP(F2400,STUDENT!$A$2:$BP$101,59,0),"")</f>
        <v/>
      </c>
      <c r="O2438" s="83"/>
      <c r="P2438" s="19"/>
      <c r="Q2438" s="19"/>
      <c r="R2438" s="11"/>
    </row>
    <row r="2439" s="1" customFormat="1" ht="21.95" customHeight="1" spans="1:19">
      <c r="A2439" s="7"/>
      <c r="B2439" s="12"/>
      <c r="C2439" s="33"/>
      <c r="D2439" s="77" t="str">
        <f>"has    completed     his  /  her     primary     level     education    in    the    year    "&amp;RIGHT(ENTRY!$D2405,4)&amp;"    from    ( School    Name )"</f>
        <v>has    completed     his  /  her     primary     level     education    in    the    year        from    ( School    Name )</v>
      </c>
      <c r="E2439" s="77"/>
      <c r="F2439" s="77"/>
      <c r="G2439" s="77"/>
      <c r="H2439" s="77"/>
      <c r="I2439" s="77"/>
      <c r="J2439" s="77"/>
      <c r="K2439" s="77"/>
      <c r="L2439" s="77"/>
      <c r="M2439" s="77"/>
      <c r="N2439" s="77"/>
      <c r="O2439" s="77"/>
      <c r="P2439" s="19"/>
      <c r="Q2439" s="19"/>
      <c r="R2439" s="11"/>
    </row>
    <row r="2440" s="1" customFormat="1" ht="21.95" customHeight="1" spans="1:19">
      <c r="A2440" s="7"/>
      <c r="B2440" s="12"/>
      <c r="C2440" s="33"/>
      <c r="D2440" s="81" t="str">
        <f>IF(F2400&gt;0,ENTRY!$D$6,"")</f>
        <v>MCP NITHARI NO 1 BOYS</v>
      </c>
      <c r="E2440" s="81"/>
      <c r="F2440" s="81"/>
      <c r="G2440" s="81"/>
      <c r="H2440" s="81"/>
      <c r="I2440" s="81"/>
      <c r="J2440" s="81"/>
      <c r="K2440" s="81"/>
      <c r="L2440" s="81"/>
      <c r="M2440" s="80" t="s">
        <v>763</v>
      </c>
      <c r="N2440" s="84">
        <f>IF(F2400&gt;0,ENTRY!$D$7,"")</f>
        <v>0</v>
      </c>
      <c r="O2440" s="84"/>
      <c r="P2440" s="85" t="s">
        <v>727</v>
      </c>
      <c r="Q2440" s="19"/>
      <c r="R2440" s="11"/>
    </row>
    <row r="2441" s="1" customFormat="1" ht="21.95" customHeight="1" spans="1:19">
      <c r="A2441" s="7"/>
      <c r="B2441" s="12"/>
      <c r="C2441" s="33"/>
      <c r="D2441" s="29"/>
      <c r="E2441" s="29"/>
      <c r="F2441" s="29"/>
      <c r="G2441" s="29"/>
      <c r="H2441" s="29"/>
      <c r="I2441" s="29"/>
      <c r="J2441" s="29"/>
      <c r="K2441" s="29"/>
      <c r="L2441" s="29"/>
      <c r="M2441" s="29"/>
      <c r="N2441" s="29"/>
      <c r="O2441" s="29"/>
      <c r="P2441" s="19"/>
      <c r="Q2441" s="19"/>
      <c r="R2441" s="11"/>
    </row>
    <row r="2442" s="1" customFormat="1" ht="21.95" customHeight="1" spans="1:19">
      <c r="A2442" s="7"/>
      <c r="B2442" s="12"/>
      <c r="C2442" s="33"/>
      <c r="D2442" s="29"/>
      <c r="E2442" s="29"/>
      <c r="F2442" s="29"/>
      <c r="G2442" s="29"/>
      <c r="H2442" s="29"/>
      <c r="I2442" s="29"/>
      <c r="J2442" s="29"/>
      <c r="K2442" s="29"/>
      <c r="L2442" s="29"/>
      <c r="M2442" s="29"/>
      <c r="N2442" s="29"/>
      <c r="O2442" s="29"/>
      <c r="P2442" s="19"/>
      <c r="Q2442" s="19"/>
      <c r="R2442" s="11"/>
    </row>
    <row r="2443" s="1" customFormat="1" ht="21.95" customHeight="1" spans="1:19">
      <c r="A2443" s="7"/>
      <c r="B2443" s="12"/>
      <c r="C2443" s="33"/>
      <c r="D2443" s="29"/>
      <c r="E2443" s="29"/>
      <c r="F2443" s="29"/>
      <c r="G2443" s="29"/>
      <c r="H2443" s="29"/>
      <c r="I2443" s="29"/>
      <c r="J2443" s="29"/>
      <c r="K2443" s="29"/>
      <c r="L2443" s="29"/>
      <c r="M2443" s="29"/>
      <c r="N2443" s="29"/>
      <c r="O2443" s="29"/>
      <c r="P2443" s="19"/>
      <c r="Q2443" s="19"/>
      <c r="R2443" s="11"/>
    </row>
    <row r="2444" s="1" customFormat="1" ht="21.95" customHeight="1" spans="1:19">
      <c r="A2444" s="7"/>
      <c r="B2444" s="12"/>
      <c r="C2444" s="33"/>
      <c r="D2444" s="29"/>
      <c r="E2444" s="29"/>
      <c r="F2444" s="29"/>
      <c r="G2444" s="29"/>
      <c r="H2444" s="29"/>
      <c r="I2444" s="29"/>
      <c r="J2444" s="29"/>
      <c r="K2444" s="29"/>
      <c r="L2444" s="29"/>
      <c r="M2444" s="29"/>
      <c r="N2444" s="29"/>
      <c r="O2444" s="29"/>
      <c r="P2444" s="19"/>
      <c r="Q2444" s="19"/>
      <c r="R2444" s="11"/>
    </row>
    <row r="2445" s="1" customFormat="1" ht="21.95" customHeight="1" spans="1:19">
      <c r="A2445" s="7"/>
      <c r="B2445" s="12"/>
      <c r="C2445" s="33"/>
      <c r="D2445" s="29"/>
      <c r="E2445" s="29"/>
      <c r="F2445" s="29"/>
      <c r="G2445" s="29"/>
      <c r="H2445" s="29"/>
      <c r="I2445" s="29"/>
      <c r="J2445" s="29"/>
      <c r="K2445" s="29"/>
      <c r="L2445" s="29"/>
      <c r="M2445" s="29"/>
      <c r="N2445" s="29"/>
      <c r="O2445" s="29"/>
      <c r="P2445" s="19"/>
      <c r="Q2445" s="19"/>
      <c r="R2445" s="11"/>
    </row>
    <row r="2446" s="1" customFormat="1" ht="21.95" customHeight="1" spans="1:19">
      <c r="A2446" s="7"/>
      <c r="B2446" s="12"/>
      <c r="C2446" s="33"/>
      <c r="D2446" s="80" t="s">
        <v>728</v>
      </c>
      <c r="E2446" s="86">
        <f>ENTRY!$D$27</f>
        <v>46102</v>
      </c>
      <c r="F2446" s="86"/>
      <c r="G2446" s="29"/>
      <c r="H2446" s="29"/>
      <c r="I2446" s="29"/>
      <c r="J2446" s="29"/>
      <c r="K2446" s="29"/>
      <c r="L2446" s="29"/>
      <c r="M2446" s="87" t="s">
        <v>730</v>
      </c>
      <c r="N2446" s="87"/>
      <c r="O2446" s="87"/>
      <c r="P2446" s="19"/>
      <c r="Q2446" s="19"/>
      <c r="R2446" s="11"/>
    </row>
    <row r="2447" s="1" customFormat="1" ht="21.95" customHeight="1" spans="1:19">
      <c r="A2447" s="7"/>
      <c r="B2447" s="12"/>
      <c r="C2447" s="33"/>
      <c r="D2447" s="80" t="s">
        <v>731</v>
      </c>
      <c r="E2447" s="88" t="str">
        <f>PROPER(ENTRY!$D$28)</f>
        <v>New Delhi</v>
      </c>
      <c r="F2447" s="88"/>
      <c r="G2447" s="29"/>
      <c r="H2447" s="29"/>
      <c r="I2447" s="29"/>
      <c r="J2447" s="29"/>
      <c r="K2447" s="29"/>
      <c r="L2447" s="29"/>
      <c r="M2447" s="89" t="s">
        <v>732</v>
      </c>
      <c r="N2447" s="89"/>
      <c r="O2447" s="89"/>
      <c r="P2447" s="19"/>
      <c r="Q2447" s="19"/>
      <c r="R2447" s="11"/>
    </row>
    <row r="2448" s="1" customFormat="1" ht="21.95" customHeight="1" spans="1:19">
      <c r="A2448" s="7"/>
      <c r="B2448" s="12"/>
      <c r="C2448" s="90"/>
      <c r="D2448" s="91"/>
      <c r="E2448" s="91"/>
      <c r="F2448" s="91"/>
      <c r="G2448" s="91"/>
      <c r="H2448" s="91"/>
      <c r="I2448" s="91"/>
      <c r="J2448" s="91"/>
      <c r="K2448" s="91"/>
      <c r="L2448" s="91"/>
      <c r="M2448" s="91"/>
      <c r="N2448" s="91"/>
      <c r="O2448" s="91"/>
      <c r="P2448" s="92"/>
      <c r="Q2448" s="14"/>
      <c r="R2448" s="11"/>
    </row>
    <row r="2449" s="1" customFormat="1" ht="5.1" customHeight="1" spans="1:18">
      <c r="A2449" s="7"/>
      <c r="B2449" s="90"/>
      <c r="C2449" s="91"/>
      <c r="D2449" s="91"/>
      <c r="E2449" s="91"/>
      <c r="F2449" s="91"/>
      <c r="G2449" s="91"/>
      <c r="H2449" s="91"/>
      <c r="I2449" s="91"/>
      <c r="J2449" s="91"/>
      <c r="K2449" s="91"/>
      <c r="L2449" s="91"/>
      <c r="M2449" s="91"/>
      <c r="N2449" s="91"/>
      <c r="O2449" s="91"/>
      <c r="P2449" s="91"/>
      <c r="Q2449" s="92"/>
      <c r="R2449" s="11"/>
    </row>
    <row r="2450" s="1" customFormat="1" ht="5.1" customHeight="1" spans="1:18">
      <c r="A2450" s="93"/>
      <c r="B2450" s="94"/>
      <c r="C2450" s="94"/>
      <c r="D2450" s="94"/>
      <c r="E2450" s="94"/>
      <c r="F2450" s="94"/>
      <c r="G2450" s="94"/>
      <c r="H2450" s="94"/>
      <c r="I2450" s="94"/>
      <c r="J2450" s="94"/>
      <c r="K2450" s="94"/>
      <c r="L2450" s="94"/>
      <c r="M2450" s="94"/>
      <c r="N2450" s="94"/>
      <c r="O2450" s="94"/>
      <c r="P2450" s="94"/>
      <c r="Q2450" s="94"/>
      <c r="R2450" s="95"/>
    </row>
    <row r="2451" s="2" customFormat="1" ht="9.95" customHeight="1"/>
    <row r="2452" s="1" customFormat="1" ht="5.1" customHeight="1" spans="1:18">
      <c r="A2452" s="4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  <c r="O2452" s="5"/>
      <c r="P2452" s="5"/>
      <c r="Q2452" s="5"/>
      <c r="R2452" s="6"/>
    </row>
    <row r="2453" s="1" customFormat="1" ht="15" customHeight="1" spans="1:18">
      <c r="A2453" s="7"/>
      <c r="B2453" s="8"/>
      <c r="C2453" s="9"/>
      <c r="D2453" s="9"/>
      <c r="E2453" s="9"/>
      <c r="F2453" s="9"/>
      <c r="G2453" s="9"/>
      <c r="H2453" s="9"/>
      <c r="I2453" s="9"/>
      <c r="J2453" s="9"/>
      <c r="K2453" s="9"/>
      <c r="L2453" s="9"/>
      <c r="M2453" s="9"/>
      <c r="N2453" s="9"/>
      <c r="O2453" s="9"/>
      <c r="P2453" s="9"/>
      <c r="Q2453" s="10"/>
      <c r="R2453" s="11"/>
    </row>
    <row r="2454" s="1" customFormat="1" ht="21.95" customHeight="1" spans="1:18">
      <c r="A2454" s="7"/>
      <c r="B2454" s="12"/>
      <c r="C2454" s="13" t="s">
        <v>7</v>
      </c>
      <c r="D2454" s="13"/>
      <c r="E2454" s="13"/>
      <c r="F2454" s="13"/>
      <c r="G2454" s="13"/>
      <c r="H2454" s="13"/>
      <c r="I2454" s="13"/>
      <c r="J2454" s="13"/>
      <c r="K2454" s="13"/>
      <c r="L2454" s="13"/>
      <c r="M2454" s="13"/>
      <c r="N2454" s="13"/>
      <c r="O2454" s="13"/>
      <c r="P2454" s="13"/>
      <c r="Q2454" s="14"/>
      <c r="R2454" s="11"/>
    </row>
    <row r="2455" s="1" customFormat="1" ht="21.95" customHeight="1" spans="1:18">
      <c r="A2455" s="7"/>
      <c r="B2455" s="1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14"/>
      <c r="R2455" s="11"/>
    </row>
    <row r="2456" s="1" customFormat="1" ht="21.95" customHeight="1" spans="1:18">
      <c r="A2456" s="7"/>
      <c r="B2456" s="12"/>
      <c r="C2456" s="15" t="str">
        <f>"SESSION-"&amp;ENTRY!$D$11</f>
        <v>SESSION-2026-27</v>
      </c>
      <c r="D2456" s="15"/>
      <c r="E2456" s="15"/>
      <c r="F2456" s="15"/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4"/>
      <c r="R2456" s="11"/>
    </row>
    <row r="2457" s="1" customFormat="1" ht="21.95" customHeight="1" spans="1:18">
      <c r="A2457" s="7"/>
      <c r="B2457" s="12"/>
      <c r="C2457" s="2"/>
      <c r="D2457" s="2"/>
      <c r="E2457" s="2"/>
      <c r="F2457" s="16">
        <f>F2400+1</f>
        <v>44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14"/>
      <c r="R2457" s="11"/>
    </row>
    <row r="2458" s="1" customFormat="1" ht="21.95" customHeight="1" spans="1:18">
      <c r="A2458" s="7"/>
      <c r="B2458" s="12"/>
      <c r="C2458" s="17" t="s">
        <v>392</v>
      </c>
      <c r="D2458" s="17"/>
      <c r="E2458" s="17"/>
      <c r="F2458" s="18" t="str">
        <f>IF(F2457&gt;0,ENTRY!$D$6,"")</f>
        <v>MCP NITHARI NO 1 BOYS</v>
      </c>
      <c r="G2458" s="18"/>
      <c r="H2458" s="18"/>
      <c r="I2458" s="18"/>
      <c r="J2458" s="18"/>
      <c r="K2458" s="18"/>
      <c r="L2458" s="18"/>
      <c r="M2458" s="18"/>
      <c r="N2458" s="18"/>
      <c r="O2458" s="18"/>
      <c r="P2458" s="18"/>
      <c r="Q2458" s="19"/>
      <c r="R2458" s="11"/>
    </row>
    <row r="2459" s="1" customFormat="1" ht="21.95" customHeight="1" spans="1:18">
      <c r="A2459" s="7"/>
      <c r="B2459" s="12"/>
      <c r="C2459" s="17" t="s">
        <v>393</v>
      </c>
      <c r="D2459" s="17"/>
      <c r="E2459" s="17"/>
      <c r="F2459" s="18">
        <f>IF(F2457&gt;0,ENTRY!$D$7,"")</f>
        <v>0</v>
      </c>
      <c r="G2459" s="18"/>
      <c r="H2459" s="20" t="s">
        <v>702</v>
      </c>
      <c r="I2459" s="20"/>
      <c r="J2459" s="21">
        <f>IF(F2457&gt;0,ENTRY!$D$10,"")</f>
        <v>40</v>
      </c>
      <c r="K2459" s="20" t="s">
        <v>703</v>
      </c>
      <c r="L2459" s="22" t="str">
        <f>IF(F2457&gt;0,ENTRY!$D$5,"")</f>
        <v>ROHINI ZONE</v>
      </c>
      <c r="M2459" s="22"/>
      <c r="N2459" s="22"/>
      <c r="O2459" s="22"/>
      <c r="P2459" s="22"/>
      <c r="Q2459" s="19"/>
      <c r="R2459" s="11"/>
    </row>
    <row r="2460" s="1" customFormat="1" ht="21.95" customHeight="1" spans="1:18">
      <c r="A2460" s="7"/>
      <c r="B2460" s="12"/>
      <c r="C2460" s="17" t="s">
        <v>706</v>
      </c>
      <c r="D2460" s="17"/>
      <c r="E2460" s="17"/>
      <c r="F2460" s="23">
        <f>IFERROR(VLOOKUP(F2457,STUDENT!$A$2:$BP$101,5,0),"")</f>
        <v>0</v>
      </c>
      <c r="G2460" s="23"/>
      <c r="H2460" s="23"/>
      <c r="I2460" s="23"/>
      <c r="J2460" s="23"/>
      <c r="K2460" s="23"/>
      <c r="L2460" s="20" t="s">
        <v>707</v>
      </c>
      <c r="M2460" s="20"/>
      <c r="N2460" s="24" t="str">
        <f>IF(F2457&gt;0,ENTRY!$D$20&amp;"-"&amp;ENTRY!$D$21,"")</f>
        <v>III-A</v>
      </c>
      <c r="O2460" s="24"/>
      <c r="P2460" s="24"/>
      <c r="Q2460" s="19"/>
      <c r="R2460" s="11"/>
    </row>
    <row r="2461" s="1" customFormat="1" ht="21.95" customHeight="1" spans="1:18">
      <c r="A2461" s="7"/>
      <c r="B2461" s="12"/>
      <c r="C2461" s="17" t="s">
        <v>708</v>
      </c>
      <c r="D2461" s="17"/>
      <c r="E2461" s="17"/>
      <c r="F2461" s="25">
        <f>IFERROR(VLOOKUP(F2457,STUDENT!$A$2:$BP$101,6,0),"")</f>
        <v>0</v>
      </c>
      <c r="G2461" s="25"/>
      <c r="H2461" s="26" t="s">
        <v>709</v>
      </c>
      <c r="I2461" s="27" t="str">
        <f>IFERROR(VLOOKUP(F2457,STUDENT!$A$2:$BP$101,59,0),"")</f>
        <v/>
      </c>
      <c r="J2461" s="27"/>
      <c r="K2461" s="20" t="s">
        <v>710</v>
      </c>
      <c r="L2461" s="20"/>
      <c r="M2461" s="28">
        <f>IFERROR(VLOOKUP(F2457,STUDENT!$A$2:$BP$101,20,0),"")</f>
        <v>0</v>
      </c>
      <c r="N2461" s="28"/>
      <c r="O2461" s="28"/>
      <c r="P2461" s="28"/>
      <c r="Q2461" s="19"/>
      <c r="R2461" s="11"/>
    </row>
    <row r="2462" s="1" customFormat="1" ht="21.95" customHeight="1" spans="1:18">
      <c r="A2462" s="7"/>
      <c r="B2462" s="12"/>
      <c r="C2462" s="17" t="s">
        <v>711</v>
      </c>
      <c r="D2462" s="17"/>
      <c r="E2462" s="17"/>
      <c r="F2462" s="23">
        <f>IFERROR(VLOOKUP(F2457,STUDENT!$A$2:$BP$101,9,0),"")</f>
        <v>0</v>
      </c>
      <c r="G2462" s="23"/>
      <c r="H2462" s="23"/>
      <c r="I2462" s="23"/>
      <c r="J2462" s="17" t="s">
        <v>620</v>
      </c>
      <c r="K2462" s="17"/>
      <c r="L2462" s="23">
        <f>IFERROR(VLOOKUP(F2457,STUDENT!$A$2:$BP$101,8,0),"")</f>
        <v>0</v>
      </c>
      <c r="M2462" s="23"/>
      <c r="N2462" s="23"/>
      <c r="O2462" s="23"/>
      <c r="P2462" s="23"/>
      <c r="Q2462" s="19"/>
      <c r="R2462" s="11"/>
    </row>
    <row r="2463" s="1" customFormat="1" ht="21.95" customHeight="1" spans="1:18">
      <c r="A2463" s="7"/>
      <c r="B2463" s="12"/>
      <c r="C2463" s="17" t="s">
        <v>712</v>
      </c>
      <c r="D2463" s="17"/>
      <c r="E2463" s="17"/>
      <c r="F2463" s="23">
        <f>IFERROR(VLOOKUP(F2457,STUDENT!$A$2:$BP$101,22,0),"")</f>
        <v>0</v>
      </c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19"/>
      <c r="R2463" s="11"/>
    </row>
    <row r="2464" s="1" customFormat="1" ht="9.95" customHeight="1" spans="1:18">
      <c r="A2464" s="7"/>
      <c r="B2464" s="12"/>
      <c r="C2464" s="29"/>
      <c r="D2464" s="29"/>
      <c r="E2464" s="29"/>
      <c r="F2464" s="29"/>
      <c r="G2464" s="29"/>
      <c r="H2464" s="29"/>
      <c r="I2464" s="29"/>
      <c r="J2464" s="29"/>
      <c r="K2464" s="29"/>
      <c r="L2464" s="29"/>
      <c r="M2464" s="29"/>
      <c r="N2464" s="29"/>
      <c r="O2464" s="29"/>
      <c r="P2464" s="29"/>
      <c r="Q2464" s="19"/>
      <c r="R2464" s="11"/>
    </row>
    <row r="2465" s="1" customFormat="1" ht="9.95" customHeight="1" spans="1:18">
      <c r="A2465" s="7"/>
      <c r="B2465" s="12"/>
      <c r="C2465" s="30"/>
      <c r="D2465" s="31"/>
      <c r="E2465" s="31"/>
      <c r="F2465" s="31"/>
      <c r="G2465" s="31"/>
      <c r="H2465" s="31"/>
      <c r="I2465" s="31"/>
      <c r="J2465" s="31"/>
      <c r="K2465" s="31"/>
      <c r="L2465" s="31"/>
      <c r="M2465" s="31"/>
      <c r="N2465" s="31"/>
      <c r="O2465" s="31"/>
      <c r="P2465" s="32"/>
      <c r="Q2465" s="19"/>
      <c r="R2465" s="11"/>
    </row>
    <row r="2466" s="1" customFormat="1" ht="21.95" customHeight="1" spans="1:18">
      <c r="A2466" s="7"/>
      <c r="B2466" s="12"/>
      <c r="C2466" s="33"/>
      <c r="D2466" s="34" t="s">
        <v>713</v>
      </c>
      <c r="E2466" s="20" t="s">
        <v>714</v>
      </c>
      <c r="F2466" s="35" t="str">
        <f>"Level - "&amp;IFERROR(VLOOKUP(F2457,FLN!$A$4:$K$103,9,0),"")</f>
        <v>Level - </v>
      </c>
      <c r="G2466" s="36"/>
      <c r="H2466" s="37" t="s">
        <v>715</v>
      </c>
      <c r="I2466" s="20"/>
      <c r="J2466" s="35" t="str">
        <f>"Level - "&amp;IFERROR(VLOOKUP(F2457,FLN!$A$4:$K$103,11,0),"")</f>
        <v>Level - </v>
      </c>
      <c r="K2466" s="36"/>
      <c r="L2466" s="37" t="s">
        <v>408</v>
      </c>
      <c r="M2466" s="20"/>
      <c r="N2466" s="35" t="str">
        <f>"Level - "&amp;IFERROR(VLOOKUP(F2457,FLN!$A$4:$K$103,10,0),"")</f>
        <v>Level - </v>
      </c>
      <c r="O2466" s="36"/>
      <c r="P2466" s="19"/>
      <c r="Q2466" s="19"/>
      <c r="R2466" s="11"/>
    </row>
    <row r="2467" s="1" customFormat="1" ht="21.95" customHeight="1" spans="1:18">
      <c r="A2467" s="7"/>
      <c r="B2467" s="12"/>
      <c r="C2467" s="33"/>
      <c r="D2467" s="38"/>
      <c r="E2467" s="20" t="s">
        <v>716</v>
      </c>
      <c r="F2467" s="18" t="str">
        <f ca="1">IF(L2481&gt;197,"PERFORMED WELL","")</f>
        <v/>
      </c>
      <c r="G2467" s="18"/>
      <c r="H2467" s="18"/>
      <c r="I2467" s="18"/>
      <c r="J2467" s="18"/>
      <c r="K2467" s="18"/>
      <c r="L2467" s="18"/>
      <c r="M2467" s="18"/>
      <c r="N2467" s="18"/>
      <c r="O2467" s="18"/>
      <c r="P2467" s="19"/>
      <c r="Q2467" s="19"/>
      <c r="R2467" s="11"/>
    </row>
    <row r="2468" s="1" customFormat="1" ht="9.95" customHeight="1" spans="1:18">
      <c r="A2468" s="7"/>
      <c r="B2468" s="12"/>
      <c r="C2468" s="39"/>
      <c r="D2468" s="40"/>
      <c r="E2468" s="40"/>
      <c r="F2468" s="40"/>
      <c r="G2468" s="40"/>
      <c r="H2468" s="40"/>
      <c r="I2468" s="40"/>
      <c r="J2468" s="40"/>
      <c r="K2468" s="40"/>
      <c r="L2468" s="40"/>
      <c r="M2468" s="40"/>
      <c r="N2468" s="40"/>
      <c r="O2468" s="40"/>
      <c r="P2468" s="41"/>
      <c r="Q2468" s="19"/>
      <c r="R2468" s="11"/>
    </row>
    <row r="2469" s="1" customFormat="1" ht="9.95" customHeight="1" spans="1:18">
      <c r="A2469" s="7"/>
      <c r="B2469" s="12"/>
      <c r="C2469" s="29"/>
      <c r="D2469" s="29"/>
      <c r="E2469" s="29"/>
      <c r="F2469" s="29"/>
      <c r="G2469" s="29"/>
      <c r="H2469" s="29"/>
      <c r="I2469" s="29"/>
      <c r="J2469" s="29"/>
      <c r="K2469" s="29"/>
      <c r="L2469" s="29"/>
      <c r="M2469" s="29"/>
      <c r="N2469" s="29"/>
      <c r="O2469" s="29"/>
      <c r="P2469" s="29"/>
      <c r="Q2469" s="19"/>
      <c r="R2469" s="11"/>
    </row>
    <row r="2470" s="1" customFormat="1" ht="9.95" customHeight="1" spans="1:18">
      <c r="A2470" s="7"/>
      <c r="B2470" s="12"/>
      <c r="C2470" s="30"/>
      <c r="D2470" s="31"/>
      <c r="E2470" s="31"/>
      <c r="F2470" s="31"/>
      <c r="G2470" s="31"/>
      <c r="H2470" s="31"/>
      <c r="I2470" s="31"/>
      <c r="J2470" s="31"/>
      <c r="K2470" s="31"/>
      <c r="L2470" s="31"/>
      <c r="M2470" s="31"/>
      <c r="N2470" s="31"/>
      <c r="O2470" s="31"/>
      <c r="P2470" s="32"/>
      <c r="Q2470" s="19"/>
      <c r="R2470" s="11"/>
    </row>
    <row r="2471" s="1" customFormat="1" ht="21.95" customHeight="1" spans="1:18">
      <c r="A2471" s="7"/>
      <c r="B2471" s="12"/>
      <c r="C2471" s="33"/>
      <c r="D2471" s="35"/>
      <c r="E2471" s="24"/>
      <c r="F2471" s="42" t="s">
        <v>717</v>
      </c>
      <c r="G2471" s="42"/>
      <c r="H2471" s="42"/>
      <c r="I2471" s="42"/>
      <c r="J2471" s="42"/>
      <c r="K2471" s="42"/>
      <c r="L2471" s="43"/>
      <c r="M2471" s="44"/>
      <c r="N2471" s="29"/>
      <c r="O2471" s="29"/>
      <c r="P2471" s="19"/>
      <c r="Q2471" s="19"/>
      <c r="R2471" s="11"/>
    </row>
    <row r="2472" s="1" customFormat="1" ht="21.95" customHeight="1" spans="1:18">
      <c r="A2472" s="7"/>
      <c r="B2472" s="12"/>
      <c r="C2472" s="33"/>
      <c r="D2472" s="45"/>
      <c r="E2472" s="46"/>
      <c r="F2472" s="47" t="s">
        <v>541</v>
      </c>
      <c r="G2472" s="47" t="s">
        <v>542</v>
      </c>
      <c r="H2472" s="47" t="s">
        <v>543</v>
      </c>
      <c r="I2472" s="47" t="s">
        <v>544</v>
      </c>
      <c r="J2472" s="47" t="s">
        <v>561</v>
      </c>
      <c r="K2472" s="48" t="s">
        <v>750</v>
      </c>
      <c r="L2472" s="47" t="s">
        <v>382</v>
      </c>
      <c r="M2472" s="49" t="s">
        <v>546</v>
      </c>
      <c r="N2472" s="29"/>
      <c r="O2472" s="29"/>
      <c r="P2472" s="19"/>
      <c r="Q2472" s="19"/>
      <c r="R2472" s="11"/>
    </row>
    <row r="2473" s="1" customFormat="1" ht="21.95" customHeight="1" spans="1:18">
      <c r="A2473" s="7"/>
      <c r="B2473" s="12"/>
      <c r="C2473" s="33"/>
      <c r="D2473" s="45" t="s">
        <v>652</v>
      </c>
      <c r="E2473" s="46"/>
      <c r="F2473" s="50">
        <v>10</v>
      </c>
      <c r="G2473" s="50">
        <v>10</v>
      </c>
      <c r="H2473" s="50">
        <v>10</v>
      </c>
      <c r="I2473" s="50">
        <v>10</v>
      </c>
      <c r="J2473" s="50">
        <v>60</v>
      </c>
      <c r="K2473" s="51"/>
      <c r="L2473" s="50">
        <v>100</v>
      </c>
      <c r="M2473" s="49"/>
      <c r="N2473" s="29"/>
      <c r="O2473" s="29"/>
      <c r="P2473" s="19"/>
      <c r="Q2473" s="19"/>
      <c r="R2473" s="11"/>
    </row>
    <row r="2474" s="1" customFormat="1" ht="21.95" customHeight="1" spans="1:18">
      <c r="A2474" s="7"/>
      <c r="B2474" s="12"/>
      <c r="C2474" s="33"/>
      <c r="D2474" s="52" t="s">
        <v>751</v>
      </c>
      <c r="E2474" s="53"/>
      <c r="F2474" s="54" t="str">
        <f ca="1">IFERROR(VLOOKUP(F2457,'RR-3.1-5TH'!$A$12:'RR-3.1-5TH'!$BN$111,9,0),"")</f>
        <v/>
      </c>
      <c r="G2474" s="54" t="str">
        <f ca="1">IFERROR(VLOOKUP(F2457,'RR-3.1-5TH'!$A$12:'RR-3.1-5TH'!$BN$111,10,0),"")</f>
        <v/>
      </c>
      <c r="H2474" s="54" t="str">
        <f ca="1">IFERROR(VLOOKUP(F2457,'RR-3.1-5TH'!$A$12:'RR-3.1-5TH'!$BN$111,11,0),"")</f>
        <v/>
      </c>
      <c r="I2474" s="54" t="str">
        <f ca="1">IFERROR(VLOOKUP(F2457,'RR-3.1-5TH'!$A$12:'RR-3.1-5TH'!$BN$111,12,0),"")</f>
        <v/>
      </c>
      <c r="J2474" s="54" t="str">
        <f ca="1">IFERROR(VLOOKUP(F2457,'RR-3.1-5TH'!$A$12:'RR-3.1-5TH'!$BN$111,13,0),"")</f>
        <v/>
      </c>
      <c r="K2474" s="54" t="str">
        <f ca="1">IFERROR(VLOOKUP(F2457,'RR-3.1-5TH'!$A$12:'RR-3.1-5TH'!$BN$111,14,0),"")</f>
        <v/>
      </c>
      <c r="L2474" s="55">
        <f ca="1" t="shared" ref="L2474:L2479" si="129">SUM(F2474,G2474,H2474,I2474,J2474,K2474)</f>
        <v>0</v>
      </c>
      <c r="M2474" s="56" t="str">
        <f ca="1">IF(F2457&gt;ENTRY!$D$24,"",IF(L2474=0,"Ab",IF(L2474&gt;80,"A",IF(L2474&gt;60,"B",IF(L2474&gt;44,"C",IF(L2474&gt;=33,"D",IF(L2474&lt;=32,"E","")))))))</f>
        <v/>
      </c>
      <c r="N2474" s="57" t="s">
        <v>729</v>
      </c>
      <c r="O2474" s="58"/>
      <c r="P2474" s="59"/>
      <c r="Q2474" s="19"/>
      <c r="R2474" s="11"/>
    </row>
    <row r="2475" s="1" customFormat="1" ht="21.95" customHeight="1" spans="1:18">
      <c r="A2475" s="7"/>
      <c r="B2475" s="12"/>
      <c r="C2475" s="33"/>
      <c r="D2475" s="52" t="s">
        <v>513</v>
      </c>
      <c r="E2475" s="53"/>
      <c r="F2475" s="54" t="str">
        <f ca="1">IFERROR(VLOOKUP(F2457,'RR-3.1-5TH'!$A$12:'RR-3.1-5TH'!$BN$111,17,0),"")</f>
        <v/>
      </c>
      <c r="G2475" s="54" t="str">
        <f ca="1">IFERROR(VLOOKUP(F2457,'RR-3.1-5TH'!$A$12:'RR-3.1-5TH'!$BN$111,18,0),"")</f>
        <v/>
      </c>
      <c r="H2475" s="54" t="str">
        <f ca="1">IFERROR(VLOOKUP(F2457,'RR-3.1-5TH'!$A$12:'RR-3.1-5TH'!$BN$111,19,0),"")</f>
        <v/>
      </c>
      <c r="I2475" s="54" t="str">
        <f ca="1">IFERROR(VLOOKUP(F2457,'RR-3.1-5TH'!$A$12:'RR-3.1-5TH'!$BN$111,20,0),"")</f>
        <v/>
      </c>
      <c r="J2475" s="54" t="str">
        <f ca="1">IFERROR(VLOOKUP(F2457,'RR-3.1-5TH'!$A$12:'RR-3.1-5TH'!$BN$111,21,0),"")</f>
        <v/>
      </c>
      <c r="K2475" s="54" t="str">
        <f ca="1">IFERROR(VLOOKUP(F2457,'RR-3.1-5TH'!$A$12:'RR-3.1-5TH'!$BN$111,22,0),"")</f>
        <v/>
      </c>
      <c r="L2475" s="55">
        <f ca="1" t="shared" si="129"/>
        <v>0</v>
      </c>
      <c r="M2475" s="56" t="str">
        <f ca="1">IF(F2457&gt;ENTRY!$D$24,"",IF(L2475=0,"Ab",IF(L2475&gt;80,"A",IF(L2475&gt;60,"B",IF(L2475&gt;44,"C",IF(L2475&gt;=33,"D",IF(L2475&lt;=32,"E","")))))))</f>
        <v/>
      </c>
      <c r="N2475" s="58"/>
      <c r="O2475" s="58"/>
      <c r="P2475" s="59"/>
      <c r="Q2475" s="19"/>
      <c r="R2475" s="11"/>
    </row>
    <row r="2476" s="1" customFormat="1" ht="21.95" customHeight="1" spans="1:18">
      <c r="A2476" s="7"/>
      <c r="B2476" s="12"/>
      <c r="C2476" s="33"/>
      <c r="D2476" s="52" t="s">
        <v>718</v>
      </c>
      <c r="E2476" s="53"/>
      <c r="F2476" s="54" t="str">
        <f ca="1">IFERROR(VLOOKUP(F2457,'RR-3.1-5TH'!$A$12:'RR-3.1-5TH'!$BN$111,25,0),"")</f>
        <v/>
      </c>
      <c r="G2476" s="54" t="str">
        <f ca="1">IFERROR(VLOOKUP(F2457,'RR-3.1-5TH'!$A$12:'RR-3.1-5TH'!$BN$111,26,0),"")</f>
        <v/>
      </c>
      <c r="H2476" s="54" t="str">
        <f ca="1">IFERROR(VLOOKUP(F2457,'RR-3.1-5TH'!$A$12:'RR-3.1-5TH'!$BN$111,27,0),"")</f>
        <v/>
      </c>
      <c r="I2476" s="54" t="str">
        <f ca="1">IFERROR(VLOOKUP(F2457,'RR-3.1-5TH'!$A$12:'RR-3.1-5TH'!$BN$111,28,0),"")</f>
        <v/>
      </c>
      <c r="J2476" s="54" t="str">
        <f ca="1">IFERROR(VLOOKUP(F2457,'RR-3.1-5TH'!$A$12:'RR-3.1-5TH'!$BN$111,29,0),"")</f>
        <v/>
      </c>
      <c r="K2476" s="54" t="str">
        <f ca="1">IFERROR(VLOOKUP(F2457,'RR-3.1-5TH'!$A$12:'RR-3.1-5TH'!$BN$111,30,0),"")</f>
        <v/>
      </c>
      <c r="L2476" s="55">
        <f ca="1" t="shared" si="129"/>
        <v>0</v>
      </c>
      <c r="M2476" s="56" t="str">
        <f ca="1">IF(F2457&gt;ENTRY!$D$24,"",IF(L2476=0,"Ab",IF(L2476&gt;80,"A",IF(L2476&gt;60,"B",IF(L2476&gt;44,"C",IF(L2476&gt;=33,"D",IF(L2476&lt;=32,"E","")))))))</f>
        <v/>
      </c>
      <c r="N2476" s="29"/>
      <c r="O2476" s="29"/>
      <c r="P2476" s="19"/>
      <c r="Q2476" s="19"/>
      <c r="R2476" s="11"/>
    </row>
    <row r="2477" s="1" customFormat="1" ht="21.95" customHeight="1" spans="1:18">
      <c r="A2477" s="7"/>
      <c r="B2477" s="12"/>
      <c r="C2477" s="33"/>
      <c r="D2477" s="52" t="s">
        <v>719</v>
      </c>
      <c r="E2477" s="53"/>
      <c r="F2477" s="54" t="str">
        <f ca="1">IFERROR(VLOOKUP(F2457,'RR-3.1-5TH'!$A$12:'RR-3.1-5TH'!$BN$111,33,0),"")</f>
        <v/>
      </c>
      <c r="G2477" s="54" t="str">
        <f ca="1">IFERROR(VLOOKUP(F2457,'RR-3.1-5TH'!$A$12:'RR-3.1-5TH'!$BN$111,34,0),"")</f>
        <v/>
      </c>
      <c r="H2477" s="54" t="str">
        <f ca="1">IFERROR(VLOOKUP(F2457,'RR-3.1-5TH'!$A$12:'RR-3.1-5TH'!$BN$111,35,0),"")</f>
        <v/>
      </c>
      <c r="I2477" s="54" t="str">
        <f ca="1">IFERROR(VLOOKUP(F2457,'RR-3.1-5TH'!$A$12:'RR-3.1-5TH'!$BN$111,36,0),"")</f>
        <v/>
      </c>
      <c r="J2477" s="54" t="str">
        <f ca="1">IFERROR(VLOOKUP(F2457,'RR-3.1-5TH'!$A$12:'RR-3.1-5TH'!$BN$111,37,0),"")</f>
        <v/>
      </c>
      <c r="K2477" s="54" t="str">
        <f ca="1">IFERROR(VLOOKUP(F2457,'RR-3.1-5TH'!$A$12:'RR-3.1-5TH'!$BN$111,38,0),"")</f>
        <v/>
      </c>
      <c r="L2477" s="55">
        <f ca="1" t="shared" si="129"/>
        <v>0</v>
      </c>
      <c r="M2477" s="56" t="str">
        <f ca="1">IF(F2457&gt;ENTRY!$D$24,"",IF(L2477=0,"Ab",IF(L2477&gt;80,"A",IF(L2477&gt;60,"B",IF(L2477&gt;44,"C",IF(L2477&gt;=33,"D",IF(L2477&lt;=32,"E","")))))))</f>
        <v/>
      </c>
      <c r="N2477" s="29"/>
      <c r="O2477" s="29"/>
      <c r="P2477" s="19"/>
      <c r="Q2477" s="19"/>
      <c r="R2477" s="11"/>
    </row>
    <row r="2478" s="1" customFormat="1" ht="21.95" customHeight="1" spans="1:18">
      <c r="A2478" s="7"/>
      <c r="B2478" s="12"/>
      <c r="C2478" s="33"/>
      <c r="D2478" s="52" t="s">
        <v>548</v>
      </c>
      <c r="E2478" s="53"/>
      <c r="F2478" s="54" t="str">
        <f ca="1">IFERROR(VLOOKUP(F2457,'RR-3.1-5TH'!$A$12:'RR-3.1-5TH'!$BN$111,41,0),"")</f>
        <v/>
      </c>
      <c r="G2478" s="54" t="str">
        <f ca="1">IFERROR(VLOOKUP(F2457,'RR-3.1-5TH'!$A$12:'RR-3.1-5TH'!$BN$111,42,0),"")</f>
        <v/>
      </c>
      <c r="H2478" s="54" t="str">
        <f ca="1">IFERROR(VLOOKUP(F2457,'RR-3.1-5TH'!$A$12:'RR-3.1-5TH'!$BN$111,43,0),"")</f>
        <v/>
      </c>
      <c r="I2478" s="54" t="str">
        <f ca="1">IFERROR(VLOOKUP(F2457,'RR-3.1-5TH'!$A$12:'RR-3.1-5TH'!$BN$111,44,0),"")</f>
        <v/>
      </c>
      <c r="J2478" s="54" t="str">
        <f ca="1">IFERROR(VLOOKUP(F2457,'RR-3.1-5TH'!$A$12:'RR-3.1-5TH'!$BN$111,45,0),"")</f>
        <v/>
      </c>
      <c r="K2478" s="54" t="str">
        <f ca="1">IFERROR(VLOOKUP(F2457,'RR-3.1-5TH'!$A$12:'RR-3.1-5TH'!$BN$111,46,0),"")</f>
        <v/>
      </c>
      <c r="L2478" s="55">
        <f ca="1" t="shared" si="129"/>
        <v>0</v>
      </c>
      <c r="M2478" s="56" t="str">
        <f ca="1">IF(F2457&gt;ENTRY!$D$24,"",IF(L2478=0,"Ab",IF(L2478&gt;80,"A",IF(L2478&gt;60,"B",IF(L2478&gt;44,"C",IF(L2478&gt;=33,"D",IF(L2478&lt;=32,"E","")))))))</f>
        <v/>
      </c>
      <c r="N2478" s="29"/>
      <c r="O2478" s="29"/>
      <c r="P2478" s="19"/>
      <c r="Q2478" s="19"/>
      <c r="R2478" s="11"/>
    </row>
    <row r="2479" s="1" customFormat="1" ht="21.95" customHeight="1" spans="1:18">
      <c r="A2479" s="7"/>
      <c r="B2479" s="12"/>
      <c r="C2479" s="33"/>
      <c r="D2479" s="52" t="s">
        <v>549</v>
      </c>
      <c r="E2479" s="53"/>
      <c r="F2479" s="54" t="str">
        <f ca="1">IFERROR(VLOOKUP(F2457,'RR-3.1-5TH'!$A$12:'RR-3.1-5TH'!$BN$111,49,0),"")</f>
        <v/>
      </c>
      <c r="G2479" s="54" t="str">
        <f ca="1">IFERROR(VLOOKUP(F2457,'RR-3.1-5TH'!$A$12:'RR-3.1-5TH'!$BN$111,50,0),"")</f>
        <v/>
      </c>
      <c r="H2479" s="54" t="str">
        <f ca="1">IFERROR(VLOOKUP(F2457,'RR-3.1-5TH'!$A$12:'RR-3.1-5TH'!$BN$111,51,0),"")</f>
        <v/>
      </c>
      <c r="I2479" s="54" t="str">
        <f ca="1">IFERROR(VLOOKUP(F2457,'RR-3.1-5TH'!$A$12:'RR-3.1-5TH'!$BN$111,52,0),"")</f>
        <v/>
      </c>
      <c r="J2479" s="54" t="str">
        <f ca="1">IFERROR(VLOOKUP(F2457,'RR-3.1-5TH'!$A$12:'RR-3.1-5TH'!$BN$111,53,0),"")</f>
        <v/>
      </c>
      <c r="K2479" s="54" t="str">
        <f ca="1">IFERROR(VLOOKUP(F2457,'RR-3.1-5TH'!$A$12:'RR-3.1-5TH'!$BN$111,54,0),"")</f>
        <v/>
      </c>
      <c r="L2479" s="55">
        <f ca="1" t="shared" si="129"/>
        <v>0</v>
      </c>
      <c r="M2479" s="56" t="str">
        <f ca="1">IF(F2457&gt;ENTRY!$D$24,"",IF(L2479=0,"Ab",IF(L2479&gt;80,"A",IF(L2479&gt;60,"B",IF(L2479&gt;44,"C",IF(L2479&gt;=33,"D",IF(L2479&lt;=32,"E","")))))))</f>
        <v/>
      </c>
      <c r="N2479" s="57" t="s">
        <v>752</v>
      </c>
      <c r="O2479" s="58"/>
      <c r="P2479" s="59"/>
      <c r="Q2479" s="19"/>
      <c r="R2479" s="11"/>
    </row>
    <row r="2480" s="1" customFormat="1" ht="21.95" customHeight="1" spans="1:18">
      <c r="A2480" s="7"/>
      <c r="B2480" s="12"/>
      <c r="C2480" s="33"/>
      <c r="D2480" s="52" t="s">
        <v>753</v>
      </c>
      <c r="E2480" s="53"/>
      <c r="F2480" s="60"/>
      <c r="G2480" s="54"/>
      <c r="H2480" s="54"/>
      <c r="I2480" s="54"/>
      <c r="J2480" s="54"/>
      <c r="K2480" s="54"/>
      <c r="L2480" s="55">
        <f t="shared" ref="L2480" si="130">SUM(G2480:K2480)</f>
        <v>0</v>
      </c>
      <c r="M2480" s="56" t="str">
        <f>IF(F2457&gt;ENTRY!$D$24,"",IF(L2480=0,"",IF(L2480&gt;79,"A",IF(L2480&gt;59,"B",IF(L2480&gt;44,"C",IF(L2480&gt;=33,"D",IF(L2480&lt;=32,"E","")))))))</f>
        <v/>
      </c>
      <c r="N2480" s="58"/>
      <c r="O2480" s="58"/>
      <c r="P2480" s="59"/>
      <c r="Q2480" s="19"/>
      <c r="R2480" s="11"/>
    </row>
    <row r="2481" s="1" customFormat="1" ht="21.95" customHeight="1" spans="1:19">
      <c r="A2481" s="7"/>
      <c r="B2481" s="12"/>
      <c r="C2481" s="33"/>
      <c r="D2481" s="45" t="s">
        <v>382</v>
      </c>
      <c r="E2481" s="46"/>
      <c r="F2481" s="54">
        <f ca="1" t="shared" ref="F2481:L2481" si="131">IFERROR(SUM(F2474:F2480),"")</f>
        <v>0</v>
      </c>
      <c r="G2481" s="54">
        <f ca="1" t="shared" si="131"/>
        <v>0</v>
      </c>
      <c r="H2481" s="54">
        <f ca="1" t="shared" si="131"/>
        <v>0</v>
      </c>
      <c r="I2481" s="54">
        <f ca="1" t="shared" si="131"/>
        <v>0</v>
      </c>
      <c r="J2481" s="54">
        <f ca="1" t="shared" si="131"/>
        <v>0</v>
      </c>
      <c r="K2481" s="54">
        <f ca="1" t="shared" si="131"/>
        <v>0</v>
      </c>
      <c r="L2481" s="55">
        <f ca="1" t="shared" si="131"/>
        <v>0</v>
      </c>
      <c r="M2481" s="61" t="str">
        <f ca="1">IF(F2457&gt;ENTRY!$D$24,"",IF(N2482="Ab","Ab",IF(N2482&gt;79.5,"A",IF(N2482&gt;59.5,"B",IF(N2482&gt;44.5,"C",IF(N2482&gt;=33,"D",IF(N2482&lt;33,"E","")))))))</f>
        <v/>
      </c>
      <c r="N2481" s="62"/>
      <c r="O2481" s="58"/>
      <c r="P2481" s="59"/>
      <c r="Q2481" s="19"/>
      <c r="R2481" s="11"/>
    </row>
    <row r="2482" s="1" customFormat="1" ht="21.95" customHeight="1" spans="1:19">
      <c r="A2482" s="7"/>
      <c r="B2482" s="12"/>
      <c r="C2482" s="33"/>
      <c r="D2482" s="63" t="s">
        <v>721</v>
      </c>
      <c r="E2482" s="63"/>
      <c r="F2482" s="63"/>
      <c r="G2482" s="63"/>
      <c r="H2482" s="63"/>
      <c r="I2482" s="63"/>
      <c r="J2482" s="63"/>
      <c r="K2482" s="63"/>
      <c r="L2482" s="63"/>
      <c r="M2482" s="63"/>
      <c r="N2482" s="64">
        <f ca="1">IF(L2481="Ab","Ab",L2481/6)</f>
        <v>0</v>
      </c>
      <c r="O2482" s="65"/>
      <c r="P2482" s="19"/>
      <c r="Q2482" s="19"/>
      <c r="R2482" s="11"/>
    </row>
    <row r="2483" s="1" customFormat="1" ht="21.95" customHeight="1" spans="1:19">
      <c r="A2483" s="7"/>
      <c r="B2483" s="12"/>
      <c r="C2483" s="33"/>
      <c r="D2483" s="29" t="s">
        <v>716</v>
      </c>
      <c r="E2483" s="18" t="str">
        <f>IFERROR(VLOOKUP(F2457,'1to4-2.1-RR'!$A$12:$BG$111,57,0),"")</f>
        <v/>
      </c>
      <c r="F2483" s="18"/>
      <c r="G2483" s="18"/>
      <c r="H2483" s="18"/>
      <c r="I2483" s="18"/>
      <c r="J2483" s="18"/>
      <c r="K2483" s="18"/>
      <c r="L2483" s="18"/>
      <c r="M2483" s="18"/>
      <c r="N2483" s="29"/>
      <c r="O2483" s="29"/>
      <c r="P2483" s="19"/>
      <c r="Q2483" s="19"/>
      <c r="R2483" s="11"/>
    </row>
    <row r="2484" s="1" customFormat="1" ht="9.95" customHeight="1" spans="1:19">
      <c r="A2484" s="7"/>
      <c r="B2484" s="12"/>
      <c r="C2484" s="33"/>
      <c r="D2484" s="29"/>
      <c r="E2484" s="29"/>
      <c r="F2484" s="29"/>
      <c r="G2484" s="29"/>
      <c r="H2484" s="29"/>
      <c r="I2484" s="29"/>
      <c r="J2484" s="29"/>
      <c r="K2484" s="29"/>
      <c r="L2484" s="29"/>
      <c r="M2484" s="29"/>
      <c r="N2484" s="29"/>
      <c r="O2484" s="29"/>
      <c r="P2484" s="19"/>
      <c r="Q2484" s="19"/>
      <c r="R2484" s="11"/>
    </row>
    <row r="2485" s="1" customFormat="1" ht="36" spans="1:19">
      <c r="A2485" s="7"/>
      <c r="B2485" s="12"/>
      <c r="C2485" s="33"/>
      <c r="D2485" s="66" t="s">
        <v>576</v>
      </c>
      <c r="E2485" s="67" t="s">
        <v>754</v>
      </c>
      <c r="F2485" s="47" t="str">
        <f>IF(F2457&gt;ENTRY!$D$24,"",IFERROR(VLOOKUP(F2457,PASHEET!$A$4:$CJ$103,88,0),""))</f>
        <v/>
      </c>
      <c r="G2485" s="67" t="s">
        <v>755</v>
      </c>
      <c r="H2485" s="47" t="str">
        <f>IF(F2457&gt;ENTRY!$D$24,"",IFERROR(VLOOKUP(F2457,PASHEET!$A$4:$CJ$103,87,0),""))</f>
        <v/>
      </c>
      <c r="I2485" s="68" t="s">
        <v>756</v>
      </c>
      <c r="J2485" s="69" t="str">
        <f>IF(F2457&gt;ENTRY!$D$24,"",IFERROR(IF(F2457&gt;0,H2485/F2485*100),""))</f>
        <v/>
      </c>
      <c r="K2485" s="60" t="s">
        <v>757</v>
      </c>
      <c r="L2485" s="70" t="str">
        <f ca="1">IF(F2457&gt;ENTRY!$D$24,"",IFERROR(L2481/600*100,""))</f>
        <v/>
      </c>
      <c r="M2485" s="47" t="str">
        <f ca="1">IF(F2457&gt;ENTRY!$D$24,"",IFERROR(L2481&amp;" / "&amp;"600",""))</f>
        <v/>
      </c>
      <c r="N2485" s="29"/>
      <c r="O2485" s="29"/>
      <c r="P2485" s="19"/>
      <c r="Q2485" s="19"/>
      <c r="R2485" s="11"/>
    </row>
    <row r="2486" s="1" customFormat="1" ht="9.95" customHeight="1" spans="1:19">
      <c r="A2486" s="7"/>
      <c r="B2486" s="12"/>
      <c r="C2486" s="39"/>
      <c r="D2486" s="40"/>
      <c r="E2486" s="40"/>
      <c r="F2486" s="40"/>
      <c r="G2486" s="40"/>
      <c r="H2486" s="40"/>
      <c r="I2486" s="40"/>
      <c r="J2486" s="40"/>
      <c r="K2486" s="40"/>
      <c r="L2486" s="40"/>
      <c r="M2486" s="40"/>
      <c r="N2486" s="40"/>
      <c r="O2486" s="40"/>
      <c r="P2486" s="41"/>
      <c r="Q2486" s="19"/>
      <c r="R2486" s="11"/>
    </row>
    <row r="2487" s="1" customFormat="1" ht="9.95" customHeight="1" spans="1:19">
      <c r="A2487" s="7"/>
      <c r="B2487" s="12"/>
      <c r="C2487" s="71"/>
      <c r="D2487" s="71"/>
      <c r="E2487" s="71"/>
      <c r="F2487" s="29"/>
      <c r="G2487" s="71"/>
      <c r="H2487" s="71"/>
      <c r="I2487" s="71"/>
      <c r="J2487" s="71"/>
      <c r="K2487" s="71"/>
      <c r="L2487" s="71"/>
      <c r="M2487" s="71"/>
      <c r="N2487" s="71"/>
      <c r="O2487" s="71"/>
      <c r="P2487" s="71"/>
      <c r="Q2487" s="19"/>
      <c r="R2487" s="11"/>
    </row>
    <row r="2488" s="1" customFormat="1" ht="9.95" customHeight="1" spans="1:19">
      <c r="A2488" s="7"/>
      <c r="B2488" s="12"/>
      <c r="C2488" s="29"/>
      <c r="D2488" s="29"/>
      <c r="E2488" s="29"/>
      <c r="F2488" s="72"/>
      <c r="G2488" s="29"/>
      <c r="H2488" s="29"/>
      <c r="I2488" s="29"/>
      <c r="J2488" s="29"/>
      <c r="K2488" s="29"/>
      <c r="L2488" s="29"/>
      <c r="M2488" s="29"/>
      <c r="N2488" s="29"/>
      <c r="O2488" s="29"/>
      <c r="P2488" s="29"/>
      <c r="Q2488" s="19"/>
      <c r="R2488" s="11"/>
    </row>
    <row r="2489" s="1" customFormat="1" ht="9.95" customHeight="1" spans="1:19">
      <c r="A2489" s="7"/>
      <c r="B2489" s="12"/>
      <c r="C2489" s="30"/>
      <c r="D2489" s="31"/>
      <c r="E2489" s="31"/>
      <c r="F2489" s="31"/>
      <c r="G2489" s="31"/>
      <c r="H2489" s="31"/>
      <c r="I2489" s="31"/>
      <c r="J2489" s="31"/>
      <c r="K2489" s="31"/>
      <c r="L2489" s="31"/>
      <c r="M2489" s="31"/>
      <c r="N2489" s="31"/>
      <c r="O2489" s="31"/>
      <c r="P2489" s="32"/>
      <c r="Q2489" s="19"/>
      <c r="R2489" s="11"/>
    </row>
    <row r="2490" s="1" customFormat="1" ht="21.95" customHeight="1" spans="1:19">
      <c r="A2490" s="7"/>
      <c r="B2490" s="12"/>
      <c r="C2490" s="73" t="s">
        <v>7</v>
      </c>
      <c r="D2490" s="13"/>
      <c r="E2490" s="13"/>
      <c r="F2490" s="13"/>
      <c r="G2490" s="13"/>
      <c r="H2490" s="13"/>
      <c r="I2490" s="13"/>
      <c r="J2490" s="13"/>
      <c r="K2490" s="13"/>
      <c r="L2490" s="13"/>
      <c r="M2490" s="13"/>
      <c r="N2490" s="13"/>
      <c r="O2490" s="13"/>
      <c r="P2490" s="74"/>
      <c r="Q2490" s="19"/>
      <c r="R2490" s="11"/>
      <c r="S2490" s="2"/>
    </row>
    <row r="2491" s="1" customFormat="1" ht="21.95" customHeight="1" spans="1:19">
      <c r="A2491" s="7"/>
      <c r="B2491" s="12"/>
      <c r="C2491" s="33"/>
      <c r="D2491" s="29"/>
      <c r="E2491" s="29"/>
      <c r="F2491" s="29"/>
      <c r="G2491" s="29"/>
      <c r="H2491" s="29"/>
      <c r="I2491" s="29"/>
      <c r="J2491" s="29"/>
      <c r="K2491" s="29"/>
      <c r="L2491" s="29"/>
      <c r="M2491" s="29"/>
      <c r="N2491" s="29"/>
      <c r="O2491" s="29"/>
      <c r="P2491" s="19"/>
      <c r="Q2491" s="19"/>
      <c r="R2491" s="11"/>
    </row>
    <row r="2492" s="1" customFormat="1" ht="21.95" customHeight="1" spans="1:19">
      <c r="A2492" s="7"/>
      <c r="B2492" s="12"/>
      <c r="C2492" s="75" t="str">
        <f>"SESSION-"&amp;ENTRY!$D$11</f>
        <v>SESSION-2026-27</v>
      </c>
      <c r="D2492" s="15"/>
      <c r="E2492" s="15"/>
      <c r="F2492" s="15"/>
      <c r="G2492" s="15"/>
      <c r="H2492" s="15"/>
      <c r="I2492" s="15"/>
      <c r="J2492" s="15"/>
      <c r="K2492" s="15"/>
      <c r="L2492" s="15"/>
      <c r="M2492" s="15"/>
      <c r="N2492" s="15"/>
      <c r="O2492" s="15"/>
      <c r="P2492" s="76"/>
      <c r="Q2492" s="19"/>
      <c r="R2492" s="11"/>
    </row>
    <row r="2493" s="1" customFormat="1" ht="18" customHeight="1" spans="1:19">
      <c r="A2493" s="7"/>
      <c r="B2493" s="12"/>
      <c r="C2493" s="33"/>
      <c r="D2493" s="29"/>
      <c r="E2493" s="29"/>
      <c r="F2493" s="29"/>
      <c r="G2493" s="29"/>
      <c r="H2493" s="29"/>
      <c r="I2493" s="29"/>
      <c r="J2493" s="29"/>
      <c r="K2493" s="29"/>
      <c r="L2493" s="29"/>
      <c r="M2493" s="29"/>
      <c r="N2493" s="29"/>
      <c r="O2493" s="29"/>
      <c r="P2493" s="19"/>
      <c r="Q2493" s="19"/>
      <c r="R2493" s="11"/>
    </row>
    <row r="2494" s="1" customFormat="1" ht="21.95" customHeight="1" spans="1:19">
      <c r="A2494" s="7"/>
      <c r="B2494" s="12"/>
      <c r="C2494" s="33"/>
      <c r="D2494" s="77" t="s">
        <v>758</v>
      </c>
      <c r="E2494" s="77"/>
      <c r="F2494" s="78" t="str">
        <f>IFERROR(PROPER(VLOOKUP(F2457,STUDENT!$A$2:$BP$101,5,0)),"")</f>
        <v/>
      </c>
      <c r="G2494" s="78"/>
      <c r="H2494" s="78"/>
      <c r="I2494" s="78"/>
      <c r="J2494" s="78"/>
      <c r="K2494" s="78"/>
      <c r="L2494" s="78"/>
      <c r="M2494" s="78"/>
      <c r="N2494" s="79" t="s">
        <v>759</v>
      </c>
      <c r="O2494" s="79"/>
      <c r="P2494" s="19"/>
      <c r="Q2494" s="19"/>
      <c r="R2494" s="11"/>
    </row>
    <row r="2495" s="1" customFormat="1" ht="21.95" customHeight="1" spans="1:19">
      <c r="A2495" s="7"/>
      <c r="B2495" s="12"/>
      <c r="C2495" s="33"/>
      <c r="D2495" s="80" t="s">
        <v>760</v>
      </c>
      <c r="E2495" s="81" t="str">
        <f>IFERROR(PROPER(VLOOKUP(F2457,STUDENT!$A$2:$BP$101,9,0)),"")</f>
        <v/>
      </c>
      <c r="F2495" s="81"/>
      <c r="G2495" s="81"/>
      <c r="H2495" s="80" t="s">
        <v>761</v>
      </c>
      <c r="I2495" s="82" t="str">
        <f>IFERROR(PROPER(VLOOKUP(F2457,STUDENT!$A$2:$BP$101,8,0)),"")</f>
        <v/>
      </c>
      <c r="J2495" s="82"/>
      <c r="K2495" s="82"/>
      <c r="L2495" s="82"/>
      <c r="M2495" s="80" t="s">
        <v>762</v>
      </c>
      <c r="N2495" s="83" t="str">
        <f>IFERROR(VLOOKUP(F2457,STUDENT!$A$2:$BP$101,59,0),"")</f>
        <v/>
      </c>
      <c r="O2495" s="83"/>
      <c r="P2495" s="19"/>
      <c r="Q2495" s="19"/>
      <c r="R2495" s="11"/>
    </row>
    <row r="2496" s="1" customFormat="1" ht="21.95" customHeight="1" spans="1:19">
      <c r="A2496" s="7"/>
      <c r="B2496" s="12"/>
      <c r="C2496" s="33"/>
      <c r="D2496" s="77" t="str">
        <f>"has    completed     his  /  her     primary     level     education    in    the    year    "&amp;RIGHT(ENTRY!$D2462,4)&amp;"    from    ( School    Name )"</f>
        <v>has    completed     his  /  her     primary     level     education    in    the    year        from    ( School    Name )</v>
      </c>
      <c r="E2496" s="77"/>
      <c r="F2496" s="77"/>
      <c r="G2496" s="77"/>
      <c r="H2496" s="77"/>
      <c r="I2496" s="77"/>
      <c r="J2496" s="77"/>
      <c r="K2496" s="77"/>
      <c r="L2496" s="77"/>
      <c r="M2496" s="77"/>
      <c r="N2496" s="77"/>
      <c r="O2496" s="77"/>
      <c r="P2496" s="19"/>
      <c r="Q2496" s="19"/>
      <c r="R2496" s="11"/>
    </row>
    <row r="2497" s="1" customFormat="1" ht="21.95" customHeight="1" spans="1:18">
      <c r="A2497" s="7"/>
      <c r="B2497" s="12"/>
      <c r="C2497" s="33"/>
      <c r="D2497" s="81" t="str">
        <f>IF(F2457&gt;0,ENTRY!$D$6,"")</f>
        <v>MCP NITHARI NO 1 BOYS</v>
      </c>
      <c r="E2497" s="81"/>
      <c r="F2497" s="81"/>
      <c r="G2497" s="81"/>
      <c r="H2497" s="81"/>
      <c r="I2497" s="81"/>
      <c r="J2497" s="81"/>
      <c r="K2497" s="81"/>
      <c r="L2497" s="81"/>
      <c r="M2497" s="80" t="s">
        <v>763</v>
      </c>
      <c r="N2497" s="84">
        <f>IF(F2457&gt;0,ENTRY!$D$7,"")</f>
        <v>0</v>
      </c>
      <c r="O2497" s="84"/>
      <c r="P2497" s="85" t="s">
        <v>727</v>
      </c>
      <c r="Q2497" s="19"/>
      <c r="R2497" s="11"/>
    </row>
    <row r="2498" s="1" customFormat="1" ht="21.95" customHeight="1" spans="1:18">
      <c r="A2498" s="7"/>
      <c r="B2498" s="12"/>
      <c r="C2498" s="33"/>
      <c r="D2498" s="29"/>
      <c r="E2498" s="29"/>
      <c r="F2498" s="29"/>
      <c r="G2498" s="29"/>
      <c r="H2498" s="29"/>
      <c r="I2498" s="29"/>
      <c r="J2498" s="29"/>
      <c r="K2498" s="29"/>
      <c r="L2498" s="29"/>
      <c r="M2498" s="29"/>
      <c r="N2498" s="29"/>
      <c r="O2498" s="29"/>
      <c r="P2498" s="19"/>
      <c r="Q2498" s="19"/>
      <c r="R2498" s="11"/>
    </row>
    <row r="2499" s="1" customFormat="1" ht="21.95" customHeight="1" spans="1:18">
      <c r="A2499" s="7"/>
      <c r="B2499" s="12"/>
      <c r="C2499" s="33"/>
      <c r="D2499" s="29"/>
      <c r="E2499" s="29"/>
      <c r="F2499" s="29"/>
      <c r="G2499" s="29"/>
      <c r="H2499" s="29"/>
      <c r="I2499" s="29"/>
      <c r="J2499" s="29"/>
      <c r="K2499" s="29"/>
      <c r="L2499" s="29"/>
      <c r="M2499" s="29"/>
      <c r="N2499" s="29"/>
      <c r="O2499" s="29"/>
      <c r="P2499" s="19"/>
      <c r="Q2499" s="19"/>
      <c r="R2499" s="11"/>
    </row>
    <row r="2500" s="1" customFormat="1" ht="21.95" customHeight="1" spans="1:18">
      <c r="A2500" s="7"/>
      <c r="B2500" s="12"/>
      <c r="C2500" s="33"/>
      <c r="D2500" s="29"/>
      <c r="E2500" s="29"/>
      <c r="F2500" s="29"/>
      <c r="G2500" s="29"/>
      <c r="H2500" s="29"/>
      <c r="I2500" s="29"/>
      <c r="J2500" s="29"/>
      <c r="K2500" s="29"/>
      <c r="L2500" s="29"/>
      <c r="M2500" s="29"/>
      <c r="N2500" s="29"/>
      <c r="O2500" s="29"/>
      <c r="P2500" s="19"/>
      <c r="Q2500" s="19"/>
      <c r="R2500" s="11"/>
    </row>
    <row r="2501" s="1" customFormat="1" ht="21.95" customHeight="1" spans="1:18">
      <c r="A2501" s="7"/>
      <c r="B2501" s="12"/>
      <c r="C2501" s="33"/>
      <c r="D2501" s="29"/>
      <c r="E2501" s="29"/>
      <c r="F2501" s="29"/>
      <c r="G2501" s="29"/>
      <c r="H2501" s="29"/>
      <c r="I2501" s="29"/>
      <c r="J2501" s="29"/>
      <c r="K2501" s="29"/>
      <c r="L2501" s="29"/>
      <c r="M2501" s="29"/>
      <c r="N2501" s="29"/>
      <c r="O2501" s="29"/>
      <c r="P2501" s="19"/>
      <c r="Q2501" s="19"/>
      <c r="R2501" s="11"/>
    </row>
    <row r="2502" s="1" customFormat="1" ht="21.95" customHeight="1" spans="1:18">
      <c r="A2502" s="7"/>
      <c r="B2502" s="12"/>
      <c r="C2502" s="33"/>
      <c r="D2502" s="29"/>
      <c r="E2502" s="29"/>
      <c r="F2502" s="29"/>
      <c r="G2502" s="29"/>
      <c r="H2502" s="29"/>
      <c r="I2502" s="29"/>
      <c r="J2502" s="29"/>
      <c r="K2502" s="29"/>
      <c r="L2502" s="29"/>
      <c r="M2502" s="29"/>
      <c r="N2502" s="29"/>
      <c r="O2502" s="29"/>
      <c r="P2502" s="19"/>
      <c r="Q2502" s="19"/>
      <c r="R2502" s="11"/>
    </row>
    <row r="2503" s="1" customFormat="1" ht="21.95" customHeight="1" spans="1:18">
      <c r="A2503" s="7"/>
      <c r="B2503" s="12"/>
      <c r="C2503" s="33"/>
      <c r="D2503" s="80" t="s">
        <v>728</v>
      </c>
      <c r="E2503" s="86">
        <f>ENTRY!$D$27</f>
        <v>46102</v>
      </c>
      <c r="F2503" s="86"/>
      <c r="G2503" s="29"/>
      <c r="H2503" s="29"/>
      <c r="I2503" s="29"/>
      <c r="J2503" s="29"/>
      <c r="K2503" s="29"/>
      <c r="L2503" s="29"/>
      <c r="M2503" s="87" t="s">
        <v>730</v>
      </c>
      <c r="N2503" s="87"/>
      <c r="O2503" s="87"/>
      <c r="P2503" s="19"/>
      <c r="Q2503" s="19"/>
      <c r="R2503" s="11"/>
    </row>
    <row r="2504" s="1" customFormat="1" ht="21.95" customHeight="1" spans="1:18">
      <c r="A2504" s="7"/>
      <c r="B2504" s="12"/>
      <c r="C2504" s="33"/>
      <c r="D2504" s="80" t="s">
        <v>731</v>
      </c>
      <c r="E2504" s="88" t="str">
        <f>PROPER(ENTRY!$D$28)</f>
        <v>New Delhi</v>
      </c>
      <c r="F2504" s="88"/>
      <c r="G2504" s="29"/>
      <c r="H2504" s="29"/>
      <c r="I2504" s="29"/>
      <c r="J2504" s="29"/>
      <c r="K2504" s="29"/>
      <c r="L2504" s="29"/>
      <c r="M2504" s="89" t="s">
        <v>732</v>
      </c>
      <c r="N2504" s="89"/>
      <c r="O2504" s="89"/>
      <c r="P2504" s="19"/>
      <c r="Q2504" s="19"/>
      <c r="R2504" s="11"/>
    </row>
    <row r="2505" s="1" customFormat="1" ht="21.95" customHeight="1" spans="1:18">
      <c r="A2505" s="7"/>
      <c r="B2505" s="12"/>
      <c r="C2505" s="90"/>
      <c r="D2505" s="91"/>
      <c r="E2505" s="91"/>
      <c r="F2505" s="91"/>
      <c r="G2505" s="91"/>
      <c r="H2505" s="91"/>
      <c r="I2505" s="91"/>
      <c r="J2505" s="91"/>
      <c r="K2505" s="91"/>
      <c r="L2505" s="91"/>
      <c r="M2505" s="91"/>
      <c r="N2505" s="91"/>
      <c r="O2505" s="91"/>
      <c r="P2505" s="92"/>
      <c r="Q2505" s="14"/>
      <c r="R2505" s="11"/>
    </row>
    <row r="2506" s="1" customFormat="1" ht="5.1" customHeight="1" spans="1:18">
      <c r="A2506" s="7"/>
      <c r="B2506" s="90"/>
      <c r="C2506" s="91"/>
      <c r="D2506" s="91"/>
      <c r="E2506" s="91"/>
      <c r="F2506" s="91"/>
      <c r="G2506" s="91"/>
      <c r="H2506" s="91"/>
      <c r="I2506" s="91"/>
      <c r="J2506" s="91"/>
      <c r="K2506" s="91"/>
      <c r="L2506" s="91"/>
      <c r="M2506" s="91"/>
      <c r="N2506" s="91"/>
      <c r="O2506" s="91"/>
      <c r="P2506" s="91"/>
      <c r="Q2506" s="92"/>
      <c r="R2506" s="11"/>
    </row>
    <row r="2507" s="1" customFormat="1" ht="5.1" customHeight="1" spans="1:18">
      <c r="A2507" s="93"/>
      <c r="B2507" s="94"/>
      <c r="C2507" s="94"/>
      <c r="D2507" s="94"/>
      <c r="E2507" s="94"/>
      <c r="F2507" s="94"/>
      <c r="G2507" s="94"/>
      <c r="H2507" s="94"/>
      <c r="I2507" s="94"/>
      <c r="J2507" s="94"/>
      <c r="K2507" s="94"/>
      <c r="L2507" s="94"/>
      <c r="M2507" s="94"/>
      <c r="N2507" s="94"/>
      <c r="O2507" s="94"/>
      <c r="P2507" s="94"/>
      <c r="Q2507" s="94"/>
      <c r="R2507" s="95"/>
    </row>
    <row r="2508" s="2" customFormat="1" ht="9.95" customHeight="1"/>
    <row r="2509" s="1" customFormat="1" ht="5.1" customHeight="1" spans="1:18">
      <c r="A2509" s="4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  <c r="R2509" s="6"/>
    </row>
    <row r="2510" s="1" customFormat="1" ht="15" customHeight="1" spans="1:18">
      <c r="A2510" s="7"/>
      <c r="B2510" s="8"/>
      <c r="C2510" s="9"/>
      <c r="D2510" s="9"/>
      <c r="E2510" s="9"/>
      <c r="F2510" s="9"/>
      <c r="G2510" s="9"/>
      <c r="H2510" s="9"/>
      <c r="I2510" s="9"/>
      <c r="J2510" s="9"/>
      <c r="K2510" s="9"/>
      <c r="L2510" s="9"/>
      <c r="M2510" s="9"/>
      <c r="N2510" s="9"/>
      <c r="O2510" s="9"/>
      <c r="P2510" s="9"/>
      <c r="Q2510" s="10"/>
      <c r="R2510" s="11"/>
    </row>
    <row r="2511" s="1" customFormat="1" ht="21.95" customHeight="1" spans="1:18">
      <c r="A2511" s="7"/>
      <c r="B2511" s="12"/>
      <c r="C2511" s="13" t="s">
        <v>7</v>
      </c>
      <c r="D2511" s="13"/>
      <c r="E2511" s="13"/>
      <c r="F2511" s="13"/>
      <c r="G2511" s="13"/>
      <c r="H2511" s="13"/>
      <c r="I2511" s="13"/>
      <c r="J2511" s="13"/>
      <c r="K2511" s="13"/>
      <c r="L2511" s="13"/>
      <c r="M2511" s="13"/>
      <c r="N2511" s="13"/>
      <c r="O2511" s="13"/>
      <c r="P2511" s="13"/>
      <c r="Q2511" s="14"/>
      <c r="R2511" s="11"/>
    </row>
    <row r="2512" s="1" customFormat="1" ht="21.95" customHeight="1" spans="1:18">
      <c r="A2512" s="7"/>
      <c r="B2512" s="1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14"/>
      <c r="R2512" s="11"/>
    </row>
    <row r="2513" s="1" customFormat="1" ht="21.95" customHeight="1" spans="1:18">
      <c r="A2513" s="7"/>
      <c r="B2513" s="12"/>
      <c r="C2513" s="15" t="str">
        <f>"SESSION-"&amp;ENTRY!$D$11</f>
        <v>SESSION-2026-27</v>
      </c>
      <c r="D2513" s="15"/>
      <c r="E2513" s="15"/>
      <c r="F2513" s="15"/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4"/>
      <c r="R2513" s="11"/>
    </row>
    <row r="2514" s="1" customFormat="1" ht="21.95" customHeight="1" spans="1:18">
      <c r="A2514" s="7"/>
      <c r="B2514" s="12"/>
      <c r="C2514" s="2"/>
      <c r="D2514" s="2"/>
      <c r="E2514" s="2"/>
      <c r="F2514" s="16">
        <f>F2457+1</f>
        <v>45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14"/>
      <c r="R2514" s="11"/>
    </row>
    <row r="2515" s="1" customFormat="1" ht="21.95" customHeight="1" spans="1:18">
      <c r="A2515" s="7"/>
      <c r="B2515" s="12"/>
      <c r="C2515" s="17" t="s">
        <v>392</v>
      </c>
      <c r="D2515" s="17"/>
      <c r="E2515" s="17"/>
      <c r="F2515" s="18" t="str">
        <f>IF(F2514&gt;0,ENTRY!$D$6,"")</f>
        <v>MCP NITHARI NO 1 BOYS</v>
      </c>
      <c r="G2515" s="18"/>
      <c r="H2515" s="18"/>
      <c r="I2515" s="18"/>
      <c r="J2515" s="18"/>
      <c r="K2515" s="18"/>
      <c r="L2515" s="18"/>
      <c r="M2515" s="18"/>
      <c r="N2515" s="18"/>
      <c r="O2515" s="18"/>
      <c r="P2515" s="18"/>
      <c r="Q2515" s="19"/>
      <c r="R2515" s="11"/>
    </row>
    <row r="2516" s="1" customFormat="1" ht="21.95" customHeight="1" spans="1:18">
      <c r="A2516" s="7"/>
      <c r="B2516" s="12"/>
      <c r="C2516" s="17" t="s">
        <v>393</v>
      </c>
      <c r="D2516" s="17"/>
      <c r="E2516" s="17"/>
      <c r="F2516" s="18">
        <f>IF(F2514&gt;0,ENTRY!$D$7,"")</f>
        <v>0</v>
      </c>
      <c r="G2516" s="18"/>
      <c r="H2516" s="20" t="s">
        <v>702</v>
      </c>
      <c r="I2516" s="20"/>
      <c r="J2516" s="21">
        <f>IF(F2514&gt;0,ENTRY!$D$10,"")</f>
        <v>40</v>
      </c>
      <c r="K2516" s="20" t="s">
        <v>703</v>
      </c>
      <c r="L2516" s="22" t="str">
        <f>IF(F2514&gt;0,ENTRY!$D$5,"")</f>
        <v>ROHINI ZONE</v>
      </c>
      <c r="M2516" s="22"/>
      <c r="N2516" s="22"/>
      <c r="O2516" s="22"/>
      <c r="P2516" s="22"/>
      <c r="Q2516" s="19"/>
      <c r="R2516" s="11"/>
    </row>
    <row r="2517" s="1" customFormat="1" ht="21.95" customHeight="1" spans="1:18">
      <c r="A2517" s="7"/>
      <c r="B2517" s="12"/>
      <c r="C2517" s="17" t="s">
        <v>706</v>
      </c>
      <c r="D2517" s="17"/>
      <c r="E2517" s="17"/>
      <c r="F2517" s="23">
        <f>IFERROR(VLOOKUP(F2514,STUDENT!$A$2:$BP$101,5,0),"")</f>
        <v>0</v>
      </c>
      <c r="G2517" s="23"/>
      <c r="H2517" s="23"/>
      <c r="I2517" s="23"/>
      <c r="J2517" s="23"/>
      <c r="K2517" s="23"/>
      <c r="L2517" s="20" t="s">
        <v>707</v>
      </c>
      <c r="M2517" s="20"/>
      <c r="N2517" s="24" t="str">
        <f>IF(F2514&gt;0,ENTRY!$D$20&amp;"-"&amp;ENTRY!$D$21,"")</f>
        <v>III-A</v>
      </c>
      <c r="O2517" s="24"/>
      <c r="P2517" s="24"/>
      <c r="Q2517" s="19"/>
      <c r="R2517" s="11"/>
    </row>
    <row r="2518" s="1" customFormat="1" ht="21.95" customHeight="1" spans="1:18">
      <c r="A2518" s="7"/>
      <c r="B2518" s="12"/>
      <c r="C2518" s="17" t="s">
        <v>708</v>
      </c>
      <c r="D2518" s="17"/>
      <c r="E2518" s="17"/>
      <c r="F2518" s="25">
        <f>IFERROR(VLOOKUP(F2514,STUDENT!$A$2:$BP$101,6,0),"")</f>
        <v>0</v>
      </c>
      <c r="G2518" s="25"/>
      <c r="H2518" s="26" t="s">
        <v>709</v>
      </c>
      <c r="I2518" s="27" t="str">
        <f>IFERROR(VLOOKUP(F2514,STUDENT!$A$2:$BP$101,59,0),"")</f>
        <v/>
      </c>
      <c r="J2518" s="27"/>
      <c r="K2518" s="20" t="s">
        <v>710</v>
      </c>
      <c r="L2518" s="20"/>
      <c r="M2518" s="28">
        <f>IFERROR(VLOOKUP(F2514,STUDENT!$A$2:$BP$101,20,0),"")</f>
        <v>0</v>
      </c>
      <c r="N2518" s="28"/>
      <c r="O2518" s="28"/>
      <c r="P2518" s="28"/>
      <c r="Q2518" s="19"/>
      <c r="R2518" s="11"/>
    </row>
    <row r="2519" s="1" customFormat="1" ht="21.95" customHeight="1" spans="1:18">
      <c r="A2519" s="7"/>
      <c r="B2519" s="12"/>
      <c r="C2519" s="17" t="s">
        <v>711</v>
      </c>
      <c r="D2519" s="17"/>
      <c r="E2519" s="17"/>
      <c r="F2519" s="23">
        <f>IFERROR(VLOOKUP(F2514,STUDENT!$A$2:$BP$101,9,0),"")</f>
        <v>0</v>
      </c>
      <c r="G2519" s="23"/>
      <c r="H2519" s="23"/>
      <c r="I2519" s="23"/>
      <c r="J2519" s="17" t="s">
        <v>620</v>
      </c>
      <c r="K2519" s="17"/>
      <c r="L2519" s="23">
        <f>IFERROR(VLOOKUP(F2514,STUDENT!$A$2:$BP$101,8,0),"")</f>
        <v>0</v>
      </c>
      <c r="M2519" s="23"/>
      <c r="N2519" s="23"/>
      <c r="O2519" s="23"/>
      <c r="P2519" s="23"/>
      <c r="Q2519" s="19"/>
      <c r="R2519" s="11"/>
    </row>
    <row r="2520" s="1" customFormat="1" ht="21.95" customHeight="1" spans="1:18">
      <c r="A2520" s="7"/>
      <c r="B2520" s="12"/>
      <c r="C2520" s="17" t="s">
        <v>712</v>
      </c>
      <c r="D2520" s="17"/>
      <c r="E2520" s="17"/>
      <c r="F2520" s="23">
        <f>IFERROR(VLOOKUP(F2514,STUDENT!$A$2:$BP$101,22,0),"")</f>
        <v>0</v>
      </c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19"/>
      <c r="R2520" s="11"/>
    </row>
    <row r="2521" s="1" customFormat="1" ht="9.95" customHeight="1" spans="1:18">
      <c r="A2521" s="7"/>
      <c r="B2521" s="12"/>
      <c r="C2521" s="29"/>
      <c r="D2521" s="29"/>
      <c r="E2521" s="29"/>
      <c r="F2521" s="29"/>
      <c r="G2521" s="29"/>
      <c r="H2521" s="29"/>
      <c r="I2521" s="29"/>
      <c r="J2521" s="29"/>
      <c r="K2521" s="29"/>
      <c r="L2521" s="29"/>
      <c r="M2521" s="29"/>
      <c r="N2521" s="29"/>
      <c r="O2521" s="29"/>
      <c r="P2521" s="29"/>
      <c r="Q2521" s="19"/>
      <c r="R2521" s="11"/>
    </row>
    <row r="2522" s="1" customFormat="1" ht="9.95" customHeight="1" spans="1:18">
      <c r="A2522" s="7"/>
      <c r="B2522" s="12"/>
      <c r="C2522" s="30"/>
      <c r="D2522" s="31"/>
      <c r="E2522" s="31"/>
      <c r="F2522" s="31"/>
      <c r="G2522" s="31"/>
      <c r="H2522" s="31"/>
      <c r="I2522" s="31"/>
      <c r="J2522" s="31"/>
      <c r="K2522" s="31"/>
      <c r="L2522" s="31"/>
      <c r="M2522" s="31"/>
      <c r="N2522" s="31"/>
      <c r="O2522" s="31"/>
      <c r="P2522" s="32"/>
      <c r="Q2522" s="19"/>
      <c r="R2522" s="11"/>
    </row>
    <row r="2523" s="1" customFormat="1" ht="21.95" customHeight="1" spans="1:18">
      <c r="A2523" s="7"/>
      <c r="B2523" s="12"/>
      <c r="C2523" s="33"/>
      <c r="D2523" s="34" t="s">
        <v>713</v>
      </c>
      <c r="E2523" s="20" t="s">
        <v>714</v>
      </c>
      <c r="F2523" s="35" t="str">
        <f>"Level - "&amp;IFERROR(VLOOKUP(F2514,FLN!$A$4:$K$103,9,0),"")</f>
        <v>Level - </v>
      </c>
      <c r="G2523" s="36"/>
      <c r="H2523" s="37" t="s">
        <v>715</v>
      </c>
      <c r="I2523" s="20"/>
      <c r="J2523" s="35" t="str">
        <f>"Level - "&amp;IFERROR(VLOOKUP(F2514,FLN!$A$4:$K$103,11,0),"")</f>
        <v>Level - </v>
      </c>
      <c r="K2523" s="36"/>
      <c r="L2523" s="37" t="s">
        <v>408</v>
      </c>
      <c r="M2523" s="20"/>
      <c r="N2523" s="35" t="str">
        <f>"Level - "&amp;IFERROR(VLOOKUP(F2514,FLN!$A$4:$K$103,10,0),"")</f>
        <v>Level - </v>
      </c>
      <c r="O2523" s="36"/>
      <c r="P2523" s="19"/>
      <c r="Q2523" s="19"/>
      <c r="R2523" s="11"/>
    </row>
    <row r="2524" s="1" customFormat="1" ht="21.95" customHeight="1" spans="1:18">
      <c r="A2524" s="7"/>
      <c r="B2524" s="12"/>
      <c r="C2524" s="33"/>
      <c r="D2524" s="38"/>
      <c r="E2524" s="20" t="s">
        <v>716</v>
      </c>
      <c r="F2524" s="18" t="str">
        <f ca="1">IF(L2538&gt;197,"PERFORMED WELL","")</f>
        <v/>
      </c>
      <c r="G2524" s="18"/>
      <c r="H2524" s="18"/>
      <c r="I2524" s="18"/>
      <c r="J2524" s="18"/>
      <c r="K2524" s="18"/>
      <c r="L2524" s="18"/>
      <c r="M2524" s="18"/>
      <c r="N2524" s="18"/>
      <c r="O2524" s="18"/>
      <c r="P2524" s="19"/>
      <c r="Q2524" s="19"/>
      <c r="R2524" s="11"/>
    </row>
    <row r="2525" s="1" customFormat="1" ht="9.95" customHeight="1" spans="1:18">
      <c r="A2525" s="7"/>
      <c r="B2525" s="12"/>
      <c r="C2525" s="39"/>
      <c r="D2525" s="40"/>
      <c r="E2525" s="40"/>
      <c r="F2525" s="40"/>
      <c r="G2525" s="40"/>
      <c r="H2525" s="40"/>
      <c r="I2525" s="40"/>
      <c r="J2525" s="40"/>
      <c r="K2525" s="40"/>
      <c r="L2525" s="40"/>
      <c r="M2525" s="40"/>
      <c r="N2525" s="40"/>
      <c r="O2525" s="40"/>
      <c r="P2525" s="41"/>
      <c r="Q2525" s="19"/>
      <c r="R2525" s="11"/>
    </row>
    <row r="2526" s="1" customFormat="1" ht="9.95" customHeight="1" spans="1:18">
      <c r="A2526" s="7"/>
      <c r="B2526" s="12"/>
      <c r="C2526" s="29"/>
      <c r="D2526" s="29"/>
      <c r="E2526" s="29"/>
      <c r="F2526" s="29"/>
      <c r="G2526" s="29"/>
      <c r="H2526" s="29"/>
      <c r="I2526" s="29"/>
      <c r="J2526" s="29"/>
      <c r="K2526" s="29"/>
      <c r="L2526" s="29"/>
      <c r="M2526" s="29"/>
      <c r="N2526" s="29"/>
      <c r="O2526" s="29"/>
      <c r="P2526" s="29"/>
      <c r="Q2526" s="19"/>
      <c r="R2526" s="11"/>
    </row>
    <row r="2527" s="1" customFormat="1" ht="9.95" customHeight="1" spans="1:18">
      <c r="A2527" s="7"/>
      <c r="B2527" s="12"/>
      <c r="C2527" s="30"/>
      <c r="D2527" s="31"/>
      <c r="E2527" s="31"/>
      <c r="F2527" s="31"/>
      <c r="G2527" s="31"/>
      <c r="H2527" s="31"/>
      <c r="I2527" s="31"/>
      <c r="J2527" s="31"/>
      <c r="K2527" s="31"/>
      <c r="L2527" s="31"/>
      <c r="M2527" s="31"/>
      <c r="N2527" s="31"/>
      <c r="O2527" s="31"/>
      <c r="P2527" s="32"/>
      <c r="Q2527" s="19"/>
      <c r="R2527" s="11"/>
    </row>
    <row r="2528" s="1" customFormat="1" ht="21.95" customHeight="1" spans="1:18">
      <c r="A2528" s="7"/>
      <c r="B2528" s="12"/>
      <c r="C2528" s="33"/>
      <c r="D2528" s="35"/>
      <c r="E2528" s="24"/>
      <c r="F2528" s="42" t="s">
        <v>717</v>
      </c>
      <c r="G2528" s="42"/>
      <c r="H2528" s="42"/>
      <c r="I2528" s="42"/>
      <c r="J2528" s="42"/>
      <c r="K2528" s="42"/>
      <c r="L2528" s="43"/>
      <c r="M2528" s="44"/>
      <c r="N2528" s="29"/>
      <c r="O2528" s="29"/>
      <c r="P2528" s="19"/>
      <c r="Q2528" s="19"/>
      <c r="R2528" s="11"/>
    </row>
    <row r="2529" s="1" customFormat="1" ht="21.95" customHeight="1" spans="1:18">
      <c r="A2529" s="7"/>
      <c r="B2529" s="12"/>
      <c r="C2529" s="33"/>
      <c r="D2529" s="45"/>
      <c r="E2529" s="46"/>
      <c r="F2529" s="47" t="s">
        <v>541</v>
      </c>
      <c r="G2529" s="47" t="s">
        <v>542</v>
      </c>
      <c r="H2529" s="47" t="s">
        <v>543</v>
      </c>
      <c r="I2529" s="47" t="s">
        <v>544</v>
      </c>
      <c r="J2529" s="47" t="s">
        <v>561</v>
      </c>
      <c r="K2529" s="48" t="s">
        <v>750</v>
      </c>
      <c r="L2529" s="47" t="s">
        <v>382</v>
      </c>
      <c r="M2529" s="49" t="s">
        <v>546</v>
      </c>
      <c r="N2529" s="29"/>
      <c r="O2529" s="29"/>
      <c r="P2529" s="19"/>
      <c r="Q2529" s="19"/>
      <c r="R2529" s="11"/>
    </row>
    <row r="2530" s="1" customFormat="1" ht="21.95" customHeight="1" spans="1:18">
      <c r="A2530" s="7"/>
      <c r="B2530" s="12"/>
      <c r="C2530" s="33"/>
      <c r="D2530" s="45" t="s">
        <v>652</v>
      </c>
      <c r="E2530" s="46"/>
      <c r="F2530" s="50">
        <v>10</v>
      </c>
      <c r="G2530" s="50">
        <v>10</v>
      </c>
      <c r="H2530" s="50">
        <v>10</v>
      </c>
      <c r="I2530" s="50">
        <v>10</v>
      </c>
      <c r="J2530" s="50">
        <v>60</v>
      </c>
      <c r="K2530" s="51"/>
      <c r="L2530" s="50">
        <v>100</v>
      </c>
      <c r="M2530" s="49"/>
      <c r="N2530" s="29"/>
      <c r="O2530" s="29"/>
      <c r="P2530" s="19"/>
      <c r="Q2530" s="19"/>
      <c r="R2530" s="11"/>
    </row>
    <row r="2531" s="1" customFormat="1" ht="21.95" customHeight="1" spans="1:18">
      <c r="A2531" s="7"/>
      <c r="B2531" s="12"/>
      <c r="C2531" s="33"/>
      <c r="D2531" s="52" t="s">
        <v>751</v>
      </c>
      <c r="E2531" s="53"/>
      <c r="F2531" s="54" t="str">
        <f ca="1">IFERROR(VLOOKUP(F2514,'RR-3.1-5TH'!$A$12:'RR-3.1-5TH'!$BN$111,9,0),"")</f>
        <v/>
      </c>
      <c r="G2531" s="54" t="str">
        <f ca="1">IFERROR(VLOOKUP(F2514,'RR-3.1-5TH'!$A$12:'RR-3.1-5TH'!$BN$111,10,0),"")</f>
        <v/>
      </c>
      <c r="H2531" s="54" t="str">
        <f ca="1">IFERROR(VLOOKUP(F2514,'RR-3.1-5TH'!$A$12:'RR-3.1-5TH'!$BN$111,11,0),"")</f>
        <v/>
      </c>
      <c r="I2531" s="54" t="str">
        <f ca="1">IFERROR(VLOOKUP(F2514,'RR-3.1-5TH'!$A$12:'RR-3.1-5TH'!$BN$111,12,0),"")</f>
        <v/>
      </c>
      <c r="J2531" s="54" t="str">
        <f ca="1">IFERROR(VLOOKUP(F2514,'RR-3.1-5TH'!$A$12:'RR-3.1-5TH'!$BN$111,13,0),"")</f>
        <v/>
      </c>
      <c r="K2531" s="54" t="str">
        <f ca="1">IFERROR(VLOOKUP(F2514,'RR-3.1-5TH'!$A$12:'RR-3.1-5TH'!$BN$111,14,0),"")</f>
        <v/>
      </c>
      <c r="L2531" s="55">
        <f ca="1" t="shared" ref="L2531:L2536" si="132">SUM(F2531,G2531,H2531,I2531,J2531,K2531)</f>
        <v>0</v>
      </c>
      <c r="M2531" s="56" t="str">
        <f ca="1">IF(F2514&gt;ENTRY!$D$24,"",IF(L2531=0,"Ab",IF(L2531&gt;80,"A",IF(L2531&gt;60,"B",IF(L2531&gt;44,"C",IF(L2531&gt;=33,"D",IF(L2531&lt;=32,"E","")))))))</f>
        <v/>
      </c>
      <c r="N2531" s="57" t="s">
        <v>729</v>
      </c>
      <c r="O2531" s="58"/>
      <c r="P2531" s="59"/>
      <c r="Q2531" s="19"/>
      <c r="R2531" s="11"/>
    </row>
    <row r="2532" s="1" customFormat="1" ht="21.95" customHeight="1" spans="1:18">
      <c r="A2532" s="7"/>
      <c r="B2532" s="12"/>
      <c r="C2532" s="33"/>
      <c r="D2532" s="52" t="s">
        <v>513</v>
      </c>
      <c r="E2532" s="53"/>
      <c r="F2532" s="54" t="str">
        <f ca="1">IFERROR(VLOOKUP(F2514,'RR-3.1-5TH'!$A$12:'RR-3.1-5TH'!$BN$111,17,0),"")</f>
        <v/>
      </c>
      <c r="G2532" s="54" t="str">
        <f ca="1">IFERROR(VLOOKUP(F2514,'RR-3.1-5TH'!$A$12:'RR-3.1-5TH'!$BN$111,18,0),"")</f>
        <v/>
      </c>
      <c r="H2532" s="54" t="str">
        <f ca="1">IFERROR(VLOOKUP(F2514,'RR-3.1-5TH'!$A$12:'RR-3.1-5TH'!$BN$111,19,0),"")</f>
        <v/>
      </c>
      <c r="I2532" s="54" t="str">
        <f ca="1">IFERROR(VLOOKUP(F2514,'RR-3.1-5TH'!$A$12:'RR-3.1-5TH'!$BN$111,20,0),"")</f>
        <v/>
      </c>
      <c r="J2532" s="54" t="str">
        <f ca="1">IFERROR(VLOOKUP(F2514,'RR-3.1-5TH'!$A$12:'RR-3.1-5TH'!$BN$111,21,0),"")</f>
        <v/>
      </c>
      <c r="K2532" s="54" t="str">
        <f ca="1">IFERROR(VLOOKUP(F2514,'RR-3.1-5TH'!$A$12:'RR-3.1-5TH'!$BN$111,22,0),"")</f>
        <v/>
      </c>
      <c r="L2532" s="55">
        <f ca="1" t="shared" si="132"/>
        <v>0</v>
      </c>
      <c r="M2532" s="56" t="str">
        <f ca="1">IF(F2514&gt;ENTRY!$D$24,"",IF(L2532=0,"Ab",IF(L2532&gt;80,"A",IF(L2532&gt;60,"B",IF(L2532&gt;44,"C",IF(L2532&gt;=33,"D",IF(L2532&lt;=32,"E","")))))))</f>
        <v/>
      </c>
      <c r="N2532" s="58"/>
      <c r="O2532" s="58"/>
      <c r="P2532" s="59"/>
      <c r="Q2532" s="19"/>
      <c r="R2532" s="11"/>
    </row>
    <row r="2533" s="1" customFormat="1" ht="21.95" customHeight="1" spans="1:18">
      <c r="A2533" s="7"/>
      <c r="B2533" s="12"/>
      <c r="C2533" s="33"/>
      <c r="D2533" s="52" t="s">
        <v>718</v>
      </c>
      <c r="E2533" s="53"/>
      <c r="F2533" s="54" t="str">
        <f ca="1">IFERROR(VLOOKUP(F2514,'RR-3.1-5TH'!$A$12:'RR-3.1-5TH'!$BN$111,25,0),"")</f>
        <v/>
      </c>
      <c r="G2533" s="54" t="str">
        <f ca="1">IFERROR(VLOOKUP(F2514,'RR-3.1-5TH'!$A$12:'RR-3.1-5TH'!$BN$111,26,0),"")</f>
        <v/>
      </c>
      <c r="H2533" s="54" t="str">
        <f ca="1">IFERROR(VLOOKUP(F2514,'RR-3.1-5TH'!$A$12:'RR-3.1-5TH'!$BN$111,27,0),"")</f>
        <v/>
      </c>
      <c r="I2533" s="54" t="str">
        <f ca="1">IFERROR(VLOOKUP(F2514,'RR-3.1-5TH'!$A$12:'RR-3.1-5TH'!$BN$111,28,0),"")</f>
        <v/>
      </c>
      <c r="J2533" s="54" t="str">
        <f ca="1">IFERROR(VLOOKUP(F2514,'RR-3.1-5TH'!$A$12:'RR-3.1-5TH'!$BN$111,29,0),"")</f>
        <v/>
      </c>
      <c r="K2533" s="54" t="str">
        <f ca="1">IFERROR(VLOOKUP(F2514,'RR-3.1-5TH'!$A$12:'RR-3.1-5TH'!$BN$111,30,0),"")</f>
        <v/>
      </c>
      <c r="L2533" s="55">
        <f ca="1" t="shared" si="132"/>
        <v>0</v>
      </c>
      <c r="M2533" s="56" t="str">
        <f ca="1">IF(F2514&gt;ENTRY!$D$24,"",IF(L2533=0,"Ab",IF(L2533&gt;80,"A",IF(L2533&gt;60,"B",IF(L2533&gt;44,"C",IF(L2533&gt;=33,"D",IF(L2533&lt;=32,"E","")))))))</f>
        <v/>
      </c>
      <c r="N2533" s="29"/>
      <c r="O2533" s="29"/>
      <c r="P2533" s="19"/>
      <c r="Q2533" s="19"/>
      <c r="R2533" s="11"/>
    </row>
    <row r="2534" s="1" customFormat="1" ht="21.95" customHeight="1" spans="1:18">
      <c r="A2534" s="7"/>
      <c r="B2534" s="12"/>
      <c r="C2534" s="33"/>
      <c r="D2534" s="52" t="s">
        <v>719</v>
      </c>
      <c r="E2534" s="53"/>
      <c r="F2534" s="54" t="str">
        <f ca="1">IFERROR(VLOOKUP(F2514,'RR-3.1-5TH'!$A$12:'RR-3.1-5TH'!$BN$111,33,0),"")</f>
        <v/>
      </c>
      <c r="G2534" s="54" t="str">
        <f ca="1">IFERROR(VLOOKUP(F2514,'RR-3.1-5TH'!$A$12:'RR-3.1-5TH'!$BN$111,34,0),"")</f>
        <v/>
      </c>
      <c r="H2534" s="54" t="str">
        <f ca="1">IFERROR(VLOOKUP(F2514,'RR-3.1-5TH'!$A$12:'RR-3.1-5TH'!$BN$111,35,0),"")</f>
        <v/>
      </c>
      <c r="I2534" s="54" t="str">
        <f ca="1">IFERROR(VLOOKUP(F2514,'RR-3.1-5TH'!$A$12:'RR-3.1-5TH'!$BN$111,36,0),"")</f>
        <v/>
      </c>
      <c r="J2534" s="54" t="str">
        <f ca="1">IFERROR(VLOOKUP(F2514,'RR-3.1-5TH'!$A$12:'RR-3.1-5TH'!$BN$111,37,0),"")</f>
        <v/>
      </c>
      <c r="K2534" s="54" t="str">
        <f ca="1">IFERROR(VLOOKUP(F2514,'RR-3.1-5TH'!$A$12:'RR-3.1-5TH'!$BN$111,38,0),"")</f>
        <v/>
      </c>
      <c r="L2534" s="55">
        <f ca="1" t="shared" si="132"/>
        <v>0</v>
      </c>
      <c r="M2534" s="56" t="str">
        <f ca="1">IF(F2514&gt;ENTRY!$D$24,"",IF(L2534=0,"Ab",IF(L2534&gt;80,"A",IF(L2534&gt;60,"B",IF(L2534&gt;44,"C",IF(L2534&gt;=33,"D",IF(L2534&lt;=32,"E","")))))))</f>
        <v/>
      </c>
      <c r="N2534" s="29"/>
      <c r="O2534" s="29"/>
      <c r="P2534" s="19"/>
      <c r="Q2534" s="19"/>
      <c r="R2534" s="11"/>
    </row>
    <row r="2535" s="1" customFormat="1" ht="21.95" customHeight="1" spans="1:18">
      <c r="A2535" s="7"/>
      <c r="B2535" s="12"/>
      <c r="C2535" s="33"/>
      <c r="D2535" s="52" t="s">
        <v>548</v>
      </c>
      <c r="E2535" s="53"/>
      <c r="F2535" s="54" t="str">
        <f ca="1">IFERROR(VLOOKUP(F2514,'RR-3.1-5TH'!$A$12:'RR-3.1-5TH'!$BN$111,41,0),"")</f>
        <v/>
      </c>
      <c r="G2535" s="54" t="str">
        <f ca="1">IFERROR(VLOOKUP(F2514,'RR-3.1-5TH'!$A$12:'RR-3.1-5TH'!$BN$111,42,0),"")</f>
        <v/>
      </c>
      <c r="H2535" s="54" t="str">
        <f ca="1">IFERROR(VLOOKUP(F2514,'RR-3.1-5TH'!$A$12:'RR-3.1-5TH'!$BN$111,43,0),"")</f>
        <v/>
      </c>
      <c r="I2535" s="54" t="str">
        <f ca="1">IFERROR(VLOOKUP(F2514,'RR-3.1-5TH'!$A$12:'RR-3.1-5TH'!$BN$111,44,0),"")</f>
        <v/>
      </c>
      <c r="J2535" s="54" t="str">
        <f ca="1">IFERROR(VLOOKUP(F2514,'RR-3.1-5TH'!$A$12:'RR-3.1-5TH'!$BN$111,45,0),"")</f>
        <v/>
      </c>
      <c r="K2535" s="54" t="str">
        <f ca="1">IFERROR(VLOOKUP(F2514,'RR-3.1-5TH'!$A$12:'RR-3.1-5TH'!$BN$111,46,0),"")</f>
        <v/>
      </c>
      <c r="L2535" s="55">
        <f ca="1" t="shared" si="132"/>
        <v>0</v>
      </c>
      <c r="M2535" s="56" t="str">
        <f ca="1">IF(F2514&gt;ENTRY!$D$24,"",IF(L2535=0,"Ab",IF(L2535&gt;80,"A",IF(L2535&gt;60,"B",IF(L2535&gt;44,"C",IF(L2535&gt;=33,"D",IF(L2535&lt;=32,"E","")))))))</f>
        <v/>
      </c>
      <c r="N2535" s="29"/>
      <c r="O2535" s="29"/>
      <c r="P2535" s="19"/>
      <c r="Q2535" s="19"/>
      <c r="R2535" s="11"/>
    </row>
    <row r="2536" s="1" customFormat="1" ht="21.95" customHeight="1" spans="1:18">
      <c r="A2536" s="7"/>
      <c r="B2536" s="12"/>
      <c r="C2536" s="33"/>
      <c r="D2536" s="52" t="s">
        <v>549</v>
      </c>
      <c r="E2536" s="53"/>
      <c r="F2536" s="54" t="str">
        <f ca="1">IFERROR(VLOOKUP(F2514,'RR-3.1-5TH'!$A$12:'RR-3.1-5TH'!$BN$111,49,0),"")</f>
        <v/>
      </c>
      <c r="G2536" s="54" t="str">
        <f ca="1">IFERROR(VLOOKUP(F2514,'RR-3.1-5TH'!$A$12:'RR-3.1-5TH'!$BN$111,50,0),"")</f>
        <v/>
      </c>
      <c r="H2536" s="54" t="str">
        <f ca="1">IFERROR(VLOOKUP(F2514,'RR-3.1-5TH'!$A$12:'RR-3.1-5TH'!$BN$111,51,0),"")</f>
        <v/>
      </c>
      <c r="I2536" s="54" t="str">
        <f ca="1">IFERROR(VLOOKUP(F2514,'RR-3.1-5TH'!$A$12:'RR-3.1-5TH'!$BN$111,52,0),"")</f>
        <v/>
      </c>
      <c r="J2536" s="54" t="str">
        <f ca="1">IFERROR(VLOOKUP(F2514,'RR-3.1-5TH'!$A$12:'RR-3.1-5TH'!$BN$111,53,0),"")</f>
        <v/>
      </c>
      <c r="K2536" s="54" t="str">
        <f ca="1">IFERROR(VLOOKUP(F2514,'RR-3.1-5TH'!$A$12:'RR-3.1-5TH'!$BN$111,54,0),"")</f>
        <v/>
      </c>
      <c r="L2536" s="55">
        <f ca="1" t="shared" si="132"/>
        <v>0</v>
      </c>
      <c r="M2536" s="56" t="str">
        <f ca="1">IF(F2514&gt;ENTRY!$D$24,"",IF(L2536=0,"Ab",IF(L2536&gt;80,"A",IF(L2536&gt;60,"B",IF(L2536&gt;44,"C",IF(L2536&gt;=33,"D",IF(L2536&lt;=32,"E","")))))))</f>
        <v/>
      </c>
      <c r="N2536" s="57" t="s">
        <v>752</v>
      </c>
      <c r="O2536" s="58"/>
      <c r="P2536" s="59"/>
      <c r="Q2536" s="19"/>
      <c r="R2536" s="11"/>
    </row>
    <row r="2537" s="1" customFormat="1" ht="21.95" customHeight="1" spans="1:18">
      <c r="A2537" s="7"/>
      <c r="B2537" s="12"/>
      <c r="C2537" s="33"/>
      <c r="D2537" s="52" t="s">
        <v>753</v>
      </c>
      <c r="E2537" s="53"/>
      <c r="F2537" s="60"/>
      <c r="G2537" s="54"/>
      <c r="H2537" s="54"/>
      <c r="I2537" s="54"/>
      <c r="J2537" s="54"/>
      <c r="K2537" s="54"/>
      <c r="L2537" s="55">
        <f t="shared" ref="L2537" si="133">SUM(G2537:K2537)</f>
        <v>0</v>
      </c>
      <c r="M2537" s="56" t="str">
        <f>IF(F2514&gt;ENTRY!$D$24,"",IF(L2537=0,"",IF(L2537&gt;79,"A",IF(L2537&gt;59,"B",IF(L2537&gt;44,"C",IF(L2537&gt;=33,"D",IF(L2537&lt;=32,"E","")))))))</f>
        <v/>
      </c>
      <c r="N2537" s="58"/>
      <c r="O2537" s="58"/>
      <c r="P2537" s="59"/>
      <c r="Q2537" s="19"/>
      <c r="R2537" s="11"/>
    </row>
    <row r="2538" s="1" customFormat="1" ht="21.95" customHeight="1" spans="1:18">
      <c r="A2538" s="7"/>
      <c r="B2538" s="12"/>
      <c r="C2538" s="33"/>
      <c r="D2538" s="45" t="s">
        <v>382</v>
      </c>
      <c r="E2538" s="46"/>
      <c r="F2538" s="54">
        <f ca="1" t="shared" ref="F2538:L2538" si="134">IFERROR(SUM(F2531:F2537),"")</f>
        <v>0</v>
      </c>
      <c r="G2538" s="54">
        <f ca="1" t="shared" si="134"/>
        <v>0</v>
      </c>
      <c r="H2538" s="54">
        <f ca="1" t="shared" si="134"/>
        <v>0</v>
      </c>
      <c r="I2538" s="54">
        <f ca="1" t="shared" si="134"/>
        <v>0</v>
      </c>
      <c r="J2538" s="54">
        <f ca="1" t="shared" si="134"/>
        <v>0</v>
      </c>
      <c r="K2538" s="54">
        <f ca="1" t="shared" si="134"/>
        <v>0</v>
      </c>
      <c r="L2538" s="55">
        <f ca="1" t="shared" si="134"/>
        <v>0</v>
      </c>
      <c r="M2538" s="61" t="str">
        <f ca="1">IF(F2514&gt;ENTRY!$D$24,"",IF(N2539="Ab","Ab",IF(N2539&gt;79.5,"A",IF(N2539&gt;59.5,"B",IF(N2539&gt;44.5,"C",IF(N2539&gt;=33,"D",IF(N2539&lt;33,"E","")))))))</f>
        <v/>
      </c>
      <c r="N2538" s="62"/>
      <c r="O2538" s="58"/>
      <c r="P2538" s="59"/>
      <c r="Q2538" s="19"/>
      <c r="R2538" s="11"/>
    </row>
    <row r="2539" s="1" customFormat="1" ht="21.95" customHeight="1" spans="1:18">
      <c r="A2539" s="7"/>
      <c r="B2539" s="12"/>
      <c r="C2539" s="33"/>
      <c r="D2539" s="63" t="s">
        <v>721</v>
      </c>
      <c r="E2539" s="63"/>
      <c r="F2539" s="63"/>
      <c r="G2539" s="63"/>
      <c r="H2539" s="63"/>
      <c r="I2539" s="63"/>
      <c r="J2539" s="63"/>
      <c r="K2539" s="63"/>
      <c r="L2539" s="63"/>
      <c r="M2539" s="63"/>
      <c r="N2539" s="64">
        <f ca="1">IF(L2538="Ab","Ab",L2538/6)</f>
        <v>0</v>
      </c>
      <c r="O2539" s="65"/>
      <c r="P2539" s="19"/>
      <c r="Q2539" s="19"/>
      <c r="R2539" s="11"/>
    </row>
    <row r="2540" s="1" customFormat="1" ht="21.95" customHeight="1" spans="1:18">
      <c r="A2540" s="7"/>
      <c r="B2540" s="12"/>
      <c r="C2540" s="33"/>
      <c r="D2540" s="29" t="s">
        <v>716</v>
      </c>
      <c r="E2540" s="18" t="str">
        <f>IFERROR(VLOOKUP(F2514,'1to4-2.1-RR'!$A$12:$BG$111,57,0),"")</f>
        <v/>
      </c>
      <c r="F2540" s="18"/>
      <c r="G2540" s="18"/>
      <c r="H2540" s="18"/>
      <c r="I2540" s="18"/>
      <c r="J2540" s="18"/>
      <c r="K2540" s="18"/>
      <c r="L2540" s="18"/>
      <c r="M2540" s="18"/>
      <c r="N2540" s="29"/>
      <c r="O2540" s="29"/>
      <c r="P2540" s="19"/>
      <c r="Q2540" s="19"/>
      <c r="R2540" s="11"/>
    </row>
    <row r="2541" s="1" customFormat="1" ht="9.95" customHeight="1" spans="1:18">
      <c r="A2541" s="7"/>
      <c r="B2541" s="12"/>
      <c r="C2541" s="33"/>
      <c r="D2541" s="29"/>
      <c r="E2541" s="29"/>
      <c r="F2541" s="29"/>
      <c r="G2541" s="29"/>
      <c r="H2541" s="29"/>
      <c r="I2541" s="29"/>
      <c r="J2541" s="29"/>
      <c r="K2541" s="29"/>
      <c r="L2541" s="29"/>
      <c r="M2541" s="29"/>
      <c r="N2541" s="29"/>
      <c r="O2541" s="29"/>
      <c r="P2541" s="19"/>
      <c r="Q2541" s="19"/>
      <c r="R2541" s="11"/>
    </row>
    <row r="2542" s="1" customFormat="1" ht="36" spans="1:18">
      <c r="A2542" s="7"/>
      <c r="B2542" s="12"/>
      <c r="C2542" s="33"/>
      <c r="D2542" s="66" t="s">
        <v>576</v>
      </c>
      <c r="E2542" s="67" t="s">
        <v>754</v>
      </c>
      <c r="F2542" s="47" t="str">
        <f>IF(F2514&gt;ENTRY!$D$24,"",IFERROR(VLOOKUP(F2514,PASHEET!$A$4:$CJ$103,88,0),""))</f>
        <v/>
      </c>
      <c r="G2542" s="67" t="s">
        <v>755</v>
      </c>
      <c r="H2542" s="47" t="str">
        <f>IF(F2514&gt;ENTRY!$D$24,"",IFERROR(VLOOKUP(F2514,PASHEET!$A$4:$CJ$103,87,0),""))</f>
        <v/>
      </c>
      <c r="I2542" s="68" t="s">
        <v>756</v>
      </c>
      <c r="J2542" s="69" t="str">
        <f>IF(F2514&gt;ENTRY!$D$24,"",IFERROR(IF(F2514&gt;0,H2542/F2542*100),""))</f>
        <v/>
      </c>
      <c r="K2542" s="60" t="s">
        <v>757</v>
      </c>
      <c r="L2542" s="70" t="str">
        <f ca="1">IF(F2514&gt;ENTRY!$D$24,"",IFERROR(L2538/600*100,""))</f>
        <v/>
      </c>
      <c r="M2542" s="47" t="str">
        <f ca="1">IF(F2514&gt;ENTRY!$D$24,"",IFERROR(L2538&amp;" / "&amp;"600",""))</f>
        <v/>
      </c>
      <c r="N2542" s="29"/>
      <c r="O2542" s="29"/>
      <c r="P2542" s="19"/>
      <c r="Q2542" s="19"/>
      <c r="R2542" s="11"/>
    </row>
    <row r="2543" s="1" customFormat="1" ht="9.95" customHeight="1" spans="1:18">
      <c r="A2543" s="7"/>
      <c r="B2543" s="12"/>
      <c r="C2543" s="39"/>
      <c r="D2543" s="40"/>
      <c r="E2543" s="40"/>
      <c r="F2543" s="40"/>
      <c r="G2543" s="40"/>
      <c r="H2543" s="40"/>
      <c r="I2543" s="40"/>
      <c r="J2543" s="40"/>
      <c r="K2543" s="40"/>
      <c r="L2543" s="40"/>
      <c r="M2543" s="40"/>
      <c r="N2543" s="40"/>
      <c r="O2543" s="40"/>
      <c r="P2543" s="41"/>
      <c r="Q2543" s="19"/>
      <c r="R2543" s="11"/>
    </row>
    <row r="2544" s="1" customFormat="1" ht="9.95" customHeight="1" spans="1:18">
      <c r="A2544" s="7"/>
      <c r="B2544" s="12"/>
      <c r="C2544" s="71"/>
      <c r="D2544" s="71"/>
      <c r="E2544" s="71"/>
      <c r="F2544" s="29"/>
      <c r="G2544" s="71"/>
      <c r="H2544" s="71"/>
      <c r="I2544" s="71"/>
      <c r="J2544" s="71"/>
      <c r="K2544" s="71"/>
      <c r="L2544" s="71"/>
      <c r="M2544" s="71"/>
      <c r="N2544" s="71"/>
      <c r="O2544" s="71"/>
      <c r="P2544" s="71"/>
      <c r="Q2544" s="19"/>
      <c r="R2544" s="11"/>
    </row>
    <row r="2545" s="1" customFormat="1" ht="9.95" customHeight="1" spans="1:19">
      <c r="A2545" s="7"/>
      <c r="B2545" s="12"/>
      <c r="C2545" s="29"/>
      <c r="D2545" s="29"/>
      <c r="E2545" s="29"/>
      <c r="F2545" s="72"/>
      <c r="G2545" s="29"/>
      <c r="H2545" s="29"/>
      <c r="I2545" s="29"/>
      <c r="J2545" s="29"/>
      <c r="K2545" s="29"/>
      <c r="L2545" s="29"/>
      <c r="M2545" s="29"/>
      <c r="N2545" s="29"/>
      <c r="O2545" s="29"/>
      <c r="P2545" s="29"/>
      <c r="Q2545" s="19"/>
      <c r="R2545" s="11"/>
    </row>
    <row r="2546" s="1" customFormat="1" ht="9.95" customHeight="1" spans="1:19">
      <c r="A2546" s="7"/>
      <c r="B2546" s="12"/>
      <c r="C2546" s="30"/>
      <c r="D2546" s="31"/>
      <c r="E2546" s="31"/>
      <c r="F2546" s="31"/>
      <c r="G2546" s="31"/>
      <c r="H2546" s="31"/>
      <c r="I2546" s="31"/>
      <c r="J2546" s="31"/>
      <c r="K2546" s="31"/>
      <c r="L2546" s="31"/>
      <c r="M2546" s="31"/>
      <c r="N2546" s="31"/>
      <c r="O2546" s="31"/>
      <c r="P2546" s="32"/>
      <c r="Q2546" s="19"/>
      <c r="R2546" s="11"/>
    </row>
    <row r="2547" s="1" customFormat="1" ht="21.95" customHeight="1" spans="1:19">
      <c r="A2547" s="7"/>
      <c r="B2547" s="12"/>
      <c r="C2547" s="73" t="s">
        <v>7</v>
      </c>
      <c r="D2547" s="13"/>
      <c r="E2547" s="13"/>
      <c r="F2547" s="13"/>
      <c r="G2547" s="13"/>
      <c r="H2547" s="13"/>
      <c r="I2547" s="13"/>
      <c r="J2547" s="13"/>
      <c r="K2547" s="13"/>
      <c r="L2547" s="13"/>
      <c r="M2547" s="13"/>
      <c r="N2547" s="13"/>
      <c r="O2547" s="13"/>
      <c r="P2547" s="74"/>
      <c r="Q2547" s="19"/>
      <c r="R2547" s="11"/>
      <c r="S2547" s="2"/>
    </row>
    <row r="2548" s="1" customFormat="1" ht="21.95" customHeight="1" spans="1:19">
      <c r="A2548" s="7"/>
      <c r="B2548" s="12"/>
      <c r="C2548" s="33"/>
      <c r="D2548" s="29"/>
      <c r="E2548" s="29"/>
      <c r="F2548" s="29"/>
      <c r="G2548" s="29"/>
      <c r="H2548" s="29"/>
      <c r="I2548" s="29"/>
      <c r="J2548" s="29"/>
      <c r="K2548" s="29"/>
      <c r="L2548" s="29"/>
      <c r="M2548" s="29"/>
      <c r="N2548" s="29"/>
      <c r="O2548" s="29"/>
      <c r="P2548" s="19"/>
      <c r="Q2548" s="19"/>
      <c r="R2548" s="11"/>
    </row>
    <row r="2549" s="1" customFormat="1" ht="21.95" customHeight="1" spans="1:19">
      <c r="A2549" s="7"/>
      <c r="B2549" s="12"/>
      <c r="C2549" s="75" t="str">
        <f>"SESSION-"&amp;ENTRY!$D$11</f>
        <v>SESSION-2026-27</v>
      </c>
      <c r="D2549" s="15"/>
      <c r="E2549" s="15"/>
      <c r="F2549" s="15"/>
      <c r="G2549" s="15"/>
      <c r="H2549" s="15"/>
      <c r="I2549" s="15"/>
      <c r="J2549" s="15"/>
      <c r="K2549" s="15"/>
      <c r="L2549" s="15"/>
      <c r="M2549" s="15"/>
      <c r="N2549" s="15"/>
      <c r="O2549" s="15"/>
      <c r="P2549" s="76"/>
      <c r="Q2549" s="19"/>
      <c r="R2549" s="11"/>
    </row>
    <row r="2550" s="1" customFormat="1" ht="18" customHeight="1" spans="1:19">
      <c r="A2550" s="7"/>
      <c r="B2550" s="12"/>
      <c r="C2550" s="33"/>
      <c r="D2550" s="29"/>
      <c r="E2550" s="29"/>
      <c r="F2550" s="29"/>
      <c r="G2550" s="29"/>
      <c r="H2550" s="29"/>
      <c r="I2550" s="29"/>
      <c r="J2550" s="29"/>
      <c r="K2550" s="29"/>
      <c r="L2550" s="29"/>
      <c r="M2550" s="29"/>
      <c r="N2550" s="29"/>
      <c r="O2550" s="29"/>
      <c r="P2550" s="19"/>
      <c r="Q2550" s="19"/>
      <c r="R2550" s="11"/>
    </row>
    <row r="2551" s="1" customFormat="1" ht="21.95" customHeight="1" spans="1:19">
      <c r="A2551" s="7"/>
      <c r="B2551" s="12"/>
      <c r="C2551" s="33"/>
      <c r="D2551" s="77" t="s">
        <v>758</v>
      </c>
      <c r="E2551" s="77"/>
      <c r="F2551" s="78" t="str">
        <f>IFERROR(PROPER(VLOOKUP(F2514,STUDENT!$A$2:$BP$101,5,0)),"")</f>
        <v/>
      </c>
      <c r="G2551" s="78"/>
      <c r="H2551" s="78"/>
      <c r="I2551" s="78"/>
      <c r="J2551" s="78"/>
      <c r="K2551" s="78"/>
      <c r="L2551" s="78"/>
      <c r="M2551" s="78"/>
      <c r="N2551" s="79" t="s">
        <v>759</v>
      </c>
      <c r="O2551" s="79"/>
      <c r="P2551" s="19"/>
      <c r="Q2551" s="19"/>
      <c r="R2551" s="11"/>
    </row>
    <row r="2552" s="1" customFormat="1" ht="21.95" customHeight="1" spans="1:19">
      <c r="A2552" s="7"/>
      <c r="B2552" s="12"/>
      <c r="C2552" s="33"/>
      <c r="D2552" s="80" t="s">
        <v>760</v>
      </c>
      <c r="E2552" s="81" t="str">
        <f>IFERROR(PROPER(VLOOKUP(F2514,STUDENT!$A$2:$BP$101,9,0)),"")</f>
        <v/>
      </c>
      <c r="F2552" s="81"/>
      <c r="G2552" s="81"/>
      <c r="H2552" s="80" t="s">
        <v>761</v>
      </c>
      <c r="I2552" s="82" t="str">
        <f>IFERROR(PROPER(VLOOKUP(F2514,STUDENT!$A$2:$BP$101,8,0)),"")</f>
        <v/>
      </c>
      <c r="J2552" s="82"/>
      <c r="K2552" s="82"/>
      <c r="L2552" s="82"/>
      <c r="M2552" s="80" t="s">
        <v>762</v>
      </c>
      <c r="N2552" s="83" t="str">
        <f>IFERROR(VLOOKUP(F2514,STUDENT!$A$2:$BP$101,59,0),"")</f>
        <v/>
      </c>
      <c r="O2552" s="83"/>
      <c r="P2552" s="19"/>
      <c r="Q2552" s="19"/>
      <c r="R2552" s="11"/>
    </row>
    <row r="2553" s="1" customFormat="1" ht="21.95" customHeight="1" spans="1:19">
      <c r="A2553" s="7"/>
      <c r="B2553" s="12"/>
      <c r="C2553" s="33"/>
      <c r="D2553" s="77" t="str">
        <f>"has    completed     his  /  her     primary     level     education    in    the    year    "&amp;RIGHT(ENTRY!$D2519,4)&amp;"    from    ( School    Name )"</f>
        <v>has    completed     his  /  her     primary     level     education    in    the    year        from    ( School    Name )</v>
      </c>
      <c r="E2553" s="77"/>
      <c r="F2553" s="77"/>
      <c r="G2553" s="77"/>
      <c r="H2553" s="77"/>
      <c r="I2553" s="77"/>
      <c r="J2553" s="77"/>
      <c r="K2553" s="77"/>
      <c r="L2553" s="77"/>
      <c r="M2553" s="77"/>
      <c r="N2553" s="77"/>
      <c r="O2553" s="77"/>
      <c r="P2553" s="19"/>
      <c r="Q2553" s="19"/>
      <c r="R2553" s="11"/>
    </row>
    <row r="2554" s="1" customFormat="1" ht="21.95" customHeight="1" spans="1:19">
      <c r="A2554" s="7"/>
      <c r="B2554" s="12"/>
      <c r="C2554" s="33"/>
      <c r="D2554" s="81" t="str">
        <f>IF(F2514&gt;0,ENTRY!$D$6,"")</f>
        <v>MCP NITHARI NO 1 BOYS</v>
      </c>
      <c r="E2554" s="81"/>
      <c r="F2554" s="81"/>
      <c r="G2554" s="81"/>
      <c r="H2554" s="81"/>
      <c r="I2554" s="81"/>
      <c r="J2554" s="81"/>
      <c r="K2554" s="81"/>
      <c r="L2554" s="81"/>
      <c r="M2554" s="80" t="s">
        <v>763</v>
      </c>
      <c r="N2554" s="84">
        <f>IF(F2514&gt;0,ENTRY!$D$7,"")</f>
        <v>0</v>
      </c>
      <c r="O2554" s="84"/>
      <c r="P2554" s="85" t="s">
        <v>727</v>
      </c>
      <c r="Q2554" s="19"/>
      <c r="R2554" s="11"/>
    </row>
    <row r="2555" s="1" customFormat="1" ht="21.95" customHeight="1" spans="1:19">
      <c r="A2555" s="7"/>
      <c r="B2555" s="12"/>
      <c r="C2555" s="33"/>
      <c r="D2555" s="29"/>
      <c r="E2555" s="29"/>
      <c r="F2555" s="29"/>
      <c r="G2555" s="29"/>
      <c r="H2555" s="29"/>
      <c r="I2555" s="29"/>
      <c r="J2555" s="29"/>
      <c r="K2555" s="29"/>
      <c r="L2555" s="29"/>
      <c r="M2555" s="29"/>
      <c r="N2555" s="29"/>
      <c r="O2555" s="29"/>
      <c r="P2555" s="19"/>
      <c r="Q2555" s="19"/>
      <c r="R2555" s="11"/>
    </row>
    <row r="2556" s="1" customFormat="1" ht="21.95" customHeight="1" spans="1:19">
      <c r="A2556" s="7"/>
      <c r="B2556" s="12"/>
      <c r="C2556" s="33"/>
      <c r="D2556" s="29"/>
      <c r="E2556" s="29"/>
      <c r="F2556" s="29"/>
      <c r="G2556" s="29"/>
      <c r="H2556" s="29"/>
      <c r="I2556" s="29"/>
      <c r="J2556" s="29"/>
      <c r="K2556" s="29"/>
      <c r="L2556" s="29"/>
      <c r="M2556" s="29"/>
      <c r="N2556" s="29"/>
      <c r="O2556" s="29"/>
      <c r="P2556" s="19"/>
      <c r="Q2556" s="19"/>
      <c r="R2556" s="11"/>
    </row>
    <row r="2557" s="1" customFormat="1" ht="21.95" customHeight="1" spans="1:19">
      <c r="A2557" s="7"/>
      <c r="B2557" s="12"/>
      <c r="C2557" s="33"/>
      <c r="D2557" s="29"/>
      <c r="E2557" s="29"/>
      <c r="F2557" s="29"/>
      <c r="G2557" s="29"/>
      <c r="H2557" s="29"/>
      <c r="I2557" s="29"/>
      <c r="J2557" s="29"/>
      <c r="K2557" s="29"/>
      <c r="L2557" s="29"/>
      <c r="M2557" s="29"/>
      <c r="N2557" s="29"/>
      <c r="O2557" s="29"/>
      <c r="P2557" s="19"/>
      <c r="Q2557" s="19"/>
      <c r="R2557" s="11"/>
    </row>
    <row r="2558" s="1" customFormat="1" ht="21.95" customHeight="1" spans="1:19">
      <c r="A2558" s="7"/>
      <c r="B2558" s="12"/>
      <c r="C2558" s="33"/>
      <c r="D2558" s="29"/>
      <c r="E2558" s="29"/>
      <c r="F2558" s="29"/>
      <c r="G2558" s="29"/>
      <c r="H2558" s="29"/>
      <c r="I2558" s="29"/>
      <c r="J2558" s="29"/>
      <c r="K2558" s="29"/>
      <c r="L2558" s="29"/>
      <c r="M2558" s="29"/>
      <c r="N2558" s="29"/>
      <c r="O2558" s="29"/>
      <c r="P2558" s="19"/>
      <c r="Q2558" s="19"/>
      <c r="R2558" s="11"/>
    </row>
    <row r="2559" s="1" customFormat="1" ht="21.95" customHeight="1" spans="1:19">
      <c r="A2559" s="7"/>
      <c r="B2559" s="12"/>
      <c r="C2559" s="33"/>
      <c r="D2559" s="29"/>
      <c r="E2559" s="29"/>
      <c r="F2559" s="29"/>
      <c r="G2559" s="29"/>
      <c r="H2559" s="29"/>
      <c r="I2559" s="29"/>
      <c r="J2559" s="29"/>
      <c r="K2559" s="29"/>
      <c r="L2559" s="29"/>
      <c r="M2559" s="29"/>
      <c r="N2559" s="29"/>
      <c r="O2559" s="29"/>
      <c r="P2559" s="19"/>
      <c r="Q2559" s="19"/>
      <c r="R2559" s="11"/>
    </row>
    <row r="2560" s="1" customFormat="1" ht="21.95" customHeight="1" spans="1:19">
      <c r="A2560" s="7"/>
      <c r="B2560" s="12"/>
      <c r="C2560" s="33"/>
      <c r="D2560" s="80" t="s">
        <v>728</v>
      </c>
      <c r="E2560" s="86">
        <f>ENTRY!$D$27</f>
        <v>46102</v>
      </c>
      <c r="F2560" s="86"/>
      <c r="G2560" s="29"/>
      <c r="H2560" s="29"/>
      <c r="I2560" s="29"/>
      <c r="J2560" s="29"/>
      <c r="K2560" s="29"/>
      <c r="L2560" s="29"/>
      <c r="M2560" s="87" t="s">
        <v>730</v>
      </c>
      <c r="N2560" s="87"/>
      <c r="O2560" s="87"/>
      <c r="P2560" s="19"/>
      <c r="Q2560" s="19"/>
      <c r="R2560" s="11"/>
    </row>
    <row r="2561" s="1" customFormat="1" ht="21.95" customHeight="1" spans="1:18">
      <c r="A2561" s="7"/>
      <c r="B2561" s="12"/>
      <c r="C2561" s="33"/>
      <c r="D2561" s="80" t="s">
        <v>731</v>
      </c>
      <c r="E2561" s="88" t="str">
        <f>PROPER(ENTRY!$D$28)</f>
        <v>New Delhi</v>
      </c>
      <c r="F2561" s="88"/>
      <c r="G2561" s="29"/>
      <c r="H2561" s="29"/>
      <c r="I2561" s="29"/>
      <c r="J2561" s="29"/>
      <c r="K2561" s="29"/>
      <c r="L2561" s="29"/>
      <c r="M2561" s="89" t="s">
        <v>732</v>
      </c>
      <c r="N2561" s="89"/>
      <c r="O2561" s="89"/>
      <c r="P2561" s="19"/>
      <c r="Q2561" s="19"/>
      <c r="R2561" s="11"/>
    </row>
    <row r="2562" s="1" customFormat="1" ht="21.95" customHeight="1" spans="1:18">
      <c r="A2562" s="7"/>
      <c r="B2562" s="12"/>
      <c r="C2562" s="90"/>
      <c r="D2562" s="91"/>
      <c r="E2562" s="91"/>
      <c r="F2562" s="91"/>
      <c r="G2562" s="91"/>
      <c r="H2562" s="91"/>
      <c r="I2562" s="91"/>
      <c r="J2562" s="91"/>
      <c r="K2562" s="91"/>
      <c r="L2562" s="91"/>
      <c r="M2562" s="91"/>
      <c r="N2562" s="91"/>
      <c r="O2562" s="91"/>
      <c r="P2562" s="92"/>
      <c r="Q2562" s="14"/>
      <c r="R2562" s="11"/>
    </row>
    <row r="2563" s="1" customFormat="1" ht="5.1" customHeight="1" spans="1:18">
      <c r="A2563" s="7"/>
      <c r="B2563" s="90"/>
      <c r="C2563" s="91"/>
      <c r="D2563" s="91"/>
      <c r="E2563" s="91"/>
      <c r="F2563" s="91"/>
      <c r="G2563" s="91"/>
      <c r="H2563" s="91"/>
      <c r="I2563" s="91"/>
      <c r="J2563" s="91"/>
      <c r="K2563" s="91"/>
      <c r="L2563" s="91"/>
      <c r="M2563" s="91"/>
      <c r="N2563" s="91"/>
      <c r="O2563" s="91"/>
      <c r="P2563" s="91"/>
      <c r="Q2563" s="92"/>
      <c r="R2563" s="11"/>
    </row>
    <row r="2564" s="1" customFormat="1" ht="5.1" customHeight="1" spans="1:18">
      <c r="A2564" s="93"/>
      <c r="B2564" s="94"/>
      <c r="C2564" s="94"/>
      <c r="D2564" s="94"/>
      <c r="E2564" s="94"/>
      <c r="F2564" s="94"/>
      <c r="G2564" s="94"/>
      <c r="H2564" s="94"/>
      <c r="I2564" s="94"/>
      <c r="J2564" s="94"/>
      <c r="K2564" s="94"/>
      <c r="L2564" s="94"/>
      <c r="M2564" s="94"/>
      <c r="N2564" s="94"/>
      <c r="O2564" s="94"/>
      <c r="P2564" s="94"/>
      <c r="Q2564" s="94"/>
      <c r="R2564" s="95"/>
    </row>
    <row r="2565" s="2" customFormat="1" ht="9.95" customHeight="1"/>
    <row r="2566" s="1" customFormat="1" ht="5.1" customHeight="1" spans="1:18">
      <c r="A2566" s="4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  <c r="O2566" s="5"/>
      <c r="P2566" s="5"/>
      <c r="Q2566" s="5"/>
      <c r="R2566" s="6"/>
    </row>
    <row r="2567" s="1" customFormat="1" ht="15" customHeight="1" spans="1:18">
      <c r="A2567" s="7"/>
      <c r="B2567" s="8"/>
      <c r="C2567" s="9"/>
      <c r="D2567" s="9"/>
      <c r="E2567" s="9"/>
      <c r="F2567" s="9"/>
      <c r="G2567" s="9"/>
      <c r="H2567" s="9"/>
      <c r="I2567" s="9"/>
      <c r="J2567" s="9"/>
      <c r="K2567" s="9"/>
      <c r="L2567" s="9"/>
      <c r="M2567" s="9"/>
      <c r="N2567" s="9"/>
      <c r="O2567" s="9"/>
      <c r="P2567" s="9"/>
      <c r="Q2567" s="10"/>
      <c r="R2567" s="11"/>
    </row>
    <row r="2568" s="1" customFormat="1" ht="21.95" customHeight="1" spans="1:18">
      <c r="A2568" s="7"/>
      <c r="B2568" s="12"/>
      <c r="C2568" s="13" t="s">
        <v>7</v>
      </c>
      <c r="D2568" s="13"/>
      <c r="E2568" s="13"/>
      <c r="F2568" s="13"/>
      <c r="G2568" s="13"/>
      <c r="H2568" s="13"/>
      <c r="I2568" s="13"/>
      <c r="J2568" s="13"/>
      <c r="K2568" s="13"/>
      <c r="L2568" s="13"/>
      <c r="M2568" s="13"/>
      <c r="N2568" s="13"/>
      <c r="O2568" s="13"/>
      <c r="P2568" s="13"/>
      <c r="Q2568" s="14"/>
      <c r="R2568" s="11"/>
    </row>
    <row r="2569" s="1" customFormat="1" ht="21.95" customHeight="1" spans="1:18">
      <c r="A2569" s="7"/>
      <c r="B2569" s="1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14"/>
      <c r="R2569" s="11"/>
    </row>
    <row r="2570" s="1" customFormat="1" ht="21.95" customHeight="1" spans="1:18">
      <c r="A2570" s="7"/>
      <c r="B2570" s="12"/>
      <c r="C2570" s="15" t="str">
        <f>"SESSION-"&amp;ENTRY!$D$11</f>
        <v>SESSION-2026-27</v>
      </c>
      <c r="D2570" s="15"/>
      <c r="E2570" s="15"/>
      <c r="F2570" s="15"/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4"/>
      <c r="R2570" s="11"/>
    </row>
    <row r="2571" s="1" customFormat="1" ht="21.95" customHeight="1" spans="1:18">
      <c r="A2571" s="7"/>
      <c r="B2571" s="12"/>
      <c r="C2571" s="2"/>
      <c r="D2571" s="2"/>
      <c r="E2571" s="2"/>
      <c r="F2571" s="16">
        <f>F2514+1</f>
        <v>46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14"/>
      <c r="R2571" s="11"/>
    </row>
    <row r="2572" s="1" customFormat="1" ht="21.95" customHeight="1" spans="1:18">
      <c r="A2572" s="7"/>
      <c r="B2572" s="12"/>
      <c r="C2572" s="17" t="s">
        <v>392</v>
      </c>
      <c r="D2572" s="17"/>
      <c r="E2572" s="17"/>
      <c r="F2572" s="18" t="str">
        <f>IF(F2571&gt;0,ENTRY!$D$6,"")</f>
        <v>MCP NITHARI NO 1 BOYS</v>
      </c>
      <c r="G2572" s="18"/>
      <c r="H2572" s="18"/>
      <c r="I2572" s="18"/>
      <c r="J2572" s="18"/>
      <c r="K2572" s="18"/>
      <c r="L2572" s="18"/>
      <c r="M2572" s="18"/>
      <c r="N2572" s="18"/>
      <c r="O2572" s="18"/>
      <c r="P2572" s="18"/>
      <c r="Q2572" s="19"/>
      <c r="R2572" s="11"/>
    </row>
    <row r="2573" s="1" customFormat="1" ht="21.95" customHeight="1" spans="1:18">
      <c r="A2573" s="7"/>
      <c r="B2573" s="12"/>
      <c r="C2573" s="17" t="s">
        <v>393</v>
      </c>
      <c r="D2573" s="17"/>
      <c r="E2573" s="17"/>
      <c r="F2573" s="18">
        <f>IF(F2571&gt;0,ENTRY!$D$7,"")</f>
        <v>0</v>
      </c>
      <c r="G2573" s="18"/>
      <c r="H2573" s="20" t="s">
        <v>702</v>
      </c>
      <c r="I2573" s="20"/>
      <c r="J2573" s="21">
        <f>IF(F2571&gt;0,ENTRY!$D$10,"")</f>
        <v>40</v>
      </c>
      <c r="K2573" s="20" t="s">
        <v>703</v>
      </c>
      <c r="L2573" s="22" t="str">
        <f>IF(F2571&gt;0,ENTRY!$D$5,"")</f>
        <v>ROHINI ZONE</v>
      </c>
      <c r="M2573" s="22"/>
      <c r="N2573" s="22"/>
      <c r="O2573" s="22"/>
      <c r="P2573" s="22"/>
      <c r="Q2573" s="19"/>
      <c r="R2573" s="11"/>
    </row>
    <row r="2574" s="1" customFormat="1" ht="21.95" customHeight="1" spans="1:18">
      <c r="A2574" s="7"/>
      <c r="B2574" s="12"/>
      <c r="C2574" s="17" t="s">
        <v>706</v>
      </c>
      <c r="D2574" s="17"/>
      <c r="E2574" s="17"/>
      <c r="F2574" s="23">
        <f>IFERROR(VLOOKUP(F2571,STUDENT!$A$2:$BP$101,5,0),"")</f>
        <v>0</v>
      </c>
      <c r="G2574" s="23"/>
      <c r="H2574" s="23"/>
      <c r="I2574" s="23"/>
      <c r="J2574" s="23"/>
      <c r="K2574" s="23"/>
      <c r="L2574" s="20" t="s">
        <v>707</v>
      </c>
      <c r="M2574" s="20"/>
      <c r="N2574" s="24" t="str">
        <f>IF(F2571&gt;0,ENTRY!$D$20&amp;"-"&amp;ENTRY!$D$21,"")</f>
        <v>III-A</v>
      </c>
      <c r="O2574" s="24"/>
      <c r="P2574" s="24"/>
      <c r="Q2574" s="19"/>
      <c r="R2574" s="11"/>
    </row>
    <row r="2575" s="1" customFormat="1" ht="21.95" customHeight="1" spans="1:18">
      <c r="A2575" s="7"/>
      <c r="B2575" s="12"/>
      <c r="C2575" s="17" t="s">
        <v>708</v>
      </c>
      <c r="D2575" s="17"/>
      <c r="E2575" s="17"/>
      <c r="F2575" s="25">
        <f>IFERROR(VLOOKUP(F2571,STUDENT!$A$2:$BP$101,6,0),"")</f>
        <v>0</v>
      </c>
      <c r="G2575" s="25"/>
      <c r="H2575" s="26" t="s">
        <v>709</v>
      </c>
      <c r="I2575" s="27" t="str">
        <f>IFERROR(VLOOKUP(F2571,STUDENT!$A$2:$BP$101,59,0),"")</f>
        <v/>
      </c>
      <c r="J2575" s="27"/>
      <c r="K2575" s="20" t="s">
        <v>710</v>
      </c>
      <c r="L2575" s="20"/>
      <c r="M2575" s="28">
        <f>IFERROR(VLOOKUP(F2571,STUDENT!$A$2:$BP$101,20,0),"")</f>
        <v>0</v>
      </c>
      <c r="N2575" s="28"/>
      <c r="O2575" s="28"/>
      <c r="P2575" s="28"/>
      <c r="Q2575" s="19"/>
      <c r="R2575" s="11"/>
    </row>
    <row r="2576" s="1" customFormat="1" ht="21.95" customHeight="1" spans="1:18">
      <c r="A2576" s="7"/>
      <c r="B2576" s="12"/>
      <c r="C2576" s="17" t="s">
        <v>711</v>
      </c>
      <c r="D2576" s="17"/>
      <c r="E2576" s="17"/>
      <c r="F2576" s="23">
        <f>IFERROR(VLOOKUP(F2571,STUDENT!$A$2:$BP$101,9,0),"")</f>
        <v>0</v>
      </c>
      <c r="G2576" s="23"/>
      <c r="H2576" s="23"/>
      <c r="I2576" s="23"/>
      <c r="J2576" s="17" t="s">
        <v>620</v>
      </c>
      <c r="K2576" s="17"/>
      <c r="L2576" s="23">
        <f>IFERROR(VLOOKUP(F2571,STUDENT!$A$2:$BP$101,8,0),"")</f>
        <v>0</v>
      </c>
      <c r="M2576" s="23"/>
      <c r="N2576" s="23"/>
      <c r="O2576" s="23"/>
      <c r="P2576" s="23"/>
      <c r="Q2576" s="19"/>
      <c r="R2576" s="11"/>
    </row>
    <row r="2577" s="1" customFormat="1" ht="21.95" customHeight="1" spans="1:18">
      <c r="A2577" s="7"/>
      <c r="B2577" s="12"/>
      <c r="C2577" s="17" t="s">
        <v>712</v>
      </c>
      <c r="D2577" s="17"/>
      <c r="E2577" s="17"/>
      <c r="F2577" s="23">
        <f>IFERROR(VLOOKUP(F2571,STUDENT!$A$2:$BP$101,22,0),"")</f>
        <v>0</v>
      </c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19"/>
      <c r="R2577" s="11"/>
    </row>
    <row r="2578" s="1" customFormat="1" ht="9.95" customHeight="1" spans="1:18">
      <c r="A2578" s="7"/>
      <c r="B2578" s="12"/>
      <c r="C2578" s="29"/>
      <c r="D2578" s="29"/>
      <c r="E2578" s="29"/>
      <c r="F2578" s="29"/>
      <c r="G2578" s="29"/>
      <c r="H2578" s="29"/>
      <c r="I2578" s="29"/>
      <c r="J2578" s="29"/>
      <c r="K2578" s="29"/>
      <c r="L2578" s="29"/>
      <c r="M2578" s="29"/>
      <c r="N2578" s="29"/>
      <c r="O2578" s="29"/>
      <c r="P2578" s="29"/>
      <c r="Q2578" s="19"/>
      <c r="R2578" s="11"/>
    </row>
    <row r="2579" s="1" customFormat="1" ht="9.95" customHeight="1" spans="1:18">
      <c r="A2579" s="7"/>
      <c r="B2579" s="12"/>
      <c r="C2579" s="30"/>
      <c r="D2579" s="31"/>
      <c r="E2579" s="31"/>
      <c r="F2579" s="31"/>
      <c r="G2579" s="31"/>
      <c r="H2579" s="31"/>
      <c r="I2579" s="31"/>
      <c r="J2579" s="31"/>
      <c r="K2579" s="31"/>
      <c r="L2579" s="31"/>
      <c r="M2579" s="31"/>
      <c r="N2579" s="31"/>
      <c r="O2579" s="31"/>
      <c r="P2579" s="32"/>
      <c r="Q2579" s="19"/>
      <c r="R2579" s="11"/>
    </row>
    <row r="2580" s="1" customFormat="1" ht="21.95" customHeight="1" spans="1:18">
      <c r="A2580" s="7"/>
      <c r="B2580" s="12"/>
      <c r="C2580" s="33"/>
      <c r="D2580" s="34" t="s">
        <v>713</v>
      </c>
      <c r="E2580" s="20" t="s">
        <v>714</v>
      </c>
      <c r="F2580" s="35" t="str">
        <f>"Level - "&amp;IFERROR(VLOOKUP(F2571,FLN!$A$4:$K$103,9,0),"")</f>
        <v>Level - </v>
      </c>
      <c r="G2580" s="36"/>
      <c r="H2580" s="37" t="s">
        <v>715</v>
      </c>
      <c r="I2580" s="20"/>
      <c r="J2580" s="35" t="str">
        <f>"Level - "&amp;IFERROR(VLOOKUP(F2571,FLN!$A$4:$K$103,11,0),"")</f>
        <v>Level - </v>
      </c>
      <c r="K2580" s="36"/>
      <c r="L2580" s="37" t="s">
        <v>408</v>
      </c>
      <c r="M2580" s="20"/>
      <c r="N2580" s="35" t="str">
        <f>"Level - "&amp;IFERROR(VLOOKUP(F2571,FLN!$A$4:$K$103,10,0),"")</f>
        <v>Level - </v>
      </c>
      <c r="O2580" s="36"/>
      <c r="P2580" s="19"/>
      <c r="Q2580" s="19"/>
      <c r="R2580" s="11"/>
    </row>
    <row r="2581" s="1" customFormat="1" ht="21.95" customHeight="1" spans="1:18">
      <c r="A2581" s="7"/>
      <c r="B2581" s="12"/>
      <c r="C2581" s="33"/>
      <c r="D2581" s="38"/>
      <c r="E2581" s="20" t="s">
        <v>716</v>
      </c>
      <c r="F2581" s="18" t="str">
        <f ca="1">IF(L2595&gt;197,"PERFORMED WELL","")</f>
        <v/>
      </c>
      <c r="G2581" s="18"/>
      <c r="H2581" s="18"/>
      <c r="I2581" s="18"/>
      <c r="J2581" s="18"/>
      <c r="K2581" s="18"/>
      <c r="L2581" s="18"/>
      <c r="M2581" s="18"/>
      <c r="N2581" s="18"/>
      <c r="O2581" s="18"/>
      <c r="P2581" s="19"/>
      <c r="Q2581" s="19"/>
      <c r="R2581" s="11"/>
    </row>
    <row r="2582" s="1" customFormat="1" ht="9.95" customHeight="1" spans="1:18">
      <c r="A2582" s="7"/>
      <c r="B2582" s="12"/>
      <c r="C2582" s="39"/>
      <c r="D2582" s="40"/>
      <c r="E2582" s="40"/>
      <c r="F2582" s="40"/>
      <c r="G2582" s="40"/>
      <c r="H2582" s="40"/>
      <c r="I2582" s="40"/>
      <c r="J2582" s="40"/>
      <c r="K2582" s="40"/>
      <c r="L2582" s="40"/>
      <c r="M2582" s="40"/>
      <c r="N2582" s="40"/>
      <c r="O2582" s="40"/>
      <c r="P2582" s="41"/>
      <c r="Q2582" s="19"/>
      <c r="R2582" s="11"/>
    </row>
    <row r="2583" s="1" customFormat="1" ht="9.95" customHeight="1" spans="1:18">
      <c r="A2583" s="7"/>
      <c r="B2583" s="12"/>
      <c r="C2583" s="29"/>
      <c r="D2583" s="29"/>
      <c r="E2583" s="29"/>
      <c r="F2583" s="29"/>
      <c r="G2583" s="29"/>
      <c r="H2583" s="29"/>
      <c r="I2583" s="29"/>
      <c r="J2583" s="29"/>
      <c r="K2583" s="29"/>
      <c r="L2583" s="29"/>
      <c r="M2583" s="29"/>
      <c r="N2583" s="29"/>
      <c r="O2583" s="29"/>
      <c r="P2583" s="29"/>
      <c r="Q2583" s="19"/>
      <c r="R2583" s="11"/>
    </row>
    <row r="2584" s="1" customFormat="1" ht="9.95" customHeight="1" spans="1:18">
      <c r="A2584" s="7"/>
      <c r="B2584" s="12"/>
      <c r="C2584" s="30"/>
      <c r="D2584" s="31"/>
      <c r="E2584" s="31"/>
      <c r="F2584" s="31"/>
      <c r="G2584" s="31"/>
      <c r="H2584" s="31"/>
      <c r="I2584" s="31"/>
      <c r="J2584" s="31"/>
      <c r="K2584" s="31"/>
      <c r="L2584" s="31"/>
      <c r="M2584" s="31"/>
      <c r="N2584" s="31"/>
      <c r="O2584" s="31"/>
      <c r="P2584" s="32"/>
      <c r="Q2584" s="19"/>
      <c r="R2584" s="11"/>
    </row>
    <row r="2585" s="1" customFormat="1" ht="21.95" customHeight="1" spans="1:18">
      <c r="A2585" s="7"/>
      <c r="B2585" s="12"/>
      <c r="C2585" s="33"/>
      <c r="D2585" s="35"/>
      <c r="E2585" s="24"/>
      <c r="F2585" s="42" t="s">
        <v>717</v>
      </c>
      <c r="G2585" s="42"/>
      <c r="H2585" s="42"/>
      <c r="I2585" s="42"/>
      <c r="J2585" s="42"/>
      <c r="K2585" s="42"/>
      <c r="L2585" s="43"/>
      <c r="M2585" s="44"/>
      <c r="N2585" s="29"/>
      <c r="O2585" s="29"/>
      <c r="P2585" s="19"/>
      <c r="Q2585" s="19"/>
      <c r="R2585" s="11"/>
    </row>
    <row r="2586" s="1" customFormat="1" ht="21.95" customHeight="1" spans="1:18">
      <c r="A2586" s="7"/>
      <c r="B2586" s="12"/>
      <c r="C2586" s="33"/>
      <c r="D2586" s="45"/>
      <c r="E2586" s="46"/>
      <c r="F2586" s="47" t="s">
        <v>541</v>
      </c>
      <c r="G2586" s="47" t="s">
        <v>542</v>
      </c>
      <c r="H2586" s="47" t="s">
        <v>543</v>
      </c>
      <c r="I2586" s="47" t="s">
        <v>544</v>
      </c>
      <c r="J2586" s="47" t="s">
        <v>561</v>
      </c>
      <c r="K2586" s="48" t="s">
        <v>750</v>
      </c>
      <c r="L2586" s="47" t="s">
        <v>382</v>
      </c>
      <c r="M2586" s="49" t="s">
        <v>546</v>
      </c>
      <c r="N2586" s="29"/>
      <c r="O2586" s="29"/>
      <c r="P2586" s="19"/>
      <c r="Q2586" s="19"/>
      <c r="R2586" s="11"/>
    </row>
    <row r="2587" s="1" customFormat="1" ht="21.95" customHeight="1" spans="1:18">
      <c r="A2587" s="7"/>
      <c r="B2587" s="12"/>
      <c r="C2587" s="33"/>
      <c r="D2587" s="45" t="s">
        <v>652</v>
      </c>
      <c r="E2587" s="46"/>
      <c r="F2587" s="50">
        <v>10</v>
      </c>
      <c r="G2587" s="50">
        <v>10</v>
      </c>
      <c r="H2587" s="50">
        <v>10</v>
      </c>
      <c r="I2587" s="50">
        <v>10</v>
      </c>
      <c r="J2587" s="50">
        <v>60</v>
      </c>
      <c r="K2587" s="51"/>
      <c r="L2587" s="50">
        <v>100</v>
      </c>
      <c r="M2587" s="49"/>
      <c r="N2587" s="29"/>
      <c r="O2587" s="29"/>
      <c r="P2587" s="19"/>
      <c r="Q2587" s="19"/>
      <c r="R2587" s="11"/>
    </row>
    <row r="2588" s="1" customFormat="1" ht="21.95" customHeight="1" spans="1:18">
      <c r="A2588" s="7"/>
      <c r="B2588" s="12"/>
      <c r="C2588" s="33"/>
      <c r="D2588" s="52" t="s">
        <v>751</v>
      </c>
      <c r="E2588" s="53"/>
      <c r="F2588" s="54" t="str">
        <f ca="1">IFERROR(VLOOKUP(F2571,'RR-3.1-5TH'!$A$12:'RR-3.1-5TH'!$BN$111,9,0),"")</f>
        <v/>
      </c>
      <c r="G2588" s="54" t="str">
        <f ca="1">IFERROR(VLOOKUP(F2571,'RR-3.1-5TH'!$A$12:'RR-3.1-5TH'!$BN$111,10,0),"")</f>
        <v/>
      </c>
      <c r="H2588" s="54" t="str">
        <f ca="1">IFERROR(VLOOKUP(F2571,'RR-3.1-5TH'!$A$12:'RR-3.1-5TH'!$BN$111,11,0),"")</f>
        <v/>
      </c>
      <c r="I2588" s="54" t="str">
        <f ca="1">IFERROR(VLOOKUP(F2571,'RR-3.1-5TH'!$A$12:'RR-3.1-5TH'!$BN$111,12,0),"")</f>
        <v/>
      </c>
      <c r="J2588" s="54" t="str">
        <f ca="1">IFERROR(VLOOKUP(F2571,'RR-3.1-5TH'!$A$12:'RR-3.1-5TH'!$BN$111,13,0),"")</f>
        <v/>
      </c>
      <c r="K2588" s="54" t="str">
        <f ca="1">IFERROR(VLOOKUP(F2571,'RR-3.1-5TH'!$A$12:'RR-3.1-5TH'!$BN$111,14,0),"")</f>
        <v/>
      </c>
      <c r="L2588" s="55">
        <f ca="1" t="shared" ref="L2588:L2593" si="135">SUM(F2588,G2588,H2588,I2588,J2588,K2588)</f>
        <v>0</v>
      </c>
      <c r="M2588" s="56" t="str">
        <f ca="1">IF(F2571&gt;ENTRY!$D$24,"",IF(L2588=0,"Ab",IF(L2588&gt;80,"A",IF(L2588&gt;60,"B",IF(L2588&gt;44,"C",IF(L2588&gt;=33,"D",IF(L2588&lt;=32,"E","")))))))</f>
        <v/>
      </c>
      <c r="N2588" s="57" t="s">
        <v>729</v>
      </c>
      <c r="O2588" s="58"/>
      <c r="P2588" s="59"/>
      <c r="Q2588" s="19"/>
      <c r="R2588" s="11"/>
    </row>
    <row r="2589" s="1" customFormat="1" ht="21.95" customHeight="1" spans="1:18">
      <c r="A2589" s="7"/>
      <c r="B2589" s="12"/>
      <c r="C2589" s="33"/>
      <c r="D2589" s="52" t="s">
        <v>513</v>
      </c>
      <c r="E2589" s="53"/>
      <c r="F2589" s="54" t="str">
        <f ca="1">IFERROR(VLOOKUP(F2571,'RR-3.1-5TH'!$A$12:'RR-3.1-5TH'!$BN$111,17,0),"")</f>
        <v/>
      </c>
      <c r="G2589" s="54" t="str">
        <f ca="1">IFERROR(VLOOKUP(F2571,'RR-3.1-5TH'!$A$12:'RR-3.1-5TH'!$BN$111,18,0),"")</f>
        <v/>
      </c>
      <c r="H2589" s="54" t="str">
        <f ca="1">IFERROR(VLOOKUP(F2571,'RR-3.1-5TH'!$A$12:'RR-3.1-5TH'!$BN$111,19,0),"")</f>
        <v/>
      </c>
      <c r="I2589" s="54" t="str">
        <f ca="1">IFERROR(VLOOKUP(F2571,'RR-3.1-5TH'!$A$12:'RR-3.1-5TH'!$BN$111,20,0),"")</f>
        <v/>
      </c>
      <c r="J2589" s="54" t="str">
        <f ca="1">IFERROR(VLOOKUP(F2571,'RR-3.1-5TH'!$A$12:'RR-3.1-5TH'!$BN$111,21,0),"")</f>
        <v/>
      </c>
      <c r="K2589" s="54" t="str">
        <f ca="1">IFERROR(VLOOKUP(F2571,'RR-3.1-5TH'!$A$12:'RR-3.1-5TH'!$BN$111,22,0),"")</f>
        <v/>
      </c>
      <c r="L2589" s="55">
        <f ca="1" t="shared" si="135"/>
        <v>0</v>
      </c>
      <c r="M2589" s="56" t="str">
        <f ca="1">IF(F2571&gt;ENTRY!$D$24,"",IF(L2589=0,"Ab",IF(L2589&gt;80,"A",IF(L2589&gt;60,"B",IF(L2589&gt;44,"C",IF(L2589&gt;=33,"D",IF(L2589&lt;=32,"E","")))))))</f>
        <v/>
      </c>
      <c r="N2589" s="58"/>
      <c r="O2589" s="58"/>
      <c r="P2589" s="59"/>
      <c r="Q2589" s="19"/>
      <c r="R2589" s="11"/>
    </row>
    <row r="2590" s="1" customFormat="1" ht="21.95" customHeight="1" spans="1:18">
      <c r="A2590" s="7"/>
      <c r="B2590" s="12"/>
      <c r="C2590" s="33"/>
      <c r="D2590" s="52" t="s">
        <v>718</v>
      </c>
      <c r="E2590" s="53"/>
      <c r="F2590" s="54" t="str">
        <f ca="1">IFERROR(VLOOKUP(F2571,'RR-3.1-5TH'!$A$12:'RR-3.1-5TH'!$BN$111,25,0),"")</f>
        <v/>
      </c>
      <c r="G2590" s="54" t="str">
        <f ca="1">IFERROR(VLOOKUP(F2571,'RR-3.1-5TH'!$A$12:'RR-3.1-5TH'!$BN$111,26,0),"")</f>
        <v/>
      </c>
      <c r="H2590" s="54" t="str">
        <f ca="1">IFERROR(VLOOKUP(F2571,'RR-3.1-5TH'!$A$12:'RR-3.1-5TH'!$BN$111,27,0),"")</f>
        <v/>
      </c>
      <c r="I2590" s="54" t="str">
        <f ca="1">IFERROR(VLOOKUP(F2571,'RR-3.1-5TH'!$A$12:'RR-3.1-5TH'!$BN$111,28,0),"")</f>
        <v/>
      </c>
      <c r="J2590" s="54" t="str">
        <f ca="1">IFERROR(VLOOKUP(F2571,'RR-3.1-5TH'!$A$12:'RR-3.1-5TH'!$BN$111,29,0),"")</f>
        <v/>
      </c>
      <c r="K2590" s="54" t="str">
        <f ca="1">IFERROR(VLOOKUP(F2571,'RR-3.1-5TH'!$A$12:'RR-3.1-5TH'!$BN$111,30,0),"")</f>
        <v/>
      </c>
      <c r="L2590" s="55">
        <f ca="1" t="shared" si="135"/>
        <v>0</v>
      </c>
      <c r="M2590" s="56" t="str">
        <f ca="1">IF(F2571&gt;ENTRY!$D$24,"",IF(L2590=0,"Ab",IF(L2590&gt;80,"A",IF(L2590&gt;60,"B",IF(L2590&gt;44,"C",IF(L2590&gt;=33,"D",IF(L2590&lt;=32,"E","")))))))</f>
        <v/>
      </c>
      <c r="N2590" s="29"/>
      <c r="O2590" s="29"/>
      <c r="P2590" s="19"/>
      <c r="Q2590" s="19"/>
      <c r="R2590" s="11"/>
    </row>
    <row r="2591" s="1" customFormat="1" ht="21.95" customHeight="1" spans="1:18">
      <c r="A2591" s="7"/>
      <c r="B2591" s="12"/>
      <c r="C2591" s="33"/>
      <c r="D2591" s="52" t="s">
        <v>719</v>
      </c>
      <c r="E2591" s="53"/>
      <c r="F2591" s="54" t="str">
        <f ca="1">IFERROR(VLOOKUP(F2571,'RR-3.1-5TH'!$A$12:'RR-3.1-5TH'!$BN$111,33,0),"")</f>
        <v/>
      </c>
      <c r="G2591" s="54" t="str">
        <f ca="1">IFERROR(VLOOKUP(F2571,'RR-3.1-5TH'!$A$12:'RR-3.1-5TH'!$BN$111,34,0),"")</f>
        <v/>
      </c>
      <c r="H2591" s="54" t="str">
        <f ca="1">IFERROR(VLOOKUP(F2571,'RR-3.1-5TH'!$A$12:'RR-3.1-5TH'!$BN$111,35,0),"")</f>
        <v/>
      </c>
      <c r="I2591" s="54" t="str">
        <f ca="1">IFERROR(VLOOKUP(F2571,'RR-3.1-5TH'!$A$12:'RR-3.1-5TH'!$BN$111,36,0),"")</f>
        <v/>
      </c>
      <c r="J2591" s="54" t="str">
        <f ca="1">IFERROR(VLOOKUP(F2571,'RR-3.1-5TH'!$A$12:'RR-3.1-5TH'!$BN$111,37,0),"")</f>
        <v/>
      </c>
      <c r="K2591" s="54" t="str">
        <f ca="1">IFERROR(VLOOKUP(F2571,'RR-3.1-5TH'!$A$12:'RR-3.1-5TH'!$BN$111,38,0),"")</f>
        <v/>
      </c>
      <c r="L2591" s="55">
        <f ca="1" t="shared" si="135"/>
        <v>0</v>
      </c>
      <c r="M2591" s="56" t="str">
        <f ca="1">IF(F2571&gt;ENTRY!$D$24,"",IF(L2591=0,"Ab",IF(L2591&gt;80,"A",IF(L2591&gt;60,"B",IF(L2591&gt;44,"C",IF(L2591&gt;=33,"D",IF(L2591&lt;=32,"E","")))))))</f>
        <v/>
      </c>
      <c r="N2591" s="29"/>
      <c r="O2591" s="29"/>
      <c r="P2591" s="19"/>
      <c r="Q2591" s="19"/>
      <c r="R2591" s="11"/>
    </row>
    <row r="2592" s="1" customFormat="1" ht="21.95" customHeight="1" spans="1:18">
      <c r="A2592" s="7"/>
      <c r="B2592" s="12"/>
      <c r="C2592" s="33"/>
      <c r="D2592" s="52" t="s">
        <v>548</v>
      </c>
      <c r="E2592" s="53"/>
      <c r="F2592" s="54" t="str">
        <f ca="1">IFERROR(VLOOKUP(F2571,'RR-3.1-5TH'!$A$12:'RR-3.1-5TH'!$BN$111,41,0),"")</f>
        <v/>
      </c>
      <c r="G2592" s="54" t="str">
        <f ca="1">IFERROR(VLOOKUP(F2571,'RR-3.1-5TH'!$A$12:'RR-3.1-5TH'!$BN$111,42,0),"")</f>
        <v/>
      </c>
      <c r="H2592" s="54" t="str">
        <f ca="1">IFERROR(VLOOKUP(F2571,'RR-3.1-5TH'!$A$12:'RR-3.1-5TH'!$BN$111,43,0),"")</f>
        <v/>
      </c>
      <c r="I2592" s="54" t="str">
        <f ca="1">IFERROR(VLOOKUP(F2571,'RR-3.1-5TH'!$A$12:'RR-3.1-5TH'!$BN$111,44,0),"")</f>
        <v/>
      </c>
      <c r="J2592" s="54" t="str">
        <f ca="1">IFERROR(VLOOKUP(F2571,'RR-3.1-5TH'!$A$12:'RR-3.1-5TH'!$BN$111,45,0),"")</f>
        <v/>
      </c>
      <c r="K2592" s="54" t="str">
        <f ca="1">IFERROR(VLOOKUP(F2571,'RR-3.1-5TH'!$A$12:'RR-3.1-5TH'!$BN$111,46,0),"")</f>
        <v/>
      </c>
      <c r="L2592" s="55">
        <f ca="1" t="shared" si="135"/>
        <v>0</v>
      </c>
      <c r="M2592" s="56" t="str">
        <f ca="1">IF(F2571&gt;ENTRY!$D$24,"",IF(L2592=0,"Ab",IF(L2592&gt;80,"A",IF(L2592&gt;60,"B",IF(L2592&gt;44,"C",IF(L2592&gt;=33,"D",IF(L2592&lt;=32,"E","")))))))</f>
        <v/>
      </c>
      <c r="N2592" s="29"/>
      <c r="O2592" s="29"/>
      <c r="P2592" s="19"/>
      <c r="Q2592" s="19"/>
      <c r="R2592" s="11"/>
    </row>
    <row r="2593" s="1" customFormat="1" ht="21.95" customHeight="1" spans="1:19">
      <c r="A2593" s="7"/>
      <c r="B2593" s="12"/>
      <c r="C2593" s="33"/>
      <c r="D2593" s="52" t="s">
        <v>549</v>
      </c>
      <c r="E2593" s="53"/>
      <c r="F2593" s="54" t="str">
        <f ca="1">IFERROR(VLOOKUP(F2571,'RR-3.1-5TH'!$A$12:'RR-3.1-5TH'!$BN$111,49,0),"")</f>
        <v/>
      </c>
      <c r="G2593" s="54" t="str">
        <f ca="1">IFERROR(VLOOKUP(F2571,'RR-3.1-5TH'!$A$12:'RR-3.1-5TH'!$BN$111,50,0),"")</f>
        <v/>
      </c>
      <c r="H2593" s="54" t="str">
        <f ca="1">IFERROR(VLOOKUP(F2571,'RR-3.1-5TH'!$A$12:'RR-3.1-5TH'!$BN$111,51,0),"")</f>
        <v/>
      </c>
      <c r="I2593" s="54" t="str">
        <f ca="1">IFERROR(VLOOKUP(F2571,'RR-3.1-5TH'!$A$12:'RR-3.1-5TH'!$BN$111,52,0),"")</f>
        <v/>
      </c>
      <c r="J2593" s="54" t="str">
        <f ca="1">IFERROR(VLOOKUP(F2571,'RR-3.1-5TH'!$A$12:'RR-3.1-5TH'!$BN$111,53,0),"")</f>
        <v/>
      </c>
      <c r="K2593" s="54" t="str">
        <f ca="1">IFERROR(VLOOKUP(F2571,'RR-3.1-5TH'!$A$12:'RR-3.1-5TH'!$BN$111,54,0),"")</f>
        <v/>
      </c>
      <c r="L2593" s="55">
        <f ca="1" t="shared" si="135"/>
        <v>0</v>
      </c>
      <c r="M2593" s="56" t="str">
        <f ca="1">IF(F2571&gt;ENTRY!$D$24,"",IF(L2593=0,"Ab",IF(L2593&gt;80,"A",IF(L2593&gt;60,"B",IF(L2593&gt;44,"C",IF(L2593&gt;=33,"D",IF(L2593&lt;=32,"E","")))))))</f>
        <v/>
      </c>
      <c r="N2593" s="57" t="s">
        <v>752</v>
      </c>
      <c r="O2593" s="58"/>
      <c r="P2593" s="59"/>
      <c r="Q2593" s="19"/>
      <c r="R2593" s="11"/>
    </row>
    <row r="2594" s="1" customFormat="1" ht="21.95" customHeight="1" spans="1:19">
      <c r="A2594" s="7"/>
      <c r="B2594" s="12"/>
      <c r="C2594" s="33"/>
      <c r="D2594" s="52" t="s">
        <v>753</v>
      </c>
      <c r="E2594" s="53"/>
      <c r="F2594" s="60"/>
      <c r="G2594" s="54"/>
      <c r="H2594" s="54"/>
      <c r="I2594" s="54"/>
      <c r="J2594" s="54"/>
      <c r="K2594" s="54"/>
      <c r="L2594" s="55">
        <f t="shared" ref="L2594" si="136">SUM(G2594:K2594)</f>
        <v>0</v>
      </c>
      <c r="M2594" s="56" t="str">
        <f>IF(F2571&gt;ENTRY!$D$24,"",IF(L2594=0,"",IF(L2594&gt;79,"A",IF(L2594&gt;59,"B",IF(L2594&gt;44,"C",IF(L2594&gt;=33,"D",IF(L2594&lt;=32,"E","")))))))</f>
        <v/>
      </c>
      <c r="N2594" s="58"/>
      <c r="O2594" s="58"/>
      <c r="P2594" s="59"/>
      <c r="Q2594" s="19"/>
      <c r="R2594" s="11"/>
    </row>
    <row r="2595" s="1" customFormat="1" ht="21.95" customHeight="1" spans="1:19">
      <c r="A2595" s="7"/>
      <c r="B2595" s="12"/>
      <c r="C2595" s="33"/>
      <c r="D2595" s="45" t="s">
        <v>382</v>
      </c>
      <c r="E2595" s="46"/>
      <c r="F2595" s="54">
        <f ca="1" t="shared" ref="F2595:L2595" si="137">IFERROR(SUM(F2588:F2594),"")</f>
        <v>0</v>
      </c>
      <c r="G2595" s="54">
        <f ca="1" t="shared" si="137"/>
        <v>0</v>
      </c>
      <c r="H2595" s="54">
        <f ca="1" t="shared" si="137"/>
        <v>0</v>
      </c>
      <c r="I2595" s="54">
        <f ca="1" t="shared" si="137"/>
        <v>0</v>
      </c>
      <c r="J2595" s="54">
        <f ca="1" t="shared" si="137"/>
        <v>0</v>
      </c>
      <c r="K2595" s="54">
        <f ca="1" t="shared" si="137"/>
        <v>0</v>
      </c>
      <c r="L2595" s="55">
        <f ca="1" t="shared" si="137"/>
        <v>0</v>
      </c>
      <c r="M2595" s="61" t="str">
        <f ca="1">IF(F2571&gt;ENTRY!$D$24,"",IF(N2596="Ab","Ab",IF(N2596&gt;79.5,"A",IF(N2596&gt;59.5,"B",IF(N2596&gt;44.5,"C",IF(N2596&gt;=33,"D",IF(N2596&lt;33,"E","")))))))</f>
        <v/>
      </c>
      <c r="N2595" s="62"/>
      <c r="O2595" s="58"/>
      <c r="P2595" s="59"/>
      <c r="Q2595" s="19"/>
      <c r="R2595" s="11"/>
    </row>
    <row r="2596" s="1" customFormat="1" ht="21.95" customHeight="1" spans="1:19">
      <c r="A2596" s="7"/>
      <c r="B2596" s="12"/>
      <c r="C2596" s="33"/>
      <c r="D2596" s="63" t="s">
        <v>721</v>
      </c>
      <c r="E2596" s="63"/>
      <c r="F2596" s="63"/>
      <c r="G2596" s="63"/>
      <c r="H2596" s="63"/>
      <c r="I2596" s="63"/>
      <c r="J2596" s="63"/>
      <c r="K2596" s="63"/>
      <c r="L2596" s="63"/>
      <c r="M2596" s="63"/>
      <c r="N2596" s="64">
        <f ca="1">IF(L2595="Ab","Ab",L2595/6)</f>
        <v>0</v>
      </c>
      <c r="O2596" s="65"/>
      <c r="P2596" s="19"/>
      <c r="Q2596" s="19"/>
      <c r="R2596" s="11"/>
    </row>
    <row r="2597" s="1" customFormat="1" ht="21.95" customHeight="1" spans="1:19">
      <c r="A2597" s="7"/>
      <c r="B2597" s="12"/>
      <c r="C2597" s="33"/>
      <c r="D2597" s="29" t="s">
        <v>716</v>
      </c>
      <c r="E2597" s="18" t="str">
        <f>IFERROR(VLOOKUP(F2571,'1to4-2.1-RR'!$A$12:$BG$111,57,0),"")</f>
        <v/>
      </c>
      <c r="F2597" s="18"/>
      <c r="G2597" s="18"/>
      <c r="H2597" s="18"/>
      <c r="I2597" s="18"/>
      <c r="J2597" s="18"/>
      <c r="K2597" s="18"/>
      <c r="L2597" s="18"/>
      <c r="M2597" s="18"/>
      <c r="N2597" s="29"/>
      <c r="O2597" s="29"/>
      <c r="P2597" s="19"/>
      <c r="Q2597" s="19"/>
      <c r="R2597" s="11"/>
    </row>
    <row r="2598" s="1" customFormat="1" ht="9.95" customHeight="1" spans="1:19">
      <c r="A2598" s="7"/>
      <c r="B2598" s="12"/>
      <c r="C2598" s="33"/>
      <c r="D2598" s="29"/>
      <c r="E2598" s="29"/>
      <c r="F2598" s="29"/>
      <c r="G2598" s="29"/>
      <c r="H2598" s="29"/>
      <c r="I2598" s="29"/>
      <c r="J2598" s="29"/>
      <c r="K2598" s="29"/>
      <c r="L2598" s="29"/>
      <c r="M2598" s="29"/>
      <c r="N2598" s="29"/>
      <c r="O2598" s="29"/>
      <c r="P2598" s="19"/>
      <c r="Q2598" s="19"/>
      <c r="R2598" s="11"/>
    </row>
    <row r="2599" s="1" customFormat="1" ht="36" spans="1:19">
      <c r="A2599" s="7"/>
      <c r="B2599" s="12"/>
      <c r="C2599" s="33"/>
      <c r="D2599" s="66" t="s">
        <v>576</v>
      </c>
      <c r="E2599" s="67" t="s">
        <v>754</v>
      </c>
      <c r="F2599" s="47" t="str">
        <f>IF(F2571&gt;ENTRY!$D$24,"",IFERROR(VLOOKUP(F2571,PASHEET!$A$4:$CJ$103,88,0),""))</f>
        <v/>
      </c>
      <c r="G2599" s="67" t="s">
        <v>755</v>
      </c>
      <c r="H2599" s="47" t="str">
        <f>IF(F2571&gt;ENTRY!$D$24,"",IFERROR(VLOOKUP(F2571,PASHEET!$A$4:$CJ$103,87,0),""))</f>
        <v/>
      </c>
      <c r="I2599" s="68" t="s">
        <v>756</v>
      </c>
      <c r="J2599" s="69" t="str">
        <f>IF(F2571&gt;ENTRY!$D$24,"",IFERROR(IF(F2571&gt;0,H2599/F2599*100),""))</f>
        <v/>
      </c>
      <c r="K2599" s="60" t="s">
        <v>757</v>
      </c>
      <c r="L2599" s="70" t="str">
        <f ca="1">IF(F2571&gt;ENTRY!$D$24,"",IFERROR(L2595/600*100,""))</f>
        <v/>
      </c>
      <c r="M2599" s="47" t="str">
        <f ca="1">IF(F2571&gt;ENTRY!$D$24,"",IFERROR(L2595&amp;" / "&amp;"600",""))</f>
        <v/>
      </c>
      <c r="N2599" s="29"/>
      <c r="O2599" s="29"/>
      <c r="P2599" s="19"/>
      <c r="Q2599" s="19"/>
      <c r="R2599" s="11"/>
    </row>
    <row r="2600" s="1" customFormat="1" ht="9.95" customHeight="1" spans="1:19">
      <c r="A2600" s="7"/>
      <c r="B2600" s="12"/>
      <c r="C2600" s="39"/>
      <c r="D2600" s="40"/>
      <c r="E2600" s="40"/>
      <c r="F2600" s="40"/>
      <c r="G2600" s="40"/>
      <c r="H2600" s="40"/>
      <c r="I2600" s="40"/>
      <c r="J2600" s="40"/>
      <c r="K2600" s="40"/>
      <c r="L2600" s="40"/>
      <c r="M2600" s="40"/>
      <c r="N2600" s="40"/>
      <c r="O2600" s="40"/>
      <c r="P2600" s="41"/>
      <c r="Q2600" s="19"/>
      <c r="R2600" s="11"/>
    </row>
    <row r="2601" s="1" customFormat="1" ht="9.95" customHeight="1" spans="1:19">
      <c r="A2601" s="7"/>
      <c r="B2601" s="12"/>
      <c r="C2601" s="71"/>
      <c r="D2601" s="71"/>
      <c r="E2601" s="71"/>
      <c r="F2601" s="29"/>
      <c r="G2601" s="71"/>
      <c r="H2601" s="71"/>
      <c r="I2601" s="71"/>
      <c r="J2601" s="71"/>
      <c r="K2601" s="71"/>
      <c r="L2601" s="71"/>
      <c r="M2601" s="71"/>
      <c r="N2601" s="71"/>
      <c r="O2601" s="71"/>
      <c r="P2601" s="71"/>
      <c r="Q2601" s="19"/>
      <c r="R2601" s="11"/>
    </row>
    <row r="2602" s="1" customFormat="1" ht="9.95" customHeight="1" spans="1:19">
      <c r="A2602" s="7"/>
      <c r="B2602" s="12"/>
      <c r="C2602" s="29"/>
      <c r="D2602" s="29"/>
      <c r="E2602" s="29"/>
      <c r="F2602" s="72"/>
      <c r="G2602" s="29"/>
      <c r="H2602" s="29"/>
      <c r="I2602" s="29"/>
      <c r="J2602" s="29"/>
      <c r="K2602" s="29"/>
      <c r="L2602" s="29"/>
      <c r="M2602" s="29"/>
      <c r="N2602" s="29"/>
      <c r="O2602" s="29"/>
      <c r="P2602" s="29"/>
      <c r="Q2602" s="19"/>
      <c r="R2602" s="11"/>
    </row>
    <row r="2603" s="1" customFormat="1" ht="9.95" customHeight="1" spans="1:19">
      <c r="A2603" s="7"/>
      <c r="B2603" s="12"/>
      <c r="C2603" s="30"/>
      <c r="D2603" s="31"/>
      <c r="E2603" s="31"/>
      <c r="F2603" s="31"/>
      <c r="G2603" s="31"/>
      <c r="H2603" s="31"/>
      <c r="I2603" s="31"/>
      <c r="J2603" s="31"/>
      <c r="K2603" s="31"/>
      <c r="L2603" s="31"/>
      <c r="M2603" s="31"/>
      <c r="N2603" s="31"/>
      <c r="O2603" s="31"/>
      <c r="P2603" s="32"/>
      <c r="Q2603" s="19"/>
      <c r="R2603" s="11"/>
    </row>
    <row r="2604" s="1" customFormat="1" ht="21.95" customHeight="1" spans="1:19">
      <c r="A2604" s="7"/>
      <c r="B2604" s="12"/>
      <c r="C2604" s="73" t="s">
        <v>7</v>
      </c>
      <c r="D2604" s="13"/>
      <c r="E2604" s="13"/>
      <c r="F2604" s="13"/>
      <c r="G2604" s="13"/>
      <c r="H2604" s="13"/>
      <c r="I2604" s="13"/>
      <c r="J2604" s="13"/>
      <c r="K2604" s="13"/>
      <c r="L2604" s="13"/>
      <c r="M2604" s="13"/>
      <c r="N2604" s="13"/>
      <c r="O2604" s="13"/>
      <c r="P2604" s="74"/>
      <c r="Q2604" s="19"/>
      <c r="R2604" s="11"/>
      <c r="S2604" s="2"/>
    </row>
    <row r="2605" s="1" customFormat="1" ht="21.95" customHeight="1" spans="1:19">
      <c r="A2605" s="7"/>
      <c r="B2605" s="12"/>
      <c r="C2605" s="33"/>
      <c r="D2605" s="29"/>
      <c r="E2605" s="29"/>
      <c r="F2605" s="29"/>
      <c r="G2605" s="29"/>
      <c r="H2605" s="29"/>
      <c r="I2605" s="29"/>
      <c r="J2605" s="29"/>
      <c r="K2605" s="29"/>
      <c r="L2605" s="29"/>
      <c r="M2605" s="29"/>
      <c r="N2605" s="29"/>
      <c r="O2605" s="29"/>
      <c r="P2605" s="19"/>
      <c r="Q2605" s="19"/>
      <c r="R2605" s="11"/>
    </row>
    <row r="2606" s="1" customFormat="1" ht="21.95" customHeight="1" spans="1:19">
      <c r="A2606" s="7"/>
      <c r="B2606" s="12"/>
      <c r="C2606" s="75" t="str">
        <f>"SESSION-"&amp;ENTRY!$D$11</f>
        <v>SESSION-2026-27</v>
      </c>
      <c r="D2606" s="15"/>
      <c r="E2606" s="15"/>
      <c r="F2606" s="15"/>
      <c r="G2606" s="15"/>
      <c r="H2606" s="15"/>
      <c r="I2606" s="15"/>
      <c r="J2606" s="15"/>
      <c r="K2606" s="15"/>
      <c r="L2606" s="15"/>
      <c r="M2606" s="15"/>
      <c r="N2606" s="15"/>
      <c r="O2606" s="15"/>
      <c r="P2606" s="76"/>
      <c r="Q2606" s="19"/>
      <c r="R2606" s="11"/>
    </row>
    <row r="2607" s="1" customFormat="1" ht="18" customHeight="1" spans="1:19">
      <c r="A2607" s="7"/>
      <c r="B2607" s="12"/>
      <c r="C2607" s="33"/>
      <c r="D2607" s="29"/>
      <c r="E2607" s="29"/>
      <c r="F2607" s="29"/>
      <c r="G2607" s="29"/>
      <c r="H2607" s="29"/>
      <c r="I2607" s="29"/>
      <c r="J2607" s="29"/>
      <c r="K2607" s="29"/>
      <c r="L2607" s="29"/>
      <c r="M2607" s="29"/>
      <c r="N2607" s="29"/>
      <c r="O2607" s="29"/>
      <c r="P2607" s="19"/>
      <c r="Q2607" s="19"/>
      <c r="R2607" s="11"/>
    </row>
    <row r="2608" s="1" customFormat="1" ht="21.95" customHeight="1" spans="1:19">
      <c r="A2608" s="7"/>
      <c r="B2608" s="12"/>
      <c r="C2608" s="33"/>
      <c r="D2608" s="77" t="s">
        <v>758</v>
      </c>
      <c r="E2608" s="77"/>
      <c r="F2608" s="78" t="str">
        <f>IFERROR(PROPER(VLOOKUP(F2571,STUDENT!$A$2:$BP$101,5,0)),"")</f>
        <v/>
      </c>
      <c r="G2608" s="78"/>
      <c r="H2608" s="78"/>
      <c r="I2608" s="78"/>
      <c r="J2608" s="78"/>
      <c r="K2608" s="78"/>
      <c r="L2608" s="78"/>
      <c r="M2608" s="78"/>
      <c r="N2608" s="79" t="s">
        <v>759</v>
      </c>
      <c r="O2608" s="79"/>
      <c r="P2608" s="19"/>
      <c r="Q2608" s="19"/>
      <c r="R2608" s="11"/>
    </row>
    <row r="2609" s="1" customFormat="1" ht="21.95" customHeight="1" spans="1:18">
      <c r="A2609" s="7"/>
      <c r="B2609" s="12"/>
      <c r="C2609" s="33"/>
      <c r="D2609" s="80" t="s">
        <v>760</v>
      </c>
      <c r="E2609" s="81" t="str">
        <f>IFERROR(PROPER(VLOOKUP(F2571,STUDENT!$A$2:$BP$101,9,0)),"")</f>
        <v/>
      </c>
      <c r="F2609" s="81"/>
      <c r="G2609" s="81"/>
      <c r="H2609" s="80" t="s">
        <v>761</v>
      </c>
      <c r="I2609" s="82" t="str">
        <f>IFERROR(PROPER(VLOOKUP(F2571,STUDENT!$A$2:$BP$101,8,0)),"")</f>
        <v/>
      </c>
      <c r="J2609" s="82"/>
      <c r="K2609" s="82"/>
      <c r="L2609" s="82"/>
      <c r="M2609" s="80" t="s">
        <v>762</v>
      </c>
      <c r="N2609" s="83" t="str">
        <f>IFERROR(VLOOKUP(F2571,STUDENT!$A$2:$BP$101,59,0),"")</f>
        <v/>
      </c>
      <c r="O2609" s="83"/>
      <c r="P2609" s="19"/>
      <c r="Q2609" s="19"/>
      <c r="R2609" s="11"/>
    </row>
    <row r="2610" s="1" customFormat="1" ht="21.95" customHeight="1" spans="1:18">
      <c r="A2610" s="7"/>
      <c r="B2610" s="12"/>
      <c r="C2610" s="33"/>
      <c r="D2610" s="77" t="str">
        <f>"has    completed     his  /  her     primary     level     education    in    the    year    "&amp;RIGHT(ENTRY!$D2576,4)&amp;"    from    ( School    Name )"</f>
        <v>has    completed     his  /  her     primary     level     education    in    the    year        from    ( School    Name )</v>
      </c>
      <c r="E2610" s="77"/>
      <c r="F2610" s="77"/>
      <c r="G2610" s="77"/>
      <c r="H2610" s="77"/>
      <c r="I2610" s="77"/>
      <c r="J2610" s="77"/>
      <c r="K2610" s="77"/>
      <c r="L2610" s="77"/>
      <c r="M2610" s="77"/>
      <c r="N2610" s="77"/>
      <c r="O2610" s="77"/>
      <c r="P2610" s="19"/>
      <c r="Q2610" s="19"/>
      <c r="R2610" s="11"/>
    </row>
    <row r="2611" s="1" customFormat="1" ht="21.95" customHeight="1" spans="1:18">
      <c r="A2611" s="7"/>
      <c r="B2611" s="12"/>
      <c r="C2611" s="33"/>
      <c r="D2611" s="81" t="str">
        <f>IF(F2571&gt;0,ENTRY!$D$6,"")</f>
        <v>MCP NITHARI NO 1 BOYS</v>
      </c>
      <c r="E2611" s="81"/>
      <c r="F2611" s="81"/>
      <c r="G2611" s="81"/>
      <c r="H2611" s="81"/>
      <c r="I2611" s="81"/>
      <c r="J2611" s="81"/>
      <c r="K2611" s="81"/>
      <c r="L2611" s="81"/>
      <c r="M2611" s="80" t="s">
        <v>763</v>
      </c>
      <c r="N2611" s="84">
        <f>IF(F2571&gt;0,ENTRY!$D$7,"")</f>
        <v>0</v>
      </c>
      <c r="O2611" s="84"/>
      <c r="P2611" s="85" t="s">
        <v>727</v>
      </c>
      <c r="Q2611" s="19"/>
      <c r="R2611" s="11"/>
    </row>
    <row r="2612" s="1" customFormat="1" ht="21.95" customHeight="1" spans="1:18">
      <c r="A2612" s="7"/>
      <c r="B2612" s="12"/>
      <c r="C2612" s="33"/>
      <c r="D2612" s="29"/>
      <c r="E2612" s="29"/>
      <c r="F2612" s="29"/>
      <c r="G2612" s="29"/>
      <c r="H2612" s="29"/>
      <c r="I2612" s="29"/>
      <c r="J2612" s="29"/>
      <c r="K2612" s="29"/>
      <c r="L2612" s="29"/>
      <c r="M2612" s="29"/>
      <c r="N2612" s="29"/>
      <c r="O2612" s="29"/>
      <c r="P2612" s="19"/>
      <c r="Q2612" s="19"/>
      <c r="R2612" s="11"/>
    </row>
    <row r="2613" s="1" customFormat="1" ht="21.95" customHeight="1" spans="1:18">
      <c r="A2613" s="7"/>
      <c r="B2613" s="12"/>
      <c r="C2613" s="33"/>
      <c r="D2613" s="29"/>
      <c r="E2613" s="29"/>
      <c r="F2613" s="29"/>
      <c r="G2613" s="29"/>
      <c r="H2613" s="29"/>
      <c r="I2613" s="29"/>
      <c r="J2613" s="29"/>
      <c r="K2613" s="29"/>
      <c r="L2613" s="29"/>
      <c r="M2613" s="29"/>
      <c r="N2613" s="29"/>
      <c r="O2613" s="29"/>
      <c r="P2613" s="19"/>
      <c r="Q2613" s="19"/>
      <c r="R2613" s="11"/>
    </row>
    <row r="2614" s="1" customFormat="1" ht="21.95" customHeight="1" spans="1:18">
      <c r="A2614" s="7"/>
      <c r="B2614" s="12"/>
      <c r="C2614" s="33"/>
      <c r="D2614" s="29"/>
      <c r="E2614" s="29"/>
      <c r="F2614" s="29"/>
      <c r="G2614" s="29"/>
      <c r="H2614" s="29"/>
      <c r="I2614" s="29"/>
      <c r="J2614" s="29"/>
      <c r="K2614" s="29"/>
      <c r="L2614" s="29"/>
      <c r="M2614" s="29"/>
      <c r="N2614" s="29"/>
      <c r="O2614" s="29"/>
      <c r="P2614" s="19"/>
      <c r="Q2614" s="19"/>
      <c r="R2614" s="11"/>
    </row>
    <row r="2615" s="1" customFormat="1" ht="21.95" customHeight="1" spans="1:18">
      <c r="A2615" s="7"/>
      <c r="B2615" s="12"/>
      <c r="C2615" s="33"/>
      <c r="D2615" s="29"/>
      <c r="E2615" s="29"/>
      <c r="F2615" s="29"/>
      <c r="G2615" s="29"/>
      <c r="H2615" s="29"/>
      <c r="I2615" s="29"/>
      <c r="J2615" s="29"/>
      <c r="K2615" s="29"/>
      <c r="L2615" s="29"/>
      <c r="M2615" s="29"/>
      <c r="N2615" s="29"/>
      <c r="O2615" s="29"/>
      <c r="P2615" s="19"/>
      <c r="Q2615" s="19"/>
      <c r="R2615" s="11"/>
    </row>
    <row r="2616" s="1" customFormat="1" ht="21.95" customHeight="1" spans="1:18">
      <c r="A2616" s="7"/>
      <c r="B2616" s="12"/>
      <c r="C2616" s="33"/>
      <c r="D2616" s="29"/>
      <c r="E2616" s="29"/>
      <c r="F2616" s="29"/>
      <c r="G2616" s="29"/>
      <c r="H2616" s="29"/>
      <c r="I2616" s="29"/>
      <c r="J2616" s="29"/>
      <c r="K2616" s="29"/>
      <c r="L2616" s="29"/>
      <c r="M2616" s="29"/>
      <c r="N2616" s="29"/>
      <c r="O2616" s="29"/>
      <c r="P2616" s="19"/>
      <c r="Q2616" s="19"/>
      <c r="R2616" s="11"/>
    </row>
    <row r="2617" s="1" customFormat="1" ht="21.95" customHeight="1" spans="1:18">
      <c r="A2617" s="7"/>
      <c r="B2617" s="12"/>
      <c r="C2617" s="33"/>
      <c r="D2617" s="80" t="s">
        <v>728</v>
      </c>
      <c r="E2617" s="86">
        <f>ENTRY!$D$27</f>
        <v>46102</v>
      </c>
      <c r="F2617" s="86"/>
      <c r="G2617" s="29"/>
      <c r="H2617" s="29"/>
      <c r="I2617" s="29"/>
      <c r="J2617" s="29"/>
      <c r="K2617" s="29"/>
      <c r="L2617" s="29"/>
      <c r="M2617" s="87" t="s">
        <v>730</v>
      </c>
      <c r="N2617" s="87"/>
      <c r="O2617" s="87"/>
      <c r="P2617" s="19"/>
      <c r="Q2617" s="19"/>
      <c r="R2617" s="11"/>
    </row>
    <row r="2618" s="1" customFormat="1" ht="21.95" customHeight="1" spans="1:18">
      <c r="A2618" s="7"/>
      <c r="B2618" s="12"/>
      <c r="C2618" s="33"/>
      <c r="D2618" s="80" t="s">
        <v>731</v>
      </c>
      <c r="E2618" s="88" t="str">
        <f>PROPER(ENTRY!$D$28)</f>
        <v>New Delhi</v>
      </c>
      <c r="F2618" s="88"/>
      <c r="G2618" s="29"/>
      <c r="H2618" s="29"/>
      <c r="I2618" s="29"/>
      <c r="J2618" s="29"/>
      <c r="K2618" s="29"/>
      <c r="L2618" s="29"/>
      <c r="M2618" s="89" t="s">
        <v>732</v>
      </c>
      <c r="N2618" s="89"/>
      <c r="O2618" s="89"/>
      <c r="P2618" s="19"/>
      <c r="Q2618" s="19"/>
      <c r="R2618" s="11"/>
    </row>
    <row r="2619" s="1" customFormat="1" ht="21.95" customHeight="1" spans="1:18">
      <c r="A2619" s="7"/>
      <c r="B2619" s="12"/>
      <c r="C2619" s="90"/>
      <c r="D2619" s="91"/>
      <c r="E2619" s="91"/>
      <c r="F2619" s="91"/>
      <c r="G2619" s="91"/>
      <c r="H2619" s="91"/>
      <c r="I2619" s="91"/>
      <c r="J2619" s="91"/>
      <c r="K2619" s="91"/>
      <c r="L2619" s="91"/>
      <c r="M2619" s="91"/>
      <c r="N2619" s="91"/>
      <c r="O2619" s="91"/>
      <c r="P2619" s="92"/>
      <c r="Q2619" s="14"/>
      <c r="R2619" s="11"/>
    </row>
    <row r="2620" s="1" customFormat="1" ht="5.1" customHeight="1" spans="1:18">
      <c r="A2620" s="7"/>
      <c r="B2620" s="90"/>
      <c r="C2620" s="91"/>
      <c r="D2620" s="91"/>
      <c r="E2620" s="91"/>
      <c r="F2620" s="91"/>
      <c r="G2620" s="91"/>
      <c r="H2620" s="91"/>
      <c r="I2620" s="91"/>
      <c r="J2620" s="91"/>
      <c r="K2620" s="91"/>
      <c r="L2620" s="91"/>
      <c r="M2620" s="91"/>
      <c r="N2620" s="91"/>
      <c r="O2620" s="91"/>
      <c r="P2620" s="91"/>
      <c r="Q2620" s="92"/>
      <c r="R2620" s="11"/>
    </row>
    <row r="2621" s="1" customFormat="1" ht="5.1" customHeight="1" spans="1:18">
      <c r="A2621" s="93"/>
      <c r="B2621" s="94"/>
      <c r="C2621" s="94"/>
      <c r="D2621" s="94"/>
      <c r="E2621" s="94"/>
      <c r="F2621" s="94"/>
      <c r="G2621" s="94"/>
      <c r="H2621" s="94"/>
      <c r="I2621" s="94"/>
      <c r="J2621" s="94"/>
      <c r="K2621" s="94"/>
      <c r="L2621" s="94"/>
      <c r="M2621" s="94"/>
      <c r="N2621" s="94"/>
      <c r="O2621" s="94"/>
      <c r="P2621" s="94"/>
      <c r="Q2621" s="94"/>
      <c r="R2621" s="95"/>
    </row>
    <row r="2622" s="2" customFormat="1" ht="9.95" customHeight="1"/>
    <row r="2623" s="1" customFormat="1" ht="5.1" customHeight="1" spans="1:18">
      <c r="A2623" s="4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  <c r="O2623" s="5"/>
      <c r="P2623" s="5"/>
      <c r="Q2623" s="5"/>
      <c r="R2623" s="6"/>
    </row>
    <row r="2624" s="1" customFormat="1" ht="15" customHeight="1" spans="1:18">
      <c r="A2624" s="7"/>
      <c r="B2624" s="8"/>
      <c r="C2624" s="9"/>
      <c r="D2624" s="9"/>
      <c r="E2624" s="9"/>
      <c r="F2624" s="9"/>
      <c r="G2624" s="9"/>
      <c r="H2624" s="9"/>
      <c r="I2624" s="9"/>
      <c r="J2624" s="9"/>
      <c r="K2624" s="9"/>
      <c r="L2624" s="9"/>
      <c r="M2624" s="9"/>
      <c r="N2624" s="9"/>
      <c r="O2624" s="9"/>
      <c r="P2624" s="9"/>
      <c r="Q2624" s="10"/>
      <c r="R2624" s="11"/>
    </row>
    <row r="2625" s="1" customFormat="1" ht="21.95" customHeight="1" spans="1:18">
      <c r="A2625" s="7"/>
      <c r="B2625" s="12"/>
      <c r="C2625" s="13" t="s">
        <v>7</v>
      </c>
      <c r="D2625" s="13"/>
      <c r="E2625" s="13"/>
      <c r="F2625" s="13"/>
      <c r="G2625" s="13"/>
      <c r="H2625" s="13"/>
      <c r="I2625" s="13"/>
      <c r="J2625" s="13"/>
      <c r="K2625" s="13"/>
      <c r="L2625" s="13"/>
      <c r="M2625" s="13"/>
      <c r="N2625" s="13"/>
      <c r="O2625" s="13"/>
      <c r="P2625" s="13"/>
      <c r="Q2625" s="14"/>
      <c r="R2625" s="11"/>
    </row>
    <row r="2626" s="1" customFormat="1" ht="21.95" customHeight="1" spans="1:18">
      <c r="A2626" s="7"/>
      <c r="B2626" s="1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14"/>
      <c r="R2626" s="11"/>
    </row>
    <row r="2627" s="1" customFormat="1" ht="21.95" customHeight="1" spans="1:18">
      <c r="A2627" s="7"/>
      <c r="B2627" s="12"/>
      <c r="C2627" s="15" t="str">
        <f>"SESSION-"&amp;ENTRY!$D$11</f>
        <v>SESSION-2026-27</v>
      </c>
      <c r="D2627" s="15"/>
      <c r="E2627" s="15"/>
      <c r="F2627" s="15"/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4"/>
      <c r="R2627" s="11"/>
    </row>
    <row r="2628" s="1" customFormat="1" ht="21.95" customHeight="1" spans="1:18">
      <c r="A2628" s="7"/>
      <c r="B2628" s="12"/>
      <c r="C2628" s="2"/>
      <c r="D2628" s="2"/>
      <c r="E2628" s="2"/>
      <c r="F2628" s="16">
        <f>F2571+1</f>
        <v>47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14"/>
      <c r="R2628" s="11"/>
    </row>
    <row r="2629" s="1" customFormat="1" ht="21.95" customHeight="1" spans="1:18">
      <c r="A2629" s="7"/>
      <c r="B2629" s="12"/>
      <c r="C2629" s="17" t="s">
        <v>392</v>
      </c>
      <c r="D2629" s="17"/>
      <c r="E2629" s="17"/>
      <c r="F2629" s="18" t="str">
        <f>IF(F2628&gt;0,ENTRY!$D$6,"")</f>
        <v>MCP NITHARI NO 1 BOYS</v>
      </c>
      <c r="G2629" s="18"/>
      <c r="H2629" s="18"/>
      <c r="I2629" s="18"/>
      <c r="J2629" s="18"/>
      <c r="K2629" s="18"/>
      <c r="L2629" s="18"/>
      <c r="M2629" s="18"/>
      <c r="N2629" s="18"/>
      <c r="O2629" s="18"/>
      <c r="P2629" s="18"/>
      <c r="Q2629" s="19"/>
      <c r="R2629" s="11"/>
    </row>
    <row r="2630" s="1" customFormat="1" ht="21.95" customHeight="1" spans="1:18">
      <c r="A2630" s="7"/>
      <c r="B2630" s="12"/>
      <c r="C2630" s="17" t="s">
        <v>393</v>
      </c>
      <c r="D2630" s="17"/>
      <c r="E2630" s="17"/>
      <c r="F2630" s="18">
        <f>IF(F2628&gt;0,ENTRY!$D$7,"")</f>
        <v>0</v>
      </c>
      <c r="G2630" s="18"/>
      <c r="H2630" s="20" t="s">
        <v>702</v>
      </c>
      <c r="I2630" s="20"/>
      <c r="J2630" s="21">
        <f>IF(F2628&gt;0,ENTRY!$D$10,"")</f>
        <v>40</v>
      </c>
      <c r="K2630" s="20" t="s">
        <v>703</v>
      </c>
      <c r="L2630" s="22" t="str">
        <f>IF(F2628&gt;0,ENTRY!$D$5,"")</f>
        <v>ROHINI ZONE</v>
      </c>
      <c r="M2630" s="22"/>
      <c r="N2630" s="22"/>
      <c r="O2630" s="22"/>
      <c r="P2630" s="22"/>
      <c r="Q2630" s="19"/>
      <c r="R2630" s="11"/>
    </row>
    <row r="2631" s="1" customFormat="1" ht="21.95" customHeight="1" spans="1:18">
      <c r="A2631" s="7"/>
      <c r="B2631" s="12"/>
      <c r="C2631" s="17" t="s">
        <v>706</v>
      </c>
      <c r="D2631" s="17"/>
      <c r="E2631" s="17"/>
      <c r="F2631" s="23">
        <f>IFERROR(VLOOKUP(F2628,STUDENT!$A$2:$BP$101,5,0),"")</f>
        <v>0</v>
      </c>
      <c r="G2631" s="23"/>
      <c r="H2631" s="23"/>
      <c r="I2631" s="23"/>
      <c r="J2631" s="23"/>
      <c r="K2631" s="23"/>
      <c r="L2631" s="20" t="s">
        <v>707</v>
      </c>
      <c r="M2631" s="20"/>
      <c r="N2631" s="24" t="str">
        <f>IF(F2628&gt;0,ENTRY!$D$20&amp;"-"&amp;ENTRY!$D$21,"")</f>
        <v>III-A</v>
      </c>
      <c r="O2631" s="24"/>
      <c r="P2631" s="24"/>
      <c r="Q2631" s="19"/>
      <c r="R2631" s="11"/>
    </row>
    <row r="2632" s="1" customFormat="1" ht="21.95" customHeight="1" spans="1:18">
      <c r="A2632" s="7"/>
      <c r="B2632" s="12"/>
      <c r="C2632" s="17" t="s">
        <v>708</v>
      </c>
      <c r="D2632" s="17"/>
      <c r="E2632" s="17"/>
      <c r="F2632" s="25">
        <f>IFERROR(VLOOKUP(F2628,STUDENT!$A$2:$BP$101,6,0),"")</f>
        <v>0</v>
      </c>
      <c r="G2632" s="25"/>
      <c r="H2632" s="26" t="s">
        <v>709</v>
      </c>
      <c r="I2632" s="27" t="str">
        <f>IFERROR(VLOOKUP(F2628,STUDENT!$A$2:$BP$101,59,0),"")</f>
        <v/>
      </c>
      <c r="J2632" s="27"/>
      <c r="K2632" s="20" t="s">
        <v>710</v>
      </c>
      <c r="L2632" s="20"/>
      <c r="M2632" s="28">
        <f>IFERROR(VLOOKUP(F2628,STUDENT!$A$2:$BP$101,20,0),"")</f>
        <v>0</v>
      </c>
      <c r="N2632" s="28"/>
      <c r="O2632" s="28"/>
      <c r="P2632" s="28"/>
      <c r="Q2632" s="19"/>
      <c r="R2632" s="11"/>
    </row>
    <row r="2633" s="1" customFormat="1" ht="21.95" customHeight="1" spans="1:18">
      <c r="A2633" s="7"/>
      <c r="B2633" s="12"/>
      <c r="C2633" s="17" t="s">
        <v>711</v>
      </c>
      <c r="D2633" s="17"/>
      <c r="E2633" s="17"/>
      <c r="F2633" s="23">
        <f>IFERROR(VLOOKUP(F2628,STUDENT!$A$2:$BP$101,9,0),"")</f>
        <v>0</v>
      </c>
      <c r="G2633" s="23"/>
      <c r="H2633" s="23"/>
      <c r="I2633" s="23"/>
      <c r="J2633" s="17" t="s">
        <v>620</v>
      </c>
      <c r="K2633" s="17"/>
      <c r="L2633" s="23">
        <f>IFERROR(VLOOKUP(F2628,STUDENT!$A$2:$BP$101,8,0),"")</f>
        <v>0</v>
      </c>
      <c r="M2633" s="23"/>
      <c r="N2633" s="23"/>
      <c r="O2633" s="23"/>
      <c r="P2633" s="23"/>
      <c r="Q2633" s="19"/>
      <c r="R2633" s="11"/>
    </row>
    <row r="2634" s="1" customFormat="1" ht="21.95" customHeight="1" spans="1:18">
      <c r="A2634" s="7"/>
      <c r="B2634" s="12"/>
      <c r="C2634" s="17" t="s">
        <v>712</v>
      </c>
      <c r="D2634" s="17"/>
      <c r="E2634" s="17"/>
      <c r="F2634" s="23">
        <f>IFERROR(VLOOKUP(F2628,STUDENT!$A$2:$BP$101,22,0),"")</f>
        <v>0</v>
      </c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19"/>
      <c r="R2634" s="11"/>
    </row>
    <row r="2635" s="1" customFormat="1" ht="9.95" customHeight="1" spans="1:18">
      <c r="A2635" s="7"/>
      <c r="B2635" s="12"/>
      <c r="C2635" s="29"/>
      <c r="D2635" s="29"/>
      <c r="E2635" s="29"/>
      <c r="F2635" s="29"/>
      <c r="G2635" s="29"/>
      <c r="H2635" s="29"/>
      <c r="I2635" s="29"/>
      <c r="J2635" s="29"/>
      <c r="K2635" s="29"/>
      <c r="L2635" s="29"/>
      <c r="M2635" s="29"/>
      <c r="N2635" s="29"/>
      <c r="O2635" s="29"/>
      <c r="P2635" s="29"/>
      <c r="Q2635" s="19"/>
      <c r="R2635" s="11"/>
    </row>
    <row r="2636" s="1" customFormat="1" ht="9.95" customHeight="1" spans="1:18">
      <c r="A2636" s="7"/>
      <c r="B2636" s="12"/>
      <c r="C2636" s="30"/>
      <c r="D2636" s="31"/>
      <c r="E2636" s="31"/>
      <c r="F2636" s="31"/>
      <c r="G2636" s="31"/>
      <c r="H2636" s="31"/>
      <c r="I2636" s="31"/>
      <c r="J2636" s="31"/>
      <c r="K2636" s="31"/>
      <c r="L2636" s="31"/>
      <c r="M2636" s="31"/>
      <c r="N2636" s="31"/>
      <c r="O2636" s="31"/>
      <c r="P2636" s="32"/>
      <c r="Q2636" s="19"/>
      <c r="R2636" s="11"/>
    </row>
    <row r="2637" s="1" customFormat="1" ht="21.95" customHeight="1" spans="1:18">
      <c r="A2637" s="7"/>
      <c r="B2637" s="12"/>
      <c r="C2637" s="33"/>
      <c r="D2637" s="34" t="s">
        <v>713</v>
      </c>
      <c r="E2637" s="20" t="s">
        <v>714</v>
      </c>
      <c r="F2637" s="35" t="str">
        <f>"Level - "&amp;IFERROR(VLOOKUP(F2628,FLN!$A$4:$K$103,9,0),"")</f>
        <v>Level - </v>
      </c>
      <c r="G2637" s="36"/>
      <c r="H2637" s="37" t="s">
        <v>715</v>
      </c>
      <c r="I2637" s="20"/>
      <c r="J2637" s="35" t="str">
        <f>"Level - "&amp;IFERROR(VLOOKUP(F2628,FLN!$A$4:$K$103,11,0),"")</f>
        <v>Level - </v>
      </c>
      <c r="K2637" s="36"/>
      <c r="L2637" s="37" t="s">
        <v>408</v>
      </c>
      <c r="M2637" s="20"/>
      <c r="N2637" s="35" t="str">
        <f>"Level - "&amp;IFERROR(VLOOKUP(F2628,FLN!$A$4:$K$103,10,0),"")</f>
        <v>Level - </v>
      </c>
      <c r="O2637" s="36"/>
      <c r="P2637" s="19"/>
      <c r="Q2637" s="19"/>
      <c r="R2637" s="11"/>
    </row>
    <row r="2638" s="1" customFormat="1" ht="21.95" customHeight="1" spans="1:18">
      <c r="A2638" s="7"/>
      <c r="B2638" s="12"/>
      <c r="C2638" s="33"/>
      <c r="D2638" s="38"/>
      <c r="E2638" s="20" t="s">
        <v>716</v>
      </c>
      <c r="F2638" s="18" t="str">
        <f ca="1">IF(L2652&gt;197,"PERFORMED WELL","")</f>
        <v/>
      </c>
      <c r="G2638" s="18"/>
      <c r="H2638" s="18"/>
      <c r="I2638" s="18"/>
      <c r="J2638" s="18"/>
      <c r="K2638" s="18"/>
      <c r="L2638" s="18"/>
      <c r="M2638" s="18"/>
      <c r="N2638" s="18"/>
      <c r="O2638" s="18"/>
      <c r="P2638" s="19"/>
      <c r="Q2638" s="19"/>
      <c r="R2638" s="11"/>
    </row>
    <row r="2639" s="1" customFormat="1" ht="9.95" customHeight="1" spans="1:18">
      <c r="A2639" s="7"/>
      <c r="B2639" s="12"/>
      <c r="C2639" s="39"/>
      <c r="D2639" s="40"/>
      <c r="E2639" s="40"/>
      <c r="F2639" s="40"/>
      <c r="G2639" s="40"/>
      <c r="H2639" s="40"/>
      <c r="I2639" s="40"/>
      <c r="J2639" s="40"/>
      <c r="K2639" s="40"/>
      <c r="L2639" s="40"/>
      <c r="M2639" s="40"/>
      <c r="N2639" s="40"/>
      <c r="O2639" s="40"/>
      <c r="P2639" s="41"/>
      <c r="Q2639" s="19"/>
      <c r="R2639" s="11"/>
    </row>
    <row r="2640" s="1" customFormat="1" ht="9.95" customHeight="1" spans="1:18">
      <c r="A2640" s="7"/>
      <c r="B2640" s="12"/>
      <c r="C2640" s="29"/>
      <c r="D2640" s="29"/>
      <c r="E2640" s="29"/>
      <c r="F2640" s="29"/>
      <c r="G2640" s="29"/>
      <c r="H2640" s="29"/>
      <c r="I2640" s="29"/>
      <c r="J2640" s="29"/>
      <c r="K2640" s="29"/>
      <c r="L2640" s="29"/>
      <c r="M2640" s="29"/>
      <c r="N2640" s="29"/>
      <c r="O2640" s="29"/>
      <c r="P2640" s="29"/>
      <c r="Q2640" s="19"/>
      <c r="R2640" s="11"/>
    </row>
    <row r="2641" s="1" customFormat="1" ht="9.95" customHeight="1" spans="1:18">
      <c r="A2641" s="7"/>
      <c r="B2641" s="12"/>
      <c r="C2641" s="30"/>
      <c r="D2641" s="31"/>
      <c r="E2641" s="31"/>
      <c r="F2641" s="31"/>
      <c r="G2641" s="31"/>
      <c r="H2641" s="31"/>
      <c r="I2641" s="31"/>
      <c r="J2641" s="31"/>
      <c r="K2641" s="31"/>
      <c r="L2641" s="31"/>
      <c r="M2641" s="31"/>
      <c r="N2641" s="31"/>
      <c r="O2641" s="31"/>
      <c r="P2641" s="32"/>
      <c r="Q2641" s="19"/>
      <c r="R2641" s="11"/>
    </row>
    <row r="2642" s="1" customFormat="1" ht="21.95" customHeight="1" spans="1:18">
      <c r="A2642" s="7"/>
      <c r="B2642" s="12"/>
      <c r="C2642" s="33"/>
      <c r="D2642" s="35"/>
      <c r="E2642" s="24"/>
      <c r="F2642" s="42" t="s">
        <v>717</v>
      </c>
      <c r="G2642" s="42"/>
      <c r="H2642" s="42"/>
      <c r="I2642" s="42"/>
      <c r="J2642" s="42"/>
      <c r="K2642" s="42"/>
      <c r="L2642" s="43"/>
      <c r="M2642" s="44"/>
      <c r="N2642" s="29"/>
      <c r="O2642" s="29"/>
      <c r="P2642" s="19"/>
      <c r="Q2642" s="19"/>
      <c r="R2642" s="11"/>
    </row>
    <row r="2643" s="1" customFormat="1" ht="21.95" customHeight="1" spans="1:18">
      <c r="A2643" s="7"/>
      <c r="B2643" s="12"/>
      <c r="C2643" s="33"/>
      <c r="D2643" s="45"/>
      <c r="E2643" s="46"/>
      <c r="F2643" s="47" t="s">
        <v>541</v>
      </c>
      <c r="G2643" s="47" t="s">
        <v>542</v>
      </c>
      <c r="H2643" s="47" t="s">
        <v>543</v>
      </c>
      <c r="I2643" s="47" t="s">
        <v>544</v>
      </c>
      <c r="J2643" s="47" t="s">
        <v>561</v>
      </c>
      <c r="K2643" s="48" t="s">
        <v>750</v>
      </c>
      <c r="L2643" s="47" t="s">
        <v>382</v>
      </c>
      <c r="M2643" s="49" t="s">
        <v>546</v>
      </c>
      <c r="N2643" s="29"/>
      <c r="O2643" s="29"/>
      <c r="P2643" s="19"/>
      <c r="Q2643" s="19"/>
      <c r="R2643" s="11"/>
    </row>
    <row r="2644" s="1" customFormat="1" ht="21.95" customHeight="1" spans="1:18">
      <c r="A2644" s="7"/>
      <c r="B2644" s="12"/>
      <c r="C2644" s="33"/>
      <c r="D2644" s="45" t="s">
        <v>652</v>
      </c>
      <c r="E2644" s="46"/>
      <c r="F2644" s="50">
        <v>10</v>
      </c>
      <c r="G2644" s="50">
        <v>10</v>
      </c>
      <c r="H2644" s="50">
        <v>10</v>
      </c>
      <c r="I2644" s="50">
        <v>10</v>
      </c>
      <c r="J2644" s="50">
        <v>60</v>
      </c>
      <c r="K2644" s="51"/>
      <c r="L2644" s="50">
        <v>100</v>
      </c>
      <c r="M2644" s="49"/>
      <c r="N2644" s="29"/>
      <c r="O2644" s="29"/>
      <c r="P2644" s="19"/>
      <c r="Q2644" s="19"/>
      <c r="R2644" s="11"/>
    </row>
    <row r="2645" s="1" customFormat="1" ht="21.95" customHeight="1" spans="1:18">
      <c r="A2645" s="7"/>
      <c r="B2645" s="12"/>
      <c r="C2645" s="33"/>
      <c r="D2645" s="52" t="s">
        <v>751</v>
      </c>
      <c r="E2645" s="53"/>
      <c r="F2645" s="54" t="str">
        <f ca="1">IFERROR(VLOOKUP(F2628,'RR-3.1-5TH'!$A$12:'RR-3.1-5TH'!$BN$111,9,0),"")</f>
        <v/>
      </c>
      <c r="G2645" s="54" t="str">
        <f ca="1">IFERROR(VLOOKUP(F2628,'RR-3.1-5TH'!$A$12:'RR-3.1-5TH'!$BN$111,10,0),"")</f>
        <v/>
      </c>
      <c r="H2645" s="54" t="str">
        <f ca="1">IFERROR(VLOOKUP(F2628,'RR-3.1-5TH'!$A$12:'RR-3.1-5TH'!$BN$111,11,0),"")</f>
        <v/>
      </c>
      <c r="I2645" s="54" t="str">
        <f ca="1">IFERROR(VLOOKUP(F2628,'RR-3.1-5TH'!$A$12:'RR-3.1-5TH'!$BN$111,12,0),"")</f>
        <v/>
      </c>
      <c r="J2645" s="54" t="str">
        <f ca="1">IFERROR(VLOOKUP(F2628,'RR-3.1-5TH'!$A$12:'RR-3.1-5TH'!$BN$111,13,0),"")</f>
        <v/>
      </c>
      <c r="K2645" s="54" t="str">
        <f ca="1">IFERROR(VLOOKUP(F2628,'RR-3.1-5TH'!$A$12:'RR-3.1-5TH'!$BN$111,14,0),"")</f>
        <v/>
      </c>
      <c r="L2645" s="55">
        <f ca="1" t="shared" ref="L2645:L2650" si="138">SUM(F2645,G2645,H2645,I2645,J2645,K2645)</f>
        <v>0</v>
      </c>
      <c r="M2645" s="56" t="str">
        <f ca="1">IF(F2628&gt;ENTRY!$D$24,"",IF(L2645=0,"Ab",IF(L2645&gt;80,"A",IF(L2645&gt;60,"B",IF(L2645&gt;44,"C",IF(L2645&gt;=33,"D",IF(L2645&lt;=32,"E","")))))))</f>
        <v/>
      </c>
      <c r="N2645" s="57" t="s">
        <v>729</v>
      </c>
      <c r="O2645" s="58"/>
      <c r="P2645" s="59"/>
      <c r="Q2645" s="19"/>
      <c r="R2645" s="11"/>
    </row>
    <row r="2646" s="1" customFormat="1" ht="21.95" customHeight="1" spans="1:18">
      <c r="A2646" s="7"/>
      <c r="B2646" s="12"/>
      <c r="C2646" s="33"/>
      <c r="D2646" s="52" t="s">
        <v>513</v>
      </c>
      <c r="E2646" s="53"/>
      <c r="F2646" s="54" t="str">
        <f ca="1">IFERROR(VLOOKUP(F2628,'RR-3.1-5TH'!$A$12:'RR-3.1-5TH'!$BN$111,17,0),"")</f>
        <v/>
      </c>
      <c r="G2646" s="54" t="str">
        <f ca="1">IFERROR(VLOOKUP(F2628,'RR-3.1-5TH'!$A$12:'RR-3.1-5TH'!$BN$111,18,0),"")</f>
        <v/>
      </c>
      <c r="H2646" s="54" t="str">
        <f ca="1">IFERROR(VLOOKUP(F2628,'RR-3.1-5TH'!$A$12:'RR-3.1-5TH'!$BN$111,19,0),"")</f>
        <v/>
      </c>
      <c r="I2646" s="54" t="str">
        <f ca="1">IFERROR(VLOOKUP(F2628,'RR-3.1-5TH'!$A$12:'RR-3.1-5TH'!$BN$111,20,0),"")</f>
        <v/>
      </c>
      <c r="J2646" s="54" t="str">
        <f ca="1">IFERROR(VLOOKUP(F2628,'RR-3.1-5TH'!$A$12:'RR-3.1-5TH'!$BN$111,21,0),"")</f>
        <v/>
      </c>
      <c r="K2646" s="54" t="str">
        <f ca="1">IFERROR(VLOOKUP(F2628,'RR-3.1-5TH'!$A$12:'RR-3.1-5TH'!$BN$111,22,0),"")</f>
        <v/>
      </c>
      <c r="L2646" s="55">
        <f ca="1" t="shared" si="138"/>
        <v>0</v>
      </c>
      <c r="M2646" s="56" t="str">
        <f ca="1">IF(F2628&gt;ENTRY!$D$24,"",IF(L2646=0,"Ab",IF(L2646&gt;80,"A",IF(L2646&gt;60,"B",IF(L2646&gt;44,"C",IF(L2646&gt;=33,"D",IF(L2646&lt;=32,"E","")))))))</f>
        <v/>
      </c>
      <c r="N2646" s="58"/>
      <c r="O2646" s="58"/>
      <c r="P2646" s="59"/>
      <c r="Q2646" s="19"/>
      <c r="R2646" s="11"/>
    </row>
    <row r="2647" s="1" customFormat="1" ht="21.95" customHeight="1" spans="1:18">
      <c r="A2647" s="7"/>
      <c r="B2647" s="12"/>
      <c r="C2647" s="33"/>
      <c r="D2647" s="52" t="s">
        <v>718</v>
      </c>
      <c r="E2647" s="53"/>
      <c r="F2647" s="54" t="str">
        <f ca="1">IFERROR(VLOOKUP(F2628,'RR-3.1-5TH'!$A$12:'RR-3.1-5TH'!$BN$111,25,0),"")</f>
        <v/>
      </c>
      <c r="G2647" s="54" t="str">
        <f ca="1">IFERROR(VLOOKUP(F2628,'RR-3.1-5TH'!$A$12:'RR-3.1-5TH'!$BN$111,26,0),"")</f>
        <v/>
      </c>
      <c r="H2647" s="54" t="str">
        <f ca="1">IFERROR(VLOOKUP(F2628,'RR-3.1-5TH'!$A$12:'RR-3.1-5TH'!$BN$111,27,0),"")</f>
        <v/>
      </c>
      <c r="I2647" s="54" t="str">
        <f ca="1">IFERROR(VLOOKUP(F2628,'RR-3.1-5TH'!$A$12:'RR-3.1-5TH'!$BN$111,28,0),"")</f>
        <v/>
      </c>
      <c r="J2647" s="54" t="str">
        <f ca="1">IFERROR(VLOOKUP(F2628,'RR-3.1-5TH'!$A$12:'RR-3.1-5TH'!$BN$111,29,0),"")</f>
        <v/>
      </c>
      <c r="K2647" s="54" t="str">
        <f ca="1">IFERROR(VLOOKUP(F2628,'RR-3.1-5TH'!$A$12:'RR-3.1-5TH'!$BN$111,30,0),"")</f>
        <v/>
      </c>
      <c r="L2647" s="55">
        <f ca="1" t="shared" si="138"/>
        <v>0</v>
      </c>
      <c r="M2647" s="56" t="str">
        <f ca="1">IF(F2628&gt;ENTRY!$D$24,"",IF(L2647=0,"Ab",IF(L2647&gt;80,"A",IF(L2647&gt;60,"B",IF(L2647&gt;44,"C",IF(L2647&gt;=33,"D",IF(L2647&lt;=32,"E","")))))))</f>
        <v/>
      </c>
      <c r="N2647" s="29"/>
      <c r="O2647" s="29"/>
      <c r="P2647" s="19"/>
      <c r="Q2647" s="19"/>
      <c r="R2647" s="11"/>
    </row>
    <row r="2648" s="1" customFormat="1" ht="21.95" customHeight="1" spans="1:18">
      <c r="A2648" s="7"/>
      <c r="B2648" s="12"/>
      <c r="C2648" s="33"/>
      <c r="D2648" s="52" t="s">
        <v>719</v>
      </c>
      <c r="E2648" s="53"/>
      <c r="F2648" s="54" t="str">
        <f ca="1">IFERROR(VLOOKUP(F2628,'RR-3.1-5TH'!$A$12:'RR-3.1-5TH'!$BN$111,33,0),"")</f>
        <v/>
      </c>
      <c r="G2648" s="54" t="str">
        <f ca="1">IFERROR(VLOOKUP(F2628,'RR-3.1-5TH'!$A$12:'RR-3.1-5TH'!$BN$111,34,0),"")</f>
        <v/>
      </c>
      <c r="H2648" s="54" t="str">
        <f ca="1">IFERROR(VLOOKUP(F2628,'RR-3.1-5TH'!$A$12:'RR-3.1-5TH'!$BN$111,35,0),"")</f>
        <v/>
      </c>
      <c r="I2648" s="54" t="str">
        <f ca="1">IFERROR(VLOOKUP(F2628,'RR-3.1-5TH'!$A$12:'RR-3.1-5TH'!$BN$111,36,0),"")</f>
        <v/>
      </c>
      <c r="J2648" s="54" t="str">
        <f ca="1">IFERROR(VLOOKUP(F2628,'RR-3.1-5TH'!$A$12:'RR-3.1-5TH'!$BN$111,37,0),"")</f>
        <v/>
      </c>
      <c r="K2648" s="54" t="str">
        <f ca="1">IFERROR(VLOOKUP(F2628,'RR-3.1-5TH'!$A$12:'RR-3.1-5TH'!$BN$111,38,0),"")</f>
        <v/>
      </c>
      <c r="L2648" s="55">
        <f ca="1" t="shared" si="138"/>
        <v>0</v>
      </c>
      <c r="M2648" s="56" t="str">
        <f ca="1">IF(F2628&gt;ENTRY!$D$24,"",IF(L2648=0,"Ab",IF(L2648&gt;80,"A",IF(L2648&gt;60,"B",IF(L2648&gt;44,"C",IF(L2648&gt;=33,"D",IF(L2648&lt;=32,"E","")))))))</f>
        <v/>
      </c>
      <c r="N2648" s="29"/>
      <c r="O2648" s="29"/>
      <c r="P2648" s="19"/>
      <c r="Q2648" s="19"/>
      <c r="R2648" s="11"/>
    </row>
    <row r="2649" s="1" customFormat="1" ht="21.95" customHeight="1" spans="1:18">
      <c r="A2649" s="7"/>
      <c r="B2649" s="12"/>
      <c r="C2649" s="33"/>
      <c r="D2649" s="52" t="s">
        <v>548</v>
      </c>
      <c r="E2649" s="53"/>
      <c r="F2649" s="54" t="str">
        <f ca="1">IFERROR(VLOOKUP(F2628,'RR-3.1-5TH'!$A$12:'RR-3.1-5TH'!$BN$111,41,0),"")</f>
        <v/>
      </c>
      <c r="G2649" s="54" t="str">
        <f ca="1">IFERROR(VLOOKUP(F2628,'RR-3.1-5TH'!$A$12:'RR-3.1-5TH'!$BN$111,42,0),"")</f>
        <v/>
      </c>
      <c r="H2649" s="54" t="str">
        <f ca="1">IFERROR(VLOOKUP(F2628,'RR-3.1-5TH'!$A$12:'RR-3.1-5TH'!$BN$111,43,0),"")</f>
        <v/>
      </c>
      <c r="I2649" s="54" t="str">
        <f ca="1">IFERROR(VLOOKUP(F2628,'RR-3.1-5TH'!$A$12:'RR-3.1-5TH'!$BN$111,44,0),"")</f>
        <v/>
      </c>
      <c r="J2649" s="54" t="str">
        <f ca="1">IFERROR(VLOOKUP(F2628,'RR-3.1-5TH'!$A$12:'RR-3.1-5TH'!$BN$111,45,0),"")</f>
        <v/>
      </c>
      <c r="K2649" s="54" t="str">
        <f ca="1">IFERROR(VLOOKUP(F2628,'RR-3.1-5TH'!$A$12:'RR-3.1-5TH'!$BN$111,46,0),"")</f>
        <v/>
      </c>
      <c r="L2649" s="55">
        <f ca="1" t="shared" si="138"/>
        <v>0</v>
      </c>
      <c r="M2649" s="56" t="str">
        <f ca="1">IF(F2628&gt;ENTRY!$D$24,"",IF(L2649=0,"Ab",IF(L2649&gt;80,"A",IF(L2649&gt;60,"B",IF(L2649&gt;44,"C",IF(L2649&gt;=33,"D",IF(L2649&lt;=32,"E","")))))))</f>
        <v/>
      </c>
      <c r="N2649" s="29"/>
      <c r="O2649" s="29"/>
      <c r="P2649" s="19"/>
      <c r="Q2649" s="19"/>
      <c r="R2649" s="11"/>
    </row>
    <row r="2650" s="1" customFormat="1" ht="21.95" customHeight="1" spans="1:18">
      <c r="A2650" s="7"/>
      <c r="B2650" s="12"/>
      <c r="C2650" s="33"/>
      <c r="D2650" s="52" t="s">
        <v>549</v>
      </c>
      <c r="E2650" s="53"/>
      <c r="F2650" s="54" t="str">
        <f ca="1">IFERROR(VLOOKUP(F2628,'RR-3.1-5TH'!$A$12:'RR-3.1-5TH'!$BN$111,49,0),"")</f>
        <v/>
      </c>
      <c r="G2650" s="54" t="str">
        <f ca="1">IFERROR(VLOOKUP(F2628,'RR-3.1-5TH'!$A$12:'RR-3.1-5TH'!$BN$111,50,0),"")</f>
        <v/>
      </c>
      <c r="H2650" s="54" t="str">
        <f ca="1">IFERROR(VLOOKUP(F2628,'RR-3.1-5TH'!$A$12:'RR-3.1-5TH'!$BN$111,51,0),"")</f>
        <v/>
      </c>
      <c r="I2650" s="54" t="str">
        <f ca="1">IFERROR(VLOOKUP(F2628,'RR-3.1-5TH'!$A$12:'RR-3.1-5TH'!$BN$111,52,0),"")</f>
        <v/>
      </c>
      <c r="J2650" s="54" t="str">
        <f ca="1">IFERROR(VLOOKUP(F2628,'RR-3.1-5TH'!$A$12:'RR-3.1-5TH'!$BN$111,53,0),"")</f>
        <v/>
      </c>
      <c r="K2650" s="54" t="str">
        <f ca="1">IFERROR(VLOOKUP(F2628,'RR-3.1-5TH'!$A$12:'RR-3.1-5TH'!$BN$111,54,0),"")</f>
        <v/>
      </c>
      <c r="L2650" s="55">
        <f ca="1" t="shared" si="138"/>
        <v>0</v>
      </c>
      <c r="M2650" s="56" t="str">
        <f ca="1">IF(F2628&gt;ENTRY!$D$24,"",IF(L2650=0,"Ab",IF(L2650&gt;80,"A",IF(L2650&gt;60,"B",IF(L2650&gt;44,"C",IF(L2650&gt;=33,"D",IF(L2650&lt;=32,"E","")))))))</f>
        <v/>
      </c>
      <c r="N2650" s="57" t="s">
        <v>752</v>
      </c>
      <c r="O2650" s="58"/>
      <c r="P2650" s="59"/>
      <c r="Q2650" s="19"/>
      <c r="R2650" s="11"/>
    </row>
    <row r="2651" s="1" customFormat="1" ht="21.95" customHeight="1" spans="1:18">
      <c r="A2651" s="7"/>
      <c r="B2651" s="12"/>
      <c r="C2651" s="33"/>
      <c r="D2651" s="52" t="s">
        <v>753</v>
      </c>
      <c r="E2651" s="53"/>
      <c r="F2651" s="60"/>
      <c r="G2651" s="54"/>
      <c r="H2651" s="54"/>
      <c r="I2651" s="54"/>
      <c r="J2651" s="54"/>
      <c r="K2651" s="54"/>
      <c r="L2651" s="55">
        <f t="shared" ref="L2651" si="139">SUM(G2651:K2651)</f>
        <v>0</v>
      </c>
      <c r="M2651" s="56" t="str">
        <f>IF(F2628&gt;ENTRY!$D$24,"",IF(L2651=0,"",IF(L2651&gt;79,"A",IF(L2651&gt;59,"B",IF(L2651&gt;44,"C",IF(L2651&gt;=33,"D",IF(L2651&lt;=32,"E","")))))))</f>
        <v/>
      </c>
      <c r="N2651" s="58"/>
      <c r="O2651" s="58"/>
      <c r="P2651" s="59"/>
      <c r="Q2651" s="19"/>
      <c r="R2651" s="11"/>
    </row>
    <row r="2652" s="1" customFormat="1" ht="21.95" customHeight="1" spans="1:18">
      <c r="A2652" s="7"/>
      <c r="B2652" s="12"/>
      <c r="C2652" s="33"/>
      <c r="D2652" s="45" t="s">
        <v>382</v>
      </c>
      <c r="E2652" s="46"/>
      <c r="F2652" s="54">
        <f ca="1" t="shared" ref="F2652:L2652" si="140">IFERROR(SUM(F2645:F2651),"")</f>
        <v>0</v>
      </c>
      <c r="G2652" s="54">
        <f ca="1" t="shared" si="140"/>
        <v>0</v>
      </c>
      <c r="H2652" s="54">
        <f ca="1" t="shared" si="140"/>
        <v>0</v>
      </c>
      <c r="I2652" s="54">
        <f ca="1" t="shared" si="140"/>
        <v>0</v>
      </c>
      <c r="J2652" s="54">
        <f ca="1" t="shared" si="140"/>
        <v>0</v>
      </c>
      <c r="K2652" s="54">
        <f ca="1" t="shared" si="140"/>
        <v>0</v>
      </c>
      <c r="L2652" s="55">
        <f ca="1" t="shared" si="140"/>
        <v>0</v>
      </c>
      <c r="M2652" s="61" t="str">
        <f ca="1">IF(F2628&gt;ENTRY!$D$24,"",IF(N2653="Ab","Ab",IF(N2653&gt;79.5,"A",IF(N2653&gt;59.5,"B",IF(N2653&gt;44.5,"C",IF(N2653&gt;=33,"D",IF(N2653&lt;33,"E","")))))))</f>
        <v/>
      </c>
      <c r="N2652" s="62"/>
      <c r="O2652" s="58"/>
      <c r="P2652" s="59"/>
      <c r="Q2652" s="19"/>
      <c r="R2652" s="11"/>
    </row>
    <row r="2653" s="1" customFormat="1" ht="21.95" customHeight="1" spans="1:18">
      <c r="A2653" s="7"/>
      <c r="B2653" s="12"/>
      <c r="C2653" s="33"/>
      <c r="D2653" s="63" t="s">
        <v>721</v>
      </c>
      <c r="E2653" s="63"/>
      <c r="F2653" s="63"/>
      <c r="G2653" s="63"/>
      <c r="H2653" s="63"/>
      <c r="I2653" s="63"/>
      <c r="J2653" s="63"/>
      <c r="K2653" s="63"/>
      <c r="L2653" s="63"/>
      <c r="M2653" s="63"/>
      <c r="N2653" s="64">
        <f ca="1">IF(L2652="Ab","Ab",L2652/6)</f>
        <v>0</v>
      </c>
      <c r="O2653" s="65"/>
      <c r="P2653" s="19"/>
      <c r="Q2653" s="19"/>
      <c r="R2653" s="11"/>
    </row>
    <row r="2654" s="1" customFormat="1" ht="21.95" customHeight="1" spans="1:18">
      <c r="A2654" s="7"/>
      <c r="B2654" s="12"/>
      <c r="C2654" s="33"/>
      <c r="D2654" s="29" t="s">
        <v>716</v>
      </c>
      <c r="E2654" s="18" t="str">
        <f>IFERROR(VLOOKUP(F2628,'1to4-2.1-RR'!$A$12:$BG$111,57,0),"")</f>
        <v/>
      </c>
      <c r="F2654" s="18"/>
      <c r="G2654" s="18"/>
      <c r="H2654" s="18"/>
      <c r="I2654" s="18"/>
      <c r="J2654" s="18"/>
      <c r="K2654" s="18"/>
      <c r="L2654" s="18"/>
      <c r="M2654" s="18"/>
      <c r="N2654" s="29"/>
      <c r="O2654" s="29"/>
      <c r="P2654" s="19"/>
      <c r="Q2654" s="19"/>
      <c r="R2654" s="11"/>
    </row>
    <row r="2655" s="1" customFormat="1" ht="9.95" customHeight="1" spans="1:18">
      <c r="A2655" s="7"/>
      <c r="B2655" s="12"/>
      <c r="C2655" s="33"/>
      <c r="D2655" s="29"/>
      <c r="E2655" s="29"/>
      <c r="F2655" s="29"/>
      <c r="G2655" s="29"/>
      <c r="H2655" s="29"/>
      <c r="I2655" s="29"/>
      <c r="J2655" s="29"/>
      <c r="K2655" s="29"/>
      <c r="L2655" s="29"/>
      <c r="M2655" s="29"/>
      <c r="N2655" s="29"/>
      <c r="O2655" s="29"/>
      <c r="P2655" s="19"/>
      <c r="Q2655" s="19"/>
      <c r="R2655" s="11"/>
    </row>
    <row r="2656" s="1" customFormat="1" ht="36" spans="1:18">
      <c r="A2656" s="7"/>
      <c r="B2656" s="12"/>
      <c r="C2656" s="33"/>
      <c r="D2656" s="66" t="s">
        <v>576</v>
      </c>
      <c r="E2656" s="67" t="s">
        <v>754</v>
      </c>
      <c r="F2656" s="47" t="str">
        <f>IF(F2628&gt;ENTRY!$D$24,"",IFERROR(VLOOKUP(F2628,PASHEET!$A$4:$CJ$103,88,0),""))</f>
        <v/>
      </c>
      <c r="G2656" s="67" t="s">
        <v>755</v>
      </c>
      <c r="H2656" s="47" t="str">
        <f>IF(F2628&gt;ENTRY!$D$24,"",IFERROR(VLOOKUP(F2628,PASHEET!$A$4:$CJ$103,87,0),""))</f>
        <v/>
      </c>
      <c r="I2656" s="68" t="s">
        <v>756</v>
      </c>
      <c r="J2656" s="69" t="str">
        <f>IF(F2628&gt;ENTRY!$D$24,"",IFERROR(IF(F2628&gt;0,H2656/F2656*100),""))</f>
        <v/>
      </c>
      <c r="K2656" s="60" t="s">
        <v>757</v>
      </c>
      <c r="L2656" s="70" t="str">
        <f ca="1">IF(F2628&gt;ENTRY!$D$24,"",IFERROR(L2652/600*100,""))</f>
        <v/>
      </c>
      <c r="M2656" s="47" t="str">
        <f ca="1">IF(F2628&gt;ENTRY!$D$24,"",IFERROR(L2652&amp;" / "&amp;"600",""))</f>
        <v/>
      </c>
      <c r="N2656" s="29"/>
      <c r="O2656" s="29"/>
      <c r="P2656" s="19"/>
      <c r="Q2656" s="19"/>
      <c r="R2656" s="11"/>
    </row>
    <row r="2657" s="1" customFormat="1" ht="9.95" customHeight="1" spans="1:19">
      <c r="A2657" s="7"/>
      <c r="B2657" s="12"/>
      <c r="C2657" s="39"/>
      <c r="D2657" s="40"/>
      <c r="E2657" s="40"/>
      <c r="F2657" s="40"/>
      <c r="G2657" s="40"/>
      <c r="H2657" s="40"/>
      <c r="I2657" s="40"/>
      <c r="J2657" s="40"/>
      <c r="K2657" s="40"/>
      <c r="L2657" s="40"/>
      <c r="M2657" s="40"/>
      <c r="N2657" s="40"/>
      <c r="O2657" s="40"/>
      <c r="P2657" s="41"/>
      <c r="Q2657" s="19"/>
      <c r="R2657" s="11"/>
    </row>
    <row r="2658" s="1" customFormat="1" ht="9.95" customHeight="1" spans="1:19">
      <c r="A2658" s="7"/>
      <c r="B2658" s="12"/>
      <c r="C2658" s="71"/>
      <c r="D2658" s="71"/>
      <c r="E2658" s="71"/>
      <c r="F2658" s="29"/>
      <c r="G2658" s="71"/>
      <c r="H2658" s="71"/>
      <c r="I2658" s="71"/>
      <c r="J2658" s="71"/>
      <c r="K2658" s="71"/>
      <c r="L2658" s="71"/>
      <c r="M2658" s="71"/>
      <c r="N2658" s="71"/>
      <c r="O2658" s="71"/>
      <c r="P2658" s="71"/>
      <c r="Q2658" s="19"/>
      <c r="R2658" s="11"/>
    </row>
    <row r="2659" s="1" customFormat="1" ht="9.95" customHeight="1" spans="1:19">
      <c r="A2659" s="7"/>
      <c r="B2659" s="12"/>
      <c r="C2659" s="29"/>
      <c r="D2659" s="29"/>
      <c r="E2659" s="29"/>
      <c r="F2659" s="72"/>
      <c r="G2659" s="29"/>
      <c r="H2659" s="29"/>
      <c r="I2659" s="29"/>
      <c r="J2659" s="29"/>
      <c r="K2659" s="29"/>
      <c r="L2659" s="29"/>
      <c r="M2659" s="29"/>
      <c r="N2659" s="29"/>
      <c r="O2659" s="29"/>
      <c r="P2659" s="29"/>
      <c r="Q2659" s="19"/>
      <c r="R2659" s="11"/>
    </row>
    <row r="2660" s="1" customFormat="1" ht="9.95" customHeight="1" spans="1:19">
      <c r="A2660" s="7"/>
      <c r="B2660" s="12"/>
      <c r="C2660" s="30"/>
      <c r="D2660" s="31"/>
      <c r="E2660" s="31"/>
      <c r="F2660" s="31"/>
      <c r="G2660" s="31"/>
      <c r="H2660" s="31"/>
      <c r="I2660" s="31"/>
      <c r="J2660" s="31"/>
      <c r="K2660" s="31"/>
      <c r="L2660" s="31"/>
      <c r="M2660" s="31"/>
      <c r="N2660" s="31"/>
      <c r="O2660" s="31"/>
      <c r="P2660" s="32"/>
      <c r="Q2660" s="19"/>
      <c r="R2660" s="11"/>
    </row>
    <row r="2661" s="1" customFormat="1" ht="21.95" customHeight="1" spans="1:19">
      <c r="A2661" s="7"/>
      <c r="B2661" s="12"/>
      <c r="C2661" s="73" t="s">
        <v>7</v>
      </c>
      <c r="D2661" s="13"/>
      <c r="E2661" s="13"/>
      <c r="F2661" s="13"/>
      <c r="G2661" s="13"/>
      <c r="H2661" s="13"/>
      <c r="I2661" s="13"/>
      <c r="J2661" s="13"/>
      <c r="K2661" s="13"/>
      <c r="L2661" s="13"/>
      <c r="M2661" s="13"/>
      <c r="N2661" s="13"/>
      <c r="O2661" s="13"/>
      <c r="P2661" s="74"/>
      <c r="Q2661" s="19"/>
      <c r="R2661" s="11"/>
      <c r="S2661" s="2"/>
    </row>
    <row r="2662" s="1" customFormat="1" ht="21.95" customHeight="1" spans="1:19">
      <c r="A2662" s="7"/>
      <c r="B2662" s="12"/>
      <c r="C2662" s="33"/>
      <c r="D2662" s="29"/>
      <c r="E2662" s="29"/>
      <c r="F2662" s="29"/>
      <c r="G2662" s="29"/>
      <c r="H2662" s="29"/>
      <c r="I2662" s="29"/>
      <c r="J2662" s="29"/>
      <c r="K2662" s="29"/>
      <c r="L2662" s="29"/>
      <c r="M2662" s="29"/>
      <c r="N2662" s="29"/>
      <c r="O2662" s="29"/>
      <c r="P2662" s="19"/>
      <c r="Q2662" s="19"/>
      <c r="R2662" s="11"/>
    </row>
    <row r="2663" s="1" customFormat="1" ht="21.95" customHeight="1" spans="1:19">
      <c r="A2663" s="7"/>
      <c r="B2663" s="12"/>
      <c r="C2663" s="75" t="str">
        <f>"SESSION-"&amp;ENTRY!$D$11</f>
        <v>SESSION-2026-27</v>
      </c>
      <c r="D2663" s="15"/>
      <c r="E2663" s="15"/>
      <c r="F2663" s="15"/>
      <c r="G2663" s="15"/>
      <c r="H2663" s="15"/>
      <c r="I2663" s="15"/>
      <c r="J2663" s="15"/>
      <c r="K2663" s="15"/>
      <c r="L2663" s="15"/>
      <c r="M2663" s="15"/>
      <c r="N2663" s="15"/>
      <c r="O2663" s="15"/>
      <c r="P2663" s="76"/>
      <c r="Q2663" s="19"/>
      <c r="R2663" s="11"/>
    </row>
    <row r="2664" s="1" customFormat="1" ht="18" customHeight="1" spans="1:19">
      <c r="A2664" s="7"/>
      <c r="B2664" s="12"/>
      <c r="C2664" s="33"/>
      <c r="D2664" s="29"/>
      <c r="E2664" s="29"/>
      <c r="F2664" s="29"/>
      <c r="G2664" s="29"/>
      <c r="H2664" s="29"/>
      <c r="I2664" s="29"/>
      <c r="J2664" s="29"/>
      <c r="K2664" s="29"/>
      <c r="L2664" s="29"/>
      <c r="M2664" s="29"/>
      <c r="N2664" s="29"/>
      <c r="O2664" s="29"/>
      <c r="P2664" s="19"/>
      <c r="Q2664" s="19"/>
      <c r="R2664" s="11"/>
    </row>
    <row r="2665" s="1" customFormat="1" ht="21.95" customHeight="1" spans="1:19">
      <c r="A2665" s="7"/>
      <c r="B2665" s="12"/>
      <c r="C2665" s="33"/>
      <c r="D2665" s="77" t="s">
        <v>758</v>
      </c>
      <c r="E2665" s="77"/>
      <c r="F2665" s="78" t="str">
        <f>IFERROR(PROPER(VLOOKUP(F2628,STUDENT!$A$2:$BP$101,5,0)),"")</f>
        <v/>
      </c>
      <c r="G2665" s="78"/>
      <c r="H2665" s="78"/>
      <c r="I2665" s="78"/>
      <c r="J2665" s="78"/>
      <c r="K2665" s="78"/>
      <c r="L2665" s="78"/>
      <c r="M2665" s="78"/>
      <c r="N2665" s="79" t="s">
        <v>759</v>
      </c>
      <c r="O2665" s="79"/>
      <c r="P2665" s="19"/>
      <c r="Q2665" s="19"/>
      <c r="R2665" s="11"/>
    </row>
    <row r="2666" s="1" customFormat="1" ht="21.95" customHeight="1" spans="1:19">
      <c r="A2666" s="7"/>
      <c r="B2666" s="12"/>
      <c r="C2666" s="33"/>
      <c r="D2666" s="80" t="s">
        <v>760</v>
      </c>
      <c r="E2666" s="81" t="str">
        <f>IFERROR(PROPER(VLOOKUP(F2628,STUDENT!$A$2:$BP$101,9,0)),"")</f>
        <v/>
      </c>
      <c r="F2666" s="81"/>
      <c r="G2666" s="81"/>
      <c r="H2666" s="80" t="s">
        <v>761</v>
      </c>
      <c r="I2666" s="82" t="str">
        <f>IFERROR(PROPER(VLOOKUP(F2628,STUDENT!$A$2:$BP$101,8,0)),"")</f>
        <v/>
      </c>
      <c r="J2666" s="82"/>
      <c r="K2666" s="82"/>
      <c r="L2666" s="82"/>
      <c r="M2666" s="80" t="s">
        <v>762</v>
      </c>
      <c r="N2666" s="83" t="str">
        <f>IFERROR(VLOOKUP(F2628,STUDENT!$A$2:$BP$101,59,0),"")</f>
        <v/>
      </c>
      <c r="O2666" s="83"/>
      <c r="P2666" s="19"/>
      <c r="Q2666" s="19"/>
      <c r="R2666" s="11"/>
    </row>
    <row r="2667" s="1" customFormat="1" ht="21.95" customHeight="1" spans="1:19">
      <c r="A2667" s="7"/>
      <c r="B2667" s="12"/>
      <c r="C2667" s="33"/>
      <c r="D2667" s="77" t="str">
        <f>"has    completed     his  /  her     primary     level     education    in    the    year    "&amp;RIGHT(ENTRY!$D2633,4)&amp;"    from    ( School    Name )"</f>
        <v>has    completed     his  /  her     primary     level     education    in    the    year        from    ( School    Name )</v>
      </c>
      <c r="E2667" s="77"/>
      <c r="F2667" s="77"/>
      <c r="G2667" s="77"/>
      <c r="H2667" s="77"/>
      <c r="I2667" s="77"/>
      <c r="J2667" s="77"/>
      <c r="K2667" s="77"/>
      <c r="L2667" s="77"/>
      <c r="M2667" s="77"/>
      <c r="N2667" s="77"/>
      <c r="O2667" s="77"/>
      <c r="P2667" s="19"/>
      <c r="Q2667" s="19"/>
      <c r="R2667" s="11"/>
    </row>
    <row r="2668" s="1" customFormat="1" ht="21.95" customHeight="1" spans="1:19">
      <c r="A2668" s="7"/>
      <c r="B2668" s="12"/>
      <c r="C2668" s="33"/>
      <c r="D2668" s="81" t="str">
        <f>IF(F2628&gt;0,ENTRY!$D$6,"")</f>
        <v>MCP NITHARI NO 1 BOYS</v>
      </c>
      <c r="E2668" s="81"/>
      <c r="F2668" s="81"/>
      <c r="G2668" s="81"/>
      <c r="H2668" s="81"/>
      <c r="I2668" s="81"/>
      <c r="J2668" s="81"/>
      <c r="K2668" s="81"/>
      <c r="L2668" s="81"/>
      <c r="M2668" s="80" t="s">
        <v>763</v>
      </c>
      <c r="N2668" s="84">
        <f>IF(F2628&gt;0,ENTRY!$D$7,"")</f>
        <v>0</v>
      </c>
      <c r="O2668" s="84"/>
      <c r="P2668" s="85" t="s">
        <v>727</v>
      </c>
      <c r="Q2668" s="19"/>
      <c r="R2668" s="11"/>
    </row>
    <row r="2669" s="1" customFormat="1" ht="21.95" customHeight="1" spans="1:19">
      <c r="A2669" s="7"/>
      <c r="B2669" s="12"/>
      <c r="C2669" s="33"/>
      <c r="D2669" s="29"/>
      <c r="E2669" s="29"/>
      <c r="F2669" s="29"/>
      <c r="G2669" s="29"/>
      <c r="H2669" s="29"/>
      <c r="I2669" s="29"/>
      <c r="J2669" s="29"/>
      <c r="K2669" s="29"/>
      <c r="L2669" s="29"/>
      <c r="M2669" s="29"/>
      <c r="N2669" s="29"/>
      <c r="O2669" s="29"/>
      <c r="P2669" s="19"/>
      <c r="Q2669" s="19"/>
      <c r="R2669" s="11"/>
    </row>
    <row r="2670" s="1" customFormat="1" ht="21.95" customHeight="1" spans="1:19">
      <c r="A2670" s="7"/>
      <c r="B2670" s="12"/>
      <c r="C2670" s="33"/>
      <c r="D2670" s="29"/>
      <c r="E2670" s="29"/>
      <c r="F2670" s="29"/>
      <c r="G2670" s="29"/>
      <c r="H2670" s="29"/>
      <c r="I2670" s="29"/>
      <c r="J2670" s="29"/>
      <c r="K2670" s="29"/>
      <c r="L2670" s="29"/>
      <c r="M2670" s="29"/>
      <c r="N2670" s="29"/>
      <c r="O2670" s="29"/>
      <c r="P2670" s="19"/>
      <c r="Q2670" s="19"/>
      <c r="R2670" s="11"/>
    </row>
    <row r="2671" s="1" customFormat="1" ht="21.95" customHeight="1" spans="1:19">
      <c r="A2671" s="7"/>
      <c r="B2671" s="12"/>
      <c r="C2671" s="33"/>
      <c r="D2671" s="29"/>
      <c r="E2671" s="29"/>
      <c r="F2671" s="29"/>
      <c r="G2671" s="29"/>
      <c r="H2671" s="29"/>
      <c r="I2671" s="29"/>
      <c r="J2671" s="29"/>
      <c r="K2671" s="29"/>
      <c r="L2671" s="29"/>
      <c r="M2671" s="29"/>
      <c r="N2671" s="29"/>
      <c r="O2671" s="29"/>
      <c r="P2671" s="19"/>
      <c r="Q2671" s="19"/>
      <c r="R2671" s="11"/>
    </row>
    <row r="2672" s="1" customFormat="1" ht="21.95" customHeight="1" spans="1:19">
      <c r="A2672" s="7"/>
      <c r="B2672" s="12"/>
      <c r="C2672" s="33"/>
      <c r="D2672" s="29"/>
      <c r="E2672" s="29"/>
      <c r="F2672" s="29"/>
      <c r="G2672" s="29"/>
      <c r="H2672" s="29"/>
      <c r="I2672" s="29"/>
      <c r="J2672" s="29"/>
      <c r="K2672" s="29"/>
      <c r="L2672" s="29"/>
      <c r="M2672" s="29"/>
      <c r="N2672" s="29"/>
      <c r="O2672" s="29"/>
      <c r="P2672" s="19"/>
      <c r="Q2672" s="19"/>
      <c r="R2672" s="11"/>
    </row>
    <row r="2673" s="1" customFormat="1" ht="21.95" customHeight="1" spans="1:18">
      <c r="A2673" s="7"/>
      <c r="B2673" s="12"/>
      <c r="C2673" s="33"/>
      <c r="D2673" s="29"/>
      <c r="E2673" s="29"/>
      <c r="F2673" s="29"/>
      <c r="G2673" s="29"/>
      <c r="H2673" s="29"/>
      <c r="I2673" s="29"/>
      <c r="J2673" s="29"/>
      <c r="K2673" s="29"/>
      <c r="L2673" s="29"/>
      <c r="M2673" s="29"/>
      <c r="N2673" s="29"/>
      <c r="O2673" s="29"/>
      <c r="P2673" s="19"/>
      <c r="Q2673" s="19"/>
      <c r="R2673" s="11"/>
    </row>
    <row r="2674" s="1" customFormat="1" ht="21.95" customHeight="1" spans="1:18">
      <c r="A2674" s="7"/>
      <c r="B2674" s="12"/>
      <c r="C2674" s="33"/>
      <c r="D2674" s="80" t="s">
        <v>728</v>
      </c>
      <c r="E2674" s="86">
        <f>ENTRY!$D$27</f>
        <v>46102</v>
      </c>
      <c r="F2674" s="86"/>
      <c r="G2674" s="29"/>
      <c r="H2674" s="29"/>
      <c r="I2674" s="29"/>
      <c r="J2674" s="29"/>
      <c r="K2674" s="29"/>
      <c r="L2674" s="29"/>
      <c r="M2674" s="87" t="s">
        <v>730</v>
      </c>
      <c r="N2674" s="87"/>
      <c r="O2674" s="87"/>
      <c r="P2674" s="19"/>
      <c r="Q2674" s="19"/>
      <c r="R2674" s="11"/>
    </row>
    <row r="2675" s="1" customFormat="1" ht="21.95" customHeight="1" spans="1:18">
      <c r="A2675" s="7"/>
      <c r="B2675" s="12"/>
      <c r="C2675" s="33"/>
      <c r="D2675" s="80" t="s">
        <v>731</v>
      </c>
      <c r="E2675" s="88" t="str">
        <f>PROPER(ENTRY!$D$28)</f>
        <v>New Delhi</v>
      </c>
      <c r="F2675" s="88"/>
      <c r="G2675" s="29"/>
      <c r="H2675" s="29"/>
      <c r="I2675" s="29"/>
      <c r="J2675" s="29"/>
      <c r="K2675" s="29"/>
      <c r="L2675" s="29"/>
      <c r="M2675" s="89" t="s">
        <v>732</v>
      </c>
      <c r="N2675" s="89"/>
      <c r="O2675" s="89"/>
      <c r="P2675" s="19"/>
      <c r="Q2675" s="19"/>
      <c r="R2675" s="11"/>
    </row>
    <row r="2676" s="1" customFormat="1" ht="21.95" customHeight="1" spans="1:18">
      <c r="A2676" s="7"/>
      <c r="B2676" s="12"/>
      <c r="C2676" s="90"/>
      <c r="D2676" s="91"/>
      <c r="E2676" s="91"/>
      <c r="F2676" s="91"/>
      <c r="G2676" s="91"/>
      <c r="H2676" s="91"/>
      <c r="I2676" s="91"/>
      <c r="J2676" s="91"/>
      <c r="K2676" s="91"/>
      <c r="L2676" s="91"/>
      <c r="M2676" s="91"/>
      <c r="N2676" s="91"/>
      <c r="O2676" s="91"/>
      <c r="P2676" s="92"/>
      <c r="Q2676" s="14"/>
      <c r="R2676" s="11"/>
    </row>
    <row r="2677" s="1" customFormat="1" ht="5.1" customHeight="1" spans="1:18">
      <c r="A2677" s="7"/>
      <c r="B2677" s="90"/>
      <c r="C2677" s="91"/>
      <c r="D2677" s="91"/>
      <c r="E2677" s="91"/>
      <c r="F2677" s="91"/>
      <c r="G2677" s="91"/>
      <c r="H2677" s="91"/>
      <c r="I2677" s="91"/>
      <c r="J2677" s="91"/>
      <c r="K2677" s="91"/>
      <c r="L2677" s="91"/>
      <c r="M2677" s="91"/>
      <c r="N2677" s="91"/>
      <c r="O2677" s="91"/>
      <c r="P2677" s="91"/>
      <c r="Q2677" s="92"/>
      <c r="R2677" s="11"/>
    </row>
    <row r="2678" s="1" customFormat="1" ht="5.1" customHeight="1" spans="1:18">
      <c r="A2678" s="93"/>
      <c r="B2678" s="94"/>
      <c r="C2678" s="94"/>
      <c r="D2678" s="94"/>
      <c r="E2678" s="94"/>
      <c r="F2678" s="94"/>
      <c r="G2678" s="94"/>
      <c r="H2678" s="94"/>
      <c r="I2678" s="94"/>
      <c r="J2678" s="94"/>
      <c r="K2678" s="94"/>
      <c r="L2678" s="94"/>
      <c r="M2678" s="94"/>
      <c r="N2678" s="94"/>
      <c r="O2678" s="94"/>
      <c r="P2678" s="94"/>
      <c r="Q2678" s="94"/>
      <c r="R2678" s="95"/>
    </row>
    <row r="2679" s="2" customFormat="1" ht="9.95" customHeight="1"/>
    <row r="2680" s="1" customFormat="1" ht="5.1" customHeight="1" spans="1:18">
      <c r="A2680" s="4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  <c r="O2680" s="5"/>
      <c r="P2680" s="5"/>
      <c r="Q2680" s="5"/>
      <c r="R2680" s="6"/>
    </row>
    <row r="2681" s="1" customFormat="1" ht="15" customHeight="1" spans="1:18">
      <c r="A2681" s="7"/>
      <c r="B2681" s="8"/>
      <c r="C2681" s="9"/>
      <c r="D2681" s="9"/>
      <c r="E2681" s="9"/>
      <c r="F2681" s="9"/>
      <c r="G2681" s="9"/>
      <c r="H2681" s="9"/>
      <c r="I2681" s="9"/>
      <c r="J2681" s="9"/>
      <c r="K2681" s="9"/>
      <c r="L2681" s="9"/>
      <c r="M2681" s="9"/>
      <c r="N2681" s="9"/>
      <c r="O2681" s="9"/>
      <c r="P2681" s="9"/>
      <c r="Q2681" s="10"/>
      <c r="R2681" s="11"/>
    </row>
    <row r="2682" s="1" customFormat="1" ht="21.95" customHeight="1" spans="1:18">
      <c r="A2682" s="7"/>
      <c r="B2682" s="12"/>
      <c r="C2682" s="13" t="s">
        <v>7</v>
      </c>
      <c r="D2682" s="13"/>
      <c r="E2682" s="13"/>
      <c r="F2682" s="13"/>
      <c r="G2682" s="13"/>
      <c r="H2682" s="13"/>
      <c r="I2682" s="13"/>
      <c r="J2682" s="13"/>
      <c r="K2682" s="13"/>
      <c r="L2682" s="13"/>
      <c r="M2682" s="13"/>
      <c r="N2682" s="13"/>
      <c r="O2682" s="13"/>
      <c r="P2682" s="13"/>
      <c r="Q2682" s="14"/>
      <c r="R2682" s="11"/>
    </row>
    <row r="2683" s="1" customFormat="1" ht="21.95" customHeight="1" spans="1:18">
      <c r="A2683" s="7"/>
      <c r="B2683" s="1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14"/>
      <c r="R2683" s="11"/>
    </row>
    <row r="2684" s="1" customFormat="1" ht="21.95" customHeight="1" spans="1:18">
      <c r="A2684" s="7"/>
      <c r="B2684" s="12"/>
      <c r="C2684" s="15" t="str">
        <f>"SESSION-"&amp;ENTRY!$D$11</f>
        <v>SESSION-2026-27</v>
      </c>
      <c r="D2684" s="15"/>
      <c r="E2684" s="15"/>
      <c r="F2684" s="15"/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4"/>
      <c r="R2684" s="11"/>
    </row>
    <row r="2685" s="1" customFormat="1" ht="21.95" customHeight="1" spans="1:18">
      <c r="A2685" s="7"/>
      <c r="B2685" s="12"/>
      <c r="C2685" s="2"/>
      <c r="D2685" s="2"/>
      <c r="E2685" s="2"/>
      <c r="F2685" s="16">
        <f>F2628+1</f>
        <v>48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14"/>
      <c r="R2685" s="11"/>
    </row>
    <row r="2686" s="1" customFormat="1" ht="21.95" customHeight="1" spans="1:18">
      <c r="A2686" s="7"/>
      <c r="B2686" s="12"/>
      <c r="C2686" s="17" t="s">
        <v>392</v>
      </c>
      <c r="D2686" s="17"/>
      <c r="E2686" s="17"/>
      <c r="F2686" s="18" t="str">
        <f>IF(F2685&gt;0,ENTRY!$D$6,"")</f>
        <v>MCP NITHARI NO 1 BOYS</v>
      </c>
      <c r="G2686" s="18"/>
      <c r="H2686" s="18"/>
      <c r="I2686" s="18"/>
      <c r="J2686" s="18"/>
      <c r="K2686" s="18"/>
      <c r="L2686" s="18"/>
      <c r="M2686" s="18"/>
      <c r="N2686" s="18"/>
      <c r="O2686" s="18"/>
      <c r="P2686" s="18"/>
      <c r="Q2686" s="19"/>
      <c r="R2686" s="11"/>
    </row>
    <row r="2687" s="1" customFormat="1" ht="21.95" customHeight="1" spans="1:18">
      <c r="A2687" s="7"/>
      <c r="B2687" s="12"/>
      <c r="C2687" s="17" t="s">
        <v>393</v>
      </c>
      <c r="D2687" s="17"/>
      <c r="E2687" s="17"/>
      <c r="F2687" s="18">
        <f>IF(F2685&gt;0,ENTRY!$D$7,"")</f>
        <v>0</v>
      </c>
      <c r="G2687" s="18"/>
      <c r="H2687" s="20" t="s">
        <v>702</v>
      </c>
      <c r="I2687" s="20"/>
      <c r="J2687" s="21">
        <f>IF(F2685&gt;0,ENTRY!$D$10,"")</f>
        <v>40</v>
      </c>
      <c r="K2687" s="20" t="s">
        <v>703</v>
      </c>
      <c r="L2687" s="22" t="str">
        <f>IF(F2685&gt;0,ENTRY!$D$5,"")</f>
        <v>ROHINI ZONE</v>
      </c>
      <c r="M2687" s="22"/>
      <c r="N2687" s="22"/>
      <c r="O2687" s="22"/>
      <c r="P2687" s="22"/>
      <c r="Q2687" s="19"/>
      <c r="R2687" s="11"/>
    </row>
    <row r="2688" s="1" customFormat="1" ht="21.95" customHeight="1" spans="1:18">
      <c r="A2688" s="7"/>
      <c r="B2688" s="12"/>
      <c r="C2688" s="17" t="s">
        <v>706</v>
      </c>
      <c r="D2688" s="17"/>
      <c r="E2688" s="17"/>
      <c r="F2688" s="23">
        <f>IFERROR(VLOOKUP(F2685,STUDENT!$A$2:$BP$101,5,0),"")</f>
        <v>0</v>
      </c>
      <c r="G2688" s="23"/>
      <c r="H2688" s="23"/>
      <c r="I2688" s="23"/>
      <c r="J2688" s="23"/>
      <c r="K2688" s="23"/>
      <c r="L2688" s="20" t="s">
        <v>707</v>
      </c>
      <c r="M2688" s="20"/>
      <c r="N2688" s="24" t="str">
        <f>IF(F2685&gt;0,ENTRY!$D$20&amp;"-"&amp;ENTRY!$D$21,"")</f>
        <v>III-A</v>
      </c>
      <c r="O2688" s="24"/>
      <c r="P2688" s="24"/>
      <c r="Q2688" s="19"/>
      <c r="R2688" s="11"/>
    </row>
    <row r="2689" s="1" customFormat="1" ht="21.95" customHeight="1" spans="1:18">
      <c r="A2689" s="7"/>
      <c r="B2689" s="12"/>
      <c r="C2689" s="17" t="s">
        <v>708</v>
      </c>
      <c r="D2689" s="17"/>
      <c r="E2689" s="17"/>
      <c r="F2689" s="25">
        <f>IFERROR(VLOOKUP(F2685,STUDENT!$A$2:$BP$101,6,0),"")</f>
        <v>0</v>
      </c>
      <c r="G2689" s="25"/>
      <c r="H2689" s="26" t="s">
        <v>709</v>
      </c>
      <c r="I2689" s="27" t="str">
        <f>IFERROR(VLOOKUP(F2685,STUDENT!$A$2:$BP$101,59,0),"")</f>
        <v/>
      </c>
      <c r="J2689" s="27"/>
      <c r="K2689" s="20" t="s">
        <v>710</v>
      </c>
      <c r="L2689" s="20"/>
      <c r="M2689" s="28">
        <f>IFERROR(VLOOKUP(F2685,STUDENT!$A$2:$BP$101,20,0),"")</f>
        <v>0</v>
      </c>
      <c r="N2689" s="28"/>
      <c r="O2689" s="28"/>
      <c r="P2689" s="28"/>
      <c r="Q2689" s="19"/>
      <c r="R2689" s="11"/>
    </row>
    <row r="2690" s="1" customFormat="1" ht="21.95" customHeight="1" spans="1:18">
      <c r="A2690" s="7"/>
      <c r="B2690" s="12"/>
      <c r="C2690" s="17" t="s">
        <v>711</v>
      </c>
      <c r="D2690" s="17"/>
      <c r="E2690" s="17"/>
      <c r="F2690" s="23">
        <f>IFERROR(VLOOKUP(F2685,STUDENT!$A$2:$BP$101,9,0),"")</f>
        <v>0</v>
      </c>
      <c r="G2690" s="23"/>
      <c r="H2690" s="23"/>
      <c r="I2690" s="23"/>
      <c r="J2690" s="17" t="s">
        <v>620</v>
      </c>
      <c r="K2690" s="17"/>
      <c r="L2690" s="23">
        <f>IFERROR(VLOOKUP(F2685,STUDENT!$A$2:$BP$101,8,0),"")</f>
        <v>0</v>
      </c>
      <c r="M2690" s="23"/>
      <c r="N2690" s="23"/>
      <c r="O2690" s="23"/>
      <c r="P2690" s="23"/>
      <c r="Q2690" s="19"/>
      <c r="R2690" s="11"/>
    </row>
    <row r="2691" s="1" customFormat="1" ht="21.95" customHeight="1" spans="1:18">
      <c r="A2691" s="7"/>
      <c r="B2691" s="12"/>
      <c r="C2691" s="17" t="s">
        <v>712</v>
      </c>
      <c r="D2691" s="17"/>
      <c r="E2691" s="17"/>
      <c r="F2691" s="23">
        <f>IFERROR(VLOOKUP(F2685,STUDENT!$A$2:$BP$101,22,0),"")</f>
        <v>0</v>
      </c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19"/>
      <c r="R2691" s="11"/>
    </row>
    <row r="2692" s="1" customFormat="1" ht="9.95" customHeight="1" spans="1:18">
      <c r="A2692" s="7"/>
      <c r="B2692" s="12"/>
      <c r="C2692" s="29"/>
      <c r="D2692" s="29"/>
      <c r="E2692" s="29"/>
      <c r="F2692" s="29"/>
      <c r="G2692" s="29"/>
      <c r="H2692" s="29"/>
      <c r="I2692" s="29"/>
      <c r="J2692" s="29"/>
      <c r="K2692" s="29"/>
      <c r="L2692" s="29"/>
      <c r="M2692" s="29"/>
      <c r="N2692" s="29"/>
      <c r="O2692" s="29"/>
      <c r="P2692" s="29"/>
      <c r="Q2692" s="19"/>
      <c r="R2692" s="11"/>
    </row>
    <row r="2693" s="1" customFormat="1" ht="9.95" customHeight="1" spans="1:18">
      <c r="A2693" s="7"/>
      <c r="B2693" s="12"/>
      <c r="C2693" s="30"/>
      <c r="D2693" s="31"/>
      <c r="E2693" s="31"/>
      <c r="F2693" s="31"/>
      <c r="G2693" s="31"/>
      <c r="H2693" s="31"/>
      <c r="I2693" s="31"/>
      <c r="J2693" s="31"/>
      <c r="K2693" s="31"/>
      <c r="L2693" s="31"/>
      <c r="M2693" s="31"/>
      <c r="N2693" s="31"/>
      <c r="O2693" s="31"/>
      <c r="P2693" s="32"/>
      <c r="Q2693" s="19"/>
      <c r="R2693" s="11"/>
    </row>
    <row r="2694" s="1" customFormat="1" ht="21.95" customHeight="1" spans="1:18">
      <c r="A2694" s="7"/>
      <c r="B2694" s="12"/>
      <c r="C2694" s="33"/>
      <c r="D2694" s="34" t="s">
        <v>713</v>
      </c>
      <c r="E2694" s="20" t="s">
        <v>714</v>
      </c>
      <c r="F2694" s="35" t="str">
        <f>"Level - "&amp;IFERROR(VLOOKUP(F2685,FLN!$A$4:$K$103,9,0),"")</f>
        <v>Level - </v>
      </c>
      <c r="G2694" s="36"/>
      <c r="H2694" s="37" t="s">
        <v>715</v>
      </c>
      <c r="I2694" s="20"/>
      <c r="J2694" s="35" t="str">
        <f>"Level - "&amp;IFERROR(VLOOKUP(F2685,FLN!$A$4:$K$103,11,0),"")</f>
        <v>Level - </v>
      </c>
      <c r="K2694" s="36"/>
      <c r="L2694" s="37" t="s">
        <v>408</v>
      </c>
      <c r="M2694" s="20"/>
      <c r="N2694" s="35" t="str">
        <f>"Level - "&amp;IFERROR(VLOOKUP(F2685,FLN!$A$4:$K$103,10,0),"")</f>
        <v>Level - </v>
      </c>
      <c r="O2694" s="36"/>
      <c r="P2694" s="19"/>
      <c r="Q2694" s="19"/>
      <c r="R2694" s="11"/>
    </row>
    <row r="2695" s="1" customFormat="1" ht="21.95" customHeight="1" spans="1:18">
      <c r="A2695" s="7"/>
      <c r="B2695" s="12"/>
      <c r="C2695" s="33"/>
      <c r="D2695" s="38"/>
      <c r="E2695" s="20" t="s">
        <v>716</v>
      </c>
      <c r="F2695" s="18" t="str">
        <f ca="1">IF(L2709&gt;197,"PERFORMED WELL","")</f>
        <v/>
      </c>
      <c r="G2695" s="18"/>
      <c r="H2695" s="18"/>
      <c r="I2695" s="18"/>
      <c r="J2695" s="18"/>
      <c r="K2695" s="18"/>
      <c r="L2695" s="18"/>
      <c r="M2695" s="18"/>
      <c r="N2695" s="18"/>
      <c r="O2695" s="18"/>
      <c r="P2695" s="19"/>
      <c r="Q2695" s="19"/>
      <c r="R2695" s="11"/>
    </row>
    <row r="2696" s="1" customFormat="1" ht="9.95" customHeight="1" spans="1:18">
      <c r="A2696" s="7"/>
      <c r="B2696" s="12"/>
      <c r="C2696" s="39"/>
      <c r="D2696" s="40"/>
      <c r="E2696" s="40"/>
      <c r="F2696" s="40"/>
      <c r="G2696" s="40"/>
      <c r="H2696" s="40"/>
      <c r="I2696" s="40"/>
      <c r="J2696" s="40"/>
      <c r="K2696" s="40"/>
      <c r="L2696" s="40"/>
      <c r="M2696" s="40"/>
      <c r="N2696" s="40"/>
      <c r="O2696" s="40"/>
      <c r="P2696" s="41"/>
      <c r="Q2696" s="19"/>
      <c r="R2696" s="11"/>
    </row>
    <row r="2697" s="1" customFormat="1" ht="9.95" customHeight="1" spans="1:18">
      <c r="A2697" s="7"/>
      <c r="B2697" s="12"/>
      <c r="C2697" s="29"/>
      <c r="D2697" s="29"/>
      <c r="E2697" s="29"/>
      <c r="F2697" s="29"/>
      <c r="G2697" s="29"/>
      <c r="H2697" s="29"/>
      <c r="I2697" s="29"/>
      <c r="J2697" s="29"/>
      <c r="K2697" s="29"/>
      <c r="L2697" s="29"/>
      <c r="M2697" s="29"/>
      <c r="N2697" s="29"/>
      <c r="O2697" s="29"/>
      <c r="P2697" s="29"/>
      <c r="Q2697" s="19"/>
      <c r="R2697" s="11"/>
    </row>
    <row r="2698" s="1" customFormat="1" ht="9.95" customHeight="1" spans="1:18">
      <c r="A2698" s="7"/>
      <c r="B2698" s="12"/>
      <c r="C2698" s="30"/>
      <c r="D2698" s="31"/>
      <c r="E2698" s="31"/>
      <c r="F2698" s="31"/>
      <c r="G2698" s="31"/>
      <c r="H2698" s="31"/>
      <c r="I2698" s="31"/>
      <c r="J2698" s="31"/>
      <c r="K2698" s="31"/>
      <c r="L2698" s="31"/>
      <c r="M2698" s="31"/>
      <c r="N2698" s="31"/>
      <c r="O2698" s="31"/>
      <c r="P2698" s="32"/>
      <c r="Q2698" s="19"/>
      <c r="R2698" s="11"/>
    </row>
    <row r="2699" s="1" customFormat="1" ht="21.95" customHeight="1" spans="1:18">
      <c r="A2699" s="7"/>
      <c r="B2699" s="12"/>
      <c r="C2699" s="33"/>
      <c r="D2699" s="35"/>
      <c r="E2699" s="24"/>
      <c r="F2699" s="42" t="s">
        <v>717</v>
      </c>
      <c r="G2699" s="42"/>
      <c r="H2699" s="42"/>
      <c r="I2699" s="42"/>
      <c r="J2699" s="42"/>
      <c r="K2699" s="42"/>
      <c r="L2699" s="43"/>
      <c r="M2699" s="44"/>
      <c r="N2699" s="29"/>
      <c r="O2699" s="29"/>
      <c r="P2699" s="19"/>
      <c r="Q2699" s="19"/>
      <c r="R2699" s="11"/>
    </row>
    <row r="2700" s="1" customFormat="1" ht="21.95" customHeight="1" spans="1:18">
      <c r="A2700" s="7"/>
      <c r="B2700" s="12"/>
      <c r="C2700" s="33"/>
      <c r="D2700" s="45"/>
      <c r="E2700" s="46"/>
      <c r="F2700" s="47" t="s">
        <v>541</v>
      </c>
      <c r="G2700" s="47" t="s">
        <v>542</v>
      </c>
      <c r="H2700" s="47" t="s">
        <v>543</v>
      </c>
      <c r="I2700" s="47" t="s">
        <v>544</v>
      </c>
      <c r="J2700" s="47" t="s">
        <v>561</v>
      </c>
      <c r="K2700" s="48" t="s">
        <v>750</v>
      </c>
      <c r="L2700" s="47" t="s">
        <v>382</v>
      </c>
      <c r="M2700" s="49" t="s">
        <v>546</v>
      </c>
      <c r="N2700" s="29"/>
      <c r="O2700" s="29"/>
      <c r="P2700" s="19"/>
      <c r="Q2700" s="19"/>
      <c r="R2700" s="11"/>
    </row>
    <row r="2701" s="1" customFormat="1" ht="21.95" customHeight="1" spans="1:18">
      <c r="A2701" s="7"/>
      <c r="B2701" s="12"/>
      <c r="C2701" s="33"/>
      <c r="D2701" s="45" t="s">
        <v>652</v>
      </c>
      <c r="E2701" s="46"/>
      <c r="F2701" s="50">
        <v>10</v>
      </c>
      <c r="G2701" s="50">
        <v>10</v>
      </c>
      <c r="H2701" s="50">
        <v>10</v>
      </c>
      <c r="I2701" s="50">
        <v>10</v>
      </c>
      <c r="J2701" s="50">
        <v>60</v>
      </c>
      <c r="K2701" s="51"/>
      <c r="L2701" s="50">
        <v>100</v>
      </c>
      <c r="M2701" s="49"/>
      <c r="N2701" s="29"/>
      <c r="O2701" s="29"/>
      <c r="P2701" s="19"/>
      <c r="Q2701" s="19"/>
      <c r="R2701" s="11"/>
    </row>
    <row r="2702" s="1" customFormat="1" ht="21.95" customHeight="1" spans="1:18">
      <c r="A2702" s="7"/>
      <c r="B2702" s="12"/>
      <c r="C2702" s="33"/>
      <c r="D2702" s="52" t="s">
        <v>751</v>
      </c>
      <c r="E2702" s="53"/>
      <c r="F2702" s="54" t="str">
        <f ca="1">IFERROR(VLOOKUP(F2685,'RR-3.1-5TH'!$A$12:'RR-3.1-5TH'!$BN$111,9,0),"")</f>
        <v/>
      </c>
      <c r="G2702" s="54" t="str">
        <f ca="1">IFERROR(VLOOKUP(F2685,'RR-3.1-5TH'!$A$12:'RR-3.1-5TH'!$BN$111,10,0),"")</f>
        <v/>
      </c>
      <c r="H2702" s="54" t="str">
        <f ca="1">IFERROR(VLOOKUP(F2685,'RR-3.1-5TH'!$A$12:'RR-3.1-5TH'!$BN$111,11,0),"")</f>
        <v/>
      </c>
      <c r="I2702" s="54" t="str">
        <f ca="1">IFERROR(VLOOKUP(F2685,'RR-3.1-5TH'!$A$12:'RR-3.1-5TH'!$BN$111,12,0),"")</f>
        <v/>
      </c>
      <c r="J2702" s="54" t="str">
        <f ca="1">IFERROR(VLOOKUP(F2685,'RR-3.1-5TH'!$A$12:'RR-3.1-5TH'!$BN$111,13,0),"")</f>
        <v/>
      </c>
      <c r="K2702" s="54" t="str">
        <f ca="1">IFERROR(VLOOKUP(F2685,'RR-3.1-5TH'!$A$12:'RR-3.1-5TH'!$BN$111,14,0),"")</f>
        <v/>
      </c>
      <c r="L2702" s="55">
        <f ca="1" t="shared" ref="L2702:L2707" si="141">SUM(F2702,G2702,H2702,I2702,J2702,K2702)</f>
        <v>0</v>
      </c>
      <c r="M2702" s="56" t="str">
        <f ca="1">IF(F2685&gt;ENTRY!$D$24,"",IF(L2702=0,"Ab",IF(L2702&gt;80,"A",IF(L2702&gt;60,"B",IF(L2702&gt;44,"C",IF(L2702&gt;=33,"D",IF(L2702&lt;=32,"E","")))))))</f>
        <v/>
      </c>
      <c r="N2702" s="57" t="s">
        <v>729</v>
      </c>
      <c r="O2702" s="58"/>
      <c r="P2702" s="59"/>
      <c r="Q2702" s="19"/>
      <c r="R2702" s="11"/>
    </row>
    <row r="2703" s="1" customFormat="1" ht="21.95" customHeight="1" spans="1:18">
      <c r="A2703" s="7"/>
      <c r="B2703" s="12"/>
      <c r="C2703" s="33"/>
      <c r="D2703" s="52" t="s">
        <v>513</v>
      </c>
      <c r="E2703" s="53"/>
      <c r="F2703" s="54" t="str">
        <f ca="1">IFERROR(VLOOKUP(F2685,'RR-3.1-5TH'!$A$12:'RR-3.1-5TH'!$BN$111,17,0),"")</f>
        <v/>
      </c>
      <c r="G2703" s="54" t="str">
        <f ca="1">IFERROR(VLOOKUP(F2685,'RR-3.1-5TH'!$A$12:'RR-3.1-5TH'!$BN$111,18,0),"")</f>
        <v/>
      </c>
      <c r="H2703" s="54" t="str">
        <f ca="1">IFERROR(VLOOKUP(F2685,'RR-3.1-5TH'!$A$12:'RR-3.1-5TH'!$BN$111,19,0),"")</f>
        <v/>
      </c>
      <c r="I2703" s="54" t="str">
        <f ca="1">IFERROR(VLOOKUP(F2685,'RR-3.1-5TH'!$A$12:'RR-3.1-5TH'!$BN$111,20,0),"")</f>
        <v/>
      </c>
      <c r="J2703" s="54" t="str">
        <f ca="1">IFERROR(VLOOKUP(F2685,'RR-3.1-5TH'!$A$12:'RR-3.1-5TH'!$BN$111,21,0),"")</f>
        <v/>
      </c>
      <c r="K2703" s="54" t="str">
        <f ca="1">IFERROR(VLOOKUP(F2685,'RR-3.1-5TH'!$A$12:'RR-3.1-5TH'!$BN$111,22,0),"")</f>
        <v/>
      </c>
      <c r="L2703" s="55">
        <f ca="1" t="shared" si="141"/>
        <v>0</v>
      </c>
      <c r="M2703" s="56" t="str">
        <f ca="1">IF(F2685&gt;ENTRY!$D$24,"",IF(L2703=0,"Ab",IF(L2703&gt;80,"A",IF(L2703&gt;60,"B",IF(L2703&gt;44,"C",IF(L2703&gt;=33,"D",IF(L2703&lt;=32,"E","")))))))</f>
        <v/>
      </c>
      <c r="N2703" s="58"/>
      <c r="O2703" s="58"/>
      <c r="P2703" s="59"/>
      <c r="Q2703" s="19"/>
      <c r="R2703" s="11"/>
    </row>
    <row r="2704" s="1" customFormat="1" ht="21.95" customHeight="1" spans="1:18">
      <c r="A2704" s="7"/>
      <c r="B2704" s="12"/>
      <c r="C2704" s="33"/>
      <c r="D2704" s="52" t="s">
        <v>718</v>
      </c>
      <c r="E2704" s="53"/>
      <c r="F2704" s="54" t="str">
        <f ca="1">IFERROR(VLOOKUP(F2685,'RR-3.1-5TH'!$A$12:'RR-3.1-5TH'!$BN$111,25,0),"")</f>
        <v/>
      </c>
      <c r="G2704" s="54" t="str">
        <f ca="1">IFERROR(VLOOKUP(F2685,'RR-3.1-5TH'!$A$12:'RR-3.1-5TH'!$BN$111,26,0),"")</f>
        <v/>
      </c>
      <c r="H2704" s="54" t="str">
        <f ca="1">IFERROR(VLOOKUP(F2685,'RR-3.1-5TH'!$A$12:'RR-3.1-5TH'!$BN$111,27,0),"")</f>
        <v/>
      </c>
      <c r="I2704" s="54" t="str">
        <f ca="1">IFERROR(VLOOKUP(F2685,'RR-3.1-5TH'!$A$12:'RR-3.1-5TH'!$BN$111,28,0),"")</f>
        <v/>
      </c>
      <c r="J2704" s="54" t="str">
        <f ca="1">IFERROR(VLOOKUP(F2685,'RR-3.1-5TH'!$A$12:'RR-3.1-5TH'!$BN$111,29,0),"")</f>
        <v/>
      </c>
      <c r="K2704" s="54" t="str">
        <f ca="1">IFERROR(VLOOKUP(F2685,'RR-3.1-5TH'!$A$12:'RR-3.1-5TH'!$BN$111,30,0),"")</f>
        <v/>
      </c>
      <c r="L2704" s="55">
        <f ca="1" t="shared" si="141"/>
        <v>0</v>
      </c>
      <c r="M2704" s="56" t="str">
        <f ca="1">IF(F2685&gt;ENTRY!$D$24,"",IF(L2704=0,"Ab",IF(L2704&gt;80,"A",IF(L2704&gt;60,"B",IF(L2704&gt;44,"C",IF(L2704&gt;=33,"D",IF(L2704&lt;=32,"E","")))))))</f>
        <v/>
      </c>
      <c r="N2704" s="29"/>
      <c r="O2704" s="29"/>
      <c r="P2704" s="19"/>
      <c r="Q2704" s="19"/>
      <c r="R2704" s="11"/>
    </row>
    <row r="2705" s="1" customFormat="1" ht="21.95" customHeight="1" spans="1:19">
      <c r="A2705" s="7"/>
      <c r="B2705" s="12"/>
      <c r="C2705" s="33"/>
      <c r="D2705" s="52" t="s">
        <v>719</v>
      </c>
      <c r="E2705" s="53"/>
      <c r="F2705" s="54" t="str">
        <f ca="1">IFERROR(VLOOKUP(F2685,'RR-3.1-5TH'!$A$12:'RR-3.1-5TH'!$BN$111,33,0),"")</f>
        <v/>
      </c>
      <c r="G2705" s="54" t="str">
        <f ca="1">IFERROR(VLOOKUP(F2685,'RR-3.1-5TH'!$A$12:'RR-3.1-5TH'!$BN$111,34,0),"")</f>
        <v/>
      </c>
      <c r="H2705" s="54" t="str">
        <f ca="1">IFERROR(VLOOKUP(F2685,'RR-3.1-5TH'!$A$12:'RR-3.1-5TH'!$BN$111,35,0),"")</f>
        <v/>
      </c>
      <c r="I2705" s="54" t="str">
        <f ca="1">IFERROR(VLOOKUP(F2685,'RR-3.1-5TH'!$A$12:'RR-3.1-5TH'!$BN$111,36,0),"")</f>
        <v/>
      </c>
      <c r="J2705" s="54" t="str">
        <f ca="1">IFERROR(VLOOKUP(F2685,'RR-3.1-5TH'!$A$12:'RR-3.1-5TH'!$BN$111,37,0),"")</f>
        <v/>
      </c>
      <c r="K2705" s="54" t="str">
        <f ca="1">IFERROR(VLOOKUP(F2685,'RR-3.1-5TH'!$A$12:'RR-3.1-5TH'!$BN$111,38,0),"")</f>
        <v/>
      </c>
      <c r="L2705" s="55">
        <f ca="1" t="shared" si="141"/>
        <v>0</v>
      </c>
      <c r="M2705" s="56" t="str">
        <f ca="1">IF(F2685&gt;ENTRY!$D$24,"",IF(L2705=0,"Ab",IF(L2705&gt;80,"A",IF(L2705&gt;60,"B",IF(L2705&gt;44,"C",IF(L2705&gt;=33,"D",IF(L2705&lt;=32,"E","")))))))</f>
        <v/>
      </c>
      <c r="N2705" s="29"/>
      <c r="O2705" s="29"/>
      <c r="P2705" s="19"/>
      <c r="Q2705" s="19"/>
      <c r="R2705" s="11"/>
    </row>
    <row r="2706" s="1" customFormat="1" ht="21.95" customHeight="1" spans="1:19">
      <c r="A2706" s="7"/>
      <c r="B2706" s="12"/>
      <c r="C2706" s="33"/>
      <c r="D2706" s="52" t="s">
        <v>548</v>
      </c>
      <c r="E2706" s="53"/>
      <c r="F2706" s="54" t="str">
        <f ca="1">IFERROR(VLOOKUP(F2685,'RR-3.1-5TH'!$A$12:'RR-3.1-5TH'!$BN$111,41,0),"")</f>
        <v/>
      </c>
      <c r="G2706" s="54" t="str">
        <f ca="1">IFERROR(VLOOKUP(F2685,'RR-3.1-5TH'!$A$12:'RR-3.1-5TH'!$BN$111,42,0),"")</f>
        <v/>
      </c>
      <c r="H2706" s="54" t="str">
        <f ca="1">IFERROR(VLOOKUP(F2685,'RR-3.1-5TH'!$A$12:'RR-3.1-5TH'!$BN$111,43,0),"")</f>
        <v/>
      </c>
      <c r="I2706" s="54" t="str">
        <f ca="1">IFERROR(VLOOKUP(F2685,'RR-3.1-5TH'!$A$12:'RR-3.1-5TH'!$BN$111,44,0),"")</f>
        <v/>
      </c>
      <c r="J2706" s="54" t="str">
        <f ca="1">IFERROR(VLOOKUP(F2685,'RR-3.1-5TH'!$A$12:'RR-3.1-5TH'!$BN$111,45,0),"")</f>
        <v/>
      </c>
      <c r="K2706" s="54" t="str">
        <f ca="1">IFERROR(VLOOKUP(F2685,'RR-3.1-5TH'!$A$12:'RR-3.1-5TH'!$BN$111,46,0),"")</f>
        <v/>
      </c>
      <c r="L2706" s="55">
        <f ca="1" t="shared" si="141"/>
        <v>0</v>
      </c>
      <c r="M2706" s="56" t="str">
        <f ca="1">IF(F2685&gt;ENTRY!$D$24,"",IF(L2706=0,"Ab",IF(L2706&gt;80,"A",IF(L2706&gt;60,"B",IF(L2706&gt;44,"C",IF(L2706&gt;=33,"D",IF(L2706&lt;=32,"E","")))))))</f>
        <v/>
      </c>
      <c r="N2706" s="29"/>
      <c r="O2706" s="29"/>
      <c r="P2706" s="19"/>
      <c r="Q2706" s="19"/>
      <c r="R2706" s="11"/>
    </row>
    <row r="2707" s="1" customFormat="1" ht="21.95" customHeight="1" spans="1:19">
      <c r="A2707" s="7"/>
      <c r="B2707" s="12"/>
      <c r="C2707" s="33"/>
      <c r="D2707" s="52" t="s">
        <v>549</v>
      </c>
      <c r="E2707" s="53"/>
      <c r="F2707" s="54" t="str">
        <f ca="1">IFERROR(VLOOKUP(F2685,'RR-3.1-5TH'!$A$12:'RR-3.1-5TH'!$BN$111,49,0),"")</f>
        <v/>
      </c>
      <c r="G2707" s="54" t="str">
        <f ca="1">IFERROR(VLOOKUP(F2685,'RR-3.1-5TH'!$A$12:'RR-3.1-5TH'!$BN$111,50,0),"")</f>
        <v/>
      </c>
      <c r="H2707" s="54" t="str">
        <f ca="1">IFERROR(VLOOKUP(F2685,'RR-3.1-5TH'!$A$12:'RR-3.1-5TH'!$BN$111,51,0),"")</f>
        <v/>
      </c>
      <c r="I2707" s="54" t="str">
        <f ca="1">IFERROR(VLOOKUP(F2685,'RR-3.1-5TH'!$A$12:'RR-3.1-5TH'!$BN$111,52,0),"")</f>
        <v/>
      </c>
      <c r="J2707" s="54" t="str">
        <f ca="1">IFERROR(VLOOKUP(F2685,'RR-3.1-5TH'!$A$12:'RR-3.1-5TH'!$BN$111,53,0),"")</f>
        <v/>
      </c>
      <c r="K2707" s="54" t="str">
        <f ca="1">IFERROR(VLOOKUP(F2685,'RR-3.1-5TH'!$A$12:'RR-3.1-5TH'!$BN$111,54,0),"")</f>
        <v/>
      </c>
      <c r="L2707" s="55">
        <f ca="1" t="shared" si="141"/>
        <v>0</v>
      </c>
      <c r="M2707" s="56" t="str">
        <f ca="1">IF(F2685&gt;ENTRY!$D$24,"",IF(L2707=0,"Ab",IF(L2707&gt;80,"A",IF(L2707&gt;60,"B",IF(L2707&gt;44,"C",IF(L2707&gt;=33,"D",IF(L2707&lt;=32,"E","")))))))</f>
        <v/>
      </c>
      <c r="N2707" s="57" t="s">
        <v>752</v>
      </c>
      <c r="O2707" s="58"/>
      <c r="P2707" s="59"/>
      <c r="Q2707" s="19"/>
      <c r="R2707" s="11"/>
    </row>
    <row r="2708" s="1" customFormat="1" ht="21.95" customHeight="1" spans="1:19">
      <c r="A2708" s="7"/>
      <c r="B2708" s="12"/>
      <c r="C2708" s="33"/>
      <c r="D2708" s="52" t="s">
        <v>753</v>
      </c>
      <c r="E2708" s="53"/>
      <c r="F2708" s="60"/>
      <c r="G2708" s="54"/>
      <c r="H2708" s="54"/>
      <c r="I2708" s="54"/>
      <c r="J2708" s="54"/>
      <c r="K2708" s="54"/>
      <c r="L2708" s="55">
        <f t="shared" ref="L2708" si="142">SUM(G2708:K2708)</f>
        <v>0</v>
      </c>
      <c r="M2708" s="56" t="str">
        <f>IF(F2685&gt;ENTRY!$D$24,"",IF(L2708=0,"",IF(L2708&gt;79,"A",IF(L2708&gt;59,"B",IF(L2708&gt;44,"C",IF(L2708&gt;=33,"D",IF(L2708&lt;=32,"E","")))))))</f>
        <v/>
      </c>
      <c r="N2708" s="58"/>
      <c r="O2708" s="58"/>
      <c r="P2708" s="59"/>
      <c r="Q2708" s="19"/>
      <c r="R2708" s="11"/>
    </row>
    <row r="2709" s="1" customFormat="1" ht="21.95" customHeight="1" spans="1:19">
      <c r="A2709" s="7"/>
      <c r="B2709" s="12"/>
      <c r="C2709" s="33"/>
      <c r="D2709" s="45" t="s">
        <v>382</v>
      </c>
      <c r="E2709" s="46"/>
      <c r="F2709" s="54">
        <f ca="1" t="shared" ref="F2709:L2709" si="143">IFERROR(SUM(F2702:F2708),"")</f>
        <v>0</v>
      </c>
      <c r="G2709" s="54">
        <f ca="1" t="shared" si="143"/>
        <v>0</v>
      </c>
      <c r="H2709" s="54">
        <f ca="1" t="shared" si="143"/>
        <v>0</v>
      </c>
      <c r="I2709" s="54">
        <f ca="1" t="shared" si="143"/>
        <v>0</v>
      </c>
      <c r="J2709" s="54">
        <f ca="1" t="shared" si="143"/>
        <v>0</v>
      </c>
      <c r="K2709" s="54">
        <f ca="1" t="shared" si="143"/>
        <v>0</v>
      </c>
      <c r="L2709" s="55">
        <f ca="1" t="shared" si="143"/>
        <v>0</v>
      </c>
      <c r="M2709" s="61" t="str">
        <f ca="1">IF(F2685&gt;ENTRY!$D$24,"",IF(N2710="Ab","Ab",IF(N2710&gt;79.5,"A",IF(N2710&gt;59.5,"B",IF(N2710&gt;44.5,"C",IF(N2710&gt;=33,"D",IF(N2710&lt;33,"E","")))))))</f>
        <v/>
      </c>
      <c r="N2709" s="62"/>
      <c r="O2709" s="58"/>
      <c r="P2709" s="59"/>
      <c r="Q2709" s="19"/>
      <c r="R2709" s="11"/>
    </row>
    <row r="2710" s="1" customFormat="1" ht="21.95" customHeight="1" spans="1:19">
      <c r="A2710" s="7"/>
      <c r="B2710" s="12"/>
      <c r="C2710" s="33"/>
      <c r="D2710" s="63" t="s">
        <v>721</v>
      </c>
      <c r="E2710" s="63"/>
      <c r="F2710" s="63"/>
      <c r="G2710" s="63"/>
      <c r="H2710" s="63"/>
      <c r="I2710" s="63"/>
      <c r="J2710" s="63"/>
      <c r="K2710" s="63"/>
      <c r="L2710" s="63"/>
      <c r="M2710" s="63"/>
      <c r="N2710" s="64">
        <f ca="1">IF(L2709="Ab","Ab",L2709/6)</f>
        <v>0</v>
      </c>
      <c r="O2710" s="65"/>
      <c r="P2710" s="19"/>
      <c r="Q2710" s="19"/>
      <c r="R2710" s="11"/>
    </row>
    <row r="2711" s="1" customFormat="1" ht="21.95" customHeight="1" spans="1:19">
      <c r="A2711" s="7"/>
      <c r="B2711" s="12"/>
      <c r="C2711" s="33"/>
      <c r="D2711" s="29" t="s">
        <v>716</v>
      </c>
      <c r="E2711" s="18" t="str">
        <f>IFERROR(VLOOKUP(F2685,'1to4-2.1-RR'!$A$12:$BG$111,57,0),"")</f>
        <v/>
      </c>
      <c r="F2711" s="18"/>
      <c r="G2711" s="18"/>
      <c r="H2711" s="18"/>
      <c r="I2711" s="18"/>
      <c r="J2711" s="18"/>
      <c r="K2711" s="18"/>
      <c r="L2711" s="18"/>
      <c r="M2711" s="18"/>
      <c r="N2711" s="29"/>
      <c r="O2711" s="29"/>
      <c r="P2711" s="19"/>
      <c r="Q2711" s="19"/>
      <c r="R2711" s="11"/>
    </row>
    <row r="2712" s="1" customFormat="1" ht="9.95" customHeight="1" spans="1:19">
      <c r="A2712" s="7"/>
      <c r="B2712" s="12"/>
      <c r="C2712" s="33"/>
      <c r="D2712" s="29"/>
      <c r="E2712" s="29"/>
      <c r="F2712" s="29"/>
      <c r="G2712" s="29"/>
      <c r="H2712" s="29"/>
      <c r="I2712" s="29"/>
      <c r="J2712" s="29"/>
      <c r="K2712" s="29"/>
      <c r="L2712" s="29"/>
      <c r="M2712" s="29"/>
      <c r="N2712" s="29"/>
      <c r="O2712" s="29"/>
      <c r="P2712" s="19"/>
      <c r="Q2712" s="19"/>
      <c r="R2712" s="11"/>
    </row>
    <row r="2713" s="1" customFormat="1" ht="36" spans="1:19">
      <c r="A2713" s="7"/>
      <c r="B2713" s="12"/>
      <c r="C2713" s="33"/>
      <c r="D2713" s="66" t="s">
        <v>576</v>
      </c>
      <c r="E2713" s="67" t="s">
        <v>754</v>
      </c>
      <c r="F2713" s="47" t="str">
        <f>IF(F2685&gt;ENTRY!$D$24,"",IFERROR(VLOOKUP(F2685,PASHEET!$A$4:$CJ$103,88,0),""))</f>
        <v/>
      </c>
      <c r="G2713" s="67" t="s">
        <v>755</v>
      </c>
      <c r="H2713" s="47" t="str">
        <f>IF(F2685&gt;ENTRY!$D$24,"",IFERROR(VLOOKUP(F2685,PASHEET!$A$4:$CJ$103,87,0),""))</f>
        <v/>
      </c>
      <c r="I2713" s="68" t="s">
        <v>756</v>
      </c>
      <c r="J2713" s="69" t="str">
        <f>IF(F2685&gt;ENTRY!$D$24,"",IFERROR(IF(F2685&gt;0,H2713/F2713*100),""))</f>
        <v/>
      </c>
      <c r="K2713" s="60" t="s">
        <v>757</v>
      </c>
      <c r="L2713" s="70" t="str">
        <f ca="1">IF(F2685&gt;ENTRY!$D$24,"",IFERROR(L2709/600*100,""))</f>
        <v/>
      </c>
      <c r="M2713" s="47" t="str">
        <f ca="1">IF(F2685&gt;ENTRY!$D$24,"",IFERROR(L2709&amp;" / "&amp;"600",""))</f>
        <v/>
      </c>
      <c r="N2713" s="29"/>
      <c r="O2713" s="29"/>
      <c r="P2713" s="19"/>
      <c r="Q2713" s="19"/>
      <c r="R2713" s="11"/>
    </row>
    <row r="2714" s="1" customFormat="1" ht="9.95" customHeight="1" spans="1:19">
      <c r="A2714" s="7"/>
      <c r="B2714" s="12"/>
      <c r="C2714" s="39"/>
      <c r="D2714" s="40"/>
      <c r="E2714" s="40"/>
      <c r="F2714" s="40"/>
      <c r="G2714" s="40"/>
      <c r="H2714" s="40"/>
      <c r="I2714" s="40"/>
      <c r="J2714" s="40"/>
      <c r="K2714" s="40"/>
      <c r="L2714" s="40"/>
      <c r="M2714" s="40"/>
      <c r="N2714" s="40"/>
      <c r="O2714" s="40"/>
      <c r="P2714" s="41"/>
      <c r="Q2714" s="19"/>
      <c r="R2714" s="11"/>
    </row>
    <row r="2715" s="1" customFormat="1" ht="9.95" customHeight="1" spans="1:19">
      <c r="A2715" s="7"/>
      <c r="B2715" s="12"/>
      <c r="C2715" s="71"/>
      <c r="D2715" s="71"/>
      <c r="E2715" s="71"/>
      <c r="F2715" s="29"/>
      <c r="G2715" s="71"/>
      <c r="H2715" s="71"/>
      <c r="I2715" s="71"/>
      <c r="J2715" s="71"/>
      <c r="K2715" s="71"/>
      <c r="L2715" s="71"/>
      <c r="M2715" s="71"/>
      <c r="N2715" s="71"/>
      <c r="O2715" s="71"/>
      <c r="P2715" s="71"/>
      <c r="Q2715" s="19"/>
      <c r="R2715" s="11"/>
    </row>
    <row r="2716" s="1" customFormat="1" ht="9.95" customHeight="1" spans="1:19">
      <c r="A2716" s="7"/>
      <c r="B2716" s="12"/>
      <c r="C2716" s="29"/>
      <c r="D2716" s="29"/>
      <c r="E2716" s="29"/>
      <c r="F2716" s="72"/>
      <c r="G2716" s="29"/>
      <c r="H2716" s="29"/>
      <c r="I2716" s="29"/>
      <c r="J2716" s="29"/>
      <c r="K2716" s="29"/>
      <c r="L2716" s="29"/>
      <c r="M2716" s="29"/>
      <c r="N2716" s="29"/>
      <c r="O2716" s="29"/>
      <c r="P2716" s="29"/>
      <c r="Q2716" s="19"/>
      <c r="R2716" s="11"/>
    </row>
    <row r="2717" s="1" customFormat="1" ht="9.95" customHeight="1" spans="1:19">
      <c r="A2717" s="7"/>
      <c r="B2717" s="12"/>
      <c r="C2717" s="30"/>
      <c r="D2717" s="31"/>
      <c r="E2717" s="31"/>
      <c r="F2717" s="31"/>
      <c r="G2717" s="31"/>
      <c r="H2717" s="31"/>
      <c r="I2717" s="31"/>
      <c r="J2717" s="31"/>
      <c r="K2717" s="31"/>
      <c r="L2717" s="31"/>
      <c r="M2717" s="31"/>
      <c r="N2717" s="31"/>
      <c r="O2717" s="31"/>
      <c r="P2717" s="32"/>
      <c r="Q2717" s="19"/>
      <c r="R2717" s="11"/>
    </row>
    <row r="2718" s="1" customFormat="1" ht="21.95" customHeight="1" spans="1:19">
      <c r="A2718" s="7"/>
      <c r="B2718" s="12"/>
      <c r="C2718" s="73" t="s">
        <v>7</v>
      </c>
      <c r="D2718" s="13"/>
      <c r="E2718" s="13"/>
      <c r="F2718" s="13"/>
      <c r="G2718" s="13"/>
      <c r="H2718" s="13"/>
      <c r="I2718" s="13"/>
      <c r="J2718" s="13"/>
      <c r="K2718" s="13"/>
      <c r="L2718" s="13"/>
      <c r="M2718" s="13"/>
      <c r="N2718" s="13"/>
      <c r="O2718" s="13"/>
      <c r="P2718" s="74"/>
      <c r="Q2718" s="19"/>
      <c r="R2718" s="11"/>
      <c r="S2718" s="2"/>
    </row>
    <row r="2719" s="1" customFormat="1" ht="21.95" customHeight="1" spans="1:19">
      <c r="A2719" s="7"/>
      <c r="B2719" s="12"/>
      <c r="C2719" s="33"/>
      <c r="D2719" s="29"/>
      <c r="E2719" s="29"/>
      <c r="F2719" s="29"/>
      <c r="G2719" s="29"/>
      <c r="H2719" s="29"/>
      <c r="I2719" s="29"/>
      <c r="J2719" s="29"/>
      <c r="K2719" s="29"/>
      <c r="L2719" s="29"/>
      <c r="M2719" s="29"/>
      <c r="N2719" s="29"/>
      <c r="O2719" s="29"/>
      <c r="P2719" s="19"/>
      <c r="Q2719" s="19"/>
      <c r="R2719" s="11"/>
    </row>
    <row r="2720" s="1" customFormat="1" ht="21.95" customHeight="1" spans="1:19">
      <c r="A2720" s="7"/>
      <c r="B2720" s="12"/>
      <c r="C2720" s="75" t="str">
        <f>"SESSION-"&amp;ENTRY!$D$11</f>
        <v>SESSION-2026-27</v>
      </c>
      <c r="D2720" s="15"/>
      <c r="E2720" s="15"/>
      <c r="F2720" s="15"/>
      <c r="G2720" s="15"/>
      <c r="H2720" s="15"/>
      <c r="I2720" s="15"/>
      <c r="J2720" s="15"/>
      <c r="K2720" s="15"/>
      <c r="L2720" s="15"/>
      <c r="M2720" s="15"/>
      <c r="N2720" s="15"/>
      <c r="O2720" s="15"/>
      <c r="P2720" s="76"/>
      <c r="Q2720" s="19"/>
      <c r="R2720" s="11"/>
    </row>
    <row r="2721" s="1" customFormat="1" ht="18" customHeight="1" spans="1:18">
      <c r="A2721" s="7"/>
      <c r="B2721" s="12"/>
      <c r="C2721" s="33"/>
      <c r="D2721" s="29"/>
      <c r="E2721" s="29"/>
      <c r="F2721" s="29"/>
      <c r="G2721" s="29"/>
      <c r="H2721" s="29"/>
      <c r="I2721" s="29"/>
      <c r="J2721" s="29"/>
      <c r="K2721" s="29"/>
      <c r="L2721" s="29"/>
      <c r="M2721" s="29"/>
      <c r="N2721" s="29"/>
      <c r="O2721" s="29"/>
      <c r="P2721" s="19"/>
      <c r="Q2721" s="19"/>
      <c r="R2721" s="11"/>
    </row>
    <row r="2722" s="1" customFormat="1" ht="21.95" customHeight="1" spans="1:18">
      <c r="A2722" s="7"/>
      <c r="B2722" s="12"/>
      <c r="C2722" s="33"/>
      <c r="D2722" s="77" t="s">
        <v>758</v>
      </c>
      <c r="E2722" s="77"/>
      <c r="F2722" s="78" t="str">
        <f>IFERROR(PROPER(VLOOKUP(F2685,STUDENT!$A$2:$BP$101,5,0)),"")</f>
        <v/>
      </c>
      <c r="G2722" s="78"/>
      <c r="H2722" s="78"/>
      <c r="I2722" s="78"/>
      <c r="J2722" s="78"/>
      <c r="K2722" s="78"/>
      <c r="L2722" s="78"/>
      <c r="M2722" s="78"/>
      <c r="N2722" s="79" t="s">
        <v>759</v>
      </c>
      <c r="O2722" s="79"/>
      <c r="P2722" s="19"/>
      <c r="Q2722" s="19"/>
      <c r="R2722" s="11"/>
    </row>
    <row r="2723" s="1" customFormat="1" ht="21.95" customHeight="1" spans="1:18">
      <c r="A2723" s="7"/>
      <c r="B2723" s="12"/>
      <c r="C2723" s="33"/>
      <c r="D2723" s="80" t="s">
        <v>760</v>
      </c>
      <c r="E2723" s="81" t="str">
        <f>IFERROR(PROPER(VLOOKUP(F2685,STUDENT!$A$2:$BP$101,9,0)),"")</f>
        <v/>
      </c>
      <c r="F2723" s="81"/>
      <c r="G2723" s="81"/>
      <c r="H2723" s="80" t="s">
        <v>761</v>
      </c>
      <c r="I2723" s="82" t="str">
        <f>IFERROR(PROPER(VLOOKUP(F2685,STUDENT!$A$2:$BP$101,8,0)),"")</f>
        <v/>
      </c>
      <c r="J2723" s="82"/>
      <c r="K2723" s="82"/>
      <c r="L2723" s="82"/>
      <c r="M2723" s="80" t="s">
        <v>762</v>
      </c>
      <c r="N2723" s="83" t="str">
        <f>IFERROR(VLOOKUP(F2685,STUDENT!$A$2:$BP$101,59,0),"")</f>
        <v/>
      </c>
      <c r="O2723" s="83"/>
      <c r="P2723" s="19"/>
      <c r="Q2723" s="19"/>
      <c r="R2723" s="11"/>
    </row>
    <row r="2724" s="1" customFormat="1" ht="21.95" customHeight="1" spans="1:18">
      <c r="A2724" s="7"/>
      <c r="B2724" s="12"/>
      <c r="C2724" s="33"/>
      <c r="D2724" s="77" t="str">
        <f>"has    completed     his  /  her     primary     level     education    in    the    year    "&amp;RIGHT(ENTRY!$D2690,4)&amp;"    from    ( School    Name )"</f>
        <v>has    completed     his  /  her     primary     level     education    in    the    year        from    ( School    Name )</v>
      </c>
      <c r="E2724" s="77"/>
      <c r="F2724" s="77"/>
      <c r="G2724" s="77"/>
      <c r="H2724" s="77"/>
      <c r="I2724" s="77"/>
      <c r="J2724" s="77"/>
      <c r="K2724" s="77"/>
      <c r="L2724" s="77"/>
      <c r="M2724" s="77"/>
      <c r="N2724" s="77"/>
      <c r="O2724" s="77"/>
      <c r="P2724" s="19"/>
      <c r="Q2724" s="19"/>
      <c r="R2724" s="11"/>
    </row>
    <row r="2725" s="1" customFormat="1" ht="21.95" customHeight="1" spans="1:18">
      <c r="A2725" s="7"/>
      <c r="B2725" s="12"/>
      <c r="C2725" s="33"/>
      <c r="D2725" s="81" t="str">
        <f>IF(F2685&gt;0,ENTRY!$D$6,"")</f>
        <v>MCP NITHARI NO 1 BOYS</v>
      </c>
      <c r="E2725" s="81"/>
      <c r="F2725" s="81"/>
      <c r="G2725" s="81"/>
      <c r="H2725" s="81"/>
      <c r="I2725" s="81"/>
      <c r="J2725" s="81"/>
      <c r="K2725" s="81"/>
      <c r="L2725" s="81"/>
      <c r="M2725" s="80" t="s">
        <v>763</v>
      </c>
      <c r="N2725" s="84">
        <f>IF(F2685&gt;0,ENTRY!$D$7,"")</f>
        <v>0</v>
      </c>
      <c r="O2725" s="84"/>
      <c r="P2725" s="85" t="s">
        <v>727</v>
      </c>
      <c r="Q2725" s="19"/>
      <c r="R2725" s="11"/>
    </row>
    <row r="2726" s="1" customFormat="1" ht="21.95" customHeight="1" spans="1:18">
      <c r="A2726" s="7"/>
      <c r="B2726" s="12"/>
      <c r="C2726" s="33"/>
      <c r="D2726" s="29"/>
      <c r="E2726" s="29"/>
      <c r="F2726" s="29"/>
      <c r="G2726" s="29"/>
      <c r="H2726" s="29"/>
      <c r="I2726" s="29"/>
      <c r="J2726" s="29"/>
      <c r="K2726" s="29"/>
      <c r="L2726" s="29"/>
      <c r="M2726" s="29"/>
      <c r="N2726" s="29"/>
      <c r="O2726" s="29"/>
      <c r="P2726" s="19"/>
      <c r="Q2726" s="19"/>
      <c r="R2726" s="11"/>
    </row>
    <row r="2727" s="1" customFormat="1" ht="21.95" customHeight="1" spans="1:18">
      <c r="A2727" s="7"/>
      <c r="B2727" s="12"/>
      <c r="C2727" s="33"/>
      <c r="D2727" s="29"/>
      <c r="E2727" s="29"/>
      <c r="F2727" s="29"/>
      <c r="G2727" s="29"/>
      <c r="H2727" s="29"/>
      <c r="I2727" s="29"/>
      <c r="J2727" s="29"/>
      <c r="K2727" s="29"/>
      <c r="L2727" s="29"/>
      <c r="M2727" s="29"/>
      <c r="N2727" s="29"/>
      <c r="O2727" s="29"/>
      <c r="P2727" s="19"/>
      <c r="Q2727" s="19"/>
      <c r="R2727" s="11"/>
    </row>
    <row r="2728" s="1" customFormat="1" ht="21.95" customHeight="1" spans="1:18">
      <c r="A2728" s="7"/>
      <c r="B2728" s="12"/>
      <c r="C2728" s="33"/>
      <c r="D2728" s="29"/>
      <c r="E2728" s="29"/>
      <c r="F2728" s="29"/>
      <c r="G2728" s="29"/>
      <c r="H2728" s="29"/>
      <c r="I2728" s="29"/>
      <c r="J2728" s="29"/>
      <c r="K2728" s="29"/>
      <c r="L2728" s="29"/>
      <c r="M2728" s="29"/>
      <c r="N2728" s="29"/>
      <c r="O2728" s="29"/>
      <c r="P2728" s="19"/>
      <c r="Q2728" s="19"/>
      <c r="R2728" s="11"/>
    </row>
    <row r="2729" s="1" customFormat="1" ht="21.95" customHeight="1" spans="1:18">
      <c r="A2729" s="7"/>
      <c r="B2729" s="12"/>
      <c r="C2729" s="33"/>
      <c r="D2729" s="29"/>
      <c r="E2729" s="29"/>
      <c r="F2729" s="29"/>
      <c r="G2729" s="29"/>
      <c r="H2729" s="29"/>
      <c r="I2729" s="29"/>
      <c r="J2729" s="29"/>
      <c r="K2729" s="29"/>
      <c r="L2729" s="29"/>
      <c r="M2729" s="29"/>
      <c r="N2729" s="29"/>
      <c r="O2729" s="29"/>
      <c r="P2729" s="19"/>
      <c r="Q2729" s="19"/>
      <c r="R2729" s="11"/>
    </row>
    <row r="2730" s="1" customFormat="1" ht="21.95" customHeight="1" spans="1:18">
      <c r="A2730" s="7"/>
      <c r="B2730" s="12"/>
      <c r="C2730" s="33"/>
      <c r="D2730" s="29"/>
      <c r="E2730" s="29"/>
      <c r="F2730" s="29"/>
      <c r="G2730" s="29"/>
      <c r="H2730" s="29"/>
      <c r="I2730" s="29"/>
      <c r="J2730" s="29"/>
      <c r="K2730" s="29"/>
      <c r="L2730" s="29"/>
      <c r="M2730" s="29"/>
      <c r="N2730" s="29"/>
      <c r="O2730" s="29"/>
      <c r="P2730" s="19"/>
      <c r="Q2730" s="19"/>
      <c r="R2730" s="11"/>
    </row>
    <row r="2731" s="1" customFormat="1" ht="21.95" customHeight="1" spans="1:18">
      <c r="A2731" s="7"/>
      <c r="B2731" s="12"/>
      <c r="C2731" s="33"/>
      <c r="D2731" s="80" t="s">
        <v>728</v>
      </c>
      <c r="E2731" s="86">
        <f>ENTRY!$D$27</f>
        <v>46102</v>
      </c>
      <c r="F2731" s="86"/>
      <c r="G2731" s="29"/>
      <c r="H2731" s="29"/>
      <c r="I2731" s="29"/>
      <c r="J2731" s="29"/>
      <c r="K2731" s="29"/>
      <c r="L2731" s="29"/>
      <c r="M2731" s="87" t="s">
        <v>730</v>
      </c>
      <c r="N2731" s="87"/>
      <c r="O2731" s="87"/>
      <c r="P2731" s="19"/>
      <c r="Q2731" s="19"/>
      <c r="R2731" s="11"/>
    </row>
    <row r="2732" s="1" customFormat="1" ht="21.95" customHeight="1" spans="1:18">
      <c r="A2732" s="7"/>
      <c r="B2732" s="12"/>
      <c r="C2732" s="33"/>
      <c r="D2732" s="80" t="s">
        <v>731</v>
      </c>
      <c r="E2732" s="88" t="str">
        <f>PROPER(ENTRY!$D$28)</f>
        <v>New Delhi</v>
      </c>
      <c r="F2732" s="88"/>
      <c r="G2732" s="29"/>
      <c r="H2732" s="29"/>
      <c r="I2732" s="29"/>
      <c r="J2732" s="29"/>
      <c r="K2732" s="29"/>
      <c r="L2732" s="29"/>
      <c r="M2732" s="89" t="s">
        <v>732</v>
      </c>
      <c r="N2732" s="89"/>
      <c r="O2732" s="89"/>
      <c r="P2732" s="19"/>
      <c r="Q2732" s="19"/>
      <c r="R2732" s="11"/>
    </row>
    <row r="2733" s="1" customFormat="1" ht="21.95" customHeight="1" spans="1:18">
      <c r="A2733" s="7"/>
      <c r="B2733" s="12"/>
      <c r="C2733" s="90"/>
      <c r="D2733" s="91"/>
      <c r="E2733" s="91"/>
      <c r="F2733" s="91"/>
      <c r="G2733" s="91"/>
      <c r="H2733" s="91"/>
      <c r="I2733" s="91"/>
      <c r="J2733" s="91"/>
      <c r="K2733" s="91"/>
      <c r="L2733" s="91"/>
      <c r="M2733" s="91"/>
      <c r="N2733" s="91"/>
      <c r="O2733" s="91"/>
      <c r="P2733" s="92"/>
      <c r="Q2733" s="14"/>
      <c r="R2733" s="11"/>
    </row>
    <row r="2734" s="1" customFormat="1" ht="5.1" customHeight="1" spans="1:18">
      <c r="A2734" s="7"/>
      <c r="B2734" s="90"/>
      <c r="C2734" s="91"/>
      <c r="D2734" s="91"/>
      <c r="E2734" s="91"/>
      <c r="F2734" s="91"/>
      <c r="G2734" s="91"/>
      <c r="H2734" s="91"/>
      <c r="I2734" s="91"/>
      <c r="J2734" s="91"/>
      <c r="K2734" s="91"/>
      <c r="L2734" s="91"/>
      <c r="M2734" s="91"/>
      <c r="N2734" s="91"/>
      <c r="O2734" s="91"/>
      <c r="P2734" s="91"/>
      <c r="Q2734" s="92"/>
      <c r="R2734" s="11"/>
    </row>
    <row r="2735" s="1" customFormat="1" ht="5.1" customHeight="1" spans="1:18">
      <c r="A2735" s="93"/>
      <c r="B2735" s="94"/>
      <c r="C2735" s="94"/>
      <c r="D2735" s="94"/>
      <c r="E2735" s="94"/>
      <c r="F2735" s="94"/>
      <c r="G2735" s="94"/>
      <c r="H2735" s="94"/>
      <c r="I2735" s="94"/>
      <c r="J2735" s="94"/>
      <c r="K2735" s="94"/>
      <c r="L2735" s="94"/>
      <c r="M2735" s="94"/>
      <c r="N2735" s="94"/>
      <c r="O2735" s="94"/>
      <c r="P2735" s="94"/>
      <c r="Q2735" s="94"/>
      <c r="R2735" s="95"/>
    </row>
    <row r="2736" s="2" customFormat="1" ht="9.95" customHeight="1"/>
    <row r="2737" s="1" customFormat="1" ht="5.1" customHeight="1" spans="1:18">
      <c r="A2737" s="4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  <c r="O2737" s="5"/>
      <c r="P2737" s="5"/>
      <c r="Q2737" s="5"/>
      <c r="R2737" s="6"/>
    </row>
    <row r="2738" s="1" customFormat="1" ht="15" customHeight="1" spans="1:18">
      <c r="A2738" s="7"/>
      <c r="B2738" s="8"/>
      <c r="C2738" s="9"/>
      <c r="D2738" s="9"/>
      <c r="E2738" s="9"/>
      <c r="F2738" s="9"/>
      <c r="G2738" s="9"/>
      <c r="H2738" s="9"/>
      <c r="I2738" s="9"/>
      <c r="J2738" s="9"/>
      <c r="K2738" s="9"/>
      <c r="L2738" s="9"/>
      <c r="M2738" s="9"/>
      <c r="N2738" s="9"/>
      <c r="O2738" s="9"/>
      <c r="P2738" s="9"/>
      <c r="Q2738" s="10"/>
      <c r="R2738" s="11"/>
    </row>
    <row r="2739" s="1" customFormat="1" ht="21.95" customHeight="1" spans="1:18">
      <c r="A2739" s="7"/>
      <c r="B2739" s="12"/>
      <c r="C2739" s="13" t="s">
        <v>7</v>
      </c>
      <c r="D2739" s="13"/>
      <c r="E2739" s="13"/>
      <c r="F2739" s="13"/>
      <c r="G2739" s="13"/>
      <c r="H2739" s="13"/>
      <c r="I2739" s="13"/>
      <c r="J2739" s="13"/>
      <c r="K2739" s="13"/>
      <c r="L2739" s="13"/>
      <c r="M2739" s="13"/>
      <c r="N2739" s="13"/>
      <c r="O2739" s="13"/>
      <c r="P2739" s="13"/>
      <c r="Q2739" s="14"/>
      <c r="R2739" s="11"/>
    </row>
    <row r="2740" s="1" customFormat="1" ht="21.95" customHeight="1" spans="1:18">
      <c r="A2740" s="7"/>
      <c r="B2740" s="1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14"/>
      <c r="R2740" s="11"/>
    </row>
    <row r="2741" s="1" customFormat="1" ht="21.95" customHeight="1" spans="1:18">
      <c r="A2741" s="7"/>
      <c r="B2741" s="12"/>
      <c r="C2741" s="15" t="str">
        <f>"SESSION-"&amp;ENTRY!$D$11</f>
        <v>SESSION-2026-27</v>
      </c>
      <c r="D2741" s="15"/>
      <c r="E2741" s="15"/>
      <c r="F2741" s="15"/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4"/>
      <c r="R2741" s="11"/>
    </row>
    <row r="2742" s="1" customFormat="1" ht="21.95" customHeight="1" spans="1:18">
      <c r="A2742" s="7"/>
      <c r="B2742" s="12"/>
      <c r="C2742" s="2"/>
      <c r="D2742" s="2"/>
      <c r="E2742" s="2"/>
      <c r="F2742" s="16">
        <f>F2685+1</f>
        <v>49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14"/>
      <c r="R2742" s="11"/>
    </row>
    <row r="2743" s="1" customFormat="1" ht="21.95" customHeight="1" spans="1:18">
      <c r="A2743" s="7"/>
      <c r="B2743" s="12"/>
      <c r="C2743" s="17" t="s">
        <v>392</v>
      </c>
      <c r="D2743" s="17"/>
      <c r="E2743" s="17"/>
      <c r="F2743" s="18" t="str">
        <f>IF(F2742&gt;0,ENTRY!$D$6,"")</f>
        <v>MCP NITHARI NO 1 BOYS</v>
      </c>
      <c r="G2743" s="18"/>
      <c r="H2743" s="18"/>
      <c r="I2743" s="18"/>
      <c r="J2743" s="18"/>
      <c r="K2743" s="18"/>
      <c r="L2743" s="18"/>
      <c r="M2743" s="18"/>
      <c r="N2743" s="18"/>
      <c r="O2743" s="18"/>
      <c r="P2743" s="18"/>
      <c r="Q2743" s="19"/>
      <c r="R2743" s="11"/>
    </row>
    <row r="2744" s="1" customFormat="1" ht="21.95" customHeight="1" spans="1:18">
      <c r="A2744" s="7"/>
      <c r="B2744" s="12"/>
      <c r="C2744" s="17" t="s">
        <v>393</v>
      </c>
      <c r="D2744" s="17"/>
      <c r="E2744" s="17"/>
      <c r="F2744" s="18">
        <f>IF(F2742&gt;0,ENTRY!$D$7,"")</f>
        <v>0</v>
      </c>
      <c r="G2744" s="18"/>
      <c r="H2744" s="20" t="s">
        <v>702</v>
      </c>
      <c r="I2744" s="20"/>
      <c r="J2744" s="21">
        <f>IF(F2742&gt;0,ENTRY!$D$10,"")</f>
        <v>40</v>
      </c>
      <c r="K2744" s="20" t="s">
        <v>703</v>
      </c>
      <c r="L2744" s="22" t="str">
        <f>IF(F2742&gt;0,ENTRY!$D$5,"")</f>
        <v>ROHINI ZONE</v>
      </c>
      <c r="M2744" s="22"/>
      <c r="N2744" s="22"/>
      <c r="O2744" s="22"/>
      <c r="P2744" s="22"/>
      <c r="Q2744" s="19"/>
      <c r="R2744" s="11"/>
    </row>
    <row r="2745" s="1" customFormat="1" ht="21.95" customHeight="1" spans="1:18">
      <c r="A2745" s="7"/>
      <c r="B2745" s="12"/>
      <c r="C2745" s="17" t="s">
        <v>706</v>
      </c>
      <c r="D2745" s="17"/>
      <c r="E2745" s="17"/>
      <c r="F2745" s="23">
        <f>IFERROR(VLOOKUP(F2742,STUDENT!$A$2:$BP$101,5,0),"")</f>
        <v>0</v>
      </c>
      <c r="G2745" s="23"/>
      <c r="H2745" s="23"/>
      <c r="I2745" s="23"/>
      <c r="J2745" s="23"/>
      <c r="K2745" s="23"/>
      <c r="L2745" s="20" t="s">
        <v>707</v>
      </c>
      <c r="M2745" s="20"/>
      <c r="N2745" s="24" t="str">
        <f>IF(F2742&gt;0,ENTRY!$D$20&amp;"-"&amp;ENTRY!$D$21,"")</f>
        <v>III-A</v>
      </c>
      <c r="O2745" s="24"/>
      <c r="P2745" s="24"/>
      <c r="Q2745" s="19"/>
      <c r="R2745" s="11"/>
    </row>
    <row r="2746" s="1" customFormat="1" ht="21.95" customHeight="1" spans="1:18">
      <c r="A2746" s="7"/>
      <c r="B2746" s="12"/>
      <c r="C2746" s="17" t="s">
        <v>708</v>
      </c>
      <c r="D2746" s="17"/>
      <c r="E2746" s="17"/>
      <c r="F2746" s="25">
        <f>IFERROR(VLOOKUP(F2742,STUDENT!$A$2:$BP$101,6,0),"")</f>
        <v>0</v>
      </c>
      <c r="G2746" s="25"/>
      <c r="H2746" s="26" t="s">
        <v>709</v>
      </c>
      <c r="I2746" s="27" t="str">
        <f>IFERROR(VLOOKUP(F2742,STUDENT!$A$2:$BP$101,59,0),"")</f>
        <v/>
      </c>
      <c r="J2746" s="27"/>
      <c r="K2746" s="20" t="s">
        <v>710</v>
      </c>
      <c r="L2746" s="20"/>
      <c r="M2746" s="28">
        <f>IFERROR(VLOOKUP(F2742,STUDENT!$A$2:$BP$101,20,0),"")</f>
        <v>0</v>
      </c>
      <c r="N2746" s="28"/>
      <c r="O2746" s="28"/>
      <c r="P2746" s="28"/>
      <c r="Q2746" s="19"/>
      <c r="R2746" s="11"/>
    </row>
    <row r="2747" s="1" customFormat="1" ht="21.95" customHeight="1" spans="1:18">
      <c r="A2747" s="7"/>
      <c r="B2747" s="12"/>
      <c r="C2747" s="17" t="s">
        <v>711</v>
      </c>
      <c r="D2747" s="17"/>
      <c r="E2747" s="17"/>
      <c r="F2747" s="23">
        <f>IFERROR(VLOOKUP(F2742,STUDENT!$A$2:$BP$101,9,0),"")</f>
        <v>0</v>
      </c>
      <c r="G2747" s="23"/>
      <c r="H2747" s="23"/>
      <c r="I2747" s="23"/>
      <c r="J2747" s="17" t="s">
        <v>620</v>
      </c>
      <c r="K2747" s="17"/>
      <c r="L2747" s="23">
        <f>IFERROR(VLOOKUP(F2742,STUDENT!$A$2:$BP$101,8,0),"")</f>
        <v>0</v>
      </c>
      <c r="M2747" s="23"/>
      <c r="N2747" s="23"/>
      <c r="O2747" s="23"/>
      <c r="P2747" s="23"/>
      <c r="Q2747" s="19"/>
      <c r="R2747" s="11"/>
    </row>
    <row r="2748" s="1" customFormat="1" ht="21.95" customHeight="1" spans="1:18">
      <c r="A2748" s="7"/>
      <c r="B2748" s="12"/>
      <c r="C2748" s="17" t="s">
        <v>712</v>
      </c>
      <c r="D2748" s="17"/>
      <c r="E2748" s="17"/>
      <c r="F2748" s="23">
        <f>IFERROR(VLOOKUP(F2742,STUDENT!$A$2:$BP$101,22,0),"")</f>
        <v>0</v>
      </c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19"/>
      <c r="R2748" s="11"/>
    </row>
    <row r="2749" s="1" customFormat="1" ht="9.95" customHeight="1" spans="1:18">
      <c r="A2749" s="7"/>
      <c r="B2749" s="12"/>
      <c r="C2749" s="29"/>
      <c r="D2749" s="29"/>
      <c r="E2749" s="29"/>
      <c r="F2749" s="29"/>
      <c r="G2749" s="29"/>
      <c r="H2749" s="29"/>
      <c r="I2749" s="29"/>
      <c r="J2749" s="29"/>
      <c r="K2749" s="29"/>
      <c r="L2749" s="29"/>
      <c r="M2749" s="29"/>
      <c r="N2749" s="29"/>
      <c r="O2749" s="29"/>
      <c r="P2749" s="29"/>
      <c r="Q2749" s="19"/>
      <c r="R2749" s="11"/>
    </row>
    <row r="2750" s="1" customFormat="1" ht="9.95" customHeight="1" spans="1:18">
      <c r="A2750" s="7"/>
      <c r="B2750" s="12"/>
      <c r="C2750" s="30"/>
      <c r="D2750" s="31"/>
      <c r="E2750" s="31"/>
      <c r="F2750" s="31"/>
      <c r="G2750" s="31"/>
      <c r="H2750" s="31"/>
      <c r="I2750" s="31"/>
      <c r="J2750" s="31"/>
      <c r="K2750" s="31"/>
      <c r="L2750" s="31"/>
      <c r="M2750" s="31"/>
      <c r="N2750" s="31"/>
      <c r="O2750" s="31"/>
      <c r="P2750" s="32"/>
      <c r="Q2750" s="19"/>
      <c r="R2750" s="11"/>
    </row>
    <row r="2751" s="1" customFormat="1" ht="21.95" customHeight="1" spans="1:18">
      <c r="A2751" s="7"/>
      <c r="B2751" s="12"/>
      <c r="C2751" s="33"/>
      <c r="D2751" s="34" t="s">
        <v>713</v>
      </c>
      <c r="E2751" s="20" t="s">
        <v>714</v>
      </c>
      <c r="F2751" s="35" t="str">
        <f>"Level - "&amp;IFERROR(VLOOKUP(F2742,FLN!$A$4:$K$103,9,0),"")</f>
        <v>Level - </v>
      </c>
      <c r="G2751" s="36"/>
      <c r="H2751" s="37" t="s">
        <v>715</v>
      </c>
      <c r="I2751" s="20"/>
      <c r="J2751" s="35" t="str">
        <f>"Level - "&amp;IFERROR(VLOOKUP(F2742,FLN!$A$4:$K$103,11,0),"")</f>
        <v>Level - </v>
      </c>
      <c r="K2751" s="36"/>
      <c r="L2751" s="37" t="s">
        <v>408</v>
      </c>
      <c r="M2751" s="20"/>
      <c r="N2751" s="35" t="str">
        <f>"Level - "&amp;IFERROR(VLOOKUP(F2742,FLN!$A$4:$K$103,10,0),"")</f>
        <v>Level - </v>
      </c>
      <c r="O2751" s="36"/>
      <c r="P2751" s="19"/>
      <c r="Q2751" s="19"/>
      <c r="R2751" s="11"/>
    </row>
    <row r="2752" s="1" customFormat="1" ht="21.95" customHeight="1" spans="1:18">
      <c r="A2752" s="7"/>
      <c r="B2752" s="12"/>
      <c r="C2752" s="33"/>
      <c r="D2752" s="38"/>
      <c r="E2752" s="20" t="s">
        <v>716</v>
      </c>
      <c r="F2752" s="18" t="str">
        <f ca="1">IF(L2766&gt;197,"PERFORMED WELL","")</f>
        <v/>
      </c>
      <c r="G2752" s="18"/>
      <c r="H2752" s="18"/>
      <c r="I2752" s="18"/>
      <c r="J2752" s="18"/>
      <c r="K2752" s="18"/>
      <c r="L2752" s="18"/>
      <c r="M2752" s="18"/>
      <c r="N2752" s="18"/>
      <c r="O2752" s="18"/>
      <c r="P2752" s="19"/>
      <c r="Q2752" s="19"/>
      <c r="R2752" s="11"/>
    </row>
    <row r="2753" s="1" customFormat="1" ht="9.95" customHeight="1" spans="1:18">
      <c r="A2753" s="7"/>
      <c r="B2753" s="12"/>
      <c r="C2753" s="39"/>
      <c r="D2753" s="40"/>
      <c r="E2753" s="40"/>
      <c r="F2753" s="40"/>
      <c r="G2753" s="40"/>
      <c r="H2753" s="40"/>
      <c r="I2753" s="40"/>
      <c r="J2753" s="40"/>
      <c r="K2753" s="40"/>
      <c r="L2753" s="40"/>
      <c r="M2753" s="40"/>
      <c r="N2753" s="40"/>
      <c r="O2753" s="40"/>
      <c r="P2753" s="41"/>
      <c r="Q2753" s="19"/>
      <c r="R2753" s="11"/>
    </row>
    <row r="2754" s="1" customFormat="1" ht="9.95" customHeight="1" spans="1:18">
      <c r="A2754" s="7"/>
      <c r="B2754" s="12"/>
      <c r="C2754" s="29"/>
      <c r="D2754" s="29"/>
      <c r="E2754" s="29"/>
      <c r="F2754" s="29"/>
      <c r="G2754" s="29"/>
      <c r="H2754" s="29"/>
      <c r="I2754" s="29"/>
      <c r="J2754" s="29"/>
      <c r="K2754" s="29"/>
      <c r="L2754" s="29"/>
      <c r="M2754" s="29"/>
      <c r="N2754" s="29"/>
      <c r="O2754" s="29"/>
      <c r="P2754" s="29"/>
      <c r="Q2754" s="19"/>
      <c r="R2754" s="11"/>
    </row>
    <row r="2755" s="1" customFormat="1" ht="9.95" customHeight="1" spans="1:18">
      <c r="A2755" s="7"/>
      <c r="B2755" s="12"/>
      <c r="C2755" s="30"/>
      <c r="D2755" s="31"/>
      <c r="E2755" s="31"/>
      <c r="F2755" s="31"/>
      <c r="G2755" s="31"/>
      <c r="H2755" s="31"/>
      <c r="I2755" s="31"/>
      <c r="J2755" s="31"/>
      <c r="K2755" s="31"/>
      <c r="L2755" s="31"/>
      <c r="M2755" s="31"/>
      <c r="N2755" s="31"/>
      <c r="O2755" s="31"/>
      <c r="P2755" s="32"/>
      <c r="Q2755" s="19"/>
      <c r="R2755" s="11"/>
    </row>
    <row r="2756" s="1" customFormat="1" ht="21.95" customHeight="1" spans="1:18">
      <c r="A2756" s="7"/>
      <c r="B2756" s="12"/>
      <c r="C2756" s="33"/>
      <c r="D2756" s="35"/>
      <c r="E2756" s="24"/>
      <c r="F2756" s="42" t="s">
        <v>717</v>
      </c>
      <c r="G2756" s="42"/>
      <c r="H2756" s="42"/>
      <c r="I2756" s="42"/>
      <c r="J2756" s="42"/>
      <c r="K2756" s="42"/>
      <c r="L2756" s="43"/>
      <c r="M2756" s="44"/>
      <c r="N2756" s="29"/>
      <c r="O2756" s="29"/>
      <c r="P2756" s="19"/>
      <c r="Q2756" s="19"/>
      <c r="R2756" s="11"/>
    </row>
    <row r="2757" s="1" customFormat="1" ht="21.95" customHeight="1" spans="1:18">
      <c r="A2757" s="7"/>
      <c r="B2757" s="12"/>
      <c r="C2757" s="33"/>
      <c r="D2757" s="45"/>
      <c r="E2757" s="46"/>
      <c r="F2757" s="47" t="s">
        <v>541</v>
      </c>
      <c r="G2757" s="47" t="s">
        <v>542</v>
      </c>
      <c r="H2757" s="47" t="s">
        <v>543</v>
      </c>
      <c r="I2757" s="47" t="s">
        <v>544</v>
      </c>
      <c r="J2757" s="47" t="s">
        <v>561</v>
      </c>
      <c r="K2757" s="48" t="s">
        <v>750</v>
      </c>
      <c r="L2757" s="47" t="s">
        <v>382</v>
      </c>
      <c r="M2757" s="49" t="s">
        <v>546</v>
      </c>
      <c r="N2757" s="29"/>
      <c r="O2757" s="29"/>
      <c r="P2757" s="19"/>
      <c r="Q2757" s="19"/>
      <c r="R2757" s="11"/>
    </row>
    <row r="2758" s="1" customFormat="1" ht="21.95" customHeight="1" spans="1:18">
      <c r="A2758" s="7"/>
      <c r="B2758" s="12"/>
      <c r="C2758" s="33"/>
      <c r="D2758" s="45" t="s">
        <v>652</v>
      </c>
      <c r="E2758" s="46"/>
      <c r="F2758" s="50">
        <v>10</v>
      </c>
      <c r="G2758" s="50">
        <v>10</v>
      </c>
      <c r="H2758" s="50">
        <v>10</v>
      </c>
      <c r="I2758" s="50">
        <v>10</v>
      </c>
      <c r="J2758" s="50">
        <v>60</v>
      </c>
      <c r="K2758" s="51"/>
      <c r="L2758" s="50">
        <v>100</v>
      </c>
      <c r="M2758" s="49"/>
      <c r="N2758" s="29"/>
      <c r="O2758" s="29"/>
      <c r="P2758" s="19"/>
      <c r="Q2758" s="19"/>
      <c r="R2758" s="11"/>
    </row>
    <row r="2759" s="1" customFormat="1" ht="21.95" customHeight="1" spans="1:18">
      <c r="A2759" s="7"/>
      <c r="B2759" s="12"/>
      <c r="C2759" s="33"/>
      <c r="D2759" s="52" t="s">
        <v>751</v>
      </c>
      <c r="E2759" s="53"/>
      <c r="F2759" s="54" t="str">
        <f ca="1">IFERROR(VLOOKUP(F2742,'RR-3.1-5TH'!$A$12:'RR-3.1-5TH'!$BN$111,9,0),"")</f>
        <v/>
      </c>
      <c r="G2759" s="54" t="str">
        <f ca="1">IFERROR(VLOOKUP(F2742,'RR-3.1-5TH'!$A$12:'RR-3.1-5TH'!$BN$111,10,0),"")</f>
        <v/>
      </c>
      <c r="H2759" s="54" t="str">
        <f ca="1">IFERROR(VLOOKUP(F2742,'RR-3.1-5TH'!$A$12:'RR-3.1-5TH'!$BN$111,11,0),"")</f>
        <v/>
      </c>
      <c r="I2759" s="54" t="str">
        <f ca="1">IFERROR(VLOOKUP(F2742,'RR-3.1-5TH'!$A$12:'RR-3.1-5TH'!$BN$111,12,0),"")</f>
        <v/>
      </c>
      <c r="J2759" s="54" t="str">
        <f ca="1">IFERROR(VLOOKUP(F2742,'RR-3.1-5TH'!$A$12:'RR-3.1-5TH'!$BN$111,13,0),"")</f>
        <v/>
      </c>
      <c r="K2759" s="54" t="str">
        <f ca="1">IFERROR(VLOOKUP(F2742,'RR-3.1-5TH'!$A$12:'RR-3.1-5TH'!$BN$111,14,0),"")</f>
        <v/>
      </c>
      <c r="L2759" s="55">
        <f ca="1" t="shared" ref="L2759:L2764" si="144">SUM(F2759,G2759,H2759,I2759,J2759,K2759)</f>
        <v>0</v>
      </c>
      <c r="M2759" s="56" t="str">
        <f ca="1">IF(F2742&gt;ENTRY!$D$24,"",IF(L2759=0,"Ab",IF(L2759&gt;80,"A",IF(L2759&gt;60,"B",IF(L2759&gt;44,"C",IF(L2759&gt;=33,"D",IF(L2759&lt;=32,"E","")))))))</f>
        <v/>
      </c>
      <c r="N2759" s="57" t="s">
        <v>729</v>
      </c>
      <c r="O2759" s="58"/>
      <c r="P2759" s="59"/>
      <c r="Q2759" s="19"/>
      <c r="R2759" s="11"/>
    </row>
    <row r="2760" s="1" customFormat="1" ht="21.95" customHeight="1" spans="1:18">
      <c r="A2760" s="7"/>
      <c r="B2760" s="12"/>
      <c r="C2760" s="33"/>
      <c r="D2760" s="52" t="s">
        <v>513</v>
      </c>
      <c r="E2760" s="53"/>
      <c r="F2760" s="54" t="str">
        <f ca="1">IFERROR(VLOOKUP(F2742,'RR-3.1-5TH'!$A$12:'RR-3.1-5TH'!$BN$111,17,0),"")</f>
        <v/>
      </c>
      <c r="G2760" s="54" t="str">
        <f ca="1">IFERROR(VLOOKUP(F2742,'RR-3.1-5TH'!$A$12:'RR-3.1-5TH'!$BN$111,18,0),"")</f>
        <v/>
      </c>
      <c r="H2760" s="54" t="str">
        <f ca="1">IFERROR(VLOOKUP(F2742,'RR-3.1-5TH'!$A$12:'RR-3.1-5TH'!$BN$111,19,0),"")</f>
        <v/>
      </c>
      <c r="I2760" s="54" t="str">
        <f ca="1">IFERROR(VLOOKUP(F2742,'RR-3.1-5TH'!$A$12:'RR-3.1-5TH'!$BN$111,20,0),"")</f>
        <v/>
      </c>
      <c r="J2760" s="54" t="str">
        <f ca="1">IFERROR(VLOOKUP(F2742,'RR-3.1-5TH'!$A$12:'RR-3.1-5TH'!$BN$111,21,0),"")</f>
        <v/>
      </c>
      <c r="K2760" s="54" t="str">
        <f ca="1">IFERROR(VLOOKUP(F2742,'RR-3.1-5TH'!$A$12:'RR-3.1-5TH'!$BN$111,22,0),"")</f>
        <v/>
      </c>
      <c r="L2760" s="55">
        <f ca="1" t="shared" si="144"/>
        <v>0</v>
      </c>
      <c r="M2760" s="56" t="str">
        <f ca="1">IF(F2742&gt;ENTRY!$D$24,"",IF(L2760=0,"Ab",IF(L2760&gt;80,"A",IF(L2760&gt;60,"B",IF(L2760&gt;44,"C",IF(L2760&gt;=33,"D",IF(L2760&lt;=32,"E","")))))))</f>
        <v/>
      </c>
      <c r="N2760" s="58"/>
      <c r="O2760" s="58"/>
      <c r="P2760" s="59"/>
      <c r="Q2760" s="19"/>
      <c r="R2760" s="11"/>
    </row>
    <row r="2761" s="1" customFormat="1" ht="21.95" customHeight="1" spans="1:18">
      <c r="A2761" s="7"/>
      <c r="B2761" s="12"/>
      <c r="C2761" s="33"/>
      <c r="D2761" s="52" t="s">
        <v>718</v>
      </c>
      <c r="E2761" s="53"/>
      <c r="F2761" s="54" t="str">
        <f ca="1">IFERROR(VLOOKUP(F2742,'RR-3.1-5TH'!$A$12:'RR-3.1-5TH'!$BN$111,25,0),"")</f>
        <v/>
      </c>
      <c r="G2761" s="54" t="str">
        <f ca="1">IFERROR(VLOOKUP(F2742,'RR-3.1-5TH'!$A$12:'RR-3.1-5TH'!$BN$111,26,0),"")</f>
        <v/>
      </c>
      <c r="H2761" s="54" t="str">
        <f ca="1">IFERROR(VLOOKUP(F2742,'RR-3.1-5TH'!$A$12:'RR-3.1-5TH'!$BN$111,27,0),"")</f>
        <v/>
      </c>
      <c r="I2761" s="54" t="str">
        <f ca="1">IFERROR(VLOOKUP(F2742,'RR-3.1-5TH'!$A$12:'RR-3.1-5TH'!$BN$111,28,0),"")</f>
        <v/>
      </c>
      <c r="J2761" s="54" t="str">
        <f ca="1">IFERROR(VLOOKUP(F2742,'RR-3.1-5TH'!$A$12:'RR-3.1-5TH'!$BN$111,29,0),"")</f>
        <v/>
      </c>
      <c r="K2761" s="54" t="str">
        <f ca="1">IFERROR(VLOOKUP(F2742,'RR-3.1-5TH'!$A$12:'RR-3.1-5TH'!$BN$111,30,0),"")</f>
        <v/>
      </c>
      <c r="L2761" s="55">
        <f ca="1" t="shared" si="144"/>
        <v>0</v>
      </c>
      <c r="M2761" s="56" t="str">
        <f ca="1">IF(F2742&gt;ENTRY!$D$24,"",IF(L2761=0,"Ab",IF(L2761&gt;80,"A",IF(L2761&gt;60,"B",IF(L2761&gt;44,"C",IF(L2761&gt;=33,"D",IF(L2761&lt;=32,"E","")))))))</f>
        <v/>
      </c>
      <c r="N2761" s="29"/>
      <c r="O2761" s="29"/>
      <c r="P2761" s="19"/>
      <c r="Q2761" s="19"/>
      <c r="R2761" s="11"/>
    </row>
    <row r="2762" s="1" customFormat="1" ht="21.95" customHeight="1" spans="1:18">
      <c r="A2762" s="7"/>
      <c r="B2762" s="12"/>
      <c r="C2762" s="33"/>
      <c r="D2762" s="52" t="s">
        <v>719</v>
      </c>
      <c r="E2762" s="53"/>
      <c r="F2762" s="54" t="str">
        <f ca="1">IFERROR(VLOOKUP(F2742,'RR-3.1-5TH'!$A$12:'RR-3.1-5TH'!$BN$111,33,0),"")</f>
        <v/>
      </c>
      <c r="G2762" s="54" t="str">
        <f ca="1">IFERROR(VLOOKUP(F2742,'RR-3.1-5TH'!$A$12:'RR-3.1-5TH'!$BN$111,34,0),"")</f>
        <v/>
      </c>
      <c r="H2762" s="54" t="str">
        <f ca="1">IFERROR(VLOOKUP(F2742,'RR-3.1-5TH'!$A$12:'RR-3.1-5TH'!$BN$111,35,0),"")</f>
        <v/>
      </c>
      <c r="I2762" s="54" t="str">
        <f ca="1">IFERROR(VLOOKUP(F2742,'RR-3.1-5TH'!$A$12:'RR-3.1-5TH'!$BN$111,36,0),"")</f>
        <v/>
      </c>
      <c r="J2762" s="54" t="str">
        <f ca="1">IFERROR(VLOOKUP(F2742,'RR-3.1-5TH'!$A$12:'RR-3.1-5TH'!$BN$111,37,0),"")</f>
        <v/>
      </c>
      <c r="K2762" s="54" t="str">
        <f ca="1">IFERROR(VLOOKUP(F2742,'RR-3.1-5TH'!$A$12:'RR-3.1-5TH'!$BN$111,38,0),"")</f>
        <v/>
      </c>
      <c r="L2762" s="55">
        <f ca="1" t="shared" si="144"/>
        <v>0</v>
      </c>
      <c r="M2762" s="56" t="str">
        <f ca="1">IF(F2742&gt;ENTRY!$D$24,"",IF(L2762=0,"Ab",IF(L2762&gt;80,"A",IF(L2762&gt;60,"B",IF(L2762&gt;44,"C",IF(L2762&gt;=33,"D",IF(L2762&lt;=32,"E","")))))))</f>
        <v/>
      </c>
      <c r="N2762" s="29"/>
      <c r="O2762" s="29"/>
      <c r="P2762" s="19"/>
      <c r="Q2762" s="19"/>
      <c r="R2762" s="11"/>
    </row>
    <row r="2763" s="1" customFormat="1" ht="21.95" customHeight="1" spans="1:18">
      <c r="A2763" s="7"/>
      <c r="B2763" s="12"/>
      <c r="C2763" s="33"/>
      <c r="D2763" s="52" t="s">
        <v>548</v>
      </c>
      <c r="E2763" s="53"/>
      <c r="F2763" s="54" t="str">
        <f ca="1">IFERROR(VLOOKUP(F2742,'RR-3.1-5TH'!$A$12:'RR-3.1-5TH'!$BN$111,41,0),"")</f>
        <v/>
      </c>
      <c r="G2763" s="54" t="str">
        <f ca="1">IFERROR(VLOOKUP(F2742,'RR-3.1-5TH'!$A$12:'RR-3.1-5TH'!$BN$111,42,0),"")</f>
        <v/>
      </c>
      <c r="H2763" s="54" t="str">
        <f ca="1">IFERROR(VLOOKUP(F2742,'RR-3.1-5TH'!$A$12:'RR-3.1-5TH'!$BN$111,43,0),"")</f>
        <v/>
      </c>
      <c r="I2763" s="54" t="str">
        <f ca="1">IFERROR(VLOOKUP(F2742,'RR-3.1-5TH'!$A$12:'RR-3.1-5TH'!$BN$111,44,0),"")</f>
        <v/>
      </c>
      <c r="J2763" s="54" t="str">
        <f ca="1">IFERROR(VLOOKUP(F2742,'RR-3.1-5TH'!$A$12:'RR-3.1-5TH'!$BN$111,45,0),"")</f>
        <v/>
      </c>
      <c r="K2763" s="54" t="str">
        <f ca="1">IFERROR(VLOOKUP(F2742,'RR-3.1-5TH'!$A$12:'RR-3.1-5TH'!$BN$111,46,0),"")</f>
        <v/>
      </c>
      <c r="L2763" s="55">
        <f ca="1" t="shared" si="144"/>
        <v>0</v>
      </c>
      <c r="M2763" s="56" t="str">
        <f ca="1">IF(F2742&gt;ENTRY!$D$24,"",IF(L2763=0,"Ab",IF(L2763&gt;80,"A",IF(L2763&gt;60,"B",IF(L2763&gt;44,"C",IF(L2763&gt;=33,"D",IF(L2763&lt;=32,"E","")))))))</f>
        <v/>
      </c>
      <c r="N2763" s="29"/>
      <c r="O2763" s="29"/>
      <c r="P2763" s="19"/>
      <c r="Q2763" s="19"/>
      <c r="R2763" s="11"/>
    </row>
    <row r="2764" s="1" customFormat="1" ht="21.95" customHeight="1" spans="1:18">
      <c r="A2764" s="7"/>
      <c r="B2764" s="12"/>
      <c r="C2764" s="33"/>
      <c r="D2764" s="52" t="s">
        <v>549</v>
      </c>
      <c r="E2764" s="53"/>
      <c r="F2764" s="54" t="str">
        <f ca="1">IFERROR(VLOOKUP(F2742,'RR-3.1-5TH'!$A$12:'RR-3.1-5TH'!$BN$111,49,0),"")</f>
        <v/>
      </c>
      <c r="G2764" s="54" t="str">
        <f ca="1">IFERROR(VLOOKUP(F2742,'RR-3.1-5TH'!$A$12:'RR-3.1-5TH'!$BN$111,50,0),"")</f>
        <v/>
      </c>
      <c r="H2764" s="54" t="str">
        <f ca="1">IFERROR(VLOOKUP(F2742,'RR-3.1-5TH'!$A$12:'RR-3.1-5TH'!$BN$111,51,0),"")</f>
        <v/>
      </c>
      <c r="I2764" s="54" t="str">
        <f ca="1">IFERROR(VLOOKUP(F2742,'RR-3.1-5TH'!$A$12:'RR-3.1-5TH'!$BN$111,52,0),"")</f>
        <v/>
      </c>
      <c r="J2764" s="54" t="str">
        <f ca="1">IFERROR(VLOOKUP(F2742,'RR-3.1-5TH'!$A$12:'RR-3.1-5TH'!$BN$111,53,0),"")</f>
        <v/>
      </c>
      <c r="K2764" s="54" t="str">
        <f ca="1">IFERROR(VLOOKUP(F2742,'RR-3.1-5TH'!$A$12:'RR-3.1-5TH'!$BN$111,54,0),"")</f>
        <v/>
      </c>
      <c r="L2764" s="55">
        <f ca="1" t="shared" si="144"/>
        <v>0</v>
      </c>
      <c r="M2764" s="56" t="str">
        <f ca="1">IF(F2742&gt;ENTRY!$D$24,"",IF(L2764=0,"Ab",IF(L2764&gt;80,"A",IF(L2764&gt;60,"B",IF(L2764&gt;44,"C",IF(L2764&gt;=33,"D",IF(L2764&lt;=32,"E","")))))))</f>
        <v/>
      </c>
      <c r="N2764" s="57" t="s">
        <v>752</v>
      </c>
      <c r="O2764" s="58"/>
      <c r="P2764" s="59"/>
      <c r="Q2764" s="19"/>
      <c r="R2764" s="11"/>
    </row>
    <row r="2765" s="1" customFormat="1" ht="21.95" customHeight="1" spans="1:18">
      <c r="A2765" s="7"/>
      <c r="B2765" s="12"/>
      <c r="C2765" s="33"/>
      <c r="D2765" s="52" t="s">
        <v>753</v>
      </c>
      <c r="E2765" s="53"/>
      <c r="F2765" s="60"/>
      <c r="G2765" s="54"/>
      <c r="H2765" s="54"/>
      <c r="I2765" s="54"/>
      <c r="J2765" s="54"/>
      <c r="K2765" s="54"/>
      <c r="L2765" s="55">
        <f t="shared" ref="L2765" si="145">SUM(G2765:K2765)</f>
        <v>0</v>
      </c>
      <c r="M2765" s="56" t="str">
        <f>IF(F2742&gt;ENTRY!$D$24,"",IF(L2765=0,"",IF(L2765&gt;79,"A",IF(L2765&gt;59,"B",IF(L2765&gt;44,"C",IF(L2765&gt;=33,"D",IF(L2765&lt;=32,"E","")))))))</f>
        <v/>
      </c>
      <c r="N2765" s="58"/>
      <c r="O2765" s="58"/>
      <c r="P2765" s="59"/>
      <c r="Q2765" s="19"/>
      <c r="R2765" s="11"/>
    </row>
    <row r="2766" s="1" customFormat="1" ht="21.95" customHeight="1" spans="1:18">
      <c r="A2766" s="7"/>
      <c r="B2766" s="12"/>
      <c r="C2766" s="33"/>
      <c r="D2766" s="45" t="s">
        <v>382</v>
      </c>
      <c r="E2766" s="46"/>
      <c r="F2766" s="54">
        <f ca="1" t="shared" ref="F2766:L2766" si="146">IFERROR(SUM(F2759:F2765),"")</f>
        <v>0</v>
      </c>
      <c r="G2766" s="54">
        <f ca="1" t="shared" si="146"/>
        <v>0</v>
      </c>
      <c r="H2766" s="54">
        <f ca="1" t="shared" si="146"/>
        <v>0</v>
      </c>
      <c r="I2766" s="54">
        <f ca="1" t="shared" si="146"/>
        <v>0</v>
      </c>
      <c r="J2766" s="54">
        <f ca="1" t="shared" si="146"/>
        <v>0</v>
      </c>
      <c r="K2766" s="54">
        <f ca="1" t="shared" si="146"/>
        <v>0</v>
      </c>
      <c r="L2766" s="55">
        <f ca="1" t="shared" si="146"/>
        <v>0</v>
      </c>
      <c r="M2766" s="61" t="str">
        <f ca="1">IF(F2742&gt;ENTRY!$D$24,"",IF(N2767="Ab","Ab",IF(N2767&gt;79.5,"A",IF(N2767&gt;59.5,"B",IF(N2767&gt;44.5,"C",IF(N2767&gt;=33,"D",IF(N2767&lt;33,"E","")))))))</f>
        <v/>
      </c>
      <c r="N2766" s="62"/>
      <c r="O2766" s="58"/>
      <c r="P2766" s="59"/>
      <c r="Q2766" s="19"/>
      <c r="R2766" s="11"/>
    </row>
    <row r="2767" s="1" customFormat="1" ht="21.95" customHeight="1" spans="1:18">
      <c r="A2767" s="7"/>
      <c r="B2767" s="12"/>
      <c r="C2767" s="33"/>
      <c r="D2767" s="63" t="s">
        <v>721</v>
      </c>
      <c r="E2767" s="63"/>
      <c r="F2767" s="63"/>
      <c r="G2767" s="63"/>
      <c r="H2767" s="63"/>
      <c r="I2767" s="63"/>
      <c r="J2767" s="63"/>
      <c r="K2767" s="63"/>
      <c r="L2767" s="63"/>
      <c r="M2767" s="63"/>
      <c r="N2767" s="64">
        <f ca="1">IF(L2766="Ab","Ab",L2766/6)</f>
        <v>0</v>
      </c>
      <c r="O2767" s="65"/>
      <c r="P2767" s="19"/>
      <c r="Q2767" s="19"/>
      <c r="R2767" s="11"/>
    </row>
    <row r="2768" s="1" customFormat="1" ht="21.95" customHeight="1" spans="1:18">
      <c r="A2768" s="7"/>
      <c r="B2768" s="12"/>
      <c r="C2768" s="33"/>
      <c r="D2768" s="29" t="s">
        <v>716</v>
      </c>
      <c r="E2768" s="18" t="str">
        <f>IFERROR(VLOOKUP(F2742,'1to4-2.1-RR'!$A$12:$BG$111,57,0),"")</f>
        <v/>
      </c>
      <c r="F2768" s="18"/>
      <c r="G2768" s="18"/>
      <c r="H2768" s="18"/>
      <c r="I2768" s="18"/>
      <c r="J2768" s="18"/>
      <c r="K2768" s="18"/>
      <c r="L2768" s="18"/>
      <c r="M2768" s="18"/>
      <c r="N2768" s="29"/>
      <c r="O2768" s="29"/>
      <c r="P2768" s="19"/>
      <c r="Q2768" s="19"/>
      <c r="R2768" s="11"/>
    </row>
    <row r="2769" s="1" customFormat="1" ht="9.95" customHeight="1" spans="1:19">
      <c r="A2769" s="7"/>
      <c r="B2769" s="12"/>
      <c r="C2769" s="33"/>
      <c r="D2769" s="29"/>
      <c r="E2769" s="29"/>
      <c r="F2769" s="29"/>
      <c r="G2769" s="29"/>
      <c r="H2769" s="29"/>
      <c r="I2769" s="29"/>
      <c r="J2769" s="29"/>
      <c r="K2769" s="29"/>
      <c r="L2769" s="29"/>
      <c r="M2769" s="29"/>
      <c r="N2769" s="29"/>
      <c r="O2769" s="29"/>
      <c r="P2769" s="19"/>
      <c r="Q2769" s="19"/>
      <c r="R2769" s="11"/>
    </row>
    <row r="2770" s="1" customFormat="1" ht="36" spans="1:19">
      <c r="A2770" s="7"/>
      <c r="B2770" s="12"/>
      <c r="C2770" s="33"/>
      <c r="D2770" s="66" t="s">
        <v>576</v>
      </c>
      <c r="E2770" s="67" t="s">
        <v>754</v>
      </c>
      <c r="F2770" s="47" t="str">
        <f>IF(F2742&gt;ENTRY!$D$24,"",IFERROR(VLOOKUP(F2742,PASHEET!$A$4:$CJ$103,88,0),""))</f>
        <v/>
      </c>
      <c r="G2770" s="67" t="s">
        <v>755</v>
      </c>
      <c r="H2770" s="47" t="str">
        <f>IF(F2742&gt;ENTRY!$D$24,"",IFERROR(VLOOKUP(F2742,PASHEET!$A$4:$CJ$103,87,0),""))</f>
        <v/>
      </c>
      <c r="I2770" s="68" t="s">
        <v>756</v>
      </c>
      <c r="J2770" s="69" t="str">
        <f>IF(F2742&gt;ENTRY!$D$24,"",IFERROR(IF(F2742&gt;0,H2770/F2770*100),""))</f>
        <v/>
      </c>
      <c r="K2770" s="60" t="s">
        <v>757</v>
      </c>
      <c r="L2770" s="70" t="str">
        <f ca="1">IF(F2742&gt;ENTRY!$D$24,"",IFERROR(L2766/600*100,""))</f>
        <v/>
      </c>
      <c r="M2770" s="47" t="str">
        <f ca="1">IF(F2742&gt;ENTRY!$D$24,"",IFERROR(L2766&amp;" / "&amp;"600",""))</f>
        <v/>
      </c>
      <c r="N2770" s="29"/>
      <c r="O2770" s="29"/>
      <c r="P2770" s="19"/>
      <c r="Q2770" s="19"/>
      <c r="R2770" s="11"/>
    </row>
    <row r="2771" s="1" customFormat="1" ht="9.95" customHeight="1" spans="1:19">
      <c r="A2771" s="7"/>
      <c r="B2771" s="12"/>
      <c r="C2771" s="39"/>
      <c r="D2771" s="40"/>
      <c r="E2771" s="40"/>
      <c r="F2771" s="40"/>
      <c r="G2771" s="40"/>
      <c r="H2771" s="40"/>
      <c r="I2771" s="40"/>
      <c r="J2771" s="40"/>
      <c r="K2771" s="40"/>
      <c r="L2771" s="40"/>
      <c r="M2771" s="40"/>
      <c r="N2771" s="40"/>
      <c r="O2771" s="40"/>
      <c r="P2771" s="41"/>
      <c r="Q2771" s="19"/>
      <c r="R2771" s="11"/>
    </row>
    <row r="2772" s="1" customFormat="1" ht="9.95" customHeight="1" spans="1:19">
      <c r="A2772" s="7"/>
      <c r="B2772" s="12"/>
      <c r="C2772" s="71"/>
      <c r="D2772" s="71"/>
      <c r="E2772" s="71"/>
      <c r="F2772" s="29"/>
      <c r="G2772" s="71"/>
      <c r="H2772" s="71"/>
      <c r="I2772" s="71"/>
      <c r="J2772" s="71"/>
      <c r="K2772" s="71"/>
      <c r="L2772" s="71"/>
      <c r="M2772" s="71"/>
      <c r="N2772" s="71"/>
      <c r="O2772" s="71"/>
      <c r="P2772" s="71"/>
      <c r="Q2772" s="19"/>
      <c r="R2772" s="11"/>
    </row>
    <row r="2773" s="1" customFormat="1" ht="9.95" customHeight="1" spans="1:19">
      <c r="A2773" s="7"/>
      <c r="B2773" s="12"/>
      <c r="C2773" s="29"/>
      <c r="D2773" s="29"/>
      <c r="E2773" s="29"/>
      <c r="F2773" s="72"/>
      <c r="G2773" s="29"/>
      <c r="H2773" s="29"/>
      <c r="I2773" s="29"/>
      <c r="J2773" s="29"/>
      <c r="K2773" s="29"/>
      <c r="L2773" s="29"/>
      <c r="M2773" s="29"/>
      <c r="N2773" s="29"/>
      <c r="O2773" s="29"/>
      <c r="P2773" s="29"/>
      <c r="Q2773" s="19"/>
      <c r="R2773" s="11"/>
    </row>
    <row r="2774" s="1" customFormat="1" ht="9.95" customHeight="1" spans="1:19">
      <c r="A2774" s="7"/>
      <c r="B2774" s="12"/>
      <c r="C2774" s="30"/>
      <c r="D2774" s="31"/>
      <c r="E2774" s="31"/>
      <c r="F2774" s="31"/>
      <c r="G2774" s="31"/>
      <c r="H2774" s="31"/>
      <c r="I2774" s="31"/>
      <c r="J2774" s="31"/>
      <c r="K2774" s="31"/>
      <c r="L2774" s="31"/>
      <c r="M2774" s="31"/>
      <c r="N2774" s="31"/>
      <c r="O2774" s="31"/>
      <c r="P2774" s="32"/>
      <c r="Q2774" s="19"/>
      <c r="R2774" s="11"/>
    </row>
    <row r="2775" s="1" customFormat="1" ht="21.95" customHeight="1" spans="1:19">
      <c r="A2775" s="7"/>
      <c r="B2775" s="12"/>
      <c r="C2775" s="73" t="s">
        <v>7</v>
      </c>
      <c r="D2775" s="13"/>
      <c r="E2775" s="13"/>
      <c r="F2775" s="13"/>
      <c r="G2775" s="13"/>
      <c r="H2775" s="13"/>
      <c r="I2775" s="13"/>
      <c r="J2775" s="13"/>
      <c r="K2775" s="13"/>
      <c r="L2775" s="13"/>
      <c r="M2775" s="13"/>
      <c r="N2775" s="13"/>
      <c r="O2775" s="13"/>
      <c r="P2775" s="74"/>
      <c r="Q2775" s="19"/>
      <c r="R2775" s="11"/>
      <c r="S2775" s="2"/>
    </row>
    <row r="2776" s="1" customFormat="1" ht="21.95" customHeight="1" spans="1:19">
      <c r="A2776" s="7"/>
      <c r="B2776" s="12"/>
      <c r="C2776" s="33"/>
      <c r="D2776" s="29"/>
      <c r="E2776" s="29"/>
      <c r="F2776" s="29"/>
      <c r="G2776" s="29"/>
      <c r="H2776" s="29"/>
      <c r="I2776" s="29"/>
      <c r="J2776" s="29"/>
      <c r="K2776" s="29"/>
      <c r="L2776" s="29"/>
      <c r="M2776" s="29"/>
      <c r="N2776" s="29"/>
      <c r="O2776" s="29"/>
      <c r="P2776" s="19"/>
      <c r="Q2776" s="19"/>
      <c r="R2776" s="11"/>
    </row>
    <row r="2777" s="1" customFormat="1" ht="21.95" customHeight="1" spans="1:19">
      <c r="A2777" s="7"/>
      <c r="B2777" s="12"/>
      <c r="C2777" s="75" t="str">
        <f>"SESSION-"&amp;ENTRY!$D$11</f>
        <v>SESSION-2026-27</v>
      </c>
      <c r="D2777" s="15"/>
      <c r="E2777" s="15"/>
      <c r="F2777" s="15"/>
      <c r="G2777" s="15"/>
      <c r="H2777" s="15"/>
      <c r="I2777" s="15"/>
      <c r="J2777" s="15"/>
      <c r="K2777" s="15"/>
      <c r="L2777" s="15"/>
      <c r="M2777" s="15"/>
      <c r="N2777" s="15"/>
      <c r="O2777" s="15"/>
      <c r="P2777" s="76"/>
      <c r="Q2777" s="19"/>
      <c r="R2777" s="11"/>
    </row>
    <row r="2778" s="1" customFormat="1" ht="18" customHeight="1" spans="1:19">
      <c r="A2778" s="7"/>
      <c r="B2778" s="12"/>
      <c r="C2778" s="33"/>
      <c r="D2778" s="29"/>
      <c r="E2778" s="29"/>
      <c r="F2778" s="29"/>
      <c r="G2778" s="29"/>
      <c r="H2778" s="29"/>
      <c r="I2778" s="29"/>
      <c r="J2778" s="29"/>
      <c r="K2778" s="29"/>
      <c r="L2778" s="29"/>
      <c r="M2778" s="29"/>
      <c r="N2778" s="29"/>
      <c r="O2778" s="29"/>
      <c r="P2778" s="19"/>
      <c r="Q2778" s="19"/>
      <c r="R2778" s="11"/>
    </row>
    <row r="2779" s="1" customFormat="1" ht="21.95" customHeight="1" spans="1:19">
      <c r="A2779" s="7"/>
      <c r="B2779" s="12"/>
      <c r="C2779" s="33"/>
      <c r="D2779" s="77" t="s">
        <v>758</v>
      </c>
      <c r="E2779" s="77"/>
      <c r="F2779" s="78" t="str">
        <f>IFERROR(PROPER(VLOOKUP(F2742,STUDENT!$A$2:$BP$101,5,0)),"")</f>
        <v/>
      </c>
      <c r="G2779" s="78"/>
      <c r="H2779" s="78"/>
      <c r="I2779" s="78"/>
      <c r="J2779" s="78"/>
      <c r="K2779" s="78"/>
      <c r="L2779" s="78"/>
      <c r="M2779" s="78"/>
      <c r="N2779" s="79" t="s">
        <v>759</v>
      </c>
      <c r="O2779" s="79"/>
      <c r="P2779" s="19"/>
      <c r="Q2779" s="19"/>
      <c r="R2779" s="11"/>
    </row>
    <row r="2780" s="1" customFormat="1" ht="21.95" customHeight="1" spans="1:19">
      <c r="A2780" s="7"/>
      <c r="B2780" s="12"/>
      <c r="C2780" s="33"/>
      <c r="D2780" s="80" t="s">
        <v>760</v>
      </c>
      <c r="E2780" s="81" t="str">
        <f>IFERROR(PROPER(VLOOKUP(F2742,STUDENT!$A$2:$BP$101,9,0)),"")</f>
        <v/>
      </c>
      <c r="F2780" s="81"/>
      <c r="G2780" s="81"/>
      <c r="H2780" s="80" t="s">
        <v>761</v>
      </c>
      <c r="I2780" s="82" t="str">
        <f>IFERROR(PROPER(VLOOKUP(F2742,STUDENT!$A$2:$BP$101,8,0)),"")</f>
        <v/>
      </c>
      <c r="J2780" s="82"/>
      <c r="K2780" s="82"/>
      <c r="L2780" s="82"/>
      <c r="M2780" s="80" t="s">
        <v>762</v>
      </c>
      <c r="N2780" s="83" t="str">
        <f>IFERROR(VLOOKUP(F2742,STUDENT!$A$2:$BP$101,59,0),"")</f>
        <v/>
      </c>
      <c r="O2780" s="83"/>
      <c r="P2780" s="19"/>
      <c r="Q2780" s="19"/>
      <c r="R2780" s="11"/>
    </row>
    <row r="2781" s="1" customFormat="1" ht="21.95" customHeight="1" spans="1:19">
      <c r="A2781" s="7"/>
      <c r="B2781" s="12"/>
      <c r="C2781" s="33"/>
      <c r="D2781" s="77" t="str">
        <f>"has    completed     his  /  her     primary     level     education    in    the    year    "&amp;RIGHT(ENTRY!$D2747,4)&amp;"    from    ( School    Name )"</f>
        <v>has    completed     his  /  her     primary     level     education    in    the    year        from    ( School    Name )</v>
      </c>
      <c r="E2781" s="77"/>
      <c r="F2781" s="77"/>
      <c r="G2781" s="77"/>
      <c r="H2781" s="77"/>
      <c r="I2781" s="77"/>
      <c r="J2781" s="77"/>
      <c r="K2781" s="77"/>
      <c r="L2781" s="77"/>
      <c r="M2781" s="77"/>
      <c r="N2781" s="77"/>
      <c r="O2781" s="77"/>
      <c r="P2781" s="19"/>
      <c r="Q2781" s="19"/>
      <c r="R2781" s="11"/>
    </row>
    <row r="2782" s="1" customFormat="1" ht="21.95" customHeight="1" spans="1:19">
      <c r="A2782" s="7"/>
      <c r="B2782" s="12"/>
      <c r="C2782" s="33"/>
      <c r="D2782" s="81" t="str">
        <f>IF(F2742&gt;0,ENTRY!$D$6,"")</f>
        <v>MCP NITHARI NO 1 BOYS</v>
      </c>
      <c r="E2782" s="81"/>
      <c r="F2782" s="81"/>
      <c r="G2782" s="81"/>
      <c r="H2782" s="81"/>
      <c r="I2782" s="81"/>
      <c r="J2782" s="81"/>
      <c r="K2782" s="81"/>
      <c r="L2782" s="81"/>
      <c r="M2782" s="80" t="s">
        <v>763</v>
      </c>
      <c r="N2782" s="84">
        <f>IF(F2742&gt;0,ENTRY!$D$7,"")</f>
        <v>0</v>
      </c>
      <c r="O2782" s="84"/>
      <c r="P2782" s="85" t="s">
        <v>727</v>
      </c>
      <c r="Q2782" s="19"/>
      <c r="R2782" s="11"/>
    </row>
    <row r="2783" s="1" customFormat="1" ht="21.95" customHeight="1" spans="1:19">
      <c r="A2783" s="7"/>
      <c r="B2783" s="12"/>
      <c r="C2783" s="33"/>
      <c r="D2783" s="29"/>
      <c r="E2783" s="29"/>
      <c r="F2783" s="29"/>
      <c r="G2783" s="29"/>
      <c r="H2783" s="29"/>
      <c r="I2783" s="29"/>
      <c r="J2783" s="29"/>
      <c r="K2783" s="29"/>
      <c r="L2783" s="29"/>
      <c r="M2783" s="29"/>
      <c r="N2783" s="29"/>
      <c r="O2783" s="29"/>
      <c r="P2783" s="19"/>
      <c r="Q2783" s="19"/>
      <c r="R2783" s="11"/>
    </row>
    <row r="2784" s="1" customFormat="1" ht="21.95" customHeight="1" spans="1:19">
      <c r="A2784" s="7"/>
      <c r="B2784" s="12"/>
      <c r="C2784" s="33"/>
      <c r="D2784" s="29"/>
      <c r="E2784" s="29"/>
      <c r="F2784" s="29"/>
      <c r="G2784" s="29"/>
      <c r="H2784" s="29"/>
      <c r="I2784" s="29"/>
      <c r="J2784" s="29"/>
      <c r="K2784" s="29"/>
      <c r="L2784" s="29"/>
      <c r="M2784" s="29"/>
      <c r="N2784" s="29"/>
      <c r="O2784" s="29"/>
      <c r="P2784" s="19"/>
      <c r="Q2784" s="19"/>
      <c r="R2784" s="11"/>
    </row>
    <row r="2785" s="1" customFormat="1" ht="21.95" customHeight="1" spans="1:18">
      <c r="A2785" s="7"/>
      <c r="B2785" s="12"/>
      <c r="C2785" s="33"/>
      <c r="D2785" s="29"/>
      <c r="E2785" s="29"/>
      <c r="F2785" s="29"/>
      <c r="G2785" s="29"/>
      <c r="H2785" s="29"/>
      <c r="I2785" s="29"/>
      <c r="J2785" s="29"/>
      <c r="K2785" s="29"/>
      <c r="L2785" s="29"/>
      <c r="M2785" s="29"/>
      <c r="N2785" s="29"/>
      <c r="O2785" s="29"/>
      <c r="P2785" s="19"/>
      <c r="Q2785" s="19"/>
      <c r="R2785" s="11"/>
    </row>
    <row r="2786" s="1" customFormat="1" ht="21.95" customHeight="1" spans="1:18">
      <c r="A2786" s="7"/>
      <c r="B2786" s="12"/>
      <c r="C2786" s="33"/>
      <c r="D2786" s="29"/>
      <c r="E2786" s="29"/>
      <c r="F2786" s="29"/>
      <c r="G2786" s="29"/>
      <c r="H2786" s="29"/>
      <c r="I2786" s="29"/>
      <c r="J2786" s="29"/>
      <c r="K2786" s="29"/>
      <c r="L2786" s="29"/>
      <c r="M2786" s="29"/>
      <c r="N2786" s="29"/>
      <c r="O2786" s="29"/>
      <c r="P2786" s="19"/>
      <c r="Q2786" s="19"/>
      <c r="R2786" s="11"/>
    </row>
    <row r="2787" s="1" customFormat="1" ht="21.95" customHeight="1" spans="1:18">
      <c r="A2787" s="7"/>
      <c r="B2787" s="12"/>
      <c r="C2787" s="33"/>
      <c r="D2787" s="29"/>
      <c r="E2787" s="29"/>
      <c r="F2787" s="29"/>
      <c r="G2787" s="29"/>
      <c r="H2787" s="29"/>
      <c r="I2787" s="29"/>
      <c r="J2787" s="29"/>
      <c r="K2787" s="29"/>
      <c r="L2787" s="29"/>
      <c r="M2787" s="29"/>
      <c r="N2787" s="29"/>
      <c r="O2787" s="29"/>
      <c r="P2787" s="19"/>
      <c r="Q2787" s="19"/>
      <c r="R2787" s="11"/>
    </row>
    <row r="2788" s="1" customFormat="1" ht="21.95" customHeight="1" spans="1:18">
      <c r="A2788" s="7"/>
      <c r="B2788" s="12"/>
      <c r="C2788" s="33"/>
      <c r="D2788" s="80" t="s">
        <v>728</v>
      </c>
      <c r="E2788" s="86">
        <f>ENTRY!$D$27</f>
        <v>46102</v>
      </c>
      <c r="F2788" s="86"/>
      <c r="G2788" s="29"/>
      <c r="H2788" s="29"/>
      <c r="I2788" s="29"/>
      <c r="J2788" s="29"/>
      <c r="K2788" s="29"/>
      <c r="L2788" s="29"/>
      <c r="M2788" s="87" t="s">
        <v>730</v>
      </c>
      <c r="N2788" s="87"/>
      <c r="O2788" s="87"/>
      <c r="P2788" s="19"/>
      <c r="Q2788" s="19"/>
      <c r="R2788" s="11"/>
    </row>
    <row r="2789" s="1" customFormat="1" ht="21.95" customHeight="1" spans="1:18">
      <c r="A2789" s="7"/>
      <c r="B2789" s="12"/>
      <c r="C2789" s="33"/>
      <c r="D2789" s="80" t="s">
        <v>731</v>
      </c>
      <c r="E2789" s="88" t="str">
        <f>PROPER(ENTRY!$D$28)</f>
        <v>New Delhi</v>
      </c>
      <c r="F2789" s="88"/>
      <c r="G2789" s="29"/>
      <c r="H2789" s="29"/>
      <c r="I2789" s="29"/>
      <c r="J2789" s="29"/>
      <c r="K2789" s="29"/>
      <c r="L2789" s="29"/>
      <c r="M2789" s="89" t="s">
        <v>732</v>
      </c>
      <c r="N2789" s="89"/>
      <c r="O2789" s="89"/>
      <c r="P2789" s="19"/>
      <c r="Q2789" s="19"/>
      <c r="R2789" s="11"/>
    </row>
    <row r="2790" s="1" customFormat="1" ht="21.95" customHeight="1" spans="1:18">
      <c r="A2790" s="7"/>
      <c r="B2790" s="12"/>
      <c r="C2790" s="90"/>
      <c r="D2790" s="91"/>
      <c r="E2790" s="91"/>
      <c r="F2790" s="91"/>
      <c r="G2790" s="91"/>
      <c r="H2790" s="91"/>
      <c r="I2790" s="91"/>
      <c r="J2790" s="91"/>
      <c r="K2790" s="91"/>
      <c r="L2790" s="91"/>
      <c r="M2790" s="91"/>
      <c r="N2790" s="91"/>
      <c r="O2790" s="91"/>
      <c r="P2790" s="92"/>
      <c r="Q2790" s="14"/>
      <c r="R2790" s="11"/>
    </row>
    <row r="2791" s="1" customFormat="1" ht="5.1" customHeight="1" spans="1:18">
      <c r="A2791" s="7"/>
      <c r="B2791" s="90"/>
      <c r="C2791" s="91"/>
      <c r="D2791" s="91"/>
      <c r="E2791" s="91"/>
      <c r="F2791" s="91"/>
      <c r="G2791" s="91"/>
      <c r="H2791" s="91"/>
      <c r="I2791" s="91"/>
      <c r="J2791" s="91"/>
      <c r="K2791" s="91"/>
      <c r="L2791" s="91"/>
      <c r="M2791" s="91"/>
      <c r="N2791" s="91"/>
      <c r="O2791" s="91"/>
      <c r="P2791" s="91"/>
      <c r="Q2791" s="92"/>
      <c r="R2791" s="11"/>
    </row>
    <row r="2792" s="1" customFormat="1" ht="5.1" customHeight="1" spans="1:18">
      <c r="A2792" s="93"/>
      <c r="B2792" s="94"/>
      <c r="C2792" s="94"/>
      <c r="D2792" s="94"/>
      <c r="E2792" s="94"/>
      <c r="F2792" s="94"/>
      <c r="G2792" s="94"/>
      <c r="H2792" s="94"/>
      <c r="I2792" s="94"/>
      <c r="J2792" s="94"/>
      <c r="K2792" s="94"/>
      <c r="L2792" s="94"/>
      <c r="M2792" s="94"/>
      <c r="N2792" s="94"/>
      <c r="O2792" s="94"/>
      <c r="P2792" s="94"/>
      <c r="Q2792" s="94"/>
      <c r="R2792" s="95"/>
    </row>
    <row r="2793" s="2" customFormat="1" ht="9.95" customHeight="1"/>
    <row r="2794" s="1" customFormat="1" ht="5.1" customHeight="1" spans="1:18">
      <c r="A2794" s="4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  <c r="O2794" s="5"/>
      <c r="P2794" s="5"/>
      <c r="Q2794" s="5"/>
      <c r="R2794" s="6"/>
    </row>
    <row r="2795" s="1" customFormat="1" ht="15" customHeight="1" spans="1:18">
      <c r="A2795" s="7"/>
      <c r="B2795" s="8"/>
      <c r="C2795" s="9"/>
      <c r="D2795" s="9"/>
      <c r="E2795" s="9"/>
      <c r="F2795" s="9"/>
      <c r="G2795" s="9"/>
      <c r="H2795" s="9"/>
      <c r="I2795" s="9"/>
      <c r="J2795" s="9"/>
      <c r="K2795" s="9"/>
      <c r="L2795" s="9"/>
      <c r="M2795" s="9"/>
      <c r="N2795" s="9"/>
      <c r="O2795" s="9"/>
      <c r="P2795" s="9"/>
      <c r="Q2795" s="10"/>
      <c r="R2795" s="11"/>
    </row>
    <row r="2796" s="1" customFormat="1" ht="21.95" customHeight="1" spans="1:18">
      <c r="A2796" s="7"/>
      <c r="B2796" s="12"/>
      <c r="C2796" s="13" t="s">
        <v>7</v>
      </c>
      <c r="D2796" s="13"/>
      <c r="E2796" s="13"/>
      <c r="F2796" s="13"/>
      <c r="G2796" s="13"/>
      <c r="H2796" s="13"/>
      <c r="I2796" s="13"/>
      <c r="J2796" s="13"/>
      <c r="K2796" s="13"/>
      <c r="L2796" s="13"/>
      <c r="M2796" s="13"/>
      <c r="N2796" s="13"/>
      <c r="O2796" s="13"/>
      <c r="P2796" s="13"/>
      <c r="Q2796" s="14"/>
      <c r="R2796" s="11"/>
    </row>
    <row r="2797" s="1" customFormat="1" ht="21.95" customHeight="1" spans="1:18">
      <c r="A2797" s="7"/>
      <c r="B2797" s="1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14"/>
      <c r="R2797" s="11"/>
    </row>
    <row r="2798" s="1" customFormat="1" ht="21.95" customHeight="1" spans="1:18">
      <c r="A2798" s="7"/>
      <c r="B2798" s="12"/>
      <c r="C2798" s="15" t="str">
        <f>"SESSION-"&amp;ENTRY!$D$11</f>
        <v>SESSION-2026-27</v>
      </c>
      <c r="D2798" s="15"/>
      <c r="E2798" s="15"/>
      <c r="F2798" s="15"/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4"/>
      <c r="R2798" s="11"/>
    </row>
    <row r="2799" s="1" customFormat="1" ht="21.95" customHeight="1" spans="1:18">
      <c r="A2799" s="7"/>
      <c r="B2799" s="12"/>
      <c r="C2799" s="2"/>
      <c r="D2799" s="2"/>
      <c r="E2799" s="2"/>
      <c r="F2799" s="16">
        <f>F2742+1</f>
        <v>50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14"/>
      <c r="R2799" s="11"/>
    </row>
    <row r="2800" s="1" customFormat="1" ht="21.95" customHeight="1" spans="1:18">
      <c r="A2800" s="7"/>
      <c r="B2800" s="12"/>
      <c r="C2800" s="17" t="s">
        <v>392</v>
      </c>
      <c r="D2800" s="17"/>
      <c r="E2800" s="17"/>
      <c r="F2800" s="18" t="str">
        <f>IF(F2799&gt;0,ENTRY!$D$6,"")</f>
        <v>MCP NITHARI NO 1 BOYS</v>
      </c>
      <c r="G2800" s="18"/>
      <c r="H2800" s="18"/>
      <c r="I2800" s="18"/>
      <c r="J2800" s="18"/>
      <c r="K2800" s="18"/>
      <c r="L2800" s="18"/>
      <c r="M2800" s="18"/>
      <c r="N2800" s="18"/>
      <c r="O2800" s="18"/>
      <c r="P2800" s="18"/>
      <c r="Q2800" s="19"/>
      <c r="R2800" s="11"/>
    </row>
    <row r="2801" s="1" customFormat="1" ht="21.95" customHeight="1" spans="1:18">
      <c r="A2801" s="7"/>
      <c r="B2801" s="12"/>
      <c r="C2801" s="17" t="s">
        <v>393</v>
      </c>
      <c r="D2801" s="17"/>
      <c r="E2801" s="17"/>
      <c r="F2801" s="18">
        <f>IF(F2799&gt;0,ENTRY!$D$7,"")</f>
        <v>0</v>
      </c>
      <c r="G2801" s="18"/>
      <c r="H2801" s="20" t="s">
        <v>702</v>
      </c>
      <c r="I2801" s="20"/>
      <c r="J2801" s="21">
        <f>IF(F2799&gt;0,ENTRY!$D$10,"")</f>
        <v>40</v>
      </c>
      <c r="K2801" s="20" t="s">
        <v>703</v>
      </c>
      <c r="L2801" s="22" t="str">
        <f>IF(F2799&gt;0,ENTRY!$D$5,"")</f>
        <v>ROHINI ZONE</v>
      </c>
      <c r="M2801" s="22"/>
      <c r="N2801" s="22"/>
      <c r="O2801" s="22"/>
      <c r="P2801" s="22"/>
      <c r="Q2801" s="19"/>
      <c r="R2801" s="11"/>
    </row>
    <row r="2802" s="1" customFormat="1" ht="21.95" customHeight="1" spans="1:18">
      <c r="A2802" s="7"/>
      <c r="B2802" s="12"/>
      <c r="C2802" s="17" t="s">
        <v>706</v>
      </c>
      <c r="D2802" s="17"/>
      <c r="E2802" s="17"/>
      <c r="F2802" s="23">
        <f>IFERROR(VLOOKUP(F2799,STUDENT!$A$2:$BP$101,5,0),"")</f>
        <v>0</v>
      </c>
      <c r="G2802" s="23"/>
      <c r="H2802" s="23"/>
      <c r="I2802" s="23"/>
      <c r="J2802" s="23"/>
      <c r="K2802" s="23"/>
      <c r="L2802" s="20" t="s">
        <v>707</v>
      </c>
      <c r="M2802" s="20"/>
      <c r="N2802" s="24" t="str">
        <f>IF(F2799&gt;0,ENTRY!$D$20&amp;"-"&amp;ENTRY!$D$21,"")</f>
        <v>III-A</v>
      </c>
      <c r="O2802" s="24"/>
      <c r="P2802" s="24"/>
      <c r="Q2802" s="19"/>
      <c r="R2802" s="11"/>
    </row>
    <row r="2803" s="1" customFormat="1" ht="21.95" customHeight="1" spans="1:18">
      <c r="A2803" s="7"/>
      <c r="B2803" s="12"/>
      <c r="C2803" s="17" t="s">
        <v>708</v>
      </c>
      <c r="D2803" s="17"/>
      <c r="E2803" s="17"/>
      <c r="F2803" s="25">
        <f>IFERROR(VLOOKUP(F2799,STUDENT!$A$2:$BP$101,6,0),"")</f>
        <v>0</v>
      </c>
      <c r="G2803" s="25"/>
      <c r="H2803" s="26" t="s">
        <v>709</v>
      </c>
      <c r="I2803" s="27" t="str">
        <f>IFERROR(VLOOKUP(F2799,STUDENT!$A$2:$BP$101,59,0),"")</f>
        <v/>
      </c>
      <c r="J2803" s="27"/>
      <c r="K2803" s="20" t="s">
        <v>710</v>
      </c>
      <c r="L2803" s="20"/>
      <c r="M2803" s="28">
        <f>IFERROR(VLOOKUP(F2799,STUDENT!$A$2:$BP$101,20,0),"")</f>
        <v>0</v>
      </c>
      <c r="N2803" s="28"/>
      <c r="O2803" s="28"/>
      <c r="P2803" s="28"/>
      <c r="Q2803" s="19"/>
      <c r="R2803" s="11"/>
    </row>
    <row r="2804" s="1" customFormat="1" ht="21.95" customHeight="1" spans="1:18">
      <c r="A2804" s="7"/>
      <c r="B2804" s="12"/>
      <c r="C2804" s="17" t="s">
        <v>711</v>
      </c>
      <c r="D2804" s="17"/>
      <c r="E2804" s="17"/>
      <c r="F2804" s="23">
        <f>IFERROR(VLOOKUP(F2799,STUDENT!$A$2:$BP$101,9,0),"")</f>
        <v>0</v>
      </c>
      <c r="G2804" s="23"/>
      <c r="H2804" s="23"/>
      <c r="I2804" s="23"/>
      <c r="J2804" s="17" t="s">
        <v>620</v>
      </c>
      <c r="K2804" s="17"/>
      <c r="L2804" s="23">
        <f>IFERROR(VLOOKUP(F2799,STUDENT!$A$2:$BP$101,8,0),"")</f>
        <v>0</v>
      </c>
      <c r="M2804" s="23"/>
      <c r="N2804" s="23"/>
      <c r="O2804" s="23"/>
      <c r="P2804" s="23"/>
      <c r="Q2804" s="19"/>
      <c r="R2804" s="11"/>
    </row>
    <row r="2805" s="1" customFormat="1" ht="21.95" customHeight="1" spans="1:18">
      <c r="A2805" s="7"/>
      <c r="B2805" s="12"/>
      <c r="C2805" s="17" t="s">
        <v>712</v>
      </c>
      <c r="D2805" s="17"/>
      <c r="E2805" s="17"/>
      <c r="F2805" s="23">
        <f>IFERROR(VLOOKUP(F2799,STUDENT!$A$2:$BP$101,22,0),"")</f>
        <v>0</v>
      </c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19"/>
      <c r="R2805" s="11"/>
    </row>
    <row r="2806" s="1" customFormat="1" ht="9.95" customHeight="1" spans="1:18">
      <c r="A2806" s="7"/>
      <c r="B2806" s="12"/>
      <c r="C2806" s="29"/>
      <c r="D2806" s="29"/>
      <c r="E2806" s="29"/>
      <c r="F2806" s="29"/>
      <c r="G2806" s="29"/>
      <c r="H2806" s="29"/>
      <c r="I2806" s="29"/>
      <c r="J2806" s="29"/>
      <c r="K2806" s="29"/>
      <c r="L2806" s="29"/>
      <c r="M2806" s="29"/>
      <c r="N2806" s="29"/>
      <c r="O2806" s="29"/>
      <c r="P2806" s="29"/>
      <c r="Q2806" s="19"/>
      <c r="R2806" s="11"/>
    </row>
    <row r="2807" s="1" customFormat="1" ht="9.95" customHeight="1" spans="1:18">
      <c r="A2807" s="7"/>
      <c r="B2807" s="12"/>
      <c r="C2807" s="30"/>
      <c r="D2807" s="31"/>
      <c r="E2807" s="31"/>
      <c r="F2807" s="31"/>
      <c r="G2807" s="31"/>
      <c r="H2807" s="31"/>
      <c r="I2807" s="31"/>
      <c r="J2807" s="31"/>
      <c r="K2807" s="31"/>
      <c r="L2807" s="31"/>
      <c r="M2807" s="31"/>
      <c r="N2807" s="31"/>
      <c r="O2807" s="31"/>
      <c r="P2807" s="32"/>
      <c r="Q2807" s="19"/>
      <c r="R2807" s="11"/>
    </row>
    <row r="2808" s="1" customFormat="1" ht="21.95" customHeight="1" spans="1:18">
      <c r="A2808" s="7"/>
      <c r="B2808" s="12"/>
      <c r="C2808" s="33"/>
      <c r="D2808" s="34" t="s">
        <v>713</v>
      </c>
      <c r="E2808" s="20" t="s">
        <v>714</v>
      </c>
      <c r="F2808" s="35" t="str">
        <f>"Level - "&amp;IFERROR(VLOOKUP(F2799,FLN!$A$4:$K$103,9,0),"")</f>
        <v>Level - </v>
      </c>
      <c r="G2808" s="36"/>
      <c r="H2808" s="37" t="s">
        <v>715</v>
      </c>
      <c r="I2808" s="20"/>
      <c r="J2808" s="35" t="str">
        <f>"Level - "&amp;IFERROR(VLOOKUP(F2799,FLN!$A$4:$K$103,11,0),"")</f>
        <v>Level - </v>
      </c>
      <c r="K2808" s="36"/>
      <c r="L2808" s="37" t="s">
        <v>408</v>
      </c>
      <c r="M2808" s="20"/>
      <c r="N2808" s="35" t="str">
        <f>"Level - "&amp;IFERROR(VLOOKUP(F2799,FLN!$A$4:$K$103,10,0),"")</f>
        <v>Level - </v>
      </c>
      <c r="O2808" s="36"/>
      <c r="P2808" s="19"/>
      <c r="Q2808" s="19"/>
      <c r="R2808" s="11"/>
    </row>
    <row r="2809" s="1" customFormat="1" ht="21.95" customHeight="1" spans="1:18">
      <c r="A2809" s="7"/>
      <c r="B2809" s="12"/>
      <c r="C2809" s="33"/>
      <c r="D2809" s="38"/>
      <c r="E2809" s="20" t="s">
        <v>716</v>
      </c>
      <c r="F2809" s="18" t="str">
        <f ca="1">IF(L2823&gt;197,"PERFORMED WELL","")</f>
        <v/>
      </c>
      <c r="G2809" s="18"/>
      <c r="H2809" s="18"/>
      <c r="I2809" s="18"/>
      <c r="J2809" s="18"/>
      <c r="K2809" s="18"/>
      <c r="L2809" s="18"/>
      <c r="M2809" s="18"/>
      <c r="N2809" s="18"/>
      <c r="O2809" s="18"/>
      <c r="P2809" s="19"/>
      <c r="Q2809" s="19"/>
      <c r="R2809" s="11"/>
    </row>
    <row r="2810" s="1" customFormat="1" ht="9.95" customHeight="1" spans="1:18">
      <c r="A2810" s="7"/>
      <c r="B2810" s="12"/>
      <c r="C2810" s="39"/>
      <c r="D2810" s="40"/>
      <c r="E2810" s="40"/>
      <c r="F2810" s="40"/>
      <c r="G2810" s="40"/>
      <c r="H2810" s="40"/>
      <c r="I2810" s="40"/>
      <c r="J2810" s="40"/>
      <c r="K2810" s="40"/>
      <c r="L2810" s="40"/>
      <c r="M2810" s="40"/>
      <c r="N2810" s="40"/>
      <c r="O2810" s="40"/>
      <c r="P2810" s="41"/>
      <c r="Q2810" s="19"/>
      <c r="R2810" s="11"/>
    </row>
    <row r="2811" s="1" customFormat="1" ht="9.95" customHeight="1" spans="1:18">
      <c r="A2811" s="7"/>
      <c r="B2811" s="12"/>
      <c r="C2811" s="29"/>
      <c r="D2811" s="29"/>
      <c r="E2811" s="29"/>
      <c r="F2811" s="29"/>
      <c r="G2811" s="29"/>
      <c r="H2811" s="29"/>
      <c r="I2811" s="29"/>
      <c r="J2811" s="29"/>
      <c r="K2811" s="29"/>
      <c r="L2811" s="29"/>
      <c r="M2811" s="29"/>
      <c r="N2811" s="29"/>
      <c r="O2811" s="29"/>
      <c r="P2811" s="29"/>
      <c r="Q2811" s="19"/>
      <c r="R2811" s="11"/>
    </row>
    <row r="2812" s="1" customFormat="1" ht="9.95" customHeight="1" spans="1:18">
      <c r="A2812" s="7"/>
      <c r="B2812" s="12"/>
      <c r="C2812" s="30"/>
      <c r="D2812" s="31"/>
      <c r="E2812" s="31"/>
      <c r="F2812" s="31"/>
      <c r="G2812" s="31"/>
      <c r="H2812" s="31"/>
      <c r="I2812" s="31"/>
      <c r="J2812" s="31"/>
      <c r="K2812" s="31"/>
      <c r="L2812" s="31"/>
      <c r="M2812" s="31"/>
      <c r="N2812" s="31"/>
      <c r="O2812" s="31"/>
      <c r="P2812" s="32"/>
      <c r="Q2812" s="19"/>
      <c r="R2812" s="11"/>
    </row>
    <row r="2813" s="1" customFormat="1" ht="21.95" customHeight="1" spans="1:18">
      <c r="A2813" s="7"/>
      <c r="B2813" s="12"/>
      <c r="C2813" s="33"/>
      <c r="D2813" s="35"/>
      <c r="E2813" s="24"/>
      <c r="F2813" s="42" t="s">
        <v>717</v>
      </c>
      <c r="G2813" s="42"/>
      <c r="H2813" s="42"/>
      <c r="I2813" s="42"/>
      <c r="J2813" s="42"/>
      <c r="K2813" s="42"/>
      <c r="L2813" s="43"/>
      <c r="M2813" s="44"/>
      <c r="N2813" s="29"/>
      <c r="O2813" s="29"/>
      <c r="P2813" s="19"/>
      <c r="Q2813" s="19"/>
      <c r="R2813" s="11"/>
    </row>
    <row r="2814" s="1" customFormat="1" ht="21.95" customHeight="1" spans="1:18">
      <c r="A2814" s="7"/>
      <c r="B2814" s="12"/>
      <c r="C2814" s="33"/>
      <c r="D2814" s="45"/>
      <c r="E2814" s="46"/>
      <c r="F2814" s="47" t="s">
        <v>541</v>
      </c>
      <c r="G2814" s="47" t="s">
        <v>542</v>
      </c>
      <c r="H2814" s="47" t="s">
        <v>543</v>
      </c>
      <c r="I2814" s="47" t="s">
        <v>544</v>
      </c>
      <c r="J2814" s="47" t="s">
        <v>561</v>
      </c>
      <c r="K2814" s="48" t="s">
        <v>750</v>
      </c>
      <c r="L2814" s="47" t="s">
        <v>382</v>
      </c>
      <c r="M2814" s="49" t="s">
        <v>546</v>
      </c>
      <c r="N2814" s="29"/>
      <c r="O2814" s="29"/>
      <c r="P2814" s="19"/>
      <c r="Q2814" s="19"/>
      <c r="R2814" s="11"/>
    </row>
    <row r="2815" s="1" customFormat="1" ht="21.95" customHeight="1" spans="1:18">
      <c r="A2815" s="7"/>
      <c r="B2815" s="12"/>
      <c r="C2815" s="33"/>
      <c r="D2815" s="45" t="s">
        <v>652</v>
      </c>
      <c r="E2815" s="46"/>
      <c r="F2815" s="50">
        <v>10</v>
      </c>
      <c r="G2815" s="50">
        <v>10</v>
      </c>
      <c r="H2815" s="50">
        <v>10</v>
      </c>
      <c r="I2815" s="50">
        <v>10</v>
      </c>
      <c r="J2815" s="50">
        <v>60</v>
      </c>
      <c r="K2815" s="51"/>
      <c r="L2815" s="50">
        <v>100</v>
      </c>
      <c r="M2815" s="49"/>
      <c r="N2815" s="29"/>
      <c r="O2815" s="29"/>
      <c r="P2815" s="19"/>
      <c r="Q2815" s="19"/>
      <c r="R2815" s="11"/>
    </row>
    <row r="2816" s="1" customFormat="1" ht="21.95" customHeight="1" spans="1:18">
      <c r="A2816" s="7"/>
      <c r="B2816" s="12"/>
      <c r="C2816" s="33"/>
      <c r="D2816" s="52" t="s">
        <v>751</v>
      </c>
      <c r="E2816" s="53"/>
      <c r="F2816" s="54" t="str">
        <f ca="1">IFERROR(VLOOKUP(F2799,'RR-3.1-5TH'!$A$12:'RR-3.1-5TH'!$BN$111,9,0),"")</f>
        <v/>
      </c>
      <c r="G2816" s="54" t="str">
        <f ca="1">IFERROR(VLOOKUP(F2799,'RR-3.1-5TH'!$A$12:'RR-3.1-5TH'!$BN$111,10,0),"")</f>
        <v/>
      </c>
      <c r="H2816" s="54" t="str">
        <f ca="1">IFERROR(VLOOKUP(F2799,'RR-3.1-5TH'!$A$12:'RR-3.1-5TH'!$BN$111,11,0),"")</f>
        <v/>
      </c>
      <c r="I2816" s="54" t="str">
        <f ca="1">IFERROR(VLOOKUP(F2799,'RR-3.1-5TH'!$A$12:'RR-3.1-5TH'!$BN$111,12,0),"")</f>
        <v/>
      </c>
      <c r="J2816" s="54" t="str">
        <f ca="1">IFERROR(VLOOKUP(F2799,'RR-3.1-5TH'!$A$12:'RR-3.1-5TH'!$BN$111,13,0),"")</f>
        <v/>
      </c>
      <c r="K2816" s="54" t="str">
        <f ca="1">IFERROR(VLOOKUP(F2799,'RR-3.1-5TH'!$A$12:'RR-3.1-5TH'!$BN$111,14,0),"")</f>
        <v/>
      </c>
      <c r="L2816" s="55">
        <f ca="1" t="shared" ref="L2816:L2821" si="147">SUM(F2816,G2816,H2816,I2816,J2816,K2816)</f>
        <v>0</v>
      </c>
      <c r="M2816" s="56" t="str">
        <f ca="1">IF(F2799&gt;ENTRY!$D$24,"",IF(L2816=0,"Ab",IF(L2816&gt;80,"A",IF(L2816&gt;60,"B",IF(L2816&gt;44,"C",IF(L2816&gt;=33,"D",IF(L2816&lt;=32,"E","")))))))</f>
        <v/>
      </c>
      <c r="N2816" s="57" t="s">
        <v>729</v>
      </c>
      <c r="O2816" s="58"/>
      <c r="P2816" s="59"/>
      <c r="Q2816" s="19"/>
      <c r="R2816" s="11"/>
    </row>
    <row r="2817" s="1" customFormat="1" ht="21.95" customHeight="1" spans="1:19">
      <c r="A2817" s="7"/>
      <c r="B2817" s="12"/>
      <c r="C2817" s="33"/>
      <c r="D2817" s="52" t="s">
        <v>513</v>
      </c>
      <c r="E2817" s="53"/>
      <c r="F2817" s="54" t="str">
        <f ca="1">IFERROR(VLOOKUP(F2799,'RR-3.1-5TH'!$A$12:'RR-3.1-5TH'!$BN$111,17,0),"")</f>
        <v/>
      </c>
      <c r="G2817" s="54" t="str">
        <f ca="1">IFERROR(VLOOKUP(F2799,'RR-3.1-5TH'!$A$12:'RR-3.1-5TH'!$BN$111,18,0),"")</f>
        <v/>
      </c>
      <c r="H2817" s="54" t="str">
        <f ca="1">IFERROR(VLOOKUP(F2799,'RR-3.1-5TH'!$A$12:'RR-3.1-5TH'!$BN$111,19,0),"")</f>
        <v/>
      </c>
      <c r="I2817" s="54" t="str">
        <f ca="1">IFERROR(VLOOKUP(F2799,'RR-3.1-5TH'!$A$12:'RR-3.1-5TH'!$BN$111,20,0),"")</f>
        <v/>
      </c>
      <c r="J2817" s="54" t="str">
        <f ca="1">IFERROR(VLOOKUP(F2799,'RR-3.1-5TH'!$A$12:'RR-3.1-5TH'!$BN$111,21,0),"")</f>
        <v/>
      </c>
      <c r="K2817" s="54" t="str">
        <f ca="1">IFERROR(VLOOKUP(F2799,'RR-3.1-5TH'!$A$12:'RR-3.1-5TH'!$BN$111,22,0),"")</f>
        <v/>
      </c>
      <c r="L2817" s="55">
        <f ca="1" t="shared" si="147"/>
        <v>0</v>
      </c>
      <c r="M2817" s="56" t="str">
        <f ca="1">IF(F2799&gt;ENTRY!$D$24,"",IF(L2817=0,"Ab",IF(L2817&gt;80,"A",IF(L2817&gt;60,"B",IF(L2817&gt;44,"C",IF(L2817&gt;=33,"D",IF(L2817&lt;=32,"E","")))))))</f>
        <v/>
      </c>
      <c r="N2817" s="58"/>
      <c r="O2817" s="58"/>
      <c r="P2817" s="59"/>
      <c r="Q2817" s="19"/>
      <c r="R2817" s="11"/>
    </row>
    <row r="2818" s="1" customFormat="1" ht="21.95" customHeight="1" spans="1:19">
      <c r="A2818" s="7"/>
      <c r="B2818" s="12"/>
      <c r="C2818" s="33"/>
      <c r="D2818" s="52" t="s">
        <v>718</v>
      </c>
      <c r="E2818" s="53"/>
      <c r="F2818" s="54" t="str">
        <f ca="1">IFERROR(VLOOKUP(F2799,'RR-3.1-5TH'!$A$12:'RR-3.1-5TH'!$BN$111,25,0),"")</f>
        <v/>
      </c>
      <c r="G2818" s="54" t="str">
        <f ca="1">IFERROR(VLOOKUP(F2799,'RR-3.1-5TH'!$A$12:'RR-3.1-5TH'!$BN$111,26,0),"")</f>
        <v/>
      </c>
      <c r="H2818" s="54" t="str">
        <f ca="1">IFERROR(VLOOKUP(F2799,'RR-3.1-5TH'!$A$12:'RR-3.1-5TH'!$BN$111,27,0),"")</f>
        <v/>
      </c>
      <c r="I2818" s="54" t="str">
        <f ca="1">IFERROR(VLOOKUP(F2799,'RR-3.1-5TH'!$A$12:'RR-3.1-5TH'!$BN$111,28,0),"")</f>
        <v/>
      </c>
      <c r="J2818" s="54" t="str">
        <f ca="1">IFERROR(VLOOKUP(F2799,'RR-3.1-5TH'!$A$12:'RR-3.1-5TH'!$BN$111,29,0),"")</f>
        <v/>
      </c>
      <c r="K2818" s="54" t="str">
        <f ca="1">IFERROR(VLOOKUP(F2799,'RR-3.1-5TH'!$A$12:'RR-3.1-5TH'!$BN$111,30,0),"")</f>
        <v/>
      </c>
      <c r="L2818" s="55">
        <f ca="1" t="shared" si="147"/>
        <v>0</v>
      </c>
      <c r="M2818" s="56" t="str">
        <f ca="1">IF(F2799&gt;ENTRY!$D$24,"",IF(L2818=0,"Ab",IF(L2818&gt;80,"A",IF(L2818&gt;60,"B",IF(L2818&gt;44,"C",IF(L2818&gt;=33,"D",IF(L2818&lt;=32,"E","")))))))</f>
        <v/>
      </c>
      <c r="N2818" s="29"/>
      <c r="O2818" s="29"/>
      <c r="P2818" s="19"/>
      <c r="Q2818" s="19"/>
      <c r="R2818" s="11"/>
    </row>
    <row r="2819" s="1" customFormat="1" ht="21.95" customHeight="1" spans="1:19">
      <c r="A2819" s="7"/>
      <c r="B2819" s="12"/>
      <c r="C2819" s="33"/>
      <c r="D2819" s="52" t="s">
        <v>719</v>
      </c>
      <c r="E2819" s="53"/>
      <c r="F2819" s="54" t="str">
        <f ca="1">IFERROR(VLOOKUP(F2799,'RR-3.1-5TH'!$A$12:'RR-3.1-5TH'!$BN$111,33,0),"")</f>
        <v/>
      </c>
      <c r="G2819" s="54" t="str">
        <f ca="1">IFERROR(VLOOKUP(F2799,'RR-3.1-5TH'!$A$12:'RR-3.1-5TH'!$BN$111,34,0),"")</f>
        <v/>
      </c>
      <c r="H2819" s="54" t="str">
        <f ca="1">IFERROR(VLOOKUP(F2799,'RR-3.1-5TH'!$A$12:'RR-3.1-5TH'!$BN$111,35,0),"")</f>
        <v/>
      </c>
      <c r="I2819" s="54" t="str">
        <f ca="1">IFERROR(VLOOKUP(F2799,'RR-3.1-5TH'!$A$12:'RR-3.1-5TH'!$BN$111,36,0),"")</f>
        <v/>
      </c>
      <c r="J2819" s="54" t="str">
        <f ca="1">IFERROR(VLOOKUP(F2799,'RR-3.1-5TH'!$A$12:'RR-3.1-5TH'!$BN$111,37,0),"")</f>
        <v/>
      </c>
      <c r="K2819" s="54" t="str">
        <f ca="1">IFERROR(VLOOKUP(F2799,'RR-3.1-5TH'!$A$12:'RR-3.1-5TH'!$BN$111,38,0),"")</f>
        <v/>
      </c>
      <c r="L2819" s="55">
        <f ca="1" t="shared" si="147"/>
        <v>0</v>
      </c>
      <c r="M2819" s="56" t="str">
        <f ca="1">IF(F2799&gt;ENTRY!$D$24,"",IF(L2819=0,"Ab",IF(L2819&gt;80,"A",IF(L2819&gt;60,"B",IF(L2819&gt;44,"C",IF(L2819&gt;=33,"D",IF(L2819&lt;=32,"E","")))))))</f>
        <v/>
      </c>
      <c r="N2819" s="29"/>
      <c r="O2819" s="29"/>
      <c r="P2819" s="19"/>
      <c r="Q2819" s="19"/>
      <c r="R2819" s="11"/>
    </row>
    <row r="2820" s="1" customFormat="1" ht="21.95" customHeight="1" spans="1:19">
      <c r="A2820" s="7"/>
      <c r="B2820" s="12"/>
      <c r="C2820" s="33"/>
      <c r="D2820" s="52" t="s">
        <v>548</v>
      </c>
      <c r="E2820" s="53"/>
      <c r="F2820" s="54" t="str">
        <f ca="1">IFERROR(VLOOKUP(F2799,'RR-3.1-5TH'!$A$12:'RR-3.1-5TH'!$BN$111,41,0),"")</f>
        <v/>
      </c>
      <c r="G2820" s="54" t="str">
        <f ca="1">IFERROR(VLOOKUP(F2799,'RR-3.1-5TH'!$A$12:'RR-3.1-5TH'!$BN$111,42,0),"")</f>
        <v/>
      </c>
      <c r="H2820" s="54" t="str">
        <f ca="1">IFERROR(VLOOKUP(F2799,'RR-3.1-5TH'!$A$12:'RR-3.1-5TH'!$BN$111,43,0),"")</f>
        <v/>
      </c>
      <c r="I2820" s="54" t="str">
        <f ca="1">IFERROR(VLOOKUP(F2799,'RR-3.1-5TH'!$A$12:'RR-3.1-5TH'!$BN$111,44,0),"")</f>
        <v/>
      </c>
      <c r="J2820" s="54" t="str">
        <f ca="1">IFERROR(VLOOKUP(F2799,'RR-3.1-5TH'!$A$12:'RR-3.1-5TH'!$BN$111,45,0),"")</f>
        <v/>
      </c>
      <c r="K2820" s="54" t="str">
        <f ca="1">IFERROR(VLOOKUP(F2799,'RR-3.1-5TH'!$A$12:'RR-3.1-5TH'!$BN$111,46,0),"")</f>
        <v/>
      </c>
      <c r="L2820" s="55">
        <f ca="1" t="shared" si="147"/>
        <v>0</v>
      </c>
      <c r="M2820" s="56" t="str">
        <f ca="1">IF(F2799&gt;ENTRY!$D$24,"",IF(L2820=0,"Ab",IF(L2820&gt;80,"A",IF(L2820&gt;60,"B",IF(L2820&gt;44,"C",IF(L2820&gt;=33,"D",IF(L2820&lt;=32,"E","")))))))</f>
        <v/>
      </c>
      <c r="N2820" s="29"/>
      <c r="O2820" s="29"/>
      <c r="P2820" s="19"/>
      <c r="Q2820" s="19"/>
      <c r="R2820" s="11"/>
    </row>
    <row r="2821" s="1" customFormat="1" ht="21.95" customHeight="1" spans="1:19">
      <c r="A2821" s="7"/>
      <c r="B2821" s="12"/>
      <c r="C2821" s="33"/>
      <c r="D2821" s="52" t="s">
        <v>549</v>
      </c>
      <c r="E2821" s="53"/>
      <c r="F2821" s="54" t="str">
        <f ca="1">IFERROR(VLOOKUP(F2799,'RR-3.1-5TH'!$A$12:'RR-3.1-5TH'!$BN$111,49,0),"")</f>
        <v/>
      </c>
      <c r="G2821" s="54" t="str">
        <f ca="1">IFERROR(VLOOKUP(F2799,'RR-3.1-5TH'!$A$12:'RR-3.1-5TH'!$BN$111,50,0),"")</f>
        <v/>
      </c>
      <c r="H2821" s="54" t="str">
        <f ca="1">IFERROR(VLOOKUP(F2799,'RR-3.1-5TH'!$A$12:'RR-3.1-5TH'!$BN$111,51,0),"")</f>
        <v/>
      </c>
      <c r="I2821" s="54" t="str">
        <f ca="1">IFERROR(VLOOKUP(F2799,'RR-3.1-5TH'!$A$12:'RR-3.1-5TH'!$BN$111,52,0),"")</f>
        <v/>
      </c>
      <c r="J2821" s="54" t="str">
        <f ca="1">IFERROR(VLOOKUP(F2799,'RR-3.1-5TH'!$A$12:'RR-3.1-5TH'!$BN$111,53,0),"")</f>
        <v/>
      </c>
      <c r="K2821" s="54" t="str">
        <f ca="1">IFERROR(VLOOKUP(F2799,'RR-3.1-5TH'!$A$12:'RR-3.1-5TH'!$BN$111,54,0),"")</f>
        <v/>
      </c>
      <c r="L2821" s="55">
        <f ca="1" t="shared" si="147"/>
        <v>0</v>
      </c>
      <c r="M2821" s="56" t="str">
        <f ca="1">IF(F2799&gt;ENTRY!$D$24,"",IF(L2821=0,"Ab",IF(L2821&gt;80,"A",IF(L2821&gt;60,"B",IF(L2821&gt;44,"C",IF(L2821&gt;=33,"D",IF(L2821&lt;=32,"E","")))))))</f>
        <v/>
      </c>
      <c r="N2821" s="57" t="s">
        <v>752</v>
      </c>
      <c r="O2821" s="58"/>
      <c r="P2821" s="59"/>
      <c r="Q2821" s="19"/>
      <c r="R2821" s="11"/>
    </row>
    <row r="2822" s="1" customFormat="1" ht="21.95" customHeight="1" spans="1:19">
      <c r="A2822" s="7"/>
      <c r="B2822" s="12"/>
      <c r="C2822" s="33"/>
      <c r="D2822" s="52" t="s">
        <v>753</v>
      </c>
      <c r="E2822" s="53"/>
      <c r="F2822" s="60"/>
      <c r="G2822" s="54"/>
      <c r="H2822" s="54"/>
      <c r="I2822" s="54"/>
      <c r="J2822" s="54"/>
      <c r="K2822" s="54"/>
      <c r="L2822" s="55">
        <f t="shared" ref="L2822" si="148">SUM(G2822:K2822)</f>
        <v>0</v>
      </c>
      <c r="M2822" s="56" t="str">
        <f>IF(F2799&gt;ENTRY!$D$24,"",IF(L2822=0,"",IF(L2822&gt;79,"A",IF(L2822&gt;59,"B",IF(L2822&gt;44,"C",IF(L2822&gt;=33,"D",IF(L2822&lt;=32,"E","")))))))</f>
        <v/>
      </c>
      <c r="N2822" s="58"/>
      <c r="O2822" s="58"/>
      <c r="P2822" s="59"/>
      <c r="Q2822" s="19"/>
      <c r="R2822" s="11"/>
    </row>
    <row r="2823" s="1" customFormat="1" ht="21.95" customHeight="1" spans="1:19">
      <c r="A2823" s="7"/>
      <c r="B2823" s="12"/>
      <c r="C2823" s="33"/>
      <c r="D2823" s="45" t="s">
        <v>382</v>
      </c>
      <c r="E2823" s="46"/>
      <c r="F2823" s="54">
        <f ca="1" t="shared" ref="F2823:L2823" si="149">IFERROR(SUM(F2816:F2822),"")</f>
        <v>0</v>
      </c>
      <c r="G2823" s="54">
        <f ca="1" t="shared" si="149"/>
        <v>0</v>
      </c>
      <c r="H2823" s="54">
        <f ca="1" t="shared" si="149"/>
        <v>0</v>
      </c>
      <c r="I2823" s="54">
        <f ca="1" t="shared" si="149"/>
        <v>0</v>
      </c>
      <c r="J2823" s="54">
        <f ca="1" t="shared" si="149"/>
        <v>0</v>
      </c>
      <c r="K2823" s="54">
        <f ca="1" t="shared" si="149"/>
        <v>0</v>
      </c>
      <c r="L2823" s="55">
        <f ca="1" t="shared" si="149"/>
        <v>0</v>
      </c>
      <c r="M2823" s="61" t="str">
        <f ca="1">IF(F2799&gt;ENTRY!$D$24,"",IF(N2824="Ab","Ab",IF(N2824&gt;79.5,"A",IF(N2824&gt;59.5,"B",IF(N2824&gt;44.5,"C",IF(N2824&gt;=33,"D",IF(N2824&lt;33,"E","")))))))</f>
        <v/>
      </c>
      <c r="N2823" s="62"/>
      <c r="O2823" s="58"/>
      <c r="P2823" s="59"/>
      <c r="Q2823" s="19"/>
      <c r="R2823" s="11"/>
    </row>
    <row r="2824" s="1" customFormat="1" ht="21.95" customHeight="1" spans="1:19">
      <c r="A2824" s="7"/>
      <c r="B2824" s="12"/>
      <c r="C2824" s="33"/>
      <c r="D2824" s="63" t="s">
        <v>721</v>
      </c>
      <c r="E2824" s="63"/>
      <c r="F2824" s="63"/>
      <c r="G2824" s="63"/>
      <c r="H2824" s="63"/>
      <c r="I2824" s="63"/>
      <c r="J2824" s="63"/>
      <c r="K2824" s="63"/>
      <c r="L2824" s="63"/>
      <c r="M2824" s="63"/>
      <c r="N2824" s="64">
        <f ca="1">IF(L2823="Ab","Ab",L2823/6)</f>
        <v>0</v>
      </c>
      <c r="O2824" s="65"/>
      <c r="P2824" s="19"/>
      <c r="Q2824" s="19"/>
      <c r="R2824" s="11"/>
    </row>
    <row r="2825" s="1" customFormat="1" ht="21.95" customHeight="1" spans="1:19">
      <c r="A2825" s="7"/>
      <c r="B2825" s="12"/>
      <c r="C2825" s="33"/>
      <c r="D2825" s="29" t="s">
        <v>716</v>
      </c>
      <c r="E2825" s="18" t="str">
        <f>IFERROR(VLOOKUP(F2799,'1to4-2.1-RR'!$A$12:$BG$111,57,0),"")</f>
        <v/>
      </c>
      <c r="F2825" s="18"/>
      <c r="G2825" s="18"/>
      <c r="H2825" s="18"/>
      <c r="I2825" s="18"/>
      <c r="J2825" s="18"/>
      <c r="K2825" s="18"/>
      <c r="L2825" s="18"/>
      <c r="M2825" s="18"/>
      <c r="N2825" s="29"/>
      <c r="O2825" s="29"/>
      <c r="P2825" s="19"/>
      <c r="Q2825" s="19"/>
      <c r="R2825" s="11"/>
    </row>
    <row r="2826" s="1" customFormat="1" ht="9.95" customHeight="1" spans="1:19">
      <c r="A2826" s="7"/>
      <c r="B2826" s="12"/>
      <c r="C2826" s="33"/>
      <c r="D2826" s="29"/>
      <c r="E2826" s="29"/>
      <c r="F2826" s="29"/>
      <c r="G2826" s="29"/>
      <c r="H2826" s="29"/>
      <c r="I2826" s="29"/>
      <c r="J2826" s="29"/>
      <c r="K2826" s="29"/>
      <c r="L2826" s="29"/>
      <c r="M2826" s="29"/>
      <c r="N2826" s="29"/>
      <c r="O2826" s="29"/>
      <c r="P2826" s="19"/>
      <c r="Q2826" s="19"/>
      <c r="R2826" s="11"/>
    </row>
    <row r="2827" s="1" customFormat="1" ht="36" spans="1:19">
      <c r="A2827" s="7"/>
      <c r="B2827" s="12"/>
      <c r="C2827" s="33"/>
      <c r="D2827" s="66" t="s">
        <v>576</v>
      </c>
      <c r="E2827" s="67" t="s">
        <v>754</v>
      </c>
      <c r="F2827" s="47" t="str">
        <f>IF(F2799&gt;ENTRY!$D$24,"",IFERROR(VLOOKUP(F2799,PASHEET!$A$4:$CJ$103,88,0),""))</f>
        <v/>
      </c>
      <c r="G2827" s="67" t="s">
        <v>755</v>
      </c>
      <c r="H2827" s="47" t="str">
        <f>IF(F2799&gt;ENTRY!$D$24,"",IFERROR(VLOOKUP(F2799,PASHEET!$A$4:$CJ$103,87,0),""))</f>
        <v/>
      </c>
      <c r="I2827" s="68" t="s">
        <v>756</v>
      </c>
      <c r="J2827" s="69" t="str">
        <f>IF(F2799&gt;ENTRY!$D$24,"",IFERROR(IF(F2799&gt;0,H2827/F2827*100),""))</f>
        <v/>
      </c>
      <c r="K2827" s="60" t="s">
        <v>757</v>
      </c>
      <c r="L2827" s="70" t="str">
        <f ca="1">IF(F2799&gt;ENTRY!$D$24,"",IFERROR(L2823/600*100,""))</f>
        <v/>
      </c>
      <c r="M2827" s="47" t="str">
        <f ca="1">IF(F2799&gt;ENTRY!$D$24,"",IFERROR(L2823&amp;" / "&amp;"600",""))</f>
        <v/>
      </c>
      <c r="N2827" s="29"/>
      <c r="O2827" s="29"/>
      <c r="P2827" s="19"/>
      <c r="Q2827" s="19"/>
      <c r="R2827" s="11"/>
    </row>
    <row r="2828" s="1" customFormat="1" ht="9.95" customHeight="1" spans="1:19">
      <c r="A2828" s="7"/>
      <c r="B2828" s="12"/>
      <c r="C2828" s="39"/>
      <c r="D2828" s="40"/>
      <c r="E2828" s="40"/>
      <c r="F2828" s="40"/>
      <c r="G2828" s="40"/>
      <c r="H2828" s="40"/>
      <c r="I2828" s="40"/>
      <c r="J2828" s="40"/>
      <c r="K2828" s="40"/>
      <c r="L2828" s="40"/>
      <c r="M2828" s="40"/>
      <c r="N2828" s="40"/>
      <c r="O2828" s="40"/>
      <c r="P2828" s="41"/>
      <c r="Q2828" s="19"/>
      <c r="R2828" s="11"/>
    </row>
    <row r="2829" s="1" customFormat="1" ht="9.95" customHeight="1" spans="1:19">
      <c r="A2829" s="7"/>
      <c r="B2829" s="12"/>
      <c r="C2829" s="71"/>
      <c r="D2829" s="71"/>
      <c r="E2829" s="71"/>
      <c r="F2829" s="29"/>
      <c r="G2829" s="71"/>
      <c r="H2829" s="71"/>
      <c r="I2829" s="71"/>
      <c r="J2829" s="71"/>
      <c r="K2829" s="71"/>
      <c r="L2829" s="71"/>
      <c r="M2829" s="71"/>
      <c r="N2829" s="71"/>
      <c r="O2829" s="71"/>
      <c r="P2829" s="71"/>
      <c r="Q2829" s="19"/>
      <c r="R2829" s="11"/>
    </row>
    <row r="2830" s="1" customFormat="1" ht="9.95" customHeight="1" spans="1:19">
      <c r="A2830" s="7"/>
      <c r="B2830" s="12"/>
      <c r="C2830" s="29"/>
      <c r="D2830" s="29"/>
      <c r="E2830" s="29"/>
      <c r="F2830" s="72"/>
      <c r="G2830" s="29"/>
      <c r="H2830" s="29"/>
      <c r="I2830" s="29"/>
      <c r="J2830" s="29"/>
      <c r="K2830" s="29"/>
      <c r="L2830" s="29"/>
      <c r="M2830" s="29"/>
      <c r="N2830" s="29"/>
      <c r="O2830" s="29"/>
      <c r="P2830" s="29"/>
      <c r="Q2830" s="19"/>
      <c r="R2830" s="11"/>
    </row>
    <row r="2831" s="1" customFormat="1" ht="9.95" customHeight="1" spans="1:19">
      <c r="A2831" s="7"/>
      <c r="B2831" s="12"/>
      <c r="C2831" s="30"/>
      <c r="D2831" s="31"/>
      <c r="E2831" s="31"/>
      <c r="F2831" s="31"/>
      <c r="G2831" s="31"/>
      <c r="H2831" s="31"/>
      <c r="I2831" s="31"/>
      <c r="J2831" s="31"/>
      <c r="K2831" s="31"/>
      <c r="L2831" s="31"/>
      <c r="M2831" s="31"/>
      <c r="N2831" s="31"/>
      <c r="O2831" s="31"/>
      <c r="P2831" s="32"/>
      <c r="Q2831" s="19"/>
      <c r="R2831" s="11"/>
    </row>
    <row r="2832" s="1" customFormat="1" ht="21.95" customHeight="1" spans="1:19">
      <c r="A2832" s="7"/>
      <c r="B2832" s="12"/>
      <c r="C2832" s="73" t="s">
        <v>7</v>
      </c>
      <c r="D2832" s="13"/>
      <c r="E2832" s="13"/>
      <c r="F2832" s="13"/>
      <c r="G2832" s="13"/>
      <c r="H2832" s="13"/>
      <c r="I2832" s="13"/>
      <c r="J2832" s="13"/>
      <c r="K2832" s="13"/>
      <c r="L2832" s="13"/>
      <c r="M2832" s="13"/>
      <c r="N2832" s="13"/>
      <c r="O2832" s="13"/>
      <c r="P2832" s="74"/>
      <c r="Q2832" s="19"/>
      <c r="R2832" s="11"/>
      <c r="S2832" s="2"/>
    </row>
    <row r="2833" s="1" customFormat="1" ht="21.95" customHeight="1" spans="1:18">
      <c r="A2833" s="7"/>
      <c r="B2833" s="12"/>
      <c r="C2833" s="33"/>
      <c r="D2833" s="29"/>
      <c r="E2833" s="29"/>
      <c r="F2833" s="29"/>
      <c r="G2833" s="29"/>
      <c r="H2833" s="29"/>
      <c r="I2833" s="29"/>
      <c r="J2833" s="29"/>
      <c r="K2833" s="29"/>
      <c r="L2833" s="29"/>
      <c r="M2833" s="29"/>
      <c r="N2833" s="29"/>
      <c r="O2833" s="29"/>
      <c r="P2833" s="19"/>
      <c r="Q2833" s="19"/>
      <c r="R2833" s="11"/>
    </row>
    <row r="2834" s="1" customFormat="1" ht="21.95" customHeight="1" spans="1:18">
      <c r="A2834" s="7"/>
      <c r="B2834" s="12"/>
      <c r="C2834" s="75" t="str">
        <f>"SESSION-"&amp;ENTRY!$D$11</f>
        <v>SESSION-2026-27</v>
      </c>
      <c r="D2834" s="15"/>
      <c r="E2834" s="15"/>
      <c r="F2834" s="15"/>
      <c r="G2834" s="15"/>
      <c r="H2834" s="15"/>
      <c r="I2834" s="15"/>
      <c r="J2834" s="15"/>
      <c r="K2834" s="15"/>
      <c r="L2834" s="15"/>
      <c r="M2834" s="15"/>
      <c r="N2834" s="15"/>
      <c r="O2834" s="15"/>
      <c r="P2834" s="76"/>
      <c r="Q2834" s="19"/>
      <c r="R2834" s="11"/>
    </row>
    <row r="2835" s="1" customFormat="1" ht="18" customHeight="1" spans="1:18">
      <c r="A2835" s="7"/>
      <c r="B2835" s="12"/>
      <c r="C2835" s="33"/>
      <c r="D2835" s="29"/>
      <c r="E2835" s="29"/>
      <c r="F2835" s="29"/>
      <c r="G2835" s="29"/>
      <c r="H2835" s="29"/>
      <c r="I2835" s="29"/>
      <c r="J2835" s="29"/>
      <c r="K2835" s="29"/>
      <c r="L2835" s="29"/>
      <c r="M2835" s="29"/>
      <c r="N2835" s="29"/>
      <c r="O2835" s="29"/>
      <c r="P2835" s="19"/>
      <c r="Q2835" s="19"/>
      <c r="R2835" s="11"/>
    </row>
    <row r="2836" s="1" customFormat="1" ht="21.95" customHeight="1" spans="1:18">
      <c r="A2836" s="7"/>
      <c r="B2836" s="12"/>
      <c r="C2836" s="33"/>
      <c r="D2836" s="77" t="s">
        <v>758</v>
      </c>
      <c r="E2836" s="77"/>
      <c r="F2836" s="78" t="str">
        <f>IFERROR(PROPER(VLOOKUP(F2799,STUDENT!$A$2:$BP$101,5,0)),"")</f>
        <v/>
      </c>
      <c r="G2836" s="78"/>
      <c r="H2836" s="78"/>
      <c r="I2836" s="78"/>
      <c r="J2836" s="78"/>
      <c r="K2836" s="78"/>
      <c r="L2836" s="78"/>
      <c r="M2836" s="78"/>
      <c r="N2836" s="79" t="s">
        <v>759</v>
      </c>
      <c r="O2836" s="79"/>
      <c r="P2836" s="19"/>
      <c r="Q2836" s="19"/>
      <c r="R2836" s="11"/>
    </row>
    <row r="2837" s="1" customFormat="1" ht="21.95" customHeight="1" spans="1:18">
      <c r="A2837" s="7"/>
      <c r="B2837" s="12"/>
      <c r="C2837" s="33"/>
      <c r="D2837" s="80" t="s">
        <v>760</v>
      </c>
      <c r="E2837" s="81" t="str">
        <f>IFERROR(PROPER(VLOOKUP(F2799,STUDENT!$A$2:$BP$101,9,0)),"")</f>
        <v/>
      </c>
      <c r="F2837" s="81"/>
      <c r="G2837" s="81"/>
      <c r="H2837" s="80" t="s">
        <v>761</v>
      </c>
      <c r="I2837" s="82" t="str">
        <f>IFERROR(PROPER(VLOOKUP(F2799,STUDENT!$A$2:$BP$101,8,0)),"")</f>
        <v/>
      </c>
      <c r="J2837" s="82"/>
      <c r="K2837" s="82"/>
      <c r="L2837" s="82"/>
      <c r="M2837" s="80" t="s">
        <v>762</v>
      </c>
      <c r="N2837" s="83" t="str">
        <f>IFERROR(VLOOKUP(F2799,STUDENT!$A$2:$BP$101,59,0),"")</f>
        <v/>
      </c>
      <c r="O2837" s="83"/>
      <c r="P2837" s="19"/>
      <c r="Q2837" s="19"/>
      <c r="R2837" s="11"/>
    </row>
    <row r="2838" s="1" customFormat="1" ht="21.95" customHeight="1" spans="1:18">
      <c r="A2838" s="7"/>
      <c r="B2838" s="12"/>
      <c r="C2838" s="33"/>
      <c r="D2838" s="77" t="str">
        <f>"has    completed     his  /  her     primary     level     education    in    the    year    "&amp;RIGHT(ENTRY!$D2804,4)&amp;"    from    ( School    Name )"</f>
        <v>has    completed     his  /  her     primary     level     education    in    the    year        from    ( School    Name )</v>
      </c>
      <c r="E2838" s="77"/>
      <c r="F2838" s="77"/>
      <c r="G2838" s="77"/>
      <c r="H2838" s="77"/>
      <c r="I2838" s="77"/>
      <c r="J2838" s="77"/>
      <c r="K2838" s="77"/>
      <c r="L2838" s="77"/>
      <c r="M2838" s="77"/>
      <c r="N2838" s="77"/>
      <c r="O2838" s="77"/>
      <c r="P2838" s="19"/>
      <c r="Q2838" s="19"/>
      <c r="R2838" s="11"/>
    </row>
    <row r="2839" s="1" customFormat="1" ht="21.95" customHeight="1" spans="1:18">
      <c r="A2839" s="7"/>
      <c r="B2839" s="12"/>
      <c r="C2839" s="33"/>
      <c r="D2839" s="81" t="str">
        <f>IF(F2799&gt;0,ENTRY!$D$6,"")</f>
        <v>MCP NITHARI NO 1 BOYS</v>
      </c>
      <c r="E2839" s="81"/>
      <c r="F2839" s="81"/>
      <c r="G2839" s="81"/>
      <c r="H2839" s="81"/>
      <c r="I2839" s="81"/>
      <c r="J2839" s="81"/>
      <c r="K2839" s="81"/>
      <c r="L2839" s="81"/>
      <c r="M2839" s="80" t="s">
        <v>763</v>
      </c>
      <c r="N2839" s="84">
        <f>IF(F2799&gt;0,ENTRY!$D$7,"")</f>
        <v>0</v>
      </c>
      <c r="O2839" s="84"/>
      <c r="P2839" s="85" t="s">
        <v>727</v>
      </c>
      <c r="Q2839" s="19"/>
      <c r="R2839" s="11"/>
    </row>
    <row r="2840" s="1" customFormat="1" ht="21.95" customHeight="1" spans="1:18">
      <c r="A2840" s="7"/>
      <c r="B2840" s="12"/>
      <c r="C2840" s="33"/>
      <c r="D2840" s="29"/>
      <c r="E2840" s="29"/>
      <c r="F2840" s="29"/>
      <c r="G2840" s="29"/>
      <c r="H2840" s="29"/>
      <c r="I2840" s="29"/>
      <c r="J2840" s="29"/>
      <c r="K2840" s="29"/>
      <c r="L2840" s="29"/>
      <c r="M2840" s="29"/>
      <c r="N2840" s="29"/>
      <c r="O2840" s="29"/>
      <c r="P2840" s="19"/>
      <c r="Q2840" s="19"/>
      <c r="R2840" s="11"/>
    </row>
    <row r="2841" s="1" customFormat="1" ht="21.95" customHeight="1" spans="1:18">
      <c r="A2841" s="7"/>
      <c r="B2841" s="12"/>
      <c r="C2841" s="33"/>
      <c r="D2841" s="29"/>
      <c r="E2841" s="29"/>
      <c r="F2841" s="29"/>
      <c r="G2841" s="29"/>
      <c r="H2841" s="29"/>
      <c r="I2841" s="29"/>
      <c r="J2841" s="29"/>
      <c r="K2841" s="29"/>
      <c r="L2841" s="29"/>
      <c r="M2841" s="29"/>
      <c r="N2841" s="29"/>
      <c r="O2841" s="29"/>
      <c r="P2841" s="19"/>
      <c r="Q2841" s="19"/>
      <c r="R2841" s="11"/>
    </row>
    <row r="2842" s="1" customFormat="1" ht="21.95" customHeight="1" spans="1:18">
      <c r="A2842" s="7"/>
      <c r="B2842" s="12"/>
      <c r="C2842" s="33"/>
      <c r="D2842" s="29"/>
      <c r="E2842" s="29"/>
      <c r="F2842" s="29"/>
      <c r="G2842" s="29"/>
      <c r="H2842" s="29"/>
      <c r="I2842" s="29"/>
      <c r="J2842" s="29"/>
      <c r="K2842" s="29"/>
      <c r="L2842" s="29"/>
      <c r="M2842" s="29"/>
      <c r="N2842" s="29"/>
      <c r="O2842" s="29"/>
      <c r="P2842" s="19"/>
      <c r="Q2842" s="19"/>
      <c r="R2842" s="11"/>
    </row>
    <row r="2843" s="1" customFormat="1" ht="21.95" customHeight="1" spans="1:18">
      <c r="A2843" s="7"/>
      <c r="B2843" s="12"/>
      <c r="C2843" s="33"/>
      <c r="D2843" s="29"/>
      <c r="E2843" s="29"/>
      <c r="F2843" s="29"/>
      <c r="G2843" s="29"/>
      <c r="H2843" s="29"/>
      <c r="I2843" s="29"/>
      <c r="J2843" s="29"/>
      <c r="K2843" s="29"/>
      <c r="L2843" s="29"/>
      <c r="M2843" s="29"/>
      <c r="N2843" s="29"/>
      <c r="O2843" s="29"/>
      <c r="P2843" s="19"/>
      <c r="Q2843" s="19"/>
      <c r="R2843" s="11"/>
    </row>
    <row r="2844" s="1" customFormat="1" ht="21.95" customHeight="1" spans="1:18">
      <c r="A2844" s="7"/>
      <c r="B2844" s="12"/>
      <c r="C2844" s="33"/>
      <c r="D2844" s="29"/>
      <c r="E2844" s="29"/>
      <c r="F2844" s="29"/>
      <c r="G2844" s="29"/>
      <c r="H2844" s="29"/>
      <c r="I2844" s="29"/>
      <c r="J2844" s="29"/>
      <c r="K2844" s="29"/>
      <c r="L2844" s="29"/>
      <c r="M2844" s="29"/>
      <c r="N2844" s="29"/>
      <c r="O2844" s="29"/>
      <c r="P2844" s="19"/>
      <c r="Q2844" s="19"/>
      <c r="R2844" s="11"/>
    </row>
    <row r="2845" s="1" customFormat="1" ht="21.95" customHeight="1" spans="1:18">
      <c r="A2845" s="7"/>
      <c r="B2845" s="12"/>
      <c r="C2845" s="33"/>
      <c r="D2845" s="80" t="s">
        <v>728</v>
      </c>
      <c r="E2845" s="86">
        <f>ENTRY!$D$27</f>
        <v>46102</v>
      </c>
      <c r="F2845" s="86"/>
      <c r="G2845" s="29"/>
      <c r="H2845" s="29"/>
      <c r="I2845" s="29"/>
      <c r="J2845" s="29"/>
      <c r="K2845" s="29"/>
      <c r="L2845" s="29"/>
      <c r="M2845" s="87" t="s">
        <v>730</v>
      </c>
      <c r="N2845" s="87"/>
      <c r="O2845" s="87"/>
      <c r="P2845" s="19"/>
      <c r="Q2845" s="19"/>
      <c r="R2845" s="11"/>
    </row>
    <row r="2846" s="1" customFormat="1" ht="21.95" customHeight="1" spans="1:18">
      <c r="A2846" s="7"/>
      <c r="B2846" s="12"/>
      <c r="C2846" s="33"/>
      <c r="D2846" s="80" t="s">
        <v>731</v>
      </c>
      <c r="E2846" s="88" t="str">
        <f>PROPER(ENTRY!$D$28)</f>
        <v>New Delhi</v>
      </c>
      <c r="F2846" s="88"/>
      <c r="G2846" s="29"/>
      <c r="H2846" s="29"/>
      <c r="I2846" s="29"/>
      <c r="J2846" s="29"/>
      <c r="K2846" s="29"/>
      <c r="L2846" s="29"/>
      <c r="M2846" s="89" t="s">
        <v>732</v>
      </c>
      <c r="N2846" s="89"/>
      <c r="O2846" s="89"/>
      <c r="P2846" s="19"/>
      <c r="Q2846" s="19"/>
      <c r="R2846" s="11"/>
    </row>
    <row r="2847" s="1" customFormat="1" ht="21.95" customHeight="1" spans="1:18">
      <c r="A2847" s="7"/>
      <c r="B2847" s="12"/>
      <c r="C2847" s="90"/>
      <c r="D2847" s="91"/>
      <c r="E2847" s="91"/>
      <c r="F2847" s="91"/>
      <c r="G2847" s="91"/>
      <c r="H2847" s="91"/>
      <c r="I2847" s="91"/>
      <c r="J2847" s="91"/>
      <c r="K2847" s="91"/>
      <c r="L2847" s="91"/>
      <c r="M2847" s="91"/>
      <c r="N2847" s="91"/>
      <c r="O2847" s="91"/>
      <c r="P2847" s="92"/>
      <c r="Q2847" s="14"/>
      <c r="R2847" s="11"/>
    </row>
    <row r="2848" s="1" customFormat="1" ht="5.1" customHeight="1" spans="1:18">
      <c r="A2848" s="7"/>
      <c r="B2848" s="90"/>
      <c r="C2848" s="91"/>
      <c r="D2848" s="91"/>
      <c r="E2848" s="91"/>
      <c r="F2848" s="91"/>
      <c r="G2848" s="91"/>
      <c r="H2848" s="91"/>
      <c r="I2848" s="91"/>
      <c r="J2848" s="91"/>
      <c r="K2848" s="91"/>
      <c r="L2848" s="91"/>
      <c r="M2848" s="91"/>
      <c r="N2848" s="91"/>
      <c r="O2848" s="91"/>
      <c r="P2848" s="91"/>
      <c r="Q2848" s="92"/>
      <c r="R2848" s="11"/>
    </row>
    <row r="2849" s="1" customFormat="1" ht="5.1" customHeight="1" spans="1:18">
      <c r="A2849" s="93"/>
      <c r="B2849" s="94"/>
      <c r="C2849" s="94"/>
      <c r="D2849" s="94"/>
      <c r="E2849" s="94"/>
      <c r="F2849" s="94"/>
      <c r="G2849" s="94"/>
      <c r="H2849" s="94"/>
      <c r="I2849" s="94"/>
      <c r="J2849" s="94"/>
      <c r="K2849" s="94"/>
      <c r="L2849" s="94"/>
      <c r="M2849" s="94"/>
      <c r="N2849" s="94"/>
      <c r="O2849" s="94"/>
      <c r="P2849" s="94"/>
      <c r="Q2849" s="94"/>
      <c r="R2849" s="95"/>
    </row>
    <row r="2850" s="2" customFormat="1" ht="9.95" customHeight="1"/>
    <row r="2851" s="1" customFormat="1" ht="5.1" customHeight="1" spans="1:18">
      <c r="A2851" s="4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  <c r="O2851" s="5"/>
      <c r="P2851" s="5"/>
      <c r="Q2851" s="5"/>
      <c r="R2851" s="6"/>
    </row>
    <row r="2852" s="1" customFormat="1" ht="15" customHeight="1" spans="1:18">
      <c r="A2852" s="7"/>
      <c r="B2852" s="8"/>
      <c r="C2852" s="9"/>
      <c r="D2852" s="9"/>
      <c r="E2852" s="9"/>
      <c r="F2852" s="9"/>
      <c r="G2852" s="9"/>
      <c r="H2852" s="9"/>
      <c r="I2852" s="9"/>
      <c r="J2852" s="9"/>
      <c r="K2852" s="9"/>
      <c r="L2852" s="9"/>
      <c r="M2852" s="9"/>
      <c r="N2852" s="9"/>
      <c r="O2852" s="9"/>
      <c r="P2852" s="9"/>
      <c r="Q2852" s="10"/>
      <c r="R2852" s="11"/>
    </row>
    <row r="2853" s="1" customFormat="1" ht="21.95" customHeight="1" spans="1:18">
      <c r="A2853" s="7"/>
      <c r="B2853" s="12"/>
      <c r="C2853" s="13" t="s">
        <v>7</v>
      </c>
      <c r="D2853" s="13"/>
      <c r="E2853" s="13"/>
      <c r="F2853" s="13"/>
      <c r="G2853" s="13"/>
      <c r="H2853" s="13"/>
      <c r="I2853" s="13"/>
      <c r="J2853" s="13"/>
      <c r="K2853" s="13"/>
      <c r="L2853" s="13"/>
      <c r="M2853" s="13"/>
      <c r="N2853" s="13"/>
      <c r="O2853" s="13"/>
      <c r="P2853" s="13"/>
      <c r="Q2853" s="14"/>
      <c r="R2853" s="11"/>
    </row>
    <row r="2854" s="1" customFormat="1" ht="21.95" customHeight="1" spans="1:18">
      <c r="A2854" s="7"/>
      <c r="B2854" s="1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14"/>
      <c r="R2854" s="11"/>
    </row>
    <row r="2855" s="1" customFormat="1" ht="21.95" customHeight="1" spans="1:18">
      <c r="A2855" s="7"/>
      <c r="B2855" s="12"/>
      <c r="C2855" s="15" t="str">
        <f>"SESSION-"&amp;ENTRY!$D$11</f>
        <v>SESSION-2026-27</v>
      </c>
      <c r="D2855" s="15"/>
      <c r="E2855" s="15"/>
      <c r="F2855" s="15"/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4"/>
      <c r="R2855" s="11"/>
    </row>
    <row r="2856" s="1" customFormat="1" ht="21.95" customHeight="1" spans="1:18">
      <c r="A2856" s="7"/>
      <c r="B2856" s="12"/>
      <c r="C2856" s="2"/>
      <c r="D2856" s="2"/>
      <c r="E2856" s="2"/>
      <c r="F2856" s="16">
        <f>F2799+1</f>
        <v>51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14"/>
      <c r="R2856" s="11"/>
    </row>
    <row r="2857" s="1" customFormat="1" ht="21.95" customHeight="1" spans="1:18">
      <c r="A2857" s="7"/>
      <c r="B2857" s="12"/>
      <c r="C2857" s="17" t="s">
        <v>392</v>
      </c>
      <c r="D2857" s="17"/>
      <c r="E2857" s="17"/>
      <c r="F2857" s="18" t="str">
        <f>IF(F2856&gt;0,ENTRY!$D$6,"")</f>
        <v>MCP NITHARI NO 1 BOYS</v>
      </c>
      <c r="G2857" s="18"/>
      <c r="H2857" s="18"/>
      <c r="I2857" s="18"/>
      <c r="J2857" s="18"/>
      <c r="K2857" s="18"/>
      <c r="L2857" s="18"/>
      <c r="M2857" s="18"/>
      <c r="N2857" s="18"/>
      <c r="O2857" s="18"/>
      <c r="P2857" s="18"/>
      <c r="Q2857" s="19"/>
      <c r="R2857" s="11"/>
    </row>
    <row r="2858" s="1" customFormat="1" ht="21.95" customHeight="1" spans="1:18">
      <c r="A2858" s="7"/>
      <c r="B2858" s="12"/>
      <c r="C2858" s="17" t="s">
        <v>393</v>
      </c>
      <c r="D2858" s="17"/>
      <c r="E2858" s="17"/>
      <c r="F2858" s="18">
        <f>IF(F2856&gt;0,ENTRY!$D$7,"")</f>
        <v>0</v>
      </c>
      <c r="G2858" s="18"/>
      <c r="H2858" s="20" t="s">
        <v>702</v>
      </c>
      <c r="I2858" s="20"/>
      <c r="J2858" s="21">
        <f>IF(F2856&gt;0,ENTRY!$D$10,"")</f>
        <v>40</v>
      </c>
      <c r="K2858" s="20" t="s">
        <v>703</v>
      </c>
      <c r="L2858" s="22" t="str">
        <f>IF(F2856&gt;0,ENTRY!$D$5,"")</f>
        <v>ROHINI ZONE</v>
      </c>
      <c r="M2858" s="22"/>
      <c r="N2858" s="22"/>
      <c r="O2858" s="22"/>
      <c r="P2858" s="22"/>
      <c r="Q2858" s="19"/>
      <c r="R2858" s="11"/>
    </row>
    <row r="2859" s="1" customFormat="1" ht="21.95" customHeight="1" spans="1:18">
      <c r="A2859" s="7"/>
      <c r="B2859" s="12"/>
      <c r="C2859" s="17" t="s">
        <v>706</v>
      </c>
      <c r="D2859" s="17"/>
      <c r="E2859" s="17"/>
      <c r="F2859" s="23">
        <f>IFERROR(VLOOKUP(F2856,STUDENT!$A$2:$BP$101,5,0),"")</f>
        <v>0</v>
      </c>
      <c r="G2859" s="23"/>
      <c r="H2859" s="23"/>
      <c r="I2859" s="23"/>
      <c r="J2859" s="23"/>
      <c r="K2859" s="23"/>
      <c r="L2859" s="20" t="s">
        <v>707</v>
      </c>
      <c r="M2859" s="20"/>
      <c r="N2859" s="24" t="str">
        <f>IF(F2856&gt;0,ENTRY!$D$20&amp;"-"&amp;ENTRY!$D$21,"")</f>
        <v>III-A</v>
      </c>
      <c r="O2859" s="24"/>
      <c r="P2859" s="24"/>
      <c r="Q2859" s="19"/>
      <c r="R2859" s="11"/>
    </row>
    <row r="2860" s="1" customFormat="1" ht="21.95" customHeight="1" spans="1:18">
      <c r="A2860" s="7"/>
      <c r="B2860" s="12"/>
      <c r="C2860" s="17" t="s">
        <v>708</v>
      </c>
      <c r="D2860" s="17"/>
      <c r="E2860" s="17"/>
      <c r="F2860" s="25">
        <f>IFERROR(VLOOKUP(F2856,STUDENT!$A$2:$BP$101,6,0),"")</f>
        <v>0</v>
      </c>
      <c r="G2860" s="25"/>
      <c r="H2860" s="26" t="s">
        <v>709</v>
      </c>
      <c r="I2860" s="27" t="str">
        <f>IFERROR(VLOOKUP(F2856,STUDENT!$A$2:$BP$101,59,0),"")</f>
        <v/>
      </c>
      <c r="J2860" s="27"/>
      <c r="K2860" s="20" t="s">
        <v>710</v>
      </c>
      <c r="L2860" s="20"/>
      <c r="M2860" s="28">
        <f>IFERROR(VLOOKUP(F2856,STUDENT!$A$2:$BP$101,20,0),"")</f>
        <v>0</v>
      </c>
      <c r="N2860" s="28"/>
      <c r="O2860" s="28"/>
      <c r="P2860" s="28"/>
      <c r="Q2860" s="19"/>
      <c r="R2860" s="11"/>
    </row>
    <row r="2861" s="1" customFormat="1" ht="21.95" customHeight="1" spans="1:18">
      <c r="A2861" s="7"/>
      <c r="B2861" s="12"/>
      <c r="C2861" s="17" t="s">
        <v>711</v>
      </c>
      <c r="D2861" s="17"/>
      <c r="E2861" s="17"/>
      <c r="F2861" s="23">
        <f>IFERROR(VLOOKUP(F2856,STUDENT!$A$2:$BP$101,9,0),"")</f>
        <v>0</v>
      </c>
      <c r="G2861" s="23"/>
      <c r="H2861" s="23"/>
      <c r="I2861" s="23"/>
      <c r="J2861" s="17" t="s">
        <v>620</v>
      </c>
      <c r="K2861" s="17"/>
      <c r="L2861" s="23">
        <f>IFERROR(VLOOKUP(F2856,STUDENT!$A$2:$BP$101,8,0),"")</f>
        <v>0</v>
      </c>
      <c r="M2861" s="23"/>
      <c r="N2861" s="23"/>
      <c r="O2861" s="23"/>
      <c r="P2861" s="23"/>
      <c r="Q2861" s="19"/>
      <c r="R2861" s="11"/>
    </row>
    <row r="2862" s="1" customFormat="1" ht="21.95" customHeight="1" spans="1:18">
      <c r="A2862" s="7"/>
      <c r="B2862" s="12"/>
      <c r="C2862" s="17" t="s">
        <v>712</v>
      </c>
      <c r="D2862" s="17"/>
      <c r="E2862" s="17"/>
      <c r="F2862" s="23">
        <f>IFERROR(VLOOKUP(F2856,STUDENT!$A$2:$BP$101,22,0),"")</f>
        <v>0</v>
      </c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19"/>
      <c r="R2862" s="11"/>
    </row>
    <row r="2863" s="1" customFormat="1" ht="9.95" customHeight="1" spans="1:18">
      <c r="A2863" s="7"/>
      <c r="B2863" s="12"/>
      <c r="C2863" s="29"/>
      <c r="D2863" s="29"/>
      <c r="E2863" s="29"/>
      <c r="F2863" s="29"/>
      <c r="G2863" s="29"/>
      <c r="H2863" s="29"/>
      <c r="I2863" s="29"/>
      <c r="J2863" s="29"/>
      <c r="K2863" s="29"/>
      <c r="L2863" s="29"/>
      <c r="M2863" s="29"/>
      <c r="N2863" s="29"/>
      <c r="O2863" s="29"/>
      <c r="P2863" s="29"/>
      <c r="Q2863" s="19"/>
      <c r="R2863" s="11"/>
    </row>
    <row r="2864" s="1" customFormat="1" ht="9.95" customHeight="1" spans="1:18">
      <c r="A2864" s="7"/>
      <c r="B2864" s="12"/>
      <c r="C2864" s="30"/>
      <c r="D2864" s="31"/>
      <c r="E2864" s="31"/>
      <c r="F2864" s="31"/>
      <c r="G2864" s="31"/>
      <c r="H2864" s="31"/>
      <c r="I2864" s="31"/>
      <c r="J2864" s="31"/>
      <c r="K2864" s="31"/>
      <c r="L2864" s="31"/>
      <c r="M2864" s="31"/>
      <c r="N2864" s="31"/>
      <c r="O2864" s="31"/>
      <c r="P2864" s="32"/>
      <c r="Q2864" s="19"/>
      <c r="R2864" s="11"/>
    </row>
    <row r="2865" s="1" customFormat="1" ht="21.95" customHeight="1" spans="1:18">
      <c r="A2865" s="7"/>
      <c r="B2865" s="12"/>
      <c r="C2865" s="33"/>
      <c r="D2865" s="34" t="s">
        <v>713</v>
      </c>
      <c r="E2865" s="20" t="s">
        <v>714</v>
      </c>
      <c r="F2865" s="35" t="str">
        <f>"Level - "&amp;IFERROR(VLOOKUP(F2856,FLN!$A$4:$K$103,9,0),"")</f>
        <v>Level - </v>
      </c>
      <c r="G2865" s="36"/>
      <c r="H2865" s="37" t="s">
        <v>715</v>
      </c>
      <c r="I2865" s="20"/>
      <c r="J2865" s="35" t="str">
        <f>"Level - "&amp;IFERROR(VLOOKUP(F2856,FLN!$A$4:$K$103,11,0),"")</f>
        <v>Level - </v>
      </c>
      <c r="K2865" s="36"/>
      <c r="L2865" s="37" t="s">
        <v>408</v>
      </c>
      <c r="M2865" s="20"/>
      <c r="N2865" s="35" t="str">
        <f>"Level - "&amp;IFERROR(VLOOKUP(F2856,FLN!$A$4:$K$103,10,0),"")</f>
        <v>Level - </v>
      </c>
      <c r="O2865" s="36"/>
      <c r="P2865" s="19"/>
      <c r="Q2865" s="19"/>
      <c r="R2865" s="11"/>
    </row>
    <row r="2866" s="1" customFormat="1" ht="21.95" customHeight="1" spans="1:18">
      <c r="A2866" s="7"/>
      <c r="B2866" s="12"/>
      <c r="C2866" s="33"/>
      <c r="D2866" s="38"/>
      <c r="E2866" s="20" t="s">
        <v>716</v>
      </c>
      <c r="F2866" s="18" t="str">
        <f ca="1">IF(L2880&gt;197,"PERFORMED WELL","")</f>
        <v/>
      </c>
      <c r="G2866" s="18"/>
      <c r="H2866" s="18"/>
      <c r="I2866" s="18"/>
      <c r="J2866" s="18"/>
      <c r="K2866" s="18"/>
      <c r="L2866" s="18"/>
      <c r="M2866" s="18"/>
      <c r="N2866" s="18"/>
      <c r="O2866" s="18"/>
      <c r="P2866" s="19"/>
      <c r="Q2866" s="19"/>
      <c r="R2866" s="11"/>
    </row>
    <row r="2867" s="1" customFormat="1" ht="9.95" customHeight="1" spans="1:18">
      <c r="A2867" s="7"/>
      <c r="B2867" s="12"/>
      <c r="C2867" s="39"/>
      <c r="D2867" s="40"/>
      <c r="E2867" s="40"/>
      <c r="F2867" s="40"/>
      <c r="G2867" s="40"/>
      <c r="H2867" s="40"/>
      <c r="I2867" s="40"/>
      <c r="J2867" s="40"/>
      <c r="K2867" s="40"/>
      <c r="L2867" s="40"/>
      <c r="M2867" s="40"/>
      <c r="N2867" s="40"/>
      <c r="O2867" s="40"/>
      <c r="P2867" s="41"/>
      <c r="Q2867" s="19"/>
      <c r="R2867" s="11"/>
    </row>
    <row r="2868" s="1" customFormat="1" ht="9.95" customHeight="1" spans="1:18">
      <c r="A2868" s="7"/>
      <c r="B2868" s="12"/>
      <c r="C2868" s="29"/>
      <c r="D2868" s="29"/>
      <c r="E2868" s="29"/>
      <c r="F2868" s="29"/>
      <c r="G2868" s="29"/>
      <c r="H2868" s="29"/>
      <c r="I2868" s="29"/>
      <c r="J2868" s="29"/>
      <c r="K2868" s="29"/>
      <c r="L2868" s="29"/>
      <c r="M2868" s="29"/>
      <c r="N2868" s="29"/>
      <c r="O2868" s="29"/>
      <c r="P2868" s="29"/>
      <c r="Q2868" s="19"/>
      <c r="R2868" s="11"/>
    </row>
    <row r="2869" s="1" customFormat="1" ht="9.95" customHeight="1" spans="1:18">
      <c r="A2869" s="7"/>
      <c r="B2869" s="12"/>
      <c r="C2869" s="30"/>
      <c r="D2869" s="31"/>
      <c r="E2869" s="31"/>
      <c r="F2869" s="31"/>
      <c r="G2869" s="31"/>
      <c r="H2869" s="31"/>
      <c r="I2869" s="31"/>
      <c r="J2869" s="31"/>
      <c r="K2869" s="31"/>
      <c r="L2869" s="31"/>
      <c r="M2869" s="31"/>
      <c r="N2869" s="31"/>
      <c r="O2869" s="31"/>
      <c r="P2869" s="32"/>
      <c r="Q2869" s="19"/>
      <c r="R2869" s="11"/>
    </row>
    <row r="2870" s="1" customFormat="1" ht="21.95" customHeight="1" spans="1:18">
      <c r="A2870" s="7"/>
      <c r="B2870" s="12"/>
      <c r="C2870" s="33"/>
      <c r="D2870" s="35"/>
      <c r="E2870" s="24"/>
      <c r="F2870" s="42" t="s">
        <v>717</v>
      </c>
      <c r="G2870" s="42"/>
      <c r="H2870" s="42"/>
      <c r="I2870" s="42"/>
      <c r="J2870" s="42"/>
      <c r="K2870" s="42"/>
      <c r="L2870" s="43"/>
      <c r="M2870" s="44"/>
      <c r="N2870" s="29"/>
      <c r="O2870" s="29"/>
      <c r="P2870" s="19"/>
      <c r="Q2870" s="19"/>
      <c r="R2870" s="11"/>
    </row>
    <row r="2871" s="1" customFormat="1" ht="21.95" customHeight="1" spans="1:18">
      <c r="A2871" s="7"/>
      <c r="B2871" s="12"/>
      <c r="C2871" s="33"/>
      <c r="D2871" s="45"/>
      <c r="E2871" s="46"/>
      <c r="F2871" s="47" t="s">
        <v>541</v>
      </c>
      <c r="G2871" s="47" t="s">
        <v>542</v>
      </c>
      <c r="H2871" s="47" t="s">
        <v>543</v>
      </c>
      <c r="I2871" s="47" t="s">
        <v>544</v>
      </c>
      <c r="J2871" s="47" t="s">
        <v>561</v>
      </c>
      <c r="K2871" s="48" t="s">
        <v>750</v>
      </c>
      <c r="L2871" s="47" t="s">
        <v>382</v>
      </c>
      <c r="M2871" s="49" t="s">
        <v>546</v>
      </c>
      <c r="N2871" s="29"/>
      <c r="O2871" s="29"/>
      <c r="P2871" s="19"/>
      <c r="Q2871" s="19"/>
      <c r="R2871" s="11"/>
    </row>
    <row r="2872" s="1" customFormat="1" ht="21.95" customHeight="1" spans="1:18">
      <c r="A2872" s="7"/>
      <c r="B2872" s="12"/>
      <c r="C2872" s="33"/>
      <c r="D2872" s="45" t="s">
        <v>652</v>
      </c>
      <c r="E2872" s="46"/>
      <c r="F2872" s="50">
        <v>10</v>
      </c>
      <c r="G2872" s="50">
        <v>10</v>
      </c>
      <c r="H2872" s="50">
        <v>10</v>
      </c>
      <c r="I2872" s="50">
        <v>10</v>
      </c>
      <c r="J2872" s="50">
        <v>60</v>
      </c>
      <c r="K2872" s="51"/>
      <c r="L2872" s="50">
        <v>100</v>
      </c>
      <c r="M2872" s="49"/>
      <c r="N2872" s="29"/>
      <c r="O2872" s="29"/>
      <c r="P2872" s="19"/>
      <c r="Q2872" s="19"/>
      <c r="R2872" s="11"/>
    </row>
    <row r="2873" s="1" customFormat="1" ht="21.95" customHeight="1" spans="1:18">
      <c r="A2873" s="7"/>
      <c r="B2873" s="12"/>
      <c r="C2873" s="33"/>
      <c r="D2873" s="52" t="s">
        <v>751</v>
      </c>
      <c r="E2873" s="53"/>
      <c r="F2873" s="54" t="str">
        <f ca="1">IFERROR(VLOOKUP(F2856,'RR-3.1-5TH'!$A$12:'RR-3.1-5TH'!$BN$111,9,0),"")</f>
        <v/>
      </c>
      <c r="G2873" s="54" t="str">
        <f ca="1">IFERROR(VLOOKUP(F2856,'RR-3.1-5TH'!$A$12:'RR-3.1-5TH'!$BN$111,10,0),"")</f>
        <v/>
      </c>
      <c r="H2873" s="54" t="str">
        <f ca="1">IFERROR(VLOOKUP(F2856,'RR-3.1-5TH'!$A$12:'RR-3.1-5TH'!$BN$111,11,0),"")</f>
        <v/>
      </c>
      <c r="I2873" s="54" t="str">
        <f ca="1">IFERROR(VLOOKUP(F2856,'RR-3.1-5TH'!$A$12:'RR-3.1-5TH'!$BN$111,12,0),"")</f>
        <v/>
      </c>
      <c r="J2873" s="54" t="str">
        <f ca="1">IFERROR(VLOOKUP(F2856,'RR-3.1-5TH'!$A$12:'RR-3.1-5TH'!$BN$111,13,0),"")</f>
        <v/>
      </c>
      <c r="K2873" s="54" t="str">
        <f ca="1">IFERROR(VLOOKUP(F2856,'RR-3.1-5TH'!$A$12:'RR-3.1-5TH'!$BN$111,14,0),"")</f>
        <v/>
      </c>
      <c r="L2873" s="55">
        <f ca="1" t="shared" ref="L2873:L2878" si="150">SUM(F2873,G2873,H2873,I2873,J2873,K2873)</f>
        <v>0</v>
      </c>
      <c r="M2873" s="56" t="str">
        <f ca="1">IF(F2856&gt;ENTRY!$D$24,"",IF(L2873=0,"Ab",IF(L2873&gt;80,"A",IF(L2873&gt;60,"B",IF(L2873&gt;44,"C",IF(L2873&gt;=33,"D",IF(L2873&lt;=32,"E","")))))))</f>
        <v/>
      </c>
      <c r="N2873" s="57" t="s">
        <v>729</v>
      </c>
      <c r="O2873" s="58"/>
      <c r="P2873" s="59"/>
      <c r="Q2873" s="19"/>
      <c r="R2873" s="11"/>
    </row>
    <row r="2874" s="1" customFormat="1" ht="21.95" customHeight="1" spans="1:18">
      <c r="A2874" s="7"/>
      <c r="B2874" s="12"/>
      <c r="C2874" s="33"/>
      <c r="D2874" s="52" t="s">
        <v>513</v>
      </c>
      <c r="E2874" s="53"/>
      <c r="F2874" s="54" t="str">
        <f ca="1">IFERROR(VLOOKUP(F2856,'RR-3.1-5TH'!$A$12:'RR-3.1-5TH'!$BN$111,17,0),"")</f>
        <v/>
      </c>
      <c r="G2874" s="54" t="str">
        <f ca="1">IFERROR(VLOOKUP(F2856,'RR-3.1-5TH'!$A$12:'RR-3.1-5TH'!$BN$111,18,0),"")</f>
        <v/>
      </c>
      <c r="H2874" s="54" t="str">
        <f ca="1">IFERROR(VLOOKUP(F2856,'RR-3.1-5TH'!$A$12:'RR-3.1-5TH'!$BN$111,19,0),"")</f>
        <v/>
      </c>
      <c r="I2874" s="54" t="str">
        <f ca="1">IFERROR(VLOOKUP(F2856,'RR-3.1-5TH'!$A$12:'RR-3.1-5TH'!$BN$111,20,0),"")</f>
        <v/>
      </c>
      <c r="J2874" s="54" t="str">
        <f ca="1">IFERROR(VLOOKUP(F2856,'RR-3.1-5TH'!$A$12:'RR-3.1-5TH'!$BN$111,21,0),"")</f>
        <v/>
      </c>
      <c r="K2874" s="54" t="str">
        <f ca="1">IFERROR(VLOOKUP(F2856,'RR-3.1-5TH'!$A$12:'RR-3.1-5TH'!$BN$111,22,0),"")</f>
        <v/>
      </c>
      <c r="L2874" s="55">
        <f ca="1" t="shared" si="150"/>
        <v>0</v>
      </c>
      <c r="M2874" s="56" t="str">
        <f ca="1">IF(F2856&gt;ENTRY!$D$24,"",IF(L2874=0,"Ab",IF(L2874&gt;80,"A",IF(L2874&gt;60,"B",IF(L2874&gt;44,"C",IF(L2874&gt;=33,"D",IF(L2874&lt;=32,"E","")))))))</f>
        <v/>
      </c>
      <c r="N2874" s="58"/>
      <c r="O2874" s="58"/>
      <c r="P2874" s="59"/>
      <c r="Q2874" s="19"/>
      <c r="R2874" s="11"/>
    </row>
    <row r="2875" s="1" customFormat="1" ht="21.95" customHeight="1" spans="1:18">
      <c r="A2875" s="7"/>
      <c r="B2875" s="12"/>
      <c r="C2875" s="33"/>
      <c r="D2875" s="52" t="s">
        <v>718</v>
      </c>
      <c r="E2875" s="53"/>
      <c r="F2875" s="54" t="str">
        <f ca="1">IFERROR(VLOOKUP(F2856,'RR-3.1-5TH'!$A$12:'RR-3.1-5TH'!$BN$111,25,0),"")</f>
        <v/>
      </c>
      <c r="G2875" s="54" t="str">
        <f ca="1">IFERROR(VLOOKUP(F2856,'RR-3.1-5TH'!$A$12:'RR-3.1-5TH'!$BN$111,26,0),"")</f>
        <v/>
      </c>
      <c r="H2875" s="54" t="str">
        <f ca="1">IFERROR(VLOOKUP(F2856,'RR-3.1-5TH'!$A$12:'RR-3.1-5TH'!$BN$111,27,0),"")</f>
        <v/>
      </c>
      <c r="I2875" s="54" t="str">
        <f ca="1">IFERROR(VLOOKUP(F2856,'RR-3.1-5TH'!$A$12:'RR-3.1-5TH'!$BN$111,28,0),"")</f>
        <v/>
      </c>
      <c r="J2875" s="54" t="str">
        <f ca="1">IFERROR(VLOOKUP(F2856,'RR-3.1-5TH'!$A$12:'RR-3.1-5TH'!$BN$111,29,0),"")</f>
        <v/>
      </c>
      <c r="K2875" s="54" t="str">
        <f ca="1">IFERROR(VLOOKUP(F2856,'RR-3.1-5TH'!$A$12:'RR-3.1-5TH'!$BN$111,30,0),"")</f>
        <v/>
      </c>
      <c r="L2875" s="55">
        <f ca="1" t="shared" si="150"/>
        <v>0</v>
      </c>
      <c r="M2875" s="56" t="str">
        <f ca="1">IF(F2856&gt;ENTRY!$D$24,"",IF(L2875=0,"Ab",IF(L2875&gt;80,"A",IF(L2875&gt;60,"B",IF(L2875&gt;44,"C",IF(L2875&gt;=33,"D",IF(L2875&lt;=32,"E","")))))))</f>
        <v/>
      </c>
      <c r="N2875" s="29"/>
      <c r="O2875" s="29"/>
      <c r="P2875" s="19"/>
      <c r="Q2875" s="19"/>
      <c r="R2875" s="11"/>
    </row>
    <row r="2876" s="1" customFormat="1" ht="21.95" customHeight="1" spans="1:18">
      <c r="A2876" s="7"/>
      <c r="B2876" s="12"/>
      <c r="C2876" s="33"/>
      <c r="D2876" s="52" t="s">
        <v>719</v>
      </c>
      <c r="E2876" s="53"/>
      <c r="F2876" s="54" t="str">
        <f ca="1">IFERROR(VLOOKUP(F2856,'RR-3.1-5TH'!$A$12:'RR-3.1-5TH'!$BN$111,33,0),"")</f>
        <v/>
      </c>
      <c r="G2876" s="54" t="str">
        <f ca="1">IFERROR(VLOOKUP(F2856,'RR-3.1-5TH'!$A$12:'RR-3.1-5TH'!$BN$111,34,0),"")</f>
        <v/>
      </c>
      <c r="H2876" s="54" t="str">
        <f ca="1">IFERROR(VLOOKUP(F2856,'RR-3.1-5TH'!$A$12:'RR-3.1-5TH'!$BN$111,35,0),"")</f>
        <v/>
      </c>
      <c r="I2876" s="54" t="str">
        <f ca="1">IFERROR(VLOOKUP(F2856,'RR-3.1-5TH'!$A$12:'RR-3.1-5TH'!$BN$111,36,0),"")</f>
        <v/>
      </c>
      <c r="J2876" s="54" t="str">
        <f ca="1">IFERROR(VLOOKUP(F2856,'RR-3.1-5TH'!$A$12:'RR-3.1-5TH'!$BN$111,37,0),"")</f>
        <v/>
      </c>
      <c r="K2876" s="54" t="str">
        <f ca="1">IFERROR(VLOOKUP(F2856,'RR-3.1-5TH'!$A$12:'RR-3.1-5TH'!$BN$111,38,0),"")</f>
        <v/>
      </c>
      <c r="L2876" s="55">
        <f ca="1" t="shared" si="150"/>
        <v>0</v>
      </c>
      <c r="M2876" s="56" t="str">
        <f ca="1">IF(F2856&gt;ENTRY!$D$24,"",IF(L2876=0,"Ab",IF(L2876&gt;80,"A",IF(L2876&gt;60,"B",IF(L2876&gt;44,"C",IF(L2876&gt;=33,"D",IF(L2876&lt;=32,"E","")))))))</f>
        <v/>
      </c>
      <c r="N2876" s="29"/>
      <c r="O2876" s="29"/>
      <c r="P2876" s="19"/>
      <c r="Q2876" s="19"/>
      <c r="R2876" s="11"/>
    </row>
    <row r="2877" s="1" customFormat="1" ht="21.95" customHeight="1" spans="1:18">
      <c r="A2877" s="7"/>
      <c r="B2877" s="12"/>
      <c r="C2877" s="33"/>
      <c r="D2877" s="52" t="s">
        <v>548</v>
      </c>
      <c r="E2877" s="53"/>
      <c r="F2877" s="54" t="str">
        <f ca="1">IFERROR(VLOOKUP(F2856,'RR-3.1-5TH'!$A$12:'RR-3.1-5TH'!$BN$111,41,0),"")</f>
        <v/>
      </c>
      <c r="G2877" s="54" t="str">
        <f ca="1">IFERROR(VLOOKUP(F2856,'RR-3.1-5TH'!$A$12:'RR-3.1-5TH'!$BN$111,42,0),"")</f>
        <v/>
      </c>
      <c r="H2877" s="54" t="str">
        <f ca="1">IFERROR(VLOOKUP(F2856,'RR-3.1-5TH'!$A$12:'RR-3.1-5TH'!$BN$111,43,0),"")</f>
        <v/>
      </c>
      <c r="I2877" s="54" t="str">
        <f ca="1">IFERROR(VLOOKUP(F2856,'RR-3.1-5TH'!$A$12:'RR-3.1-5TH'!$BN$111,44,0),"")</f>
        <v/>
      </c>
      <c r="J2877" s="54" t="str">
        <f ca="1">IFERROR(VLOOKUP(F2856,'RR-3.1-5TH'!$A$12:'RR-3.1-5TH'!$BN$111,45,0),"")</f>
        <v/>
      </c>
      <c r="K2877" s="54" t="str">
        <f ca="1">IFERROR(VLOOKUP(F2856,'RR-3.1-5TH'!$A$12:'RR-3.1-5TH'!$BN$111,46,0),"")</f>
        <v/>
      </c>
      <c r="L2877" s="55">
        <f ca="1" t="shared" si="150"/>
        <v>0</v>
      </c>
      <c r="M2877" s="56" t="str">
        <f ca="1">IF(F2856&gt;ENTRY!$D$24,"",IF(L2877=0,"Ab",IF(L2877&gt;80,"A",IF(L2877&gt;60,"B",IF(L2877&gt;44,"C",IF(L2877&gt;=33,"D",IF(L2877&lt;=32,"E","")))))))</f>
        <v/>
      </c>
      <c r="N2877" s="29"/>
      <c r="O2877" s="29"/>
      <c r="P2877" s="19"/>
      <c r="Q2877" s="19"/>
      <c r="R2877" s="11"/>
    </row>
    <row r="2878" s="1" customFormat="1" ht="21.95" customHeight="1" spans="1:18">
      <c r="A2878" s="7"/>
      <c r="B2878" s="12"/>
      <c r="C2878" s="33"/>
      <c r="D2878" s="52" t="s">
        <v>549</v>
      </c>
      <c r="E2878" s="53"/>
      <c r="F2878" s="54" t="str">
        <f ca="1">IFERROR(VLOOKUP(F2856,'RR-3.1-5TH'!$A$12:'RR-3.1-5TH'!$BN$111,49,0),"")</f>
        <v/>
      </c>
      <c r="G2878" s="54" t="str">
        <f ca="1">IFERROR(VLOOKUP(F2856,'RR-3.1-5TH'!$A$12:'RR-3.1-5TH'!$BN$111,50,0),"")</f>
        <v/>
      </c>
      <c r="H2878" s="54" t="str">
        <f ca="1">IFERROR(VLOOKUP(F2856,'RR-3.1-5TH'!$A$12:'RR-3.1-5TH'!$BN$111,51,0),"")</f>
        <v/>
      </c>
      <c r="I2878" s="54" t="str">
        <f ca="1">IFERROR(VLOOKUP(F2856,'RR-3.1-5TH'!$A$12:'RR-3.1-5TH'!$BN$111,52,0),"")</f>
        <v/>
      </c>
      <c r="J2878" s="54" t="str">
        <f ca="1">IFERROR(VLOOKUP(F2856,'RR-3.1-5TH'!$A$12:'RR-3.1-5TH'!$BN$111,53,0),"")</f>
        <v/>
      </c>
      <c r="K2878" s="54" t="str">
        <f ca="1">IFERROR(VLOOKUP(F2856,'RR-3.1-5TH'!$A$12:'RR-3.1-5TH'!$BN$111,54,0),"")</f>
        <v/>
      </c>
      <c r="L2878" s="55">
        <f ca="1" t="shared" si="150"/>
        <v>0</v>
      </c>
      <c r="M2878" s="56" t="str">
        <f ca="1">IF(F2856&gt;ENTRY!$D$24,"",IF(L2878=0,"Ab",IF(L2878&gt;80,"A",IF(L2878&gt;60,"B",IF(L2878&gt;44,"C",IF(L2878&gt;=33,"D",IF(L2878&lt;=32,"E","")))))))</f>
        <v/>
      </c>
      <c r="N2878" s="57" t="s">
        <v>752</v>
      </c>
      <c r="O2878" s="58"/>
      <c r="P2878" s="59"/>
      <c r="Q2878" s="19"/>
      <c r="R2878" s="11"/>
    </row>
    <row r="2879" s="1" customFormat="1" ht="21.95" customHeight="1" spans="1:18">
      <c r="A2879" s="7"/>
      <c r="B2879" s="12"/>
      <c r="C2879" s="33"/>
      <c r="D2879" s="52" t="s">
        <v>753</v>
      </c>
      <c r="E2879" s="53"/>
      <c r="F2879" s="60"/>
      <c r="G2879" s="54"/>
      <c r="H2879" s="54"/>
      <c r="I2879" s="54"/>
      <c r="J2879" s="54"/>
      <c r="K2879" s="54"/>
      <c r="L2879" s="55">
        <f t="shared" ref="L2879" si="151">SUM(G2879:K2879)</f>
        <v>0</v>
      </c>
      <c r="M2879" s="56" t="str">
        <f>IF(F2856&gt;ENTRY!$D$24,"",IF(L2879=0,"",IF(L2879&gt;79,"A",IF(L2879&gt;59,"B",IF(L2879&gt;44,"C",IF(L2879&gt;=33,"D",IF(L2879&lt;=32,"E","")))))))</f>
        <v/>
      </c>
      <c r="N2879" s="58"/>
      <c r="O2879" s="58"/>
      <c r="P2879" s="59"/>
      <c r="Q2879" s="19"/>
      <c r="R2879" s="11"/>
    </row>
    <row r="2880" s="1" customFormat="1" ht="21.95" customHeight="1" spans="1:18">
      <c r="A2880" s="7"/>
      <c r="B2880" s="12"/>
      <c r="C2880" s="33"/>
      <c r="D2880" s="45" t="s">
        <v>382</v>
      </c>
      <c r="E2880" s="46"/>
      <c r="F2880" s="54">
        <f ca="1" t="shared" ref="F2880:L2880" si="152">IFERROR(SUM(F2873:F2879),"")</f>
        <v>0</v>
      </c>
      <c r="G2880" s="54">
        <f ca="1" t="shared" si="152"/>
        <v>0</v>
      </c>
      <c r="H2880" s="54">
        <f ca="1" t="shared" si="152"/>
        <v>0</v>
      </c>
      <c r="I2880" s="54">
        <f ca="1" t="shared" si="152"/>
        <v>0</v>
      </c>
      <c r="J2880" s="54">
        <f ca="1" t="shared" si="152"/>
        <v>0</v>
      </c>
      <c r="K2880" s="54">
        <f ca="1" t="shared" si="152"/>
        <v>0</v>
      </c>
      <c r="L2880" s="55">
        <f ca="1" t="shared" si="152"/>
        <v>0</v>
      </c>
      <c r="M2880" s="61" t="str">
        <f ca="1">IF(F2856&gt;ENTRY!$D$24,"",IF(N2881="Ab","Ab",IF(N2881&gt;79.5,"A",IF(N2881&gt;59.5,"B",IF(N2881&gt;44.5,"C",IF(N2881&gt;=33,"D",IF(N2881&lt;33,"E","")))))))</f>
        <v/>
      </c>
      <c r="N2880" s="62"/>
      <c r="O2880" s="58"/>
      <c r="P2880" s="59"/>
      <c r="Q2880" s="19"/>
      <c r="R2880" s="11"/>
    </row>
    <row r="2881" s="1" customFormat="1" ht="21.95" customHeight="1" spans="1:19">
      <c r="A2881" s="7"/>
      <c r="B2881" s="12"/>
      <c r="C2881" s="33"/>
      <c r="D2881" s="63" t="s">
        <v>721</v>
      </c>
      <c r="E2881" s="63"/>
      <c r="F2881" s="63"/>
      <c r="G2881" s="63"/>
      <c r="H2881" s="63"/>
      <c r="I2881" s="63"/>
      <c r="J2881" s="63"/>
      <c r="K2881" s="63"/>
      <c r="L2881" s="63"/>
      <c r="M2881" s="63"/>
      <c r="N2881" s="64">
        <f ca="1">IF(L2880="Ab","Ab",L2880/6)</f>
        <v>0</v>
      </c>
      <c r="O2881" s="65"/>
      <c r="P2881" s="19"/>
      <c r="Q2881" s="19"/>
      <c r="R2881" s="11"/>
    </row>
    <row r="2882" s="1" customFormat="1" ht="21.95" customHeight="1" spans="1:19">
      <c r="A2882" s="7"/>
      <c r="B2882" s="12"/>
      <c r="C2882" s="33"/>
      <c r="D2882" s="29" t="s">
        <v>716</v>
      </c>
      <c r="E2882" s="18" t="str">
        <f>IFERROR(VLOOKUP(F2856,'1to4-2.1-RR'!$A$12:$BG$111,57,0),"")</f>
        <v/>
      </c>
      <c r="F2882" s="18"/>
      <c r="G2882" s="18"/>
      <c r="H2882" s="18"/>
      <c r="I2882" s="18"/>
      <c r="J2882" s="18"/>
      <c r="K2882" s="18"/>
      <c r="L2882" s="18"/>
      <c r="M2882" s="18"/>
      <c r="N2882" s="29"/>
      <c r="O2882" s="29"/>
      <c r="P2882" s="19"/>
      <c r="Q2882" s="19"/>
      <c r="R2882" s="11"/>
    </row>
    <row r="2883" s="1" customFormat="1" ht="9.95" customHeight="1" spans="1:19">
      <c r="A2883" s="7"/>
      <c r="B2883" s="12"/>
      <c r="C2883" s="33"/>
      <c r="D2883" s="29"/>
      <c r="E2883" s="29"/>
      <c r="F2883" s="29"/>
      <c r="G2883" s="29"/>
      <c r="H2883" s="29"/>
      <c r="I2883" s="29"/>
      <c r="J2883" s="29"/>
      <c r="K2883" s="29"/>
      <c r="L2883" s="29"/>
      <c r="M2883" s="29"/>
      <c r="N2883" s="29"/>
      <c r="O2883" s="29"/>
      <c r="P2883" s="19"/>
      <c r="Q2883" s="19"/>
      <c r="R2883" s="11"/>
    </row>
    <row r="2884" s="1" customFormat="1" ht="36" spans="1:19">
      <c r="A2884" s="7"/>
      <c r="B2884" s="12"/>
      <c r="C2884" s="33"/>
      <c r="D2884" s="66" t="s">
        <v>576</v>
      </c>
      <c r="E2884" s="67" t="s">
        <v>754</v>
      </c>
      <c r="F2884" s="47" t="str">
        <f>IF(F2856&gt;ENTRY!$D$24,"",IFERROR(VLOOKUP(F2856,PASHEET!$A$4:$CJ$103,88,0),""))</f>
        <v/>
      </c>
      <c r="G2884" s="67" t="s">
        <v>755</v>
      </c>
      <c r="H2884" s="47" t="str">
        <f>IF(F2856&gt;ENTRY!$D$24,"",IFERROR(VLOOKUP(F2856,PASHEET!$A$4:$CJ$103,87,0),""))</f>
        <v/>
      </c>
      <c r="I2884" s="68" t="s">
        <v>756</v>
      </c>
      <c r="J2884" s="69" t="str">
        <f>IF(F2856&gt;ENTRY!$D$24,"",IFERROR(IF(F2856&gt;0,H2884/F2884*100),""))</f>
        <v/>
      </c>
      <c r="K2884" s="60" t="s">
        <v>757</v>
      </c>
      <c r="L2884" s="70" t="str">
        <f ca="1">IF(F2856&gt;ENTRY!$D$24,"",IFERROR(L2880/600*100,""))</f>
        <v/>
      </c>
      <c r="M2884" s="47" t="str">
        <f ca="1">IF(F2856&gt;ENTRY!$D$24,"",IFERROR(L2880&amp;" / "&amp;"600",""))</f>
        <v/>
      </c>
      <c r="N2884" s="29"/>
      <c r="O2884" s="29"/>
      <c r="P2884" s="19"/>
      <c r="Q2884" s="19"/>
      <c r="R2884" s="11"/>
    </row>
    <row r="2885" s="1" customFormat="1" ht="9.95" customHeight="1" spans="1:19">
      <c r="A2885" s="7"/>
      <c r="B2885" s="12"/>
      <c r="C2885" s="39"/>
      <c r="D2885" s="40"/>
      <c r="E2885" s="40"/>
      <c r="F2885" s="40"/>
      <c r="G2885" s="40"/>
      <c r="H2885" s="40"/>
      <c r="I2885" s="40"/>
      <c r="J2885" s="40"/>
      <c r="K2885" s="40"/>
      <c r="L2885" s="40"/>
      <c r="M2885" s="40"/>
      <c r="N2885" s="40"/>
      <c r="O2885" s="40"/>
      <c r="P2885" s="41"/>
      <c r="Q2885" s="19"/>
      <c r="R2885" s="11"/>
    </row>
    <row r="2886" s="1" customFormat="1" ht="9.95" customHeight="1" spans="1:19">
      <c r="A2886" s="7"/>
      <c r="B2886" s="12"/>
      <c r="C2886" s="71"/>
      <c r="D2886" s="71"/>
      <c r="E2886" s="71"/>
      <c r="F2886" s="29"/>
      <c r="G2886" s="71"/>
      <c r="H2886" s="71"/>
      <c r="I2886" s="71"/>
      <c r="J2886" s="71"/>
      <c r="K2886" s="71"/>
      <c r="L2886" s="71"/>
      <c r="M2886" s="71"/>
      <c r="N2886" s="71"/>
      <c r="O2886" s="71"/>
      <c r="P2886" s="71"/>
      <c r="Q2886" s="19"/>
      <c r="R2886" s="11"/>
    </row>
    <row r="2887" s="1" customFormat="1" ht="9.95" customHeight="1" spans="1:19">
      <c r="A2887" s="7"/>
      <c r="B2887" s="12"/>
      <c r="C2887" s="29"/>
      <c r="D2887" s="29"/>
      <c r="E2887" s="29"/>
      <c r="F2887" s="72"/>
      <c r="G2887" s="29"/>
      <c r="H2887" s="29"/>
      <c r="I2887" s="29"/>
      <c r="J2887" s="29"/>
      <c r="K2887" s="29"/>
      <c r="L2887" s="29"/>
      <c r="M2887" s="29"/>
      <c r="N2887" s="29"/>
      <c r="O2887" s="29"/>
      <c r="P2887" s="29"/>
      <c r="Q2887" s="19"/>
      <c r="R2887" s="11"/>
    </row>
    <row r="2888" s="1" customFormat="1" ht="9.95" customHeight="1" spans="1:19">
      <c r="A2888" s="7"/>
      <c r="B2888" s="12"/>
      <c r="C2888" s="30"/>
      <c r="D2888" s="31"/>
      <c r="E2888" s="31"/>
      <c r="F2888" s="31"/>
      <c r="G2888" s="31"/>
      <c r="H2888" s="31"/>
      <c r="I2888" s="31"/>
      <c r="J2888" s="31"/>
      <c r="K2888" s="31"/>
      <c r="L2888" s="31"/>
      <c r="M2888" s="31"/>
      <c r="N2888" s="31"/>
      <c r="O2888" s="31"/>
      <c r="P2888" s="32"/>
      <c r="Q2888" s="19"/>
      <c r="R2888" s="11"/>
    </row>
    <row r="2889" s="1" customFormat="1" ht="21.95" customHeight="1" spans="1:19">
      <c r="A2889" s="7"/>
      <c r="B2889" s="12"/>
      <c r="C2889" s="73" t="s">
        <v>7</v>
      </c>
      <c r="D2889" s="13"/>
      <c r="E2889" s="13"/>
      <c r="F2889" s="13"/>
      <c r="G2889" s="13"/>
      <c r="H2889" s="13"/>
      <c r="I2889" s="13"/>
      <c r="J2889" s="13"/>
      <c r="K2889" s="13"/>
      <c r="L2889" s="13"/>
      <c r="M2889" s="13"/>
      <c r="N2889" s="13"/>
      <c r="O2889" s="13"/>
      <c r="P2889" s="74"/>
      <c r="Q2889" s="19"/>
      <c r="R2889" s="11"/>
      <c r="S2889" s="2"/>
    </row>
    <row r="2890" s="1" customFormat="1" ht="21.95" customHeight="1" spans="1:19">
      <c r="A2890" s="7"/>
      <c r="B2890" s="12"/>
      <c r="C2890" s="33"/>
      <c r="D2890" s="29"/>
      <c r="E2890" s="29"/>
      <c r="F2890" s="29"/>
      <c r="G2890" s="29"/>
      <c r="H2890" s="29"/>
      <c r="I2890" s="29"/>
      <c r="J2890" s="29"/>
      <c r="K2890" s="29"/>
      <c r="L2890" s="29"/>
      <c r="M2890" s="29"/>
      <c r="N2890" s="29"/>
      <c r="O2890" s="29"/>
      <c r="P2890" s="19"/>
      <c r="Q2890" s="19"/>
      <c r="R2890" s="11"/>
    </row>
    <row r="2891" s="1" customFormat="1" ht="21.95" customHeight="1" spans="1:19">
      <c r="A2891" s="7"/>
      <c r="B2891" s="12"/>
      <c r="C2891" s="75" t="str">
        <f>"SESSION-"&amp;ENTRY!$D$11</f>
        <v>SESSION-2026-27</v>
      </c>
      <c r="D2891" s="15"/>
      <c r="E2891" s="15"/>
      <c r="F2891" s="15"/>
      <c r="G2891" s="15"/>
      <c r="H2891" s="15"/>
      <c r="I2891" s="15"/>
      <c r="J2891" s="15"/>
      <c r="K2891" s="15"/>
      <c r="L2891" s="15"/>
      <c r="M2891" s="15"/>
      <c r="N2891" s="15"/>
      <c r="O2891" s="15"/>
      <c r="P2891" s="76"/>
      <c r="Q2891" s="19"/>
      <c r="R2891" s="11"/>
    </row>
    <row r="2892" s="1" customFormat="1" ht="18" customHeight="1" spans="1:19">
      <c r="A2892" s="7"/>
      <c r="B2892" s="12"/>
      <c r="C2892" s="33"/>
      <c r="D2892" s="29"/>
      <c r="E2892" s="29"/>
      <c r="F2892" s="29"/>
      <c r="G2892" s="29"/>
      <c r="H2892" s="29"/>
      <c r="I2892" s="29"/>
      <c r="J2892" s="29"/>
      <c r="K2892" s="29"/>
      <c r="L2892" s="29"/>
      <c r="M2892" s="29"/>
      <c r="N2892" s="29"/>
      <c r="O2892" s="29"/>
      <c r="P2892" s="19"/>
      <c r="Q2892" s="19"/>
      <c r="R2892" s="11"/>
    </row>
    <row r="2893" s="1" customFormat="1" ht="21.95" customHeight="1" spans="1:19">
      <c r="A2893" s="7"/>
      <c r="B2893" s="12"/>
      <c r="C2893" s="33"/>
      <c r="D2893" s="77" t="s">
        <v>758</v>
      </c>
      <c r="E2893" s="77"/>
      <c r="F2893" s="78" t="str">
        <f>IFERROR(PROPER(VLOOKUP(F2856,STUDENT!$A$2:$BP$101,5,0)),"")</f>
        <v/>
      </c>
      <c r="G2893" s="78"/>
      <c r="H2893" s="78"/>
      <c r="I2893" s="78"/>
      <c r="J2893" s="78"/>
      <c r="K2893" s="78"/>
      <c r="L2893" s="78"/>
      <c r="M2893" s="78"/>
      <c r="N2893" s="79" t="s">
        <v>759</v>
      </c>
      <c r="O2893" s="79"/>
      <c r="P2893" s="19"/>
      <c r="Q2893" s="19"/>
      <c r="R2893" s="11"/>
    </row>
    <row r="2894" s="1" customFormat="1" ht="21.95" customHeight="1" spans="1:19">
      <c r="A2894" s="7"/>
      <c r="B2894" s="12"/>
      <c r="C2894" s="33"/>
      <c r="D2894" s="80" t="s">
        <v>760</v>
      </c>
      <c r="E2894" s="81" t="str">
        <f>IFERROR(PROPER(VLOOKUP(F2856,STUDENT!$A$2:$BP$101,9,0)),"")</f>
        <v/>
      </c>
      <c r="F2894" s="81"/>
      <c r="G2894" s="81"/>
      <c r="H2894" s="80" t="s">
        <v>761</v>
      </c>
      <c r="I2894" s="82" t="str">
        <f>IFERROR(PROPER(VLOOKUP(F2856,STUDENT!$A$2:$BP$101,8,0)),"")</f>
        <v/>
      </c>
      <c r="J2894" s="82"/>
      <c r="K2894" s="82"/>
      <c r="L2894" s="82"/>
      <c r="M2894" s="80" t="s">
        <v>762</v>
      </c>
      <c r="N2894" s="83" t="str">
        <f>IFERROR(VLOOKUP(F2856,STUDENT!$A$2:$BP$101,59,0),"")</f>
        <v/>
      </c>
      <c r="O2894" s="83"/>
      <c r="P2894" s="19"/>
      <c r="Q2894" s="19"/>
      <c r="R2894" s="11"/>
    </row>
    <row r="2895" s="1" customFormat="1" ht="21.95" customHeight="1" spans="1:19">
      <c r="A2895" s="7"/>
      <c r="B2895" s="12"/>
      <c r="C2895" s="33"/>
      <c r="D2895" s="77" t="str">
        <f>"has    completed     his  /  her     primary     level     education    in    the    year    "&amp;RIGHT(ENTRY!$D2861,4)&amp;"    from    ( School    Name )"</f>
        <v>has    completed     his  /  her     primary     level     education    in    the    year        from    ( School    Name )</v>
      </c>
      <c r="E2895" s="77"/>
      <c r="F2895" s="77"/>
      <c r="G2895" s="77"/>
      <c r="H2895" s="77"/>
      <c r="I2895" s="77"/>
      <c r="J2895" s="77"/>
      <c r="K2895" s="77"/>
      <c r="L2895" s="77"/>
      <c r="M2895" s="77"/>
      <c r="N2895" s="77"/>
      <c r="O2895" s="77"/>
      <c r="P2895" s="19"/>
      <c r="Q2895" s="19"/>
      <c r="R2895" s="11"/>
    </row>
    <row r="2896" s="1" customFormat="1" ht="21.95" customHeight="1" spans="1:19">
      <c r="A2896" s="7"/>
      <c r="B2896" s="12"/>
      <c r="C2896" s="33"/>
      <c r="D2896" s="81" t="str">
        <f>IF(F2856&gt;0,ENTRY!$D$6,"")</f>
        <v>MCP NITHARI NO 1 BOYS</v>
      </c>
      <c r="E2896" s="81"/>
      <c r="F2896" s="81"/>
      <c r="G2896" s="81"/>
      <c r="H2896" s="81"/>
      <c r="I2896" s="81"/>
      <c r="J2896" s="81"/>
      <c r="K2896" s="81"/>
      <c r="L2896" s="81"/>
      <c r="M2896" s="80" t="s">
        <v>763</v>
      </c>
      <c r="N2896" s="84">
        <f>IF(F2856&gt;0,ENTRY!$D$7,"")</f>
        <v>0</v>
      </c>
      <c r="O2896" s="84"/>
      <c r="P2896" s="85" t="s">
        <v>727</v>
      </c>
      <c r="Q2896" s="19"/>
      <c r="R2896" s="11"/>
    </row>
    <row r="2897" s="1" customFormat="1" ht="21.95" customHeight="1" spans="1:18">
      <c r="A2897" s="7"/>
      <c r="B2897" s="12"/>
      <c r="C2897" s="33"/>
      <c r="D2897" s="29"/>
      <c r="E2897" s="29"/>
      <c r="F2897" s="29"/>
      <c r="G2897" s="29"/>
      <c r="H2897" s="29"/>
      <c r="I2897" s="29"/>
      <c r="J2897" s="29"/>
      <c r="K2897" s="29"/>
      <c r="L2897" s="29"/>
      <c r="M2897" s="29"/>
      <c r="N2897" s="29"/>
      <c r="O2897" s="29"/>
      <c r="P2897" s="19"/>
      <c r="Q2897" s="19"/>
      <c r="R2897" s="11"/>
    </row>
    <row r="2898" s="1" customFormat="1" ht="21.95" customHeight="1" spans="1:18">
      <c r="A2898" s="7"/>
      <c r="B2898" s="12"/>
      <c r="C2898" s="33"/>
      <c r="D2898" s="29"/>
      <c r="E2898" s="29"/>
      <c r="F2898" s="29"/>
      <c r="G2898" s="29"/>
      <c r="H2898" s="29"/>
      <c r="I2898" s="29"/>
      <c r="J2898" s="29"/>
      <c r="K2898" s="29"/>
      <c r="L2898" s="29"/>
      <c r="M2898" s="29"/>
      <c r="N2898" s="29"/>
      <c r="O2898" s="29"/>
      <c r="P2898" s="19"/>
      <c r="Q2898" s="19"/>
      <c r="R2898" s="11"/>
    </row>
    <row r="2899" s="1" customFormat="1" ht="21.95" customHeight="1" spans="1:18">
      <c r="A2899" s="7"/>
      <c r="B2899" s="12"/>
      <c r="C2899" s="33"/>
      <c r="D2899" s="29"/>
      <c r="E2899" s="29"/>
      <c r="F2899" s="29"/>
      <c r="G2899" s="29"/>
      <c r="H2899" s="29"/>
      <c r="I2899" s="29"/>
      <c r="J2899" s="29"/>
      <c r="K2899" s="29"/>
      <c r="L2899" s="29"/>
      <c r="M2899" s="29"/>
      <c r="N2899" s="29"/>
      <c r="O2899" s="29"/>
      <c r="P2899" s="19"/>
      <c r="Q2899" s="19"/>
      <c r="R2899" s="11"/>
    </row>
    <row r="2900" s="1" customFormat="1" ht="21.95" customHeight="1" spans="1:18">
      <c r="A2900" s="7"/>
      <c r="B2900" s="12"/>
      <c r="C2900" s="33"/>
      <c r="D2900" s="29"/>
      <c r="E2900" s="29"/>
      <c r="F2900" s="29"/>
      <c r="G2900" s="29"/>
      <c r="H2900" s="29"/>
      <c r="I2900" s="29"/>
      <c r="J2900" s="29"/>
      <c r="K2900" s="29"/>
      <c r="L2900" s="29"/>
      <c r="M2900" s="29"/>
      <c r="N2900" s="29"/>
      <c r="O2900" s="29"/>
      <c r="P2900" s="19"/>
      <c r="Q2900" s="19"/>
      <c r="R2900" s="11"/>
    </row>
    <row r="2901" s="1" customFormat="1" ht="21.95" customHeight="1" spans="1:18">
      <c r="A2901" s="7"/>
      <c r="B2901" s="12"/>
      <c r="C2901" s="33"/>
      <c r="D2901" s="29"/>
      <c r="E2901" s="29"/>
      <c r="F2901" s="29"/>
      <c r="G2901" s="29"/>
      <c r="H2901" s="29"/>
      <c r="I2901" s="29"/>
      <c r="J2901" s="29"/>
      <c r="K2901" s="29"/>
      <c r="L2901" s="29"/>
      <c r="M2901" s="29"/>
      <c r="N2901" s="29"/>
      <c r="O2901" s="29"/>
      <c r="P2901" s="19"/>
      <c r="Q2901" s="19"/>
      <c r="R2901" s="11"/>
    </row>
    <row r="2902" s="1" customFormat="1" ht="21.95" customHeight="1" spans="1:18">
      <c r="A2902" s="7"/>
      <c r="B2902" s="12"/>
      <c r="C2902" s="33"/>
      <c r="D2902" s="80" t="s">
        <v>728</v>
      </c>
      <c r="E2902" s="86">
        <f>ENTRY!$D$27</f>
        <v>46102</v>
      </c>
      <c r="F2902" s="86"/>
      <c r="G2902" s="29"/>
      <c r="H2902" s="29"/>
      <c r="I2902" s="29"/>
      <c r="J2902" s="29"/>
      <c r="K2902" s="29"/>
      <c r="L2902" s="29"/>
      <c r="M2902" s="87" t="s">
        <v>730</v>
      </c>
      <c r="N2902" s="87"/>
      <c r="O2902" s="87"/>
      <c r="P2902" s="19"/>
      <c r="Q2902" s="19"/>
      <c r="R2902" s="11"/>
    </row>
    <row r="2903" s="1" customFormat="1" ht="21.95" customHeight="1" spans="1:18">
      <c r="A2903" s="7"/>
      <c r="B2903" s="12"/>
      <c r="C2903" s="33"/>
      <c r="D2903" s="80" t="s">
        <v>731</v>
      </c>
      <c r="E2903" s="88" t="str">
        <f>PROPER(ENTRY!$D$28)</f>
        <v>New Delhi</v>
      </c>
      <c r="F2903" s="88"/>
      <c r="G2903" s="29"/>
      <c r="H2903" s="29"/>
      <c r="I2903" s="29"/>
      <c r="J2903" s="29"/>
      <c r="K2903" s="29"/>
      <c r="L2903" s="29"/>
      <c r="M2903" s="89" t="s">
        <v>732</v>
      </c>
      <c r="N2903" s="89"/>
      <c r="O2903" s="89"/>
      <c r="P2903" s="19"/>
      <c r="Q2903" s="19"/>
      <c r="R2903" s="11"/>
    </row>
    <row r="2904" s="1" customFormat="1" ht="21.95" customHeight="1" spans="1:18">
      <c r="A2904" s="7"/>
      <c r="B2904" s="12"/>
      <c r="C2904" s="90"/>
      <c r="D2904" s="91"/>
      <c r="E2904" s="91"/>
      <c r="F2904" s="91"/>
      <c r="G2904" s="91"/>
      <c r="H2904" s="91"/>
      <c r="I2904" s="91"/>
      <c r="J2904" s="91"/>
      <c r="K2904" s="91"/>
      <c r="L2904" s="91"/>
      <c r="M2904" s="91"/>
      <c r="N2904" s="91"/>
      <c r="O2904" s="91"/>
      <c r="P2904" s="92"/>
      <c r="Q2904" s="14"/>
      <c r="R2904" s="11"/>
    </row>
    <row r="2905" s="1" customFormat="1" ht="5.1" customHeight="1" spans="1:18">
      <c r="A2905" s="7"/>
      <c r="B2905" s="90"/>
      <c r="C2905" s="91"/>
      <c r="D2905" s="91"/>
      <c r="E2905" s="91"/>
      <c r="F2905" s="91"/>
      <c r="G2905" s="91"/>
      <c r="H2905" s="91"/>
      <c r="I2905" s="91"/>
      <c r="J2905" s="91"/>
      <c r="K2905" s="91"/>
      <c r="L2905" s="91"/>
      <c r="M2905" s="91"/>
      <c r="N2905" s="91"/>
      <c r="O2905" s="91"/>
      <c r="P2905" s="91"/>
      <c r="Q2905" s="92"/>
      <c r="R2905" s="11"/>
    </row>
    <row r="2906" s="1" customFormat="1" ht="5.1" customHeight="1" spans="1:18">
      <c r="A2906" s="93"/>
      <c r="B2906" s="94"/>
      <c r="C2906" s="94"/>
      <c r="D2906" s="94"/>
      <c r="E2906" s="94"/>
      <c r="F2906" s="94"/>
      <c r="G2906" s="94"/>
      <c r="H2906" s="94"/>
      <c r="I2906" s="94"/>
      <c r="J2906" s="94"/>
      <c r="K2906" s="94"/>
      <c r="L2906" s="94"/>
      <c r="M2906" s="94"/>
      <c r="N2906" s="94"/>
      <c r="O2906" s="94"/>
      <c r="P2906" s="94"/>
      <c r="Q2906" s="94"/>
      <c r="R2906" s="95"/>
    </row>
    <row r="2907" s="2" customFormat="1" ht="9.95" customHeight="1"/>
    <row r="2908" s="1" customFormat="1" ht="5.1" customHeight="1" spans="1:18">
      <c r="A2908" s="4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  <c r="O2908" s="5"/>
      <c r="P2908" s="5"/>
      <c r="Q2908" s="5"/>
      <c r="R2908" s="6"/>
    </row>
    <row r="2909" s="1" customFormat="1" ht="15" customHeight="1" spans="1:18">
      <c r="A2909" s="7"/>
      <c r="B2909" s="8"/>
      <c r="C2909" s="9"/>
      <c r="D2909" s="9"/>
      <c r="E2909" s="9"/>
      <c r="F2909" s="9"/>
      <c r="G2909" s="9"/>
      <c r="H2909" s="9"/>
      <c r="I2909" s="9"/>
      <c r="J2909" s="9"/>
      <c r="K2909" s="9"/>
      <c r="L2909" s="9"/>
      <c r="M2909" s="9"/>
      <c r="N2909" s="9"/>
      <c r="O2909" s="9"/>
      <c r="P2909" s="9"/>
      <c r="Q2909" s="10"/>
      <c r="R2909" s="11"/>
    </row>
    <row r="2910" s="1" customFormat="1" ht="21.95" customHeight="1" spans="1:18">
      <c r="A2910" s="7"/>
      <c r="B2910" s="12"/>
      <c r="C2910" s="13" t="s">
        <v>7</v>
      </c>
      <c r="D2910" s="13"/>
      <c r="E2910" s="13"/>
      <c r="F2910" s="13"/>
      <c r="G2910" s="13"/>
      <c r="H2910" s="13"/>
      <c r="I2910" s="13"/>
      <c r="J2910" s="13"/>
      <c r="K2910" s="13"/>
      <c r="L2910" s="13"/>
      <c r="M2910" s="13"/>
      <c r="N2910" s="13"/>
      <c r="O2910" s="13"/>
      <c r="P2910" s="13"/>
      <c r="Q2910" s="14"/>
      <c r="R2910" s="11"/>
    </row>
    <row r="2911" s="1" customFormat="1" ht="21.95" customHeight="1" spans="1:18">
      <c r="A2911" s="7"/>
      <c r="B2911" s="1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14"/>
      <c r="R2911" s="11"/>
    </row>
    <row r="2912" s="1" customFormat="1" ht="21.95" customHeight="1" spans="1:18">
      <c r="A2912" s="7"/>
      <c r="B2912" s="12"/>
      <c r="C2912" s="15" t="str">
        <f>"SESSION-"&amp;ENTRY!$D$11</f>
        <v>SESSION-2026-27</v>
      </c>
      <c r="D2912" s="15"/>
      <c r="E2912" s="15"/>
      <c r="F2912" s="15"/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4"/>
      <c r="R2912" s="11"/>
    </row>
    <row r="2913" s="1" customFormat="1" ht="21.95" customHeight="1" spans="1:18">
      <c r="A2913" s="7"/>
      <c r="B2913" s="12"/>
      <c r="C2913" s="2"/>
      <c r="D2913" s="2"/>
      <c r="E2913" s="2"/>
      <c r="F2913" s="16">
        <f>F2856+1</f>
        <v>52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14"/>
      <c r="R2913" s="11"/>
    </row>
    <row r="2914" s="1" customFormat="1" ht="21.95" customHeight="1" spans="1:18">
      <c r="A2914" s="7"/>
      <c r="B2914" s="12"/>
      <c r="C2914" s="17" t="s">
        <v>392</v>
      </c>
      <c r="D2914" s="17"/>
      <c r="E2914" s="17"/>
      <c r="F2914" s="18" t="str">
        <f>IF(F2913&gt;0,ENTRY!$D$6,"")</f>
        <v>MCP NITHARI NO 1 BOYS</v>
      </c>
      <c r="G2914" s="18"/>
      <c r="H2914" s="18"/>
      <c r="I2914" s="18"/>
      <c r="J2914" s="18"/>
      <c r="K2914" s="18"/>
      <c r="L2914" s="18"/>
      <c r="M2914" s="18"/>
      <c r="N2914" s="18"/>
      <c r="O2914" s="18"/>
      <c r="P2914" s="18"/>
      <c r="Q2914" s="19"/>
      <c r="R2914" s="11"/>
    </row>
    <row r="2915" s="1" customFormat="1" ht="21.95" customHeight="1" spans="1:18">
      <c r="A2915" s="7"/>
      <c r="B2915" s="12"/>
      <c r="C2915" s="17" t="s">
        <v>393</v>
      </c>
      <c r="D2915" s="17"/>
      <c r="E2915" s="17"/>
      <c r="F2915" s="18">
        <f>IF(F2913&gt;0,ENTRY!$D$7,"")</f>
        <v>0</v>
      </c>
      <c r="G2915" s="18"/>
      <c r="H2915" s="20" t="s">
        <v>702</v>
      </c>
      <c r="I2915" s="20"/>
      <c r="J2915" s="21">
        <f>IF(F2913&gt;0,ENTRY!$D$10,"")</f>
        <v>40</v>
      </c>
      <c r="K2915" s="20" t="s">
        <v>703</v>
      </c>
      <c r="L2915" s="22" t="str">
        <f>IF(F2913&gt;0,ENTRY!$D$5,"")</f>
        <v>ROHINI ZONE</v>
      </c>
      <c r="M2915" s="22"/>
      <c r="N2915" s="22"/>
      <c r="O2915" s="22"/>
      <c r="P2915" s="22"/>
      <c r="Q2915" s="19"/>
      <c r="R2915" s="11"/>
    </row>
    <row r="2916" s="1" customFormat="1" ht="21.95" customHeight="1" spans="1:18">
      <c r="A2916" s="7"/>
      <c r="B2916" s="12"/>
      <c r="C2916" s="17" t="s">
        <v>706</v>
      </c>
      <c r="D2916" s="17"/>
      <c r="E2916" s="17"/>
      <c r="F2916" s="23">
        <f>IFERROR(VLOOKUP(F2913,STUDENT!$A$2:$BP$101,5,0),"")</f>
        <v>0</v>
      </c>
      <c r="G2916" s="23"/>
      <c r="H2916" s="23"/>
      <c r="I2916" s="23"/>
      <c r="J2916" s="23"/>
      <c r="K2916" s="23"/>
      <c r="L2916" s="20" t="s">
        <v>707</v>
      </c>
      <c r="M2916" s="20"/>
      <c r="N2916" s="24" t="str">
        <f>IF(F2913&gt;0,ENTRY!$D$20&amp;"-"&amp;ENTRY!$D$21,"")</f>
        <v>III-A</v>
      </c>
      <c r="O2916" s="24"/>
      <c r="P2916" s="24"/>
      <c r="Q2916" s="19"/>
      <c r="R2916" s="11"/>
    </row>
    <row r="2917" s="1" customFormat="1" ht="21.95" customHeight="1" spans="1:18">
      <c r="A2917" s="7"/>
      <c r="B2917" s="12"/>
      <c r="C2917" s="17" t="s">
        <v>708</v>
      </c>
      <c r="D2917" s="17"/>
      <c r="E2917" s="17"/>
      <c r="F2917" s="25">
        <f>IFERROR(VLOOKUP(F2913,STUDENT!$A$2:$BP$101,6,0),"")</f>
        <v>0</v>
      </c>
      <c r="G2917" s="25"/>
      <c r="H2917" s="26" t="s">
        <v>709</v>
      </c>
      <c r="I2917" s="27" t="str">
        <f>IFERROR(VLOOKUP(F2913,STUDENT!$A$2:$BP$101,59,0),"")</f>
        <v/>
      </c>
      <c r="J2917" s="27"/>
      <c r="K2917" s="20" t="s">
        <v>710</v>
      </c>
      <c r="L2917" s="20"/>
      <c r="M2917" s="28">
        <f>IFERROR(VLOOKUP(F2913,STUDENT!$A$2:$BP$101,20,0),"")</f>
        <v>0</v>
      </c>
      <c r="N2917" s="28"/>
      <c r="O2917" s="28"/>
      <c r="P2917" s="28"/>
      <c r="Q2917" s="19"/>
      <c r="R2917" s="11"/>
    </row>
    <row r="2918" s="1" customFormat="1" ht="21.95" customHeight="1" spans="1:18">
      <c r="A2918" s="7"/>
      <c r="B2918" s="12"/>
      <c r="C2918" s="17" t="s">
        <v>711</v>
      </c>
      <c r="D2918" s="17"/>
      <c r="E2918" s="17"/>
      <c r="F2918" s="23">
        <f>IFERROR(VLOOKUP(F2913,STUDENT!$A$2:$BP$101,9,0),"")</f>
        <v>0</v>
      </c>
      <c r="G2918" s="23"/>
      <c r="H2918" s="23"/>
      <c r="I2918" s="23"/>
      <c r="J2918" s="17" t="s">
        <v>620</v>
      </c>
      <c r="K2918" s="17"/>
      <c r="L2918" s="23">
        <f>IFERROR(VLOOKUP(F2913,STUDENT!$A$2:$BP$101,8,0),"")</f>
        <v>0</v>
      </c>
      <c r="M2918" s="23"/>
      <c r="N2918" s="23"/>
      <c r="O2918" s="23"/>
      <c r="P2918" s="23"/>
      <c r="Q2918" s="19"/>
      <c r="R2918" s="11"/>
    </row>
    <row r="2919" s="1" customFormat="1" ht="21.95" customHeight="1" spans="1:18">
      <c r="A2919" s="7"/>
      <c r="B2919" s="12"/>
      <c r="C2919" s="17" t="s">
        <v>712</v>
      </c>
      <c r="D2919" s="17"/>
      <c r="E2919" s="17"/>
      <c r="F2919" s="23">
        <f>IFERROR(VLOOKUP(F2913,STUDENT!$A$2:$BP$101,22,0),"")</f>
        <v>0</v>
      </c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19"/>
      <c r="R2919" s="11"/>
    </row>
    <row r="2920" s="1" customFormat="1" ht="9.95" customHeight="1" spans="1:18">
      <c r="A2920" s="7"/>
      <c r="B2920" s="12"/>
      <c r="C2920" s="29"/>
      <c r="D2920" s="29"/>
      <c r="E2920" s="29"/>
      <c r="F2920" s="29"/>
      <c r="G2920" s="29"/>
      <c r="H2920" s="29"/>
      <c r="I2920" s="29"/>
      <c r="J2920" s="29"/>
      <c r="K2920" s="29"/>
      <c r="L2920" s="29"/>
      <c r="M2920" s="29"/>
      <c r="N2920" s="29"/>
      <c r="O2920" s="29"/>
      <c r="P2920" s="29"/>
      <c r="Q2920" s="19"/>
      <c r="R2920" s="11"/>
    </row>
    <row r="2921" s="1" customFormat="1" ht="9.95" customHeight="1" spans="1:18">
      <c r="A2921" s="7"/>
      <c r="B2921" s="12"/>
      <c r="C2921" s="30"/>
      <c r="D2921" s="31"/>
      <c r="E2921" s="31"/>
      <c r="F2921" s="31"/>
      <c r="G2921" s="31"/>
      <c r="H2921" s="31"/>
      <c r="I2921" s="31"/>
      <c r="J2921" s="31"/>
      <c r="K2921" s="31"/>
      <c r="L2921" s="31"/>
      <c r="M2921" s="31"/>
      <c r="N2921" s="31"/>
      <c r="O2921" s="31"/>
      <c r="P2921" s="32"/>
      <c r="Q2921" s="19"/>
      <c r="R2921" s="11"/>
    </row>
    <row r="2922" s="1" customFormat="1" ht="21.95" customHeight="1" spans="1:18">
      <c r="A2922" s="7"/>
      <c r="B2922" s="12"/>
      <c r="C2922" s="33"/>
      <c r="D2922" s="34" t="s">
        <v>713</v>
      </c>
      <c r="E2922" s="20" t="s">
        <v>714</v>
      </c>
      <c r="F2922" s="35" t="str">
        <f>"Level - "&amp;IFERROR(VLOOKUP(F2913,FLN!$A$4:$K$103,9,0),"")</f>
        <v>Level - </v>
      </c>
      <c r="G2922" s="36"/>
      <c r="H2922" s="37" t="s">
        <v>715</v>
      </c>
      <c r="I2922" s="20"/>
      <c r="J2922" s="35" t="str">
        <f>"Level - "&amp;IFERROR(VLOOKUP(F2913,FLN!$A$4:$K$103,11,0),"")</f>
        <v>Level - </v>
      </c>
      <c r="K2922" s="36"/>
      <c r="L2922" s="37" t="s">
        <v>408</v>
      </c>
      <c r="M2922" s="20"/>
      <c r="N2922" s="35" t="str">
        <f>"Level - "&amp;IFERROR(VLOOKUP(F2913,FLN!$A$4:$K$103,10,0),"")</f>
        <v>Level - </v>
      </c>
      <c r="O2922" s="36"/>
      <c r="P2922" s="19"/>
      <c r="Q2922" s="19"/>
      <c r="R2922" s="11"/>
    </row>
    <row r="2923" s="1" customFormat="1" ht="21.95" customHeight="1" spans="1:18">
      <c r="A2923" s="7"/>
      <c r="B2923" s="12"/>
      <c r="C2923" s="33"/>
      <c r="D2923" s="38"/>
      <c r="E2923" s="20" t="s">
        <v>716</v>
      </c>
      <c r="F2923" s="18" t="str">
        <f ca="1">IF(L2937&gt;197,"PERFORMED WELL","")</f>
        <v/>
      </c>
      <c r="G2923" s="18"/>
      <c r="H2923" s="18"/>
      <c r="I2923" s="18"/>
      <c r="J2923" s="18"/>
      <c r="K2923" s="18"/>
      <c r="L2923" s="18"/>
      <c r="M2923" s="18"/>
      <c r="N2923" s="18"/>
      <c r="O2923" s="18"/>
      <c r="P2923" s="19"/>
      <c r="Q2923" s="19"/>
      <c r="R2923" s="11"/>
    </row>
    <row r="2924" s="1" customFormat="1" ht="9.95" customHeight="1" spans="1:18">
      <c r="A2924" s="7"/>
      <c r="B2924" s="12"/>
      <c r="C2924" s="39"/>
      <c r="D2924" s="40"/>
      <c r="E2924" s="40"/>
      <c r="F2924" s="40"/>
      <c r="G2924" s="40"/>
      <c r="H2924" s="40"/>
      <c r="I2924" s="40"/>
      <c r="J2924" s="40"/>
      <c r="K2924" s="40"/>
      <c r="L2924" s="40"/>
      <c r="M2924" s="40"/>
      <c r="N2924" s="40"/>
      <c r="O2924" s="40"/>
      <c r="P2924" s="41"/>
      <c r="Q2924" s="19"/>
      <c r="R2924" s="11"/>
    </row>
    <row r="2925" s="1" customFormat="1" ht="9.95" customHeight="1" spans="1:18">
      <c r="A2925" s="7"/>
      <c r="B2925" s="12"/>
      <c r="C2925" s="29"/>
      <c r="D2925" s="29"/>
      <c r="E2925" s="29"/>
      <c r="F2925" s="29"/>
      <c r="G2925" s="29"/>
      <c r="H2925" s="29"/>
      <c r="I2925" s="29"/>
      <c r="J2925" s="29"/>
      <c r="K2925" s="29"/>
      <c r="L2925" s="29"/>
      <c r="M2925" s="29"/>
      <c r="N2925" s="29"/>
      <c r="O2925" s="29"/>
      <c r="P2925" s="29"/>
      <c r="Q2925" s="19"/>
      <c r="R2925" s="11"/>
    </row>
    <row r="2926" s="1" customFormat="1" ht="9.95" customHeight="1" spans="1:18">
      <c r="A2926" s="7"/>
      <c r="B2926" s="12"/>
      <c r="C2926" s="30"/>
      <c r="D2926" s="31"/>
      <c r="E2926" s="31"/>
      <c r="F2926" s="31"/>
      <c r="G2926" s="31"/>
      <c r="H2926" s="31"/>
      <c r="I2926" s="31"/>
      <c r="J2926" s="31"/>
      <c r="K2926" s="31"/>
      <c r="L2926" s="31"/>
      <c r="M2926" s="31"/>
      <c r="N2926" s="31"/>
      <c r="O2926" s="31"/>
      <c r="P2926" s="32"/>
      <c r="Q2926" s="19"/>
      <c r="R2926" s="11"/>
    </row>
    <row r="2927" s="1" customFormat="1" ht="21.95" customHeight="1" spans="1:18">
      <c r="A2927" s="7"/>
      <c r="B2927" s="12"/>
      <c r="C2927" s="33"/>
      <c r="D2927" s="35"/>
      <c r="E2927" s="24"/>
      <c r="F2927" s="42" t="s">
        <v>717</v>
      </c>
      <c r="G2927" s="42"/>
      <c r="H2927" s="42"/>
      <c r="I2927" s="42"/>
      <c r="J2927" s="42"/>
      <c r="K2927" s="42"/>
      <c r="L2927" s="43"/>
      <c r="M2927" s="44"/>
      <c r="N2927" s="29"/>
      <c r="O2927" s="29"/>
      <c r="P2927" s="19"/>
      <c r="Q2927" s="19"/>
      <c r="R2927" s="11"/>
    </row>
    <row r="2928" s="1" customFormat="1" ht="21.95" customHeight="1" spans="1:18">
      <c r="A2928" s="7"/>
      <c r="B2928" s="12"/>
      <c r="C2928" s="33"/>
      <c r="D2928" s="45"/>
      <c r="E2928" s="46"/>
      <c r="F2928" s="47" t="s">
        <v>541</v>
      </c>
      <c r="G2928" s="47" t="s">
        <v>542</v>
      </c>
      <c r="H2928" s="47" t="s">
        <v>543</v>
      </c>
      <c r="I2928" s="47" t="s">
        <v>544</v>
      </c>
      <c r="J2928" s="47" t="s">
        <v>561</v>
      </c>
      <c r="K2928" s="48" t="s">
        <v>750</v>
      </c>
      <c r="L2928" s="47" t="s">
        <v>382</v>
      </c>
      <c r="M2928" s="49" t="s">
        <v>546</v>
      </c>
      <c r="N2928" s="29"/>
      <c r="O2928" s="29"/>
      <c r="P2928" s="19"/>
      <c r="Q2928" s="19"/>
      <c r="R2928" s="11"/>
    </row>
    <row r="2929" s="1" customFormat="1" ht="21.95" customHeight="1" spans="1:18">
      <c r="A2929" s="7"/>
      <c r="B2929" s="12"/>
      <c r="C2929" s="33"/>
      <c r="D2929" s="45" t="s">
        <v>652</v>
      </c>
      <c r="E2929" s="46"/>
      <c r="F2929" s="50">
        <v>10</v>
      </c>
      <c r="G2929" s="50">
        <v>10</v>
      </c>
      <c r="H2929" s="50">
        <v>10</v>
      </c>
      <c r="I2929" s="50">
        <v>10</v>
      </c>
      <c r="J2929" s="50">
        <v>60</v>
      </c>
      <c r="K2929" s="51"/>
      <c r="L2929" s="50">
        <v>100</v>
      </c>
      <c r="M2929" s="49"/>
      <c r="N2929" s="29"/>
      <c r="O2929" s="29"/>
      <c r="P2929" s="19"/>
      <c r="Q2929" s="19"/>
      <c r="R2929" s="11"/>
    </row>
    <row r="2930" s="1" customFormat="1" ht="21.95" customHeight="1" spans="1:18">
      <c r="A2930" s="7"/>
      <c r="B2930" s="12"/>
      <c r="C2930" s="33"/>
      <c r="D2930" s="52" t="s">
        <v>751</v>
      </c>
      <c r="E2930" s="53"/>
      <c r="F2930" s="54" t="str">
        <f ca="1">IFERROR(VLOOKUP(F2913,'RR-3.1-5TH'!$A$12:'RR-3.1-5TH'!$BN$111,9,0),"")</f>
        <v/>
      </c>
      <c r="G2930" s="54" t="str">
        <f ca="1">IFERROR(VLOOKUP(F2913,'RR-3.1-5TH'!$A$12:'RR-3.1-5TH'!$BN$111,10,0),"")</f>
        <v/>
      </c>
      <c r="H2930" s="54" t="str">
        <f ca="1">IFERROR(VLOOKUP(F2913,'RR-3.1-5TH'!$A$12:'RR-3.1-5TH'!$BN$111,11,0),"")</f>
        <v/>
      </c>
      <c r="I2930" s="54" t="str">
        <f ca="1">IFERROR(VLOOKUP(F2913,'RR-3.1-5TH'!$A$12:'RR-3.1-5TH'!$BN$111,12,0),"")</f>
        <v/>
      </c>
      <c r="J2930" s="54" t="str">
        <f ca="1">IFERROR(VLOOKUP(F2913,'RR-3.1-5TH'!$A$12:'RR-3.1-5TH'!$BN$111,13,0),"")</f>
        <v/>
      </c>
      <c r="K2930" s="54" t="str">
        <f ca="1">IFERROR(VLOOKUP(F2913,'RR-3.1-5TH'!$A$12:'RR-3.1-5TH'!$BN$111,14,0),"")</f>
        <v/>
      </c>
      <c r="L2930" s="55">
        <f ca="1" t="shared" ref="L2930:L2935" si="153">SUM(F2930,G2930,H2930,I2930,J2930,K2930)</f>
        <v>0</v>
      </c>
      <c r="M2930" s="56" t="str">
        <f ca="1">IF(F2913&gt;ENTRY!$D$24,"",IF(L2930=0,"Ab",IF(L2930&gt;80,"A",IF(L2930&gt;60,"B",IF(L2930&gt;44,"C",IF(L2930&gt;=33,"D",IF(L2930&lt;=32,"E","")))))))</f>
        <v/>
      </c>
      <c r="N2930" s="57" t="s">
        <v>729</v>
      </c>
      <c r="O2930" s="58"/>
      <c r="P2930" s="59"/>
      <c r="Q2930" s="19"/>
      <c r="R2930" s="11"/>
    </row>
    <row r="2931" s="1" customFormat="1" ht="21.95" customHeight="1" spans="1:18">
      <c r="A2931" s="7"/>
      <c r="B2931" s="12"/>
      <c r="C2931" s="33"/>
      <c r="D2931" s="52" t="s">
        <v>513</v>
      </c>
      <c r="E2931" s="53"/>
      <c r="F2931" s="54" t="str">
        <f ca="1">IFERROR(VLOOKUP(F2913,'RR-3.1-5TH'!$A$12:'RR-3.1-5TH'!$BN$111,17,0),"")</f>
        <v/>
      </c>
      <c r="G2931" s="54" t="str">
        <f ca="1">IFERROR(VLOOKUP(F2913,'RR-3.1-5TH'!$A$12:'RR-3.1-5TH'!$BN$111,18,0),"")</f>
        <v/>
      </c>
      <c r="H2931" s="54" t="str">
        <f ca="1">IFERROR(VLOOKUP(F2913,'RR-3.1-5TH'!$A$12:'RR-3.1-5TH'!$BN$111,19,0),"")</f>
        <v/>
      </c>
      <c r="I2931" s="54" t="str">
        <f ca="1">IFERROR(VLOOKUP(F2913,'RR-3.1-5TH'!$A$12:'RR-3.1-5TH'!$BN$111,20,0),"")</f>
        <v/>
      </c>
      <c r="J2931" s="54" t="str">
        <f ca="1">IFERROR(VLOOKUP(F2913,'RR-3.1-5TH'!$A$12:'RR-3.1-5TH'!$BN$111,21,0),"")</f>
        <v/>
      </c>
      <c r="K2931" s="54" t="str">
        <f ca="1">IFERROR(VLOOKUP(F2913,'RR-3.1-5TH'!$A$12:'RR-3.1-5TH'!$BN$111,22,0),"")</f>
        <v/>
      </c>
      <c r="L2931" s="55">
        <f ca="1" t="shared" si="153"/>
        <v>0</v>
      </c>
      <c r="M2931" s="56" t="str">
        <f ca="1">IF(F2913&gt;ENTRY!$D$24,"",IF(L2931=0,"Ab",IF(L2931&gt;80,"A",IF(L2931&gt;60,"B",IF(L2931&gt;44,"C",IF(L2931&gt;=33,"D",IF(L2931&lt;=32,"E","")))))))</f>
        <v/>
      </c>
      <c r="N2931" s="58"/>
      <c r="O2931" s="58"/>
      <c r="P2931" s="59"/>
      <c r="Q2931" s="19"/>
      <c r="R2931" s="11"/>
    </row>
    <row r="2932" s="1" customFormat="1" ht="21.95" customHeight="1" spans="1:18">
      <c r="A2932" s="7"/>
      <c r="B2932" s="12"/>
      <c r="C2932" s="33"/>
      <c r="D2932" s="52" t="s">
        <v>718</v>
      </c>
      <c r="E2932" s="53"/>
      <c r="F2932" s="54" t="str">
        <f ca="1">IFERROR(VLOOKUP(F2913,'RR-3.1-5TH'!$A$12:'RR-3.1-5TH'!$BN$111,25,0),"")</f>
        <v/>
      </c>
      <c r="G2932" s="54" t="str">
        <f ca="1">IFERROR(VLOOKUP(F2913,'RR-3.1-5TH'!$A$12:'RR-3.1-5TH'!$BN$111,26,0),"")</f>
        <v/>
      </c>
      <c r="H2932" s="54" t="str">
        <f ca="1">IFERROR(VLOOKUP(F2913,'RR-3.1-5TH'!$A$12:'RR-3.1-5TH'!$BN$111,27,0),"")</f>
        <v/>
      </c>
      <c r="I2932" s="54" t="str">
        <f ca="1">IFERROR(VLOOKUP(F2913,'RR-3.1-5TH'!$A$12:'RR-3.1-5TH'!$BN$111,28,0),"")</f>
        <v/>
      </c>
      <c r="J2932" s="54" t="str">
        <f ca="1">IFERROR(VLOOKUP(F2913,'RR-3.1-5TH'!$A$12:'RR-3.1-5TH'!$BN$111,29,0),"")</f>
        <v/>
      </c>
      <c r="K2932" s="54" t="str">
        <f ca="1">IFERROR(VLOOKUP(F2913,'RR-3.1-5TH'!$A$12:'RR-3.1-5TH'!$BN$111,30,0),"")</f>
        <v/>
      </c>
      <c r="L2932" s="55">
        <f ca="1" t="shared" si="153"/>
        <v>0</v>
      </c>
      <c r="M2932" s="56" t="str">
        <f ca="1">IF(F2913&gt;ENTRY!$D$24,"",IF(L2932=0,"Ab",IF(L2932&gt;80,"A",IF(L2932&gt;60,"B",IF(L2932&gt;44,"C",IF(L2932&gt;=33,"D",IF(L2932&lt;=32,"E","")))))))</f>
        <v/>
      </c>
      <c r="N2932" s="29"/>
      <c r="O2932" s="29"/>
      <c r="P2932" s="19"/>
      <c r="Q2932" s="19"/>
      <c r="R2932" s="11"/>
    </row>
    <row r="2933" s="1" customFormat="1" ht="21.95" customHeight="1" spans="1:18">
      <c r="A2933" s="7"/>
      <c r="B2933" s="12"/>
      <c r="C2933" s="33"/>
      <c r="D2933" s="52" t="s">
        <v>719</v>
      </c>
      <c r="E2933" s="53"/>
      <c r="F2933" s="54" t="str">
        <f ca="1">IFERROR(VLOOKUP(F2913,'RR-3.1-5TH'!$A$12:'RR-3.1-5TH'!$BN$111,33,0),"")</f>
        <v/>
      </c>
      <c r="G2933" s="54" t="str">
        <f ca="1">IFERROR(VLOOKUP(F2913,'RR-3.1-5TH'!$A$12:'RR-3.1-5TH'!$BN$111,34,0),"")</f>
        <v/>
      </c>
      <c r="H2933" s="54" t="str">
        <f ca="1">IFERROR(VLOOKUP(F2913,'RR-3.1-5TH'!$A$12:'RR-3.1-5TH'!$BN$111,35,0),"")</f>
        <v/>
      </c>
      <c r="I2933" s="54" t="str">
        <f ca="1">IFERROR(VLOOKUP(F2913,'RR-3.1-5TH'!$A$12:'RR-3.1-5TH'!$BN$111,36,0),"")</f>
        <v/>
      </c>
      <c r="J2933" s="54" t="str">
        <f ca="1">IFERROR(VLOOKUP(F2913,'RR-3.1-5TH'!$A$12:'RR-3.1-5TH'!$BN$111,37,0),"")</f>
        <v/>
      </c>
      <c r="K2933" s="54" t="str">
        <f ca="1">IFERROR(VLOOKUP(F2913,'RR-3.1-5TH'!$A$12:'RR-3.1-5TH'!$BN$111,38,0),"")</f>
        <v/>
      </c>
      <c r="L2933" s="55">
        <f ca="1" t="shared" si="153"/>
        <v>0</v>
      </c>
      <c r="M2933" s="56" t="str">
        <f ca="1">IF(F2913&gt;ENTRY!$D$24,"",IF(L2933=0,"Ab",IF(L2933&gt;80,"A",IF(L2933&gt;60,"B",IF(L2933&gt;44,"C",IF(L2933&gt;=33,"D",IF(L2933&lt;=32,"E","")))))))</f>
        <v/>
      </c>
      <c r="N2933" s="29"/>
      <c r="O2933" s="29"/>
      <c r="P2933" s="19"/>
      <c r="Q2933" s="19"/>
      <c r="R2933" s="11"/>
    </row>
    <row r="2934" s="1" customFormat="1" ht="21.95" customHeight="1" spans="1:18">
      <c r="A2934" s="7"/>
      <c r="B2934" s="12"/>
      <c r="C2934" s="33"/>
      <c r="D2934" s="52" t="s">
        <v>548</v>
      </c>
      <c r="E2934" s="53"/>
      <c r="F2934" s="54" t="str">
        <f ca="1">IFERROR(VLOOKUP(F2913,'RR-3.1-5TH'!$A$12:'RR-3.1-5TH'!$BN$111,41,0),"")</f>
        <v/>
      </c>
      <c r="G2934" s="54" t="str">
        <f ca="1">IFERROR(VLOOKUP(F2913,'RR-3.1-5TH'!$A$12:'RR-3.1-5TH'!$BN$111,42,0),"")</f>
        <v/>
      </c>
      <c r="H2934" s="54" t="str">
        <f ca="1">IFERROR(VLOOKUP(F2913,'RR-3.1-5TH'!$A$12:'RR-3.1-5TH'!$BN$111,43,0),"")</f>
        <v/>
      </c>
      <c r="I2934" s="54" t="str">
        <f ca="1">IFERROR(VLOOKUP(F2913,'RR-3.1-5TH'!$A$12:'RR-3.1-5TH'!$BN$111,44,0),"")</f>
        <v/>
      </c>
      <c r="J2934" s="54" t="str">
        <f ca="1">IFERROR(VLOOKUP(F2913,'RR-3.1-5TH'!$A$12:'RR-3.1-5TH'!$BN$111,45,0),"")</f>
        <v/>
      </c>
      <c r="K2934" s="54" t="str">
        <f ca="1">IFERROR(VLOOKUP(F2913,'RR-3.1-5TH'!$A$12:'RR-3.1-5TH'!$BN$111,46,0),"")</f>
        <v/>
      </c>
      <c r="L2934" s="55">
        <f ca="1" t="shared" si="153"/>
        <v>0</v>
      </c>
      <c r="M2934" s="56" t="str">
        <f ca="1">IF(F2913&gt;ENTRY!$D$24,"",IF(L2934=0,"Ab",IF(L2934&gt;80,"A",IF(L2934&gt;60,"B",IF(L2934&gt;44,"C",IF(L2934&gt;=33,"D",IF(L2934&lt;=32,"E","")))))))</f>
        <v/>
      </c>
      <c r="N2934" s="29"/>
      <c r="O2934" s="29"/>
      <c r="P2934" s="19"/>
      <c r="Q2934" s="19"/>
      <c r="R2934" s="11"/>
    </row>
    <row r="2935" s="1" customFormat="1" ht="21.95" customHeight="1" spans="1:18">
      <c r="A2935" s="7"/>
      <c r="B2935" s="12"/>
      <c r="C2935" s="33"/>
      <c r="D2935" s="52" t="s">
        <v>549</v>
      </c>
      <c r="E2935" s="53"/>
      <c r="F2935" s="54" t="str">
        <f ca="1">IFERROR(VLOOKUP(F2913,'RR-3.1-5TH'!$A$12:'RR-3.1-5TH'!$BN$111,49,0),"")</f>
        <v/>
      </c>
      <c r="G2935" s="54" t="str">
        <f ca="1">IFERROR(VLOOKUP(F2913,'RR-3.1-5TH'!$A$12:'RR-3.1-5TH'!$BN$111,50,0),"")</f>
        <v/>
      </c>
      <c r="H2935" s="54" t="str">
        <f ca="1">IFERROR(VLOOKUP(F2913,'RR-3.1-5TH'!$A$12:'RR-3.1-5TH'!$BN$111,51,0),"")</f>
        <v/>
      </c>
      <c r="I2935" s="54" t="str">
        <f ca="1">IFERROR(VLOOKUP(F2913,'RR-3.1-5TH'!$A$12:'RR-3.1-5TH'!$BN$111,52,0),"")</f>
        <v/>
      </c>
      <c r="J2935" s="54" t="str">
        <f ca="1">IFERROR(VLOOKUP(F2913,'RR-3.1-5TH'!$A$12:'RR-3.1-5TH'!$BN$111,53,0),"")</f>
        <v/>
      </c>
      <c r="K2935" s="54" t="str">
        <f ca="1">IFERROR(VLOOKUP(F2913,'RR-3.1-5TH'!$A$12:'RR-3.1-5TH'!$BN$111,54,0),"")</f>
        <v/>
      </c>
      <c r="L2935" s="55">
        <f ca="1" t="shared" si="153"/>
        <v>0</v>
      </c>
      <c r="M2935" s="56" t="str">
        <f ca="1">IF(F2913&gt;ENTRY!$D$24,"",IF(L2935=0,"Ab",IF(L2935&gt;80,"A",IF(L2935&gt;60,"B",IF(L2935&gt;44,"C",IF(L2935&gt;=33,"D",IF(L2935&lt;=32,"E","")))))))</f>
        <v/>
      </c>
      <c r="N2935" s="57" t="s">
        <v>752</v>
      </c>
      <c r="O2935" s="58"/>
      <c r="P2935" s="59"/>
      <c r="Q2935" s="19"/>
      <c r="R2935" s="11"/>
    </row>
    <row r="2936" s="1" customFormat="1" ht="21.95" customHeight="1" spans="1:18">
      <c r="A2936" s="7"/>
      <c r="B2936" s="12"/>
      <c r="C2936" s="33"/>
      <c r="D2936" s="52" t="s">
        <v>753</v>
      </c>
      <c r="E2936" s="53"/>
      <c r="F2936" s="60"/>
      <c r="G2936" s="54"/>
      <c r="H2936" s="54"/>
      <c r="I2936" s="54"/>
      <c r="J2936" s="54"/>
      <c r="K2936" s="54"/>
      <c r="L2936" s="55">
        <f t="shared" ref="L2936" si="154">SUM(G2936:K2936)</f>
        <v>0</v>
      </c>
      <c r="M2936" s="56" t="str">
        <f>IF(F2913&gt;ENTRY!$D$24,"",IF(L2936=0,"",IF(L2936&gt;79,"A",IF(L2936&gt;59,"B",IF(L2936&gt;44,"C",IF(L2936&gt;=33,"D",IF(L2936&lt;=32,"E","")))))))</f>
        <v/>
      </c>
      <c r="N2936" s="58"/>
      <c r="O2936" s="58"/>
      <c r="P2936" s="59"/>
      <c r="Q2936" s="19"/>
      <c r="R2936" s="11"/>
    </row>
    <row r="2937" s="1" customFormat="1" ht="21.95" customHeight="1" spans="1:18">
      <c r="A2937" s="7"/>
      <c r="B2937" s="12"/>
      <c r="C2937" s="33"/>
      <c r="D2937" s="45" t="s">
        <v>382</v>
      </c>
      <c r="E2937" s="46"/>
      <c r="F2937" s="54">
        <f ca="1" t="shared" ref="F2937:L2937" si="155">IFERROR(SUM(F2930:F2936),"")</f>
        <v>0</v>
      </c>
      <c r="G2937" s="54">
        <f ca="1" t="shared" si="155"/>
        <v>0</v>
      </c>
      <c r="H2937" s="54">
        <f ca="1" t="shared" si="155"/>
        <v>0</v>
      </c>
      <c r="I2937" s="54">
        <f ca="1" t="shared" si="155"/>
        <v>0</v>
      </c>
      <c r="J2937" s="54">
        <f ca="1" t="shared" si="155"/>
        <v>0</v>
      </c>
      <c r="K2937" s="54">
        <f ca="1" t="shared" si="155"/>
        <v>0</v>
      </c>
      <c r="L2937" s="55">
        <f ca="1" t="shared" si="155"/>
        <v>0</v>
      </c>
      <c r="M2937" s="61" t="str">
        <f ca="1">IF(F2913&gt;ENTRY!$D$24,"",IF(N2938="Ab","Ab",IF(N2938&gt;79.5,"A",IF(N2938&gt;59.5,"B",IF(N2938&gt;44.5,"C",IF(N2938&gt;=33,"D",IF(N2938&lt;33,"E","")))))))</f>
        <v/>
      </c>
      <c r="N2937" s="62"/>
      <c r="O2937" s="58"/>
      <c r="P2937" s="59"/>
      <c r="Q2937" s="19"/>
      <c r="R2937" s="11"/>
    </row>
    <row r="2938" s="1" customFormat="1" ht="21.95" customHeight="1" spans="1:18">
      <c r="A2938" s="7"/>
      <c r="B2938" s="12"/>
      <c r="C2938" s="33"/>
      <c r="D2938" s="63" t="s">
        <v>721</v>
      </c>
      <c r="E2938" s="63"/>
      <c r="F2938" s="63"/>
      <c r="G2938" s="63"/>
      <c r="H2938" s="63"/>
      <c r="I2938" s="63"/>
      <c r="J2938" s="63"/>
      <c r="K2938" s="63"/>
      <c r="L2938" s="63"/>
      <c r="M2938" s="63"/>
      <c r="N2938" s="64">
        <f ca="1">IF(L2937="Ab","Ab",L2937/6)</f>
        <v>0</v>
      </c>
      <c r="O2938" s="65"/>
      <c r="P2938" s="19"/>
      <c r="Q2938" s="19"/>
      <c r="R2938" s="11"/>
    </row>
    <row r="2939" s="1" customFormat="1" ht="21.95" customHeight="1" spans="1:18">
      <c r="A2939" s="7"/>
      <c r="B2939" s="12"/>
      <c r="C2939" s="33"/>
      <c r="D2939" s="29" t="s">
        <v>716</v>
      </c>
      <c r="E2939" s="18" t="str">
        <f>IFERROR(VLOOKUP(F2913,'1to4-2.1-RR'!$A$12:$BG$111,57,0),"")</f>
        <v/>
      </c>
      <c r="F2939" s="18"/>
      <c r="G2939" s="18"/>
      <c r="H2939" s="18"/>
      <c r="I2939" s="18"/>
      <c r="J2939" s="18"/>
      <c r="K2939" s="18"/>
      <c r="L2939" s="18"/>
      <c r="M2939" s="18"/>
      <c r="N2939" s="29"/>
      <c r="O2939" s="29"/>
      <c r="P2939" s="19"/>
      <c r="Q2939" s="19"/>
      <c r="R2939" s="11"/>
    </row>
    <row r="2940" s="1" customFormat="1" ht="9.95" customHeight="1" spans="1:18">
      <c r="A2940" s="7"/>
      <c r="B2940" s="12"/>
      <c r="C2940" s="33"/>
      <c r="D2940" s="29"/>
      <c r="E2940" s="29"/>
      <c r="F2940" s="29"/>
      <c r="G2940" s="29"/>
      <c r="H2940" s="29"/>
      <c r="I2940" s="29"/>
      <c r="J2940" s="29"/>
      <c r="K2940" s="29"/>
      <c r="L2940" s="29"/>
      <c r="M2940" s="29"/>
      <c r="N2940" s="29"/>
      <c r="O2940" s="29"/>
      <c r="P2940" s="19"/>
      <c r="Q2940" s="19"/>
      <c r="R2940" s="11"/>
    </row>
    <row r="2941" s="1" customFormat="1" ht="36" spans="1:18">
      <c r="A2941" s="7"/>
      <c r="B2941" s="12"/>
      <c r="C2941" s="33"/>
      <c r="D2941" s="66" t="s">
        <v>576</v>
      </c>
      <c r="E2941" s="67" t="s">
        <v>754</v>
      </c>
      <c r="F2941" s="47" t="str">
        <f>IF(F2913&gt;ENTRY!$D$24,"",IFERROR(VLOOKUP(F2913,PASHEET!$A$4:$CJ$103,88,0),""))</f>
        <v/>
      </c>
      <c r="G2941" s="67" t="s">
        <v>755</v>
      </c>
      <c r="H2941" s="47" t="str">
        <f>IF(F2913&gt;ENTRY!$D$24,"",IFERROR(VLOOKUP(F2913,PASHEET!$A$4:$CJ$103,87,0),""))</f>
        <v/>
      </c>
      <c r="I2941" s="68" t="s">
        <v>756</v>
      </c>
      <c r="J2941" s="69" t="str">
        <f>IF(F2913&gt;ENTRY!$D$24,"",IFERROR(IF(F2913&gt;0,H2941/F2941*100),""))</f>
        <v/>
      </c>
      <c r="K2941" s="60" t="s">
        <v>757</v>
      </c>
      <c r="L2941" s="70" t="str">
        <f ca="1">IF(F2913&gt;ENTRY!$D$24,"",IFERROR(L2937/600*100,""))</f>
        <v/>
      </c>
      <c r="M2941" s="47" t="str">
        <f ca="1">IF(F2913&gt;ENTRY!$D$24,"",IFERROR(L2937&amp;" / "&amp;"600",""))</f>
        <v/>
      </c>
      <c r="N2941" s="29"/>
      <c r="O2941" s="29"/>
      <c r="P2941" s="19"/>
      <c r="Q2941" s="19"/>
      <c r="R2941" s="11"/>
    </row>
    <row r="2942" s="1" customFormat="1" ht="9.95" customHeight="1" spans="1:18">
      <c r="A2942" s="7"/>
      <c r="B2942" s="12"/>
      <c r="C2942" s="39"/>
      <c r="D2942" s="40"/>
      <c r="E2942" s="40"/>
      <c r="F2942" s="40"/>
      <c r="G2942" s="40"/>
      <c r="H2942" s="40"/>
      <c r="I2942" s="40"/>
      <c r="J2942" s="40"/>
      <c r="K2942" s="40"/>
      <c r="L2942" s="40"/>
      <c r="M2942" s="40"/>
      <c r="N2942" s="40"/>
      <c r="O2942" s="40"/>
      <c r="P2942" s="41"/>
      <c r="Q2942" s="19"/>
      <c r="R2942" s="11"/>
    </row>
    <row r="2943" s="1" customFormat="1" ht="9.95" customHeight="1" spans="1:18">
      <c r="A2943" s="7"/>
      <c r="B2943" s="12"/>
      <c r="C2943" s="71"/>
      <c r="D2943" s="71"/>
      <c r="E2943" s="71"/>
      <c r="F2943" s="29"/>
      <c r="G2943" s="71"/>
      <c r="H2943" s="71"/>
      <c r="I2943" s="71"/>
      <c r="J2943" s="71"/>
      <c r="K2943" s="71"/>
      <c r="L2943" s="71"/>
      <c r="M2943" s="71"/>
      <c r="N2943" s="71"/>
      <c r="O2943" s="71"/>
      <c r="P2943" s="71"/>
      <c r="Q2943" s="19"/>
      <c r="R2943" s="11"/>
    </row>
    <row r="2944" s="1" customFormat="1" ht="9.95" customHeight="1" spans="1:18">
      <c r="A2944" s="7"/>
      <c r="B2944" s="12"/>
      <c r="C2944" s="29"/>
      <c r="D2944" s="29"/>
      <c r="E2944" s="29"/>
      <c r="F2944" s="72"/>
      <c r="G2944" s="29"/>
      <c r="H2944" s="29"/>
      <c r="I2944" s="29"/>
      <c r="J2944" s="29"/>
      <c r="K2944" s="29"/>
      <c r="L2944" s="29"/>
      <c r="M2944" s="29"/>
      <c r="N2944" s="29"/>
      <c r="O2944" s="29"/>
      <c r="P2944" s="29"/>
      <c r="Q2944" s="19"/>
      <c r="R2944" s="11"/>
    </row>
    <row r="2945" s="1" customFormat="1" ht="9.95" customHeight="1" spans="1:19">
      <c r="A2945" s="7"/>
      <c r="B2945" s="12"/>
      <c r="C2945" s="30"/>
      <c r="D2945" s="31"/>
      <c r="E2945" s="31"/>
      <c r="F2945" s="31"/>
      <c r="G2945" s="31"/>
      <c r="H2945" s="31"/>
      <c r="I2945" s="31"/>
      <c r="J2945" s="31"/>
      <c r="K2945" s="31"/>
      <c r="L2945" s="31"/>
      <c r="M2945" s="31"/>
      <c r="N2945" s="31"/>
      <c r="O2945" s="31"/>
      <c r="P2945" s="32"/>
      <c r="Q2945" s="19"/>
      <c r="R2945" s="11"/>
    </row>
    <row r="2946" s="1" customFormat="1" ht="21.95" customHeight="1" spans="1:19">
      <c r="A2946" s="7"/>
      <c r="B2946" s="12"/>
      <c r="C2946" s="73" t="s">
        <v>7</v>
      </c>
      <c r="D2946" s="13"/>
      <c r="E2946" s="13"/>
      <c r="F2946" s="13"/>
      <c r="G2946" s="13"/>
      <c r="H2946" s="13"/>
      <c r="I2946" s="13"/>
      <c r="J2946" s="13"/>
      <c r="K2946" s="13"/>
      <c r="L2946" s="13"/>
      <c r="M2946" s="13"/>
      <c r="N2946" s="13"/>
      <c r="O2946" s="13"/>
      <c r="P2946" s="74"/>
      <c r="Q2946" s="19"/>
      <c r="R2946" s="11"/>
      <c r="S2946" s="2"/>
    </row>
    <row r="2947" s="1" customFormat="1" ht="21.95" customHeight="1" spans="1:19">
      <c r="A2947" s="7"/>
      <c r="B2947" s="12"/>
      <c r="C2947" s="33"/>
      <c r="D2947" s="29"/>
      <c r="E2947" s="29"/>
      <c r="F2947" s="29"/>
      <c r="G2947" s="29"/>
      <c r="H2947" s="29"/>
      <c r="I2947" s="29"/>
      <c r="J2947" s="29"/>
      <c r="K2947" s="29"/>
      <c r="L2947" s="29"/>
      <c r="M2947" s="29"/>
      <c r="N2947" s="29"/>
      <c r="O2947" s="29"/>
      <c r="P2947" s="19"/>
      <c r="Q2947" s="19"/>
      <c r="R2947" s="11"/>
    </row>
    <row r="2948" s="1" customFormat="1" ht="21.95" customHeight="1" spans="1:19">
      <c r="A2948" s="7"/>
      <c r="B2948" s="12"/>
      <c r="C2948" s="75" t="str">
        <f>"SESSION-"&amp;ENTRY!$D$11</f>
        <v>SESSION-2026-27</v>
      </c>
      <c r="D2948" s="15"/>
      <c r="E2948" s="15"/>
      <c r="F2948" s="15"/>
      <c r="G2948" s="15"/>
      <c r="H2948" s="15"/>
      <c r="I2948" s="15"/>
      <c r="J2948" s="15"/>
      <c r="K2948" s="15"/>
      <c r="L2948" s="15"/>
      <c r="M2948" s="15"/>
      <c r="N2948" s="15"/>
      <c r="O2948" s="15"/>
      <c r="P2948" s="76"/>
      <c r="Q2948" s="19"/>
      <c r="R2948" s="11"/>
    </row>
    <row r="2949" s="1" customFormat="1" ht="18" customHeight="1" spans="1:19">
      <c r="A2949" s="7"/>
      <c r="B2949" s="12"/>
      <c r="C2949" s="33"/>
      <c r="D2949" s="29"/>
      <c r="E2949" s="29"/>
      <c r="F2949" s="29"/>
      <c r="G2949" s="29"/>
      <c r="H2949" s="29"/>
      <c r="I2949" s="29"/>
      <c r="J2949" s="29"/>
      <c r="K2949" s="29"/>
      <c r="L2949" s="29"/>
      <c r="M2949" s="29"/>
      <c r="N2949" s="29"/>
      <c r="O2949" s="29"/>
      <c r="P2949" s="19"/>
      <c r="Q2949" s="19"/>
      <c r="R2949" s="11"/>
    </row>
    <row r="2950" s="1" customFormat="1" ht="21.95" customHeight="1" spans="1:19">
      <c r="A2950" s="7"/>
      <c r="B2950" s="12"/>
      <c r="C2950" s="33"/>
      <c r="D2950" s="77" t="s">
        <v>758</v>
      </c>
      <c r="E2950" s="77"/>
      <c r="F2950" s="78" t="str">
        <f>IFERROR(PROPER(VLOOKUP(F2913,STUDENT!$A$2:$BP$101,5,0)),"")</f>
        <v/>
      </c>
      <c r="G2950" s="78"/>
      <c r="H2950" s="78"/>
      <c r="I2950" s="78"/>
      <c r="J2950" s="78"/>
      <c r="K2950" s="78"/>
      <c r="L2950" s="78"/>
      <c r="M2950" s="78"/>
      <c r="N2950" s="79" t="s">
        <v>759</v>
      </c>
      <c r="O2950" s="79"/>
      <c r="P2950" s="19"/>
      <c r="Q2950" s="19"/>
      <c r="R2950" s="11"/>
    </row>
    <row r="2951" s="1" customFormat="1" ht="21.95" customHeight="1" spans="1:19">
      <c r="A2951" s="7"/>
      <c r="B2951" s="12"/>
      <c r="C2951" s="33"/>
      <c r="D2951" s="80" t="s">
        <v>760</v>
      </c>
      <c r="E2951" s="81" t="str">
        <f>IFERROR(PROPER(VLOOKUP(F2913,STUDENT!$A$2:$BP$101,9,0)),"")</f>
        <v/>
      </c>
      <c r="F2951" s="81"/>
      <c r="G2951" s="81"/>
      <c r="H2951" s="80" t="s">
        <v>761</v>
      </c>
      <c r="I2951" s="82" t="str">
        <f>IFERROR(PROPER(VLOOKUP(F2913,STUDENT!$A$2:$BP$101,8,0)),"")</f>
        <v/>
      </c>
      <c r="J2951" s="82"/>
      <c r="K2951" s="82"/>
      <c r="L2951" s="82"/>
      <c r="M2951" s="80" t="s">
        <v>762</v>
      </c>
      <c r="N2951" s="83" t="str">
        <f>IFERROR(VLOOKUP(F2913,STUDENT!$A$2:$BP$101,59,0),"")</f>
        <v/>
      </c>
      <c r="O2951" s="83"/>
      <c r="P2951" s="19"/>
      <c r="Q2951" s="19"/>
      <c r="R2951" s="11"/>
    </row>
    <row r="2952" s="1" customFormat="1" ht="21.95" customHeight="1" spans="1:19">
      <c r="A2952" s="7"/>
      <c r="B2952" s="12"/>
      <c r="C2952" s="33"/>
      <c r="D2952" s="77" t="str">
        <f>"has    completed     his  /  her     primary     level     education    in    the    year    "&amp;RIGHT(ENTRY!$D2918,4)&amp;"    from    ( School    Name )"</f>
        <v>has    completed     his  /  her     primary     level     education    in    the    year        from    ( School    Name )</v>
      </c>
      <c r="E2952" s="77"/>
      <c r="F2952" s="77"/>
      <c r="G2952" s="77"/>
      <c r="H2952" s="77"/>
      <c r="I2952" s="77"/>
      <c r="J2952" s="77"/>
      <c r="K2952" s="77"/>
      <c r="L2952" s="77"/>
      <c r="M2952" s="77"/>
      <c r="N2952" s="77"/>
      <c r="O2952" s="77"/>
      <c r="P2952" s="19"/>
      <c r="Q2952" s="19"/>
      <c r="R2952" s="11"/>
    </row>
    <row r="2953" s="1" customFormat="1" ht="21.95" customHeight="1" spans="1:19">
      <c r="A2953" s="7"/>
      <c r="B2953" s="12"/>
      <c r="C2953" s="33"/>
      <c r="D2953" s="81" t="str">
        <f>IF(F2913&gt;0,ENTRY!$D$6,"")</f>
        <v>MCP NITHARI NO 1 BOYS</v>
      </c>
      <c r="E2953" s="81"/>
      <c r="F2953" s="81"/>
      <c r="G2953" s="81"/>
      <c r="H2953" s="81"/>
      <c r="I2953" s="81"/>
      <c r="J2953" s="81"/>
      <c r="K2953" s="81"/>
      <c r="L2953" s="81"/>
      <c r="M2953" s="80" t="s">
        <v>763</v>
      </c>
      <c r="N2953" s="84">
        <f>IF(F2913&gt;0,ENTRY!$D$7,"")</f>
        <v>0</v>
      </c>
      <c r="O2953" s="84"/>
      <c r="P2953" s="85" t="s">
        <v>727</v>
      </c>
      <c r="Q2953" s="19"/>
      <c r="R2953" s="11"/>
    </row>
    <row r="2954" s="1" customFormat="1" ht="21.95" customHeight="1" spans="1:19">
      <c r="A2954" s="7"/>
      <c r="B2954" s="12"/>
      <c r="C2954" s="33"/>
      <c r="D2954" s="29"/>
      <c r="E2954" s="29"/>
      <c r="F2954" s="29"/>
      <c r="G2954" s="29"/>
      <c r="H2954" s="29"/>
      <c r="I2954" s="29"/>
      <c r="J2954" s="29"/>
      <c r="K2954" s="29"/>
      <c r="L2954" s="29"/>
      <c r="M2954" s="29"/>
      <c r="N2954" s="29"/>
      <c r="O2954" s="29"/>
      <c r="P2954" s="19"/>
      <c r="Q2954" s="19"/>
      <c r="R2954" s="11"/>
    </row>
    <row r="2955" s="1" customFormat="1" ht="21.95" customHeight="1" spans="1:19">
      <c r="A2955" s="7"/>
      <c r="B2955" s="12"/>
      <c r="C2955" s="33"/>
      <c r="D2955" s="29"/>
      <c r="E2955" s="29"/>
      <c r="F2955" s="29"/>
      <c r="G2955" s="29"/>
      <c r="H2955" s="29"/>
      <c r="I2955" s="29"/>
      <c r="J2955" s="29"/>
      <c r="K2955" s="29"/>
      <c r="L2955" s="29"/>
      <c r="M2955" s="29"/>
      <c r="N2955" s="29"/>
      <c r="O2955" s="29"/>
      <c r="P2955" s="19"/>
      <c r="Q2955" s="19"/>
      <c r="R2955" s="11"/>
    </row>
    <row r="2956" s="1" customFormat="1" ht="21.95" customHeight="1" spans="1:19">
      <c r="A2956" s="7"/>
      <c r="B2956" s="12"/>
      <c r="C2956" s="33"/>
      <c r="D2956" s="29"/>
      <c r="E2956" s="29"/>
      <c r="F2956" s="29"/>
      <c r="G2956" s="29"/>
      <c r="H2956" s="29"/>
      <c r="I2956" s="29"/>
      <c r="J2956" s="29"/>
      <c r="K2956" s="29"/>
      <c r="L2956" s="29"/>
      <c r="M2956" s="29"/>
      <c r="N2956" s="29"/>
      <c r="O2956" s="29"/>
      <c r="P2956" s="19"/>
      <c r="Q2956" s="19"/>
      <c r="R2956" s="11"/>
    </row>
    <row r="2957" s="1" customFormat="1" ht="21.95" customHeight="1" spans="1:19">
      <c r="A2957" s="7"/>
      <c r="B2957" s="12"/>
      <c r="C2957" s="33"/>
      <c r="D2957" s="29"/>
      <c r="E2957" s="29"/>
      <c r="F2957" s="29"/>
      <c r="G2957" s="29"/>
      <c r="H2957" s="29"/>
      <c r="I2957" s="29"/>
      <c r="J2957" s="29"/>
      <c r="K2957" s="29"/>
      <c r="L2957" s="29"/>
      <c r="M2957" s="29"/>
      <c r="N2957" s="29"/>
      <c r="O2957" s="29"/>
      <c r="P2957" s="19"/>
      <c r="Q2957" s="19"/>
      <c r="R2957" s="11"/>
    </row>
    <row r="2958" s="1" customFormat="1" ht="21.95" customHeight="1" spans="1:19">
      <c r="A2958" s="7"/>
      <c r="B2958" s="12"/>
      <c r="C2958" s="33"/>
      <c r="D2958" s="29"/>
      <c r="E2958" s="29"/>
      <c r="F2958" s="29"/>
      <c r="G2958" s="29"/>
      <c r="H2958" s="29"/>
      <c r="I2958" s="29"/>
      <c r="J2958" s="29"/>
      <c r="K2958" s="29"/>
      <c r="L2958" s="29"/>
      <c r="M2958" s="29"/>
      <c r="N2958" s="29"/>
      <c r="O2958" s="29"/>
      <c r="P2958" s="19"/>
      <c r="Q2958" s="19"/>
      <c r="R2958" s="11"/>
    </row>
    <row r="2959" s="1" customFormat="1" ht="21.95" customHeight="1" spans="1:19">
      <c r="A2959" s="7"/>
      <c r="B2959" s="12"/>
      <c r="C2959" s="33"/>
      <c r="D2959" s="80" t="s">
        <v>728</v>
      </c>
      <c r="E2959" s="86">
        <f>ENTRY!$D$27</f>
        <v>46102</v>
      </c>
      <c r="F2959" s="86"/>
      <c r="G2959" s="29"/>
      <c r="H2959" s="29"/>
      <c r="I2959" s="29"/>
      <c r="J2959" s="29"/>
      <c r="K2959" s="29"/>
      <c r="L2959" s="29"/>
      <c r="M2959" s="87" t="s">
        <v>730</v>
      </c>
      <c r="N2959" s="87"/>
      <c r="O2959" s="87"/>
      <c r="P2959" s="19"/>
      <c r="Q2959" s="19"/>
      <c r="R2959" s="11"/>
    </row>
    <row r="2960" s="1" customFormat="1" ht="21.95" customHeight="1" spans="1:19">
      <c r="A2960" s="7"/>
      <c r="B2960" s="12"/>
      <c r="C2960" s="33"/>
      <c r="D2960" s="80" t="s">
        <v>731</v>
      </c>
      <c r="E2960" s="88" t="str">
        <f>PROPER(ENTRY!$D$28)</f>
        <v>New Delhi</v>
      </c>
      <c r="F2960" s="88"/>
      <c r="G2960" s="29"/>
      <c r="H2960" s="29"/>
      <c r="I2960" s="29"/>
      <c r="J2960" s="29"/>
      <c r="K2960" s="29"/>
      <c r="L2960" s="29"/>
      <c r="M2960" s="89" t="s">
        <v>732</v>
      </c>
      <c r="N2960" s="89"/>
      <c r="O2960" s="89"/>
      <c r="P2960" s="19"/>
      <c r="Q2960" s="19"/>
      <c r="R2960" s="11"/>
    </row>
    <row r="2961" s="1" customFormat="1" ht="21.95" customHeight="1" spans="1:18">
      <c r="A2961" s="7"/>
      <c r="B2961" s="12"/>
      <c r="C2961" s="90"/>
      <c r="D2961" s="91"/>
      <c r="E2961" s="91"/>
      <c r="F2961" s="91"/>
      <c r="G2961" s="91"/>
      <c r="H2961" s="91"/>
      <c r="I2961" s="91"/>
      <c r="J2961" s="91"/>
      <c r="K2961" s="91"/>
      <c r="L2961" s="91"/>
      <c r="M2961" s="91"/>
      <c r="N2961" s="91"/>
      <c r="O2961" s="91"/>
      <c r="P2961" s="92"/>
      <c r="Q2961" s="14"/>
      <c r="R2961" s="11"/>
    </row>
    <row r="2962" s="1" customFormat="1" ht="5.1" customHeight="1" spans="1:18">
      <c r="A2962" s="7"/>
      <c r="B2962" s="90"/>
      <c r="C2962" s="91"/>
      <c r="D2962" s="91"/>
      <c r="E2962" s="91"/>
      <c r="F2962" s="91"/>
      <c r="G2962" s="91"/>
      <c r="H2962" s="91"/>
      <c r="I2962" s="91"/>
      <c r="J2962" s="91"/>
      <c r="K2962" s="91"/>
      <c r="L2962" s="91"/>
      <c r="M2962" s="91"/>
      <c r="N2962" s="91"/>
      <c r="O2962" s="91"/>
      <c r="P2962" s="91"/>
      <c r="Q2962" s="92"/>
      <c r="R2962" s="11"/>
    </row>
    <row r="2963" s="1" customFormat="1" ht="5.1" customHeight="1" spans="1:18">
      <c r="A2963" s="93"/>
      <c r="B2963" s="94"/>
      <c r="C2963" s="94"/>
      <c r="D2963" s="94"/>
      <c r="E2963" s="94"/>
      <c r="F2963" s="94"/>
      <c r="G2963" s="94"/>
      <c r="H2963" s="94"/>
      <c r="I2963" s="94"/>
      <c r="J2963" s="94"/>
      <c r="K2963" s="94"/>
      <c r="L2963" s="94"/>
      <c r="M2963" s="94"/>
      <c r="N2963" s="94"/>
      <c r="O2963" s="94"/>
      <c r="P2963" s="94"/>
      <c r="Q2963" s="94"/>
      <c r="R2963" s="95"/>
    </row>
    <row r="2964" s="2" customFormat="1" ht="9.95" customHeight="1"/>
    <row r="2965" s="1" customFormat="1" ht="5.1" customHeight="1" spans="1:18">
      <c r="A2965" s="4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  <c r="O2965" s="5"/>
      <c r="P2965" s="5"/>
      <c r="Q2965" s="5"/>
      <c r="R2965" s="6"/>
    </row>
    <row r="2966" s="1" customFormat="1" ht="15" customHeight="1" spans="1:18">
      <c r="A2966" s="7"/>
      <c r="B2966" s="8"/>
      <c r="C2966" s="9"/>
      <c r="D2966" s="9"/>
      <c r="E2966" s="9"/>
      <c r="F2966" s="9"/>
      <c r="G2966" s="9"/>
      <c r="H2966" s="9"/>
      <c r="I2966" s="9"/>
      <c r="J2966" s="9"/>
      <c r="K2966" s="9"/>
      <c r="L2966" s="9"/>
      <c r="M2966" s="9"/>
      <c r="N2966" s="9"/>
      <c r="O2966" s="9"/>
      <c r="P2966" s="9"/>
      <c r="Q2966" s="10"/>
      <c r="R2966" s="11"/>
    </row>
    <row r="2967" s="1" customFormat="1" ht="21.95" customHeight="1" spans="1:18">
      <c r="A2967" s="7"/>
      <c r="B2967" s="12"/>
      <c r="C2967" s="13" t="s">
        <v>7</v>
      </c>
      <c r="D2967" s="13"/>
      <c r="E2967" s="13"/>
      <c r="F2967" s="13"/>
      <c r="G2967" s="13"/>
      <c r="H2967" s="13"/>
      <c r="I2967" s="13"/>
      <c r="J2967" s="13"/>
      <c r="K2967" s="13"/>
      <c r="L2967" s="13"/>
      <c r="M2967" s="13"/>
      <c r="N2967" s="13"/>
      <c r="O2967" s="13"/>
      <c r="P2967" s="13"/>
      <c r="Q2967" s="14"/>
      <c r="R2967" s="11"/>
    </row>
    <row r="2968" s="1" customFormat="1" ht="21.95" customHeight="1" spans="1:18">
      <c r="A2968" s="7"/>
      <c r="B2968" s="1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14"/>
      <c r="R2968" s="11"/>
    </row>
    <row r="2969" s="1" customFormat="1" ht="21.95" customHeight="1" spans="1:18">
      <c r="A2969" s="7"/>
      <c r="B2969" s="12"/>
      <c r="C2969" s="15" t="str">
        <f>"SESSION-"&amp;ENTRY!$D$11</f>
        <v>SESSION-2026-27</v>
      </c>
      <c r="D2969" s="15"/>
      <c r="E2969" s="15"/>
      <c r="F2969" s="15"/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4"/>
      <c r="R2969" s="11"/>
    </row>
    <row r="2970" s="1" customFormat="1" ht="21.95" customHeight="1" spans="1:18">
      <c r="A2970" s="7"/>
      <c r="B2970" s="12"/>
      <c r="C2970" s="2"/>
      <c r="D2970" s="2"/>
      <c r="E2970" s="2"/>
      <c r="F2970" s="16">
        <f>F2913+1</f>
        <v>53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14"/>
      <c r="R2970" s="11"/>
    </row>
    <row r="2971" s="1" customFormat="1" ht="21.95" customHeight="1" spans="1:18">
      <c r="A2971" s="7"/>
      <c r="B2971" s="12"/>
      <c r="C2971" s="17" t="s">
        <v>392</v>
      </c>
      <c r="D2971" s="17"/>
      <c r="E2971" s="17"/>
      <c r="F2971" s="18" t="str">
        <f>IF(F2970&gt;0,ENTRY!$D$6,"")</f>
        <v>MCP NITHARI NO 1 BOYS</v>
      </c>
      <c r="G2971" s="18"/>
      <c r="H2971" s="18"/>
      <c r="I2971" s="18"/>
      <c r="J2971" s="18"/>
      <c r="K2971" s="18"/>
      <c r="L2971" s="18"/>
      <c r="M2971" s="18"/>
      <c r="N2971" s="18"/>
      <c r="O2971" s="18"/>
      <c r="P2971" s="18"/>
      <c r="Q2971" s="19"/>
      <c r="R2971" s="11"/>
    </row>
    <row r="2972" s="1" customFormat="1" ht="21.95" customHeight="1" spans="1:18">
      <c r="A2972" s="7"/>
      <c r="B2972" s="12"/>
      <c r="C2972" s="17" t="s">
        <v>393</v>
      </c>
      <c r="D2972" s="17"/>
      <c r="E2972" s="17"/>
      <c r="F2972" s="18">
        <f>IF(F2970&gt;0,ENTRY!$D$7,"")</f>
        <v>0</v>
      </c>
      <c r="G2972" s="18"/>
      <c r="H2972" s="20" t="s">
        <v>702</v>
      </c>
      <c r="I2972" s="20"/>
      <c r="J2972" s="21">
        <f>IF(F2970&gt;0,ENTRY!$D$10,"")</f>
        <v>40</v>
      </c>
      <c r="K2972" s="20" t="s">
        <v>703</v>
      </c>
      <c r="L2972" s="22" t="str">
        <f>IF(F2970&gt;0,ENTRY!$D$5,"")</f>
        <v>ROHINI ZONE</v>
      </c>
      <c r="M2972" s="22"/>
      <c r="N2972" s="22"/>
      <c r="O2972" s="22"/>
      <c r="P2972" s="22"/>
      <c r="Q2972" s="19"/>
      <c r="R2972" s="11"/>
    </row>
    <row r="2973" s="1" customFormat="1" ht="21.95" customHeight="1" spans="1:18">
      <c r="A2973" s="7"/>
      <c r="B2973" s="12"/>
      <c r="C2973" s="17" t="s">
        <v>706</v>
      </c>
      <c r="D2973" s="17"/>
      <c r="E2973" s="17"/>
      <c r="F2973" s="23">
        <f>IFERROR(VLOOKUP(F2970,STUDENT!$A$2:$BP$101,5,0),"")</f>
        <v>0</v>
      </c>
      <c r="G2973" s="23"/>
      <c r="H2973" s="23"/>
      <c r="I2973" s="23"/>
      <c r="J2973" s="23"/>
      <c r="K2973" s="23"/>
      <c r="L2973" s="20" t="s">
        <v>707</v>
      </c>
      <c r="M2973" s="20"/>
      <c r="N2973" s="24" t="str">
        <f>IF(F2970&gt;0,ENTRY!$D$20&amp;"-"&amp;ENTRY!$D$21,"")</f>
        <v>III-A</v>
      </c>
      <c r="O2973" s="24"/>
      <c r="P2973" s="24"/>
      <c r="Q2973" s="19"/>
      <c r="R2973" s="11"/>
    </row>
    <row r="2974" s="1" customFormat="1" ht="21.95" customHeight="1" spans="1:18">
      <c r="A2974" s="7"/>
      <c r="B2974" s="12"/>
      <c r="C2974" s="17" t="s">
        <v>708</v>
      </c>
      <c r="D2974" s="17"/>
      <c r="E2974" s="17"/>
      <c r="F2974" s="25">
        <f>IFERROR(VLOOKUP(F2970,STUDENT!$A$2:$BP$101,6,0),"")</f>
        <v>0</v>
      </c>
      <c r="G2974" s="25"/>
      <c r="H2974" s="26" t="s">
        <v>709</v>
      </c>
      <c r="I2974" s="27" t="str">
        <f>IFERROR(VLOOKUP(F2970,STUDENT!$A$2:$BP$101,59,0),"")</f>
        <v/>
      </c>
      <c r="J2974" s="27"/>
      <c r="K2974" s="20" t="s">
        <v>710</v>
      </c>
      <c r="L2974" s="20"/>
      <c r="M2974" s="28">
        <f>IFERROR(VLOOKUP(F2970,STUDENT!$A$2:$BP$101,20,0),"")</f>
        <v>0</v>
      </c>
      <c r="N2974" s="28"/>
      <c r="O2974" s="28"/>
      <c r="P2974" s="28"/>
      <c r="Q2974" s="19"/>
      <c r="R2974" s="11"/>
    </row>
    <row r="2975" s="1" customFormat="1" ht="21.95" customHeight="1" spans="1:18">
      <c r="A2975" s="7"/>
      <c r="B2975" s="12"/>
      <c r="C2975" s="17" t="s">
        <v>711</v>
      </c>
      <c r="D2975" s="17"/>
      <c r="E2975" s="17"/>
      <c r="F2975" s="23">
        <f>IFERROR(VLOOKUP(F2970,STUDENT!$A$2:$BP$101,9,0),"")</f>
        <v>0</v>
      </c>
      <c r="G2975" s="23"/>
      <c r="H2975" s="23"/>
      <c r="I2975" s="23"/>
      <c r="J2975" s="17" t="s">
        <v>620</v>
      </c>
      <c r="K2975" s="17"/>
      <c r="L2975" s="23">
        <f>IFERROR(VLOOKUP(F2970,STUDENT!$A$2:$BP$101,8,0),"")</f>
        <v>0</v>
      </c>
      <c r="M2975" s="23"/>
      <c r="N2975" s="23"/>
      <c r="O2975" s="23"/>
      <c r="P2975" s="23"/>
      <c r="Q2975" s="19"/>
      <c r="R2975" s="11"/>
    </row>
    <row r="2976" s="1" customFormat="1" ht="21.95" customHeight="1" spans="1:18">
      <c r="A2976" s="7"/>
      <c r="B2976" s="12"/>
      <c r="C2976" s="17" t="s">
        <v>712</v>
      </c>
      <c r="D2976" s="17"/>
      <c r="E2976" s="17"/>
      <c r="F2976" s="23">
        <f>IFERROR(VLOOKUP(F2970,STUDENT!$A$2:$BP$101,22,0),"")</f>
        <v>0</v>
      </c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19"/>
      <c r="R2976" s="11"/>
    </row>
    <row r="2977" s="1" customFormat="1" ht="9.95" customHeight="1" spans="1:18">
      <c r="A2977" s="7"/>
      <c r="B2977" s="12"/>
      <c r="C2977" s="29"/>
      <c r="D2977" s="29"/>
      <c r="E2977" s="29"/>
      <c r="F2977" s="29"/>
      <c r="G2977" s="29"/>
      <c r="H2977" s="29"/>
      <c r="I2977" s="29"/>
      <c r="J2977" s="29"/>
      <c r="K2977" s="29"/>
      <c r="L2977" s="29"/>
      <c r="M2977" s="29"/>
      <c r="N2977" s="29"/>
      <c r="O2977" s="29"/>
      <c r="P2977" s="29"/>
      <c r="Q2977" s="19"/>
      <c r="R2977" s="11"/>
    </row>
    <row r="2978" s="1" customFormat="1" ht="9.95" customHeight="1" spans="1:18">
      <c r="A2978" s="7"/>
      <c r="B2978" s="12"/>
      <c r="C2978" s="30"/>
      <c r="D2978" s="31"/>
      <c r="E2978" s="31"/>
      <c r="F2978" s="31"/>
      <c r="G2978" s="31"/>
      <c r="H2978" s="31"/>
      <c r="I2978" s="31"/>
      <c r="J2978" s="31"/>
      <c r="K2978" s="31"/>
      <c r="L2978" s="31"/>
      <c r="M2978" s="31"/>
      <c r="N2978" s="31"/>
      <c r="O2978" s="31"/>
      <c r="P2978" s="32"/>
      <c r="Q2978" s="19"/>
      <c r="R2978" s="11"/>
    </row>
    <row r="2979" s="1" customFormat="1" ht="21.95" customHeight="1" spans="1:18">
      <c r="A2979" s="7"/>
      <c r="B2979" s="12"/>
      <c r="C2979" s="33"/>
      <c r="D2979" s="34" t="s">
        <v>713</v>
      </c>
      <c r="E2979" s="20" t="s">
        <v>714</v>
      </c>
      <c r="F2979" s="35" t="str">
        <f>"Level - "&amp;IFERROR(VLOOKUP(F2970,FLN!$A$4:$K$103,9,0),"")</f>
        <v>Level - </v>
      </c>
      <c r="G2979" s="36"/>
      <c r="H2979" s="37" t="s">
        <v>715</v>
      </c>
      <c r="I2979" s="20"/>
      <c r="J2979" s="35" t="str">
        <f>"Level - "&amp;IFERROR(VLOOKUP(F2970,FLN!$A$4:$K$103,11,0),"")</f>
        <v>Level - </v>
      </c>
      <c r="K2979" s="36"/>
      <c r="L2979" s="37" t="s">
        <v>408</v>
      </c>
      <c r="M2979" s="20"/>
      <c r="N2979" s="35" t="str">
        <f>"Level - "&amp;IFERROR(VLOOKUP(F2970,FLN!$A$4:$K$103,10,0),"")</f>
        <v>Level - </v>
      </c>
      <c r="O2979" s="36"/>
      <c r="P2979" s="19"/>
      <c r="Q2979" s="19"/>
      <c r="R2979" s="11"/>
    </row>
    <row r="2980" s="1" customFormat="1" ht="21.95" customHeight="1" spans="1:18">
      <c r="A2980" s="7"/>
      <c r="B2980" s="12"/>
      <c r="C2980" s="33"/>
      <c r="D2980" s="38"/>
      <c r="E2980" s="20" t="s">
        <v>716</v>
      </c>
      <c r="F2980" s="18" t="str">
        <f ca="1">IF(L2994&gt;197,"PERFORMED WELL","")</f>
        <v/>
      </c>
      <c r="G2980" s="18"/>
      <c r="H2980" s="18"/>
      <c r="I2980" s="18"/>
      <c r="J2980" s="18"/>
      <c r="K2980" s="18"/>
      <c r="L2980" s="18"/>
      <c r="M2980" s="18"/>
      <c r="N2980" s="18"/>
      <c r="O2980" s="18"/>
      <c r="P2980" s="19"/>
      <c r="Q2980" s="19"/>
      <c r="R2980" s="11"/>
    </row>
    <row r="2981" s="1" customFormat="1" ht="9.95" customHeight="1" spans="1:18">
      <c r="A2981" s="7"/>
      <c r="B2981" s="12"/>
      <c r="C2981" s="39"/>
      <c r="D2981" s="40"/>
      <c r="E2981" s="40"/>
      <c r="F2981" s="40"/>
      <c r="G2981" s="40"/>
      <c r="H2981" s="40"/>
      <c r="I2981" s="40"/>
      <c r="J2981" s="40"/>
      <c r="K2981" s="40"/>
      <c r="L2981" s="40"/>
      <c r="M2981" s="40"/>
      <c r="N2981" s="40"/>
      <c r="O2981" s="40"/>
      <c r="P2981" s="41"/>
      <c r="Q2981" s="19"/>
      <c r="R2981" s="11"/>
    </row>
    <row r="2982" s="1" customFormat="1" ht="9.95" customHeight="1" spans="1:18">
      <c r="A2982" s="7"/>
      <c r="B2982" s="12"/>
      <c r="C2982" s="29"/>
      <c r="D2982" s="29"/>
      <c r="E2982" s="29"/>
      <c r="F2982" s="29"/>
      <c r="G2982" s="29"/>
      <c r="H2982" s="29"/>
      <c r="I2982" s="29"/>
      <c r="J2982" s="29"/>
      <c r="K2982" s="29"/>
      <c r="L2982" s="29"/>
      <c r="M2982" s="29"/>
      <c r="N2982" s="29"/>
      <c r="O2982" s="29"/>
      <c r="P2982" s="29"/>
      <c r="Q2982" s="19"/>
      <c r="R2982" s="11"/>
    </row>
    <row r="2983" s="1" customFormat="1" ht="9.95" customHeight="1" spans="1:18">
      <c r="A2983" s="7"/>
      <c r="B2983" s="12"/>
      <c r="C2983" s="30"/>
      <c r="D2983" s="31"/>
      <c r="E2983" s="31"/>
      <c r="F2983" s="31"/>
      <c r="G2983" s="31"/>
      <c r="H2983" s="31"/>
      <c r="I2983" s="31"/>
      <c r="J2983" s="31"/>
      <c r="K2983" s="31"/>
      <c r="L2983" s="31"/>
      <c r="M2983" s="31"/>
      <c r="N2983" s="31"/>
      <c r="O2983" s="31"/>
      <c r="P2983" s="32"/>
      <c r="Q2983" s="19"/>
      <c r="R2983" s="11"/>
    </row>
    <row r="2984" s="1" customFormat="1" ht="21.95" customHeight="1" spans="1:18">
      <c r="A2984" s="7"/>
      <c r="B2984" s="12"/>
      <c r="C2984" s="33"/>
      <c r="D2984" s="35"/>
      <c r="E2984" s="24"/>
      <c r="F2984" s="42" t="s">
        <v>717</v>
      </c>
      <c r="G2984" s="42"/>
      <c r="H2984" s="42"/>
      <c r="I2984" s="42"/>
      <c r="J2984" s="42"/>
      <c r="K2984" s="42"/>
      <c r="L2984" s="43"/>
      <c r="M2984" s="44"/>
      <c r="N2984" s="29"/>
      <c r="O2984" s="29"/>
      <c r="P2984" s="19"/>
      <c r="Q2984" s="19"/>
      <c r="R2984" s="11"/>
    </row>
    <row r="2985" s="1" customFormat="1" ht="21.95" customHeight="1" spans="1:18">
      <c r="A2985" s="7"/>
      <c r="B2985" s="12"/>
      <c r="C2985" s="33"/>
      <c r="D2985" s="45"/>
      <c r="E2985" s="46"/>
      <c r="F2985" s="47" t="s">
        <v>541</v>
      </c>
      <c r="G2985" s="47" t="s">
        <v>542</v>
      </c>
      <c r="H2985" s="47" t="s">
        <v>543</v>
      </c>
      <c r="I2985" s="47" t="s">
        <v>544</v>
      </c>
      <c r="J2985" s="47" t="s">
        <v>561</v>
      </c>
      <c r="K2985" s="48" t="s">
        <v>750</v>
      </c>
      <c r="L2985" s="47" t="s">
        <v>382</v>
      </c>
      <c r="M2985" s="49" t="s">
        <v>546</v>
      </c>
      <c r="N2985" s="29"/>
      <c r="O2985" s="29"/>
      <c r="P2985" s="19"/>
      <c r="Q2985" s="19"/>
      <c r="R2985" s="11"/>
    </row>
    <row r="2986" s="1" customFormat="1" ht="21.95" customHeight="1" spans="1:18">
      <c r="A2986" s="7"/>
      <c r="B2986" s="12"/>
      <c r="C2986" s="33"/>
      <c r="D2986" s="45" t="s">
        <v>652</v>
      </c>
      <c r="E2986" s="46"/>
      <c r="F2986" s="50">
        <v>10</v>
      </c>
      <c r="G2986" s="50">
        <v>10</v>
      </c>
      <c r="H2986" s="50">
        <v>10</v>
      </c>
      <c r="I2986" s="50">
        <v>10</v>
      </c>
      <c r="J2986" s="50">
        <v>60</v>
      </c>
      <c r="K2986" s="51"/>
      <c r="L2986" s="50">
        <v>100</v>
      </c>
      <c r="M2986" s="49"/>
      <c r="N2986" s="29"/>
      <c r="O2986" s="29"/>
      <c r="P2986" s="19"/>
      <c r="Q2986" s="19"/>
      <c r="R2986" s="11"/>
    </row>
    <row r="2987" s="1" customFormat="1" ht="21.95" customHeight="1" spans="1:18">
      <c r="A2987" s="7"/>
      <c r="B2987" s="12"/>
      <c r="C2987" s="33"/>
      <c r="D2987" s="52" t="s">
        <v>751</v>
      </c>
      <c r="E2987" s="53"/>
      <c r="F2987" s="54" t="str">
        <f ca="1">IFERROR(VLOOKUP(F2970,'RR-3.1-5TH'!$A$12:'RR-3.1-5TH'!$BN$111,9,0),"")</f>
        <v/>
      </c>
      <c r="G2987" s="54" t="str">
        <f ca="1">IFERROR(VLOOKUP(F2970,'RR-3.1-5TH'!$A$12:'RR-3.1-5TH'!$BN$111,10,0),"")</f>
        <v/>
      </c>
      <c r="H2987" s="54" t="str">
        <f ca="1">IFERROR(VLOOKUP(F2970,'RR-3.1-5TH'!$A$12:'RR-3.1-5TH'!$BN$111,11,0),"")</f>
        <v/>
      </c>
      <c r="I2987" s="54" t="str">
        <f ca="1">IFERROR(VLOOKUP(F2970,'RR-3.1-5TH'!$A$12:'RR-3.1-5TH'!$BN$111,12,0),"")</f>
        <v/>
      </c>
      <c r="J2987" s="54" t="str">
        <f ca="1">IFERROR(VLOOKUP(F2970,'RR-3.1-5TH'!$A$12:'RR-3.1-5TH'!$BN$111,13,0),"")</f>
        <v/>
      </c>
      <c r="K2987" s="54" t="str">
        <f ca="1">IFERROR(VLOOKUP(F2970,'RR-3.1-5TH'!$A$12:'RR-3.1-5TH'!$BN$111,14,0),"")</f>
        <v/>
      </c>
      <c r="L2987" s="55">
        <f ca="1" t="shared" ref="L2987:L2992" si="156">SUM(F2987,G2987,H2987,I2987,J2987,K2987)</f>
        <v>0</v>
      </c>
      <c r="M2987" s="56" t="str">
        <f ca="1">IF(F2970&gt;ENTRY!$D$24,"",IF(L2987=0,"Ab",IF(L2987&gt;80,"A",IF(L2987&gt;60,"B",IF(L2987&gt;44,"C",IF(L2987&gt;=33,"D",IF(L2987&lt;=32,"E","")))))))</f>
        <v/>
      </c>
      <c r="N2987" s="57" t="s">
        <v>729</v>
      </c>
      <c r="O2987" s="58"/>
      <c r="P2987" s="59"/>
      <c r="Q2987" s="19"/>
      <c r="R2987" s="11"/>
    </row>
    <row r="2988" s="1" customFormat="1" ht="21.95" customHeight="1" spans="1:18">
      <c r="A2988" s="7"/>
      <c r="B2988" s="12"/>
      <c r="C2988" s="33"/>
      <c r="D2988" s="52" t="s">
        <v>513</v>
      </c>
      <c r="E2988" s="53"/>
      <c r="F2988" s="54" t="str">
        <f ca="1">IFERROR(VLOOKUP(F2970,'RR-3.1-5TH'!$A$12:'RR-3.1-5TH'!$BN$111,17,0),"")</f>
        <v/>
      </c>
      <c r="G2988" s="54" t="str">
        <f ca="1">IFERROR(VLOOKUP(F2970,'RR-3.1-5TH'!$A$12:'RR-3.1-5TH'!$BN$111,18,0),"")</f>
        <v/>
      </c>
      <c r="H2988" s="54" t="str">
        <f ca="1">IFERROR(VLOOKUP(F2970,'RR-3.1-5TH'!$A$12:'RR-3.1-5TH'!$BN$111,19,0),"")</f>
        <v/>
      </c>
      <c r="I2988" s="54" t="str">
        <f ca="1">IFERROR(VLOOKUP(F2970,'RR-3.1-5TH'!$A$12:'RR-3.1-5TH'!$BN$111,20,0),"")</f>
        <v/>
      </c>
      <c r="J2988" s="54" t="str">
        <f ca="1">IFERROR(VLOOKUP(F2970,'RR-3.1-5TH'!$A$12:'RR-3.1-5TH'!$BN$111,21,0),"")</f>
        <v/>
      </c>
      <c r="K2988" s="54" t="str">
        <f ca="1">IFERROR(VLOOKUP(F2970,'RR-3.1-5TH'!$A$12:'RR-3.1-5TH'!$BN$111,22,0),"")</f>
        <v/>
      </c>
      <c r="L2988" s="55">
        <f ca="1" t="shared" si="156"/>
        <v>0</v>
      </c>
      <c r="M2988" s="56" t="str">
        <f ca="1">IF(F2970&gt;ENTRY!$D$24,"",IF(L2988=0,"Ab",IF(L2988&gt;80,"A",IF(L2988&gt;60,"B",IF(L2988&gt;44,"C",IF(L2988&gt;=33,"D",IF(L2988&lt;=32,"E","")))))))</f>
        <v/>
      </c>
      <c r="N2988" s="58"/>
      <c r="O2988" s="58"/>
      <c r="P2988" s="59"/>
      <c r="Q2988" s="19"/>
      <c r="R2988" s="11"/>
    </row>
    <row r="2989" s="1" customFormat="1" ht="21.95" customHeight="1" spans="1:18">
      <c r="A2989" s="7"/>
      <c r="B2989" s="12"/>
      <c r="C2989" s="33"/>
      <c r="D2989" s="52" t="s">
        <v>718</v>
      </c>
      <c r="E2989" s="53"/>
      <c r="F2989" s="54" t="str">
        <f ca="1">IFERROR(VLOOKUP(F2970,'RR-3.1-5TH'!$A$12:'RR-3.1-5TH'!$BN$111,25,0),"")</f>
        <v/>
      </c>
      <c r="G2989" s="54" t="str">
        <f ca="1">IFERROR(VLOOKUP(F2970,'RR-3.1-5TH'!$A$12:'RR-3.1-5TH'!$BN$111,26,0),"")</f>
        <v/>
      </c>
      <c r="H2989" s="54" t="str">
        <f ca="1">IFERROR(VLOOKUP(F2970,'RR-3.1-5TH'!$A$12:'RR-3.1-5TH'!$BN$111,27,0),"")</f>
        <v/>
      </c>
      <c r="I2989" s="54" t="str">
        <f ca="1">IFERROR(VLOOKUP(F2970,'RR-3.1-5TH'!$A$12:'RR-3.1-5TH'!$BN$111,28,0),"")</f>
        <v/>
      </c>
      <c r="J2989" s="54" t="str">
        <f ca="1">IFERROR(VLOOKUP(F2970,'RR-3.1-5TH'!$A$12:'RR-3.1-5TH'!$BN$111,29,0),"")</f>
        <v/>
      </c>
      <c r="K2989" s="54" t="str">
        <f ca="1">IFERROR(VLOOKUP(F2970,'RR-3.1-5TH'!$A$12:'RR-3.1-5TH'!$BN$111,30,0),"")</f>
        <v/>
      </c>
      <c r="L2989" s="55">
        <f ca="1" t="shared" si="156"/>
        <v>0</v>
      </c>
      <c r="M2989" s="56" t="str">
        <f ca="1">IF(F2970&gt;ENTRY!$D$24,"",IF(L2989=0,"Ab",IF(L2989&gt;80,"A",IF(L2989&gt;60,"B",IF(L2989&gt;44,"C",IF(L2989&gt;=33,"D",IF(L2989&lt;=32,"E","")))))))</f>
        <v/>
      </c>
      <c r="N2989" s="29"/>
      <c r="O2989" s="29"/>
      <c r="P2989" s="19"/>
      <c r="Q2989" s="19"/>
      <c r="R2989" s="11"/>
    </row>
    <row r="2990" s="1" customFormat="1" ht="21.95" customHeight="1" spans="1:18">
      <c r="A2990" s="7"/>
      <c r="B2990" s="12"/>
      <c r="C2990" s="33"/>
      <c r="D2990" s="52" t="s">
        <v>719</v>
      </c>
      <c r="E2990" s="53"/>
      <c r="F2990" s="54" t="str">
        <f ca="1">IFERROR(VLOOKUP(F2970,'RR-3.1-5TH'!$A$12:'RR-3.1-5TH'!$BN$111,33,0),"")</f>
        <v/>
      </c>
      <c r="G2990" s="54" t="str">
        <f ca="1">IFERROR(VLOOKUP(F2970,'RR-3.1-5TH'!$A$12:'RR-3.1-5TH'!$BN$111,34,0),"")</f>
        <v/>
      </c>
      <c r="H2990" s="54" t="str">
        <f ca="1">IFERROR(VLOOKUP(F2970,'RR-3.1-5TH'!$A$12:'RR-3.1-5TH'!$BN$111,35,0),"")</f>
        <v/>
      </c>
      <c r="I2990" s="54" t="str">
        <f ca="1">IFERROR(VLOOKUP(F2970,'RR-3.1-5TH'!$A$12:'RR-3.1-5TH'!$BN$111,36,0),"")</f>
        <v/>
      </c>
      <c r="J2990" s="54" t="str">
        <f ca="1">IFERROR(VLOOKUP(F2970,'RR-3.1-5TH'!$A$12:'RR-3.1-5TH'!$BN$111,37,0),"")</f>
        <v/>
      </c>
      <c r="K2990" s="54" t="str">
        <f ca="1">IFERROR(VLOOKUP(F2970,'RR-3.1-5TH'!$A$12:'RR-3.1-5TH'!$BN$111,38,0),"")</f>
        <v/>
      </c>
      <c r="L2990" s="55">
        <f ca="1" t="shared" si="156"/>
        <v>0</v>
      </c>
      <c r="M2990" s="56" t="str">
        <f ca="1">IF(F2970&gt;ENTRY!$D$24,"",IF(L2990=0,"Ab",IF(L2990&gt;80,"A",IF(L2990&gt;60,"B",IF(L2990&gt;44,"C",IF(L2990&gt;=33,"D",IF(L2990&lt;=32,"E","")))))))</f>
        <v/>
      </c>
      <c r="N2990" s="29"/>
      <c r="O2990" s="29"/>
      <c r="P2990" s="19"/>
      <c r="Q2990" s="19"/>
      <c r="R2990" s="11"/>
    </row>
    <row r="2991" s="1" customFormat="1" ht="21.95" customHeight="1" spans="1:18">
      <c r="A2991" s="7"/>
      <c r="B2991" s="12"/>
      <c r="C2991" s="33"/>
      <c r="D2991" s="52" t="s">
        <v>548</v>
      </c>
      <c r="E2991" s="53"/>
      <c r="F2991" s="54" t="str">
        <f ca="1">IFERROR(VLOOKUP(F2970,'RR-3.1-5TH'!$A$12:'RR-3.1-5TH'!$BN$111,41,0),"")</f>
        <v/>
      </c>
      <c r="G2991" s="54" t="str">
        <f ca="1">IFERROR(VLOOKUP(F2970,'RR-3.1-5TH'!$A$12:'RR-3.1-5TH'!$BN$111,42,0),"")</f>
        <v/>
      </c>
      <c r="H2991" s="54" t="str">
        <f ca="1">IFERROR(VLOOKUP(F2970,'RR-3.1-5TH'!$A$12:'RR-3.1-5TH'!$BN$111,43,0),"")</f>
        <v/>
      </c>
      <c r="I2991" s="54" t="str">
        <f ca="1">IFERROR(VLOOKUP(F2970,'RR-3.1-5TH'!$A$12:'RR-3.1-5TH'!$BN$111,44,0),"")</f>
        <v/>
      </c>
      <c r="J2991" s="54" t="str">
        <f ca="1">IFERROR(VLOOKUP(F2970,'RR-3.1-5TH'!$A$12:'RR-3.1-5TH'!$BN$111,45,0),"")</f>
        <v/>
      </c>
      <c r="K2991" s="54" t="str">
        <f ca="1">IFERROR(VLOOKUP(F2970,'RR-3.1-5TH'!$A$12:'RR-3.1-5TH'!$BN$111,46,0),"")</f>
        <v/>
      </c>
      <c r="L2991" s="55">
        <f ca="1" t="shared" si="156"/>
        <v>0</v>
      </c>
      <c r="M2991" s="56" t="str">
        <f ca="1">IF(F2970&gt;ENTRY!$D$24,"",IF(L2991=0,"Ab",IF(L2991&gt;80,"A",IF(L2991&gt;60,"B",IF(L2991&gt;44,"C",IF(L2991&gt;=33,"D",IF(L2991&lt;=32,"E","")))))))</f>
        <v/>
      </c>
      <c r="N2991" s="29"/>
      <c r="O2991" s="29"/>
      <c r="P2991" s="19"/>
      <c r="Q2991" s="19"/>
      <c r="R2991" s="11"/>
    </row>
    <row r="2992" s="1" customFormat="1" ht="21.95" customHeight="1" spans="1:18">
      <c r="A2992" s="7"/>
      <c r="B2992" s="12"/>
      <c r="C2992" s="33"/>
      <c r="D2992" s="52" t="s">
        <v>549</v>
      </c>
      <c r="E2992" s="53"/>
      <c r="F2992" s="54" t="str">
        <f ca="1">IFERROR(VLOOKUP(F2970,'RR-3.1-5TH'!$A$12:'RR-3.1-5TH'!$BN$111,49,0),"")</f>
        <v/>
      </c>
      <c r="G2992" s="54" t="str">
        <f ca="1">IFERROR(VLOOKUP(F2970,'RR-3.1-5TH'!$A$12:'RR-3.1-5TH'!$BN$111,50,0),"")</f>
        <v/>
      </c>
      <c r="H2992" s="54" t="str">
        <f ca="1">IFERROR(VLOOKUP(F2970,'RR-3.1-5TH'!$A$12:'RR-3.1-5TH'!$BN$111,51,0),"")</f>
        <v/>
      </c>
      <c r="I2992" s="54" t="str">
        <f ca="1">IFERROR(VLOOKUP(F2970,'RR-3.1-5TH'!$A$12:'RR-3.1-5TH'!$BN$111,52,0),"")</f>
        <v/>
      </c>
      <c r="J2992" s="54" t="str">
        <f ca="1">IFERROR(VLOOKUP(F2970,'RR-3.1-5TH'!$A$12:'RR-3.1-5TH'!$BN$111,53,0),"")</f>
        <v/>
      </c>
      <c r="K2992" s="54" t="str">
        <f ca="1">IFERROR(VLOOKUP(F2970,'RR-3.1-5TH'!$A$12:'RR-3.1-5TH'!$BN$111,54,0),"")</f>
        <v/>
      </c>
      <c r="L2992" s="55">
        <f ca="1" t="shared" si="156"/>
        <v>0</v>
      </c>
      <c r="M2992" s="56" t="str">
        <f ca="1">IF(F2970&gt;ENTRY!$D$24,"",IF(L2992=0,"Ab",IF(L2992&gt;80,"A",IF(L2992&gt;60,"B",IF(L2992&gt;44,"C",IF(L2992&gt;=33,"D",IF(L2992&lt;=32,"E","")))))))</f>
        <v/>
      </c>
      <c r="N2992" s="57" t="s">
        <v>752</v>
      </c>
      <c r="O2992" s="58"/>
      <c r="P2992" s="59"/>
      <c r="Q2992" s="19"/>
      <c r="R2992" s="11"/>
    </row>
    <row r="2993" s="1" customFormat="1" ht="21.95" customHeight="1" spans="1:19">
      <c r="A2993" s="7"/>
      <c r="B2993" s="12"/>
      <c r="C2993" s="33"/>
      <c r="D2993" s="52" t="s">
        <v>753</v>
      </c>
      <c r="E2993" s="53"/>
      <c r="F2993" s="60"/>
      <c r="G2993" s="54"/>
      <c r="H2993" s="54"/>
      <c r="I2993" s="54"/>
      <c r="J2993" s="54"/>
      <c r="K2993" s="54"/>
      <c r="L2993" s="55">
        <f t="shared" ref="L2993" si="157">SUM(G2993:K2993)</f>
        <v>0</v>
      </c>
      <c r="M2993" s="56" t="str">
        <f>IF(F2970&gt;ENTRY!$D$24,"",IF(L2993=0,"",IF(L2993&gt;79,"A",IF(L2993&gt;59,"B",IF(L2993&gt;44,"C",IF(L2993&gt;=33,"D",IF(L2993&lt;=32,"E","")))))))</f>
        <v/>
      </c>
      <c r="N2993" s="58"/>
      <c r="O2993" s="58"/>
      <c r="P2993" s="59"/>
      <c r="Q2993" s="19"/>
      <c r="R2993" s="11"/>
    </row>
    <row r="2994" s="1" customFormat="1" ht="21.95" customHeight="1" spans="1:19">
      <c r="A2994" s="7"/>
      <c r="B2994" s="12"/>
      <c r="C2994" s="33"/>
      <c r="D2994" s="45" t="s">
        <v>382</v>
      </c>
      <c r="E2994" s="46"/>
      <c r="F2994" s="54">
        <f ca="1" t="shared" ref="F2994:L2994" si="158">IFERROR(SUM(F2987:F2993),"")</f>
        <v>0</v>
      </c>
      <c r="G2994" s="54">
        <f ca="1" t="shared" si="158"/>
        <v>0</v>
      </c>
      <c r="H2994" s="54">
        <f ca="1" t="shared" si="158"/>
        <v>0</v>
      </c>
      <c r="I2994" s="54">
        <f ca="1" t="shared" si="158"/>
        <v>0</v>
      </c>
      <c r="J2994" s="54">
        <f ca="1" t="shared" si="158"/>
        <v>0</v>
      </c>
      <c r="K2994" s="54">
        <f ca="1" t="shared" si="158"/>
        <v>0</v>
      </c>
      <c r="L2994" s="55">
        <f ca="1" t="shared" si="158"/>
        <v>0</v>
      </c>
      <c r="M2994" s="61" t="str">
        <f ca="1">IF(F2970&gt;ENTRY!$D$24,"",IF(N2995="Ab","Ab",IF(N2995&gt;79.5,"A",IF(N2995&gt;59.5,"B",IF(N2995&gt;44.5,"C",IF(N2995&gt;=33,"D",IF(N2995&lt;33,"E","")))))))</f>
        <v/>
      </c>
      <c r="N2994" s="62"/>
      <c r="O2994" s="58"/>
      <c r="P2994" s="59"/>
      <c r="Q2994" s="19"/>
      <c r="R2994" s="11"/>
    </row>
    <row r="2995" s="1" customFormat="1" ht="21.95" customHeight="1" spans="1:19">
      <c r="A2995" s="7"/>
      <c r="B2995" s="12"/>
      <c r="C2995" s="33"/>
      <c r="D2995" s="63" t="s">
        <v>721</v>
      </c>
      <c r="E2995" s="63"/>
      <c r="F2995" s="63"/>
      <c r="G2995" s="63"/>
      <c r="H2995" s="63"/>
      <c r="I2995" s="63"/>
      <c r="J2995" s="63"/>
      <c r="K2995" s="63"/>
      <c r="L2995" s="63"/>
      <c r="M2995" s="63"/>
      <c r="N2995" s="64">
        <f ca="1">IF(L2994="Ab","Ab",L2994/6)</f>
        <v>0</v>
      </c>
      <c r="O2995" s="65"/>
      <c r="P2995" s="19"/>
      <c r="Q2995" s="19"/>
      <c r="R2995" s="11"/>
    </row>
    <row r="2996" s="1" customFormat="1" ht="21.95" customHeight="1" spans="1:19">
      <c r="A2996" s="7"/>
      <c r="B2996" s="12"/>
      <c r="C2996" s="33"/>
      <c r="D2996" s="29" t="s">
        <v>716</v>
      </c>
      <c r="E2996" s="18" t="str">
        <f>IFERROR(VLOOKUP(F2970,'1to4-2.1-RR'!$A$12:$BG$111,57,0),"")</f>
        <v/>
      </c>
      <c r="F2996" s="18"/>
      <c r="G2996" s="18"/>
      <c r="H2996" s="18"/>
      <c r="I2996" s="18"/>
      <c r="J2996" s="18"/>
      <c r="K2996" s="18"/>
      <c r="L2996" s="18"/>
      <c r="M2996" s="18"/>
      <c r="N2996" s="29"/>
      <c r="O2996" s="29"/>
      <c r="P2996" s="19"/>
      <c r="Q2996" s="19"/>
      <c r="R2996" s="11"/>
    </row>
    <row r="2997" s="1" customFormat="1" ht="9.95" customHeight="1" spans="1:19">
      <c r="A2997" s="7"/>
      <c r="B2997" s="12"/>
      <c r="C2997" s="33"/>
      <c r="D2997" s="29"/>
      <c r="E2997" s="29"/>
      <c r="F2997" s="29"/>
      <c r="G2997" s="29"/>
      <c r="H2997" s="29"/>
      <c r="I2997" s="29"/>
      <c r="J2997" s="29"/>
      <c r="K2997" s="29"/>
      <c r="L2997" s="29"/>
      <c r="M2997" s="29"/>
      <c r="N2997" s="29"/>
      <c r="O2997" s="29"/>
      <c r="P2997" s="19"/>
      <c r="Q2997" s="19"/>
      <c r="R2997" s="11"/>
    </row>
    <row r="2998" s="1" customFormat="1" ht="36" spans="1:19">
      <c r="A2998" s="7"/>
      <c r="B2998" s="12"/>
      <c r="C2998" s="33"/>
      <c r="D2998" s="66" t="s">
        <v>576</v>
      </c>
      <c r="E2998" s="67" t="s">
        <v>754</v>
      </c>
      <c r="F2998" s="47" t="str">
        <f>IF(F2970&gt;ENTRY!$D$24,"",IFERROR(VLOOKUP(F2970,PASHEET!$A$4:$CJ$103,88,0),""))</f>
        <v/>
      </c>
      <c r="G2998" s="67" t="s">
        <v>755</v>
      </c>
      <c r="H2998" s="47" t="str">
        <f>IF(F2970&gt;ENTRY!$D$24,"",IFERROR(VLOOKUP(F2970,PASHEET!$A$4:$CJ$103,87,0),""))</f>
        <v/>
      </c>
      <c r="I2998" s="68" t="s">
        <v>756</v>
      </c>
      <c r="J2998" s="69" t="str">
        <f>IF(F2970&gt;ENTRY!$D$24,"",IFERROR(IF(F2970&gt;0,H2998/F2998*100),""))</f>
        <v/>
      </c>
      <c r="K2998" s="60" t="s">
        <v>757</v>
      </c>
      <c r="L2998" s="70" t="str">
        <f ca="1">IF(F2970&gt;ENTRY!$D$24,"",IFERROR(L2994/600*100,""))</f>
        <v/>
      </c>
      <c r="M2998" s="47" t="str">
        <f ca="1">IF(F2970&gt;ENTRY!$D$24,"",IFERROR(L2994&amp;" / "&amp;"600",""))</f>
        <v/>
      </c>
      <c r="N2998" s="29"/>
      <c r="O2998" s="29"/>
      <c r="P2998" s="19"/>
      <c r="Q2998" s="19"/>
      <c r="R2998" s="11"/>
    </row>
    <row r="2999" s="1" customFormat="1" ht="9.95" customHeight="1" spans="1:19">
      <c r="A2999" s="7"/>
      <c r="B2999" s="12"/>
      <c r="C2999" s="39"/>
      <c r="D2999" s="40"/>
      <c r="E2999" s="40"/>
      <c r="F2999" s="40"/>
      <c r="G2999" s="40"/>
      <c r="H2999" s="40"/>
      <c r="I2999" s="40"/>
      <c r="J2999" s="40"/>
      <c r="K2999" s="40"/>
      <c r="L2999" s="40"/>
      <c r="M2999" s="40"/>
      <c r="N2999" s="40"/>
      <c r="O2999" s="40"/>
      <c r="P2999" s="41"/>
      <c r="Q2999" s="19"/>
      <c r="R2999" s="11"/>
    </row>
    <row r="3000" s="1" customFormat="1" ht="9.95" customHeight="1" spans="1:19">
      <c r="A3000" s="7"/>
      <c r="B3000" s="12"/>
      <c r="C3000" s="71"/>
      <c r="D3000" s="71"/>
      <c r="E3000" s="71"/>
      <c r="F3000" s="29"/>
      <c r="G3000" s="71"/>
      <c r="H3000" s="71"/>
      <c r="I3000" s="71"/>
      <c r="J3000" s="71"/>
      <c r="K3000" s="71"/>
      <c r="L3000" s="71"/>
      <c r="M3000" s="71"/>
      <c r="N3000" s="71"/>
      <c r="O3000" s="71"/>
      <c r="P3000" s="71"/>
      <c r="Q3000" s="19"/>
      <c r="R3000" s="11"/>
    </row>
    <row r="3001" s="1" customFormat="1" ht="9.95" customHeight="1" spans="1:19">
      <c r="A3001" s="7"/>
      <c r="B3001" s="12"/>
      <c r="C3001" s="29"/>
      <c r="D3001" s="29"/>
      <c r="E3001" s="29"/>
      <c r="F3001" s="72"/>
      <c r="G3001" s="29"/>
      <c r="H3001" s="29"/>
      <c r="I3001" s="29"/>
      <c r="J3001" s="29"/>
      <c r="K3001" s="29"/>
      <c r="L3001" s="29"/>
      <c r="M3001" s="29"/>
      <c r="N3001" s="29"/>
      <c r="O3001" s="29"/>
      <c r="P3001" s="29"/>
      <c r="Q3001" s="19"/>
      <c r="R3001" s="11"/>
    </row>
    <row r="3002" s="1" customFormat="1" ht="9.95" customHeight="1" spans="1:19">
      <c r="A3002" s="7"/>
      <c r="B3002" s="12"/>
      <c r="C3002" s="30"/>
      <c r="D3002" s="31"/>
      <c r="E3002" s="31"/>
      <c r="F3002" s="31"/>
      <c r="G3002" s="31"/>
      <c r="H3002" s="31"/>
      <c r="I3002" s="31"/>
      <c r="J3002" s="31"/>
      <c r="K3002" s="31"/>
      <c r="L3002" s="31"/>
      <c r="M3002" s="31"/>
      <c r="N3002" s="31"/>
      <c r="O3002" s="31"/>
      <c r="P3002" s="32"/>
      <c r="Q3002" s="19"/>
      <c r="R3002" s="11"/>
    </row>
    <row r="3003" s="1" customFormat="1" ht="21.95" customHeight="1" spans="1:19">
      <c r="A3003" s="7"/>
      <c r="B3003" s="12"/>
      <c r="C3003" s="73" t="s">
        <v>7</v>
      </c>
      <c r="D3003" s="13"/>
      <c r="E3003" s="13"/>
      <c r="F3003" s="13"/>
      <c r="G3003" s="13"/>
      <c r="H3003" s="13"/>
      <c r="I3003" s="13"/>
      <c r="J3003" s="13"/>
      <c r="K3003" s="13"/>
      <c r="L3003" s="13"/>
      <c r="M3003" s="13"/>
      <c r="N3003" s="13"/>
      <c r="O3003" s="13"/>
      <c r="P3003" s="74"/>
      <c r="Q3003" s="19"/>
      <c r="R3003" s="11"/>
      <c r="S3003" s="2"/>
    </row>
    <row r="3004" s="1" customFormat="1" ht="21.95" customHeight="1" spans="1:19">
      <c r="A3004" s="7"/>
      <c r="B3004" s="12"/>
      <c r="C3004" s="33"/>
      <c r="D3004" s="29"/>
      <c r="E3004" s="29"/>
      <c r="F3004" s="29"/>
      <c r="G3004" s="29"/>
      <c r="H3004" s="29"/>
      <c r="I3004" s="29"/>
      <c r="J3004" s="29"/>
      <c r="K3004" s="29"/>
      <c r="L3004" s="29"/>
      <c r="M3004" s="29"/>
      <c r="N3004" s="29"/>
      <c r="O3004" s="29"/>
      <c r="P3004" s="19"/>
      <c r="Q3004" s="19"/>
      <c r="R3004" s="11"/>
    </row>
    <row r="3005" s="1" customFormat="1" ht="21.95" customHeight="1" spans="1:19">
      <c r="A3005" s="7"/>
      <c r="B3005" s="12"/>
      <c r="C3005" s="75" t="str">
        <f>"SESSION-"&amp;ENTRY!$D$11</f>
        <v>SESSION-2026-27</v>
      </c>
      <c r="D3005" s="15"/>
      <c r="E3005" s="15"/>
      <c r="F3005" s="15"/>
      <c r="G3005" s="15"/>
      <c r="H3005" s="15"/>
      <c r="I3005" s="15"/>
      <c r="J3005" s="15"/>
      <c r="K3005" s="15"/>
      <c r="L3005" s="15"/>
      <c r="M3005" s="15"/>
      <c r="N3005" s="15"/>
      <c r="O3005" s="15"/>
      <c r="P3005" s="76"/>
      <c r="Q3005" s="19"/>
      <c r="R3005" s="11"/>
    </row>
    <row r="3006" s="1" customFormat="1" ht="18" customHeight="1" spans="1:19">
      <c r="A3006" s="7"/>
      <c r="B3006" s="12"/>
      <c r="C3006" s="33"/>
      <c r="D3006" s="29"/>
      <c r="E3006" s="29"/>
      <c r="F3006" s="29"/>
      <c r="G3006" s="29"/>
      <c r="H3006" s="29"/>
      <c r="I3006" s="29"/>
      <c r="J3006" s="29"/>
      <c r="K3006" s="29"/>
      <c r="L3006" s="29"/>
      <c r="M3006" s="29"/>
      <c r="N3006" s="29"/>
      <c r="O3006" s="29"/>
      <c r="P3006" s="19"/>
      <c r="Q3006" s="19"/>
      <c r="R3006" s="11"/>
    </row>
    <row r="3007" s="1" customFormat="1" ht="21.95" customHeight="1" spans="1:19">
      <c r="A3007" s="7"/>
      <c r="B3007" s="12"/>
      <c r="C3007" s="33"/>
      <c r="D3007" s="77" t="s">
        <v>758</v>
      </c>
      <c r="E3007" s="77"/>
      <c r="F3007" s="78" t="str">
        <f>IFERROR(PROPER(VLOOKUP(F2970,STUDENT!$A$2:$BP$101,5,0)),"")</f>
        <v/>
      </c>
      <c r="G3007" s="78"/>
      <c r="H3007" s="78"/>
      <c r="I3007" s="78"/>
      <c r="J3007" s="78"/>
      <c r="K3007" s="78"/>
      <c r="L3007" s="78"/>
      <c r="M3007" s="78"/>
      <c r="N3007" s="79" t="s">
        <v>759</v>
      </c>
      <c r="O3007" s="79"/>
      <c r="P3007" s="19"/>
      <c r="Q3007" s="19"/>
      <c r="R3007" s="11"/>
    </row>
    <row r="3008" s="1" customFormat="1" ht="21.95" customHeight="1" spans="1:19">
      <c r="A3008" s="7"/>
      <c r="B3008" s="12"/>
      <c r="C3008" s="33"/>
      <c r="D3008" s="80" t="s">
        <v>760</v>
      </c>
      <c r="E3008" s="81" t="str">
        <f>IFERROR(PROPER(VLOOKUP(F2970,STUDENT!$A$2:$BP$101,9,0)),"")</f>
        <v/>
      </c>
      <c r="F3008" s="81"/>
      <c r="G3008" s="81"/>
      <c r="H3008" s="80" t="s">
        <v>761</v>
      </c>
      <c r="I3008" s="82" t="str">
        <f>IFERROR(PROPER(VLOOKUP(F2970,STUDENT!$A$2:$BP$101,8,0)),"")</f>
        <v/>
      </c>
      <c r="J3008" s="82"/>
      <c r="K3008" s="82"/>
      <c r="L3008" s="82"/>
      <c r="M3008" s="80" t="s">
        <v>762</v>
      </c>
      <c r="N3008" s="83" t="str">
        <f>IFERROR(VLOOKUP(F2970,STUDENT!$A$2:$BP$101,59,0),"")</f>
        <v/>
      </c>
      <c r="O3008" s="83"/>
      <c r="P3008" s="19"/>
      <c r="Q3008" s="19"/>
      <c r="R3008" s="11"/>
    </row>
    <row r="3009" s="1" customFormat="1" ht="21.95" customHeight="1" spans="1:18">
      <c r="A3009" s="7"/>
      <c r="B3009" s="12"/>
      <c r="C3009" s="33"/>
      <c r="D3009" s="77" t="str">
        <f>"has    completed     his  /  her     primary     level     education    in    the    year    "&amp;RIGHT(ENTRY!$D2975,4)&amp;"    from    ( School    Name )"</f>
        <v>has    completed     his  /  her     primary     level     education    in    the    year        from    ( School    Name )</v>
      </c>
      <c r="E3009" s="77"/>
      <c r="F3009" s="77"/>
      <c r="G3009" s="77"/>
      <c r="H3009" s="77"/>
      <c r="I3009" s="77"/>
      <c r="J3009" s="77"/>
      <c r="K3009" s="77"/>
      <c r="L3009" s="77"/>
      <c r="M3009" s="77"/>
      <c r="N3009" s="77"/>
      <c r="O3009" s="77"/>
      <c r="P3009" s="19"/>
      <c r="Q3009" s="19"/>
      <c r="R3009" s="11"/>
    </row>
    <row r="3010" s="1" customFormat="1" ht="21.95" customHeight="1" spans="1:18">
      <c r="A3010" s="7"/>
      <c r="B3010" s="12"/>
      <c r="C3010" s="33"/>
      <c r="D3010" s="81" t="str">
        <f>IF(F2970&gt;0,ENTRY!$D$6,"")</f>
        <v>MCP NITHARI NO 1 BOYS</v>
      </c>
      <c r="E3010" s="81"/>
      <c r="F3010" s="81"/>
      <c r="G3010" s="81"/>
      <c r="H3010" s="81"/>
      <c r="I3010" s="81"/>
      <c r="J3010" s="81"/>
      <c r="K3010" s="81"/>
      <c r="L3010" s="81"/>
      <c r="M3010" s="80" t="s">
        <v>763</v>
      </c>
      <c r="N3010" s="84">
        <f>IF(F2970&gt;0,ENTRY!$D$7,"")</f>
        <v>0</v>
      </c>
      <c r="O3010" s="84"/>
      <c r="P3010" s="85" t="s">
        <v>727</v>
      </c>
      <c r="Q3010" s="19"/>
      <c r="R3010" s="11"/>
    </row>
    <row r="3011" s="1" customFormat="1" ht="21.95" customHeight="1" spans="1:18">
      <c r="A3011" s="7"/>
      <c r="B3011" s="12"/>
      <c r="C3011" s="33"/>
      <c r="D3011" s="29"/>
      <c r="E3011" s="29"/>
      <c r="F3011" s="29"/>
      <c r="G3011" s="29"/>
      <c r="H3011" s="29"/>
      <c r="I3011" s="29"/>
      <c r="J3011" s="29"/>
      <c r="K3011" s="29"/>
      <c r="L3011" s="29"/>
      <c r="M3011" s="29"/>
      <c r="N3011" s="29"/>
      <c r="O3011" s="29"/>
      <c r="P3011" s="19"/>
      <c r="Q3011" s="19"/>
      <c r="R3011" s="11"/>
    </row>
    <row r="3012" s="1" customFormat="1" ht="21.95" customHeight="1" spans="1:18">
      <c r="A3012" s="7"/>
      <c r="B3012" s="12"/>
      <c r="C3012" s="33"/>
      <c r="D3012" s="29"/>
      <c r="E3012" s="29"/>
      <c r="F3012" s="29"/>
      <c r="G3012" s="29"/>
      <c r="H3012" s="29"/>
      <c r="I3012" s="29"/>
      <c r="J3012" s="29"/>
      <c r="K3012" s="29"/>
      <c r="L3012" s="29"/>
      <c r="M3012" s="29"/>
      <c r="N3012" s="29"/>
      <c r="O3012" s="29"/>
      <c r="P3012" s="19"/>
      <c r="Q3012" s="19"/>
      <c r="R3012" s="11"/>
    </row>
    <row r="3013" s="1" customFormat="1" ht="21.95" customHeight="1" spans="1:18">
      <c r="A3013" s="7"/>
      <c r="B3013" s="12"/>
      <c r="C3013" s="33"/>
      <c r="D3013" s="29"/>
      <c r="E3013" s="29"/>
      <c r="F3013" s="29"/>
      <c r="G3013" s="29"/>
      <c r="H3013" s="29"/>
      <c r="I3013" s="29"/>
      <c r="J3013" s="29"/>
      <c r="K3013" s="29"/>
      <c r="L3013" s="29"/>
      <c r="M3013" s="29"/>
      <c r="N3013" s="29"/>
      <c r="O3013" s="29"/>
      <c r="P3013" s="19"/>
      <c r="Q3013" s="19"/>
      <c r="R3013" s="11"/>
    </row>
    <row r="3014" s="1" customFormat="1" ht="21.95" customHeight="1" spans="1:18">
      <c r="A3014" s="7"/>
      <c r="B3014" s="12"/>
      <c r="C3014" s="33"/>
      <c r="D3014" s="29"/>
      <c r="E3014" s="29"/>
      <c r="F3014" s="29"/>
      <c r="G3014" s="29"/>
      <c r="H3014" s="29"/>
      <c r="I3014" s="29"/>
      <c r="J3014" s="29"/>
      <c r="K3014" s="29"/>
      <c r="L3014" s="29"/>
      <c r="M3014" s="29"/>
      <c r="N3014" s="29"/>
      <c r="O3014" s="29"/>
      <c r="P3014" s="19"/>
      <c r="Q3014" s="19"/>
      <c r="R3014" s="11"/>
    </row>
    <row r="3015" s="1" customFormat="1" ht="21.95" customHeight="1" spans="1:18">
      <c r="A3015" s="7"/>
      <c r="B3015" s="12"/>
      <c r="C3015" s="33"/>
      <c r="D3015" s="29"/>
      <c r="E3015" s="29"/>
      <c r="F3015" s="29"/>
      <c r="G3015" s="29"/>
      <c r="H3015" s="29"/>
      <c r="I3015" s="29"/>
      <c r="J3015" s="29"/>
      <c r="K3015" s="29"/>
      <c r="L3015" s="29"/>
      <c r="M3015" s="29"/>
      <c r="N3015" s="29"/>
      <c r="O3015" s="29"/>
      <c r="P3015" s="19"/>
      <c r="Q3015" s="19"/>
      <c r="R3015" s="11"/>
    </row>
    <row r="3016" s="1" customFormat="1" ht="21.95" customHeight="1" spans="1:18">
      <c r="A3016" s="7"/>
      <c r="B3016" s="12"/>
      <c r="C3016" s="33"/>
      <c r="D3016" s="80" t="s">
        <v>728</v>
      </c>
      <c r="E3016" s="86">
        <f>ENTRY!$D$27</f>
        <v>46102</v>
      </c>
      <c r="F3016" s="86"/>
      <c r="G3016" s="29"/>
      <c r="H3016" s="29"/>
      <c r="I3016" s="29"/>
      <c r="J3016" s="29"/>
      <c r="K3016" s="29"/>
      <c r="L3016" s="29"/>
      <c r="M3016" s="87" t="s">
        <v>730</v>
      </c>
      <c r="N3016" s="87"/>
      <c r="O3016" s="87"/>
      <c r="P3016" s="19"/>
      <c r="Q3016" s="19"/>
      <c r="R3016" s="11"/>
    </row>
    <row r="3017" s="1" customFormat="1" ht="21.95" customHeight="1" spans="1:18">
      <c r="A3017" s="7"/>
      <c r="B3017" s="12"/>
      <c r="C3017" s="33"/>
      <c r="D3017" s="80" t="s">
        <v>731</v>
      </c>
      <c r="E3017" s="88" t="str">
        <f>PROPER(ENTRY!$D$28)</f>
        <v>New Delhi</v>
      </c>
      <c r="F3017" s="88"/>
      <c r="G3017" s="29"/>
      <c r="H3017" s="29"/>
      <c r="I3017" s="29"/>
      <c r="J3017" s="29"/>
      <c r="K3017" s="29"/>
      <c r="L3017" s="29"/>
      <c r="M3017" s="89" t="s">
        <v>732</v>
      </c>
      <c r="N3017" s="89"/>
      <c r="O3017" s="89"/>
      <c r="P3017" s="19"/>
      <c r="Q3017" s="19"/>
      <c r="R3017" s="11"/>
    </row>
    <row r="3018" s="1" customFormat="1" ht="21.95" customHeight="1" spans="1:18">
      <c r="A3018" s="7"/>
      <c r="B3018" s="12"/>
      <c r="C3018" s="90"/>
      <c r="D3018" s="91"/>
      <c r="E3018" s="91"/>
      <c r="F3018" s="91"/>
      <c r="G3018" s="91"/>
      <c r="H3018" s="91"/>
      <c r="I3018" s="91"/>
      <c r="J3018" s="91"/>
      <c r="K3018" s="91"/>
      <c r="L3018" s="91"/>
      <c r="M3018" s="91"/>
      <c r="N3018" s="91"/>
      <c r="O3018" s="91"/>
      <c r="P3018" s="92"/>
      <c r="Q3018" s="14"/>
      <c r="R3018" s="11"/>
    </row>
    <row r="3019" s="1" customFormat="1" ht="5.1" customHeight="1" spans="1:18">
      <c r="A3019" s="7"/>
      <c r="B3019" s="90"/>
      <c r="C3019" s="91"/>
      <c r="D3019" s="91"/>
      <c r="E3019" s="91"/>
      <c r="F3019" s="91"/>
      <c r="G3019" s="91"/>
      <c r="H3019" s="91"/>
      <c r="I3019" s="91"/>
      <c r="J3019" s="91"/>
      <c r="K3019" s="91"/>
      <c r="L3019" s="91"/>
      <c r="M3019" s="91"/>
      <c r="N3019" s="91"/>
      <c r="O3019" s="91"/>
      <c r="P3019" s="91"/>
      <c r="Q3019" s="92"/>
      <c r="R3019" s="11"/>
    </row>
    <row r="3020" s="1" customFormat="1" ht="5.1" customHeight="1" spans="1:18">
      <c r="A3020" s="93"/>
      <c r="B3020" s="94"/>
      <c r="C3020" s="94"/>
      <c r="D3020" s="94"/>
      <c r="E3020" s="94"/>
      <c r="F3020" s="94"/>
      <c r="G3020" s="94"/>
      <c r="H3020" s="94"/>
      <c r="I3020" s="94"/>
      <c r="J3020" s="94"/>
      <c r="K3020" s="94"/>
      <c r="L3020" s="94"/>
      <c r="M3020" s="94"/>
      <c r="N3020" s="94"/>
      <c r="O3020" s="94"/>
      <c r="P3020" s="94"/>
      <c r="Q3020" s="94"/>
      <c r="R3020" s="95"/>
    </row>
    <row r="3021" s="2" customFormat="1" ht="9.95" customHeight="1"/>
    <row r="3022" s="1" customFormat="1" ht="5.1" customHeight="1" spans="1:18">
      <c r="A3022" s="4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  <c r="O3022" s="5"/>
      <c r="P3022" s="5"/>
      <c r="Q3022" s="5"/>
      <c r="R3022" s="6"/>
    </row>
    <row r="3023" s="1" customFormat="1" ht="15" customHeight="1" spans="1:18">
      <c r="A3023" s="7"/>
      <c r="B3023" s="8"/>
      <c r="C3023" s="9"/>
      <c r="D3023" s="9"/>
      <c r="E3023" s="9"/>
      <c r="F3023" s="9"/>
      <c r="G3023" s="9"/>
      <c r="H3023" s="9"/>
      <c r="I3023" s="9"/>
      <c r="J3023" s="9"/>
      <c r="K3023" s="9"/>
      <c r="L3023" s="9"/>
      <c r="M3023" s="9"/>
      <c r="N3023" s="9"/>
      <c r="O3023" s="9"/>
      <c r="P3023" s="9"/>
      <c r="Q3023" s="10"/>
      <c r="R3023" s="11"/>
    </row>
    <row r="3024" s="1" customFormat="1" ht="21.95" customHeight="1" spans="1:18">
      <c r="A3024" s="7"/>
      <c r="B3024" s="12"/>
      <c r="C3024" s="13" t="s">
        <v>7</v>
      </c>
      <c r="D3024" s="13"/>
      <c r="E3024" s="13"/>
      <c r="F3024" s="13"/>
      <c r="G3024" s="13"/>
      <c r="H3024" s="13"/>
      <c r="I3024" s="13"/>
      <c r="J3024" s="13"/>
      <c r="K3024" s="13"/>
      <c r="L3024" s="13"/>
      <c r="M3024" s="13"/>
      <c r="N3024" s="13"/>
      <c r="O3024" s="13"/>
      <c r="P3024" s="13"/>
      <c r="Q3024" s="14"/>
      <c r="R3024" s="11"/>
    </row>
    <row r="3025" s="1" customFormat="1" ht="21.95" customHeight="1" spans="1:18">
      <c r="A3025" s="7"/>
      <c r="B3025" s="1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14"/>
      <c r="R3025" s="11"/>
    </row>
    <row r="3026" s="1" customFormat="1" ht="21.95" customHeight="1" spans="1:18">
      <c r="A3026" s="7"/>
      <c r="B3026" s="12"/>
      <c r="C3026" s="15" t="str">
        <f>"SESSION-"&amp;ENTRY!$D$11</f>
        <v>SESSION-2026-27</v>
      </c>
      <c r="D3026" s="15"/>
      <c r="E3026" s="15"/>
      <c r="F3026" s="15"/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4"/>
      <c r="R3026" s="11"/>
    </row>
    <row r="3027" s="1" customFormat="1" ht="21.95" customHeight="1" spans="1:18">
      <c r="A3027" s="7"/>
      <c r="B3027" s="12"/>
      <c r="C3027" s="2"/>
      <c r="D3027" s="2"/>
      <c r="E3027" s="2"/>
      <c r="F3027" s="16">
        <f>F2970+1</f>
        <v>54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14"/>
      <c r="R3027" s="11"/>
    </row>
    <row r="3028" s="1" customFormat="1" ht="21.95" customHeight="1" spans="1:18">
      <c r="A3028" s="7"/>
      <c r="B3028" s="12"/>
      <c r="C3028" s="17" t="s">
        <v>392</v>
      </c>
      <c r="D3028" s="17"/>
      <c r="E3028" s="17"/>
      <c r="F3028" s="18" t="str">
        <f>IF(F3027&gt;0,ENTRY!$D$6,"")</f>
        <v>MCP NITHARI NO 1 BOYS</v>
      </c>
      <c r="G3028" s="18"/>
      <c r="H3028" s="18"/>
      <c r="I3028" s="18"/>
      <c r="J3028" s="18"/>
      <c r="K3028" s="18"/>
      <c r="L3028" s="18"/>
      <c r="M3028" s="18"/>
      <c r="N3028" s="18"/>
      <c r="O3028" s="18"/>
      <c r="P3028" s="18"/>
      <c r="Q3028" s="19"/>
      <c r="R3028" s="11"/>
    </row>
    <row r="3029" s="1" customFormat="1" ht="21.95" customHeight="1" spans="1:18">
      <c r="A3029" s="7"/>
      <c r="B3029" s="12"/>
      <c r="C3029" s="17" t="s">
        <v>393</v>
      </c>
      <c r="D3029" s="17"/>
      <c r="E3029" s="17"/>
      <c r="F3029" s="18">
        <f>IF(F3027&gt;0,ENTRY!$D$7,"")</f>
        <v>0</v>
      </c>
      <c r="G3029" s="18"/>
      <c r="H3029" s="20" t="s">
        <v>702</v>
      </c>
      <c r="I3029" s="20"/>
      <c r="J3029" s="21">
        <f>IF(F3027&gt;0,ENTRY!$D$10,"")</f>
        <v>40</v>
      </c>
      <c r="K3029" s="20" t="s">
        <v>703</v>
      </c>
      <c r="L3029" s="22" t="str">
        <f>IF(F3027&gt;0,ENTRY!$D$5,"")</f>
        <v>ROHINI ZONE</v>
      </c>
      <c r="M3029" s="22"/>
      <c r="N3029" s="22"/>
      <c r="O3029" s="22"/>
      <c r="P3029" s="22"/>
      <c r="Q3029" s="19"/>
      <c r="R3029" s="11"/>
    </row>
    <row r="3030" s="1" customFormat="1" ht="21.95" customHeight="1" spans="1:18">
      <c r="A3030" s="7"/>
      <c r="B3030" s="12"/>
      <c r="C3030" s="17" t="s">
        <v>706</v>
      </c>
      <c r="D3030" s="17"/>
      <c r="E3030" s="17"/>
      <c r="F3030" s="23">
        <f>IFERROR(VLOOKUP(F3027,STUDENT!$A$2:$BP$101,5,0),"")</f>
        <v>0</v>
      </c>
      <c r="G3030" s="23"/>
      <c r="H3030" s="23"/>
      <c r="I3030" s="23"/>
      <c r="J3030" s="23"/>
      <c r="K3030" s="23"/>
      <c r="L3030" s="20" t="s">
        <v>707</v>
      </c>
      <c r="M3030" s="20"/>
      <c r="N3030" s="24" t="str">
        <f>IF(F3027&gt;0,ENTRY!$D$20&amp;"-"&amp;ENTRY!$D$21,"")</f>
        <v>III-A</v>
      </c>
      <c r="O3030" s="24"/>
      <c r="P3030" s="24"/>
      <c r="Q3030" s="19"/>
      <c r="R3030" s="11"/>
    </row>
    <row r="3031" s="1" customFormat="1" ht="21.95" customHeight="1" spans="1:18">
      <c r="A3031" s="7"/>
      <c r="B3031" s="12"/>
      <c r="C3031" s="17" t="s">
        <v>708</v>
      </c>
      <c r="D3031" s="17"/>
      <c r="E3031" s="17"/>
      <c r="F3031" s="25">
        <f>IFERROR(VLOOKUP(F3027,STUDENT!$A$2:$BP$101,6,0),"")</f>
        <v>0</v>
      </c>
      <c r="G3031" s="25"/>
      <c r="H3031" s="26" t="s">
        <v>709</v>
      </c>
      <c r="I3031" s="27" t="str">
        <f>IFERROR(VLOOKUP(F3027,STUDENT!$A$2:$BP$101,59,0),"")</f>
        <v/>
      </c>
      <c r="J3031" s="27"/>
      <c r="K3031" s="20" t="s">
        <v>710</v>
      </c>
      <c r="L3031" s="20"/>
      <c r="M3031" s="28">
        <f>IFERROR(VLOOKUP(F3027,STUDENT!$A$2:$BP$101,20,0),"")</f>
        <v>0</v>
      </c>
      <c r="N3031" s="28"/>
      <c r="O3031" s="28"/>
      <c r="P3031" s="28"/>
      <c r="Q3031" s="19"/>
      <c r="R3031" s="11"/>
    </row>
    <row r="3032" s="1" customFormat="1" ht="21.95" customHeight="1" spans="1:18">
      <c r="A3032" s="7"/>
      <c r="B3032" s="12"/>
      <c r="C3032" s="17" t="s">
        <v>711</v>
      </c>
      <c r="D3032" s="17"/>
      <c r="E3032" s="17"/>
      <c r="F3032" s="23">
        <f>IFERROR(VLOOKUP(F3027,STUDENT!$A$2:$BP$101,9,0),"")</f>
        <v>0</v>
      </c>
      <c r="G3032" s="23"/>
      <c r="H3032" s="23"/>
      <c r="I3032" s="23"/>
      <c r="J3032" s="17" t="s">
        <v>620</v>
      </c>
      <c r="K3032" s="17"/>
      <c r="L3032" s="23">
        <f>IFERROR(VLOOKUP(F3027,STUDENT!$A$2:$BP$101,8,0),"")</f>
        <v>0</v>
      </c>
      <c r="M3032" s="23"/>
      <c r="N3032" s="23"/>
      <c r="O3032" s="23"/>
      <c r="P3032" s="23"/>
      <c r="Q3032" s="19"/>
      <c r="R3032" s="11"/>
    </row>
    <row r="3033" s="1" customFormat="1" ht="21.95" customHeight="1" spans="1:18">
      <c r="A3033" s="7"/>
      <c r="B3033" s="12"/>
      <c r="C3033" s="17" t="s">
        <v>712</v>
      </c>
      <c r="D3033" s="17"/>
      <c r="E3033" s="17"/>
      <c r="F3033" s="23">
        <f>IFERROR(VLOOKUP(F3027,STUDENT!$A$2:$BP$101,22,0),"")</f>
        <v>0</v>
      </c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19"/>
      <c r="R3033" s="11"/>
    </row>
    <row r="3034" s="1" customFormat="1" ht="9.95" customHeight="1" spans="1:18">
      <c r="A3034" s="7"/>
      <c r="B3034" s="12"/>
      <c r="C3034" s="29"/>
      <c r="D3034" s="29"/>
      <c r="E3034" s="29"/>
      <c r="F3034" s="29"/>
      <c r="G3034" s="29"/>
      <c r="H3034" s="29"/>
      <c r="I3034" s="29"/>
      <c r="J3034" s="29"/>
      <c r="K3034" s="29"/>
      <c r="L3034" s="29"/>
      <c r="M3034" s="29"/>
      <c r="N3034" s="29"/>
      <c r="O3034" s="29"/>
      <c r="P3034" s="29"/>
      <c r="Q3034" s="19"/>
      <c r="R3034" s="11"/>
    </row>
    <row r="3035" s="1" customFormat="1" ht="9.95" customHeight="1" spans="1:18">
      <c r="A3035" s="7"/>
      <c r="B3035" s="12"/>
      <c r="C3035" s="30"/>
      <c r="D3035" s="31"/>
      <c r="E3035" s="31"/>
      <c r="F3035" s="31"/>
      <c r="G3035" s="31"/>
      <c r="H3035" s="31"/>
      <c r="I3035" s="31"/>
      <c r="J3035" s="31"/>
      <c r="K3035" s="31"/>
      <c r="L3035" s="31"/>
      <c r="M3035" s="31"/>
      <c r="N3035" s="31"/>
      <c r="O3035" s="31"/>
      <c r="P3035" s="32"/>
      <c r="Q3035" s="19"/>
      <c r="R3035" s="11"/>
    </row>
    <row r="3036" s="1" customFormat="1" ht="21.95" customHeight="1" spans="1:18">
      <c r="A3036" s="7"/>
      <c r="B3036" s="12"/>
      <c r="C3036" s="33"/>
      <c r="D3036" s="34" t="s">
        <v>713</v>
      </c>
      <c r="E3036" s="20" t="s">
        <v>714</v>
      </c>
      <c r="F3036" s="35" t="str">
        <f>"Level - "&amp;IFERROR(VLOOKUP(F3027,FLN!$A$4:$K$103,9,0),"")</f>
        <v>Level - </v>
      </c>
      <c r="G3036" s="36"/>
      <c r="H3036" s="37" t="s">
        <v>715</v>
      </c>
      <c r="I3036" s="20"/>
      <c r="J3036" s="35" t="str">
        <f>"Level - "&amp;IFERROR(VLOOKUP(F3027,FLN!$A$4:$K$103,11,0),"")</f>
        <v>Level - </v>
      </c>
      <c r="K3036" s="36"/>
      <c r="L3036" s="37" t="s">
        <v>408</v>
      </c>
      <c r="M3036" s="20"/>
      <c r="N3036" s="35" t="str">
        <f>"Level - "&amp;IFERROR(VLOOKUP(F3027,FLN!$A$4:$K$103,10,0),"")</f>
        <v>Level - </v>
      </c>
      <c r="O3036" s="36"/>
      <c r="P3036" s="19"/>
      <c r="Q3036" s="19"/>
      <c r="R3036" s="11"/>
    </row>
    <row r="3037" s="1" customFormat="1" ht="21.95" customHeight="1" spans="1:18">
      <c r="A3037" s="7"/>
      <c r="B3037" s="12"/>
      <c r="C3037" s="33"/>
      <c r="D3037" s="38"/>
      <c r="E3037" s="20" t="s">
        <v>716</v>
      </c>
      <c r="F3037" s="18" t="str">
        <f ca="1">IF(L3051&gt;197,"PERFORMED WELL","")</f>
        <v/>
      </c>
      <c r="G3037" s="18"/>
      <c r="H3037" s="18"/>
      <c r="I3037" s="18"/>
      <c r="J3037" s="18"/>
      <c r="K3037" s="18"/>
      <c r="L3037" s="18"/>
      <c r="M3037" s="18"/>
      <c r="N3037" s="18"/>
      <c r="O3037" s="18"/>
      <c r="P3037" s="19"/>
      <c r="Q3037" s="19"/>
      <c r="R3037" s="11"/>
    </row>
    <row r="3038" s="1" customFormat="1" ht="9.95" customHeight="1" spans="1:18">
      <c r="A3038" s="7"/>
      <c r="B3038" s="12"/>
      <c r="C3038" s="39"/>
      <c r="D3038" s="40"/>
      <c r="E3038" s="40"/>
      <c r="F3038" s="40"/>
      <c r="G3038" s="40"/>
      <c r="H3038" s="40"/>
      <c r="I3038" s="40"/>
      <c r="J3038" s="40"/>
      <c r="K3038" s="40"/>
      <c r="L3038" s="40"/>
      <c r="M3038" s="40"/>
      <c r="N3038" s="40"/>
      <c r="O3038" s="40"/>
      <c r="P3038" s="41"/>
      <c r="Q3038" s="19"/>
      <c r="R3038" s="11"/>
    </row>
    <row r="3039" s="1" customFormat="1" ht="9.95" customHeight="1" spans="1:18">
      <c r="A3039" s="7"/>
      <c r="B3039" s="12"/>
      <c r="C3039" s="29"/>
      <c r="D3039" s="29"/>
      <c r="E3039" s="29"/>
      <c r="F3039" s="29"/>
      <c r="G3039" s="29"/>
      <c r="H3039" s="29"/>
      <c r="I3039" s="29"/>
      <c r="J3039" s="29"/>
      <c r="K3039" s="29"/>
      <c r="L3039" s="29"/>
      <c r="M3039" s="29"/>
      <c r="N3039" s="29"/>
      <c r="O3039" s="29"/>
      <c r="P3039" s="29"/>
      <c r="Q3039" s="19"/>
      <c r="R3039" s="11"/>
    </row>
    <row r="3040" s="1" customFormat="1" ht="9.95" customHeight="1" spans="1:18">
      <c r="A3040" s="7"/>
      <c r="B3040" s="12"/>
      <c r="C3040" s="30"/>
      <c r="D3040" s="31"/>
      <c r="E3040" s="31"/>
      <c r="F3040" s="31"/>
      <c r="G3040" s="31"/>
      <c r="H3040" s="31"/>
      <c r="I3040" s="31"/>
      <c r="J3040" s="31"/>
      <c r="K3040" s="31"/>
      <c r="L3040" s="31"/>
      <c r="M3040" s="31"/>
      <c r="N3040" s="31"/>
      <c r="O3040" s="31"/>
      <c r="P3040" s="32"/>
      <c r="Q3040" s="19"/>
      <c r="R3040" s="11"/>
    </row>
    <row r="3041" s="1" customFormat="1" ht="21.95" customHeight="1" spans="1:18">
      <c r="A3041" s="7"/>
      <c r="B3041" s="12"/>
      <c r="C3041" s="33"/>
      <c r="D3041" s="35"/>
      <c r="E3041" s="24"/>
      <c r="F3041" s="42" t="s">
        <v>717</v>
      </c>
      <c r="G3041" s="42"/>
      <c r="H3041" s="42"/>
      <c r="I3041" s="42"/>
      <c r="J3041" s="42"/>
      <c r="K3041" s="42"/>
      <c r="L3041" s="43"/>
      <c r="M3041" s="44"/>
      <c r="N3041" s="29"/>
      <c r="O3041" s="29"/>
      <c r="P3041" s="19"/>
      <c r="Q3041" s="19"/>
      <c r="R3041" s="11"/>
    </row>
    <row r="3042" s="1" customFormat="1" ht="21.95" customHeight="1" spans="1:18">
      <c r="A3042" s="7"/>
      <c r="B3042" s="12"/>
      <c r="C3042" s="33"/>
      <c r="D3042" s="45"/>
      <c r="E3042" s="46"/>
      <c r="F3042" s="47" t="s">
        <v>541</v>
      </c>
      <c r="G3042" s="47" t="s">
        <v>542</v>
      </c>
      <c r="H3042" s="47" t="s">
        <v>543</v>
      </c>
      <c r="I3042" s="47" t="s">
        <v>544</v>
      </c>
      <c r="J3042" s="47" t="s">
        <v>561</v>
      </c>
      <c r="K3042" s="48" t="s">
        <v>750</v>
      </c>
      <c r="L3042" s="47" t="s">
        <v>382</v>
      </c>
      <c r="M3042" s="49" t="s">
        <v>546</v>
      </c>
      <c r="N3042" s="29"/>
      <c r="O3042" s="29"/>
      <c r="P3042" s="19"/>
      <c r="Q3042" s="19"/>
      <c r="R3042" s="11"/>
    </row>
    <row r="3043" s="1" customFormat="1" ht="21.95" customHeight="1" spans="1:18">
      <c r="A3043" s="7"/>
      <c r="B3043" s="12"/>
      <c r="C3043" s="33"/>
      <c r="D3043" s="45" t="s">
        <v>652</v>
      </c>
      <c r="E3043" s="46"/>
      <c r="F3043" s="50">
        <v>10</v>
      </c>
      <c r="G3043" s="50">
        <v>10</v>
      </c>
      <c r="H3043" s="50">
        <v>10</v>
      </c>
      <c r="I3043" s="50">
        <v>10</v>
      </c>
      <c r="J3043" s="50">
        <v>60</v>
      </c>
      <c r="K3043" s="51"/>
      <c r="L3043" s="50">
        <v>100</v>
      </c>
      <c r="M3043" s="49"/>
      <c r="N3043" s="29"/>
      <c r="O3043" s="29"/>
      <c r="P3043" s="19"/>
      <c r="Q3043" s="19"/>
      <c r="R3043" s="11"/>
    </row>
    <row r="3044" s="1" customFormat="1" ht="21.95" customHeight="1" spans="1:18">
      <c r="A3044" s="7"/>
      <c r="B3044" s="12"/>
      <c r="C3044" s="33"/>
      <c r="D3044" s="52" t="s">
        <v>751</v>
      </c>
      <c r="E3044" s="53"/>
      <c r="F3044" s="54" t="str">
        <f ca="1">IFERROR(VLOOKUP(F3027,'RR-3.1-5TH'!$A$12:'RR-3.1-5TH'!$BN$111,9,0),"")</f>
        <v/>
      </c>
      <c r="G3044" s="54" t="str">
        <f ca="1">IFERROR(VLOOKUP(F3027,'RR-3.1-5TH'!$A$12:'RR-3.1-5TH'!$BN$111,10,0),"")</f>
        <v/>
      </c>
      <c r="H3044" s="54" t="str">
        <f ca="1">IFERROR(VLOOKUP(F3027,'RR-3.1-5TH'!$A$12:'RR-3.1-5TH'!$BN$111,11,0),"")</f>
        <v/>
      </c>
      <c r="I3044" s="54" t="str">
        <f ca="1">IFERROR(VLOOKUP(F3027,'RR-3.1-5TH'!$A$12:'RR-3.1-5TH'!$BN$111,12,0),"")</f>
        <v/>
      </c>
      <c r="J3044" s="54" t="str">
        <f ca="1">IFERROR(VLOOKUP(F3027,'RR-3.1-5TH'!$A$12:'RR-3.1-5TH'!$BN$111,13,0),"")</f>
        <v/>
      </c>
      <c r="K3044" s="54" t="str">
        <f ca="1">IFERROR(VLOOKUP(F3027,'RR-3.1-5TH'!$A$12:'RR-3.1-5TH'!$BN$111,14,0),"")</f>
        <v/>
      </c>
      <c r="L3044" s="55">
        <f ca="1" t="shared" ref="L3044:L3049" si="159">SUM(F3044,G3044,H3044,I3044,J3044,K3044)</f>
        <v>0</v>
      </c>
      <c r="M3044" s="56" t="str">
        <f ca="1">IF(F3027&gt;ENTRY!$D$24,"",IF(L3044=0,"Ab",IF(L3044&gt;80,"A",IF(L3044&gt;60,"B",IF(L3044&gt;44,"C",IF(L3044&gt;=33,"D",IF(L3044&lt;=32,"E","")))))))</f>
        <v/>
      </c>
      <c r="N3044" s="57" t="s">
        <v>729</v>
      </c>
      <c r="O3044" s="58"/>
      <c r="P3044" s="59"/>
      <c r="Q3044" s="19"/>
      <c r="R3044" s="11"/>
    </row>
    <row r="3045" s="1" customFormat="1" ht="21.95" customHeight="1" spans="1:18">
      <c r="A3045" s="7"/>
      <c r="B3045" s="12"/>
      <c r="C3045" s="33"/>
      <c r="D3045" s="52" t="s">
        <v>513</v>
      </c>
      <c r="E3045" s="53"/>
      <c r="F3045" s="54" t="str">
        <f ca="1">IFERROR(VLOOKUP(F3027,'RR-3.1-5TH'!$A$12:'RR-3.1-5TH'!$BN$111,17,0),"")</f>
        <v/>
      </c>
      <c r="G3045" s="54" t="str">
        <f ca="1">IFERROR(VLOOKUP(F3027,'RR-3.1-5TH'!$A$12:'RR-3.1-5TH'!$BN$111,18,0),"")</f>
        <v/>
      </c>
      <c r="H3045" s="54" t="str">
        <f ca="1">IFERROR(VLOOKUP(F3027,'RR-3.1-5TH'!$A$12:'RR-3.1-5TH'!$BN$111,19,0),"")</f>
        <v/>
      </c>
      <c r="I3045" s="54" t="str">
        <f ca="1">IFERROR(VLOOKUP(F3027,'RR-3.1-5TH'!$A$12:'RR-3.1-5TH'!$BN$111,20,0),"")</f>
        <v/>
      </c>
      <c r="J3045" s="54" t="str">
        <f ca="1">IFERROR(VLOOKUP(F3027,'RR-3.1-5TH'!$A$12:'RR-3.1-5TH'!$BN$111,21,0),"")</f>
        <v/>
      </c>
      <c r="K3045" s="54" t="str">
        <f ca="1">IFERROR(VLOOKUP(F3027,'RR-3.1-5TH'!$A$12:'RR-3.1-5TH'!$BN$111,22,0),"")</f>
        <v/>
      </c>
      <c r="L3045" s="55">
        <f ca="1" t="shared" si="159"/>
        <v>0</v>
      </c>
      <c r="M3045" s="56" t="str">
        <f ca="1">IF(F3027&gt;ENTRY!$D$24,"",IF(L3045=0,"Ab",IF(L3045&gt;80,"A",IF(L3045&gt;60,"B",IF(L3045&gt;44,"C",IF(L3045&gt;=33,"D",IF(L3045&lt;=32,"E","")))))))</f>
        <v/>
      </c>
      <c r="N3045" s="58"/>
      <c r="O3045" s="58"/>
      <c r="P3045" s="59"/>
      <c r="Q3045" s="19"/>
      <c r="R3045" s="11"/>
    </row>
    <row r="3046" s="1" customFormat="1" ht="21.95" customHeight="1" spans="1:18">
      <c r="A3046" s="7"/>
      <c r="B3046" s="12"/>
      <c r="C3046" s="33"/>
      <c r="D3046" s="52" t="s">
        <v>718</v>
      </c>
      <c r="E3046" s="53"/>
      <c r="F3046" s="54" t="str">
        <f ca="1">IFERROR(VLOOKUP(F3027,'RR-3.1-5TH'!$A$12:'RR-3.1-5TH'!$BN$111,25,0),"")</f>
        <v/>
      </c>
      <c r="G3046" s="54" t="str">
        <f ca="1">IFERROR(VLOOKUP(F3027,'RR-3.1-5TH'!$A$12:'RR-3.1-5TH'!$BN$111,26,0),"")</f>
        <v/>
      </c>
      <c r="H3046" s="54" t="str">
        <f ca="1">IFERROR(VLOOKUP(F3027,'RR-3.1-5TH'!$A$12:'RR-3.1-5TH'!$BN$111,27,0),"")</f>
        <v/>
      </c>
      <c r="I3046" s="54" t="str">
        <f ca="1">IFERROR(VLOOKUP(F3027,'RR-3.1-5TH'!$A$12:'RR-3.1-5TH'!$BN$111,28,0),"")</f>
        <v/>
      </c>
      <c r="J3046" s="54" t="str">
        <f ca="1">IFERROR(VLOOKUP(F3027,'RR-3.1-5TH'!$A$12:'RR-3.1-5TH'!$BN$111,29,0),"")</f>
        <v/>
      </c>
      <c r="K3046" s="54" t="str">
        <f ca="1">IFERROR(VLOOKUP(F3027,'RR-3.1-5TH'!$A$12:'RR-3.1-5TH'!$BN$111,30,0),"")</f>
        <v/>
      </c>
      <c r="L3046" s="55">
        <f ca="1" t="shared" si="159"/>
        <v>0</v>
      </c>
      <c r="M3046" s="56" t="str">
        <f ca="1">IF(F3027&gt;ENTRY!$D$24,"",IF(L3046=0,"Ab",IF(L3046&gt;80,"A",IF(L3046&gt;60,"B",IF(L3046&gt;44,"C",IF(L3046&gt;=33,"D",IF(L3046&lt;=32,"E","")))))))</f>
        <v/>
      </c>
      <c r="N3046" s="29"/>
      <c r="O3046" s="29"/>
      <c r="P3046" s="19"/>
      <c r="Q3046" s="19"/>
      <c r="R3046" s="11"/>
    </row>
    <row r="3047" s="1" customFormat="1" ht="21.95" customHeight="1" spans="1:18">
      <c r="A3047" s="7"/>
      <c r="B3047" s="12"/>
      <c r="C3047" s="33"/>
      <c r="D3047" s="52" t="s">
        <v>719</v>
      </c>
      <c r="E3047" s="53"/>
      <c r="F3047" s="54" t="str">
        <f ca="1">IFERROR(VLOOKUP(F3027,'RR-3.1-5TH'!$A$12:'RR-3.1-5TH'!$BN$111,33,0),"")</f>
        <v/>
      </c>
      <c r="G3047" s="54" t="str">
        <f ca="1">IFERROR(VLOOKUP(F3027,'RR-3.1-5TH'!$A$12:'RR-3.1-5TH'!$BN$111,34,0),"")</f>
        <v/>
      </c>
      <c r="H3047" s="54" t="str">
        <f ca="1">IFERROR(VLOOKUP(F3027,'RR-3.1-5TH'!$A$12:'RR-3.1-5TH'!$BN$111,35,0),"")</f>
        <v/>
      </c>
      <c r="I3047" s="54" t="str">
        <f ca="1">IFERROR(VLOOKUP(F3027,'RR-3.1-5TH'!$A$12:'RR-3.1-5TH'!$BN$111,36,0),"")</f>
        <v/>
      </c>
      <c r="J3047" s="54" t="str">
        <f ca="1">IFERROR(VLOOKUP(F3027,'RR-3.1-5TH'!$A$12:'RR-3.1-5TH'!$BN$111,37,0),"")</f>
        <v/>
      </c>
      <c r="K3047" s="54" t="str">
        <f ca="1">IFERROR(VLOOKUP(F3027,'RR-3.1-5TH'!$A$12:'RR-3.1-5TH'!$BN$111,38,0),"")</f>
        <v/>
      </c>
      <c r="L3047" s="55">
        <f ca="1" t="shared" si="159"/>
        <v>0</v>
      </c>
      <c r="M3047" s="56" t="str">
        <f ca="1">IF(F3027&gt;ENTRY!$D$24,"",IF(L3047=0,"Ab",IF(L3047&gt;80,"A",IF(L3047&gt;60,"B",IF(L3047&gt;44,"C",IF(L3047&gt;=33,"D",IF(L3047&lt;=32,"E","")))))))</f>
        <v/>
      </c>
      <c r="N3047" s="29"/>
      <c r="O3047" s="29"/>
      <c r="P3047" s="19"/>
      <c r="Q3047" s="19"/>
      <c r="R3047" s="11"/>
    </row>
    <row r="3048" s="1" customFormat="1" ht="21.95" customHeight="1" spans="1:18">
      <c r="A3048" s="7"/>
      <c r="B3048" s="12"/>
      <c r="C3048" s="33"/>
      <c r="D3048" s="52" t="s">
        <v>548</v>
      </c>
      <c r="E3048" s="53"/>
      <c r="F3048" s="54" t="str">
        <f ca="1">IFERROR(VLOOKUP(F3027,'RR-3.1-5TH'!$A$12:'RR-3.1-5TH'!$BN$111,41,0),"")</f>
        <v/>
      </c>
      <c r="G3048" s="54" t="str">
        <f ca="1">IFERROR(VLOOKUP(F3027,'RR-3.1-5TH'!$A$12:'RR-3.1-5TH'!$BN$111,42,0),"")</f>
        <v/>
      </c>
      <c r="H3048" s="54" t="str">
        <f ca="1">IFERROR(VLOOKUP(F3027,'RR-3.1-5TH'!$A$12:'RR-3.1-5TH'!$BN$111,43,0),"")</f>
        <v/>
      </c>
      <c r="I3048" s="54" t="str">
        <f ca="1">IFERROR(VLOOKUP(F3027,'RR-3.1-5TH'!$A$12:'RR-3.1-5TH'!$BN$111,44,0),"")</f>
        <v/>
      </c>
      <c r="J3048" s="54" t="str">
        <f ca="1">IFERROR(VLOOKUP(F3027,'RR-3.1-5TH'!$A$12:'RR-3.1-5TH'!$BN$111,45,0),"")</f>
        <v/>
      </c>
      <c r="K3048" s="54" t="str">
        <f ca="1">IFERROR(VLOOKUP(F3027,'RR-3.1-5TH'!$A$12:'RR-3.1-5TH'!$BN$111,46,0),"")</f>
        <v/>
      </c>
      <c r="L3048" s="55">
        <f ca="1" t="shared" si="159"/>
        <v>0</v>
      </c>
      <c r="M3048" s="56" t="str">
        <f ca="1">IF(F3027&gt;ENTRY!$D$24,"",IF(L3048=0,"Ab",IF(L3048&gt;80,"A",IF(L3048&gt;60,"B",IF(L3048&gt;44,"C",IF(L3048&gt;=33,"D",IF(L3048&lt;=32,"E","")))))))</f>
        <v/>
      </c>
      <c r="N3048" s="29"/>
      <c r="O3048" s="29"/>
      <c r="P3048" s="19"/>
      <c r="Q3048" s="19"/>
      <c r="R3048" s="11"/>
    </row>
    <row r="3049" s="1" customFormat="1" ht="21.95" customHeight="1" spans="1:18">
      <c r="A3049" s="7"/>
      <c r="B3049" s="12"/>
      <c r="C3049" s="33"/>
      <c r="D3049" s="52" t="s">
        <v>549</v>
      </c>
      <c r="E3049" s="53"/>
      <c r="F3049" s="54" t="str">
        <f ca="1">IFERROR(VLOOKUP(F3027,'RR-3.1-5TH'!$A$12:'RR-3.1-5TH'!$BN$111,49,0),"")</f>
        <v/>
      </c>
      <c r="G3049" s="54" t="str">
        <f ca="1">IFERROR(VLOOKUP(F3027,'RR-3.1-5TH'!$A$12:'RR-3.1-5TH'!$BN$111,50,0),"")</f>
        <v/>
      </c>
      <c r="H3049" s="54" t="str">
        <f ca="1">IFERROR(VLOOKUP(F3027,'RR-3.1-5TH'!$A$12:'RR-3.1-5TH'!$BN$111,51,0),"")</f>
        <v/>
      </c>
      <c r="I3049" s="54" t="str">
        <f ca="1">IFERROR(VLOOKUP(F3027,'RR-3.1-5TH'!$A$12:'RR-3.1-5TH'!$BN$111,52,0),"")</f>
        <v/>
      </c>
      <c r="J3049" s="54" t="str">
        <f ca="1">IFERROR(VLOOKUP(F3027,'RR-3.1-5TH'!$A$12:'RR-3.1-5TH'!$BN$111,53,0),"")</f>
        <v/>
      </c>
      <c r="K3049" s="54" t="str">
        <f ca="1">IFERROR(VLOOKUP(F3027,'RR-3.1-5TH'!$A$12:'RR-3.1-5TH'!$BN$111,54,0),"")</f>
        <v/>
      </c>
      <c r="L3049" s="55">
        <f ca="1" t="shared" si="159"/>
        <v>0</v>
      </c>
      <c r="M3049" s="56" t="str">
        <f ca="1">IF(F3027&gt;ENTRY!$D$24,"",IF(L3049=0,"Ab",IF(L3049&gt;80,"A",IF(L3049&gt;60,"B",IF(L3049&gt;44,"C",IF(L3049&gt;=33,"D",IF(L3049&lt;=32,"E","")))))))</f>
        <v/>
      </c>
      <c r="N3049" s="57" t="s">
        <v>752</v>
      </c>
      <c r="O3049" s="58"/>
      <c r="P3049" s="59"/>
      <c r="Q3049" s="19"/>
      <c r="R3049" s="11"/>
    </row>
    <row r="3050" s="1" customFormat="1" ht="21.95" customHeight="1" spans="1:18">
      <c r="A3050" s="7"/>
      <c r="B3050" s="12"/>
      <c r="C3050" s="33"/>
      <c r="D3050" s="52" t="s">
        <v>753</v>
      </c>
      <c r="E3050" s="53"/>
      <c r="F3050" s="60"/>
      <c r="G3050" s="54"/>
      <c r="H3050" s="54"/>
      <c r="I3050" s="54"/>
      <c r="J3050" s="54"/>
      <c r="K3050" s="54"/>
      <c r="L3050" s="55">
        <f t="shared" ref="L3050" si="160">SUM(G3050:K3050)</f>
        <v>0</v>
      </c>
      <c r="M3050" s="56" t="str">
        <f>IF(F3027&gt;ENTRY!$D$24,"",IF(L3050=0,"",IF(L3050&gt;79,"A",IF(L3050&gt;59,"B",IF(L3050&gt;44,"C",IF(L3050&gt;=33,"D",IF(L3050&lt;=32,"E","")))))))</f>
        <v/>
      </c>
      <c r="N3050" s="58"/>
      <c r="O3050" s="58"/>
      <c r="P3050" s="59"/>
      <c r="Q3050" s="19"/>
      <c r="R3050" s="11"/>
    </row>
    <row r="3051" s="1" customFormat="1" ht="21.95" customHeight="1" spans="1:18">
      <c r="A3051" s="7"/>
      <c r="B3051" s="12"/>
      <c r="C3051" s="33"/>
      <c r="D3051" s="45" t="s">
        <v>382</v>
      </c>
      <c r="E3051" s="46"/>
      <c r="F3051" s="54">
        <f ca="1" t="shared" ref="F3051:L3051" si="161">IFERROR(SUM(F3044:F3050),"")</f>
        <v>0</v>
      </c>
      <c r="G3051" s="54">
        <f ca="1" t="shared" si="161"/>
        <v>0</v>
      </c>
      <c r="H3051" s="54">
        <f ca="1" t="shared" si="161"/>
        <v>0</v>
      </c>
      <c r="I3051" s="54">
        <f ca="1" t="shared" si="161"/>
        <v>0</v>
      </c>
      <c r="J3051" s="54">
        <f ca="1" t="shared" si="161"/>
        <v>0</v>
      </c>
      <c r="K3051" s="54">
        <f ca="1" t="shared" si="161"/>
        <v>0</v>
      </c>
      <c r="L3051" s="55">
        <f ca="1" t="shared" si="161"/>
        <v>0</v>
      </c>
      <c r="M3051" s="61" t="str">
        <f ca="1">IF(F3027&gt;ENTRY!$D$24,"",IF(N3052="Ab","Ab",IF(N3052&gt;79.5,"A",IF(N3052&gt;59.5,"B",IF(N3052&gt;44.5,"C",IF(N3052&gt;=33,"D",IF(N3052&lt;33,"E","")))))))</f>
        <v/>
      </c>
      <c r="N3051" s="62"/>
      <c r="O3051" s="58"/>
      <c r="P3051" s="59"/>
      <c r="Q3051" s="19"/>
      <c r="R3051" s="11"/>
    </row>
    <row r="3052" s="1" customFormat="1" ht="21.95" customHeight="1" spans="1:18">
      <c r="A3052" s="7"/>
      <c r="B3052" s="12"/>
      <c r="C3052" s="33"/>
      <c r="D3052" s="63" t="s">
        <v>721</v>
      </c>
      <c r="E3052" s="63"/>
      <c r="F3052" s="63"/>
      <c r="G3052" s="63"/>
      <c r="H3052" s="63"/>
      <c r="I3052" s="63"/>
      <c r="J3052" s="63"/>
      <c r="K3052" s="63"/>
      <c r="L3052" s="63"/>
      <c r="M3052" s="63"/>
      <c r="N3052" s="64">
        <f ca="1">IF(L3051="Ab","Ab",L3051/6)</f>
        <v>0</v>
      </c>
      <c r="O3052" s="65"/>
      <c r="P3052" s="19"/>
      <c r="Q3052" s="19"/>
      <c r="R3052" s="11"/>
    </row>
    <row r="3053" s="1" customFormat="1" ht="21.95" customHeight="1" spans="1:18">
      <c r="A3053" s="7"/>
      <c r="B3053" s="12"/>
      <c r="C3053" s="33"/>
      <c r="D3053" s="29" t="s">
        <v>716</v>
      </c>
      <c r="E3053" s="18" t="str">
        <f>IFERROR(VLOOKUP(F3027,'1to4-2.1-RR'!$A$12:$BG$111,57,0),"")</f>
        <v/>
      </c>
      <c r="F3053" s="18"/>
      <c r="G3053" s="18"/>
      <c r="H3053" s="18"/>
      <c r="I3053" s="18"/>
      <c r="J3053" s="18"/>
      <c r="K3053" s="18"/>
      <c r="L3053" s="18"/>
      <c r="M3053" s="18"/>
      <c r="N3053" s="29"/>
      <c r="O3053" s="29"/>
      <c r="P3053" s="19"/>
      <c r="Q3053" s="19"/>
      <c r="R3053" s="11"/>
    </row>
    <row r="3054" s="1" customFormat="1" ht="9.95" customHeight="1" spans="1:18">
      <c r="A3054" s="7"/>
      <c r="B3054" s="12"/>
      <c r="C3054" s="33"/>
      <c r="D3054" s="29"/>
      <c r="E3054" s="29"/>
      <c r="F3054" s="29"/>
      <c r="G3054" s="29"/>
      <c r="H3054" s="29"/>
      <c r="I3054" s="29"/>
      <c r="J3054" s="29"/>
      <c r="K3054" s="29"/>
      <c r="L3054" s="29"/>
      <c r="M3054" s="29"/>
      <c r="N3054" s="29"/>
      <c r="O3054" s="29"/>
      <c r="P3054" s="19"/>
      <c r="Q3054" s="19"/>
      <c r="R3054" s="11"/>
    </row>
    <row r="3055" s="1" customFormat="1" ht="36" spans="1:18">
      <c r="A3055" s="7"/>
      <c r="B3055" s="12"/>
      <c r="C3055" s="33"/>
      <c r="D3055" s="66" t="s">
        <v>576</v>
      </c>
      <c r="E3055" s="67" t="s">
        <v>754</v>
      </c>
      <c r="F3055" s="47" t="str">
        <f>IF(F3027&gt;ENTRY!$D$24,"",IFERROR(VLOOKUP(F3027,PASHEET!$A$4:$CJ$103,88,0),""))</f>
        <v/>
      </c>
      <c r="G3055" s="67" t="s">
        <v>755</v>
      </c>
      <c r="H3055" s="47" t="str">
        <f>IF(F3027&gt;ENTRY!$D$24,"",IFERROR(VLOOKUP(F3027,PASHEET!$A$4:$CJ$103,87,0),""))</f>
        <v/>
      </c>
      <c r="I3055" s="68" t="s">
        <v>756</v>
      </c>
      <c r="J3055" s="69" t="str">
        <f>IF(F3027&gt;ENTRY!$D$24,"",IFERROR(IF(F3027&gt;0,H3055/F3055*100),""))</f>
        <v/>
      </c>
      <c r="K3055" s="60" t="s">
        <v>757</v>
      </c>
      <c r="L3055" s="70" t="str">
        <f ca="1">IF(F3027&gt;ENTRY!$D$24,"",IFERROR(L3051/600*100,""))</f>
        <v/>
      </c>
      <c r="M3055" s="47" t="str">
        <f ca="1">IF(F3027&gt;ENTRY!$D$24,"",IFERROR(L3051&amp;" / "&amp;"600",""))</f>
        <v/>
      </c>
      <c r="N3055" s="29"/>
      <c r="O3055" s="29"/>
      <c r="P3055" s="19"/>
      <c r="Q3055" s="19"/>
      <c r="R3055" s="11"/>
    </row>
    <row r="3056" s="1" customFormat="1" ht="9.95" customHeight="1" spans="1:18">
      <c r="A3056" s="7"/>
      <c r="B3056" s="12"/>
      <c r="C3056" s="39"/>
      <c r="D3056" s="40"/>
      <c r="E3056" s="40"/>
      <c r="F3056" s="40"/>
      <c r="G3056" s="40"/>
      <c r="H3056" s="40"/>
      <c r="I3056" s="40"/>
      <c r="J3056" s="40"/>
      <c r="K3056" s="40"/>
      <c r="L3056" s="40"/>
      <c r="M3056" s="40"/>
      <c r="N3056" s="40"/>
      <c r="O3056" s="40"/>
      <c r="P3056" s="41"/>
      <c r="Q3056" s="19"/>
      <c r="R3056" s="11"/>
    </row>
    <row r="3057" s="1" customFormat="1" ht="9.95" customHeight="1" spans="1:19">
      <c r="A3057" s="7"/>
      <c r="B3057" s="12"/>
      <c r="C3057" s="71"/>
      <c r="D3057" s="71"/>
      <c r="E3057" s="71"/>
      <c r="F3057" s="29"/>
      <c r="G3057" s="71"/>
      <c r="H3057" s="71"/>
      <c r="I3057" s="71"/>
      <c r="J3057" s="71"/>
      <c r="K3057" s="71"/>
      <c r="L3057" s="71"/>
      <c r="M3057" s="71"/>
      <c r="N3057" s="71"/>
      <c r="O3057" s="71"/>
      <c r="P3057" s="71"/>
      <c r="Q3057" s="19"/>
      <c r="R3057" s="11"/>
    </row>
    <row r="3058" s="1" customFormat="1" ht="9.95" customHeight="1" spans="1:19">
      <c r="A3058" s="7"/>
      <c r="B3058" s="12"/>
      <c r="C3058" s="29"/>
      <c r="D3058" s="29"/>
      <c r="E3058" s="29"/>
      <c r="F3058" s="72"/>
      <c r="G3058" s="29"/>
      <c r="H3058" s="29"/>
      <c r="I3058" s="29"/>
      <c r="J3058" s="29"/>
      <c r="K3058" s="29"/>
      <c r="L3058" s="29"/>
      <c r="M3058" s="29"/>
      <c r="N3058" s="29"/>
      <c r="O3058" s="29"/>
      <c r="P3058" s="29"/>
      <c r="Q3058" s="19"/>
      <c r="R3058" s="11"/>
    </row>
    <row r="3059" s="1" customFormat="1" ht="9.95" customHeight="1" spans="1:19">
      <c r="A3059" s="7"/>
      <c r="B3059" s="12"/>
      <c r="C3059" s="30"/>
      <c r="D3059" s="31"/>
      <c r="E3059" s="31"/>
      <c r="F3059" s="31"/>
      <c r="G3059" s="31"/>
      <c r="H3059" s="31"/>
      <c r="I3059" s="31"/>
      <c r="J3059" s="31"/>
      <c r="K3059" s="31"/>
      <c r="L3059" s="31"/>
      <c r="M3059" s="31"/>
      <c r="N3059" s="31"/>
      <c r="O3059" s="31"/>
      <c r="P3059" s="32"/>
      <c r="Q3059" s="19"/>
      <c r="R3059" s="11"/>
    </row>
    <row r="3060" s="1" customFormat="1" ht="21.95" customHeight="1" spans="1:19">
      <c r="A3060" s="7"/>
      <c r="B3060" s="12"/>
      <c r="C3060" s="73" t="s">
        <v>7</v>
      </c>
      <c r="D3060" s="13"/>
      <c r="E3060" s="13"/>
      <c r="F3060" s="13"/>
      <c r="G3060" s="13"/>
      <c r="H3060" s="13"/>
      <c r="I3060" s="13"/>
      <c r="J3060" s="13"/>
      <c r="K3060" s="13"/>
      <c r="L3060" s="13"/>
      <c r="M3060" s="13"/>
      <c r="N3060" s="13"/>
      <c r="O3060" s="13"/>
      <c r="P3060" s="74"/>
      <c r="Q3060" s="19"/>
      <c r="R3060" s="11"/>
      <c r="S3060" s="2"/>
    </row>
    <row r="3061" s="1" customFormat="1" ht="21.95" customHeight="1" spans="1:19">
      <c r="A3061" s="7"/>
      <c r="B3061" s="12"/>
      <c r="C3061" s="33"/>
      <c r="D3061" s="29"/>
      <c r="E3061" s="29"/>
      <c r="F3061" s="29"/>
      <c r="G3061" s="29"/>
      <c r="H3061" s="29"/>
      <c r="I3061" s="29"/>
      <c r="J3061" s="29"/>
      <c r="K3061" s="29"/>
      <c r="L3061" s="29"/>
      <c r="M3061" s="29"/>
      <c r="N3061" s="29"/>
      <c r="O3061" s="29"/>
      <c r="P3061" s="19"/>
      <c r="Q3061" s="19"/>
      <c r="R3061" s="11"/>
    </row>
    <row r="3062" s="1" customFormat="1" ht="21.95" customHeight="1" spans="1:19">
      <c r="A3062" s="7"/>
      <c r="B3062" s="12"/>
      <c r="C3062" s="75" t="str">
        <f>"SESSION-"&amp;ENTRY!$D$11</f>
        <v>SESSION-2026-27</v>
      </c>
      <c r="D3062" s="15"/>
      <c r="E3062" s="15"/>
      <c r="F3062" s="15"/>
      <c r="G3062" s="15"/>
      <c r="H3062" s="15"/>
      <c r="I3062" s="15"/>
      <c r="J3062" s="15"/>
      <c r="K3062" s="15"/>
      <c r="L3062" s="15"/>
      <c r="M3062" s="15"/>
      <c r="N3062" s="15"/>
      <c r="O3062" s="15"/>
      <c r="P3062" s="76"/>
      <c r="Q3062" s="19"/>
      <c r="R3062" s="11"/>
    </row>
    <row r="3063" s="1" customFormat="1" ht="18" customHeight="1" spans="1:19">
      <c r="A3063" s="7"/>
      <c r="B3063" s="12"/>
      <c r="C3063" s="33"/>
      <c r="D3063" s="29"/>
      <c r="E3063" s="29"/>
      <c r="F3063" s="29"/>
      <c r="G3063" s="29"/>
      <c r="H3063" s="29"/>
      <c r="I3063" s="29"/>
      <c r="J3063" s="29"/>
      <c r="K3063" s="29"/>
      <c r="L3063" s="29"/>
      <c r="M3063" s="29"/>
      <c r="N3063" s="29"/>
      <c r="O3063" s="29"/>
      <c r="P3063" s="19"/>
      <c r="Q3063" s="19"/>
      <c r="R3063" s="11"/>
    </row>
    <row r="3064" s="1" customFormat="1" ht="21.95" customHeight="1" spans="1:19">
      <c r="A3064" s="7"/>
      <c r="B3064" s="12"/>
      <c r="C3064" s="33"/>
      <c r="D3064" s="77" t="s">
        <v>758</v>
      </c>
      <c r="E3064" s="77"/>
      <c r="F3064" s="78" t="str">
        <f>IFERROR(PROPER(VLOOKUP(F3027,STUDENT!$A$2:$BP$101,5,0)),"")</f>
        <v/>
      </c>
      <c r="G3064" s="78"/>
      <c r="H3064" s="78"/>
      <c r="I3064" s="78"/>
      <c r="J3064" s="78"/>
      <c r="K3064" s="78"/>
      <c r="L3064" s="78"/>
      <c r="M3064" s="78"/>
      <c r="N3064" s="79" t="s">
        <v>759</v>
      </c>
      <c r="O3064" s="79"/>
      <c r="P3064" s="19"/>
      <c r="Q3064" s="19"/>
      <c r="R3064" s="11"/>
    </row>
    <row r="3065" s="1" customFormat="1" ht="21.95" customHeight="1" spans="1:19">
      <c r="A3065" s="7"/>
      <c r="B3065" s="12"/>
      <c r="C3065" s="33"/>
      <c r="D3065" s="80" t="s">
        <v>760</v>
      </c>
      <c r="E3065" s="81" t="str">
        <f>IFERROR(PROPER(VLOOKUP(F3027,STUDENT!$A$2:$BP$101,9,0)),"")</f>
        <v/>
      </c>
      <c r="F3065" s="81"/>
      <c r="G3065" s="81"/>
      <c r="H3065" s="80" t="s">
        <v>761</v>
      </c>
      <c r="I3065" s="82" t="str">
        <f>IFERROR(PROPER(VLOOKUP(F3027,STUDENT!$A$2:$BP$101,8,0)),"")</f>
        <v/>
      </c>
      <c r="J3065" s="82"/>
      <c r="K3065" s="82"/>
      <c r="L3065" s="82"/>
      <c r="M3065" s="80" t="s">
        <v>762</v>
      </c>
      <c r="N3065" s="83" t="str">
        <f>IFERROR(VLOOKUP(F3027,STUDENT!$A$2:$BP$101,59,0),"")</f>
        <v/>
      </c>
      <c r="O3065" s="83"/>
      <c r="P3065" s="19"/>
      <c r="Q3065" s="19"/>
      <c r="R3065" s="11"/>
    </row>
    <row r="3066" s="1" customFormat="1" ht="21.95" customHeight="1" spans="1:19">
      <c r="A3066" s="7"/>
      <c r="B3066" s="12"/>
      <c r="C3066" s="33"/>
      <c r="D3066" s="77" t="str">
        <f>"has    completed     his  /  her     primary     level     education    in    the    year    "&amp;RIGHT(ENTRY!$D3032,4)&amp;"    from    ( School    Name )"</f>
        <v>has    completed     his  /  her     primary     level     education    in    the    year        from    ( School    Name )</v>
      </c>
      <c r="E3066" s="77"/>
      <c r="F3066" s="77"/>
      <c r="G3066" s="77"/>
      <c r="H3066" s="77"/>
      <c r="I3066" s="77"/>
      <c r="J3066" s="77"/>
      <c r="K3066" s="77"/>
      <c r="L3066" s="77"/>
      <c r="M3066" s="77"/>
      <c r="N3066" s="77"/>
      <c r="O3066" s="77"/>
      <c r="P3066" s="19"/>
      <c r="Q3066" s="19"/>
      <c r="R3066" s="11"/>
    </row>
    <row r="3067" s="1" customFormat="1" ht="21.95" customHeight="1" spans="1:19">
      <c r="A3067" s="7"/>
      <c r="B3067" s="12"/>
      <c r="C3067" s="33"/>
      <c r="D3067" s="81" t="str">
        <f>IF(F3027&gt;0,ENTRY!$D$6,"")</f>
        <v>MCP NITHARI NO 1 BOYS</v>
      </c>
      <c r="E3067" s="81"/>
      <c r="F3067" s="81"/>
      <c r="G3067" s="81"/>
      <c r="H3067" s="81"/>
      <c r="I3067" s="81"/>
      <c r="J3067" s="81"/>
      <c r="K3067" s="81"/>
      <c r="L3067" s="81"/>
      <c r="M3067" s="80" t="s">
        <v>763</v>
      </c>
      <c r="N3067" s="84">
        <f>IF(F3027&gt;0,ENTRY!$D$7,"")</f>
        <v>0</v>
      </c>
      <c r="O3067" s="84"/>
      <c r="P3067" s="85" t="s">
        <v>727</v>
      </c>
      <c r="Q3067" s="19"/>
      <c r="R3067" s="11"/>
    </row>
    <row r="3068" s="1" customFormat="1" ht="21.95" customHeight="1" spans="1:19">
      <c r="A3068" s="7"/>
      <c r="B3068" s="12"/>
      <c r="C3068" s="33"/>
      <c r="D3068" s="29"/>
      <c r="E3068" s="29"/>
      <c r="F3068" s="29"/>
      <c r="G3068" s="29"/>
      <c r="H3068" s="29"/>
      <c r="I3068" s="29"/>
      <c r="J3068" s="29"/>
      <c r="K3068" s="29"/>
      <c r="L3068" s="29"/>
      <c r="M3068" s="29"/>
      <c r="N3068" s="29"/>
      <c r="O3068" s="29"/>
      <c r="P3068" s="19"/>
      <c r="Q3068" s="19"/>
      <c r="R3068" s="11"/>
    </row>
    <row r="3069" s="1" customFormat="1" ht="21.95" customHeight="1" spans="1:19">
      <c r="A3069" s="7"/>
      <c r="B3069" s="12"/>
      <c r="C3069" s="33"/>
      <c r="D3069" s="29"/>
      <c r="E3069" s="29"/>
      <c r="F3069" s="29"/>
      <c r="G3069" s="29"/>
      <c r="H3069" s="29"/>
      <c r="I3069" s="29"/>
      <c r="J3069" s="29"/>
      <c r="K3069" s="29"/>
      <c r="L3069" s="29"/>
      <c r="M3069" s="29"/>
      <c r="N3069" s="29"/>
      <c r="O3069" s="29"/>
      <c r="P3069" s="19"/>
      <c r="Q3069" s="19"/>
      <c r="R3069" s="11"/>
    </row>
    <row r="3070" s="1" customFormat="1" ht="21.95" customHeight="1" spans="1:19">
      <c r="A3070" s="7"/>
      <c r="B3070" s="12"/>
      <c r="C3070" s="33"/>
      <c r="D3070" s="29"/>
      <c r="E3070" s="29"/>
      <c r="F3070" s="29"/>
      <c r="G3070" s="29"/>
      <c r="H3070" s="29"/>
      <c r="I3070" s="29"/>
      <c r="J3070" s="29"/>
      <c r="K3070" s="29"/>
      <c r="L3070" s="29"/>
      <c r="M3070" s="29"/>
      <c r="N3070" s="29"/>
      <c r="O3070" s="29"/>
      <c r="P3070" s="19"/>
      <c r="Q3070" s="19"/>
      <c r="R3070" s="11"/>
    </row>
    <row r="3071" s="1" customFormat="1" ht="21.95" customHeight="1" spans="1:19">
      <c r="A3071" s="7"/>
      <c r="B3071" s="12"/>
      <c r="C3071" s="33"/>
      <c r="D3071" s="29"/>
      <c r="E3071" s="29"/>
      <c r="F3071" s="29"/>
      <c r="G3071" s="29"/>
      <c r="H3071" s="29"/>
      <c r="I3071" s="29"/>
      <c r="J3071" s="29"/>
      <c r="K3071" s="29"/>
      <c r="L3071" s="29"/>
      <c r="M3071" s="29"/>
      <c r="N3071" s="29"/>
      <c r="O3071" s="29"/>
      <c r="P3071" s="19"/>
      <c r="Q3071" s="19"/>
      <c r="R3071" s="11"/>
    </row>
    <row r="3072" s="1" customFormat="1" ht="21.95" customHeight="1" spans="1:19">
      <c r="A3072" s="7"/>
      <c r="B3072" s="12"/>
      <c r="C3072" s="33"/>
      <c r="D3072" s="29"/>
      <c r="E3072" s="29"/>
      <c r="F3072" s="29"/>
      <c r="G3072" s="29"/>
      <c r="H3072" s="29"/>
      <c r="I3072" s="29"/>
      <c r="J3072" s="29"/>
      <c r="K3072" s="29"/>
      <c r="L3072" s="29"/>
      <c r="M3072" s="29"/>
      <c r="N3072" s="29"/>
      <c r="O3072" s="29"/>
      <c r="P3072" s="19"/>
      <c r="Q3072" s="19"/>
      <c r="R3072" s="11"/>
    </row>
    <row r="3073" s="1" customFormat="1" ht="21.95" customHeight="1" spans="1:18">
      <c r="A3073" s="7"/>
      <c r="B3073" s="12"/>
      <c r="C3073" s="33"/>
      <c r="D3073" s="80" t="s">
        <v>728</v>
      </c>
      <c r="E3073" s="86">
        <f>ENTRY!$D$27</f>
        <v>46102</v>
      </c>
      <c r="F3073" s="86"/>
      <c r="G3073" s="29"/>
      <c r="H3073" s="29"/>
      <c r="I3073" s="29"/>
      <c r="J3073" s="29"/>
      <c r="K3073" s="29"/>
      <c r="L3073" s="29"/>
      <c r="M3073" s="87" t="s">
        <v>730</v>
      </c>
      <c r="N3073" s="87"/>
      <c r="O3073" s="87"/>
      <c r="P3073" s="19"/>
      <c r="Q3073" s="19"/>
      <c r="R3073" s="11"/>
    </row>
    <row r="3074" s="1" customFormat="1" ht="21.95" customHeight="1" spans="1:18">
      <c r="A3074" s="7"/>
      <c r="B3074" s="12"/>
      <c r="C3074" s="33"/>
      <c r="D3074" s="80" t="s">
        <v>731</v>
      </c>
      <c r="E3074" s="88" t="str">
        <f>PROPER(ENTRY!$D$28)</f>
        <v>New Delhi</v>
      </c>
      <c r="F3074" s="88"/>
      <c r="G3074" s="29"/>
      <c r="H3074" s="29"/>
      <c r="I3074" s="29"/>
      <c r="J3074" s="29"/>
      <c r="K3074" s="29"/>
      <c r="L3074" s="29"/>
      <c r="M3074" s="89" t="s">
        <v>732</v>
      </c>
      <c r="N3074" s="89"/>
      <c r="O3074" s="89"/>
      <c r="P3074" s="19"/>
      <c r="Q3074" s="19"/>
      <c r="R3074" s="11"/>
    </row>
    <row r="3075" s="1" customFormat="1" ht="21.95" customHeight="1" spans="1:18">
      <c r="A3075" s="7"/>
      <c r="B3075" s="12"/>
      <c r="C3075" s="90"/>
      <c r="D3075" s="91"/>
      <c r="E3075" s="91"/>
      <c r="F3075" s="91"/>
      <c r="G3075" s="91"/>
      <c r="H3075" s="91"/>
      <c r="I3075" s="91"/>
      <c r="J3075" s="91"/>
      <c r="K3075" s="91"/>
      <c r="L3075" s="91"/>
      <c r="M3075" s="91"/>
      <c r="N3075" s="91"/>
      <c r="O3075" s="91"/>
      <c r="P3075" s="92"/>
      <c r="Q3075" s="14"/>
      <c r="R3075" s="11"/>
    </row>
    <row r="3076" s="1" customFormat="1" ht="5.1" customHeight="1" spans="1:18">
      <c r="A3076" s="7"/>
      <c r="B3076" s="90"/>
      <c r="C3076" s="91"/>
      <c r="D3076" s="91"/>
      <c r="E3076" s="91"/>
      <c r="F3076" s="91"/>
      <c r="G3076" s="91"/>
      <c r="H3076" s="91"/>
      <c r="I3076" s="91"/>
      <c r="J3076" s="91"/>
      <c r="K3076" s="91"/>
      <c r="L3076" s="91"/>
      <c r="M3076" s="91"/>
      <c r="N3076" s="91"/>
      <c r="O3076" s="91"/>
      <c r="P3076" s="91"/>
      <c r="Q3076" s="92"/>
      <c r="R3076" s="11"/>
    </row>
    <row r="3077" s="1" customFormat="1" ht="5.1" customHeight="1" spans="1:18">
      <c r="A3077" s="93"/>
      <c r="B3077" s="94"/>
      <c r="C3077" s="94"/>
      <c r="D3077" s="94"/>
      <c r="E3077" s="94"/>
      <c r="F3077" s="94"/>
      <c r="G3077" s="94"/>
      <c r="H3077" s="94"/>
      <c r="I3077" s="94"/>
      <c r="J3077" s="94"/>
      <c r="K3077" s="94"/>
      <c r="L3077" s="94"/>
      <c r="M3077" s="94"/>
      <c r="N3077" s="94"/>
      <c r="O3077" s="94"/>
      <c r="P3077" s="94"/>
      <c r="Q3077" s="94"/>
      <c r="R3077" s="95"/>
    </row>
    <row r="3078" s="2" customFormat="1" ht="9.95" customHeight="1"/>
    <row r="3079" s="1" customFormat="1" ht="5.1" customHeight="1" spans="1:18">
      <c r="A3079" s="4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  <c r="O3079" s="5"/>
      <c r="P3079" s="5"/>
      <c r="Q3079" s="5"/>
      <c r="R3079" s="6"/>
    </row>
    <row r="3080" s="1" customFormat="1" ht="15" customHeight="1" spans="1:18">
      <c r="A3080" s="7"/>
      <c r="B3080" s="8"/>
      <c r="C3080" s="9"/>
      <c r="D3080" s="9"/>
      <c r="E3080" s="9"/>
      <c r="F3080" s="9"/>
      <c r="G3080" s="9"/>
      <c r="H3080" s="9"/>
      <c r="I3080" s="9"/>
      <c r="J3080" s="9"/>
      <c r="K3080" s="9"/>
      <c r="L3080" s="9"/>
      <c r="M3080" s="9"/>
      <c r="N3080" s="9"/>
      <c r="O3080" s="9"/>
      <c r="P3080" s="9"/>
      <c r="Q3080" s="10"/>
      <c r="R3080" s="11"/>
    </row>
    <row r="3081" s="1" customFormat="1" ht="21.95" customHeight="1" spans="1:18">
      <c r="A3081" s="7"/>
      <c r="B3081" s="12"/>
      <c r="C3081" s="13" t="s">
        <v>7</v>
      </c>
      <c r="D3081" s="13"/>
      <c r="E3081" s="13"/>
      <c r="F3081" s="13"/>
      <c r="G3081" s="13"/>
      <c r="H3081" s="13"/>
      <c r="I3081" s="13"/>
      <c r="J3081" s="13"/>
      <c r="K3081" s="13"/>
      <c r="L3081" s="13"/>
      <c r="M3081" s="13"/>
      <c r="N3081" s="13"/>
      <c r="O3081" s="13"/>
      <c r="P3081" s="13"/>
      <c r="Q3081" s="14"/>
      <c r="R3081" s="11"/>
    </row>
    <row r="3082" s="1" customFormat="1" ht="21.95" customHeight="1" spans="1:18">
      <c r="A3082" s="7"/>
      <c r="B3082" s="1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14"/>
      <c r="R3082" s="11"/>
    </row>
    <row r="3083" s="1" customFormat="1" ht="21.95" customHeight="1" spans="1:18">
      <c r="A3083" s="7"/>
      <c r="B3083" s="12"/>
      <c r="C3083" s="15" t="str">
        <f>"SESSION-"&amp;ENTRY!$D$11</f>
        <v>SESSION-2026-27</v>
      </c>
      <c r="D3083" s="15"/>
      <c r="E3083" s="15"/>
      <c r="F3083" s="15"/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4"/>
      <c r="R3083" s="11"/>
    </row>
    <row r="3084" s="1" customFormat="1" ht="21.95" customHeight="1" spans="1:18">
      <c r="A3084" s="7"/>
      <c r="B3084" s="12"/>
      <c r="C3084" s="2"/>
      <c r="D3084" s="2"/>
      <c r="E3084" s="2"/>
      <c r="F3084" s="16">
        <f>F3027+1</f>
        <v>55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14"/>
      <c r="R3084" s="11"/>
    </row>
    <row r="3085" s="1" customFormat="1" ht="21.95" customHeight="1" spans="1:18">
      <c r="A3085" s="7"/>
      <c r="B3085" s="12"/>
      <c r="C3085" s="17" t="s">
        <v>392</v>
      </c>
      <c r="D3085" s="17"/>
      <c r="E3085" s="17"/>
      <c r="F3085" s="18" t="str">
        <f>IF(F3084&gt;0,ENTRY!$D$6,"")</f>
        <v>MCP NITHARI NO 1 BOYS</v>
      </c>
      <c r="G3085" s="18"/>
      <c r="H3085" s="18"/>
      <c r="I3085" s="18"/>
      <c r="J3085" s="18"/>
      <c r="K3085" s="18"/>
      <c r="L3085" s="18"/>
      <c r="M3085" s="18"/>
      <c r="N3085" s="18"/>
      <c r="O3085" s="18"/>
      <c r="P3085" s="18"/>
      <c r="Q3085" s="19"/>
      <c r="R3085" s="11"/>
    </row>
    <row r="3086" s="1" customFormat="1" ht="21.95" customHeight="1" spans="1:18">
      <c r="A3086" s="7"/>
      <c r="B3086" s="12"/>
      <c r="C3086" s="17" t="s">
        <v>393</v>
      </c>
      <c r="D3086" s="17"/>
      <c r="E3086" s="17"/>
      <c r="F3086" s="18">
        <f>IF(F3084&gt;0,ENTRY!$D$7,"")</f>
        <v>0</v>
      </c>
      <c r="G3086" s="18"/>
      <c r="H3086" s="20" t="s">
        <v>702</v>
      </c>
      <c r="I3086" s="20"/>
      <c r="J3086" s="21">
        <f>IF(F3084&gt;0,ENTRY!$D$10,"")</f>
        <v>40</v>
      </c>
      <c r="K3086" s="20" t="s">
        <v>703</v>
      </c>
      <c r="L3086" s="22" t="str">
        <f>IF(F3084&gt;0,ENTRY!$D$5,"")</f>
        <v>ROHINI ZONE</v>
      </c>
      <c r="M3086" s="22"/>
      <c r="N3086" s="22"/>
      <c r="O3086" s="22"/>
      <c r="P3086" s="22"/>
      <c r="Q3086" s="19"/>
      <c r="R3086" s="11"/>
    </row>
    <row r="3087" s="1" customFormat="1" ht="21.95" customHeight="1" spans="1:18">
      <c r="A3087" s="7"/>
      <c r="B3087" s="12"/>
      <c r="C3087" s="17" t="s">
        <v>706</v>
      </c>
      <c r="D3087" s="17"/>
      <c r="E3087" s="17"/>
      <c r="F3087" s="23">
        <f>IFERROR(VLOOKUP(F3084,STUDENT!$A$2:$BP$101,5,0),"")</f>
        <v>0</v>
      </c>
      <c r="G3087" s="23"/>
      <c r="H3087" s="23"/>
      <c r="I3087" s="23"/>
      <c r="J3087" s="23"/>
      <c r="K3087" s="23"/>
      <c r="L3087" s="20" t="s">
        <v>707</v>
      </c>
      <c r="M3087" s="20"/>
      <c r="N3087" s="24" t="str">
        <f>IF(F3084&gt;0,ENTRY!$D$20&amp;"-"&amp;ENTRY!$D$21,"")</f>
        <v>III-A</v>
      </c>
      <c r="O3087" s="24"/>
      <c r="P3087" s="24"/>
      <c r="Q3087" s="19"/>
      <c r="R3087" s="11"/>
    </row>
    <row r="3088" s="1" customFormat="1" ht="21.95" customHeight="1" spans="1:18">
      <c r="A3088" s="7"/>
      <c r="B3088" s="12"/>
      <c r="C3088" s="17" t="s">
        <v>708</v>
      </c>
      <c r="D3088" s="17"/>
      <c r="E3088" s="17"/>
      <c r="F3088" s="25">
        <f>IFERROR(VLOOKUP(F3084,STUDENT!$A$2:$BP$101,6,0),"")</f>
        <v>0</v>
      </c>
      <c r="G3088" s="25"/>
      <c r="H3088" s="26" t="s">
        <v>709</v>
      </c>
      <c r="I3088" s="27" t="str">
        <f>IFERROR(VLOOKUP(F3084,STUDENT!$A$2:$BP$101,59,0),"")</f>
        <v/>
      </c>
      <c r="J3088" s="27"/>
      <c r="K3088" s="20" t="s">
        <v>710</v>
      </c>
      <c r="L3088" s="20"/>
      <c r="M3088" s="28">
        <f>IFERROR(VLOOKUP(F3084,STUDENT!$A$2:$BP$101,20,0),"")</f>
        <v>0</v>
      </c>
      <c r="N3088" s="28"/>
      <c r="O3088" s="28"/>
      <c r="P3088" s="28"/>
      <c r="Q3088" s="19"/>
      <c r="R3088" s="11"/>
    </row>
    <row r="3089" s="1" customFormat="1" ht="21.95" customHeight="1" spans="1:18">
      <c r="A3089" s="7"/>
      <c r="B3089" s="12"/>
      <c r="C3089" s="17" t="s">
        <v>711</v>
      </c>
      <c r="D3089" s="17"/>
      <c r="E3089" s="17"/>
      <c r="F3089" s="23">
        <f>IFERROR(VLOOKUP(F3084,STUDENT!$A$2:$BP$101,9,0),"")</f>
        <v>0</v>
      </c>
      <c r="G3089" s="23"/>
      <c r="H3089" s="23"/>
      <c r="I3089" s="23"/>
      <c r="J3089" s="17" t="s">
        <v>620</v>
      </c>
      <c r="K3089" s="17"/>
      <c r="L3089" s="23">
        <f>IFERROR(VLOOKUP(F3084,STUDENT!$A$2:$BP$101,8,0),"")</f>
        <v>0</v>
      </c>
      <c r="M3089" s="23"/>
      <c r="N3089" s="23"/>
      <c r="O3089" s="23"/>
      <c r="P3089" s="23"/>
      <c r="Q3089" s="19"/>
      <c r="R3089" s="11"/>
    </row>
    <row r="3090" s="1" customFormat="1" ht="21.95" customHeight="1" spans="1:18">
      <c r="A3090" s="7"/>
      <c r="B3090" s="12"/>
      <c r="C3090" s="17" t="s">
        <v>712</v>
      </c>
      <c r="D3090" s="17"/>
      <c r="E3090" s="17"/>
      <c r="F3090" s="23">
        <f>IFERROR(VLOOKUP(F3084,STUDENT!$A$2:$BP$101,22,0),"")</f>
        <v>0</v>
      </c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19"/>
      <c r="R3090" s="11"/>
    </row>
    <row r="3091" s="1" customFormat="1" ht="9.95" customHeight="1" spans="1:18">
      <c r="A3091" s="7"/>
      <c r="B3091" s="12"/>
      <c r="C3091" s="29"/>
      <c r="D3091" s="29"/>
      <c r="E3091" s="29"/>
      <c r="F3091" s="29"/>
      <c r="G3091" s="29"/>
      <c r="H3091" s="29"/>
      <c r="I3091" s="29"/>
      <c r="J3091" s="29"/>
      <c r="K3091" s="29"/>
      <c r="L3091" s="29"/>
      <c r="M3091" s="29"/>
      <c r="N3091" s="29"/>
      <c r="O3091" s="29"/>
      <c r="P3091" s="29"/>
      <c r="Q3091" s="19"/>
      <c r="R3091" s="11"/>
    </row>
    <row r="3092" s="1" customFormat="1" ht="9.95" customHeight="1" spans="1:18">
      <c r="A3092" s="7"/>
      <c r="B3092" s="12"/>
      <c r="C3092" s="30"/>
      <c r="D3092" s="31"/>
      <c r="E3092" s="31"/>
      <c r="F3092" s="31"/>
      <c r="G3092" s="31"/>
      <c r="H3092" s="31"/>
      <c r="I3092" s="31"/>
      <c r="J3092" s="31"/>
      <c r="K3092" s="31"/>
      <c r="L3092" s="31"/>
      <c r="M3092" s="31"/>
      <c r="N3092" s="31"/>
      <c r="O3092" s="31"/>
      <c r="P3092" s="32"/>
      <c r="Q3092" s="19"/>
      <c r="R3092" s="11"/>
    </row>
    <row r="3093" s="1" customFormat="1" ht="21.95" customHeight="1" spans="1:18">
      <c r="A3093" s="7"/>
      <c r="B3093" s="12"/>
      <c r="C3093" s="33"/>
      <c r="D3093" s="34" t="s">
        <v>713</v>
      </c>
      <c r="E3093" s="20" t="s">
        <v>714</v>
      </c>
      <c r="F3093" s="35" t="str">
        <f>"Level - "&amp;IFERROR(VLOOKUP(F3084,FLN!$A$4:$K$103,9,0),"")</f>
        <v>Level - </v>
      </c>
      <c r="G3093" s="36"/>
      <c r="H3093" s="37" t="s">
        <v>715</v>
      </c>
      <c r="I3093" s="20"/>
      <c r="J3093" s="35" t="str">
        <f>"Level - "&amp;IFERROR(VLOOKUP(F3084,FLN!$A$4:$K$103,11,0),"")</f>
        <v>Level - </v>
      </c>
      <c r="K3093" s="36"/>
      <c r="L3093" s="37" t="s">
        <v>408</v>
      </c>
      <c r="M3093" s="20"/>
      <c r="N3093" s="35" t="str">
        <f>"Level - "&amp;IFERROR(VLOOKUP(F3084,FLN!$A$4:$K$103,10,0),"")</f>
        <v>Level - </v>
      </c>
      <c r="O3093" s="36"/>
      <c r="P3093" s="19"/>
      <c r="Q3093" s="19"/>
      <c r="R3093" s="11"/>
    </row>
    <row r="3094" s="1" customFormat="1" ht="21.95" customHeight="1" spans="1:18">
      <c r="A3094" s="7"/>
      <c r="B3094" s="12"/>
      <c r="C3094" s="33"/>
      <c r="D3094" s="38"/>
      <c r="E3094" s="20" t="s">
        <v>716</v>
      </c>
      <c r="F3094" s="18" t="str">
        <f ca="1">IF(L3108&gt;197,"PERFORMED WELL","")</f>
        <v/>
      </c>
      <c r="G3094" s="18"/>
      <c r="H3094" s="18"/>
      <c r="I3094" s="18"/>
      <c r="J3094" s="18"/>
      <c r="K3094" s="18"/>
      <c r="L3094" s="18"/>
      <c r="M3094" s="18"/>
      <c r="N3094" s="18"/>
      <c r="O3094" s="18"/>
      <c r="P3094" s="19"/>
      <c r="Q3094" s="19"/>
      <c r="R3094" s="11"/>
    </row>
    <row r="3095" s="1" customFormat="1" ht="9.95" customHeight="1" spans="1:18">
      <c r="A3095" s="7"/>
      <c r="B3095" s="12"/>
      <c r="C3095" s="39"/>
      <c r="D3095" s="40"/>
      <c r="E3095" s="40"/>
      <c r="F3095" s="40"/>
      <c r="G3095" s="40"/>
      <c r="H3095" s="40"/>
      <c r="I3095" s="40"/>
      <c r="J3095" s="40"/>
      <c r="K3095" s="40"/>
      <c r="L3095" s="40"/>
      <c r="M3095" s="40"/>
      <c r="N3095" s="40"/>
      <c r="O3095" s="40"/>
      <c r="P3095" s="41"/>
      <c r="Q3095" s="19"/>
      <c r="R3095" s="11"/>
    </row>
    <row r="3096" s="1" customFormat="1" ht="9.95" customHeight="1" spans="1:18">
      <c r="A3096" s="7"/>
      <c r="B3096" s="12"/>
      <c r="C3096" s="29"/>
      <c r="D3096" s="29"/>
      <c r="E3096" s="29"/>
      <c r="F3096" s="29"/>
      <c r="G3096" s="29"/>
      <c r="H3096" s="29"/>
      <c r="I3096" s="29"/>
      <c r="J3096" s="29"/>
      <c r="K3096" s="29"/>
      <c r="L3096" s="29"/>
      <c r="M3096" s="29"/>
      <c r="N3096" s="29"/>
      <c r="O3096" s="29"/>
      <c r="P3096" s="29"/>
      <c r="Q3096" s="19"/>
      <c r="R3096" s="11"/>
    </row>
    <row r="3097" s="1" customFormat="1" ht="9.95" customHeight="1" spans="1:18">
      <c r="A3097" s="7"/>
      <c r="B3097" s="12"/>
      <c r="C3097" s="30"/>
      <c r="D3097" s="31"/>
      <c r="E3097" s="31"/>
      <c r="F3097" s="31"/>
      <c r="G3097" s="31"/>
      <c r="H3097" s="31"/>
      <c r="I3097" s="31"/>
      <c r="J3097" s="31"/>
      <c r="K3097" s="31"/>
      <c r="L3097" s="31"/>
      <c r="M3097" s="31"/>
      <c r="N3097" s="31"/>
      <c r="O3097" s="31"/>
      <c r="P3097" s="32"/>
      <c r="Q3097" s="19"/>
      <c r="R3097" s="11"/>
    </row>
    <row r="3098" s="1" customFormat="1" ht="21.95" customHeight="1" spans="1:18">
      <c r="A3098" s="7"/>
      <c r="B3098" s="12"/>
      <c r="C3098" s="33"/>
      <c r="D3098" s="35"/>
      <c r="E3098" s="24"/>
      <c r="F3098" s="42" t="s">
        <v>717</v>
      </c>
      <c r="G3098" s="42"/>
      <c r="H3098" s="42"/>
      <c r="I3098" s="42"/>
      <c r="J3098" s="42"/>
      <c r="K3098" s="42"/>
      <c r="L3098" s="43"/>
      <c r="M3098" s="44"/>
      <c r="N3098" s="29"/>
      <c r="O3098" s="29"/>
      <c r="P3098" s="19"/>
      <c r="Q3098" s="19"/>
      <c r="R3098" s="11"/>
    </row>
    <row r="3099" s="1" customFormat="1" ht="21.95" customHeight="1" spans="1:18">
      <c r="A3099" s="7"/>
      <c r="B3099" s="12"/>
      <c r="C3099" s="33"/>
      <c r="D3099" s="45"/>
      <c r="E3099" s="46"/>
      <c r="F3099" s="47" t="s">
        <v>541</v>
      </c>
      <c r="G3099" s="47" t="s">
        <v>542</v>
      </c>
      <c r="H3099" s="47" t="s">
        <v>543</v>
      </c>
      <c r="I3099" s="47" t="s">
        <v>544</v>
      </c>
      <c r="J3099" s="47" t="s">
        <v>561</v>
      </c>
      <c r="K3099" s="48" t="s">
        <v>750</v>
      </c>
      <c r="L3099" s="47" t="s">
        <v>382</v>
      </c>
      <c r="M3099" s="49" t="s">
        <v>546</v>
      </c>
      <c r="N3099" s="29"/>
      <c r="O3099" s="29"/>
      <c r="P3099" s="19"/>
      <c r="Q3099" s="19"/>
      <c r="R3099" s="11"/>
    </row>
    <row r="3100" s="1" customFormat="1" ht="21.95" customHeight="1" spans="1:18">
      <c r="A3100" s="7"/>
      <c r="B3100" s="12"/>
      <c r="C3100" s="33"/>
      <c r="D3100" s="45" t="s">
        <v>652</v>
      </c>
      <c r="E3100" s="46"/>
      <c r="F3100" s="50">
        <v>10</v>
      </c>
      <c r="G3100" s="50">
        <v>10</v>
      </c>
      <c r="H3100" s="50">
        <v>10</v>
      </c>
      <c r="I3100" s="50">
        <v>10</v>
      </c>
      <c r="J3100" s="50">
        <v>60</v>
      </c>
      <c r="K3100" s="51"/>
      <c r="L3100" s="50">
        <v>100</v>
      </c>
      <c r="M3100" s="49"/>
      <c r="N3100" s="29"/>
      <c r="O3100" s="29"/>
      <c r="P3100" s="19"/>
      <c r="Q3100" s="19"/>
      <c r="R3100" s="11"/>
    </row>
    <row r="3101" s="1" customFormat="1" ht="21.95" customHeight="1" spans="1:18">
      <c r="A3101" s="7"/>
      <c r="B3101" s="12"/>
      <c r="C3101" s="33"/>
      <c r="D3101" s="52" t="s">
        <v>751</v>
      </c>
      <c r="E3101" s="53"/>
      <c r="F3101" s="54" t="str">
        <f ca="1">IFERROR(VLOOKUP(F3084,'RR-3.1-5TH'!$A$12:'RR-3.1-5TH'!$BN$111,9,0),"")</f>
        <v/>
      </c>
      <c r="G3101" s="54" t="str">
        <f ca="1">IFERROR(VLOOKUP(F3084,'RR-3.1-5TH'!$A$12:'RR-3.1-5TH'!$BN$111,10,0),"")</f>
        <v/>
      </c>
      <c r="H3101" s="54" t="str">
        <f ca="1">IFERROR(VLOOKUP(F3084,'RR-3.1-5TH'!$A$12:'RR-3.1-5TH'!$BN$111,11,0),"")</f>
        <v/>
      </c>
      <c r="I3101" s="54" t="str">
        <f ca="1">IFERROR(VLOOKUP(F3084,'RR-3.1-5TH'!$A$12:'RR-3.1-5TH'!$BN$111,12,0),"")</f>
        <v/>
      </c>
      <c r="J3101" s="54" t="str">
        <f ca="1">IFERROR(VLOOKUP(F3084,'RR-3.1-5TH'!$A$12:'RR-3.1-5TH'!$BN$111,13,0),"")</f>
        <v/>
      </c>
      <c r="K3101" s="54" t="str">
        <f ca="1">IFERROR(VLOOKUP(F3084,'RR-3.1-5TH'!$A$12:'RR-3.1-5TH'!$BN$111,14,0),"")</f>
        <v/>
      </c>
      <c r="L3101" s="55">
        <f ca="1" t="shared" ref="L3101:L3106" si="162">SUM(F3101,G3101,H3101,I3101,J3101,K3101)</f>
        <v>0</v>
      </c>
      <c r="M3101" s="56" t="str">
        <f ca="1">IF(F3084&gt;ENTRY!$D$24,"",IF(L3101=0,"Ab",IF(L3101&gt;80,"A",IF(L3101&gt;60,"B",IF(L3101&gt;44,"C",IF(L3101&gt;=33,"D",IF(L3101&lt;=32,"E","")))))))</f>
        <v/>
      </c>
      <c r="N3101" s="57" t="s">
        <v>729</v>
      </c>
      <c r="O3101" s="58"/>
      <c r="P3101" s="59"/>
      <c r="Q3101" s="19"/>
      <c r="R3101" s="11"/>
    </row>
    <row r="3102" s="1" customFormat="1" ht="21.95" customHeight="1" spans="1:18">
      <c r="A3102" s="7"/>
      <c r="B3102" s="12"/>
      <c r="C3102" s="33"/>
      <c r="D3102" s="52" t="s">
        <v>513</v>
      </c>
      <c r="E3102" s="53"/>
      <c r="F3102" s="54" t="str">
        <f ca="1">IFERROR(VLOOKUP(F3084,'RR-3.1-5TH'!$A$12:'RR-3.1-5TH'!$BN$111,17,0),"")</f>
        <v/>
      </c>
      <c r="G3102" s="54" t="str">
        <f ca="1">IFERROR(VLOOKUP(F3084,'RR-3.1-5TH'!$A$12:'RR-3.1-5TH'!$BN$111,18,0),"")</f>
        <v/>
      </c>
      <c r="H3102" s="54" t="str">
        <f ca="1">IFERROR(VLOOKUP(F3084,'RR-3.1-5TH'!$A$12:'RR-3.1-5TH'!$BN$111,19,0),"")</f>
        <v/>
      </c>
      <c r="I3102" s="54" t="str">
        <f ca="1">IFERROR(VLOOKUP(F3084,'RR-3.1-5TH'!$A$12:'RR-3.1-5TH'!$BN$111,20,0),"")</f>
        <v/>
      </c>
      <c r="J3102" s="54" t="str">
        <f ca="1">IFERROR(VLOOKUP(F3084,'RR-3.1-5TH'!$A$12:'RR-3.1-5TH'!$BN$111,21,0),"")</f>
        <v/>
      </c>
      <c r="K3102" s="54" t="str">
        <f ca="1">IFERROR(VLOOKUP(F3084,'RR-3.1-5TH'!$A$12:'RR-3.1-5TH'!$BN$111,22,0),"")</f>
        <v/>
      </c>
      <c r="L3102" s="55">
        <f ca="1" t="shared" si="162"/>
        <v>0</v>
      </c>
      <c r="M3102" s="56" t="str">
        <f ca="1">IF(F3084&gt;ENTRY!$D$24,"",IF(L3102=0,"Ab",IF(L3102&gt;80,"A",IF(L3102&gt;60,"B",IF(L3102&gt;44,"C",IF(L3102&gt;=33,"D",IF(L3102&lt;=32,"E","")))))))</f>
        <v/>
      </c>
      <c r="N3102" s="58"/>
      <c r="O3102" s="58"/>
      <c r="P3102" s="59"/>
      <c r="Q3102" s="19"/>
      <c r="R3102" s="11"/>
    </row>
    <row r="3103" s="1" customFormat="1" ht="21.95" customHeight="1" spans="1:18">
      <c r="A3103" s="7"/>
      <c r="B3103" s="12"/>
      <c r="C3103" s="33"/>
      <c r="D3103" s="52" t="s">
        <v>718</v>
      </c>
      <c r="E3103" s="53"/>
      <c r="F3103" s="54" t="str">
        <f ca="1">IFERROR(VLOOKUP(F3084,'RR-3.1-5TH'!$A$12:'RR-3.1-5TH'!$BN$111,25,0),"")</f>
        <v/>
      </c>
      <c r="G3103" s="54" t="str">
        <f ca="1">IFERROR(VLOOKUP(F3084,'RR-3.1-5TH'!$A$12:'RR-3.1-5TH'!$BN$111,26,0),"")</f>
        <v/>
      </c>
      <c r="H3103" s="54" t="str">
        <f ca="1">IFERROR(VLOOKUP(F3084,'RR-3.1-5TH'!$A$12:'RR-3.1-5TH'!$BN$111,27,0),"")</f>
        <v/>
      </c>
      <c r="I3103" s="54" t="str">
        <f ca="1">IFERROR(VLOOKUP(F3084,'RR-3.1-5TH'!$A$12:'RR-3.1-5TH'!$BN$111,28,0),"")</f>
        <v/>
      </c>
      <c r="J3103" s="54" t="str">
        <f ca="1">IFERROR(VLOOKUP(F3084,'RR-3.1-5TH'!$A$12:'RR-3.1-5TH'!$BN$111,29,0),"")</f>
        <v/>
      </c>
      <c r="K3103" s="54" t="str">
        <f ca="1">IFERROR(VLOOKUP(F3084,'RR-3.1-5TH'!$A$12:'RR-3.1-5TH'!$BN$111,30,0),"")</f>
        <v/>
      </c>
      <c r="L3103" s="55">
        <f ca="1" t="shared" si="162"/>
        <v>0</v>
      </c>
      <c r="M3103" s="56" t="str">
        <f ca="1">IF(F3084&gt;ENTRY!$D$24,"",IF(L3103=0,"Ab",IF(L3103&gt;80,"A",IF(L3103&gt;60,"B",IF(L3103&gt;44,"C",IF(L3103&gt;=33,"D",IF(L3103&lt;=32,"E","")))))))</f>
        <v/>
      </c>
      <c r="N3103" s="29"/>
      <c r="O3103" s="29"/>
      <c r="P3103" s="19"/>
      <c r="Q3103" s="19"/>
      <c r="R3103" s="11"/>
    </row>
    <row r="3104" s="1" customFormat="1" ht="21.95" customHeight="1" spans="1:18">
      <c r="A3104" s="7"/>
      <c r="B3104" s="12"/>
      <c r="C3104" s="33"/>
      <c r="D3104" s="52" t="s">
        <v>719</v>
      </c>
      <c r="E3104" s="53"/>
      <c r="F3104" s="54" t="str">
        <f ca="1">IFERROR(VLOOKUP(F3084,'RR-3.1-5TH'!$A$12:'RR-3.1-5TH'!$BN$111,33,0),"")</f>
        <v/>
      </c>
      <c r="G3104" s="54" t="str">
        <f ca="1">IFERROR(VLOOKUP(F3084,'RR-3.1-5TH'!$A$12:'RR-3.1-5TH'!$BN$111,34,0),"")</f>
        <v/>
      </c>
      <c r="H3104" s="54" t="str">
        <f ca="1">IFERROR(VLOOKUP(F3084,'RR-3.1-5TH'!$A$12:'RR-3.1-5TH'!$BN$111,35,0),"")</f>
        <v/>
      </c>
      <c r="I3104" s="54" t="str">
        <f ca="1">IFERROR(VLOOKUP(F3084,'RR-3.1-5TH'!$A$12:'RR-3.1-5TH'!$BN$111,36,0),"")</f>
        <v/>
      </c>
      <c r="J3104" s="54" t="str">
        <f ca="1">IFERROR(VLOOKUP(F3084,'RR-3.1-5TH'!$A$12:'RR-3.1-5TH'!$BN$111,37,0),"")</f>
        <v/>
      </c>
      <c r="K3104" s="54" t="str">
        <f ca="1">IFERROR(VLOOKUP(F3084,'RR-3.1-5TH'!$A$12:'RR-3.1-5TH'!$BN$111,38,0),"")</f>
        <v/>
      </c>
      <c r="L3104" s="55">
        <f ca="1" t="shared" si="162"/>
        <v>0</v>
      </c>
      <c r="M3104" s="56" t="str">
        <f ca="1">IF(F3084&gt;ENTRY!$D$24,"",IF(L3104=0,"Ab",IF(L3104&gt;80,"A",IF(L3104&gt;60,"B",IF(L3104&gt;44,"C",IF(L3104&gt;=33,"D",IF(L3104&lt;=32,"E","")))))))</f>
        <v/>
      </c>
      <c r="N3104" s="29"/>
      <c r="O3104" s="29"/>
      <c r="P3104" s="19"/>
      <c r="Q3104" s="19"/>
      <c r="R3104" s="11"/>
    </row>
    <row r="3105" s="1" customFormat="1" ht="21.95" customHeight="1" spans="1:19">
      <c r="A3105" s="7"/>
      <c r="B3105" s="12"/>
      <c r="C3105" s="33"/>
      <c r="D3105" s="52" t="s">
        <v>548</v>
      </c>
      <c r="E3105" s="53"/>
      <c r="F3105" s="54" t="str">
        <f ca="1">IFERROR(VLOOKUP(F3084,'RR-3.1-5TH'!$A$12:'RR-3.1-5TH'!$BN$111,41,0),"")</f>
        <v/>
      </c>
      <c r="G3105" s="54" t="str">
        <f ca="1">IFERROR(VLOOKUP(F3084,'RR-3.1-5TH'!$A$12:'RR-3.1-5TH'!$BN$111,42,0),"")</f>
        <v/>
      </c>
      <c r="H3105" s="54" t="str">
        <f ca="1">IFERROR(VLOOKUP(F3084,'RR-3.1-5TH'!$A$12:'RR-3.1-5TH'!$BN$111,43,0),"")</f>
        <v/>
      </c>
      <c r="I3105" s="54" t="str">
        <f ca="1">IFERROR(VLOOKUP(F3084,'RR-3.1-5TH'!$A$12:'RR-3.1-5TH'!$BN$111,44,0),"")</f>
        <v/>
      </c>
      <c r="J3105" s="54" t="str">
        <f ca="1">IFERROR(VLOOKUP(F3084,'RR-3.1-5TH'!$A$12:'RR-3.1-5TH'!$BN$111,45,0),"")</f>
        <v/>
      </c>
      <c r="K3105" s="54" t="str">
        <f ca="1">IFERROR(VLOOKUP(F3084,'RR-3.1-5TH'!$A$12:'RR-3.1-5TH'!$BN$111,46,0),"")</f>
        <v/>
      </c>
      <c r="L3105" s="55">
        <f ca="1" t="shared" si="162"/>
        <v>0</v>
      </c>
      <c r="M3105" s="56" t="str">
        <f ca="1">IF(F3084&gt;ENTRY!$D$24,"",IF(L3105=0,"Ab",IF(L3105&gt;80,"A",IF(L3105&gt;60,"B",IF(L3105&gt;44,"C",IF(L3105&gt;=33,"D",IF(L3105&lt;=32,"E","")))))))</f>
        <v/>
      </c>
      <c r="N3105" s="29"/>
      <c r="O3105" s="29"/>
      <c r="P3105" s="19"/>
      <c r="Q3105" s="19"/>
      <c r="R3105" s="11"/>
    </row>
    <row r="3106" s="1" customFormat="1" ht="21.95" customHeight="1" spans="1:19">
      <c r="A3106" s="7"/>
      <c r="B3106" s="12"/>
      <c r="C3106" s="33"/>
      <c r="D3106" s="52" t="s">
        <v>549</v>
      </c>
      <c r="E3106" s="53"/>
      <c r="F3106" s="54" t="str">
        <f ca="1">IFERROR(VLOOKUP(F3084,'RR-3.1-5TH'!$A$12:'RR-3.1-5TH'!$BN$111,49,0),"")</f>
        <v/>
      </c>
      <c r="G3106" s="54" t="str">
        <f ca="1">IFERROR(VLOOKUP(F3084,'RR-3.1-5TH'!$A$12:'RR-3.1-5TH'!$BN$111,50,0),"")</f>
        <v/>
      </c>
      <c r="H3106" s="54" t="str">
        <f ca="1">IFERROR(VLOOKUP(F3084,'RR-3.1-5TH'!$A$12:'RR-3.1-5TH'!$BN$111,51,0),"")</f>
        <v/>
      </c>
      <c r="I3106" s="54" t="str">
        <f ca="1">IFERROR(VLOOKUP(F3084,'RR-3.1-5TH'!$A$12:'RR-3.1-5TH'!$BN$111,52,0),"")</f>
        <v/>
      </c>
      <c r="J3106" s="54" t="str">
        <f ca="1">IFERROR(VLOOKUP(F3084,'RR-3.1-5TH'!$A$12:'RR-3.1-5TH'!$BN$111,53,0),"")</f>
        <v/>
      </c>
      <c r="K3106" s="54" t="str">
        <f ca="1">IFERROR(VLOOKUP(F3084,'RR-3.1-5TH'!$A$12:'RR-3.1-5TH'!$BN$111,54,0),"")</f>
        <v/>
      </c>
      <c r="L3106" s="55">
        <f ca="1" t="shared" si="162"/>
        <v>0</v>
      </c>
      <c r="M3106" s="56" t="str">
        <f ca="1">IF(F3084&gt;ENTRY!$D$24,"",IF(L3106=0,"Ab",IF(L3106&gt;80,"A",IF(L3106&gt;60,"B",IF(L3106&gt;44,"C",IF(L3106&gt;=33,"D",IF(L3106&lt;=32,"E","")))))))</f>
        <v/>
      </c>
      <c r="N3106" s="57" t="s">
        <v>752</v>
      </c>
      <c r="O3106" s="58"/>
      <c r="P3106" s="59"/>
      <c r="Q3106" s="19"/>
      <c r="R3106" s="11"/>
    </row>
    <row r="3107" s="1" customFormat="1" ht="21.95" customHeight="1" spans="1:19">
      <c r="A3107" s="7"/>
      <c r="B3107" s="12"/>
      <c r="C3107" s="33"/>
      <c r="D3107" s="52" t="s">
        <v>753</v>
      </c>
      <c r="E3107" s="53"/>
      <c r="F3107" s="60"/>
      <c r="G3107" s="54"/>
      <c r="H3107" s="54"/>
      <c r="I3107" s="54"/>
      <c r="J3107" s="54"/>
      <c r="K3107" s="54"/>
      <c r="L3107" s="55">
        <f t="shared" ref="L3107" si="163">SUM(G3107:K3107)</f>
        <v>0</v>
      </c>
      <c r="M3107" s="56" t="str">
        <f>IF(F3084&gt;ENTRY!$D$24,"",IF(L3107=0,"",IF(L3107&gt;79,"A",IF(L3107&gt;59,"B",IF(L3107&gt;44,"C",IF(L3107&gt;=33,"D",IF(L3107&lt;=32,"E","")))))))</f>
        <v/>
      </c>
      <c r="N3107" s="58"/>
      <c r="O3107" s="58"/>
      <c r="P3107" s="59"/>
      <c r="Q3107" s="19"/>
      <c r="R3107" s="11"/>
    </row>
    <row r="3108" s="1" customFormat="1" ht="21.95" customHeight="1" spans="1:19">
      <c r="A3108" s="7"/>
      <c r="B3108" s="12"/>
      <c r="C3108" s="33"/>
      <c r="D3108" s="45" t="s">
        <v>382</v>
      </c>
      <c r="E3108" s="46"/>
      <c r="F3108" s="54">
        <f ca="1" t="shared" ref="F3108:L3108" si="164">IFERROR(SUM(F3101:F3107),"")</f>
        <v>0</v>
      </c>
      <c r="G3108" s="54">
        <f ca="1" t="shared" si="164"/>
        <v>0</v>
      </c>
      <c r="H3108" s="54">
        <f ca="1" t="shared" si="164"/>
        <v>0</v>
      </c>
      <c r="I3108" s="54">
        <f ca="1" t="shared" si="164"/>
        <v>0</v>
      </c>
      <c r="J3108" s="54">
        <f ca="1" t="shared" si="164"/>
        <v>0</v>
      </c>
      <c r="K3108" s="54">
        <f ca="1" t="shared" si="164"/>
        <v>0</v>
      </c>
      <c r="L3108" s="55">
        <f ca="1" t="shared" si="164"/>
        <v>0</v>
      </c>
      <c r="M3108" s="61" t="str">
        <f ca="1">IF(F3084&gt;ENTRY!$D$24,"",IF(N3109="Ab","Ab",IF(N3109&gt;79.5,"A",IF(N3109&gt;59.5,"B",IF(N3109&gt;44.5,"C",IF(N3109&gt;=33,"D",IF(N3109&lt;33,"E","")))))))</f>
        <v/>
      </c>
      <c r="N3108" s="62"/>
      <c r="O3108" s="58"/>
      <c r="P3108" s="59"/>
      <c r="Q3108" s="19"/>
      <c r="R3108" s="11"/>
    </row>
    <row r="3109" s="1" customFormat="1" ht="21.95" customHeight="1" spans="1:19">
      <c r="A3109" s="7"/>
      <c r="B3109" s="12"/>
      <c r="C3109" s="33"/>
      <c r="D3109" s="63" t="s">
        <v>721</v>
      </c>
      <c r="E3109" s="63"/>
      <c r="F3109" s="63"/>
      <c r="G3109" s="63"/>
      <c r="H3109" s="63"/>
      <c r="I3109" s="63"/>
      <c r="J3109" s="63"/>
      <c r="K3109" s="63"/>
      <c r="L3109" s="63"/>
      <c r="M3109" s="63"/>
      <c r="N3109" s="64">
        <f ca="1">IF(L3108="Ab","Ab",L3108/6)</f>
        <v>0</v>
      </c>
      <c r="O3109" s="65"/>
      <c r="P3109" s="19"/>
      <c r="Q3109" s="19"/>
      <c r="R3109" s="11"/>
    </row>
    <row r="3110" s="1" customFormat="1" ht="21.95" customHeight="1" spans="1:19">
      <c r="A3110" s="7"/>
      <c r="B3110" s="12"/>
      <c r="C3110" s="33"/>
      <c r="D3110" s="29" t="s">
        <v>716</v>
      </c>
      <c r="E3110" s="18" t="str">
        <f>IFERROR(VLOOKUP(F3084,'1to4-2.1-RR'!$A$12:$BG$111,57,0),"")</f>
        <v/>
      </c>
      <c r="F3110" s="18"/>
      <c r="G3110" s="18"/>
      <c r="H3110" s="18"/>
      <c r="I3110" s="18"/>
      <c r="J3110" s="18"/>
      <c r="K3110" s="18"/>
      <c r="L3110" s="18"/>
      <c r="M3110" s="18"/>
      <c r="N3110" s="29"/>
      <c r="O3110" s="29"/>
      <c r="P3110" s="19"/>
      <c r="Q3110" s="19"/>
      <c r="R3110" s="11"/>
    </row>
    <row r="3111" s="1" customFormat="1" ht="9.95" customHeight="1" spans="1:19">
      <c r="A3111" s="7"/>
      <c r="B3111" s="12"/>
      <c r="C3111" s="33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19"/>
      <c r="Q3111" s="19"/>
      <c r="R3111" s="11"/>
    </row>
    <row r="3112" s="1" customFormat="1" ht="36" spans="1:19">
      <c r="A3112" s="7"/>
      <c r="B3112" s="12"/>
      <c r="C3112" s="33"/>
      <c r="D3112" s="66" t="s">
        <v>576</v>
      </c>
      <c r="E3112" s="67" t="s">
        <v>754</v>
      </c>
      <c r="F3112" s="47" t="str">
        <f>IF(F3084&gt;ENTRY!$D$24,"",IFERROR(VLOOKUP(F3084,PASHEET!$A$4:$CJ$103,88,0),""))</f>
        <v/>
      </c>
      <c r="G3112" s="67" t="s">
        <v>755</v>
      </c>
      <c r="H3112" s="47" t="str">
        <f>IF(F3084&gt;ENTRY!$D$24,"",IFERROR(VLOOKUP(F3084,PASHEET!$A$4:$CJ$103,87,0),""))</f>
        <v/>
      </c>
      <c r="I3112" s="68" t="s">
        <v>756</v>
      </c>
      <c r="J3112" s="69" t="str">
        <f>IF(F3084&gt;ENTRY!$D$24,"",IFERROR(IF(F3084&gt;0,H3112/F3112*100),""))</f>
        <v/>
      </c>
      <c r="K3112" s="60" t="s">
        <v>757</v>
      </c>
      <c r="L3112" s="70" t="str">
        <f ca="1">IF(F3084&gt;ENTRY!$D$24,"",IFERROR(L3108/600*100,""))</f>
        <v/>
      </c>
      <c r="M3112" s="47" t="str">
        <f ca="1">IF(F3084&gt;ENTRY!$D$24,"",IFERROR(L3108&amp;" / "&amp;"600",""))</f>
        <v/>
      </c>
      <c r="N3112" s="29"/>
      <c r="O3112" s="29"/>
      <c r="P3112" s="19"/>
      <c r="Q3112" s="19"/>
      <c r="R3112" s="11"/>
    </row>
    <row r="3113" s="1" customFormat="1" ht="9.95" customHeight="1" spans="1:19">
      <c r="A3113" s="7"/>
      <c r="B3113" s="12"/>
      <c r="C3113" s="39"/>
      <c r="D3113" s="40"/>
      <c r="E3113" s="40"/>
      <c r="F3113" s="40"/>
      <c r="G3113" s="40"/>
      <c r="H3113" s="40"/>
      <c r="I3113" s="40"/>
      <c r="J3113" s="40"/>
      <c r="K3113" s="40"/>
      <c r="L3113" s="40"/>
      <c r="M3113" s="40"/>
      <c r="N3113" s="40"/>
      <c r="O3113" s="40"/>
      <c r="P3113" s="41"/>
      <c r="Q3113" s="19"/>
      <c r="R3113" s="11"/>
    </row>
    <row r="3114" s="1" customFormat="1" ht="9.95" customHeight="1" spans="1:19">
      <c r="A3114" s="7"/>
      <c r="B3114" s="12"/>
      <c r="C3114" s="71"/>
      <c r="D3114" s="71"/>
      <c r="E3114" s="71"/>
      <c r="F3114" s="29"/>
      <c r="G3114" s="71"/>
      <c r="H3114" s="71"/>
      <c r="I3114" s="71"/>
      <c r="J3114" s="71"/>
      <c r="K3114" s="71"/>
      <c r="L3114" s="71"/>
      <c r="M3114" s="71"/>
      <c r="N3114" s="71"/>
      <c r="O3114" s="71"/>
      <c r="P3114" s="71"/>
      <c r="Q3114" s="19"/>
      <c r="R3114" s="11"/>
    </row>
    <row r="3115" s="1" customFormat="1" ht="9.95" customHeight="1" spans="1:19">
      <c r="A3115" s="7"/>
      <c r="B3115" s="12"/>
      <c r="C3115" s="29"/>
      <c r="D3115" s="29"/>
      <c r="E3115" s="29"/>
      <c r="F3115" s="72"/>
      <c r="G3115" s="29"/>
      <c r="H3115" s="29"/>
      <c r="I3115" s="29"/>
      <c r="J3115" s="29"/>
      <c r="K3115" s="29"/>
      <c r="L3115" s="29"/>
      <c r="M3115" s="29"/>
      <c r="N3115" s="29"/>
      <c r="O3115" s="29"/>
      <c r="P3115" s="29"/>
      <c r="Q3115" s="19"/>
      <c r="R3115" s="11"/>
    </row>
    <row r="3116" s="1" customFormat="1" ht="9.95" customHeight="1" spans="1:19">
      <c r="A3116" s="7"/>
      <c r="B3116" s="12"/>
      <c r="C3116" s="30"/>
      <c r="D3116" s="31"/>
      <c r="E3116" s="31"/>
      <c r="F3116" s="31"/>
      <c r="G3116" s="31"/>
      <c r="H3116" s="31"/>
      <c r="I3116" s="31"/>
      <c r="J3116" s="31"/>
      <c r="K3116" s="31"/>
      <c r="L3116" s="31"/>
      <c r="M3116" s="31"/>
      <c r="N3116" s="31"/>
      <c r="O3116" s="31"/>
      <c r="P3116" s="32"/>
      <c r="Q3116" s="19"/>
      <c r="R3116" s="11"/>
    </row>
    <row r="3117" s="1" customFormat="1" ht="21.95" customHeight="1" spans="1:19">
      <c r="A3117" s="7"/>
      <c r="B3117" s="12"/>
      <c r="C3117" s="73" t="s">
        <v>7</v>
      </c>
      <c r="D3117" s="13"/>
      <c r="E3117" s="13"/>
      <c r="F3117" s="13"/>
      <c r="G3117" s="13"/>
      <c r="H3117" s="13"/>
      <c r="I3117" s="13"/>
      <c r="J3117" s="13"/>
      <c r="K3117" s="13"/>
      <c r="L3117" s="13"/>
      <c r="M3117" s="13"/>
      <c r="N3117" s="13"/>
      <c r="O3117" s="13"/>
      <c r="P3117" s="74"/>
      <c r="Q3117" s="19"/>
      <c r="R3117" s="11"/>
      <c r="S3117" s="2"/>
    </row>
    <row r="3118" s="1" customFormat="1" ht="21.95" customHeight="1" spans="1:19">
      <c r="A3118" s="7"/>
      <c r="B3118" s="12"/>
      <c r="C3118" s="33"/>
      <c r="D3118" s="29"/>
      <c r="E3118" s="29"/>
      <c r="F3118" s="29"/>
      <c r="G3118" s="29"/>
      <c r="H3118" s="29"/>
      <c r="I3118" s="29"/>
      <c r="J3118" s="29"/>
      <c r="K3118" s="29"/>
      <c r="L3118" s="29"/>
      <c r="M3118" s="29"/>
      <c r="N3118" s="29"/>
      <c r="O3118" s="29"/>
      <c r="P3118" s="19"/>
      <c r="Q3118" s="19"/>
      <c r="R3118" s="11"/>
    </row>
    <row r="3119" s="1" customFormat="1" ht="21.95" customHeight="1" spans="1:19">
      <c r="A3119" s="7"/>
      <c r="B3119" s="12"/>
      <c r="C3119" s="75" t="str">
        <f>"SESSION-"&amp;ENTRY!$D$11</f>
        <v>SESSION-2026-27</v>
      </c>
      <c r="D3119" s="15"/>
      <c r="E3119" s="15"/>
      <c r="F3119" s="15"/>
      <c r="G3119" s="15"/>
      <c r="H3119" s="15"/>
      <c r="I3119" s="15"/>
      <c r="J3119" s="15"/>
      <c r="K3119" s="15"/>
      <c r="L3119" s="15"/>
      <c r="M3119" s="15"/>
      <c r="N3119" s="15"/>
      <c r="O3119" s="15"/>
      <c r="P3119" s="76"/>
      <c r="Q3119" s="19"/>
      <c r="R3119" s="11"/>
    </row>
    <row r="3120" s="1" customFormat="1" ht="18" customHeight="1" spans="1:19">
      <c r="A3120" s="7"/>
      <c r="B3120" s="12"/>
      <c r="C3120" s="33"/>
      <c r="D3120" s="29"/>
      <c r="E3120" s="29"/>
      <c r="F3120" s="29"/>
      <c r="G3120" s="29"/>
      <c r="H3120" s="29"/>
      <c r="I3120" s="29"/>
      <c r="J3120" s="29"/>
      <c r="K3120" s="29"/>
      <c r="L3120" s="29"/>
      <c r="M3120" s="29"/>
      <c r="N3120" s="29"/>
      <c r="O3120" s="29"/>
      <c r="P3120" s="19"/>
      <c r="Q3120" s="19"/>
      <c r="R3120" s="11"/>
    </row>
    <row r="3121" s="1" customFormat="1" ht="21.95" customHeight="1" spans="1:18">
      <c r="A3121" s="7"/>
      <c r="B3121" s="12"/>
      <c r="C3121" s="33"/>
      <c r="D3121" s="77" t="s">
        <v>758</v>
      </c>
      <c r="E3121" s="77"/>
      <c r="F3121" s="78" t="str">
        <f>IFERROR(PROPER(VLOOKUP(F3084,STUDENT!$A$2:$BP$101,5,0)),"")</f>
        <v/>
      </c>
      <c r="G3121" s="78"/>
      <c r="H3121" s="78"/>
      <c r="I3121" s="78"/>
      <c r="J3121" s="78"/>
      <c r="K3121" s="78"/>
      <c r="L3121" s="78"/>
      <c r="M3121" s="78"/>
      <c r="N3121" s="79" t="s">
        <v>759</v>
      </c>
      <c r="O3121" s="79"/>
      <c r="P3121" s="19"/>
      <c r="Q3121" s="19"/>
      <c r="R3121" s="11"/>
    </row>
    <row r="3122" s="1" customFormat="1" ht="21.95" customHeight="1" spans="1:18">
      <c r="A3122" s="7"/>
      <c r="B3122" s="12"/>
      <c r="C3122" s="33"/>
      <c r="D3122" s="80" t="s">
        <v>760</v>
      </c>
      <c r="E3122" s="81" t="str">
        <f>IFERROR(PROPER(VLOOKUP(F3084,STUDENT!$A$2:$BP$101,9,0)),"")</f>
        <v/>
      </c>
      <c r="F3122" s="81"/>
      <c r="G3122" s="81"/>
      <c r="H3122" s="80" t="s">
        <v>761</v>
      </c>
      <c r="I3122" s="82" t="str">
        <f>IFERROR(PROPER(VLOOKUP(F3084,STUDENT!$A$2:$BP$101,8,0)),"")</f>
        <v/>
      </c>
      <c r="J3122" s="82"/>
      <c r="K3122" s="82"/>
      <c r="L3122" s="82"/>
      <c r="M3122" s="80" t="s">
        <v>762</v>
      </c>
      <c r="N3122" s="83" t="str">
        <f>IFERROR(VLOOKUP(F3084,STUDENT!$A$2:$BP$101,59,0),"")</f>
        <v/>
      </c>
      <c r="O3122" s="83"/>
      <c r="P3122" s="19"/>
      <c r="Q3122" s="19"/>
      <c r="R3122" s="11"/>
    </row>
    <row r="3123" s="1" customFormat="1" ht="21.95" customHeight="1" spans="1:18">
      <c r="A3123" s="7"/>
      <c r="B3123" s="12"/>
      <c r="C3123" s="33"/>
      <c r="D3123" s="77" t="str">
        <f>"has    completed     his  /  her     primary     level     education    in    the    year    "&amp;RIGHT(ENTRY!$D3089,4)&amp;"    from    ( School    Name )"</f>
        <v>has    completed     his  /  her     primary     level     education    in    the    year        from    ( School    Name )</v>
      </c>
      <c r="E3123" s="77"/>
      <c r="F3123" s="77"/>
      <c r="G3123" s="77"/>
      <c r="H3123" s="77"/>
      <c r="I3123" s="77"/>
      <c r="J3123" s="77"/>
      <c r="K3123" s="77"/>
      <c r="L3123" s="77"/>
      <c r="M3123" s="77"/>
      <c r="N3123" s="77"/>
      <c r="O3123" s="77"/>
      <c r="P3123" s="19"/>
      <c r="Q3123" s="19"/>
      <c r="R3123" s="11"/>
    </row>
    <row r="3124" s="1" customFormat="1" ht="21.95" customHeight="1" spans="1:18">
      <c r="A3124" s="7"/>
      <c r="B3124" s="12"/>
      <c r="C3124" s="33"/>
      <c r="D3124" s="81" t="str">
        <f>IF(F3084&gt;0,ENTRY!$D$6,"")</f>
        <v>MCP NITHARI NO 1 BOYS</v>
      </c>
      <c r="E3124" s="81"/>
      <c r="F3124" s="81"/>
      <c r="G3124" s="81"/>
      <c r="H3124" s="81"/>
      <c r="I3124" s="81"/>
      <c r="J3124" s="81"/>
      <c r="K3124" s="81"/>
      <c r="L3124" s="81"/>
      <c r="M3124" s="80" t="s">
        <v>763</v>
      </c>
      <c r="N3124" s="84">
        <f>IF(F3084&gt;0,ENTRY!$D$7,"")</f>
        <v>0</v>
      </c>
      <c r="O3124" s="84"/>
      <c r="P3124" s="85" t="s">
        <v>727</v>
      </c>
      <c r="Q3124" s="19"/>
      <c r="R3124" s="11"/>
    </row>
    <row r="3125" s="1" customFormat="1" ht="21.95" customHeight="1" spans="1:18">
      <c r="A3125" s="7"/>
      <c r="B3125" s="12"/>
      <c r="C3125" s="33"/>
      <c r="D3125" s="29"/>
      <c r="E3125" s="29"/>
      <c r="F3125" s="29"/>
      <c r="G3125" s="29"/>
      <c r="H3125" s="29"/>
      <c r="I3125" s="29"/>
      <c r="J3125" s="29"/>
      <c r="K3125" s="29"/>
      <c r="L3125" s="29"/>
      <c r="M3125" s="29"/>
      <c r="N3125" s="29"/>
      <c r="O3125" s="29"/>
      <c r="P3125" s="19"/>
      <c r="Q3125" s="19"/>
      <c r="R3125" s="11"/>
    </row>
    <row r="3126" s="1" customFormat="1" ht="21.95" customHeight="1" spans="1:18">
      <c r="A3126" s="7"/>
      <c r="B3126" s="12"/>
      <c r="C3126" s="33"/>
      <c r="D3126" s="29"/>
      <c r="E3126" s="29"/>
      <c r="F3126" s="29"/>
      <c r="G3126" s="29"/>
      <c r="H3126" s="29"/>
      <c r="I3126" s="29"/>
      <c r="J3126" s="29"/>
      <c r="K3126" s="29"/>
      <c r="L3126" s="29"/>
      <c r="M3126" s="29"/>
      <c r="N3126" s="29"/>
      <c r="O3126" s="29"/>
      <c r="P3126" s="19"/>
      <c r="Q3126" s="19"/>
      <c r="R3126" s="11"/>
    </row>
    <row r="3127" s="1" customFormat="1" ht="21.95" customHeight="1" spans="1:18">
      <c r="A3127" s="7"/>
      <c r="B3127" s="12"/>
      <c r="C3127" s="33"/>
      <c r="D3127" s="29"/>
      <c r="E3127" s="29"/>
      <c r="F3127" s="29"/>
      <c r="G3127" s="29"/>
      <c r="H3127" s="29"/>
      <c r="I3127" s="29"/>
      <c r="J3127" s="29"/>
      <c r="K3127" s="29"/>
      <c r="L3127" s="29"/>
      <c r="M3127" s="29"/>
      <c r="N3127" s="29"/>
      <c r="O3127" s="29"/>
      <c r="P3127" s="19"/>
      <c r="Q3127" s="19"/>
      <c r="R3127" s="11"/>
    </row>
    <row r="3128" s="1" customFormat="1" ht="21.95" customHeight="1" spans="1:18">
      <c r="A3128" s="7"/>
      <c r="B3128" s="12"/>
      <c r="C3128" s="33"/>
      <c r="D3128" s="29"/>
      <c r="E3128" s="29"/>
      <c r="F3128" s="29"/>
      <c r="G3128" s="29"/>
      <c r="H3128" s="29"/>
      <c r="I3128" s="29"/>
      <c r="J3128" s="29"/>
      <c r="K3128" s="29"/>
      <c r="L3128" s="29"/>
      <c r="M3128" s="29"/>
      <c r="N3128" s="29"/>
      <c r="O3128" s="29"/>
      <c r="P3128" s="19"/>
      <c r="Q3128" s="19"/>
      <c r="R3128" s="11"/>
    </row>
    <row r="3129" s="1" customFormat="1" ht="21.95" customHeight="1" spans="1:18">
      <c r="A3129" s="7"/>
      <c r="B3129" s="12"/>
      <c r="C3129" s="33"/>
      <c r="D3129" s="29"/>
      <c r="E3129" s="29"/>
      <c r="F3129" s="29"/>
      <c r="G3129" s="29"/>
      <c r="H3129" s="29"/>
      <c r="I3129" s="29"/>
      <c r="J3129" s="29"/>
      <c r="K3129" s="29"/>
      <c r="L3129" s="29"/>
      <c r="M3129" s="29"/>
      <c r="N3129" s="29"/>
      <c r="O3129" s="29"/>
      <c r="P3129" s="19"/>
      <c r="Q3129" s="19"/>
      <c r="R3129" s="11"/>
    </row>
    <row r="3130" s="1" customFormat="1" ht="21.95" customHeight="1" spans="1:18">
      <c r="A3130" s="7"/>
      <c r="B3130" s="12"/>
      <c r="C3130" s="33"/>
      <c r="D3130" s="80" t="s">
        <v>728</v>
      </c>
      <c r="E3130" s="86">
        <f>ENTRY!$D$27</f>
        <v>46102</v>
      </c>
      <c r="F3130" s="86"/>
      <c r="G3130" s="29"/>
      <c r="H3130" s="29"/>
      <c r="I3130" s="29"/>
      <c r="J3130" s="29"/>
      <c r="K3130" s="29"/>
      <c r="L3130" s="29"/>
      <c r="M3130" s="87" t="s">
        <v>730</v>
      </c>
      <c r="N3130" s="87"/>
      <c r="O3130" s="87"/>
      <c r="P3130" s="19"/>
      <c r="Q3130" s="19"/>
      <c r="R3130" s="11"/>
    </row>
    <row r="3131" s="1" customFormat="1" ht="21.95" customHeight="1" spans="1:18">
      <c r="A3131" s="7"/>
      <c r="B3131" s="12"/>
      <c r="C3131" s="33"/>
      <c r="D3131" s="80" t="s">
        <v>731</v>
      </c>
      <c r="E3131" s="88" t="str">
        <f>PROPER(ENTRY!$D$28)</f>
        <v>New Delhi</v>
      </c>
      <c r="F3131" s="88"/>
      <c r="G3131" s="29"/>
      <c r="H3131" s="29"/>
      <c r="I3131" s="29"/>
      <c r="J3131" s="29"/>
      <c r="K3131" s="29"/>
      <c r="L3131" s="29"/>
      <c r="M3131" s="89" t="s">
        <v>732</v>
      </c>
      <c r="N3131" s="89"/>
      <c r="O3131" s="89"/>
      <c r="P3131" s="19"/>
      <c r="Q3131" s="19"/>
      <c r="R3131" s="11"/>
    </row>
    <row r="3132" s="1" customFormat="1" ht="21.95" customHeight="1" spans="1:18">
      <c r="A3132" s="7"/>
      <c r="B3132" s="12"/>
      <c r="C3132" s="90"/>
      <c r="D3132" s="91"/>
      <c r="E3132" s="91"/>
      <c r="F3132" s="91"/>
      <c r="G3132" s="91"/>
      <c r="H3132" s="91"/>
      <c r="I3132" s="91"/>
      <c r="J3132" s="91"/>
      <c r="K3132" s="91"/>
      <c r="L3132" s="91"/>
      <c r="M3132" s="91"/>
      <c r="N3132" s="91"/>
      <c r="O3132" s="91"/>
      <c r="P3132" s="92"/>
      <c r="Q3132" s="14"/>
      <c r="R3132" s="11"/>
    </row>
    <row r="3133" s="1" customFormat="1" ht="5.1" customHeight="1" spans="1:18">
      <c r="A3133" s="7"/>
      <c r="B3133" s="90"/>
      <c r="C3133" s="91"/>
      <c r="D3133" s="91"/>
      <c r="E3133" s="91"/>
      <c r="F3133" s="91"/>
      <c r="G3133" s="91"/>
      <c r="H3133" s="91"/>
      <c r="I3133" s="91"/>
      <c r="J3133" s="91"/>
      <c r="K3133" s="91"/>
      <c r="L3133" s="91"/>
      <c r="M3133" s="91"/>
      <c r="N3133" s="91"/>
      <c r="O3133" s="91"/>
      <c r="P3133" s="91"/>
      <c r="Q3133" s="92"/>
      <c r="R3133" s="11"/>
    </row>
    <row r="3134" s="1" customFormat="1" ht="5.1" customHeight="1" spans="1:18">
      <c r="A3134" s="93"/>
      <c r="B3134" s="94"/>
      <c r="C3134" s="94"/>
      <c r="D3134" s="94"/>
      <c r="E3134" s="94"/>
      <c r="F3134" s="94"/>
      <c r="G3134" s="94"/>
      <c r="H3134" s="94"/>
      <c r="I3134" s="94"/>
      <c r="J3134" s="94"/>
      <c r="K3134" s="94"/>
      <c r="L3134" s="94"/>
      <c r="M3134" s="94"/>
      <c r="N3134" s="94"/>
      <c r="O3134" s="94"/>
      <c r="P3134" s="94"/>
      <c r="Q3134" s="94"/>
      <c r="R3134" s="95"/>
    </row>
    <row r="3135" s="2" customFormat="1" ht="9.95" customHeight="1"/>
    <row r="3136" s="1" customFormat="1" ht="5.1" customHeight="1" spans="1:18">
      <c r="A3136" s="4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  <c r="O3136" s="5"/>
      <c r="P3136" s="5"/>
      <c r="Q3136" s="5"/>
      <c r="R3136" s="6"/>
    </row>
    <row r="3137" s="1" customFormat="1" ht="15" customHeight="1" spans="1:18">
      <c r="A3137" s="7"/>
      <c r="B3137" s="8"/>
      <c r="C3137" s="9"/>
      <c r="D3137" s="9"/>
      <c r="E3137" s="9"/>
      <c r="F3137" s="9"/>
      <c r="G3137" s="9"/>
      <c r="H3137" s="9"/>
      <c r="I3137" s="9"/>
      <c r="J3137" s="9"/>
      <c r="K3137" s="9"/>
      <c r="L3137" s="9"/>
      <c r="M3137" s="9"/>
      <c r="N3137" s="9"/>
      <c r="O3137" s="9"/>
      <c r="P3137" s="9"/>
      <c r="Q3137" s="10"/>
      <c r="R3137" s="11"/>
    </row>
    <row r="3138" s="1" customFormat="1" ht="21.95" customHeight="1" spans="1:18">
      <c r="A3138" s="7"/>
      <c r="B3138" s="12"/>
      <c r="C3138" s="13" t="s">
        <v>7</v>
      </c>
      <c r="D3138" s="13"/>
      <c r="E3138" s="13"/>
      <c r="F3138" s="13"/>
      <c r="G3138" s="13"/>
      <c r="H3138" s="13"/>
      <c r="I3138" s="13"/>
      <c r="J3138" s="13"/>
      <c r="K3138" s="13"/>
      <c r="L3138" s="13"/>
      <c r="M3138" s="13"/>
      <c r="N3138" s="13"/>
      <c r="O3138" s="13"/>
      <c r="P3138" s="13"/>
      <c r="Q3138" s="14"/>
      <c r="R3138" s="11"/>
    </row>
    <row r="3139" s="1" customFormat="1" ht="21.95" customHeight="1" spans="1:18">
      <c r="A3139" s="7"/>
      <c r="B3139" s="1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14"/>
      <c r="R3139" s="11"/>
    </row>
    <row r="3140" s="1" customFormat="1" ht="21.95" customHeight="1" spans="1:18">
      <c r="A3140" s="7"/>
      <c r="B3140" s="12"/>
      <c r="C3140" s="15" t="str">
        <f>"SESSION-"&amp;ENTRY!$D$11</f>
        <v>SESSION-2026-27</v>
      </c>
      <c r="D3140" s="15"/>
      <c r="E3140" s="15"/>
      <c r="F3140" s="15"/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4"/>
      <c r="R3140" s="11"/>
    </row>
    <row r="3141" s="1" customFormat="1" ht="21.95" customHeight="1" spans="1:18">
      <c r="A3141" s="7"/>
      <c r="B3141" s="12"/>
      <c r="C3141" s="2"/>
      <c r="D3141" s="2"/>
      <c r="E3141" s="2"/>
      <c r="F3141" s="16">
        <f>F3084+1</f>
        <v>56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14"/>
      <c r="R3141" s="11"/>
    </row>
    <row r="3142" s="1" customFormat="1" ht="21.95" customHeight="1" spans="1:18">
      <c r="A3142" s="7"/>
      <c r="B3142" s="12"/>
      <c r="C3142" s="17" t="s">
        <v>392</v>
      </c>
      <c r="D3142" s="17"/>
      <c r="E3142" s="17"/>
      <c r="F3142" s="18" t="str">
        <f>IF(F3141&gt;0,ENTRY!$D$6,"")</f>
        <v>MCP NITHARI NO 1 BOYS</v>
      </c>
      <c r="G3142" s="18"/>
      <c r="H3142" s="18"/>
      <c r="I3142" s="18"/>
      <c r="J3142" s="18"/>
      <c r="K3142" s="18"/>
      <c r="L3142" s="18"/>
      <c r="M3142" s="18"/>
      <c r="N3142" s="18"/>
      <c r="O3142" s="18"/>
      <c r="P3142" s="18"/>
      <c r="Q3142" s="19"/>
      <c r="R3142" s="11"/>
    </row>
    <row r="3143" s="1" customFormat="1" ht="21.95" customHeight="1" spans="1:18">
      <c r="A3143" s="7"/>
      <c r="B3143" s="12"/>
      <c r="C3143" s="17" t="s">
        <v>393</v>
      </c>
      <c r="D3143" s="17"/>
      <c r="E3143" s="17"/>
      <c r="F3143" s="18">
        <f>IF(F3141&gt;0,ENTRY!$D$7,"")</f>
        <v>0</v>
      </c>
      <c r="G3143" s="18"/>
      <c r="H3143" s="20" t="s">
        <v>702</v>
      </c>
      <c r="I3143" s="20"/>
      <c r="J3143" s="21">
        <f>IF(F3141&gt;0,ENTRY!$D$10,"")</f>
        <v>40</v>
      </c>
      <c r="K3143" s="20" t="s">
        <v>703</v>
      </c>
      <c r="L3143" s="22" t="str">
        <f>IF(F3141&gt;0,ENTRY!$D$5,"")</f>
        <v>ROHINI ZONE</v>
      </c>
      <c r="M3143" s="22"/>
      <c r="N3143" s="22"/>
      <c r="O3143" s="22"/>
      <c r="P3143" s="22"/>
      <c r="Q3143" s="19"/>
      <c r="R3143" s="11"/>
    </row>
    <row r="3144" s="1" customFormat="1" ht="21.95" customHeight="1" spans="1:18">
      <c r="A3144" s="7"/>
      <c r="B3144" s="12"/>
      <c r="C3144" s="17" t="s">
        <v>706</v>
      </c>
      <c r="D3144" s="17"/>
      <c r="E3144" s="17"/>
      <c r="F3144" s="23">
        <f>IFERROR(VLOOKUP(F3141,STUDENT!$A$2:$BP$101,5,0),"")</f>
        <v>0</v>
      </c>
      <c r="G3144" s="23"/>
      <c r="H3144" s="23"/>
      <c r="I3144" s="23"/>
      <c r="J3144" s="23"/>
      <c r="K3144" s="23"/>
      <c r="L3144" s="20" t="s">
        <v>707</v>
      </c>
      <c r="M3144" s="20"/>
      <c r="N3144" s="24" t="str">
        <f>IF(F3141&gt;0,ENTRY!$D$20&amp;"-"&amp;ENTRY!$D$21,"")</f>
        <v>III-A</v>
      </c>
      <c r="O3144" s="24"/>
      <c r="P3144" s="24"/>
      <c r="Q3144" s="19"/>
      <c r="R3144" s="11"/>
    </row>
    <row r="3145" s="1" customFormat="1" ht="21.95" customHeight="1" spans="1:18">
      <c r="A3145" s="7"/>
      <c r="B3145" s="12"/>
      <c r="C3145" s="17" t="s">
        <v>708</v>
      </c>
      <c r="D3145" s="17"/>
      <c r="E3145" s="17"/>
      <c r="F3145" s="25">
        <f>IFERROR(VLOOKUP(F3141,STUDENT!$A$2:$BP$101,6,0),"")</f>
        <v>0</v>
      </c>
      <c r="G3145" s="25"/>
      <c r="H3145" s="26" t="s">
        <v>709</v>
      </c>
      <c r="I3145" s="27" t="str">
        <f>IFERROR(VLOOKUP(F3141,STUDENT!$A$2:$BP$101,59,0),"")</f>
        <v/>
      </c>
      <c r="J3145" s="27"/>
      <c r="K3145" s="20" t="s">
        <v>710</v>
      </c>
      <c r="L3145" s="20"/>
      <c r="M3145" s="28">
        <f>IFERROR(VLOOKUP(F3141,STUDENT!$A$2:$BP$101,20,0),"")</f>
        <v>0</v>
      </c>
      <c r="N3145" s="28"/>
      <c r="O3145" s="28"/>
      <c r="P3145" s="28"/>
      <c r="Q3145" s="19"/>
      <c r="R3145" s="11"/>
    </row>
    <row r="3146" s="1" customFormat="1" ht="21.95" customHeight="1" spans="1:18">
      <c r="A3146" s="7"/>
      <c r="B3146" s="12"/>
      <c r="C3146" s="17" t="s">
        <v>711</v>
      </c>
      <c r="D3146" s="17"/>
      <c r="E3146" s="17"/>
      <c r="F3146" s="23">
        <f>IFERROR(VLOOKUP(F3141,STUDENT!$A$2:$BP$101,9,0),"")</f>
        <v>0</v>
      </c>
      <c r="G3146" s="23"/>
      <c r="H3146" s="23"/>
      <c r="I3146" s="23"/>
      <c r="J3146" s="17" t="s">
        <v>620</v>
      </c>
      <c r="K3146" s="17"/>
      <c r="L3146" s="23">
        <f>IFERROR(VLOOKUP(F3141,STUDENT!$A$2:$BP$101,8,0),"")</f>
        <v>0</v>
      </c>
      <c r="M3146" s="23"/>
      <c r="N3146" s="23"/>
      <c r="O3146" s="23"/>
      <c r="P3146" s="23"/>
      <c r="Q3146" s="19"/>
      <c r="R3146" s="11"/>
    </row>
    <row r="3147" s="1" customFormat="1" ht="21.95" customHeight="1" spans="1:18">
      <c r="A3147" s="7"/>
      <c r="B3147" s="12"/>
      <c r="C3147" s="17" t="s">
        <v>712</v>
      </c>
      <c r="D3147" s="17"/>
      <c r="E3147" s="17"/>
      <c r="F3147" s="23">
        <f>IFERROR(VLOOKUP(F3141,STUDENT!$A$2:$BP$101,22,0),"")</f>
        <v>0</v>
      </c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19"/>
      <c r="R3147" s="11"/>
    </row>
    <row r="3148" s="1" customFormat="1" ht="9.95" customHeight="1" spans="1:18">
      <c r="A3148" s="7"/>
      <c r="B3148" s="12"/>
      <c r="C3148" s="29"/>
      <c r="D3148" s="29"/>
      <c r="E3148" s="29"/>
      <c r="F3148" s="29"/>
      <c r="G3148" s="29"/>
      <c r="H3148" s="29"/>
      <c r="I3148" s="29"/>
      <c r="J3148" s="29"/>
      <c r="K3148" s="29"/>
      <c r="L3148" s="29"/>
      <c r="M3148" s="29"/>
      <c r="N3148" s="29"/>
      <c r="O3148" s="29"/>
      <c r="P3148" s="29"/>
      <c r="Q3148" s="19"/>
      <c r="R3148" s="11"/>
    </row>
    <row r="3149" s="1" customFormat="1" ht="9.95" customHeight="1" spans="1:18">
      <c r="A3149" s="7"/>
      <c r="B3149" s="12"/>
      <c r="C3149" s="30"/>
      <c r="D3149" s="31"/>
      <c r="E3149" s="31"/>
      <c r="F3149" s="31"/>
      <c r="G3149" s="31"/>
      <c r="H3149" s="31"/>
      <c r="I3149" s="31"/>
      <c r="J3149" s="31"/>
      <c r="K3149" s="31"/>
      <c r="L3149" s="31"/>
      <c r="M3149" s="31"/>
      <c r="N3149" s="31"/>
      <c r="O3149" s="31"/>
      <c r="P3149" s="32"/>
      <c r="Q3149" s="19"/>
      <c r="R3149" s="11"/>
    </row>
    <row r="3150" s="1" customFormat="1" ht="21.95" customHeight="1" spans="1:18">
      <c r="A3150" s="7"/>
      <c r="B3150" s="12"/>
      <c r="C3150" s="33"/>
      <c r="D3150" s="34" t="s">
        <v>713</v>
      </c>
      <c r="E3150" s="20" t="s">
        <v>714</v>
      </c>
      <c r="F3150" s="35" t="str">
        <f>"Level - "&amp;IFERROR(VLOOKUP(F3141,FLN!$A$4:$K$103,9,0),"")</f>
        <v>Level - </v>
      </c>
      <c r="G3150" s="36"/>
      <c r="H3150" s="37" t="s">
        <v>715</v>
      </c>
      <c r="I3150" s="20"/>
      <c r="J3150" s="35" t="str">
        <f>"Level - "&amp;IFERROR(VLOOKUP(F3141,FLN!$A$4:$K$103,11,0),"")</f>
        <v>Level - </v>
      </c>
      <c r="K3150" s="36"/>
      <c r="L3150" s="37" t="s">
        <v>408</v>
      </c>
      <c r="M3150" s="20"/>
      <c r="N3150" s="35" t="str">
        <f>"Level - "&amp;IFERROR(VLOOKUP(F3141,FLN!$A$4:$K$103,10,0),"")</f>
        <v>Level - </v>
      </c>
      <c r="O3150" s="36"/>
      <c r="P3150" s="19"/>
      <c r="Q3150" s="19"/>
      <c r="R3150" s="11"/>
    </row>
    <row r="3151" s="1" customFormat="1" ht="21.95" customHeight="1" spans="1:18">
      <c r="A3151" s="7"/>
      <c r="B3151" s="12"/>
      <c r="C3151" s="33"/>
      <c r="D3151" s="38"/>
      <c r="E3151" s="20" t="s">
        <v>716</v>
      </c>
      <c r="F3151" s="18" t="str">
        <f ca="1">IF(L3165&gt;197,"PERFORMED WELL","")</f>
        <v/>
      </c>
      <c r="G3151" s="18"/>
      <c r="H3151" s="18"/>
      <c r="I3151" s="18"/>
      <c r="J3151" s="18"/>
      <c r="K3151" s="18"/>
      <c r="L3151" s="18"/>
      <c r="M3151" s="18"/>
      <c r="N3151" s="18"/>
      <c r="O3151" s="18"/>
      <c r="P3151" s="19"/>
      <c r="Q3151" s="19"/>
      <c r="R3151" s="11"/>
    </row>
    <row r="3152" s="1" customFormat="1" ht="9.95" customHeight="1" spans="1:18">
      <c r="A3152" s="7"/>
      <c r="B3152" s="12"/>
      <c r="C3152" s="39"/>
      <c r="D3152" s="40"/>
      <c r="E3152" s="40"/>
      <c r="F3152" s="40"/>
      <c r="G3152" s="40"/>
      <c r="H3152" s="40"/>
      <c r="I3152" s="40"/>
      <c r="J3152" s="40"/>
      <c r="K3152" s="40"/>
      <c r="L3152" s="40"/>
      <c r="M3152" s="40"/>
      <c r="N3152" s="40"/>
      <c r="O3152" s="40"/>
      <c r="P3152" s="41"/>
      <c r="Q3152" s="19"/>
      <c r="R3152" s="11"/>
    </row>
    <row r="3153" s="1" customFormat="1" ht="9.95" customHeight="1" spans="1:18">
      <c r="A3153" s="7"/>
      <c r="B3153" s="12"/>
      <c r="C3153" s="29"/>
      <c r="D3153" s="29"/>
      <c r="E3153" s="29"/>
      <c r="F3153" s="29"/>
      <c r="G3153" s="29"/>
      <c r="H3153" s="29"/>
      <c r="I3153" s="29"/>
      <c r="J3153" s="29"/>
      <c r="K3153" s="29"/>
      <c r="L3153" s="29"/>
      <c r="M3153" s="29"/>
      <c r="N3153" s="29"/>
      <c r="O3153" s="29"/>
      <c r="P3153" s="29"/>
      <c r="Q3153" s="19"/>
      <c r="R3153" s="11"/>
    </row>
    <row r="3154" s="1" customFormat="1" ht="9.95" customHeight="1" spans="1:18">
      <c r="A3154" s="7"/>
      <c r="B3154" s="12"/>
      <c r="C3154" s="30"/>
      <c r="D3154" s="31"/>
      <c r="E3154" s="31"/>
      <c r="F3154" s="31"/>
      <c r="G3154" s="31"/>
      <c r="H3154" s="31"/>
      <c r="I3154" s="31"/>
      <c r="J3154" s="31"/>
      <c r="K3154" s="31"/>
      <c r="L3154" s="31"/>
      <c r="M3154" s="31"/>
      <c r="N3154" s="31"/>
      <c r="O3154" s="31"/>
      <c r="P3154" s="32"/>
      <c r="Q3154" s="19"/>
      <c r="R3154" s="11"/>
    </row>
    <row r="3155" s="1" customFormat="1" ht="21.95" customHeight="1" spans="1:18">
      <c r="A3155" s="7"/>
      <c r="B3155" s="12"/>
      <c r="C3155" s="33"/>
      <c r="D3155" s="35"/>
      <c r="E3155" s="24"/>
      <c r="F3155" s="42" t="s">
        <v>717</v>
      </c>
      <c r="G3155" s="42"/>
      <c r="H3155" s="42"/>
      <c r="I3155" s="42"/>
      <c r="J3155" s="42"/>
      <c r="K3155" s="42"/>
      <c r="L3155" s="43"/>
      <c r="M3155" s="44"/>
      <c r="N3155" s="29"/>
      <c r="O3155" s="29"/>
      <c r="P3155" s="19"/>
      <c r="Q3155" s="19"/>
      <c r="R3155" s="11"/>
    </row>
    <row r="3156" s="1" customFormat="1" ht="21.95" customHeight="1" spans="1:18">
      <c r="A3156" s="7"/>
      <c r="B3156" s="12"/>
      <c r="C3156" s="33"/>
      <c r="D3156" s="45"/>
      <c r="E3156" s="46"/>
      <c r="F3156" s="47" t="s">
        <v>541</v>
      </c>
      <c r="G3156" s="47" t="s">
        <v>542</v>
      </c>
      <c r="H3156" s="47" t="s">
        <v>543</v>
      </c>
      <c r="I3156" s="47" t="s">
        <v>544</v>
      </c>
      <c r="J3156" s="47" t="s">
        <v>561</v>
      </c>
      <c r="K3156" s="48" t="s">
        <v>750</v>
      </c>
      <c r="L3156" s="47" t="s">
        <v>382</v>
      </c>
      <c r="M3156" s="49" t="s">
        <v>546</v>
      </c>
      <c r="N3156" s="29"/>
      <c r="O3156" s="29"/>
      <c r="P3156" s="19"/>
      <c r="Q3156" s="19"/>
      <c r="R3156" s="11"/>
    </row>
    <row r="3157" s="1" customFormat="1" ht="21.95" customHeight="1" spans="1:18">
      <c r="A3157" s="7"/>
      <c r="B3157" s="12"/>
      <c r="C3157" s="33"/>
      <c r="D3157" s="45" t="s">
        <v>652</v>
      </c>
      <c r="E3157" s="46"/>
      <c r="F3157" s="50">
        <v>10</v>
      </c>
      <c r="G3157" s="50">
        <v>10</v>
      </c>
      <c r="H3157" s="50">
        <v>10</v>
      </c>
      <c r="I3157" s="50">
        <v>10</v>
      </c>
      <c r="J3157" s="50">
        <v>60</v>
      </c>
      <c r="K3157" s="51"/>
      <c r="L3157" s="50">
        <v>100</v>
      </c>
      <c r="M3157" s="49"/>
      <c r="N3157" s="29"/>
      <c r="O3157" s="29"/>
      <c r="P3157" s="19"/>
      <c r="Q3157" s="19"/>
      <c r="R3157" s="11"/>
    </row>
    <row r="3158" s="1" customFormat="1" ht="21.95" customHeight="1" spans="1:18">
      <c r="A3158" s="7"/>
      <c r="B3158" s="12"/>
      <c r="C3158" s="33"/>
      <c r="D3158" s="52" t="s">
        <v>751</v>
      </c>
      <c r="E3158" s="53"/>
      <c r="F3158" s="54" t="str">
        <f ca="1">IFERROR(VLOOKUP(F3141,'RR-3.1-5TH'!$A$12:'RR-3.1-5TH'!$BN$111,9,0),"")</f>
        <v/>
      </c>
      <c r="G3158" s="54" t="str">
        <f ca="1">IFERROR(VLOOKUP(F3141,'RR-3.1-5TH'!$A$12:'RR-3.1-5TH'!$BN$111,10,0),"")</f>
        <v/>
      </c>
      <c r="H3158" s="54" t="str">
        <f ca="1">IFERROR(VLOOKUP(F3141,'RR-3.1-5TH'!$A$12:'RR-3.1-5TH'!$BN$111,11,0),"")</f>
        <v/>
      </c>
      <c r="I3158" s="54" t="str">
        <f ca="1">IFERROR(VLOOKUP(F3141,'RR-3.1-5TH'!$A$12:'RR-3.1-5TH'!$BN$111,12,0),"")</f>
        <v/>
      </c>
      <c r="J3158" s="54" t="str">
        <f ca="1">IFERROR(VLOOKUP(F3141,'RR-3.1-5TH'!$A$12:'RR-3.1-5TH'!$BN$111,13,0),"")</f>
        <v/>
      </c>
      <c r="K3158" s="54" t="str">
        <f ca="1">IFERROR(VLOOKUP(F3141,'RR-3.1-5TH'!$A$12:'RR-3.1-5TH'!$BN$111,14,0),"")</f>
        <v/>
      </c>
      <c r="L3158" s="55">
        <f ca="1" t="shared" ref="L3158:L3163" si="165">SUM(F3158,G3158,H3158,I3158,J3158,K3158)</f>
        <v>0</v>
      </c>
      <c r="M3158" s="56" t="str">
        <f ca="1">IF(F3141&gt;ENTRY!$D$24,"",IF(L3158=0,"Ab",IF(L3158&gt;80,"A",IF(L3158&gt;60,"B",IF(L3158&gt;44,"C",IF(L3158&gt;=33,"D",IF(L3158&lt;=32,"E","")))))))</f>
        <v/>
      </c>
      <c r="N3158" s="57" t="s">
        <v>729</v>
      </c>
      <c r="O3158" s="58"/>
      <c r="P3158" s="59"/>
      <c r="Q3158" s="19"/>
      <c r="R3158" s="11"/>
    </row>
    <row r="3159" s="1" customFormat="1" ht="21.95" customHeight="1" spans="1:18">
      <c r="A3159" s="7"/>
      <c r="B3159" s="12"/>
      <c r="C3159" s="33"/>
      <c r="D3159" s="52" t="s">
        <v>513</v>
      </c>
      <c r="E3159" s="53"/>
      <c r="F3159" s="54" t="str">
        <f ca="1">IFERROR(VLOOKUP(F3141,'RR-3.1-5TH'!$A$12:'RR-3.1-5TH'!$BN$111,17,0),"")</f>
        <v/>
      </c>
      <c r="G3159" s="54" t="str">
        <f ca="1">IFERROR(VLOOKUP(F3141,'RR-3.1-5TH'!$A$12:'RR-3.1-5TH'!$BN$111,18,0),"")</f>
        <v/>
      </c>
      <c r="H3159" s="54" t="str">
        <f ca="1">IFERROR(VLOOKUP(F3141,'RR-3.1-5TH'!$A$12:'RR-3.1-5TH'!$BN$111,19,0),"")</f>
        <v/>
      </c>
      <c r="I3159" s="54" t="str">
        <f ca="1">IFERROR(VLOOKUP(F3141,'RR-3.1-5TH'!$A$12:'RR-3.1-5TH'!$BN$111,20,0),"")</f>
        <v/>
      </c>
      <c r="J3159" s="54" t="str">
        <f ca="1">IFERROR(VLOOKUP(F3141,'RR-3.1-5TH'!$A$12:'RR-3.1-5TH'!$BN$111,21,0),"")</f>
        <v/>
      </c>
      <c r="K3159" s="54" t="str">
        <f ca="1">IFERROR(VLOOKUP(F3141,'RR-3.1-5TH'!$A$12:'RR-3.1-5TH'!$BN$111,22,0),"")</f>
        <v/>
      </c>
      <c r="L3159" s="55">
        <f ca="1" t="shared" si="165"/>
        <v>0</v>
      </c>
      <c r="M3159" s="56" t="str">
        <f ca="1">IF(F3141&gt;ENTRY!$D$24,"",IF(L3159=0,"Ab",IF(L3159&gt;80,"A",IF(L3159&gt;60,"B",IF(L3159&gt;44,"C",IF(L3159&gt;=33,"D",IF(L3159&lt;=32,"E","")))))))</f>
        <v/>
      </c>
      <c r="N3159" s="58"/>
      <c r="O3159" s="58"/>
      <c r="P3159" s="59"/>
      <c r="Q3159" s="19"/>
      <c r="R3159" s="11"/>
    </row>
    <row r="3160" s="1" customFormat="1" ht="21.95" customHeight="1" spans="1:18">
      <c r="A3160" s="7"/>
      <c r="B3160" s="12"/>
      <c r="C3160" s="33"/>
      <c r="D3160" s="52" t="s">
        <v>718</v>
      </c>
      <c r="E3160" s="53"/>
      <c r="F3160" s="54" t="str">
        <f ca="1">IFERROR(VLOOKUP(F3141,'RR-3.1-5TH'!$A$12:'RR-3.1-5TH'!$BN$111,25,0),"")</f>
        <v/>
      </c>
      <c r="G3160" s="54" t="str">
        <f ca="1">IFERROR(VLOOKUP(F3141,'RR-3.1-5TH'!$A$12:'RR-3.1-5TH'!$BN$111,26,0),"")</f>
        <v/>
      </c>
      <c r="H3160" s="54" t="str">
        <f ca="1">IFERROR(VLOOKUP(F3141,'RR-3.1-5TH'!$A$12:'RR-3.1-5TH'!$BN$111,27,0),"")</f>
        <v/>
      </c>
      <c r="I3160" s="54" t="str">
        <f ca="1">IFERROR(VLOOKUP(F3141,'RR-3.1-5TH'!$A$12:'RR-3.1-5TH'!$BN$111,28,0),"")</f>
        <v/>
      </c>
      <c r="J3160" s="54" t="str">
        <f ca="1">IFERROR(VLOOKUP(F3141,'RR-3.1-5TH'!$A$12:'RR-3.1-5TH'!$BN$111,29,0),"")</f>
        <v/>
      </c>
      <c r="K3160" s="54" t="str">
        <f ca="1">IFERROR(VLOOKUP(F3141,'RR-3.1-5TH'!$A$12:'RR-3.1-5TH'!$BN$111,30,0),"")</f>
        <v/>
      </c>
      <c r="L3160" s="55">
        <f ca="1" t="shared" si="165"/>
        <v>0</v>
      </c>
      <c r="M3160" s="56" t="str">
        <f ca="1">IF(F3141&gt;ENTRY!$D$24,"",IF(L3160=0,"Ab",IF(L3160&gt;80,"A",IF(L3160&gt;60,"B",IF(L3160&gt;44,"C",IF(L3160&gt;=33,"D",IF(L3160&lt;=32,"E","")))))))</f>
        <v/>
      </c>
      <c r="N3160" s="29"/>
      <c r="O3160" s="29"/>
      <c r="P3160" s="19"/>
      <c r="Q3160" s="19"/>
      <c r="R3160" s="11"/>
    </row>
    <row r="3161" s="1" customFormat="1" ht="21.95" customHeight="1" spans="1:18">
      <c r="A3161" s="7"/>
      <c r="B3161" s="12"/>
      <c r="C3161" s="33"/>
      <c r="D3161" s="52" t="s">
        <v>719</v>
      </c>
      <c r="E3161" s="53"/>
      <c r="F3161" s="54" t="str">
        <f ca="1">IFERROR(VLOOKUP(F3141,'RR-3.1-5TH'!$A$12:'RR-3.1-5TH'!$BN$111,33,0),"")</f>
        <v/>
      </c>
      <c r="G3161" s="54" t="str">
        <f ca="1">IFERROR(VLOOKUP(F3141,'RR-3.1-5TH'!$A$12:'RR-3.1-5TH'!$BN$111,34,0),"")</f>
        <v/>
      </c>
      <c r="H3161" s="54" t="str">
        <f ca="1">IFERROR(VLOOKUP(F3141,'RR-3.1-5TH'!$A$12:'RR-3.1-5TH'!$BN$111,35,0),"")</f>
        <v/>
      </c>
      <c r="I3161" s="54" t="str">
        <f ca="1">IFERROR(VLOOKUP(F3141,'RR-3.1-5TH'!$A$12:'RR-3.1-5TH'!$BN$111,36,0),"")</f>
        <v/>
      </c>
      <c r="J3161" s="54" t="str">
        <f ca="1">IFERROR(VLOOKUP(F3141,'RR-3.1-5TH'!$A$12:'RR-3.1-5TH'!$BN$111,37,0),"")</f>
        <v/>
      </c>
      <c r="K3161" s="54" t="str">
        <f ca="1">IFERROR(VLOOKUP(F3141,'RR-3.1-5TH'!$A$12:'RR-3.1-5TH'!$BN$111,38,0),"")</f>
        <v/>
      </c>
      <c r="L3161" s="55">
        <f ca="1" t="shared" si="165"/>
        <v>0</v>
      </c>
      <c r="M3161" s="56" t="str">
        <f ca="1">IF(F3141&gt;ENTRY!$D$24,"",IF(L3161=0,"Ab",IF(L3161&gt;80,"A",IF(L3161&gt;60,"B",IF(L3161&gt;44,"C",IF(L3161&gt;=33,"D",IF(L3161&lt;=32,"E","")))))))</f>
        <v/>
      </c>
      <c r="N3161" s="29"/>
      <c r="O3161" s="29"/>
      <c r="P3161" s="19"/>
      <c r="Q3161" s="19"/>
      <c r="R3161" s="11"/>
    </row>
    <row r="3162" s="1" customFormat="1" ht="21.95" customHeight="1" spans="1:18">
      <c r="A3162" s="7"/>
      <c r="B3162" s="12"/>
      <c r="C3162" s="33"/>
      <c r="D3162" s="52" t="s">
        <v>548</v>
      </c>
      <c r="E3162" s="53"/>
      <c r="F3162" s="54" t="str">
        <f ca="1">IFERROR(VLOOKUP(F3141,'RR-3.1-5TH'!$A$12:'RR-3.1-5TH'!$BN$111,41,0),"")</f>
        <v/>
      </c>
      <c r="G3162" s="54" t="str">
        <f ca="1">IFERROR(VLOOKUP(F3141,'RR-3.1-5TH'!$A$12:'RR-3.1-5TH'!$BN$111,42,0),"")</f>
        <v/>
      </c>
      <c r="H3162" s="54" t="str">
        <f ca="1">IFERROR(VLOOKUP(F3141,'RR-3.1-5TH'!$A$12:'RR-3.1-5TH'!$BN$111,43,0),"")</f>
        <v/>
      </c>
      <c r="I3162" s="54" t="str">
        <f ca="1">IFERROR(VLOOKUP(F3141,'RR-3.1-5TH'!$A$12:'RR-3.1-5TH'!$BN$111,44,0),"")</f>
        <v/>
      </c>
      <c r="J3162" s="54" t="str">
        <f ca="1">IFERROR(VLOOKUP(F3141,'RR-3.1-5TH'!$A$12:'RR-3.1-5TH'!$BN$111,45,0),"")</f>
        <v/>
      </c>
      <c r="K3162" s="54" t="str">
        <f ca="1">IFERROR(VLOOKUP(F3141,'RR-3.1-5TH'!$A$12:'RR-3.1-5TH'!$BN$111,46,0),"")</f>
        <v/>
      </c>
      <c r="L3162" s="55">
        <f ca="1" t="shared" si="165"/>
        <v>0</v>
      </c>
      <c r="M3162" s="56" t="str">
        <f ca="1">IF(F3141&gt;ENTRY!$D$24,"",IF(L3162=0,"Ab",IF(L3162&gt;80,"A",IF(L3162&gt;60,"B",IF(L3162&gt;44,"C",IF(L3162&gt;=33,"D",IF(L3162&lt;=32,"E","")))))))</f>
        <v/>
      </c>
      <c r="N3162" s="29"/>
      <c r="O3162" s="29"/>
      <c r="P3162" s="19"/>
      <c r="Q3162" s="19"/>
      <c r="R3162" s="11"/>
    </row>
    <row r="3163" s="1" customFormat="1" ht="21.95" customHeight="1" spans="1:18">
      <c r="A3163" s="7"/>
      <c r="B3163" s="12"/>
      <c r="C3163" s="33"/>
      <c r="D3163" s="52" t="s">
        <v>549</v>
      </c>
      <c r="E3163" s="53"/>
      <c r="F3163" s="54" t="str">
        <f ca="1">IFERROR(VLOOKUP(F3141,'RR-3.1-5TH'!$A$12:'RR-3.1-5TH'!$BN$111,49,0),"")</f>
        <v/>
      </c>
      <c r="G3163" s="54" t="str">
        <f ca="1">IFERROR(VLOOKUP(F3141,'RR-3.1-5TH'!$A$12:'RR-3.1-5TH'!$BN$111,50,0),"")</f>
        <v/>
      </c>
      <c r="H3163" s="54" t="str">
        <f ca="1">IFERROR(VLOOKUP(F3141,'RR-3.1-5TH'!$A$12:'RR-3.1-5TH'!$BN$111,51,0),"")</f>
        <v/>
      </c>
      <c r="I3163" s="54" t="str">
        <f ca="1">IFERROR(VLOOKUP(F3141,'RR-3.1-5TH'!$A$12:'RR-3.1-5TH'!$BN$111,52,0),"")</f>
        <v/>
      </c>
      <c r="J3163" s="54" t="str">
        <f ca="1">IFERROR(VLOOKUP(F3141,'RR-3.1-5TH'!$A$12:'RR-3.1-5TH'!$BN$111,53,0),"")</f>
        <v/>
      </c>
      <c r="K3163" s="54" t="str">
        <f ca="1">IFERROR(VLOOKUP(F3141,'RR-3.1-5TH'!$A$12:'RR-3.1-5TH'!$BN$111,54,0),"")</f>
        <v/>
      </c>
      <c r="L3163" s="55">
        <f ca="1" t="shared" si="165"/>
        <v>0</v>
      </c>
      <c r="M3163" s="56" t="str">
        <f ca="1">IF(F3141&gt;ENTRY!$D$24,"",IF(L3163=0,"Ab",IF(L3163&gt;80,"A",IF(L3163&gt;60,"B",IF(L3163&gt;44,"C",IF(L3163&gt;=33,"D",IF(L3163&lt;=32,"E","")))))))</f>
        <v/>
      </c>
      <c r="N3163" s="57" t="s">
        <v>752</v>
      </c>
      <c r="O3163" s="58"/>
      <c r="P3163" s="59"/>
      <c r="Q3163" s="19"/>
      <c r="R3163" s="11"/>
    </row>
    <row r="3164" s="1" customFormat="1" ht="21.95" customHeight="1" spans="1:18">
      <c r="A3164" s="7"/>
      <c r="B3164" s="12"/>
      <c r="C3164" s="33"/>
      <c r="D3164" s="52" t="s">
        <v>753</v>
      </c>
      <c r="E3164" s="53"/>
      <c r="F3164" s="60"/>
      <c r="G3164" s="54"/>
      <c r="H3164" s="54"/>
      <c r="I3164" s="54"/>
      <c r="J3164" s="54"/>
      <c r="K3164" s="54"/>
      <c r="L3164" s="55">
        <f t="shared" ref="L3164" si="166">SUM(G3164:K3164)</f>
        <v>0</v>
      </c>
      <c r="M3164" s="56" t="str">
        <f>IF(F3141&gt;ENTRY!$D$24,"",IF(L3164=0,"",IF(L3164&gt;79,"A",IF(L3164&gt;59,"B",IF(L3164&gt;44,"C",IF(L3164&gt;=33,"D",IF(L3164&lt;=32,"E","")))))))</f>
        <v/>
      </c>
      <c r="N3164" s="58"/>
      <c r="O3164" s="58"/>
      <c r="P3164" s="59"/>
      <c r="Q3164" s="19"/>
      <c r="R3164" s="11"/>
    </row>
    <row r="3165" s="1" customFormat="1" ht="21.95" customHeight="1" spans="1:18">
      <c r="A3165" s="7"/>
      <c r="B3165" s="12"/>
      <c r="C3165" s="33"/>
      <c r="D3165" s="45" t="s">
        <v>382</v>
      </c>
      <c r="E3165" s="46"/>
      <c r="F3165" s="54">
        <f ca="1" t="shared" ref="F3165:L3165" si="167">IFERROR(SUM(F3158:F3164),"")</f>
        <v>0</v>
      </c>
      <c r="G3165" s="54">
        <f ca="1" t="shared" si="167"/>
        <v>0</v>
      </c>
      <c r="H3165" s="54">
        <f ca="1" t="shared" si="167"/>
        <v>0</v>
      </c>
      <c r="I3165" s="54">
        <f ca="1" t="shared" si="167"/>
        <v>0</v>
      </c>
      <c r="J3165" s="54">
        <f ca="1" t="shared" si="167"/>
        <v>0</v>
      </c>
      <c r="K3165" s="54">
        <f ca="1" t="shared" si="167"/>
        <v>0</v>
      </c>
      <c r="L3165" s="55">
        <f ca="1" t="shared" si="167"/>
        <v>0</v>
      </c>
      <c r="M3165" s="61" t="str">
        <f ca="1">IF(F3141&gt;ENTRY!$D$24,"",IF(N3166="Ab","Ab",IF(N3166&gt;79.5,"A",IF(N3166&gt;59.5,"B",IF(N3166&gt;44.5,"C",IF(N3166&gt;=33,"D",IF(N3166&lt;33,"E","")))))))</f>
        <v/>
      </c>
      <c r="N3165" s="62"/>
      <c r="O3165" s="58"/>
      <c r="P3165" s="59"/>
      <c r="Q3165" s="19"/>
      <c r="R3165" s="11"/>
    </row>
    <row r="3166" s="1" customFormat="1" ht="21.95" customHeight="1" spans="1:18">
      <c r="A3166" s="7"/>
      <c r="B3166" s="12"/>
      <c r="C3166" s="33"/>
      <c r="D3166" s="63" t="s">
        <v>721</v>
      </c>
      <c r="E3166" s="63"/>
      <c r="F3166" s="63"/>
      <c r="G3166" s="63"/>
      <c r="H3166" s="63"/>
      <c r="I3166" s="63"/>
      <c r="J3166" s="63"/>
      <c r="K3166" s="63"/>
      <c r="L3166" s="63"/>
      <c r="M3166" s="63"/>
      <c r="N3166" s="64">
        <f ca="1">IF(L3165="Ab","Ab",L3165/6)</f>
        <v>0</v>
      </c>
      <c r="O3166" s="65"/>
      <c r="P3166" s="19"/>
      <c r="Q3166" s="19"/>
      <c r="R3166" s="11"/>
    </row>
    <row r="3167" s="1" customFormat="1" ht="21.95" customHeight="1" spans="1:18">
      <c r="A3167" s="7"/>
      <c r="B3167" s="12"/>
      <c r="C3167" s="33"/>
      <c r="D3167" s="29" t="s">
        <v>716</v>
      </c>
      <c r="E3167" s="18" t="str">
        <f>IFERROR(VLOOKUP(F3141,'1to4-2.1-RR'!$A$12:$BG$111,57,0),"")</f>
        <v/>
      </c>
      <c r="F3167" s="18"/>
      <c r="G3167" s="18"/>
      <c r="H3167" s="18"/>
      <c r="I3167" s="18"/>
      <c r="J3167" s="18"/>
      <c r="K3167" s="18"/>
      <c r="L3167" s="18"/>
      <c r="M3167" s="18"/>
      <c r="N3167" s="29"/>
      <c r="O3167" s="29"/>
      <c r="P3167" s="19"/>
      <c r="Q3167" s="19"/>
      <c r="R3167" s="11"/>
    </row>
    <row r="3168" s="1" customFormat="1" ht="9.95" customHeight="1" spans="1:18">
      <c r="A3168" s="7"/>
      <c r="B3168" s="12"/>
      <c r="C3168" s="33"/>
      <c r="D3168" s="29"/>
      <c r="E3168" s="29"/>
      <c r="F3168" s="29"/>
      <c r="G3168" s="29"/>
      <c r="H3168" s="29"/>
      <c r="I3168" s="29"/>
      <c r="J3168" s="29"/>
      <c r="K3168" s="29"/>
      <c r="L3168" s="29"/>
      <c r="M3168" s="29"/>
      <c r="N3168" s="29"/>
      <c r="O3168" s="29"/>
      <c r="P3168" s="19"/>
      <c r="Q3168" s="19"/>
      <c r="R3168" s="11"/>
    </row>
    <row r="3169" s="1" customFormat="1" ht="36" spans="1:19">
      <c r="A3169" s="7"/>
      <c r="B3169" s="12"/>
      <c r="C3169" s="33"/>
      <c r="D3169" s="66" t="s">
        <v>576</v>
      </c>
      <c r="E3169" s="67" t="s">
        <v>754</v>
      </c>
      <c r="F3169" s="47" t="str">
        <f>IF(F3141&gt;ENTRY!$D$24,"",IFERROR(VLOOKUP(F3141,PASHEET!$A$4:$CJ$103,88,0),""))</f>
        <v/>
      </c>
      <c r="G3169" s="67" t="s">
        <v>755</v>
      </c>
      <c r="H3169" s="47" t="str">
        <f>IF(F3141&gt;ENTRY!$D$24,"",IFERROR(VLOOKUP(F3141,PASHEET!$A$4:$CJ$103,87,0),""))</f>
        <v/>
      </c>
      <c r="I3169" s="68" t="s">
        <v>756</v>
      </c>
      <c r="J3169" s="69" t="str">
        <f>IF(F3141&gt;ENTRY!$D$24,"",IFERROR(IF(F3141&gt;0,H3169/F3169*100),""))</f>
        <v/>
      </c>
      <c r="K3169" s="60" t="s">
        <v>757</v>
      </c>
      <c r="L3169" s="70" t="str">
        <f ca="1">IF(F3141&gt;ENTRY!$D$24,"",IFERROR(L3165/600*100,""))</f>
        <v/>
      </c>
      <c r="M3169" s="47" t="str">
        <f ca="1">IF(F3141&gt;ENTRY!$D$24,"",IFERROR(L3165&amp;" / "&amp;"600",""))</f>
        <v/>
      </c>
      <c r="N3169" s="29"/>
      <c r="O3169" s="29"/>
      <c r="P3169" s="19"/>
      <c r="Q3169" s="19"/>
      <c r="R3169" s="11"/>
    </row>
    <row r="3170" s="1" customFormat="1" ht="9.95" customHeight="1" spans="1:19">
      <c r="A3170" s="7"/>
      <c r="B3170" s="12"/>
      <c r="C3170" s="39"/>
      <c r="D3170" s="40"/>
      <c r="E3170" s="40"/>
      <c r="F3170" s="40"/>
      <c r="G3170" s="40"/>
      <c r="H3170" s="40"/>
      <c r="I3170" s="40"/>
      <c r="J3170" s="40"/>
      <c r="K3170" s="40"/>
      <c r="L3170" s="40"/>
      <c r="M3170" s="40"/>
      <c r="N3170" s="40"/>
      <c r="O3170" s="40"/>
      <c r="P3170" s="41"/>
      <c r="Q3170" s="19"/>
      <c r="R3170" s="11"/>
    </row>
    <row r="3171" s="1" customFormat="1" ht="9.95" customHeight="1" spans="1:19">
      <c r="A3171" s="7"/>
      <c r="B3171" s="12"/>
      <c r="C3171" s="71"/>
      <c r="D3171" s="71"/>
      <c r="E3171" s="71"/>
      <c r="F3171" s="29"/>
      <c r="G3171" s="71"/>
      <c r="H3171" s="71"/>
      <c r="I3171" s="71"/>
      <c r="J3171" s="71"/>
      <c r="K3171" s="71"/>
      <c r="L3171" s="71"/>
      <c r="M3171" s="71"/>
      <c r="N3171" s="71"/>
      <c r="O3171" s="71"/>
      <c r="P3171" s="71"/>
      <c r="Q3171" s="19"/>
      <c r="R3171" s="11"/>
    </row>
    <row r="3172" s="1" customFormat="1" ht="9.95" customHeight="1" spans="1:19">
      <c r="A3172" s="7"/>
      <c r="B3172" s="12"/>
      <c r="C3172" s="29"/>
      <c r="D3172" s="29"/>
      <c r="E3172" s="29"/>
      <c r="F3172" s="72"/>
      <c r="G3172" s="29"/>
      <c r="H3172" s="29"/>
      <c r="I3172" s="29"/>
      <c r="J3172" s="29"/>
      <c r="K3172" s="29"/>
      <c r="L3172" s="29"/>
      <c r="M3172" s="29"/>
      <c r="N3172" s="29"/>
      <c r="O3172" s="29"/>
      <c r="P3172" s="29"/>
      <c r="Q3172" s="19"/>
      <c r="R3172" s="11"/>
    </row>
    <row r="3173" s="1" customFormat="1" ht="9.95" customHeight="1" spans="1:19">
      <c r="A3173" s="7"/>
      <c r="B3173" s="12"/>
      <c r="C3173" s="30"/>
      <c r="D3173" s="31"/>
      <c r="E3173" s="31"/>
      <c r="F3173" s="31"/>
      <c r="G3173" s="31"/>
      <c r="H3173" s="31"/>
      <c r="I3173" s="31"/>
      <c r="J3173" s="31"/>
      <c r="K3173" s="31"/>
      <c r="L3173" s="31"/>
      <c r="M3173" s="31"/>
      <c r="N3173" s="31"/>
      <c r="O3173" s="31"/>
      <c r="P3173" s="32"/>
      <c r="Q3173" s="19"/>
      <c r="R3173" s="11"/>
    </row>
    <row r="3174" s="1" customFormat="1" ht="21.95" customHeight="1" spans="1:19">
      <c r="A3174" s="7"/>
      <c r="B3174" s="12"/>
      <c r="C3174" s="73" t="s">
        <v>7</v>
      </c>
      <c r="D3174" s="13"/>
      <c r="E3174" s="13"/>
      <c r="F3174" s="13"/>
      <c r="G3174" s="13"/>
      <c r="H3174" s="13"/>
      <c r="I3174" s="13"/>
      <c r="J3174" s="13"/>
      <c r="K3174" s="13"/>
      <c r="L3174" s="13"/>
      <c r="M3174" s="13"/>
      <c r="N3174" s="13"/>
      <c r="O3174" s="13"/>
      <c r="P3174" s="74"/>
      <c r="Q3174" s="19"/>
      <c r="R3174" s="11"/>
      <c r="S3174" s="2"/>
    </row>
    <row r="3175" s="1" customFormat="1" ht="21.95" customHeight="1" spans="1:19">
      <c r="A3175" s="7"/>
      <c r="B3175" s="12"/>
      <c r="C3175" s="33"/>
      <c r="D3175" s="29"/>
      <c r="E3175" s="29"/>
      <c r="F3175" s="29"/>
      <c r="G3175" s="29"/>
      <c r="H3175" s="29"/>
      <c r="I3175" s="29"/>
      <c r="J3175" s="29"/>
      <c r="K3175" s="29"/>
      <c r="L3175" s="29"/>
      <c r="M3175" s="29"/>
      <c r="N3175" s="29"/>
      <c r="O3175" s="29"/>
      <c r="P3175" s="19"/>
      <c r="Q3175" s="19"/>
      <c r="R3175" s="11"/>
    </row>
    <row r="3176" s="1" customFormat="1" ht="21.95" customHeight="1" spans="1:19">
      <c r="A3176" s="7"/>
      <c r="B3176" s="12"/>
      <c r="C3176" s="75" t="str">
        <f>"SESSION-"&amp;ENTRY!$D$11</f>
        <v>SESSION-2026-27</v>
      </c>
      <c r="D3176" s="15"/>
      <c r="E3176" s="15"/>
      <c r="F3176" s="15"/>
      <c r="G3176" s="15"/>
      <c r="H3176" s="15"/>
      <c r="I3176" s="15"/>
      <c r="J3176" s="15"/>
      <c r="K3176" s="15"/>
      <c r="L3176" s="15"/>
      <c r="M3176" s="15"/>
      <c r="N3176" s="15"/>
      <c r="O3176" s="15"/>
      <c r="P3176" s="76"/>
      <c r="Q3176" s="19"/>
      <c r="R3176" s="11"/>
    </row>
    <row r="3177" s="1" customFormat="1" ht="18" customHeight="1" spans="1:19">
      <c r="A3177" s="7"/>
      <c r="B3177" s="12"/>
      <c r="C3177" s="33"/>
      <c r="D3177" s="29"/>
      <c r="E3177" s="29"/>
      <c r="F3177" s="29"/>
      <c r="G3177" s="29"/>
      <c r="H3177" s="29"/>
      <c r="I3177" s="29"/>
      <c r="J3177" s="29"/>
      <c r="K3177" s="29"/>
      <c r="L3177" s="29"/>
      <c r="M3177" s="29"/>
      <c r="N3177" s="29"/>
      <c r="O3177" s="29"/>
      <c r="P3177" s="19"/>
      <c r="Q3177" s="19"/>
      <c r="R3177" s="11"/>
    </row>
    <row r="3178" s="1" customFormat="1" ht="21.95" customHeight="1" spans="1:19">
      <c r="A3178" s="7"/>
      <c r="B3178" s="12"/>
      <c r="C3178" s="33"/>
      <c r="D3178" s="77" t="s">
        <v>758</v>
      </c>
      <c r="E3178" s="77"/>
      <c r="F3178" s="78" t="str">
        <f>IFERROR(PROPER(VLOOKUP(F3141,STUDENT!$A$2:$BP$101,5,0)),"")</f>
        <v/>
      </c>
      <c r="G3178" s="78"/>
      <c r="H3178" s="78"/>
      <c r="I3178" s="78"/>
      <c r="J3178" s="78"/>
      <c r="K3178" s="78"/>
      <c r="L3178" s="78"/>
      <c r="M3178" s="78"/>
      <c r="N3178" s="79" t="s">
        <v>759</v>
      </c>
      <c r="O3178" s="79"/>
      <c r="P3178" s="19"/>
      <c r="Q3178" s="19"/>
      <c r="R3178" s="11"/>
    </row>
    <row r="3179" s="1" customFormat="1" ht="21.95" customHeight="1" spans="1:19">
      <c r="A3179" s="7"/>
      <c r="B3179" s="12"/>
      <c r="C3179" s="33"/>
      <c r="D3179" s="80" t="s">
        <v>760</v>
      </c>
      <c r="E3179" s="81" t="str">
        <f>IFERROR(PROPER(VLOOKUP(F3141,STUDENT!$A$2:$BP$101,9,0)),"")</f>
        <v/>
      </c>
      <c r="F3179" s="81"/>
      <c r="G3179" s="81"/>
      <c r="H3179" s="80" t="s">
        <v>761</v>
      </c>
      <c r="I3179" s="82" t="str">
        <f>IFERROR(PROPER(VLOOKUP(F3141,STUDENT!$A$2:$BP$101,8,0)),"")</f>
        <v/>
      </c>
      <c r="J3179" s="82"/>
      <c r="K3179" s="82"/>
      <c r="L3179" s="82"/>
      <c r="M3179" s="80" t="s">
        <v>762</v>
      </c>
      <c r="N3179" s="83" t="str">
        <f>IFERROR(VLOOKUP(F3141,STUDENT!$A$2:$BP$101,59,0),"")</f>
        <v/>
      </c>
      <c r="O3179" s="83"/>
      <c r="P3179" s="19"/>
      <c r="Q3179" s="19"/>
      <c r="R3179" s="11"/>
    </row>
    <row r="3180" s="1" customFormat="1" ht="21.95" customHeight="1" spans="1:19">
      <c r="A3180" s="7"/>
      <c r="B3180" s="12"/>
      <c r="C3180" s="33"/>
      <c r="D3180" s="77" t="str">
        <f>"has    completed     his  /  her     primary     level     education    in    the    year    "&amp;RIGHT(ENTRY!$D3146,4)&amp;"    from    ( School    Name )"</f>
        <v>has    completed     his  /  her     primary     level     education    in    the    year        from    ( School    Name )</v>
      </c>
      <c r="E3180" s="77"/>
      <c r="F3180" s="77"/>
      <c r="G3180" s="77"/>
      <c r="H3180" s="77"/>
      <c r="I3180" s="77"/>
      <c r="J3180" s="77"/>
      <c r="K3180" s="77"/>
      <c r="L3180" s="77"/>
      <c r="M3180" s="77"/>
      <c r="N3180" s="77"/>
      <c r="O3180" s="77"/>
      <c r="P3180" s="19"/>
      <c r="Q3180" s="19"/>
      <c r="R3180" s="11"/>
    </row>
    <row r="3181" s="1" customFormat="1" ht="21.95" customHeight="1" spans="1:19">
      <c r="A3181" s="7"/>
      <c r="B3181" s="12"/>
      <c r="C3181" s="33"/>
      <c r="D3181" s="81" t="str">
        <f>IF(F3141&gt;0,ENTRY!$D$6,"")</f>
        <v>MCP NITHARI NO 1 BOYS</v>
      </c>
      <c r="E3181" s="81"/>
      <c r="F3181" s="81"/>
      <c r="G3181" s="81"/>
      <c r="H3181" s="81"/>
      <c r="I3181" s="81"/>
      <c r="J3181" s="81"/>
      <c r="K3181" s="81"/>
      <c r="L3181" s="81"/>
      <c r="M3181" s="80" t="s">
        <v>763</v>
      </c>
      <c r="N3181" s="84">
        <f>IF(F3141&gt;0,ENTRY!$D$7,"")</f>
        <v>0</v>
      </c>
      <c r="O3181" s="84"/>
      <c r="P3181" s="85" t="s">
        <v>727</v>
      </c>
      <c r="Q3181" s="19"/>
      <c r="R3181" s="11"/>
    </row>
    <row r="3182" s="1" customFormat="1" ht="21.95" customHeight="1" spans="1:19">
      <c r="A3182" s="7"/>
      <c r="B3182" s="12"/>
      <c r="C3182" s="33"/>
      <c r="D3182" s="29"/>
      <c r="E3182" s="29"/>
      <c r="F3182" s="29"/>
      <c r="G3182" s="29"/>
      <c r="H3182" s="29"/>
      <c r="I3182" s="29"/>
      <c r="J3182" s="29"/>
      <c r="K3182" s="29"/>
      <c r="L3182" s="29"/>
      <c r="M3182" s="29"/>
      <c r="N3182" s="29"/>
      <c r="O3182" s="29"/>
      <c r="P3182" s="19"/>
      <c r="Q3182" s="19"/>
      <c r="R3182" s="11"/>
    </row>
    <row r="3183" s="1" customFormat="1" ht="21.95" customHeight="1" spans="1:19">
      <c r="A3183" s="7"/>
      <c r="B3183" s="12"/>
      <c r="C3183" s="33"/>
      <c r="D3183" s="29"/>
      <c r="E3183" s="29"/>
      <c r="F3183" s="29"/>
      <c r="G3183" s="29"/>
      <c r="H3183" s="29"/>
      <c r="I3183" s="29"/>
      <c r="J3183" s="29"/>
      <c r="K3183" s="29"/>
      <c r="L3183" s="29"/>
      <c r="M3183" s="29"/>
      <c r="N3183" s="29"/>
      <c r="O3183" s="29"/>
      <c r="P3183" s="19"/>
      <c r="Q3183" s="19"/>
      <c r="R3183" s="11"/>
    </row>
    <row r="3184" s="1" customFormat="1" ht="21.95" customHeight="1" spans="1:19">
      <c r="A3184" s="7"/>
      <c r="B3184" s="12"/>
      <c r="C3184" s="33"/>
      <c r="D3184" s="29"/>
      <c r="E3184" s="29"/>
      <c r="F3184" s="29"/>
      <c r="G3184" s="29"/>
      <c r="H3184" s="29"/>
      <c r="I3184" s="29"/>
      <c r="J3184" s="29"/>
      <c r="K3184" s="29"/>
      <c r="L3184" s="29"/>
      <c r="M3184" s="29"/>
      <c r="N3184" s="29"/>
      <c r="O3184" s="29"/>
      <c r="P3184" s="19"/>
      <c r="Q3184" s="19"/>
      <c r="R3184" s="11"/>
    </row>
    <row r="3185" s="1" customFormat="1" ht="21.95" customHeight="1" spans="1:18">
      <c r="A3185" s="7"/>
      <c r="B3185" s="12"/>
      <c r="C3185" s="33"/>
      <c r="D3185" s="29"/>
      <c r="E3185" s="29"/>
      <c r="F3185" s="29"/>
      <c r="G3185" s="29"/>
      <c r="H3185" s="29"/>
      <c r="I3185" s="29"/>
      <c r="J3185" s="29"/>
      <c r="K3185" s="29"/>
      <c r="L3185" s="29"/>
      <c r="M3185" s="29"/>
      <c r="N3185" s="29"/>
      <c r="O3185" s="29"/>
      <c r="P3185" s="19"/>
      <c r="Q3185" s="19"/>
      <c r="R3185" s="11"/>
    </row>
    <row r="3186" s="1" customFormat="1" ht="21.95" customHeight="1" spans="1:18">
      <c r="A3186" s="7"/>
      <c r="B3186" s="12"/>
      <c r="C3186" s="33"/>
      <c r="D3186" s="29"/>
      <c r="E3186" s="29"/>
      <c r="F3186" s="29"/>
      <c r="G3186" s="29"/>
      <c r="H3186" s="29"/>
      <c r="I3186" s="29"/>
      <c r="J3186" s="29"/>
      <c r="K3186" s="29"/>
      <c r="L3186" s="29"/>
      <c r="M3186" s="29"/>
      <c r="N3186" s="29"/>
      <c r="O3186" s="29"/>
      <c r="P3186" s="19"/>
      <c r="Q3186" s="19"/>
      <c r="R3186" s="11"/>
    </row>
    <row r="3187" s="1" customFormat="1" ht="21.95" customHeight="1" spans="1:18">
      <c r="A3187" s="7"/>
      <c r="B3187" s="12"/>
      <c r="C3187" s="33"/>
      <c r="D3187" s="80" t="s">
        <v>728</v>
      </c>
      <c r="E3187" s="86">
        <f>ENTRY!$D$27</f>
        <v>46102</v>
      </c>
      <c r="F3187" s="86"/>
      <c r="G3187" s="29"/>
      <c r="H3187" s="29"/>
      <c r="I3187" s="29"/>
      <c r="J3187" s="29"/>
      <c r="K3187" s="29"/>
      <c r="L3187" s="29"/>
      <c r="M3187" s="87" t="s">
        <v>730</v>
      </c>
      <c r="N3187" s="87"/>
      <c r="O3187" s="87"/>
      <c r="P3187" s="19"/>
      <c r="Q3187" s="19"/>
      <c r="R3187" s="11"/>
    </row>
    <row r="3188" s="1" customFormat="1" ht="21.95" customHeight="1" spans="1:18">
      <c r="A3188" s="7"/>
      <c r="B3188" s="12"/>
      <c r="C3188" s="33"/>
      <c r="D3188" s="80" t="s">
        <v>731</v>
      </c>
      <c r="E3188" s="88" t="str">
        <f>PROPER(ENTRY!$D$28)</f>
        <v>New Delhi</v>
      </c>
      <c r="F3188" s="88"/>
      <c r="G3188" s="29"/>
      <c r="H3188" s="29"/>
      <c r="I3188" s="29"/>
      <c r="J3188" s="29"/>
      <c r="K3188" s="29"/>
      <c r="L3188" s="29"/>
      <c r="M3188" s="89" t="s">
        <v>732</v>
      </c>
      <c r="N3188" s="89"/>
      <c r="O3188" s="89"/>
      <c r="P3188" s="19"/>
      <c r="Q3188" s="19"/>
      <c r="R3188" s="11"/>
    </row>
    <row r="3189" s="1" customFormat="1" ht="21.95" customHeight="1" spans="1:18">
      <c r="A3189" s="7"/>
      <c r="B3189" s="12"/>
      <c r="C3189" s="90"/>
      <c r="D3189" s="91"/>
      <c r="E3189" s="91"/>
      <c r="F3189" s="91"/>
      <c r="G3189" s="91"/>
      <c r="H3189" s="91"/>
      <c r="I3189" s="91"/>
      <c r="J3189" s="91"/>
      <c r="K3189" s="91"/>
      <c r="L3189" s="91"/>
      <c r="M3189" s="91"/>
      <c r="N3189" s="91"/>
      <c r="O3189" s="91"/>
      <c r="P3189" s="92"/>
      <c r="Q3189" s="14"/>
      <c r="R3189" s="11"/>
    </row>
    <row r="3190" s="1" customFormat="1" ht="5.1" customHeight="1" spans="1:18">
      <c r="A3190" s="7"/>
      <c r="B3190" s="90"/>
      <c r="C3190" s="91"/>
      <c r="D3190" s="91"/>
      <c r="E3190" s="91"/>
      <c r="F3190" s="91"/>
      <c r="G3190" s="91"/>
      <c r="H3190" s="91"/>
      <c r="I3190" s="91"/>
      <c r="J3190" s="91"/>
      <c r="K3190" s="91"/>
      <c r="L3190" s="91"/>
      <c r="M3190" s="91"/>
      <c r="N3190" s="91"/>
      <c r="O3190" s="91"/>
      <c r="P3190" s="91"/>
      <c r="Q3190" s="92"/>
      <c r="R3190" s="11"/>
    </row>
    <row r="3191" s="1" customFormat="1" ht="5.1" customHeight="1" spans="1:18">
      <c r="A3191" s="93"/>
      <c r="B3191" s="94"/>
      <c r="C3191" s="94"/>
      <c r="D3191" s="94"/>
      <c r="E3191" s="94"/>
      <c r="F3191" s="94"/>
      <c r="G3191" s="94"/>
      <c r="H3191" s="94"/>
      <c r="I3191" s="94"/>
      <c r="J3191" s="94"/>
      <c r="K3191" s="94"/>
      <c r="L3191" s="94"/>
      <c r="M3191" s="94"/>
      <c r="N3191" s="94"/>
      <c r="O3191" s="94"/>
      <c r="P3191" s="94"/>
      <c r="Q3191" s="94"/>
      <c r="R3191" s="95"/>
    </row>
    <row r="3192" s="2" customFormat="1" ht="9.95" customHeight="1"/>
    <row r="3193" s="1" customFormat="1" ht="5.1" customHeight="1" spans="1:18">
      <c r="A3193" s="4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  <c r="O3193" s="5"/>
      <c r="P3193" s="5"/>
      <c r="Q3193" s="5"/>
      <c r="R3193" s="6"/>
    </row>
    <row r="3194" s="1" customFormat="1" ht="15" customHeight="1" spans="1:18">
      <c r="A3194" s="7"/>
      <c r="B3194" s="8"/>
      <c r="C3194" s="9"/>
      <c r="D3194" s="9"/>
      <c r="E3194" s="9"/>
      <c r="F3194" s="9"/>
      <c r="G3194" s="9"/>
      <c r="H3194" s="9"/>
      <c r="I3194" s="9"/>
      <c r="J3194" s="9"/>
      <c r="K3194" s="9"/>
      <c r="L3194" s="9"/>
      <c r="M3194" s="9"/>
      <c r="N3194" s="9"/>
      <c r="O3194" s="9"/>
      <c r="P3194" s="9"/>
      <c r="Q3194" s="10"/>
      <c r="R3194" s="11"/>
    </row>
    <row r="3195" s="1" customFormat="1" ht="21.95" customHeight="1" spans="1:18">
      <c r="A3195" s="7"/>
      <c r="B3195" s="12"/>
      <c r="C3195" s="13" t="s">
        <v>7</v>
      </c>
      <c r="D3195" s="13"/>
      <c r="E3195" s="13"/>
      <c r="F3195" s="13"/>
      <c r="G3195" s="13"/>
      <c r="H3195" s="13"/>
      <c r="I3195" s="13"/>
      <c r="J3195" s="13"/>
      <c r="K3195" s="13"/>
      <c r="L3195" s="13"/>
      <c r="M3195" s="13"/>
      <c r="N3195" s="13"/>
      <c r="O3195" s="13"/>
      <c r="P3195" s="13"/>
      <c r="Q3195" s="14"/>
      <c r="R3195" s="11"/>
    </row>
    <row r="3196" s="1" customFormat="1" ht="21.95" customHeight="1" spans="1:18">
      <c r="A3196" s="7"/>
      <c r="B3196" s="1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14"/>
      <c r="R3196" s="11"/>
    </row>
    <row r="3197" s="1" customFormat="1" ht="21.95" customHeight="1" spans="1:18">
      <c r="A3197" s="7"/>
      <c r="B3197" s="12"/>
      <c r="C3197" s="15" t="str">
        <f>"SESSION-"&amp;ENTRY!$D$11</f>
        <v>SESSION-2026-27</v>
      </c>
      <c r="D3197" s="15"/>
      <c r="E3197" s="15"/>
      <c r="F3197" s="15"/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4"/>
      <c r="R3197" s="11"/>
    </row>
    <row r="3198" s="1" customFormat="1" ht="21.95" customHeight="1" spans="1:18">
      <c r="A3198" s="7"/>
      <c r="B3198" s="12"/>
      <c r="C3198" s="2"/>
      <c r="D3198" s="2"/>
      <c r="E3198" s="2"/>
      <c r="F3198" s="16">
        <f>F3141+1</f>
        <v>57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14"/>
      <c r="R3198" s="11"/>
    </row>
    <row r="3199" s="1" customFormat="1" ht="21.95" customHeight="1" spans="1:18">
      <c r="A3199" s="7"/>
      <c r="B3199" s="12"/>
      <c r="C3199" s="17" t="s">
        <v>392</v>
      </c>
      <c r="D3199" s="17"/>
      <c r="E3199" s="17"/>
      <c r="F3199" s="18" t="str">
        <f>IF(F3198&gt;0,ENTRY!$D$6,"")</f>
        <v>MCP NITHARI NO 1 BOYS</v>
      </c>
      <c r="G3199" s="18"/>
      <c r="H3199" s="18"/>
      <c r="I3199" s="18"/>
      <c r="J3199" s="18"/>
      <c r="K3199" s="18"/>
      <c r="L3199" s="18"/>
      <c r="M3199" s="18"/>
      <c r="N3199" s="18"/>
      <c r="O3199" s="18"/>
      <c r="P3199" s="18"/>
      <c r="Q3199" s="19"/>
      <c r="R3199" s="11"/>
    </row>
    <row r="3200" s="1" customFormat="1" ht="21.95" customHeight="1" spans="1:18">
      <c r="A3200" s="7"/>
      <c r="B3200" s="12"/>
      <c r="C3200" s="17" t="s">
        <v>393</v>
      </c>
      <c r="D3200" s="17"/>
      <c r="E3200" s="17"/>
      <c r="F3200" s="18">
        <f>IF(F3198&gt;0,ENTRY!$D$7,"")</f>
        <v>0</v>
      </c>
      <c r="G3200" s="18"/>
      <c r="H3200" s="20" t="s">
        <v>702</v>
      </c>
      <c r="I3200" s="20"/>
      <c r="J3200" s="21">
        <f>IF(F3198&gt;0,ENTRY!$D$10,"")</f>
        <v>40</v>
      </c>
      <c r="K3200" s="20" t="s">
        <v>703</v>
      </c>
      <c r="L3200" s="22" t="str">
        <f>IF(F3198&gt;0,ENTRY!$D$5,"")</f>
        <v>ROHINI ZONE</v>
      </c>
      <c r="M3200" s="22"/>
      <c r="N3200" s="22"/>
      <c r="O3200" s="22"/>
      <c r="P3200" s="22"/>
      <c r="Q3200" s="19"/>
      <c r="R3200" s="11"/>
    </row>
    <row r="3201" s="1" customFormat="1" ht="21.95" customHeight="1" spans="1:18">
      <c r="A3201" s="7"/>
      <c r="B3201" s="12"/>
      <c r="C3201" s="17" t="s">
        <v>706</v>
      </c>
      <c r="D3201" s="17"/>
      <c r="E3201" s="17"/>
      <c r="F3201" s="23">
        <f>IFERROR(VLOOKUP(F3198,STUDENT!$A$2:$BP$101,5,0),"")</f>
        <v>0</v>
      </c>
      <c r="G3201" s="23"/>
      <c r="H3201" s="23"/>
      <c r="I3201" s="23"/>
      <c r="J3201" s="23"/>
      <c r="K3201" s="23"/>
      <c r="L3201" s="20" t="s">
        <v>707</v>
      </c>
      <c r="M3201" s="20"/>
      <c r="N3201" s="24" t="str">
        <f>IF(F3198&gt;0,ENTRY!$D$20&amp;"-"&amp;ENTRY!$D$21,"")</f>
        <v>III-A</v>
      </c>
      <c r="O3201" s="24"/>
      <c r="P3201" s="24"/>
      <c r="Q3201" s="19"/>
      <c r="R3201" s="11"/>
    </row>
    <row r="3202" s="1" customFormat="1" ht="21.95" customHeight="1" spans="1:18">
      <c r="A3202" s="7"/>
      <c r="B3202" s="12"/>
      <c r="C3202" s="17" t="s">
        <v>708</v>
      </c>
      <c r="D3202" s="17"/>
      <c r="E3202" s="17"/>
      <c r="F3202" s="25">
        <f>IFERROR(VLOOKUP(F3198,STUDENT!$A$2:$BP$101,6,0),"")</f>
        <v>0</v>
      </c>
      <c r="G3202" s="25"/>
      <c r="H3202" s="26" t="s">
        <v>709</v>
      </c>
      <c r="I3202" s="27" t="str">
        <f>IFERROR(VLOOKUP(F3198,STUDENT!$A$2:$BP$101,59,0),"")</f>
        <v/>
      </c>
      <c r="J3202" s="27"/>
      <c r="K3202" s="20" t="s">
        <v>710</v>
      </c>
      <c r="L3202" s="20"/>
      <c r="M3202" s="28">
        <f>IFERROR(VLOOKUP(F3198,STUDENT!$A$2:$BP$101,20,0),"")</f>
        <v>0</v>
      </c>
      <c r="N3202" s="28"/>
      <c r="O3202" s="28"/>
      <c r="P3202" s="28"/>
      <c r="Q3202" s="19"/>
      <c r="R3202" s="11"/>
    </row>
    <row r="3203" s="1" customFormat="1" ht="21.95" customHeight="1" spans="1:18">
      <c r="A3203" s="7"/>
      <c r="B3203" s="12"/>
      <c r="C3203" s="17" t="s">
        <v>711</v>
      </c>
      <c r="D3203" s="17"/>
      <c r="E3203" s="17"/>
      <c r="F3203" s="23">
        <f>IFERROR(VLOOKUP(F3198,STUDENT!$A$2:$BP$101,9,0),"")</f>
        <v>0</v>
      </c>
      <c r="G3203" s="23"/>
      <c r="H3203" s="23"/>
      <c r="I3203" s="23"/>
      <c r="J3203" s="17" t="s">
        <v>620</v>
      </c>
      <c r="K3203" s="17"/>
      <c r="L3203" s="23">
        <f>IFERROR(VLOOKUP(F3198,STUDENT!$A$2:$BP$101,8,0),"")</f>
        <v>0</v>
      </c>
      <c r="M3203" s="23"/>
      <c r="N3203" s="23"/>
      <c r="O3203" s="23"/>
      <c r="P3203" s="23"/>
      <c r="Q3203" s="19"/>
      <c r="R3203" s="11"/>
    </row>
    <row r="3204" s="1" customFormat="1" ht="21.95" customHeight="1" spans="1:18">
      <c r="A3204" s="7"/>
      <c r="B3204" s="12"/>
      <c r="C3204" s="17" t="s">
        <v>712</v>
      </c>
      <c r="D3204" s="17"/>
      <c r="E3204" s="17"/>
      <c r="F3204" s="23">
        <f>IFERROR(VLOOKUP(F3198,STUDENT!$A$2:$BP$101,22,0),"")</f>
        <v>0</v>
      </c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19"/>
      <c r="R3204" s="11"/>
    </row>
    <row r="3205" s="1" customFormat="1" ht="9.95" customHeight="1" spans="1:18">
      <c r="A3205" s="7"/>
      <c r="B3205" s="12"/>
      <c r="C3205" s="29"/>
      <c r="D3205" s="29"/>
      <c r="E3205" s="29"/>
      <c r="F3205" s="29"/>
      <c r="G3205" s="29"/>
      <c r="H3205" s="29"/>
      <c r="I3205" s="29"/>
      <c r="J3205" s="29"/>
      <c r="K3205" s="29"/>
      <c r="L3205" s="29"/>
      <c r="M3205" s="29"/>
      <c r="N3205" s="29"/>
      <c r="O3205" s="29"/>
      <c r="P3205" s="29"/>
      <c r="Q3205" s="19"/>
      <c r="R3205" s="11"/>
    </row>
    <row r="3206" s="1" customFormat="1" ht="9.95" customHeight="1" spans="1:18">
      <c r="A3206" s="7"/>
      <c r="B3206" s="12"/>
      <c r="C3206" s="30"/>
      <c r="D3206" s="31"/>
      <c r="E3206" s="31"/>
      <c r="F3206" s="31"/>
      <c r="G3206" s="31"/>
      <c r="H3206" s="31"/>
      <c r="I3206" s="31"/>
      <c r="J3206" s="31"/>
      <c r="K3206" s="31"/>
      <c r="L3206" s="31"/>
      <c r="M3206" s="31"/>
      <c r="N3206" s="31"/>
      <c r="O3206" s="31"/>
      <c r="P3206" s="32"/>
      <c r="Q3206" s="19"/>
      <c r="R3206" s="11"/>
    </row>
    <row r="3207" s="1" customFormat="1" ht="21.95" customHeight="1" spans="1:18">
      <c r="A3207" s="7"/>
      <c r="B3207" s="12"/>
      <c r="C3207" s="33"/>
      <c r="D3207" s="34" t="s">
        <v>713</v>
      </c>
      <c r="E3207" s="20" t="s">
        <v>714</v>
      </c>
      <c r="F3207" s="35" t="str">
        <f>"Level - "&amp;IFERROR(VLOOKUP(F3198,FLN!$A$4:$K$103,9,0),"")</f>
        <v>Level - </v>
      </c>
      <c r="G3207" s="36"/>
      <c r="H3207" s="37" t="s">
        <v>715</v>
      </c>
      <c r="I3207" s="20"/>
      <c r="J3207" s="35" t="str">
        <f>"Level - "&amp;IFERROR(VLOOKUP(F3198,FLN!$A$4:$K$103,11,0),"")</f>
        <v>Level - </v>
      </c>
      <c r="K3207" s="36"/>
      <c r="L3207" s="37" t="s">
        <v>408</v>
      </c>
      <c r="M3207" s="20"/>
      <c r="N3207" s="35" t="str">
        <f>"Level - "&amp;IFERROR(VLOOKUP(F3198,FLN!$A$4:$K$103,10,0),"")</f>
        <v>Level - </v>
      </c>
      <c r="O3207" s="36"/>
      <c r="P3207" s="19"/>
      <c r="Q3207" s="19"/>
      <c r="R3207" s="11"/>
    </row>
    <row r="3208" s="1" customFormat="1" ht="21.95" customHeight="1" spans="1:18">
      <c r="A3208" s="7"/>
      <c r="B3208" s="12"/>
      <c r="C3208" s="33"/>
      <c r="D3208" s="38"/>
      <c r="E3208" s="20" t="s">
        <v>716</v>
      </c>
      <c r="F3208" s="18" t="str">
        <f ca="1">IF(L3222&gt;197,"PERFORMED WELL","")</f>
        <v/>
      </c>
      <c r="G3208" s="18"/>
      <c r="H3208" s="18"/>
      <c r="I3208" s="18"/>
      <c r="J3208" s="18"/>
      <c r="K3208" s="18"/>
      <c r="L3208" s="18"/>
      <c r="M3208" s="18"/>
      <c r="N3208" s="18"/>
      <c r="O3208" s="18"/>
      <c r="P3208" s="19"/>
      <c r="Q3208" s="19"/>
      <c r="R3208" s="11"/>
    </row>
    <row r="3209" s="1" customFormat="1" ht="9.95" customHeight="1" spans="1:18">
      <c r="A3209" s="7"/>
      <c r="B3209" s="12"/>
      <c r="C3209" s="39"/>
      <c r="D3209" s="40"/>
      <c r="E3209" s="40"/>
      <c r="F3209" s="40"/>
      <c r="G3209" s="40"/>
      <c r="H3209" s="40"/>
      <c r="I3209" s="40"/>
      <c r="J3209" s="40"/>
      <c r="K3209" s="40"/>
      <c r="L3209" s="40"/>
      <c r="M3209" s="40"/>
      <c r="N3209" s="40"/>
      <c r="O3209" s="40"/>
      <c r="P3209" s="41"/>
      <c r="Q3209" s="19"/>
      <c r="R3209" s="11"/>
    </row>
    <row r="3210" s="1" customFormat="1" ht="9.95" customHeight="1" spans="1:18">
      <c r="A3210" s="7"/>
      <c r="B3210" s="12"/>
      <c r="C3210" s="29"/>
      <c r="D3210" s="29"/>
      <c r="E3210" s="29"/>
      <c r="F3210" s="29"/>
      <c r="G3210" s="29"/>
      <c r="H3210" s="29"/>
      <c r="I3210" s="29"/>
      <c r="J3210" s="29"/>
      <c r="K3210" s="29"/>
      <c r="L3210" s="29"/>
      <c r="M3210" s="29"/>
      <c r="N3210" s="29"/>
      <c r="O3210" s="29"/>
      <c r="P3210" s="29"/>
      <c r="Q3210" s="19"/>
      <c r="R3210" s="11"/>
    </row>
    <row r="3211" s="1" customFormat="1" ht="9.95" customHeight="1" spans="1:18">
      <c r="A3211" s="7"/>
      <c r="B3211" s="12"/>
      <c r="C3211" s="30"/>
      <c r="D3211" s="31"/>
      <c r="E3211" s="31"/>
      <c r="F3211" s="31"/>
      <c r="G3211" s="31"/>
      <c r="H3211" s="31"/>
      <c r="I3211" s="31"/>
      <c r="J3211" s="31"/>
      <c r="K3211" s="31"/>
      <c r="L3211" s="31"/>
      <c r="M3211" s="31"/>
      <c r="N3211" s="31"/>
      <c r="O3211" s="31"/>
      <c r="P3211" s="32"/>
      <c r="Q3211" s="19"/>
      <c r="R3211" s="11"/>
    </row>
    <row r="3212" s="1" customFormat="1" ht="21.95" customHeight="1" spans="1:18">
      <c r="A3212" s="7"/>
      <c r="B3212" s="12"/>
      <c r="C3212" s="33"/>
      <c r="D3212" s="35"/>
      <c r="E3212" s="24"/>
      <c r="F3212" s="42" t="s">
        <v>717</v>
      </c>
      <c r="G3212" s="42"/>
      <c r="H3212" s="42"/>
      <c r="I3212" s="42"/>
      <c r="J3212" s="42"/>
      <c r="K3212" s="42"/>
      <c r="L3212" s="43"/>
      <c r="M3212" s="44"/>
      <c r="N3212" s="29"/>
      <c r="O3212" s="29"/>
      <c r="P3212" s="19"/>
      <c r="Q3212" s="19"/>
      <c r="R3212" s="11"/>
    </row>
    <row r="3213" s="1" customFormat="1" ht="21.95" customHeight="1" spans="1:18">
      <c r="A3213" s="7"/>
      <c r="B3213" s="12"/>
      <c r="C3213" s="33"/>
      <c r="D3213" s="45"/>
      <c r="E3213" s="46"/>
      <c r="F3213" s="47" t="s">
        <v>541</v>
      </c>
      <c r="G3213" s="47" t="s">
        <v>542</v>
      </c>
      <c r="H3213" s="47" t="s">
        <v>543</v>
      </c>
      <c r="I3213" s="47" t="s">
        <v>544</v>
      </c>
      <c r="J3213" s="47" t="s">
        <v>561</v>
      </c>
      <c r="K3213" s="48" t="s">
        <v>750</v>
      </c>
      <c r="L3213" s="47" t="s">
        <v>382</v>
      </c>
      <c r="M3213" s="49" t="s">
        <v>546</v>
      </c>
      <c r="N3213" s="29"/>
      <c r="O3213" s="29"/>
      <c r="P3213" s="19"/>
      <c r="Q3213" s="19"/>
      <c r="R3213" s="11"/>
    </row>
    <row r="3214" s="1" customFormat="1" ht="21.95" customHeight="1" spans="1:18">
      <c r="A3214" s="7"/>
      <c r="B3214" s="12"/>
      <c r="C3214" s="33"/>
      <c r="D3214" s="45" t="s">
        <v>652</v>
      </c>
      <c r="E3214" s="46"/>
      <c r="F3214" s="50">
        <v>10</v>
      </c>
      <c r="G3214" s="50">
        <v>10</v>
      </c>
      <c r="H3214" s="50">
        <v>10</v>
      </c>
      <c r="I3214" s="50">
        <v>10</v>
      </c>
      <c r="J3214" s="50">
        <v>60</v>
      </c>
      <c r="K3214" s="51"/>
      <c r="L3214" s="50">
        <v>100</v>
      </c>
      <c r="M3214" s="49"/>
      <c r="N3214" s="29"/>
      <c r="O3214" s="29"/>
      <c r="P3214" s="19"/>
      <c r="Q3214" s="19"/>
      <c r="R3214" s="11"/>
    </row>
    <row r="3215" s="1" customFormat="1" ht="21.95" customHeight="1" spans="1:18">
      <c r="A3215" s="7"/>
      <c r="B3215" s="12"/>
      <c r="C3215" s="33"/>
      <c r="D3215" s="52" t="s">
        <v>751</v>
      </c>
      <c r="E3215" s="53"/>
      <c r="F3215" s="54" t="str">
        <f ca="1">IFERROR(VLOOKUP(F3198,'RR-3.1-5TH'!$A$12:'RR-3.1-5TH'!$BN$111,9,0),"")</f>
        <v/>
      </c>
      <c r="G3215" s="54" t="str">
        <f ca="1">IFERROR(VLOOKUP(F3198,'RR-3.1-5TH'!$A$12:'RR-3.1-5TH'!$BN$111,10,0),"")</f>
        <v/>
      </c>
      <c r="H3215" s="54" t="str">
        <f ca="1">IFERROR(VLOOKUP(F3198,'RR-3.1-5TH'!$A$12:'RR-3.1-5TH'!$BN$111,11,0),"")</f>
        <v/>
      </c>
      <c r="I3215" s="54" t="str">
        <f ca="1">IFERROR(VLOOKUP(F3198,'RR-3.1-5TH'!$A$12:'RR-3.1-5TH'!$BN$111,12,0),"")</f>
        <v/>
      </c>
      <c r="J3215" s="54" t="str">
        <f ca="1">IFERROR(VLOOKUP(F3198,'RR-3.1-5TH'!$A$12:'RR-3.1-5TH'!$BN$111,13,0),"")</f>
        <v/>
      </c>
      <c r="K3215" s="54" t="str">
        <f ca="1">IFERROR(VLOOKUP(F3198,'RR-3.1-5TH'!$A$12:'RR-3.1-5TH'!$BN$111,14,0),"")</f>
        <v/>
      </c>
      <c r="L3215" s="55">
        <f ca="1" t="shared" ref="L3215:L3220" si="168">SUM(F3215,G3215,H3215,I3215,J3215,K3215)</f>
        <v>0</v>
      </c>
      <c r="M3215" s="56" t="str">
        <f ca="1">IF(F3198&gt;ENTRY!$D$24,"",IF(L3215=0,"Ab",IF(L3215&gt;80,"A",IF(L3215&gt;60,"B",IF(L3215&gt;44,"C",IF(L3215&gt;=33,"D",IF(L3215&lt;=32,"E","")))))))</f>
        <v/>
      </c>
      <c r="N3215" s="57" t="s">
        <v>729</v>
      </c>
      <c r="O3215" s="58"/>
      <c r="P3215" s="59"/>
      <c r="Q3215" s="19"/>
      <c r="R3215" s="11"/>
    </row>
    <row r="3216" s="1" customFormat="1" ht="21.95" customHeight="1" spans="1:18">
      <c r="A3216" s="7"/>
      <c r="B3216" s="12"/>
      <c r="C3216" s="33"/>
      <c r="D3216" s="52" t="s">
        <v>513</v>
      </c>
      <c r="E3216" s="53"/>
      <c r="F3216" s="54" t="str">
        <f ca="1">IFERROR(VLOOKUP(F3198,'RR-3.1-5TH'!$A$12:'RR-3.1-5TH'!$BN$111,17,0),"")</f>
        <v/>
      </c>
      <c r="G3216" s="54" t="str">
        <f ca="1">IFERROR(VLOOKUP(F3198,'RR-3.1-5TH'!$A$12:'RR-3.1-5TH'!$BN$111,18,0),"")</f>
        <v/>
      </c>
      <c r="H3216" s="54" t="str">
        <f ca="1">IFERROR(VLOOKUP(F3198,'RR-3.1-5TH'!$A$12:'RR-3.1-5TH'!$BN$111,19,0),"")</f>
        <v/>
      </c>
      <c r="I3216" s="54" t="str">
        <f ca="1">IFERROR(VLOOKUP(F3198,'RR-3.1-5TH'!$A$12:'RR-3.1-5TH'!$BN$111,20,0),"")</f>
        <v/>
      </c>
      <c r="J3216" s="54" t="str">
        <f ca="1">IFERROR(VLOOKUP(F3198,'RR-3.1-5TH'!$A$12:'RR-3.1-5TH'!$BN$111,21,0),"")</f>
        <v/>
      </c>
      <c r="K3216" s="54" t="str">
        <f ca="1">IFERROR(VLOOKUP(F3198,'RR-3.1-5TH'!$A$12:'RR-3.1-5TH'!$BN$111,22,0),"")</f>
        <v/>
      </c>
      <c r="L3216" s="55">
        <f ca="1" t="shared" si="168"/>
        <v>0</v>
      </c>
      <c r="M3216" s="56" t="str">
        <f ca="1">IF(F3198&gt;ENTRY!$D$24,"",IF(L3216=0,"Ab",IF(L3216&gt;80,"A",IF(L3216&gt;60,"B",IF(L3216&gt;44,"C",IF(L3216&gt;=33,"D",IF(L3216&lt;=32,"E","")))))))</f>
        <v/>
      </c>
      <c r="N3216" s="58"/>
      <c r="O3216" s="58"/>
      <c r="P3216" s="59"/>
      <c r="Q3216" s="19"/>
      <c r="R3216" s="11"/>
    </row>
    <row r="3217" s="1" customFormat="1" ht="21.95" customHeight="1" spans="1:19">
      <c r="A3217" s="7"/>
      <c r="B3217" s="12"/>
      <c r="C3217" s="33"/>
      <c r="D3217" s="52" t="s">
        <v>718</v>
      </c>
      <c r="E3217" s="53"/>
      <c r="F3217" s="54" t="str">
        <f ca="1">IFERROR(VLOOKUP(F3198,'RR-3.1-5TH'!$A$12:'RR-3.1-5TH'!$BN$111,25,0),"")</f>
        <v/>
      </c>
      <c r="G3217" s="54" t="str">
        <f ca="1">IFERROR(VLOOKUP(F3198,'RR-3.1-5TH'!$A$12:'RR-3.1-5TH'!$BN$111,26,0),"")</f>
        <v/>
      </c>
      <c r="H3217" s="54" t="str">
        <f ca="1">IFERROR(VLOOKUP(F3198,'RR-3.1-5TH'!$A$12:'RR-3.1-5TH'!$BN$111,27,0),"")</f>
        <v/>
      </c>
      <c r="I3217" s="54" t="str">
        <f ca="1">IFERROR(VLOOKUP(F3198,'RR-3.1-5TH'!$A$12:'RR-3.1-5TH'!$BN$111,28,0),"")</f>
        <v/>
      </c>
      <c r="J3217" s="54" t="str">
        <f ca="1">IFERROR(VLOOKUP(F3198,'RR-3.1-5TH'!$A$12:'RR-3.1-5TH'!$BN$111,29,0),"")</f>
        <v/>
      </c>
      <c r="K3217" s="54" t="str">
        <f ca="1">IFERROR(VLOOKUP(F3198,'RR-3.1-5TH'!$A$12:'RR-3.1-5TH'!$BN$111,30,0),"")</f>
        <v/>
      </c>
      <c r="L3217" s="55">
        <f ca="1" t="shared" si="168"/>
        <v>0</v>
      </c>
      <c r="M3217" s="56" t="str">
        <f ca="1">IF(F3198&gt;ENTRY!$D$24,"",IF(L3217=0,"Ab",IF(L3217&gt;80,"A",IF(L3217&gt;60,"B",IF(L3217&gt;44,"C",IF(L3217&gt;=33,"D",IF(L3217&lt;=32,"E","")))))))</f>
        <v/>
      </c>
      <c r="N3217" s="29"/>
      <c r="O3217" s="29"/>
      <c r="P3217" s="19"/>
      <c r="Q3217" s="19"/>
      <c r="R3217" s="11"/>
    </row>
    <row r="3218" s="1" customFormat="1" ht="21.95" customHeight="1" spans="1:19">
      <c r="A3218" s="7"/>
      <c r="B3218" s="12"/>
      <c r="C3218" s="33"/>
      <c r="D3218" s="52" t="s">
        <v>719</v>
      </c>
      <c r="E3218" s="53"/>
      <c r="F3218" s="54" t="str">
        <f ca="1">IFERROR(VLOOKUP(F3198,'RR-3.1-5TH'!$A$12:'RR-3.1-5TH'!$BN$111,33,0),"")</f>
        <v/>
      </c>
      <c r="G3218" s="54" t="str">
        <f ca="1">IFERROR(VLOOKUP(F3198,'RR-3.1-5TH'!$A$12:'RR-3.1-5TH'!$BN$111,34,0),"")</f>
        <v/>
      </c>
      <c r="H3218" s="54" t="str">
        <f ca="1">IFERROR(VLOOKUP(F3198,'RR-3.1-5TH'!$A$12:'RR-3.1-5TH'!$BN$111,35,0),"")</f>
        <v/>
      </c>
      <c r="I3218" s="54" t="str">
        <f ca="1">IFERROR(VLOOKUP(F3198,'RR-3.1-5TH'!$A$12:'RR-3.1-5TH'!$BN$111,36,0),"")</f>
        <v/>
      </c>
      <c r="J3218" s="54" t="str">
        <f ca="1">IFERROR(VLOOKUP(F3198,'RR-3.1-5TH'!$A$12:'RR-3.1-5TH'!$BN$111,37,0),"")</f>
        <v/>
      </c>
      <c r="K3218" s="54" t="str">
        <f ca="1">IFERROR(VLOOKUP(F3198,'RR-3.1-5TH'!$A$12:'RR-3.1-5TH'!$BN$111,38,0),"")</f>
        <v/>
      </c>
      <c r="L3218" s="55">
        <f ca="1" t="shared" si="168"/>
        <v>0</v>
      </c>
      <c r="M3218" s="56" t="str">
        <f ca="1">IF(F3198&gt;ENTRY!$D$24,"",IF(L3218=0,"Ab",IF(L3218&gt;80,"A",IF(L3218&gt;60,"B",IF(L3218&gt;44,"C",IF(L3218&gt;=33,"D",IF(L3218&lt;=32,"E","")))))))</f>
        <v/>
      </c>
      <c r="N3218" s="29"/>
      <c r="O3218" s="29"/>
      <c r="P3218" s="19"/>
      <c r="Q3218" s="19"/>
      <c r="R3218" s="11"/>
    </row>
    <row r="3219" s="1" customFormat="1" ht="21.95" customHeight="1" spans="1:19">
      <c r="A3219" s="7"/>
      <c r="B3219" s="12"/>
      <c r="C3219" s="33"/>
      <c r="D3219" s="52" t="s">
        <v>548</v>
      </c>
      <c r="E3219" s="53"/>
      <c r="F3219" s="54" t="str">
        <f ca="1">IFERROR(VLOOKUP(F3198,'RR-3.1-5TH'!$A$12:'RR-3.1-5TH'!$BN$111,41,0),"")</f>
        <v/>
      </c>
      <c r="G3219" s="54" t="str">
        <f ca="1">IFERROR(VLOOKUP(F3198,'RR-3.1-5TH'!$A$12:'RR-3.1-5TH'!$BN$111,42,0),"")</f>
        <v/>
      </c>
      <c r="H3219" s="54" t="str">
        <f ca="1">IFERROR(VLOOKUP(F3198,'RR-3.1-5TH'!$A$12:'RR-3.1-5TH'!$BN$111,43,0),"")</f>
        <v/>
      </c>
      <c r="I3219" s="54" t="str">
        <f ca="1">IFERROR(VLOOKUP(F3198,'RR-3.1-5TH'!$A$12:'RR-3.1-5TH'!$BN$111,44,0),"")</f>
        <v/>
      </c>
      <c r="J3219" s="54" t="str">
        <f ca="1">IFERROR(VLOOKUP(F3198,'RR-3.1-5TH'!$A$12:'RR-3.1-5TH'!$BN$111,45,0),"")</f>
        <v/>
      </c>
      <c r="K3219" s="54" t="str">
        <f ca="1">IFERROR(VLOOKUP(F3198,'RR-3.1-5TH'!$A$12:'RR-3.1-5TH'!$BN$111,46,0),"")</f>
        <v/>
      </c>
      <c r="L3219" s="55">
        <f ca="1" t="shared" si="168"/>
        <v>0</v>
      </c>
      <c r="M3219" s="56" t="str">
        <f ca="1">IF(F3198&gt;ENTRY!$D$24,"",IF(L3219=0,"Ab",IF(L3219&gt;80,"A",IF(L3219&gt;60,"B",IF(L3219&gt;44,"C",IF(L3219&gt;=33,"D",IF(L3219&lt;=32,"E","")))))))</f>
        <v/>
      </c>
      <c r="N3219" s="29"/>
      <c r="O3219" s="29"/>
      <c r="P3219" s="19"/>
      <c r="Q3219" s="19"/>
      <c r="R3219" s="11"/>
    </row>
    <row r="3220" s="1" customFormat="1" ht="21.95" customHeight="1" spans="1:19">
      <c r="A3220" s="7"/>
      <c r="B3220" s="12"/>
      <c r="C3220" s="33"/>
      <c r="D3220" s="52" t="s">
        <v>549</v>
      </c>
      <c r="E3220" s="53"/>
      <c r="F3220" s="54" t="str">
        <f ca="1">IFERROR(VLOOKUP(F3198,'RR-3.1-5TH'!$A$12:'RR-3.1-5TH'!$BN$111,49,0),"")</f>
        <v/>
      </c>
      <c r="G3220" s="54" t="str">
        <f ca="1">IFERROR(VLOOKUP(F3198,'RR-3.1-5TH'!$A$12:'RR-3.1-5TH'!$BN$111,50,0),"")</f>
        <v/>
      </c>
      <c r="H3220" s="54" t="str">
        <f ca="1">IFERROR(VLOOKUP(F3198,'RR-3.1-5TH'!$A$12:'RR-3.1-5TH'!$BN$111,51,0),"")</f>
        <v/>
      </c>
      <c r="I3220" s="54" t="str">
        <f ca="1">IFERROR(VLOOKUP(F3198,'RR-3.1-5TH'!$A$12:'RR-3.1-5TH'!$BN$111,52,0),"")</f>
        <v/>
      </c>
      <c r="J3220" s="54" t="str">
        <f ca="1">IFERROR(VLOOKUP(F3198,'RR-3.1-5TH'!$A$12:'RR-3.1-5TH'!$BN$111,53,0),"")</f>
        <v/>
      </c>
      <c r="K3220" s="54" t="str">
        <f ca="1">IFERROR(VLOOKUP(F3198,'RR-3.1-5TH'!$A$12:'RR-3.1-5TH'!$BN$111,54,0),"")</f>
        <v/>
      </c>
      <c r="L3220" s="55">
        <f ca="1" t="shared" si="168"/>
        <v>0</v>
      </c>
      <c r="M3220" s="56" t="str">
        <f ca="1">IF(F3198&gt;ENTRY!$D$24,"",IF(L3220=0,"Ab",IF(L3220&gt;80,"A",IF(L3220&gt;60,"B",IF(L3220&gt;44,"C",IF(L3220&gt;=33,"D",IF(L3220&lt;=32,"E","")))))))</f>
        <v/>
      </c>
      <c r="N3220" s="57" t="s">
        <v>752</v>
      </c>
      <c r="O3220" s="58"/>
      <c r="P3220" s="59"/>
      <c r="Q3220" s="19"/>
      <c r="R3220" s="11"/>
    </row>
    <row r="3221" s="1" customFormat="1" ht="21.95" customHeight="1" spans="1:19">
      <c r="A3221" s="7"/>
      <c r="B3221" s="12"/>
      <c r="C3221" s="33"/>
      <c r="D3221" s="52" t="s">
        <v>753</v>
      </c>
      <c r="E3221" s="53"/>
      <c r="F3221" s="60"/>
      <c r="G3221" s="54"/>
      <c r="H3221" s="54"/>
      <c r="I3221" s="54"/>
      <c r="J3221" s="54"/>
      <c r="K3221" s="54"/>
      <c r="L3221" s="55">
        <f t="shared" ref="L3221" si="169">SUM(G3221:K3221)</f>
        <v>0</v>
      </c>
      <c r="M3221" s="56" t="str">
        <f>IF(F3198&gt;ENTRY!$D$24,"",IF(L3221=0,"",IF(L3221&gt;79,"A",IF(L3221&gt;59,"B",IF(L3221&gt;44,"C",IF(L3221&gt;=33,"D",IF(L3221&lt;=32,"E","")))))))</f>
        <v/>
      </c>
      <c r="N3221" s="58"/>
      <c r="O3221" s="58"/>
      <c r="P3221" s="59"/>
      <c r="Q3221" s="19"/>
      <c r="R3221" s="11"/>
    </row>
    <row r="3222" s="1" customFormat="1" ht="21.95" customHeight="1" spans="1:19">
      <c r="A3222" s="7"/>
      <c r="B3222" s="12"/>
      <c r="C3222" s="33"/>
      <c r="D3222" s="45" t="s">
        <v>382</v>
      </c>
      <c r="E3222" s="46"/>
      <c r="F3222" s="54">
        <f ca="1" t="shared" ref="F3222:L3222" si="170">IFERROR(SUM(F3215:F3221),"")</f>
        <v>0</v>
      </c>
      <c r="G3222" s="54">
        <f ca="1" t="shared" si="170"/>
        <v>0</v>
      </c>
      <c r="H3222" s="54">
        <f ca="1" t="shared" si="170"/>
        <v>0</v>
      </c>
      <c r="I3222" s="54">
        <f ca="1" t="shared" si="170"/>
        <v>0</v>
      </c>
      <c r="J3222" s="54">
        <f ca="1" t="shared" si="170"/>
        <v>0</v>
      </c>
      <c r="K3222" s="54">
        <f ca="1" t="shared" si="170"/>
        <v>0</v>
      </c>
      <c r="L3222" s="55">
        <f ca="1" t="shared" si="170"/>
        <v>0</v>
      </c>
      <c r="M3222" s="61" t="str">
        <f ca="1">IF(F3198&gt;ENTRY!$D$24,"",IF(N3223="Ab","Ab",IF(N3223&gt;79.5,"A",IF(N3223&gt;59.5,"B",IF(N3223&gt;44.5,"C",IF(N3223&gt;=33,"D",IF(N3223&lt;33,"E","")))))))</f>
        <v/>
      </c>
      <c r="N3222" s="62"/>
      <c r="O3222" s="58"/>
      <c r="P3222" s="59"/>
      <c r="Q3222" s="19"/>
      <c r="R3222" s="11"/>
    </row>
    <row r="3223" s="1" customFormat="1" ht="21.95" customHeight="1" spans="1:19">
      <c r="A3223" s="7"/>
      <c r="B3223" s="12"/>
      <c r="C3223" s="33"/>
      <c r="D3223" s="63" t="s">
        <v>721</v>
      </c>
      <c r="E3223" s="63"/>
      <c r="F3223" s="63"/>
      <c r="G3223" s="63"/>
      <c r="H3223" s="63"/>
      <c r="I3223" s="63"/>
      <c r="J3223" s="63"/>
      <c r="K3223" s="63"/>
      <c r="L3223" s="63"/>
      <c r="M3223" s="63"/>
      <c r="N3223" s="64">
        <f ca="1">IF(L3222="Ab","Ab",L3222/6)</f>
        <v>0</v>
      </c>
      <c r="O3223" s="65"/>
      <c r="P3223" s="19"/>
      <c r="Q3223" s="19"/>
      <c r="R3223" s="11"/>
    </row>
    <row r="3224" s="1" customFormat="1" ht="21.95" customHeight="1" spans="1:19">
      <c r="A3224" s="7"/>
      <c r="B3224" s="12"/>
      <c r="C3224" s="33"/>
      <c r="D3224" s="29" t="s">
        <v>716</v>
      </c>
      <c r="E3224" s="18" t="str">
        <f>IFERROR(VLOOKUP(F3198,'1to4-2.1-RR'!$A$12:$BG$111,57,0),"")</f>
        <v/>
      </c>
      <c r="F3224" s="18"/>
      <c r="G3224" s="18"/>
      <c r="H3224" s="18"/>
      <c r="I3224" s="18"/>
      <c r="J3224" s="18"/>
      <c r="K3224" s="18"/>
      <c r="L3224" s="18"/>
      <c r="M3224" s="18"/>
      <c r="N3224" s="29"/>
      <c r="O3224" s="29"/>
      <c r="P3224" s="19"/>
      <c r="Q3224" s="19"/>
      <c r="R3224" s="11"/>
    </row>
    <row r="3225" s="1" customFormat="1" ht="9.95" customHeight="1" spans="1:19">
      <c r="A3225" s="7"/>
      <c r="B3225" s="12"/>
      <c r="C3225" s="33"/>
      <c r="D3225" s="29"/>
      <c r="E3225" s="29"/>
      <c r="F3225" s="29"/>
      <c r="G3225" s="29"/>
      <c r="H3225" s="29"/>
      <c r="I3225" s="29"/>
      <c r="J3225" s="29"/>
      <c r="K3225" s="29"/>
      <c r="L3225" s="29"/>
      <c r="M3225" s="29"/>
      <c r="N3225" s="29"/>
      <c r="O3225" s="29"/>
      <c r="P3225" s="19"/>
      <c r="Q3225" s="19"/>
      <c r="R3225" s="11"/>
    </row>
    <row r="3226" s="1" customFormat="1" ht="36" spans="1:19">
      <c r="A3226" s="7"/>
      <c r="B3226" s="12"/>
      <c r="C3226" s="33"/>
      <c r="D3226" s="66" t="s">
        <v>576</v>
      </c>
      <c r="E3226" s="67" t="s">
        <v>754</v>
      </c>
      <c r="F3226" s="47" t="str">
        <f>IF(F3198&gt;ENTRY!$D$24,"",IFERROR(VLOOKUP(F3198,PASHEET!$A$4:$CJ$103,88,0),""))</f>
        <v/>
      </c>
      <c r="G3226" s="67" t="s">
        <v>755</v>
      </c>
      <c r="H3226" s="47" t="str">
        <f>IF(F3198&gt;ENTRY!$D$24,"",IFERROR(VLOOKUP(F3198,PASHEET!$A$4:$CJ$103,87,0),""))</f>
        <v/>
      </c>
      <c r="I3226" s="68" t="s">
        <v>756</v>
      </c>
      <c r="J3226" s="69" t="str">
        <f>IF(F3198&gt;ENTRY!$D$24,"",IFERROR(IF(F3198&gt;0,H3226/F3226*100),""))</f>
        <v/>
      </c>
      <c r="K3226" s="60" t="s">
        <v>757</v>
      </c>
      <c r="L3226" s="70" t="str">
        <f ca="1">IF(F3198&gt;ENTRY!$D$24,"",IFERROR(L3222/600*100,""))</f>
        <v/>
      </c>
      <c r="M3226" s="47" t="str">
        <f ca="1">IF(F3198&gt;ENTRY!$D$24,"",IFERROR(L3222&amp;" / "&amp;"600",""))</f>
        <v/>
      </c>
      <c r="N3226" s="29"/>
      <c r="O3226" s="29"/>
      <c r="P3226" s="19"/>
      <c r="Q3226" s="19"/>
      <c r="R3226" s="11"/>
    </row>
    <row r="3227" s="1" customFormat="1" ht="9.95" customHeight="1" spans="1:19">
      <c r="A3227" s="7"/>
      <c r="B3227" s="12"/>
      <c r="C3227" s="39"/>
      <c r="D3227" s="40"/>
      <c r="E3227" s="40"/>
      <c r="F3227" s="40"/>
      <c r="G3227" s="40"/>
      <c r="H3227" s="40"/>
      <c r="I3227" s="40"/>
      <c r="J3227" s="40"/>
      <c r="K3227" s="40"/>
      <c r="L3227" s="40"/>
      <c r="M3227" s="40"/>
      <c r="N3227" s="40"/>
      <c r="O3227" s="40"/>
      <c r="P3227" s="41"/>
      <c r="Q3227" s="19"/>
      <c r="R3227" s="11"/>
    </row>
    <row r="3228" s="1" customFormat="1" ht="9.95" customHeight="1" spans="1:19">
      <c r="A3228" s="7"/>
      <c r="B3228" s="12"/>
      <c r="C3228" s="71"/>
      <c r="D3228" s="71"/>
      <c r="E3228" s="71"/>
      <c r="F3228" s="29"/>
      <c r="G3228" s="71"/>
      <c r="H3228" s="71"/>
      <c r="I3228" s="71"/>
      <c r="J3228" s="71"/>
      <c r="K3228" s="71"/>
      <c r="L3228" s="71"/>
      <c r="M3228" s="71"/>
      <c r="N3228" s="71"/>
      <c r="O3228" s="71"/>
      <c r="P3228" s="71"/>
      <c r="Q3228" s="19"/>
      <c r="R3228" s="11"/>
    </row>
    <row r="3229" s="1" customFormat="1" ht="9.95" customHeight="1" spans="1:19">
      <c r="A3229" s="7"/>
      <c r="B3229" s="12"/>
      <c r="C3229" s="29"/>
      <c r="D3229" s="29"/>
      <c r="E3229" s="29"/>
      <c r="F3229" s="72"/>
      <c r="G3229" s="29"/>
      <c r="H3229" s="29"/>
      <c r="I3229" s="29"/>
      <c r="J3229" s="29"/>
      <c r="K3229" s="29"/>
      <c r="L3229" s="29"/>
      <c r="M3229" s="29"/>
      <c r="N3229" s="29"/>
      <c r="O3229" s="29"/>
      <c r="P3229" s="29"/>
      <c r="Q3229" s="19"/>
      <c r="R3229" s="11"/>
    </row>
    <row r="3230" s="1" customFormat="1" ht="9.95" customHeight="1" spans="1:19">
      <c r="A3230" s="7"/>
      <c r="B3230" s="12"/>
      <c r="C3230" s="30"/>
      <c r="D3230" s="31"/>
      <c r="E3230" s="31"/>
      <c r="F3230" s="31"/>
      <c r="G3230" s="31"/>
      <c r="H3230" s="31"/>
      <c r="I3230" s="31"/>
      <c r="J3230" s="31"/>
      <c r="K3230" s="31"/>
      <c r="L3230" s="31"/>
      <c r="M3230" s="31"/>
      <c r="N3230" s="31"/>
      <c r="O3230" s="31"/>
      <c r="P3230" s="32"/>
      <c r="Q3230" s="19"/>
      <c r="R3230" s="11"/>
    </row>
    <row r="3231" s="1" customFormat="1" ht="21.95" customHeight="1" spans="1:19">
      <c r="A3231" s="7"/>
      <c r="B3231" s="12"/>
      <c r="C3231" s="73" t="s">
        <v>7</v>
      </c>
      <c r="D3231" s="13"/>
      <c r="E3231" s="13"/>
      <c r="F3231" s="13"/>
      <c r="G3231" s="13"/>
      <c r="H3231" s="13"/>
      <c r="I3231" s="13"/>
      <c r="J3231" s="13"/>
      <c r="K3231" s="13"/>
      <c r="L3231" s="13"/>
      <c r="M3231" s="13"/>
      <c r="N3231" s="13"/>
      <c r="O3231" s="13"/>
      <c r="P3231" s="74"/>
      <c r="Q3231" s="19"/>
      <c r="R3231" s="11"/>
      <c r="S3231" s="2"/>
    </row>
    <row r="3232" s="1" customFormat="1" ht="21.95" customHeight="1" spans="1:19">
      <c r="A3232" s="7"/>
      <c r="B3232" s="12"/>
      <c r="C3232" s="33"/>
      <c r="D3232" s="29"/>
      <c r="E3232" s="29"/>
      <c r="F3232" s="29"/>
      <c r="G3232" s="29"/>
      <c r="H3232" s="29"/>
      <c r="I3232" s="29"/>
      <c r="J3232" s="29"/>
      <c r="K3232" s="29"/>
      <c r="L3232" s="29"/>
      <c r="M3232" s="29"/>
      <c r="N3232" s="29"/>
      <c r="O3232" s="29"/>
      <c r="P3232" s="19"/>
      <c r="Q3232" s="19"/>
      <c r="R3232" s="11"/>
    </row>
    <row r="3233" s="1" customFormat="1" ht="21.95" customHeight="1" spans="1:18">
      <c r="A3233" s="7"/>
      <c r="B3233" s="12"/>
      <c r="C3233" s="75" t="str">
        <f>"SESSION-"&amp;ENTRY!$D$11</f>
        <v>SESSION-2026-27</v>
      </c>
      <c r="D3233" s="15"/>
      <c r="E3233" s="15"/>
      <c r="F3233" s="15"/>
      <c r="G3233" s="15"/>
      <c r="H3233" s="15"/>
      <c r="I3233" s="15"/>
      <c r="J3233" s="15"/>
      <c r="K3233" s="15"/>
      <c r="L3233" s="15"/>
      <c r="M3233" s="15"/>
      <c r="N3233" s="15"/>
      <c r="O3233" s="15"/>
      <c r="P3233" s="76"/>
      <c r="Q3233" s="19"/>
      <c r="R3233" s="11"/>
    </row>
    <row r="3234" s="1" customFormat="1" ht="18" customHeight="1" spans="1:18">
      <c r="A3234" s="7"/>
      <c r="B3234" s="12"/>
      <c r="C3234" s="33"/>
      <c r="D3234" s="29"/>
      <c r="E3234" s="29"/>
      <c r="F3234" s="29"/>
      <c r="G3234" s="29"/>
      <c r="H3234" s="29"/>
      <c r="I3234" s="29"/>
      <c r="J3234" s="29"/>
      <c r="K3234" s="29"/>
      <c r="L3234" s="29"/>
      <c r="M3234" s="29"/>
      <c r="N3234" s="29"/>
      <c r="O3234" s="29"/>
      <c r="P3234" s="19"/>
      <c r="Q3234" s="19"/>
      <c r="R3234" s="11"/>
    </row>
    <row r="3235" s="1" customFormat="1" ht="21.95" customHeight="1" spans="1:18">
      <c r="A3235" s="7"/>
      <c r="B3235" s="12"/>
      <c r="C3235" s="33"/>
      <c r="D3235" s="77" t="s">
        <v>758</v>
      </c>
      <c r="E3235" s="77"/>
      <c r="F3235" s="78" t="str">
        <f>IFERROR(PROPER(VLOOKUP(F3198,STUDENT!$A$2:$BP$101,5,0)),"")</f>
        <v/>
      </c>
      <c r="G3235" s="78"/>
      <c r="H3235" s="78"/>
      <c r="I3235" s="78"/>
      <c r="J3235" s="78"/>
      <c r="K3235" s="78"/>
      <c r="L3235" s="78"/>
      <c r="M3235" s="78"/>
      <c r="N3235" s="79" t="s">
        <v>759</v>
      </c>
      <c r="O3235" s="79"/>
      <c r="P3235" s="19"/>
      <c r="Q3235" s="19"/>
      <c r="R3235" s="11"/>
    </row>
    <row r="3236" s="1" customFormat="1" ht="21.95" customHeight="1" spans="1:18">
      <c r="A3236" s="7"/>
      <c r="B3236" s="12"/>
      <c r="C3236" s="33"/>
      <c r="D3236" s="80" t="s">
        <v>760</v>
      </c>
      <c r="E3236" s="81" t="str">
        <f>IFERROR(PROPER(VLOOKUP(F3198,STUDENT!$A$2:$BP$101,9,0)),"")</f>
        <v/>
      </c>
      <c r="F3236" s="81"/>
      <c r="G3236" s="81"/>
      <c r="H3236" s="80" t="s">
        <v>761</v>
      </c>
      <c r="I3236" s="82" t="str">
        <f>IFERROR(PROPER(VLOOKUP(F3198,STUDENT!$A$2:$BP$101,8,0)),"")</f>
        <v/>
      </c>
      <c r="J3236" s="82"/>
      <c r="K3236" s="82"/>
      <c r="L3236" s="82"/>
      <c r="M3236" s="80" t="s">
        <v>762</v>
      </c>
      <c r="N3236" s="83" t="str">
        <f>IFERROR(VLOOKUP(F3198,STUDENT!$A$2:$BP$101,59,0),"")</f>
        <v/>
      </c>
      <c r="O3236" s="83"/>
      <c r="P3236" s="19"/>
      <c r="Q3236" s="19"/>
      <c r="R3236" s="11"/>
    </row>
    <row r="3237" s="1" customFormat="1" ht="21.95" customHeight="1" spans="1:18">
      <c r="A3237" s="7"/>
      <c r="B3237" s="12"/>
      <c r="C3237" s="33"/>
      <c r="D3237" s="77" t="str">
        <f>"has    completed     his  /  her     primary     level     education    in    the    year    "&amp;RIGHT(ENTRY!$D3203,4)&amp;"    from    ( School    Name )"</f>
        <v>has    completed     his  /  her     primary     level     education    in    the    year        from    ( School    Name )</v>
      </c>
      <c r="E3237" s="77"/>
      <c r="F3237" s="77"/>
      <c r="G3237" s="77"/>
      <c r="H3237" s="77"/>
      <c r="I3237" s="77"/>
      <c r="J3237" s="77"/>
      <c r="K3237" s="77"/>
      <c r="L3237" s="77"/>
      <c r="M3237" s="77"/>
      <c r="N3237" s="77"/>
      <c r="O3237" s="77"/>
      <c r="P3237" s="19"/>
      <c r="Q3237" s="19"/>
      <c r="R3237" s="11"/>
    </row>
    <row r="3238" s="1" customFormat="1" ht="21.95" customHeight="1" spans="1:18">
      <c r="A3238" s="7"/>
      <c r="B3238" s="12"/>
      <c r="C3238" s="33"/>
      <c r="D3238" s="81" t="str">
        <f>IF(F3198&gt;0,ENTRY!$D$6,"")</f>
        <v>MCP NITHARI NO 1 BOYS</v>
      </c>
      <c r="E3238" s="81"/>
      <c r="F3238" s="81"/>
      <c r="G3238" s="81"/>
      <c r="H3238" s="81"/>
      <c r="I3238" s="81"/>
      <c r="J3238" s="81"/>
      <c r="K3238" s="81"/>
      <c r="L3238" s="81"/>
      <c r="M3238" s="80" t="s">
        <v>763</v>
      </c>
      <c r="N3238" s="84">
        <f>IF(F3198&gt;0,ENTRY!$D$7,"")</f>
        <v>0</v>
      </c>
      <c r="O3238" s="84"/>
      <c r="P3238" s="85" t="s">
        <v>727</v>
      </c>
      <c r="Q3238" s="19"/>
      <c r="R3238" s="11"/>
    </row>
    <row r="3239" s="1" customFormat="1" ht="21.95" customHeight="1" spans="1:18">
      <c r="A3239" s="7"/>
      <c r="B3239" s="12"/>
      <c r="C3239" s="33"/>
      <c r="D3239" s="29"/>
      <c r="E3239" s="29"/>
      <c r="F3239" s="29"/>
      <c r="G3239" s="29"/>
      <c r="H3239" s="29"/>
      <c r="I3239" s="29"/>
      <c r="J3239" s="29"/>
      <c r="K3239" s="29"/>
      <c r="L3239" s="29"/>
      <c r="M3239" s="29"/>
      <c r="N3239" s="29"/>
      <c r="O3239" s="29"/>
      <c r="P3239" s="19"/>
      <c r="Q3239" s="19"/>
      <c r="R3239" s="11"/>
    </row>
    <row r="3240" s="1" customFormat="1" ht="21.95" customHeight="1" spans="1:18">
      <c r="A3240" s="7"/>
      <c r="B3240" s="12"/>
      <c r="C3240" s="33"/>
      <c r="D3240" s="29"/>
      <c r="E3240" s="29"/>
      <c r="F3240" s="29"/>
      <c r="G3240" s="29"/>
      <c r="H3240" s="29"/>
      <c r="I3240" s="29"/>
      <c r="J3240" s="29"/>
      <c r="K3240" s="29"/>
      <c r="L3240" s="29"/>
      <c r="M3240" s="29"/>
      <c r="N3240" s="29"/>
      <c r="O3240" s="29"/>
      <c r="P3240" s="19"/>
      <c r="Q3240" s="19"/>
      <c r="R3240" s="11"/>
    </row>
    <row r="3241" s="1" customFormat="1" ht="21.95" customHeight="1" spans="1:18">
      <c r="A3241" s="7"/>
      <c r="B3241" s="12"/>
      <c r="C3241" s="33"/>
      <c r="D3241" s="29"/>
      <c r="E3241" s="29"/>
      <c r="F3241" s="29"/>
      <c r="G3241" s="29"/>
      <c r="H3241" s="29"/>
      <c r="I3241" s="29"/>
      <c r="J3241" s="29"/>
      <c r="K3241" s="29"/>
      <c r="L3241" s="29"/>
      <c r="M3241" s="29"/>
      <c r="N3241" s="29"/>
      <c r="O3241" s="29"/>
      <c r="P3241" s="19"/>
      <c r="Q3241" s="19"/>
      <c r="R3241" s="11"/>
    </row>
    <row r="3242" s="1" customFormat="1" ht="21.95" customHeight="1" spans="1:18">
      <c r="A3242" s="7"/>
      <c r="B3242" s="12"/>
      <c r="C3242" s="33"/>
      <c r="D3242" s="29"/>
      <c r="E3242" s="29"/>
      <c r="F3242" s="29"/>
      <c r="G3242" s="29"/>
      <c r="H3242" s="29"/>
      <c r="I3242" s="29"/>
      <c r="J3242" s="29"/>
      <c r="K3242" s="29"/>
      <c r="L3242" s="29"/>
      <c r="M3242" s="29"/>
      <c r="N3242" s="29"/>
      <c r="O3242" s="29"/>
      <c r="P3242" s="19"/>
      <c r="Q3242" s="19"/>
      <c r="R3242" s="11"/>
    </row>
    <row r="3243" s="1" customFormat="1" ht="21.95" customHeight="1" spans="1:18">
      <c r="A3243" s="7"/>
      <c r="B3243" s="12"/>
      <c r="C3243" s="33"/>
      <c r="D3243" s="29"/>
      <c r="E3243" s="29"/>
      <c r="F3243" s="29"/>
      <c r="G3243" s="29"/>
      <c r="H3243" s="29"/>
      <c r="I3243" s="29"/>
      <c r="J3243" s="29"/>
      <c r="K3243" s="29"/>
      <c r="L3243" s="29"/>
      <c r="M3243" s="29"/>
      <c r="N3243" s="29"/>
      <c r="O3243" s="29"/>
      <c r="P3243" s="19"/>
      <c r="Q3243" s="19"/>
      <c r="R3243" s="11"/>
    </row>
    <row r="3244" s="1" customFormat="1" ht="21.95" customHeight="1" spans="1:18">
      <c r="A3244" s="7"/>
      <c r="B3244" s="12"/>
      <c r="C3244" s="33"/>
      <c r="D3244" s="80" t="s">
        <v>728</v>
      </c>
      <c r="E3244" s="86">
        <f>ENTRY!$D$27</f>
        <v>46102</v>
      </c>
      <c r="F3244" s="86"/>
      <c r="G3244" s="29"/>
      <c r="H3244" s="29"/>
      <c r="I3244" s="29"/>
      <c r="J3244" s="29"/>
      <c r="K3244" s="29"/>
      <c r="L3244" s="29"/>
      <c r="M3244" s="87" t="s">
        <v>730</v>
      </c>
      <c r="N3244" s="87"/>
      <c r="O3244" s="87"/>
      <c r="P3244" s="19"/>
      <c r="Q3244" s="19"/>
      <c r="R3244" s="11"/>
    </row>
    <row r="3245" s="1" customFormat="1" ht="21.95" customHeight="1" spans="1:18">
      <c r="A3245" s="7"/>
      <c r="B3245" s="12"/>
      <c r="C3245" s="33"/>
      <c r="D3245" s="80" t="s">
        <v>731</v>
      </c>
      <c r="E3245" s="88" t="str">
        <f>PROPER(ENTRY!$D$28)</f>
        <v>New Delhi</v>
      </c>
      <c r="F3245" s="88"/>
      <c r="G3245" s="29"/>
      <c r="H3245" s="29"/>
      <c r="I3245" s="29"/>
      <c r="J3245" s="29"/>
      <c r="K3245" s="29"/>
      <c r="L3245" s="29"/>
      <c r="M3245" s="89" t="s">
        <v>732</v>
      </c>
      <c r="N3245" s="89"/>
      <c r="O3245" s="89"/>
      <c r="P3245" s="19"/>
      <c r="Q3245" s="19"/>
      <c r="R3245" s="11"/>
    </row>
    <row r="3246" s="1" customFormat="1" ht="21.95" customHeight="1" spans="1:18">
      <c r="A3246" s="7"/>
      <c r="B3246" s="12"/>
      <c r="C3246" s="90"/>
      <c r="D3246" s="91"/>
      <c r="E3246" s="91"/>
      <c r="F3246" s="91"/>
      <c r="G3246" s="91"/>
      <c r="H3246" s="91"/>
      <c r="I3246" s="91"/>
      <c r="J3246" s="91"/>
      <c r="K3246" s="91"/>
      <c r="L3246" s="91"/>
      <c r="M3246" s="91"/>
      <c r="N3246" s="91"/>
      <c r="O3246" s="91"/>
      <c r="P3246" s="92"/>
      <c r="Q3246" s="14"/>
      <c r="R3246" s="11"/>
    </row>
    <row r="3247" s="1" customFormat="1" ht="5.1" customHeight="1" spans="1:18">
      <c r="A3247" s="7"/>
      <c r="B3247" s="90"/>
      <c r="C3247" s="91"/>
      <c r="D3247" s="91"/>
      <c r="E3247" s="91"/>
      <c r="F3247" s="91"/>
      <c r="G3247" s="91"/>
      <c r="H3247" s="91"/>
      <c r="I3247" s="91"/>
      <c r="J3247" s="91"/>
      <c r="K3247" s="91"/>
      <c r="L3247" s="91"/>
      <c r="M3247" s="91"/>
      <c r="N3247" s="91"/>
      <c r="O3247" s="91"/>
      <c r="P3247" s="91"/>
      <c r="Q3247" s="92"/>
      <c r="R3247" s="11"/>
    </row>
    <row r="3248" s="1" customFormat="1" ht="5.1" customHeight="1" spans="1:18">
      <c r="A3248" s="93"/>
      <c r="B3248" s="94"/>
      <c r="C3248" s="94"/>
      <c r="D3248" s="94"/>
      <c r="E3248" s="94"/>
      <c r="F3248" s="94"/>
      <c r="G3248" s="94"/>
      <c r="H3248" s="94"/>
      <c r="I3248" s="94"/>
      <c r="J3248" s="94"/>
      <c r="K3248" s="94"/>
      <c r="L3248" s="94"/>
      <c r="M3248" s="94"/>
      <c r="N3248" s="94"/>
      <c r="O3248" s="94"/>
      <c r="P3248" s="94"/>
      <c r="Q3248" s="94"/>
      <c r="R3248" s="95"/>
    </row>
    <row r="3249" s="2" customFormat="1" ht="9.95" customHeight="1"/>
    <row r="3250" s="1" customFormat="1" ht="5.1" customHeight="1" spans="1:18">
      <c r="A3250" s="4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  <c r="O3250" s="5"/>
      <c r="P3250" s="5"/>
      <c r="Q3250" s="5"/>
      <c r="R3250" s="6"/>
    </row>
    <row r="3251" s="1" customFormat="1" ht="15" customHeight="1" spans="1:18">
      <c r="A3251" s="7"/>
      <c r="B3251" s="8"/>
      <c r="C3251" s="9"/>
      <c r="D3251" s="9"/>
      <c r="E3251" s="9"/>
      <c r="F3251" s="9"/>
      <c r="G3251" s="9"/>
      <c r="H3251" s="9"/>
      <c r="I3251" s="9"/>
      <c r="J3251" s="9"/>
      <c r="K3251" s="9"/>
      <c r="L3251" s="9"/>
      <c r="M3251" s="9"/>
      <c r="N3251" s="9"/>
      <c r="O3251" s="9"/>
      <c r="P3251" s="9"/>
      <c r="Q3251" s="10"/>
      <c r="R3251" s="11"/>
    </row>
    <row r="3252" s="1" customFormat="1" ht="21.95" customHeight="1" spans="1:18">
      <c r="A3252" s="7"/>
      <c r="B3252" s="12"/>
      <c r="C3252" s="13" t="s">
        <v>7</v>
      </c>
      <c r="D3252" s="13"/>
      <c r="E3252" s="13"/>
      <c r="F3252" s="13"/>
      <c r="G3252" s="13"/>
      <c r="H3252" s="13"/>
      <c r="I3252" s="13"/>
      <c r="J3252" s="13"/>
      <c r="K3252" s="13"/>
      <c r="L3252" s="13"/>
      <c r="M3252" s="13"/>
      <c r="N3252" s="13"/>
      <c r="O3252" s="13"/>
      <c r="P3252" s="13"/>
      <c r="Q3252" s="14"/>
      <c r="R3252" s="11"/>
    </row>
    <row r="3253" s="1" customFormat="1" ht="21.95" customHeight="1" spans="1:18">
      <c r="A3253" s="7"/>
      <c r="B3253" s="1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14"/>
      <c r="R3253" s="11"/>
    </row>
    <row r="3254" s="1" customFormat="1" ht="21.95" customHeight="1" spans="1:18">
      <c r="A3254" s="7"/>
      <c r="B3254" s="12"/>
      <c r="C3254" s="15" t="str">
        <f>"SESSION-"&amp;ENTRY!$D$11</f>
        <v>SESSION-2026-27</v>
      </c>
      <c r="D3254" s="15"/>
      <c r="E3254" s="15"/>
      <c r="F3254" s="15"/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4"/>
      <c r="R3254" s="11"/>
    </row>
    <row r="3255" s="1" customFormat="1" ht="21.95" customHeight="1" spans="1:18">
      <c r="A3255" s="7"/>
      <c r="B3255" s="12"/>
      <c r="C3255" s="2"/>
      <c r="D3255" s="2"/>
      <c r="E3255" s="2"/>
      <c r="F3255" s="16">
        <f>F3198+1</f>
        <v>58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14"/>
      <c r="R3255" s="11"/>
    </row>
    <row r="3256" s="1" customFormat="1" ht="21.95" customHeight="1" spans="1:18">
      <c r="A3256" s="7"/>
      <c r="B3256" s="12"/>
      <c r="C3256" s="17" t="s">
        <v>392</v>
      </c>
      <c r="D3256" s="17"/>
      <c r="E3256" s="17"/>
      <c r="F3256" s="18" t="str">
        <f>IF(F3255&gt;0,ENTRY!$D$6,"")</f>
        <v>MCP NITHARI NO 1 BOYS</v>
      </c>
      <c r="G3256" s="18"/>
      <c r="H3256" s="18"/>
      <c r="I3256" s="18"/>
      <c r="J3256" s="18"/>
      <c r="K3256" s="18"/>
      <c r="L3256" s="18"/>
      <c r="M3256" s="18"/>
      <c r="N3256" s="18"/>
      <c r="O3256" s="18"/>
      <c r="P3256" s="18"/>
      <c r="Q3256" s="19"/>
      <c r="R3256" s="11"/>
    </row>
    <row r="3257" s="1" customFormat="1" ht="21.95" customHeight="1" spans="1:18">
      <c r="A3257" s="7"/>
      <c r="B3257" s="12"/>
      <c r="C3257" s="17" t="s">
        <v>393</v>
      </c>
      <c r="D3257" s="17"/>
      <c r="E3257" s="17"/>
      <c r="F3257" s="18">
        <f>IF(F3255&gt;0,ENTRY!$D$7,"")</f>
        <v>0</v>
      </c>
      <c r="G3257" s="18"/>
      <c r="H3257" s="20" t="s">
        <v>702</v>
      </c>
      <c r="I3257" s="20"/>
      <c r="J3257" s="21">
        <f>IF(F3255&gt;0,ENTRY!$D$10,"")</f>
        <v>40</v>
      </c>
      <c r="K3257" s="20" t="s">
        <v>703</v>
      </c>
      <c r="L3257" s="22" t="str">
        <f>IF(F3255&gt;0,ENTRY!$D$5,"")</f>
        <v>ROHINI ZONE</v>
      </c>
      <c r="M3257" s="22"/>
      <c r="N3257" s="22"/>
      <c r="O3257" s="22"/>
      <c r="P3257" s="22"/>
      <c r="Q3257" s="19"/>
      <c r="R3257" s="11"/>
    </row>
    <row r="3258" s="1" customFormat="1" ht="21.95" customHeight="1" spans="1:18">
      <c r="A3258" s="7"/>
      <c r="B3258" s="12"/>
      <c r="C3258" s="17" t="s">
        <v>706</v>
      </c>
      <c r="D3258" s="17"/>
      <c r="E3258" s="17"/>
      <c r="F3258" s="23">
        <f>IFERROR(VLOOKUP(F3255,STUDENT!$A$2:$BP$101,5,0),"")</f>
        <v>0</v>
      </c>
      <c r="G3258" s="23"/>
      <c r="H3258" s="23"/>
      <c r="I3258" s="23"/>
      <c r="J3258" s="23"/>
      <c r="K3258" s="23"/>
      <c r="L3258" s="20" t="s">
        <v>707</v>
      </c>
      <c r="M3258" s="20"/>
      <c r="N3258" s="24" t="str">
        <f>IF(F3255&gt;0,ENTRY!$D$20&amp;"-"&amp;ENTRY!$D$21,"")</f>
        <v>III-A</v>
      </c>
      <c r="O3258" s="24"/>
      <c r="P3258" s="24"/>
      <c r="Q3258" s="19"/>
      <c r="R3258" s="11"/>
    </row>
    <row r="3259" s="1" customFormat="1" ht="21.95" customHeight="1" spans="1:18">
      <c r="A3259" s="7"/>
      <c r="B3259" s="12"/>
      <c r="C3259" s="17" t="s">
        <v>708</v>
      </c>
      <c r="D3259" s="17"/>
      <c r="E3259" s="17"/>
      <c r="F3259" s="25">
        <f>IFERROR(VLOOKUP(F3255,STUDENT!$A$2:$BP$101,6,0),"")</f>
        <v>0</v>
      </c>
      <c r="G3259" s="25"/>
      <c r="H3259" s="26" t="s">
        <v>709</v>
      </c>
      <c r="I3259" s="27" t="str">
        <f>IFERROR(VLOOKUP(F3255,STUDENT!$A$2:$BP$101,59,0),"")</f>
        <v/>
      </c>
      <c r="J3259" s="27"/>
      <c r="K3259" s="20" t="s">
        <v>710</v>
      </c>
      <c r="L3259" s="20"/>
      <c r="M3259" s="28">
        <f>IFERROR(VLOOKUP(F3255,STUDENT!$A$2:$BP$101,20,0),"")</f>
        <v>0</v>
      </c>
      <c r="N3259" s="28"/>
      <c r="O3259" s="28"/>
      <c r="P3259" s="28"/>
      <c r="Q3259" s="19"/>
      <c r="R3259" s="11"/>
    </row>
    <row r="3260" s="1" customFormat="1" ht="21.95" customHeight="1" spans="1:18">
      <c r="A3260" s="7"/>
      <c r="B3260" s="12"/>
      <c r="C3260" s="17" t="s">
        <v>711</v>
      </c>
      <c r="D3260" s="17"/>
      <c r="E3260" s="17"/>
      <c r="F3260" s="23">
        <f>IFERROR(VLOOKUP(F3255,STUDENT!$A$2:$BP$101,9,0),"")</f>
        <v>0</v>
      </c>
      <c r="G3260" s="23"/>
      <c r="H3260" s="23"/>
      <c r="I3260" s="23"/>
      <c r="J3260" s="17" t="s">
        <v>620</v>
      </c>
      <c r="K3260" s="17"/>
      <c r="L3260" s="23">
        <f>IFERROR(VLOOKUP(F3255,STUDENT!$A$2:$BP$101,8,0),"")</f>
        <v>0</v>
      </c>
      <c r="M3260" s="23"/>
      <c r="N3260" s="23"/>
      <c r="O3260" s="23"/>
      <c r="P3260" s="23"/>
      <c r="Q3260" s="19"/>
      <c r="R3260" s="11"/>
    </row>
    <row r="3261" s="1" customFormat="1" ht="21.95" customHeight="1" spans="1:18">
      <c r="A3261" s="7"/>
      <c r="B3261" s="12"/>
      <c r="C3261" s="17" t="s">
        <v>712</v>
      </c>
      <c r="D3261" s="17"/>
      <c r="E3261" s="17"/>
      <c r="F3261" s="23">
        <f>IFERROR(VLOOKUP(F3255,STUDENT!$A$2:$BP$101,22,0),"")</f>
        <v>0</v>
      </c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19"/>
      <c r="R3261" s="11"/>
    </row>
    <row r="3262" s="1" customFormat="1" ht="9.95" customHeight="1" spans="1:18">
      <c r="A3262" s="7"/>
      <c r="B3262" s="12"/>
      <c r="C3262" s="29"/>
      <c r="D3262" s="29"/>
      <c r="E3262" s="29"/>
      <c r="F3262" s="29"/>
      <c r="G3262" s="29"/>
      <c r="H3262" s="29"/>
      <c r="I3262" s="29"/>
      <c r="J3262" s="29"/>
      <c r="K3262" s="29"/>
      <c r="L3262" s="29"/>
      <c r="M3262" s="29"/>
      <c r="N3262" s="29"/>
      <c r="O3262" s="29"/>
      <c r="P3262" s="29"/>
      <c r="Q3262" s="19"/>
      <c r="R3262" s="11"/>
    </row>
    <row r="3263" s="1" customFormat="1" ht="9.95" customHeight="1" spans="1:18">
      <c r="A3263" s="7"/>
      <c r="B3263" s="12"/>
      <c r="C3263" s="30"/>
      <c r="D3263" s="31"/>
      <c r="E3263" s="31"/>
      <c r="F3263" s="31"/>
      <c r="G3263" s="31"/>
      <c r="H3263" s="31"/>
      <c r="I3263" s="31"/>
      <c r="J3263" s="31"/>
      <c r="K3263" s="31"/>
      <c r="L3263" s="31"/>
      <c r="M3263" s="31"/>
      <c r="N3263" s="31"/>
      <c r="O3263" s="31"/>
      <c r="P3263" s="32"/>
      <c r="Q3263" s="19"/>
      <c r="R3263" s="11"/>
    </row>
    <row r="3264" s="1" customFormat="1" ht="21.95" customHeight="1" spans="1:18">
      <c r="A3264" s="7"/>
      <c r="B3264" s="12"/>
      <c r="C3264" s="33"/>
      <c r="D3264" s="34" t="s">
        <v>713</v>
      </c>
      <c r="E3264" s="20" t="s">
        <v>714</v>
      </c>
      <c r="F3264" s="35" t="str">
        <f>"Level - "&amp;IFERROR(VLOOKUP(F3255,FLN!$A$4:$K$103,9,0),"")</f>
        <v>Level - </v>
      </c>
      <c r="G3264" s="36"/>
      <c r="H3264" s="37" t="s">
        <v>715</v>
      </c>
      <c r="I3264" s="20"/>
      <c r="J3264" s="35" t="str">
        <f>"Level - "&amp;IFERROR(VLOOKUP(F3255,FLN!$A$4:$K$103,11,0),"")</f>
        <v>Level - </v>
      </c>
      <c r="K3264" s="36"/>
      <c r="L3264" s="37" t="s">
        <v>408</v>
      </c>
      <c r="M3264" s="20"/>
      <c r="N3264" s="35" t="str">
        <f>"Level - "&amp;IFERROR(VLOOKUP(F3255,FLN!$A$4:$K$103,10,0),"")</f>
        <v>Level - </v>
      </c>
      <c r="O3264" s="36"/>
      <c r="P3264" s="19"/>
      <c r="Q3264" s="19"/>
      <c r="R3264" s="11"/>
    </row>
    <row r="3265" s="1" customFormat="1" ht="21.95" customHeight="1" spans="1:18">
      <c r="A3265" s="7"/>
      <c r="B3265" s="12"/>
      <c r="C3265" s="33"/>
      <c r="D3265" s="38"/>
      <c r="E3265" s="20" t="s">
        <v>716</v>
      </c>
      <c r="F3265" s="18" t="str">
        <f ca="1">IF(L3279&gt;197,"PERFORMED WELL","")</f>
        <v/>
      </c>
      <c r="G3265" s="18"/>
      <c r="H3265" s="18"/>
      <c r="I3265" s="18"/>
      <c r="J3265" s="18"/>
      <c r="K3265" s="18"/>
      <c r="L3265" s="18"/>
      <c r="M3265" s="18"/>
      <c r="N3265" s="18"/>
      <c r="O3265" s="18"/>
      <c r="P3265" s="19"/>
      <c r="Q3265" s="19"/>
      <c r="R3265" s="11"/>
    </row>
    <row r="3266" s="1" customFormat="1" ht="9.95" customHeight="1" spans="1:18">
      <c r="A3266" s="7"/>
      <c r="B3266" s="12"/>
      <c r="C3266" s="39"/>
      <c r="D3266" s="40"/>
      <c r="E3266" s="40"/>
      <c r="F3266" s="40"/>
      <c r="G3266" s="40"/>
      <c r="H3266" s="40"/>
      <c r="I3266" s="40"/>
      <c r="J3266" s="40"/>
      <c r="K3266" s="40"/>
      <c r="L3266" s="40"/>
      <c r="M3266" s="40"/>
      <c r="N3266" s="40"/>
      <c r="O3266" s="40"/>
      <c r="P3266" s="41"/>
      <c r="Q3266" s="19"/>
      <c r="R3266" s="11"/>
    </row>
    <row r="3267" s="1" customFormat="1" ht="9.95" customHeight="1" spans="1:18">
      <c r="A3267" s="7"/>
      <c r="B3267" s="12"/>
      <c r="C3267" s="29"/>
      <c r="D3267" s="29"/>
      <c r="E3267" s="29"/>
      <c r="F3267" s="29"/>
      <c r="G3267" s="29"/>
      <c r="H3267" s="29"/>
      <c r="I3267" s="29"/>
      <c r="J3267" s="29"/>
      <c r="K3267" s="29"/>
      <c r="L3267" s="29"/>
      <c r="M3267" s="29"/>
      <c r="N3267" s="29"/>
      <c r="O3267" s="29"/>
      <c r="P3267" s="29"/>
      <c r="Q3267" s="19"/>
      <c r="R3267" s="11"/>
    </row>
    <row r="3268" s="1" customFormat="1" ht="9.95" customHeight="1" spans="1:18">
      <c r="A3268" s="7"/>
      <c r="B3268" s="12"/>
      <c r="C3268" s="30"/>
      <c r="D3268" s="31"/>
      <c r="E3268" s="31"/>
      <c r="F3268" s="31"/>
      <c r="G3268" s="31"/>
      <c r="H3268" s="31"/>
      <c r="I3268" s="31"/>
      <c r="J3268" s="31"/>
      <c r="K3268" s="31"/>
      <c r="L3268" s="31"/>
      <c r="M3268" s="31"/>
      <c r="N3268" s="31"/>
      <c r="O3268" s="31"/>
      <c r="P3268" s="32"/>
      <c r="Q3268" s="19"/>
      <c r="R3268" s="11"/>
    </row>
    <row r="3269" s="1" customFormat="1" ht="21.95" customHeight="1" spans="1:18">
      <c r="A3269" s="7"/>
      <c r="B3269" s="12"/>
      <c r="C3269" s="33"/>
      <c r="D3269" s="35"/>
      <c r="E3269" s="24"/>
      <c r="F3269" s="42" t="s">
        <v>717</v>
      </c>
      <c r="G3269" s="42"/>
      <c r="H3269" s="42"/>
      <c r="I3269" s="42"/>
      <c r="J3269" s="42"/>
      <c r="K3269" s="42"/>
      <c r="L3269" s="43"/>
      <c r="M3269" s="44"/>
      <c r="N3269" s="29"/>
      <c r="O3269" s="29"/>
      <c r="P3269" s="19"/>
      <c r="Q3269" s="19"/>
      <c r="R3269" s="11"/>
    </row>
    <row r="3270" s="1" customFormat="1" ht="21.95" customHeight="1" spans="1:18">
      <c r="A3270" s="7"/>
      <c r="B3270" s="12"/>
      <c r="C3270" s="33"/>
      <c r="D3270" s="45"/>
      <c r="E3270" s="46"/>
      <c r="F3270" s="47" t="s">
        <v>541</v>
      </c>
      <c r="G3270" s="47" t="s">
        <v>542</v>
      </c>
      <c r="H3270" s="47" t="s">
        <v>543</v>
      </c>
      <c r="I3270" s="47" t="s">
        <v>544</v>
      </c>
      <c r="J3270" s="47" t="s">
        <v>561</v>
      </c>
      <c r="K3270" s="48" t="s">
        <v>750</v>
      </c>
      <c r="L3270" s="47" t="s">
        <v>382</v>
      </c>
      <c r="M3270" s="49" t="s">
        <v>546</v>
      </c>
      <c r="N3270" s="29"/>
      <c r="O3270" s="29"/>
      <c r="P3270" s="19"/>
      <c r="Q3270" s="19"/>
      <c r="R3270" s="11"/>
    </row>
    <row r="3271" s="1" customFormat="1" ht="21.95" customHeight="1" spans="1:18">
      <c r="A3271" s="7"/>
      <c r="B3271" s="12"/>
      <c r="C3271" s="33"/>
      <c r="D3271" s="45" t="s">
        <v>652</v>
      </c>
      <c r="E3271" s="46"/>
      <c r="F3271" s="50">
        <v>10</v>
      </c>
      <c r="G3271" s="50">
        <v>10</v>
      </c>
      <c r="H3271" s="50">
        <v>10</v>
      </c>
      <c r="I3271" s="50">
        <v>10</v>
      </c>
      <c r="J3271" s="50">
        <v>60</v>
      </c>
      <c r="K3271" s="51"/>
      <c r="L3271" s="50">
        <v>100</v>
      </c>
      <c r="M3271" s="49"/>
      <c r="N3271" s="29"/>
      <c r="O3271" s="29"/>
      <c r="P3271" s="19"/>
      <c r="Q3271" s="19"/>
      <c r="R3271" s="11"/>
    </row>
    <row r="3272" s="1" customFormat="1" ht="21.95" customHeight="1" spans="1:18">
      <c r="A3272" s="7"/>
      <c r="B3272" s="12"/>
      <c r="C3272" s="33"/>
      <c r="D3272" s="52" t="s">
        <v>751</v>
      </c>
      <c r="E3272" s="53"/>
      <c r="F3272" s="54" t="str">
        <f ca="1">IFERROR(VLOOKUP(F3255,'RR-3.1-5TH'!$A$12:'RR-3.1-5TH'!$BN$111,9,0),"")</f>
        <v/>
      </c>
      <c r="G3272" s="54" t="str">
        <f ca="1">IFERROR(VLOOKUP(F3255,'RR-3.1-5TH'!$A$12:'RR-3.1-5TH'!$BN$111,10,0),"")</f>
        <v/>
      </c>
      <c r="H3272" s="54" t="str">
        <f ca="1">IFERROR(VLOOKUP(F3255,'RR-3.1-5TH'!$A$12:'RR-3.1-5TH'!$BN$111,11,0),"")</f>
        <v/>
      </c>
      <c r="I3272" s="54" t="str">
        <f ca="1">IFERROR(VLOOKUP(F3255,'RR-3.1-5TH'!$A$12:'RR-3.1-5TH'!$BN$111,12,0),"")</f>
        <v/>
      </c>
      <c r="J3272" s="54" t="str">
        <f ca="1">IFERROR(VLOOKUP(F3255,'RR-3.1-5TH'!$A$12:'RR-3.1-5TH'!$BN$111,13,0),"")</f>
        <v/>
      </c>
      <c r="K3272" s="54" t="str">
        <f ca="1">IFERROR(VLOOKUP(F3255,'RR-3.1-5TH'!$A$12:'RR-3.1-5TH'!$BN$111,14,0),"")</f>
        <v/>
      </c>
      <c r="L3272" s="55">
        <f ca="1" t="shared" ref="L3272:L3277" si="171">SUM(F3272,G3272,H3272,I3272,J3272,K3272)</f>
        <v>0</v>
      </c>
      <c r="M3272" s="56" t="str">
        <f ca="1">IF(F3255&gt;ENTRY!$D$24,"",IF(L3272=0,"Ab",IF(L3272&gt;80,"A",IF(L3272&gt;60,"B",IF(L3272&gt;44,"C",IF(L3272&gt;=33,"D",IF(L3272&lt;=32,"E","")))))))</f>
        <v/>
      </c>
      <c r="N3272" s="57" t="s">
        <v>729</v>
      </c>
      <c r="O3272" s="58"/>
      <c r="P3272" s="59"/>
      <c r="Q3272" s="19"/>
      <c r="R3272" s="11"/>
    </row>
    <row r="3273" s="1" customFormat="1" ht="21.95" customHeight="1" spans="1:18">
      <c r="A3273" s="7"/>
      <c r="B3273" s="12"/>
      <c r="C3273" s="33"/>
      <c r="D3273" s="52" t="s">
        <v>513</v>
      </c>
      <c r="E3273" s="53"/>
      <c r="F3273" s="54" t="str">
        <f ca="1">IFERROR(VLOOKUP(F3255,'RR-3.1-5TH'!$A$12:'RR-3.1-5TH'!$BN$111,17,0),"")</f>
        <v/>
      </c>
      <c r="G3273" s="54" t="str">
        <f ca="1">IFERROR(VLOOKUP(F3255,'RR-3.1-5TH'!$A$12:'RR-3.1-5TH'!$BN$111,18,0),"")</f>
        <v/>
      </c>
      <c r="H3273" s="54" t="str">
        <f ca="1">IFERROR(VLOOKUP(F3255,'RR-3.1-5TH'!$A$12:'RR-3.1-5TH'!$BN$111,19,0),"")</f>
        <v/>
      </c>
      <c r="I3273" s="54" t="str">
        <f ca="1">IFERROR(VLOOKUP(F3255,'RR-3.1-5TH'!$A$12:'RR-3.1-5TH'!$BN$111,20,0),"")</f>
        <v/>
      </c>
      <c r="J3273" s="54" t="str">
        <f ca="1">IFERROR(VLOOKUP(F3255,'RR-3.1-5TH'!$A$12:'RR-3.1-5TH'!$BN$111,21,0),"")</f>
        <v/>
      </c>
      <c r="K3273" s="54" t="str">
        <f ca="1">IFERROR(VLOOKUP(F3255,'RR-3.1-5TH'!$A$12:'RR-3.1-5TH'!$BN$111,22,0),"")</f>
        <v/>
      </c>
      <c r="L3273" s="55">
        <f ca="1" t="shared" si="171"/>
        <v>0</v>
      </c>
      <c r="M3273" s="56" t="str">
        <f ca="1">IF(F3255&gt;ENTRY!$D$24,"",IF(L3273=0,"Ab",IF(L3273&gt;80,"A",IF(L3273&gt;60,"B",IF(L3273&gt;44,"C",IF(L3273&gt;=33,"D",IF(L3273&lt;=32,"E","")))))))</f>
        <v/>
      </c>
      <c r="N3273" s="58"/>
      <c r="O3273" s="58"/>
      <c r="P3273" s="59"/>
      <c r="Q3273" s="19"/>
      <c r="R3273" s="11"/>
    </row>
    <row r="3274" s="1" customFormat="1" ht="21.95" customHeight="1" spans="1:18">
      <c r="A3274" s="7"/>
      <c r="B3274" s="12"/>
      <c r="C3274" s="33"/>
      <c r="D3274" s="52" t="s">
        <v>718</v>
      </c>
      <c r="E3274" s="53"/>
      <c r="F3274" s="54" t="str">
        <f ca="1">IFERROR(VLOOKUP(F3255,'RR-3.1-5TH'!$A$12:'RR-3.1-5TH'!$BN$111,25,0),"")</f>
        <v/>
      </c>
      <c r="G3274" s="54" t="str">
        <f ca="1">IFERROR(VLOOKUP(F3255,'RR-3.1-5TH'!$A$12:'RR-3.1-5TH'!$BN$111,26,0),"")</f>
        <v/>
      </c>
      <c r="H3274" s="54" t="str">
        <f ca="1">IFERROR(VLOOKUP(F3255,'RR-3.1-5TH'!$A$12:'RR-3.1-5TH'!$BN$111,27,0),"")</f>
        <v/>
      </c>
      <c r="I3274" s="54" t="str">
        <f ca="1">IFERROR(VLOOKUP(F3255,'RR-3.1-5TH'!$A$12:'RR-3.1-5TH'!$BN$111,28,0),"")</f>
        <v/>
      </c>
      <c r="J3274" s="54" t="str">
        <f ca="1">IFERROR(VLOOKUP(F3255,'RR-3.1-5TH'!$A$12:'RR-3.1-5TH'!$BN$111,29,0),"")</f>
        <v/>
      </c>
      <c r="K3274" s="54" t="str">
        <f ca="1">IFERROR(VLOOKUP(F3255,'RR-3.1-5TH'!$A$12:'RR-3.1-5TH'!$BN$111,30,0),"")</f>
        <v/>
      </c>
      <c r="L3274" s="55">
        <f ca="1" t="shared" si="171"/>
        <v>0</v>
      </c>
      <c r="M3274" s="56" t="str">
        <f ca="1">IF(F3255&gt;ENTRY!$D$24,"",IF(L3274=0,"Ab",IF(L3274&gt;80,"A",IF(L3274&gt;60,"B",IF(L3274&gt;44,"C",IF(L3274&gt;=33,"D",IF(L3274&lt;=32,"E","")))))))</f>
        <v/>
      </c>
      <c r="N3274" s="29"/>
      <c r="O3274" s="29"/>
      <c r="P3274" s="19"/>
      <c r="Q3274" s="19"/>
      <c r="R3274" s="11"/>
    </row>
    <row r="3275" s="1" customFormat="1" ht="21.95" customHeight="1" spans="1:18">
      <c r="A3275" s="7"/>
      <c r="B3275" s="12"/>
      <c r="C3275" s="33"/>
      <c r="D3275" s="52" t="s">
        <v>719</v>
      </c>
      <c r="E3275" s="53"/>
      <c r="F3275" s="54" t="str">
        <f ca="1">IFERROR(VLOOKUP(F3255,'RR-3.1-5TH'!$A$12:'RR-3.1-5TH'!$BN$111,33,0),"")</f>
        <v/>
      </c>
      <c r="G3275" s="54" t="str">
        <f ca="1">IFERROR(VLOOKUP(F3255,'RR-3.1-5TH'!$A$12:'RR-3.1-5TH'!$BN$111,34,0),"")</f>
        <v/>
      </c>
      <c r="H3275" s="54" t="str">
        <f ca="1">IFERROR(VLOOKUP(F3255,'RR-3.1-5TH'!$A$12:'RR-3.1-5TH'!$BN$111,35,0),"")</f>
        <v/>
      </c>
      <c r="I3275" s="54" t="str">
        <f ca="1">IFERROR(VLOOKUP(F3255,'RR-3.1-5TH'!$A$12:'RR-3.1-5TH'!$BN$111,36,0),"")</f>
        <v/>
      </c>
      <c r="J3275" s="54" t="str">
        <f ca="1">IFERROR(VLOOKUP(F3255,'RR-3.1-5TH'!$A$12:'RR-3.1-5TH'!$BN$111,37,0),"")</f>
        <v/>
      </c>
      <c r="K3275" s="54" t="str">
        <f ca="1">IFERROR(VLOOKUP(F3255,'RR-3.1-5TH'!$A$12:'RR-3.1-5TH'!$BN$111,38,0),"")</f>
        <v/>
      </c>
      <c r="L3275" s="55">
        <f ca="1" t="shared" si="171"/>
        <v>0</v>
      </c>
      <c r="M3275" s="56" t="str">
        <f ca="1">IF(F3255&gt;ENTRY!$D$24,"",IF(L3275=0,"Ab",IF(L3275&gt;80,"A",IF(L3275&gt;60,"B",IF(L3275&gt;44,"C",IF(L3275&gt;=33,"D",IF(L3275&lt;=32,"E","")))))))</f>
        <v/>
      </c>
      <c r="N3275" s="29"/>
      <c r="O3275" s="29"/>
      <c r="P3275" s="19"/>
      <c r="Q3275" s="19"/>
      <c r="R3275" s="11"/>
    </row>
    <row r="3276" s="1" customFormat="1" ht="21.95" customHeight="1" spans="1:18">
      <c r="A3276" s="7"/>
      <c r="B3276" s="12"/>
      <c r="C3276" s="33"/>
      <c r="D3276" s="52" t="s">
        <v>548</v>
      </c>
      <c r="E3276" s="53"/>
      <c r="F3276" s="54" t="str">
        <f ca="1">IFERROR(VLOOKUP(F3255,'RR-3.1-5TH'!$A$12:'RR-3.1-5TH'!$BN$111,41,0),"")</f>
        <v/>
      </c>
      <c r="G3276" s="54" t="str">
        <f ca="1">IFERROR(VLOOKUP(F3255,'RR-3.1-5TH'!$A$12:'RR-3.1-5TH'!$BN$111,42,0),"")</f>
        <v/>
      </c>
      <c r="H3276" s="54" t="str">
        <f ca="1">IFERROR(VLOOKUP(F3255,'RR-3.1-5TH'!$A$12:'RR-3.1-5TH'!$BN$111,43,0),"")</f>
        <v/>
      </c>
      <c r="I3276" s="54" t="str">
        <f ca="1">IFERROR(VLOOKUP(F3255,'RR-3.1-5TH'!$A$12:'RR-3.1-5TH'!$BN$111,44,0),"")</f>
        <v/>
      </c>
      <c r="J3276" s="54" t="str">
        <f ca="1">IFERROR(VLOOKUP(F3255,'RR-3.1-5TH'!$A$12:'RR-3.1-5TH'!$BN$111,45,0),"")</f>
        <v/>
      </c>
      <c r="K3276" s="54" t="str">
        <f ca="1">IFERROR(VLOOKUP(F3255,'RR-3.1-5TH'!$A$12:'RR-3.1-5TH'!$BN$111,46,0),"")</f>
        <v/>
      </c>
      <c r="L3276" s="55">
        <f ca="1" t="shared" si="171"/>
        <v>0</v>
      </c>
      <c r="M3276" s="56" t="str">
        <f ca="1">IF(F3255&gt;ENTRY!$D$24,"",IF(L3276=0,"Ab",IF(L3276&gt;80,"A",IF(L3276&gt;60,"B",IF(L3276&gt;44,"C",IF(L3276&gt;=33,"D",IF(L3276&lt;=32,"E","")))))))</f>
        <v/>
      </c>
      <c r="N3276" s="29"/>
      <c r="O3276" s="29"/>
      <c r="P3276" s="19"/>
      <c r="Q3276" s="19"/>
      <c r="R3276" s="11"/>
    </row>
    <row r="3277" s="1" customFormat="1" ht="21.95" customHeight="1" spans="1:18">
      <c r="A3277" s="7"/>
      <c r="B3277" s="12"/>
      <c r="C3277" s="33"/>
      <c r="D3277" s="52" t="s">
        <v>549</v>
      </c>
      <c r="E3277" s="53"/>
      <c r="F3277" s="54" t="str">
        <f ca="1">IFERROR(VLOOKUP(F3255,'RR-3.1-5TH'!$A$12:'RR-3.1-5TH'!$BN$111,49,0),"")</f>
        <v/>
      </c>
      <c r="G3277" s="54" t="str">
        <f ca="1">IFERROR(VLOOKUP(F3255,'RR-3.1-5TH'!$A$12:'RR-3.1-5TH'!$BN$111,50,0),"")</f>
        <v/>
      </c>
      <c r="H3277" s="54" t="str">
        <f ca="1">IFERROR(VLOOKUP(F3255,'RR-3.1-5TH'!$A$12:'RR-3.1-5TH'!$BN$111,51,0),"")</f>
        <v/>
      </c>
      <c r="I3277" s="54" t="str">
        <f ca="1">IFERROR(VLOOKUP(F3255,'RR-3.1-5TH'!$A$12:'RR-3.1-5TH'!$BN$111,52,0),"")</f>
        <v/>
      </c>
      <c r="J3277" s="54" t="str">
        <f ca="1">IFERROR(VLOOKUP(F3255,'RR-3.1-5TH'!$A$12:'RR-3.1-5TH'!$BN$111,53,0),"")</f>
        <v/>
      </c>
      <c r="K3277" s="54" t="str">
        <f ca="1">IFERROR(VLOOKUP(F3255,'RR-3.1-5TH'!$A$12:'RR-3.1-5TH'!$BN$111,54,0),"")</f>
        <v/>
      </c>
      <c r="L3277" s="55">
        <f ca="1" t="shared" si="171"/>
        <v>0</v>
      </c>
      <c r="M3277" s="56" t="str">
        <f ca="1">IF(F3255&gt;ENTRY!$D$24,"",IF(L3277=0,"Ab",IF(L3277&gt;80,"A",IF(L3277&gt;60,"B",IF(L3277&gt;44,"C",IF(L3277&gt;=33,"D",IF(L3277&lt;=32,"E","")))))))</f>
        <v/>
      </c>
      <c r="N3277" s="57" t="s">
        <v>752</v>
      </c>
      <c r="O3277" s="58"/>
      <c r="P3277" s="59"/>
      <c r="Q3277" s="19"/>
      <c r="R3277" s="11"/>
    </row>
    <row r="3278" s="1" customFormat="1" ht="21.95" customHeight="1" spans="1:18">
      <c r="A3278" s="7"/>
      <c r="B3278" s="12"/>
      <c r="C3278" s="33"/>
      <c r="D3278" s="52" t="s">
        <v>753</v>
      </c>
      <c r="E3278" s="53"/>
      <c r="F3278" s="60"/>
      <c r="G3278" s="54"/>
      <c r="H3278" s="54"/>
      <c r="I3278" s="54"/>
      <c r="J3278" s="54"/>
      <c r="K3278" s="54"/>
      <c r="L3278" s="55">
        <f t="shared" ref="L3278" si="172">SUM(G3278:K3278)</f>
        <v>0</v>
      </c>
      <c r="M3278" s="56" t="str">
        <f>IF(F3255&gt;ENTRY!$D$24,"",IF(L3278=0,"",IF(L3278&gt;79,"A",IF(L3278&gt;59,"B",IF(L3278&gt;44,"C",IF(L3278&gt;=33,"D",IF(L3278&lt;=32,"E","")))))))</f>
        <v/>
      </c>
      <c r="N3278" s="58"/>
      <c r="O3278" s="58"/>
      <c r="P3278" s="59"/>
      <c r="Q3278" s="19"/>
      <c r="R3278" s="11"/>
    </row>
    <row r="3279" s="1" customFormat="1" ht="21.95" customHeight="1" spans="1:18">
      <c r="A3279" s="7"/>
      <c r="B3279" s="12"/>
      <c r="C3279" s="33"/>
      <c r="D3279" s="45" t="s">
        <v>382</v>
      </c>
      <c r="E3279" s="46"/>
      <c r="F3279" s="54">
        <f ca="1" t="shared" ref="F3279:L3279" si="173">IFERROR(SUM(F3272:F3278),"")</f>
        <v>0</v>
      </c>
      <c r="G3279" s="54">
        <f ca="1" t="shared" si="173"/>
        <v>0</v>
      </c>
      <c r="H3279" s="54">
        <f ca="1" t="shared" si="173"/>
        <v>0</v>
      </c>
      <c r="I3279" s="54">
        <f ca="1" t="shared" si="173"/>
        <v>0</v>
      </c>
      <c r="J3279" s="54">
        <f ca="1" t="shared" si="173"/>
        <v>0</v>
      </c>
      <c r="K3279" s="54">
        <f ca="1" t="shared" si="173"/>
        <v>0</v>
      </c>
      <c r="L3279" s="55">
        <f ca="1" t="shared" si="173"/>
        <v>0</v>
      </c>
      <c r="M3279" s="61" t="str">
        <f ca="1">IF(F3255&gt;ENTRY!$D$24,"",IF(N3280="Ab","Ab",IF(N3280&gt;79.5,"A",IF(N3280&gt;59.5,"B",IF(N3280&gt;44.5,"C",IF(N3280&gt;=33,"D",IF(N3280&lt;33,"E","")))))))</f>
        <v/>
      </c>
      <c r="N3279" s="62"/>
      <c r="O3279" s="58"/>
      <c r="P3279" s="59"/>
      <c r="Q3279" s="19"/>
      <c r="R3279" s="11"/>
    </row>
    <row r="3280" s="1" customFormat="1" ht="21.95" customHeight="1" spans="1:18">
      <c r="A3280" s="7"/>
      <c r="B3280" s="12"/>
      <c r="C3280" s="33"/>
      <c r="D3280" s="63" t="s">
        <v>721</v>
      </c>
      <c r="E3280" s="63"/>
      <c r="F3280" s="63"/>
      <c r="G3280" s="63"/>
      <c r="H3280" s="63"/>
      <c r="I3280" s="63"/>
      <c r="J3280" s="63"/>
      <c r="K3280" s="63"/>
      <c r="L3280" s="63"/>
      <c r="M3280" s="63"/>
      <c r="N3280" s="64">
        <f ca="1">IF(L3279="Ab","Ab",L3279/6)</f>
        <v>0</v>
      </c>
      <c r="O3280" s="65"/>
      <c r="P3280" s="19"/>
      <c r="Q3280" s="19"/>
      <c r="R3280" s="11"/>
    </row>
    <row r="3281" s="1" customFormat="1" ht="21.95" customHeight="1" spans="1:19">
      <c r="A3281" s="7"/>
      <c r="B3281" s="12"/>
      <c r="C3281" s="33"/>
      <c r="D3281" s="29" t="s">
        <v>716</v>
      </c>
      <c r="E3281" s="18" t="str">
        <f>IFERROR(VLOOKUP(F3255,'1to4-2.1-RR'!$A$12:$BG$111,57,0),"")</f>
        <v/>
      </c>
      <c r="F3281" s="18"/>
      <c r="G3281" s="18"/>
      <c r="H3281" s="18"/>
      <c r="I3281" s="18"/>
      <c r="J3281" s="18"/>
      <c r="K3281" s="18"/>
      <c r="L3281" s="18"/>
      <c r="M3281" s="18"/>
      <c r="N3281" s="29"/>
      <c r="O3281" s="29"/>
      <c r="P3281" s="19"/>
      <c r="Q3281" s="19"/>
      <c r="R3281" s="11"/>
    </row>
    <row r="3282" s="1" customFormat="1" ht="9.95" customHeight="1" spans="1:19">
      <c r="A3282" s="7"/>
      <c r="B3282" s="12"/>
      <c r="C3282" s="33"/>
      <c r="D3282" s="29"/>
      <c r="E3282" s="29"/>
      <c r="F3282" s="29"/>
      <c r="G3282" s="29"/>
      <c r="H3282" s="29"/>
      <c r="I3282" s="29"/>
      <c r="J3282" s="29"/>
      <c r="K3282" s="29"/>
      <c r="L3282" s="29"/>
      <c r="M3282" s="29"/>
      <c r="N3282" s="29"/>
      <c r="O3282" s="29"/>
      <c r="P3282" s="19"/>
      <c r="Q3282" s="19"/>
      <c r="R3282" s="11"/>
    </row>
    <row r="3283" s="1" customFormat="1" ht="36" spans="1:19">
      <c r="A3283" s="7"/>
      <c r="B3283" s="12"/>
      <c r="C3283" s="33"/>
      <c r="D3283" s="66" t="s">
        <v>576</v>
      </c>
      <c r="E3283" s="67" t="s">
        <v>754</v>
      </c>
      <c r="F3283" s="47" t="str">
        <f>IF(F3255&gt;ENTRY!$D$24,"",IFERROR(VLOOKUP(F3255,PASHEET!$A$4:$CJ$103,88,0),""))</f>
        <v/>
      </c>
      <c r="G3283" s="67" t="s">
        <v>755</v>
      </c>
      <c r="H3283" s="47" t="str">
        <f>IF(F3255&gt;ENTRY!$D$24,"",IFERROR(VLOOKUP(F3255,PASHEET!$A$4:$CJ$103,87,0),""))</f>
        <v/>
      </c>
      <c r="I3283" s="68" t="s">
        <v>756</v>
      </c>
      <c r="J3283" s="69" t="str">
        <f>IF(F3255&gt;ENTRY!$D$24,"",IFERROR(IF(F3255&gt;0,H3283/F3283*100),""))</f>
        <v/>
      </c>
      <c r="K3283" s="60" t="s">
        <v>757</v>
      </c>
      <c r="L3283" s="70" t="str">
        <f ca="1">IF(F3255&gt;ENTRY!$D$24,"",IFERROR(L3279/600*100,""))</f>
        <v/>
      </c>
      <c r="M3283" s="47" t="str">
        <f ca="1">IF(F3255&gt;ENTRY!$D$24,"",IFERROR(L3279&amp;" / "&amp;"600",""))</f>
        <v/>
      </c>
      <c r="N3283" s="29"/>
      <c r="O3283" s="29"/>
      <c r="P3283" s="19"/>
      <c r="Q3283" s="19"/>
      <c r="R3283" s="11"/>
    </row>
    <row r="3284" s="1" customFormat="1" ht="9.95" customHeight="1" spans="1:19">
      <c r="A3284" s="7"/>
      <c r="B3284" s="12"/>
      <c r="C3284" s="39"/>
      <c r="D3284" s="40"/>
      <c r="E3284" s="40"/>
      <c r="F3284" s="40"/>
      <c r="G3284" s="40"/>
      <c r="H3284" s="40"/>
      <c r="I3284" s="40"/>
      <c r="J3284" s="40"/>
      <c r="K3284" s="40"/>
      <c r="L3284" s="40"/>
      <c r="M3284" s="40"/>
      <c r="N3284" s="40"/>
      <c r="O3284" s="40"/>
      <c r="P3284" s="41"/>
      <c r="Q3284" s="19"/>
      <c r="R3284" s="11"/>
    </row>
    <row r="3285" s="1" customFormat="1" ht="9.95" customHeight="1" spans="1:19">
      <c r="A3285" s="7"/>
      <c r="B3285" s="12"/>
      <c r="C3285" s="71"/>
      <c r="D3285" s="71"/>
      <c r="E3285" s="71"/>
      <c r="F3285" s="29"/>
      <c r="G3285" s="71"/>
      <c r="H3285" s="71"/>
      <c r="I3285" s="71"/>
      <c r="J3285" s="71"/>
      <c r="K3285" s="71"/>
      <c r="L3285" s="71"/>
      <c r="M3285" s="71"/>
      <c r="N3285" s="71"/>
      <c r="O3285" s="71"/>
      <c r="P3285" s="71"/>
      <c r="Q3285" s="19"/>
      <c r="R3285" s="11"/>
    </row>
    <row r="3286" s="1" customFormat="1" ht="9.95" customHeight="1" spans="1:19">
      <c r="A3286" s="7"/>
      <c r="B3286" s="12"/>
      <c r="C3286" s="29"/>
      <c r="D3286" s="29"/>
      <c r="E3286" s="29"/>
      <c r="F3286" s="72"/>
      <c r="G3286" s="29"/>
      <c r="H3286" s="29"/>
      <c r="I3286" s="29"/>
      <c r="J3286" s="29"/>
      <c r="K3286" s="29"/>
      <c r="L3286" s="29"/>
      <c r="M3286" s="29"/>
      <c r="N3286" s="29"/>
      <c r="O3286" s="29"/>
      <c r="P3286" s="29"/>
      <c r="Q3286" s="19"/>
      <c r="R3286" s="11"/>
    </row>
    <row r="3287" s="1" customFormat="1" ht="9.95" customHeight="1" spans="1:19">
      <c r="A3287" s="7"/>
      <c r="B3287" s="12"/>
      <c r="C3287" s="30"/>
      <c r="D3287" s="31"/>
      <c r="E3287" s="31"/>
      <c r="F3287" s="31"/>
      <c r="G3287" s="31"/>
      <c r="H3287" s="31"/>
      <c r="I3287" s="31"/>
      <c r="J3287" s="31"/>
      <c r="K3287" s="31"/>
      <c r="L3287" s="31"/>
      <c r="M3287" s="31"/>
      <c r="N3287" s="31"/>
      <c r="O3287" s="31"/>
      <c r="P3287" s="32"/>
      <c r="Q3287" s="19"/>
      <c r="R3287" s="11"/>
    </row>
    <row r="3288" s="1" customFormat="1" ht="21.95" customHeight="1" spans="1:19">
      <c r="A3288" s="7"/>
      <c r="B3288" s="12"/>
      <c r="C3288" s="73" t="s">
        <v>7</v>
      </c>
      <c r="D3288" s="13"/>
      <c r="E3288" s="13"/>
      <c r="F3288" s="13"/>
      <c r="G3288" s="13"/>
      <c r="H3288" s="13"/>
      <c r="I3288" s="13"/>
      <c r="J3288" s="13"/>
      <c r="K3288" s="13"/>
      <c r="L3288" s="13"/>
      <c r="M3288" s="13"/>
      <c r="N3288" s="13"/>
      <c r="O3288" s="13"/>
      <c r="P3288" s="74"/>
      <c r="Q3288" s="19"/>
      <c r="R3288" s="11"/>
      <c r="S3288" s="2"/>
    </row>
    <row r="3289" s="1" customFormat="1" ht="21.95" customHeight="1" spans="1:19">
      <c r="A3289" s="7"/>
      <c r="B3289" s="12"/>
      <c r="C3289" s="33"/>
      <c r="D3289" s="29"/>
      <c r="E3289" s="29"/>
      <c r="F3289" s="29"/>
      <c r="G3289" s="29"/>
      <c r="H3289" s="29"/>
      <c r="I3289" s="29"/>
      <c r="J3289" s="29"/>
      <c r="K3289" s="29"/>
      <c r="L3289" s="29"/>
      <c r="M3289" s="29"/>
      <c r="N3289" s="29"/>
      <c r="O3289" s="29"/>
      <c r="P3289" s="19"/>
      <c r="Q3289" s="19"/>
      <c r="R3289" s="11"/>
    </row>
    <row r="3290" s="1" customFormat="1" ht="21.95" customHeight="1" spans="1:19">
      <c r="A3290" s="7"/>
      <c r="B3290" s="12"/>
      <c r="C3290" s="75" t="str">
        <f>"SESSION-"&amp;ENTRY!$D$11</f>
        <v>SESSION-2026-27</v>
      </c>
      <c r="D3290" s="15"/>
      <c r="E3290" s="15"/>
      <c r="F3290" s="15"/>
      <c r="G3290" s="15"/>
      <c r="H3290" s="15"/>
      <c r="I3290" s="15"/>
      <c r="J3290" s="15"/>
      <c r="K3290" s="15"/>
      <c r="L3290" s="15"/>
      <c r="M3290" s="15"/>
      <c r="N3290" s="15"/>
      <c r="O3290" s="15"/>
      <c r="P3290" s="76"/>
      <c r="Q3290" s="19"/>
      <c r="R3290" s="11"/>
    </row>
    <row r="3291" s="1" customFormat="1" ht="18" customHeight="1" spans="1:19">
      <c r="A3291" s="7"/>
      <c r="B3291" s="12"/>
      <c r="C3291" s="33"/>
      <c r="D3291" s="29"/>
      <c r="E3291" s="29"/>
      <c r="F3291" s="29"/>
      <c r="G3291" s="29"/>
      <c r="H3291" s="29"/>
      <c r="I3291" s="29"/>
      <c r="J3291" s="29"/>
      <c r="K3291" s="29"/>
      <c r="L3291" s="29"/>
      <c r="M3291" s="29"/>
      <c r="N3291" s="29"/>
      <c r="O3291" s="29"/>
      <c r="P3291" s="19"/>
      <c r="Q3291" s="19"/>
      <c r="R3291" s="11"/>
    </row>
    <row r="3292" s="1" customFormat="1" ht="21.95" customHeight="1" spans="1:19">
      <c r="A3292" s="7"/>
      <c r="B3292" s="12"/>
      <c r="C3292" s="33"/>
      <c r="D3292" s="77" t="s">
        <v>758</v>
      </c>
      <c r="E3292" s="77"/>
      <c r="F3292" s="78" t="str">
        <f>IFERROR(PROPER(VLOOKUP(F3255,STUDENT!$A$2:$BP$101,5,0)),"")</f>
        <v/>
      </c>
      <c r="G3292" s="78"/>
      <c r="H3292" s="78"/>
      <c r="I3292" s="78"/>
      <c r="J3292" s="78"/>
      <c r="K3292" s="78"/>
      <c r="L3292" s="78"/>
      <c r="M3292" s="78"/>
      <c r="N3292" s="79" t="s">
        <v>759</v>
      </c>
      <c r="O3292" s="79"/>
      <c r="P3292" s="19"/>
      <c r="Q3292" s="19"/>
      <c r="R3292" s="11"/>
    </row>
    <row r="3293" s="1" customFormat="1" ht="21.95" customHeight="1" spans="1:19">
      <c r="A3293" s="7"/>
      <c r="B3293" s="12"/>
      <c r="C3293" s="33"/>
      <c r="D3293" s="80" t="s">
        <v>760</v>
      </c>
      <c r="E3293" s="81" t="str">
        <f>IFERROR(PROPER(VLOOKUP(F3255,STUDENT!$A$2:$BP$101,9,0)),"")</f>
        <v/>
      </c>
      <c r="F3293" s="81"/>
      <c r="G3293" s="81"/>
      <c r="H3293" s="80" t="s">
        <v>761</v>
      </c>
      <c r="I3293" s="82" t="str">
        <f>IFERROR(PROPER(VLOOKUP(F3255,STUDENT!$A$2:$BP$101,8,0)),"")</f>
        <v/>
      </c>
      <c r="J3293" s="82"/>
      <c r="K3293" s="82"/>
      <c r="L3293" s="82"/>
      <c r="M3293" s="80" t="s">
        <v>762</v>
      </c>
      <c r="N3293" s="83" t="str">
        <f>IFERROR(VLOOKUP(F3255,STUDENT!$A$2:$BP$101,59,0),"")</f>
        <v/>
      </c>
      <c r="O3293" s="83"/>
      <c r="P3293" s="19"/>
      <c r="Q3293" s="19"/>
      <c r="R3293" s="11"/>
    </row>
    <row r="3294" s="1" customFormat="1" ht="21.95" customHeight="1" spans="1:19">
      <c r="A3294" s="7"/>
      <c r="B3294" s="12"/>
      <c r="C3294" s="33"/>
      <c r="D3294" s="77" t="str">
        <f>"has    completed     his  /  her     primary     level     education    in    the    year    "&amp;RIGHT(ENTRY!$D3260,4)&amp;"    from    ( School    Name )"</f>
        <v>has    completed     his  /  her     primary     level     education    in    the    year        from    ( School    Name )</v>
      </c>
      <c r="E3294" s="77"/>
      <c r="F3294" s="77"/>
      <c r="G3294" s="77"/>
      <c r="H3294" s="77"/>
      <c r="I3294" s="77"/>
      <c r="J3294" s="77"/>
      <c r="K3294" s="77"/>
      <c r="L3294" s="77"/>
      <c r="M3294" s="77"/>
      <c r="N3294" s="77"/>
      <c r="O3294" s="77"/>
      <c r="P3294" s="19"/>
      <c r="Q3294" s="19"/>
      <c r="R3294" s="11"/>
    </row>
    <row r="3295" s="1" customFormat="1" ht="21.95" customHeight="1" spans="1:19">
      <c r="A3295" s="7"/>
      <c r="B3295" s="12"/>
      <c r="C3295" s="33"/>
      <c r="D3295" s="81" t="str">
        <f>IF(F3255&gt;0,ENTRY!$D$6,"")</f>
        <v>MCP NITHARI NO 1 BOYS</v>
      </c>
      <c r="E3295" s="81"/>
      <c r="F3295" s="81"/>
      <c r="G3295" s="81"/>
      <c r="H3295" s="81"/>
      <c r="I3295" s="81"/>
      <c r="J3295" s="81"/>
      <c r="K3295" s="81"/>
      <c r="L3295" s="81"/>
      <c r="M3295" s="80" t="s">
        <v>763</v>
      </c>
      <c r="N3295" s="84">
        <f>IF(F3255&gt;0,ENTRY!$D$7,"")</f>
        <v>0</v>
      </c>
      <c r="O3295" s="84"/>
      <c r="P3295" s="85" t="s">
        <v>727</v>
      </c>
      <c r="Q3295" s="19"/>
      <c r="R3295" s="11"/>
    </row>
    <row r="3296" s="1" customFormat="1" ht="21.95" customHeight="1" spans="1:19">
      <c r="A3296" s="7"/>
      <c r="B3296" s="12"/>
      <c r="C3296" s="33"/>
      <c r="D3296" s="29"/>
      <c r="E3296" s="29"/>
      <c r="F3296" s="29"/>
      <c r="G3296" s="29"/>
      <c r="H3296" s="29"/>
      <c r="I3296" s="29"/>
      <c r="J3296" s="29"/>
      <c r="K3296" s="29"/>
      <c r="L3296" s="29"/>
      <c r="M3296" s="29"/>
      <c r="N3296" s="29"/>
      <c r="O3296" s="29"/>
      <c r="P3296" s="19"/>
      <c r="Q3296" s="19"/>
      <c r="R3296" s="11"/>
    </row>
    <row r="3297" s="1" customFormat="1" ht="21.95" customHeight="1" spans="1:18">
      <c r="A3297" s="7"/>
      <c r="B3297" s="12"/>
      <c r="C3297" s="33"/>
      <c r="D3297" s="29"/>
      <c r="E3297" s="29"/>
      <c r="F3297" s="29"/>
      <c r="G3297" s="29"/>
      <c r="H3297" s="29"/>
      <c r="I3297" s="29"/>
      <c r="J3297" s="29"/>
      <c r="K3297" s="29"/>
      <c r="L3297" s="29"/>
      <c r="M3297" s="29"/>
      <c r="N3297" s="29"/>
      <c r="O3297" s="29"/>
      <c r="P3297" s="19"/>
      <c r="Q3297" s="19"/>
      <c r="R3297" s="11"/>
    </row>
    <row r="3298" s="1" customFormat="1" ht="21.95" customHeight="1" spans="1:18">
      <c r="A3298" s="7"/>
      <c r="B3298" s="12"/>
      <c r="C3298" s="33"/>
      <c r="D3298" s="29"/>
      <c r="E3298" s="29"/>
      <c r="F3298" s="29"/>
      <c r="G3298" s="29"/>
      <c r="H3298" s="29"/>
      <c r="I3298" s="29"/>
      <c r="J3298" s="29"/>
      <c r="K3298" s="29"/>
      <c r="L3298" s="29"/>
      <c r="M3298" s="29"/>
      <c r="N3298" s="29"/>
      <c r="O3298" s="29"/>
      <c r="P3298" s="19"/>
      <c r="Q3298" s="19"/>
      <c r="R3298" s="11"/>
    </row>
    <row r="3299" s="1" customFormat="1" ht="21.95" customHeight="1" spans="1:18">
      <c r="A3299" s="7"/>
      <c r="B3299" s="12"/>
      <c r="C3299" s="33"/>
      <c r="D3299" s="29"/>
      <c r="E3299" s="29"/>
      <c r="F3299" s="29"/>
      <c r="G3299" s="29"/>
      <c r="H3299" s="29"/>
      <c r="I3299" s="29"/>
      <c r="J3299" s="29"/>
      <c r="K3299" s="29"/>
      <c r="L3299" s="29"/>
      <c r="M3299" s="29"/>
      <c r="N3299" s="29"/>
      <c r="O3299" s="29"/>
      <c r="P3299" s="19"/>
      <c r="Q3299" s="19"/>
      <c r="R3299" s="11"/>
    </row>
    <row r="3300" s="1" customFormat="1" ht="21.95" customHeight="1" spans="1:18">
      <c r="A3300" s="7"/>
      <c r="B3300" s="12"/>
      <c r="C3300" s="33"/>
      <c r="D3300" s="29"/>
      <c r="E3300" s="29"/>
      <c r="F3300" s="29"/>
      <c r="G3300" s="29"/>
      <c r="H3300" s="29"/>
      <c r="I3300" s="29"/>
      <c r="J3300" s="29"/>
      <c r="K3300" s="29"/>
      <c r="L3300" s="29"/>
      <c r="M3300" s="29"/>
      <c r="N3300" s="29"/>
      <c r="O3300" s="29"/>
      <c r="P3300" s="19"/>
      <c r="Q3300" s="19"/>
      <c r="R3300" s="11"/>
    </row>
    <row r="3301" s="1" customFormat="1" ht="21.95" customHeight="1" spans="1:18">
      <c r="A3301" s="7"/>
      <c r="B3301" s="12"/>
      <c r="C3301" s="33"/>
      <c r="D3301" s="80" t="s">
        <v>728</v>
      </c>
      <c r="E3301" s="86">
        <f>ENTRY!$D$27</f>
        <v>46102</v>
      </c>
      <c r="F3301" s="86"/>
      <c r="G3301" s="29"/>
      <c r="H3301" s="29"/>
      <c r="I3301" s="29"/>
      <c r="J3301" s="29"/>
      <c r="K3301" s="29"/>
      <c r="L3301" s="29"/>
      <c r="M3301" s="87" t="s">
        <v>730</v>
      </c>
      <c r="N3301" s="87"/>
      <c r="O3301" s="87"/>
      <c r="P3301" s="19"/>
      <c r="Q3301" s="19"/>
      <c r="R3301" s="11"/>
    </row>
    <row r="3302" s="1" customFormat="1" ht="21.95" customHeight="1" spans="1:18">
      <c r="A3302" s="7"/>
      <c r="B3302" s="12"/>
      <c r="C3302" s="33"/>
      <c r="D3302" s="80" t="s">
        <v>731</v>
      </c>
      <c r="E3302" s="88" t="str">
        <f>PROPER(ENTRY!$D$28)</f>
        <v>New Delhi</v>
      </c>
      <c r="F3302" s="88"/>
      <c r="G3302" s="29"/>
      <c r="H3302" s="29"/>
      <c r="I3302" s="29"/>
      <c r="J3302" s="29"/>
      <c r="K3302" s="29"/>
      <c r="L3302" s="29"/>
      <c r="M3302" s="89" t="s">
        <v>732</v>
      </c>
      <c r="N3302" s="89"/>
      <c r="O3302" s="89"/>
      <c r="P3302" s="19"/>
      <c r="Q3302" s="19"/>
      <c r="R3302" s="11"/>
    </row>
    <row r="3303" s="1" customFormat="1" ht="21.95" customHeight="1" spans="1:18">
      <c r="A3303" s="7"/>
      <c r="B3303" s="12"/>
      <c r="C3303" s="90"/>
      <c r="D3303" s="91"/>
      <c r="E3303" s="91"/>
      <c r="F3303" s="91"/>
      <c r="G3303" s="91"/>
      <c r="H3303" s="91"/>
      <c r="I3303" s="91"/>
      <c r="J3303" s="91"/>
      <c r="K3303" s="91"/>
      <c r="L3303" s="91"/>
      <c r="M3303" s="91"/>
      <c r="N3303" s="91"/>
      <c r="O3303" s="91"/>
      <c r="P3303" s="92"/>
      <c r="Q3303" s="14"/>
      <c r="R3303" s="11"/>
    </row>
    <row r="3304" s="1" customFormat="1" ht="5.1" customHeight="1" spans="1:18">
      <c r="A3304" s="7"/>
      <c r="B3304" s="90"/>
      <c r="C3304" s="91"/>
      <c r="D3304" s="91"/>
      <c r="E3304" s="91"/>
      <c r="F3304" s="91"/>
      <c r="G3304" s="91"/>
      <c r="H3304" s="91"/>
      <c r="I3304" s="91"/>
      <c r="J3304" s="91"/>
      <c r="K3304" s="91"/>
      <c r="L3304" s="91"/>
      <c r="M3304" s="91"/>
      <c r="N3304" s="91"/>
      <c r="O3304" s="91"/>
      <c r="P3304" s="91"/>
      <c r="Q3304" s="92"/>
      <c r="R3304" s="11"/>
    </row>
    <row r="3305" s="1" customFormat="1" ht="5.1" customHeight="1" spans="1:18">
      <c r="A3305" s="93"/>
      <c r="B3305" s="94"/>
      <c r="C3305" s="94"/>
      <c r="D3305" s="94"/>
      <c r="E3305" s="94"/>
      <c r="F3305" s="94"/>
      <c r="G3305" s="94"/>
      <c r="H3305" s="94"/>
      <c r="I3305" s="94"/>
      <c r="J3305" s="94"/>
      <c r="K3305" s="94"/>
      <c r="L3305" s="94"/>
      <c r="M3305" s="94"/>
      <c r="N3305" s="94"/>
      <c r="O3305" s="94"/>
      <c r="P3305" s="94"/>
      <c r="Q3305" s="94"/>
      <c r="R3305" s="95"/>
    </row>
    <row r="3306" s="2" customFormat="1" ht="9.95" customHeight="1"/>
    <row r="3307" s="1" customFormat="1" ht="5.1" customHeight="1" spans="1:18">
      <c r="A3307" s="4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  <c r="O3307" s="5"/>
      <c r="P3307" s="5"/>
      <c r="Q3307" s="5"/>
      <c r="R3307" s="6"/>
    </row>
    <row r="3308" s="1" customFormat="1" ht="15" customHeight="1" spans="1:18">
      <c r="A3308" s="7"/>
      <c r="B3308" s="8"/>
      <c r="C3308" s="9"/>
      <c r="D3308" s="9"/>
      <c r="E3308" s="9"/>
      <c r="F3308" s="9"/>
      <c r="G3308" s="9"/>
      <c r="H3308" s="9"/>
      <c r="I3308" s="9"/>
      <c r="J3308" s="9"/>
      <c r="K3308" s="9"/>
      <c r="L3308" s="9"/>
      <c r="M3308" s="9"/>
      <c r="N3308" s="9"/>
      <c r="O3308" s="9"/>
      <c r="P3308" s="9"/>
      <c r="Q3308" s="10"/>
      <c r="R3308" s="11"/>
    </row>
    <row r="3309" s="1" customFormat="1" ht="21.95" customHeight="1" spans="1:18">
      <c r="A3309" s="7"/>
      <c r="B3309" s="12"/>
      <c r="C3309" s="13" t="s">
        <v>7</v>
      </c>
      <c r="D3309" s="13"/>
      <c r="E3309" s="13"/>
      <c r="F3309" s="13"/>
      <c r="G3309" s="13"/>
      <c r="H3309" s="13"/>
      <c r="I3309" s="13"/>
      <c r="J3309" s="13"/>
      <c r="K3309" s="13"/>
      <c r="L3309" s="13"/>
      <c r="M3309" s="13"/>
      <c r="N3309" s="13"/>
      <c r="O3309" s="13"/>
      <c r="P3309" s="13"/>
      <c r="Q3309" s="14"/>
      <c r="R3309" s="11"/>
    </row>
    <row r="3310" s="1" customFormat="1" ht="21.95" customHeight="1" spans="1:18">
      <c r="A3310" s="7"/>
      <c r="B3310" s="1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14"/>
      <c r="R3310" s="11"/>
    </row>
    <row r="3311" s="1" customFormat="1" ht="21.95" customHeight="1" spans="1:18">
      <c r="A3311" s="7"/>
      <c r="B3311" s="12"/>
      <c r="C3311" s="15" t="str">
        <f>"SESSION-"&amp;ENTRY!$D$11</f>
        <v>SESSION-2026-27</v>
      </c>
      <c r="D3311" s="15"/>
      <c r="E3311" s="15"/>
      <c r="F3311" s="15"/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4"/>
      <c r="R3311" s="11"/>
    </row>
    <row r="3312" s="1" customFormat="1" ht="21.95" customHeight="1" spans="1:18">
      <c r="A3312" s="7"/>
      <c r="B3312" s="12"/>
      <c r="C3312" s="2"/>
      <c r="D3312" s="2"/>
      <c r="E3312" s="2"/>
      <c r="F3312" s="16">
        <f>F3255+1</f>
        <v>59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14"/>
      <c r="R3312" s="11"/>
    </row>
    <row r="3313" s="1" customFormat="1" ht="21.95" customHeight="1" spans="1:18">
      <c r="A3313" s="7"/>
      <c r="B3313" s="12"/>
      <c r="C3313" s="17" t="s">
        <v>392</v>
      </c>
      <c r="D3313" s="17"/>
      <c r="E3313" s="17"/>
      <c r="F3313" s="18" t="str">
        <f>IF(F3312&gt;0,ENTRY!$D$6,"")</f>
        <v>MCP NITHARI NO 1 BOYS</v>
      </c>
      <c r="G3313" s="18"/>
      <c r="H3313" s="18"/>
      <c r="I3313" s="18"/>
      <c r="J3313" s="18"/>
      <c r="K3313" s="18"/>
      <c r="L3313" s="18"/>
      <c r="M3313" s="18"/>
      <c r="N3313" s="18"/>
      <c r="O3313" s="18"/>
      <c r="P3313" s="18"/>
      <c r="Q3313" s="19"/>
      <c r="R3313" s="11"/>
    </row>
    <row r="3314" s="1" customFormat="1" ht="21.95" customHeight="1" spans="1:18">
      <c r="A3314" s="7"/>
      <c r="B3314" s="12"/>
      <c r="C3314" s="17" t="s">
        <v>393</v>
      </c>
      <c r="D3314" s="17"/>
      <c r="E3314" s="17"/>
      <c r="F3314" s="18">
        <f>IF(F3312&gt;0,ENTRY!$D$7,"")</f>
        <v>0</v>
      </c>
      <c r="G3314" s="18"/>
      <c r="H3314" s="20" t="s">
        <v>702</v>
      </c>
      <c r="I3314" s="20"/>
      <c r="J3314" s="21">
        <f>IF(F3312&gt;0,ENTRY!$D$10,"")</f>
        <v>40</v>
      </c>
      <c r="K3314" s="20" t="s">
        <v>703</v>
      </c>
      <c r="L3314" s="22" t="str">
        <f>IF(F3312&gt;0,ENTRY!$D$5,"")</f>
        <v>ROHINI ZONE</v>
      </c>
      <c r="M3314" s="22"/>
      <c r="N3314" s="22"/>
      <c r="O3314" s="22"/>
      <c r="P3314" s="22"/>
      <c r="Q3314" s="19"/>
      <c r="R3314" s="11"/>
    </row>
    <row r="3315" s="1" customFormat="1" ht="21.95" customHeight="1" spans="1:18">
      <c r="A3315" s="7"/>
      <c r="B3315" s="12"/>
      <c r="C3315" s="17" t="s">
        <v>706</v>
      </c>
      <c r="D3315" s="17"/>
      <c r="E3315" s="17"/>
      <c r="F3315" s="23">
        <f>IFERROR(VLOOKUP(F3312,STUDENT!$A$2:$BP$101,5,0),"")</f>
        <v>0</v>
      </c>
      <c r="G3315" s="23"/>
      <c r="H3315" s="23"/>
      <c r="I3315" s="23"/>
      <c r="J3315" s="23"/>
      <c r="K3315" s="23"/>
      <c r="L3315" s="20" t="s">
        <v>707</v>
      </c>
      <c r="M3315" s="20"/>
      <c r="N3315" s="24" t="str">
        <f>IF(F3312&gt;0,ENTRY!$D$20&amp;"-"&amp;ENTRY!$D$21,"")</f>
        <v>III-A</v>
      </c>
      <c r="O3315" s="24"/>
      <c r="P3315" s="24"/>
      <c r="Q3315" s="19"/>
      <c r="R3315" s="11"/>
    </row>
    <row r="3316" s="1" customFormat="1" ht="21.95" customHeight="1" spans="1:18">
      <c r="A3316" s="7"/>
      <c r="B3316" s="12"/>
      <c r="C3316" s="17" t="s">
        <v>708</v>
      </c>
      <c r="D3316" s="17"/>
      <c r="E3316" s="17"/>
      <c r="F3316" s="25">
        <f>IFERROR(VLOOKUP(F3312,STUDENT!$A$2:$BP$101,6,0),"")</f>
        <v>0</v>
      </c>
      <c r="G3316" s="25"/>
      <c r="H3316" s="26" t="s">
        <v>709</v>
      </c>
      <c r="I3316" s="27" t="str">
        <f>IFERROR(VLOOKUP(F3312,STUDENT!$A$2:$BP$101,59,0),"")</f>
        <v/>
      </c>
      <c r="J3316" s="27"/>
      <c r="K3316" s="20" t="s">
        <v>710</v>
      </c>
      <c r="L3316" s="20"/>
      <c r="M3316" s="28">
        <f>IFERROR(VLOOKUP(F3312,STUDENT!$A$2:$BP$101,20,0),"")</f>
        <v>0</v>
      </c>
      <c r="N3316" s="28"/>
      <c r="O3316" s="28"/>
      <c r="P3316" s="28"/>
      <c r="Q3316" s="19"/>
      <c r="R3316" s="11"/>
    </row>
    <row r="3317" s="1" customFormat="1" ht="21.95" customHeight="1" spans="1:18">
      <c r="A3317" s="7"/>
      <c r="B3317" s="12"/>
      <c r="C3317" s="17" t="s">
        <v>711</v>
      </c>
      <c r="D3317" s="17"/>
      <c r="E3317" s="17"/>
      <c r="F3317" s="23">
        <f>IFERROR(VLOOKUP(F3312,STUDENT!$A$2:$BP$101,9,0),"")</f>
        <v>0</v>
      </c>
      <c r="G3317" s="23"/>
      <c r="H3317" s="23"/>
      <c r="I3317" s="23"/>
      <c r="J3317" s="17" t="s">
        <v>620</v>
      </c>
      <c r="K3317" s="17"/>
      <c r="L3317" s="23">
        <f>IFERROR(VLOOKUP(F3312,STUDENT!$A$2:$BP$101,8,0),"")</f>
        <v>0</v>
      </c>
      <c r="M3317" s="23"/>
      <c r="N3317" s="23"/>
      <c r="O3317" s="23"/>
      <c r="P3317" s="23"/>
      <c r="Q3317" s="19"/>
      <c r="R3317" s="11"/>
    </row>
    <row r="3318" s="1" customFormat="1" ht="21.95" customHeight="1" spans="1:18">
      <c r="A3318" s="7"/>
      <c r="B3318" s="12"/>
      <c r="C3318" s="17" t="s">
        <v>712</v>
      </c>
      <c r="D3318" s="17"/>
      <c r="E3318" s="17"/>
      <c r="F3318" s="23">
        <f>IFERROR(VLOOKUP(F3312,STUDENT!$A$2:$BP$101,22,0),"")</f>
        <v>0</v>
      </c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19"/>
      <c r="R3318" s="11"/>
    </row>
    <row r="3319" s="1" customFormat="1" ht="9.95" customHeight="1" spans="1:18">
      <c r="A3319" s="7"/>
      <c r="B3319" s="12"/>
      <c r="C3319" s="29"/>
      <c r="D3319" s="29"/>
      <c r="E3319" s="29"/>
      <c r="F3319" s="29"/>
      <c r="G3319" s="29"/>
      <c r="H3319" s="29"/>
      <c r="I3319" s="29"/>
      <c r="J3319" s="29"/>
      <c r="K3319" s="29"/>
      <c r="L3319" s="29"/>
      <c r="M3319" s="29"/>
      <c r="N3319" s="29"/>
      <c r="O3319" s="29"/>
      <c r="P3319" s="29"/>
      <c r="Q3319" s="19"/>
      <c r="R3319" s="11"/>
    </row>
    <row r="3320" s="1" customFormat="1" ht="9.95" customHeight="1" spans="1:18">
      <c r="A3320" s="7"/>
      <c r="B3320" s="12"/>
      <c r="C3320" s="30"/>
      <c r="D3320" s="31"/>
      <c r="E3320" s="31"/>
      <c r="F3320" s="31"/>
      <c r="G3320" s="31"/>
      <c r="H3320" s="31"/>
      <c r="I3320" s="31"/>
      <c r="J3320" s="31"/>
      <c r="K3320" s="31"/>
      <c r="L3320" s="31"/>
      <c r="M3320" s="31"/>
      <c r="N3320" s="31"/>
      <c r="O3320" s="31"/>
      <c r="P3320" s="32"/>
      <c r="Q3320" s="19"/>
      <c r="R3320" s="11"/>
    </row>
    <row r="3321" s="1" customFormat="1" ht="21.95" customHeight="1" spans="1:18">
      <c r="A3321" s="7"/>
      <c r="B3321" s="12"/>
      <c r="C3321" s="33"/>
      <c r="D3321" s="34" t="s">
        <v>713</v>
      </c>
      <c r="E3321" s="20" t="s">
        <v>714</v>
      </c>
      <c r="F3321" s="35" t="str">
        <f>"Level - "&amp;IFERROR(VLOOKUP(F3312,FLN!$A$4:$K$103,9,0),"")</f>
        <v>Level - </v>
      </c>
      <c r="G3321" s="36"/>
      <c r="H3321" s="37" t="s">
        <v>715</v>
      </c>
      <c r="I3321" s="20"/>
      <c r="J3321" s="35" t="str">
        <f>"Level - "&amp;IFERROR(VLOOKUP(F3312,FLN!$A$4:$K$103,11,0),"")</f>
        <v>Level - </v>
      </c>
      <c r="K3321" s="36"/>
      <c r="L3321" s="37" t="s">
        <v>408</v>
      </c>
      <c r="M3321" s="20"/>
      <c r="N3321" s="35" t="str">
        <f>"Level - "&amp;IFERROR(VLOOKUP(F3312,FLN!$A$4:$K$103,10,0),"")</f>
        <v>Level - </v>
      </c>
      <c r="O3321" s="36"/>
      <c r="P3321" s="19"/>
      <c r="Q3321" s="19"/>
      <c r="R3321" s="11"/>
    </row>
    <row r="3322" s="1" customFormat="1" ht="21.95" customHeight="1" spans="1:18">
      <c r="A3322" s="7"/>
      <c r="B3322" s="12"/>
      <c r="C3322" s="33"/>
      <c r="D3322" s="38"/>
      <c r="E3322" s="20" t="s">
        <v>716</v>
      </c>
      <c r="F3322" s="18" t="str">
        <f ca="1">IF(L3336&gt;197,"PERFORMED WELL","")</f>
        <v/>
      </c>
      <c r="G3322" s="18"/>
      <c r="H3322" s="18"/>
      <c r="I3322" s="18"/>
      <c r="J3322" s="18"/>
      <c r="K3322" s="18"/>
      <c r="L3322" s="18"/>
      <c r="M3322" s="18"/>
      <c r="N3322" s="18"/>
      <c r="O3322" s="18"/>
      <c r="P3322" s="19"/>
      <c r="Q3322" s="19"/>
      <c r="R3322" s="11"/>
    </row>
    <row r="3323" s="1" customFormat="1" ht="9.95" customHeight="1" spans="1:18">
      <c r="A3323" s="7"/>
      <c r="B3323" s="12"/>
      <c r="C3323" s="39"/>
      <c r="D3323" s="40"/>
      <c r="E3323" s="40"/>
      <c r="F3323" s="40"/>
      <c r="G3323" s="40"/>
      <c r="H3323" s="40"/>
      <c r="I3323" s="40"/>
      <c r="J3323" s="40"/>
      <c r="K3323" s="40"/>
      <c r="L3323" s="40"/>
      <c r="M3323" s="40"/>
      <c r="N3323" s="40"/>
      <c r="O3323" s="40"/>
      <c r="P3323" s="41"/>
      <c r="Q3323" s="19"/>
      <c r="R3323" s="11"/>
    </row>
    <row r="3324" s="1" customFormat="1" ht="9.95" customHeight="1" spans="1:18">
      <c r="A3324" s="7"/>
      <c r="B3324" s="12"/>
      <c r="C3324" s="29"/>
      <c r="D3324" s="29"/>
      <c r="E3324" s="29"/>
      <c r="F3324" s="29"/>
      <c r="G3324" s="29"/>
      <c r="H3324" s="29"/>
      <c r="I3324" s="29"/>
      <c r="J3324" s="29"/>
      <c r="K3324" s="29"/>
      <c r="L3324" s="29"/>
      <c r="M3324" s="29"/>
      <c r="N3324" s="29"/>
      <c r="O3324" s="29"/>
      <c r="P3324" s="29"/>
      <c r="Q3324" s="19"/>
      <c r="R3324" s="11"/>
    </row>
    <row r="3325" s="1" customFormat="1" ht="9.95" customHeight="1" spans="1:18">
      <c r="A3325" s="7"/>
      <c r="B3325" s="12"/>
      <c r="C3325" s="30"/>
      <c r="D3325" s="31"/>
      <c r="E3325" s="31"/>
      <c r="F3325" s="31"/>
      <c r="G3325" s="31"/>
      <c r="H3325" s="31"/>
      <c r="I3325" s="31"/>
      <c r="J3325" s="31"/>
      <c r="K3325" s="31"/>
      <c r="L3325" s="31"/>
      <c r="M3325" s="31"/>
      <c r="N3325" s="31"/>
      <c r="O3325" s="31"/>
      <c r="P3325" s="32"/>
      <c r="Q3325" s="19"/>
      <c r="R3325" s="11"/>
    </row>
    <row r="3326" s="1" customFormat="1" ht="21.95" customHeight="1" spans="1:18">
      <c r="A3326" s="7"/>
      <c r="B3326" s="12"/>
      <c r="C3326" s="33"/>
      <c r="D3326" s="35"/>
      <c r="E3326" s="24"/>
      <c r="F3326" s="42" t="s">
        <v>717</v>
      </c>
      <c r="G3326" s="42"/>
      <c r="H3326" s="42"/>
      <c r="I3326" s="42"/>
      <c r="J3326" s="42"/>
      <c r="K3326" s="42"/>
      <c r="L3326" s="43"/>
      <c r="M3326" s="44"/>
      <c r="N3326" s="29"/>
      <c r="O3326" s="29"/>
      <c r="P3326" s="19"/>
      <c r="Q3326" s="19"/>
      <c r="R3326" s="11"/>
    </row>
    <row r="3327" s="1" customFormat="1" ht="21.95" customHeight="1" spans="1:18">
      <c r="A3327" s="7"/>
      <c r="B3327" s="12"/>
      <c r="C3327" s="33"/>
      <c r="D3327" s="45"/>
      <c r="E3327" s="46"/>
      <c r="F3327" s="47" t="s">
        <v>541</v>
      </c>
      <c r="G3327" s="47" t="s">
        <v>542</v>
      </c>
      <c r="H3327" s="47" t="s">
        <v>543</v>
      </c>
      <c r="I3327" s="47" t="s">
        <v>544</v>
      </c>
      <c r="J3327" s="47" t="s">
        <v>561</v>
      </c>
      <c r="K3327" s="48" t="s">
        <v>750</v>
      </c>
      <c r="L3327" s="47" t="s">
        <v>382</v>
      </c>
      <c r="M3327" s="49" t="s">
        <v>546</v>
      </c>
      <c r="N3327" s="29"/>
      <c r="O3327" s="29"/>
      <c r="P3327" s="19"/>
      <c r="Q3327" s="19"/>
      <c r="R3327" s="11"/>
    </row>
    <row r="3328" s="1" customFormat="1" ht="21.95" customHeight="1" spans="1:18">
      <c r="A3328" s="7"/>
      <c r="B3328" s="12"/>
      <c r="C3328" s="33"/>
      <c r="D3328" s="45" t="s">
        <v>652</v>
      </c>
      <c r="E3328" s="46"/>
      <c r="F3328" s="50">
        <v>10</v>
      </c>
      <c r="G3328" s="50">
        <v>10</v>
      </c>
      <c r="H3328" s="50">
        <v>10</v>
      </c>
      <c r="I3328" s="50">
        <v>10</v>
      </c>
      <c r="J3328" s="50">
        <v>60</v>
      </c>
      <c r="K3328" s="51"/>
      <c r="L3328" s="50">
        <v>100</v>
      </c>
      <c r="M3328" s="49"/>
      <c r="N3328" s="29"/>
      <c r="O3328" s="29"/>
      <c r="P3328" s="19"/>
      <c r="Q3328" s="19"/>
      <c r="R3328" s="11"/>
    </row>
    <row r="3329" s="1" customFormat="1" ht="21.95" customHeight="1" spans="1:18">
      <c r="A3329" s="7"/>
      <c r="B3329" s="12"/>
      <c r="C3329" s="33"/>
      <c r="D3329" s="52" t="s">
        <v>751</v>
      </c>
      <c r="E3329" s="53"/>
      <c r="F3329" s="54" t="str">
        <f ca="1">IFERROR(VLOOKUP(F3312,'RR-3.1-5TH'!$A$12:'RR-3.1-5TH'!$BN$111,9,0),"")</f>
        <v/>
      </c>
      <c r="G3329" s="54" t="str">
        <f ca="1">IFERROR(VLOOKUP(F3312,'RR-3.1-5TH'!$A$12:'RR-3.1-5TH'!$BN$111,10,0),"")</f>
        <v/>
      </c>
      <c r="H3329" s="54" t="str">
        <f ca="1">IFERROR(VLOOKUP(F3312,'RR-3.1-5TH'!$A$12:'RR-3.1-5TH'!$BN$111,11,0),"")</f>
        <v/>
      </c>
      <c r="I3329" s="54" t="str">
        <f ca="1">IFERROR(VLOOKUP(F3312,'RR-3.1-5TH'!$A$12:'RR-3.1-5TH'!$BN$111,12,0),"")</f>
        <v/>
      </c>
      <c r="J3329" s="54" t="str">
        <f ca="1">IFERROR(VLOOKUP(F3312,'RR-3.1-5TH'!$A$12:'RR-3.1-5TH'!$BN$111,13,0),"")</f>
        <v/>
      </c>
      <c r="K3329" s="54" t="str">
        <f ca="1">IFERROR(VLOOKUP(F3312,'RR-3.1-5TH'!$A$12:'RR-3.1-5TH'!$BN$111,14,0),"")</f>
        <v/>
      </c>
      <c r="L3329" s="55">
        <f ca="1" t="shared" ref="L3329:L3334" si="174">SUM(F3329,G3329,H3329,I3329,J3329,K3329)</f>
        <v>0</v>
      </c>
      <c r="M3329" s="56" t="str">
        <f ca="1">IF(F3312&gt;ENTRY!$D$24,"",IF(L3329=0,"Ab",IF(L3329&gt;80,"A",IF(L3329&gt;60,"B",IF(L3329&gt;44,"C",IF(L3329&gt;=33,"D",IF(L3329&lt;=32,"E","")))))))</f>
        <v/>
      </c>
      <c r="N3329" s="57" t="s">
        <v>729</v>
      </c>
      <c r="O3329" s="58"/>
      <c r="P3329" s="59"/>
      <c r="Q3329" s="19"/>
      <c r="R3329" s="11"/>
    </row>
    <row r="3330" s="1" customFormat="1" ht="21.95" customHeight="1" spans="1:18">
      <c r="A3330" s="7"/>
      <c r="B3330" s="12"/>
      <c r="C3330" s="33"/>
      <c r="D3330" s="52" t="s">
        <v>513</v>
      </c>
      <c r="E3330" s="53"/>
      <c r="F3330" s="54" t="str">
        <f ca="1">IFERROR(VLOOKUP(F3312,'RR-3.1-5TH'!$A$12:'RR-3.1-5TH'!$BN$111,17,0),"")</f>
        <v/>
      </c>
      <c r="G3330" s="54" t="str">
        <f ca="1">IFERROR(VLOOKUP(F3312,'RR-3.1-5TH'!$A$12:'RR-3.1-5TH'!$BN$111,18,0),"")</f>
        <v/>
      </c>
      <c r="H3330" s="54" t="str">
        <f ca="1">IFERROR(VLOOKUP(F3312,'RR-3.1-5TH'!$A$12:'RR-3.1-5TH'!$BN$111,19,0),"")</f>
        <v/>
      </c>
      <c r="I3330" s="54" t="str">
        <f ca="1">IFERROR(VLOOKUP(F3312,'RR-3.1-5TH'!$A$12:'RR-3.1-5TH'!$BN$111,20,0),"")</f>
        <v/>
      </c>
      <c r="J3330" s="54" t="str">
        <f ca="1">IFERROR(VLOOKUP(F3312,'RR-3.1-5TH'!$A$12:'RR-3.1-5TH'!$BN$111,21,0),"")</f>
        <v/>
      </c>
      <c r="K3330" s="54" t="str">
        <f ca="1">IFERROR(VLOOKUP(F3312,'RR-3.1-5TH'!$A$12:'RR-3.1-5TH'!$BN$111,22,0),"")</f>
        <v/>
      </c>
      <c r="L3330" s="55">
        <f ca="1" t="shared" si="174"/>
        <v>0</v>
      </c>
      <c r="M3330" s="56" t="str">
        <f ca="1">IF(F3312&gt;ENTRY!$D$24,"",IF(L3330=0,"Ab",IF(L3330&gt;80,"A",IF(L3330&gt;60,"B",IF(L3330&gt;44,"C",IF(L3330&gt;=33,"D",IF(L3330&lt;=32,"E","")))))))</f>
        <v/>
      </c>
      <c r="N3330" s="58"/>
      <c r="O3330" s="58"/>
      <c r="P3330" s="59"/>
      <c r="Q3330" s="19"/>
      <c r="R3330" s="11"/>
    </row>
    <row r="3331" s="1" customFormat="1" ht="21.95" customHeight="1" spans="1:18">
      <c r="A3331" s="7"/>
      <c r="B3331" s="12"/>
      <c r="C3331" s="33"/>
      <c r="D3331" s="52" t="s">
        <v>718</v>
      </c>
      <c r="E3331" s="53"/>
      <c r="F3331" s="54" t="str">
        <f ca="1">IFERROR(VLOOKUP(F3312,'RR-3.1-5TH'!$A$12:'RR-3.1-5TH'!$BN$111,25,0),"")</f>
        <v/>
      </c>
      <c r="G3331" s="54" t="str">
        <f ca="1">IFERROR(VLOOKUP(F3312,'RR-3.1-5TH'!$A$12:'RR-3.1-5TH'!$BN$111,26,0),"")</f>
        <v/>
      </c>
      <c r="H3331" s="54" t="str">
        <f ca="1">IFERROR(VLOOKUP(F3312,'RR-3.1-5TH'!$A$12:'RR-3.1-5TH'!$BN$111,27,0),"")</f>
        <v/>
      </c>
      <c r="I3331" s="54" t="str">
        <f ca="1">IFERROR(VLOOKUP(F3312,'RR-3.1-5TH'!$A$12:'RR-3.1-5TH'!$BN$111,28,0),"")</f>
        <v/>
      </c>
      <c r="J3331" s="54" t="str">
        <f ca="1">IFERROR(VLOOKUP(F3312,'RR-3.1-5TH'!$A$12:'RR-3.1-5TH'!$BN$111,29,0),"")</f>
        <v/>
      </c>
      <c r="K3331" s="54" t="str">
        <f ca="1">IFERROR(VLOOKUP(F3312,'RR-3.1-5TH'!$A$12:'RR-3.1-5TH'!$BN$111,30,0),"")</f>
        <v/>
      </c>
      <c r="L3331" s="55">
        <f ca="1" t="shared" si="174"/>
        <v>0</v>
      </c>
      <c r="M3331" s="56" t="str">
        <f ca="1">IF(F3312&gt;ENTRY!$D$24,"",IF(L3331=0,"Ab",IF(L3331&gt;80,"A",IF(L3331&gt;60,"B",IF(L3331&gt;44,"C",IF(L3331&gt;=33,"D",IF(L3331&lt;=32,"E","")))))))</f>
        <v/>
      </c>
      <c r="N3331" s="29"/>
      <c r="O3331" s="29"/>
      <c r="P3331" s="19"/>
      <c r="Q3331" s="19"/>
      <c r="R3331" s="11"/>
    </row>
    <row r="3332" s="1" customFormat="1" ht="21.95" customHeight="1" spans="1:18">
      <c r="A3332" s="7"/>
      <c r="B3332" s="12"/>
      <c r="C3332" s="33"/>
      <c r="D3332" s="52" t="s">
        <v>719</v>
      </c>
      <c r="E3332" s="53"/>
      <c r="F3332" s="54" t="str">
        <f ca="1">IFERROR(VLOOKUP(F3312,'RR-3.1-5TH'!$A$12:'RR-3.1-5TH'!$BN$111,33,0),"")</f>
        <v/>
      </c>
      <c r="G3332" s="54" t="str">
        <f ca="1">IFERROR(VLOOKUP(F3312,'RR-3.1-5TH'!$A$12:'RR-3.1-5TH'!$BN$111,34,0),"")</f>
        <v/>
      </c>
      <c r="H3332" s="54" t="str">
        <f ca="1">IFERROR(VLOOKUP(F3312,'RR-3.1-5TH'!$A$12:'RR-3.1-5TH'!$BN$111,35,0),"")</f>
        <v/>
      </c>
      <c r="I3332" s="54" t="str">
        <f ca="1">IFERROR(VLOOKUP(F3312,'RR-3.1-5TH'!$A$12:'RR-3.1-5TH'!$BN$111,36,0),"")</f>
        <v/>
      </c>
      <c r="J3332" s="54" t="str">
        <f ca="1">IFERROR(VLOOKUP(F3312,'RR-3.1-5TH'!$A$12:'RR-3.1-5TH'!$BN$111,37,0),"")</f>
        <v/>
      </c>
      <c r="K3332" s="54" t="str">
        <f ca="1">IFERROR(VLOOKUP(F3312,'RR-3.1-5TH'!$A$12:'RR-3.1-5TH'!$BN$111,38,0),"")</f>
        <v/>
      </c>
      <c r="L3332" s="55">
        <f ca="1" t="shared" si="174"/>
        <v>0</v>
      </c>
      <c r="M3332" s="56" t="str">
        <f ca="1">IF(F3312&gt;ENTRY!$D$24,"",IF(L3332=0,"Ab",IF(L3332&gt;80,"A",IF(L3332&gt;60,"B",IF(L3332&gt;44,"C",IF(L3332&gt;=33,"D",IF(L3332&lt;=32,"E","")))))))</f>
        <v/>
      </c>
      <c r="N3332" s="29"/>
      <c r="O3332" s="29"/>
      <c r="P3332" s="19"/>
      <c r="Q3332" s="19"/>
      <c r="R3332" s="11"/>
    </row>
    <row r="3333" s="1" customFormat="1" ht="21.95" customHeight="1" spans="1:18">
      <c r="A3333" s="7"/>
      <c r="B3333" s="12"/>
      <c r="C3333" s="33"/>
      <c r="D3333" s="52" t="s">
        <v>548</v>
      </c>
      <c r="E3333" s="53"/>
      <c r="F3333" s="54" t="str">
        <f ca="1">IFERROR(VLOOKUP(F3312,'RR-3.1-5TH'!$A$12:'RR-3.1-5TH'!$BN$111,41,0),"")</f>
        <v/>
      </c>
      <c r="G3333" s="54" t="str">
        <f ca="1">IFERROR(VLOOKUP(F3312,'RR-3.1-5TH'!$A$12:'RR-3.1-5TH'!$BN$111,42,0),"")</f>
        <v/>
      </c>
      <c r="H3333" s="54" t="str">
        <f ca="1">IFERROR(VLOOKUP(F3312,'RR-3.1-5TH'!$A$12:'RR-3.1-5TH'!$BN$111,43,0),"")</f>
        <v/>
      </c>
      <c r="I3333" s="54" t="str">
        <f ca="1">IFERROR(VLOOKUP(F3312,'RR-3.1-5TH'!$A$12:'RR-3.1-5TH'!$BN$111,44,0),"")</f>
        <v/>
      </c>
      <c r="J3333" s="54" t="str">
        <f ca="1">IFERROR(VLOOKUP(F3312,'RR-3.1-5TH'!$A$12:'RR-3.1-5TH'!$BN$111,45,0),"")</f>
        <v/>
      </c>
      <c r="K3333" s="54" t="str">
        <f ca="1">IFERROR(VLOOKUP(F3312,'RR-3.1-5TH'!$A$12:'RR-3.1-5TH'!$BN$111,46,0),"")</f>
        <v/>
      </c>
      <c r="L3333" s="55">
        <f ca="1" t="shared" si="174"/>
        <v>0</v>
      </c>
      <c r="M3333" s="56" t="str">
        <f ca="1">IF(F3312&gt;ENTRY!$D$24,"",IF(L3333=0,"Ab",IF(L3333&gt;80,"A",IF(L3333&gt;60,"B",IF(L3333&gt;44,"C",IF(L3333&gt;=33,"D",IF(L3333&lt;=32,"E","")))))))</f>
        <v/>
      </c>
      <c r="N3333" s="29"/>
      <c r="O3333" s="29"/>
      <c r="P3333" s="19"/>
      <c r="Q3333" s="19"/>
      <c r="R3333" s="11"/>
    </row>
    <row r="3334" s="1" customFormat="1" ht="21.95" customHeight="1" spans="1:18">
      <c r="A3334" s="7"/>
      <c r="B3334" s="12"/>
      <c r="C3334" s="33"/>
      <c r="D3334" s="52" t="s">
        <v>549</v>
      </c>
      <c r="E3334" s="53"/>
      <c r="F3334" s="54" t="str">
        <f ca="1">IFERROR(VLOOKUP(F3312,'RR-3.1-5TH'!$A$12:'RR-3.1-5TH'!$BN$111,49,0),"")</f>
        <v/>
      </c>
      <c r="G3334" s="54" t="str">
        <f ca="1">IFERROR(VLOOKUP(F3312,'RR-3.1-5TH'!$A$12:'RR-3.1-5TH'!$BN$111,50,0),"")</f>
        <v/>
      </c>
      <c r="H3334" s="54" t="str">
        <f ca="1">IFERROR(VLOOKUP(F3312,'RR-3.1-5TH'!$A$12:'RR-3.1-5TH'!$BN$111,51,0),"")</f>
        <v/>
      </c>
      <c r="I3334" s="54" t="str">
        <f ca="1">IFERROR(VLOOKUP(F3312,'RR-3.1-5TH'!$A$12:'RR-3.1-5TH'!$BN$111,52,0),"")</f>
        <v/>
      </c>
      <c r="J3334" s="54" t="str">
        <f ca="1">IFERROR(VLOOKUP(F3312,'RR-3.1-5TH'!$A$12:'RR-3.1-5TH'!$BN$111,53,0),"")</f>
        <v/>
      </c>
      <c r="K3334" s="54" t="str">
        <f ca="1">IFERROR(VLOOKUP(F3312,'RR-3.1-5TH'!$A$12:'RR-3.1-5TH'!$BN$111,54,0),"")</f>
        <v/>
      </c>
      <c r="L3334" s="55">
        <f ca="1" t="shared" si="174"/>
        <v>0</v>
      </c>
      <c r="M3334" s="56" t="str">
        <f ca="1">IF(F3312&gt;ENTRY!$D$24,"",IF(L3334=0,"Ab",IF(L3334&gt;80,"A",IF(L3334&gt;60,"B",IF(L3334&gt;44,"C",IF(L3334&gt;=33,"D",IF(L3334&lt;=32,"E","")))))))</f>
        <v/>
      </c>
      <c r="N3334" s="57" t="s">
        <v>752</v>
      </c>
      <c r="O3334" s="58"/>
      <c r="P3334" s="59"/>
      <c r="Q3334" s="19"/>
      <c r="R3334" s="11"/>
    </row>
    <row r="3335" s="1" customFormat="1" ht="21.95" customHeight="1" spans="1:18">
      <c r="A3335" s="7"/>
      <c r="B3335" s="12"/>
      <c r="C3335" s="33"/>
      <c r="D3335" s="52" t="s">
        <v>753</v>
      </c>
      <c r="E3335" s="53"/>
      <c r="F3335" s="60"/>
      <c r="G3335" s="54"/>
      <c r="H3335" s="54"/>
      <c r="I3335" s="54"/>
      <c r="J3335" s="54"/>
      <c r="K3335" s="54"/>
      <c r="L3335" s="55">
        <f t="shared" ref="L3335" si="175">SUM(G3335:K3335)</f>
        <v>0</v>
      </c>
      <c r="M3335" s="56" t="str">
        <f>IF(F3312&gt;ENTRY!$D$24,"",IF(L3335=0,"",IF(L3335&gt;79,"A",IF(L3335&gt;59,"B",IF(L3335&gt;44,"C",IF(L3335&gt;=33,"D",IF(L3335&lt;=32,"E","")))))))</f>
        <v/>
      </c>
      <c r="N3335" s="58"/>
      <c r="O3335" s="58"/>
      <c r="P3335" s="59"/>
      <c r="Q3335" s="19"/>
      <c r="R3335" s="11"/>
    </row>
    <row r="3336" s="1" customFormat="1" ht="21.95" customHeight="1" spans="1:18">
      <c r="A3336" s="7"/>
      <c r="B3336" s="12"/>
      <c r="C3336" s="33"/>
      <c r="D3336" s="45" t="s">
        <v>382</v>
      </c>
      <c r="E3336" s="46"/>
      <c r="F3336" s="54">
        <f ca="1" t="shared" ref="F3336:L3336" si="176">IFERROR(SUM(F3329:F3335),"")</f>
        <v>0</v>
      </c>
      <c r="G3336" s="54">
        <f ca="1" t="shared" si="176"/>
        <v>0</v>
      </c>
      <c r="H3336" s="54">
        <f ca="1" t="shared" si="176"/>
        <v>0</v>
      </c>
      <c r="I3336" s="54">
        <f ca="1" t="shared" si="176"/>
        <v>0</v>
      </c>
      <c r="J3336" s="54">
        <f ca="1" t="shared" si="176"/>
        <v>0</v>
      </c>
      <c r="K3336" s="54">
        <f ca="1" t="shared" si="176"/>
        <v>0</v>
      </c>
      <c r="L3336" s="55">
        <f ca="1" t="shared" si="176"/>
        <v>0</v>
      </c>
      <c r="M3336" s="61" t="str">
        <f ca="1">IF(F3312&gt;ENTRY!$D$24,"",IF(N3337="Ab","Ab",IF(N3337&gt;79.5,"A",IF(N3337&gt;59.5,"B",IF(N3337&gt;44.5,"C",IF(N3337&gt;=33,"D",IF(N3337&lt;33,"E","")))))))</f>
        <v/>
      </c>
      <c r="N3336" s="62"/>
      <c r="O3336" s="58"/>
      <c r="P3336" s="59"/>
      <c r="Q3336" s="19"/>
      <c r="R3336" s="11"/>
    </row>
    <row r="3337" s="1" customFormat="1" ht="21.95" customHeight="1" spans="1:18">
      <c r="A3337" s="7"/>
      <c r="B3337" s="12"/>
      <c r="C3337" s="33"/>
      <c r="D3337" s="63" t="s">
        <v>721</v>
      </c>
      <c r="E3337" s="63"/>
      <c r="F3337" s="63"/>
      <c r="G3337" s="63"/>
      <c r="H3337" s="63"/>
      <c r="I3337" s="63"/>
      <c r="J3337" s="63"/>
      <c r="K3337" s="63"/>
      <c r="L3337" s="63"/>
      <c r="M3337" s="63"/>
      <c r="N3337" s="64">
        <f ca="1">IF(L3336="Ab","Ab",L3336/6)</f>
        <v>0</v>
      </c>
      <c r="O3337" s="65"/>
      <c r="P3337" s="19"/>
      <c r="Q3337" s="19"/>
      <c r="R3337" s="11"/>
    </row>
    <row r="3338" s="1" customFormat="1" ht="21.95" customHeight="1" spans="1:18">
      <c r="A3338" s="7"/>
      <c r="B3338" s="12"/>
      <c r="C3338" s="33"/>
      <c r="D3338" s="29" t="s">
        <v>716</v>
      </c>
      <c r="E3338" s="18" t="str">
        <f>IFERROR(VLOOKUP(F3312,'1to4-2.1-RR'!$A$12:$BG$111,57,0),"")</f>
        <v/>
      </c>
      <c r="F3338" s="18"/>
      <c r="G3338" s="18"/>
      <c r="H3338" s="18"/>
      <c r="I3338" s="18"/>
      <c r="J3338" s="18"/>
      <c r="K3338" s="18"/>
      <c r="L3338" s="18"/>
      <c r="M3338" s="18"/>
      <c r="N3338" s="29"/>
      <c r="O3338" s="29"/>
      <c r="P3338" s="19"/>
      <c r="Q3338" s="19"/>
      <c r="R3338" s="11"/>
    </row>
    <row r="3339" s="1" customFormat="1" ht="9.95" customHeight="1" spans="1:18">
      <c r="A3339" s="7"/>
      <c r="B3339" s="12"/>
      <c r="C3339" s="33"/>
      <c r="D3339" s="29"/>
      <c r="E3339" s="29"/>
      <c r="F3339" s="29"/>
      <c r="G3339" s="29"/>
      <c r="H3339" s="29"/>
      <c r="I3339" s="29"/>
      <c r="J3339" s="29"/>
      <c r="K3339" s="29"/>
      <c r="L3339" s="29"/>
      <c r="M3339" s="29"/>
      <c r="N3339" s="29"/>
      <c r="O3339" s="29"/>
      <c r="P3339" s="19"/>
      <c r="Q3339" s="19"/>
      <c r="R3339" s="11"/>
    </row>
    <row r="3340" s="1" customFormat="1" ht="36" spans="1:18">
      <c r="A3340" s="7"/>
      <c r="B3340" s="12"/>
      <c r="C3340" s="33"/>
      <c r="D3340" s="66" t="s">
        <v>576</v>
      </c>
      <c r="E3340" s="67" t="s">
        <v>754</v>
      </c>
      <c r="F3340" s="47" t="str">
        <f>IF(F3312&gt;ENTRY!$D$24,"",IFERROR(VLOOKUP(F3312,PASHEET!$A$4:$CJ$103,88,0),""))</f>
        <v/>
      </c>
      <c r="G3340" s="67" t="s">
        <v>755</v>
      </c>
      <c r="H3340" s="47" t="str">
        <f>IF(F3312&gt;ENTRY!$D$24,"",IFERROR(VLOOKUP(F3312,PASHEET!$A$4:$CJ$103,87,0),""))</f>
        <v/>
      </c>
      <c r="I3340" s="68" t="s">
        <v>756</v>
      </c>
      <c r="J3340" s="69" t="str">
        <f>IF(F3312&gt;ENTRY!$D$24,"",IFERROR(IF(F3312&gt;0,H3340/F3340*100),""))</f>
        <v/>
      </c>
      <c r="K3340" s="60" t="s">
        <v>757</v>
      </c>
      <c r="L3340" s="70" t="str">
        <f ca="1">IF(F3312&gt;ENTRY!$D$24,"",IFERROR(L3336/600*100,""))</f>
        <v/>
      </c>
      <c r="M3340" s="47" t="str">
        <f ca="1">IF(F3312&gt;ENTRY!$D$24,"",IFERROR(L3336&amp;" / "&amp;"600",""))</f>
        <v/>
      </c>
      <c r="N3340" s="29"/>
      <c r="O3340" s="29"/>
      <c r="P3340" s="19"/>
      <c r="Q3340" s="19"/>
      <c r="R3340" s="11"/>
    </row>
    <row r="3341" s="1" customFormat="1" ht="9.95" customHeight="1" spans="1:18">
      <c r="A3341" s="7"/>
      <c r="B3341" s="12"/>
      <c r="C3341" s="39"/>
      <c r="D3341" s="40"/>
      <c r="E3341" s="40"/>
      <c r="F3341" s="40"/>
      <c r="G3341" s="40"/>
      <c r="H3341" s="40"/>
      <c r="I3341" s="40"/>
      <c r="J3341" s="40"/>
      <c r="K3341" s="40"/>
      <c r="L3341" s="40"/>
      <c r="M3341" s="40"/>
      <c r="N3341" s="40"/>
      <c r="O3341" s="40"/>
      <c r="P3341" s="41"/>
      <c r="Q3341" s="19"/>
      <c r="R3341" s="11"/>
    </row>
    <row r="3342" s="1" customFormat="1" ht="9.95" customHeight="1" spans="1:18">
      <c r="A3342" s="7"/>
      <c r="B3342" s="12"/>
      <c r="C3342" s="71"/>
      <c r="D3342" s="71"/>
      <c r="E3342" s="71"/>
      <c r="F3342" s="29"/>
      <c r="G3342" s="71"/>
      <c r="H3342" s="71"/>
      <c r="I3342" s="71"/>
      <c r="J3342" s="71"/>
      <c r="K3342" s="71"/>
      <c r="L3342" s="71"/>
      <c r="M3342" s="71"/>
      <c r="N3342" s="71"/>
      <c r="O3342" s="71"/>
      <c r="P3342" s="71"/>
      <c r="Q3342" s="19"/>
      <c r="R3342" s="11"/>
    </row>
    <row r="3343" s="1" customFormat="1" ht="9.95" customHeight="1" spans="1:18">
      <c r="A3343" s="7"/>
      <c r="B3343" s="12"/>
      <c r="C3343" s="29"/>
      <c r="D3343" s="29"/>
      <c r="E3343" s="29"/>
      <c r="F3343" s="72"/>
      <c r="G3343" s="29"/>
      <c r="H3343" s="29"/>
      <c r="I3343" s="29"/>
      <c r="J3343" s="29"/>
      <c r="K3343" s="29"/>
      <c r="L3343" s="29"/>
      <c r="M3343" s="29"/>
      <c r="N3343" s="29"/>
      <c r="O3343" s="29"/>
      <c r="P3343" s="29"/>
      <c r="Q3343" s="19"/>
      <c r="R3343" s="11"/>
    </row>
    <row r="3344" s="1" customFormat="1" ht="9.95" customHeight="1" spans="1:18">
      <c r="A3344" s="7"/>
      <c r="B3344" s="12"/>
      <c r="C3344" s="30"/>
      <c r="D3344" s="31"/>
      <c r="E3344" s="31"/>
      <c r="F3344" s="31"/>
      <c r="G3344" s="31"/>
      <c r="H3344" s="31"/>
      <c r="I3344" s="31"/>
      <c r="J3344" s="31"/>
      <c r="K3344" s="31"/>
      <c r="L3344" s="31"/>
      <c r="M3344" s="31"/>
      <c r="N3344" s="31"/>
      <c r="O3344" s="31"/>
      <c r="P3344" s="32"/>
      <c r="Q3344" s="19"/>
      <c r="R3344" s="11"/>
    </row>
    <row r="3345" s="1" customFormat="1" ht="21.95" customHeight="1" spans="1:19">
      <c r="A3345" s="7"/>
      <c r="B3345" s="12"/>
      <c r="C3345" s="73" t="s">
        <v>7</v>
      </c>
      <c r="D3345" s="13"/>
      <c r="E3345" s="13"/>
      <c r="F3345" s="13"/>
      <c r="G3345" s="13"/>
      <c r="H3345" s="13"/>
      <c r="I3345" s="13"/>
      <c r="J3345" s="13"/>
      <c r="K3345" s="13"/>
      <c r="L3345" s="13"/>
      <c r="M3345" s="13"/>
      <c r="N3345" s="13"/>
      <c r="O3345" s="13"/>
      <c r="P3345" s="74"/>
      <c r="Q3345" s="19"/>
      <c r="R3345" s="11"/>
      <c r="S3345" s="2"/>
    </row>
    <row r="3346" s="1" customFormat="1" ht="21.95" customHeight="1" spans="1:19">
      <c r="A3346" s="7"/>
      <c r="B3346" s="12"/>
      <c r="C3346" s="33"/>
      <c r="D3346" s="29"/>
      <c r="E3346" s="29"/>
      <c r="F3346" s="29"/>
      <c r="G3346" s="29"/>
      <c r="H3346" s="29"/>
      <c r="I3346" s="29"/>
      <c r="J3346" s="29"/>
      <c r="K3346" s="29"/>
      <c r="L3346" s="29"/>
      <c r="M3346" s="29"/>
      <c r="N3346" s="29"/>
      <c r="O3346" s="29"/>
      <c r="P3346" s="19"/>
      <c r="Q3346" s="19"/>
      <c r="R3346" s="11"/>
    </row>
    <row r="3347" s="1" customFormat="1" ht="21.95" customHeight="1" spans="1:19">
      <c r="A3347" s="7"/>
      <c r="B3347" s="12"/>
      <c r="C3347" s="75" t="str">
        <f>"SESSION-"&amp;ENTRY!$D$11</f>
        <v>SESSION-2026-27</v>
      </c>
      <c r="D3347" s="15"/>
      <c r="E3347" s="15"/>
      <c r="F3347" s="15"/>
      <c r="G3347" s="15"/>
      <c r="H3347" s="15"/>
      <c r="I3347" s="15"/>
      <c r="J3347" s="15"/>
      <c r="K3347" s="15"/>
      <c r="L3347" s="15"/>
      <c r="M3347" s="15"/>
      <c r="N3347" s="15"/>
      <c r="O3347" s="15"/>
      <c r="P3347" s="76"/>
      <c r="Q3347" s="19"/>
      <c r="R3347" s="11"/>
    </row>
    <row r="3348" s="1" customFormat="1" ht="18" customHeight="1" spans="1:19">
      <c r="A3348" s="7"/>
      <c r="B3348" s="12"/>
      <c r="C3348" s="33"/>
      <c r="D3348" s="29"/>
      <c r="E3348" s="29"/>
      <c r="F3348" s="29"/>
      <c r="G3348" s="29"/>
      <c r="H3348" s="29"/>
      <c r="I3348" s="29"/>
      <c r="J3348" s="29"/>
      <c r="K3348" s="29"/>
      <c r="L3348" s="29"/>
      <c r="M3348" s="29"/>
      <c r="N3348" s="29"/>
      <c r="O3348" s="29"/>
      <c r="P3348" s="19"/>
      <c r="Q3348" s="19"/>
      <c r="R3348" s="11"/>
    </row>
    <row r="3349" s="1" customFormat="1" ht="21.95" customHeight="1" spans="1:19">
      <c r="A3349" s="7"/>
      <c r="B3349" s="12"/>
      <c r="C3349" s="33"/>
      <c r="D3349" s="77" t="s">
        <v>758</v>
      </c>
      <c r="E3349" s="77"/>
      <c r="F3349" s="78" t="str">
        <f>IFERROR(PROPER(VLOOKUP(F3312,STUDENT!$A$2:$BP$101,5,0)),"")</f>
        <v/>
      </c>
      <c r="G3349" s="78"/>
      <c r="H3349" s="78"/>
      <c r="I3349" s="78"/>
      <c r="J3349" s="78"/>
      <c r="K3349" s="78"/>
      <c r="L3349" s="78"/>
      <c r="M3349" s="78"/>
      <c r="N3349" s="79" t="s">
        <v>759</v>
      </c>
      <c r="O3349" s="79"/>
      <c r="P3349" s="19"/>
      <c r="Q3349" s="19"/>
      <c r="R3349" s="11"/>
    </row>
    <row r="3350" s="1" customFormat="1" ht="21.95" customHeight="1" spans="1:19">
      <c r="A3350" s="7"/>
      <c r="B3350" s="12"/>
      <c r="C3350" s="33"/>
      <c r="D3350" s="80" t="s">
        <v>760</v>
      </c>
      <c r="E3350" s="81" t="str">
        <f>IFERROR(PROPER(VLOOKUP(F3312,STUDENT!$A$2:$BP$101,9,0)),"")</f>
        <v/>
      </c>
      <c r="F3350" s="81"/>
      <c r="G3350" s="81"/>
      <c r="H3350" s="80" t="s">
        <v>761</v>
      </c>
      <c r="I3350" s="82" t="str">
        <f>IFERROR(PROPER(VLOOKUP(F3312,STUDENT!$A$2:$BP$101,8,0)),"")</f>
        <v/>
      </c>
      <c r="J3350" s="82"/>
      <c r="K3350" s="82"/>
      <c r="L3350" s="82"/>
      <c r="M3350" s="80" t="s">
        <v>762</v>
      </c>
      <c r="N3350" s="83" t="str">
        <f>IFERROR(VLOOKUP(F3312,STUDENT!$A$2:$BP$101,59,0),"")</f>
        <v/>
      </c>
      <c r="O3350" s="83"/>
      <c r="P3350" s="19"/>
      <c r="Q3350" s="19"/>
      <c r="R3350" s="11"/>
    </row>
    <row r="3351" s="1" customFormat="1" ht="21.95" customHeight="1" spans="1:19">
      <c r="A3351" s="7"/>
      <c r="B3351" s="12"/>
      <c r="C3351" s="33"/>
      <c r="D3351" s="77" t="str">
        <f>"has    completed     his  /  her     primary     level     education    in    the    year    "&amp;RIGHT(ENTRY!$D3317,4)&amp;"    from    ( School    Name )"</f>
        <v>has    completed     his  /  her     primary     level     education    in    the    year        from    ( School    Name )</v>
      </c>
      <c r="E3351" s="77"/>
      <c r="F3351" s="77"/>
      <c r="G3351" s="77"/>
      <c r="H3351" s="77"/>
      <c r="I3351" s="77"/>
      <c r="J3351" s="77"/>
      <c r="K3351" s="77"/>
      <c r="L3351" s="77"/>
      <c r="M3351" s="77"/>
      <c r="N3351" s="77"/>
      <c r="O3351" s="77"/>
      <c r="P3351" s="19"/>
      <c r="Q3351" s="19"/>
      <c r="R3351" s="11"/>
    </row>
    <row r="3352" s="1" customFormat="1" ht="21.95" customHeight="1" spans="1:19">
      <c r="A3352" s="7"/>
      <c r="B3352" s="12"/>
      <c r="C3352" s="33"/>
      <c r="D3352" s="81" t="str">
        <f>IF(F3312&gt;0,ENTRY!$D$6,"")</f>
        <v>MCP NITHARI NO 1 BOYS</v>
      </c>
      <c r="E3352" s="81"/>
      <c r="F3352" s="81"/>
      <c r="G3352" s="81"/>
      <c r="H3352" s="81"/>
      <c r="I3352" s="81"/>
      <c r="J3352" s="81"/>
      <c r="K3352" s="81"/>
      <c r="L3352" s="81"/>
      <c r="M3352" s="80" t="s">
        <v>763</v>
      </c>
      <c r="N3352" s="84">
        <f>IF(F3312&gt;0,ENTRY!$D$7,"")</f>
        <v>0</v>
      </c>
      <c r="O3352" s="84"/>
      <c r="P3352" s="85" t="s">
        <v>727</v>
      </c>
      <c r="Q3352" s="19"/>
      <c r="R3352" s="11"/>
    </row>
    <row r="3353" s="1" customFormat="1" ht="21.95" customHeight="1" spans="1:19">
      <c r="A3353" s="7"/>
      <c r="B3353" s="12"/>
      <c r="C3353" s="33"/>
      <c r="D3353" s="29"/>
      <c r="E3353" s="29"/>
      <c r="F3353" s="29"/>
      <c r="G3353" s="29"/>
      <c r="H3353" s="29"/>
      <c r="I3353" s="29"/>
      <c r="J3353" s="29"/>
      <c r="K3353" s="29"/>
      <c r="L3353" s="29"/>
      <c r="M3353" s="29"/>
      <c r="N3353" s="29"/>
      <c r="O3353" s="29"/>
      <c r="P3353" s="19"/>
      <c r="Q3353" s="19"/>
      <c r="R3353" s="11"/>
    </row>
    <row r="3354" s="1" customFormat="1" ht="21.95" customHeight="1" spans="1:19">
      <c r="A3354" s="7"/>
      <c r="B3354" s="12"/>
      <c r="C3354" s="33"/>
      <c r="D3354" s="29"/>
      <c r="E3354" s="29"/>
      <c r="F3354" s="29"/>
      <c r="G3354" s="29"/>
      <c r="H3354" s="29"/>
      <c r="I3354" s="29"/>
      <c r="J3354" s="29"/>
      <c r="K3354" s="29"/>
      <c r="L3354" s="29"/>
      <c r="M3354" s="29"/>
      <c r="N3354" s="29"/>
      <c r="O3354" s="29"/>
      <c r="P3354" s="19"/>
      <c r="Q3354" s="19"/>
      <c r="R3354" s="11"/>
    </row>
    <row r="3355" s="1" customFormat="1" ht="21.95" customHeight="1" spans="1:19">
      <c r="A3355" s="7"/>
      <c r="B3355" s="12"/>
      <c r="C3355" s="33"/>
      <c r="D3355" s="29"/>
      <c r="E3355" s="29"/>
      <c r="F3355" s="29"/>
      <c r="G3355" s="29"/>
      <c r="H3355" s="29"/>
      <c r="I3355" s="29"/>
      <c r="J3355" s="29"/>
      <c r="K3355" s="29"/>
      <c r="L3355" s="29"/>
      <c r="M3355" s="29"/>
      <c r="N3355" s="29"/>
      <c r="O3355" s="29"/>
      <c r="P3355" s="19"/>
      <c r="Q3355" s="19"/>
      <c r="R3355" s="11"/>
    </row>
    <row r="3356" s="1" customFormat="1" ht="21.95" customHeight="1" spans="1:19">
      <c r="A3356" s="7"/>
      <c r="B3356" s="12"/>
      <c r="C3356" s="33"/>
      <c r="D3356" s="29"/>
      <c r="E3356" s="29"/>
      <c r="F3356" s="29"/>
      <c r="G3356" s="29"/>
      <c r="H3356" s="29"/>
      <c r="I3356" s="29"/>
      <c r="J3356" s="29"/>
      <c r="K3356" s="29"/>
      <c r="L3356" s="29"/>
      <c r="M3356" s="29"/>
      <c r="N3356" s="29"/>
      <c r="O3356" s="29"/>
      <c r="P3356" s="19"/>
      <c r="Q3356" s="19"/>
      <c r="R3356" s="11"/>
    </row>
    <row r="3357" s="1" customFormat="1" ht="21.95" customHeight="1" spans="1:19">
      <c r="A3357" s="7"/>
      <c r="B3357" s="12"/>
      <c r="C3357" s="33"/>
      <c r="D3357" s="29"/>
      <c r="E3357" s="29"/>
      <c r="F3357" s="29"/>
      <c r="G3357" s="29"/>
      <c r="H3357" s="29"/>
      <c r="I3357" s="29"/>
      <c r="J3357" s="29"/>
      <c r="K3357" s="29"/>
      <c r="L3357" s="29"/>
      <c r="M3357" s="29"/>
      <c r="N3357" s="29"/>
      <c r="O3357" s="29"/>
      <c r="P3357" s="19"/>
      <c r="Q3357" s="19"/>
      <c r="R3357" s="11"/>
    </row>
    <row r="3358" s="1" customFormat="1" ht="21.95" customHeight="1" spans="1:19">
      <c r="A3358" s="7"/>
      <c r="B3358" s="12"/>
      <c r="C3358" s="33"/>
      <c r="D3358" s="80" t="s">
        <v>728</v>
      </c>
      <c r="E3358" s="86">
        <f>ENTRY!$D$27</f>
        <v>46102</v>
      </c>
      <c r="F3358" s="86"/>
      <c r="G3358" s="29"/>
      <c r="H3358" s="29"/>
      <c r="I3358" s="29"/>
      <c r="J3358" s="29"/>
      <c r="K3358" s="29"/>
      <c r="L3358" s="29"/>
      <c r="M3358" s="87" t="s">
        <v>730</v>
      </c>
      <c r="N3358" s="87"/>
      <c r="O3358" s="87"/>
      <c r="P3358" s="19"/>
      <c r="Q3358" s="19"/>
      <c r="R3358" s="11"/>
    </row>
    <row r="3359" s="1" customFormat="1" ht="21.95" customHeight="1" spans="1:19">
      <c r="A3359" s="7"/>
      <c r="B3359" s="12"/>
      <c r="C3359" s="33"/>
      <c r="D3359" s="80" t="s">
        <v>731</v>
      </c>
      <c r="E3359" s="88" t="str">
        <f>PROPER(ENTRY!$D$28)</f>
        <v>New Delhi</v>
      </c>
      <c r="F3359" s="88"/>
      <c r="G3359" s="29"/>
      <c r="H3359" s="29"/>
      <c r="I3359" s="29"/>
      <c r="J3359" s="29"/>
      <c r="K3359" s="29"/>
      <c r="L3359" s="29"/>
      <c r="M3359" s="89" t="s">
        <v>732</v>
      </c>
      <c r="N3359" s="89"/>
      <c r="O3359" s="89"/>
      <c r="P3359" s="19"/>
      <c r="Q3359" s="19"/>
      <c r="R3359" s="11"/>
    </row>
    <row r="3360" s="1" customFormat="1" ht="21.95" customHeight="1" spans="1:19">
      <c r="A3360" s="7"/>
      <c r="B3360" s="12"/>
      <c r="C3360" s="90"/>
      <c r="D3360" s="91"/>
      <c r="E3360" s="91"/>
      <c r="F3360" s="91"/>
      <c r="G3360" s="91"/>
      <c r="H3360" s="91"/>
      <c r="I3360" s="91"/>
      <c r="J3360" s="91"/>
      <c r="K3360" s="91"/>
      <c r="L3360" s="91"/>
      <c r="M3360" s="91"/>
      <c r="N3360" s="91"/>
      <c r="O3360" s="91"/>
      <c r="P3360" s="92"/>
      <c r="Q3360" s="14"/>
      <c r="R3360" s="11"/>
    </row>
    <row r="3361" s="1" customFormat="1" ht="5.1" customHeight="1" spans="1:18">
      <c r="A3361" s="7"/>
      <c r="B3361" s="90"/>
      <c r="C3361" s="91"/>
      <c r="D3361" s="91"/>
      <c r="E3361" s="91"/>
      <c r="F3361" s="91"/>
      <c r="G3361" s="91"/>
      <c r="H3361" s="91"/>
      <c r="I3361" s="91"/>
      <c r="J3361" s="91"/>
      <c r="K3361" s="91"/>
      <c r="L3361" s="91"/>
      <c r="M3361" s="91"/>
      <c r="N3361" s="91"/>
      <c r="O3361" s="91"/>
      <c r="P3361" s="91"/>
      <c r="Q3361" s="92"/>
      <c r="R3361" s="11"/>
    </row>
    <row r="3362" s="1" customFormat="1" ht="5.1" customHeight="1" spans="1:18">
      <c r="A3362" s="93"/>
      <c r="B3362" s="94"/>
      <c r="C3362" s="94"/>
      <c r="D3362" s="94"/>
      <c r="E3362" s="94"/>
      <c r="F3362" s="94"/>
      <c r="G3362" s="94"/>
      <c r="H3362" s="94"/>
      <c r="I3362" s="94"/>
      <c r="J3362" s="94"/>
      <c r="K3362" s="94"/>
      <c r="L3362" s="94"/>
      <c r="M3362" s="94"/>
      <c r="N3362" s="94"/>
      <c r="O3362" s="94"/>
      <c r="P3362" s="94"/>
      <c r="Q3362" s="94"/>
      <c r="R3362" s="95"/>
    </row>
    <row r="3363" s="2" customFormat="1" ht="9.95" customHeight="1"/>
    <row r="3364" s="1" customFormat="1" ht="5.1" customHeight="1" spans="1:18">
      <c r="A3364" s="4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  <c r="O3364" s="5"/>
      <c r="P3364" s="5"/>
      <c r="Q3364" s="5"/>
      <c r="R3364" s="6"/>
    </row>
    <row r="3365" s="1" customFormat="1" ht="15" customHeight="1" spans="1:18">
      <c r="A3365" s="7"/>
      <c r="B3365" s="8"/>
      <c r="C3365" s="9"/>
      <c r="D3365" s="9"/>
      <c r="E3365" s="9"/>
      <c r="F3365" s="9"/>
      <c r="G3365" s="9"/>
      <c r="H3365" s="9"/>
      <c r="I3365" s="9"/>
      <c r="J3365" s="9"/>
      <c r="K3365" s="9"/>
      <c r="L3365" s="9"/>
      <c r="M3365" s="9"/>
      <c r="N3365" s="9"/>
      <c r="O3365" s="9"/>
      <c r="P3365" s="9"/>
      <c r="Q3365" s="10"/>
      <c r="R3365" s="11"/>
    </row>
    <row r="3366" s="1" customFormat="1" ht="21.95" customHeight="1" spans="1:18">
      <c r="A3366" s="7"/>
      <c r="B3366" s="12"/>
      <c r="C3366" s="13" t="s">
        <v>7</v>
      </c>
      <c r="D3366" s="13"/>
      <c r="E3366" s="13"/>
      <c r="F3366" s="13"/>
      <c r="G3366" s="13"/>
      <c r="H3366" s="13"/>
      <c r="I3366" s="13"/>
      <c r="J3366" s="13"/>
      <c r="K3366" s="13"/>
      <c r="L3366" s="13"/>
      <c r="M3366" s="13"/>
      <c r="N3366" s="13"/>
      <c r="O3366" s="13"/>
      <c r="P3366" s="13"/>
      <c r="Q3366" s="14"/>
      <c r="R3366" s="11"/>
    </row>
    <row r="3367" s="1" customFormat="1" ht="21.95" customHeight="1" spans="1:18">
      <c r="A3367" s="7"/>
      <c r="B3367" s="1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14"/>
      <c r="R3367" s="11"/>
    </row>
    <row r="3368" s="1" customFormat="1" ht="21.95" customHeight="1" spans="1:18">
      <c r="A3368" s="7"/>
      <c r="B3368" s="12"/>
      <c r="C3368" s="15" t="str">
        <f>"SESSION-"&amp;ENTRY!$D$11</f>
        <v>SESSION-2026-27</v>
      </c>
      <c r="D3368" s="15"/>
      <c r="E3368" s="15"/>
      <c r="F3368" s="15"/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4"/>
      <c r="R3368" s="11"/>
    </row>
    <row r="3369" s="1" customFormat="1" ht="21.95" customHeight="1" spans="1:18">
      <c r="A3369" s="7"/>
      <c r="B3369" s="12"/>
      <c r="C3369" s="2"/>
      <c r="D3369" s="2"/>
      <c r="E3369" s="2"/>
      <c r="F3369" s="16">
        <f>F3312+1</f>
        <v>60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14"/>
      <c r="R3369" s="11"/>
    </row>
    <row r="3370" s="1" customFormat="1" ht="21.95" customHeight="1" spans="1:18">
      <c r="A3370" s="7"/>
      <c r="B3370" s="12"/>
      <c r="C3370" s="17" t="s">
        <v>392</v>
      </c>
      <c r="D3370" s="17"/>
      <c r="E3370" s="17"/>
      <c r="F3370" s="18" t="str">
        <f>IF(F3369&gt;0,ENTRY!$D$6,"")</f>
        <v>MCP NITHARI NO 1 BOYS</v>
      </c>
      <c r="G3370" s="18"/>
      <c r="H3370" s="18"/>
      <c r="I3370" s="18"/>
      <c r="J3370" s="18"/>
      <c r="K3370" s="18"/>
      <c r="L3370" s="18"/>
      <c r="M3370" s="18"/>
      <c r="N3370" s="18"/>
      <c r="O3370" s="18"/>
      <c r="P3370" s="18"/>
      <c r="Q3370" s="19"/>
      <c r="R3370" s="11"/>
    </row>
    <row r="3371" s="1" customFormat="1" ht="21.95" customHeight="1" spans="1:18">
      <c r="A3371" s="7"/>
      <c r="B3371" s="12"/>
      <c r="C3371" s="17" t="s">
        <v>393</v>
      </c>
      <c r="D3371" s="17"/>
      <c r="E3371" s="17"/>
      <c r="F3371" s="18">
        <f>IF(F3369&gt;0,ENTRY!$D$7,"")</f>
        <v>0</v>
      </c>
      <c r="G3371" s="18"/>
      <c r="H3371" s="20" t="s">
        <v>702</v>
      </c>
      <c r="I3371" s="20"/>
      <c r="J3371" s="21">
        <f>IF(F3369&gt;0,ENTRY!$D$10,"")</f>
        <v>40</v>
      </c>
      <c r="K3371" s="20" t="s">
        <v>703</v>
      </c>
      <c r="L3371" s="22" t="str">
        <f>IF(F3369&gt;0,ENTRY!$D$5,"")</f>
        <v>ROHINI ZONE</v>
      </c>
      <c r="M3371" s="22"/>
      <c r="N3371" s="22"/>
      <c r="O3371" s="22"/>
      <c r="P3371" s="22"/>
      <c r="Q3371" s="19"/>
      <c r="R3371" s="11"/>
    </row>
    <row r="3372" s="1" customFormat="1" ht="21.95" customHeight="1" spans="1:18">
      <c r="A3372" s="7"/>
      <c r="B3372" s="12"/>
      <c r="C3372" s="17" t="s">
        <v>706</v>
      </c>
      <c r="D3372" s="17"/>
      <c r="E3372" s="17"/>
      <c r="F3372" s="23">
        <f>IFERROR(VLOOKUP(F3369,STUDENT!$A$2:$BP$101,5,0),"")</f>
        <v>0</v>
      </c>
      <c r="G3372" s="23"/>
      <c r="H3372" s="23"/>
      <c r="I3372" s="23"/>
      <c r="J3372" s="23"/>
      <c r="K3372" s="23"/>
      <c r="L3372" s="20" t="s">
        <v>707</v>
      </c>
      <c r="M3372" s="20"/>
      <c r="N3372" s="24" t="str">
        <f>IF(F3369&gt;0,ENTRY!$D$20&amp;"-"&amp;ENTRY!$D$21,"")</f>
        <v>III-A</v>
      </c>
      <c r="O3372" s="24"/>
      <c r="P3372" s="24"/>
      <c r="Q3372" s="19"/>
      <c r="R3372" s="11"/>
    </row>
    <row r="3373" s="1" customFormat="1" ht="21.95" customHeight="1" spans="1:18">
      <c r="A3373" s="7"/>
      <c r="B3373" s="12"/>
      <c r="C3373" s="17" t="s">
        <v>708</v>
      </c>
      <c r="D3373" s="17"/>
      <c r="E3373" s="17"/>
      <c r="F3373" s="25">
        <f>IFERROR(VLOOKUP(F3369,STUDENT!$A$2:$BP$101,6,0),"")</f>
        <v>0</v>
      </c>
      <c r="G3373" s="25"/>
      <c r="H3373" s="26" t="s">
        <v>709</v>
      </c>
      <c r="I3373" s="27" t="str">
        <f>IFERROR(VLOOKUP(F3369,STUDENT!$A$2:$BP$101,59,0),"")</f>
        <v/>
      </c>
      <c r="J3373" s="27"/>
      <c r="K3373" s="20" t="s">
        <v>710</v>
      </c>
      <c r="L3373" s="20"/>
      <c r="M3373" s="28">
        <f>IFERROR(VLOOKUP(F3369,STUDENT!$A$2:$BP$101,20,0),"")</f>
        <v>0</v>
      </c>
      <c r="N3373" s="28"/>
      <c r="O3373" s="28"/>
      <c r="P3373" s="28"/>
      <c r="Q3373" s="19"/>
      <c r="R3373" s="11"/>
    </row>
    <row r="3374" s="1" customFormat="1" ht="21.95" customHeight="1" spans="1:18">
      <c r="A3374" s="7"/>
      <c r="B3374" s="12"/>
      <c r="C3374" s="17" t="s">
        <v>711</v>
      </c>
      <c r="D3374" s="17"/>
      <c r="E3374" s="17"/>
      <c r="F3374" s="23">
        <f>IFERROR(VLOOKUP(F3369,STUDENT!$A$2:$BP$101,9,0),"")</f>
        <v>0</v>
      </c>
      <c r="G3374" s="23"/>
      <c r="H3374" s="23"/>
      <c r="I3374" s="23"/>
      <c r="J3374" s="17" t="s">
        <v>620</v>
      </c>
      <c r="K3374" s="17"/>
      <c r="L3374" s="23">
        <f>IFERROR(VLOOKUP(F3369,STUDENT!$A$2:$BP$101,8,0),"")</f>
        <v>0</v>
      </c>
      <c r="M3374" s="23"/>
      <c r="N3374" s="23"/>
      <c r="O3374" s="23"/>
      <c r="P3374" s="23"/>
      <c r="Q3374" s="19"/>
      <c r="R3374" s="11"/>
    </row>
    <row r="3375" s="1" customFormat="1" ht="21.95" customHeight="1" spans="1:18">
      <c r="A3375" s="7"/>
      <c r="B3375" s="12"/>
      <c r="C3375" s="17" t="s">
        <v>712</v>
      </c>
      <c r="D3375" s="17"/>
      <c r="E3375" s="17"/>
      <c r="F3375" s="23">
        <f>IFERROR(VLOOKUP(F3369,STUDENT!$A$2:$BP$101,22,0),"")</f>
        <v>0</v>
      </c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19"/>
      <c r="R3375" s="11"/>
    </row>
    <row r="3376" s="1" customFormat="1" ht="9.95" customHeight="1" spans="1:18">
      <c r="A3376" s="7"/>
      <c r="B3376" s="12"/>
      <c r="C3376" s="29"/>
      <c r="D3376" s="29"/>
      <c r="E3376" s="29"/>
      <c r="F3376" s="29"/>
      <c r="G3376" s="29"/>
      <c r="H3376" s="29"/>
      <c r="I3376" s="29"/>
      <c r="J3376" s="29"/>
      <c r="K3376" s="29"/>
      <c r="L3376" s="29"/>
      <c r="M3376" s="29"/>
      <c r="N3376" s="29"/>
      <c r="O3376" s="29"/>
      <c r="P3376" s="29"/>
      <c r="Q3376" s="19"/>
      <c r="R3376" s="11"/>
    </row>
    <row r="3377" s="1" customFormat="1" ht="9.95" customHeight="1" spans="1:18">
      <c r="A3377" s="7"/>
      <c r="B3377" s="12"/>
      <c r="C3377" s="30"/>
      <c r="D3377" s="31"/>
      <c r="E3377" s="31"/>
      <c r="F3377" s="31"/>
      <c r="G3377" s="31"/>
      <c r="H3377" s="31"/>
      <c r="I3377" s="31"/>
      <c r="J3377" s="31"/>
      <c r="K3377" s="31"/>
      <c r="L3377" s="31"/>
      <c r="M3377" s="31"/>
      <c r="N3377" s="31"/>
      <c r="O3377" s="31"/>
      <c r="P3377" s="32"/>
      <c r="Q3377" s="19"/>
      <c r="R3377" s="11"/>
    </row>
    <row r="3378" s="1" customFormat="1" ht="21.95" customHeight="1" spans="1:18">
      <c r="A3378" s="7"/>
      <c r="B3378" s="12"/>
      <c r="C3378" s="33"/>
      <c r="D3378" s="34" t="s">
        <v>713</v>
      </c>
      <c r="E3378" s="20" t="s">
        <v>714</v>
      </c>
      <c r="F3378" s="35" t="str">
        <f>"Level - "&amp;IFERROR(VLOOKUP(F3369,FLN!$A$4:$K$103,9,0),"")</f>
        <v>Level - </v>
      </c>
      <c r="G3378" s="36"/>
      <c r="H3378" s="37" t="s">
        <v>715</v>
      </c>
      <c r="I3378" s="20"/>
      <c r="J3378" s="35" t="str">
        <f>"Level - "&amp;IFERROR(VLOOKUP(F3369,FLN!$A$4:$K$103,11,0),"")</f>
        <v>Level - </v>
      </c>
      <c r="K3378" s="36"/>
      <c r="L3378" s="37" t="s">
        <v>408</v>
      </c>
      <c r="M3378" s="20"/>
      <c r="N3378" s="35" t="str">
        <f>"Level - "&amp;IFERROR(VLOOKUP(F3369,FLN!$A$4:$K$103,10,0),"")</f>
        <v>Level - </v>
      </c>
      <c r="O3378" s="36"/>
      <c r="P3378" s="19"/>
      <c r="Q3378" s="19"/>
      <c r="R3378" s="11"/>
    </row>
    <row r="3379" s="1" customFormat="1" ht="21.95" customHeight="1" spans="1:18">
      <c r="A3379" s="7"/>
      <c r="B3379" s="12"/>
      <c r="C3379" s="33"/>
      <c r="D3379" s="38"/>
      <c r="E3379" s="20" t="s">
        <v>716</v>
      </c>
      <c r="F3379" s="18" t="str">
        <f ca="1">IF(L3393&gt;197,"PERFORMED WELL","")</f>
        <v/>
      </c>
      <c r="G3379" s="18"/>
      <c r="H3379" s="18"/>
      <c r="I3379" s="18"/>
      <c r="J3379" s="18"/>
      <c r="K3379" s="18"/>
      <c r="L3379" s="18"/>
      <c r="M3379" s="18"/>
      <c r="N3379" s="18"/>
      <c r="O3379" s="18"/>
      <c r="P3379" s="19"/>
      <c r="Q3379" s="19"/>
      <c r="R3379" s="11"/>
    </row>
    <row r="3380" s="1" customFormat="1" ht="9.95" customHeight="1" spans="1:18">
      <c r="A3380" s="7"/>
      <c r="B3380" s="12"/>
      <c r="C3380" s="39"/>
      <c r="D3380" s="40"/>
      <c r="E3380" s="40"/>
      <c r="F3380" s="40"/>
      <c r="G3380" s="40"/>
      <c r="H3380" s="40"/>
      <c r="I3380" s="40"/>
      <c r="J3380" s="40"/>
      <c r="K3380" s="40"/>
      <c r="L3380" s="40"/>
      <c r="M3380" s="40"/>
      <c r="N3380" s="40"/>
      <c r="O3380" s="40"/>
      <c r="P3380" s="41"/>
      <c r="Q3380" s="19"/>
      <c r="R3380" s="11"/>
    </row>
    <row r="3381" s="1" customFormat="1" ht="9.95" customHeight="1" spans="1:18">
      <c r="A3381" s="7"/>
      <c r="B3381" s="12"/>
      <c r="C3381" s="29"/>
      <c r="D3381" s="29"/>
      <c r="E3381" s="29"/>
      <c r="F3381" s="29"/>
      <c r="G3381" s="29"/>
      <c r="H3381" s="29"/>
      <c r="I3381" s="29"/>
      <c r="J3381" s="29"/>
      <c r="K3381" s="29"/>
      <c r="L3381" s="29"/>
      <c r="M3381" s="29"/>
      <c r="N3381" s="29"/>
      <c r="O3381" s="29"/>
      <c r="P3381" s="29"/>
      <c r="Q3381" s="19"/>
      <c r="R3381" s="11"/>
    </row>
    <row r="3382" s="1" customFormat="1" ht="9.95" customHeight="1" spans="1:18">
      <c r="A3382" s="7"/>
      <c r="B3382" s="12"/>
      <c r="C3382" s="30"/>
      <c r="D3382" s="31"/>
      <c r="E3382" s="31"/>
      <c r="F3382" s="31"/>
      <c r="G3382" s="31"/>
      <c r="H3382" s="31"/>
      <c r="I3382" s="31"/>
      <c r="J3382" s="31"/>
      <c r="K3382" s="31"/>
      <c r="L3382" s="31"/>
      <c r="M3382" s="31"/>
      <c r="N3382" s="31"/>
      <c r="O3382" s="31"/>
      <c r="P3382" s="32"/>
      <c r="Q3382" s="19"/>
      <c r="R3382" s="11"/>
    </row>
    <row r="3383" s="1" customFormat="1" ht="21.95" customHeight="1" spans="1:18">
      <c r="A3383" s="7"/>
      <c r="B3383" s="12"/>
      <c r="C3383" s="33"/>
      <c r="D3383" s="35"/>
      <c r="E3383" s="24"/>
      <c r="F3383" s="42" t="s">
        <v>717</v>
      </c>
      <c r="G3383" s="42"/>
      <c r="H3383" s="42"/>
      <c r="I3383" s="42"/>
      <c r="J3383" s="42"/>
      <c r="K3383" s="42"/>
      <c r="L3383" s="43"/>
      <c r="M3383" s="44"/>
      <c r="N3383" s="29"/>
      <c r="O3383" s="29"/>
      <c r="P3383" s="19"/>
      <c r="Q3383" s="19"/>
      <c r="R3383" s="11"/>
    </row>
    <row r="3384" s="1" customFormat="1" ht="21.95" customHeight="1" spans="1:18">
      <c r="A3384" s="7"/>
      <c r="B3384" s="12"/>
      <c r="C3384" s="33"/>
      <c r="D3384" s="45"/>
      <c r="E3384" s="46"/>
      <c r="F3384" s="47" t="s">
        <v>541</v>
      </c>
      <c r="G3384" s="47" t="s">
        <v>542</v>
      </c>
      <c r="H3384" s="47" t="s">
        <v>543</v>
      </c>
      <c r="I3384" s="47" t="s">
        <v>544</v>
      </c>
      <c r="J3384" s="47" t="s">
        <v>561</v>
      </c>
      <c r="K3384" s="48" t="s">
        <v>750</v>
      </c>
      <c r="L3384" s="47" t="s">
        <v>382</v>
      </c>
      <c r="M3384" s="49" t="s">
        <v>546</v>
      </c>
      <c r="N3384" s="29"/>
      <c r="O3384" s="29"/>
      <c r="P3384" s="19"/>
      <c r="Q3384" s="19"/>
      <c r="R3384" s="11"/>
    </row>
    <row r="3385" s="1" customFormat="1" ht="21.95" customHeight="1" spans="1:18">
      <c r="A3385" s="7"/>
      <c r="B3385" s="12"/>
      <c r="C3385" s="33"/>
      <c r="D3385" s="45" t="s">
        <v>652</v>
      </c>
      <c r="E3385" s="46"/>
      <c r="F3385" s="50">
        <v>10</v>
      </c>
      <c r="G3385" s="50">
        <v>10</v>
      </c>
      <c r="H3385" s="50">
        <v>10</v>
      </c>
      <c r="I3385" s="50">
        <v>10</v>
      </c>
      <c r="J3385" s="50">
        <v>60</v>
      </c>
      <c r="K3385" s="51"/>
      <c r="L3385" s="50">
        <v>100</v>
      </c>
      <c r="M3385" s="49"/>
      <c r="N3385" s="29"/>
      <c r="O3385" s="29"/>
      <c r="P3385" s="19"/>
      <c r="Q3385" s="19"/>
      <c r="R3385" s="11"/>
    </row>
    <row r="3386" s="1" customFormat="1" ht="21.95" customHeight="1" spans="1:18">
      <c r="A3386" s="7"/>
      <c r="B3386" s="12"/>
      <c r="C3386" s="33"/>
      <c r="D3386" s="52" t="s">
        <v>751</v>
      </c>
      <c r="E3386" s="53"/>
      <c r="F3386" s="54" t="str">
        <f ca="1">IFERROR(VLOOKUP(F3369,'RR-3.1-5TH'!$A$12:'RR-3.1-5TH'!$BN$111,9,0),"")</f>
        <v/>
      </c>
      <c r="G3386" s="54" t="str">
        <f ca="1">IFERROR(VLOOKUP(F3369,'RR-3.1-5TH'!$A$12:'RR-3.1-5TH'!$BN$111,10,0),"")</f>
        <v/>
      </c>
      <c r="H3386" s="54" t="str">
        <f ca="1">IFERROR(VLOOKUP(F3369,'RR-3.1-5TH'!$A$12:'RR-3.1-5TH'!$BN$111,11,0),"")</f>
        <v/>
      </c>
      <c r="I3386" s="54" t="str">
        <f ca="1">IFERROR(VLOOKUP(F3369,'RR-3.1-5TH'!$A$12:'RR-3.1-5TH'!$BN$111,12,0),"")</f>
        <v/>
      </c>
      <c r="J3386" s="54" t="str">
        <f ca="1">IFERROR(VLOOKUP(F3369,'RR-3.1-5TH'!$A$12:'RR-3.1-5TH'!$BN$111,13,0),"")</f>
        <v/>
      </c>
      <c r="K3386" s="54" t="str">
        <f ca="1">IFERROR(VLOOKUP(F3369,'RR-3.1-5TH'!$A$12:'RR-3.1-5TH'!$BN$111,14,0),"")</f>
        <v/>
      </c>
      <c r="L3386" s="55">
        <f ca="1" t="shared" ref="L3386:L3391" si="177">SUM(F3386,G3386,H3386,I3386,J3386,K3386)</f>
        <v>0</v>
      </c>
      <c r="M3386" s="56" t="str">
        <f ca="1">IF(F3369&gt;ENTRY!$D$24,"",IF(L3386=0,"Ab",IF(L3386&gt;80,"A",IF(L3386&gt;60,"B",IF(L3386&gt;44,"C",IF(L3386&gt;=33,"D",IF(L3386&lt;=32,"E","")))))))</f>
        <v/>
      </c>
      <c r="N3386" s="57" t="s">
        <v>729</v>
      </c>
      <c r="O3386" s="58"/>
      <c r="P3386" s="59"/>
      <c r="Q3386" s="19"/>
      <c r="R3386" s="11"/>
    </row>
    <row r="3387" s="1" customFormat="1" ht="21.95" customHeight="1" spans="1:18">
      <c r="A3387" s="7"/>
      <c r="B3387" s="12"/>
      <c r="C3387" s="33"/>
      <c r="D3387" s="52" t="s">
        <v>513</v>
      </c>
      <c r="E3387" s="53"/>
      <c r="F3387" s="54" t="str">
        <f ca="1">IFERROR(VLOOKUP(F3369,'RR-3.1-5TH'!$A$12:'RR-3.1-5TH'!$BN$111,17,0),"")</f>
        <v/>
      </c>
      <c r="G3387" s="54" t="str">
        <f ca="1">IFERROR(VLOOKUP(F3369,'RR-3.1-5TH'!$A$12:'RR-3.1-5TH'!$BN$111,18,0),"")</f>
        <v/>
      </c>
      <c r="H3387" s="54" t="str">
        <f ca="1">IFERROR(VLOOKUP(F3369,'RR-3.1-5TH'!$A$12:'RR-3.1-5TH'!$BN$111,19,0),"")</f>
        <v/>
      </c>
      <c r="I3387" s="54" t="str">
        <f ca="1">IFERROR(VLOOKUP(F3369,'RR-3.1-5TH'!$A$12:'RR-3.1-5TH'!$BN$111,20,0),"")</f>
        <v/>
      </c>
      <c r="J3387" s="54" t="str">
        <f ca="1">IFERROR(VLOOKUP(F3369,'RR-3.1-5TH'!$A$12:'RR-3.1-5TH'!$BN$111,21,0),"")</f>
        <v/>
      </c>
      <c r="K3387" s="54" t="str">
        <f ca="1">IFERROR(VLOOKUP(F3369,'RR-3.1-5TH'!$A$12:'RR-3.1-5TH'!$BN$111,22,0),"")</f>
        <v/>
      </c>
      <c r="L3387" s="55">
        <f ca="1" t="shared" si="177"/>
        <v>0</v>
      </c>
      <c r="M3387" s="56" t="str">
        <f ca="1">IF(F3369&gt;ENTRY!$D$24,"",IF(L3387=0,"Ab",IF(L3387&gt;80,"A",IF(L3387&gt;60,"B",IF(L3387&gt;44,"C",IF(L3387&gt;=33,"D",IF(L3387&lt;=32,"E","")))))))</f>
        <v/>
      </c>
      <c r="N3387" s="58"/>
      <c r="O3387" s="58"/>
      <c r="P3387" s="59"/>
      <c r="Q3387" s="19"/>
      <c r="R3387" s="11"/>
    </row>
    <row r="3388" s="1" customFormat="1" ht="21.95" customHeight="1" spans="1:18">
      <c r="A3388" s="7"/>
      <c r="B3388" s="12"/>
      <c r="C3388" s="33"/>
      <c r="D3388" s="52" t="s">
        <v>718</v>
      </c>
      <c r="E3388" s="53"/>
      <c r="F3388" s="54" t="str">
        <f ca="1">IFERROR(VLOOKUP(F3369,'RR-3.1-5TH'!$A$12:'RR-3.1-5TH'!$BN$111,25,0),"")</f>
        <v/>
      </c>
      <c r="G3388" s="54" t="str">
        <f ca="1">IFERROR(VLOOKUP(F3369,'RR-3.1-5TH'!$A$12:'RR-3.1-5TH'!$BN$111,26,0),"")</f>
        <v/>
      </c>
      <c r="H3388" s="54" t="str">
        <f ca="1">IFERROR(VLOOKUP(F3369,'RR-3.1-5TH'!$A$12:'RR-3.1-5TH'!$BN$111,27,0),"")</f>
        <v/>
      </c>
      <c r="I3388" s="54" t="str">
        <f ca="1">IFERROR(VLOOKUP(F3369,'RR-3.1-5TH'!$A$12:'RR-3.1-5TH'!$BN$111,28,0),"")</f>
        <v/>
      </c>
      <c r="J3388" s="54" t="str">
        <f ca="1">IFERROR(VLOOKUP(F3369,'RR-3.1-5TH'!$A$12:'RR-3.1-5TH'!$BN$111,29,0),"")</f>
        <v/>
      </c>
      <c r="K3388" s="54" t="str">
        <f ca="1">IFERROR(VLOOKUP(F3369,'RR-3.1-5TH'!$A$12:'RR-3.1-5TH'!$BN$111,30,0),"")</f>
        <v/>
      </c>
      <c r="L3388" s="55">
        <f ca="1" t="shared" si="177"/>
        <v>0</v>
      </c>
      <c r="M3388" s="56" t="str">
        <f ca="1">IF(F3369&gt;ENTRY!$D$24,"",IF(L3388=0,"Ab",IF(L3388&gt;80,"A",IF(L3388&gt;60,"B",IF(L3388&gt;44,"C",IF(L3388&gt;=33,"D",IF(L3388&lt;=32,"E","")))))))</f>
        <v/>
      </c>
      <c r="N3388" s="29"/>
      <c r="O3388" s="29"/>
      <c r="P3388" s="19"/>
      <c r="Q3388" s="19"/>
      <c r="R3388" s="11"/>
    </row>
    <row r="3389" s="1" customFormat="1" ht="21.95" customHeight="1" spans="1:18">
      <c r="A3389" s="7"/>
      <c r="B3389" s="12"/>
      <c r="C3389" s="33"/>
      <c r="D3389" s="52" t="s">
        <v>719</v>
      </c>
      <c r="E3389" s="53"/>
      <c r="F3389" s="54" t="str">
        <f ca="1">IFERROR(VLOOKUP(F3369,'RR-3.1-5TH'!$A$12:'RR-3.1-5TH'!$BN$111,33,0),"")</f>
        <v/>
      </c>
      <c r="G3389" s="54" t="str">
        <f ca="1">IFERROR(VLOOKUP(F3369,'RR-3.1-5TH'!$A$12:'RR-3.1-5TH'!$BN$111,34,0),"")</f>
        <v/>
      </c>
      <c r="H3389" s="54" t="str">
        <f ca="1">IFERROR(VLOOKUP(F3369,'RR-3.1-5TH'!$A$12:'RR-3.1-5TH'!$BN$111,35,0),"")</f>
        <v/>
      </c>
      <c r="I3389" s="54" t="str">
        <f ca="1">IFERROR(VLOOKUP(F3369,'RR-3.1-5TH'!$A$12:'RR-3.1-5TH'!$BN$111,36,0),"")</f>
        <v/>
      </c>
      <c r="J3389" s="54" t="str">
        <f ca="1">IFERROR(VLOOKUP(F3369,'RR-3.1-5TH'!$A$12:'RR-3.1-5TH'!$BN$111,37,0),"")</f>
        <v/>
      </c>
      <c r="K3389" s="54" t="str">
        <f ca="1">IFERROR(VLOOKUP(F3369,'RR-3.1-5TH'!$A$12:'RR-3.1-5TH'!$BN$111,38,0),"")</f>
        <v/>
      </c>
      <c r="L3389" s="55">
        <f ca="1" t="shared" si="177"/>
        <v>0</v>
      </c>
      <c r="M3389" s="56" t="str">
        <f ca="1">IF(F3369&gt;ENTRY!$D$24,"",IF(L3389=0,"Ab",IF(L3389&gt;80,"A",IF(L3389&gt;60,"B",IF(L3389&gt;44,"C",IF(L3389&gt;=33,"D",IF(L3389&lt;=32,"E","")))))))</f>
        <v/>
      </c>
      <c r="N3389" s="29"/>
      <c r="O3389" s="29"/>
      <c r="P3389" s="19"/>
      <c r="Q3389" s="19"/>
      <c r="R3389" s="11"/>
    </row>
    <row r="3390" s="1" customFormat="1" ht="21.95" customHeight="1" spans="1:18">
      <c r="A3390" s="7"/>
      <c r="B3390" s="12"/>
      <c r="C3390" s="33"/>
      <c r="D3390" s="52" t="s">
        <v>548</v>
      </c>
      <c r="E3390" s="53"/>
      <c r="F3390" s="54" t="str">
        <f ca="1">IFERROR(VLOOKUP(F3369,'RR-3.1-5TH'!$A$12:'RR-3.1-5TH'!$BN$111,41,0),"")</f>
        <v/>
      </c>
      <c r="G3390" s="54" t="str">
        <f ca="1">IFERROR(VLOOKUP(F3369,'RR-3.1-5TH'!$A$12:'RR-3.1-5TH'!$BN$111,42,0),"")</f>
        <v/>
      </c>
      <c r="H3390" s="54" t="str">
        <f ca="1">IFERROR(VLOOKUP(F3369,'RR-3.1-5TH'!$A$12:'RR-3.1-5TH'!$BN$111,43,0),"")</f>
        <v/>
      </c>
      <c r="I3390" s="54" t="str">
        <f ca="1">IFERROR(VLOOKUP(F3369,'RR-3.1-5TH'!$A$12:'RR-3.1-5TH'!$BN$111,44,0),"")</f>
        <v/>
      </c>
      <c r="J3390" s="54" t="str">
        <f ca="1">IFERROR(VLOOKUP(F3369,'RR-3.1-5TH'!$A$12:'RR-3.1-5TH'!$BN$111,45,0),"")</f>
        <v/>
      </c>
      <c r="K3390" s="54" t="str">
        <f ca="1">IFERROR(VLOOKUP(F3369,'RR-3.1-5TH'!$A$12:'RR-3.1-5TH'!$BN$111,46,0),"")</f>
        <v/>
      </c>
      <c r="L3390" s="55">
        <f ca="1" t="shared" si="177"/>
        <v>0</v>
      </c>
      <c r="M3390" s="56" t="str">
        <f ca="1">IF(F3369&gt;ENTRY!$D$24,"",IF(L3390=0,"Ab",IF(L3390&gt;80,"A",IF(L3390&gt;60,"B",IF(L3390&gt;44,"C",IF(L3390&gt;=33,"D",IF(L3390&lt;=32,"E","")))))))</f>
        <v/>
      </c>
      <c r="N3390" s="29"/>
      <c r="O3390" s="29"/>
      <c r="P3390" s="19"/>
      <c r="Q3390" s="19"/>
      <c r="R3390" s="11"/>
    </row>
    <row r="3391" s="1" customFormat="1" ht="21.95" customHeight="1" spans="1:18">
      <c r="A3391" s="7"/>
      <c r="B3391" s="12"/>
      <c r="C3391" s="33"/>
      <c r="D3391" s="52" t="s">
        <v>549</v>
      </c>
      <c r="E3391" s="53"/>
      <c r="F3391" s="54" t="str">
        <f ca="1">IFERROR(VLOOKUP(F3369,'RR-3.1-5TH'!$A$12:'RR-3.1-5TH'!$BN$111,49,0),"")</f>
        <v/>
      </c>
      <c r="G3391" s="54" t="str">
        <f ca="1">IFERROR(VLOOKUP(F3369,'RR-3.1-5TH'!$A$12:'RR-3.1-5TH'!$BN$111,50,0),"")</f>
        <v/>
      </c>
      <c r="H3391" s="54" t="str">
        <f ca="1">IFERROR(VLOOKUP(F3369,'RR-3.1-5TH'!$A$12:'RR-3.1-5TH'!$BN$111,51,0),"")</f>
        <v/>
      </c>
      <c r="I3391" s="54" t="str">
        <f ca="1">IFERROR(VLOOKUP(F3369,'RR-3.1-5TH'!$A$12:'RR-3.1-5TH'!$BN$111,52,0),"")</f>
        <v/>
      </c>
      <c r="J3391" s="54" t="str">
        <f ca="1">IFERROR(VLOOKUP(F3369,'RR-3.1-5TH'!$A$12:'RR-3.1-5TH'!$BN$111,53,0),"")</f>
        <v/>
      </c>
      <c r="K3391" s="54" t="str">
        <f ca="1">IFERROR(VLOOKUP(F3369,'RR-3.1-5TH'!$A$12:'RR-3.1-5TH'!$BN$111,54,0),"")</f>
        <v/>
      </c>
      <c r="L3391" s="55">
        <f ca="1" t="shared" si="177"/>
        <v>0</v>
      </c>
      <c r="M3391" s="56" t="str">
        <f ca="1">IF(F3369&gt;ENTRY!$D$24,"",IF(L3391=0,"Ab",IF(L3391&gt;80,"A",IF(L3391&gt;60,"B",IF(L3391&gt;44,"C",IF(L3391&gt;=33,"D",IF(L3391&lt;=32,"E","")))))))</f>
        <v/>
      </c>
      <c r="N3391" s="57" t="s">
        <v>752</v>
      </c>
      <c r="O3391" s="58"/>
      <c r="P3391" s="59"/>
      <c r="Q3391" s="19"/>
      <c r="R3391" s="11"/>
    </row>
    <row r="3392" s="1" customFormat="1" ht="21.95" customHeight="1" spans="1:18">
      <c r="A3392" s="7"/>
      <c r="B3392" s="12"/>
      <c r="C3392" s="33"/>
      <c r="D3392" s="52" t="s">
        <v>753</v>
      </c>
      <c r="E3392" s="53"/>
      <c r="F3392" s="60"/>
      <c r="G3392" s="54"/>
      <c r="H3392" s="54"/>
      <c r="I3392" s="54"/>
      <c r="J3392" s="54"/>
      <c r="K3392" s="54"/>
      <c r="L3392" s="55">
        <f t="shared" ref="L3392" si="178">SUM(G3392:K3392)</f>
        <v>0</v>
      </c>
      <c r="M3392" s="56" t="str">
        <f>IF(F3369&gt;ENTRY!$D$24,"",IF(L3392=0,"",IF(L3392&gt;79,"A",IF(L3392&gt;59,"B",IF(L3392&gt;44,"C",IF(L3392&gt;=33,"D",IF(L3392&lt;=32,"E","")))))))</f>
        <v/>
      </c>
      <c r="N3392" s="58"/>
      <c r="O3392" s="58"/>
      <c r="P3392" s="59"/>
      <c r="Q3392" s="19"/>
      <c r="R3392" s="11"/>
    </row>
    <row r="3393" s="1" customFormat="1" ht="21.95" customHeight="1" spans="1:19">
      <c r="A3393" s="7"/>
      <c r="B3393" s="12"/>
      <c r="C3393" s="33"/>
      <c r="D3393" s="45" t="s">
        <v>382</v>
      </c>
      <c r="E3393" s="46"/>
      <c r="F3393" s="54">
        <f ca="1" t="shared" ref="F3393:L3393" si="179">IFERROR(SUM(F3386:F3392),"")</f>
        <v>0</v>
      </c>
      <c r="G3393" s="54">
        <f ca="1" t="shared" si="179"/>
        <v>0</v>
      </c>
      <c r="H3393" s="54">
        <f ca="1" t="shared" si="179"/>
        <v>0</v>
      </c>
      <c r="I3393" s="54">
        <f ca="1" t="shared" si="179"/>
        <v>0</v>
      </c>
      <c r="J3393" s="54">
        <f ca="1" t="shared" si="179"/>
        <v>0</v>
      </c>
      <c r="K3393" s="54">
        <f ca="1" t="shared" si="179"/>
        <v>0</v>
      </c>
      <c r="L3393" s="55">
        <f ca="1" t="shared" si="179"/>
        <v>0</v>
      </c>
      <c r="M3393" s="61" t="str">
        <f ca="1">IF(F3369&gt;ENTRY!$D$24,"",IF(N3394="Ab","Ab",IF(N3394&gt;79.5,"A",IF(N3394&gt;59.5,"B",IF(N3394&gt;44.5,"C",IF(N3394&gt;=33,"D",IF(N3394&lt;33,"E","")))))))</f>
        <v/>
      </c>
      <c r="N3393" s="62"/>
      <c r="O3393" s="58"/>
      <c r="P3393" s="59"/>
      <c r="Q3393" s="19"/>
      <c r="R3393" s="11"/>
    </row>
    <row r="3394" s="1" customFormat="1" ht="21.95" customHeight="1" spans="1:19">
      <c r="A3394" s="7"/>
      <c r="B3394" s="12"/>
      <c r="C3394" s="33"/>
      <c r="D3394" s="63" t="s">
        <v>721</v>
      </c>
      <c r="E3394" s="63"/>
      <c r="F3394" s="63"/>
      <c r="G3394" s="63"/>
      <c r="H3394" s="63"/>
      <c r="I3394" s="63"/>
      <c r="J3394" s="63"/>
      <c r="K3394" s="63"/>
      <c r="L3394" s="63"/>
      <c r="M3394" s="63"/>
      <c r="N3394" s="64">
        <f ca="1">IF(L3393="Ab","Ab",L3393/6)</f>
        <v>0</v>
      </c>
      <c r="O3394" s="65"/>
      <c r="P3394" s="19"/>
      <c r="Q3394" s="19"/>
      <c r="R3394" s="11"/>
    </row>
    <row r="3395" s="1" customFormat="1" ht="21.95" customHeight="1" spans="1:19">
      <c r="A3395" s="7"/>
      <c r="B3395" s="12"/>
      <c r="C3395" s="33"/>
      <c r="D3395" s="29" t="s">
        <v>716</v>
      </c>
      <c r="E3395" s="18" t="str">
        <f>IFERROR(VLOOKUP(F3369,'1to4-2.1-RR'!$A$12:$BG$111,57,0),"")</f>
        <v/>
      </c>
      <c r="F3395" s="18"/>
      <c r="G3395" s="18"/>
      <c r="H3395" s="18"/>
      <c r="I3395" s="18"/>
      <c r="J3395" s="18"/>
      <c r="K3395" s="18"/>
      <c r="L3395" s="18"/>
      <c r="M3395" s="18"/>
      <c r="N3395" s="29"/>
      <c r="O3395" s="29"/>
      <c r="P3395" s="19"/>
      <c r="Q3395" s="19"/>
      <c r="R3395" s="11"/>
    </row>
    <row r="3396" s="1" customFormat="1" ht="9.95" customHeight="1" spans="1:19">
      <c r="A3396" s="7"/>
      <c r="B3396" s="12"/>
      <c r="C3396" s="33"/>
      <c r="D3396" s="29"/>
      <c r="E3396" s="29"/>
      <c r="F3396" s="29"/>
      <c r="G3396" s="29"/>
      <c r="H3396" s="29"/>
      <c r="I3396" s="29"/>
      <c r="J3396" s="29"/>
      <c r="K3396" s="29"/>
      <c r="L3396" s="29"/>
      <c r="M3396" s="29"/>
      <c r="N3396" s="29"/>
      <c r="O3396" s="29"/>
      <c r="P3396" s="19"/>
      <c r="Q3396" s="19"/>
      <c r="R3396" s="11"/>
    </row>
    <row r="3397" s="1" customFormat="1" ht="36" spans="1:19">
      <c r="A3397" s="7"/>
      <c r="B3397" s="12"/>
      <c r="C3397" s="33"/>
      <c r="D3397" s="66" t="s">
        <v>576</v>
      </c>
      <c r="E3397" s="67" t="s">
        <v>754</v>
      </c>
      <c r="F3397" s="47" t="str">
        <f>IF(F3369&gt;ENTRY!$D$24,"",IFERROR(VLOOKUP(F3369,PASHEET!$A$4:$CJ$103,88,0),""))</f>
        <v/>
      </c>
      <c r="G3397" s="67" t="s">
        <v>755</v>
      </c>
      <c r="H3397" s="47" t="str">
        <f>IF(F3369&gt;ENTRY!$D$24,"",IFERROR(VLOOKUP(F3369,PASHEET!$A$4:$CJ$103,87,0),""))</f>
        <v/>
      </c>
      <c r="I3397" s="68" t="s">
        <v>756</v>
      </c>
      <c r="J3397" s="69" t="str">
        <f>IF(F3369&gt;ENTRY!$D$24,"",IFERROR(IF(F3369&gt;0,H3397/F3397*100),""))</f>
        <v/>
      </c>
      <c r="K3397" s="60" t="s">
        <v>757</v>
      </c>
      <c r="L3397" s="70" t="str">
        <f ca="1">IF(F3369&gt;ENTRY!$D$24,"",IFERROR(L3393/600*100,""))</f>
        <v/>
      </c>
      <c r="M3397" s="47" t="str">
        <f ca="1">IF(F3369&gt;ENTRY!$D$24,"",IFERROR(L3393&amp;" / "&amp;"600",""))</f>
        <v/>
      </c>
      <c r="N3397" s="29"/>
      <c r="O3397" s="29"/>
      <c r="P3397" s="19"/>
      <c r="Q3397" s="19"/>
      <c r="R3397" s="11"/>
    </row>
    <row r="3398" s="1" customFormat="1" ht="9.95" customHeight="1" spans="1:19">
      <c r="A3398" s="7"/>
      <c r="B3398" s="12"/>
      <c r="C3398" s="39"/>
      <c r="D3398" s="40"/>
      <c r="E3398" s="40"/>
      <c r="F3398" s="40"/>
      <c r="G3398" s="40"/>
      <c r="H3398" s="40"/>
      <c r="I3398" s="40"/>
      <c r="J3398" s="40"/>
      <c r="K3398" s="40"/>
      <c r="L3398" s="40"/>
      <c r="M3398" s="40"/>
      <c r="N3398" s="40"/>
      <c r="O3398" s="40"/>
      <c r="P3398" s="41"/>
      <c r="Q3398" s="19"/>
      <c r="R3398" s="11"/>
    </row>
    <row r="3399" s="1" customFormat="1" ht="9.95" customHeight="1" spans="1:19">
      <c r="A3399" s="7"/>
      <c r="B3399" s="12"/>
      <c r="C3399" s="71"/>
      <c r="D3399" s="71"/>
      <c r="E3399" s="71"/>
      <c r="F3399" s="29"/>
      <c r="G3399" s="71"/>
      <c r="H3399" s="71"/>
      <c r="I3399" s="71"/>
      <c r="J3399" s="71"/>
      <c r="K3399" s="71"/>
      <c r="L3399" s="71"/>
      <c r="M3399" s="71"/>
      <c r="N3399" s="71"/>
      <c r="O3399" s="71"/>
      <c r="P3399" s="71"/>
      <c r="Q3399" s="19"/>
      <c r="R3399" s="11"/>
    </row>
    <row r="3400" s="1" customFormat="1" ht="9.95" customHeight="1" spans="1:19">
      <c r="A3400" s="7"/>
      <c r="B3400" s="12"/>
      <c r="C3400" s="29"/>
      <c r="D3400" s="29"/>
      <c r="E3400" s="29"/>
      <c r="F3400" s="72"/>
      <c r="G3400" s="29"/>
      <c r="H3400" s="29"/>
      <c r="I3400" s="29"/>
      <c r="J3400" s="29"/>
      <c r="K3400" s="29"/>
      <c r="L3400" s="29"/>
      <c r="M3400" s="29"/>
      <c r="N3400" s="29"/>
      <c r="O3400" s="29"/>
      <c r="P3400" s="29"/>
      <c r="Q3400" s="19"/>
      <c r="R3400" s="11"/>
    </row>
    <row r="3401" s="1" customFormat="1" ht="9.95" customHeight="1" spans="1:19">
      <c r="A3401" s="7"/>
      <c r="B3401" s="12"/>
      <c r="C3401" s="30"/>
      <c r="D3401" s="31"/>
      <c r="E3401" s="31"/>
      <c r="F3401" s="31"/>
      <c r="G3401" s="31"/>
      <c r="H3401" s="31"/>
      <c r="I3401" s="31"/>
      <c r="J3401" s="31"/>
      <c r="K3401" s="31"/>
      <c r="L3401" s="31"/>
      <c r="M3401" s="31"/>
      <c r="N3401" s="31"/>
      <c r="O3401" s="31"/>
      <c r="P3401" s="32"/>
      <c r="Q3401" s="19"/>
      <c r="R3401" s="11"/>
    </row>
    <row r="3402" s="1" customFormat="1" ht="21.95" customHeight="1" spans="1:19">
      <c r="A3402" s="7"/>
      <c r="B3402" s="12"/>
      <c r="C3402" s="73" t="s">
        <v>7</v>
      </c>
      <c r="D3402" s="13"/>
      <c r="E3402" s="13"/>
      <c r="F3402" s="13"/>
      <c r="G3402" s="13"/>
      <c r="H3402" s="13"/>
      <c r="I3402" s="13"/>
      <c r="J3402" s="13"/>
      <c r="K3402" s="13"/>
      <c r="L3402" s="13"/>
      <c r="M3402" s="13"/>
      <c r="N3402" s="13"/>
      <c r="O3402" s="13"/>
      <c r="P3402" s="74"/>
      <c r="Q3402" s="19"/>
      <c r="R3402" s="11"/>
      <c r="S3402" s="2"/>
    </row>
    <row r="3403" s="1" customFormat="1" ht="21.95" customHeight="1" spans="1:19">
      <c r="A3403" s="7"/>
      <c r="B3403" s="12"/>
      <c r="C3403" s="33"/>
      <c r="D3403" s="29"/>
      <c r="E3403" s="29"/>
      <c r="F3403" s="29"/>
      <c r="G3403" s="29"/>
      <c r="H3403" s="29"/>
      <c r="I3403" s="29"/>
      <c r="J3403" s="29"/>
      <c r="K3403" s="29"/>
      <c r="L3403" s="29"/>
      <c r="M3403" s="29"/>
      <c r="N3403" s="29"/>
      <c r="O3403" s="29"/>
      <c r="P3403" s="19"/>
      <c r="Q3403" s="19"/>
      <c r="R3403" s="11"/>
    </row>
    <row r="3404" s="1" customFormat="1" ht="21.95" customHeight="1" spans="1:19">
      <c r="A3404" s="7"/>
      <c r="B3404" s="12"/>
      <c r="C3404" s="75" t="str">
        <f>"SESSION-"&amp;ENTRY!$D$11</f>
        <v>SESSION-2026-27</v>
      </c>
      <c r="D3404" s="15"/>
      <c r="E3404" s="15"/>
      <c r="F3404" s="15"/>
      <c r="G3404" s="15"/>
      <c r="H3404" s="15"/>
      <c r="I3404" s="15"/>
      <c r="J3404" s="15"/>
      <c r="K3404" s="15"/>
      <c r="L3404" s="15"/>
      <c r="M3404" s="15"/>
      <c r="N3404" s="15"/>
      <c r="O3404" s="15"/>
      <c r="P3404" s="76"/>
      <c r="Q3404" s="19"/>
      <c r="R3404" s="11"/>
    </row>
    <row r="3405" s="1" customFormat="1" ht="18" customHeight="1" spans="1:19">
      <c r="A3405" s="7"/>
      <c r="B3405" s="12"/>
      <c r="C3405" s="33"/>
      <c r="D3405" s="29"/>
      <c r="E3405" s="29"/>
      <c r="F3405" s="29"/>
      <c r="G3405" s="29"/>
      <c r="H3405" s="29"/>
      <c r="I3405" s="29"/>
      <c r="J3405" s="29"/>
      <c r="K3405" s="29"/>
      <c r="L3405" s="29"/>
      <c r="M3405" s="29"/>
      <c r="N3405" s="29"/>
      <c r="O3405" s="29"/>
      <c r="P3405" s="19"/>
      <c r="Q3405" s="19"/>
      <c r="R3405" s="11"/>
    </row>
    <row r="3406" s="1" customFormat="1" ht="21.95" customHeight="1" spans="1:19">
      <c r="A3406" s="7"/>
      <c r="B3406" s="12"/>
      <c r="C3406" s="33"/>
      <c r="D3406" s="77" t="s">
        <v>758</v>
      </c>
      <c r="E3406" s="77"/>
      <c r="F3406" s="78" t="str">
        <f>IFERROR(PROPER(VLOOKUP(F3369,STUDENT!$A$2:$BP$101,5,0)),"")</f>
        <v/>
      </c>
      <c r="G3406" s="78"/>
      <c r="H3406" s="78"/>
      <c r="I3406" s="78"/>
      <c r="J3406" s="78"/>
      <c r="K3406" s="78"/>
      <c r="L3406" s="78"/>
      <c r="M3406" s="78"/>
      <c r="N3406" s="79" t="s">
        <v>759</v>
      </c>
      <c r="O3406" s="79"/>
      <c r="P3406" s="19"/>
      <c r="Q3406" s="19"/>
      <c r="R3406" s="11"/>
    </row>
    <row r="3407" s="1" customFormat="1" ht="21.95" customHeight="1" spans="1:19">
      <c r="A3407" s="7"/>
      <c r="B3407" s="12"/>
      <c r="C3407" s="33"/>
      <c r="D3407" s="80" t="s">
        <v>760</v>
      </c>
      <c r="E3407" s="81" t="str">
        <f>IFERROR(PROPER(VLOOKUP(F3369,STUDENT!$A$2:$BP$101,9,0)),"")</f>
        <v/>
      </c>
      <c r="F3407" s="81"/>
      <c r="G3407" s="81"/>
      <c r="H3407" s="80" t="s">
        <v>761</v>
      </c>
      <c r="I3407" s="82" t="str">
        <f>IFERROR(PROPER(VLOOKUP(F3369,STUDENT!$A$2:$BP$101,8,0)),"")</f>
        <v/>
      </c>
      <c r="J3407" s="82"/>
      <c r="K3407" s="82"/>
      <c r="L3407" s="82"/>
      <c r="M3407" s="80" t="s">
        <v>762</v>
      </c>
      <c r="N3407" s="83" t="str">
        <f>IFERROR(VLOOKUP(F3369,STUDENT!$A$2:$BP$101,59,0),"")</f>
        <v/>
      </c>
      <c r="O3407" s="83"/>
      <c r="P3407" s="19"/>
      <c r="Q3407" s="19"/>
      <c r="R3407" s="11"/>
    </row>
    <row r="3408" s="1" customFormat="1" ht="21.95" customHeight="1" spans="1:19">
      <c r="A3408" s="7"/>
      <c r="B3408" s="12"/>
      <c r="C3408" s="33"/>
      <c r="D3408" s="77" t="str">
        <f>"has    completed     his  /  her     primary     level     education    in    the    year    "&amp;RIGHT(ENTRY!$D3374,4)&amp;"    from    ( School    Name )"</f>
        <v>has    completed     his  /  her     primary     level     education    in    the    year        from    ( School    Name )</v>
      </c>
      <c r="E3408" s="77"/>
      <c r="F3408" s="77"/>
      <c r="G3408" s="77"/>
      <c r="H3408" s="77"/>
      <c r="I3408" s="77"/>
      <c r="J3408" s="77"/>
      <c r="K3408" s="77"/>
      <c r="L3408" s="77"/>
      <c r="M3408" s="77"/>
      <c r="N3408" s="77"/>
      <c r="O3408" s="77"/>
      <c r="P3408" s="19"/>
      <c r="Q3408" s="19"/>
      <c r="R3408" s="11"/>
    </row>
    <row r="3409" s="1" customFormat="1" ht="21.95" customHeight="1" spans="1:18">
      <c r="A3409" s="7"/>
      <c r="B3409" s="12"/>
      <c r="C3409" s="33"/>
      <c r="D3409" s="81" t="str">
        <f>IF(F3369&gt;0,ENTRY!$D$6,"")</f>
        <v>MCP NITHARI NO 1 BOYS</v>
      </c>
      <c r="E3409" s="81"/>
      <c r="F3409" s="81"/>
      <c r="G3409" s="81"/>
      <c r="H3409" s="81"/>
      <c r="I3409" s="81"/>
      <c r="J3409" s="81"/>
      <c r="K3409" s="81"/>
      <c r="L3409" s="81"/>
      <c r="M3409" s="80" t="s">
        <v>763</v>
      </c>
      <c r="N3409" s="84">
        <f>IF(F3369&gt;0,ENTRY!$D$7,"")</f>
        <v>0</v>
      </c>
      <c r="O3409" s="84"/>
      <c r="P3409" s="85" t="s">
        <v>727</v>
      </c>
      <c r="Q3409" s="19"/>
      <c r="R3409" s="11"/>
    </row>
    <row r="3410" s="1" customFormat="1" ht="21.95" customHeight="1" spans="1:18">
      <c r="A3410" s="7"/>
      <c r="B3410" s="12"/>
      <c r="C3410" s="33"/>
      <c r="D3410" s="29"/>
      <c r="E3410" s="29"/>
      <c r="F3410" s="29"/>
      <c r="G3410" s="29"/>
      <c r="H3410" s="29"/>
      <c r="I3410" s="29"/>
      <c r="J3410" s="29"/>
      <c r="K3410" s="29"/>
      <c r="L3410" s="29"/>
      <c r="M3410" s="29"/>
      <c r="N3410" s="29"/>
      <c r="O3410" s="29"/>
      <c r="P3410" s="19"/>
      <c r="Q3410" s="19"/>
      <c r="R3410" s="11"/>
    </row>
    <row r="3411" s="1" customFormat="1" ht="21.95" customHeight="1" spans="1:18">
      <c r="A3411" s="7"/>
      <c r="B3411" s="12"/>
      <c r="C3411" s="33"/>
      <c r="D3411" s="29"/>
      <c r="E3411" s="29"/>
      <c r="F3411" s="29"/>
      <c r="G3411" s="29"/>
      <c r="H3411" s="29"/>
      <c r="I3411" s="29"/>
      <c r="J3411" s="29"/>
      <c r="K3411" s="29"/>
      <c r="L3411" s="29"/>
      <c r="M3411" s="29"/>
      <c r="N3411" s="29"/>
      <c r="O3411" s="29"/>
      <c r="P3411" s="19"/>
      <c r="Q3411" s="19"/>
      <c r="R3411" s="11"/>
    </row>
    <row r="3412" s="1" customFormat="1" ht="21.95" customHeight="1" spans="1:18">
      <c r="A3412" s="7"/>
      <c r="B3412" s="12"/>
      <c r="C3412" s="33"/>
      <c r="D3412" s="29"/>
      <c r="E3412" s="29"/>
      <c r="F3412" s="29"/>
      <c r="G3412" s="29"/>
      <c r="H3412" s="29"/>
      <c r="I3412" s="29"/>
      <c r="J3412" s="29"/>
      <c r="K3412" s="29"/>
      <c r="L3412" s="29"/>
      <c r="M3412" s="29"/>
      <c r="N3412" s="29"/>
      <c r="O3412" s="29"/>
      <c r="P3412" s="19"/>
      <c r="Q3412" s="19"/>
      <c r="R3412" s="11"/>
    </row>
    <row r="3413" s="1" customFormat="1" ht="21.95" customHeight="1" spans="1:18">
      <c r="A3413" s="7"/>
      <c r="B3413" s="12"/>
      <c r="C3413" s="33"/>
      <c r="D3413" s="29"/>
      <c r="E3413" s="29"/>
      <c r="F3413" s="29"/>
      <c r="G3413" s="29"/>
      <c r="H3413" s="29"/>
      <c r="I3413" s="29"/>
      <c r="J3413" s="29"/>
      <c r="K3413" s="29"/>
      <c r="L3413" s="29"/>
      <c r="M3413" s="29"/>
      <c r="N3413" s="29"/>
      <c r="O3413" s="29"/>
      <c r="P3413" s="19"/>
      <c r="Q3413" s="19"/>
      <c r="R3413" s="11"/>
    </row>
    <row r="3414" s="1" customFormat="1" ht="21.95" customHeight="1" spans="1:18">
      <c r="A3414" s="7"/>
      <c r="B3414" s="12"/>
      <c r="C3414" s="33"/>
      <c r="D3414" s="29"/>
      <c r="E3414" s="29"/>
      <c r="F3414" s="29"/>
      <c r="G3414" s="29"/>
      <c r="H3414" s="29"/>
      <c r="I3414" s="29"/>
      <c r="J3414" s="29"/>
      <c r="K3414" s="29"/>
      <c r="L3414" s="29"/>
      <c r="M3414" s="29"/>
      <c r="N3414" s="29"/>
      <c r="O3414" s="29"/>
      <c r="P3414" s="19"/>
      <c r="Q3414" s="19"/>
      <c r="R3414" s="11"/>
    </row>
    <row r="3415" s="1" customFormat="1" ht="21.95" customHeight="1" spans="1:18">
      <c r="A3415" s="7"/>
      <c r="B3415" s="12"/>
      <c r="C3415" s="33"/>
      <c r="D3415" s="80" t="s">
        <v>728</v>
      </c>
      <c r="E3415" s="86">
        <f>ENTRY!$D$27</f>
        <v>46102</v>
      </c>
      <c r="F3415" s="86"/>
      <c r="G3415" s="29"/>
      <c r="H3415" s="29"/>
      <c r="I3415" s="29"/>
      <c r="J3415" s="29"/>
      <c r="K3415" s="29"/>
      <c r="L3415" s="29"/>
      <c r="M3415" s="87" t="s">
        <v>730</v>
      </c>
      <c r="N3415" s="87"/>
      <c r="O3415" s="87"/>
      <c r="P3415" s="19"/>
      <c r="Q3415" s="19"/>
      <c r="R3415" s="11"/>
    </row>
    <row r="3416" s="1" customFormat="1" ht="21.95" customHeight="1" spans="1:18">
      <c r="A3416" s="7"/>
      <c r="B3416" s="12"/>
      <c r="C3416" s="33"/>
      <c r="D3416" s="80" t="s">
        <v>731</v>
      </c>
      <c r="E3416" s="88" t="str">
        <f>PROPER(ENTRY!$D$28)</f>
        <v>New Delhi</v>
      </c>
      <c r="F3416" s="88"/>
      <c r="G3416" s="29"/>
      <c r="H3416" s="29"/>
      <c r="I3416" s="29"/>
      <c r="J3416" s="29"/>
      <c r="K3416" s="29"/>
      <c r="L3416" s="29"/>
      <c r="M3416" s="89" t="s">
        <v>732</v>
      </c>
      <c r="N3416" s="89"/>
      <c r="O3416" s="89"/>
      <c r="P3416" s="19"/>
      <c r="Q3416" s="19"/>
      <c r="R3416" s="11"/>
    </row>
    <row r="3417" s="1" customFormat="1" ht="21.95" customHeight="1" spans="1:18">
      <c r="A3417" s="7"/>
      <c r="B3417" s="12"/>
      <c r="C3417" s="90"/>
      <c r="D3417" s="91"/>
      <c r="E3417" s="91"/>
      <c r="F3417" s="91"/>
      <c r="G3417" s="91"/>
      <c r="H3417" s="91"/>
      <c r="I3417" s="91"/>
      <c r="J3417" s="91"/>
      <c r="K3417" s="91"/>
      <c r="L3417" s="91"/>
      <c r="M3417" s="91"/>
      <c r="N3417" s="91"/>
      <c r="O3417" s="91"/>
      <c r="P3417" s="92"/>
      <c r="Q3417" s="14"/>
      <c r="R3417" s="11"/>
    </row>
    <row r="3418" s="1" customFormat="1" ht="5.1" customHeight="1" spans="1:18">
      <c r="A3418" s="7"/>
      <c r="B3418" s="90"/>
      <c r="C3418" s="91"/>
      <c r="D3418" s="91"/>
      <c r="E3418" s="91"/>
      <c r="F3418" s="91"/>
      <c r="G3418" s="91"/>
      <c r="H3418" s="91"/>
      <c r="I3418" s="91"/>
      <c r="J3418" s="91"/>
      <c r="K3418" s="91"/>
      <c r="L3418" s="91"/>
      <c r="M3418" s="91"/>
      <c r="N3418" s="91"/>
      <c r="O3418" s="91"/>
      <c r="P3418" s="91"/>
      <c r="Q3418" s="92"/>
      <c r="R3418" s="11"/>
    </row>
    <row r="3419" s="1" customFormat="1" ht="5.1" customHeight="1" spans="1:18">
      <c r="A3419" s="93"/>
      <c r="B3419" s="94"/>
      <c r="C3419" s="94"/>
      <c r="D3419" s="94"/>
      <c r="E3419" s="94"/>
      <c r="F3419" s="94"/>
      <c r="G3419" s="94"/>
      <c r="H3419" s="94"/>
      <c r="I3419" s="94"/>
      <c r="J3419" s="94"/>
      <c r="K3419" s="94"/>
      <c r="L3419" s="94"/>
      <c r="M3419" s="94"/>
      <c r="N3419" s="94"/>
      <c r="O3419" s="94"/>
      <c r="P3419" s="94"/>
      <c r="Q3419" s="94"/>
      <c r="R3419" s="95"/>
    </row>
    <row r="3420" s="2" customFormat="1" ht="9.95" customHeight="1"/>
    <row r="3421" s="1" customFormat="1" ht="5.1" customHeight="1" spans="1:18">
      <c r="A3421" s="4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  <c r="O3421" s="5"/>
      <c r="P3421" s="5"/>
      <c r="Q3421" s="5"/>
      <c r="R3421" s="6"/>
    </row>
    <row r="3422" s="1" customFormat="1" ht="15" customHeight="1" spans="1:18">
      <c r="A3422" s="7"/>
      <c r="B3422" s="8"/>
      <c r="C3422" s="9"/>
      <c r="D3422" s="9"/>
      <c r="E3422" s="9"/>
      <c r="F3422" s="9"/>
      <c r="G3422" s="9"/>
      <c r="H3422" s="9"/>
      <c r="I3422" s="9"/>
      <c r="J3422" s="9"/>
      <c r="K3422" s="9"/>
      <c r="L3422" s="9"/>
      <c r="M3422" s="9"/>
      <c r="N3422" s="9"/>
      <c r="O3422" s="9"/>
      <c r="P3422" s="9"/>
      <c r="Q3422" s="10"/>
      <c r="R3422" s="11"/>
    </row>
    <row r="3423" s="1" customFormat="1" ht="21.95" customHeight="1" spans="1:18">
      <c r="A3423" s="7"/>
      <c r="B3423" s="12"/>
      <c r="C3423" s="13" t="s">
        <v>7</v>
      </c>
      <c r="D3423" s="13"/>
      <c r="E3423" s="13"/>
      <c r="F3423" s="13"/>
      <c r="G3423" s="13"/>
      <c r="H3423" s="13"/>
      <c r="I3423" s="13"/>
      <c r="J3423" s="13"/>
      <c r="K3423" s="13"/>
      <c r="L3423" s="13"/>
      <c r="M3423" s="13"/>
      <c r="N3423" s="13"/>
      <c r="O3423" s="13"/>
      <c r="P3423" s="13"/>
      <c r="Q3423" s="14"/>
      <c r="R3423" s="11"/>
    </row>
    <row r="3424" s="1" customFormat="1" ht="21.95" customHeight="1" spans="1:18">
      <c r="A3424" s="7"/>
      <c r="B3424" s="1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14"/>
      <c r="R3424" s="11"/>
    </row>
    <row r="3425" s="1" customFormat="1" ht="21.95" customHeight="1" spans="1:18">
      <c r="A3425" s="7"/>
      <c r="B3425" s="12"/>
      <c r="C3425" s="15" t="str">
        <f>"SESSION-"&amp;ENTRY!$D$11</f>
        <v>SESSION-2026-27</v>
      </c>
      <c r="D3425" s="15"/>
      <c r="E3425" s="15"/>
      <c r="F3425" s="15"/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4"/>
      <c r="R3425" s="11"/>
    </row>
    <row r="3426" s="1" customFormat="1" ht="21.95" customHeight="1" spans="1:18">
      <c r="A3426" s="7"/>
      <c r="B3426" s="12"/>
      <c r="C3426" s="2"/>
      <c r="D3426" s="2"/>
      <c r="E3426" s="2"/>
      <c r="F3426" s="16">
        <f>F3369+1</f>
        <v>61</v>
      </c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14"/>
      <c r="R3426" s="11"/>
    </row>
    <row r="3427" s="1" customFormat="1" ht="21.95" customHeight="1" spans="1:18">
      <c r="A3427" s="7"/>
      <c r="B3427" s="12"/>
      <c r="C3427" s="17" t="s">
        <v>392</v>
      </c>
      <c r="D3427" s="17"/>
      <c r="E3427" s="17"/>
      <c r="F3427" s="18" t="str">
        <f>IF(F3426&gt;0,ENTRY!$D$6,"")</f>
        <v>MCP NITHARI NO 1 BOYS</v>
      </c>
      <c r="G3427" s="18"/>
      <c r="H3427" s="18"/>
      <c r="I3427" s="18"/>
      <c r="J3427" s="18"/>
      <c r="K3427" s="18"/>
      <c r="L3427" s="18"/>
      <c r="M3427" s="18"/>
      <c r="N3427" s="18"/>
      <c r="O3427" s="18"/>
      <c r="P3427" s="18"/>
      <c r="Q3427" s="19"/>
      <c r="R3427" s="11"/>
    </row>
    <row r="3428" s="1" customFormat="1" ht="21.95" customHeight="1" spans="1:18">
      <c r="A3428" s="7"/>
      <c r="B3428" s="12"/>
      <c r="C3428" s="17" t="s">
        <v>393</v>
      </c>
      <c r="D3428" s="17"/>
      <c r="E3428" s="17"/>
      <c r="F3428" s="18">
        <f>IF(F3426&gt;0,ENTRY!$D$7,"")</f>
        <v>0</v>
      </c>
      <c r="G3428" s="18"/>
      <c r="H3428" s="20" t="s">
        <v>702</v>
      </c>
      <c r="I3428" s="20"/>
      <c r="J3428" s="21">
        <f>IF(F3426&gt;0,ENTRY!$D$10,"")</f>
        <v>40</v>
      </c>
      <c r="K3428" s="20" t="s">
        <v>703</v>
      </c>
      <c r="L3428" s="22" t="str">
        <f>IF(F3426&gt;0,ENTRY!$D$5,"")</f>
        <v>ROHINI ZONE</v>
      </c>
      <c r="M3428" s="22"/>
      <c r="N3428" s="22"/>
      <c r="O3428" s="22"/>
      <c r="P3428" s="22"/>
      <c r="Q3428" s="19"/>
      <c r="R3428" s="11"/>
    </row>
    <row r="3429" s="1" customFormat="1" ht="21.95" customHeight="1" spans="1:18">
      <c r="A3429" s="7"/>
      <c r="B3429" s="12"/>
      <c r="C3429" s="17" t="s">
        <v>706</v>
      </c>
      <c r="D3429" s="17"/>
      <c r="E3429" s="17"/>
      <c r="F3429" s="23">
        <f>IFERROR(VLOOKUP(F3426,STUDENT!$A$2:$BP$101,5,0),"")</f>
        <v>0</v>
      </c>
      <c r="G3429" s="23"/>
      <c r="H3429" s="23"/>
      <c r="I3429" s="23"/>
      <c r="J3429" s="23"/>
      <c r="K3429" s="23"/>
      <c r="L3429" s="20" t="s">
        <v>707</v>
      </c>
      <c r="M3429" s="20"/>
      <c r="N3429" s="24" t="str">
        <f>IF(F3426&gt;0,ENTRY!$D$20&amp;"-"&amp;ENTRY!$D$21,"")</f>
        <v>III-A</v>
      </c>
      <c r="O3429" s="24"/>
      <c r="P3429" s="24"/>
      <c r="Q3429" s="19"/>
      <c r="R3429" s="11"/>
    </row>
    <row r="3430" s="1" customFormat="1" ht="21.95" customHeight="1" spans="1:18">
      <c r="A3430" s="7"/>
      <c r="B3430" s="12"/>
      <c r="C3430" s="17" t="s">
        <v>708</v>
      </c>
      <c r="D3430" s="17"/>
      <c r="E3430" s="17"/>
      <c r="F3430" s="25">
        <f>IFERROR(VLOOKUP(F3426,STUDENT!$A$2:$BP$101,6,0),"")</f>
        <v>0</v>
      </c>
      <c r="G3430" s="25"/>
      <c r="H3430" s="26" t="s">
        <v>709</v>
      </c>
      <c r="I3430" s="27" t="str">
        <f>IFERROR(VLOOKUP(F3426,STUDENT!$A$2:$BP$101,59,0),"")</f>
        <v/>
      </c>
      <c r="J3430" s="27"/>
      <c r="K3430" s="20" t="s">
        <v>710</v>
      </c>
      <c r="L3430" s="20"/>
      <c r="M3430" s="28">
        <f>IFERROR(VLOOKUP(F3426,STUDENT!$A$2:$BP$101,20,0),"")</f>
        <v>0</v>
      </c>
      <c r="N3430" s="28"/>
      <c r="O3430" s="28"/>
      <c r="P3430" s="28"/>
      <c r="Q3430" s="19"/>
      <c r="R3430" s="11"/>
    </row>
    <row r="3431" s="1" customFormat="1" ht="21.95" customHeight="1" spans="1:18">
      <c r="A3431" s="7"/>
      <c r="B3431" s="12"/>
      <c r="C3431" s="17" t="s">
        <v>711</v>
      </c>
      <c r="D3431" s="17"/>
      <c r="E3431" s="17"/>
      <c r="F3431" s="23">
        <f>IFERROR(VLOOKUP(F3426,STUDENT!$A$2:$BP$101,9,0),"")</f>
        <v>0</v>
      </c>
      <c r="G3431" s="23"/>
      <c r="H3431" s="23"/>
      <c r="I3431" s="23"/>
      <c r="J3431" s="17" t="s">
        <v>620</v>
      </c>
      <c r="K3431" s="17"/>
      <c r="L3431" s="23">
        <f>IFERROR(VLOOKUP(F3426,STUDENT!$A$2:$BP$101,8,0),"")</f>
        <v>0</v>
      </c>
      <c r="M3431" s="23"/>
      <c r="N3431" s="23"/>
      <c r="O3431" s="23"/>
      <c r="P3431" s="23"/>
      <c r="Q3431" s="19"/>
      <c r="R3431" s="11"/>
    </row>
    <row r="3432" s="1" customFormat="1" ht="21.95" customHeight="1" spans="1:18">
      <c r="A3432" s="7"/>
      <c r="B3432" s="12"/>
      <c r="C3432" s="17" t="s">
        <v>712</v>
      </c>
      <c r="D3432" s="17"/>
      <c r="E3432" s="17"/>
      <c r="F3432" s="23">
        <f>IFERROR(VLOOKUP(F3426,STUDENT!$A$2:$BP$101,22,0),"")</f>
        <v>0</v>
      </c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19"/>
      <c r="R3432" s="11"/>
    </row>
    <row r="3433" s="1" customFormat="1" ht="9.95" customHeight="1" spans="1:18">
      <c r="A3433" s="7"/>
      <c r="B3433" s="12"/>
      <c r="C3433" s="29"/>
      <c r="D3433" s="29"/>
      <c r="E3433" s="29"/>
      <c r="F3433" s="29"/>
      <c r="G3433" s="29"/>
      <c r="H3433" s="29"/>
      <c r="I3433" s="29"/>
      <c r="J3433" s="29"/>
      <c r="K3433" s="29"/>
      <c r="L3433" s="29"/>
      <c r="M3433" s="29"/>
      <c r="N3433" s="29"/>
      <c r="O3433" s="29"/>
      <c r="P3433" s="29"/>
      <c r="Q3433" s="19"/>
      <c r="R3433" s="11"/>
    </row>
    <row r="3434" s="1" customFormat="1" ht="9.95" customHeight="1" spans="1:18">
      <c r="A3434" s="7"/>
      <c r="B3434" s="12"/>
      <c r="C3434" s="30"/>
      <c r="D3434" s="31"/>
      <c r="E3434" s="31"/>
      <c r="F3434" s="31"/>
      <c r="G3434" s="31"/>
      <c r="H3434" s="31"/>
      <c r="I3434" s="31"/>
      <c r="J3434" s="31"/>
      <c r="K3434" s="31"/>
      <c r="L3434" s="31"/>
      <c r="M3434" s="31"/>
      <c r="N3434" s="31"/>
      <c r="O3434" s="31"/>
      <c r="P3434" s="32"/>
      <c r="Q3434" s="19"/>
      <c r="R3434" s="11"/>
    </row>
    <row r="3435" s="1" customFormat="1" ht="21.95" customHeight="1" spans="1:18">
      <c r="A3435" s="7"/>
      <c r="B3435" s="12"/>
      <c r="C3435" s="33"/>
      <c r="D3435" s="34" t="s">
        <v>713</v>
      </c>
      <c r="E3435" s="20" t="s">
        <v>714</v>
      </c>
      <c r="F3435" s="35" t="str">
        <f>"Level - "&amp;IFERROR(VLOOKUP(F3426,FLN!$A$4:$K$103,9,0),"")</f>
        <v>Level - </v>
      </c>
      <c r="G3435" s="36"/>
      <c r="H3435" s="37" t="s">
        <v>715</v>
      </c>
      <c r="I3435" s="20"/>
      <c r="J3435" s="35" t="str">
        <f>"Level - "&amp;IFERROR(VLOOKUP(F3426,FLN!$A$4:$K$103,11,0),"")</f>
        <v>Level - </v>
      </c>
      <c r="K3435" s="36"/>
      <c r="L3435" s="37" t="s">
        <v>408</v>
      </c>
      <c r="M3435" s="20"/>
      <c r="N3435" s="35" t="str">
        <f>"Level - "&amp;IFERROR(VLOOKUP(F3426,FLN!$A$4:$K$103,10,0),"")</f>
        <v>Level - </v>
      </c>
      <c r="O3435" s="36"/>
      <c r="P3435" s="19"/>
      <c r="Q3435" s="19"/>
      <c r="R3435" s="11"/>
    </row>
    <row r="3436" s="1" customFormat="1" ht="21.95" customHeight="1" spans="1:18">
      <c r="A3436" s="7"/>
      <c r="B3436" s="12"/>
      <c r="C3436" s="33"/>
      <c r="D3436" s="38"/>
      <c r="E3436" s="20" t="s">
        <v>716</v>
      </c>
      <c r="F3436" s="18" t="str">
        <f ca="1">IF(L3450&gt;197,"PERFORMED WELL","")</f>
        <v/>
      </c>
      <c r="G3436" s="18"/>
      <c r="H3436" s="18"/>
      <c r="I3436" s="18"/>
      <c r="J3436" s="18"/>
      <c r="K3436" s="18"/>
      <c r="L3436" s="18"/>
      <c r="M3436" s="18"/>
      <c r="N3436" s="18"/>
      <c r="O3436" s="18"/>
      <c r="P3436" s="19"/>
      <c r="Q3436" s="19"/>
      <c r="R3436" s="11"/>
    </row>
    <row r="3437" s="1" customFormat="1" ht="9.95" customHeight="1" spans="1:18">
      <c r="A3437" s="7"/>
      <c r="B3437" s="12"/>
      <c r="C3437" s="39"/>
      <c r="D3437" s="40"/>
      <c r="E3437" s="40"/>
      <c r="F3437" s="40"/>
      <c r="G3437" s="40"/>
      <c r="H3437" s="40"/>
      <c r="I3437" s="40"/>
      <c r="J3437" s="40"/>
      <c r="K3437" s="40"/>
      <c r="L3437" s="40"/>
      <c r="M3437" s="40"/>
      <c r="N3437" s="40"/>
      <c r="O3437" s="40"/>
      <c r="P3437" s="41"/>
      <c r="Q3437" s="19"/>
      <c r="R3437" s="11"/>
    </row>
    <row r="3438" s="1" customFormat="1" ht="9.95" customHeight="1" spans="1:18">
      <c r="A3438" s="7"/>
      <c r="B3438" s="12"/>
      <c r="C3438" s="29"/>
      <c r="D3438" s="29"/>
      <c r="E3438" s="29"/>
      <c r="F3438" s="29"/>
      <c r="G3438" s="29"/>
      <c r="H3438" s="29"/>
      <c r="I3438" s="29"/>
      <c r="J3438" s="29"/>
      <c r="K3438" s="29"/>
      <c r="L3438" s="29"/>
      <c r="M3438" s="29"/>
      <c r="N3438" s="29"/>
      <c r="O3438" s="29"/>
      <c r="P3438" s="29"/>
      <c r="Q3438" s="19"/>
      <c r="R3438" s="11"/>
    </row>
    <row r="3439" s="1" customFormat="1" ht="9.95" customHeight="1" spans="1:18">
      <c r="A3439" s="7"/>
      <c r="B3439" s="12"/>
      <c r="C3439" s="30"/>
      <c r="D3439" s="31"/>
      <c r="E3439" s="31"/>
      <c r="F3439" s="31"/>
      <c r="G3439" s="31"/>
      <c r="H3439" s="31"/>
      <c r="I3439" s="31"/>
      <c r="J3439" s="31"/>
      <c r="K3439" s="31"/>
      <c r="L3439" s="31"/>
      <c r="M3439" s="31"/>
      <c r="N3439" s="31"/>
      <c r="O3439" s="31"/>
      <c r="P3439" s="32"/>
      <c r="Q3439" s="19"/>
      <c r="R3439" s="11"/>
    </row>
    <row r="3440" s="1" customFormat="1" ht="21.95" customHeight="1" spans="1:18">
      <c r="A3440" s="7"/>
      <c r="B3440" s="12"/>
      <c r="C3440" s="33"/>
      <c r="D3440" s="35"/>
      <c r="E3440" s="24"/>
      <c r="F3440" s="42" t="s">
        <v>717</v>
      </c>
      <c r="G3440" s="42"/>
      <c r="H3440" s="42"/>
      <c r="I3440" s="42"/>
      <c r="J3440" s="42"/>
      <c r="K3440" s="42"/>
      <c r="L3440" s="43"/>
      <c r="M3440" s="44"/>
      <c r="N3440" s="29"/>
      <c r="O3440" s="29"/>
      <c r="P3440" s="19"/>
      <c r="Q3440" s="19"/>
      <c r="R3440" s="11"/>
    </row>
    <row r="3441" s="1" customFormat="1" ht="21.95" customHeight="1" spans="1:18">
      <c r="A3441" s="7"/>
      <c r="B3441" s="12"/>
      <c r="C3441" s="33"/>
      <c r="D3441" s="45"/>
      <c r="E3441" s="46"/>
      <c r="F3441" s="47" t="s">
        <v>541</v>
      </c>
      <c r="G3441" s="47" t="s">
        <v>542</v>
      </c>
      <c r="H3441" s="47" t="s">
        <v>543</v>
      </c>
      <c r="I3441" s="47" t="s">
        <v>544</v>
      </c>
      <c r="J3441" s="47" t="s">
        <v>561</v>
      </c>
      <c r="K3441" s="48" t="s">
        <v>750</v>
      </c>
      <c r="L3441" s="47" t="s">
        <v>382</v>
      </c>
      <c r="M3441" s="49" t="s">
        <v>546</v>
      </c>
      <c r="N3441" s="29"/>
      <c r="O3441" s="29"/>
      <c r="P3441" s="19"/>
      <c r="Q3441" s="19"/>
      <c r="R3441" s="11"/>
    </row>
    <row r="3442" s="1" customFormat="1" ht="21.95" customHeight="1" spans="1:18">
      <c r="A3442" s="7"/>
      <c r="B3442" s="12"/>
      <c r="C3442" s="33"/>
      <c r="D3442" s="45" t="s">
        <v>652</v>
      </c>
      <c r="E3442" s="46"/>
      <c r="F3442" s="50">
        <v>10</v>
      </c>
      <c r="G3442" s="50">
        <v>10</v>
      </c>
      <c r="H3442" s="50">
        <v>10</v>
      </c>
      <c r="I3442" s="50">
        <v>10</v>
      </c>
      <c r="J3442" s="50">
        <v>60</v>
      </c>
      <c r="K3442" s="51"/>
      <c r="L3442" s="50">
        <v>100</v>
      </c>
      <c r="M3442" s="49"/>
      <c r="N3442" s="29"/>
      <c r="O3442" s="29"/>
      <c r="P3442" s="19"/>
      <c r="Q3442" s="19"/>
      <c r="R3442" s="11"/>
    </row>
    <row r="3443" s="1" customFormat="1" ht="21.95" customHeight="1" spans="1:18">
      <c r="A3443" s="7"/>
      <c r="B3443" s="12"/>
      <c r="C3443" s="33"/>
      <c r="D3443" s="52" t="s">
        <v>751</v>
      </c>
      <c r="E3443" s="53"/>
      <c r="F3443" s="54" t="str">
        <f ca="1">IFERROR(VLOOKUP(F3426,'RR-3.1-5TH'!$A$12:'RR-3.1-5TH'!$BN$111,9,0),"")</f>
        <v/>
      </c>
      <c r="G3443" s="54" t="str">
        <f ca="1">IFERROR(VLOOKUP(F3426,'RR-3.1-5TH'!$A$12:'RR-3.1-5TH'!$BN$111,10,0),"")</f>
        <v/>
      </c>
      <c r="H3443" s="54" t="str">
        <f ca="1">IFERROR(VLOOKUP(F3426,'RR-3.1-5TH'!$A$12:'RR-3.1-5TH'!$BN$111,11,0),"")</f>
        <v/>
      </c>
      <c r="I3443" s="54" t="str">
        <f ca="1">IFERROR(VLOOKUP(F3426,'RR-3.1-5TH'!$A$12:'RR-3.1-5TH'!$BN$111,12,0),"")</f>
        <v/>
      </c>
      <c r="J3443" s="54" t="str">
        <f ca="1">IFERROR(VLOOKUP(F3426,'RR-3.1-5TH'!$A$12:'RR-3.1-5TH'!$BN$111,13,0),"")</f>
        <v/>
      </c>
      <c r="K3443" s="54" t="str">
        <f ca="1">IFERROR(VLOOKUP(F3426,'RR-3.1-5TH'!$A$12:'RR-3.1-5TH'!$BN$111,14,0),"")</f>
        <v/>
      </c>
      <c r="L3443" s="55">
        <f ca="1" t="shared" ref="L3443:L3448" si="180">SUM(F3443,G3443,H3443,I3443,J3443,K3443)</f>
        <v>0</v>
      </c>
      <c r="M3443" s="56" t="str">
        <f ca="1">IF(F3426&gt;ENTRY!$D$24,"",IF(L3443=0,"Ab",IF(L3443&gt;80,"A",IF(L3443&gt;60,"B",IF(L3443&gt;44,"C",IF(L3443&gt;=33,"D",IF(L3443&lt;=32,"E","")))))))</f>
        <v/>
      </c>
      <c r="N3443" s="57" t="s">
        <v>729</v>
      </c>
      <c r="O3443" s="58"/>
      <c r="P3443" s="59"/>
      <c r="Q3443" s="19"/>
      <c r="R3443" s="11"/>
    </row>
    <row r="3444" s="1" customFormat="1" ht="21.95" customHeight="1" spans="1:18">
      <c r="A3444" s="7"/>
      <c r="B3444" s="12"/>
      <c r="C3444" s="33"/>
      <c r="D3444" s="52" t="s">
        <v>513</v>
      </c>
      <c r="E3444" s="53"/>
      <c r="F3444" s="54" t="str">
        <f ca="1">IFERROR(VLOOKUP(F3426,'RR-3.1-5TH'!$A$12:'RR-3.1-5TH'!$BN$111,17,0),"")</f>
        <v/>
      </c>
      <c r="G3444" s="54" t="str">
        <f ca="1">IFERROR(VLOOKUP(F3426,'RR-3.1-5TH'!$A$12:'RR-3.1-5TH'!$BN$111,18,0),"")</f>
        <v/>
      </c>
      <c r="H3444" s="54" t="str">
        <f ca="1">IFERROR(VLOOKUP(F3426,'RR-3.1-5TH'!$A$12:'RR-3.1-5TH'!$BN$111,19,0),"")</f>
        <v/>
      </c>
      <c r="I3444" s="54" t="str">
        <f ca="1">IFERROR(VLOOKUP(F3426,'RR-3.1-5TH'!$A$12:'RR-3.1-5TH'!$BN$111,20,0),"")</f>
        <v/>
      </c>
      <c r="J3444" s="54" t="str">
        <f ca="1">IFERROR(VLOOKUP(F3426,'RR-3.1-5TH'!$A$12:'RR-3.1-5TH'!$BN$111,21,0),"")</f>
        <v/>
      </c>
      <c r="K3444" s="54" t="str">
        <f ca="1">IFERROR(VLOOKUP(F3426,'RR-3.1-5TH'!$A$12:'RR-3.1-5TH'!$BN$111,22,0),"")</f>
        <v/>
      </c>
      <c r="L3444" s="55">
        <f ca="1" t="shared" si="180"/>
        <v>0</v>
      </c>
      <c r="M3444" s="56" t="str">
        <f ca="1">IF(F3426&gt;ENTRY!$D$24,"",IF(L3444=0,"Ab",IF(L3444&gt;80,"A",IF(L3444&gt;60,"B",IF(L3444&gt;44,"C",IF(L3444&gt;=33,"D",IF(L3444&lt;=32,"E","")))))))</f>
        <v/>
      </c>
      <c r="N3444" s="58"/>
      <c r="O3444" s="58"/>
      <c r="P3444" s="59"/>
      <c r="Q3444" s="19"/>
      <c r="R3444" s="11"/>
    </row>
    <row r="3445" s="1" customFormat="1" ht="21.95" customHeight="1" spans="1:18">
      <c r="A3445" s="7"/>
      <c r="B3445" s="12"/>
      <c r="C3445" s="33"/>
      <c r="D3445" s="52" t="s">
        <v>718</v>
      </c>
      <c r="E3445" s="53"/>
      <c r="F3445" s="54" t="str">
        <f ca="1">IFERROR(VLOOKUP(F3426,'RR-3.1-5TH'!$A$12:'RR-3.1-5TH'!$BN$111,25,0),"")</f>
        <v/>
      </c>
      <c r="G3445" s="54" t="str">
        <f ca="1">IFERROR(VLOOKUP(F3426,'RR-3.1-5TH'!$A$12:'RR-3.1-5TH'!$BN$111,26,0),"")</f>
        <v/>
      </c>
      <c r="H3445" s="54" t="str">
        <f ca="1">IFERROR(VLOOKUP(F3426,'RR-3.1-5TH'!$A$12:'RR-3.1-5TH'!$BN$111,27,0),"")</f>
        <v/>
      </c>
      <c r="I3445" s="54" t="str">
        <f ca="1">IFERROR(VLOOKUP(F3426,'RR-3.1-5TH'!$A$12:'RR-3.1-5TH'!$BN$111,28,0),"")</f>
        <v/>
      </c>
      <c r="J3445" s="54" t="str">
        <f ca="1">IFERROR(VLOOKUP(F3426,'RR-3.1-5TH'!$A$12:'RR-3.1-5TH'!$BN$111,29,0),"")</f>
        <v/>
      </c>
      <c r="K3445" s="54" t="str">
        <f ca="1">IFERROR(VLOOKUP(F3426,'RR-3.1-5TH'!$A$12:'RR-3.1-5TH'!$BN$111,30,0),"")</f>
        <v/>
      </c>
      <c r="L3445" s="55">
        <f ca="1" t="shared" si="180"/>
        <v>0</v>
      </c>
      <c r="M3445" s="56" t="str">
        <f ca="1">IF(F3426&gt;ENTRY!$D$24,"",IF(L3445=0,"Ab",IF(L3445&gt;80,"A",IF(L3445&gt;60,"B",IF(L3445&gt;44,"C",IF(L3445&gt;=33,"D",IF(L3445&lt;=32,"E","")))))))</f>
        <v/>
      </c>
      <c r="N3445" s="29"/>
      <c r="O3445" s="29"/>
      <c r="P3445" s="19"/>
      <c r="Q3445" s="19"/>
      <c r="R3445" s="11"/>
    </row>
    <row r="3446" s="1" customFormat="1" ht="21.95" customHeight="1" spans="1:18">
      <c r="A3446" s="7"/>
      <c r="B3446" s="12"/>
      <c r="C3446" s="33"/>
      <c r="D3446" s="52" t="s">
        <v>719</v>
      </c>
      <c r="E3446" s="53"/>
      <c r="F3446" s="54" t="str">
        <f ca="1">IFERROR(VLOOKUP(F3426,'RR-3.1-5TH'!$A$12:'RR-3.1-5TH'!$BN$111,33,0),"")</f>
        <v/>
      </c>
      <c r="G3446" s="54" t="str">
        <f ca="1">IFERROR(VLOOKUP(F3426,'RR-3.1-5TH'!$A$12:'RR-3.1-5TH'!$BN$111,34,0),"")</f>
        <v/>
      </c>
      <c r="H3446" s="54" t="str">
        <f ca="1">IFERROR(VLOOKUP(F3426,'RR-3.1-5TH'!$A$12:'RR-3.1-5TH'!$BN$111,35,0),"")</f>
        <v/>
      </c>
      <c r="I3446" s="54" t="str">
        <f ca="1">IFERROR(VLOOKUP(F3426,'RR-3.1-5TH'!$A$12:'RR-3.1-5TH'!$BN$111,36,0),"")</f>
        <v/>
      </c>
      <c r="J3446" s="54" t="str">
        <f ca="1">IFERROR(VLOOKUP(F3426,'RR-3.1-5TH'!$A$12:'RR-3.1-5TH'!$BN$111,37,0),"")</f>
        <v/>
      </c>
      <c r="K3446" s="54" t="str">
        <f ca="1">IFERROR(VLOOKUP(F3426,'RR-3.1-5TH'!$A$12:'RR-3.1-5TH'!$BN$111,38,0),"")</f>
        <v/>
      </c>
      <c r="L3446" s="55">
        <f ca="1" t="shared" si="180"/>
        <v>0</v>
      </c>
      <c r="M3446" s="56" t="str">
        <f ca="1">IF(F3426&gt;ENTRY!$D$24,"",IF(L3446=0,"Ab",IF(L3446&gt;80,"A",IF(L3446&gt;60,"B",IF(L3446&gt;44,"C",IF(L3446&gt;=33,"D",IF(L3446&lt;=32,"E","")))))))</f>
        <v/>
      </c>
      <c r="N3446" s="29"/>
      <c r="O3446" s="29"/>
      <c r="P3446" s="19"/>
      <c r="Q3446" s="19"/>
      <c r="R3446" s="11"/>
    </row>
    <row r="3447" s="1" customFormat="1" ht="21.95" customHeight="1" spans="1:18">
      <c r="A3447" s="7"/>
      <c r="B3447" s="12"/>
      <c r="C3447" s="33"/>
      <c r="D3447" s="52" t="s">
        <v>548</v>
      </c>
      <c r="E3447" s="53"/>
      <c r="F3447" s="54" t="str">
        <f ca="1">IFERROR(VLOOKUP(F3426,'RR-3.1-5TH'!$A$12:'RR-3.1-5TH'!$BN$111,41,0),"")</f>
        <v/>
      </c>
      <c r="G3447" s="54" t="str">
        <f ca="1">IFERROR(VLOOKUP(F3426,'RR-3.1-5TH'!$A$12:'RR-3.1-5TH'!$BN$111,42,0),"")</f>
        <v/>
      </c>
      <c r="H3447" s="54" t="str">
        <f ca="1">IFERROR(VLOOKUP(F3426,'RR-3.1-5TH'!$A$12:'RR-3.1-5TH'!$BN$111,43,0),"")</f>
        <v/>
      </c>
      <c r="I3447" s="54" t="str">
        <f ca="1">IFERROR(VLOOKUP(F3426,'RR-3.1-5TH'!$A$12:'RR-3.1-5TH'!$BN$111,44,0),"")</f>
        <v/>
      </c>
      <c r="J3447" s="54" t="str">
        <f ca="1">IFERROR(VLOOKUP(F3426,'RR-3.1-5TH'!$A$12:'RR-3.1-5TH'!$BN$111,45,0),"")</f>
        <v/>
      </c>
      <c r="K3447" s="54" t="str">
        <f ca="1">IFERROR(VLOOKUP(F3426,'RR-3.1-5TH'!$A$12:'RR-3.1-5TH'!$BN$111,46,0),"")</f>
        <v/>
      </c>
      <c r="L3447" s="55">
        <f ca="1" t="shared" si="180"/>
        <v>0</v>
      </c>
      <c r="M3447" s="56" t="str">
        <f ca="1">IF(F3426&gt;ENTRY!$D$24,"",IF(L3447=0,"Ab",IF(L3447&gt;80,"A",IF(L3447&gt;60,"B",IF(L3447&gt;44,"C",IF(L3447&gt;=33,"D",IF(L3447&lt;=32,"E","")))))))</f>
        <v/>
      </c>
      <c r="N3447" s="29"/>
      <c r="O3447" s="29"/>
      <c r="P3447" s="19"/>
      <c r="Q3447" s="19"/>
      <c r="R3447" s="11"/>
    </row>
    <row r="3448" s="1" customFormat="1" ht="21.95" customHeight="1" spans="1:18">
      <c r="A3448" s="7"/>
      <c r="B3448" s="12"/>
      <c r="C3448" s="33"/>
      <c r="D3448" s="52" t="s">
        <v>549</v>
      </c>
      <c r="E3448" s="53"/>
      <c r="F3448" s="54" t="str">
        <f ca="1">IFERROR(VLOOKUP(F3426,'RR-3.1-5TH'!$A$12:'RR-3.1-5TH'!$BN$111,49,0),"")</f>
        <v/>
      </c>
      <c r="G3448" s="54" t="str">
        <f ca="1">IFERROR(VLOOKUP(F3426,'RR-3.1-5TH'!$A$12:'RR-3.1-5TH'!$BN$111,50,0),"")</f>
        <v/>
      </c>
      <c r="H3448" s="54" t="str">
        <f ca="1">IFERROR(VLOOKUP(F3426,'RR-3.1-5TH'!$A$12:'RR-3.1-5TH'!$BN$111,51,0),"")</f>
        <v/>
      </c>
      <c r="I3448" s="54" t="str">
        <f ca="1">IFERROR(VLOOKUP(F3426,'RR-3.1-5TH'!$A$12:'RR-3.1-5TH'!$BN$111,52,0),"")</f>
        <v/>
      </c>
      <c r="J3448" s="54" t="str">
        <f ca="1">IFERROR(VLOOKUP(F3426,'RR-3.1-5TH'!$A$12:'RR-3.1-5TH'!$BN$111,53,0),"")</f>
        <v/>
      </c>
      <c r="K3448" s="54" t="str">
        <f ca="1">IFERROR(VLOOKUP(F3426,'RR-3.1-5TH'!$A$12:'RR-3.1-5TH'!$BN$111,54,0),"")</f>
        <v/>
      </c>
      <c r="L3448" s="55">
        <f ca="1" t="shared" si="180"/>
        <v>0</v>
      </c>
      <c r="M3448" s="56" t="str">
        <f ca="1">IF(F3426&gt;ENTRY!$D$24,"",IF(L3448=0,"Ab",IF(L3448&gt;80,"A",IF(L3448&gt;60,"B",IF(L3448&gt;44,"C",IF(L3448&gt;=33,"D",IF(L3448&lt;=32,"E","")))))))</f>
        <v/>
      </c>
      <c r="N3448" s="57" t="s">
        <v>752</v>
      </c>
      <c r="O3448" s="58"/>
      <c r="P3448" s="59"/>
      <c r="Q3448" s="19"/>
      <c r="R3448" s="11"/>
    </row>
    <row r="3449" s="1" customFormat="1" ht="21.95" customHeight="1" spans="1:18">
      <c r="A3449" s="7"/>
      <c r="B3449" s="12"/>
      <c r="C3449" s="33"/>
      <c r="D3449" s="52" t="s">
        <v>753</v>
      </c>
      <c r="E3449" s="53"/>
      <c r="F3449" s="60"/>
      <c r="G3449" s="54"/>
      <c r="H3449" s="54"/>
      <c r="I3449" s="54"/>
      <c r="J3449" s="54"/>
      <c r="K3449" s="54"/>
      <c r="L3449" s="55">
        <f t="shared" ref="L3449" si="181">SUM(G3449:K3449)</f>
        <v>0</v>
      </c>
      <c r="M3449" s="56" t="str">
        <f>IF(F3426&gt;ENTRY!$D$24,"",IF(L3449=0,"",IF(L3449&gt;79,"A",IF(L3449&gt;59,"B",IF(L3449&gt;44,"C",IF(L3449&gt;=33,"D",IF(L3449&lt;=32,"E","")))))))</f>
        <v/>
      </c>
      <c r="N3449" s="58"/>
      <c r="O3449" s="58"/>
      <c r="P3449" s="59"/>
      <c r="Q3449" s="19"/>
      <c r="R3449" s="11"/>
    </row>
    <row r="3450" s="1" customFormat="1" ht="21.95" customHeight="1" spans="1:18">
      <c r="A3450" s="7"/>
      <c r="B3450" s="12"/>
      <c r="C3450" s="33"/>
      <c r="D3450" s="45" t="s">
        <v>382</v>
      </c>
      <c r="E3450" s="46"/>
      <c r="F3450" s="54">
        <f ca="1" t="shared" ref="F3450:L3450" si="182">IFERROR(SUM(F3443:F3449),"")</f>
        <v>0</v>
      </c>
      <c r="G3450" s="54">
        <f ca="1" t="shared" si="182"/>
        <v>0</v>
      </c>
      <c r="H3450" s="54">
        <f ca="1" t="shared" si="182"/>
        <v>0</v>
      </c>
      <c r="I3450" s="54">
        <f ca="1" t="shared" si="182"/>
        <v>0</v>
      </c>
      <c r="J3450" s="54">
        <f ca="1" t="shared" si="182"/>
        <v>0</v>
      </c>
      <c r="K3450" s="54">
        <f ca="1" t="shared" si="182"/>
        <v>0</v>
      </c>
      <c r="L3450" s="55">
        <f ca="1" t="shared" si="182"/>
        <v>0</v>
      </c>
      <c r="M3450" s="61" t="str">
        <f ca="1">IF(F3426&gt;ENTRY!$D$24,"",IF(N3451="Ab","Ab",IF(N3451&gt;79.5,"A",IF(N3451&gt;59.5,"B",IF(N3451&gt;44.5,"C",IF(N3451&gt;=33,"D",IF(N3451&lt;33,"E","")))))))</f>
        <v/>
      </c>
      <c r="N3450" s="62"/>
      <c r="O3450" s="58"/>
      <c r="P3450" s="59"/>
      <c r="Q3450" s="19"/>
      <c r="R3450" s="11"/>
    </row>
    <row r="3451" s="1" customFormat="1" ht="21.95" customHeight="1" spans="1:18">
      <c r="A3451" s="7"/>
      <c r="B3451" s="12"/>
      <c r="C3451" s="33"/>
      <c r="D3451" s="63" t="s">
        <v>721</v>
      </c>
      <c r="E3451" s="63"/>
      <c r="F3451" s="63"/>
      <c r="G3451" s="63"/>
      <c r="H3451" s="63"/>
      <c r="I3451" s="63"/>
      <c r="J3451" s="63"/>
      <c r="K3451" s="63"/>
      <c r="L3451" s="63"/>
      <c r="M3451" s="63"/>
      <c r="N3451" s="64">
        <f ca="1">IF(L3450="Ab","Ab",L3450/6)</f>
        <v>0</v>
      </c>
      <c r="O3451" s="65"/>
      <c r="P3451" s="19"/>
      <c r="Q3451" s="19"/>
      <c r="R3451" s="11"/>
    </row>
    <row r="3452" s="1" customFormat="1" ht="21.95" customHeight="1" spans="1:18">
      <c r="A3452" s="7"/>
      <c r="B3452" s="12"/>
      <c r="C3452" s="33"/>
      <c r="D3452" s="29" t="s">
        <v>716</v>
      </c>
      <c r="E3452" s="18" t="str">
        <f>IFERROR(VLOOKUP(F3426,'1to4-2.1-RR'!$A$12:$BG$111,57,0),"")</f>
        <v/>
      </c>
      <c r="F3452" s="18"/>
      <c r="G3452" s="18"/>
      <c r="H3452" s="18"/>
      <c r="I3452" s="18"/>
      <c r="J3452" s="18"/>
      <c r="K3452" s="18"/>
      <c r="L3452" s="18"/>
      <c r="M3452" s="18"/>
      <c r="N3452" s="29"/>
      <c r="O3452" s="29"/>
      <c r="P3452" s="19"/>
      <c r="Q3452" s="19"/>
      <c r="R3452" s="11"/>
    </row>
    <row r="3453" s="1" customFormat="1" ht="9.95" customHeight="1" spans="1:18">
      <c r="A3453" s="7"/>
      <c r="B3453" s="12"/>
      <c r="C3453" s="33"/>
      <c r="D3453" s="29"/>
      <c r="E3453" s="29"/>
      <c r="F3453" s="29"/>
      <c r="G3453" s="29"/>
      <c r="H3453" s="29"/>
      <c r="I3453" s="29"/>
      <c r="J3453" s="29"/>
      <c r="K3453" s="29"/>
      <c r="L3453" s="29"/>
      <c r="M3453" s="29"/>
      <c r="N3453" s="29"/>
      <c r="O3453" s="29"/>
      <c r="P3453" s="19"/>
      <c r="Q3453" s="19"/>
      <c r="R3453" s="11"/>
    </row>
    <row r="3454" s="1" customFormat="1" ht="36" spans="1:18">
      <c r="A3454" s="7"/>
      <c r="B3454" s="12"/>
      <c r="C3454" s="33"/>
      <c r="D3454" s="66" t="s">
        <v>576</v>
      </c>
      <c r="E3454" s="67" t="s">
        <v>754</v>
      </c>
      <c r="F3454" s="47" t="str">
        <f>IF(F3426&gt;ENTRY!$D$24,"",IFERROR(VLOOKUP(F3426,PASHEET!$A$4:$CJ$103,88,0),""))</f>
        <v/>
      </c>
      <c r="G3454" s="67" t="s">
        <v>755</v>
      </c>
      <c r="H3454" s="47" t="str">
        <f>IF(F3426&gt;ENTRY!$D$24,"",IFERROR(VLOOKUP(F3426,PASHEET!$A$4:$CJ$103,87,0),""))</f>
        <v/>
      </c>
      <c r="I3454" s="68" t="s">
        <v>756</v>
      </c>
      <c r="J3454" s="69" t="str">
        <f>IF(F3426&gt;ENTRY!$D$24,"",IFERROR(IF(F3426&gt;0,H3454/F3454*100),""))</f>
        <v/>
      </c>
      <c r="K3454" s="60" t="s">
        <v>757</v>
      </c>
      <c r="L3454" s="70" t="str">
        <f ca="1">IF(F3426&gt;ENTRY!$D$24,"",IFERROR(L3450/600*100,""))</f>
        <v/>
      </c>
      <c r="M3454" s="47" t="str">
        <f ca="1">IF(F3426&gt;ENTRY!$D$24,"",IFERROR(L3450&amp;" / "&amp;"600",""))</f>
        <v/>
      </c>
      <c r="N3454" s="29"/>
      <c r="O3454" s="29"/>
      <c r="P3454" s="19"/>
      <c r="Q3454" s="19"/>
      <c r="R3454" s="11"/>
    </row>
    <row r="3455" s="1" customFormat="1" ht="9.95" customHeight="1" spans="1:18">
      <c r="A3455" s="7"/>
      <c r="B3455" s="12"/>
      <c r="C3455" s="39"/>
      <c r="D3455" s="40"/>
      <c r="E3455" s="40"/>
      <c r="F3455" s="40"/>
      <c r="G3455" s="40"/>
      <c r="H3455" s="40"/>
      <c r="I3455" s="40"/>
      <c r="J3455" s="40"/>
      <c r="K3455" s="40"/>
      <c r="L3455" s="40"/>
      <c r="M3455" s="40"/>
      <c r="N3455" s="40"/>
      <c r="O3455" s="40"/>
      <c r="P3455" s="41"/>
      <c r="Q3455" s="19"/>
      <c r="R3455" s="11"/>
    </row>
    <row r="3456" s="1" customFormat="1" ht="9.95" customHeight="1" spans="1:18">
      <c r="A3456" s="7"/>
      <c r="B3456" s="12"/>
      <c r="C3456" s="71"/>
      <c r="D3456" s="71"/>
      <c r="E3456" s="71"/>
      <c r="F3456" s="29"/>
      <c r="G3456" s="71"/>
      <c r="H3456" s="71"/>
      <c r="I3456" s="71"/>
      <c r="J3456" s="71"/>
      <c r="K3456" s="71"/>
      <c r="L3456" s="71"/>
      <c r="M3456" s="71"/>
      <c r="N3456" s="71"/>
      <c r="O3456" s="71"/>
      <c r="P3456" s="71"/>
      <c r="Q3456" s="19"/>
      <c r="R3456" s="11"/>
    </row>
    <row r="3457" s="1" customFormat="1" ht="9.95" customHeight="1" spans="1:19">
      <c r="A3457" s="7"/>
      <c r="B3457" s="12"/>
      <c r="C3457" s="29"/>
      <c r="D3457" s="29"/>
      <c r="E3457" s="29"/>
      <c r="F3457" s="72"/>
      <c r="G3457" s="29"/>
      <c r="H3457" s="29"/>
      <c r="I3457" s="29"/>
      <c r="J3457" s="29"/>
      <c r="K3457" s="29"/>
      <c r="L3457" s="29"/>
      <c r="M3457" s="29"/>
      <c r="N3457" s="29"/>
      <c r="O3457" s="29"/>
      <c r="P3457" s="29"/>
      <c r="Q3457" s="19"/>
      <c r="R3457" s="11"/>
    </row>
    <row r="3458" s="1" customFormat="1" ht="9.95" customHeight="1" spans="1:19">
      <c r="A3458" s="7"/>
      <c r="B3458" s="12"/>
      <c r="C3458" s="30"/>
      <c r="D3458" s="31"/>
      <c r="E3458" s="31"/>
      <c r="F3458" s="31"/>
      <c r="G3458" s="31"/>
      <c r="H3458" s="31"/>
      <c r="I3458" s="31"/>
      <c r="J3458" s="31"/>
      <c r="K3458" s="31"/>
      <c r="L3458" s="31"/>
      <c r="M3458" s="31"/>
      <c r="N3458" s="31"/>
      <c r="O3458" s="31"/>
      <c r="P3458" s="32"/>
      <c r="Q3458" s="19"/>
      <c r="R3458" s="11"/>
    </row>
    <row r="3459" s="1" customFormat="1" ht="21.95" customHeight="1" spans="1:19">
      <c r="A3459" s="7"/>
      <c r="B3459" s="12"/>
      <c r="C3459" s="73" t="s">
        <v>7</v>
      </c>
      <c r="D3459" s="13"/>
      <c r="E3459" s="13"/>
      <c r="F3459" s="13"/>
      <c r="G3459" s="13"/>
      <c r="H3459" s="13"/>
      <c r="I3459" s="13"/>
      <c r="J3459" s="13"/>
      <c r="K3459" s="13"/>
      <c r="L3459" s="13"/>
      <c r="M3459" s="13"/>
      <c r="N3459" s="13"/>
      <c r="O3459" s="13"/>
      <c r="P3459" s="74"/>
      <c r="Q3459" s="19"/>
      <c r="R3459" s="11"/>
      <c r="S3459" s="2"/>
    </row>
    <row r="3460" s="1" customFormat="1" ht="21.95" customHeight="1" spans="1:19">
      <c r="A3460" s="7"/>
      <c r="B3460" s="12"/>
      <c r="C3460" s="33"/>
      <c r="D3460" s="29"/>
      <c r="E3460" s="29"/>
      <c r="F3460" s="29"/>
      <c r="G3460" s="29"/>
      <c r="H3460" s="29"/>
      <c r="I3460" s="29"/>
      <c r="J3460" s="29"/>
      <c r="K3460" s="29"/>
      <c r="L3460" s="29"/>
      <c r="M3460" s="29"/>
      <c r="N3460" s="29"/>
      <c r="O3460" s="29"/>
      <c r="P3460" s="19"/>
      <c r="Q3460" s="19"/>
      <c r="R3460" s="11"/>
    </row>
    <row r="3461" s="1" customFormat="1" ht="21.95" customHeight="1" spans="1:19">
      <c r="A3461" s="7"/>
      <c r="B3461" s="12"/>
      <c r="C3461" s="75" t="str">
        <f>"SESSION-"&amp;ENTRY!$D$11</f>
        <v>SESSION-2026-27</v>
      </c>
      <c r="D3461" s="15"/>
      <c r="E3461" s="15"/>
      <c r="F3461" s="15"/>
      <c r="G3461" s="15"/>
      <c r="H3461" s="15"/>
      <c r="I3461" s="15"/>
      <c r="J3461" s="15"/>
      <c r="K3461" s="15"/>
      <c r="L3461" s="15"/>
      <c r="M3461" s="15"/>
      <c r="N3461" s="15"/>
      <c r="O3461" s="15"/>
      <c r="P3461" s="76"/>
      <c r="Q3461" s="19"/>
      <c r="R3461" s="11"/>
    </row>
    <row r="3462" s="1" customFormat="1" ht="18" customHeight="1" spans="1:19">
      <c r="A3462" s="7"/>
      <c r="B3462" s="12"/>
      <c r="C3462" s="33"/>
      <c r="D3462" s="29"/>
      <c r="E3462" s="29"/>
      <c r="F3462" s="29"/>
      <c r="G3462" s="29"/>
      <c r="H3462" s="29"/>
      <c r="I3462" s="29"/>
      <c r="J3462" s="29"/>
      <c r="K3462" s="29"/>
      <c r="L3462" s="29"/>
      <c r="M3462" s="29"/>
      <c r="N3462" s="29"/>
      <c r="O3462" s="29"/>
      <c r="P3462" s="19"/>
      <c r="Q3462" s="19"/>
      <c r="R3462" s="11"/>
    </row>
    <row r="3463" s="1" customFormat="1" ht="21.95" customHeight="1" spans="1:19">
      <c r="A3463" s="7"/>
      <c r="B3463" s="12"/>
      <c r="C3463" s="33"/>
      <c r="D3463" s="77" t="s">
        <v>758</v>
      </c>
      <c r="E3463" s="77"/>
      <c r="F3463" s="78" t="str">
        <f>IFERROR(PROPER(VLOOKUP(F3426,STUDENT!$A$2:$BP$101,5,0)),"")</f>
        <v/>
      </c>
      <c r="G3463" s="78"/>
      <c r="H3463" s="78"/>
      <c r="I3463" s="78"/>
      <c r="J3463" s="78"/>
      <c r="K3463" s="78"/>
      <c r="L3463" s="78"/>
      <c r="M3463" s="78"/>
      <c r="N3463" s="79" t="s">
        <v>759</v>
      </c>
      <c r="O3463" s="79"/>
      <c r="P3463" s="19"/>
      <c r="Q3463" s="19"/>
      <c r="R3463" s="11"/>
    </row>
    <row r="3464" s="1" customFormat="1" ht="21.95" customHeight="1" spans="1:19">
      <c r="A3464" s="7"/>
      <c r="B3464" s="12"/>
      <c r="C3464" s="33"/>
      <c r="D3464" s="80" t="s">
        <v>760</v>
      </c>
      <c r="E3464" s="81" t="str">
        <f>IFERROR(PROPER(VLOOKUP(F3426,STUDENT!$A$2:$BP$101,9,0)),"")</f>
        <v/>
      </c>
      <c r="F3464" s="81"/>
      <c r="G3464" s="81"/>
      <c r="H3464" s="80" t="s">
        <v>761</v>
      </c>
      <c r="I3464" s="82" t="str">
        <f>IFERROR(PROPER(VLOOKUP(F3426,STUDENT!$A$2:$BP$101,8,0)),"")</f>
        <v/>
      </c>
      <c r="J3464" s="82"/>
      <c r="K3464" s="82"/>
      <c r="L3464" s="82"/>
      <c r="M3464" s="80" t="s">
        <v>762</v>
      </c>
      <c r="N3464" s="83" t="str">
        <f>IFERROR(VLOOKUP(F3426,STUDENT!$A$2:$BP$101,59,0),"")</f>
        <v/>
      </c>
      <c r="O3464" s="83"/>
      <c r="P3464" s="19"/>
      <c r="Q3464" s="19"/>
      <c r="R3464" s="11"/>
    </row>
    <row r="3465" s="1" customFormat="1" ht="21.95" customHeight="1" spans="1:19">
      <c r="A3465" s="7"/>
      <c r="B3465" s="12"/>
      <c r="C3465" s="33"/>
      <c r="D3465" s="77" t="str">
        <f>"has    completed     his  /  her     primary     level     education    in    the    year    "&amp;RIGHT(ENTRY!$D3431,4)&amp;"    from    ( School    Name )"</f>
        <v>has    completed     his  /  her     primary     level     education    in    the    year        from    ( School    Name )</v>
      </c>
      <c r="E3465" s="77"/>
      <c r="F3465" s="77"/>
      <c r="G3465" s="77"/>
      <c r="H3465" s="77"/>
      <c r="I3465" s="77"/>
      <c r="J3465" s="77"/>
      <c r="K3465" s="77"/>
      <c r="L3465" s="77"/>
      <c r="M3465" s="77"/>
      <c r="N3465" s="77"/>
      <c r="O3465" s="77"/>
      <c r="P3465" s="19"/>
      <c r="Q3465" s="19"/>
      <c r="R3465" s="11"/>
    </row>
    <row r="3466" s="1" customFormat="1" ht="21.95" customHeight="1" spans="1:19">
      <c r="A3466" s="7"/>
      <c r="B3466" s="12"/>
      <c r="C3466" s="33"/>
      <c r="D3466" s="81" t="str">
        <f>IF(F3426&gt;0,ENTRY!$D$6,"")</f>
        <v>MCP NITHARI NO 1 BOYS</v>
      </c>
      <c r="E3466" s="81"/>
      <c r="F3466" s="81"/>
      <c r="G3466" s="81"/>
      <c r="H3466" s="81"/>
      <c r="I3466" s="81"/>
      <c r="J3466" s="81"/>
      <c r="K3466" s="81"/>
      <c r="L3466" s="81"/>
      <c r="M3466" s="80" t="s">
        <v>763</v>
      </c>
      <c r="N3466" s="84">
        <f>IF(F3426&gt;0,ENTRY!$D$7,"")</f>
        <v>0</v>
      </c>
      <c r="O3466" s="84"/>
      <c r="P3466" s="85" t="s">
        <v>727</v>
      </c>
      <c r="Q3466" s="19"/>
      <c r="R3466" s="11"/>
    </row>
    <row r="3467" s="1" customFormat="1" ht="21.95" customHeight="1" spans="1:19">
      <c r="A3467" s="7"/>
      <c r="B3467" s="12"/>
      <c r="C3467" s="33"/>
      <c r="D3467" s="29"/>
      <c r="E3467" s="29"/>
      <c r="F3467" s="29"/>
      <c r="G3467" s="29"/>
      <c r="H3467" s="29"/>
      <c r="I3467" s="29"/>
      <c r="J3467" s="29"/>
      <c r="K3467" s="29"/>
      <c r="L3467" s="29"/>
      <c r="M3467" s="29"/>
      <c r="N3467" s="29"/>
      <c r="O3467" s="29"/>
      <c r="P3467" s="19"/>
      <c r="Q3467" s="19"/>
      <c r="R3467" s="11"/>
    </row>
    <row r="3468" s="1" customFormat="1" ht="21.95" customHeight="1" spans="1:19">
      <c r="A3468" s="7"/>
      <c r="B3468" s="12"/>
      <c r="C3468" s="33"/>
      <c r="D3468" s="29"/>
      <c r="E3468" s="29"/>
      <c r="F3468" s="29"/>
      <c r="G3468" s="29"/>
      <c r="H3468" s="29"/>
      <c r="I3468" s="29"/>
      <c r="J3468" s="29"/>
      <c r="K3468" s="29"/>
      <c r="L3468" s="29"/>
      <c r="M3468" s="29"/>
      <c r="N3468" s="29"/>
      <c r="O3468" s="29"/>
      <c r="P3468" s="19"/>
      <c r="Q3468" s="19"/>
      <c r="R3468" s="11"/>
    </row>
    <row r="3469" s="1" customFormat="1" ht="21.95" customHeight="1" spans="1:19">
      <c r="A3469" s="7"/>
      <c r="B3469" s="12"/>
      <c r="C3469" s="33"/>
      <c r="D3469" s="29"/>
      <c r="E3469" s="29"/>
      <c r="F3469" s="29"/>
      <c r="G3469" s="29"/>
      <c r="H3469" s="29"/>
      <c r="I3469" s="29"/>
      <c r="J3469" s="29"/>
      <c r="K3469" s="29"/>
      <c r="L3469" s="29"/>
      <c r="M3469" s="29"/>
      <c r="N3469" s="29"/>
      <c r="O3469" s="29"/>
      <c r="P3469" s="19"/>
      <c r="Q3469" s="19"/>
      <c r="R3469" s="11"/>
    </row>
    <row r="3470" s="1" customFormat="1" ht="21.95" customHeight="1" spans="1:19">
      <c r="A3470" s="7"/>
      <c r="B3470" s="12"/>
      <c r="C3470" s="33"/>
      <c r="D3470" s="29"/>
      <c r="E3470" s="29"/>
      <c r="F3470" s="29"/>
      <c r="G3470" s="29"/>
      <c r="H3470" s="29"/>
      <c r="I3470" s="29"/>
      <c r="J3470" s="29"/>
      <c r="K3470" s="29"/>
      <c r="L3470" s="29"/>
      <c r="M3470" s="29"/>
      <c r="N3470" s="29"/>
      <c r="O3470" s="29"/>
      <c r="P3470" s="19"/>
      <c r="Q3470" s="19"/>
      <c r="R3470" s="11"/>
    </row>
    <row r="3471" s="1" customFormat="1" ht="21.95" customHeight="1" spans="1:19">
      <c r="A3471" s="7"/>
      <c r="B3471" s="12"/>
      <c r="C3471" s="33"/>
      <c r="D3471" s="29"/>
      <c r="E3471" s="29"/>
      <c r="F3471" s="29"/>
      <c r="G3471" s="29"/>
      <c r="H3471" s="29"/>
      <c r="I3471" s="29"/>
      <c r="J3471" s="29"/>
      <c r="K3471" s="29"/>
      <c r="L3471" s="29"/>
      <c r="M3471" s="29"/>
      <c r="N3471" s="29"/>
      <c r="O3471" s="29"/>
      <c r="P3471" s="19"/>
      <c r="Q3471" s="19"/>
      <c r="R3471" s="11"/>
    </row>
    <row r="3472" s="1" customFormat="1" ht="21.95" customHeight="1" spans="1:19">
      <c r="A3472" s="7"/>
      <c r="B3472" s="12"/>
      <c r="C3472" s="33"/>
      <c r="D3472" s="80" t="s">
        <v>728</v>
      </c>
      <c r="E3472" s="86">
        <f>ENTRY!$D$27</f>
        <v>46102</v>
      </c>
      <c r="F3472" s="86"/>
      <c r="G3472" s="29"/>
      <c r="H3472" s="29"/>
      <c r="I3472" s="29"/>
      <c r="J3472" s="29"/>
      <c r="K3472" s="29"/>
      <c r="L3472" s="29"/>
      <c r="M3472" s="87" t="s">
        <v>730</v>
      </c>
      <c r="N3472" s="87"/>
      <c r="O3472" s="87"/>
      <c r="P3472" s="19"/>
      <c r="Q3472" s="19"/>
      <c r="R3472" s="11"/>
    </row>
    <row r="3473" s="1" customFormat="1" ht="21.95" customHeight="1" spans="1:18">
      <c r="A3473" s="7"/>
      <c r="B3473" s="12"/>
      <c r="C3473" s="33"/>
      <c r="D3473" s="80" t="s">
        <v>731</v>
      </c>
      <c r="E3473" s="88" t="str">
        <f>PROPER(ENTRY!$D$28)</f>
        <v>New Delhi</v>
      </c>
      <c r="F3473" s="88"/>
      <c r="G3473" s="29"/>
      <c r="H3473" s="29"/>
      <c r="I3473" s="29"/>
      <c r="J3473" s="29"/>
      <c r="K3473" s="29"/>
      <c r="L3473" s="29"/>
      <c r="M3473" s="89" t="s">
        <v>732</v>
      </c>
      <c r="N3473" s="89"/>
      <c r="O3473" s="89"/>
      <c r="P3473" s="19"/>
      <c r="Q3473" s="19"/>
      <c r="R3473" s="11"/>
    </row>
    <row r="3474" s="1" customFormat="1" ht="21.95" customHeight="1" spans="1:18">
      <c r="A3474" s="7"/>
      <c r="B3474" s="12"/>
      <c r="C3474" s="90"/>
      <c r="D3474" s="91"/>
      <c r="E3474" s="91"/>
      <c r="F3474" s="91"/>
      <c r="G3474" s="91"/>
      <c r="H3474" s="91"/>
      <c r="I3474" s="91"/>
      <c r="J3474" s="91"/>
      <c r="K3474" s="91"/>
      <c r="L3474" s="91"/>
      <c r="M3474" s="91"/>
      <c r="N3474" s="91"/>
      <c r="O3474" s="91"/>
      <c r="P3474" s="92"/>
      <c r="Q3474" s="14"/>
      <c r="R3474" s="11"/>
    </row>
    <row r="3475" s="1" customFormat="1" ht="5.1" customHeight="1" spans="1:18">
      <c r="A3475" s="7"/>
      <c r="B3475" s="90"/>
      <c r="C3475" s="91"/>
      <c r="D3475" s="91"/>
      <c r="E3475" s="91"/>
      <c r="F3475" s="91"/>
      <c r="G3475" s="91"/>
      <c r="H3475" s="91"/>
      <c r="I3475" s="91"/>
      <c r="J3475" s="91"/>
      <c r="K3475" s="91"/>
      <c r="L3475" s="91"/>
      <c r="M3475" s="91"/>
      <c r="N3475" s="91"/>
      <c r="O3475" s="91"/>
      <c r="P3475" s="91"/>
      <c r="Q3475" s="92"/>
      <c r="R3475" s="11"/>
    </row>
    <row r="3476" s="1" customFormat="1" ht="5.1" customHeight="1" spans="1:18">
      <c r="A3476" s="93"/>
      <c r="B3476" s="94"/>
      <c r="C3476" s="94"/>
      <c r="D3476" s="94"/>
      <c r="E3476" s="94"/>
      <c r="F3476" s="94"/>
      <c r="G3476" s="94"/>
      <c r="H3476" s="94"/>
      <c r="I3476" s="94"/>
      <c r="J3476" s="94"/>
      <c r="K3476" s="94"/>
      <c r="L3476" s="94"/>
      <c r="M3476" s="94"/>
      <c r="N3476" s="94"/>
      <c r="O3476" s="94"/>
      <c r="P3476" s="94"/>
      <c r="Q3476" s="94"/>
      <c r="R3476" s="95"/>
    </row>
    <row r="3477" s="2" customFormat="1" ht="9.95" customHeight="1"/>
    <row r="3478" s="1" customFormat="1" ht="5.1" customHeight="1" spans="1:18">
      <c r="A3478" s="4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  <c r="O3478" s="5"/>
      <c r="P3478" s="5"/>
      <c r="Q3478" s="5"/>
      <c r="R3478" s="6"/>
    </row>
    <row r="3479" s="1" customFormat="1" ht="15" customHeight="1" spans="1:18">
      <c r="A3479" s="7"/>
      <c r="B3479" s="8"/>
      <c r="C3479" s="9"/>
      <c r="D3479" s="9"/>
      <c r="E3479" s="9"/>
      <c r="F3479" s="9"/>
      <c r="G3479" s="9"/>
      <c r="H3479" s="9"/>
      <c r="I3479" s="9"/>
      <c r="J3479" s="9"/>
      <c r="K3479" s="9"/>
      <c r="L3479" s="9"/>
      <c r="M3479" s="9"/>
      <c r="N3479" s="9"/>
      <c r="O3479" s="9"/>
      <c r="P3479" s="9"/>
      <c r="Q3479" s="10"/>
      <c r="R3479" s="11"/>
    </row>
    <row r="3480" s="1" customFormat="1" ht="21.95" customHeight="1" spans="1:18">
      <c r="A3480" s="7"/>
      <c r="B3480" s="12"/>
      <c r="C3480" s="13" t="s">
        <v>7</v>
      </c>
      <c r="D3480" s="13"/>
      <c r="E3480" s="13"/>
      <c r="F3480" s="13"/>
      <c r="G3480" s="13"/>
      <c r="H3480" s="13"/>
      <c r="I3480" s="13"/>
      <c r="J3480" s="13"/>
      <c r="K3480" s="13"/>
      <c r="L3480" s="13"/>
      <c r="M3480" s="13"/>
      <c r="N3480" s="13"/>
      <c r="O3480" s="13"/>
      <c r="P3480" s="13"/>
      <c r="Q3480" s="14"/>
      <c r="R3480" s="11"/>
    </row>
    <row r="3481" s="1" customFormat="1" ht="21.95" customHeight="1" spans="1:18">
      <c r="A3481" s="7"/>
      <c r="B3481" s="1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14"/>
      <c r="R3481" s="11"/>
    </row>
    <row r="3482" s="1" customFormat="1" ht="21.95" customHeight="1" spans="1:18">
      <c r="A3482" s="7"/>
      <c r="B3482" s="12"/>
      <c r="C3482" s="15" t="str">
        <f>"SESSION-"&amp;ENTRY!$D$11</f>
        <v>SESSION-2026-27</v>
      </c>
      <c r="D3482" s="15"/>
      <c r="E3482" s="15"/>
      <c r="F3482" s="15"/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4"/>
      <c r="R3482" s="11"/>
    </row>
    <row r="3483" s="1" customFormat="1" ht="21.95" customHeight="1" spans="1:18">
      <c r="A3483" s="7"/>
      <c r="B3483" s="12"/>
      <c r="C3483" s="2"/>
      <c r="D3483" s="2"/>
      <c r="E3483" s="2"/>
      <c r="F3483" s="16">
        <f>F3426+1</f>
        <v>62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14"/>
      <c r="R3483" s="11"/>
    </row>
    <row r="3484" s="1" customFormat="1" ht="21.95" customHeight="1" spans="1:18">
      <c r="A3484" s="7"/>
      <c r="B3484" s="12"/>
      <c r="C3484" s="17" t="s">
        <v>392</v>
      </c>
      <c r="D3484" s="17"/>
      <c r="E3484" s="17"/>
      <c r="F3484" s="18" t="str">
        <f>IF(F3483&gt;0,ENTRY!$D$6,"")</f>
        <v>MCP NITHARI NO 1 BOYS</v>
      </c>
      <c r="G3484" s="18"/>
      <c r="H3484" s="18"/>
      <c r="I3484" s="18"/>
      <c r="J3484" s="18"/>
      <c r="K3484" s="18"/>
      <c r="L3484" s="18"/>
      <c r="M3484" s="18"/>
      <c r="N3484" s="18"/>
      <c r="O3484" s="18"/>
      <c r="P3484" s="18"/>
      <c r="Q3484" s="19"/>
      <c r="R3484" s="11"/>
    </row>
    <row r="3485" s="1" customFormat="1" ht="21.95" customHeight="1" spans="1:18">
      <c r="A3485" s="7"/>
      <c r="B3485" s="12"/>
      <c r="C3485" s="17" t="s">
        <v>393</v>
      </c>
      <c r="D3485" s="17"/>
      <c r="E3485" s="17"/>
      <c r="F3485" s="18">
        <f>IF(F3483&gt;0,ENTRY!$D$7,"")</f>
        <v>0</v>
      </c>
      <c r="G3485" s="18"/>
      <c r="H3485" s="20" t="s">
        <v>702</v>
      </c>
      <c r="I3485" s="20"/>
      <c r="J3485" s="21">
        <f>IF(F3483&gt;0,ENTRY!$D$10,"")</f>
        <v>40</v>
      </c>
      <c r="K3485" s="20" t="s">
        <v>703</v>
      </c>
      <c r="L3485" s="22" t="str">
        <f>IF(F3483&gt;0,ENTRY!$D$5,"")</f>
        <v>ROHINI ZONE</v>
      </c>
      <c r="M3485" s="22"/>
      <c r="N3485" s="22"/>
      <c r="O3485" s="22"/>
      <c r="P3485" s="22"/>
      <c r="Q3485" s="19"/>
      <c r="R3485" s="11"/>
    </row>
    <row r="3486" s="1" customFormat="1" ht="21.95" customHeight="1" spans="1:18">
      <c r="A3486" s="7"/>
      <c r="B3486" s="12"/>
      <c r="C3486" s="17" t="s">
        <v>706</v>
      </c>
      <c r="D3486" s="17"/>
      <c r="E3486" s="17"/>
      <c r="F3486" s="23">
        <f>IFERROR(VLOOKUP(F3483,STUDENT!$A$2:$BP$101,5,0),"")</f>
        <v>0</v>
      </c>
      <c r="G3486" s="23"/>
      <c r="H3486" s="23"/>
      <c r="I3486" s="23"/>
      <c r="J3486" s="23"/>
      <c r="K3486" s="23"/>
      <c r="L3486" s="20" t="s">
        <v>707</v>
      </c>
      <c r="M3486" s="20"/>
      <c r="N3486" s="24" t="str">
        <f>IF(F3483&gt;0,ENTRY!$D$20&amp;"-"&amp;ENTRY!$D$21,"")</f>
        <v>III-A</v>
      </c>
      <c r="O3486" s="24"/>
      <c r="P3486" s="24"/>
      <c r="Q3486" s="19"/>
      <c r="R3486" s="11"/>
    </row>
    <row r="3487" s="1" customFormat="1" ht="21.95" customHeight="1" spans="1:18">
      <c r="A3487" s="7"/>
      <c r="B3487" s="12"/>
      <c r="C3487" s="17" t="s">
        <v>708</v>
      </c>
      <c r="D3487" s="17"/>
      <c r="E3487" s="17"/>
      <c r="F3487" s="25">
        <f>IFERROR(VLOOKUP(F3483,STUDENT!$A$2:$BP$101,6,0),"")</f>
        <v>0</v>
      </c>
      <c r="G3487" s="25"/>
      <c r="H3487" s="26" t="s">
        <v>709</v>
      </c>
      <c r="I3487" s="27" t="str">
        <f>IFERROR(VLOOKUP(F3483,STUDENT!$A$2:$BP$101,59,0),"")</f>
        <v/>
      </c>
      <c r="J3487" s="27"/>
      <c r="K3487" s="20" t="s">
        <v>710</v>
      </c>
      <c r="L3487" s="20"/>
      <c r="M3487" s="28">
        <f>IFERROR(VLOOKUP(F3483,STUDENT!$A$2:$BP$101,20,0),"")</f>
        <v>0</v>
      </c>
      <c r="N3487" s="28"/>
      <c r="O3487" s="28"/>
      <c r="P3487" s="28"/>
      <c r="Q3487" s="19"/>
      <c r="R3487" s="11"/>
    </row>
    <row r="3488" s="1" customFormat="1" ht="21.95" customHeight="1" spans="1:18">
      <c r="A3488" s="7"/>
      <c r="B3488" s="12"/>
      <c r="C3488" s="17" t="s">
        <v>711</v>
      </c>
      <c r="D3488" s="17"/>
      <c r="E3488" s="17"/>
      <c r="F3488" s="23">
        <f>IFERROR(VLOOKUP(F3483,STUDENT!$A$2:$BP$101,9,0),"")</f>
        <v>0</v>
      </c>
      <c r="G3488" s="23"/>
      <c r="H3488" s="23"/>
      <c r="I3488" s="23"/>
      <c r="J3488" s="17" t="s">
        <v>620</v>
      </c>
      <c r="K3488" s="17"/>
      <c r="L3488" s="23">
        <f>IFERROR(VLOOKUP(F3483,STUDENT!$A$2:$BP$101,8,0),"")</f>
        <v>0</v>
      </c>
      <c r="M3488" s="23"/>
      <c r="N3488" s="23"/>
      <c r="O3488" s="23"/>
      <c r="P3488" s="23"/>
      <c r="Q3488" s="19"/>
      <c r="R3488" s="11"/>
    </row>
    <row r="3489" s="1" customFormat="1" ht="21.95" customHeight="1" spans="1:18">
      <c r="A3489" s="7"/>
      <c r="B3489" s="12"/>
      <c r="C3489" s="17" t="s">
        <v>712</v>
      </c>
      <c r="D3489" s="17"/>
      <c r="E3489" s="17"/>
      <c r="F3489" s="23">
        <f>IFERROR(VLOOKUP(F3483,STUDENT!$A$2:$BP$101,22,0),"")</f>
        <v>0</v>
      </c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19"/>
      <c r="R3489" s="11"/>
    </row>
    <row r="3490" s="1" customFormat="1" ht="9.95" customHeight="1" spans="1:18">
      <c r="A3490" s="7"/>
      <c r="B3490" s="12"/>
      <c r="C3490" s="29"/>
      <c r="D3490" s="29"/>
      <c r="E3490" s="29"/>
      <c r="F3490" s="29"/>
      <c r="G3490" s="29"/>
      <c r="H3490" s="29"/>
      <c r="I3490" s="29"/>
      <c r="J3490" s="29"/>
      <c r="K3490" s="29"/>
      <c r="L3490" s="29"/>
      <c r="M3490" s="29"/>
      <c r="N3490" s="29"/>
      <c r="O3490" s="29"/>
      <c r="P3490" s="29"/>
      <c r="Q3490" s="19"/>
      <c r="R3490" s="11"/>
    </row>
    <row r="3491" s="1" customFormat="1" ht="9.95" customHeight="1" spans="1:18">
      <c r="A3491" s="7"/>
      <c r="B3491" s="12"/>
      <c r="C3491" s="30"/>
      <c r="D3491" s="31"/>
      <c r="E3491" s="31"/>
      <c r="F3491" s="31"/>
      <c r="G3491" s="31"/>
      <c r="H3491" s="31"/>
      <c r="I3491" s="31"/>
      <c r="J3491" s="31"/>
      <c r="K3491" s="31"/>
      <c r="L3491" s="31"/>
      <c r="M3491" s="31"/>
      <c r="N3491" s="31"/>
      <c r="O3491" s="31"/>
      <c r="P3491" s="32"/>
      <c r="Q3491" s="19"/>
      <c r="R3491" s="11"/>
    </row>
    <row r="3492" s="1" customFormat="1" ht="21.95" customHeight="1" spans="1:18">
      <c r="A3492" s="7"/>
      <c r="B3492" s="12"/>
      <c r="C3492" s="33"/>
      <c r="D3492" s="34" t="s">
        <v>713</v>
      </c>
      <c r="E3492" s="20" t="s">
        <v>714</v>
      </c>
      <c r="F3492" s="35" t="str">
        <f>"Level - "&amp;IFERROR(VLOOKUP(F3483,FLN!$A$4:$K$103,9,0),"")</f>
        <v>Level - </v>
      </c>
      <c r="G3492" s="36"/>
      <c r="H3492" s="37" t="s">
        <v>715</v>
      </c>
      <c r="I3492" s="20"/>
      <c r="J3492" s="35" t="str">
        <f>"Level - "&amp;IFERROR(VLOOKUP(F3483,FLN!$A$4:$K$103,11,0),"")</f>
        <v>Level - </v>
      </c>
      <c r="K3492" s="36"/>
      <c r="L3492" s="37" t="s">
        <v>408</v>
      </c>
      <c r="M3492" s="20"/>
      <c r="N3492" s="35" t="str">
        <f>"Level - "&amp;IFERROR(VLOOKUP(F3483,FLN!$A$4:$K$103,10,0),"")</f>
        <v>Level - </v>
      </c>
      <c r="O3492" s="36"/>
      <c r="P3492" s="19"/>
      <c r="Q3492" s="19"/>
      <c r="R3492" s="11"/>
    </row>
    <row r="3493" s="1" customFormat="1" ht="21.95" customHeight="1" spans="1:18">
      <c r="A3493" s="7"/>
      <c r="B3493" s="12"/>
      <c r="C3493" s="33"/>
      <c r="D3493" s="38"/>
      <c r="E3493" s="20" t="s">
        <v>716</v>
      </c>
      <c r="F3493" s="18" t="str">
        <f ca="1">IF(L3507&gt;197,"PERFORMED WELL","")</f>
        <v/>
      </c>
      <c r="G3493" s="18"/>
      <c r="H3493" s="18"/>
      <c r="I3493" s="18"/>
      <c r="J3493" s="18"/>
      <c r="K3493" s="18"/>
      <c r="L3493" s="18"/>
      <c r="M3493" s="18"/>
      <c r="N3493" s="18"/>
      <c r="O3493" s="18"/>
      <c r="P3493" s="19"/>
      <c r="Q3493" s="19"/>
      <c r="R3493" s="11"/>
    </row>
    <row r="3494" s="1" customFormat="1" ht="9.95" customHeight="1" spans="1:18">
      <c r="A3494" s="7"/>
      <c r="B3494" s="12"/>
      <c r="C3494" s="39"/>
      <c r="D3494" s="40"/>
      <c r="E3494" s="40"/>
      <c r="F3494" s="40"/>
      <c r="G3494" s="40"/>
      <c r="H3494" s="40"/>
      <c r="I3494" s="40"/>
      <c r="J3494" s="40"/>
      <c r="K3494" s="40"/>
      <c r="L3494" s="40"/>
      <c r="M3494" s="40"/>
      <c r="N3494" s="40"/>
      <c r="O3494" s="40"/>
      <c r="P3494" s="41"/>
      <c r="Q3494" s="19"/>
      <c r="R3494" s="11"/>
    </row>
    <row r="3495" s="1" customFormat="1" ht="9.95" customHeight="1" spans="1:18">
      <c r="A3495" s="7"/>
      <c r="B3495" s="12"/>
      <c r="C3495" s="29"/>
      <c r="D3495" s="29"/>
      <c r="E3495" s="29"/>
      <c r="F3495" s="29"/>
      <c r="G3495" s="29"/>
      <c r="H3495" s="29"/>
      <c r="I3495" s="29"/>
      <c r="J3495" s="29"/>
      <c r="K3495" s="29"/>
      <c r="L3495" s="29"/>
      <c r="M3495" s="29"/>
      <c r="N3495" s="29"/>
      <c r="O3495" s="29"/>
      <c r="P3495" s="29"/>
      <c r="Q3495" s="19"/>
      <c r="R3495" s="11"/>
    </row>
    <row r="3496" s="1" customFormat="1" ht="9.95" customHeight="1" spans="1:18">
      <c r="A3496" s="7"/>
      <c r="B3496" s="12"/>
      <c r="C3496" s="30"/>
      <c r="D3496" s="31"/>
      <c r="E3496" s="31"/>
      <c r="F3496" s="31"/>
      <c r="G3496" s="31"/>
      <c r="H3496" s="31"/>
      <c r="I3496" s="31"/>
      <c r="J3496" s="31"/>
      <c r="K3496" s="31"/>
      <c r="L3496" s="31"/>
      <c r="M3496" s="31"/>
      <c r="N3496" s="31"/>
      <c r="O3496" s="31"/>
      <c r="P3496" s="32"/>
      <c r="Q3496" s="19"/>
      <c r="R3496" s="11"/>
    </row>
    <row r="3497" s="1" customFormat="1" ht="21.95" customHeight="1" spans="1:18">
      <c r="A3497" s="7"/>
      <c r="B3497" s="12"/>
      <c r="C3497" s="33"/>
      <c r="D3497" s="35"/>
      <c r="E3497" s="24"/>
      <c r="F3497" s="42" t="s">
        <v>717</v>
      </c>
      <c r="G3497" s="42"/>
      <c r="H3497" s="42"/>
      <c r="I3497" s="42"/>
      <c r="J3497" s="42"/>
      <c r="K3497" s="42"/>
      <c r="L3497" s="43"/>
      <c r="M3497" s="44"/>
      <c r="N3497" s="29"/>
      <c r="O3497" s="29"/>
      <c r="P3497" s="19"/>
      <c r="Q3497" s="19"/>
      <c r="R3497" s="11"/>
    </row>
    <row r="3498" s="1" customFormat="1" ht="21.95" customHeight="1" spans="1:18">
      <c r="A3498" s="7"/>
      <c r="B3498" s="12"/>
      <c r="C3498" s="33"/>
      <c r="D3498" s="45"/>
      <c r="E3498" s="46"/>
      <c r="F3498" s="47" t="s">
        <v>541</v>
      </c>
      <c r="G3498" s="47" t="s">
        <v>542</v>
      </c>
      <c r="H3498" s="47" t="s">
        <v>543</v>
      </c>
      <c r="I3498" s="47" t="s">
        <v>544</v>
      </c>
      <c r="J3498" s="47" t="s">
        <v>561</v>
      </c>
      <c r="K3498" s="48" t="s">
        <v>750</v>
      </c>
      <c r="L3498" s="47" t="s">
        <v>382</v>
      </c>
      <c r="M3498" s="49" t="s">
        <v>546</v>
      </c>
      <c r="N3498" s="29"/>
      <c r="O3498" s="29"/>
      <c r="P3498" s="19"/>
      <c r="Q3498" s="19"/>
      <c r="R3498" s="11"/>
    </row>
    <row r="3499" s="1" customFormat="1" ht="21.95" customHeight="1" spans="1:18">
      <c r="A3499" s="7"/>
      <c r="B3499" s="12"/>
      <c r="C3499" s="33"/>
      <c r="D3499" s="45" t="s">
        <v>652</v>
      </c>
      <c r="E3499" s="46"/>
      <c r="F3499" s="50">
        <v>10</v>
      </c>
      <c r="G3499" s="50">
        <v>10</v>
      </c>
      <c r="H3499" s="50">
        <v>10</v>
      </c>
      <c r="I3499" s="50">
        <v>10</v>
      </c>
      <c r="J3499" s="50">
        <v>60</v>
      </c>
      <c r="K3499" s="51"/>
      <c r="L3499" s="50">
        <v>100</v>
      </c>
      <c r="M3499" s="49"/>
      <c r="N3499" s="29"/>
      <c r="O3499" s="29"/>
      <c r="P3499" s="19"/>
      <c r="Q3499" s="19"/>
      <c r="R3499" s="11"/>
    </row>
    <row r="3500" s="1" customFormat="1" ht="21.95" customHeight="1" spans="1:18">
      <c r="A3500" s="7"/>
      <c r="B3500" s="12"/>
      <c r="C3500" s="33"/>
      <c r="D3500" s="52" t="s">
        <v>751</v>
      </c>
      <c r="E3500" s="53"/>
      <c r="F3500" s="54" t="str">
        <f ca="1">IFERROR(VLOOKUP(F3483,'RR-3.1-5TH'!$A$12:'RR-3.1-5TH'!$BN$111,9,0),"")</f>
        <v/>
      </c>
      <c r="G3500" s="54" t="str">
        <f ca="1">IFERROR(VLOOKUP(F3483,'RR-3.1-5TH'!$A$12:'RR-3.1-5TH'!$BN$111,10,0),"")</f>
        <v/>
      </c>
      <c r="H3500" s="54" t="str">
        <f ca="1">IFERROR(VLOOKUP(F3483,'RR-3.1-5TH'!$A$12:'RR-3.1-5TH'!$BN$111,11,0),"")</f>
        <v/>
      </c>
      <c r="I3500" s="54" t="str">
        <f ca="1">IFERROR(VLOOKUP(F3483,'RR-3.1-5TH'!$A$12:'RR-3.1-5TH'!$BN$111,12,0),"")</f>
        <v/>
      </c>
      <c r="J3500" s="54" t="str">
        <f ca="1">IFERROR(VLOOKUP(F3483,'RR-3.1-5TH'!$A$12:'RR-3.1-5TH'!$BN$111,13,0),"")</f>
        <v/>
      </c>
      <c r="K3500" s="54" t="str">
        <f ca="1">IFERROR(VLOOKUP(F3483,'RR-3.1-5TH'!$A$12:'RR-3.1-5TH'!$BN$111,14,0),"")</f>
        <v/>
      </c>
      <c r="L3500" s="55">
        <f ca="1" t="shared" ref="L3500:L3505" si="183">SUM(F3500,G3500,H3500,I3500,J3500,K3500)</f>
        <v>0</v>
      </c>
      <c r="M3500" s="56" t="str">
        <f ca="1">IF(F3483&gt;ENTRY!$D$24,"",IF(L3500=0,"Ab",IF(L3500&gt;80,"A",IF(L3500&gt;60,"B",IF(L3500&gt;44,"C",IF(L3500&gt;=33,"D",IF(L3500&lt;=32,"E","")))))))</f>
        <v/>
      </c>
      <c r="N3500" s="57" t="s">
        <v>729</v>
      </c>
      <c r="O3500" s="58"/>
      <c r="P3500" s="59"/>
      <c r="Q3500" s="19"/>
      <c r="R3500" s="11"/>
    </row>
    <row r="3501" s="1" customFormat="1" ht="21.95" customHeight="1" spans="1:18">
      <c r="A3501" s="7"/>
      <c r="B3501" s="12"/>
      <c r="C3501" s="33"/>
      <c r="D3501" s="52" t="s">
        <v>513</v>
      </c>
      <c r="E3501" s="53"/>
      <c r="F3501" s="54" t="str">
        <f ca="1">IFERROR(VLOOKUP(F3483,'RR-3.1-5TH'!$A$12:'RR-3.1-5TH'!$BN$111,17,0),"")</f>
        <v/>
      </c>
      <c r="G3501" s="54" t="str">
        <f ca="1">IFERROR(VLOOKUP(F3483,'RR-3.1-5TH'!$A$12:'RR-3.1-5TH'!$BN$111,18,0),"")</f>
        <v/>
      </c>
      <c r="H3501" s="54" t="str">
        <f ca="1">IFERROR(VLOOKUP(F3483,'RR-3.1-5TH'!$A$12:'RR-3.1-5TH'!$BN$111,19,0),"")</f>
        <v/>
      </c>
      <c r="I3501" s="54" t="str">
        <f ca="1">IFERROR(VLOOKUP(F3483,'RR-3.1-5TH'!$A$12:'RR-3.1-5TH'!$BN$111,20,0),"")</f>
        <v/>
      </c>
      <c r="J3501" s="54" t="str">
        <f ca="1">IFERROR(VLOOKUP(F3483,'RR-3.1-5TH'!$A$12:'RR-3.1-5TH'!$BN$111,21,0),"")</f>
        <v/>
      </c>
      <c r="K3501" s="54" t="str">
        <f ca="1">IFERROR(VLOOKUP(F3483,'RR-3.1-5TH'!$A$12:'RR-3.1-5TH'!$BN$111,22,0),"")</f>
        <v/>
      </c>
      <c r="L3501" s="55">
        <f ca="1" t="shared" si="183"/>
        <v>0</v>
      </c>
      <c r="M3501" s="56" t="str">
        <f ca="1">IF(F3483&gt;ENTRY!$D$24,"",IF(L3501=0,"Ab",IF(L3501&gt;80,"A",IF(L3501&gt;60,"B",IF(L3501&gt;44,"C",IF(L3501&gt;=33,"D",IF(L3501&lt;=32,"E","")))))))</f>
        <v/>
      </c>
      <c r="N3501" s="58"/>
      <c r="O3501" s="58"/>
      <c r="P3501" s="59"/>
      <c r="Q3501" s="19"/>
      <c r="R3501" s="11"/>
    </row>
    <row r="3502" s="1" customFormat="1" ht="21.95" customHeight="1" spans="1:18">
      <c r="A3502" s="7"/>
      <c r="B3502" s="12"/>
      <c r="C3502" s="33"/>
      <c r="D3502" s="52" t="s">
        <v>718</v>
      </c>
      <c r="E3502" s="53"/>
      <c r="F3502" s="54" t="str">
        <f ca="1">IFERROR(VLOOKUP(F3483,'RR-3.1-5TH'!$A$12:'RR-3.1-5TH'!$BN$111,25,0),"")</f>
        <v/>
      </c>
      <c r="G3502" s="54" t="str">
        <f ca="1">IFERROR(VLOOKUP(F3483,'RR-3.1-5TH'!$A$12:'RR-3.1-5TH'!$BN$111,26,0),"")</f>
        <v/>
      </c>
      <c r="H3502" s="54" t="str">
        <f ca="1">IFERROR(VLOOKUP(F3483,'RR-3.1-5TH'!$A$12:'RR-3.1-5TH'!$BN$111,27,0),"")</f>
        <v/>
      </c>
      <c r="I3502" s="54" t="str">
        <f ca="1">IFERROR(VLOOKUP(F3483,'RR-3.1-5TH'!$A$12:'RR-3.1-5TH'!$BN$111,28,0),"")</f>
        <v/>
      </c>
      <c r="J3502" s="54" t="str">
        <f ca="1">IFERROR(VLOOKUP(F3483,'RR-3.1-5TH'!$A$12:'RR-3.1-5TH'!$BN$111,29,0),"")</f>
        <v/>
      </c>
      <c r="K3502" s="54" t="str">
        <f ca="1">IFERROR(VLOOKUP(F3483,'RR-3.1-5TH'!$A$12:'RR-3.1-5TH'!$BN$111,30,0),"")</f>
        <v/>
      </c>
      <c r="L3502" s="55">
        <f ca="1" t="shared" si="183"/>
        <v>0</v>
      </c>
      <c r="M3502" s="56" t="str">
        <f ca="1">IF(F3483&gt;ENTRY!$D$24,"",IF(L3502=0,"Ab",IF(L3502&gt;80,"A",IF(L3502&gt;60,"B",IF(L3502&gt;44,"C",IF(L3502&gt;=33,"D",IF(L3502&lt;=32,"E","")))))))</f>
        <v/>
      </c>
      <c r="N3502" s="29"/>
      <c r="O3502" s="29"/>
      <c r="P3502" s="19"/>
      <c r="Q3502" s="19"/>
      <c r="R3502" s="11"/>
    </row>
    <row r="3503" s="1" customFormat="1" ht="21.95" customHeight="1" spans="1:18">
      <c r="A3503" s="7"/>
      <c r="B3503" s="12"/>
      <c r="C3503" s="33"/>
      <c r="D3503" s="52" t="s">
        <v>719</v>
      </c>
      <c r="E3503" s="53"/>
      <c r="F3503" s="54" t="str">
        <f ca="1">IFERROR(VLOOKUP(F3483,'RR-3.1-5TH'!$A$12:'RR-3.1-5TH'!$BN$111,33,0),"")</f>
        <v/>
      </c>
      <c r="G3503" s="54" t="str">
        <f ca="1">IFERROR(VLOOKUP(F3483,'RR-3.1-5TH'!$A$12:'RR-3.1-5TH'!$BN$111,34,0),"")</f>
        <v/>
      </c>
      <c r="H3503" s="54" t="str">
        <f ca="1">IFERROR(VLOOKUP(F3483,'RR-3.1-5TH'!$A$12:'RR-3.1-5TH'!$BN$111,35,0),"")</f>
        <v/>
      </c>
      <c r="I3503" s="54" t="str">
        <f ca="1">IFERROR(VLOOKUP(F3483,'RR-3.1-5TH'!$A$12:'RR-3.1-5TH'!$BN$111,36,0),"")</f>
        <v/>
      </c>
      <c r="J3503" s="54" t="str">
        <f ca="1">IFERROR(VLOOKUP(F3483,'RR-3.1-5TH'!$A$12:'RR-3.1-5TH'!$BN$111,37,0),"")</f>
        <v/>
      </c>
      <c r="K3503" s="54" t="str">
        <f ca="1">IFERROR(VLOOKUP(F3483,'RR-3.1-5TH'!$A$12:'RR-3.1-5TH'!$BN$111,38,0),"")</f>
        <v/>
      </c>
      <c r="L3503" s="55">
        <f ca="1" t="shared" si="183"/>
        <v>0</v>
      </c>
      <c r="M3503" s="56" t="str">
        <f ca="1">IF(F3483&gt;ENTRY!$D$24,"",IF(L3503=0,"Ab",IF(L3503&gt;80,"A",IF(L3503&gt;60,"B",IF(L3503&gt;44,"C",IF(L3503&gt;=33,"D",IF(L3503&lt;=32,"E","")))))))</f>
        <v/>
      </c>
      <c r="N3503" s="29"/>
      <c r="O3503" s="29"/>
      <c r="P3503" s="19"/>
      <c r="Q3503" s="19"/>
      <c r="R3503" s="11"/>
    </row>
    <row r="3504" s="1" customFormat="1" ht="21.95" customHeight="1" spans="1:18">
      <c r="A3504" s="7"/>
      <c r="B3504" s="12"/>
      <c r="C3504" s="33"/>
      <c r="D3504" s="52" t="s">
        <v>548</v>
      </c>
      <c r="E3504" s="53"/>
      <c r="F3504" s="54" t="str">
        <f ca="1">IFERROR(VLOOKUP(F3483,'RR-3.1-5TH'!$A$12:'RR-3.1-5TH'!$BN$111,41,0),"")</f>
        <v/>
      </c>
      <c r="G3504" s="54" t="str">
        <f ca="1">IFERROR(VLOOKUP(F3483,'RR-3.1-5TH'!$A$12:'RR-3.1-5TH'!$BN$111,42,0),"")</f>
        <v/>
      </c>
      <c r="H3504" s="54" t="str">
        <f ca="1">IFERROR(VLOOKUP(F3483,'RR-3.1-5TH'!$A$12:'RR-3.1-5TH'!$BN$111,43,0),"")</f>
        <v/>
      </c>
      <c r="I3504" s="54" t="str">
        <f ca="1">IFERROR(VLOOKUP(F3483,'RR-3.1-5TH'!$A$12:'RR-3.1-5TH'!$BN$111,44,0),"")</f>
        <v/>
      </c>
      <c r="J3504" s="54" t="str">
        <f ca="1">IFERROR(VLOOKUP(F3483,'RR-3.1-5TH'!$A$12:'RR-3.1-5TH'!$BN$111,45,0),"")</f>
        <v/>
      </c>
      <c r="K3504" s="54" t="str">
        <f ca="1">IFERROR(VLOOKUP(F3483,'RR-3.1-5TH'!$A$12:'RR-3.1-5TH'!$BN$111,46,0),"")</f>
        <v/>
      </c>
      <c r="L3504" s="55">
        <f ca="1" t="shared" si="183"/>
        <v>0</v>
      </c>
      <c r="M3504" s="56" t="str">
        <f ca="1">IF(F3483&gt;ENTRY!$D$24,"",IF(L3504=0,"Ab",IF(L3504&gt;80,"A",IF(L3504&gt;60,"B",IF(L3504&gt;44,"C",IF(L3504&gt;=33,"D",IF(L3504&lt;=32,"E","")))))))</f>
        <v/>
      </c>
      <c r="N3504" s="29"/>
      <c r="O3504" s="29"/>
      <c r="P3504" s="19"/>
      <c r="Q3504" s="19"/>
      <c r="R3504" s="11"/>
    </row>
    <row r="3505" s="1" customFormat="1" ht="21.95" customHeight="1" spans="1:19">
      <c r="A3505" s="7"/>
      <c r="B3505" s="12"/>
      <c r="C3505" s="33"/>
      <c r="D3505" s="52" t="s">
        <v>549</v>
      </c>
      <c r="E3505" s="53"/>
      <c r="F3505" s="54" t="str">
        <f ca="1">IFERROR(VLOOKUP(F3483,'RR-3.1-5TH'!$A$12:'RR-3.1-5TH'!$BN$111,49,0),"")</f>
        <v/>
      </c>
      <c r="G3505" s="54" t="str">
        <f ca="1">IFERROR(VLOOKUP(F3483,'RR-3.1-5TH'!$A$12:'RR-3.1-5TH'!$BN$111,50,0),"")</f>
        <v/>
      </c>
      <c r="H3505" s="54" t="str">
        <f ca="1">IFERROR(VLOOKUP(F3483,'RR-3.1-5TH'!$A$12:'RR-3.1-5TH'!$BN$111,51,0),"")</f>
        <v/>
      </c>
      <c r="I3505" s="54" t="str">
        <f ca="1">IFERROR(VLOOKUP(F3483,'RR-3.1-5TH'!$A$12:'RR-3.1-5TH'!$BN$111,52,0),"")</f>
        <v/>
      </c>
      <c r="J3505" s="54" t="str">
        <f ca="1">IFERROR(VLOOKUP(F3483,'RR-3.1-5TH'!$A$12:'RR-3.1-5TH'!$BN$111,53,0),"")</f>
        <v/>
      </c>
      <c r="K3505" s="54" t="str">
        <f ca="1">IFERROR(VLOOKUP(F3483,'RR-3.1-5TH'!$A$12:'RR-3.1-5TH'!$BN$111,54,0),"")</f>
        <v/>
      </c>
      <c r="L3505" s="55">
        <f ca="1" t="shared" si="183"/>
        <v>0</v>
      </c>
      <c r="M3505" s="56" t="str">
        <f ca="1">IF(F3483&gt;ENTRY!$D$24,"",IF(L3505=0,"Ab",IF(L3505&gt;80,"A",IF(L3505&gt;60,"B",IF(L3505&gt;44,"C",IF(L3505&gt;=33,"D",IF(L3505&lt;=32,"E","")))))))</f>
        <v/>
      </c>
      <c r="N3505" s="57" t="s">
        <v>752</v>
      </c>
      <c r="O3505" s="58"/>
      <c r="P3505" s="59"/>
      <c r="Q3505" s="19"/>
      <c r="R3505" s="11"/>
    </row>
    <row r="3506" s="1" customFormat="1" ht="21.95" customHeight="1" spans="1:19">
      <c r="A3506" s="7"/>
      <c r="B3506" s="12"/>
      <c r="C3506" s="33"/>
      <c r="D3506" s="52" t="s">
        <v>753</v>
      </c>
      <c r="E3506" s="53"/>
      <c r="F3506" s="60"/>
      <c r="G3506" s="54"/>
      <c r="H3506" s="54"/>
      <c r="I3506" s="54"/>
      <c r="J3506" s="54"/>
      <c r="K3506" s="54"/>
      <c r="L3506" s="55">
        <f t="shared" ref="L3506" si="184">SUM(G3506:K3506)</f>
        <v>0</v>
      </c>
      <c r="M3506" s="56" t="str">
        <f>IF(F3483&gt;ENTRY!$D$24,"",IF(L3506=0,"",IF(L3506&gt;79,"A",IF(L3506&gt;59,"B",IF(L3506&gt;44,"C",IF(L3506&gt;=33,"D",IF(L3506&lt;=32,"E","")))))))</f>
        <v/>
      </c>
      <c r="N3506" s="58"/>
      <c r="O3506" s="58"/>
      <c r="P3506" s="59"/>
      <c r="Q3506" s="19"/>
      <c r="R3506" s="11"/>
    </row>
    <row r="3507" s="1" customFormat="1" ht="21.95" customHeight="1" spans="1:19">
      <c r="A3507" s="7"/>
      <c r="B3507" s="12"/>
      <c r="C3507" s="33"/>
      <c r="D3507" s="45" t="s">
        <v>382</v>
      </c>
      <c r="E3507" s="46"/>
      <c r="F3507" s="54">
        <f ca="1" t="shared" ref="F3507:L3507" si="185">IFERROR(SUM(F3500:F3506),"")</f>
        <v>0</v>
      </c>
      <c r="G3507" s="54">
        <f ca="1" t="shared" si="185"/>
        <v>0</v>
      </c>
      <c r="H3507" s="54">
        <f ca="1" t="shared" si="185"/>
        <v>0</v>
      </c>
      <c r="I3507" s="54">
        <f ca="1" t="shared" si="185"/>
        <v>0</v>
      </c>
      <c r="J3507" s="54">
        <f ca="1" t="shared" si="185"/>
        <v>0</v>
      </c>
      <c r="K3507" s="54">
        <f ca="1" t="shared" si="185"/>
        <v>0</v>
      </c>
      <c r="L3507" s="55">
        <f ca="1" t="shared" si="185"/>
        <v>0</v>
      </c>
      <c r="M3507" s="61" t="str">
        <f ca="1">IF(F3483&gt;ENTRY!$D$24,"",IF(N3508="Ab","Ab",IF(N3508&gt;79.5,"A",IF(N3508&gt;59.5,"B",IF(N3508&gt;44.5,"C",IF(N3508&gt;=33,"D",IF(N3508&lt;33,"E","")))))))</f>
        <v/>
      </c>
      <c r="N3507" s="62"/>
      <c r="O3507" s="58"/>
      <c r="P3507" s="59"/>
      <c r="Q3507" s="19"/>
      <c r="R3507" s="11"/>
    </row>
    <row r="3508" s="1" customFormat="1" ht="21.95" customHeight="1" spans="1:19">
      <c r="A3508" s="7"/>
      <c r="B3508" s="12"/>
      <c r="C3508" s="33"/>
      <c r="D3508" s="63" t="s">
        <v>721</v>
      </c>
      <c r="E3508" s="63"/>
      <c r="F3508" s="63"/>
      <c r="G3508" s="63"/>
      <c r="H3508" s="63"/>
      <c r="I3508" s="63"/>
      <c r="J3508" s="63"/>
      <c r="K3508" s="63"/>
      <c r="L3508" s="63"/>
      <c r="M3508" s="63"/>
      <c r="N3508" s="64">
        <f ca="1">IF(L3507="Ab","Ab",L3507/6)</f>
        <v>0</v>
      </c>
      <c r="O3508" s="65"/>
      <c r="P3508" s="19"/>
      <c r="Q3508" s="19"/>
      <c r="R3508" s="11"/>
    </row>
    <row r="3509" s="1" customFormat="1" ht="21.95" customHeight="1" spans="1:19">
      <c r="A3509" s="7"/>
      <c r="B3509" s="12"/>
      <c r="C3509" s="33"/>
      <c r="D3509" s="29" t="s">
        <v>716</v>
      </c>
      <c r="E3509" s="18" t="str">
        <f>IFERROR(VLOOKUP(F3483,'1to4-2.1-RR'!$A$12:$BG$111,57,0),"")</f>
        <v/>
      </c>
      <c r="F3509" s="18"/>
      <c r="G3509" s="18"/>
      <c r="H3509" s="18"/>
      <c r="I3509" s="18"/>
      <c r="J3509" s="18"/>
      <c r="K3509" s="18"/>
      <c r="L3509" s="18"/>
      <c r="M3509" s="18"/>
      <c r="N3509" s="29"/>
      <c r="O3509" s="29"/>
      <c r="P3509" s="19"/>
      <c r="Q3509" s="19"/>
      <c r="R3509" s="11"/>
    </row>
    <row r="3510" s="1" customFormat="1" ht="9.95" customHeight="1" spans="1:19">
      <c r="A3510" s="7"/>
      <c r="B3510" s="12"/>
      <c r="C3510" s="33"/>
      <c r="D3510" s="29"/>
      <c r="E3510" s="29"/>
      <c r="F3510" s="29"/>
      <c r="G3510" s="29"/>
      <c r="H3510" s="29"/>
      <c r="I3510" s="29"/>
      <c r="J3510" s="29"/>
      <c r="K3510" s="29"/>
      <c r="L3510" s="29"/>
      <c r="M3510" s="29"/>
      <c r="N3510" s="29"/>
      <c r="O3510" s="29"/>
      <c r="P3510" s="19"/>
      <c r="Q3510" s="19"/>
      <c r="R3510" s="11"/>
    </row>
    <row r="3511" s="1" customFormat="1" ht="36" spans="1:19">
      <c r="A3511" s="7"/>
      <c r="B3511" s="12"/>
      <c r="C3511" s="33"/>
      <c r="D3511" s="66" t="s">
        <v>576</v>
      </c>
      <c r="E3511" s="67" t="s">
        <v>754</v>
      </c>
      <c r="F3511" s="47" t="str">
        <f>IF(F3483&gt;ENTRY!$D$24,"",IFERROR(VLOOKUP(F3483,PASHEET!$A$4:$CJ$103,88,0),""))</f>
        <v/>
      </c>
      <c r="G3511" s="67" t="s">
        <v>755</v>
      </c>
      <c r="H3511" s="47" t="str">
        <f>IF(F3483&gt;ENTRY!$D$24,"",IFERROR(VLOOKUP(F3483,PASHEET!$A$4:$CJ$103,87,0),""))</f>
        <v/>
      </c>
      <c r="I3511" s="68" t="s">
        <v>756</v>
      </c>
      <c r="J3511" s="69" t="str">
        <f>IF(F3483&gt;ENTRY!$D$24,"",IFERROR(IF(F3483&gt;0,H3511/F3511*100),""))</f>
        <v/>
      </c>
      <c r="K3511" s="60" t="s">
        <v>757</v>
      </c>
      <c r="L3511" s="70" t="str">
        <f ca="1">IF(F3483&gt;ENTRY!$D$24,"",IFERROR(L3507/600*100,""))</f>
        <v/>
      </c>
      <c r="M3511" s="47" t="str">
        <f ca="1">IF(F3483&gt;ENTRY!$D$24,"",IFERROR(L3507&amp;" / "&amp;"600",""))</f>
        <v/>
      </c>
      <c r="N3511" s="29"/>
      <c r="O3511" s="29"/>
      <c r="P3511" s="19"/>
      <c r="Q3511" s="19"/>
      <c r="R3511" s="11"/>
    </row>
    <row r="3512" s="1" customFormat="1" ht="9.95" customHeight="1" spans="1:19">
      <c r="A3512" s="7"/>
      <c r="B3512" s="12"/>
      <c r="C3512" s="39"/>
      <c r="D3512" s="40"/>
      <c r="E3512" s="40"/>
      <c r="F3512" s="40"/>
      <c r="G3512" s="40"/>
      <c r="H3512" s="40"/>
      <c r="I3512" s="40"/>
      <c r="J3512" s="40"/>
      <c r="K3512" s="40"/>
      <c r="L3512" s="40"/>
      <c r="M3512" s="40"/>
      <c r="N3512" s="40"/>
      <c r="O3512" s="40"/>
      <c r="P3512" s="41"/>
      <c r="Q3512" s="19"/>
      <c r="R3512" s="11"/>
    </row>
    <row r="3513" s="1" customFormat="1" ht="9.95" customHeight="1" spans="1:19">
      <c r="A3513" s="7"/>
      <c r="B3513" s="12"/>
      <c r="C3513" s="71"/>
      <c r="D3513" s="71"/>
      <c r="E3513" s="71"/>
      <c r="F3513" s="29"/>
      <c r="G3513" s="71"/>
      <c r="H3513" s="71"/>
      <c r="I3513" s="71"/>
      <c r="J3513" s="71"/>
      <c r="K3513" s="71"/>
      <c r="L3513" s="71"/>
      <c r="M3513" s="71"/>
      <c r="N3513" s="71"/>
      <c r="O3513" s="71"/>
      <c r="P3513" s="71"/>
      <c r="Q3513" s="19"/>
      <c r="R3513" s="11"/>
    </row>
    <row r="3514" s="1" customFormat="1" ht="9.95" customHeight="1" spans="1:19">
      <c r="A3514" s="7"/>
      <c r="B3514" s="12"/>
      <c r="C3514" s="29"/>
      <c r="D3514" s="29"/>
      <c r="E3514" s="29"/>
      <c r="F3514" s="72"/>
      <c r="G3514" s="29"/>
      <c r="H3514" s="29"/>
      <c r="I3514" s="29"/>
      <c r="J3514" s="29"/>
      <c r="K3514" s="29"/>
      <c r="L3514" s="29"/>
      <c r="M3514" s="29"/>
      <c r="N3514" s="29"/>
      <c r="O3514" s="29"/>
      <c r="P3514" s="29"/>
      <c r="Q3514" s="19"/>
      <c r="R3514" s="11"/>
    </row>
    <row r="3515" s="1" customFormat="1" ht="9.95" customHeight="1" spans="1:19">
      <c r="A3515" s="7"/>
      <c r="B3515" s="12"/>
      <c r="C3515" s="30"/>
      <c r="D3515" s="31"/>
      <c r="E3515" s="31"/>
      <c r="F3515" s="31"/>
      <c r="G3515" s="31"/>
      <c r="H3515" s="31"/>
      <c r="I3515" s="31"/>
      <c r="J3515" s="31"/>
      <c r="K3515" s="31"/>
      <c r="L3515" s="31"/>
      <c r="M3515" s="31"/>
      <c r="N3515" s="31"/>
      <c r="O3515" s="31"/>
      <c r="P3515" s="32"/>
      <c r="Q3515" s="19"/>
      <c r="R3515" s="11"/>
    </row>
    <row r="3516" s="1" customFormat="1" ht="21.95" customHeight="1" spans="1:19">
      <c r="A3516" s="7"/>
      <c r="B3516" s="12"/>
      <c r="C3516" s="73" t="s">
        <v>7</v>
      </c>
      <c r="D3516" s="13"/>
      <c r="E3516" s="13"/>
      <c r="F3516" s="13"/>
      <c r="G3516" s="13"/>
      <c r="H3516" s="13"/>
      <c r="I3516" s="13"/>
      <c r="J3516" s="13"/>
      <c r="K3516" s="13"/>
      <c r="L3516" s="13"/>
      <c r="M3516" s="13"/>
      <c r="N3516" s="13"/>
      <c r="O3516" s="13"/>
      <c r="P3516" s="74"/>
      <c r="Q3516" s="19"/>
      <c r="R3516" s="11"/>
      <c r="S3516" s="2"/>
    </row>
    <row r="3517" s="1" customFormat="1" ht="21.95" customHeight="1" spans="1:19">
      <c r="A3517" s="7"/>
      <c r="B3517" s="12"/>
      <c r="C3517" s="33"/>
      <c r="D3517" s="29"/>
      <c r="E3517" s="29"/>
      <c r="F3517" s="29"/>
      <c r="G3517" s="29"/>
      <c r="H3517" s="29"/>
      <c r="I3517" s="29"/>
      <c r="J3517" s="29"/>
      <c r="K3517" s="29"/>
      <c r="L3517" s="29"/>
      <c r="M3517" s="29"/>
      <c r="N3517" s="29"/>
      <c r="O3517" s="29"/>
      <c r="P3517" s="19"/>
      <c r="Q3517" s="19"/>
      <c r="R3517" s="11"/>
    </row>
    <row r="3518" s="1" customFormat="1" ht="21.95" customHeight="1" spans="1:19">
      <c r="A3518" s="7"/>
      <c r="B3518" s="12"/>
      <c r="C3518" s="75" t="str">
        <f>"SESSION-"&amp;ENTRY!$D$11</f>
        <v>SESSION-2026-27</v>
      </c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76"/>
      <c r="Q3518" s="19"/>
      <c r="R3518" s="11"/>
    </row>
    <row r="3519" s="1" customFormat="1" ht="18" customHeight="1" spans="1:19">
      <c r="A3519" s="7"/>
      <c r="B3519" s="12"/>
      <c r="C3519" s="33"/>
      <c r="D3519" s="29"/>
      <c r="E3519" s="29"/>
      <c r="F3519" s="29"/>
      <c r="G3519" s="29"/>
      <c r="H3519" s="29"/>
      <c r="I3519" s="29"/>
      <c r="J3519" s="29"/>
      <c r="K3519" s="29"/>
      <c r="L3519" s="29"/>
      <c r="M3519" s="29"/>
      <c r="N3519" s="29"/>
      <c r="O3519" s="29"/>
      <c r="P3519" s="19"/>
      <c r="Q3519" s="19"/>
      <c r="R3519" s="11"/>
    </row>
    <row r="3520" s="1" customFormat="1" ht="21.95" customHeight="1" spans="1:19">
      <c r="A3520" s="7"/>
      <c r="B3520" s="12"/>
      <c r="C3520" s="33"/>
      <c r="D3520" s="77" t="s">
        <v>758</v>
      </c>
      <c r="E3520" s="77"/>
      <c r="F3520" s="78" t="str">
        <f>IFERROR(PROPER(VLOOKUP(F3483,STUDENT!$A$2:$BP$101,5,0)),"")</f>
        <v/>
      </c>
      <c r="G3520" s="78"/>
      <c r="H3520" s="78"/>
      <c r="I3520" s="78"/>
      <c r="J3520" s="78"/>
      <c r="K3520" s="78"/>
      <c r="L3520" s="78"/>
      <c r="M3520" s="78"/>
      <c r="N3520" s="79" t="s">
        <v>759</v>
      </c>
      <c r="O3520" s="79"/>
      <c r="P3520" s="19"/>
      <c r="Q3520" s="19"/>
      <c r="R3520" s="11"/>
    </row>
    <row r="3521" s="1" customFormat="1" ht="21.95" customHeight="1" spans="1:18">
      <c r="A3521" s="7"/>
      <c r="B3521" s="12"/>
      <c r="C3521" s="33"/>
      <c r="D3521" s="80" t="s">
        <v>760</v>
      </c>
      <c r="E3521" s="81" t="str">
        <f>IFERROR(PROPER(VLOOKUP(F3483,STUDENT!$A$2:$BP$101,9,0)),"")</f>
        <v/>
      </c>
      <c r="F3521" s="81"/>
      <c r="G3521" s="81"/>
      <c r="H3521" s="80" t="s">
        <v>761</v>
      </c>
      <c r="I3521" s="82" t="str">
        <f>IFERROR(PROPER(VLOOKUP(F3483,STUDENT!$A$2:$BP$101,8,0)),"")</f>
        <v/>
      </c>
      <c r="J3521" s="82"/>
      <c r="K3521" s="82"/>
      <c r="L3521" s="82"/>
      <c r="M3521" s="80" t="s">
        <v>762</v>
      </c>
      <c r="N3521" s="83" t="str">
        <f>IFERROR(VLOOKUP(F3483,STUDENT!$A$2:$BP$101,59,0),"")</f>
        <v/>
      </c>
      <c r="O3521" s="83"/>
      <c r="P3521" s="19"/>
      <c r="Q3521" s="19"/>
      <c r="R3521" s="11"/>
    </row>
    <row r="3522" s="1" customFormat="1" ht="21.95" customHeight="1" spans="1:18">
      <c r="A3522" s="7"/>
      <c r="B3522" s="12"/>
      <c r="C3522" s="33"/>
      <c r="D3522" s="77" t="str">
        <f>"has    completed     his  /  her     primary     level     education    in    the    year    "&amp;RIGHT(ENTRY!$D3488,4)&amp;"    from    ( School    Name )"</f>
        <v>has    completed     his  /  her     primary     level     education    in    the    year        from    ( School    Name )</v>
      </c>
      <c r="E3522" s="77"/>
      <c r="F3522" s="77"/>
      <c r="G3522" s="77"/>
      <c r="H3522" s="77"/>
      <c r="I3522" s="77"/>
      <c r="J3522" s="77"/>
      <c r="K3522" s="77"/>
      <c r="L3522" s="77"/>
      <c r="M3522" s="77"/>
      <c r="N3522" s="77"/>
      <c r="O3522" s="77"/>
      <c r="P3522" s="19"/>
      <c r="Q3522" s="19"/>
      <c r="R3522" s="11"/>
    </row>
    <row r="3523" s="1" customFormat="1" ht="21.95" customHeight="1" spans="1:18">
      <c r="A3523" s="7"/>
      <c r="B3523" s="12"/>
      <c r="C3523" s="33"/>
      <c r="D3523" s="81" t="str">
        <f>IF(F3483&gt;0,ENTRY!$D$6,"")</f>
        <v>MCP NITHARI NO 1 BOYS</v>
      </c>
      <c r="E3523" s="81"/>
      <c r="F3523" s="81"/>
      <c r="G3523" s="81"/>
      <c r="H3523" s="81"/>
      <c r="I3523" s="81"/>
      <c r="J3523" s="81"/>
      <c r="K3523" s="81"/>
      <c r="L3523" s="81"/>
      <c r="M3523" s="80" t="s">
        <v>763</v>
      </c>
      <c r="N3523" s="84">
        <f>IF(F3483&gt;0,ENTRY!$D$7,"")</f>
        <v>0</v>
      </c>
      <c r="O3523" s="84"/>
      <c r="P3523" s="85" t="s">
        <v>727</v>
      </c>
      <c r="Q3523" s="19"/>
      <c r="R3523" s="11"/>
    </row>
    <row r="3524" s="1" customFormat="1" ht="21.95" customHeight="1" spans="1:18">
      <c r="A3524" s="7"/>
      <c r="B3524" s="12"/>
      <c r="C3524" s="33"/>
      <c r="D3524" s="29"/>
      <c r="E3524" s="29"/>
      <c r="F3524" s="29"/>
      <c r="G3524" s="29"/>
      <c r="H3524" s="29"/>
      <c r="I3524" s="29"/>
      <c r="J3524" s="29"/>
      <c r="K3524" s="29"/>
      <c r="L3524" s="29"/>
      <c r="M3524" s="29"/>
      <c r="N3524" s="29"/>
      <c r="O3524" s="29"/>
      <c r="P3524" s="19"/>
      <c r="Q3524" s="19"/>
      <c r="R3524" s="11"/>
    </row>
    <row r="3525" s="1" customFormat="1" ht="21.95" customHeight="1" spans="1:18">
      <c r="A3525" s="7"/>
      <c r="B3525" s="12"/>
      <c r="C3525" s="33"/>
      <c r="D3525" s="29"/>
      <c r="E3525" s="29"/>
      <c r="F3525" s="29"/>
      <c r="G3525" s="29"/>
      <c r="H3525" s="29"/>
      <c r="I3525" s="29"/>
      <c r="J3525" s="29"/>
      <c r="K3525" s="29"/>
      <c r="L3525" s="29"/>
      <c r="M3525" s="29"/>
      <c r="N3525" s="29"/>
      <c r="O3525" s="29"/>
      <c r="P3525" s="19"/>
      <c r="Q3525" s="19"/>
      <c r="R3525" s="11"/>
    </row>
    <row r="3526" s="1" customFormat="1" ht="21.95" customHeight="1" spans="1:18">
      <c r="A3526" s="7"/>
      <c r="B3526" s="12"/>
      <c r="C3526" s="33"/>
      <c r="D3526" s="29"/>
      <c r="E3526" s="29"/>
      <c r="F3526" s="29"/>
      <c r="G3526" s="29"/>
      <c r="H3526" s="29"/>
      <c r="I3526" s="29"/>
      <c r="J3526" s="29"/>
      <c r="K3526" s="29"/>
      <c r="L3526" s="29"/>
      <c r="M3526" s="29"/>
      <c r="N3526" s="29"/>
      <c r="O3526" s="29"/>
      <c r="P3526" s="19"/>
      <c r="Q3526" s="19"/>
      <c r="R3526" s="11"/>
    </row>
    <row r="3527" s="1" customFormat="1" ht="21.95" customHeight="1" spans="1:18">
      <c r="A3527" s="7"/>
      <c r="B3527" s="12"/>
      <c r="C3527" s="33"/>
      <c r="D3527" s="29"/>
      <c r="E3527" s="29"/>
      <c r="F3527" s="29"/>
      <c r="G3527" s="29"/>
      <c r="H3527" s="29"/>
      <c r="I3527" s="29"/>
      <c r="J3527" s="29"/>
      <c r="K3527" s="29"/>
      <c r="L3527" s="29"/>
      <c r="M3527" s="29"/>
      <c r="N3527" s="29"/>
      <c r="O3527" s="29"/>
      <c r="P3527" s="19"/>
      <c r="Q3527" s="19"/>
      <c r="R3527" s="11"/>
    </row>
    <row r="3528" s="1" customFormat="1" ht="21.95" customHeight="1" spans="1:18">
      <c r="A3528" s="7"/>
      <c r="B3528" s="12"/>
      <c r="C3528" s="33"/>
      <c r="D3528" s="29"/>
      <c r="E3528" s="29"/>
      <c r="F3528" s="29"/>
      <c r="G3528" s="29"/>
      <c r="H3528" s="29"/>
      <c r="I3528" s="29"/>
      <c r="J3528" s="29"/>
      <c r="K3528" s="29"/>
      <c r="L3528" s="29"/>
      <c r="M3528" s="29"/>
      <c r="N3528" s="29"/>
      <c r="O3528" s="29"/>
      <c r="P3528" s="19"/>
      <c r="Q3528" s="19"/>
      <c r="R3528" s="11"/>
    </row>
    <row r="3529" s="1" customFormat="1" ht="21.95" customHeight="1" spans="1:18">
      <c r="A3529" s="7"/>
      <c r="B3529" s="12"/>
      <c r="C3529" s="33"/>
      <c r="D3529" s="80" t="s">
        <v>728</v>
      </c>
      <c r="E3529" s="86">
        <f>ENTRY!$D$27</f>
        <v>46102</v>
      </c>
      <c r="F3529" s="86"/>
      <c r="G3529" s="29"/>
      <c r="H3529" s="29"/>
      <c r="I3529" s="29"/>
      <c r="J3529" s="29"/>
      <c r="K3529" s="29"/>
      <c r="L3529" s="29"/>
      <c r="M3529" s="87" t="s">
        <v>730</v>
      </c>
      <c r="N3529" s="87"/>
      <c r="O3529" s="87"/>
      <c r="P3529" s="19"/>
      <c r="Q3529" s="19"/>
      <c r="R3529" s="11"/>
    </row>
    <row r="3530" s="1" customFormat="1" ht="21.95" customHeight="1" spans="1:18">
      <c r="A3530" s="7"/>
      <c r="B3530" s="12"/>
      <c r="C3530" s="33"/>
      <c r="D3530" s="80" t="s">
        <v>731</v>
      </c>
      <c r="E3530" s="88" t="str">
        <f>PROPER(ENTRY!$D$28)</f>
        <v>New Delhi</v>
      </c>
      <c r="F3530" s="88"/>
      <c r="G3530" s="29"/>
      <c r="H3530" s="29"/>
      <c r="I3530" s="29"/>
      <c r="J3530" s="29"/>
      <c r="K3530" s="29"/>
      <c r="L3530" s="29"/>
      <c r="M3530" s="89" t="s">
        <v>732</v>
      </c>
      <c r="N3530" s="89"/>
      <c r="O3530" s="89"/>
      <c r="P3530" s="19"/>
      <c r="Q3530" s="19"/>
      <c r="R3530" s="11"/>
    </row>
    <row r="3531" s="1" customFormat="1" ht="21.95" customHeight="1" spans="1:18">
      <c r="A3531" s="7"/>
      <c r="B3531" s="12"/>
      <c r="C3531" s="90"/>
      <c r="D3531" s="91"/>
      <c r="E3531" s="91"/>
      <c r="F3531" s="91"/>
      <c r="G3531" s="91"/>
      <c r="H3531" s="91"/>
      <c r="I3531" s="91"/>
      <c r="J3531" s="91"/>
      <c r="K3531" s="91"/>
      <c r="L3531" s="91"/>
      <c r="M3531" s="91"/>
      <c r="N3531" s="91"/>
      <c r="O3531" s="91"/>
      <c r="P3531" s="92"/>
      <c r="Q3531" s="14"/>
      <c r="R3531" s="11"/>
    </row>
    <row r="3532" s="1" customFormat="1" ht="5.1" customHeight="1" spans="1:18">
      <c r="A3532" s="7"/>
      <c r="B3532" s="90"/>
      <c r="C3532" s="91"/>
      <c r="D3532" s="91"/>
      <c r="E3532" s="91"/>
      <c r="F3532" s="91"/>
      <c r="G3532" s="91"/>
      <c r="H3532" s="91"/>
      <c r="I3532" s="91"/>
      <c r="J3532" s="91"/>
      <c r="K3532" s="91"/>
      <c r="L3532" s="91"/>
      <c r="M3532" s="91"/>
      <c r="N3532" s="91"/>
      <c r="O3532" s="91"/>
      <c r="P3532" s="91"/>
      <c r="Q3532" s="92"/>
      <c r="R3532" s="11"/>
    </row>
    <row r="3533" s="1" customFormat="1" ht="5.1" customHeight="1" spans="1:18">
      <c r="A3533" s="93"/>
      <c r="B3533" s="94"/>
      <c r="C3533" s="94"/>
      <c r="D3533" s="94"/>
      <c r="E3533" s="94"/>
      <c r="F3533" s="94"/>
      <c r="G3533" s="94"/>
      <c r="H3533" s="94"/>
      <c r="I3533" s="94"/>
      <c r="J3533" s="94"/>
      <c r="K3533" s="94"/>
      <c r="L3533" s="94"/>
      <c r="M3533" s="94"/>
      <c r="N3533" s="94"/>
      <c r="O3533" s="94"/>
      <c r="P3533" s="94"/>
      <c r="Q3533" s="94"/>
      <c r="R3533" s="95"/>
    </row>
    <row r="3534" s="2" customFormat="1" ht="9.95" customHeight="1"/>
    <row r="3535" s="1" customFormat="1" ht="5.1" customHeight="1" spans="1:18">
      <c r="A3535" s="4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  <c r="O3535" s="5"/>
      <c r="P3535" s="5"/>
      <c r="Q3535" s="5"/>
      <c r="R3535" s="6"/>
    </row>
    <row r="3536" s="1" customFormat="1" ht="15" customHeight="1" spans="1:18">
      <c r="A3536" s="7"/>
      <c r="B3536" s="8"/>
      <c r="C3536" s="9"/>
      <c r="D3536" s="9"/>
      <c r="E3536" s="9"/>
      <c r="F3536" s="9"/>
      <c r="G3536" s="9"/>
      <c r="H3536" s="9"/>
      <c r="I3536" s="9"/>
      <c r="J3536" s="9"/>
      <c r="K3536" s="9"/>
      <c r="L3536" s="9"/>
      <c r="M3536" s="9"/>
      <c r="N3536" s="9"/>
      <c r="O3536" s="9"/>
      <c r="P3536" s="9"/>
      <c r="Q3536" s="10"/>
      <c r="R3536" s="11"/>
    </row>
    <row r="3537" s="1" customFormat="1" ht="21.95" customHeight="1" spans="1:18">
      <c r="A3537" s="7"/>
      <c r="B3537" s="12"/>
      <c r="C3537" s="13" t="s">
        <v>7</v>
      </c>
      <c r="D3537" s="13"/>
      <c r="E3537" s="13"/>
      <c r="F3537" s="13"/>
      <c r="G3537" s="13"/>
      <c r="H3537" s="13"/>
      <c r="I3537" s="13"/>
      <c r="J3537" s="13"/>
      <c r="K3537" s="13"/>
      <c r="L3537" s="13"/>
      <c r="M3537" s="13"/>
      <c r="N3537" s="13"/>
      <c r="O3537" s="13"/>
      <c r="P3537" s="13"/>
      <c r="Q3537" s="14"/>
      <c r="R3537" s="11"/>
    </row>
    <row r="3538" s="1" customFormat="1" ht="21.95" customHeight="1" spans="1:18">
      <c r="A3538" s="7"/>
      <c r="B3538" s="1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14"/>
      <c r="R3538" s="11"/>
    </row>
    <row r="3539" s="1" customFormat="1" ht="21.95" customHeight="1" spans="1:18">
      <c r="A3539" s="7"/>
      <c r="B3539" s="12"/>
      <c r="C3539" s="15" t="str">
        <f>"SESSION-"&amp;ENTRY!$D$11</f>
        <v>SESSION-2026-27</v>
      </c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4"/>
      <c r="R3539" s="11"/>
    </row>
    <row r="3540" s="1" customFormat="1" ht="21.95" customHeight="1" spans="1:18">
      <c r="A3540" s="7"/>
      <c r="B3540" s="12"/>
      <c r="C3540" s="2"/>
      <c r="D3540" s="2"/>
      <c r="E3540" s="2"/>
      <c r="F3540" s="16">
        <f>F3483+1</f>
        <v>63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14"/>
      <c r="R3540" s="11"/>
    </row>
    <row r="3541" s="1" customFormat="1" ht="21.95" customHeight="1" spans="1:18">
      <c r="A3541" s="7"/>
      <c r="B3541" s="12"/>
      <c r="C3541" s="17" t="s">
        <v>392</v>
      </c>
      <c r="D3541" s="17"/>
      <c r="E3541" s="17"/>
      <c r="F3541" s="18" t="str">
        <f>IF(F3540&gt;0,ENTRY!$D$6,"")</f>
        <v>MCP NITHARI NO 1 BOYS</v>
      </c>
      <c r="G3541" s="18"/>
      <c r="H3541" s="18"/>
      <c r="I3541" s="18"/>
      <c r="J3541" s="18"/>
      <c r="K3541" s="18"/>
      <c r="L3541" s="18"/>
      <c r="M3541" s="18"/>
      <c r="N3541" s="18"/>
      <c r="O3541" s="18"/>
      <c r="P3541" s="18"/>
      <c r="Q3541" s="19"/>
      <c r="R3541" s="11"/>
    </row>
    <row r="3542" s="1" customFormat="1" ht="21.95" customHeight="1" spans="1:18">
      <c r="A3542" s="7"/>
      <c r="B3542" s="12"/>
      <c r="C3542" s="17" t="s">
        <v>393</v>
      </c>
      <c r="D3542" s="17"/>
      <c r="E3542" s="17"/>
      <c r="F3542" s="18">
        <f>IF(F3540&gt;0,ENTRY!$D$7,"")</f>
        <v>0</v>
      </c>
      <c r="G3542" s="18"/>
      <c r="H3542" s="20" t="s">
        <v>702</v>
      </c>
      <c r="I3542" s="20"/>
      <c r="J3542" s="21">
        <f>IF(F3540&gt;0,ENTRY!$D$10,"")</f>
        <v>40</v>
      </c>
      <c r="K3542" s="20" t="s">
        <v>703</v>
      </c>
      <c r="L3542" s="22" t="str">
        <f>IF(F3540&gt;0,ENTRY!$D$5,"")</f>
        <v>ROHINI ZONE</v>
      </c>
      <c r="M3542" s="22"/>
      <c r="N3542" s="22"/>
      <c r="O3542" s="22"/>
      <c r="P3542" s="22"/>
      <c r="Q3542" s="19"/>
      <c r="R3542" s="11"/>
    </row>
    <row r="3543" s="1" customFormat="1" ht="21.95" customHeight="1" spans="1:18">
      <c r="A3543" s="7"/>
      <c r="B3543" s="12"/>
      <c r="C3543" s="17" t="s">
        <v>706</v>
      </c>
      <c r="D3543" s="17"/>
      <c r="E3543" s="17"/>
      <c r="F3543" s="23">
        <f>IFERROR(VLOOKUP(F3540,STUDENT!$A$2:$BP$101,5,0),"")</f>
        <v>0</v>
      </c>
      <c r="G3543" s="23"/>
      <c r="H3543" s="23"/>
      <c r="I3543" s="23"/>
      <c r="J3543" s="23"/>
      <c r="K3543" s="23"/>
      <c r="L3543" s="20" t="s">
        <v>707</v>
      </c>
      <c r="M3543" s="20"/>
      <c r="N3543" s="24" t="str">
        <f>IF(F3540&gt;0,ENTRY!$D$20&amp;"-"&amp;ENTRY!$D$21,"")</f>
        <v>III-A</v>
      </c>
      <c r="O3543" s="24"/>
      <c r="P3543" s="24"/>
      <c r="Q3543" s="19"/>
      <c r="R3543" s="11"/>
    </row>
    <row r="3544" s="1" customFormat="1" ht="21.95" customHeight="1" spans="1:18">
      <c r="A3544" s="7"/>
      <c r="B3544" s="12"/>
      <c r="C3544" s="17" t="s">
        <v>708</v>
      </c>
      <c r="D3544" s="17"/>
      <c r="E3544" s="17"/>
      <c r="F3544" s="25">
        <f>IFERROR(VLOOKUP(F3540,STUDENT!$A$2:$BP$101,6,0),"")</f>
        <v>0</v>
      </c>
      <c r="G3544" s="25"/>
      <c r="H3544" s="26" t="s">
        <v>709</v>
      </c>
      <c r="I3544" s="27" t="str">
        <f>IFERROR(VLOOKUP(F3540,STUDENT!$A$2:$BP$101,59,0),"")</f>
        <v/>
      </c>
      <c r="J3544" s="27"/>
      <c r="K3544" s="20" t="s">
        <v>710</v>
      </c>
      <c r="L3544" s="20"/>
      <c r="M3544" s="28">
        <f>IFERROR(VLOOKUP(F3540,STUDENT!$A$2:$BP$101,20,0),"")</f>
        <v>0</v>
      </c>
      <c r="N3544" s="28"/>
      <c r="O3544" s="28"/>
      <c r="P3544" s="28"/>
      <c r="Q3544" s="19"/>
      <c r="R3544" s="11"/>
    </row>
    <row r="3545" s="1" customFormat="1" ht="21.95" customHeight="1" spans="1:18">
      <c r="A3545" s="7"/>
      <c r="B3545" s="12"/>
      <c r="C3545" s="17" t="s">
        <v>711</v>
      </c>
      <c r="D3545" s="17"/>
      <c r="E3545" s="17"/>
      <c r="F3545" s="23">
        <f>IFERROR(VLOOKUP(F3540,STUDENT!$A$2:$BP$101,9,0),"")</f>
        <v>0</v>
      </c>
      <c r="G3545" s="23"/>
      <c r="H3545" s="23"/>
      <c r="I3545" s="23"/>
      <c r="J3545" s="17" t="s">
        <v>620</v>
      </c>
      <c r="K3545" s="17"/>
      <c r="L3545" s="23">
        <f>IFERROR(VLOOKUP(F3540,STUDENT!$A$2:$BP$101,8,0),"")</f>
        <v>0</v>
      </c>
      <c r="M3545" s="23"/>
      <c r="N3545" s="23"/>
      <c r="O3545" s="23"/>
      <c r="P3545" s="23"/>
      <c r="Q3545" s="19"/>
      <c r="R3545" s="11"/>
    </row>
    <row r="3546" s="1" customFormat="1" ht="21.95" customHeight="1" spans="1:18">
      <c r="A3546" s="7"/>
      <c r="B3546" s="12"/>
      <c r="C3546" s="17" t="s">
        <v>712</v>
      </c>
      <c r="D3546" s="17"/>
      <c r="E3546" s="17"/>
      <c r="F3546" s="23">
        <f>IFERROR(VLOOKUP(F3540,STUDENT!$A$2:$BP$101,22,0),"")</f>
        <v>0</v>
      </c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19"/>
      <c r="R3546" s="11"/>
    </row>
    <row r="3547" s="1" customFormat="1" ht="9.95" customHeight="1" spans="1:18">
      <c r="A3547" s="7"/>
      <c r="B3547" s="12"/>
      <c r="C3547" s="29"/>
      <c r="D3547" s="29"/>
      <c r="E3547" s="29"/>
      <c r="F3547" s="29"/>
      <c r="G3547" s="29"/>
      <c r="H3547" s="29"/>
      <c r="I3547" s="29"/>
      <c r="J3547" s="29"/>
      <c r="K3547" s="29"/>
      <c r="L3547" s="29"/>
      <c r="M3547" s="29"/>
      <c r="N3547" s="29"/>
      <c r="O3547" s="29"/>
      <c r="P3547" s="29"/>
      <c r="Q3547" s="19"/>
      <c r="R3547" s="11"/>
    </row>
    <row r="3548" s="1" customFormat="1" ht="9.95" customHeight="1" spans="1:18">
      <c r="A3548" s="7"/>
      <c r="B3548" s="12"/>
      <c r="C3548" s="30"/>
      <c r="D3548" s="31"/>
      <c r="E3548" s="31"/>
      <c r="F3548" s="31"/>
      <c r="G3548" s="31"/>
      <c r="H3548" s="31"/>
      <c r="I3548" s="31"/>
      <c r="J3548" s="31"/>
      <c r="K3548" s="31"/>
      <c r="L3548" s="31"/>
      <c r="M3548" s="31"/>
      <c r="N3548" s="31"/>
      <c r="O3548" s="31"/>
      <c r="P3548" s="32"/>
      <c r="Q3548" s="19"/>
      <c r="R3548" s="11"/>
    </row>
    <row r="3549" s="1" customFormat="1" ht="21.95" customHeight="1" spans="1:18">
      <c r="A3549" s="7"/>
      <c r="B3549" s="12"/>
      <c r="C3549" s="33"/>
      <c r="D3549" s="34" t="s">
        <v>713</v>
      </c>
      <c r="E3549" s="20" t="s">
        <v>714</v>
      </c>
      <c r="F3549" s="35" t="str">
        <f>"Level - "&amp;IFERROR(VLOOKUP(F3540,FLN!$A$4:$K$103,9,0),"")</f>
        <v>Level - </v>
      </c>
      <c r="G3549" s="36"/>
      <c r="H3549" s="37" t="s">
        <v>715</v>
      </c>
      <c r="I3549" s="20"/>
      <c r="J3549" s="35" t="str">
        <f>"Level - "&amp;IFERROR(VLOOKUP(F3540,FLN!$A$4:$K$103,11,0),"")</f>
        <v>Level - </v>
      </c>
      <c r="K3549" s="36"/>
      <c r="L3549" s="37" t="s">
        <v>408</v>
      </c>
      <c r="M3549" s="20"/>
      <c r="N3549" s="35" t="str">
        <f>"Level - "&amp;IFERROR(VLOOKUP(F3540,FLN!$A$4:$K$103,10,0),"")</f>
        <v>Level - </v>
      </c>
      <c r="O3549" s="36"/>
      <c r="P3549" s="19"/>
      <c r="Q3549" s="19"/>
      <c r="R3549" s="11"/>
    </row>
    <row r="3550" s="1" customFormat="1" ht="21.95" customHeight="1" spans="1:18">
      <c r="A3550" s="7"/>
      <c r="B3550" s="12"/>
      <c r="C3550" s="33"/>
      <c r="D3550" s="38"/>
      <c r="E3550" s="20" t="s">
        <v>716</v>
      </c>
      <c r="F3550" s="18" t="str">
        <f ca="1">IF(L3564&gt;197,"PERFORMED WELL","")</f>
        <v/>
      </c>
      <c r="G3550" s="18"/>
      <c r="H3550" s="18"/>
      <c r="I3550" s="18"/>
      <c r="J3550" s="18"/>
      <c r="K3550" s="18"/>
      <c r="L3550" s="18"/>
      <c r="M3550" s="18"/>
      <c r="N3550" s="18"/>
      <c r="O3550" s="18"/>
      <c r="P3550" s="19"/>
      <c r="Q3550" s="19"/>
      <c r="R3550" s="11"/>
    </row>
    <row r="3551" s="1" customFormat="1" ht="9.95" customHeight="1" spans="1:18">
      <c r="A3551" s="7"/>
      <c r="B3551" s="12"/>
      <c r="C3551" s="39"/>
      <c r="D3551" s="40"/>
      <c r="E3551" s="40"/>
      <c r="F3551" s="40"/>
      <c r="G3551" s="40"/>
      <c r="H3551" s="40"/>
      <c r="I3551" s="40"/>
      <c r="J3551" s="40"/>
      <c r="K3551" s="40"/>
      <c r="L3551" s="40"/>
      <c r="M3551" s="40"/>
      <c r="N3551" s="40"/>
      <c r="O3551" s="40"/>
      <c r="P3551" s="41"/>
      <c r="Q3551" s="19"/>
      <c r="R3551" s="11"/>
    </row>
    <row r="3552" s="1" customFormat="1" ht="9.95" customHeight="1" spans="1:18">
      <c r="A3552" s="7"/>
      <c r="B3552" s="12"/>
      <c r="C3552" s="29"/>
      <c r="D3552" s="29"/>
      <c r="E3552" s="29"/>
      <c r="F3552" s="29"/>
      <c r="G3552" s="29"/>
      <c r="H3552" s="29"/>
      <c r="I3552" s="29"/>
      <c r="J3552" s="29"/>
      <c r="K3552" s="29"/>
      <c r="L3552" s="29"/>
      <c r="M3552" s="29"/>
      <c r="N3552" s="29"/>
      <c r="O3552" s="29"/>
      <c r="P3552" s="29"/>
      <c r="Q3552" s="19"/>
      <c r="R3552" s="11"/>
    </row>
    <row r="3553" s="1" customFormat="1" ht="9.95" customHeight="1" spans="1:18">
      <c r="A3553" s="7"/>
      <c r="B3553" s="12"/>
      <c r="C3553" s="30"/>
      <c r="D3553" s="31"/>
      <c r="E3553" s="31"/>
      <c r="F3553" s="31"/>
      <c r="G3553" s="31"/>
      <c r="H3553" s="31"/>
      <c r="I3553" s="31"/>
      <c r="J3553" s="31"/>
      <c r="K3553" s="31"/>
      <c r="L3553" s="31"/>
      <c r="M3553" s="31"/>
      <c r="N3553" s="31"/>
      <c r="O3553" s="31"/>
      <c r="P3553" s="32"/>
      <c r="Q3553" s="19"/>
      <c r="R3553" s="11"/>
    </row>
    <row r="3554" s="1" customFormat="1" ht="21.95" customHeight="1" spans="1:18">
      <c r="A3554" s="7"/>
      <c r="B3554" s="12"/>
      <c r="C3554" s="33"/>
      <c r="D3554" s="35"/>
      <c r="E3554" s="24"/>
      <c r="F3554" s="42" t="s">
        <v>717</v>
      </c>
      <c r="G3554" s="42"/>
      <c r="H3554" s="42"/>
      <c r="I3554" s="42"/>
      <c r="J3554" s="42"/>
      <c r="K3554" s="42"/>
      <c r="L3554" s="43"/>
      <c r="M3554" s="44"/>
      <c r="N3554" s="29"/>
      <c r="O3554" s="29"/>
      <c r="P3554" s="19"/>
      <c r="Q3554" s="19"/>
      <c r="R3554" s="11"/>
    </row>
    <row r="3555" s="1" customFormat="1" ht="21.95" customHeight="1" spans="1:18">
      <c r="A3555" s="7"/>
      <c r="B3555" s="12"/>
      <c r="C3555" s="33"/>
      <c r="D3555" s="45"/>
      <c r="E3555" s="46"/>
      <c r="F3555" s="47" t="s">
        <v>541</v>
      </c>
      <c r="G3555" s="47" t="s">
        <v>542</v>
      </c>
      <c r="H3555" s="47" t="s">
        <v>543</v>
      </c>
      <c r="I3555" s="47" t="s">
        <v>544</v>
      </c>
      <c r="J3555" s="47" t="s">
        <v>561</v>
      </c>
      <c r="K3555" s="48" t="s">
        <v>750</v>
      </c>
      <c r="L3555" s="47" t="s">
        <v>382</v>
      </c>
      <c r="M3555" s="49" t="s">
        <v>546</v>
      </c>
      <c r="N3555" s="29"/>
      <c r="O3555" s="29"/>
      <c r="P3555" s="19"/>
      <c r="Q3555" s="19"/>
      <c r="R3555" s="11"/>
    </row>
    <row r="3556" s="1" customFormat="1" ht="21.95" customHeight="1" spans="1:18">
      <c r="A3556" s="7"/>
      <c r="B3556" s="12"/>
      <c r="C3556" s="33"/>
      <c r="D3556" s="45" t="s">
        <v>652</v>
      </c>
      <c r="E3556" s="46"/>
      <c r="F3556" s="50">
        <v>10</v>
      </c>
      <c r="G3556" s="50">
        <v>10</v>
      </c>
      <c r="H3556" s="50">
        <v>10</v>
      </c>
      <c r="I3556" s="50">
        <v>10</v>
      </c>
      <c r="J3556" s="50">
        <v>60</v>
      </c>
      <c r="K3556" s="51"/>
      <c r="L3556" s="50">
        <v>100</v>
      </c>
      <c r="M3556" s="49"/>
      <c r="N3556" s="29"/>
      <c r="O3556" s="29"/>
      <c r="P3556" s="19"/>
      <c r="Q3556" s="19"/>
      <c r="R3556" s="11"/>
    </row>
    <row r="3557" s="1" customFormat="1" ht="21.95" customHeight="1" spans="1:18">
      <c r="A3557" s="7"/>
      <c r="B3557" s="12"/>
      <c r="C3557" s="33"/>
      <c r="D3557" s="52" t="s">
        <v>751</v>
      </c>
      <c r="E3557" s="53"/>
      <c r="F3557" s="54" t="str">
        <f ca="1">IFERROR(VLOOKUP(F3540,'RR-3.1-5TH'!$A$12:'RR-3.1-5TH'!$BN$111,9,0),"")</f>
        <v/>
      </c>
      <c r="G3557" s="54" t="str">
        <f ca="1">IFERROR(VLOOKUP(F3540,'RR-3.1-5TH'!$A$12:'RR-3.1-5TH'!$BN$111,10,0),"")</f>
        <v/>
      </c>
      <c r="H3557" s="54" t="str">
        <f ca="1">IFERROR(VLOOKUP(F3540,'RR-3.1-5TH'!$A$12:'RR-3.1-5TH'!$BN$111,11,0),"")</f>
        <v/>
      </c>
      <c r="I3557" s="54" t="str">
        <f ca="1">IFERROR(VLOOKUP(F3540,'RR-3.1-5TH'!$A$12:'RR-3.1-5TH'!$BN$111,12,0),"")</f>
        <v/>
      </c>
      <c r="J3557" s="54" t="str">
        <f ca="1">IFERROR(VLOOKUP(F3540,'RR-3.1-5TH'!$A$12:'RR-3.1-5TH'!$BN$111,13,0),"")</f>
        <v/>
      </c>
      <c r="K3557" s="54" t="str">
        <f ca="1">IFERROR(VLOOKUP(F3540,'RR-3.1-5TH'!$A$12:'RR-3.1-5TH'!$BN$111,14,0),"")</f>
        <v/>
      </c>
      <c r="L3557" s="55">
        <f ca="1" t="shared" ref="L3557:L3562" si="186">SUM(F3557,G3557,H3557,I3557,J3557,K3557)</f>
        <v>0</v>
      </c>
      <c r="M3557" s="56" t="str">
        <f ca="1">IF(F3540&gt;ENTRY!$D$24,"",IF(L3557=0,"Ab",IF(L3557&gt;80,"A",IF(L3557&gt;60,"B",IF(L3557&gt;44,"C",IF(L3557&gt;=33,"D",IF(L3557&lt;=32,"E","")))))))</f>
        <v/>
      </c>
      <c r="N3557" s="57" t="s">
        <v>729</v>
      </c>
      <c r="O3557" s="58"/>
      <c r="P3557" s="59"/>
      <c r="Q3557" s="19"/>
      <c r="R3557" s="11"/>
    </row>
    <row r="3558" s="1" customFormat="1" ht="21.95" customHeight="1" spans="1:18">
      <c r="A3558" s="7"/>
      <c r="B3558" s="12"/>
      <c r="C3558" s="33"/>
      <c r="D3558" s="52" t="s">
        <v>513</v>
      </c>
      <c r="E3558" s="53"/>
      <c r="F3558" s="54" t="str">
        <f ca="1">IFERROR(VLOOKUP(F3540,'RR-3.1-5TH'!$A$12:'RR-3.1-5TH'!$BN$111,17,0),"")</f>
        <v/>
      </c>
      <c r="G3558" s="54" t="str">
        <f ca="1">IFERROR(VLOOKUP(F3540,'RR-3.1-5TH'!$A$12:'RR-3.1-5TH'!$BN$111,18,0),"")</f>
        <v/>
      </c>
      <c r="H3558" s="54" t="str">
        <f ca="1">IFERROR(VLOOKUP(F3540,'RR-3.1-5TH'!$A$12:'RR-3.1-5TH'!$BN$111,19,0),"")</f>
        <v/>
      </c>
      <c r="I3558" s="54" t="str">
        <f ca="1">IFERROR(VLOOKUP(F3540,'RR-3.1-5TH'!$A$12:'RR-3.1-5TH'!$BN$111,20,0),"")</f>
        <v/>
      </c>
      <c r="J3558" s="54" t="str">
        <f ca="1">IFERROR(VLOOKUP(F3540,'RR-3.1-5TH'!$A$12:'RR-3.1-5TH'!$BN$111,21,0),"")</f>
        <v/>
      </c>
      <c r="K3558" s="54" t="str">
        <f ca="1">IFERROR(VLOOKUP(F3540,'RR-3.1-5TH'!$A$12:'RR-3.1-5TH'!$BN$111,22,0),"")</f>
        <v/>
      </c>
      <c r="L3558" s="55">
        <f ca="1" t="shared" si="186"/>
        <v>0</v>
      </c>
      <c r="M3558" s="56" t="str">
        <f ca="1">IF(F3540&gt;ENTRY!$D$24,"",IF(L3558=0,"Ab",IF(L3558&gt;80,"A",IF(L3558&gt;60,"B",IF(L3558&gt;44,"C",IF(L3558&gt;=33,"D",IF(L3558&lt;=32,"E","")))))))</f>
        <v/>
      </c>
      <c r="N3558" s="58"/>
      <c r="O3558" s="58"/>
      <c r="P3558" s="59"/>
      <c r="Q3558" s="19"/>
      <c r="R3558" s="11"/>
    </row>
    <row r="3559" s="1" customFormat="1" ht="21.95" customHeight="1" spans="1:18">
      <c r="A3559" s="7"/>
      <c r="B3559" s="12"/>
      <c r="C3559" s="33"/>
      <c r="D3559" s="52" t="s">
        <v>718</v>
      </c>
      <c r="E3559" s="53"/>
      <c r="F3559" s="54" t="str">
        <f ca="1">IFERROR(VLOOKUP(F3540,'RR-3.1-5TH'!$A$12:'RR-3.1-5TH'!$BN$111,25,0),"")</f>
        <v/>
      </c>
      <c r="G3559" s="54" t="str">
        <f ca="1">IFERROR(VLOOKUP(F3540,'RR-3.1-5TH'!$A$12:'RR-3.1-5TH'!$BN$111,26,0),"")</f>
        <v/>
      </c>
      <c r="H3559" s="54" t="str">
        <f ca="1">IFERROR(VLOOKUP(F3540,'RR-3.1-5TH'!$A$12:'RR-3.1-5TH'!$BN$111,27,0),"")</f>
        <v/>
      </c>
      <c r="I3559" s="54" t="str">
        <f ca="1">IFERROR(VLOOKUP(F3540,'RR-3.1-5TH'!$A$12:'RR-3.1-5TH'!$BN$111,28,0),"")</f>
        <v/>
      </c>
      <c r="J3559" s="54" t="str">
        <f ca="1">IFERROR(VLOOKUP(F3540,'RR-3.1-5TH'!$A$12:'RR-3.1-5TH'!$BN$111,29,0),"")</f>
        <v/>
      </c>
      <c r="K3559" s="54" t="str">
        <f ca="1">IFERROR(VLOOKUP(F3540,'RR-3.1-5TH'!$A$12:'RR-3.1-5TH'!$BN$111,30,0),"")</f>
        <v/>
      </c>
      <c r="L3559" s="55">
        <f ca="1" t="shared" si="186"/>
        <v>0</v>
      </c>
      <c r="M3559" s="56" t="str">
        <f ca="1">IF(F3540&gt;ENTRY!$D$24,"",IF(L3559=0,"Ab",IF(L3559&gt;80,"A",IF(L3559&gt;60,"B",IF(L3559&gt;44,"C",IF(L3559&gt;=33,"D",IF(L3559&lt;=32,"E","")))))))</f>
        <v/>
      </c>
      <c r="N3559" s="29"/>
      <c r="O3559" s="29"/>
      <c r="P3559" s="19"/>
      <c r="Q3559" s="19"/>
      <c r="R3559" s="11"/>
    </row>
    <row r="3560" s="1" customFormat="1" ht="21.95" customHeight="1" spans="1:18">
      <c r="A3560" s="7"/>
      <c r="B3560" s="12"/>
      <c r="C3560" s="33"/>
      <c r="D3560" s="52" t="s">
        <v>719</v>
      </c>
      <c r="E3560" s="53"/>
      <c r="F3560" s="54" t="str">
        <f ca="1">IFERROR(VLOOKUP(F3540,'RR-3.1-5TH'!$A$12:'RR-3.1-5TH'!$BN$111,33,0),"")</f>
        <v/>
      </c>
      <c r="G3560" s="54" t="str">
        <f ca="1">IFERROR(VLOOKUP(F3540,'RR-3.1-5TH'!$A$12:'RR-3.1-5TH'!$BN$111,34,0),"")</f>
        <v/>
      </c>
      <c r="H3560" s="54" t="str">
        <f ca="1">IFERROR(VLOOKUP(F3540,'RR-3.1-5TH'!$A$12:'RR-3.1-5TH'!$BN$111,35,0),"")</f>
        <v/>
      </c>
      <c r="I3560" s="54" t="str">
        <f ca="1">IFERROR(VLOOKUP(F3540,'RR-3.1-5TH'!$A$12:'RR-3.1-5TH'!$BN$111,36,0),"")</f>
        <v/>
      </c>
      <c r="J3560" s="54" t="str">
        <f ca="1">IFERROR(VLOOKUP(F3540,'RR-3.1-5TH'!$A$12:'RR-3.1-5TH'!$BN$111,37,0),"")</f>
        <v/>
      </c>
      <c r="K3560" s="54" t="str">
        <f ca="1">IFERROR(VLOOKUP(F3540,'RR-3.1-5TH'!$A$12:'RR-3.1-5TH'!$BN$111,38,0),"")</f>
        <v/>
      </c>
      <c r="L3560" s="55">
        <f ca="1" t="shared" si="186"/>
        <v>0</v>
      </c>
      <c r="M3560" s="56" t="str">
        <f ca="1">IF(F3540&gt;ENTRY!$D$24,"",IF(L3560=0,"Ab",IF(L3560&gt;80,"A",IF(L3560&gt;60,"B",IF(L3560&gt;44,"C",IF(L3560&gt;=33,"D",IF(L3560&lt;=32,"E","")))))))</f>
        <v/>
      </c>
      <c r="N3560" s="29"/>
      <c r="O3560" s="29"/>
      <c r="P3560" s="19"/>
      <c r="Q3560" s="19"/>
      <c r="R3560" s="11"/>
    </row>
    <row r="3561" s="1" customFormat="1" ht="21.95" customHeight="1" spans="1:18">
      <c r="A3561" s="7"/>
      <c r="B3561" s="12"/>
      <c r="C3561" s="33"/>
      <c r="D3561" s="52" t="s">
        <v>548</v>
      </c>
      <c r="E3561" s="53"/>
      <c r="F3561" s="54" t="str">
        <f ca="1">IFERROR(VLOOKUP(F3540,'RR-3.1-5TH'!$A$12:'RR-3.1-5TH'!$BN$111,41,0),"")</f>
        <v/>
      </c>
      <c r="G3561" s="54" t="str">
        <f ca="1">IFERROR(VLOOKUP(F3540,'RR-3.1-5TH'!$A$12:'RR-3.1-5TH'!$BN$111,42,0),"")</f>
        <v/>
      </c>
      <c r="H3561" s="54" t="str">
        <f ca="1">IFERROR(VLOOKUP(F3540,'RR-3.1-5TH'!$A$12:'RR-3.1-5TH'!$BN$111,43,0),"")</f>
        <v/>
      </c>
      <c r="I3561" s="54" t="str">
        <f ca="1">IFERROR(VLOOKUP(F3540,'RR-3.1-5TH'!$A$12:'RR-3.1-5TH'!$BN$111,44,0),"")</f>
        <v/>
      </c>
      <c r="J3561" s="54" t="str">
        <f ca="1">IFERROR(VLOOKUP(F3540,'RR-3.1-5TH'!$A$12:'RR-3.1-5TH'!$BN$111,45,0),"")</f>
        <v/>
      </c>
      <c r="K3561" s="54" t="str">
        <f ca="1">IFERROR(VLOOKUP(F3540,'RR-3.1-5TH'!$A$12:'RR-3.1-5TH'!$BN$111,46,0),"")</f>
        <v/>
      </c>
      <c r="L3561" s="55">
        <f ca="1" t="shared" si="186"/>
        <v>0</v>
      </c>
      <c r="M3561" s="56" t="str">
        <f ca="1">IF(F3540&gt;ENTRY!$D$24,"",IF(L3561=0,"Ab",IF(L3561&gt;80,"A",IF(L3561&gt;60,"B",IF(L3561&gt;44,"C",IF(L3561&gt;=33,"D",IF(L3561&lt;=32,"E","")))))))</f>
        <v/>
      </c>
      <c r="N3561" s="29"/>
      <c r="O3561" s="29"/>
      <c r="P3561" s="19"/>
      <c r="Q3561" s="19"/>
      <c r="R3561" s="11"/>
    </row>
    <row r="3562" s="1" customFormat="1" ht="21.95" customHeight="1" spans="1:18">
      <c r="A3562" s="7"/>
      <c r="B3562" s="12"/>
      <c r="C3562" s="33"/>
      <c r="D3562" s="52" t="s">
        <v>549</v>
      </c>
      <c r="E3562" s="53"/>
      <c r="F3562" s="54" t="str">
        <f ca="1">IFERROR(VLOOKUP(F3540,'RR-3.1-5TH'!$A$12:'RR-3.1-5TH'!$BN$111,49,0),"")</f>
        <v/>
      </c>
      <c r="G3562" s="54" t="str">
        <f ca="1">IFERROR(VLOOKUP(F3540,'RR-3.1-5TH'!$A$12:'RR-3.1-5TH'!$BN$111,50,0),"")</f>
        <v/>
      </c>
      <c r="H3562" s="54" t="str">
        <f ca="1">IFERROR(VLOOKUP(F3540,'RR-3.1-5TH'!$A$12:'RR-3.1-5TH'!$BN$111,51,0),"")</f>
        <v/>
      </c>
      <c r="I3562" s="54" t="str">
        <f ca="1">IFERROR(VLOOKUP(F3540,'RR-3.1-5TH'!$A$12:'RR-3.1-5TH'!$BN$111,52,0),"")</f>
        <v/>
      </c>
      <c r="J3562" s="54" t="str">
        <f ca="1">IFERROR(VLOOKUP(F3540,'RR-3.1-5TH'!$A$12:'RR-3.1-5TH'!$BN$111,53,0),"")</f>
        <v/>
      </c>
      <c r="K3562" s="54" t="str">
        <f ca="1">IFERROR(VLOOKUP(F3540,'RR-3.1-5TH'!$A$12:'RR-3.1-5TH'!$BN$111,54,0),"")</f>
        <v/>
      </c>
      <c r="L3562" s="55">
        <f ca="1" t="shared" si="186"/>
        <v>0</v>
      </c>
      <c r="M3562" s="56" t="str">
        <f ca="1">IF(F3540&gt;ENTRY!$D$24,"",IF(L3562=0,"Ab",IF(L3562&gt;80,"A",IF(L3562&gt;60,"B",IF(L3562&gt;44,"C",IF(L3562&gt;=33,"D",IF(L3562&lt;=32,"E","")))))))</f>
        <v/>
      </c>
      <c r="N3562" s="57" t="s">
        <v>752</v>
      </c>
      <c r="O3562" s="58"/>
      <c r="P3562" s="59"/>
      <c r="Q3562" s="19"/>
      <c r="R3562" s="11"/>
    </row>
    <row r="3563" s="1" customFormat="1" ht="21.95" customHeight="1" spans="1:18">
      <c r="A3563" s="7"/>
      <c r="B3563" s="12"/>
      <c r="C3563" s="33"/>
      <c r="D3563" s="52" t="s">
        <v>753</v>
      </c>
      <c r="E3563" s="53"/>
      <c r="F3563" s="60"/>
      <c r="G3563" s="54"/>
      <c r="H3563" s="54"/>
      <c r="I3563" s="54"/>
      <c r="J3563" s="54"/>
      <c r="K3563" s="54"/>
      <c r="L3563" s="55">
        <f t="shared" ref="L3563" si="187">SUM(G3563:K3563)</f>
        <v>0</v>
      </c>
      <c r="M3563" s="56" t="str">
        <f>IF(F3540&gt;ENTRY!$D$24,"",IF(L3563=0,"",IF(L3563&gt;79,"A",IF(L3563&gt;59,"B",IF(L3563&gt;44,"C",IF(L3563&gt;=33,"D",IF(L3563&lt;=32,"E","")))))))</f>
        <v/>
      </c>
      <c r="N3563" s="58"/>
      <c r="O3563" s="58"/>
      <c r="P3563" s="59"/>
      <c r="Q3563" s="19"/>
      <c r="R3563" s="11"/>
    </row>
    <row r="3564" s="1" customFormat="1" ht="21.95" customHeight="1" spans="1:18">
      <c r="A3564" s="7"/>
      <c r="B3564" s="12"/>
      <c r="C3564" s="33"/>
      <c r="D3564" s="45" t="s">
        <v>382</v>
      </c>
      <c r="E3564" s="46"/>
      <c r="F3564" s="54">
        <f ca="1" t="shared" ref="F3564:L3564" si="188">IFERROR(SUM(F3557:F3563),"")</f>
        <v>0</v>
      </c>
      <c r="G3564" s="54">
        <f ca="1" t="shared" si="188"/>
        <v>0</v>
      </c>
      <c r="H3564" s="54">
        <f ca="1" t="shared" si="188"/>
        <v>0</v>
      </c>
      <c r="I3564" s="54">
        <f ca="1" t="shared" si="188"/>
        <v>0</v>
      </c>
      <c r="J3564" s="54">
        <f ca="1" t="shared" si="188"/>
        <v>0</v>
      </c>
      <c r="K3564" s="54">
        <f ca="1" t="shared" si="188"/>
        <v>0</v>
      </c>
      <c r="L3564" s="55">
        <f ca="1" t="shared" si="188"/>
        <v>0</v>
      </c>
      <c r="M3564" s="61" t="str">
        <f ca="1">IF(F3540&gt;ENTRY!$D$24,"",IF(N3565="Ab","Ab",IF(N3565&gt;79.5,"A",IF(N3565&gt;59.5,"B",IF(N3565&gt;44.5,"C",IF(N3565&gt;=33,"D",IF(N3565&lt;33,"E","")))))))</f>
        <v/>
      </c>
      <c r="N3564" s="62"/>
      <c r="O3564" s="58"/>
      <c r="P3564" s="59"/>
      <c r="Q3564" s="19"/>
      <c r="R3564" s="11"/>
    </row>
    <row r="3565" s="1" customFormat="1" ht="21.95" customHeight="1" spans="1:18">
      <c r="A3565" s="7"/>
      <c r="B3565" s="12"/>
      <c r="C3565" s="33"/>
      <c r="D3565" s="63" t="s">
        <v>721</v>
      </c>
      <c r="E3565" s="63"/>
      <c r="F3565" s="63"/>
      <c r="G3565" s="63"/>
      <c r="H3565" s="63"/>
      <c r="I3565" s="63"/>
      <c r="J3565" s="63"/>
      <c r="K3565" s="63"/>
      <c r="L3565" s="63"/>
      <c r="M3565" s="63"/>
      <c r="N3565" s="64">
        <f ca="1">IF(L3564="Ab","Ab",L3564/6)</f>
        <v>0</v>
      </c>
      <c r="O3565" s="65"/>
      <c r="P3565" s="19"/>
      <c r="Q3565" s="19"/>
      <c r="R3565" s="11"/>
    </row>
    <row r="3566" s="1" customFormat="1" ht="21.95" customHeight="1" spans="1:18">
      <c r="A3566" s="7"/>
      <c r="B3566" s="12"/>
      <c r="C3566" s="33"/>
      <c r="D3566" s="29" t="s">
        <v>716</v>
      </c>
      <c r="E3566" s="18" t="str">
        <f>IFERROR(VLOOKUP(F3540,'1to4-2.1-RR'!$A$12:$BG$111,57,0),"")</f>
        <v/>
      </c>
      <c r="F3566" s="18"/>
      <c r="G3566" s="18"/>
      <c r="H3566" s="18"/>
      <c r="I3566" s="18"/>
      <c r="J3566" s="18"/>
      <c r="K3566" s="18"/>
      <c r="L3566" s="18"/>
      <c r="M3566" s="18"/>
      <c r="N3566" s="29"/>
      <c r="O3566" s="29"/>
      <c r="P3566" s="19"/>
      <c r="Q3566" s="19"/>
      <c r="R3566" s="11"/>
    </row>
    <row r="3567" s="1" customFormat="1" ht="9.95" customHeight="1" spans="1:18">
      <c r="A3567" s="7"/>
      <c r="B3567" s="12"/>
      <c r="C3567" s="33"/>
      <c r="D3567" s="29"/>
      <c r="E3567" s="29"/>
      <c r="F3567" s="29"/>
      <c r="G3567" s="29"/>
      <c r="H3567" s="29"/>
      <c r="I3567" s="29"/>
      <c r="J3567" s="29"/>
      <c r="K3567" s="29"/>
      <c r="L3567" s="29"/>
      <c r="M3567" s="29"/>
      <c r="N3567" s="29"/>
      <c r="O3567" s="29"/>
      <c r="P3567" s="19"/>
      <c r="Q3567" s="19"/>
      <c r="R3567" s="11"/>
    </row>
    <row r="3568" s="1" customFormat="1" ht="36" spans="1:18">
      <c r="A3568" s="7"/>
      <c r="B3568" s="12"/>
      <c r="C3568" s="33"/>
      <c r="D3568" s="66" t="s">
        <v>576</v>
      </c>
      <c r="E3568" s="67" t="s">
        <v>754</v>
      </c>
      <c r="F3568" s="47" t="str">
        <f>IF(F3540&gt;ENTRY!$D$24,"",IFERROR(VLOOKUP(F3540,PASHEET!$A$4:$CJ$103,88,0),""))</f>
        <v/>
      </c>
      <c r="G3568" s="67" t="s">
        <v>755</v>
      </c>
      <c r="H3568" s="47" t="str">
        <f>IF(F3540&gt;ENTRY!$D$24,"",IFERROR(VLOOKUP(F3540,PASHEET!$A$4:$CJ$103,87,0),""))</f>
        <v/>
      </c>
      <c r="I3568" s="68" t="s">
        <v>756</v>
      </c>
      <c r="J3568" s="69" t="str">
        <f>IF(F3540&gt;ENTRY!$D$24,"",IFERROR(IF(F3540&gt;0,H3568/F3568*100),""))</f>
        <v/>
      </c>
      <c r="K3568" s="60" t="s">
        <v>757</v>
      </c>
      <c r="L3568" s="70" t="str">
        <f ca="1">IF(F3540&gt;ENTRY!$D$24,"",IFERROR(L3564/600*100,""))</f>
        <v/>
      </c>
      <c r="M3568" s="47" t="str">
        <f ca="1">IF(F3540&gt;ENTRY!$D$24,"",IFERROR(L3564&amp;" / "&amp;"600",""))</f>
        <v/>
      </c>
      <c r="N3568" s="29"/>
      <c r="O3568" s="29"/>
      <c r="P3568" s="19"/>
      <c r="Q3568" s="19"/>
      <c r="R3568" s="11"/>
    </row>
    <row r="3569" s="1" customFormat="1" ht="9.95" customHeight="1" spans="1:19">
      <c r="A3569" s="7"/>
      <c r="B3569" s="12"/>
      <c r="C3569" s="39"/>
      <c r="D3569" s="40"/>
      <c r="E3569" s="40"/>
      <c r="F3569" s="40"/>
      <c r="G3569" s="40"/>
      <c r="H3569" s="40"/>
      <c r="I3569" s="40"/>
      <c r="J3569" s="40"/>
      <c r="K3569" s="40"/>
      <c r="L3569" s="40"/>
      <c r="M3569" s="40"/>
      <c r="N3569" s="40"/>
      <c r="O3569" s="40"/>
      <c r="P3569" s="41"/>
      <c r="Q3569" s="19"/>
      <c r="R3569" s="11"/>
    </row>
    <row r="3570" s="1" customFormat="1" ht="9.95" customHeight="1" spans="1:19">
      <c r="A3570" s="7"/>
      <c r="B3570" s="12"/>
      <c r="C3570" s="71"/>
      <c r="D3570" s="71"/>
      <c r="E3570" s="71"/>
      <c r="F3570" s="29"/>
      <c r="G3570" s="71"/>
      <c r="H3570" s="71"/>
      <c r="I3570" s="71"/>
      <c r="J3570" s="71"/>
      <c r="K3570" s="71"/>
      <c r="L3570" s="71"/>
      <c r="M3570" s="71"/>
      <c r="N3570" s="71"/>
      <c r="O3570" s="71"/>
      <c r="P3570" s="71"/>
      <c r="Q3570" s="19"/>
      <c r="R3570" s="11"/>
    </row>
    <row r="3571" s="1" customFormat="1" ht="9.95" customHeight="1" spans="1:19">
      <c r="A3571" s="7"/>
      <c r="B3571" s="12"/>
      <c r="C3571" s="29"/>
      <c r="D3571" s="29"/>
      <c r="E3571" s="29"/>
      <c r="F3571" s="72"/>
      <c r="G3571" s="29"/>
      <c r="H3571" s="29"/>
      <c r="I3571" s="29"/>
      <c r="J3571" s="29"/>
      <c r="K3571" s="29"/>
      <c r="L3571" s="29"/>
      <c r="M3571" s="29"/>
      <c r="N3571" s="29"/>
      <c r="O3571" s="29"/>
      <c r="P3571" s="29"/>
      <c r="Q3571" s="19"/>
      <c r="R3571" s="11"/>
    </row>
    <row r="3572" s="1" customFormat="1" ht="9.95" customHeight="1" spans="1:19">
      <c r="A3572" s="7"/>
      <c r="B3572" s="12"/>
      <c r="C3572" s="30"/>
      <c r="D3572" s="31"/>
      <c r="E3572" s="31"/>
      <c r="F3572" s="31"/>
      <c r="G3572" s="31"/>
      <c r="H3572" s="31"/>
      <c r="I3572" s="31"/>
      <c r="J3572" s="31"/>
      <c r="K3572" s="31"/>
      <c r="L3572" s="31"/>
      <c r="M3572" s="31"/>
      <c r="N3572" s="31"/>
      <c r="O3572" s="31"/>
      <c r="P3572" s="32"/>
      <c r="Q3572" s="19"/>
      <c r="R3572" s="11"/>
    </row>
    <row r="3573" s="1" customFormat="1" ht="21.95" customHeight="1" spans="1:19">
      <c r="A3573" s="7"/>
      <c r="B3573" s="12"/>
      <c r="C3573" s="73" t="s">
        <v>7</v>
      </c>
      <c r="D3573" s="13"/>
      <c r="E3573" s="13"/>
      <c r="F3573" s="13"/>
      <c r="G3573" s="13"/>
      <c r="H3573" s="13"/>
      <c r="I3573" s="13"/>
      <c r="J3573" s="13"/>
      <c r="K3573" s="13"/>
      <c r="L3573" s="13"/>
      <c r="M3573" s="13"/>
      <c r="N3573" s="13"/>
      <c r="O3573" s="13"/>
      <c r="P3573" s="74"/>
      <c r="Q3573" s="19"/>
      <c r="R3573" s="11"/>
      <c r="S3573" s="2"/>
    </row>
    <row r="3574" s="1" customFormat="1" ht="21.95" customHeight="1" spans="1:19">
      <c r="A3574" s="7"/>
      <c r="B3574" s="12"/>
      <c r="C3574" s="33"/>
      <c r="D3574" s="29"/>
      <c r="E3574" s="29"/>
      <c r="F3574" s="29"/>
      <c r="G3574" s="29"/>
      <c r="H3574" s="29"/>
      <c r="I3574" s="29"/>
      <c r="J3574" s="29"/>
      <c r="K3574" s="29"/>
      <c r="L3574" s="29"/>
      <c r="M3574" s="29"/>
      <c r="N3574" s="29"/>
      <c r="O3574" s="29"/>
      <c r="P3574" s="19"/>
      <c r="Q3574" s="19"/>
      <c r="R3574" s="11"/>
    </row>
    <row r="3575" s="1" customFormat="1" ht="21.95" customHeight="1" spans="1:19">
      <c r="A3575" s="7"/>
      <c r="B3575" s="12"/>
      <c r="C3575" s="75" t="str">
        <f>"SESSION-"&amp;ENTRY!$D$11</f>
        <v>SESSION-2026-27</v>
      </c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76"/>
      <c r="Q3575" s="19"/>
      <c r="R3575" s="11"/>
    </row>
    <row r="3576" s="1" customFormat="1" ht="18" customHeight="1" spans="1:19">
      <c r="A3576" s="7"/>
      <c r="B3576" s="12"/>
      <c r="C3576" s="33"/>
      <c r="D3576" s="29"/>
      <c r="E3576" s="29"/>
      <c r="F3576" s="29"/>
      <c r="G3576" s="29"/>
      <c r="H3576" s="29"/>
      <c r="I3576" s="29"/>
      <c r="J3576" s="29"/>
      <c r="K3576" s="29"/>
      <c r="L3576" s="29"/>
      <c r="M3576" s="29"/>
      <c r="N3576" s="29"/>
      <c r="O3576" s="29"/>
      <c r="P3576" s="19"/>
      <c r="Q3576" s="19"/>
      <c r="R3576" s="11"/>
    </row>
    <row r="3577" s="1" customFormat="1" ht="21.95" customHeight="1" spans="1:19">
      <c r="A3577" s="7"/>
      <c r="B3577" s="12"/>
      <c r="C3577" s="33"/>
      <c r="D3577" s="77" t="s">
        <v>758</v>
      </c>
      <c r="E3577" s="77"/>
      <c r="F3577" s="78" t="str">
        <f>IFERROR(PROPER(VLOOKUP(F3540,STUDENT!$A$2:$BP$101,5,0)),"")</f>
        <v/>
      </c>
      <c r="G3577" s="78"/>
      <c r="H3577" s="78"/>
      <c r="I3577" s="78"/>
      <c r="J3577" s="78"/>
      <c r="K3577" s="78"/>
      <c r="L3577" s="78"/>
      <c r="M3577" s="78"/>
      <c r="N3577" s="79" t="s">
        <v>759</v>
      </c>
      <c r="O3577" s="79"/>
      <c r="P3577" s="19"/>
      <c r="Q3577" s="19"/>
      <c r="R3577" s="11"/>
    </row>
    <row r="3578" s="1" customFormat="1" ht="21.95" customHeight="1" spans="1:19">
      <c r="A3578" s="7"/>
      <c r="B3578" s="12"/>
      <c r="C3578" s="33"/>
      <c r="D3578" s="80" t="s">
        <v>760</v>
      </c>
      <c r="E3578" s="81" t="str">
        <f>IFERROR(PROPER(VLOOKUP(F3540,STUDENT!$A$2:$BP$101,9,0)),"")</f>
        <v/>
      </c>
      <c r="F3578" s="81"/>
      <c r="G3578" s="81"/>
      <c r="H3578" s="80" t="s">
        <v>761</v>
      </c>
      <c r="I3578" s="82" t="str">
        <f>IFERROR(PROPER(VLOOKUP(F3540,STUDENT!$A$2:$BP$101,8,0)),"")</f>
        <v/>
      </c>
      <c r="J3578" s="82"/>
      <c r="K3578" s="82"/>
      <c r="L3578" s="82"/>
      <c r="M3578" s="80" t="s">
        <v>762</v>
      </c>
      <c r="N3578" s="83" t="str">
        <f>IFERROR(VLOOKUP(F3540,STUDENT!$A$2:$BP$101,59,0),"")</f>
        <v/>
      </c>
      <c r="O3578" s="83"/>
      <c r="P3578" s="19"/>
      <c r="Q3578" s="19"/>
      <c r="R3578" s="11"/>
    </row>
    <row r="3579" s="1" customFormat="1" ht="21.95" customHeight="1" spans="1:19">
      <c r="A3579" s="7"/>
      <c r="B3579" s="12"/>
      <c r="C3579" s="33"/>
      <c r="D3579" s="77" t="str">
        <f>"has    completed     his  /  her     primary     level     education    in    the    year    "&amp;RIGHT(ENTRY!$D3545,4)&amp;"    from    ( School    Name )"</f>
        <v>has    completed     his  /  her     primary     level     education    in    the    year        from    ( School    Name )</v>
      </c>
      <c r="E3579" s="77"/>
      <c r="F3579" s="77"/>
      <c r="G3579" s="77"/>
      <c r="H3579" s="77"/>
      <c r="I3579" s="77"/>
      <c r="J3579" s="77"/>
      <c r="K3579" s="77"/>
      <c r="L3579" s="77"/>
      <c r="M3579" s="77"/>
      <c r="N3579" s="77"/>
      <c r="O3579" s="77"/>
      <c r="P3579" s="19"/>
      <c r="Q3579" s="19"/>
      <c r="R3579" s="11"/>
    </row>
    <row r="3580" s="1" customFormat="1" ht="21.95" customHeight="1" spans="1:19">
      <c r="A3580" s="7"/>
      <c r="B3580" s="12"/>
      <c r="C3580" s="33"/>
      <c r="D3580" s="81" t="str">
        <f>IF(F3540&gt;0,ENTRY!$D$6,"")</f>
        <v>MCP NITHARI NO 1 BOYS</v>
      </c>
      <c r="E3580" s="81"/>
      <c r="F3580" s="81"/>
      <c r="G3580" s="81"/>
      <c r="H3580" s="81"/>
      <c r="I3580" s="81"/>
      <c r="J3580" s="81"/>
      <c r="K3580" s="81"/>
      <c r="L3580" s="81"/>
      <c r="M3580" s="80" t="s">
        <v>763</v>
      </c>
      <c r="N3580" s="84">
        <f>IF(F3540&gt;0,ENTRY!$D$7,"")</f>
        <v>0</v>
      </c>
      <c r="O3580" s="84"/>
      <c r="P3580" s="85" t="s">
        <v>727</v>
      </c>
      <c r="Q3580" s="19"/>
      <c r="R3580" s="11"/>
    </row>
    <row r="3581" s="1" customFormat="1" ht="21.95" customHeight="1" spans="1:19">
      <c r="A3581" s="7"/>
      <c r="B3581" s="12"/>
      <c r="C3581" s="33"/>
      <c r="D3581" s="29"/>
      <c r="E3581" s="29"/>
      <c r="F3581" s="29"/>
      <c r="G3581" s="29"/>
      <c r="H3581" s="29"/>
      <c r="I3581" s="29"/>
      <c r="J3581" s="29"/>
      <c r="K3581" s="29"/>
      <c r="L3581" s="29"/>
      <c r="M3581" s="29"/>
      <c r="N3581" s="29"/>
      <c r="O3581" s="29"/>
      <c r="P3581" s="19"/>
      <c r="Q3581" s="19"/>
      <c r="R3581" s="11"/>
    </row>
    <row r="3582" s="1" customFormat="1" ht="21.95" customHeight="1" spans="1:19">
      <c r="A3582" s="7"/>
      <c r="B3582" s="12"/>
      <c r="C3582" s="33"/>
      <c r="D3582" s="29"/>
      <c r="E3582" s="29"/>
      <c r="F3582" s="29"/>
      <c r="G3582" s="29"/>
      <c r="H3582" s="29"/>
      <c r="I3582" s="29"/>
      <c r="J3582" s="29"/>
      <c r="K3582" s="29"/>
      <c r="L3582" s="29"/>
      <c r="M3582" s="29"/>
      <c r="N3582" s="29"/>
      <c r="O3582" s="29"/>
      <c r="P3582" s="19"/>
      <c r="Q3582" s="19"/>
      <c r="R3582" s="11"/>
    </row>
    <row r="3583" s="1" customFormat="1" ht="21.95" customHeight="1" spans="1:19">
      <c r="A3583" s="7"/>
      <c r="B3583" s="12"/>
      <c r="C3583" s="33"/>
      <c r="D3583" s="29"/>
      <c r="E3583" s="29"/>
      <c r="F3583" s="29"/>
      <c r="G3583" s="29"/>
      <c r="H3583" s="29"/>
      <c r="I3583" s="29"/>
      <c r="J3583" s="29"/>
      <c r="K3583" s="29"/>
      <c r="L3583" s="29"/>
      <c r="M3583" s="29"/>
      <c r="N3583" s="29"/>
      <c r="O3583" s="29"/>
      <c r="P3583" s="19"/>
      <c r="Q3583" s="19"/>
      <c r="R3583" s="11"/>
    </row>
    <row r="3584" s="1" customFormat="1" ht="21.95" customHeight="1" spans="1:19">
      <c r="A3584" s="7"/>
      <c r="B3584" s="12"/>
      <c r="C3584" s="33"/>
      <c r="D3584" s="29"/>
      <c r="E3584" s="29"/>
      <c r="F3584" s="29"/>
      <c r="G3584" s="29"/>
      <c r="H3584" s="29"/>
      <c r="I3584" s="29"/>
      <c r="J3584" s="29"/>
      <c r="K3584" s="29"/>
      <c r="L3584" s="29"/>
      <c r="M3584" s="29"/>
      <c r="N3584" s="29"/>
      <c r="O3584" s="29"/>
      <c r="P3584" s="19"/>
      <c r="Q3584" s="19"/>
      <c r="R3584" s="11"/>
    </row>
    <row r="3585" s="1" customFormat="1" ht="21.95" customHeight="1" spans="1:18">
      <c r="A3585" s="7"/>
      <c r="B3585" s="12"/>
      <c r="C3585" s="33"/>
      <c r="D3585" s="29"/>
      <c r="E3585" s="29"/>
      <c r="F3585" s="29"/>
      <c r="G3585" s="29"/>
      <c r="H3585" s="29"/>
      <c r="I3585" s="29"/>
      <c r="J3585" s="29"/>
      <c r="K3585" s="29"/>
      <c r="L3585" s="29"/>
      <c r="M3585" s="29"/>
      <c r="N3585" s="29"/>
      <c r="O3585" s="29"/>
      <c r="P3585" s="19"/>
      <c r="Q3585" s="19"/>
      <c r="R3585" s="11"/>
    </row>
    <row r="3586" s="1" customFormat="1" ht="21.95" customHeight="1" spans="1:18">
      <c r="A3586" s="7"/>
      <c r="B3586" s="12"/>
      <c r="C3586" s="33"/>
      <c r="D3586" s="80" t="s">
        <v>728</v>
      </c>
      <c r="E3586" s="86">
        <f>ENTRY!$D$27</f>
        <v>46102</v>
      </c>
      <c r="F3586" s="86"/>
      <c r="G3586" s="29"/>
      <c r="H3586" s="29"/>
      <c r="I3586" s="29"/>
      <c r="J3586" s="29"/>
      <c r="K3586" s="29"/>
      <c r="L3586" s="29"/>
      <c r="M3586" s="87" t="s">
        <v>730</v>
      </c>
      <c r="N3586" s="87"/>
      <c r="O3586" s="87"/>
      <c r="P3586" s="19"/>
      <c r="Q3586" s="19"/>
      <c r="R3586" s="11"/>
    </row>
    <row r="3587" s="1" customFormat="1" ht="21.95" customHeight="1" spans="1:18">
      <c r="A3587" s="7"/>
      <c r="B3587" s="12"/>
      <c r="C3587" s="33"/>
      <c r="D3587" s="80" t="s">
        <v>731</v>
      </c>
      <c r="E3587" s="88" t="str">
        <f>PROPER(ENTRY!$D$28)</f>
        <v>New Delhi</v>
      </c>
      <c r="F3587" s="88"/>
      <c r="G3587" s="29"/>
      <c r="H3587" s="29"/>
      <c r="I3587" s="29"/>
      <c r="J3587" s="29"/>
      <c r="K3587" s="29"/>
      <c r="L3587" s="29"/>
      <c r="M3587" s="89" t="s">
        <v>732</v>
      </c>
      <c r="N3587" s="89"/>
      <c r="O3587" s="89"/>
      <c r="P3587" s="19"/>
      <c r="Q3587" s="19"/>
      <c r="R3587" s="11"/>
    </row>
    <row r="3588" s="1" customFormat="1" ht="21.95" customHeight="1" spans="1:18">
      <c r="A3588" s="7"/>
      <c r="B3588" s="12"/>
      <c r="C3588" s="90"/>
      <c r="D3588" s="91"/>
      <c r="E3588" s="91"/>
      <c r="F3588" s="91"/>
      <c r="G3588" s="91"/>
      <c r="H3588" s="91"/>
      <c r="I3588" s="91"/>
      <c r="J3588" s="91"/>
      <c r="K3588" s="91"/>
      <c r="L3588" s="91"/>
      <c r="M3588" s="91"/>
      <c r="N3588" s="91"/>
      <c r="O3588" s="91"/>
      <c r="P3588" s="92"/>
      <c r="Q3588" s="14"/>
      <c r="R3588" s="11"/>
    </row>
    <row r="3589" s="1" customFormat="1" ht="5.1" customHeight="1" spans="1:18">
      <c r="A3589" s="7"/>
      <c r="B3589" s="90"/>
      <c r="C3589" s="91"/>
      <c r="D3589" s="91"/>
      <c r="E3589" s="91"/>
      <c r="F3589" s="91"/>
      <c r="G3589" s="91"/>
      <c r="H3589" s="91"/>
      <c r="I3589" s="91"/>
      <c r="J3589" s="91"/>
      <c r="K3589" s="91"/>
      <c r="L3589" s="91"/>
      <c r="M3589" s="91"/>
      <c r="N3589" s="91"/>
      <c r="O3589" s="91"/>
      <c r="P3589" s="91"/>
      <c r="Q3589" s="92"/>
      <c r="R3589" s="11"/>
    </row>
    <row r="3590" s="1" customFormat="1" ht="5.1" customHeight="1" spans="1:18">
      <c r="A3590" s="93"/>
      <c r="B3590" s="94"/>
      <c r="C3590" s="94"/>
      <c r="D3590" s="94"/>
      <c r="E3590" s="94"/>
      <c r="F3590" s="94"/>
      <c r="G3590" s="94"/>
      <c r="H3590" s="94"/>
      <c r="I3590" s="94"/>
      <c r="J3590" s="94"/>
      <c r="K3590" s="94"/>
      <c r="L3590" s="94"/>
      <c r="M3590" s="94"/>
      <c r="N3590" s="94"/>
      <c r="O3590" s="94"/>
      <c r="P3590" s="94"/>
      <c r="Q3590" s="94"/>
      <c r="R3590" s="95"/>
    </row>
    <row r="3591" s="2" customFormat="1" ht="9.95" customHeight="1"/>
    <row r="3592" s="1" customFormat="1" ht="5.1" customHeight="1" spans="1:18">
      <c r="A3592" s="4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  <c r="O3592" s="5"/>
      <c r="P3592" s="5"/>
      <c r="Q3592" s="5"/>
      <c r="R3592" s="6"/>
    </row>
    <row r="3593" s="1" customFormat="1" ht="15" customHeight="1" spans="1:18">
      <c r="A3593" s="7"/>
      <c r="B3593" s="8"/>
      <c r="C3593" s="9"/>
      <c r="D3593" s="9"/>
      <c r="E3593" s="9"/>
      <c r="F3593" s="9"/>
      <c r="G3593" s="9"/>
      <c r="H3593" s="9"/>
      <c r="I3593" s="9"/>
      <c r="J3593" s="9"/>
      <c r="K3593" s="9"/>
      <c r="L3593" s="9"/>
      <c r="M3593" s="9"/>
      <c r="N3593" s="9"/>
      <c r="O3593" s="9"/>
      <c r="P3593" s="9"/>
      <c r="Q3593" s="10"/>
      <c r="R3593" s="11"/>
    </row>
    <row r="3594" s="1" customFormat="1" ht="21.95" customHeight="1" spans="1:18">
      <c r="A3594" s="7"/>
      <c r="B3594" s="12"/>
      <c r="C3594" s="13" t="s">
        <v>7</v>
      </c>
      <c r="D3594" s="13"/>
      <c r="E3594" s="13"/>
      <c r="F3594" s="13"/>
      <c r="G3594" s="13"/>
      <c r="H3594" s="13"/>
      <c r="I3594" s="13"/>
      <c r="J3594" s="13"/>
      <c r="K3594" s="13"/>
      <c r="L3594" s="13"/>
      <c r="M3594" s="13"/>
      <c r="N3594" s="13"/>
      <c r="O3594" s="13"/>
      <c r="P3594" s="13"/>
      <c r="Q3594" s="14"/>
      <c r="R3594" s="11"/>
    </row>
    <row r="3595" s="1" customFormat="1" ht="21.95" customHeight="1" spans="1:18">
      <c r="A3595" s="7"/>
      <c r="B3595" s="1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14"/>
      <c r="R3595" s="11"/>
    </row>
    <row r="3596" s="1" customFormat="1" ht="21.95" customHeight="1" spans="1:18">
      <c r="A3596" s="7"/>
      <c r="B3596" s="12"/>
      <c r="C3596" s="15" t="str">
        <f>"SESSION-"&amp;ENTRY!$D$11</f>
        <v>SESSION-2026-27</v>
      </c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4"/>
      <c r="R3596" s="11"/>
    </row>
    <row r="3597" s="1" customFormat="1" ht="21.95" customHeight="1" spans="1:18">
      <c r="A3597" s="7"/>
      <c r="B3597" s="12"/>
      <c r="C3597" s="2"/>
      <c r="D3597" s="2"/>
      <c r="E3597" s="2"/>
      <c r="F3597" s="16">
        <f>F3540+1</f>
        <v>64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14"/>
      <c r="R3597" s="11"/>
    </row>
    <row r="3598" s="1" customFormat="1" ht="21.95" customHeight="1" spans="1:18">
      <c r="A3598" s="7"/>
      <c r="B3598" s="12"/>
      <c r="C3598" s="17" t="s">
        <v>392</v>
      </c>
      <c r="D3598" s="17"/>
      <c r="E3598" s="17"/>
      <c r="F3598" s="18" t="str">
        <f>IF(F3597&gt;0,ENTRY!$D$6,"")</f>
        <v>MCP NITHARI NO 1 BOYS</v>
      </c>
      <c r="G3598" s="18"/>
      <c r="H3598" s="18"/>
      <c r="I3598" s="18"/>
      <c r="J3598" s="18"/>
      <c r="K3598" s="18"/>
      <c r="L3598" s="18"/>
      <c r="M3598" s="18"/>
      <c r="N3598" s="18"/>
      <c r="O3598" s="18"/>
      <c r="P3598" s="18"/>
      <c r="Q3598" s="19"/>
      <c r="R3598" s="11"/>
    </row>
    <row r="3599" s="1" customFormat="1" ht="21.95" customHeight="1" spans="1:18">
      <c r="A3599" s="7"/>
      <c r="B3599" s="12"/>
      <c r="C3599" s="17" t="s">
        <v>393</v>
      </c>
      <c r="D3599" s="17"/>
      <c r="E3599" s="17"/>
      <c r="F3599" s="18">
        <f>IF(F3597&gt;0,ENTRY!$D$7,"")</f>
        <v>0</v>
      </c>
      <c r="G3599" s="18"/>
      <c r="H3599" s="20" t="s">
        <v>702</v>
      </c>
      <c r="I3599" s="20"/>
      <c r="J3599" s="21">
        <f>IF(F3597&gt;0,ENTRY!$D$10,"")</f>
        <v>40</v>
      </c>
      <c r="K3599" s="20" t="s">
        <v>703</v>
      </c>
      <c r="L3599" s="22" t="str">
        <f>IF(F3597&gt;0,ENTRY!$D$5,"")</f>
        <v>ROHINI ZONE</v>
      </c>
      <c r="M3599" s="22"/>
      <c r="N3599" s="22"/>
      <c r="O3599" s="22"/>
      <c r="P3599" s="22"/>
      <c r="Q3599" s="19"/>
      <c r="R3599" s="11"/>
    </row>
    <row r="3600" s="1" customFormat="1" ht="21.95" customHeight="1" spans="1:18">
      <c r="A3600" s="7"/>
      <c r="B3600" s="12"/>
      <c r="C3600" s="17" t="s">
        <v>706</v>
      </c>
      <c r="D3600" s="17"/>
      <c r="E3600" s="17"/>
      <c r="F3600" s="23">
        <f>IFERROR(VLOOKUP(F3597,STUDENT!$A$2:$BP$101,5,0),"")</f>
        <v>0</v>
      </c>
      <c r="G3600" s="23"/>
      <c r="H3600" s="23"/>
      <c r="I3600" s="23"/>
      <c r="J3600" s="23"/>
      <c r="K3600" s="23"/>
      <c r="L3600" s="20" t="s">
        <v>707</v>
      </c>
      <c r="M3600" s="20"/>
      <c r="N3600" s="24" t="str">
        <f>IF(F3597&gt;0,ENTRY!$D$20&amp;"-"&amp;ENTRY!$D$21,"")</f>
        <v>III-A</v>
      </c>
      <c r="O3600" s="24"/>
      <c r="P3600" s="24"/>
      <c r="Q3600" s="19"/>
      <c r="R3600" s="11"/>
    </row>
    <row r="3601" s="1" customFormat="1" ht="21.95" customHeight="1" spans="1:18">
      <c r="A3601" s="7"/>
      <c r="B3601" s="12"/>
      <c r="C3601" s="17" t="s">
        <v>708</v>
      </c>
      <c r="D3601" s="17"/>
      <c r="E3601" s="17"/>
      <c r="F3601" s="25">
        <f>IFERROR(VLOOKUP(F3597,STUDENT!$A$2:$BP$101,6,0),"")</f>
        <v>0</v>
      </c>
      <c r="G3601" s="25"/>
      <c r="H3601" s="26" t="s">
        <v>709</v>
      </c>
      <c r="I3601" s="27" t="str">
        <f>IFERROR(VLOOKUP(F3597,STUDENT!$A$2:$BP$101,59,0),"")</f>
        <v/>
      </c>
      <c r="J3601" s="27"/>
      <c r="K3601" s="20" t="s">
        <v>710</v>
      </c>
      <c r="L3601" s="20"/>
      <c r="M3601" s="28">
        <f>IFERROR(VLOOKUP(F3597,STUDENT!$A$2:$BP$101,20,0),"")</f>
        <v>0</v>
      </c>
      <c r="N3601" s="28"/>
      <c r="O3601" s="28"/>
      <c r="P3601" s="28"/>
      <c r="Q3601" s="19"/>
      <c r="R3601" s="11"/>
    </row>
    <row r="3602" s="1" customFormat="1" ht="21.95" customHeight="1" spans="1:18">
      <c r="A3602" s="7"/>
      <c r="B3602" s="12"/>
      <c r="C3602" s="17" t="s">
        <v>711</v>
      </c>
      <c r="D3602" s="17"/>
      <c r="E3602" s="17"/>
      <c r="F3602" s="23">
        <f>IFERROR(VLOOKUP(F3597,STUDENT!$A$2:$BP$101,9,0),"")</f>
        <v>0</v>
      </c>
      <c r="G3602" s="23"/>
      <c r="H3602" s="23"/>
      <c r="I3602" s="23"/>
      <c r="J3602" s="17" t="s">
        <v>620</v>
      </c>
      <c r="K3602" s="17"/>
      <c r="L3602" s="23">
        <f>IFERROR(VLOOKUP(F3597,STUDENT!$A$2:$BP$101,8,0),"")</f>
        <v>0</v>
      </c>
      <c r="M3602" s="23"/>
      <c r="N3602" s="23"/>
      <c r="O3602" s="23"/>
      <c r="P3602" s="23"/>
      <c r="Q3602" s="19"/>
      <c r="R3602" s="11"/>
    </row>
    <row r="3603" s="1" customFormat="1" ht="21.95" customHeight="1" spans="1:18">
      <c r="A3603" s="7"/>
      <c r="B3603" s="12"/>
      <c r="C3603" s="17" t="s">
        <v>712</v>
      </c>
      <c r="D3603" s="17"/>
      <c r="E3603" s="17"/>
      <c r="F3603" s="23">
        <f>IFERROR(VLOOKUP(F3597,STUDENT!$A$2:$BP$101,22,0),"")</f>
        <v>0</v>
      </c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19"/>
      <c r="R3603" s="11"/>
    </row>
    <row r="3604" s="1" customFormat="1" ht="9.95" customHeight="1" spans="1:18">
      <c r="A3604" s="7"/>
      <c r="B3604" s="12"/>
      <c r="C3604" s="29"/>
      <c r="D3604" s="29"/>
      <c r="E3604" s="29"/>
      <c r="F3604" s="29"/>
      <c r="G3604" s="29"/>
      <c r="H3604" s="29"/>
      <c r="I3604" s="29"/>
      <c r="J3604" s="29"/>
      <c r="K3604" s="29"/>
      <c r="L3604" s="29"/>
      <c r="M3604" s="29"/>
      <c r="N3604" s="29"/>
      <c r="O3604" s="29"/>
      <c r="P3604" s="29"/>
      <c r="Q3604" s="19"/>
      <c r="R3604" s="11"/>
    </row>
    <row r="3605" s="1" customFormat="1" ht="9.95" customHeight="1" spans="1:18">
      <c r="A3605" s="7"/>
      <c r="B3605" s="12"/>
      <c r="C3605" s="30"/>
      <c r="D3605" s="31"/>
      <c r="E3605" s="31"/>
      <c r="F3605" s="31"/>
      <c r="G3605" s="31"/>
      <c r="H3605" s="31"/>
      <c r="I3605" s="31"/>
      <c r="J3605" s="31"/>
      <c r="K3605" s="31"/>
      <c r="L3605" s="31"/>
      <c r="M3605" s="31"/>
      <c r="N3605" s="31"/>
      <c r="O3605" s="31"/>
      <c r="P3605" s="32"/>
      <c r="Q3605" s="19"/>
      <c r="R3605" s="11"/>
    </row>
    <row r="3606" s="1" customFormat="1" ht="21.95" customHeight="1" spans="1:18">
      <c r="A3606" s="7"/>
      <c r="B3606" s="12"/>
      <c r="C3606" s="33"/>
      <c r="D3606" s="34" t="s">
        <v>713</v>
      </c>
      <c r="E3606" s="20" t="s">
        <v>714</v>
      </c>
      <c r="F3606" s="35" t="str">
        <f>"Level - "&amp;IFERROR(VLOOKUP(F3597,FLN!$A$4:$K$103,9,0),"")</f>
        <v>Level - </v>
      </c>
      <c r="G3606" s="36"/>
      <c r="H3606" s="37" t="s">
        <v>715</v>
      </c>
      <c r="I3606" s="20"/>
      <c r="J3606" s="35" t="str">
        <f>"Level - "&amp;IFERROR(VLOOKUP(F3597,FLN!$A$4:$K$103,11,0),"")</f>
        <v>Level - </v>
      </c>
      <c r="K3606" s="36"/>
      <c r="L3606" s="37" t="s">
        <v>408</v>
      </c>
      <c r="M3606" s="20"/>
      <c r="N3606" s="35" t="str">
        <f>"Level - "&amp;IFERROR(VLOOKUP(F3597,FLN!$A$4:$K$103,10,0),"")</f>
        <v>Level - </v>
      </c>
      <c r="O3606" s="36"/>
      <c r="P3606" s="19"/>
      <c r="Q3606" s="19"/>
      <c r="R3606" s="11"/>
    </row>
    <row r="3607" s="1" customFormat="1" ht="21.95" customHeight="1" spans="1:18">
      <c r="A3607" s="7"/>
      <c r="B3607" s="12"/>
      <c r="C3607" s="33"/>
      <c r="D3607" s="38"/>
      <c r="E3607" s="20" t="s">
        <v>716</v>
      </c>
      <c r="F3607" s="18" t="str">
        <f ca="1">IF(L3621&gt;197,"PERFORMED WELL","")</f>
        <v/>
      </c>
      <c r="G3607" s="18"/>
      <c r="H3607" s="18"/>
      <c r="I3607" s="18"/>
      <c r="J3607" s="18"/>
      <c r="K3607" s="18"/>
      <c r="L3607" s="18"/>
      <c r="M3607" s="18"/>
      <c r="N3607" s="18"/>
      <c r="O3607" s="18"/>
      <c r="P3607" s="19"/>
      <c r="Q3607" s="19"/>
      <c r="R3607" s="11"/>
    </row>
    <row r="3608" s="1" customFormat="1" ht="9.95" customHeight="1" spans="1:18">
      <c r="A3608" s="7"/>
      <c r="B3608" s="12"/>
      <c r="C3608" s="39"/>
      <c r="D3608" s="40"/>
      <c r="E3608" s="40"/>
      <c r="F3608" s="40"/>
      <c r="G3608" s="40"/>
      <c r="H3608" s="40"/>
      <c r="I3608" s="40"/>
      <c r="J3608" s="40"/>
      <c r="K3608" s="40"/>
      <c r="L3608" s="40"/>
      <c r="M3608" s="40"/>
      <c r="N3608" s="40"/>
      <c r="O3608" s="40"/>
      <c r="P3608" s="41"/>
      <c r="Q3608" s="19"/>
      <c r="R3608" s="11"/>
    </row>
    <row r="3609" s="1" customFormat="1" ht="9.95" customHeight="1" spans="1:18">
      <c r="A3609" s="7"/>
      <c r="B3609" s="12"/>
      <c r="C3609" s="29"/>
      <c r="D3609" s="29"/>
      <c r="E3609" s="29"/>
      <c r="F3609" s="29"/>
      <c r="G3609" s="29"/>
      <c r="H3609" s="29"/>
      <c r="I3609" s="29"/>
      <c r="J3609" s="29"/>
      <c r="K3609" s="29"/>
      <c r="L3609" s="29"/>
      <c r="M3609" s="29"/>
      <c r="N3609" s="29"/>
      <c r="O3609" s="29"/>
      <c r="P3609" s="29"/>
      <c r="Q3609" s="19"/>
      <c r="R3609" s="11"/>
    </row>
    <row r="3610" s="1" customFormat="1" ht="9.95" customHeight="1" spans="1:18">
      <c r="A3610" s="7"/>
      <c r="B3610" s="12"/>
      <c r="C3610" s="30"/>
      <c r="D3610" s="31"/>
      <c r="E3610" s="31"/>
      <c r="F3610" s="31"/>
      <c r="G3610" s="31"/>
      <c r="H3610" s="31"/>
      <c r="I3610" s="31"/>
      <c r="J3610" s="31"/>
      <c r="K3610" s="31"/>
      <c r="L3610" s="31"/>
      <c r="M3610" s="31"/>
      <c r="N3610" s="31"/>
      <c r="O3610" s="31"/>
      <c r="P3610" s="32"/>
      <c r="Q3610" s="19"/>
      <c r="R3610" s="11"/>
    </row>
    <row r="3611" s="1" customFormat="1" ht="21.95" customHeight="1" spans="1:18">
      <c r="A3611" s="7"/>
      <c r="B3611" s="12"/>
      <c r="C3611" s="33"/>
      <c r="D3611" s="35"/>
      <c r="E3611" s="24"/>
      <c r="F3611" s="42" t="s">
        <v>717</v>
      </c>
      <c r="G3611" s="42"/>
      <c r="H3611" s="42"/>
      <c r="I3611" s="42"/>
      <c r="J3611" s="42"/>
      <c r="K3611" s="42"/>
      <c r="L3611" s="43"/>
      <c r="M3611" s="44"/>
      <c r="N3611" s="29"/>
      <c r="O3611" s="29"/>
      <c r="P3611" s="19"/>
      <c r="Q3611" s="19"/>
      <c r="R3611" s="11"/>
    </row>
    <row r="3612" s="1" customFormat="1" ht="21.95" customHeight="1" spans="1:18">
      <c r="A3612" s="7"/>
      <c r="B3612" s="12"/>
      <c r="C3612" s="33"/>
      <c r="D3612" s="45"/>
      <c r="E3612" s="46"/>
      <c r="F3612" s="47" t="s">
        <v>541</v>
      </c>
      <c r="G3612" s="47" t="s">
        <v>542</v>
      </c>
      <c r="H3612" s="47" t="s">
        <v>543</v>
      </c>
      <c r="I3612" s="47" t="s">
        <v>544</v>
      </c>
      <c r="J3612" s="47" t="s">
        <v>561</v>
      </c>
      <c r="K3612" s="48" t="s">
        <v>750</v>
      </c>
      <c r="L3612" s="47" t="s">
        <v>382</v>
      </c>
      <c r="M3612" s="49" t="s">
        <v>546</v>
      </c>
      <c r="N3612" s="29"/>
      <c r="O3612" s="29"/>
      <c r="P3612" s="19"/>
      <c r="Q3612" s="19"/>
      <c r="R3612" s="11"/>
    </row>
    <row r="3613" s="1" customFormat="1" ht="21.95" customHeight="1" spans="1:18">
      <c r="A3613" s="7"/>
      <c r="B3613" s="12"/>
      <c r="C3613" s="33"/>
      <c r="D3613" s="45" t="s">
        <v>652</v>
      </c>
      <c r="E3613" s="46"/>
      <c r="F3613" s="50">
        <v>10</v>
      </c>
      <c r="G3613" s="50">
        <v>10</v>
      </c>
      <c r="H3613" s="50">
        <v>10</v>
      </c>
      <c r="I3613" s="50">
        <v>10</v>
      </c>
      <c r="J3613" s="50">
        <v>60</v>
      </c>
      <c r="K3613" s="51"/>
      <c r="L3613" s="50">
        <v>100</v>
      </c>
      <c r="M3613" s="49"/>
      <c r="N3613" s="29"/>
      <c r="O3613" s="29"/>
      <c r="P3613" s="19"/>
      <c r="Q3613" s="19"/>
      <c r="R3613" s="11"/>
    </row>
    <row r="3614" s="1" customFormat="1" ht="21.95" customHeight="1" spans="1:18">
      <c r="A3614" s="7"/>
      <c r="B3614" s="12"/>
      <c r="C3614" s="33"/>
      <c r="D3614" s="52" t="s">
        <v>751</v>
      </c>
      <c r="E3614" s="53"/>
      <c r="F3614" s="54" t="str">
        <f ca="1">IFERROR(VLOOKUP(F3597,'RR-3.1-5TH'!$A$12:'RR-3.1-5TH'!$BN$111,9,0),"")</f>
        <v/>
      </c>
      <c r="G3614" s="54" t="str">
        <f ca="1">IFERROR(VLOOKUP(F3597,'RR-3.1-5TH'!$A$12:'RR-3.1-5TH'!$BN$111,10,0),"")</f>
        <v/>
      </c>
      <c r="H3614" s="54" t="str">
        <f ca="1">IFERROR(VLOOKUP(F3597,'RR-3.1-5TH'!$A$12:'RR-3.1-5TH'!$BN$111,11,0),"")</f>
        <v/>
      </c>
      <c r="I3614" s="54" t="str">
        <f ca="1">IFERROR(VLOOKUP(F3597,'RR-3.1-5TH'!$A$12:'RR-3.1-5TH'!$BN$111,12,0),"")</f>
        <v/>
      </c>
      <c r="J3614" s="54" t="str">
        <f ca="1">IFERROR(VLOOKUP(F3597,'RR-3.1-5TH'!$A$12:'RR-3.1-5TH'!$BN$111,13,0),"")</f>
        <v/>
      </c>
      <c r="K3614" s="54" t="str">
        <f ca="1">IFERROR(VLOOKUP(F3597,'RR-3.1-5TH'!$A$12:'RR-3.1-5TH'!$BN$111,14,0),"")</f>
        <v/>
      </c>
      <c r="L3614" s="55">
        <f ca="1" t="shared" ref="L3614:L3619" si="189">SUM(F3614,G3614,H3614,I3614,J3614,K3614)</f>
        <v>0</v>
      </c>
      <c r="M3614" s="56" t="str">
        <f ca="1">IF(F3597&gt;ENTRY!$D$24,"",IF(L3614=0,"Ab",IF(L3614&gt;80,"A",IF(L3614&gt;60,"B",IF(L3614&gt;44,"C",IF(L3614&gt;=33,"D",IF(L3614&lt;=32,"E","")))))))</f>
        <v/>
      </c>
      <c r="N3614" s="57" t="s">
        <v>729</v>
      </c>
      <c r="O3614" s="58"/>
      <c r="P3614" s="59"/>
      <c r="Q3614" s="19"/>
      <c r="R3614" s="11"/>
    </row>
    <row r="3615" s="1" customFormat="1" ht="21.95" customHeight="1" spans="1:18">
      <c r="A3615" s="7"/>
      <c r="B3615" s="12"/>
      <c r="C3615" s="33"/>
      <c r="D3615" s="52" t="s">
        <v>513</v>
      </c>
      <c r="E3615" s="53"/>
      <c r="F3615" s="54" t="str">
        <f ca="1">IFERROR(VLOOKUP(F3597,'RR-3.1-5TH'!$A$12:'RR-3.1-5TH'!$BN$111,17,0),"")</f>
        <v/>
      </c>
      <c r="G3615" s="54" t="str">
        <f ca="1">IFERROR(VLOOKUP(F3597,'RR-3.1-5TH'!$A$12:'RR-3.1-5TH'!$BN$111,18,0),"")</f>
        <v/>
      </c>
      <c r="H3615" s="54" t="str">
        <f ca="1">IFERROR(VLOOKUP(F3597,'RR-3.1-5TH'!$A$12:'RR-3.1-5TH'!$BN$111,19,0),"")</f>
        <v/>
      </c>
      <c r="I3615" s="54" t="str">
        <f ca="1">IFERROR(VLOOKUP(F3597,'RR-3.1-5TH'!$A$12:'RR-3.1-5TH'!$BN$111,20,0),"")</f>
        <v/>
      </c>
      <c r="J3615" s="54" t="str">
        <f ca="1">IFERROR(VLOOKUP(F3597,'RR-3.1-5TH'!$A$12:'RR-3.1-5TH'!$BN$111,21,0),"")</f>
        <v/>
      </c>
      <c r="K3615" s="54" t="str">
        <f ca="1">IFERROR(VLOOKUP(F3597,'RR-3.1-5TH'!$A$12:'RR-3.1-5TH'!$BN$111,22,0),"")</f>
        <v/>
      </c>
      <c r="L3615" s="55">
        <f ca="1" t="shared" si="189"/>
        <v>0</v>
      </c>
      <c r="M3615" s="56" t="str">
        <f ca="1">IF(F3597&gt;ENTRY!$D$24,"",IF(L3615=0,"Ab",IF(L3615&gt;80,"A",IF(L3615&gt;60,"B",IF(L3615&gt;44,"C",IF(L3615&gt;=33,"D",IF(L3615&lt;=32,"E","")))))))</f>
        <v/>
      </c>
      <c r="N3615" s="58"/>
      <c r="O3615" s="58"/>
      <c r="P3615" s="59"/>
      <c r="Q3615" s="19"/>
      <c r="R3615" s="11"/>
    </row>
    <row r="3616" s="1" customFormat="1" ht="21.95" customHeight="1" spans="1:18">
      <c r="A3616" s="7"/>
      <c r="B3616" s="12"/>
      <c r="C3616" s="33"/>
      <c r="D3616" s="52" t="s">
        <v>718</v>
      </c>
      <c r="E3616" s="53"/>
      <c r="F3616" s="54" t="str">
        <f ca="1">IFERROR(VLOOKUP(F3597,'RR-3.1-5TH'!$A$12:'RR-3.1-5TH'!$BN$111,25,0),"")</f>
        <v/>
      </c>
      <c r="G3616" s="54" t="str">
        <f ca="1">IFERROR(VLOOKUP(F3597,'RR-3.1-5TH'!$A$12:'RR-3.1-5TH'!$BN$111,26,0),"")</f>
        <v/>
      </c>
      <c r="H3616" s="54" t="str">
        <f ca="1">IFERROR(VLOOKUP(F3597,'RR-3.1-5TH'!$A$12:'RR-3.1-5TH'!$BN$111,27,0),"")</f>
        <v/>
      </c>
      <c r="I3616" s="54" t="str">
        <f ca="1">IFERROR(VLOOKUP(F3597,'RR-3.1-5TH'!$A$12:'RR-3.1-5TH'!$BN$111,28,0),"")</f>
        <v/>
      </c>
      <c r="J3616" s="54" t="str">
        <f ca="1">IFERROR(VLOOKUP(F3597,'RR-3.1-5TH'!$A$12:'RR-3.1-5TH'!$BN$111,29,0),"")</f>
        <v/>
      </c>
      <c r="K3616" s="54" t="str">
        <f ca="1">IFERROR(VLOOKUP(F3597,'RR-3.1-5TH'!$A$12:'RR-3.1-5TH'!$BN$111,30,0),"")</f>
        <v/>
      </c>
      <c r="L3616" s="55">
        <f ca="1" t="shared" si="189"/>
        <v>0</v>
      </c>
      <c r="M3616" s="56" t="str">
        <f ca="1">IF(F3597&gt;ENTRY!$D$24,"",IF(L3616=0,"Ab",IF(L3616&gt;80,"A",IF(L3616&gt;60,"B",IF(L3616&gt;44,"C",IF(L3616&gt;=33,"D",IF(L3616&lt;=32,"E","")))))))</f>
        <v/>
      </c>
      <c r="N3616" s="29"/>
      <c r="O3616" s="29"/>
      <c r="P3616" s="19"/>
      <c r="Q3616" s="19"/>
      <c r="R3616" s="11"/>
    </row>
    <row r="3617" s="1" customFormat="1" ht="21.95" customHeight="1" spans="1:19">
      <c r="A3617" s="7"/>
      <c r="B3617" s="12"/>
      <c r="C3617" s="33"/>
      <c r="D3617" s="52" t="s">
        <v>719</v>
      </c>
      <c r="E3617" s="53"/>
      <c r="F3617" s="54" t="str">
        <f ca="1">IFERROR(VLOOKUP(F3597,'RR-3.1-5TH'!$A$12:'RR-3.1-5TH'!$BN$111,33,0),"")</f>
        <v/>
      </c>
      <c r="G3617" s="54" t="str">
        <f ca="1">IFERROR(VLOOKUP(F3597,'RR-3.1-5TH'!$A$12:'RR-3.1-5TH'!$BN$111,34,0),"")</f>
        <v/>
      </c>
      <c r="H3617" s="54" t="str">
        <f ca="1">IFERROR(VLOOKUP(F3597,'RR-3.1-5TH'!$A$12:'RR-3.1-5TH'!$BN$111,35,0),"")</f>
        <v/>
      </c>
      <c r="I3617" s="54" t="str">
        <f ca="1">IFERROR(VLOOKUP(F3597,'RR-3.1-5TH'!$A$12:'RR-3.1-5TH'!$BN$111,36,0),"")</f>
        <v/>
      </c>
      <c r="J3617" s="54" t="str">
        <f ca="1">IFERROR(VLOOKUP(F3597,'RR-3.1-5TH'!$A$12:'RR-3.1-5TH'!$BN$111,37,0),"")</f>
        <v/>
      </c>
      <c r="K3617" s="54" t="str">
        <f ca="1">IFERROR(VLOOKUP(F3597,'RR-3.1-5TH'!$A$12:'RR-3.1-5TH'!$BN$111,38,0),"")</f>
        <v/>
      </c>
      <c r="L3617" s="55">
        <f ca="1" t="shared" si="189"/>
        <v>0</v>
      </c>
      <c r="M3617" s="56" t="str">
        <f ca="1">IF(F3597&gt;ENTRY!$D$24,"",IF(L3617=0,"Ab",IF(L3617&gt;80,"A",IF(L3617&gt;60,"B",IF(L3617&gt;44,"C",IF(L3617&gt;=33,"D",IF(L3617&lt;=32,"E","")))))))</f>
        <v/>
      </c>
      <c r="N3617" s="29"/>
      <c r="O3617" s="29"/>
      <c r="P3617" s="19"/>
      <c r="Q3617" s="19"/>
      <c r="R3617" s="11"/>
    </row>
    <row r="3618" s="1" customFormat="1" ht="21.95" customHeight="1" spans="1:19">
      <c r="A3618" s="7"/>
      <c r="B3618" s="12"/>
      <c r="C3618" s="33"/>
      <c r="D3618" s="52" t="s">
        <v>548</v>
      </c>
      <c r="E3618" s="53"/>
      <c r="F3618" s="54" t="str">
        <f ca="1">IFERROR(VLOOKUP(F3597,'RR-3.1-5TH'!$A$12:'RR-3.1-5TH'!$BN$111,41,0),"")</f>
        <v/>
      </c>
      <c r="G3618" s="54" t="str">
        <f ca="1">IFERROR(VLOOKUP(F3597,'RR-3.1-5TH'!$A$12:'RR-3.1-5TH'!$BN$111,42,0),"")</f>
        <v/>
      </c>
      <c r="H3618" s="54" t="str">
        <f ca="1">IFERROR(VLOOKUP(F3597,'RR-3.1-5TH'!$A$12:'RR-3.1-5TH'!$BN$111,43,0),"")</f>
        <v/>
      </c>
      <c r="I3618" s="54" t="str">
        <f ca="1">IFERROR(VLOOKUP(F3597,'RR-3.1-5TH'!$A$12:'RR-3.1-5TH'!$BN$111,44,0),"")</f>
        <v/>
      </c>
      <c r="J3618" s="54" t="str">
        <f ca="1">IFERROR(VLOOKUP(F3597,'RR-3.1-5TH'!$A$12:'RR-3.1-5TH'!$BN$111,45,0),"")</f>
        <v/>
      </c>
      <c r="K3618" s="54" t="str">
        <f ca="1">IFERROR(VLOOKUP(F3597,'RR-3.1-5TH'!$A$12:'RR-3.1-5TH'!$BN$111,46,0),"")</f>
        <v/>
      </c>
      <c r="L3618" s="55">
        <f ca="1" t="shared" si="189"/>
        <v>0</v>
      </c>
      <c r="M3618" s="56" t="str">
        <f ca="1">IF(F3597&gt;ENTRY!$D$24,"",IF(L3618=0,"Ab",IF(L3618&gt;80,"A",IF(L3618&gt;60,"B",IF(L3618&gt;44,"C",IF(L3618&gt;=33,"D",IF(L3618&lt;=32,"E","")))))))</f>
        <v/>
      </c>
      <c r="N3618" s="29"/>
      <c r="O3618" s="29"/>
      <c r="P3618" s="19"/>
      <c r="Q3618" s="19"/>
      <c r="R3618" s="11"/>
    </row>
    <row r="3619" s="1" customFormat="1" ht="21.95" customHeight="1" spans="1:19">
      <c r="A3619" s="7"/>
      <c r="B3619" s="12"/>
      <c r="C3619" s="33"/>
      <c r="D3619" s="52" t="s">
        <v>549</v>
      </c>
      <c r="E3619" s="53"/>
      <c r="F3619" s="54" t="str">
        <f ca="1">IFERROR(VLOOKUP(F3597,'RR-3.1-5TH'!$A$12:'RR-3.1-5TH'!$BN$111,49,0),"")</f>
        <v/>
      </c>
      <c r="G3619" s="54" t="str">
        <f ca="1">IFERROR(VLOOKUP(F3597,'RR-3.1-5TH'!$A$12:'RR-3.1-5TH'!$BN$111,50,0),"")</f>
        <v/>
      </c>
      <c r="H3619" s="54" t="str">
        <f ca="1">IFERROR(VLOOKUP(F3597,'RR-3.1-5TH'!$A$12:'RR-3.1-5TH'!$BN$111,51,0),"")</f>
        <v/>
      </c>
      <c r="I3619" s="54" t="str">
        <f ca="1">IFERROR(VLOOKUP(F3597,'RR-3.1-5TH'!$A$12:'RR-3.1-5TH'!$BN$111,52,0),"")</f>
        <v/>
      </c>
      <c r="J3619" s="54" t="str">
        <f ca="1">IFERROR(VLOOKUP(F3597,'RR-3.1-5TH'!$A$12:'RR-3.1-5TH'!$BN$111,53,0),"")</f>
        <v/>
      </c>
      <c r="K3619" s="54" t="str">
        <f ca="1">IFERROR(VLOOKUP(F3597,'RR-3.1-5TH'!$A$12:'RR-3.1-5TH'!$BN$111,54,0),"")</f>
        <v/>
      </c>
      <c r="L3619" s="55">
        <f ca="1" t="shared" si="189"/>
        <v>0</v>
      </c>
      <c r="M3619" s="56" t="str">
        <f ca="1">IF(F3597&gt;ENTRY!$D$24,"",IF(L3619=0,"Ab",IF(L3619&gt;80,"A",IF(L3619&gt;60,"B",IF(L3619&gt;44,"C",IF(L3619&gt;=33,"D",IF(L3619&lt;=32,"E","")))))))</f>
        <v/>
      </c>
      <c r="N3619" s="57" t="s">
        <v>752</v>
      </c>
      <c r="O3619" s="58"/>
      <c r="P3619" s="59"/>
      <c r="Q3619" s="19"/>
      <c r="R3619" s="11"/>
    </row>
    <row r="3620" s="1" customFormat="1" ht="21.95" customHeight="1" spans="1:19">
      <c r="A3620" s="7"/>
      <c r="B3620" s="12"/>
      <c r="C3620" s="33"/>
      <c r="D3620" s="52" t="s">
        <v>753</v>
      </c>
      <c r="E3620" s="53"/>
      <c r="F3620" s="60"/>
      <c r="G3620" s="54"/>
      <c r="H3620" s="54"/>
      <c r="I3620" s="54"/>
      <c r="J3620" s="54"/>
      <c r="K3620" s="54"/>
      <c r="L3620" s="55">
        <f t="shared" ref="L3620" si="190">SUM(G3620:K3620)</f>
        <v>0</v>
      </c>
      <c r="M3620" s="56" t="str">
        <f>IF(F3597&gt;ENTRY!$D$24,"",IF(L3620=0,"",IF(L3620&gt;79,"A",IF(L3620&gt;59,"B",IF(L3620&gt;44,"C",IF(L3620&gt;=33,"D",IF(L3620&lt;=32,"E","")))))))</f>
        <v/>
      </c>
      <c r="N3620" s="58"/>
      <c r="O3620" s="58"/>
      <c r="P3620" s="59"/>
      <c r="Q3620" s="19"/>
      <c r="R3620" s="11"/>
    </row>
    <row r="3621" s="1" customFormat="1" ht="21.95" customHeight="1" spans="1:19">
      <c r="A3621" s="7"/>
      <c r="B3621" s="12"/>
      <c r="C3621" s="33"/>
      <c r="D3621" s="45" t="s">
        <v>382</v>
      </c>
      <c r="E3621" s="46"/>
      <c r="F3621" s="54">
        <f ca="1" t="shared" ref="F3621:L3621" si="191">IFERROR(SUM(F3614:F3620),"")</f>
        <v>0</v>
      </c>
      <c r="G3621" s="54">
        <f ca="1" t="shared" si="191"/>
        <v>0</v>
      </c>
      <c r="H3621" s="54">
        <f ca="1" t="shared" si="191"/>
        <v>0</v>
      </c>
      <c r="I3621" s="54">
        <f ca="1" t="shared" si="191"/>
        <v>0</v>
      </c>
      <c r="J3621" s="54">
        <f ca="1" t="shared" si="191"/>
        <v>0</v>
      </c>
      <c r="K3621" s="54">
        <f ca="1" t="shared" si="191"/>
        <v>0</v>
      </c>
      <c r="L3621" s="55">
        <f ca="1" t="shared" si="191"/>
        <v>0</v>
      </c>
      <c r="M3621" s="61" t="str">
        <f ca="1">IF(F3597&gt;ENTRY!$D$24,"",IF(N3622="Ab","Ab",IF(N3622&gt;79.5,"A",IF(N3622&gt;59.5,"B",IF(N3622&gt;44.5,"C",IF(N3622&gt;=33,"D",IF(N3622&lt;33,"E","")))))))</f>
        <v/>
      </c>
      <c r="N3621" s="62"/>
      <c r="O3621" s="58"/>
      <c r="P3621" s="59"/>
      <c r="Q3621" s="19"/>
      <c r="R3621" s="11"/>
    </row>
    <row r="3622" s="1" customFormat="1" ht="21.95" customHeight="1" spans="1:19">
      <c r="A3622" s="7"/>
      <c r="B3622" s="12"/>
      <c r="C3622" s="33"/>
      <c r="D3622" s="63" t="s">
        <v>721</v>
      </c>
      <c r="E3622" s="63"/>
      <c r="F3622" s="63"/>
      <c r="G3622" s="63"/>
      <c r="H3622" s="63"/>
      <c r="I3622" s="63"/>
      <c r="J3622" s="63"/>
      <c r="K3622" s="63"/>
      <c r="L3622" s="63"/>
      <c r="M3622" s="63"/>
      <c r="N3622" s="64">
        <f ca="1">IF(L3621="Ab","Ab",L3621/6)</f>
        <v>0</v>
      </c>
      <c r="O3622" s="65"/>
      <c r="P3622" s="19"/>
      <c r="Q3622" s="19"/>
      <c r="R3622" s="11"/>
    </row>
    <row r="3623" s="1" customFormat="1" ht="21.95" customHeight="1" spans="1:19">
      <c r="A3623" s="7"/>
      <c r="B3623" s="12"/>
      <c r="C3623" s="33"/>
      <c r="D3623" s="29" t="s">
        <v>716</v>
      </c>
      <c r="E3623" s="18" t="str">
        <f>IFERROR(VLOOKUP(F3597,'1to4-2.1-RR'!$A$12:$BG$111,57,0),"")</f>
        <v/>
      </c>
      <c r="F3623" s="18"/>
      <c r="G3623" s="18"/>
      <c r="H3623" s="18"/>
      <c r="I3623" s="18"/>
      <c r="J3623" s="18"/>
      <c r="K3623" s="18"/>
      <c r="L3623" s="18"/>
      <c r="M3623" s="18"/>
      <c r="N3623" s="29"/>
      <c r="O3623" s="29"/>
      <c r="P3623" s="19"/>
      <c r="Q3623" s="19"/>
      <c r="R3623" s="11"/>
    </row>
    <row r="3624" s="1" customFormat="1" ht="9.95" customHeight="1" spans="1:19">
      <c r="A3624" s="7"/>
      <c r="B3624" s="12"/>
      <c r="C3624" s="33"/>
      <c r="D3624" s="29"/>
      <c r="E3624" s="29"/>
      <c r="F3624" s="29"/>
      <c r="G3624" s="29"/>
      <c r="H3624" s="29"/>
      <c r="I3624" s="29"/>
      <c r="J3624" s="29"/>
      <c r="K3624" s="29"/>
      <c r="L3624" s="29"/>
      <c r="M3624" s="29"/>
      <c r="N3624" s="29"/>
      <c r="O3624" s="29"/>
      <c r="P3624" s="19"/>
      <c r="Q3624" s="19"/>
      <c r="R3624" s="11"/>
    </row>
    <row r="3625" s="1" customFormat="1" ht="36" spans="1:19">
      <c r="A3625" s="7"/>
      <c r="B3625" s="12"/>
      <c r="C3625" s="33"/>
      <c r="D3625" s="66" t="s">
        <v>576</v>
      </c>
      <c r="E3625" s="67" t="s">
        <v>754</v>
      </c>
      <c r="F3625" s="47" t="str">
        <f>IF(F3597&gt;ENTRY!$D$24,"",IFERROR(VLOOKUP(F3597,PASHEET!$A$4:$CJ$103,88,0),""))</f>
        <v/>
      </c>
      <c r="G3625" s="67" t="s">
        <v>755</v>
      </c>
      <c r="H3625" s="47" t="str">
        <f>IF(F3597&gt;ENTRY!$D$24,"",IFERROR(VLOOKUP(F3597,PASHEET!$A$4:$CJ$103,87,0),""))</f>
        <v/>
      </c>
      <c r="I3625" s="68" t="s">
        <v>756</v>
      </c>
      <c r="J3625" s="69" t="str">
        <f>IF(F3597&gt;ENTRY!$D$24,"",IFERROR(IF(F3597&gt;0,H3625/F3625*100),""))</f>
        <v/>
      </c>
      <c r="K3625" s="60" t="s">
        <v>757</v>
      </c>
      <c r="L3625" s="70" t="str">
        <f ca="1">IF(F3597&gt;ENTRY!$D$24,"",IFERROR(L3621/600*100,""))</f>
        <v/>
      </c>
      <c r="M3625" s="47" t="str">
        <f ca="1">IF(F3597&gt;ENTRY!$D$24,"",IFERROR(L3621&amp;" / "&amp;"600",""))</f>
        <v/>
      </c>
      <c r="N3625" s="29"/>
      <c r="O3625" s="29"/>
      <c r="P3625" s="19"/>
      <c r="Q3625" s="19"/>
      <c r="R3625" s="11"/>
    </row>
    <row r="3626" s="1" customFormat="1" ht="9.95" customHeight="1" spans="1:19">
      <c r="A3626" s="7"/>
      <c r="B3626" s="12"/>
      <c r="C3626" s="39"/>
      <c r="D3626" s="40"/>
      <c r="E3626" s="40"/>
      <c r="F3626" s="40"/>
      <c r="G3626" s="40"/>
      <c r="H3626" s="40"/>
      <c r="I3626" s="40"/>
      <c r="J3626" s="40"/>
      <c r="K3626" s="40"/>
      <c r="L3626" s="40"/>
      <c r="M3626" s="40"/>
      <c r="N3626" s="40"/>
      <c r="O3626" s="40"/>
      <c r="P3626" s="41"/>
      <c r="Q3626" s="19"/>
      <c r="R3626" s="11"/>
    </row>
    <row r="3627" s="1" customFormat="1" ht="9.95" customHeight="1" spans="1:19">
      <c r="A3627" s="7"/>
      <c r="B3627" s="12"/>
      <c r="C3627" s="71"/>
      <c r="D3627" s="71"/>
      <c r="E3627" s="71"/>
      <c r="F3627" s="29"/>
      <c r="G3627" s="71"/>
      <c r="H3627" s="71"/>
      <c r="I3627" s="71"/>
      <c r="J3627" s="71"/>
      <c r="K3627" s="71"/>
      <c r="L3627" s="71"/>
      <c r="M3627" s="71"/>
      <c r="N3627" s="71"/>
      <c r="O3627" s="71"/>
      <c r="P3627" s="71"/>
      <c r="Q3627" s="19"/>
      <c r="R3627" s="11"/>
    </row>
    <row r="3628" s="1" customFormat="1" ht="9.95" customHeight="1" spans="1:19">
      <c r="A3628" s="7"/>
      <c r="B3628" s="12"/>
      <c r="C3628" s="29"/>
      <c r="D3628" s="29"/>
      <c r="E3628" s="29"/>
      <c r="F3628" s="72"/>
      <c r="G3628" s="29"/>
      <c r="H3628" s="29"/>
      <c r="I3628" s="29"/>
      <c r="J3628" s="29"/>
      <c r="K3628" s="29"/>
      <c r="L3628" s="29"/>
      <c r="M3628" s="29"/>
      <c r="N3628" s="29"/>
      <c r="O3628" s="29"/>
      <c r="P3628" s="29"/>
      <c r="Q3628" s="19"/>
      <c r="R3628" s="11"/>
    </row>
    <row r="3629" s="1" customFormat="1" ht="9.95" customHeight="1" spans="1:19">
      <c r="A3629" s="7"/>
      <c r="B3629" s="12"/>
      <c r="C3629" s="30"/>
      <c r="D3629" s="31"/>
      <c r="E3629" s="31"/>
      <c r="F3629" s="31"/>
      <c r="G3629" s="31"/>
      <c r="H3629" s="31"/>
      <c r="I3629" s="31"/>
      <c r="J3629" s="31"/>
      <c r="K3629" s="31"/>
      <c r="L3629" s="31"/>
      <c r="M3629" s="31"/>
      <c r="N3629" s="31"/>
      <c r="O3629" s="31"/>
      <c r="P3629" s="32"/>
      <c r="Q3629" s="19"/>
      <c r="R3629" s="11"/>
    </row>
    <row r="3630" s="1" customFormat="1" ht="21.95" customHeight="1" spans="1:19">
      <c r="A3630" s="7"/>
      <c r="B3630" s="12"/>
      <c r="C3630" s="73" t="s">
        <v>7</v>
      </c>
      <c r="D3630" s="13"/>
      <c r="E3630" s="13"/>
      <c r="F3630" s="13"/>
      <c r="G3630" s="13"/>
      <c r="H3630" s="13"/>
      <c r="I3630" s="13"/>
      <c r="J3630" s="13"/>
      <c r="K3630" s="13"/>
      <c r="L3630" s="13"/>
      <c r="M3630" s="13"/>
      <c r="N3630" s="13"/>
      <c r="O3630" s="13"/>
      <c r="P3630" s="74"/>
      <c r="Q3630" s="19"/>
      <c r="R3630" s="11"/>
      <c r="S3630" s="2"/>
    </row>
    <row r="3631" s="1" customFormat="1" ht="21.95" customHeight="1" spans="1:19">
      <c r="A3631" s="7"/>
      <c r="B3631" s="12"/>
      <c r="C3631" s="33"/>
      <c r="D3631" s="29"/>
      <c r="E3631" s="29"/>
      <c r="F3631" s="29"/>
      <c r="G3631" s="29"/>
      <c r="H3631" s="29"/>
      <c r="I3631" s="29"/>
      <c r="J3631" s="29"/>
      <c r="K3631" s="29"/>
      <c r="L3631" s="29"/>
      <c r="M3631" s="29"/>
      <c r="N3631" s="29"/>
      <c r="O3631" s="29"/>
      <c r="P3631" s="19"/>
      <c r="Q3631" s="19"/>
      <c r="R3631" s="11"/>
    </row>
    <row r="3632" s="1" customFormat="1" ht="21.95" customHeight="1" spans="1:19">
      <c r="A3632" s="7"/>
      <c r="B3632" s="12"/>
      <c r="C3632" s="75" t="str">
        <f>"SESSION-"&amp;ENTRY!$D$11</f>
        <v>SESSION-2026-27</v>
      </c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76"/>
      <c r="Q3632" s="19"/>
      <c r="R3632" s="11"/>
    </row>
    <row r="3633" s="1" customFormat="1" ht="18" customHeight="1" spans="1:18">
      <c r="A3633" s="7"/>
      <c r="B3633" s="12"/>
      <c r="C3633" s="33"/>
      <c r="D3633" s="29"/>
      <c r="E3633" s="29"/>
      <c r="F3633" s="29"/>
      <c r="G3633" s="29"/>
      <c r="H3633" s="29"/>
      <c r="I3633" s="29"/>
      <c r="J3633" s="29"/>
      <c r="K3633" s="29"/>
      <c r="L3633" s="29"/>
      <c r="M3633" s="29"/>
      <c r="N3633" s="29"/>
      <c r="O3633" s="29"/>
      <c r="P3633" s="19"/>
      <c r="Q3633" s="19"/>
      <c r="R3633" s="11"/>
    </row>
    <row r="3634" s="1" customFormat="1" ht="21.95" customHeight="1" spans="1:18">
      <c r="A3634" s="7"/>
      <c r="B3634" s="12"/>
      <c r="C3634" s="33"/>
      <c r="D3634" s="77" t="s">
        <v>758</v>
      </c>
      <c r="E3634" s="77"/>
      <c r="F3634" s="78" t="str">
        <f>IFERROR(PROPER(VLOOKUP(F3597,STUDENT!$A$2:$BP$101,5,0)),"")</f>
        <v/>
      </c>
      <c r="G3634" s="78"/>
      <c r="H3634" s="78"/>
      <c r="I3634" s="78"/>
      <c r="J3634" s="78"/>
      <c r="K3634" s="78"/>
      <c r="L3634" s="78"/>
      <c r="M3634" s="78"/>
      <c r="N3634" s="79" t="s">
        <v>759</v>
      </c>
      <c r="O3634" s="79"/>
      <c r="P3634" s="19"/>
      <c r="Q3634" s="19"/>
      <c r="R3634" s="11"/>
    </row>
    <row r="3635" s="1" customFormat="1" ht="21.95" customHeight="1" spans="1:18">
      <c r="A3635" s="7"/>
      <c r="B3635" s="12"/>
      <c r="C3635" s="33"/>
      <c r="D3635" s="80" t="s">
        <v>760</v>
      </c>
      <c r="E3635" s="81" t="str">
        <f>IFERROR(PROPER(VLOOKUP(F3597,STUDENT!$A$2:$BP$101,9,0)),"")</f>
        <v/>
      </c>
      <c r="F3635" s="81"/>
      <c r="G3635" s="81"/>
      <c r="H3635" s="80" t="s">
        <v>761</v>
      </c>
      <c r="I3635" s="82" t="str">
        <f>IFERROR(PROPER(VLOOKUP(F3597,STUDENT!$A$2:$BP$101,8,0)),"")</f>
        <v/>
      </c>
      <c r="J3635" s="82"/>
      <c r="K3635" s="82"/>
      <c r="L3635" s="82"/>
      <c r="M3635" s="80" t="s">
        <v>762</v>
      </c>
      <c r="N3635" s="83" t="str">
        <f>IFERROR(VLOOKUP(F3597,STUDENT!$A$2:$BP$101,59,0),"")</f>
        <v/>
      </c>
      <c r="O3635" s="83"/>
      <c r="P3635" s="19"/>
      <c r="Q3635" s="19"/>
      <c r="R3635" s="11"/>
    </row>
    <row r="3636" s="1" customFormat="1" ht="21.95" customHeight="1" spans="1:18">
      <c r="A3636" s="7"/>
      <c r="B3636" s="12"/>
      <c r="C3636" s="33"/>
      <c r="D3636" s="77" t="str">
        <f>"has    completed     his  /  her     primary     level     education    in    the    year    "&amp;RIGHT(ENTRY!$D3602,4)&amp;"    from    ( School    Name )"</f>
        <v>has    completed     his  /  her     primary     level     education    in    the    year        from    ( School    Name )</v>
      </c>
      <c r="E3636" s="77"/>
      <c r="F3636" s="77"/>
      <c r="G3636" s="77"/>
      <c r="H3636" s="77"/>
      <c r="I3636" s="77"/>
      <c r="J3636" s="77"/>
      <c r="K3636" s="77"/>
      <c r="L3636" s="77"/>
      <c r="M3636" s="77"/>
      <c r="N3636" s="77"/>
      <c r="O3636" s="77"/>
      <c r="P3636" s="19"/>
      <c r="Q3636" s="19"/>
      <c r="R3636" s="11"/>
    </row>
    <row r="3637" s="1" customFormat="1" ht="21.95" customHeight="1" spans="1:18">
      <c r="A3637" s="7"/>
      <c r="B3637" s="12"/>
      <c r="C3637" s="33"/>
      <c r="D3637" s="81" t="str">
        <f>IF(F3597&gt;0,ENTRY!$D$6,"")</f>
        <v>MCP NITHARI NO 1 BOYS</v>
      </c>
      <c r="E3637" s="81"/>
      <c r="F3637" s="81"/>
      <c r="G3637" s="81"/>
      <c r="H3637" s="81"/>
      <c r="I3637" s="81"/>
      <c r="J3637" s="81"/>
      <c r="K3637" s="81"/>
      <c r="L3637" s="81"/>
      <c r="M3637" s="80" t="s">
        <v>763</v>
      </c>
      <c r="N3637" s="84">
        <f>IF(F3597&gt;0,ENTRY!$D$7,"")</f>
        <v>0</v>
      </c>
      <c r="O3637" s="84"/>
      <c r="P3637" s="85" t="s">
        <v>727</v>
      </c>
      <c r="Q3637" s="19"/>
      <c r="R3637" s="11"/>
    </row>
    <row r="3638" s="1" customFormat="1" ht="21.95" customHeight="1" spans="1:18">
      <c r="A3638" s="7"/>
      <c r="B3638" s="12"/>
      <c r="C3638" s="33"/>
      <c r="D3638" s="29"/>
      <c r="E3638" s="29"/>
      <c r="F3638" s="29"/>
      <c r="G3638" s="29"/>
      <c r="H3638" s="29"/>
      <c r="I3638" s="29"/>
      <c r="J3638" s="29"/>
      <c r="K3638" s="29"/>
      <c r="L3638" s="29"/>
      <c r="M3638" s="29"/>
      <c r="N3638" s="29"/>
      <c r="O3638" s="29"/>
      <c r="P3638" s="19"/>
      <c r="Q3638" s="19"/>
      <c r="R3638" s="11"/>
    </row>
    <row r="3639" s="1" customFormat="1" ht="21.95" customHeight="1" spans="1:18">
      <c r="A3639" s="7"/>
      <c r="B3639" s="12"/>
      <c r="C3639" s="33"/>
      <c r="D3639" s="29"/>
      <c r="E3639" s="29"/>
      <c r="F3639" s="29"/>
      <c r="G3639" s="29"/>
      <c r="H3639" s="29"/>
      <c r="I3639" s="29"/>
      <c r="J3639" s="29"/>
      <c r="K3639" s="29"/>
      <c r="L3639" s="29"/>
      <c r="M3639" s="29"/>
      <c r="N3639" s="29"/>
      <c r="O3639" s="29"/>
      <c r="P3639" s="19"/>
      <c r="Q3639" s="19"/>
      <c r="R3639" s="11"/>
    </row>
    <row r="3640" s="1" customFormat="1" ht="21.95" customHeight="1" spans="1:18">
      <c r="A3640" s="7"/>
      <c r="B3640" s="12"/>
      <c r="C3640" s="33"/>
      <c r="D3640" s="29"/>
      <c r="E3640" s="29"/>
      <c r="F3640" s="29"/>
      <c r="G3640" s="29"/>
      <c r="H3640" s="29"/>
      <c r="I3640" s="29"/>
      <c r="J3640" s="29"/>
      <c r="K3640" s="29"/>
      <c r="L3640" s="29"/>
      <c r="M3640" s="29"/>
      <c r="N3640" s="29"/>
      <c r="O3640" s="29"/>
      <c r="P3640" s="19"/>
      <c r="Q3640" s="19"/>
      <c r="R3640" s="11"/>
    </row>
    <row r="3641" s="1" customFormat="1" ht="21.95" customHeight="1" spans="1:18">
      <c r="A3641" s="7"/>
      <c r="B3641" s="12"/>
      <c r="C3641" s="33"/>
      <c r="D3641" s="29"/>
      <c r="E3641" s="29"/>
      <c r="F3641" s="29"/>
      <c r="G3641" s="29"/>
      <c r="H3641" s="29"/>
      <c r="I3641" s="29"/>
      <c r="J3641" s="29"/>
      <c r="K3641" s="29"/>
      <c r="L3641" s="29"/>
      <c r="M3641" s="29"/>
      <c r="N3641" s="29"/>
      <c r="O3641" s="29"/>
      <c r="P3641" s="19"/>
      <c r="Q3641" s="19"/>
      <c r="R3641" s="11"/>
    </row>
    <row r="3642" s="1" customFormat="1" ht="21.95" customHeight="1" spans="1:18">
      <c r="A3642" s="7"/>
      <c r="B3642" s="12"/>
      <c r="C3642" s="33"/>
      <c r="D3642" s="29"/>
      <c r="E3642" s="29"/>
      <c r="F3642" s="29"/>
      <c r="G3642" s="29"/>
      <c r="H3642" s="29"/>
      <c r="I3642" s="29"/>
      <c r="J3642" s="29"/>
      <c r="K3642" s="29"/>
      <c r="L3642" s="29"/>
      <c r="M3642" s="29"/>
      <c r="N3642" s="29"/>
      <c r="O3642" s="29"/>
      <c r="P3642" s="19"/>
      <c r="Q3642" s="19"/>
      <c r="R3642" s="11"/>
    </row>
    <row r="3643" s="1" customFormat="1" ht="21.95" customHeight="1" spans="1:18">
      <c r="A3643" s="7"/>
      <c r="B3643" s="12"/>
      <c r="C3643" s="33"/>
      <c r="D3643" s="80" t="s">
        <v>728</v>
      </c>
      <c r="E3643" s="86">
        <f>ENTRY!$D$27</f>
        <v>46102</v>
      </c>
      <c r="F3643" s="86"/>
      <c r="G3643" s="29"/>
      <c r="H3643" s="29"/>
      <c r="I3643" s="29"/>
      <c r="J3643" s="29"/>
      <c r="K3643" s="29"/>
      <c r="L3643" s="29"/>
      <c r="M3643" s="87" t="s">
        <v>730</v>
      </c>
      <c r="N3643" s="87"/>
      <c r="O3643" s="87"/>
      <c r="P3643" s="19"/>
      <c r="Q3643" s="19"/>
      <c r="R3643" s="11"/>
    </row>
    <row r="3644" s="1" customFormat="1" ht="21.95" customHeight="1" spans="1:18">
      <c r="A3644" s="7"/>
      <c r="B3644" s="12"/>
      <c r="C3644" s="33"/>
      <c r="D3644" s="80" t="s">
        <v>731</v>
      </c>
      <c r="E3644" s="88" t="str">
        <f>PROPER(ENTRY!$D$28)</f>
        <v>New Delhi</v>
      </c>
      <c r="F3644" s="88"/>
      <c r="G3644" s="29"/>
      <c r="H3644" s="29"/>
      <c r="I3644" s="29"/>
      <c r="J3644" s="29"/>
      <c r="K3644" s="29"/>
      <c r="L3644" s="29"/>
      <c r="M3644" s="89" t="s">
        <v>732</v>
      </c>
      <c r="N3644" s="89"/>
      <c r="O3644" s="89"/>
      <c r="P3644" s="19"/>
      <c r="Q3644" s="19"/>
      <c r="R3644" s="11"/>
    </row>
    <row r="3645" s="1" customFormat="1" ht="21.95" customHeight="1" spans="1:18">
      <c r="A3645" s="7"/>
      <c r="B3645" s="12"/>
      <c r="C3645" s="90"/>
      <c r="D3645" s="91"/>
      <c r="E3645" s="91"/>
      <c r="F3645" s="91"/>
      <c r="G3645" s="91"/>
      <c r="H3645" s="91"/>
      <c r="I3645" s="91"/>
      <c r="J3645" s="91"/>
      <c r="K3645" s="91"/>
      <c r="L3645" s="91"/>
      <c r="M3645" s="91"/>
      <c r="N3645" s="91"/>
      <c r="O3645" s="91"/>
      <c r="P3645" s="92"/>
      <c r="Q3645" s="14"/>
      <c r="R3645" s="11"/>
    </row>
    <row r="3646" s="1" customFormat="1" ht="5.1" customHeight="1" spans="1:18">
      <c r="A3646" s="7"/>
      <c r="B3646" s="90"/>
      <c r="C3646" s="91"/>
      <c r="D3646" s="91"/>
      <c r="E3646" s="91"/>
      <c r="F3646" s="91"/>
      <c r="G3646" s="91"/>
      <c r="H3646" s="91"/>
      <c r="I3646" s="91"/>
      <c r="J3646" s="91"/>
      <c r="K3646" s="91"/>
      <c r="L3646" s="91"/>
      <c r="M3646" s="91"/>
      <c r="N3646" s="91"/>
      <c r="O3646" s="91"/>
      <c r="P3646" s="91"/>
      <c r="Q3646" s="92"/>
      <c r="R3646" s="11"/>
    </row>
    <row r="3647" s="1" customFormat="1" ht="5.1" customHeight="1" spans="1:18">
      <c r="A3647" s="93"/>
      <c r="B3647" s="94"/>
      <c r="C3647" s="94"/>
      <c r="D3647" s="94"/>
      <c r="E3647" s="94"/>
      <c r="F3647" s="94"/>
      <c r="G3647" s="94"/>
      <c r="H3647" s="94"/>
      <c r="I3647" s="94"/>
      <c r="J3647" s="94"/>
      <c r="K3647" s="94"/>
      <c r="L3647" s="94"/>
      <c r="M3647" s="94"/>
      <c r="N3647" s="94"/>
      <c r="O3647" s="94"/>
      <c r="P3647" s="94"/>
      <c r="Q3647" s="94"/>
      <c r="R3647" s="95"/>
    </row>
    <row r="3648" s="2" customFormat="1" ht="9.95" customHeight="1"/>
    <row r="3649" s="1" customFormat="1" ht="5.1" customHeight="1" spans="1:18">
      <c r="A3649" s="4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  <c r="O3649" s="5"/>
      <c r="P3649" s="5"/>
      <c r="Q3649" s="5"/>
      <c r="R3649" s="6"/>
    </row>
    <row r="3650" s="1" customFormat="1" ht="15" customHeight="1" spans="1:18">
      <c r="A3650" s="7"/>
      <c r="B3650" s="8"/>
      <c r="C3650" s="9"/>
      <c r="D3650" s="9"/>
      <c r="E3650" s="9"/>
      <c r="F3650" s="9"/>
      <c r="G3650" s="9"/>
      <c r="H3650" s="9"/>
      <c r="I3650" s="9"/>
      <c r="J3650" s="9"/>
      <c r="K3650" s="9"/>
      <c r="L3650" s="9"/>
      <c r="M3650" s="9"/>
      <c r="N3650" s="9"/>
      <c r="O3650" s="9"/>
      <c r="P3650" s="9"/>
      <c r="Q3650" s="10"/>
      <c r="R3650" s="11"/>
    </row>
    <row r="3651" s="1" customFormat="1" ht="21.95" customHeight="1" spans="1:18">
      <c r="A3651" s="7"/>
      <c r="B3651" s="12"/>
      <c r="C3651" s="13" t="s">
        <v>7</v>
      </c>
      <c r="D3651" s="13"/>
      <c r="E3651" s="13"/>
      <c r="F3651" s="13"/>
      <c r="G3651" s="13"/>
      <c r="H3651" s="13"/>
      <c r="I3651" s="13"/>
      <c r="J3651" s="13"/>
      <c r="K3651" s="13"/>
      <c r="L3651" s="13"/>
      <c r="M3651" s="13"/>
      <c r="N3651" s="13"/>
      <c r="O3651" s="13"/>
      <c r="P3651" s="13"/>
      <c r="Q3651" s="14"/>
      <c r="R3651" s="11"/>
    </row>
    <row r="3652" s="1" customFormat="1" ht="21.95" customHeight="1" spans="1:18">
      <c r="A3652" s="7"/>
      <c r="B3652" s="1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14"/>
      <c r="R3652" s="11"/>
    </row>
    <row r="3653" s="1" customFormat="1" ht="21.95" customHeight="1" spans="1:18">
      <c r="A3653" s="7"/>
      <c r="B3653" s="12"/>
      <c r="C3653" s="15" t="str">
        <f>"SESSION-"&amp;ENTRY!$D$11</f>
        <v>SESSION-2026-27</v>
      </c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4"/>
      <c r="R3653" s="11"/>
    </row>
    <row r="3654" s="1" customFormat="1" ht="21.95" customHeight="1" spans="1:18">
      <c r="A3654" s="7"/>
      <c r="B3654" s="12"/>
      <c r="C3654" s="2"/>
      <c r="D3654" s="2"/>
      <c r="E3654" s="2"/>
      <c r="F3654" s="16">
        <f>F3597+1</f>
        <v>65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14"/>
      <c r="R3654" s="11"/>
    </row>
    <row r="3655" s="1" customFormat="1" ht="21.95" customHeight="1" spans="1:18">
      <c r="A3655" s="7"/>
      <c r="B3655" s="12"/>
      <c r="C3655" s="17" t="s">
        <v>392</v>
      </c>
      <c r="D3655" s="17"/>
      <c r="E3655" s="17"/>
      <c r="F3655" s="18" t="str">
        <f>IF(F3654&gt;0,ENTRY!$D$6,"")</f>
        <v>MCP NITHARI NO 1 BOYS</v>
      </c>
      <c r="G3655" s="18"/>
      <c r="H3655" s="18"/>
      <c r="I3655" s="18"/>
      <c r="J3655" s="18"/>
      <c r="K3655" s="18"/>
      <c r="L3655" s="18"/>
      <c r="M3655" s="18"/>
      <c r="N3655" s="18"/>
      <c r="O3655" s="18"/>
      <c r="P3655" s="18"/>
      <c r="Q3655" s="19"/>
      <c r="R3655" s="11"/>
    </row>
    <row r="3656" s="1" customFormat="1" ht="21.95" customHeight="1" spans="1:18">
      <c r="A3656" s="7"/>
      <c r="B3656" s="12"/>
      <c r="C3656" s="17" t="s">
        <v>393</v>
      </c>
      <c r="D3656" s="17"/>
      <c r="E3656" s="17"/>
      <c r="F3656" s="18">
        <f>IF(F3654&gt;0,ENTRY!$D$7,"")</f>
        <v>0</v>
      </c>
      <c r="G3656" s="18"/>
      <c r="H3656" s="20" t="s">
        <v>702</v>
      </c>
      <c r="I3656" s="20"/>
      <c r="J3656" s="21">
        <f>IF(F3654&gt;0,ENTRY!$D$10,"")</f>
        <v>40</v>
      </c>
      <c r="K3656" s="20" t="s">
        <v>703</v>
      </c>
      <c r="L3656" s="22" t="str">
        <f>IF(F3654&gt;0,ENTRY!$D$5,"")</f>
        <v>ROHINI ZONE</v>
      </c>
      <c r="M3656" s="22"/>
      <c r="N3656" s="22"/>
      <c r="O3656" s="22"/>
      <c r="P3656" s="22"/>
      <c r="Q3656" s="19"/>
      <c r="R3656" s="11"/>
    </row>
    <row r="3657" s="1" customFormat="1" ht="21.95" customHeight="1" spans="1:18">
      <c r="A3657" s="7"/>
      <c r="B3657" s="12"/>
      <c r="C3657" s="17" t="s">
        <v>706</v>
      </c>
      <c r="D3657" s="17"/>
      <c r="E3657" s="17"/>
      <c r="F3657" s="23">
        <f>IFERROR(VLOOKUP(F3654,STUDENT!$A$2:$BP$101,5,0),"")</f>
        <v>0</v>
      </c>
      <c r="G3657" s="23"/>
      <c r="H3657" s="23"/>
      <c r="I3657" s="23"/>
      <c r="J3657" s="23"/>
      <c r="K3657" s="23"/>
      <c r="L3657" s="20" t="s">
        <v>707</v>
      </c>
      <c r="M3657" s="20"/>
      <c r="N3657" s="24" t="str">
        <f>IF(F3654&gt;0,ENTRY!$D$20&amp;"-"&amp;ENTRY!$D$21,"")</f>
        <v>III-A</v>
      </c>
      <c r="O3657" s="24"/>
      <c r="P3657" s="24"/>
      <c r="Q3657" s="19"/>
      <c r="R3657" s="11"/>
    </row>
    <row r="3658" s="1" customFormat="1" ht="21.95" customHeight="1" spans="1:18">
      <c r="A3658" s="7"/>
      <c r="B3658" s="12"/>
      <c r="C3658" s="17" t="s">
        <v>708</v>
      </c>
      <c r="D3658" s="17"/>
      <c r="E3658" s="17"/>
      <c r="F3658" s="25">
        <f>IFERROR(VLOOKUP(F3654,STUDENT!$A$2:$BP$101,6,0),"")</f>
        <v>0</v>
      </c>
      <c r="G3658" s="25"/>
      <c r="H3658" s="26" t="s">
        <v>709</v>
      </c>
      <c r="I3658" s="27" t="str">
        <f>IFERROR(VLOOKUP(F3654,STUDENT!$A$2:$BP$101,59,0),"")</f>
        <v/>
      </c>
      <c r="J3658" s="27"/>
      <c r="K3658" s="20" t="s">
        <v>710</v>
      </c>
      <c r="L3658" s="20"/>
      <c r="M3658" s="28">
        <f>IFERROR(VLOOKUP(F3654,STUDENT!$A$2:$BP$101,20,0),"")</f>
        <v>0</v>
      </c>
      <c r="N3658" s="28"/>
      <c r="O3658" s="28"/>
      <c r="P3658" s="28"/>
      <c r="Q3658" s="19"/>
      <c r="R3658" s="11"/>
    </row>
    <row r="3659" s="1" customFormat="1" ht="21.95" customHeight="1" spans="1:18">
      <c r="A3659" s="7"/>
      <c r="B3659" s="12"/>
      <c r="C3659" s="17" t="s">
        <v>711</v>
      </c>
      <c r="D3659" s="17"/>
      <c r="E3659" s="17"/>
      <c r="F3659" s="23">
        <f>IFERROR(VLOOKUP(F3654,STUDENT!$A$2:$BP$101,9,0),"")</f>
        <v>0</v>
      </c>
      <c r="G3659" s="23"/>
      <c r="H3659" s="23"/>
      <c r="I3659" s="23"/>
      <c r="J3659" s="17" t="s">
        <v>620</v>
      </c>
      <c r="K3659" s="17"/>
      <c r="L3659" s="23">
        <f>IFERROR(VLOOKUP(F3654,STUDENT!$A$2:$BP$101,8,0),"")</f>
        <v>0</v>
      </c>
      <c r="M3659" s="23"/>
      <c r="N3659" s="23"/>
      <c r="O3659" s="23"/>
      <c r="P3659" s="23"/>
      <c r="Q3659" s="19"/>
      <c r="R3659" s="11"/>
    </row>
    <row r="3660" s="1" customFormat="1" ht="21.95" customHeight="1" spans="1:18">
      <c r="A3660" s="7"/>
      <c r="B3660" s="12"/>
      <c r="C3660" s="17" t="s">
        <v>712</v>
      </c>
      <c r="D3660" s="17"/>
      <c r="E3660" s="17"/>
      <c r="F3660" s="23">
        <f>IFERROR(VLOOKUP(F3654,STUDENT!$A$2:$BP$101,22,0),"")</f>
        <v>0</v>
      </c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19"/>
      <c r="R3660" s="11"/>
    </row>
    <row r="3661" s="1" customFormat="1" ht="9.95" customHeight="1" spans="1:18">
      <c r="A3661" s="7"/>
      <c r="B3661" s="12"/>
      <c r="C3661" s="29"/>
      <c r="D3661" s="29"/>
      <c r="E3661" s="29"/>
      <c r="F3661" s="29"/>
      <c r="G3661" s="29"/>
      <c r="H3661" s="29"/>
      <c r="I3661" s="29"/>
      <c r="J3661" s="29"/>
      <c r="K3661" s="29"/>
      <c r="L3661" s="29"/>
      <c r="M3661" s="29"/>
      <c r="N3661" s="29"/>
      <c r="O3661" s="29"/>
      <c r="P3661" s="29"/>
      <c r="Q3661" s="19"/>
      <c r="R3661" s="11"/>
    </row>
    <row r="3662" s="1" customFormat="1" ht="9.95" customHeight="1" spans="1:18">
      <c r="A3662" s="7"/>
      <c r="B3662" s="12"/>
      <c r="C3662" s="30"/>
      <c r="D3662" s="31"/>
      <c r="E3662" s="31"/>
      <c r="F3662" s="31"/>
      <c r="G3662" s="31"/>
      <c r="H3662" s="31"/>
      <c r="I3662" s="31"/>
      <c r="J3662" s="31"/>
      <c r="K3662" s="31"/>
      <c r="L3662" s="31"/>
      <c r="M3662" s="31"/>
      <c r="N3662" s="31"/>
      <c r="O3662" s="31"/>
      <c r="P3662" s="32"/>
      <c r="Q3662" s="19"/>
      <c r="R3662" s="11"/>
    </row>
    <row r="3663" s="1" customFormat="1" ht="21.95" customHeight="1" spans="1:18">
      <c r="A3663" s="7"/>
      <c r="B3663" s="12"/>
      <c r="C3663" s="33"/>
      <c r="D3663" s="34" t="s">
        <v>713</v>
      </c>
      <c r="E3663" s="20" t="s">
        <v>714</v>
      </c>
      <c r="F3663" s="35" t="str">
        <f>"Level - "&amp;IFERROR(VLOOKUP(F3654,FLN!$A$4:$K$103,9,0),"")</f>
        <v>Level - </v>
      </c>
      <c r="G3663" s="36"/>
      <c r="H3663" s="37" t="s">
        <v>715</v>
      </c>
      <c r="I3663" s="20"/>
      <c r="J3663" s="35" t="str">
        <f>"Level - "&amp;IFERROR(VLOOKUP(F3654,FLN!$A$4:$K$103,11,0),"")</f>
        <v>Level - </v>
      </c>
      <c r="K3663" s="36"/>
      <c r="L3663" s="37" t="s">
        <v>408</v>
      </c>
      <c r="M3663" s="20"/>
      <c r="N3663" s="35" t="str">
        <f>"Level - "&amp;IFERROR(VLOOKUP(F3654,FLN!$A$4:$K$103,10,0),"")</f>
        <v>Level - </v>
      </c>
      <c r="O3663" s="36"/>
      <c r="P3663" s="19"/>
      <c r="Q3663" s="19"/>
      <c r="R3663" s="11"/>
    </row>
    <row r="3664" s="1" customFormat="1" ht="21.95" customHeight="1" spans="1:18">
      <c r="A3664" s="7"/>
      <c r="B3664" s="12"/>
      <c r="C3664" s="33"/>
      <c r="D3664" s="38"/>
      <c r="E3664" s="20" t="s">
        <v>716</v>
      </c>
      <c r="F3664" s="18" t="str">
        <f ca="1">IF(L3678&gt;197,"PERFORMED WELL","")</f>
        <v/>
      </c>
      <c r="G3664" s="18"/>
      <c r="H3664" s="18"/>
      <c r="I3664" s="18"/>
      <c r="J3664" s="18"/>
      <c r="K3664" s="18"/>
      <c r="L3664" s="18"/>
      <c r="M3664" s="18"/>
      <c r="N3664" s="18"/>
      <c r="O3664" s="18"/>
      <c r="P3664" s="19"/>
      <c r="Q3664" s="19"/>
      <c r="R3664" s="11"/>
    </row>
    <row r="3665" s="1" customFormat="1" ht="9.95" customHeight="1" spans="1:18">
      <c r="A3665" s="7"/>
      <c r="B3665" s="12"/>
      <c r="C3665" s="39"/>
      <c r="D3665" s="40"/>
      <c r="E3665" s="40"/>
      <c r="F3665" s="40"/>
      <c r="G3665" s="40"/>
      <c r="H3665" s="40"/>
      <c r="I3665" s="40"/>
      <c r="J3665" s="40"/>
      <c r="K3665" s="40"/>
      <c r="L3665" s="40"/>
      <c r="M3665" s="40"/>
      <c r="N3665" s="40"/>
      <c r="O3665" s="40"/>
      <c r="P3665" s="41"/>
      <c r="Q3665" s="19"/>
      <c r="R3665" s="11"/>
    </row>
    <row r="3666" s="1" customFormat="1" ht="9.95" customHeight="1" spans="1:18">
      <c r="A3666" s="7"/>
      <c r="B3666" s="12"/>
      <c r="C3666" s="29"/>
      <c r="D3666" s="29"/>
      <c r="E3666" s="29"/>
      <c r="F3666" s="29"/>
      <c r="G3666" s="29"/>
      <c r="H3666" s="29"/>
      <c r="I3666" s="29"/>
      <c r="J3666" s="29"/>
      <c r="K3666" s="29"/>
      <c r="L3666" s="29"/>
      <c r="M3666" s="29"/>
      <c r="N3666" s="29"/>
      <c r="O3666" s="29"/>
      <c r="P3666" s="29"/>
      <c r="Q3666" s="19"/>
      <c r="R3666" s="11"/>
    </row>
    <row r="3667" s="1" customFormat="1" ht="9.95" customHeight="1" spans="1:18">
      <c r="A3667" s="7"/>
      <c r="B3667" s="12"/>
      <c r="C3667" s="30"/>
      <c r="D3667" s="31"/>
      <c r="E3667" s="31"/>
      <c r="F3667" s="31"/>
      <c r="G3667" s="31"/>
      <c r="H3667" s="31"/>
      <c r="I3667" s="31"/>
      <c r="J3667" s="31"/>
      <c r="K3667" s="31"/>
      <c r="L3667" s="31"/>
      <c r="M3667" s="31"/>
      <c r="N3667" s="31"/>
      <c r="O3667" s="31"/>
      <c r="P3667" s="32"/>
      <c r="Q3667" s="19"/>
      <c r="R3667" s="11"/>
    </row>
    <row r="3668" s="1" customFormat="1" ht="21.95" customHeight="1" spans="1:18">
      <c r="A3668" s="7"/>
      <c r="B3668" s="12"/>
      <c r="C3668" s="33"/>
      <c r="D3668" s="35"/>
      <c r="E3668" s="24"/>
      <c r="F3668" s="42" t="s">
        <v>717</v>
      </c>
      <c r="G3668" s="42"/>
      <c r="H3668" s="42"/>
      <c r="I3668" s="42"/>
      <c r="J3668" s="42"/>
      <c r="K3668" s="42"/>
      <c r="L3668" s="43"/>
      <c r="M3668" s="44"/>
      <c r="N3668" s="29"/>
      <c r="O3668" s="29"/>
      <c r="P3668" s="19"/>
      <c r="Q3668" s="19"/>
      <c r="R3668" s="11"/>
    </row>
    <row r="3669" s="1" customFormat="1" ht="21.95" customHeight="1" spans="1:18">
      <c r="A3669" s="7"/>
      <c r="B3669" s="12"/>
      <c r="C3669" s="33"/>
      <c r="D3669" s="45"/>
      <c r="E3669" s="46"/>
      <c r="F3669" s="47" t="s">
        <v>541</v>
      </c>
      <c r="G3669" s="47" t="s">
        <v>542</v>
      </c>
      <c r="H3669" s="47" t="s">
        <v>543</v>
      </c>
      <c r="I3669" s="47" t="s">
        <v>544</v>
      </c>
      <c r="J3669" s="47" t="s">
        <v>561</v>
      </c>
      <c r="K3669" s="48" t="s">
        <v>750</v>
      </c>
      <c r="L3669" s="47" t="s">
        <v>382</v>
      </c>
      <c r="M3669" s="49" t="s">
        <v>546</v>
      </c>
      <c r="N3669" s="29"/>
      <c r="O3669" s="29"/>
      <c r="P3669" s="19"/>
      <c r="Q3669" s="19"/>
      <c r="R3669" s="11"/>
    </row>
    <row r="3670" s="1" customFormat="1" ht="21.95" customHeight="1" spans="1:18">
      <c r="A3670" s="7"/>
      <c r="B3670" s="12"/>
      <c r="C3670" s="33"/>
      <c r="D3670" s="45" t="s">
        <v>652</v>
      </c>
      <c r="E3670" s="46"/>
      <c r="F3670" s="50">
        <v>10</v>
      </c>
      <c r="G3670" s="50">
        <v>10</v>
      </c>
      <c r="H3670" s="50">
        <v>10</v>
      </c>
      <c r="I3670" s="50">
        <v>10</v>
      </c>
      <c r="J3670" s="50">
        <v>60</v>
      </c>
      <c r="K3670" s="51"/>
      <c r="L3670" s="50">
        <v>100</v>
      </c>
      <c r="M3670" s="49"/>
      <c r="N3670" s="29"/>
      <c r="O3670" s="29"/>
      <c r="P3670" s="19"/>
      <c r="Q3670" s="19"/>
      <c r="R3670" s="11"/>
    </row>
    <row r="3671" s="1" customFormat="1" ht="21.95" customHeight="1" spans="1:18">
      <c r="A3671" s="7"/>
      <c r="B3671" s="12"/>
      <c r="C3671" s="33"/>
      <c r="D3671" s="52" t="s">
        <v>751</v>
      </c>
      <c r="E3671" s="53"/>
      <c r="F3671" s="54" t="str">
        <f ca="1">IFERROR(VLOOKUP(F3654,'RR-3.1-5TH'!$A$12:'RR-3.1-5TH'!$BN$111,9,0),"")</f>
        <v/>
      </c>
      <c r="G3671" s="54" t="str">
        <f ca="1">IFERROR(VLOOKUP(F3654,'RR-3.1-5TH'!$A$12:'RR-3.1-5TH'!$BN$111,10,0),"")</f>
        <v/>
      </c>
      <c r="H3671" s="54" t="str">
        <f ca="1">IFERROR(VLOOKUP(F3654,'RR-3.1-5TH'!$A$12:'RR-3.1-5TH'!$BN$111,11,0),"")</f>
        <v/>
      </c>
      <c r="I3671" s="54" t="str">
        <f ca="1">IFERROR(VLOOKUP(F3654,'RR-3.1-5TH'!$A$12:'RR-3.1-5TH'!$BN$111,12,0),"")</f>
        <v/>
      </c>
      <c r="J3671" s="54" t="str">
        <f ca="1">IFERROR(VLOOKUP(F3654,'RR-3.1-5TH'!$A$12:'RR-3.1-5TH'!$BN$111,13,0),"")</f>
        <v/>
      </c>
      <c r="K3671" s="54" t="str">
        <f ca="1">IFERROR(VLOOKUP(F3654,'RR-3.1-5TH'!$A$12:'RR-3.1-5TH'!$BN$111,14,0),"")</f>
        <v/>
      </c>
      <c r="L3671" s="55">
        <f ca="1" t="shared" ref="L3671:L3676" si="192">SUM(F3671,G3671,H3671,I3671,J3671,K3671)</f>
        <v>0</v>
      </c>
      <c r="M3671" s="56" t="str">
        <f ca="1">IF(F3654&gt;ENTRY!$D$24,"",IF(L3671=0,"Ab",IF(L3671&gt;80,"A",IF(L3671&gt;60,"B",IF(L3671&gt;44,"C",IF(L3671&gt;=33,"D",IF(L3671&lt;=32,"E","")))))))</f>
        <v/>
      </c>
      <c r="N3671" s="57" t="s">
        <v>729</v>
      </c>
      <c r="O3671" s="58"/>
      <c r="P3671" s="59"/>
      <c r="Q3671" s="19"/>
      <c r="R3671" s="11"/>
    </row>
    <row r="3672" s="1" customFormat="1" ht="21.95" customHeight="1" spans="1:18">
      <c r="A3672" s="7"/>
      <c r="B3672" s="12"/>
      <c r="C3672" s="33"/>
      <c r="D3672" s="52" t="s">
        <v>513</v>
      </c>
      <c r="E3672" s="53"/>
      <c r="F3672" s="54" t="str">
        <f ca="1">IFERROR(VLOOKUP(F3654,'RR-3.1-5TH'!$A$12:'RR-3.1-5TH'!$BN$111,17,0),"")</f>
        <v/>
      </c>
      <c r="G3672" s="54" t="str">
        <f ca="1">IFERROR(VLOOKUP(F3654,'RR-3.1-5TH'!$A$12:'RR-3.1-5TH'!$BN$111,18,0),"")</f>
        <v/>
      </c>
      <c r="H3672" s="54" t="str">
        <f ca="1">IFERROR(VLOOKUP(F3654,'RR-3.1-5TH'!$A$12:'RR-3.1-5TH'!$BN$111,19,0),"")</f>
        <v/>
      </c>
      <c r="I3672" s="54" t="str">
        <f ca="1">IFERROR(VLOOKUP(F3654,'RR-3.1-5TH'!$A$12:'RR-3.1-5TH'!$BN$111,20,0),"")</f>
        <v/>
      </c>
      <c r="J3672" s="54" t="str">
        <f ca="1">IFERROR(VLOOKUP(F3654,'RR-3.1-5TH'!$A$12:'RR-3.1-5TH'!$BN$111,21,0),"")</f>
        <v/>
      </c>
      <c r="K3672" s="54" t="str">
        <f ca="1">IFERROR(VLOOKUP(F3654,'RR-3.1-5TH'!$A$12:'RR-3.1-5TH'!$BN$111,22,0),"")</f>
        <v/>
      </c>
      <c r="L3672" s="55">
        <f ca="1" t="shared" si="192"/>
        <v>0</v>
      </c>
      <c r="M3672" s="56" t="str">
        <f ca="1">IF(F3654&gt;ENTRY!$D$24,"",IF(L3672=0,"Ab",IF(L3672&gt;80,"A",IF(L3672&gt;60,"B",IF(L3672&gt;44,"C",IF(L3672&gt;=33,"D",IF(L3672&lt;=32,"E","")))))))</f>
        <v/>
      </c>
      <c r="N3672" s="58"/>
      <c r="O3672" s="58"/>
      <c r="P3672" s="59"/>
      <c r="Q3672" s="19"/>
      <c r="R3672" s="11"/>
    </row>
    <row r="3673" s="1" customFormat="1" ht="21.95" customHeight="1" spans="1:18">
      <c r="A3673" s="7"/>
      <c r="B3673" s="12"/>
      <c r="C3673" s="33"/>
      <c r="D3673" s="52" t="s">
        <v>718</v>
      </c>
      <c r="E3673" s="53"/>
      <c r="F3673" s="54" t="str">
        <f ca="1">IFERROR(VLOOKUP(F3654,'RR-3.1-5TH'!$A$12:'RR-3.1-5TH'!$BN$111,25,0),"")</f>
        <v/>
      </c>
      <c r="G3673" s="54" t="str">
        <f ca="1">IFERROR(VLOOKUP(F3654,'RR-3.1-5TH'!$A$12:'RR-3.1-5TH'!$BN$111,26,0),"")</f>
        <v/>
      </c>
      <c r="H3673" s="54" t="str">
        <f ca="1">IFERROR(VLOOKUP(F3654,'RR-3.1-5TH'!$A$12:'RR-3.1-5TH'!$BN$111,27,0),"")</f>
        <v/>
      </c>
      <c r="I3673" s="54" t="str">
        <f ca="1">IFERROR(VLOOKUP(F3654,'RR-3.1-5TH'!$A$12:'RR-3.1-5TH'!$BN$111,28,0),"")</f>
        <v/>
      </c>
      <c r="J3673" s="54" t="str">
        <f ca="1">IFERROR(VLOOKUP(F3654,'RR-3.1-5TH'!$A$12:'RR-3.1-5TH'!$BN$111,29,0),"")</f>
        <v/>
      </c>
      <c r="K3673" s="54" t="str">
        <f ca="1">IFERROR(VLOOKUP(F3654,'RR-3.1-5TH'!$A$12:'RR-3.1-5TH'!$BN$111,30,0),"")</f>
        <v/>
      </c>
      <c r="L3673" s="55">
        <f ca="1" t="shared" si="192"/>
        <v>0</v>
      </c>
      <c r="M3673" s="56" t="str">
        <f ca="1">IF(F3654&gt;ENTRY!$D$24,"",IF(L3673=0,"Ab",IF(L3673&gt;80,"A",IF(L3673&gt;60,"B",IF(L3673&gt;44,"C",IF(L3673&gt;=33,"D",IF(L3673&lt;=32,"E","")))))))</f>
        <v/>
      </c>
      <c r="N3673" s="29"/>
      <c r="O3673" s="29"/>
      <c r="P3673" s="19"/>
      <c r="Q3673" s="19"/>
      <c r="R3673" s="11"/>
    </row>
    <row r="3674" s="1" customFormat="1" ht="21.95" customHeight="1" spans="1:18">
      <c r="A3674" s="7"/>
      <c r="B3674" s="12"/>
      <c r="C3674" s="33"/>
      <c r="D3674" s="52" t="s">
        <v>719</v>
      </c>
      <c r="E3674" s="53"/>
      <c r="F3674" s="54" t="str">
        <f ca="1">IFERROR(VLOOKUP(F3654,'RR-3.1-5TH'!$A$12:'RR-3.1-5TH'!$BN$111,33,0),"")</f>
        <v/>
      </c>
      <c r="G3674" s="54" t="str">
        <f ca="1">IFERROR(VLOOKUP(F3654,'RR-3.1-5TH'!$A$12:'RR-3.1-5TH'!$BN$111,34,0),"")</f>
        <v/>
      </c>
      <c r="H3674" s="54" t="str">
        <f ca="1">IFERROR(VLOOKUP(F3654,'RR-3.1-5TH'!$A$12:'RR-3.1-5TH'!$BN$111,35,0),"")</f>
        <v/>
      </c>
      <c r="I3674" s="54" t="str">
        <f ca="1">IFERROR(VLOOKUP(F3654,'RR-3.1-5TH'!$A$12:'RR-3.1-5TH'!$BN$111,36,0),"")</f>
        <v/>
      </c>
      <c r="J3674" s="54" t="str">
        <f ca="1">IFERROR(VLOOKUP(F3654,'RR-3.1-5TH'!$A$12:'RR-3.1-5TH'!$BN$111,37,0),"")</f>
        <v/>
      </c>
      <c r="K3674" s="54" t="str">
        <f ca="1">IFERROR(VLOOKUP(F3654,'RR-3.1-5TH'!$A$12:'RR-3.1-5TH'!$BN$111,38,0),"")</f>
        <v/>
      </c>
      <c r="L3674" s="55">
        <f ca="1" t="shared" si="192"/>
        <v>0</v>
      </c>
      <c r="M3674" s="56" t="str">
        <f ca="1">IF(F3654&gt;ENTRY!$D$24,"",IF(L3674=0,"Ab",IF(L3674&gt;80,"A",IF(L3674&gt;60,"B",IF(L3674&gt;44,"C",IF(L3674&gt;=33,"D",IF(L3674&lt;=32,"E","")))))))</f>
        <v/>
      </c>
      <c r="N3674" s="29"/>
      <c r="O3674" s="29"/>
      <c r="P3674" s="19"/>
      <c r="Q3674" s="19"/>
      <c r="R3674" s="11"/>
    </row>
    <row r="3675" s="1" customFormat="1" ht="21.95" customHeight="1" spans="1:18">
      <c r="A3675" s="7"/>
      <c r="B3675" s="12"/>
      <c r="C3675" s="33"/>
      <c r="D3675" s="52" t="s">
        <v>548</v>
      </c>
      <c r="E3675" s="53"/>
      <c r="F3675" s="54" t="str">
        <f ca="1">IFERROR(VLOOKUP(F3654,'RR-3.1-5TH'!$A$12:'RR-3.1-5TH'!$BN$111,41,0),"")</f>
        <v/>
      </c>
      <c r="G3675" s="54" t="str">
        <f ca="1">IFERROR(VLOOKUP(F3654,'RR-3.1-5TH'!$A$12:'RR-3.1-5TH'!$BN$111,42,0),"")</f>
        <v/>
      </c>
      <c r="H3675" s="54" t="str">
        <f ca="1">IFERROR(VLOOKUP(F3654,'RR-3.1-5TH'!$A$12:'RR-3.1-5TH'!$BN$111,43,0),"")</f>
        <v/>
      </c>
      <c r="I3675" s="54" t="str">
        <f ca="1">IFERROR(VLOOKUP(F3654,'RR-3.1-5TH'!$A$12:'RR-3.1-5TH'!$BN$111,44,0),"")</f>
        <v/>
      </c>
      <c r="J3675" s="54" t="str">
        <f ca="1">IFERROR(VLOOKUP(F3654,'RR-3.1-5TH'!$A$12:'RR-3.1-5TH'!$BN$111,45,0),"")</f>
        <v/>
      </c>
      <c r="K3675" s="54" t="str">
        <f ca="1">IFERROR(VLOOKUP(F3654,'RR-3.1-5TH'!$A$12:'RR-3.1-5TH'!$BN$111,46,0),"")</f>
        <v/>
      </c>
      <c r="L3675" s="55">
        <f ca="1" t="shared" si="192"/>
        <v>0</v>
      </c>
      <c r="M3675" s="56" t="str">
        <f ca="1">IF(F3654&gt;ENTRY!$D$24,"",IF(L3675=0,"Ab",IF(L3675&gt;80,"A",IF(L3675&gt;60,"B",IF(L3675&gt;44,"C",IF(L3675&gt;=33,"D",IF(L3675&lt;=32,"E","")))))))</f>
        <v/>
      </c>
      <c r="N3675" s="29"/>
      <c r="O3675" s="29"/>
      <c r="P3675" s="19"/>
      <c r="Q3675" s="19"/>
      <c r="R3675" s="11"/>
    </row>
    <row r="3676" s="1" customFormat="1" ht="21.95" customHeight="1" spans="1:18">
      <c r="A3676" s="7"/>
      <c r="B3676" s="12"/>
      <c r="C3676" s="33"/>
      <c r="D3676" s="52" t="s">
        <v>549</v>
      </c>
      <c r="E3676" s="53"/>
      <c r="F3676" s="54" t="str">
        <f ca="1">IFERROR(VLOOKUP(F3654,'RR-3.1-5TH'!$A$12:'RR-3.1-5TH'!$BN$111,49,0),"")</f>
        <v/>
      </c>
      <c r="G3676" s="54" t="str">
        <f ca="1">IFERROR(VLOOKUP(F3654,'RR-3.1-5TH'!$A$12:'RR-3.1-5TH'!$BN$111,50,0),"")</f>
        <v/>
      </c>
      <c r="H3676" s="54" t="str">
        <f ca="1">IFERROR(VLOOKUP(F3654,'RR-3.1-5TH'!$A$12:'RR-3.1-5TH'!$BN$111,51,0),"")</f>
        <v/>
      </c>
      <c r="I3676" s="54" t="str">
        <f ca="1">IFERROR(VLOOKUP(F3654,'RR-3.1-5TH'!$A$12:'RR-3.1-5TH'!$BN$111,52,0),"")</f>
        <v/>
      </c>
      <c r="J3676" s="54" t="str">
        <f ca="1">IFERROR(VLOOKUP(F3654,'RR-3.1-5TH'!$A$12:'RR-3.1-5TH'!$BN$111,53,0),"")</f>
        <v/>
      </c>
      <c r="K3676" s="54" t="str">
        <f ca="1">IFERROR(VLOOKUP(F3654,'RR-3.1-5TH'!$A$12:'RR-3.1-5TH'!$BN$111,54,0),"")</f>
        <v/>
      </c>
      <c r="L3676" s="55">
        <f ca="1" t="shared" si="192"/>
        <v>0</v>
      </c>
      <c r="M3676" s="56" t="str">
        <f ca="1">IF(F3654&gt;ENTRY!$D$24,"",IF(L3676=0,"Ab",IF(L3676&gt;80,"A",IF(L3676&gt;60,"B",IF(L3676&gt;44,"C",IF(L3676&gt;=33,"D",IF(L3676&lt;=32,"E","")))))))</f>
        <v/>
      </c>
      <c r="N3676" s="57" t="s">
        <v>752</v>
      </c>
      <c r="O3676" s="58"/>
      <c r="P3676" s="59"/>
      <c r="Q3676" s="19"/>
      <c r="R3676" s="11"/>
    </row>
    <row r="3677" s="1" customFormat="1" ht="21.95" customHeight="1" spans="1:18">
      <c r="A3677" s="7"/>
      <c r="B3677" s="12"/>
      <c r="C3677" s="33"/>
      <c r="D3677" s="52" t="s">
        <v>753</v>
      </c>
      <c r="E3677" s="53"/>
      <c r="F3677" s="60"/>
      <c r="G3677" s="54"/>
      <c r="H3677" s="54"/>
      <c r="I3677" s="54"/>
      <c r="J3677" s="54"/>
      <c r="K3677" s="54"/>
      <c r="L3677" s="55">
        <f t="shared" ref="L3677" si="193">SUM(G3677:K3677)</f>
        <v>0</v>
      </c>
      <c r="M3677" s="56" t="str">
        <f>IF(F3654&gt;ENTRY!$D$24,"",IF(L3677=0,"",IF(L3677&gt;79,"A",IF(L3677&gt;59,"B",IF(L3677&gt;44,"C",IF(L3677&gt;=33,"D",IF(L3677&lt;=32,"E","")))))))</f>
        <v/>
      </c>
      <c r="N3677" s="58"/>
      <c r="O3677" s="58"/>
      <c r="P3677" s="59"/>
      <c r="Q3677" s="19"/>
      <c r="R3677" s="11"/>
    </row>
    <row r="3678" s="1" customFormat="1" ht="21.95" customHeight="1" spans="1:18">
      <c r="A3678" s="7"/>
      <c r="B3678" s="12"/>
      <c r="C3678" s="33"/>
      <c r="D3678" s="45" t="s">
        <v>382</v>
      </c>
      <c r="E3678" s="46"/>
      <c r="F3678" s="54">
        <f ca="1" t="shared" ref="F3678:L3678" si="194">IFERROR(SUM(F3671:F3677),"")</f>
        <v>0</v>
      </c>
      <c r="G3678" s="54">
        <f ca="1" t="shared" si="194"/>
        <v>0</v>
      </c>
      <c r="H3678" s="54">
        <f ca="1" t="shared" si="194"/>
        <v>0</v>
      </c>
      <c r="I3678" s="54">
        <f ca="1" t="shared" si="194"/>
        <v>0</v>
      </c>
      <c r="J3678" s="54">
        <f ca="1" t="shared" si="194"/>
        <v>0</v>
      </c>
      <c r="K3678" s="54">
        <f ca="1" t="shared" si="194"/>
        <v>0</v>
      </c>
      <c r="L3678" s="55">
        <f ca="1" t="shared" si="194"/>
        <v>0</v>
      </c>
      <c r="M3678" s="61" t="str">
        <f ca="1">IF(F3654&gt;ENTRY!$D$24,"",IF(N3679="Ab","Ab",IF(N3679&gt;79.5,"A",IF(N3679&gt;59.5,"B",IF(N3679&gt;44.5,"C",IF(N3679&gt;=33,"D",IF(N3679&lt;33,"E","")))))))</f>
        <v/>
      </c>
      <c r="N3678" s="62"/>
      <c r="O3678" s="58"/>
      <c r="P3678" s="59"/>
      <c r="Q3678" s="19"/>
      <c r="R3678" s="11"/>
    </row>
    <row r="3679" s="1" customFormat="1" ht="21.95" customHeight="1" spans="1:18">
      <c r="A3679" s="7"/>
      <c r="B3679" s="12"/>
      <c r="C3679" s="33"/>
      <c r="D3679" s="63" t="s">
        <v>721</v>
      </c>
      <c r="E3679" s="63"/>
      <c r="F3679" s="63"/>
      <c r="G3679" s="63"/>
      <c r="H3679" s="63"/>
      <c r="I3679" s="63"/>
      <c r="J3679" s="63"/>
      <c r="K3679" s="63"/>
      <c r="L3679" s="63"/>
      <c r="M3679" s="63"/>
      <c r="N3679" s="64">
        <f ca="1">IF(L3678="Ab","Ab",L3678/6)</f>
        <v>0</v>
      </c>
      <c r="O3679" s="65"/>
      <c r="P3679" s="19"/>
      <c r="Q3679" s="19"/>
      <c r="R3679" s="11"/>
    </row>
    <row r="3680" s="1" customFormat="1" ht="21.95" customHeight="1" spans="1:18">
      <c r="A3680" s="7"/>
      <c r="B3680" s="12"/>
      <c r="C3680" s="33"/>
      <c r="D3680" s="29" t="s">
        <v>716</v>
      </c>
      <c r="E3680" s="18" t="str">
        <f>IFERROR(VLOOKUP(F3654,'1to4-2.1-RR'!$A$12:$BG$111,57,0),"")</f>
        <v/>
      </c>
      <c r="F3680" s="18"/>
      <c r="G3680" s="18"/>
      <c r="H3680" s="18"/>
      <c r="I3680" s="18"/>
      <c r="J3680" s="18"/>
      <c r="K3680" s="18"/>
      <c r="L3680" s="18"/>
      <c r="M3680" s="18"/>
      <c r="N3680" s="29"/>
      <c r="O3680" s="29"/>
      <c r="P3680" s="19"/>
      <c r="Q3680" s="19"/>
      <c r="R3680" s="11"/>
    </row>
    <row r="3681" s="1" customFormat="1" ht="9.95" customHeight="1" spans="1:19">
      <c r="A3681" s="7"/>
      <c r="B3681" s="12"/>
      <c r="C3681" s="33"/>
      <c r="D3681" s="29"/>
      <c r="E3681" s="29"/>
      <c r="F3681" s="29"/>
      <c r="G3681" s="29"/>
      <c r="H3681" s="29"/>
      <c r="I3681" s="29"/>
      <c r="J3681" s="29"/>
      <c r="K3681" s="29"/>
      <c r="L3681" s="29"/>
      <c r="M3681" s="29"/>
      <c r="N3681" s="29"/>
      <c r="O3681" s="29"/>
      <c r="P3681" s="19"/>
      <c r="Q3681" s="19"/>
      <c r="R3681" s="11"/>
    </row>
    <row r="3682" s="1" customFormat="1" ht="36" spans="1:19">
      <c r="A3682" s="7"/>
      <c r="B3682" s="12"/>
      <c r="C3682" s="33"/>
      <c r="D3682" s="66" t="s">
        <v>576</v>
      </c>
      <c r="E3682" s="67" t="s">
        <v>754</v>
      </c>
      <c r="F3682" s="47" t="str">
        <f>IF(F3654&gt;ENTRY!$D$24,"",IFERROR(VLOOKUP(F3654,PASHEET!$A$4:$CJ$103,88,0),""))</f>
        <v/>
      </c>
      <c r="G3682" s="67" t="s">
        <v>755</v>
      </c>
      <c r="H3682" s="47" t="str">
        <f>IF(F3654&gt;ENTRY!$D$24,"",IFERROR(VLOOKUP(F3654,PASHEET!$A$4:$CJ$103,87,0),""))</f>
        <v/>
      </c>
      <c r="I3682" s="68" t="s">
        <v>756</v>
      </c>
      <c r="J3682" s="69" t="str">
        <f>IF(F3654&gt;ENTRY!$D$24,"",IFERROR(IF(F3654&gt;0,H3682/F3682*100),""))</f>
        <v/>
      </c>
      <c r="K3682" s="60" t="s">
        <v>757</v>
      </c>
      <c r="L3682" s="70" t="str">
        <f ca="1">IF(F3654&gt;ENTRY!$D$24,"",IFERROR(L3678/600*100,""))</f>
        <v/>
      </c>
      <c r="M3682" s="47" t="str">
        <f ca="1">IF(F3654&gt;ENTRY!$D$24,"",IFERROR(L3678&amp;" / "&amp;"600",""))</f>
        <v/>
      </c>
      <c r="N3682" s="29"/>
      <c r="O3682" s="29"/>
      <c r="P3682" s="19"/>
      <c r="Q3682" s="19"/>
      <c r="R3682" s="11"/>
    </row>
    <row r="3683" s="1" customFormat="1" ht="9.95" customHeight="1" spans="1:19">
      <c r="A3683" s="7"/>
      <c r="B3683" s="12"/>
      <c r="C3683" s="39"/>
      <c r="D3683" s="40"/>
      <c r="E3683" s="40"/>
      <c r="F3683" s="40"/>
      <c r="G3683" s="40"/>
      <c r="H3683" s="40"/>
      <c r="I3683" s="40"/>
      <c r="J3683" s="40"/>
      <c r="K3683" s="40"/>
      <c r="L3683" s="40"/>
      <c r="M3683" s="40"/>
      <c r="N3683" s="40"/>
      <c r="O3683" s="40"/>
      <c r="P3683" s="41"/>
      <c r="Q3683" s="19"/>
      <c r="R3683" s="11"/>
    </row>
    <row r="3684" s="1" customFormat="1" ht="9.95" customHeight="1" spans="1:19">
      <c r="A3684" s="7"/>
      <c r="B3684" s="12"/>
      <c r="C3684" s="71"/>
      <c r="D3684" s="71"/>
      <c r="E3684" s="71"/>
      <c r="F3684" s="29"/>
      <c r="G3684" s="71"/>
      <c r="H3684" s="71"/>
      <c r="I3684" s="71"/>
      <c r="J3684" s="71"/>
      <c r="K3684" s="71"/>
      <c r="L3684" s="71"/>
      <c r="M3684" s="71"/>
      <c r="N3684" s="71"/>
      <c r="O3684" s="71"/>
      <c r="P3684" s="71"/>
      <c r="Q3684" s="19"/>
      <c r="R3684" s="11"/>
    </row>
    <row r="3685" s="1" customFormat="1" ht="9.95" customHeight="1" spans="1:19">
      <c r="A3685" s="7"/>
      <c r="B3685" s="12"/>
      <c r="C3685" s="29"/>
      <c r="D3685" s="29"/>
      <c r="E3685" s="29"/>
      <c r="F3685" s="72"/>
      <c r="G3685" s="29"/>
      <c r="H3685" s="29"/>
      <c r="I3685" s="29"/>
      <c r="J3685" s="29"/>
      <c r="K3685" s="29"/>
      <c r="L3685" s="29"/>
      <c r="M3685" s="29"/>
      <c r="N3685" s="29"/>
      <c r="O3685" s="29"/>
      <c r="P3685" s="29"/>
      <c r="Q3685" s="19"/>
      <c r="R3685" s="11"/>
    </row>
    <row r="3686" s="1" customFormat="1" ht="9.95" customHeight="1" spans="1:19">
      <c r="A3686" s="7"/>
      <c r="B3686" s="12"/>
      <c r="C3686" s="30"/>
      <c r="D3686" s="31"/>
      <c r="E3686" s="31"/>
      <c r="F3686" s="31"/>
      <c r="G3686" s="31"/>
      <c r="H3686" s="31"/>
      <c r="I3686" s="31"/>
      <c r="J3686" s="31"/>
      <c r="K3686" s="31"/>
      <c r="L3686" s="31"/>
      <c r="M3686" s="31"/>
      <c r="N3686" s="31"/>
      <c r="O3686" s="31"/>
      <c r="P3686" s="32"/>
      <c r="Q3686" s="19"/>
      <c r="R3686" s="11"/>
    </row>
    <row r="3687" s="1" customFormat="1" ht="21.95" customHeight="1" spans="1:19">
      <c r="A3687" s="7"/>
      <c r="B3687" s="12"/>
      <c r="C3687" s="73" t="s">
        <v>7</v>
      </c>
      <c r="D3687" s="13"/>
      <c r="E3687" s="13"/>
      <c r="F3687" s="13"/>
      <c r="G3687" s="13"/>
      <c r="H3687" s="13"/>
      <c r="I3687" s="13"/>
      <c r="J3687" s="13"/>
      <c r="K3687" s="13"/>
      <c r="L3687" s="13"/>
      <c r="M3687" s="13"/>
      <c r="N3687" s="13"/>
      <c r="O3687" s="13"/>
      <c r="P3687" s="74"/>
      <c r="Q3687" s="19"/>
      <c r="R3687" s="11"/>
      <c r="S3687" s="2"/>
    </row>
    <row r="3688" s="1" customFormat="1" ht="21.95" customHeight="1" spans="1:19">
      <c r="A3688" s="7"/>
      <c r="B3688" s="12"/>
      <c r="C3688" s="33"/>
      <c r="D3688" s="29"/>
      <c r="E3688" s="29"/>
      <c r="F3688" s="29"/>
      <c r="G3688" s="29"/>
      <c r="H3688" s="29"/>
      <c r="I3688" s="29"/>
      <c r="J3688" s="29"/>
      <c r="K3688" s="29"/>
      <c r="L3688" s="29"/>
      <c r="M3688" s="29"/>
      <c r="N3688" s="29"/>
      <c r="O3688" s="29"/>
      <c r="P3688" s="19"/>
      <c r="Q3688" s="19"/>
      <c r="R3688" s="11"/>
    </row>
    <row r="3689" s="1" customFormat="1" ht="21.95" customHeight="1" spans="1:19">
      <c r="A3689" s="7"/>
      <c r="B3689" s="12"/>
      <c r="C3689" s="75" t="str">
        <f>"SESSION-"&amp;ENTRY!$D$11</f>
        <v>SESSION-2026-27</v>
      </c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76"/>
      <c r="Q3689" s="19"/>
      <c r="R3689" s="11"/>
    </row>
    <row r="3690" s="1" customFormat="1" ht="18" customHeight="1" spans="1:19">
      <c r="A3690" s="7"/>
      <c r="B3690" s="12"/>
      <c r="C3690" s="33"/>
      <c r="D3690" s="29"/>
      <c r="E3690" s="29"/>
      <c r="F3690" s="29"/>
      <c r="G3690" s="29"/>
      <c r="H3690" s="29"/>
      <c r="I3690" s="29"/>
      <c r="J3690" s="29"/>
      <c r="K3690" s="29"/>
      <c r="L3690" s="29"/>
      <c r="M3690" s="29"/>
      <c r="N3690" s="29"/>
      <c r="O3690" s="29"/>
      <c r="P3690" s="19"/>
      <c r="Q3690" s="19"/>
      <c r="R3690" s="11"/>
    </row>
    <row r="3691" s="1" customFormat="1" ht="21.95" customHeight="1" spans="1:19">
      <c r="A3691" s="7"/>
      <c r="B3691" s="12"/>
      <c r="C3691" s="33"/>
      <c r="D3691" s="77" t="s">
        <v>758</v>
      </c>
      <c r="E3691" s="77"/>
      <c r="F3691" s="78" t="str">
        <f>IFERROR(PROPER(VLOOKUP(F3654,STUDENT!$A$2:$BP$101,5,0)),"")</f>
        <v/>
      </c>
      <c r="G3691" s="78"/>
      <c r="H3691" s="78"/>
      <c r="I3691" s="78"/>
      <c r="J3691" s="78"/>
      <c r="K3691" s="78"/>
      <c r="L3691" s="78"/>
      <c r="M3691" s="78"/>
      <c r="N3691" s="79" t="s">
        <v>759</v>
      </c>
      <c r="O3691" s="79"/>
      <c r="P3691" s="19"/>
      <c r="Q3691" s="19"/>
      <c r="R3691" s="11"/>
    </row>
    <row r="3692" s="1" customFormat="1" ht="21.95" customHeight="1" spans="1:19">
      <c r="A3692" s="7"/>
      <c r="B3692" s="12"/>
      <c r="C3692" s="33"/>
      <c r="D3692" s="80" t="s">
        <v>760</v>
      </c>
      <c r="E3692" s="81" t="str">
        <f>IFERROR(PROPER(VLOOKUP(F3654,STUDENT!$A$2:$BP$101,9,0)),"")</f>
        <v/>
      </c>
      <c r="F3692" s="81"/>
      <c r="G3692" s="81"/>
      <c r="H3692" s="80" t="s">
        <v>761</v>
      </c>
      <c r="I3692" s="82" t="str">
        <f>IFERROR(PROPER(VLOOKUP(F3654,STUDENT!$A$2:$BP$101,8,0)),"")</f>
        <v/>
      </c>
      <c r="J3692" s="82"/>
      <c r="K3692" s="82"/>
      <c r="L3692" s="82"/>
      <c r="M3692" s="80" t="s">
        <v>762</v>
      </c>
      <c r="N3692" s="83" t="str">
        <f>IFERROR(VLOOKUP(F3654,STUDENT!$A$2:$BP$101,59,0),"")</f>
        <v/>
      </c>
      <c r="O3692" s="83"/>
      <c r="P3692" s="19"/>
      <c r="Q3692" s="19"/>
      <c r="R3692" s="11"/>
    </row>
    <row r="3693" s="1" customFormat="1" ht="21.95" customHeight="1" spans="1:19">
      <c r="A3693" s="7"/>
      <c r="B3693" s="12"/>
      <c r="C3693" s="33"/>
      <c r="D3693" s="77" t="str">
        <f>"has    completed     his  /  her     primary     level     education    in    the    year    "&amp;RIGHT(ENTRY!$D3659,4)&amp;"    from    ( School    Name )"</f>
        <v>has    completed     his  /  her     primary     level     education    in    the    year        from    ( School    Name )</v>
      </c>
      <c r="E3693" s="77"/>
      <c r="F3693" s="77"/>
      <c r="G3693" s="77"/>
      <c r="H3693" s="77"/>
      <c r="I3693" s="77"/>
      <c r="J3693" s="77"/>
      <c r="K3693" s="77"/>
      <c r="L3693" s="77"/>
      <c r="M3693" s="77"/>
      <c r="N3693" s="77"/>
      <c r="O3693" s="77"/>
      <c r="P3693" s="19"/>
      <c r="Q3693" s="19"/>
      <c r="R3693" s="11"/>
    </row>
    <row r="3694" s="1" customFormat="1" ht="21.95" customHeight="1" spans="1:19">
      <c r="A3694" s="7"/>
      <c r="B3694" s="12"/>
      <c r="C3694" s="33"/>
      <c r="D3694" s="81" t="str">
        <f>IF(F3654&gt;0,ENTRY!$D$6,"")</f>
        <v>MCP NITHARI NO 1 BOYS</v>
      </c>
      <c r="E3694" s="81"/>
      <c r="F3694" s="81"/>
      <c r="G3694" s="81"/>
      <c r="H3694" s="81"/>
      <c r="I3694" s="81"/>
      <c r="J3694" s="81"/>
      <c r="K3694" s="81"/>
      <c r="L3694" s="81"/>
      <c r="M3694" s="80" t="s">
        <v>763</v>
      </c>
      <c r="N3694" s="84">
        <f>IF(F3654&gt;0,ENTRY!$D$7,"")</f>
        <v>0</v>
      </c>
      <c r="O3694" s="84"/>
      <c r="P3694" s="85" t="s">
        <v>727</v>
      </c>
      <c r="Q3694" s="19"/>
      <c r="R3694" s="11"/>
    </row>
    <row r="3695" s="1" customFormat="1" ht="21.95" customHeight="1" spans="1:19">
      <c r="A3695" s="7"/>
      <c r="B3695" s="12"/>
      <c r="C3695" s="33"/>
      <c r="D3695" s="29"/>
      <c r="E3695" s="29"/>
      <c r="F3695" s="29"/>
      <c r="G3695" s="29"/>
      <c r="H3695" s="29"/>
      <c r="I3695" s="29"/>
      <c r="J3695" s="29"/>
      <c r="K3695" s="29"/>
      <c r="L3695" s="29"/>
      <c r="M3695" s="29"/>
      <c r="N3695" s="29"/>
      <c r="O3695" s="29"/>
      <c r="P3695" s="19"/>
      <c r="Q3695" s="19"/>
      <c r="R3695" s="11"/>
    </row>
    <row r="3696" s="1" customFormat="1" ht="21.95" customHeight="1" spans="1:19">
      <c r="A3696" s="7"/>
      <c r="B3696" s="12"/>
      <c r="C3696" s="33"/>
      <c r="D3696" s="29"/>
      <c r="E3696" s="29"/>
      <c r="F3696" s="29"/>
      <c r="G3696" s="29"/>
      <c r="H3696" s="29"/>
      <c r="I3696" s="29"/>
      <c r="J3696" s="29"/>
      <c r="K3696" s="29"/>
      <c r="L3696" s="29"/>
      <c r="M3696" s="29"/>
      <c r="N3696" s="29"/>
      <c r="O3696" s="29"/>
      <c r="P3696" s="19"/>
      <c r="Q3696" s="19"/>
      <c r="R3696" s="11"/>
    </row>
    <row r="3697" s="1" customFormat="1" ht="21.95" customHeight="1" spans="1:18">
      <c r="A3697" s="7"/>
      <c r="B3697" s="12"/>
      <c r="C3697" s="33"/>
      <c r="D3697" s="29"/>
      <c r="E3697" s="29"/>
      <c r="F3697" s="29"/>
      <c r="G3697" s="29"/>
      <c r="H3697" s="29"/>
      <c r="I3697" s="29"/>
      <c r="J3697" s="29"/>
      <c r="K3697" s="29"/>
      <c r="L3697" s="29"/>
      <c r="M3697" s="29"/>
      <c r="N3697" s="29"/>
      <c r="O3697" s="29"/>
      <c r="P3697" s="19"/>
      <c r="Q3697" s="19"/>
      <c r="R3697" s="11"/>
    </row>
    <row r="3698" s="1" customFormat="1" ht="21.95" customHeight="1" spans="1:18">
      <c r="A3698" s="7"/>
      <c r="B3698" s="12"/>
      <c r="C3698" s="33"/>
      <c r="D3698" s="29"/>
      <c r="E3698" s="29"/>
      <c r="F3698" s="29"/>
      <c r="G3698" s="29"/>
      <c r="H3698" s="29"/>
      <c r="I3698" s="29"/>
      <c r="J3698" s="29"/>
      <c r="K3698" s="29"/>
      <c r="L3698" s="29"/>
      <c r="M3698" s="29"/>
      <c r="N3698" s="29"/>
      <c r="O3698" s="29"/>
      <c r="P3698" s="19"/>
      <c r="Q3698" s="19"/>
      <c r="R3698" s="11"/>
    </row>
    <row r="3699" s="1" customFormat="1" ht="21.95" customHeight="1" spans="1:18">
      <c r="A3699" s="7"/>
      <c r="B3699" s="12"/>
      <c r="C3699" s="33"/>
      <c r="D3699" s="29"/>
      <c r="E3699" s="29"/>
      <c r="F3699" s="29"/>
      <c r="G3699" s="29"/>
      <c r="H3699" s="29"/>
      <c r="I3699" s="29"/>
      <c r="J3699" s="29"/>
      <c r="K3699" s="29"/>
      <c r="L3699" s="29"/>
      <c r="M3699" s="29"/>
      <c r="N3699" s="29"/>
      <c r="O3699" s="29"/>
      <c r="P3699" s="19"/>
      <c r="Q3699" s="19"/>
      <c r="R3699" s="11"/>
    </row>
    <row r="3700" s="1" customFormat="1" ht="21.95" customHeight="1" spans="1:18">
      <c r="A3700" s="7"/>
      <c r="B3700" s="12"/>
      <c r="C3700" s="33"/>
      <c r="D3700" s="80" t="s">
        <v>728</v>
      </c>
      <c r="E3700" s="86">
        <f>ENTRY!$D$27</f>
        <v>46102</v>
      </c>
      <c r="F3700" s="86"/>
      <c r="G3700" s="29"/>
      <c r="H3700" s="29"/>
      <c r="I3700" s="29"/>
      <c r="J3700" s="29"/>
      <c r="K3700" s="29"/>
      <c r="L3700" s="29"/>
      <c r="M3700" s="87" t="s">
        <v>730</v>
      </c>
      <c r="N3700" s="87"/>
      <c r="O3700" s="87"/>
      <c r="P3700" s="19"/>
      <c r="Q3700" s="19"/>
      <c r="R3700" s="11"/>
    </row>
    <row r="3701" s="1" customFormat="1" ht="21.95" customHeight="1" spans="1:18">
      <c r="A3701" s="7"/>
      <c r="B3701" s="12"/>
      <c r="C3701" s="33"/>
      <c r="D3701" s="80" t="s">
        <v>731</v>
      </c>
      <c r="E3701" s="88" t="str">
        <f>PROPER(ENTRY!$D$28)</f>
        <v>New Delhi</v>
      </c>
      <c r="F3701" s="88"/>
      <c r="G3701" s="29"/>
      <c r="H3701" s="29"/>
      <c r="I3701" s="29"/>
      <c r="J3701" s="29"/>
      <c r="K3701" s="29"/>
      <c r="L3701" s="29"/>
      <c r="M3701" s="89" t="s">
        <v>732</v>
      </c>
      <c r="N3701" s="89"/>
      <c r="O3701" s="89"/>
      <c r="P3701" s="19"/>
      <c r="Q3701" s="19"/>
      <c r="R3701" s="11"/>
    </row>
    <row r="3702" s="1" customFormat="1" ht="21.95" customHeight="1" spans="1:18">
      <c r="A3702" s="7"/>
      <c r="B3702" s="12"/>
      <c r="C3702" s="90"/>
      <c r="D3702" s="91"/>
      <c r="E3702" s="91"/>
      <c r="F3702" s="91"/>
      <c r="G3702" s="91"/>
      <c r="H3702" s="91"/>
      <c r="I3702" s="91"/>
      <c r="J3702" s="91"/>
      <c r="K3702" s="91"/>
      <c r="L3702" s="91"/>
      <c r="M3702" s="91"/>
      <c r="N3702" s="91"/>
      <c r="O3702" s="91"/>
      <c r="P3702" s="92"/>
      <c r="Q3702" s="14"/>
      <c r="R3702" s="11"/>
    </row>
    <row r="3703" s="1" customFormat="1" ht="5.1" customHeight="1" spans="1:18">
      <c r="A3703" s="7"/>
      <c r="B3703" s="90"/>
      <c r="C3703" s="91"/>
      <c r="D3703" s="91"/>
      <c r="E3703" s="91"/>
      <c r="F3703" s="91"/>
      <c r="G3703" s="91"/>
      <c r="H3703" s="91"/>
      <c r="I3703" s="91"/>
      <c r="J3703" s="91"/>
      <c r="K3703" s="91"/>
      <c r="L3703" s="91"/>
      <c r="M3703" s="91"/>
      <c r="N3703" s="91"/>
      <c r="O3703" s="91"/>
      <c r="P3703" s="91"/>
      <c r="Q3703" s="92"/>
      <c r="R3703" s="11"/>
    </row>
    <row r="3704" s="1" customFormat="1" ht="5.1" customHeight="1" spans="1:18">
      <c r="A3704" s="93"/>
      <c r="B3704" s="94"/>
      <c r="C3704" s="94"/>
      <c r="D3704" s="94"/>
      <c r="E3704" s="94"/>
      <c r="F3704" s="94"/>
      <c r="G3704" s="94"/>
      <c r="H3704" s="94"/>
      <c r="I3704" s="94"/>
      <c r="J3704" s="94"/>
      <c r="K3704" s="94"/>
      <c r="L3704" s="94"/>
      <c r="M3704" s="94"/>
      <c r="N3704" s="94"/>
      <c r="O3704" s="94"/>
      <c r="P3704" s="94"/>
      <c r="Q3704" s="94"/>
      <c r="R3704" s="95"/>
    </row>
    <row r="3705" s="2" customFormat="1" ht="9.95" customHeight="1"/>
    <row r="3706" s="1" customFormat="1" ht="5.1" customHeight="1" spans="1:18">
      <c r="A3706" s="4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  <c r="O3706" s="5"/>
      <c r="P3706" s="5"/>
      <c r="Q3706" s="5"/>
      <c r="R3706" s="6"/>
    </row>
    <row r="3707" s="1" customFormat="1" ht="15" customHeight="1" spans="1:18">
      <c r="A3707" s="7"/>
      <c r="B3707" s="8"/>
      <c r="C3707" s="9"/>
      <c r="D3707" s="9"/>
      <c r="E3707" s="9"/>
      <c r="F3707" s="9"/>
      <c r="G3707" s="9"/>
      <c r="H3707" s="9"/>
      <c r="I3707" s="9"/>
      <c r="J3707" s="9"/>
      <c r="K3707" s="9"/>
      <c r="L3707" s="9"/>
      <c r="M3707" s="9"/>
      <c r="N3707" s="9"/>
      <c r="O3707" s="9"/>
      <c r="P3707" s="9"/>
      <c r="Q3707" s="10"/>
      <c r="R3707" s="11"/>
    </row>
    <row r="3708" s="1" customFormat="1" ht="21.95" customHeight="1" spans="1:18">
      <c r="A3708" s="7"/>
      <c r="B3708" s="12"/>
      <c r="C3708" s="13" t="s">
        <v>7</v>
      </c>
      <c r="D3708" s="13"/>
      <c r="E3708" s="13"/>
      <c r="F3708" s="13"/>
      <c r="G3708" s="13"/>
      <c r="H3708" s="13"/>
      <c r="I3708" s="13"/>
      <c r="J3708" s="13"/>
      <c r="K3708" s="13"/>
      <c r="L3708" s="13"/>
      <c r="M3708" s="13"/>
      <c r="N3708" s="13"/>
      <c r="O3708" s="13"/>
      <c r="P3708" s="13"/>
      <c r="Q3708" s="14"/>
      <c r="R3708" s="11"/>
    </row>
    <row r="3709" s="1" customFormat="1" ht="21.95" customHeight="1" spans="1:18">
      <c r="A3709" s="7"/>
      <c r="B3709" s="1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14"/>
      <c r="R3709" s="11"/>
    </row>
    <row r="3710" s="1" customFormat="1" ht="21.95" customHeight="1" spans="1:18">
      <c r="A3710" s="7"/>
      <c r="B3710" s="12"/>
      <c r="C3710" s="15" t="str">
        <f>"SESSION-"&amp;ENTRY!$D$11</f>
        <v>SESSION-2026-27</v>
      </c>
      <c r="D3710" s="15"/>
      <c r="E3710" s="15"/>
      <c r="F3710" s="15"/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  <c r="Q3710" s="14"/>
      <c r="R3710" s="11"/>
    </row>
    <row r="3711" s="1" customFormat="1" ht="21.95" customHeight="1" spans="1:18">
      <c r="A3711" s="7"/>
      <c r="B3711" s="12"/>
      <c r="C3711" s="2"/>
      <c r="D3711" s="2"/>
      <c r="E3711" s="2"/>
      <c r="F3711" s="16">
        <f>F3654+1</f>
        <v>66</v>
      </c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14"/>
      <c r="R3711" s="11"/>
    </row>
    <row r="3712" s="1" customFormat="1" ht="21.95" customHeight="1" spans="1:18">
      <c r="A3712" s="7"/>
      <c r="B3712" s="12"/>
      <c r="C3712" s="17" t="s">
        <v>392</v>
      </c>
      <c r="D3712" s="17"/>
      <c r="E3712" s="17"/>
      <c r="F3712" s="18" t="str">
        <f>IF(F3711&gt;0,ENTRY!$D$6,"")</f>
        <v>MCP NITHARI NO 1 BOYS</v>
      </c>
      <c r="G3712" s="18"/>
      <c r="H3712" s="18"/>
      <c r="I3712" s="18"/>
      <c r="J3712" s="18"/>
      <c r="K3712" s="18"/>
      <c r="L3712" s="18"/>
      <c r="M3712" s="18"/>
      <c r="N3712" s="18"/>
      <c r="O3712" s="18"/>
      <c r="P3712" s="18"/>
      <c r="Q3712" s="19"/>
      <c r="R3712" s="11"/>
    </row>
    <row r="3713" s="1" customFormat="1" ht="21.95" customHeight="1" spans="1:18">
      <c r="A3713" s="7"/>
      <c r="B3713" s="12"/>
      <c r="C3713" s="17" t="s">
        <v>393</v>
      </c>
      <c r="D3713" s="17"/>
      <c r="E3713" s="17"/>
      <c r="F3713" s="18">
        <f>IF(F3711&gt;0,ENTRY!$D$7,"")</f>
        <v>0</v>
      </c>
      <c r="G3713" s="18"/>
      <c r="H3713" s="20" t="s">
        <v>702</v>
      </c>
      <c r="I3713" s="20"/>
      <c r="J3713" s="21">
        <f>IF(F3711&gt;0,ENTRY!$D$10,"")</f>
        <v>40</v>
      </c>
      <c r="K3713" s="20" t="s">
        <v>703</v>
      </c>
      <c r="L3713" s="22" t="str">
        <f>IF(F3711&gt;0,ENTRY!$D$5,"")</f>
        <v>ROHINI ZONE</v>
      </c>
      <c r="M3713" s="22"/>
      <c r="N3713" s="22"/>
      <c r="O3713" s="22"/>
      <c r="P3713" s="22"/>
      <c r="Q3713" s="19"/>
      <c r="R3713" s="11"/>
    </row>
    <row r="3714" s="1" customFormat="1" ht="21.95" customHeight="1" spans="1:18">
      <c r="A3714" s="7"/>
      <c r="B3714" s="12"/>
      <c r="C3714" s="17" t="s">
        <v>706</v>
      </c>
      <c r="D3714" s="17"/>
      <c r="E3714" s="17"/>
      <c r="F3714" s="23">
        <f>IFERROR(VLOOKUP(F3711,STUDENT!$A$2:$BP$101,5,0),"")</f>
        <v>0</v>
      </c>
      <c r="G3714" s="23"/>
      <c r="H3714" s="23"/>
      <c r="I3714" s="23"/>
      <c r="J3714" s="23"/>
      <c r="K3714" s="23"/>
      <c r="L3714" s="20" t="s">
        <v>707</v>
      </c>
      <c r="M3714" s="20"/>
      <c r="N3714" s="24" t="str">
        <f>IF(F3711&gt;0,ENTRY!$D$20&amp;"-"&amp;ENTRY!$D$21,"")</f>
        <v>III-A</v>
      </c>
      <c r="O3714" s="24"/>
      <c r="P3714" s="24"/>
      <c r="Q3714" s="19"/>
      <c r="R3714" s="11"/>
    </row>
    <row r="3715" s="1" customFormat="1" ht="21.95" customHeight="1" spans="1:18">
      <c r="A3715" s="7"/>
      <c r="B3715" s="12"/>
      <c r="C3715" s="17" t="s">
        <v>708</v>
      </c>
      <c r="D3715" s="17"/>
      <c r="E3715" s="17"/>
      <c r="F3715" s="25">
        <f>IFERROR(VLOOKUP(F3711,STUDENT!$A$2:$BP$101,6,0),"")</f>
        <v>0</v>
      </c>
      <c r="G3715" s="25"/>
      <c r="H3715" s="26" t="s">
        <v>709</v>
      </c>
      <c r="I3715" s="27" t="str">
        <f>IFERROR(VLOOKUP(F3711,STUDENT!$A$2:$BP$101,59,0),"")</f>
        <v/>
      </c>
      <c r="J3715" s="27"/>
      <c r="K3715" s="20" t="s">
        <v>710</v>
      </c>
      <c r="L3715" s="20"/>
      <c r="M3715" s="28">
        <f>IFERROR(VLOOKUP(F3711,STUDENT!$A$2:$BP$101,20,0),"")</f>
        <v>0</v>
      </c>
      <c r="N3715" s="28"/>
      <c r="O3715" s="28"/>
      <c r="P3715" s="28"/>
      <c r="Q3715" s="19"/>
      <c r="R3715" s="11"/>
    </row>
    <row r="3716" s="1" customFormat="1" ht="21.95" customHeight="1" spans="1:18">
      <c r="A3716" s="7"/>
      <c r="B3716" s="12"/>
      <c r="C3716" s="17" t="s">
        <v>711</v>
      </c>
      <c r="D3716" s="17"/>
      <c r="E3716" s="17"/>
      <c r="F3716" s="23">
        <f>IFERROR(VLOOKUP(F3711,STUDENT!$A$2:$BP$101,9,0),"")</f>
        <v>0</v>
      </c>
      <c r="G3716" s="23"/>
      <c r="H3716" s="23"/>
      <c r="I3716" s="23"/>
      <c r="J3716" s="17" t="s">
        <v>620</v>
      </c>
      <c r="K3716" s="17"/>
      <c r="L3716" s="23">
        <f>IFERROR(VLOOKUP(F3711,STUDENT!$A$2:$BP$101,8,0),"")</f>
        <v>0</v>
      </c>
      <c r="M3716" s="23"/>
      <c r="N3716" s="23"/>
      <c r="O3716" s="23"/>
      <c r="P3716" s="23"/>
      <c r="Q3716" s="19"/>
      <c r="R3716" s="11"/>
    </row>
    <row r="3717" s="1" customFormat="1" ht="21.95" customHeight="1" spans="1:18">
      <c r="A3717" s="7"/>
      <c r="B3717" s="12"/>
      <c r="C3717" s="17" t="s">
        <v>712</v>
      </c>
      <c r="D3717" s="17"/>
      <c r="E3717" s="17"/>
      <c r="F3717" s="23">
        <f>IFERROR(VLOOKUP(F3711,STUDENT!$A$2:$BP$101,22,0),"")</f>
        <v>0</v>
      </c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19"/>
      <c r="R3717" s="11"/>
    </row>
    <row r="3718" s="1" customFormat="1" ht="9.95" customHeight="1" spans="1:18">
      <c r="A3718" s="7"/>
      <c r="B3718" s="12"/>
      <c r="C3718" s="29"/>
      <c r="D3718" s="29"/>
      <c r="E3718" s="29"/>
      <c r="F3718" s="29"/>
      <c r="G3718" s="29"/>
      <c r="H3718" s="29"/>
      <c r="I3718" s="29"/>
      <c r="J3718" s="29"/>
      <c r="K3718" s="29"/>
      <c r="L3718" s="29"/>
      <c r="M3718" s="29"/>
      <c r="N3718" s="29"/>
      <c r="O3718" s="29"/>
      <c r="P3718" s="29"/>
      <c r="Q3718" s="19"/>
      <c r="R3718" s="11"/>
    </row>
    <row r="3719" s="1" customFormat="1" ht="9.95" customHeight="1" spans="1:18">
      <c r="A3719" s="7"/>
      <c r="B3719" s="12"/>
      <c r="C3719" s="30"/>
      <c r="D3719" s="31"/>
      <c r="E3719" s="31"/>
      <c r="F3719" s="31"/>
      <c r="G3719" s="31"/>
      <c r="H3719" s="31"/>
      <c r="I3719" s="31"/>
      <c r="J3719" s="31"/>
      <c r="K3719" s="31"/>
      <c r="L3719" s="31"/>
      <c r="M3719" s="31"/>
      <c r="N3719" s="31"/>
      <c r="O3719" s="31"/>
      <c r="P3719" s="32"/>
      <c r="Q3719" s="19"/>
      <c r="R3719" s="11"/>
    </row>
    <row r="3720" s="1" customFormat="1" ht="21.95" customHeight="1" spans="1:18">
      <c r="A3720" s="7"/>
      <c r="B3720" s="12"/>
      <c r="C3720" s="33"/>
      <c r="D3720" s="34" t="s">
        <v>713</v>
      </c>
      <c r="E3720" s="20" t="s">
        <v>714</v>
      </c>
      <c r="F3720" s="35" t="str">
        <f>"Level - "&amp;IFERROR(VLOOKUP(F3711,FLN!$A$4:$K$103,9,0),"")</f>
        <v>Level - </v>
      </c>
      <c r="G3720" s="36"/>
      <c r="H3720" s="37" t="s">
        <v>715</v>
      </c>
      <c r="I3720" s="20"/>
      <c r="J3720" s="35" t="str">
        <f>"Level - "&amp;IFERROR(VLOOKUP(F3711,FLN!$A$4:$K$103,11,0),"")</f>
        <v>Level - </v>
      </c>
      <c r="K3720" s="36"/>
      <c r="L3720" s="37" t="s">
        <v>408</v>
      </c>
      <c r="M3720" s="20"/>
      <c r="N3720" s="35" t="str">
        <f>"Level - "&amp;IFERROR(VLOOKUP(F3711,FLN!$A$4:$K$103,10,0),"")</f>
        <v>Level - </v>
      </c>
      <c r="O3720" s="36"/>
      <c r="P3720" s="19"/>
      <c r="Q3720" s="19"/>
      <c r="R3720" s="11"/>
    </row>
    <row r="3721" s="1" customFormat="1" ht="21.95" customHeight="1" spans="1:18">
      <c r="A3721" s="7"/>
      <c r="B3721" s="12"/>
      <c r="C3721" s="33"/>
      <c r="D3721" s="38"/>
      <c r="E3721" s="20" t="s">
        <v>716</v>
      </c>
      <c r="F3721" s="18" t="str">
        <f ca="1">IF(L3735&gt;197,"PERFORMED WELL","")</f>
        <v/>
      </c>
      <c r="G3721" s="18"/>
      <c r="H3721" s="18"/>
      <c r="I3721" s="18"/>
      <c r="J3721" s="18"/>
      <c r="K3721" s="18"/>
      <c r="L3721" s="18"/>
      <c r="M3721" s="18"/>
      <c r="N3721" s="18"/>
      <c r="O3721" s="18"/>
      <c r="P3721" s="19"/>
      <c r="Q3721" s="19"/>
      <c r="R3721" s="11"/>
    </row>
    <row r="3722" s="1" customFormat="1" ht="9.95" customHeight="1" spans="1:18">
      <c r="A3722" s="7"/>
      <c r="B3722" s="12"/>
      <c r="C3722" s="39"/>
      <c r="D3722" s="40"/>
      <c r="E3722" s="40"/>
      <c r="F3722" s="40"/>
      <c r="G3722" s="40"/>
      <c r="H3722" s="40"/>
      <c r="I3722" s="40"/>
      <c r="J3722" s="40"/>
      <c r="K3722" s="40"/>
      <c r="L3722" s="40"/>
      <c r="M3722" s="40"/>
      <c r="N3722" s="40"/>
      <c r="O3722" s="40"/>
      <c r="P3722" s="41"/>
      <c r="Q3722" s="19"/>
      <c r="R3722" s="11"/>
    </row>
    <row r="3723" s="1" customFormat="1" ht="9.95" customHeight="1" spans="1:18">
      <c r="A3723" s="7"/>
      <c r="B3723" s="12"/>
      <c r="C3723" s="29"/>
      <c r="D3723" s="29"/>
      <c r="E3723" s="29"/>
      <c r="F3723" s="29"/>
      <c r="G3723" s="29"/>
      <c r="H3723" s="29"/>
      <c r="I3723" s="29"/>
      <c r="J3723" s="29"/>
      <c r="K3723" s="29"/>
      <c r="L3723" s="29"/>
      <c r="M3723" s="29"/>
      <c r="N3723" s="29"/>
      <c r="O3723" s="29"/>
      <c r="P3723" s="29"/>
      <c r="Q3723" s="19"/>
      <c r="R3723" s="11"/>
    </row>
    <row r="3724" s="1" customFormat="1" ht="9.95" customHeight="1" spans="1:18">
      <c r="A3724" s="7"/>
      <c r="B3724" s="12"/>
      <c r="C3724" s="30"/>
      <c r="D3724" s="31"/>
      <c r="E3724" s="31"/>
      <c r="F3724" s="31"/>
      <c r="G3724" s="31"/>
      <c r="H3724" s="31"/>
      <c r="I3724" s="31"/>
      <c r="J3724" s="31"/>
      <c r="K3724" s="31"/>
      <c r="L3724" s="31"/>
      <c r="M3724" s="31"/>
      <c r="N3724" s="31"/>
      <c r="O3724" s="31"/>
      <c r="P3724" s="32"/>
      <c r="Q3724" s="19"/>
      <c r="R3724" s="11"/>
    </row>
    <row r="3725" s="1" customFormat="1" ht="21.95" customHeight="1" spans="1:18">
      <c r="A3725" s="7"/>
      <c r="B3725" s="12"/>
      <c r="C3725" s="33"/>
      <c r="D3725" s="35"/>
      <c r="E3725" s="24"/>
      <c r="F3725" s="42" t="s">
        <v>717</v>
      </c>
      <c r="G3725" s="42"/>
      <c r="H3725" s="42"/>
      <c r="I3725" s="42"/>
      <c r="J3725" s="42"/>
      <c r="K3725" s="42"/>
      <c r="L3725" s="43"/>
      <c r="M3725" s="44"/>
      <c r="N3725" s="29"/>
      <c r="O3725" s="29"/>
      <c r="P3725" s="19"/>
      <c r="Q3725" s="19"/>
      <c r="R3725" s="11"/>
    </row>
    <row r="3726" s="1" customFormat="1" ht="21.95" customHeight="1" spans="1:18">
      <c r="A3726" s="7"/>
      <c r="B3726" s="12"/>
      <c r="C3726" s="33"/>
      <c r="D3726" s="45"/>
      <c r="E3726" s="46"/>
      <c r="F3726" s="47" t="s">
        <v>541</v>
      </c>
      <c r="G3726" s="47" t="s">
        <v>542</v>
      </c>
      <c r="H3726" s="47" t="s">
        <v>543</v>
      </c>
      <c r="I3726" s="47" t="s">
        <v>544</v>
      </c>
      <c r="J3726" s="47" t="s">
        <v>561</v>
      </c>
      <c r="K3726" s="48" t="s">
        <v>750</v>
      </c>
      <c r="L3726" s="47" t="s">
        <v>382</v>
      </c>
      <c r="M3726" s="49" t="s">
        <v>546</v>
      </c>
      <c r="N3726" s="29"/>
      <c r="O3726" s="29"/>
      <c r="P3726" s="19"/>
      <c r="Q3726" s="19"/>
      <c r="R3726" s="11"/>
    </row>
    <row r="3727" s="1" customFormat="1" ht="21.95" customHeight="1" spans="1:18">
      <c r="A3727" s="7"/>
      <c r="B3727" s="12"/>
      <c r="C3727" s="33"/>
      <c r="D3727" s="45" t="s">
        <v>652</v>
      </c>
      <c r="E3727" s="46"/>
      <c r="F3727" s="50">
        <v>10</v>
      </c>
      <c r="G3727" s="50">
        <v>10</v>
      </c>
      <c r="H3727" s="50">
        <v>10</v>
      </c>
      <c r="I3727" s="50">
        <v>10</v>
      </c>
      <c r="J3727" s="50">
        <v>60</v>
      </c>
      <c r="K3727" s="51"/>
      <c r="L3727" s="50">
        <v>100</v>
      </c>
      <c r="M3727" s="49"/>
      <c r="N3727" s="29"/>
      <c r="O3727" s="29"/>
      <c r="P3727" s="19"/>
      <c r="Q3727" s="19"/>
      <c r="R3727" s="11"/>
    </row>
    <row r="3728" s="1" customFormat="1" ht="21.95" customHeight="1" spans="1:18">
      <c r="A3728" s="7"/>
      <c r="B3728" s="12"/>
      <c r="C3728" s="33"/>
      <c r="D3728" s="52" t="s">
        <v>751</v>
      </c>
      <c r="E3728" s="53"/>
      <c r="F3728" s="54" t="str">
        <f ca="1">IFERROR(VLOOKUP(F3711,'RR-3.1-5TH'!$A$12:'RR-3.1-5TH'!$BN$111,9,0),"")</f>
        <v/>
      </c>
      <c r="G3728" s="54" t="str">
        <f ca="1">IFERROR(VLOOKUP(F3711,'RR-3.1-5TH'!$A$12:'RR-3.1-5TH'!$BN$111,10,0),"")</f>
        <v/>
      </c>
      <c r="H3728" s="54" t="str">
        <f ca="1">IFERROR(VLOOKUP(F3711,'RR-3.1-5TH'!$A$12:'RR-3.1-5TH'!$BN$111,11,0),"")</f>
        <v/>
      </c>
      <c r="I3728" s="54" t="str">
        <f ca="1">IFERROR(VLOOKUP(F3711,'RR-3.1-5TH'!$A$12:'RR-3.1-5TH'!$BN$111,12,0),"")</f>
        <v/>
      </c>
      <c r="J3728" s="54" t="str">
        <f ca="1">IFERROR(VLOOKUP(F3711,'RR-3.1-5TH'!$A$12:'RR-3.1-5TH'!$BN$111,13,0),"")</f>
        <v/>
      </c>
      <c r="K3728" s="54" t="str">
        <f ca="1">IFERROR(VLOOKUP(F3711,'RR-3.1-5TH'!$A$12:'RR-3.1-5TH'!$BN$111,14,0),"")</f>
        <v/>
      </c>
      <c r="L3728" s="55">
        <f ca="1" t="shared" ref="L3728:L3733" si="195">SUM(F3728,G3728,H3728,I3728,J3728,K3728)</f>
        <v>0</v>
      </c>
      <c r="M3728" s="56" t="str">
        <f ca="1">IF(F3711&gt;ENTRY!$D$24,"",IF(L3728=0,"Ab",IF(L3728&gt;80,"A",IF(L3728&gt;60,"B",IF(L3728&gt;44,"C",IF(L3728&gt;=33,"D",IF(L3728&lt;=32,"E","")))))))</f>
        <v/>
      </c>
      <c r="N3728" s="57" t="s">
        <v>729</v>
      </c>
      <c r="O3728" s="58"/>
      <c r="P3728" s="59"/>
      <c r="Q3728" s="19"/>
      <c r="R3728" s="11"/>
    </row>
    <row r="3729" s="1" customFormat="1" ht="21.95" customHeight="1" spans="1:19">
      <c r="A3729" s="7"/>
      <c r="B3729" s="12"/>
      <c r="C3729" s="33"/>
      <c r="D3729" s="52" t="s">
        <v>513</v>
      </c>
      <c r="E3729" s="53"/>
      <c r="F3729" s="54" t="str">
        <f ca="1">IFERROR(VLOOKUP(F3711,'RR-3.1-5TH'!$A$12:'RR-3.1-5TH'!$BN$111,17,0),"")</f>
        <v/>
      </c>
      <c r="G3729" s="54" t="str">
        <f ca="1">IFERROR(VLOOKUP(F3711,'RR-3.1-5TH'!$A$12:'RR-3.1-5TH'!$BN$111,18,0),"")</f>
        <v/>
      </c>
      <c r="H3729" s="54" t="str">
        <f ca="1">IFERROR(VLOOKUP(F3711,'RR-3.1-5TH'!$A$12:'RR-3.1-5TH'!$BN$111,19,0),"")</f>
        <v/>
      </c>
      <c r="I3729" s="54" t="str">
        <f ca="1">IFERROR(VLOOKUP(F3711,'RR-3.1-5TH'!$A$12:'RR-3.1-5TH'!$BN$111,20,0),"")</f>
        <v/>
      </c>
      <c r="J3729" s="54" t="str">
        <f ca="1">IFERROR(VLOOKUP(F3711,'RR-3.1-5TH'!$A$12:'RR-3.1-5TH'!$BN$111,21,0),"")</f>
        <v/>
      </c>
      <c r="K3729" s="54" t="str">
        <f ca="1">IFERROR(VLOOKUP(F3711,'RR-3.1-5TH'!$A$12:'RR-3.1-5TH'!$BN$111,22,0),"")</f>
        <v/>
      </c>
      <c r="L3729" s="55">
        <f ca="1" t="shared" si="195"/>
        <v>0</v>
      </c>
      <c r="M3729" s="56" t="str">
        <f ca="1">IF(F3711&gt;ENTRY!$D$24,"",IF(L3729=0,"Ab",IF(L3729&gt;80,"A",IF(L3729&gt;60,"B",IF(L3729&gt;44,"C",IF(L3729&gt;=33,"D",IF(L3729&lt;=32,"E","")))))))</f>
        <v/>
      </c>
      <c r="N3729" s="58"/>
      <c r="O3729" s="58"/>
      <c r="P3729" s="59"/>
      <c r="Q3729" s="19"/>
      <c r="R3729" s="11"/>
    </row>
    <row r="3730" s="1" customFormat="1" ht="21.95" customHeight="1" spans="1:19">
      <c r="A3730" s="7"/>
      <c r="B3730" s="12"/>
      <c r="C3730" s="33"/>
      <c r="D3730" s="52" t="s">
        <v>718</v>
      </c>
      <c r="E3730" s="53"/>
      <c r="F3730" s="54" t="str">
        <f ca="1">IFERROR(VLOOKUP(F3711,'RR-3.1-5TH'!$A$12:'RR-3.1-5TH'!$BN$111,25,0),"")</f>
        <v/>
      </c>
      <c r="G3730" s="54" t="str">
        <f ca="1">IFERROR(VLOOKUP(F3711,'RR-3.1-5TH'!$A$12:'RR-3.1-5TH'!$BN$111,26,0),"")</f>
        <v/>
      </c>
      <c r="H3730" s="54" t="str">
        <f ca="1">IFERROR(VLOOKUP(F3711,'RR-3.1-5TH'!$A$12:'RR-3.1-5TH'!$BN$111,27,0),"")</f>
        <v/>
      </c>
      <c r="I3730" s="54" t="str">
        <f ca="1">IFERROR(VLOOKUP(F3711,'RR-3.1-5TH'!$A$12:'RR-3.1-5TH'!$BN$111,28,0),"")</f>
        <v/>
      </c>
      <c r="J3730" s="54" t="str">
        <f ca="1">IFERROR(VLOOKUP(F3711,'RR-3.1-5TH'!$A$12:'RR-3.1-5TH'!$BN$111,29,0),"")</f>
        <v/>
      </c>
      <c r="K3730" s="54" t="str">
        <f ca="1">IFERROR(VLOOKUP(F3711,'RR-3.1-5TH'!$A$12:'RR-3.1-5TH'!$BN$111,30,0),"")</f>
        <v/>
      </c>
      <c r="L3730" s="55">
        <f ca="1" t="shared" si="195"/>
        <v>0</v>
      </c>
      <c r="M3730" s="56" t="str">
        <f ca="1">IF(F3711&gt;ENTRY!$D$24,"",IF(L3730=0,"Ab",IF(L3730&gt;80,"A",IF(L3730&gt;60,"B",IF(L3730&gt;44,"C",IF(L3730&gt;=33,"D",IF(L3730&lt;=32,"E","")))))))</f>
        <v/>
      </c>
      <c r="N3730" s="29"/>
      <c r="O3730" s="29"/>
      <c r="P3730" s="19"/>
      <c r="Q3730" s="19"/>
      <c r="R3730" s="11"/>
    </row>
    <row r="3731" s="1" customFormat="1" ht="21.95" customHeight="1" spans="1:19">
      <c r="A3731" s="7"/>
      <c r="B3731" s="12"/>
      <c r="C3731" s="33"/>
      <c r="D3731" s="52" t="s">
        <v>719</v>
      </c>
      <c r="E3731" s="53"/>
      <c r="F3731" s="54" t="str">
        <f ca="1">IFERROR(VLOOKUP(F3711,'RR-3.1-5TH'!$A$12:'RR-3.1-5TH'!$BN$111,33,0),"")</f>
        <v/>
      </c>
      <c r="G3731" s="54" t="str">
        <f ca="1">IFERROR(VLOOKUP(F3711,'RR-3.1-5TH'!$A$12:'RR-3.1-5TH'!$BN$111,34,0),"")</f>
        <v/>
      </c>
      <c r="H3731" s="54" t="str">
        <f ca="1">IFERROR(VLOOKUP(F3711,'RR-3.1-5TH'!$A$12:'RR-3.1-5TH'!$BN$111,35,0),"")</f>
        <v/>
      </c>
      <c r="I3731" s="54" t="str">
        <f ca="1">IFERROR(VLOOKUP(F3711,'RR-3.1-5TH'!$A$12:'RR-3.1-5TH'!$BN$111,36,0),"")</f>
        <v/>
      </c>
      <c r="J3731" s="54" t="str">
        <f ca="1">IFERROR(VLOOKUP(F3711,'RR-3.1-5TH'!$A$12:'RR-3.1-5TH'!$BN$111,37,0),"")</f>
        <v/>
      </c>
      <c r="K3731" s="54" t="str">
        <f ca="1">IFERROR(VLOOKUP(F3711,'RR-3.1-5TH'!$A$12:'RR-3.1-5TH'!$BN$111,38,0),"")</f>
        <v/>
      </c>
      <c r="L3731" s="55">
        <f ca="1" t="shared" si="195"/>
        <v>0</v>
      </c>
      <c r="M3731" s="56" t="str">
        <f ca="1">IF(F3711&gt;ENTRY!$D$24,"",IF(L3731=0,"Ab",IF(L3731&gt;80,"A",IF(L3731&gt;60,"B",IF(L3731&gt;44,"C",IF(L3731&gt;=33,"D",IF(L3731&lt;=32,"E","")))))))</f>
        <v/>
      </c>
      <c r="N3731" s="29"/>
      <c r="O3731" s="29"/>
      <c r="P3731" s="19"/>
      <c r="Q3731" s="19"/>
      <c r="R3731" s="11"/>
    </row>
    <row r="3732" s="1" customFormat="1" ht="21.95" customHeight="1" spans="1:19">
      <c r="A3732" s="7"/>
      <c r="B3732" s="12"/>
      <c r="C3732" s="33"/>
      <c r="D3732" s="52" t="s">
        <v>548</v>
      </c>
      <c r="E3732" s="53"/>
      <c r="F3732" s="54" t="str">
        <f ca="1">IFERROR(VLOOKUP(F3711,'RR-3.1-5TH'!$A$12:'RR-3.1-5TH'!$BN$111,41,0),"")</f>
        <v/>
      </c>
      <c r="G3732" s="54" t="str">
        <f ca="1">IFERROR(VLOOKUP(F3711,'RR-3.1-5TH'!$A$12:'RR-3.1-5TH'!$BN$111,42,0),"")</f>
        <v/>
      </c>
      <c r="H3732" s="54" t="str">
        <f ca="1">IFERROR(VLOOKUP(F3711,'RR-3.1-5TH'!$A$12:'RR-3.1-5TH'!$BN$111,43,0),"")</f>
        <v/>
      </c>
      <c r="I3732" s="54" t="str">
        <f ca="1">IFERROR(VLOOKUP(F3711,'RR-3.1-5TH'!$A$12:'RR-3.1-5TH'!$BN$111,44,0),"")</f>
        <v/>
      </c>
      <c r="J3732" s="54" t="str">
        <f ca="1">IFERROR(VLOOKUP(F3711,'RR-3.1-5TH'!$A$12:'RR-3.1-5TH'!$BN$111,45,0),"")</f>
        <v/>
      </c>
      <c r="K3732" s="54" t="str">
        <f ca="1">IFERROR(VLOOKUP(F3711,'RR-3.1-5TH'!$A$12:'RR-3.1-5TH'!$BN$111,46,0),"")</f>
        <v/>
      </c>
      <c r="L3732" s="55">
        <f ca="1" t="shared" si="195"/>
        <v>0</v>
      </c>
      <c r="M3732" s="56" t="str">
        <f ca="1">IF(F3711&gt;ENTRY!$D$24,"",IF(L3732=0,"Ab",IF(L3732&gt;80,"A",IF(L3732&gt;60,"B",IF(L3732&gt;44,"C",IF(L3732&gt;=33,"D",IF(L3732&lt;=32,"E","")))))))</f>
        <v/>
      </c>
      <c r="N3732" s="29"/>
      <c r="O3732" s="29"/>
      <c r="P3732" s="19"/>
      <c r="Q3732" s="19"/>
      <c r="R3732" s="11"/>
    </row>
    <row r="3733" s="1" customFormat="1" ht="21.95" customHeight="1" spans="1:19">
      <c r="A3733" s="7"/>
      <c r="B3733" s="12"/>
      <c r="C3733" s="33"/>
      <c r="D3733" s="52" t="s">
        <v>549</v>
      </c>
      <c r="E3733" s="53"/>
      <c r="F3733" s="54" t="str">
        <f ca="1">IFERROR(VLOOKUP(F3711,'RR-3.1-5TH'!$A$12:'RR-3.1-5TH'!$BN$111,49,0),"")</f>
        <v/>
      </c>
      <c r="G3733" s="54" t="str">
        <f ca="1">IFERROR(VLOOKUP(F3711,'RR-3.1-5TH'!$A$12:'RR-3.1-5TH'!$BN$111,50,0),"")</f>
        <v/>
      </c>
      <c r="H3733" s="54" t="str">
        <f ca="1">IFERROR(VLOOKUP(F3711,'RR-3.1-5TH'!$A$12:'RR-3.1-5TH'!$BN$111,51,0),"")</f>
        <v/>
      </c>
      <c r="I3733" s="54" t="str">
        <f ca="1">IFERROR(VLOOKUP(F3711,'RR-3.1-5TH'!$A$12:'RR-3.1-5TH'!$BN$111,52,0),"")</f>
        <v/>
      </c>
      <c r="J3733" s="54" t="str">
        <f ca="1">IFERROR(VLOOKUP(F3711,'RR-3.1-5TH'!$A$12:'RR-3.1-5TH'!$BN$111,53,0),"")</f>
        <v/>
      </c>
      <c r="K3733" s="54" t="str">
        <f ca="1">IFERROR(VLOOKUP(F3711,'RR-3.1-5TH'!$A$12:'RR-3.1-5TH'!$BN$111,54,0),"")</f>
        <v/>
      </c>
      <c r="L3733" s="55">
        <f ca="1" t="shared" si="195"/>
        <v>0</v>
      </c>
      <c r="M3733" s="56" t="str">
        <f ca="1">IF(F3711&gt;ENTRY!$D$24,"",IF(L3733=0,"Ab",IF(L3733&gt;80,"A",IF(L3733&gt;60,"B",IF(L3733&gt;44,"C",IF(L3733&gt;=33,"D",IF(L3733&lt;=32,"E","")))))))</f>
        <v/>
      </c>
      <c r="N3733" s="57" t="s">
        <v>752</v>
      </c>
      <c r="O3733" s="58"/>
      <c r="P3733" s="59"/>
      <c r="Q3733" s="19"/>
      <c r="R3733" s="11"/>
    </row>
    <row r="3734" s="1" customFormat="1" ht="21.95" customHeight="1" spans="1:19">
      <c r="A3734" s="7"/>
      <c r="B3734" s="12"/>
      <c r="C3734" s="33"/>
      <c r="D3734" s="52" t="s">
        <v>753</v>
      </c>
      <c r="E3734" s="53"/>
      <c r="F3734" s="60"/>
      <c r="G3734" s="54"/>
      <c r="H3734" s="54"/>
      <c r="I3734" s="54"/>
      <c r="J3734" s="54"/>
      <c r="K3734" s="54"/>
      <c r="L3734" s="55">
        <f t="shared" ref="L3734" si="196">SUM(G3734:K3734)</f>
        <v>0</v>
      </c>
      <c r="M3734" s="56" t="str">
        <f>IF(F3711&gt;ENTRY!$D$24,"",IF(L3734=0,"",IF(L3734&gt;79,"A",IF(L3734&gt;59,"B",IF(L3734&gt;44,"C",IF(L3734&gt;=33,"D",IF(L3734&lt;=32,"E","")))))))</f>
        <v/>
      </c>
      <c r="N3734" s="58"/>
      <c r="O3734" s="58"/>
      <c r="P3734" s="59"/>
      <c r="Q3734" s="19"/>
      <c r="R3734" s="11"/>
    </row>
    <row r="3735" s="1" customFormat="1" ht="21.95" customHeight="1" spans="1:19">
      <c r="A3735" s="7"/>
      <c r="B3735" s="12"/>
      <c r="C3735" s="33"/>
      <c r="D3735" s="45" t="s">
        <v>382</v>
      </c>
      <c r="E3735" s="46"/>
      <c r="F3735" s="54">
        <f ca="1" t="shared" ref="F3735:L3735" si="197">IFERROR(SUM(F3728:F3734),"")</f>
        <v>0</v>
      </c>
      <c r="G3735" s="54">
        <f ca="1" t="shared" si="197"/>
        <v>0</v>
      </c>
      <c r="H3735" s="54">
        <f ca="1" t="shared" si="197"/>
        <v>0</v>
      </c>
      <c r="I3735" s="54">
        <f ca="1" t="shared" si="197"/>
        <v>0</v>
      </c>
      <c r="J3735" s="54">
        <f ca="1" t="shared" si="197"/>
        <v>0</v>
      </c>
      <c r="K3735" s="54">
        <f ca="1" t="shared" si="197"/>
        <v>0</v>
      </c>
      <c r="L3735" s="55">
        <f ca="1" t="shared" si="197"/>
        <v>0</v>
      </c>
      <c r="M3735" s="61" t="str">
        <f ca="1">IF(F3711&gt;ENTRY!$D$24,"",IF(N3736="Ab","Ab",IF(N3736&gt;79.5,"A",IF(N3736&gt;59.5,"B",IF(N3736&gt;44.5,"C",IF(N3736&gt;=33,"D",IF(N3736&lt;33,"E","")))))))</f>
        <v/>
      </c>
      <c r="N3735" s="62"/>
      <c r="O3735" s="58"/>
      <c r="P3735" s="59"/>
      <c r="Q3735" s="19"/>
      <c r="R3735" s="11"/>
    </row>
    <row r="3736" s="1" customFormat="1" ht="21.95" customHeight="1" spans="1:19">
      <c r="A3736" s="7"/>
      <c r="B3736" s="12"/>
      <c r="C3736" s="33"/>
      <c r="D3736" s="63" t="s">
        <v>721</v>
      </c>
      <c r="E3736" s="63"/>
      <c r="F3736" s="63"/>
      <c r="G3736" s="63"/>
      <c r="H3736" s="63"/>
      <c r="I3736" s="63"/>
      <c r="J3736" s="63"/>
      <c r="K3736" s="63"/>
      <c r="L3736" s="63"/>
      <c r="M3736" s="63"/>
      <c r="N3736" s="64">
        <f ca="1">IF(L3735="Ab","Ab",L3735/6)</f>
        <v>0</v>
      </c>
      <c r="O3736" s="65"/>
      <c r="P3736" s="19"/>
      <c r="Q3736" s="19"/>
      <c r="R3736" s="11"/>
    </row>
    <row r="3737" s="1" customFormat="1" ht="21.95" customHeight="1" spans="1:19">
      <c r="A3737" s="7"/>
      <c r="B3737" s="12"/>
      <c r="C3737" s="33"/>
      <c r="D3737" s="29" t="s">
        <v>716</v>
      </c>
      <c r="E3737" s="18" t="str">
        <f>IFERROR(VLOOKUP(F3711,'1to4-2.1-RR'!$A$12:$BG$111,57,0),"")</f>
        <v/>
      </c>
      <c r="F3737" s="18"/>
      <c r="G3737" s="18"/>
      <c r="H3737" s="18"/>
      <c r="I3737" s="18"/>
      <c r="J3737" s="18"/>
      <c r="K3737" s="18"/>
      <c r="L3737" s="18"/>
      <c r="M3737" s="18"/>
      <c r="N3737" s="29"/>
      <c r="O3737" s="29"/>
      <c r="P3737" s="19"/>
      <c r="Q3737" s="19"/>
      <c r="R3737" s="11"/>
    </row>
    <row r="3738" s="1" customFormat="1" ht="9.95" customHeight="1" spans="1:19">
      <c r="A3738" s="7"/>
      <c r="B3738" s="12"/>
      <c r="C3738" s="33"/>
      <c r="D3738" s="29"/>
      <c r="E3738" s="29"/>
      <c r="F3738" s="29"/>
      <c r="G3738" s="29"/>
      <c r="H3738" s="29"/>
      <c r="I3738" s="29"/>
      <c r="J3738" s="29"/>
      <c r="K3738" s="29"/>
      <c r="L3738" s="29"/>
      <c r="M3738" s="29"/>
      <c r="N3738" s="29"/>
      <c r="O3738" s="29"/>
      <c r="P3738" s="19"/>
      <c r="Q3738" s="19"/>
      <c r="R3738" s="11"/>
    </row>
    <row r="3739" s="1" customFormat="1" ht="36" spans="1:19">
      <c r="A3739" s="7"/>
      <c r="B3739" s="12"/>
      <c r="C3739" s="33"/>
      <c r="D3739" s="66" t="s">
        <v>576</v>
      </c>
      <c r="E3739" s="67" t="s">
        <v>754</v>
      </c>
      <c r="F3739" s="47" t="str">
        <f>IF(F3711&gt;ENTRY!$D$24,"",IFERROR(VLOOKUP(F3711,PASHEET!$A$4:$CJ$103,88,0),""))</f>
        <v/>
      </c>
      <c r="G3739" s="67" t="s">
        <v>755</v>
      </c>
      <c r="H3739" s="47" t="str">
        <f>IF(F3711&gt;ENTRY!$D$24,"",IFERROR(VLOOKUP(F3711,PASHEET!$A$4:$CJ$103,87,0),""))</f>
        <v/>
      </c>
      <c r="I3739" s="68" t="s">
        <v>756</v>
      </c>
      <c r="J3739" s="69" t="str">
        <f>IF(F3711&gt;ENTRY!$D$24,"",IFERROR(IF(F3711&gt;0,H3739/F3739*100),""))</f>
        <v/>
      </c>
      <c r="K3739" s="60" t="s">
        <v>757</v>
      </c>
      <c r="L3739" s="70" t="str">
        <f ca="1">IF(F3711&gt;ENTRY!$D$24,"",IFERROR(L3735/600*100,""))</f>
        <v/>
      </c>
      <c r="M3739" s="47" t="str">
        <f ca="1">IF(F3711&gt;ENTRY!$D$24,"",IFERROR(L3735&amp;" / "&amp;"600",""))</f>
        <v/>
      </c>
      <c r="N3739" s="29"/>
      <c r="O3739" s="29"/>
      <c r="P3739" s="19"/>
      <c r="Q3739" s="19"/>
      <c r="R3739" s="11"/>
    </row>
    <row r="3740" s="1" customFormat="1" ht="9.95" customHeight="1" spans="1:19">
      <c r="A3740" s="7"/>
      <c r="B3740" s="12"/>
      <c r="C3740" s="39"/>
      <c r="D3740" s="40"/>
      <c r="E3740" s="40"/>
      <c r="F3740" s="40"/>
      <c r="G3740" s="40"/>
      <c r="H3740" s="40"/>
      <c r="I3740" s="40"/>
      <c r="J3740" s="40"/>
      <c r="K3740" s="40"/>
      <c r="L3740" s="40"/>
      <c r="M3740" s="40"/>
      <c r="N3740" s="40"/>
      <c r="O3740" s="40"/>
      <c r="P3740" s="41"/>
      <c r="Q3740" s="19"/>
      <c r="R3740" s="11"/>
    </row>
    <row r="3741" s="1" customFormat="1" ht="9.95" customHeight="1" spans="1:19">
      <c r="A3741" s="7"/>
      <c r="B3741" s="12"/>
      <c r="C3741" s="71"/>
      <c r="D3741" s="71"/>
      <c r="E3741" s="71"/>
      <c r="F3741" s="29"/>
      <c r="G3741" s="71"/>
      <c r="H3741" s="71"/>
      <c r="I3741" s="71"/>
      <c r="J3741" s="71"/>
      <c r="K3741" s="71"/>
      <c r="L3741" s="71"/>
      <c r="M3741" s="71"/>
      <c r="N3741" s="71"/>
      <c r="O3741" s="71"/>
      <c r="P3741" s="71"/>
      <c r="Q3741" s="19"/>
      <c r="R3741" s="11"/>
    </row>
    <row r="3742" s="1" customFormat="1" ht="9.95" customHeight="1" spans="1:19">
      <c r="A3742" s="7"/>
      <c r="B3742" s="12"/>
      <c r="C3742" s="29"/>
      <c r="D3742" s="29"/>
      <c r="E3742" s="29"/>
      <c r="F3742" s="72"/>
      <c r="G3742" s="29"/>
      <c r="H3742" s="29"/>
      <c r="I3742" s="29"/>
      <c r="J3742" s="29"/>
      <c r="K3742" s="29"/>
      <c r="L3742" s="29"/>
      <c r="M3742" s="29"/>
      <c r="N3742" s="29"/>
      <c r="O3742" s="29"/>
      <c r="P3742" s="29"/>
      <c r="Q3742" s="19"/>
      <c r="R3742" s="11"/>
    </row>
    <row r="3743" s="1" customFormat="1" ht="9.95" customHeight="1" spans="1:19">
      <c r="A3743" s="7"/>
      <c r="B3743" s="12"/>
      <c r="C3743" s="30"/>
      <c r="D3743" s="31"/>
      <c r="E3743" s="31"/>
      <c r="F3743" s="31"/>
      <c r="G3743" s="31"/>
      <c r="H3743" s="31"/>
      <c r="I3743" s="31"/>
      <c r="J3743" s="31"/>
      <c r="K3743" s="31"/>
      <c r="L3743" s="31"/>
      <c r="M3743" s="31"/>
      <c r="N3743" s="31"/>
      <c r="O3743" s="31"/>
      <c r="P3743" s="32"/>
      <c r="Q3743" s="19"/>
      <c r="R3743" s="11"/>
    </row>
    <row r="3744" s="1" customFormat="1" ht="21.95" customHeight="1" spans="1:19">
      <c r="A3744" s="7"/>
      <c r="B3744" s="12"/>
      <c r="C3744" s="73" t="s">
        <v>7</v>
      </c>
      <c r="D3744" s="13"/>
      <c r="E3744" s="13"/>
      <c r="F3744" s="13"/>
      <c r="G3744" s="13"/>
      <c r="H3744" s="13"/>
      <c r="I3744" s="13"/>
      <c r="J3744" s="13"/>
      <c r="K3744" s="13"/>
      <c r="L3744" s="13"/>
      <c r="M3744" s="13"/>
      <c r="N3744" s="13"/>
      <c r="O3744" s="13"/>
      <c r="P3744" s="74"/>
      <c r="Q3744" s="19"/>
      <c r="R3744" s="11"/>
      <c r="S3744" s="2"/>
    </row>
    <row r="3745" s="1" customFormat="1" ht="21.95" customHeight="1" spans="1:18">
      <c r="A3745" s="7"/>
      <c r="B3745" s="12"/>
      <c r="C3745" s="33"/>
      <c r="D3745" s="29"/>
      <c r="E3745" s="29"/>
      <c r="F3745" s="29"/>
      <c r="G3745" s="29"/>
      <c r="H3745" s="29"/>
      <c r="I3745" s="29"/>
      <c r="J3745" s="29"/>
      <c r="K3745" s="29"/>
      <c r="L3745" s="29"/>
      <c r="M3745" s="29"/>
      <c r="N3745" s="29"/>
      <c r="O3745" s="29"/>
      <c r="P3745" s="19"/>
      <c r="Q3745" s="19"/>
      <c r="R3745" s="11"/>
    </row>
    <row r="3746" s="1" customFormat="1" ht="21.95" customHeight="1" spans="1:18">
      <c r="A3746" s="7"/>
      <c r="B3746" s="12"/>
      <c r="C3746" s="75" t="str">
        <f>"SESSION-"&amp;ENTRY!$D$11</f>
        <v>SESSION-2026-27</v>
      </c>
      <c r="D3746" s="15"/>
      <c r="E3746" s="15"/>
      <c r="F3746" s="15"/>
      <c r="G3746" s="15"/>
      <c r="H3746" s="15"/>
      <c r="I3746" s="15"/>
      <c r="J3746" s="15"/>
      <c r="K3746" s="15"/>
      <c r="L3746" s="15"/>
      <c r="M3746" s="15"/>
      <c r="N3746" s="15"/>
      <c r="O3746" s="15"/>
      <c r="P3746" s="76"/>
      <c r="Q3746" s="19"/>
      <c r="R3746" s="11"/>
    </row>
    <row r="3747" s="1" customFormat="1" ht="18" customHeight="1" spans="1:18">
      <c r="A3747" s="7"/>
      <c r="B3747" s="12"/>
      <c r="C3747" s="33"/>
      <c r="D3747" s="29"/>
      <c r="E3747" s="29"/>
      <c r="F3747" s="29"/>
      <c r="G3747" s="29"/>
      <c r="H3747" s="29"/>
      <c r="I3747" s="29"/>
      <c r="J3747" s="29"/>
      <c r="K3747" s="29"/>
      <c r="L3747" s="29"/>
      <c r="M3747" s="29"/>
      <c r="N3747" s="29"/>
      <c r="O3747" s="29"/>
      <c r="P3747" s="19"/>
      <c r="Q3747" s="19"/>
      <c r="R3747" s="11"/>
    </row>
    <row r="3748" s="1" customFormat="1" ht="21.95" customHeight="1" spans="1:18">
      <c r="A3748" s="7"/>
      <c r="B3748" s="12"/>
      <c r="C3748" s="33"/>
      <c r="D3748" s="77" t="s">
        <v>758</v>
      </c>
      <c r="E3748" s="77"/>
      <c r="F3748" s="78" t="str">
        <f>IFERROR(PROPER(VLOOKUP(F3711,STUDENT!$A$2:$BP$101,5,0)),"")</f>
        <v/>
      </c>
      <c r="G3748" s="78"/>
      <c r="H3748" s="78"/>
      <c r="I3748" s="78"/>
      <c r="J3748" s="78"/>
      <c r="K3748" s="78"/>
      <c r="L3748" s="78"/>
      <c r="M3748" s="78"/>
      <c r="N3748" s="79" t="s">
        <v>759</v>
      </c>
      <c r="O3748" s="79"/>
      <c r="P3748" s="19"/>
      <c r="Q3748" s="19"/>
      <c r="R3748" s="11"/>
    </row>
    <row r="3749" s="1" customFormat="1" ht="21.95" customHeight="1" spans="1:18">
      <c r="A3749" s="7"/>
      <c r="B3749" s="12"/>
      <c r="C3749" s="33"/>
      <c r="D3749" s="80" t="s">
        <v>760</v>
      </c>
      <c r="E3749" s="81" t="str">
        <f>IFERROR(PROPER(VLOOKUP(F3711,STUDENT!$A$2:$BP$101,9,0)),"")</f>
        <v/>
      </c>
      <c r="F3749" s="81"/>
      <c r="G3749" s="81"/>
      <c r="H3749" s="80" t="s">
        <v>761</v>
      </c>
      <c r="I3749" s="82" t="str">
        <f>IFERROR(PROPER(VLOOKUP(F3711,STUDENT!$A$2:$BP$101,8,0)),"")</f>
        <v/>
      </c>
      <c r="J3749" s="82"/>
      <c r="K3749" s="82"/>
      <c r="L3749" s="82"/>
      <c r="M3749" s="80" t="s">
        <v>762</v>
      </c>
      <c r="N3749" s="83" t="str">
        <f>IFERROR(VLOOKUP(F3711,STUDENT!$A$2:$BP$101,59,0),"")</f>
        <v/>
      </c>
      <c r="O3749" s="83"/>
      <c r="P3749" s="19"/>
      <c r="Q3749" s="19"/>
      <c r="R3749" s="11"/>
    </row>
    <row r="3750" s="1" customFormat="1" ht="21.95" customHeight="1" spans="1:18">
      <c r="A3750" s="7"/>
      <c r="B3750" s="12"/>
      <c r="C3750" s="33"/>
      <c r="D3750" s="77" t="str">
        <f>"has    completed     his  /  her     primary     level     education    in    the    year    "&amp;RIGHT(ENTRY!$D3716,4)&amp;"    from    ( School    Name )"</f>
        <v>has    completed     his  /  her     primary     level     education    in    the    year        from    ( School    Name )</v>
      </c>
      <c r="E3750" s="77"/>
      <c r="F3750" s="77"/>
      <c r="G3750" s="77"/>
      <c r="H3750" s="77"/>
      <c r="I3750" s="77"/>
      <c r="J3750" s="77"/>
      <c r="K3750" s="77"/>
      <c r="L3750" s="77"/>
      <c r="M3750" s="77"/>
      <c r="N3750" s="77"/>
      <c r="O3750" s="77"/>
      <c r="P3750" s="19"/>
      <c r="Q3750" s="19"/>
      <c r="R3750" s="11"/>
    </row>
    <row r="3751" s="1" customFormat="1" ht="21.95" customHeight="1" spans="1:18">
      <c r="A3751" s="7"/>
      <c r="B3751" s="12"/>
      <c r="C3751" s="33"/>
      <c r="D3751" s="81" t="str">
        <f>IF(F3711&gt;0,ENTRY!$D$6,"")</f>
        <v>MCP NITHARI NO 1 BOYS</v>
      </c>
      <c r="E3751" s="81"/>
      <c r="F3751" s="81"/>
      <c r="G3751" s="81"/>
      <c r="H3751" s="81"/>
      <c r="I3751" s="81"/>
      <c r="J3751" s="81"/>
      <c r="K3751" s="81"/>
      <c r="L3751" s="81"/>
      <c r="M3751" s="80" t="s">
        <v>763</v>
      </c>
      <c r="N3751" s="84">
        <f>IF(F3711&gt;0,ENTRY!$D$7,"")</f>
        <v>0</v>
      </c>
      <c r="O3751" s="84"/>
      <c r="P3751" s="85" t="s">
        <v>727</v>
      </c>
      <c r="Q3751" s="19"/>
      <c r="R3751" s="11"/>
    </row>
    <row r="3752" s="1" customFormat="1" ht="21.95" customHeight="1" spans="1:18">
      <c r="A3752" s="7"/>
      <c r="B3752" s="12"/>
      <c r="C3752" s="33"/>
      <c r="D3752" s="29"/>
      <c r="E3752" s="29"/>
      <c r="F3752" s="29"/>
      <c r="G3752" s="29"/>
      <c r="H3752" s="29"/>
      <c r="I3752" s="29"/>
      <c r="J3752" s="29"/>
      <c r="K3752" s="29"/>
      <c r="L3752" s="29"/>
      <c r="M3752" s="29"/>
      <c r="N3752" s="29"/>
      <c r="O3752" s="29"/>
      <c r="P3752" s="19"/>
      <c r="Q3752" s="19"/>
      <c r="R3752" s="11"/>
    </row>
    <row r="3753" s="1" customFormat="1" ht="21.95" customHeight="1" spans="1:18">
      <c r="A3753" s="7"/>
      <c r="B3753" s="12"/>
      <c r="C3753" s="33"/>
      <c r="D3753" s="29"/>
      <c r="E3753" s="29"/>
      <c r="F3753" s="29"/>
      <c r="G3753" s="29"/>
      <c r="H3753" s="29"/>
      <c r="I3753" s="29"/>
      <c r="J3753" s="29"/>
      <c r="K3753" s="29"/>
      <c r="L3753" s="29"/>
      <c r="M3753" s="29"/>
      <c r="N3753" s="29"/>
      <c r="O3753" s="29"/>
      <c r="P3753" s="19"/>
      <c r="Q3753" s="19"/>
      <c r="R3753" s="11"/>
    </row>
    <row r="3754" s="1" customFormat="1" ht="21.95" customHeight="1" spans="1:18">
      <c r="A3754" s="7"/>
      <c r="B3754" s="12"/>
      <c r="C3754" s="33"/>
      <c r="D3754" s="29"/>
      <c r="E3754" s="29"/>
      <c r="F3754" s="29"/>
      <c r="G3754" s="29"/>
      <c r="H3754" s="29"/>
      <c r="I3754" s="29"/>
      <c r="J3754" s="29"/>
      <c r="K3754" s="29"/>
      <c r="L3754" s="29"/>
      <c r="M3754" s="29"/>
      <c r="N3754" s="29"/>
      <c r="O3754" s="29"/>
      <c r="P3754" s="19"/>
      <c r="Q3754" s="19"/>
      <c r="R3754" s="11"/>
    </row>
    <row r="3755" s="1" customFormat="1" ht="21.95" customHeight="1" spans="1:18">
      <c r="A3755" s="7"/>
      <c r="B3755" s="12"/>
      <c r="C3755" s="33"/>
      <c r="D3755" s="29"/>
      <c r="E3755" s="29"/>
      <c r="F3755" s="29"/>
      <c r="G3755" s="29"/>
      <c r="H3755" s="29"/>
      <c r="I3755" s="29"/>
      <c r="J3755" s="29"/>
      <c r="K3755" s="29"/>
      <c r="L3755" s="29"/>
      <c r="M3755" s="29"/>
      <c r="N3755" s="29"/>
      <c r="O3755" s="29"/>
      <c r="P3755" s="19"/>
      <c r="Q3755" s="19"/>
      <c r="R3755" s="11"/>
    </row>
    <row r="3756" s="1" customFormat="1" ht="21.95" customHeight="1" spans="1:18">
      <c r="A3756" s="7"/>
      <c r="B3756" s="12"/>
      <c r="C3756" s="33"/>
      <c r="D3756" s="29"/>
      <c r="E3756" s="29"/>
      <c r="F3756" s="29"/>
      <c r="G3756" s="29"/>
      <c r="H3756" s="29"/>
      <c r="I3756" s="29"/>
      <c r="J3756" s="29"/>
      <c r="K3756" s="29"/>
      <c r="L3756" s="29"/>
      <c r="M3756" s="29"/>
      <c r="N3756" s="29"/>
      <c r="O3756" s="29"/>
      <c r="P3756" s="19"/>
      <c r="Q3756" s="19"/>
      <c r="R3756" s="11"/>
    </row>
    <row r="3757" s="1" customFormat="1" ht="21.95" customHeight="1" spans="1:18">
      <c r="A3757" s="7"/>
      <c r="B3757" s="12"/>
      <c r="C3757" s="33"/>
      <c r="D3757" s="80" t="s">
        <v>728</v>
      </c>
      <c r="E3757" s="86">
        <f>ENTRY!$D$27</f>
        <v>46102</v>
      </c>
      <c r="F3757" s="86"/>
      <c r="G3757" s="29"/>
      <c r="H3757" s="29"/>
      <c r="I3757" s="29"/>
      <c r="J3757" s="29"/>
      <c r="K3757" s="29"/>
      <c r="L3757" s="29"/>
      <c r="M3757" s="87" t="s">
        <v>730</v>
      </c>
      <c r="N3757" s="87"/>
      <c r="O3757" s="87"/>
      <c r="P3757" s="19"/>
      <c r="Q3757" s="19"/>
      <c r="R3757" s="11"/>
    </row>
    <row r="3758" s="1" customFormat="1" ht="21.95" customHeight="1" spans="1:18">
      <c r="A3758" s="7"/>
      <c r="B3758" s="12"/>
      <c r="C3758" s="33"/>
      <c r="D3758" s="80" t="s">
        <v>731</v>
      </c>
      <c r="E3758" s="88" t="str">
        <f>PROPER(ENTRY!$D$28)</f>
        <v>New Delhi</v>
      </c>
      <c r="F3758" s="88"/>
      <c r="G3758" s="29"/>
      <c r="H3758" s="29"/>
      <c r="I3758" s="29"/>
      <c r="J3758" s="29"/>
      <c r="K3758" s="29"/>
      <c r="L3758" s="29"/>
      <c r="M3758" s="89" t="s">
        <v>732</v>
      </c>
      <c r="N3758" s="89"/>
      <c r="O3758" s="89"/>
      <c r="P3758" s="19"/>
      <c r="Q3758" s="19"/>
      <c r="R3758" s="11"/>
    </row>
    <row r="3759" s="1" customFormat="1" ht="21.95" customHeight="1" spans="1:18">
      <c r="A3759" s="7"/>
      <c r="B3759" s="12"/>
      <c r="C3759" s="90"/>
      <c r="D3759" s="91"/>
      <c r="E3759" s="91"/>
      <c r="F3759" s="91"/>
      <c r="G3759" s="91"/>
      <c r="H3759" s="91"/>
      <c r="I3759" s="91"/>
      <c r="J3759" s="91"/>
      <c r="K3759" s="91"/>
      <c r="L3759" s="91"/>
      <c r="M3759" s="91"/>
      <c r="N3759" s="91"/>
      <c r="O3759" s="91"/>
      <c r="P3759" s="92"/>
      <c r="Q3759" s="14"/>
      <c r="R3759" s="11"/>
    </row>
    <row r="3760" s="1" customFormat="1" ht="5.1" customHeight="1" spans="1:18">
      <c r="A3760" s="7"/>
      <c r="B3760" s="90"/>
      <c r="C3760" s="91"/>
      <c r="D3760" s="91"/>
      <c r="E3760" s="91"/>
      <c r="F3760" s="91"/>
      <c r="G3760" s="91"/>
      <c r="H3760" s="91"/>
      <c r="I3760" s="91"/>
      <c r="J3760" s="91"/>
      <c r="K3760" s="91"/>
      <c r="L3760" s="91"/>
      <c r="M3760" s="91"/>
      <c r="N3760" s="91"/>
      <c r="O3760" s="91"/>
      <c r="P3760" s="91"/>
      <c r="Q3760" s="92"/>
      <c r="R3760" s="11"/>
    </row>
    <row r="3761" s="1" customFormat="1" ht="5.1" customHeight="1" spans="1:18">
      <c r="A3761" s="93"/>
      <c r="B3761" s="94"/>
      <c r="C3761" s="94"/>
      <c r="D3761" s="94"/>
      <c r="E3761" s="94"/>
      <c r="F3761" s="94"/>
      <c r="G3761" s="94"/>
      <c r="H3761" s="94"/>
      <c r="I3761" s="94"/>
      <c r="J3761" s="94"/>
      <c r="K3761" s="94"/>
      <c r="L3761" s="94"/>
      <c r="M3761" s="94"/>
      <c r="N3761" s="94"/>
      <c r="O3761" s="94"/>
      <c r="P3761" s="94"/>
      <c r="Q3761" s="94"/>
      <c r="R3761" s="95"/>
    </row>
    <row r="3762" s="2" customFormat="1" ht="9.95" customHeight="1"/>
    <row r="3763" s="1" customFormat="1" ht="5.1" customHeight="1" spans="1:18">
      <c r="A3763" s="4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  <c r="O3763" s="5"/>
      <c r="P3763" s="5"/>
      <c r="Q3763" s="5"/>
      <c r="R3763" s="6"/>
    </row>
    <row r="3764" s="1" customFormat="1" ht="15" customHeight="1" spans="1:18">
      <c r="A3764" s="7"/>
      <c r="B3764" s="8"/>
      <c r="C3764" s="9"/>
      <c r="D3764" s="9"/>
      <c r="E3764" s="9"/>
      <c r="F3764" s="9"/>
      <c r="G3764" s="9"/>
      <c r="H3764" s="9"/>
      <c r="I3764" s="9"/>
      <c r="J3764" s="9"/>
      <c r="K3764" s="9"/>
      <c r="L3764" s="9"/>
      <c r="M3764" s="9"/>
      <c r="N3764" s="9"/>
      <c r="O3764" s="9"/>
      <c r="P3764" s="9"/>
      <c r="Q3764" s="10"/>
      <c r="R3764" s="11"/>
    </row>
    <row r="3765" s="1" customFormat="1" ht="21.95" customHeight="1" spans="1:18">
      <c r="A3765" s="7"/>
      <c r="B3765" s="12"/>
      <c r="C3765" s="13" t="s">
        <v>7</v>
      </c>
      <c r="D3765" s="13"/>
      <c r="E3765" s="13"/>
      <c r="F3765" s="13"/>
      <c r="G3765" s="13"/>
      <c r="H3765" s="13"/>
      <c r="I3765" s="13"/>
      <c r="J3765" s="13"/>
      <c r="K3765" s="13"/>
      <c r="L3765" s="13"/>
      <c r="M3765" s="13"/>
      <c r="N3765" s="13"/>
      <c r="O3765" s="13"/>
      <c r="P3765" s="13"/>
      <c r="Q3765" s="14"/>
      <c r="R3765" s="11"/>
    </row>
    <row r="3766" s="1" customFormat="1" ht="21.95" customHeight="1" spans="1:18">
      <c r="A3766" s="7"/>
      <c r="B3766" s="1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14"/>
      <c r="R3766" s="11"/>
    </row>
    <row r="3767" s="1" customFormat="1" ht="21.95" customHeight="1" spans="1:18">
      <c r="A3767" s="7"/>
      <c r="B3767" s="12"/>
      <c r="C3767" s="15" t="str">
        <f>"SESSION-"&amp;ENTRY!$D$11</f>
        <v>SESSION-2026-27</v>
      </c>
      <c r="D3767" s="15"/>
      <c r="E3767" s="15"/>
      <c r="F3767" s="15"/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  <c r="Q3767" s="14"/>
      <c r="R3767" s="11"/>
    </row>
    <row r="3768" s="1" customFormat="1" ht="21.95" customHeight="1" spans="1:18">
      <c r="A3768" s="7"/>
      <c r="B3768" s="12"/>
      <c r="C3768" s="2"/>
      <c r="D3768" s="2"/>
      <c r="E3768" s="2"/>
      <c r="F3768" s="16">
        <f>F3711+1</f>
        <v>67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14"/>
      <c r="R3768" s="11"/>
    </row>
    <row r="3769" s="1" customFormat="1" ht="21.95" customHeight="1" spans="1:18">
      <c r="A3769" s="7"/>
      <c r="B3769" s="12"/>
      <c r="C3769" s="17" t="s">
        <v>392</v>
      </c>
      <c r="D3769" s="17"/>
      <c r="E3769" s="17"/>
      <c r="F3769" s="18" t="str">
        <f>IF(F3768&gt;0,ENTRY!$D$6,"")</f>
        <v>MCP NITHARI NO 1 BOYS</v>
      </c>
      <c r="G3769" s="18"/>
      <c r="H3769" s="18"/>
      <c r="I3769" s="18"/>
      <c r="J3769" s="18"/>
      <c r="K3769" s="18"/>
      <c r="L3769" s="18"/>
      <c r="M3769" s="18"/>
      <c r="N3769" s="18"/>
      <c r="O3769" s="18"/>
      <c r="P3769" s="18"/>
      <c r="Q3769" s="19"/>
      <c r="R3769" s="11"/>
    </row>
    <row r="3770" s="1" customFormat="1" ht="21.95" customHeight="1" spans="1:18">
      <c r="A3770" s="7"/>
      <c r="B3770" s="12"/>
      <c r="C3770" s="17" t="s">
        <v>393</v>
      </c>
      <c r="D3770" s="17"/>
      <c r="E3770" s="17"/>
      <c r="F3770" s="18">
        <f>IF(F3768&gt;0,ENTRY!$D$7,"")</f>
        <v>0</v>
      </c>
      <c r="G3770" s="18"/>
      <c r="H3770" s="20" t="s">
        <v>702</v>
      </c>
      <c r="I3770" s="20"/>
      <c r="J3770" s="21">
        <f>IF(F3768&gt;0,ENTRY!$D$10,"")</f>
        <v>40</v>
      </c>
      <c r="K3770" s="20" t="s">
        <v>703</v>
      </c>
      <c r="L3770" s="22" t="str">
        <f>IF(F3768&gt;0,ENTRY!$D$5,"")</f>
        <v>ROHINI ZONE</v>
      </c>
      <c r="M3770" s="22"/>
      <c r="N3770" s="22"/>
      <c r="O3770" s="22"/>
      <c r="P3770" s="22"/>
      <c r="Q3770" s="19"/>
      <c r="R3770" s="11"/>
    </row>
    <row r="3771" s="1" customFormat="1" ht="21.95" customHeight="1" spans="1:18">
      <c r="A3771" s="7"/>
      <c r="B3771" s="12"/>
      <c r="C3771" s="17" t="s">
        <v>706</v>
      </c>
      <c r="D3771" s="17"/>
      <c r="E3771" s="17"/>
      <c r="F3771" s="23">
        <f>IFERROR(VLOOKUP(F3768,STUDENT!$A$2:$BP$101,5,0),"")</f>
        <v>0</v>
      </c>
      <c r="G3771" s="23"/>
      <c r="H3771" s="23"/>
      <c r="I3771" s="23"/>
      <c r="J3771" s="23"/>
      <c r="K3771" s="23"/>
      <c r="L3771" s="20" t="s">
        <v>707</v>
      </c>
      <c r="M3771" s="20"/>
      <c r="N3771" s="24" t="str">
        <f>IF(F3768&gt;0,ENTRY!$D$20&amp;"-"&amp;ENTRY!$D$21,"")</f>
        <v>III-A</v>
      </c>
      <c r="O3771" s="24"/>
      <c r="P3771" s="24"/>
      <c r="Q3771" s="19"/>
      <c r="R3771" s="11"/>
    </row>
    <row r="3772" s="1" customFormat="1" ht="21.95" customHeight="1" spans="1:18">
      <c r="A3772" s="7"/>
      <c r="B3772" s="12"/>
      <c r="C3772" s="17" t="s">
        <v>708</v>
      </c>
      <c r="D3772" s="17"/>
      <c r="E3772" s="17"/>
      <c r="F3772" s="25">
        <f>IFERROR(VLOOKUP(F3768,STUDENT!$A$2:$BP$101,6,0),"")</f>
        <v>0</v>
      </c>
      <c r="G3772" s="25"/>
      <c r="H3772" s="26" t="s">
        <v>709</v>
      </c>
      <c r="I3772" s="27" t="str">
        <f>IFERROR(VLOOKUP(F3768,STUDENT!$A$2:$BP$101,59,0),"")</f>
        <v/>
      </c>
      <c r="J3772" s="27"/>
      <c r="K3772" s="20" t="s">
        <v>710</v>
      </c>
      <c r="L3772" s="20"/>
      <c r="M3772" s="28">
        <f>IFERROR(VLOOKUP(F3768,STUDENT!$A$2:$BP$101,20,0),"")</f>
        <v>0</v>
      </c>
      <c r="N3772" s="28"/>
      <c r="O3772" s="28"/>
      <c r="P3772" s="28"/>
      <c r="Q3772" s="19"/>
      <c r="R3772" s="11"/>
    </row>
    <row r="3773" s="1" customFormat="1" ht="21.95" customHeight="1" spans="1:18">
      <c r="A3773" s="7"/>
      <c r="B3773" s="12"/>
      <c r="C3773" s="17" t="s">
        <v>711</v>
      </c>
      <c r="D3773" s="17"/>
      <c r="E3773" s="17"/>
      <c r="F3773" s="23">
        <f>IFERROR(VLOOKUP(F3768,STUDENT!$A$2:$BP$101,9,0),"")</f>
        <v>0</v>
      </c>
      <c r="G3773" s="23"/>
      <c r="H3773" s="23"/>
      <c r="I3773" s="23"/>
      <c r="J3773" s="17" t="s">
        <v>620</v>
      </c>
      <c r="K3773" s="17"/>
      <c r="L3773" s="23">
        <f>IFERROR(VLOOKUP(F3768,STUDENT!$A$2:$BP$101,8,0),"")</f>
        <v>0</v>
      </c>
      <c r="M3773" s="23"/>
      <c r="N3773" s="23"/>
      <c r="O3773" s="23"/>
      <c r="P3773" s="23"/>
      <c r="Q3773" s="19"/>
      <c r="R3773" s="11"/>
    </row>
    <row r="3774" s="1" customFormat="1" ht="21.95" customHeight="1" spans="1:18">
      <c r="A3774" s="7"/>
      <c r="B3774" s="12"/>
      <c r="C3774" s="17" t="s">
        <v>712</v>
      </c>
      <c r="D3774" s="17"/>
      <c r="E3774" s="17"/>
      <c r="F3774" s="23">
        <f>IFERROR(VLOOKUP(F3768,STUDENT!$A$2:$BP$101,22,0),"")</f>
        <v>0</v>
      </c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19"/>
      <c r="R3774" s="11"/>
    </row>
    <row r="3775" s="1" customFormat="1" ht="9.95" customHeight="1" spans="1:18">
      <c r="A3775" s="7"/>
      <c r="B3775" s="12"/>
      <c r="C3775" s="29"/>
      <c r="D3775" s="29"/>
      <c r="E3775" s="29"/>
      <c r="F3775" s="29"/>
      <c r="G3775" s="29"/>
      <c r="H3775" s="29"/>
      <c r="I3775" s="29"/>
      <c r="J3775" s="29"/>
      <c r="K3775" s="29"/>
      <c r="L3775" s="29"/>
      <c r="M3775" s="29"/>
      <c r="N3775" s="29"/>
      <c r="O3775" s="29"/>
      <c r="P3775" s="29"/>
      <c r="Q3775" s="19"/>
      <c r="R3775" s="11"/>
    </row>
    <row r="3776" s="1" customFormat="1" ht="9.95" customHeight="1" spans="1:18">
      <c r="A3776" s="7"/>
      <c r="B3776" s="12"/>
      <c r="C3776" s="30"/>
      <c r="D3776" s="31"/>
      <c r="E3776" s="31"/>
      <c r="F3776" s="31"/>
      <c r="G3776" s="31"/>
      <c r="H3776" s="31"/>
      <c r="I3776" s="31"/>
      <c r="J3776" s="31"/>
      <c r="K3776" s="31"/>
      <c r="L3776" s="31"/>
      <c r="M3776" s="31"/>
      <c r="N3776" s="31"/>
      <c r="O3776" s="31"/>
      <c r="P3776" s="32"/>
      <c r="Q3776" s="19"/>
      <c r="R3776" s="11"/>
    </row>
    <row r="3777" s="1" customFormat="1" ht="21.95" customHeight="1" spans="1:18">
      <c r="A3777" s="7"/>
      <c r="B3777" s="12"/>
      <c r="C3777" s="33"/>
      <c r="D3777" s="34" t="s">
        <v>713</v>
      </c>
      <c r="E3777" s="20" t="s">
        <v>714</v>
      </c>
      <c r="F3777" s="35" t="str">
        <f>"Level - "&amp;IFERROR(VLOOKUP(F3768,FLN!$A$4:$K$103,9,0),"")</f>
        <v>Level - </v>
      </c>
      <c r="G3777" s="36"/>
      <c r="H3777" s="37" t="s">
        <v>715</v>
      </c>
      <c r="I3777" s="20"/>
      <c r="J3777" s="35" t="str">
        <f>"Level - "&amp;IFERROR(VLOOKUP(F3768,FLN!$A$4:$K$103,11,0),"")</f>
        <v>Level - </v>
      </c>
      <c r="K3777" s="36"/>
      <c r="L3777" s="37" t="s">
        <v>408</v>
      </c>
      <c r="M3777" s="20"/>
      <c r="N3777" s="35" t="str">
        <f>"Level - "&amp;IFERROR(VLOOKUP(F3768,FLN!$A$4:$K$103,10,0),"")</f>
        <v>Level - </v>
      </c>
      <c r="O3777" s="36"/>
      <c r="P3777" s="19"/>
      <c r="Q3777" s="19"/>
      <c r="R3777" s="11"/>
    </row>
    <row r="3778" s="1" customFormat="1" ht="21.95" customHeight="1" spans="1:18">
      <c r="A3778" s="7"/>
      <c r="B3778" s="12"/>
      <c r="C3778" s="33"/>
      <c r="D3778" s="38"/>
      <c r="E3778" s="20" t="s">
        <v>716</v>
      </c>
      <c r="F3778" s="18" t="str">
        <f ca="1">IF(L3792&gt;197,"PERFORMED WELL","")</f>
        <v/>
      </c>
      <c r="G3778" s="18"/>
      <c r="H3778" s="18"/>
      <c r="I3778" s="18"/>
      <c r="J3778" s="18"/>
      <c r="K3778" s="18"/>
      <c r="L3778" s="18"/>
      <c r="M3778" s="18"/>
      <c r="N3778" s="18"/>
      <c r="O3778" s="18"/>
      <c r="P3778" s="19"/>
      <c r="Q3778" s="19"/>
      <c r="R3778" s="11"/>
    </row>
    <row r="3779" s="1" customFormat="1" ht="9.95" customHeight="1" spans="1:18">
      <c r="A3779" s="7"/>
      <c r="B3779" s="12"/>
      <c r="C3779" s="39"/>
      <c r="D3779" s="40"/>
      <c r="E3779" s="40"/>
      <c r="F3779" s="40"/>
      <c r="G3779" s="40"/>
      <c r="H3779" s="40"/>
      <c r="I3779" s="40"/>
      <c r="J3779" s="40"/>
      <c r="K3779" s="40"/>
      <c r="L3779" s="40"/>
      <c r="M3779" s="40"/>
      <c r="N3779" s="40"/>
      <c r="O3779" s="40"/>
      <c r="P3779" s="41"/>
      <c r="Q3779" s="19"/>
      <c r="R3779" s="11"/>
    </row>
    <row r="3780" s="1" customFormat="1" ht="9.95" customHeight="1" spans="1:18">
      <c r="A3780" s="7"/>
      <c r="B3780" s="12"/>
      <c r="C3780" s="29"/>
      <c r="D3780" s="29"/>
      <c r="E3780" s="29"/>
      <c r="F3780" s="29"/>
      <c r="G3780" s="29"/>
      <c r="H3780" s="29"/>
      <c r="I3780" s="29"/>
      <c r="J3780" s="29"/>
      <c r="K3780" s="29"/>
      <c r="L3780" s="29"/>
      <c r="M3780" s="29"/>
      <c r="N3780" s="29"/>
      <c r="O3780" s="29"/>
      <c r="P3780" s="29"/>
      <c r="Q3780" s="19"/>
      <c r="R3780" s="11"/>
    </row>
    <row r="3781" s="1" customFormat="1" ht="9.95" customHeight="1" spans="1:18">
      <c r="A3781" s="7"/>
      <c r="B3781" s="12"/>
      <c r="C3781" s="30"/>
      <c r="D3781" s="31"/>
      <c r="E3781" s="31"/>
      <c r="F3781" s="31"/>
      <c r="G3781" s="31"/>
      <c r="H3781" s="31"/>
      <c r="I3781" s="31"/>
      <c r="J3781" s="31"/>
      <c r="K3781" s="31"/>
      <c r="L3781" s="31"/>
      <c r="M3781" s="31"/>
      <c r="N3781" s="31"/>
      <c r="O3781" s="31"/>
      <c r="P3781" s="32"/>
      <c r="Q3781" s="19"/>
      <c r="R3781" s="11"/>
    </row>
    <row r="3782" s="1" customFormat="1" ht="21.95" customHeight="1" spans="1:18">
      <c r="A3782" s="7"/>
      <c r="B3782" s="12"/>
      <c r="C3782" s="33"/>
      <c r="D3782" s="35"/>
      <c r="E3782" s="24"/>
      <c r="F3782" s="42" t="s">
        <v>717</v>
      </c>
      <c r="G3782" s="42"/>
      <c r="H3782" s="42"/>
      <c r="I3782" s="42"/>
      <c r="J3782" s="42"/>
      <c r="K3782" s="42"/>
      <c r="L3782" s="43"/>
      <c r="M3782" s="44"/>
      <c r="N3782" s="29"/>
      <c r="O3782" s="29"/>
      <c r="P3782" s="19"/>
      <c r="Q3782" s="19"/>
      <c r="R3782" s="11"/>
    </row>
    <row r="3783" s="1" customFormat="1" ht="21.95" customHeight="1" spans="1:18">
      <c r="A3783" s="7"/>
      <c r="B3783" s="12"/>
      <c r="C3783" s="33"/>
      <c r="D3783" s="45"/>
      <c r="E3783" s="46"/>
      <c r="F3783" s="47" t="s">
        <v>541</v>
      </c>
      <c r="G3783" s="47" t="s">
        <v>542</v>
      </c>
      <c r="H3783" s="47" t="s">
        <v>543</v>
      </c>
      <c r="I3783" s="47" t="s">
        <v>544</v>
      </c>
      <c r="J3783" s="47" t="s">
        <v>561</v>
      </c>
      <c r="K3783" s="48" t="s">
        <v>750</v>
      </c>
      <c r="L3783" s="47" t="s">
        <v>382</v>
      </c>
      <c r="M3783" s="49" t="s">
        <v>546</v>
      </c>
      <c r="N3783" s="29"/>
      <c r="O3783" s="29"/>
      <c r="P3783" s="19"/>
      <c r="Q3783" s="19"/>
      <c r="R3783" s="11"/>
    </row>
    <row r="3784" s="1" customFormat="1" ht="21.95" customHeight="1" spans="1:18">
      <c r="A3784" s="7"/>
      <c r="B3784" s="12"/>
      <c r="C3784" s="33"/>
      <c r="D3784" s="45" t="s">
        <v>652</v>
      </c>
      <c r="E3784" s="46"/>
      <c r="F3784" s="50">
        <v>10</v>
      </c>
      <c r="G3784" s="50">
        <v>10</v>
      </c>
      <c r="H3784" s="50">
        <v>10</v>
      </c>
      <c r="I3784" s="50">
        <v>10</v>
      </c>
      <c r="J3784" s="50">
        <v>60</v>
      </c>
      <c r="K3784" s="51"/>
      <c r="L3784" s="50">
        <v>100</v>
      </c>
      <c r="M3784" s="49"/>
      <c r="N3784" s="29"/>
      <c r="O3784" s="29"/>
      <c r="P3784" s="19"/>
      <c r="Q3784" s="19"/>
      <c r="R3784" s="11"/>
    </row>
    <row r="3785" s="1" customFormat="1" ht="21.95" customHeight="1" spans="1:18">
      <c r="A3785" s="7"/>
      <c r="B3785" s="12"/>
      <c r="C3785" s="33"/>
      <c r="D3785" s="52" t="s">
        <v>751</v>
      </c>
      <c r="E3785" s="53"/>
      <c r="F3785" s="54" t="str">
        <f ca="1">IFERROR(VLOOKUP(F3768,'RR-3.1-5TH'!$A$12:'RR-3.1-5TH'!$BN$111,9,0),"")</f>
        <v/>
      </c>
      <c r="G3785" s="54" t="str">
        <f ca="1">IFERROR(VLOOKUP(F3768,'RR-3.1-5TH'!$A$12:'RR-3.1-5TH'!$BN$111,10,0),"")</f>
        <v/>
      </c>
      <c r="H3785" s="54" t="str">
        <f ca="1">IFERROR(VLOOKUP(F3768,'RR-3.1-5TH'!$A$12:'RR-3.1-5TH'!$BN$111,11,0),"")</f>
        <v/>
      </c>
      <c r="I3785" s="54" t="str">
        <f ca="1">IFERROR(VLOOKUP(F3768,'RR-3.1-5TH'!$A$12:'RR-3.1-5TH'!$BN$111,12,0),"")</f>
        <v/>
      </c>
      <c r="J3785" s="54" t="str">
        <f ca="1">IFERROR(VLOOKUP(F3768,'RR-3.1-5TH'!$A$12:'RR-3.1-5TH'!$BN$111,13,0),"")</f>
        <v/>
      </c>
      <c r="K3785" s="54" t="str">
        <f ca="1">IFERROR(VLOOKUP(F3768,'RR-3.1-5TH'!$A$12:'RR-3.1-5TH'!$BN$111,14,0),"")</f>
        <v/>
      </c>
      <c r="L3785" s="55">
        <f ca="1" t="shared" ref="L3785:L3790" si="198">SUM(F3785,G3785,H3785,I3785,J3785,K3785)</f>
        <v>0</v>
      </c>
      <c r="M3785" s="56" t="str">
        <f ca="1">IF(F3768&gt;ENTRY!$D$24,"",IF(L3785=0,"Ab",IF(L3785&gt;80,"A",IF(L3785&gt;60,"B",IF(L3785&gt;44,"C",IF(L3785&gt;=33,"D",IF(L3785&lt;=32,"E","")))))))</f>
        <v/>
      </c>
      <c r="N3785" s="57" t="s">
        <v>729</v>
      </c>
      <c r="O3785" s="58"/>
      <c r="P3785" s="59"/>
      <c r="Q3785" s="19"/>
      <c r="R3785" s="11"/>
    </row>
    <row r="3786" s="1" customFormat="1" ht="21.95" customHeight="1" spans="1:18">
      <c r="A3786" s="7"/>
      <c r="B3786" s="12"/>
      <c r="C3786" s="33"/>
      <c r="D3786" s="52" t="s">
        <v>513</v>
      </c>
      <c r="E3786" s="53"/>
      <c r="F3786" s="54" t="str">
        <f ca="1">IFERROR(VLOOKUP(F3768,'RR-3.1-5TH'!$A$12:'RR-3.1-5TH'!$BN$111,17,0),"")</f>
        <v/>
      </c>
      <c r="G3786" s="54" t="str">
        <f ca="1">IFERROR(VLOOKUP(F3768,'RR-3.1-5TH'!$A$12:'RR-3.1-5TH'!$BN$111,18,0),"")</f>
        <v/>
      </c>
      <c r="H3786" s="54" t="str">
        <f ca="1">IFERROR(VLOOKUP(F3768,'RR-3.1-5TH'!$A$12:'RR-3.1-5TH'!$BN$111,19,0),"")</f>
        <v/>
      </c>
      <c r="I3786" s="54" t="str">
        <f ca="1">IFERROR(VLOOKUP(F3768,'RR-3.1-5TH'!$A$12:'RR-3.1-5TH'!$BN$111,20,0),"")</f>
        <v/>
      </c>
      <c r="J3786" s="54" t="str">
        <f ca="1">IFERROR(VLOOKUP(F3768,'RR-3.1-5TH'!$A$12:'RR-3.1-5TH'!$BN$111,21,0),"")</f>
        <v/>
      </c>
      <c r="K3786" s="54" t="str">
        <f ca="1">IFERROR(VLOOKUP(F3768,'RR-3.1-5TH'!$A$12:'RR-3.1-5TH'!$BN$111,22,0),"")</f>
        <v/>
      </c>
      <c r="L3786" s="55">
        <f ca="1" t="shared" si="198"/>
        <v>0</v>
      </c>
      <c r="M3786" s="56" t="str">
        <f ca="1">IF(F3768&gt;ENTRY!$D$24,"",IF(L3786=0,"Ab",IF(L3786&gt;80,"A",IF(L3786&gt;60,"B",IF(L3786&gt;44,"C",IF(L3786&gt;=33,"D",IF(L3786&lt;=32,"E","")))))))</f>
        <v/>
      </c>
      <c r="N3786" s="58"/>
      <c r="O3786" s="58"/>
      <c r="P3786" s="59"/>
      <c r="Q3786" s="19"/>
      <c r="R3786" s="11"/>
    </row>
    <row r="3787" s="1" customFormat="1" ht="21.95" customHeight="1" spans="1:18">
      <c r="A3787" s="7"/>
      <c r="B3787" s="12"/>
      <c r="C3787" s="33"/>
      <c r="D3787" s="52" t="s">
        <v>718</v>
      </c>
      <c r="E3787" s="53"/>
      <c r="F3787" s="54" t="str">
        <f ca="1">IFERROR(VLOOKUP(F3768,'RR-3.1-5TH'!$A$12:'RR-3.1-5TH'!$BN$111,25,0),"")</f>
        <v/>
      </c>
      <c r="G3787" s="54" t="str">
        <f ca="1">IFERROR(VLOOKUP(F3768,'RR-3.1-5TH'!$A$12:'RR-3.1-5TH'!$BN$111,26,0),"")</f>
        <v/>
      </c>
      <c r="H3787" s="54" t="str">
        <f ca="1">IFERROR(VLOOKUP(F3768,'RR-3.1-5TH'!$A$12:'RR-3.1-5TH'!$BN$111,27,0),"")</f>
        <v/>
      </c>
      <c r="I3787" s="54" t="str">
        <f ca="1">IFERROR(VLOOKUP(F3768,'RR-3.1-5TH'!$A$12:'RR-3.1-5TH'!$BN$111,28,0),"")</f>
        <v/>
      </c>
      <c r="J3787" s="54" t="str">
        <f ca="1">IFERROR(VLOOKUP(F3768,'RR-3.1-5TH'!$A$12:'RR-3.1-5TH'!$BN$111,29,0),"")</f>
        <v/>
      </c>
      <c r="K3787" s="54" t="str">
        <f ca="1">IFERROR(VLOOKUP(F3768,'RR-3.1-5TH'!$A$12:'RR-3.1-5TH'!$BN$111,30,0),"")</f>
        <v/>
      </c>
      <c r="L3787" s="55">
        <f ca="1" t="shared" si="198"/>
        <v>0</v>
      </c>
      <c r="M3787" s="56" t="str">
        <f ca="1">IF(F3768&gt;ENTRY!$D$24,"",IF(L3787=0,"Ab",IF(L3787&gt;80,"A",IF(L3787&gt;60,"B",IF(L3787&gt;44,"C",IF(L3787&gt;=33,"D",IF(L3787&lt;=32,"E","")))))))</f>
        <v/>
      </c>
      <c r="N3787" s="29"/>
      <c r="O3787" s="29"/>
      <c r="P3787" s="19"/>
      <c r="Q3787" s="19"/>
      <c r="R3787" s="11"/>
    </row>
    <row r="3788" s="1" customFormat="1" ht="21.95" customHeight="1" spans="1:18">
      <c r="A3788" s="7"/>
      <c r="B3788" s="12"/>
      <c r="C3788" s="33"/>
      <c r="D3788" s="52" t="s">
        <v>719</v>
      </c>
      <c r="E3788" s="53"/>
      <c r="F3788" s="54" t="str">
        <f ca="1">IFERROR(VLOOKUP(F3768,'RR-3.1-5TH'!$A$12:'RR-3.1-5TH'!$BN$111,33,0),"")</f>
        <v/>
      </c>
      <c r="G3788" s="54" t="str">
        <f ca="1">IFERROR(VLOOKUP(F3768,'RR-3.1-5TH'!$A$12:'RR-3.1-5TH'!$BN$111,34,0),"")</f>
        <v/>
      </c>
      <c r="H3788" s="54" t="str">
        <f ca="1">IFERROR(VLOOKUP(F3768,'RR-3.1-5TH'!$A$12:'RR-3.1-5TH'!$BN$111,35,0),"")</f>
        <v/>
      </c>
      <c r="I3788" s="54" t="str">
        <f ca="1">IFERROR(VLOOKUP(F3768,'RR-3.1-5TH'!$A$12:'RR-3.1-5TH'!$BN$111,36,0),"")</f>
        <v/>
      </c>
      <c r="J3788" s="54" t="str">
        <f ca="1">IFERROR(VLOOKUP(F3768,'RR-3.1-5TH'!$A$12:'RR-3.1-5TH'!$BN$111,37,0),"")</f>
        <v/>
      </c>
      <c r="K3788" s="54" t="str">
        <f ca="1">IFERROR(VLOOKUP(F3768,'RR-3.1-5TH'!$A$12:'RR-3.1-5TH'!$BN$111,38,0),"")</f>
        <v/>
      </c>
      <c r="L3788" s="55">
        <f ca="1" t="shared" si="198"/>
        <v>0</v>
      </c>
      <c r="M3788" s="56" t="str">
        <f ca="1">IF(F3768&gt;ENTRY!$D$24,"",IF(L3788=0,"Ab",IF(L3788&gt;80,"A",IF(L3788&gt;60,"B",IF(L3788&gt;44,"C",IF(L3788&gt;=33,"D",IF(L3788&lt;=32,"E","")))))))</f>
        <v/>
      </c>
      <c r="N3788" s="29"/>
      <c r="O3788" s="29"/>
      <c r="P3788" s="19"/>
      <c r="Q3788" s="19"/>
      <c r="R3788" s="11"/>
    </row>
    <row r="3789" s="1" customFormat="1" ht="21.95" customHeight="1" spans="1:18">
      <c r="A3789" s="7"/>
      <c r="B3789" s="12"/>
      <c r="C3789" s="33"/>
      <c r="D3789" s="52" t="s">
        <v>548</v>
      </c>
      <c r="E3789" s="53"/>
      <c r="F3789" s="54" t="str">
        <f ca="1">IFERROR(VLOOKUP(F3768,'RR-3.1-5TH'!$A$12:'RR-3.1-5TH'!$BN$111,41,0),"")</f>
        <v/>
      </c>
      <c r="G3789" s="54" t="str">
        <f ca="1">IFERROR(VLOOKUP(F3768,'RR-3.1-5TH'!$A$12:'RR-3.1-5TH'!$BN$111,42,0),"")</f>
        <v/>
      </c>
      <c r="H3789" s="54" t="str">
        <f ca="1">IFERROR(VLOOKUP(F3768,'RR-3.1-5TH'!$A$12:'RR-3.1-5TH'!$BN$111,43,0),"")</f>
        <v/>
      </c>
      <c r="I3789" s="54" t="str">
        <f ca="1">IFERROR(VLOOKUP(F3768,'RR-3.1-5TH'!$A$12:'RR-3.1-5TH'!$BN$111,44,0),"")</f>
        <v/>
      </c>
      <c r="J3789" s="54" t="str">
        <f ca="1">IFERROR(VLOOKUP(F3768,'RR-3.1-5TH'!$A$12:'RR-3.1-5TH'!$BN$111,45,0),"")</f>
        <v/>
      </c>
      <c r="K3789" s="54" t="str">
        <f ca="1">IFERROR(VLOOKUP(F3768,'RR-3.1-5TH'!$A$12:'RR-3.1-5TH'!$BN$111,46,0),"")</f>
        <v/>
      </c>
      <c r="L3789" s="55">
        <f ca="1" t="shared" si="198"/>
        <v>0</v>
      </c>
      <c r="M3789" s="56" t="str">
        <f ca="1">IF(F3768&gt;ENTRY!$D$24,"",IF(L3789=0,"Ab",IF(L3789&gt;80,"A",IF(L3789&gt;60,"B",IF(L3789&gt;44,"C",IF(L3789&gt;=33,"D",IF(L3789&lt;=32,"E","")))))))</f>
        <v/>
      </c>
      <c r="N3789" s="29"/>
      <c r="O3789" s="29"/>
      <c r="P3789" s="19"/>
      <c r="Q3789" s="19"/>
      <c r="R3789" s="11"/>
    </row>
    <row r="3790" s="1" customFormat="1" ht="21.95" customHeight="1" spans="1:18">
      <c r="A3790" s="7"/>
      <c r="B3790" s="12"/>
      <c r="C3790" s="33"/>
      <c r="D3790" s="52" t="s">
        <v>549</v>
      </c>
      <c r="E3790" s="53"/>
      <c r="F3790" s="54" t="str">
        <f ca="1">IFERROR(VLOOKUP(F3768,'RR-3.1-5TH'!$A$12:'RR-3.1-5TH'!$BN$111,49,0),"")</f>
        <v/>
      </c>
      <c r="G3790" s="54" t="str">
        <f ca="1">IFERROR(VLOOKUP(F3768,'RR-3.1-5TH'!$A$12:'RR-3.1-5TH'!$BN$111,50,0),"")</f>
        <v/>
      </c>
      <c r="H3790" s="54" t="str">
        <f ca="1">IFERROR(VLOOKUP(F3768,'RR-3.1-5TH'!$A$12:'RR-3.1-5TH'!$BN$111,51,0),"")</f>
        <v/>
      </c>
      <c r="I3790" s="54" t="str">
        <f ca="1">IFERROR(VLOOKUP(F3768,'RR-3.1-5TH'!$A$12:'RR-3.1-5TH'!$BN$111,52,0),"")</f>
        <v/>
      </c>
      <c r="J3790" s="54" t="str">
        <f ca="1">IFERROR(VLOOKUP(F3768,'RR-3.1-5TH'!$A$12:'RR-3.1-5TH'!$BN$111,53,0),"")</f>
        <v/>
      </c>
      <c r="K3790" s="54" t="str">
        <f ca="1">IFERROR(VLOOKUP(F3768,'RR-3.1-5TH'!$A$12:'RR-3.1-5TH'!$BN$111,54,0),"")</f>
        <v/>
      </c>
      <c r="L3790" s="55">
        <f ca="1" t="shared" si="198"/>
        <v>0</v>
      </c>
      <c r="M3790" s="56" t="str">
        <f ca="1">IF(F3768&gt;ENTRY!$D$24,"",IF(L3790=0,"Ab",IF(L3790&gt;80,"A",IF(L3790&gt;60,"B",IF(L3790&gt;44,"C",IF(L3790&gt;=33,"D",IF(L3790&lt;=32,"E","")))))))</f>
        <v/>
      </c>
      <c r="N3790" s="57" t="s">
        <v>752</v>
      </c>
      <c r="O3790" s="58"/>
      <c r="P3790" s="59"/>
      <c r="Q3790" s="19"/>
      <c r="R3790" s="11"/>
    </row>
    <row r="3791" s="1" customFormat="1" ht="21.95" customHeight="1" spans="1:18">
      <c r="A3791" s="7"/>
      <c r="B3791" s="12"/>
      <c r="C3791" s="33"/>
      <c r="D3791" s="52" t="s">
        <v>753</v>
      </c>
      <c r="E3791" s="53"/>
      <c r="F3791" s="60"/>
      <c r="G3791" s="54"/>
      <c r="H3791" s="54"/>
      <c r="I3791" s="54"/>
      <c r="J3791" s="54"/>
      <c r="K3791" s="54"/>
      <c r="L3791" s="55">
        <f t="shared" ref="L3791" si="199">SUM(G3791:K3791)</f>
        <v>0</v>
      </c>
      <c r="M3791" s="56" t="str">
        <f>IF(F3768&gt;ENTRY!$D$24,"",IF(L3791=0,"",IF(L3791&gt;79,"A",IF(L3791&gt;59,"B",IF(L3791&gt;44,"C",IF(L3791&gt;=33,"D",IF(L3791&lt;=32,"E","")))))))</f>
        <v/>
      </c>
      <c r="N3791" s="58"/>
      <c r="O3791" s="58"/>
      <c r="P3791" s="59"/>
      <c r="Q3791" s="19"/>
      <c r="R3791" s="11"/>
    </row>
    <row r="3792" s="1" customFormat="1" ht="21.95" customHeight="1" spans="1:18">
      <c r="A3792" s="7"/>
      <c r="B3792" s="12"/>
      <c r="C3792" s="33"/>
      <c r="D3792" s="45" t="s">
        <v>382</v>
      </c>
      <c r="E3792" s="46"/>
      <c r="F3792" s="54">
        <f ca="1" t="shared" ref="F3792:L3792" si="200">IFERROR(SUM(F3785:F3791),"")</f>
        <v>0</v>
      </c>
      <c r="G3792" s="54">
        <f ca="1" t="shared" si="200"/>
        <v>0</v>
      </c>
      <c r="H3792" s="54">
        <f ca="1" t="shared" si="200"/>
        <v>0</v>
      </c>
      <c r="I3792" s="54">
        <f ca="1" t="shared" si="200"/>
        <v>0</v>
      </c>
      <c r="J3792" s="54">
        <f ca="1" t="shared" si="200"/>
        <v>0</v>
      </c>
      <c r="K3792" s="54">
        <f ca="1" t="shared" si="200"/>
        <v>0</v>
      </c>
      <c r="L3792" s="55">
        <f ca="1" t="shared" si="200"/>
        <v>0</v>
      </c>
      <c r="M3792" s="61" t="str">
        <f ca="1">IF(F3768&gt;ENTRY!$D$24,"",IF(N3793="Ab","Ab",IF(N3793&gt;79.5,"A",IF(N3793&gt;59.5,"B",IF(N3793&gt;44.5,"C",IF(N3793&gt;=33,"D",IF(N3793&lt;33,"E","")))))))</f>
        <v/>
      </c>
      <c r="N3792" s="62"/>
      <c r="O3792" s="58"/>
      <c r="P3792" s="59"/>
      <c r="Q3792" s="19"/>
      <c r="R3792" s="11"/>
    </row>
    <row r="3793" s="1" customFormat="1" ht="21.95" customHeight="1" spans="1:19">
      <c r="A3793" s="7"/>
      <c r="B3793" s="12"/>
      <c r="C3793" s="33"/>
      <c r="D3793" s="63" t="s">
        <v>721</v>
      </c>
      <c r="E3793" s="63"/>
      <c r="F3793" s="63"/>
      <c r="G3793" s="63"/>
      <c r="H3793" s="63"/>
      <c r="I3793" s="63"/>
      <c r="J3793" s="63"/>
      <c r="K3793" s="63"/>
      <c r="L3793" s="63"/>
      <c r="M3793" s="63"/>
      <c r="N3793" s="64">
        <f ca="1">IF(L3792="Ab","Ab",L3792/6)</f>
        <v>0</v>
      </c>
      <c r="O3793" s="65"/>
      <c r="P3793" s="19"/>
      <c r="Q3793" s="19"/>
      <c r="R3793" s="11"/>
    </row>
    <row r="3794" s="1" customFormat="1" ht="21.95" customHeight="1" spans="1:19">
      <c r="A3794" s="7"/>
      <c r="B3794" s="12"/>
      <c r="C3794" s="33"/>
      <c r="D3794" s="29" t="s">
        <v>716</v>
      </c>
      <c r="E3794" s="18" t="str">
        <f>IFERROR(VLOOKUP(F3768,'1to4-2.1-RR'!$A$12:$BG$111,57,0),"")</f>
        <v/>
      </c>
      <c r="F3794" s="18"/>
      <c r="G3794" s="18"/>
      <c r="H3794" s="18"/>
      <c r="I3794" s="18"/>
      <c r="J3794" s="18"/>
      <c r="K3794" s="18"/>
      <c r="L3794" s="18"/>
      <c r="M3794" s="18"/>
      <c r="N3794" s="29"/>
      <c r="O3794" s="29"/>
      <c r="P3794" s="19"/>
      <c r="Q3794" s="19"/>
      <c r="R3794" s="11"/>
    </row>
    <row r="3795" s="1" customFormat="1" ht="9.95" customHeight="1" spans="1:19">
      <c r="A3795" s="7"/>
      <c r="B3795" s="12"/>
      <c r="C3795" s="33"/>
      <c r="D3795" s="29"/>
      <c r="E3795" s="29"/>
      <c r="F3795" s="29"/>
      <c r="G3795" s="29"/>
      <c r="H3795" s="29"/>
      <c r="I3795" s="29"/>
      <c r="J3795" s="29"/>
      <c r="K3795" s="29"/>
      <c r="L3795" s="29"/>
      <c r="M3795" s="29"/>
      <c r="N3795" s="29"/>
      <c r="O3795" s="29"/>
      <c r="P3795" s="19"/>
      <c r="Q3795" s="19"/>
      <c r="R3795" s="11"/>
    </row>
    <row r="3796" s="1" customFormat="1" ht="36" spans="1:19">
      <c r="A3796" s="7"/>
      <c r="B3796" s="12"/>
      <c r="C3796" s="33"/>
      <c r="D3796" s="66" t="s">
        <v>576</v>
      </c>
      <c r="E3796" s="67" t="s">
        <v>754</v>
      </c>
      <c r="F3796" s="47" t="str">
        <f>IF(F3768&gt;ENTRY!$D$24,"",IFERROR(VLOOKUP(F3768,PASHEET!$A$4:$CJ$103,88,0),""))</f>
        <v/>
      </c>
      <c r="G3796" s="67" t="s">
        <v>755</v>
      </c>
      <c r="H3796" s="47" t="str">
        <f>IF(F3768&gt;ENTRY!$D$24,"",IFERROR(VLOOKUP(F3768,PASHEET!$A$4:$CJ$103,87,0),""))</f>
        <v/>
      </c>
      <c r="I3796" s="68" t="s">
        <v>756</v>
      </c>
      <c r="J3796" s="69" t="str">
        <f>IF(F3768&gt;ENTRY!$D$24,"",IFERROR(IF(F3768&gt;0,H3796/F3796*100),""))</f>
        <v/>
      </c>
      <c r="K3796" s="60" t="s">
        <v>757</v>
      </c>
      <c r="L3796" s="70" t="str">
        <f ca="1">IF(F3768&gt;ENTRY!$D$24,"",IFERROR(L3792/600*100,""))</f>
        <v/>
      </c>
      <c r="M3796" s="47" t="str">
        <f ca="1">IF(F3768&gt;ENTRY!$D$24,"",IFERROR(L3792&amp;" / "&amp;"600",""))</f>
        <v/>
      </c>
      <c r="N3796" s="29"/>
      <c r="O3796" s="29"/>
      <c r="P3796" s="19"/>
      <c r="Q3796" s="19"/>
      <c r="R3796" s="11"/>
    </row>
    <row r="3797" s="1" customFormat="1" ht="9.95" customHeight="1" spans="1:19">
      <c r="A3797" s="7"/>
      <c r="B3797" s="12"/>
      <c r="C3797" s="39"/>
      <c r="D3797" s="40"/>
      <c r="E3797" s="40"/>
      <c r="F3797" s="40"/>
      <c r="G3797" s="40"/>
      <c r="H3797" s="40"/>
      <c r="I3797" s="40"/>
      <c r="J3797" s="40"/>
      <c r="K3797" s="40"/>
      <c r="L3797" s="40"/>
      <c r="M3797" s="40"/>
      <c r="N3797" s="40"/>
      <c r="O3797" s="40"/>
      <c r="P3797" s="41"/>
      <c r="Q3797" s="19"/>
      <c r="R3797" s="11"/>
    </row>
    <row r="3798" s="1" customFormat="1" ht="9.95" customHeight="1" spans="1:19">
      <c r="A3798" s="7"/>
      <c r="B3798" s="12"/>
      <c r="C3798" s="71"/>
      <c r="D3798" s="71"/>
      <c r="E3798" s="71"/>
      <c r="F3798" s="29"/>
      <c r="G3798" s="71"/>
      <c r="H3798" s="71"/>
      <c r="I3798" s="71"/>
      <c r="J3798" s="71"/>
      <c r="K3798" s="71"/>
      <c r="L3798" s="71"/>
      <c r="M3798" s="71"/>
      <c r="N3798" s="71"/>
      <c r="O3798" s="71"/>
      <c r="P3798" s="71"/>
      <c r="Q3798" s="19"/>
      <c r="R3798" s="11"/>
    </row>
    <row r="3799" s="1" customFormat="1" ht="9.95" customHeight="1" spans="1:19">
      <c r="A3799" s="7"/>
      <c r="B3799" s="12"/>
      <c r="C3799" s="29"/>
      <c r="D3799" s="29"/>
      <c r="E3799" s="29"/>
      <c r="F3799" s="72"/>
      <c r="G3799" s="29"/>
      <c r="H3799" s="29"/>
      <c r="I3799" s="29"/>
      <c r="J3799" s="29"/>
      <c r="K3799" s="29"/>
      <c r="L3799" s="29"/>
      <c r="M3799" s="29"/>
      <c r="N3799" s="29"/>
      <c r="O3799" s="29"/>
      <c r="P3799" s="29"/>
      <c r="Q3799" s="19"/>
      <c r="R3799" s="11"/>
    </row>
    <row r="3800" s="1" customFormat="1" ht="9.95" customHeight="1" spans="1:19">
      <c r="A3800" s="7"/>
      <c r="B3800" s="12"/>
      <c r="C3800" s="30"/>
      <c r="D3800" s="31"/>
      <c r="E3800" s="31"/>
      <c r="F3800" s="31"/>
      <c r="G3800" s="31"/>
      <c r="H3800" s="31"/>
      <c r="I3800" s="31"/>
      <c r="J3800" s="31"/>
      <c r="K3800" s="31"/>
      <c r="L3800" s="31"/>
      <c r="M3800" s="31"/>
      <c r="N3800" s="31"/>
      <c r="O3800" s="31"/>
      <c r="P3800" s="32"/>
      <c r="Q3800" s="19"/>
      <c r="R3800" s="11"/>
    </row>
    <row r="3801" s="1" customFormat="1" ht="21.95" customHeight="1" spans="1:19">
      <c r="A3801" s="7"/>
      <c r="B3801" s="12"/>
      <c r="C3801" s="73" t="s">
        <v>7</v>
      </c>
      <c r="D3801" s="13"/>
      <c r="E3801" s="13"/>
      <c r="F3801" s="13"/>
      <c r="G3801" s="13"/>
      <c r="H3801" s="13"/>
      <c r="I3801" s="13"/>
      <c r="J3801" s="13"/>
      <c r="K3801" s="13"/>
      <c r="L3801" s="13"/>
      <c r="M3801" s="13"/>
      <c r="N3801" s="13"/>
      <c r="O3801" s="13"/>
      <c r="P3801" s="74"/>
      <c r="Q3801" s="19"/>
      <c r="R3801" s="11"/>
      <c r="S3801" s="2"/>
    </row>
    <row r="3802" s="1" customFormat="1" ht="21.95" customHeight="1" spans="1:19">
      <c r="A3802" s="7"/>
      <c r="B3802" s="12"/>
      <c r="C3802" s="33"/>
      <c r="D3802" s="29"/>
      <c r="E3802" s="29"/>
      <c r="F3802" s="29"/>
      <c r="G3802" s="29"/>
      <c r="H3802" s="29"/>
      <c r="I3802" s="29"/>
      <c r="J3802" s="29"/>
      <c r="K3802" s="29"/>
      <c r="L3802" s="29"/>
      <c r="M3802" s="29"/>
      <c r="N3802" s="29"/>
      <c r="O3802" s="29"/>
      <c r="P3802" s="19"/>
      <c r="Q3802" s="19"/>
      <c r="R3802" s="11"/>
    </row>
    <row r="3803" s="1" customFormat="1" ht="21.95" customHeight="1" spans="1:19">
      <c r="A3803" s="7"/>
      <c r="B3803" s="12"/>
      <c r="C3803" s="75" t="str">
        <f>"SESSION-"&amp;ENTRY!$D$11</f>
        <v>SESSION-2026-27</v>
      </c>
      <c r="D3803" s="15"/>
      <c r="E3803" s="15"/>
      <c r="F3803" s="15"/>
      <c r="G3803" s="15"/>
      <c r="H3803" s="15"/>
      <c r="I3803" s="15"/>
      <c r="J3803" s="15"/>
      <c r="K3803" s="15"/>
      <c r="L3803" s="15"/>
      <c r="M3803" s="15"/>
      <c r="N3803" s="15"/>
      <c r="O3803" s="15"/>
      <c r="P3803" s="76"/>
      <c r="Q3803" s="19"/>
      <c r="R3803" s="11"/>
    </row>
    <row r="3804" s="1" customFormat="1" ht="18" customHeight="1" spans="1:19">
      <c r="A3804" s="7"/>
      <c r="B3804" s="12"/>
      <c r="C3804" s="33"/>
      <c r="D3804" s="29"/>
      <c r="E3804" s="29"/>
      <c r="F3804" s="29"/>
      <c r="G3804" s="29"/>
      <c r="H3804" s="29"/>
      <c r="I3804" s="29"/>
      <c r="J3804" s="29"/>
      <c r="K3804" s="29"/>
      <c r="L3804" s="29"/>
      <c r="M3804" s="29"/>
      <c r="N3804" s="29"/>
      <c r="O3804" s="29"/>
      <c r="P3804" s="19"/>
      <c r="Q3804" s="19"/>
      <c r="R3804" s="11"/>
    </row>
    <row r="3805" s="1" customFormat="1" ht="21.95" customHeight="1" spans="1:19">
      <c r="A3805" s="7"/>
      <c r="B3805" s="12"/>
      <c r="C3805" s="33"/>
      <c r="D3805" s="77" t="s">
        <v>758</v>
      </c>
      <c r="E3805" s="77"/>
      <c r="F3805" s="78" t="str">
        <f>IFERROR(PROPER(VLOOKUP(F3768,STUDENT!$A$2:$BP$101,5,0)),"")</f>
        <v/>
      </c>
      <c r="G3805" s="78"/>
      <c r="H3805" s="78"/>
      <c r="I3805" s="78"/>
      <c r="J3805" s="78"/>
      <c r="K3805" s="78"/>
      <c r="L3805" s="78"/>
      <c r="M3805" s="78"/>
      <c r="N3805" s="79" t="s">
        <v>759</v>
      </c>
      <c r="O3805" s="79"/>
      <c r="P3805" s="19"/>
      <c r="Q3805" s="19"/>
      <c r="R3805" s="11"/>
    </row>
    <row r="3806" s="1" customFormat="1" ht="21.95" customHeight="1" spans="1:19">
      <c r="A3806" s="7"/>
      <c r="B3806" s="12"/>
      <c r="C3806" s="33"/>
      <c r="D3806" s="80" t="s">
        <v>760</v>
      </c>
      <c r="E3806" s="81" t="str">
        <f>IFERROR(PROPER(VLOOKUP(F3768,STUDENT!$A$2:$BP$101,9,0)),"")</f>
        <v/>
      </c>
      <c r="F3806" s="81"/>
      <c r="G3806" s="81"/>
      <c r="H3806" s="80" t="s">
        <v>761</v>
      </c>
      <c r="I3806" s="82" t="str">
        <f>IFERROR(PROPER(VLOOKUP(F3768,STUDENT!$A$2:$BP$101,8,0)),"")</f>
        <v/>
      </c>
      <c r="J3806" s="82"/>
      <c r="K3806" s="82"/>
      <c r="L3806" s="82"/>
      <c r="M3806" s="80" t="s">
        <v>762</v>
      </c>
      <c r="N3806" s="83" t="str">
        <f>IFERROR(VLOOKUP(F3768,STUDENT!$A$2:$BP$101,59,0),"")</f>
        <v/>
      </c>
      <c r="O3806" s="83"/>
      <c r="P3806" s="19"/>
      <c r="Q3806" s="19"/>
      <c r="R3806" s="11"/>
    </row>
    <row r="3807" s="1" customFormat="1" ht="21.95" customHeight="1" spans="1:19">
      <c r="A3807" s="7"/>
      <c r="B3807" s="12"/>
      <c r="C3807" s="33"/>
      <c r="D3807" s="77" t="str">
        <f>"has    completed     his  /  her     primary     level     education    in    the    year    "&amp;RIGHT(ENTRY!$D3773,4)&amp;"    from    ( School    Name )"</f>
        <v>has    completed     his  /  her     primary     level     education    in    the    year        from    ( School    Name )</v>
      </c>
      <c r="E3807" s="77"/>
      <c r="F3807" s="77"/>
      <c r="G3807" s="77"/>
      <c r="H3807" s="77"/>
      <c r="I3807" s="77"/>
      <c r="J3807" s="77"/>
      <c r="K3807" s="77"/>
      <c r="L3807" s="77"/>
      <c r="M3807" s="77"/>
      <c r="N3807" s="77"/>
      <c r="O3807" s="77"/>
      <c r="P3807" s="19"/>
      <c r="Q3807" s="19"/>
      <c r="R3807" s="11"/>
    </row>
    <row r="3808" s="1" customFormat="1" ht="21.95" customHeight="1" spans="1:19">
      <c r="A3808" s="7"/>
      <c r="B3808" s="12"/>
      <c r="C3808" s="33"/>
      <c r="D3808" s="81" t="str">
        <f>IF(F3768&gt;0,ENTRY!$D$6,"")</f>
        <v>MCP NITHARI NO 1 BOYS</v>
      </c>
      <c r="E3808" s="81"/>
      <c r="F3808" s="81"/>
      <c r="G3808" s="81"/>
      <c r="H3808" s="81"/>
      <c r="I3808" s="81"/>
      <c r="J3808" s="81"/>
      <c r="K3808" s="81"/>
      <c r="L3808" s="81"/>
      <c r="M3808" s="80" t="s">
        <v>763</v>
      </c>
      <c r="N3808" s="84">
        <f>IF(F3768&gt;0,ENTRY!$D$7,"")</f>
        <v>0</v>
      </c>
      <c r="O3808" s="84"/>
      <c r="P3808" s="85" t="s">
        <v>727</v>
      </c>
      <c r="Q3808" s="19"/>
      <c r="R3808" s="11"/>
    </row>
    <row r="3809" s="1" customFormat="1" ht="21.95" customHeight="1" spans="1:18">
      <c r="A3809" s="7"/>
      <c r="B3809" s="12"/>
      <c r="C3809" s="33"/>
      <c r="D3809" s="29"/>
      <c r="E3809" s="29"/>
      <c r="F3809" s="29"/>
      <c r="G3809" s="29"/>
      <c r="H3809" s="29"/>
      <c r="I3809" s="29"/>
      <c r="J3809" s="29"/>
      <c r="K3809" s="29"/>
      <c r="L3809" s="29"/>
      <c r="M3809" s="29"/>
      <c r="N3809" s="29"/>
      <c r="O3809" s="29"/>
      <c r="P3809" s="19"/>
      <c r="Q3809" s="19"/>
      <c r="R3809" s="11"/>
    </row>
    <row r="3810" s="1" customFormat="1" ht="21.95" customHeight="1" spans="1:18">
      <c r="A3810" s="7"/>
      <c r="B3810" s="12"/>
      <c r="C3810" s="33"/>
      <c r="D3810" s="29"/>
      <c r="E3810" s="29"/>
      <c r="F3810" s="29"/>
      <c r="G3810" s="29"/>
      <c r="H3810" s="29"/>
      <c r="I3810" s="29"/>
      <c r="J3810" s="29"/>
      <c r="K3810" s="29"/>
      <c r="L3810" s="29"/>
      <c r="M3810" s="29"/>
      <c r="N3810" s="29"/>
      <c r="O3810" s="29"/>
      <c r="P3810" s="19"/>
      <c r="Q3810" s="19"/>
      <c r="R3810" s="11"/>
    </row>
    <row r="3811" s="1" customFormat="1" ht="21.95" customHeight="1" spans="1:18">
      <c r="A3811" s="7"/>
      <c r="B3811" s="12"/>
      <c r="C3811" s="33"/>
      <c r="D3811" s="29"/>
      <c r="E3811" s="29"/>
      <c r="F3811" s="29"/>
      <c r="G3811" s="29"/>
      <c r="H3811" s="29"/>
      <c r="I3811" s="29"/>
      <c r="J3811" s="29"/>
      <c r="K3811" s="29"/>
      <c r="L3811" s="29"/>
      <c r="M3811" s="29"/>
      <c r="N3811" s="29"/>
      <c r="O3811" s="29"/>
      <c r="P3811" s="19"/>
      <c r="Q3811" s="19"/>
      <c r="R3811" s="11"/>
    </row>
    <row r="3812" s="1" customFormat="1" ht="21.95" customHeight="1" spans="1:18">
      <c r="A3812" s="7"/>
      <c r="B3812" s="12"/>
      <c r="C3812" s="33"/>
      <c r="D3812" s="29"/>
      <c r="E3812" s="29"/>
      <c r="F3812" s="29"/>
      <c r="G3812" s="29"/>
      <c r="H3812" s="29"/>
      <c r="I3812" s="29"/>
      <c r="J3812" s="29"/>
      <c r="K3812" s="29"/>
      <c r="L3812" s="29"/>
      <c r="M3812" s="29"/>
      <c r="N3812" s="29"/>
      <c r="O3812" s="29"/>
      <c r="P3812" s="19"/>
      <c r="Q3812" s="19"/>
      <c r="R3812" s="11"/>
    </row>
    <row r="3813" s="1" customFormat="1" ht="21.95" customHeight="1" spans="1:18">
      <c r="A3813" s="7"/>
      <c r="B3813" s="12"/>
      <c r="C3813" s="33"/>
      <c r="D3813" s="29"/>
      <c r="E3813" s="29"/>
      <c r="F3813" s="29"/>
      <c r="G3813" s="29"/>
      <c r="H3813" s="29"/>
      <c r="I3813" s="29"/>
      <c r="J3813" s="29"/>
      <c r="K3813" s="29"/>
      <c r="L3813" s="29"/>
      <c r="M3813" s="29"/>
      <c r="N3813" s="29"/>
      <c r="O3813" s="29"/>
      <c r="P3813" s="19"/>
      <c r="Q3813" s="19"/>
      <c r="R3813" s="11"/>
    </row>
    <row r="3814" s="1" customFormat="1" ht="21.95" customHeight="1" spans="1:18">
      <c r="A3814" s="7"/>
      <c r="B3814" s="12"/>
      <c r="C3814" s="33"/>
      <c r="D3814" s="80" t="s">
        <v>728</v>
      </c>
      <c r="E3814" s="86">
        <f>ENTRY!$D$27</f>
        <v>46102</v>
      </c>
      <c r="F3814" s="86"/>
      <c r="G3814" s="29"/>
      <c r="H3814" s="29"/>
      <c r="I3814" s="29"/>
      <c r="J3814" s="29"/>
      <c r="K3814" s="29"/>
      <c r="L3814" s="29"/>
      <c r="M3814" s="87" t="s">
        <v>730</v>
      </c>
      <c r="N3814" s="87"/>
      <c r="O3814" s="87"/>
      <c r="P3814" s="19"/>
      <c r="Q3814" s="19"/>
      <c r="R3814" s="11"/>
    </row>
    <row r="3815" s="1" customFormat="1" ht="21.95" customHeight="1" spans="1:18">
      <c r="A3815" s="7"/>
      <c r="B3815" s="12"/>
      <c r="C3815" s="33"/>
      <c r="D3815" s="80" t="s">
        <v>731</v>
      </c>
      <c r="E3815" s="88" t="str">
        <f>PROPER(ENTRY!$D$28)</f>
        <v>New Delhi</v>
      </c>
      <c r="F3815" s="88"/>
      <c r="G3815" s="29"/>
      <c r="H3815" s="29"/>
      <c r="I3815" s="29"/>
      <c r="J3815" s="29"/>
      <c r="K3815" s="29"/>
      <c r="L3815" s="29"/>
      <c r="M3815" s="89" t="s">
        <v>732</v>
      </c>
      <c r="N3815" s="89"/>
      <c r="O3815" s="89"/>
      <c r="P3815" s="19"/>
      <c r="Q3815" s="19"/>
      <c r="R3815" s="11"/>
    </row>
    <row r="3816" s="1" customFormat="1" ht="21.95" customHeight="1" spans="1:18">
      <c r="A3816" s="7"/>
      <c r="B3816" s="12"/>
      <c r="C3816" s="90"/>
      <c r="D3816" s="91"/>
      <c r="E3816" s="91"/>
      <c r="F3816" s="91"/>
      <c r="G3816" s="91"/>
      <c r="H3816" s="91"/>
      <c r="I3816" s="91"/>
      <c r="J3816" s="91"/>
      <c r="K3816" s="91"/>
      <c r="L3816" s="91"/>
      <c r="M3816" s="91"/>
      <c r="N3816" s="91"/>
      <c r="O3816" s="91"/>
      <c r="P3816" s="92"/>
      <c r="Q3816" s="14"/>
      <c r="R3816" s="11"/>
    </row>
    <row r="3817" s="1" customFormat="1" ht="5.1" customHeight="1" spans="1:18">
      <c r="A3817" s="7"/>
      <c r="B3817" s="90"/>
      <c r="C3817" s="91"/>
      <c r="D3817" s="91"/>
      <c r="E3817" s="91"/>
      <c r="F3817" s="91"/>
      <c r="G3817" s="91"/>
      <c r="H3817" s="91"/>
      <c r="I3817" s="91"/>
      <c r="J3817" s="91"/>
      <c r="K3817" s="91"/>
      <c r="L3817" s="91"/>
      <c r="M3817" s="91"/>
      <c r="N3817" s="91"/>
      <c r="O3817" s="91"/>
      <c r="P3817" s="91"/>
      <c r="Q3817" s="92"/>
      <c r="R3817" s="11"/>
    </row>
    <row r="3818" s="1" customFormat="1" ht="5.1" customHeight="1" spans="1:18">
      <c r="A3818" s="93"/>
      <c r="B3818" s="94"/>
      <c r="C3818" s="94"/>
      <c r="D3818" s="94"/>
      <c r="E3818" s="94"/>
      <c r="F3818" s="94"/>
      <c r="G3818" s="94"/>
      <c r="H3818" s="94"/>
      <c r="I3818" s="94"/>
      <c r="J3818" s="94"/>
      <c r="K3818" s="94"/>
      <c r="L3818" s="94"/>
      <c r="M3818" s="94"/>
      <c r="N3818" s="94"/>
      <c r="O3818" s="94"/>
      <c r="P3818" s="94"/>
      <c r="Q3818" s="94"/>
      <c r="R3818" s="95"/>
    </row>
    <row r="3819" s="2" customFormat="1" ht="9.95" customHeight="1"/>
    <row r="3820" s="1" customFormat="1" ht="5.1" customHeight="1" spans="1:18">
      <c r="A3820" s="4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  <c r="O3820" s="5"/>
      <c r="P3820" s="5"/>
      <c r="Q3820" s="5"/>
      <c r="R3820" s="6"/>
    </row>
    <row r="3821" s="1" customFormat="1" ht="15" customHeight="1" spans="1:18">
      <c r="A3821" s="7"/>
      <c r="B3821" s="8"/>
      <c r="C3821" s="9"/>
      <c r="D3821" s="9"/>
      <c r="E3821" s="9"/>
      <c r="F3821" s="9"/>
      <c r="G3821" s="9"/>
      <c r="H3821" s="9"/>
      <c r="I3821" s="9"/>
      <c r="J3821" s="9"/>
      <c r="K3821" s="9"/>
      <c r="L3821" s="9"/>
      <c r="M3821" s="9"/>
      <c r="N3821" s="9"/>
      <c r="O3821" s="9"/>
      <c r="P3821" s="9"/>
      <c r="Q3821" s="10"/>
      <c r="R3821" s="11"/>
    </row>
    <row r="3822" s="1" customFormat="1" ht="21.95" customHeight="1" spans="1:18">
      <c r="A3822" s="7"/>
      <c r="B3822" s="12"/>
      <c r="C3822" s="13" t="s">
        <v>7</v>
      </c>
      <c r="D3822" s="13"/>
      <c r="E3822" s="13"/>
      <c r="F3822" s="13"/>
      <c r="G3822" s="13"/>
      <c r="H3822" s="13"/>
      <c r="I3822" s="13"/>
      <c r="J3822" s="13"/>
      <c r="K3822" s="13"/>
      <c r="L3822" s="13"/>
      <c r="M3822" s="13"/>
      <c r="N3822" s="13"/>
      <c r="O3822" s="13"/>
      <c r="P3822" s="13"/>
      <c r="Q3822" s="14"/>
      <c r="R3822" s="11"/>
    </row>
    <row r="3823" s="1" customFormat="1" ht="21.95" customHeight="1" spans="1:18">
      <c r="A3823" s="7"/>
      <c r="B3823" s="1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14"/>
      <c r="R3823" s="11"/>
    </row>
    <row r="3824" s="1" customFormat="1" ht="21.95" customHeight="1" spans="1:18">
      <c r="A3824" s="7"/>
      <c r="B3824" s="12"/>
      <c r="C3824" s="15" t="str">
        <f>"SESSION-"&amp;ENTRY!$D$11</f>
        <v>SESSION-2026-27</v>
      </c>
      <c r="D3824" s="15"/>
      <c r="E3824" s="15"/>
      <c r="F3824" s="15"/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  <c r="Q3824" s="14"/>
      <c r="R3824" s="11"/>
    </row>
    <row r="3825" s="1" customFormat="1" ht="21.95" customHeight="1" spans="1:18">
      <c r="A3825" s="7"/>
      <c r="B3825" s="12"/>
      <c r="C3825" s="2"/>
      <c r="D3825" s="2"/>
      <c r="E3825" s="2"/>
      <c r="F3825" s="16">
        <f>F3768+1</f>
        <v>68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14"/>
      <c r="R3825" s="11"/>
    </row>
    <row r="3826" s="1" customFormat="1" ht="21.95" customHeight="1" spans="1:18">
      <c r="A3826" s="7"/>
      <c r="B3826" s="12"/>
      <c r="C3826" s="17" t="s">
        <v>392</v>
      </c>
      <c r="D3826" s="17"/>
      <c r="E3826" s="17"/>
      <c r="F3826" s="18" t="str">
        <f>IF(F3825&gt;0,ENTRY!$D$6,"")</f>
        <v>MCP NITHARI NO 1 BOYS</v>
      </c>
      <c r="G3826" s="18"/>
      <c r="H3826" s="18"/>
      <c r="I3826" s="18"/>
      <c r="J3826" s="18"/>
      <c r="K3826" s="18"/>
      <c r="L3826" s="18"/>
      <c r="M3826" s="18"/>
      <c r="N3826" s="18"/>
      <c r="O3826" s="18"/>
      <c r="P3826" s="18"/>
      <c r="Q3826" s="19"/>
      <c r="R3826" s="11"/>
    </row>
    <row r="3827" s="1" customFormat="1" ht="21.95" customHeight="1" spans="1:18">
      <c r="A3827" s="7"/>
      <c r="B3827" s="12"/>
      <c r="C3827" s="17" t="s">
        <v>393</v>
      </c>
      <c r="D3827" s="17"/>
      <c r="E3827" s="17"/>
      <c r="F3827" s="18">
        <f>IF(F3825&gt;0,ENTRY!$D$7,"")</f>
        <v>0</v>
      </c>
      <c r="G3827" s="18"/>
      <c r="H3827" s="20" t="s">
        <v>702</v>
      </c>
      <c r="I3827" s="20"/>
      <c r="J3827" s="21">
        <f>IF(F3825&gt;0,ENTRY!$D$10,"")</f>
        <v>40</v>
      </c>
      <c r="K3827" s="20" t="s">
        <v>703</v>
      </c>
      <c r="L3827" s="22" t="str">
        <f>IF(F3825&gt;0,ENTRY!$D$5,"")</f>
        <v>ROHINI ZONE</v>
      </c>
      <c r="M3827" s="22"/>
      <c r="N3827" s="22"/>
      <c r="O3827" s="22"/>
      <c r="P3827" s="22"/>
      <c r="Q3827" s="19"/>
      <c r="R3827" s="11"/>
    </row>
    <row r="3828" s="1" customFormat="1" ht="21.95" customHeight="1" spans="1:18">
      <c r="A3828" s="7"/>
      <c r="B3828" s="12"/>
      <c r="C3828" s="17" t="s">
        <v>706</v>
      </c>
      <c r="D3828" s="17"/>
      <c r="E3828" s="17"/>
      <c r="F3828" s="23">
        <f>IFERROR(VLOOKUP(F3825,STUDENT!$A$2:$BP$101,5,0),"")</f>
        <v>0</v>
      </c>
      <c r="G3828" s="23"/>
      <c r="H3828" s="23"/>
      <c r="I3828" s="23"/>
      <c r="J3828" s="23"/>
      <c r="K3828" s="23"/>
      <c r="L3828" s="20" t="s">
        <v>707</v>
      </c>
      <c r="M3828" s="20"/>
      <c r="N3828" s="24" t="str">
        <f>IF(F3825&gt;0,ENTRY!$D$20&amp;"-"&amp;ENTRY!$D$21,"")</f>
        <v>III-A</v>
      </c>
      <c r="O3828" s="24"/>
      <c r="P3828" s="24"/>
      <c r="Q3828" s="19"/>
      <c r="R3828" s="11"/>
    </row>
    <row r="3829" s="1" customFormat="1" ht="21.95" customHeight="1" spans="1:18">
      <c r="A3829" s="7"/>
      <c r="B3829" s="12"/>
      <c r="C3829" s="17" t="s">
        <v>708</v>
      </c>
      <c r="D3829" s="17"/>
      <c r="E3829" s="17"/>
      <c r="F3829" s="25">
        <f>IFERROR(VLOOKUP(F3825,STUDENT!$A$2:$BP$101,6,0),"")</f>
        <v>0</v>
      </c>
      <c r="G3829" s="25"/>
      <c r="H3829" s="26" t="s">
        <v>709</v>
      </c>
      <c r="I3829" s="27" t="str">
        <f>IFERROR(VLOOKUP(F3825,STUDENT!$A$2:$BP$101,59,0),"")</f>
        <v/>
      </c>
      <c r="J3829" s="27"/>
      <c r="K3829" s="20" t="s">
        <v>710</v>
      </c>
      <c r="L3829" s="20"/>
      <c r="M3829" s="28">
        <f>IFERROR(VLOOKUP(F3825,STUDENT!$A$2:$BP$101,20,0),"")</f>
        <v>0</v>
      </c>
      <c r="N3829" s="28"/>
      <c r="O3829" s="28"/>
      <c r="P3829" s="28"/>
      <c r="Q3829" s="19"/>
      <c r="R3829" s="11"/>
    </row>
    <row r="3830" s="1" customFormat="1" ht="21.95" customHeight="1" spans="1:18">
      <c r="A3830" s="7"/>
      <c r="B3830" s="12"/>
      <c r="C3830" s="17" t="s">
        <v>711</v>
      </c>
      <c r="D3830" s="17"/>
      <c r="E3830" s="17"/>
      <c r="F3830" s="23">
        <f>IFERROR(VLOOKUP(F3825,STUDENT!$A$2:$BP$101,9,0),"")</f>
        <v>0</v>
      </c>
      <c r="G3830" s="23"/>
      <c r="H3830" s="23"/>
      <c r="I3830" s="23"/>
      <c r="J3830" s="17" t="s">
        <v>620</v>
      </c>
      <c r="K3830" s="17"/>
      <c r="L3830" s="23">
        <f>IFERROR(VLOOKUP(F3825,STUDENT!$A$2:$BP$101,8,0),"")</f>
        <v>0</v>
      </c>
      <c r="M3830" s="23"/>
      <c r="N3830" s="23"/>
      <c r="O3830" s="23"/>
      <c r="P3830" s="23"/>
      <c r="Q3830" s="19"/>
      <c r="R3830" s="11"/>
    </row>
    <row r="3831" s="1" customFormat="1" ht="21.95" customHeight="1" spans="1:18">
      <c r="A3831" s="7"/>
      <c r="B3831" s="12"/>
      <c r="C3831" s="17" t="s">
        <v>712</v>
      </c>
      <c r="D3831" s="17"/>
      <c r="E3831" s="17"/>
      <c r="F3831" s="23">
        <f>IFERROR(VLOOKUP(F3825,STUDENT!$A$2:$BP$101,22,0),"")</f>
        <v>0</v>
      </c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19"/>
      <c r="R3831" s="11"/>
    </row>
    <row r="3832" s="1" customFormat="1" ht="9.95" customHeight="1" spans="1:18">
      <c r="A3832" s="7"/>
      <c r="B3832" s="12"/>
      <c r="C3832" s="29"/>
      <c r="D3832" s="29"/>
      <c r="E3832" s="29"/>
      <c r="F3832" s="29"/>
      <c r="G3832" s="29"/>
      <c r="H3832" s="29"/>
      <c r="I3832" s="29"/>
      <c r="J3832" s="29"/>
      <c r="K3832" s="29"/>
      <c r="L3832" s="29"/>
      <c r="M3832" s="29"/>
      <c r="N3832" s="29"/>
      <c r="O3832" s="29"/>
      <c r="P3832" s="29"/>
      <c r="Q3832" s="19"/>
      <c r="R3832" s="11"/>
    </row>
    <row r="3833" s="1" customFormat="1" ht="9.95" customHeight="1" spans="1:18">
      <c r="A3833" s="7"/>
      <c r="B3833" s="12"/>
      <c r="C3833" s="30"/>
      <c r="D3833" s="31"/>
      <c r="E3833" s="31"/>
      <c r="F3833" s="31"/>
      <c r="G3833" s="31"/>
      <c r="H3833" s="31"/>
      <c r="I3833" s="31"/>
      <c r="J3833" s="31"/>
      <c r="K3833" s="31"/>
      <c r="L3833" s="31"/>
      <c r="M3833" s="31"/>
      <c r="N3833" s="31"/>
      <c r="O3833" s="31"/>
      <c r="P3833" s="32"/>
      <c r="Q3833" s="19"/>
      <c r="R3833" s="11"/>
    </row>
    <row r="3834" s="1" customFormat="1" ht="21.95" customHeight="1" spans="1:18">
      <c r="A3834" s="7"/>
      <c r="B3834" s="12"/>
      <c r="C3834" s="33"/>
      <c r="D3834" s="34" t="s">
        <v>713</v>
      </c>
      <c r="E3834" s="20" t="s">
        <v>714</v>
      </c>
      <c r="F3834" s="35" t="str">
        <f>"Level - "&amp;IFERROR(VLOOKUP(F3825,FLN!$A$4:$K$103,9,0),"")</f>
        <v>Level - </v>
      </c>
      <c r="G3834" s="36"/>
      <c r="H3834" s="37" t="s">
        <v>715</v>
      </c>
      <c r="I3834" s="20"/>
      <c r="J3834" s="35" t="str">
        <f>"Level - "&amp;IFERROR(VLOOKUP(F3825,FLN!$A$4:$K$103,11,0),"")</f>
        <v>Level - </v>
      </c>
      <c r="K3834" s="36"/>
      <c r="L3834" s="37" t="s">
        <v>408</v>
      </c>
      <c r="M3834" s="20"/>
      <c r="N3834" s="35" t="str">
        <f>"Level - "&amp;IFERROR(VLOOKUP(F3825,FLN!$A$4:$K$103,10,0),"")</f>
        <v>Level - </v>
      </c>
      <c r="O3834" s="36"/>
      <c r="P3834" s="19"/>
      <c r="Q3834" s="19"/>
      <c r="R3834" s="11"/>
    </row>
    <row r="3835" s="1" customFormat="1" ht="21.95" customHeight="1" spans="1:18">
      <c r="A3835" s="7"/>
      <c r="B3835" s="12"/>
      <c r="C3835" s="33"/>
      <c r="D3835" s="38"/>
      <c r="E3835" s="20" t="s">
        <v>716</v>
      </c>
      <c r="F3835" s="18" t="str">
        <f ca="1">IF(L3849&gt;197,"PERFORMED WELL","")</f>
        <v/>
      </c>
      <c r="G3835" s="18"/>
      <c r="H3835" s="18"/>
      <c r="I3835" s="18"/>
      <c r="J3835" s="18"/>
      <c r="K3835" s="18"/>
      <c r="L3835" s="18"/>
      <c r="M3835" s="18"/>
      <c r="N3835" s="18"/>
      <c r="O3835" s="18"/>
      <c r="P3835" s="19"/>
      <c r="Q3835" s="19"/>
      <c r="R3835" s="11"/>
    </row>
    <row r="3836" s="1" customFormat="1" ht="9.95" customHeight="1" spans="1:18">
      <c r="A3836" s="7"/>
      <c r="B3836" s="12"/>
      <c r="C3836" s="39"/>
      <c r="D3836" s="40"/>
      <c r="E3836" s="40"/>
      <c r="F3836" s="40"/>
      <c r="G3836" s="40"/>
      <c r="H3836" s="40"/>
      <c r="I3836" s="40"/>
      <c r="J3836" s="40"/>
      <c r="K3836" s="40"/>
      <c r="L3836" s="40"/>
      <c r="M3836" s="40"/>
      <c r="N3836" s="40"/>
      <c r="O3836" s="40"/>
      <c r="P3836" s="41"/>
      <c r="Q3836" s="19"/>
      <c r="R3836" s="11"/>
    </row>
    <row r="3837" s="1" customFormat="1" ht="9.95" customHeight="1" spans="1:18">
      <c r="A3837" s="7"/>
      <c r="B3837" s="12"/>
      <c r="C3837" s="29"/>
      <c r="D3837" s="29"/>
      <c r="E3837" s="29"/>
      <c r="F3837" s="29"/>
      <c r="G3837" s="29"/>
      <c r="H3837" s="29"/>
      <c r="I3837" s="29"/>
      <c r="J3837" s="29"/>
      <c r="K3837" s="29"/>
      <c r="L3837" s="29"/>
      <c r="M3837" s="29"/>
      <c r="N3837" s="29"/>
      <c r="O3837" s="29"/>
      <c r="P3837" s="29"/>
      <c r="Q3837" s="19"/>
      <c r="R3837" s="11"/>
    </row>
    <row r="3838" s="1" customFormat="1" ht="9.95" customHeight="1" spans="1:18">
      <c r="A3838" s="7"/>
      <c r="B3838" s="12"/>
      <c r="C3838" s="30"/>
      <c r="D3838" s="31"/>
      <c r="E3838" s="31"/>
      <c r="F3838" s="31"/>
      <c r="G3838" s="31"/>
      <c r="H3838" s="31"/>
      <c r="I3838" s="31"/>
      <c r="J3838" s="31"/>
      <c r="K3838" s="31"/>
      <c r="L3838" s="31"/>
      <c r="M3838" s="31"/>
      <c r="N3838" s="31"/>
      <c r="O3838" s="31"/>
      <c r="P3838" s="32"/>
      <c r="Q3838" s="19"/>
      <c r="R3838" s="11"/>
    </row>
    <row r="3839" s="1" customFormat="1" ht="21.95" customHeight="1" spans="1:18">
      <c r="A3839" s="7"/>
      <c r="B3839" s="12"/>
      <c r="C3839" s="33"/>
      <c r="D3839" s="35"/>
      <c r="E3839" s="24"/>
      <c r="F3839" s="42" t="s">
        <v>717</v>
      </c>
      <c r="G3839" s="42"/>
      <c r="H3839" s="42"/>
      <c r="I3839" s="42"/>
      <c r="J3839" s="42"/>
      <c r="K3839" s="42"/>
      <c r="L3839" s="43"/>
      <c r="M3839" s="44"/>
      <c r="N3839" s="29"/>
      <c r="O3839" s="29"/>
      <c r="P3839" s="19"/>
      <c r="Q3839" s="19"/>
      <c r="R3839" s="11"/>
    </row>
    <row r="3840" s="1" customFormat="1" ht="21.95" customHeight="1" spans="1:18">
      <c r="A3840" s="7"/>
      <c r="B3840" s="12"/>
      <c r="C3840" s="33"/>
      <c r="D3840" s="45"/>
      <c r="E3840" s="46"/>
      <c r="F3840" s="47" t="s">
        <v>541</v>
      </c>
      <c r="G3840" s="47" t="s">
        <v>542</v>
      </c>
      <c r="H3840" s="47" t="s">
        <v>543</v>
      </c>
      <c r="I3840" s="47" t="s">
        <v>544</v>
      </c>
      <c r="J3840" s="47" t="s">
        <v>561</v>
      </c>
      <c r="K3840" s="48" t="s">
        <v>750</v>
      </c>
      <c r="L3840" s="47" t="s">
        <v>382</v>
      </c>
      <c r="M3840" s="49" t="s">
        <v>546</v>
      </c>
      <c r="N3840" s="29"/>
      <c r="O3840" s="29"/>
      <c r="P3840" s="19"/>
      <c r="Q3840" s="19"/>
      <c r="R3840" s="11"/>
    </row>
    <row r="3841" s="1" customFormat="1" ht="21.95" customHeight="1" spans="1:18">
      <c r="A3841" s="7"/>
      <c r="B3841" s="12"/>
      <c r="C3841" s="33"/>
      <c r="D3841" s="45" t="s">
        <v>652</v>
      </c>
      <c r="E3841" s="46"/>
      <c r="F3841" s="50">
        <v>10</v>
      </c>
      <c r="G3841" s="50">
        <v>10</v>
      </c>
      <c r="H3841" s="50">
        <v>10</v>
      </c>
      <c r="I3841" s="50">
        <v>10</v>
      </c>
      <c r="J3841" s="50">
        <v>60</v>
      </c>
      <c r="K3841" s="51"/>
      <c r="L3841" s="50">
        <v>100</v>
      </c>
      <c r="M3841" s="49"/>
      <c r="N3841" s="29"/>
      <c r="O3841" s="29"/>
      <c r="P3841" s="19"/>
      <c r="Q3841" s="19"/>
      <c r="R3841" s="11"/>
    </row>
    <row r="3842" s="1" customFormat="1" ht="21.95" customHeight="1" spans="1:18">
      <c r="A3842" s="7"/>
      <c r="B3842" s="12"/>
      <c r="C3842" s="33"/>
      <c r="D3842" s="52" t="s">
        <v>751</v>
      </c>
      <c r="E3842" s="53"/>
      <c r="F3842" s="54" t="str">
        <f ca="1">IFERROR(VLOOKUP(F3825,'RR-3.1-5TH'!$A$12:'RR-3.1-5TH'!$BN$111,9,0),"")</f>
        <v/>
      </c>
      <c r="G3842" s="54" t="str">
        <f ca="1">IFERROR(VLOOKUP(F3825,'RR-3.1-5TH'!$A$12:'RR-3.1-5TH'!$BN$111,10,0),"")</f>
        <v/>
      </c>
      <c r="H3842" s="54" t="str">
        <f ca="1">IFERROR(VLOOKUP(F3825,'RR-3.1-5TH'!$A$12:'RR-3.1-5TH'!$BN$111,11,0),"")</f>
        <v/>
      </c>
      <c r="I3842" s="54" t="str">
        <f ca="1">IFERROR(VLOOKUP(F3825,'RR-3.1-5TH'!$A$12:'RR-3.1-5TH'!$BN$111,12,0),"")</f>
        <v/>
      </c>
      <c r="J3842" s="54" t="str">
        <f ca="1">IFERROR(VLOOKUP(F3825,'RR-3.1-5TH'!$A$12:'RR-3.1-5TH'!$BN$111,13,0),"")</f>
        <v/>
      </c>
      <c r="K3842" s="54" t="str">
        <f ca="1">IFERROR(VLOOKUP(F3825,'RR-3.1-5TH'!$A$12:'RR-3.1-5TH'!$BN$111,14,0),"")</f>
        <v/>
      </c>
      <c r="L3842" s="55">
        <f ca="1" t="shared" ref="L3842:L3847" si="201">SUM(F3842,G3842,H3842,I3842,J3842,K3842)</f>
        <v>0</v>
      </c>
      <c r="M3842" s="56" t="str">
        <f ca="1">IF(F3825&gt;ENTRY!$D$24,"",IF(L3842=0,"Ab",IF(L3842&gt;80,"A",IF(L3842&gt;60,"B",IF(L3842&gt;44,"C",IF(L3842&gt;=33,"D",IF(L3842&lt;=32,"E","")))))))</f>
        <v/>
      </c>
      <c r="N3842" s="57" t="s">
        <v>729</v>
      </c>
      <c r="O3842" s="58"/>
      <c r="P3842" s="59"/>
      <c r="Q3842" s="19"/>
      <c r="R3842" s="11"/>
    </row>
    <row r="3843" s="1" customFormat="1" ht="21.95" customHeight="1" spans="1:18">
      <c r="A3843" s="7"/>
      <c r="B3843" s="12"/>
      <c r="C3843" s="33"/>
      <c r="D3843" s="52" t="s">
        <v>513</v>
      </c>
      <c r="E3843" s="53"/>
      <c r="F3843" s="54" t="str">
        <f ca="1">IFERROR(VLOOKUP(F3825,'RR-3.1-5TH'!$A$12:'RR-3.1-5TH'!$BN$111,17,0),"")</f>
        <v/>
      </c>
      <c r="G3843" s="54" t="str">
        <f ca="1">IFERROR(VLOOKUP(F3825,'RR-3.1-5TH'!$A$12:'RR-3.1-5TH'!$BN$111,18,0),"")</f>
        <v/>
      </c>
      <c r="H3843" s="54" t="str">
        <f ca="1">IFERROR(VLOOKUP(F3825,'RR-3.1-5TH'!$A$12:'RR-3.1-5TH'!$BN$111,19,0),"")</f>
        <v/>
      </c>
      <c r="I3843" s="54" t="str">
        <f ca="1">IFERROR(VLOOKUP(F3825,'RR-3.1-5TH'!$A$12:'RR-3.1-5TH'!$BN$111,20,0),"")</f>
        <v/>
      </c>
      <c r="J3843" s="54" t="str">
        <f ca="1">IFERROR(VLOOKUP(F3825,'RR-3.1-5TH'!$A$12:'RR-3.1-5TH'!$BN$111,21,0),"")</f>
        <v/>
      </c>
      <c r="K3843" s="54" t="str">
        <f ca="1">IFERROR(VLOOKUP(F3825,'RR-3.1-5TH'!$A$12:'RR-3.1-5TH'!$BN$111,22,0),"")</f>
        <v/>
      </c>
      <c r="L3843" s="55">
        <f ca="1" t="shared" si="201"/>
        <v>0</v>
      </c>
      <c r="M3843" s="56" t="str">
        <f ca="1">IF(F3825&gt;ENTRY!$D$24,"",IF(L3843=0,"Ab",IF(L3843&gt;80,"A",IF(L3843&gt;60,"B",IF(L3843&gt;44,"C",IF(L3843&gt;=33,"D",IF(L3843&lt;=32,"E","")))))))</f>
        <v/>
      </c>
      <c r="N3843" s="58"/>
      <c r="O3843" s="58"/>
      <c r="P3843" s="59"/>
      <c r="Q3843" s="19"/>
      <c r="R3843" s="11"/>
    </row>
    <row r="3844" s="1" customFormat="1" ht="21.95" customHeight="1" spans="1:18">
      <c r="A3844" s="7"/>
      <c r="B3844" s="12"/>
      <c r="C3844" s="33"/>
      <c r="D3844" s="52" t="s">
        <v>718</v>
      </c>
      <c r="E3844" s="53"/>
      <c r="F3844" s="54" t="str">
        <f ca="1">IFERROR(VLOOKUP(F3825,'RR-3.1-5TH'!$A$12:'RR-3.1-5TH'!$BN$111,25,0),"")</f>
        <v/>
      </c>
      <c r="G3844" s="54" t="str">
        <f ca="1">IFERROR(VLOOKUP(F3825,'RR-3.1-5TH'!$A$12:'RR-3.1-5TH'!$BN$111,26,0),"")</f>
        <v/>
      </c>
      <c r="H3844" s="54" t="str">
        <f ca="1">IFERROR(VLOOKUP(F3825,'RR-3.1-5TH'!$A$12:'RR-3.1-5TH'!$BN$111,27,0),"")</f>
        <v/>
      </c>
      <c r="I3844" s="54" t="str">
        <f ca="1">IFERROR(VLOOKUP(F3825,'RR-3.1-5TH'!$A$12:'RR-3.1-5TH'!$BN$111,28,0),"")</f>
        <v/>
      </c>
      <c r="J3844" s="54" t="str">
        <f ca="1">IFERROR(VLOOKUP(F3825,'RR-3.1-5TH'!$A$12:'RR-3.1-5TH'!$BN$111,29,0),"")</f>
        <v/>
      </c>
      <c r="K3844" s="54" t="str">
        <f ca="1">IFERROR(VLOOKUP(F3825,'RR-3.1-5TH'!$A$12:'RR-3.1-5TH'!$BN$111,30,0),"")</f>
        <v/>
      </c>
      <c r="L3844" s="55">
        <f ca="1" t="shared" si="201"/>
        <v>0</v>
      </c>
      <c r="M3844" s="56" t="str">
        <f ca="1">IF(F3825&gt;ENTRY!$D$24,"",IF(L3844=0,"Ab",IF(L3844&gt;80,"A",IF(L3844&gt;60,"B",IF(L3844&gt;44,"C",IF(L3844&gt;=33,"D",IF(L3844&lt;=32,"E","")))))))</f>
        <v/>
      </c>
      <c r="N3844" s="29"/>
      <c r="O3844" s="29"/>
      <c r="P3844" s="19"/>
      <c r="Q3844" s="19"/>
      <c r="R3844" s="11"/>
    </row>
    <row r="3845" s="1" customFormat="1" ht="21.95" customHeight="1" spans="1:18">
      <c r="A3845" s="7"/>
      <c r="B3845" s="12"/>
      <c r="C3845" s="33"/>
      <c r="D3845" s="52" t="s">
        <v>719</v>
      </c>
      <c r="E3845" s="53"/>
      <c r="F3845" s="54" t="str">
        <f ca="1">IFERROR(VLOOKUP(F3825,'RR-3.1-5TH'!$A$12:'RR-3.1-5TH'!$BN$111,33,0),"")</f>
        <v/>
      </c>
      <c r="G3845" s="54" t="str">
        <f ca="1">IFERROR(VLOOKUP(F3825,'RR-3.1-5TH'!$A$12:'RR-3.1-5TH'!$BN$111,34,0),"")</f>
        <v/>
      </c>
      <c r="H3845" s="54" t="str">
        <f ca="1">IFERROR(VLOOKUP(F3825,'RR-3.1-5TH'!$A$12:'RR-3.1-5TH'!$BN$111,35,0),"")</f>
        <v/>
      </c>
      <c r="I3845" s="54" t="str">
        <f ca="1">IFERROR(VLOOKUP(F3825,'RR-3.1-5TH'!$A$12:'RR-3.1-5TH'!$BN$111,36,0),"")</f>
        <v/>
      </c>
      <c r="J3845" s="54" t="str">
        <f ca="1">IFERROR(VLOOKUP(F3825,'RR-3.1-5TH'!$A$12:'RR-3.1-5TH'!$BN$111,37,0),"")</f>
        <v/>
      </c>
      <c r="K3845" s="54" t="str">
        <f ca="1">IFERROR(VLOOKUP(F3825,'RR-3.1-5TH'!$A$12:'RR-3.1-5TH'!$BN$111,38,0),"")</f>
        <v/>
      </c>
      <c r="L3845" s="55">
        <f ca="1" t="shared" si="201"/>
        <v>0</v>
      </c>
      <c r="M3845" s="56" t="str">
        <f ca="1">IF(F3825&gt;ENTRY!$D$24,"",IF(L3845=0,"Ab",IF(L3845&gt;80,"A",IF(L3845&gt;60,"B",IF(L3845&gt;44,"C",IF(L3845&gt;=33,"D",IF(L3845&lt;=32,"E","")))))))</f>
        <v/>
      </c>
      <c r="N3845" s="29"/>
      <c r="O3845" s="29"/>
      <c r="P3845" s="19"/>
      <c r="Q3845" s="19"/>
      <c r="R3845" s="11"/>
    </row>
    <row r="3846" s="1" customFormat="1" ht="21.95" customHeight="1" spans="1:18">
      <c r="A3846" s="7"/>
      <c r="B3846" s="12"/>
      <c r="C3846" s="33"/>
      <c r="D3846" s="52" t="s">
        <v>548</v>
      </c>
      <c r="E3846" s="53"/>
      <c r="F3846" s="54" t="str">
        <f ca="1">IFERROR(VLOOKUP(F3825,'RR-3.1-5TH'!$A$12:'RR-3.1-5TH'!$BN$111,41,0),"")</f>
        <v/>
      </c>
      <c r="G3846" s="54" t="str">
        <f ca="1">IFERROR(VLOOKUP(F3825,'RR-3.1-5TH'!$A$12:'RR-3.1-5TH'!$BN$111,42,0),"")</f>
        <v/>
      </c>
      <c r="H3846" s="54" t="str">
        <f ca="1">IFERROR(VLOOKUP(F3825,'RR-3.1-5TH'!$A$12:'RR-3.1-5TH'!$BN$111,43,0),"")</f>
        <v/>
      </c>
      <c r="I3846" s="54" t="str">
        <f ca="1">IFERROR(VLOOKUP(F3825,'RR-3.1-5TH'!$A$12:'RR-3.1-5TH'!$BN$111,44,0),"")</f>
        <v/>
      </c>
      <c r="J3846" s="54" t="str">
        <f ca="1">IFERROR(VLOOKUP(F3825,'RR-3.1-5TH'!$A$12:'RR-3.1-5TH'!$BN$111,45,0),"")</f>
        <v/>
      </c>
      <c r="K3846" s="54" t="str">
        <f ca="1">IFERROR(VLOOKUP(F3825,'RR-3.1-5TH'!$A$12:'RR-3.1-5TH'!$BN$111,46,0),"")</f>
        <v/>
      </c>
      <c r="L3846" s="55">
        <f ca="1" t="shared" si="201"/>
        <v>0</v>
      </c>
      <c r="M3846" s="56" t="str">
        <f ca="1">IF(F3825&gt;ENTRY!$D$24,"",IF(L3846=0,"Ab",IF(L3846&gt;80,"A",IF(L3846&gt;60,"B",IF(L3846&gt;44,"C",IF(L3846&gt;=33,"D",IF(L3846&lt;=32,"E","")))))))</f>
        <v/>
      </c>
      <c r="N3846" s="29"/>
      <c r="O3846" s="29"/>
      <c r="P3846" s="19"/>
      <c r="Q3846" s="19"/>
      <c r="R3846" s="11"/>
    </row>
    <row r="3847" s="1" customFormat="1" ht="21.95" customHeight="1" spans="1:18">
      <c r="A3847" s="7"/>
      <c r="B3847" s="12"/>
      <c r="C3847" s="33"/>
      <c r="D3847" s="52" t="s">
        <v>549</v>
      </c>
      <c r="E3847" s="53"/>
      <c r="F3847" s="54" t="str">
        <f ca="1">IFERROR(VLOOKUP(F3825,'RR-3.1-5TH'!$A$12:'RR-3.1-5TH'!$BN$111,49,0),"")</f>
        <v/>
      </c>
      <c r="G3847" s="54" t="str">
        <f ca="1">IFERROR(VLOOKUP(F3825,'RR-3.1-5TH'!$A$12:'RR-3.1-5TH'!$BN$111,50,0),"")</f>
        <v/>
      </c>
      <c r="H3847" s="54" t="str">
        <f ca="1">IFERROR(VLOOKUP(F3825,'RR-3.1-5TH'!$A$12:'RR-3.1-5TH'!$BN$111,51,0),"")</f>
        <v/>
      </c>
      <c r="I3847" s="54" t="str">
        <f ca="1">IFERROR(VLOOKUP(F3825,'RR-3.1-5TH'!$A$12:'RR-3.1-5TH'!$BN$111,52,0),"")</f>
        <v/>
      </c>
      <c r="J3847" s="54" t="str">
        <f ca="1">IFERROR(VLOOKUP(F3825,'RR-3.1-5TH'!$A$12:'RR-3.1-5TH'!$BN$111,53,0),"")</f>
        <v/>
      </c>
      <c r="K3847" s="54" t="str">
        <f ca="1">IFERROR(VLOOKUP(F3825,'RR-3.1-5TH'!$A$12:'RR-3.1-5TH'!$BN$111,54,0),"")</f>
        <v/>
      </c>
      <c r="L3847" s="55">
        <f ca="1" t="shared" si="201"/>
        <v>0</v>
      </c>
      <c r="M3847" s="56" t="str">
        <f ca="1">IF(F3825&gt;ENTRY!$D$24,"",IF(L3847=0,"Ab",IF(L3847&gt;80,"A",IF(L3847&gt;60,"B",IF(L3847&gt;44,"C",IF(L3847&gt;=33,"D",IF(L3847&lt;=32,"E","")))))))</f>
        <v/>
      </c>
      <c r="N3847" s="57" t="s">
        <v>752</v>
      </c>
      <c r="O3847" s="58"/>
      <c r="P3847" s="59"/>
      <c r="Q3847" s="19"/>
      <c r="R3847" s="11"/>
    </row>
    <row r="3848" s="1" customFormat="1" ht="21.95" customHeight="1" spans="1:18">
      <c r="A3848" s="7"/>
      <c r="B3848" s="12"/>
      <c r="C3848" s="33"/>
      <c r="D3848" s="52" t="s">
        <v>753</v>
      </c>
      <c r="E3848" s="53"/>
      <c r="F3848" s="60"/>
      <c r="G3848" s="54"/>
      <c r="H3848" s="54"/>
      <c r="I3848" s="54"/>
      <c r="J3848" s="54"/>
      <c r="K3848" s="54"/>
      <c r="L3848" s="55">
        <f t="shared" ref="L3848" si="202">SUM(G3848:K3848)</f>
        <v>0</v>
      </c>
      <c r="M3848" s="56" t="str">
        <f>IF(F3825&gt;ENTRY!$D$24,"",IF(L3848=0,"",IF(L3848&gt;79,"A",IF(L3848&gt;59,"B",IF(L3848&gt;44,"C",IF(L3848&gt;=33,"D",IF(L3848&lt;=32,"E","")))))))</f>
        <v/>
      </c>
      <c r="N3848" s="58"/>
      <c r="O3848" s="58"/>
      <c r="P3848" s="59"/>
      <c r="Q3848" s="19"/>
      <c r="R3848" s="11"/>
    </row>
    <row r="3849" s="1" customFormat="1" ht="21.95" customHeight="1" spans="1:18">
      <c r="A3849" s="7"/>
      <c r="B3849" s="12"/>
      <c r="C3849" s="33"/>
      <c r="D3849" s="45" t="s">
        <v>382</v>
      </c>
      <c r="E3849" s="46"/>
      <c r="F3849" s="54">
        <f ca="1" t="shared" ref="F3849:L3849" si="203">IFERROR(SUM(F3842:F3848),"")</f>
        <v>0</v>
      </c>
      <c r="G3849" s="54">
        <f ca="1" t="shared" si="203"/>
        <v>0</v>
      </c>
      <c r="H3849" s="54">
        <f ca="1" t="shared" si="203"/>
        <v>0</v>
      </c>
      <c r="I3849" s="54">
        <f ca="1" t="shared" si="203"/>
        <v>0</v>
      </c>
      <c r="J3849" s="54">
        <f ca="1" t="shared" si="203"/>
        <v>0</v>
      </c>
      <c r="K3849" s="54">
        <f ca="1" t="shared" si="203"/>
        <v>0</v>
      </c>
      <c r="L3849" s="55">
        <f ca="1" t="shared" si="203"/>
        <v>0</v>
      </c>
      <c r="M3849" s="61" t="str">
        <f ca="1">IF(F3825&gt;ENTRY!$D$24,"",IF(N3850="Ab","Ab",IF(N3850&gt;79.5,"A",IF(N3850&gt;59.5,"B",IF(N3850&gt;44.5,"C",IF(N3850&gt;=33,"D",IF(N3850&lt;33,"E","")))))))</f>
        <v/>
      </c>
      <c r="N3849" s="62"/>
      <c r="O3849" s="58"/>
      <c r="P3849" s="59"/>
      <c r="Q3849" s="19"/>
      <c r="R3849" s="11"/>
    </row>
    <row r="3850" s="1" customFormat="1" ht="21.95" customHeight="1" spans="1:18">
      <c r="A3850" s="7"/>
      <c r="B3850" s="12"/>
      <c r="C3850" s="33"/>
      <c r="D3850" s="63" t="s">
        <v>721</v>
      </c>
      <c r="E3850" s="63"/>
      <c r="F3850" s="63"/>
      <c r="G3850" s="63"/>
      <c r="H3850" s="63"/>
      <c r="I3850" s="63"/>
      <c r="J3850" s="63"/>
      <c r="K3850" s="63"/>
      <c r="L3850" s="63"/>
      <c r="M3850" s="63"/>
      <c r="N3850" s="64">
        <f ca="1">IF(L3849="Ab","Ab",L3849/6)</f>
        <v>0</v>
      </c>
      <c r="O3850" s="65"/>
      <c r="P3850" s="19"/>
      <c r="Q3850" s="19"/>
      <c r="R3850" s="11"/>
    </row>
    <row r="3851" s="1" customFormat="1" ht="21.95" customHeight="1" spans="1:18">
      <c r="A3851" s="7"/>
      <c r="B3851" s="12"/>
      <c r="C3851" s="33"/>
      <c r="D3851" s="29" t="s">
        <v>716</v>
      </c>
      <c r="E3851" s="18" t="str">
        <f>IFERROR(VLOOKUP(F3825,'1to4-2.1-RR'!$A$12:$BG$111,57,0),"")</f>
        <v/>
      </c>
      <c r="F3851" s="18"/>
      <c r="G3851" s="18"/>
      <c r="H3851" s="18"/>
      <c r="I3851" s="18"/>
      <c r="J3851" s="18"/>
      <c r="K3851" s="18"/>
      <c r="L3851" s="18"/>
      <c r="M3851" s="18"/>
      <c r="N3851" s="29"/>
      <c r="O3851" s="29"/>
      <c r="P3851" s="19"/>
      <c r="Q3851" s="19"/>
      <c r="R3851" s="11"/>
    </row>
    <row r="3852" s="1" customFormat="1" ht="9.95" customHeight="1" spans="1:18">
      <c r="A3852" s="7"/>
      <c r="B3852" s="12"/>
      <c r="C3852" s="33"/>
      <c r="D3852" s="29"/>
      <c r="E3852" s="29"/>
      <c r="F3852" s="29"/>
      <c r="G3852" s="29"/>
      <c r="H3852" s="29"/>
      <c r="I3852" s="29"/>
      <c r="J3852" s="29"/>
      <c r="K3852" s="29"/>
      <c r="L3852" s="29"/>
      <c r="M3852" s="29"/>
      <c r="N3852" s="29"/>
      <c r="O3852" s="29"/>
      <c r="P3852" s="19"/>
      <c r="Q3852" s="19"/>
      <c r="R3852" s="11"/>
    </row>
    <row r="3853" s="1" customFormat="1" ht="36" spans="1:18">
      <c r="A3853" s="7"/>
      <c r="B3853" s="12"/>
      <c r="C3853" s="33"/>
      <c r="D3853" s="66" t="s">
        <v>576</v>
      </c>
      <c r="E3853" s="67" t="s">
        <v>754</v>
      </c>
      <c r="F3853" s="47" t="str">
        <f>IF(F3825&gt;ENTRY!$D$24,"",IFERROR(VLOOKUP(F3825,PASHEET!$A$4:$CJ$103,88,0),""))</f>
        <v/>
      </c>
      <c r="G3853" s="67" t="s">
        <v>755</v>
      </c>
      <c r="H3853" s="47" t="str">
        <f>IF(F3825&gt;ENTRY!$D$24,"",IFERROR(VLOOKUP(F3825,PASHEET!$A$4:$CJ$103,87,0),""))</f>
        <v/>
      </c>
      <c r="I3853" s="68" t="s">
        <v>756</v>
      </c>
      <c r="J3853" s="69" t="str">
        <f>IF(F3825&gt;ENTRY!$D$24,"",IFERROR(IF(F3825&gt;0,H3853/F3853*100),""))</f>
        <v/>
      </c>
      <c r="K3853" s="60" t="s">
        <v>757</v>
      </c>
      <c r="L3853" s="70" t="str">
        <f ca="1">IF(F3825&gt;ENTRY!$D$24,"",IFERROR(L3849/600*100,""))</f>
        <v/>
      </c>
      <c r="M3853" s="47" t="str">
        <f ca="1">IF(F3825&gt;ENTRY!$D$24,"",IFERROR(L3849&amp;" / "&amp;"600",""))</f>
        <v/>
      </c>
      <c r="N3853" s="29"/>
      <c r="O3853" s="29"/>
      <c r="P3853" s="19"/>
      <c r="Q3853" s="19"/>
      <c r="R3853" s="11"/>
    </row>
    <row r="3854" s="1" customFormat="1" ht="9.95" customHeight="1" spans="1:18">
      <c r="A3854" s="7"/>
      <c r="B3854" s="12"/>
      <c r="C3854" s="39"/>
      <c r="D3854" s="40"/>
      <c r="E3854" s="40"/>
      <c r="F3854" s="40"/>
      <c r="G3854" s="40"/>
      <c r="H3854" s="40"/>
      <c r="I3854" s="40"/>
      <c r="J3854" s="40"/>
      <c r="K3854" s="40"/>
      <c r="L3854" s="40"/>
      <c r="M3854" s="40"/>
      <c r="N3854" s="40"/>
      <c r="O3854" s="40"/>
      <c r="P3854" s="41"/>
      <c r="Q3854" s="19"/>
      <c r="R3854" s="11"/>
    </row>
    <row r="3855" s="1" customFormat="1" ht="9.95" customHeight="1" spans="1:18">
      <c r="A3855" s="7"/>
      <c r="B3855" s="12"/>
      <c r="C3855" s="71"/>
      <c r="D3855" s="71"/>
      <c r="E3855" s="71"/>
      <c r="F3855" s="29"/>
      <c r="G3855" s="71"/>
      <c r="H3855" s="71"/>
      <c r="I3855" s="71"/>
      <c r="J3855" s="71"/>
      <c r="K3855" s="71"/>
      <c r="L3855" s="71"/>
      <c r="M3855" s="71"/>
      <c r="N3855" s="71"/>
      <c r="O3855" s="71"/>
      <c r="P3855" s="71"/>
      <c r="Q3855" s="19"/>
      <c r="R3855" s="11"/>
    </row>
    <row r="3856" s="1" customFormat="1" ht="9.95" customHeight="1" spans="1:18">
      <c r="A3856" s="7"/>
      <c r="B3856" s="12"/>
      <c r="C3856" s="29"/>
      <c r="D3856" s="29"/>
      <c r="E3856" s="29"/>
      <c r="F3856" s="72"/>
      <c r="G3856" s="29"/>
      <c r="H3856" s="29"/>
      <c r="I3856" s="29"/>
      <c r="J3856" s="29"/>
      <c r="K3856" s="29"/>
      <c r="L3856" s="29"/>
      <c r="M3856" s="29"/>
      <c r="N3856" s="29"/>
      <c r="O3856" s="29"/>
      <c r="P3856" s="29"/>
      <c r="Q3856" s="19"/>
      <c r="R3856" s="11"/>
    </row>
    <row r="3857" s="1" customFormat="1" ht="9.95" customHeight="1" spans="1:19">
      <c r="A3857" s="7"/>
      <c r="B3857" s="12"/>
      <c r="C3857" s="30"/>
      <c r="D3857" s="31"/>
      <c r="E3857" s="31"/>
      <c r="F3857" s="31"/>
      <c r="G3857" s="31"/>
      <c r="H3857" s="31"/>
      <c r="I3857" s="31"/>
      <c r="J3857" s="31"/>
      <c r="K3857" s="31"/>
      <c r="L3857" s="31"/>
      <c r="M3857" s="31"/>
      <c r="N3857" s="31"/>
      <c r="O3857" s="31"/>
      <c r="P3857" s="32"/>
      <c r="Q3857" s="19"/>
      <c r="R3857" s="11"/>
    </row>
    <row r="3858" s="1" customFormat="1" ht="21.95" customHeight="1" spans="1:19">
      <c r="A3858" s="7"/>
      <c r="B3858" s="12"/>
      <c r="C3858" s="73" t="s">
        <v>7</v>
      </c>
      <c r="D3858" s="13"/>
      <c r="E3858" s="13"/>
      <c r="F3858" s="13"/>
      <c r="G3858" s="13"/>
      <c r="H3858" s="13"/>
      <c r="I3858" s="13"/>
      <c r="J3858" s="13"/>
      <c r="K3858" s="13"/>
      <c r="L3858" s="13"/>
      <c r="M3858" s="13"/>
      <c r="N3858" s="13"/>
      <c r="O3858" s="13"/>
      <c r="P3858" s="74"/>
      <c r="Q3858" s="19"/>
      <c r="R3858" s="11"/>
      <c r="S3858" s="2"/>
    </row>
    <row r="3859" s="1" customFormat="1" ht="21.95" customHeight="1" spans="1:19">
      <c r="A3859" s="7"/>
      <c r="B3859" s="12"/>
      <c r="C3859" s="33"/>
      <c r="D3859" s="29"/>
      <c r="E3859" s="29"/>
      <c r="F3859" s="29"/>
      <c r="G3859" s="29"/>
      <c r="H3859" s="29"/>
      <c r="I3859" s="29"/>
      <c r="J3859" s="29"/>
      <c r="K3859" s="29"/>
      <c r="L3859" s="29"/>
      <c r="M3859" s="29"/>
      <c r="N3859" s="29"/>
      <c r="O3859" s="29"/>
      <c r="P3859" s="19"/>
      <c r="Q3859" s="19"/>
      <c r="R3859" s="11"/>
    </row>
    <row r="3860" s="1" customFormat="1" ht="21.95" customHeight="1" spans="1:19">
      <c r="A3860" s="7"/>
      <c r="B3860" s="12"/>
      <c r="C3860" s="75" t="str">
        <f>"SESSION-"&amp;ENTRY!$D$11</f>
        <v>SESSION-2026-27</v>
      </c>
      <c r="D3860" s="15"/>
      <c r="E3860" s="15"/>
      <c r="F3860" s="15"/>
      <c r="G3860" s="15"/>
      <c r="H3860" s="15"/>
      <c r="I3860" s="15"/>
      <c r="J3860" s="15"/>
      <c r="K3860" s="15"/>
      <c r="L3860" s="15"/>
      <c r="M3860" s="15"/>
      <c r="N3860" s="15"/>
      <c r="O3860" s="15"/>
      <c r="P3860" s="76"/>
      <c r="Q3860" s="19"/>
      <c r="R3860" s="11"/>
    </row>
    <row r="3861" s="1" customFormat="1" ht="18" customHeight="1" spans="1:19">
      <c r="A3861" s="7"/>
      <c r="B3861" s="12"/>
      <c r="C3861" s="33"/>
      <c r="D3861" s="29"/>
      <c r="E3861" s="29"/>
      <c r="F3861" s="29"/>
      <c r="G3861" s="29"/>
      <c r="H3861" s="29"/>
      <c r="I3861" s="29"/>
      <c r="J3861" s="29"/>
      <c r="K3861" s="29"/>
      <c r="L3861" s="29"/>
      <c r="M3861" s="29"/>
      <c r="N3861" s="29"/>
      <c r="O3861" s="29"/>
      <c r="P3861" s="19"/>
      <c r="Q3861" s="19"/>
      <c r="R3861" s="11"/>
    </row>
    <row r="3862" s="1" customFormat="1" ht="21.95" customHeight="1" spans="1:19">
      <c r="A3862" s="7"/>
      <c r="B3862" s="12"/>
      <c r="C3862" s="33"/>
      <c r="D3862" s="77" t="s">
        <v>758</v>
      </c>
      <c r="E3862" s="77"/>
      <c r="F3862" s="78" t="str">
        <f>IFERROR(PROPER(VLOOKUP(F3825,STUDENT!$A$2:$BP$101,5,0)),"")</f>
        <v/>
      </c>
      <c r="G3862" s="78"/>
      <c r="H3862" s="78"/>
      <c r="I3862" s="78"/>
      <c r="J3862" s="78"/>
      <c r="K3862" s="78"/>
      <c r="L3862" s="78"/>
      <c r="M3862" s="78"/>
      <c r="N3862" s="79" t="s">
        <v>759</v>
      </c>
      <c r="O3862" s="79"/>
      <c r="P3862" s="19"/>
      <c r="Q3862" s="19"/>
      <c r="R3862" s="11"/>
    </row>
    <row r="3863" s="1" customFormat="1" ht="21.95" customHeight="1" spans="1:19">
      <c r="A3863" s="7"/>
      <c r="B3863" s="12"/>
      <c r="C3863" s="33"/>
      <c r="D3863" s="80" t="s">
        <v>760</v>
      </c>
      <c r="E3863" s="81" t="str">
        <f>IFERROR(PROPER(VLOOKUP(F3825,STUDENT!$A$2:$BP$101,9,0)),"")</f>
        <v/>
      </c>
      <c r="F3863" s="81"/>
      <c r="G3863" s="81"/>
      <c r="H3863" s="80" t="s">
        <v>761</v>
      </c>
      <c r="I3863" s="82" t="str">
        <f>IFERROR(PROPER(VLOOKUP(F3825,STUDENT!$A$2:$BP$101,8,0)),"")</f>
        <v/>
      </c>
      <c r="J3863" s="82"/>
      <c r="K3863" s="82"/>
      <c r="L3863" s="82"/>
      <c r="M3863" s="80" t="s">
        <v>762</v>
      </c>
      <c r="N3863" s="83" t="str">
        <f>IFERROR(VLOOKUP(F3825,STUDENT!$A$2:$BP$101,59,0),"")</f>
        <v/>
      </c>
      <c r="O3863" s="83"/>
      <c r="P3863" s="19"/>
      <c r="Q3863" s="19"/>
      <c r="R3863" s="11"/>
    </row>
    <row r="3864" s="1" customFormat="1" ht="21.95" customHeight="1" spans="1:19">
      <c r="A3864" s="7"/>
      <c r="B3864" s="12"/>
      <c r="C3864" s="33"/>
      <c r="D3864" s="77" t="str">
        <f>"has    completed     his  /  her     primary     level     education    in    the    year    "&amp;RIGHT(ENTRY!$D3830,4)&amp;"    from    ( School    Name )"</f>
        <v>has    completed     his  /  her     primary     level     education    in    the    year        from    ( School    Name )</v>
      </c>
      <c r="E3864" s="77"/>
      <c r="F3864" s="77"/>
      <c r="G3864" s="77"/>
      <c r="H3864" s="77"/>
      <c r="I3864" s="77"/>
      <c r="J3864" s="77"/>
      <c r="K3864" s="77"/>
      <c r="L3864" s="77"/>
      <c r="M3864" s="77"/>
      <c r="N3864" s="77"/>
      <c r="O3864" s="77"/>
      <c r="P3864" s="19"/>
      <c r="Q3864" s="19"/>
      <c r="R3864" s="11"/>
    </row>
    <row r="3865" s="1" customFormat="1" ht="21.95" customHeight="1" spans="1:19">
      <c r="A3865" s="7"/>
      <c r="B3865" s="12"/>
      <c r="C3865" s="33"/>
      <c r="D3865" s="81" t="str">
        <f>IF(F3825&gt;0,ENTRY!$D$6,"")</f>
        <v>MCP NITHARI NO 1 BOYS</v>
      </c>
      <c r="E3865" s="81"/>
      <c r="F3865" s="81"/>
      <c r="G3865" s="81"/>
      <c r="H3865" s="81"/>
      <c r="I3865" s="81"/>
      <c r="J3865" s="81"/>
      <c r="K3865" s="81"/>
      <c r="L3865" s="81"/>
      <c r="M3865" s="80" t="s">
        <v>763</v>
      </c>
      <c r="N3865" s="84">
        <f>IF(F3825&gt;0,ENTRY!$D$7,"")</f>
        <v>0</v>
      </c>
      <c r="O3865" s="84"/>
      <c r="P3865" s="85" t="s">
        <v>727</v>
      </c>
      <c r="Q3865" s="19"/>
      <c r="R3865" s="11"/>
    </row>
    <row r="3866" s="1" customFormat="1" ht="21.95" customHeight="1" spans="1:19">
      <c r="A3866" s="7"/>
      <c r="B3866" s="12"/>
      <c r="C3866" s="33"/>
      <c r="D3866" s="29"/>
      <c r="E3866" s="29"/>
      <c r="F3866" s="29"/>
      <c r="G3866" s="29"/>
      <c r="H3866" s="29"/>
      <c r="I3866" s="29"/>
      <c r="J3866" s="29"/>
      <c r="K3866" s="29"/>
      <c r="L3866" s="29"/>
      <c r="M3866" s="29"/>
      <c r="N3866" s="29"/>
      <c r="O3866" s="29"/>
      <c r="P3866" s="19"/>
      <c r="Q3866" s="19"/>
      <c r="R3866" s="11"/>
    </row>
    <row r="3867" s="1" customFormat="1" ht="21.95" customHeight="1" spans="1:19">
      <c r="A3867" s="7"/>
      <c r="B3867" s="12"/>
      <c r="C3867" s="33"/>
      <c r="D3867" s="29"/>
      <c r="E3867" s="29"/>
      <c r="F3867" s="29"/>
      <c r="G3867" s="29"/>
      <c r="H3867" s="29"/>
      <c r="I3867" s="29"/>
      <c r="J3867" s="29"/>
      <c r="K3867" s="29"/>
      <c r="L3867" s="29"/>
      <c r="M3867" s="29"/>
      <c r="N3867" s="29"/>
      <c r="O3867" s="29"/>
      <c r="P3867" s="19"/>
      <c r="Q3867" s="19"/>
      <c r="R3867" s="11"/>
    </row>
    <row r="3868" s="1" customFormat="1" ht="21.95" customHeight="1" spans="1:19">
      <c r="A3868" s="7"/>
      <c r="B3868" s="12"/>
      <c r="C3868" s="33"/>
      <c r="D3868" s="29"/>
      <c r="E3868" s="29"/>
      <c r="F3868" s="29"/>
      <c r="G3868" s="29"/>
      <c r="H3868" s="29"/>
      <c r="I3868" s="29"/>
      <c r="J3868" s="29"/>
      <c r="K3868" s="29"/>
      <c r="L3868" s="29"/>
      <c r="M3868" s="29"/>
      <c r="N3868" s="29"/>
      <c r="O3868" s="29"/>
      <c r="P3868" s="19"/>
      <c r="Q3868" s="19"/>
      <c r="R3868" s="11"/>
    </row>
    <row r="3869" s="1" customFormat="1" ht="21.95" customHeight="1" spans="1:19">
      <c r="A3869" s="7"/>
      <c r="B3869" s="12"/>
      <c r="C3869" s="33"/>
      <c r="D3869" s="29"/>
      <c r="E3869" s="29"/>
      <c r="F3869" s="29"/>
      <c r="G3869" s="29"/>
      <c r="H3869" s="29"/>
      <c r="I3869" s="29"/>
      <c r="J3869" s="29"/>
      <c r="K3869" s="29"/>
      <c r="L3869" s="29"/>
      <c r="M3869" s="29"/>
      <c r="N3869" s="29"/>
      <c r="O3869" s="29"/>
      <c r="P3869" s="19"/>
      <c r="Q3869" s="19"/>
      <c r="R3869" s="11"/>
    </row>
    <row r="3870" s="1" customFormat="1" ht="21.95" customHeight="1" spans="1:19">
      <c r="A3870" s="7"/>
      <c r="B3870" s="12"/>
      <c r="C3870" s="33"/>
      <c r="D3870" s="29"/>
      <c r="E3870" s="29"/>
      <c r="F3870" s="29"/>
      <c r="G3870" s="29"/>
      <c r="H3870" s="29"/>
      <c r="I3870" s="29"/>
      <c r="J3870" s="29"/>
      <c r="K3870" s="29"/>
      <c r="L3870" s="29"/>
      <c r="M3870" s="29"/>
      <c r="N3870" s="29"/>
      <c r="O3870" s="29"/>
      <c r="P3870" s="19"/>
      <c r="Q3870" s="19"/>
      <c r="R3870" s="11"/>
    </row>
    <row r="3871" s="1" customFormat="1" ht="21.95" customHeight="1" spans="1:19">
      <c r="A3871" s="7"/>
      <c r="B3871" s="12"/>
      <c r="C3871" s="33"/>
      <c r="D3871" s="80" t="s">
        <v>728</v>
      </c>
      <c r="E3871" s="86">
        <f>ENTRY!$D$27</f>
        <v>46102</v>
      </c>
      <c r="F3871" s="86"/>
      <c r="G3871" s="29"/>
      <c r="H3871" s="29"/>
      <c r="I3871" s="29"/>
      <c r="J3871" s="29"/>
      <c r="K3871" s="29"/>
      <c r="L3871" s="29"/>
      <c r="M3871" s="87" t="s">
        <v>730</v>
      </c>
      <c r="N3871" s="87"/>
      <c r="O3871" s="87"/>
      <c r="P3871" s="19"/>
      <c r="Q3871" s="19"/>
      <c r="R3871" s="11"/>
    </row>
    <row r="3872" s="1" customFormat="1" ht="21.95" customHeight="1" spans="1:19">
      <c r="A3872" s="7"/>
      <c r="B3872" s="12"/>
      <c r="C3872" s="33"/>
      <c r="D3872" s="80" t="s">
        <v>731</v>
      </c>
      <c r="E3872" s="88" t="str">
        <f>PROPER(ENTRY!$D$28)</f>
        <v>New Delhi</v>
      </c>
      <c r="F3872" s="88"/>
      <c r="G3872" s="29"/>
      <c r="H3872" s="29"/>
      <c r="I3872" s="29"/>
      <c r="J3872" s="29"/>
      <c r="K3872" s="29"/>
      <c r="L3872" s="29"/>
      <c r="M3872" s="89" t="s">
        <v>732</v>
      </c>
      <c r="N3872" s="89"/>
      <c r="O3872" s="89"/>
      <c r="P3872" s="19"/>
      <c r="Q3872" s="19"/>
      <c r="R3872" s="11"/>
    </row>
    <row r="3873" s="1" customFormat="1" ht="21.95" customHeight="1" spans="1:18">
      <c r="A3873" s="7"/>
      <c r="B3873" s="12"/>
      <c r="C3873" s="90"/>
      <c r="D3873" s="91"/>
      <c r="E3873" s="91"/>
      <c r="F3873" s="91"/>
      <c r="G3873" s="91"/>
      <c r="H3873" s="91"/>
      <c r="I3873" s="91"/>
      <c r="J3873" s="91"/>
      <c r="K3873" s="91"/>
      <c r="L3873" s="91"/>
      <c r="M3873" s="91"/>
      <c r="N3873" s="91"/>
      <c r="O3873" s="91"/>
      <c r="P3873" s="92"/>
      <c r="Q3873" s="14"/>
      <c r="R3873" s="11"/>
    </row>
    <row r="3874" s="1" customFormat="1" ht="5.1" customHeight="1" spans="1:18">
      <c r="A3874" s="7"/>
      <c r="B3874" s="90"/>
      <c r="C3874" s="91"/>
      <c r="D3874" s="91"/>
      <c r="E3874" s="91"/>
      <c r="F3874" s="91"/>
      <c r="G3874" s="91"/>
      <c r="H3874" s="91"/>
      <c r="I3874" s="91"/>
      <c r="J3874" s="91"/>
      <c r="K3874" s="91"/>
      <c r="L3874" s="91"/>
      <c r="M3874" s="91"/>
      <c r="N3874" s="91"/>
      <c r="O3874" s="91"/>
      <c r="P3874" s="91"/>
      <c r="Q3874" s="92"/>
      <c r="R3874" s="11"/>
    </row>
    <row r="3875" s="1" customFormat="1" ht="5.1" customHeight="1" spans="1:18">
      <c r="A3875" s="93"/>
      <c r="B3875" s="94"/>
      <c r="C3875" s="94"/>
      <c r="D3875" s="94"/>
      <c r="E3875" s="94"/>
      <c r="F3875" s="94"/>
      <c r="G3875" s="94"/>
      <c r="H3875" s="94"/>
      <c r="I3875" s="94"/>
      <c r="J3875" s="94"/>
      <c r="K3875" s="94"/>
      <c r="L3875" s="94"/>
      <c r="M3875" s="94"/>
      <c r="N3875" s="94"/>
      <c r="O3875" s="94"/>
      <c r="P3875" s="94"/>
      <c r="Q3875" s="94"/>
      <c r="R3875" s="95"/>
    </row>
    <row r="3876" s="2" customFormat="1" ht="9.95" customHeight="1"/>
    <row r="3877" s="1" customFormat="1" ht="5.1" customHeight="1" spans="1:18">
      <c r="A3877" s="4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  <c r="O3877" s="5"/>
      <c r="P3877" s="5"/>
      <c r="Q3877" s="5"/>
      <c r="R3877" s="6"/>
    </row>
    <row r="3878" s="1" customFormat="1" ht="15" customHeight="1" spans="1:18">
      <c r="A3878" s="7"/>
      <c r="B3878" s="8"/>
      <c r="C3878" s="9"/>
      <c r="D3878" s="9"/>
      <c r="E3878" s="9"/>
      <c r="F3878" s="9"/>
      <c r="G3878" s="9"/>
      <c r="H3878" s="9"/>
      <c r="I3878" s="9"/>
      <c r="J3878" s="9"/>
      <c r="K3878" s="9"/>
      <c r="L3878" s="9"/>
      <c r="M3878" s="9"/>
      <c r="N3878" s="9"/>
      <c r="O3878" s="9"/>
      <c r="P3878" s="9"/>
      <c r="Q3878" s="10"/>
      <c r="R3878" s="11"/>
    </row>
    <row r="3879" s="1" customFormat="1" ht="21.95" customHeight="1" spans="1:18">
      <c r="A3879" s="7"/>
      <c r="B3879" s="12"/>
      <c r="C3879" s="13" t="s">
        <v>7</v>
      </c>
      <c r="D3879" s="13"/>
      <c r="E3879" s="13"/>
      <c r="F3879" s="13"/>
      <c r="G3879" s="13"/>
      <c r="H3879" s="13"/>
      <c r="I3879" s="13"/>
      <c r="J3879" s="13"/>
      <c r="K3879" s="13"/>
      <c r="L3879" s="13"/>
      <c r="M3879" s="13"/>
      <c r="N3879" s="13"/>
      <c r="O3879" s="13"/>
      <c r="P3879" s="13"/>
      <c r="Q3879" s="14"/>
      <c r="R3879" s="11"/>
    </row>
    <row r="3880" s="1" customFormat="1" ht="21.95" customHeight="1" spans="1:18">
      <c r="A3880" s="7"/>
      <c r="B3880" s="1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14"/>
      <c r="R3880" s="11"/>
    </row>
    <row r="3881" s="1" customFormat="1" ht="21.95" customHeight="1" spans="1:18">
      <c r="A3881" s="7"/>
      <c r="B3881" s="12"/>
      <c r="C3881" s="15" t="str">
        <f>"SESSION-"&amp;ENTRY!$D$11</f>
        <v>SESSION-2026-27</v>
      </c>
      <c r="D3881" s="15"/>
      <c r="E3881" s="15"/>
      <c r="F3881" s="15"/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  <c r="Q3881" s="14"/>
      <c r="R3881" s="11"/>
    </row>
    <row r="3882" s="1" customFormat="1" ht="21.95" customHeight="1" spans="1:18">
      <c r="A3882" s="7"/>
      <c r="B3882" s="12"/>
      <c r="C3882" s="2"/>
      <c r="D3882" s="2"/>
      <c r="E3882" s="2"/>
      <c r="F3882" s="16">
        <f>F3825+1</f>
        <v>69</v>
      </c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14"/>
      <c r="R3882" s="11"/>
    </row>
    <row r="3883" s="1" customFormat="1" ht="21.95" customHeight="1" spans="1:18">
      <c r="A3883" s="7"/>
      <c r="B3883" s="12"/>
      <c r="C3883" s="17" t="s">
        <v>392</v>
      </c>
      <c r="D3883" s="17"/>
      <c r="E3883" s="17"/>
      <c r="F3883" s="18" t="str">
        <f>IF(F3882&gt;0,ENTRY!$D$6,"")</f>
        <v>MCP NITHARI NO 1 BOYS</v>
      </c>
      <c r="G3883" s="18"/>
      <c r="H3883" s="18"/>
      <c r="I3883" s="18"/>
      <c r="J3883" s="18"/>
      <c r="K3883" s="18"/>
      <c r="L3883" s="18"/>
      <c r="M3883" s="18"/>
      <c r="N3883" s="18"/>
      <c r="O3883" s="18"/>
      <c r="P3883" s="18"/>
      <c r="Q3883" s="19"/>
      <c r="R3883" s="11"/>
    </row>
    <row r="3884" s="1" customFormat="1" ht="21.95" customHeight="1" spans="1:18">
      <c r="A3884" s="7"/>
      <c r="B3884" s="12"/>
      <c r="C3884" s="17" t="s">
        <v>393</v>
      </c>
      <c r="D3884" s="17"/>
      <c r="E3884" s="17"/>
      <c r="F3884" s="18">
        <f>IF(F3882&gt;0,ENTRY!$D$7,"")</f>
        <v>0</v>
      </c>
      <c r="G3884" s="18"/>
      <c r="H3884" s="20" t="s">
        <v>702</v>
      </c>
      <c r="I3884" s="20"/>
      <c r="J3884" s="21">
        <f>IF(F3882&gt;0,ENTRY!$D$10,"")</f>
        <v>40</v>
      </c>
      <c r="K3884" s="20" t="s">
        <v>703</v>
      </c>
      <c r="L3884" s="22" t="str">
        <f>IF(F3882&gt;0,ENTRY!$D$5,"")</f>
        <v>ROHINI ZONE</v>
      </c>
      <c r="M3884" s="22"/>
      <c r="N3884" s="22"/>
      <c r="O3884" s="22"/>
      <c r="P3884" s="22"/>
      <c r="Q3884" s="19"/>
      <c r="R3884" s="11"/>
    </row>
    <row r="3885" s="1" customFormat="1" ht="21.95" customHeight="1" spans="1:18">
      <c r="A3885" s="7"/>
      <c r="B3885" s="12"/>
      <c r="C3885" s="17" t="s">
        <v>706</v>
      </c>
      <c r="D3885" s="17"/>
      <c r="E3885" s="17"/>
      <c r="F3885" s="23">
        <f>IFERROR(VLOOKUP(F3882,STUDENT!$A$2:$BP$101,5,0),"")</f>
        <v>0</v>
      </c>
      <c r="G3885" s="23"/>
      <c r="H3885" s="23"/>
      <c r="I3885" s="23"/>
      <c r="J3885" s="23"/>
      <c r="K3885" s="23"/>
      <c r="L3885" s="20" t="s">
        <v>707</v>
      </c>
      <c r="M3885" s="20"/>
      <c r="N3885" s="24" t="str">
        <f>IF(F3882&gt;0,ENTRY!$D$20&amp;"-"&amp;ENTRY!$D$21,"")</f>
        <v>III-A</v>
      </c>
      <c r="O3885" s="24"/>
      <c r="P3885" s="24"/>
      <c r="Q3885" s="19"/>
      <c r="R3885" s="11"/>
    </row>
    <row r="3886" s="1" customFormat="1" ht="21.95" customHeight="1" spans="1:18">
      <c r="A3886" s="7"/>
      <c r="B3886" s="12"/>
      <c r="C3886" s="17" t="s">
        <v>708</v>
      </c>
      <c r="D3886" s="17"/>
      <c r="E3886" s="17"/>
      <c r="F3886" s="25">
        <f>IFERROR(VLOOKUP(F3882,STUDENT!$A$2:$BP$101,6,0),"")</f>
        <v>0</v>
      </c>
      <c r="G3886" s="25"/>
      <c r="H3886" s="26" t="s">
        <v>709</v>
      </c>
      <c r="I3886" s="27" t="str">
        <f>IFERROR(VLOOKUP(F3882,STUDENT!$A$2:$BP$101,59,0),"")</f>
        <v/>
      </c>
      <c r="J3886" s="27"/>
      <c r="K3886" s="20" t="s">
        <v>710</v>
      </c>
      <c r="L3886" s="20"/>
      <c r="M3886" s="28">
        <f>IFERROR(VLOOKUP(F3882,STUDENT!$A$2:$BP$101,20,0),"")</f>
        <v>0</v>
      </c>
      <c r="N3886" s="28"/>
      <c r="O3886" s="28"/>
      <c r="P3886" s="28"/>
      <c r="Q3886" s="19"/>
      <c r="R3886" s="11"/>
    </row>
    <row r="3887" s="1" customFormat="1" ht="21.95" customHeight="1" spans="1:18">
      <c r="A3887" s="7"/>
      <c r="B3887" s="12"/>
      <c r="C3887" s="17" t="s">
        <v>711</v>
      </c>
      <c r="D3887" s="17"/>
      <c r="E3887" s="17"/>
      <c r="F3887" s="23">
        <f>IFERROR(VLOOKUP(F3882,STUDENT!$A$2:$BP$101,9,0),"")</f>
        <v>0</v>
      </c>
      <c r="G3887" s="23"/>
      <c r="H3887" s="23"/>
      <c r="I3887" s="23"/>
      <c r="J3887" s="17" t="s">
        <v>620</v>
      </c>
      <c r="K3887" s="17"/>
      <c r="L3887" s="23">
        <f>IFERROR(VLOOKUP(F3882,STUDENT!$A$2:$BP$101,8,0),"")</f>
        <v>0</v>
      </c>
      <c r="M3887" s="23"/>
      <c r="N3887" s="23"/>
      <c r="O3887" s="23"/>
      <c r="P3887" s="23"/>
      <c r="Q3887" s="19"/>
      <c r="R3887" s="11"/>
    </row>
    <row r="3888" s="1" customFormat="1" ht="21.95" customHeight="1" spans="1:18">
      <c r="A3888" s="7"/>
      <c r="B3888" s="12"/>
      <c r="C3888" s="17" t="s">
        <v>712</v>
      </c>
      <c r="D3888" s="17"/>
      <c r="E3888" s="17"/>
      <c r="F3888" s="23">
        <f>IFERROR(VLOOKUP(F3882,STUDENT!$A$2:$BP$101,22,0),"")</f>
        <v>0</v>
      </c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19"/>
      <c r="R3888" s="11"/>
    </row>
    <row r="3889" s="1" customFormat="1" ht="9.95" customHeight="1" spans="1:18">
      <c r="A3889" s="7"/>
      <c r="B3889" s="12"/>
      <c r="C3889" s="29"/>
      <c r="D3889" s="29"/>
      <c r="E3889" s="29"/>
      <c r="F3889" s="29"/>
      <c r="G3889" s="29"/>
      <c r="H3889" s="29"/>
      <c r="I3889" s="29"/>
      <c r="J3889" s="29"/>
      <c r="K3889" s="29"/>
      <c r="L3889" s="29"/>
      <c r="M3889" s="29"/>
      <c r="N3889" s="29"/>
      <c r="O3889" s="29"/>
      <c r="P3889" s="29"/>
      <c r="Q3889" s="19"/>
      <c r="R3889" s="11"/>
    </row>
    <row r="3890" s="1" customFormat="1" ht="9.95" customHeight="1" spans="1:18">
      <c r="A3890" s="7"/>
      <c r="B3890" s="12"/>
      <c r="C3890" s="30"/>
      <c r="D3890" s="31"/>
      <c r="E3890" s="31"/>
      <c r="F3890" s="31"/>
      <c r="G3890" s="31"/>
      <c r="H3890" s="31"/>
      <c r="I3890" s="31"/>
      <c r="J3890" s="31"/>
      <c r="K3890" s="31"/>
      <c r="L3890" s="31"/>
      <c r="M3890" s="31"/>
      <c r="N3890" s="31"/>
      <c r="O3890" s="31"/>
      <c r="P3890" s="32"/>
      <c r="Q3890" s="19"/>
      <c r="R3890" s="11"/>
    </row>
    <row r="3891" s="1" customFormat="1" ht="21.95" customHeight="1" spans="1:18">
      <c r="A3891" s="7"/>
      <c r="B3891" s="12"/>
      <c r="C3891" s="33"/>
      <c r="D3891" s="34" t="s">
        <v>713</v>
      </c>
      <c r="E3891" s="20" t="s">
        <v>714</v>
      </c>
      <c r="F3891" s="35" t="str">
        <f>"Level - "&amp;IFERROR(VLOOKUP(F3882,FLN!$A$4:$K$103,9,0),"")</f>
        <v>Level - </v>
      </c>
      <c r="G3891" s="36"/>
      <c r="H3891" s="37" t="s">
        <v>715</v>
      </c>
      <c r="I3891" s="20"/>
      <c r="J3891" s="35" t="str">
        <f>"Level - "&amp;IFERROR(VLOOKUP(F3882,FLN!$A$4:$K$103,11,0),"")</f>
        <v>Level - </v>
      </c>
      <c r="K3891" s="36"/>
      <c r="L3891" s="37" t="s">
        <v>408</v>
      </c>
      <c r="M3891" s="20"/>
      <c r="N3891" s="35" t="str">
        <f>"Level - "&amp;IFERROR(VLOOKUP(F3882,FLN!$A$4:$K$103,10,0),"")</f>
        <v>Level - </v>
      </c>
      <c r="O3891" s="36"/>
      <c r="P3891" s="19"/>
      <c r="Q3891" s="19"/>
      <c r="R3891" s="11"/>
    </row>
    <row r="3892" s="1" customFormat="1" ht="21.95" customHeight="1" spans="1:18">
      <c r="A3892" s="7"/>
      <c r="B3892" s="12"/>
      <c r="C3892" s="33"/>
      <c r="D3892" s="38"/>
      <c r="E3892" s="20" t="s">
        <v>716</v>
      </c>
      <c r="F3892" s="18" t="str">
        <f ca="1">IF(L3906&gt;197,"PERFORMED WELL","")</f>
        <v/>
      </c>
      <c r="G3892" s="18"/>
      <c r="H3892" s="18"/>
      <c r="I3892" s="18"/>
      <c r="J3892" s="18"/>
      <c r="K3892" s="18"/>
      <c r="L3892" s="18"/>
      <c r="M3892" s="18"/>
      <c r="N3892" s="18"/>
      <c r="O3892" s="18"/>
      <c r="P3892" s="19"/>
      <c r="Q3892" s="19"/>
      <c r="R3892" s="11"/>
    </row>
    <row r="3893" s="1" customFormat="1" ht="9.95" customHeight="1" spans="1:18">
      <c r="A3893" s="7"/>
      <c r="B3893" s="12"/>
      <c r="C3893" s="39"/>
      <c r="D3893" s="40"/>
      <c r="E3893" s="40"/>
      <c r="F3893" s="40"/>
      <c r="G3893" s="40"/>
      <c r="H3893" s="40"/>
      <c r="I3893" s="40"/>
      <c r="J3893" s="40"/>
      <c r="K3893" s="40"/>
      <c r="L3893" s="40"/>
      <c r="M3893" s="40"/>
      <c r="N3893" s="40"/>
      <c r="O3893" s="40"/>
      <c r="P3893" s="41"/>
      <c r="Q3893" s="19"/>
      <c r="R3893" s="11"/>
    </row>
    <row r="3894" s="1" customFormat="1" ht="9.95" customHeight="1" spans="1:18">
      <c r="A3894" s="7"/>
      <c r="B3894" s="12"/>
      <c r="C3894" s="29"/>
      <c r="D3894" s="29"/>
      <c r="E3894" s="29"/>
      <c r="F3894" s="29"/>
      <c r="G3894" s="29"/>
      <c r="H3894" s="29"/>
      <c r="I3894" s="29"/>
      <c r="J3894" s="29"/>
      <c r="K3894" s="29"/>
      <c r="L3894" s="29"/>
      <c r="M3894" s="29"/>
      <c r="N3894" s="29"/>
      <c r="O3894" s="29"/>
      <c r="P3894" s="29"/>
      <c r="Q3894" s="19"/>
      <c r="R3894" s="11"/>
    </row>
    <row r="3895" s="1" customFormat="1" ht="9.95" customHeight="1" spans="1:18">
      <c r="A3895" s="7"/>
      <c r="B3895" s="12"/>
      <c r="C3895" s="30"/>
      <c r="D3895" s="31"/>
      <c r="E3895" s="31"/>
      <c r="F3895" s="31"/>
      <c r="G3895" s="31"/>
      <c r="H3895" s="31"/>
      <c r="I3895" s="31"/>
      <c r="J3895" s="31"/>
      <c r="K3895" s="31"/>
      <c r="L3895" s="31"/>
      <c r="M3895" s="31"/>
      <c r="N3895" s="31"/>
      <c r="O3895" s="31"/>
      <c r="P3895" s="32"/>
      <c r="Q3895" s="19"/>
      <c r="R3895" s="11"/>
    </row>
    <row r="3896" s="1" customFormat="1" ht="21.95" customHeight="1" spans="1:18">
      <c r="A3896" s="7"/>
      <c r="B3896" s="12"/>
      <c r="C3896" s="33"/>
      <c r="D3896" s="35"/>
      <c r="E3896" s="24"/>
      <c r="F3896" s="42" t="s">
        <v>717</v>
      </c>
      <c r="G3896" s="42"/>
      <c r="H3896" s="42"/>
      <c r="I3896" s="42"/>
      <c r="J3896" s="42"/>
      <c r="K3896" s="42"/>
      <c r="L3896" s="43"/>
      <c r="M3896" s="44"/>
      <c r="N3896" s="29"/>
      <c r="O3896" s="29"/>
      <c r="P3896" s="19"/>
      <c r="Q3896" s="19"/>
      <c r="R3896" s="11"/>
    </row>
    <row r="3897" s="1" customFormat="1" ht="21.95" customHeight="1" spans="1:18">
      <c r="A3897" s="7"/>
      <c r="B3897" s="12"/>
      <c r="C3897" s="33"/>
      <c r="D3897" s="45"/>
      <c r="E3897" s="46"/>
      <c r="F3897" s="47" t="s">
        <v>541</v>
      </c>
      <c r="G3897" s="47" t="s">
        <v>542</v>
      </c>
      <c r="H3897" s="47" t="s">
        <v>543</v>
      </c>
      <c r="I3897" s="47" t="s">
        <v>544</v>
      </c>
      <c r="J3897" s="47" t="s">
        <v>561</v>
      </c>
      <c r="K3897" s="48" t="s">
        <v>750</v>
      </c>
      <c r="L3897" s="47" t="s">
        <v>382</v>
      </c>
      <c r="M3897" s="49" t="s">
        <v>546</v>
      </c>
      <c r="N3897" s="29"/>
      <c r="O3897" s="29"/>
      <c r="P3897" s="19"/>
      <c r="Q3897" s="19"/>
      <c r="R3897" s="11"/>
    </row>
    <row r="3898" s="1" customFormat="1" ht="21.95" customHeight="1" spans="1:18">
      <c r="A3898" s="7"/>
      <c r="B3898" s="12"/>
      <c r="C3898" s="33"/>
      <c r="D3898" s="45" t="s">
        <v>652</v>
      </c>
      <c r="E3898" s="46"/>
      <c r="F3898" s="50">
        <v>10</v>
      </c>
      <c r="G3898" s="50">
        <v>10</v>
      </c>
      <c r="H3898" s="50">
        <v>10</v>
      </c>
      <c r="I3898" s="50">
        <v>10</v>
      </c>
      <c r="J3898" s="50">
        <v>60</v>
      </c>
      <c r="K3898" s="51"/>
      <c r="L3898" s="50">
        <v>100</v>
      </c>
      <c r="M3898" s="49"/>
      <c r="N3898" s="29"/>
      <c r="O3898" s="29"/>
      <c r="P3898" s="19"/>
      <c r="Q3898" s="19"/>
      <c r="R3898" s="11"/>
    </row>
    <row r="3899" s="1" customFormat="1" ht="21.95" customHeight="1" spans="1:18">
      <c r="A3899" s="7"/>
      <c r="B3899" s="12"/>
      <c r="C3899" s="33"/>
      <c r="D3899" s="52" t="s">
        <v>751</v>
      </c>
      <c r="E3899" s="53"/>
      <c r="F3899" s="54" t="str">
        <f ca="1">IFERROR(VLOOKUP(F3882,'RR-3.1-5TH'!$A$12:'RR-3.1-5TH'!$BN$111,9,0),"")</f>
        <v/>
      </c>
      <c r="G3899" s="54" t="str">
        <f ca="1">IFERROR(VLOOKUP(F3882,'RR-3.1-5TH'!$A$12:'RR-3.1-5TH'!$BN$111,10,0),"")</f>
        <v/>
      </c>
      <c r="H3899" s="54" t="str">
        <f ca="1">IFERROR(VLOOKUP(F3882,'RR-3.1-5TH'!$A$12:'RR-3.1-5TH'!$BN$111,11,0),"")</f>
        <v/>
      </c>
      <c r="I3899" s="54" t="str">
        <f ca="1">IFERROR(VLOOKUP(F3882,'RR-3.1-5TH'!$A$12:'RR-3.1-5TH'!$BN$111,12,0),"")</f>
        <v/>
      </c>
      <c r="J3899" s="54" t="str">
        <f ca="1">IFERROR(VLOOKUP(F3882,'RR-3.1-5TH'!$A$12:'RR-3.1-5TH'!$BN$111,13,0),"")</f>
        <v/>
      </c>
      <c r="K3899" s="54" t="str">
        <f ca="1">IFERROR(VLOOKUP(F3882,'RR-3.1-5TH'!$A$12:'RR-3.1-5TH'!$BN$111,14,0),"")</f>
        <v/>
      </c>
      <c r="L3899" s="55">
        <f ca="1" t="shared" ref="L3899:L3904" si="204">SUM(F3899,G3899,H3899,I3899,J3899,K3899)</f>
        <v>0</v>
      </c>
      <c r="M3899" s="56" t="str">
        <f ca="1">IF(F3882&gt;ENTRY!$D$24,"",IF(L3899=0,"Ab",IF(L3899&gt;80,"A",IF(L3899&gt;60,"B",IF(L3899&gt;44,"C",IF(L3899&gt;=33,"D",IF(L3899&lt;=32,"E","")))))))</f>
        <v/>
      </c>
      <c r="N3899" s="57" t="s">
        <v>729</v>
      </c>
      <c r="O3899" s="58"/>
      <c r="P3899" s="59"/>
      <c r="Q3899" s="19"/>
      <c r="R3899" s="11"/>
    </row>
    <row r="3900" s="1" customFormat="1" ht="21.95" customHeight="1" spans="1:18">
      <c r="A3900" s="7"/>
      <c r="B3900" s="12"/>
      <c r="C3900" s="33"/>
      <c r="D3900" s="52" t="s">
        <v>513</v>
      </c>
      <c r="E3900" s="53"/>
      <c r="F3900" s="54" t="str">
        <f ca="1">IFERROR(VLOOKUP(F3882,'RR-3.1-5TH'!$A$12:'RR-3.1-5TH'!$BN$111,17,0),"")</f>
        <v/>
      </c>
      <c r="G3900" s="54" t="str">
        <f ca="1">IFERROR(VLOOKUP(F3882,'RR-3.1-5TH'!$A$12:'RR-3.1-5TH'!$BN$111,18,0),"")</f>
        <v/>
      </c>
      <c r="H3900" s="54" t="str">
        <f ca="1">IFERROR(VLOOKUP(F3882,'RR-3.1-5TH'!$A$12:'RR-3.1-5TH'!$BN$111,19,0),"")</f>
        <v/>
      </c>
      <c r="I3900" s="54" t="str">
        <f ca="1">IFERROR(VLOOKUP(F3882,'RR-3.1-5TH'!$A$12:'RR-3.1-5TH'!$BN$111,20,0),"")</f>
        <v/>
      </c>
      <c r="J3900" s="54" t="str">
        <f ca="1">IFERROR(VLOOKUP(F3882,'RR-3.1-5TH'!$A$12:'RR-3.1-5TH'!$BN$111,21,0),"")</f>
        <v/>
      </c>
      <c r="K3900" s="54" t="str">
        <f ca="1">IFERROR(VLOOKUP(F3882,'RR-3.1-5TH'!$A$12:'RR-3.1-5TH'!$BN$111,22,0),"")</f>
        <v/>
      </c>
      <c r="L3900" s="55">
        <f ca="1" t="shared" si="204"/>
        <v>0</v>
      </c>
      <c r="M3900" s="56" t="str">
        <f ca="1">IF(F3882&gt;ENTRY!$D$24,"",IF(L3900=0,"Ab",IF(L3900&gt;80,"A",IF(L3900&gt;60,"B",IF(L3900&gt;44,"C",IF(L3900&gt;=33,"D",IF(L3900&lt;=32,"E","")))))))</f>
        <v/>
      </c>
      <c r="N3900" s="58"/>
      <c r="O3900" s="58"/>
      <c r="P3900" s="59"/>
      <c r="Q3900" s="19"/>
      <c r="R3900" s="11"/>
    </row>
    <row r="3901" s="1" customFormat="1" ht="21.95" customHeight="1" spans="1:18">
      <c r="A3901" s="7"/>
      <c r="B3901" s="12"/>
      <c r="C3901" s="33"/>
      <c r="D3901" s="52" t="s">
        <v>718</v>
      </c>
      <c r="E3901" s="53"/>
      <c r="F3901" s="54" t="str">
        <f ca="1">IFERROR(VLOOKUP(F3882,'RR-3.1-5TH'!$A$12:'RR-3.1-5TH'!$BN$111,25,0),"")</f>
        <v/>
      </c>
      <c r="G3901" s="54" t="str">
        <f ca="1">IFERROR(VLOOKUP(F3882,'RR-3.1-5TH'!$A$12:'RR-3.1-5TH'!$BN$111,26,0),"")</f>
        <v/>
      </c>
      <c r="H3901" s="54" t="str">
        <f ca="1">IFERROR(VLOOKUP(F3882,'RR-3.1-5TH'!$A$12:'RR-3.1-5TH'!$BN$111,27,0),"")</f>
        <v/>
      </c>
      <c r="I3901" s="54" t="str">
        <f ca="1">IFERROR(VLOOKUP(F3882,'RR-3.1-5TH'!$A$12:'RR-3.1-5TH'!$BN$111,28,0),"")</f>
        <v/>
      </c>
      <c r="J3901" s="54" t="str">
        <f ca="1">IFERROR(VLOOKUP(F3882,'RR-3.1-5TH'!$A$12:'RR-3.1-5TH'!$BN$111,29,0),"")</f>
        <v/>
      </c>
      <c r="K3901" s="54" t="str">
        <f ca="1">IFERROR(VLOOKUP(F3882,'RR-3.1-5TH'!$A$12:'RR-3.1-5TH'!$BN$111,30,0),"")</f>
        <v/>
      </c>
      <c r="L3901" s="55">
        <f ca="1" t="shared" si="204"/>
        <v>0</v>
      </c>
      <c r="M3901" s="56" t="str">
        <f ca="1">IF(F3882&gt;ENTRY!$D$24,"",IF(L3901=0,"Ab",IF(L3901&gt;80,"A",IF(L3901&gt;60,"B",IF(L3901&gt;44,"C",IF(L3901&gt;=33,"D",IF(L3901&lt;=32,"E","")))))))</f>
        <v/>
      </c>
      <c r="N3901" s="29"/>
      <c r="O3901" s="29"/>
      <c r="P3901" s="19"/>
      <c r="Q3901" s="19"/>
      <c r="R3901" s="11"/>
    </row>
    <row r="3902" s="1" customFormat="1" ht="21.95" customHeight="1" spans="1:18">
      <c r="A3902" s="7"/>
      <c r="B3902" s="12"/>
      <c r="C3902" s="33"/>
      <c r="D3902" s="52" t="s">
        <v>719</v>
      </c>
      <c r="E3902" s="53"/>
      <c r="F3902" s="54" t="str">
        <f ca="1">IFERROR(VLOOKUP(F3882,'RR-3.1-5TH'!$A$12:'RR-3.1-5TH'!$BN$111,33,0),"")</f>
        <v/>
      </c>
      <c r="G3902" s="54" t="str">
        <f ca="1">IFERROR(VLOOKUP(F3882,'RR-3.1-5TH'!$A$12:'RR-3.1-5TH'!$BN$111,34,0),"")</f>
        <v/>
      </c>
      <c r="H3902" s="54" t="str">
        <f ca="1">IFERROR(VLOOKUP(F3882,'RR-3.1-5TH'!$A$12:'RR-3.1-5TH'!$BN$111,35,0),"")</f>
        <v/>
      </c>
      <c r="I3902" s="54" t="str">
        <f ca="1">IFERROR(VLOOKUP(F3882,'RR-3.1-5TH'!$A$12:'RR-3.1-5TH'!$BN$111,36,0),"")</f>
        <v/>
      </c>
      <c r="J3902" s="54" t="str">
        <f ca="1">IFERROR(VLOOKUP(F3882,'RR-3.1-5TH'!$A$12:'RR-3.1-5TH'!$BN$111,37,0),"")</f>
        <v/>
      </c>
      <c r="K3902" s="54" t="str">
        <f ca="1">IFERROR(VLOOKUP(F3882,'RR-3.1-5TH'!$A$12:'RR-3.1-5TH'!$BN$111,38,0),"")</f>
        <v/>
      </c>
      <c r="L3902" s="55">
        <f ca="1" t="shared" si="204"/>
        <v>0</v>
      </c>
      <c r="M3902" s="56" t="str">
        <f ca="1">IF(F3882&gt;ENTRY!$D$24,"",IF(L3902=0,"Ab",IF(L3902&gt;80,"A",IF(L3902&gt;60,"B",IF(L3902&gt;44,"C",IF(L3902&gt;=33,"D",IF(L3902&lt;=32,"E","")))))))</f>
        <v/>
      </c>
      <c r="N3902" s="29"/>
      <c r="O3902" s="29"/>
      <c r="P3902" s="19"/>
      <c r="Q3902" s="19"/>
      <c r="R3902" s="11"/>
    </row>
    <row r="3903" s="1" customFormat="1" ht="21.95" customHeight="1" spans="1:18">
      <c r="A3903" s="7"/>
      <c r="B3903" s="12"/>
      <c r="C3903" s="33"/>
      <c r="D3903" s="52" t="s">
        <v>548</v>
      </c>
      <c r="E3903" s="53"/>
      <c r="F3903" s="54" t="str">
        <f ca="1">IFERROR(VLOOKUP(F3882,'RR-3.1-5TH'!$A$12:'RR-3.1-5TH'!$BN$111,41,0),"")</f>
        <v/>
      </c>
      <c r="G3903" s="54" t="str">
        <f ca="1">IFERROR(VLOOKUP(F3882,'RR-3.1-5TH'!$A$12:'RR-3.1-5TH'!$BN$111,42,0),"")</f>
        <v/>
      </c>
      <c r="H3903" s="54" t="str">
        <f ca="1">IFERROR(VLOOKUP(F3882,'RR-3.1-5TH'!$A$12:'RR-3.1-5TH'!$BN$111,43,0),"")</f>
        <v/>
      </c>
      <c r="I3903" s="54" t="str">
        <f ca="1">IFERROR(VLOOKUP(F3882,'RR-3.1-5TH'!$A$12:'RR-3.1-5TH'!$BN$111,44,0),"")</f>
        <v/>
      </c>
      <c r="J3903" s="54" t="str">
        <f ca="1">IFERROR(VLOOKUP(F3882,'RR-3.1-5TH'!$A$12:'RR-3.1-5TH'!$BN$111,45,0),"")</f>
        <v/>
      </c>
      <c r="K3903" s="54" t="str">
        <f ca="1">IFERROR(VLOOKUP(F3882,'RR-3.1-5TH'!$A$12:'RR-3.1-5TH'!$BN$111,46,0),"")</f>
        <v/>
      </c>
      <c r="L3903" s="55">
        <f ca="1" t="shared" si="204"/>
        <v>0</v>
      </c>
      <c r="M3903" s="56" t="str">
        <f ca="1">IF(F3882&gt;ENTRY!$D$24,"",IF(L3903=0,"Ab",IF(L3903&gt;80,"A",IF(L3903&gt;60,"B",IF(L3903&gt;44,"C",IF(L3903&gt;=33,"D",IF(L3903&lt;=32,"E","")))))))</f>
        <v/>
      </c>
      <c r="N3903" s="29"/>
      <c r="O3903" s="29"/>
      <c r="P3903" s="19"/>
      <c r="Q3903" s="19"/>
      <c r="R3903" s="11"/>
    </row>
    <row r="3904" s="1" customFormat="1" ht="21.95" customHeight="1" spans="1:18">
      <c r="A3904" s="7"/>
      <c r="B3904" s="12"/>
      <c r="C3904" s="33"/>
      <c r="D3904" s="52" t="s">
        <v>549</v>
      </c>
      <c r="E3904" s="53"/>
      <c r="F3904" s="54" t="str">
        <f ca="1">IFERROR(VLOOKUP(F3882,'RR-3.1-5TH'!$A$12:'RR-3.1-5TH'!$BN$111,49,0),"")</f>
        <v/>
      </c>
      <c r="G3904" s="54" t="str">
        <f ca="1">IFERROR(VLOOKUP(F3882,'RR-3.1-5TH'!$A$12:'RR-3.1-5TH'!$BN$111,50,0),"")</f>
        <v/>
      </c>
      <c r="H3904" s="54" t="str">
        <f ca="1">IFERROR(VLOOKUP(F3882,'RR-3.1-5TH'!$A$12:'RR-3.1-5TH'!$BN$111,51,0),"")</f>
        <v/>
      </c>
      <c r="I3904" s="54" t="str">
        <f ca="1">IFERROR(VLOOKUP(F3882,'RR-3.1-5TH'!$A$12:'RR-3.1-5TH'!$BN$111,52,0),"")</f>
        <v/>
      </c>
      <c r="J3904" s="54" t="str">
        <f ca="1">IFERROR(VLOOKUP(F3882,'RR-3.1-5TH'!$A$12:'RR-3.1-5TH'!$BN$111,53,0),"")</f>
        <v/>
      </c>
      <c r="K3904" s="54" t="str">
        <f ca="1">IFERROR(VLOOKUP(F3882,'RR-3.1-5TH'!$A$12:'RR-3.1-5TH'!$BN$111,54,0),"")</f>
        <v/>
      </c>
      <c r="L3904" s="55">
        <f ca="1" t="shared" si="204"/>
        <v>0</v>
      </c>
      <c r="M3904" s="56" t="str">
        <f ca="1">IF(F3882&gt;ENTRY!$D$24,"",IF(L3904=0,"Ab",IF(L3904&gt;80,"A",IF(L3904&gt;60,"B",IF(L3904&gt;44,"C",IF(L3904&gt;=33,"D",IF(L3904&lt;=32,"E","")))))))</f>
        <v/>
      </c>
      <c r="N3904" s="57" t="s">
        <v>752</v>
      </c>
      <c r="O3904" s="58"/>
      <c r="P3904" s="59"/>
      <c r="Q3904" s="19"/>
      <c r="R3904" s="11"/>
    </row>
    <row r="3905" s="1" customFormat="1" ht="21.95" customHeight="1" spans="1:19">
      <c r="A3905" s="7"/>
      <c r="B3905" s="12"/>
      <c r="C3905" s="33"/>
      <c r="D3905" s="52" t="s">
        <v>753</v>
      </c>
      <c r="E3905" s="53"/>
      <c r="F3905" s="60"/>
      <c r="G3905" s="54"/>
      <c r="H3905" s="54"/>
      <c r="I3905" s="54"/>
      <c r="J3905" s="54"/>
      <c r="K3905" s="54"/>
      <c r="L3905" s="55">
        <f t="shared" ref="L3905" si="205">SUM(G3905:K3905)</f>
        <v>0</v>
      </c>
      <c r="M3905" s="56" t="str">
        <f>IF(F3882&gt;ENTRY!$D$24,"",IF(L3905=0,"",IF(L3905&gt;79,"A",IF(L3905&gt;59,"B",IF(L3905&gt;44,"C",IF(L3905&gt;=33,"D",IF(L3905&lt;=32,"E","")))))))</f>
        <v/>
      </c>
      <c r="N3905" s="58"/>
      <c r="O3905" s="58"/>
      <c r="P3905" s="59"/>
      <c r="Q3905" s="19"/>
      <c r="R3905" s="11"/>
    </row>
    <row r="3906" s="1" customFormat="1" ht="21.95" customHeight="1" spans="1:19">
      <c r="A3906" s="7"/>
      <c r="B3906" s="12"/>
      <c r="C3906" s="33"/>
      <c r="D3906" s="45" t="s">
        <v>382</v>
      </c>
      <c r="E3906" s="46"/>
      <c r="F3906" s="54">
        <f ca="1" t="shared" ref="F3906:L3906" si="206">IFERROR(SUM(F3899:F3905),"")</f>
        <v>0</v>
      </c>
      <c r="G3906" s="54">
        <f ca="1" t="shared" si="206"/>
        <v>0</v>
      </c>
      <c r="H3906" s="54">
        <f ca="1" t="shared" si="206"/>
        <v>0</v>
      </c>
      <c r="I3906" s="54">
        <f ca="1" t="shared" si="206"/>
        <v>0</v>
      </c>
      <c r="J3906" s="54">
        <f ca="1" t="shared" si="206"/>
        <v>0</v>
      </c>
      <c r="K3906" s="54">
        <f ca="1" t="shared" si="206"/>
        <v>0</v>
      </c>
      <c r="L3906" s="55">
        <f ca="1" t="shared" si="206"/>
        <v>0</v>
      </c>
      <c r="M3906" s="61" t="str">
        <f ca="1">IF(F3882&gt;ENTRY!$D$24,"",IF(N3907="Ab","Ab",IF(N3907&gt;79.5,"A",IF(N3907&gt;59.5,"B",IF(N3907&gt;44.5,"C",IF(N3907&gt;=33,"D",IF(N3907&lt;33,"E","")))))))</f>
        <v/>
      </c>
      <c r="N3906" s="62"/>
      <c r="O3906" s="58"/>
      <c r="P3906" s="59"/>
      <c r="Q3906" s="19"/>
      <c r="R3906" s="11"/>
    </row>
    <row r="3907" s="1" customFormat="1" ht="21.95" customHeight="1" spans="1:19">
      <c r="A3907" s="7"/>
      <c r="B3907" s="12"/>
      <c r="C3907" s="33"/>
      <c r="D3907" s="63" t="s">
        <v>721</v>
      </c>
      <c r="E3907" s="63"/>
      <c r="F3907" s="63"/>
      <c r="G3907" s="63"/>
      <c r="H3907" s="63"/>
      <c r="I3907" s="63"/>
      <c r="J3907" s="63"/>
      <c r="K3907" s="63"/>
      <c r="L3907" s="63"/>
      <c r="M3907" s="63"/>
      <c r="N3907" s="64">
        <f ca="1">IF(L3906="Ab","Ab",L3906/6)</f>
        <v>0</v>
      </c>
      <c r="O3907" s="65"/>
      <c r="P3907" s="19"/>
      <c r="Q3907" s="19"/>
      <c r="R3907" s="11"/>
    </row>
    <row r="3908" s="1" customFormat="1" ht="21.95" customHeight="1" spans="1:19">
      <c r="A3908" s="7"/>
      <c r="B3908" s="12"/>
      <c r="C3908" s="33"/>
      <c r="D3908" s="29" t="s">
        <v>716</v>
      </c>
      <c r="E3908" s="18" t="str">
        <f>IFERROR(VLOOKUP(F3882,'1to4-2.1-RR'!$A$12:$BG$111,57,0),"")</f>
        <v/>
      </c>
      <c r="F3908" s="18"/>
      <c r="G3908" s="18"/>
      <c r="H3908" s="18"/>
      <c r="I3908" s="18"/>
      <c r="J3908" s="18"/>
      <c r="K3908" s="18"/>
      <c r="L3908" s="18"/>
      <c r="M3908" s="18"/>
      <c r="N3908" s="29"/>
      <c r="O3908" s="29"/>
      <c r="P3908" s="19"/>
      <c r="Q3908" s="19"/>
      <c r="R3908" s="11"/>
    </row>
    <row r="3909" s="1" customFormat="1" ht="9.95" customHeight="1" spans="1:19">
      <c r="A3909" s="7"/>
      <c r="B3909" s="12"/>
      <c r="C3909" s="33"/>
      <c r="D3909" s="29"/>
      <c r="E3909" s="29"/>
      <c r="F3909" s="29"/>
      <c r="G3909" s="29"/>
      <c r="H3909" s="29"/>
      <c r="I3909" s="29"/>
      <c r="J3909" s="29"/>
      <c r="K3909" s="29"/>
      <c r="L3909" s="29"/>
      <c r="M3909" s="29"/>
      <c r="N3909" s="29"/>
      <c r="O3909" s="29"/>
      <c r="P3909" s="19"/>
      <c r="Q3909" s="19"/>
      <c r="R3909" s="11"/>
    </row>
    <row r="3910" s="1" customFormat="1" ht="36" spans="1:19">
      <c r="A3910" s="7"/>
      <c r="B3910" s="12"/>
      <c r="C3910" s="33"/>
      <c r="D3910" s="66" t="s">
        <v>576</v>
      </c>
      <c r="E3910" s="67" t="s">
        <v>754</v>
      </c>
      <c r="F3910" s="47" t="str">
        <f>IF(F3882&gt;ENTRY!$D$24,"",IFERROR(VLOOKUP(F3882,PASHEET!$A$4:$CJ$103,88,0),""))</f>
        <v/>
      </c>
      <c r="G3910" s="67" t="s">
        <v>755</v>
      </c>
      <c r="H3910" s="47" t="str">
        <f>IF(F3882&gt;ENTRY!$D$24,"",IFERROR(VLOOKUP(F3882,PASHEET!$A$4:$CJ$103,87,0),""))</f>
        <v/>
      </c>
      <c r="I3910" s="68" t="s">
        <v>756</v>
      </c>
      <c r="J3910" s="69" t="str">
        <f>IF(F3882&gt;ENTRY!$D$24,"",IFERROR(IF(F3882&gt;0,H3910/F3910*100),""))</f>
        <v/>
      </c>
      <c r="K3910" s="60" t="s">
        <v>757</v>
      </c>
      <c r="L3910" s="70" t="str">
        <f ca="1">IF(F3882&gt;ENTRY!$D$24,"",IFERROR(L3906/600*100,""))</f>
        <v/>
      </c>
      <c r="M3910" s="47" t="str">
        <f ca="1">IF(F3882&gt;ENTRY!$D$24,"",IFERROR(L3906&amp;" / "&amp;"600",""))</f>
        <v/>
      </c>
      <c r="N3910" s="29"/>
      <c r="O3910" s="29"/>
      <c r="P3910" s="19"/>
      <c r="Q3910" s="19"/>
      <c r="R3910" s="11"/>
    </row>
    <row r="3911" s="1" customFormat="1" ht="9.95" customHeight="1" spans="1:19">
      <c r="A3911" s="7"/>
      <c r="B3911" s="12"/>
      <c r="C3911" s="39"/>
      <c r="D3911" s="40"/>
      <c r="E3911" s="40"/>
      <c r="F3911" s="40"/>
      <c r="G3911" s="40"/>
      <c r="H3911" s="40"/>
      <c r="I3911" s="40"/>
      <c r="J3911" s="40"/>
      <c r="K3911" s="40"/>
      <c r="L3911" s="40"/>
      <c r="M3911" s="40"/>
      <c r="N3911" s="40"/>
      <c r="O3911" s="40"/>
      <c r="P3911" s="41"/>
      <c r="Q3911" s="19"/>
      <c r="R3911" s="11"/>
    </row>
    <row r="3912" s="1" customFormat="1" ht="9.95" customHeight="1" spans="1:19">
      <c r="A3912" s="7"/>
      <c r="B3912" s="12"/>
      <c r="C3912" s="71"/>
      <c r="D3912" s="71"/>
      <c r="E3912" s="71"/>
      <c r="F3912" s="29"/>
      <c r="G3912" s="71"/>
      <c r="H3912" s="71"/>
      <c r="I3912" s="71"/>
      <c r="J3912" s="71"/>
      <c r="K3912" s="71"/>
      <c r="L3912" s="71"/>
      <c r="M3912" s="71"/>
      <c r="N3912" s="71"/>
      <c r="O3912" s="71"/>
      <c r="P3912" s="71"/>
      <c r="Q3912" s="19"/>
      <c r="R3912" s="11"/>
    </row>
    <row r="3913" s="1" customFormat="1" ht="9.95" customHeight="1" spans="1:19">
      <c r="A3913" s="7"/>
      <c r="B3913" s="12"/>
      <c r="C3913" s="29"/>
      <c r="D3913" s="29"/>
      <c r="E3913" s="29"/>
      <c r="F3913" s="72"/>
      <c r="G3913" s="29"/>
      <c r="H3913" s="29"/>
      <c r="I3913" s="29"/>
      <c r="J3913" s="29"/>
      <c r="K3913" s="29"/>
      <c r="L3913" s="29"/>
      <c r="M3913" s="29"/>
      <c r="N3913" s="29"/>
      <c r="O3913" s="29"/>
      <c r="P3913" s="29"/>
      <c r="Q3913" s="19"/>
      <c r="R3913" s="11"/>
    </row>
    <row r="3914" s="1" customFormat="1" ht="9.95" customHeight="1" spans="1:19">
      <c r="A3914" s="7"/>
      <c r="B3914" s="12"/>
      <c r="C3914" s="30"/>
      <c r="D3914" s="31"/>
      <c r="E3914" s="31"/>
      <c r="F3914" s="31"/>
      <c r="G3914" s="31"/>
      <c r="H3914" s="31"/>
      <c r="I3914" s="31"/>
      <c r="J3914" s="31"/>
      <c r="K3914" s="31"/>
      <c r="L3914" s="31"/>
      <c r="M3914" s="31"/>
      <c r="N3914" s="31"/>
      <c r="O3914" s="31"/>
      <c r="P3914" s="32"/>
      <c r="Q3914" s="19"/>
      <c r="R3914" s="11"/>
    </row>
    <row r="3915" s="1" customFormat="1" ht="21.95" customHeight="1" spans="1:19">
      <c r="A3915" s="7"/>
      <c r="B3915" s="12"/>
      <c r="C3915" s="73" t="s">
        <v>7</v>
      </c>
      <c r="D3915" s="13"/>
      <c r="E3915" s="13"/>
      <c r="F3915" s="13"/>
      <c r="G3915" s="13"/>
      <c r="H3915" s="13"/>
      <c r="I3915" s="13"/>
      <c r="J3915" s="13"/>
      <c r="K3915" s="13"/>
      <c r="L3915" s="13"/>
      <c r="M3915" s="13"/>
      <c r="N3915" s="13"/>
      <c r="O3915" s="13"/>
      <c r="P3915" s="74"/>
      <c r="Q3915" s="19"/>
      <c r="R3915" s="11"/>
      <c r="S3915" s="2"/>
    </row>
    <row r="3916" s="1" customFormat="1" ht="21.95" customHeight="1" spans="1:19">
      <c r="A3916" s="7"/>
      <c r="B3916" s="12"/>
      <c r="C3916" s="33"/>
      <c r="D3916" s="29"/>
      <c r="E3916" s="29"/>
      <c r="F3916" s="29"/>
      <c r="G3916" s="29"/>
      <c r="H3916" s="29"/>
      <c r="I3916" s="29"/>
      <c r="J3916" s="29"/>
      <c r="K3916" s="29"/>
      <c r="L3916" s="29"/>
      <c r="M3916" s="29"/>
      <c r="N3916" s="29"/>
      <c r="O3916" s="29"/>
      <c r="P3916" s="19"/>
      <c r="Q3916" s="19"/>
      <c r="R3916" s="11"/>
    </row>
    <row r="3917" s="1" customFormat="1" ht="21.95" customHeight="1" spans="1:19">
      <c r="A3917" s="7"/>
      <c r="B3917" s="12"/>
      <c r="C3917" s="75" t="str">
        <f>"SESSION-"&amp;ENTRY!$D$11</f>
        <v>SESSION-2026-27</v>
      </c>
      <c r="D3917" s="15"/>
      <c r="E3917" s="15"/>
      <c r="F3917" s="15"/>
      <c r="G3917" s="15"/>
      <c r="H3917" s="15"/>
      <c r="I3917" s="15"/>
      <c r="J3917" s="15"/>
      <c r="K3917" s="15"/>
      <c r="L3917" s="15"/>
      <c r="M3917" s="15"/>
      <c r="N3917" s="15"/>
      <c r="O3917" s="15"/>
      <c r="P3917" s="76"/>
      <c r="Q3917" s="19"/>
      <c r="R3917" s="11"/>
    </row>
    <row r="3918" s="1" customFormat="1" ht="18" customHeight="1" spans="1:19">
      <c r="A3918" s="7"/>
      <c r="B3918" s="12"/>
      <c r="C3918" s="33"/>
      <c r="D3918" s="29"/>
      <c r="E3918" s="29"/>
      <c r="F3918" s="29"/>
      <c r="G3918" s="29"/>
      <c r="H3918" s="29"/>
      <c r="I3918" s="29"/>
      <c r="J3918" s="29"/>
      <c r="K3918" s="29"/>
      <c r="L3918" s="29"/>
      <c r="M3918" s="29"/>
      <c r="N3918" s="29"/>
      <c r="O3918" s="29"/>
      <c r="P3918" s="19"/>
      <c r="Q3918" s="19"/>
      <c r="R3918" s="11"/>
    </row>
    <row r="3919" s="1" customFormat="1" ht="21.95" customHeight="1" spans="1:19">
      <c r="A3919" s="7"/>
      <c r="B3919" s="12"/>
      <c r="C3919" s="33"/>
      <c r="D3919" s="77" t="s">
        <v>758</v>
      </c>
      <c r="E3919" s="77"/>
      <c r="F3919" s="78" t="str">
        <f>IFERROR(PROPER(VLOOKUP(F3882,STUDENT!$A$2:$BP$101,5,0)),"")</f>
        <v/>
      </c>
      <c r="G3919" s="78"/>
      <c r="H3919" s="78"/>
      <c r="I3919" s="78"/>
      <c r="J3919" s="78"/>
      <c r="K3919" s="78"/>
      <c r="L3919" s="78"/>
      <c r="M3919" s="78"/>
      <c r="N3919" s="79" t="s">
        <v>759</v>
      </c>
      <c r="O3919" s="79"/>
      <c r="P3919" s="19"/>
      <c r="Q3919" s="19"/>
      <c r="R3919" s="11"/>
    </row>
    <row r="3920" s="1" customFormat="1" ht="21.95" customHeight="1" spans="1:19">
      <c r="A3920" s="7"/>
      <c r="B3920" s="12"/>
      <c r="C3920" s="33"/>
      <c r="D3920" s="80" t="s">
        <v>760</v>
      </c>
      <c r="E3920" s="81" t="str">
        <f>IFERROR(PROPER(VLOOKUP(F3882,STUDENT!$A$2:$BP$101,9,0)),"")</f>
        <v/>
      </c>
      <c r="F3920" s="81"/>
      <c r="G3920" s="81"/>
      <c r="H3920" s="80" t="s">
        <v>761</v>
      </c>
      <c r="I3920" s="82" t="str">
        <f>IFERROR(PROPER(VLOOKUP(F3882,STUDENT!$A$2:$BP$101,8,0)),"")</f>
        <v/>
      </c>
      <c r="J3920" s="82"/>
      <c r="K3920" s="82"/>
      <c r="L3920" s="82"/>
      <c r="M3920" s="80" t="s">
        <v>762</v>
      </c>
      <c r="N3920" s="83" t="str">
        <f>IFERROR(VLOOKUP(F3882,STUDENT!$A$2:$BP$101,59,0),"")</f>
        <v/>
      </c>
      <c r="O3920" s="83"/>
      <c r="P3920" s="19"/>
      <c r="Q3920" s="19"/>
      <c r="R3920" s="11"/>
    </row>
    <row r="3921" s="1" customFormat="1" ht="21.95" customHeight="1" spans="1:18">
      <c r="A3921" s="7"/>
      <c r="B3921" s="12"/>
      <c r="C3921" s="33"/>
      <c r="D3921" s="77" t="str">
        <f>"has    completed     his  /  her     primary     level     education    in    the    year    "&amp;RIGHT(ENTRY!$D3887,4)&amp;"    from    ( School    Name )"</f>
        <v>has    completed     his  /  her     primary     level     education    in    the    year        from    ( School    Name )</v>
      </c>
      <c r="E3921" s="77"/>
      <c r="F3921" s="77"/>
      <c r="G3921" s="77"/>
      <c r="H3921" s="77"/>
      <c r="I3921" s="77"/>
      <c r="J3921" s="77"/>
      <c r="K3921" s="77"/>
      <c r="L3921" s="77"/>
      <c r="M3921" s="77"/>
      <c r="N3921" s="77"/>
      <c r="O3921" s="77"/>
      <c r="P3921" s="19"/>
      <c r="Q3921" s="19"/>
      <c r="R3921" s="11"/>
    </row>
    <row r="3922" s="1" customFormat="1" ht="21.95" customHeight="1" spans="1:18">
      <c r="A3922" s="7"/>
      <c r="B3922" s="12"/>
      <c r="C3922" s="33"/>
      <c r="D3922" s="81" t="str">
        <f>IF(F3882&gt;0,ENTRY!$D$6,"")</f>
        <v>MCP NITHARI NO 1 BOYS</v>
      </c>
      <c r="E3922" s="81"/>
      <c r="F3922" s="81"/>
      <c r="G3922" s="81"/>
      <c r="H3922" s="81"/>
      <c r="I3922" s="81"/>
      <c r="J3922" s="81"/>
      <c r="K3922" s="81"/>
      <c r="L3922" s="81"/>
      <c r="M3922" s="80" t="s">
        <v>763</v>
      </c>
      <c r="N3922" s="84">
        <f>IF(F3882&gt;0,ENTRY!$D$7,"")</f>
        <v>0</v>
      </c>
      <c r="O3922" s="84"/>
      <c r="P3922" s="85" t="s">
        <v>727</v>
      </c>
      <c r="Q3922" s="19"/>
      <c r="R3922" s="11"/>
    </row>
    <row r="3923" s="1" customFormat="1" ht="21.95" customHeight="1" spans="1:18">
      <c r="A3923" s="7"/>
      <c r="B3923" s="12"/>
      <c r="C3923" s="33"/>
      <c r="D3923" s="29"/>
      <c r="E3923" s="29"/>
      <c r="F3923" s="29"/>
      <c r="G3923" s="29"/>
      <c r="H3923" s="29"/>
      <c r="I3923" s="29"/>
      <c r="J3923" s="29"/>
      <c r="K3923" s="29"/>
      <c r="L3923" s="29"/>
      <c r="M3923" s="29"/>
      <c r="N3923" s="29"/>
      <c r="O3923" s="29"/>
      <c r="P3923" s="19"/>
      <c r="Q3923" s="19"/>
      <c r="R3923" s="11"/>
    </row>
    <row r="3924" s="1" customFormat="1" ht="21.95" customHeight="1" spans="1:18">
      <c r="A3924" s="7"/>
      <c r="B3924" s="12"/>
      <c r="C3924" s="33"/>
      <c r="D3924" s="29"/>
      <c r="E3924" s="29"/>
      <c r="F3924" s="29"/>
      <c r="G3924" s="29"/>
      <c r="H3924" s="29"/>
      <c r="I3924" s="29"/>
      <c r="J3924" s="29"/>
      <c r="K3924" s="29"/>
      <c r="L3924" s="29"/>
      <c r="M3924" s="29"/>
      <c r="N3924" s="29"/>
      <c r="O3924" s="29"/>
      <c r="P3924" s="19"/>
      <c r="Q3924" s="19"/>
      <c r="R3924" s="11"/>
    </row>
    <row r="3925" s="1" customFormat="1" ht="21.95" customHeight="1" spans="1:18">
      <c r="A3925" s="7"/>
      <c r="B3925" s="12"/>
      <c r="C3925" s="33"/>
      <c r="D3925" s="29"/>
      <c r="E3925" s="29"/>
      <c r="F3925" s="29"/>
      <c r="G3925" s="29"/>
      <c r="H3925" s="29"/>
      <c r="I3925" s="29"/>
      <c r="J3925" s="29"/>
      <c r="K3925" s="29"/>
      <c r="L3925" s="29"/>
      <c r="M3925" s="29"/>
      <c r="N3925" s="29"/>
      <c r="O3925" s="29"/>
      <c r="P3925" s="19"/>
      <c r="Q3925" s="19"/>
      <c r="R3925" s="11"/>
    </row>
    <row r="3926" s="1" customFormat="1" ht="21.95" customHeight="1" spans="1:18">
      <c r="A3926" s="7"/>
      <c r="B3926" s="12"/>
      <c r="C3926" s="33"/>
      <c r="D3926" s="29"/>
      <c r="E3926" s="29"/>
      <c r="F3926" s="29"/>
      <c r="G3926" s="29"/>
      <c r="H3926" s="29"/>
      <c r="I3926" s="29"/>
      <c r="J3926" s="29"/>
      <c r="K3926" s="29"/>
      <c r="L3926" s="29"/>
      <c r="M3926" s="29"/>
      <c r="N3926" s="29"/>
      <c r="O3926" s="29"/>
      <c r="P3926" s="19"/>
      <c r="Q3926" s="19"/>
      <c r="R3926" s="11"/>
    </row>
    <row r="3927" s="1" customFormat="1" ht="21.95" customHeight="1" spans="1:18">
      <c r="A3927" s="7"/>
      <c r="B3927" s="12"/>
      <c r="C3927" s="33"/>
      <c r="D3927" s="29"/>
      <c r="E3927" s="29"/>
      <c r="F3927" s="29"/>
      <c r="G3927" s="29"/>
      <c r="H3927" s="29"/>
      <c r="I3927" s="29"/>
      <c r="J3927" s="29"/>
      <c r="K3927" s="29"/>
      <c r="L3927" s="29"/>
      <c r="M3927" s="29"/>
      <c r="N3927" s="29"/>
      <c r="O3927" s="29"/>
      <c r="P3927" s="19"/>
      <c r="Q3927" s="19"/>
      <c r="R3927" s="11"/>
    </row>
    <row r="3928" s="1" customFormat="1" ht="21.95" customHeight="1" spans="1:18">
      <c r="A3928" s="7"/>
      <c r="B3928" s="12"/>
      <c r="C3928" s="33"/>
      <c r="D3928" s="80" t="s">
        <v>728</v>
      </c>
      <c r="E3928" s="86">
        <f>ENTRY!$D$27</f>
        <v>46102</v>
      </c>
      <c r="F3928" s="86"/>
      <c r="G3928" s="29"/>
      <c r="H3928" s="29"/>
      <c r="I3928" s="29"/>
      <c r="J3928" s="29"/>
      <c r="K3928" s="29"/>
      <c r="L3928" s="29"/>
      <c r="M3928" s="87" t="s">
        <v>730</v>
      </c>
      <c r="N3928" s="87"/>
      <c r="O3928" s="87"/>
      <c r="P3928" s="19"/>
      <c r="Q3928" s="19"/>
      <c r="R3928" s="11"/>
    </row>
    <row r="3929" s="1" customFormat="1" ht="21.95" customHeight="1" spans="1:18">
      <c r="A3929" s="7"/>
      <c r="B3929" s="12"/>
      <c r="C3929" s="33"/>
      <c r="D3929" s="80" t="s">
        <v>731</v>
      </c>
      <c r="E3929" s="88" t="str">
        <f>PROPER(ENTRY!$D$28)</f>
        <v>New Delhi</v>
      </c>
      <c r="F3929" s="88"/>
      <c r="G3929" s="29"/>
      <c r="H3929" s="29"/>
      <c r="I3929" s="29"/>
      <c r="J3929" s="29"/>
      <c r="K3929" s="29"/>
      <c r="L3929" s="29"/>
      <c r="M3929" s="89" t="s">
        <v>732</v>
      </c>
      <c r="N3929" s="89"/>
      <c r="O3929" s="89"/>
      <c r="P3929" s="19"/>
      <c r="Q3929" s="19"/>
      <c r="R3929" s="11"/>
    </row>
    <row r="3930" s="1" customFormat="1" ht="21.95" customHeight="1" spans="1:18">
      <c r="A3930" s="7"/>
      <c r="B3930" s="12"/>
      <c r="C3930" s="90"/>
      <c r="D3930" s="91"/>
      <c r="E3930" s="91"/>
      <c r="F3930" s="91"/>
      <c r="G3930" s="91"/>
      <c r="H3930" s="91"/>
      <c r="I3930" s="91"/>
      <c r="J3930" s="91"/>
      <c r="K3930" s="91"/>
      <c r="L3930" s="91"/>
      <c r="M3930" s="91"/>
      <c r="N3930" s="91"/>
      <c r="O3930" s="91"/>
      <c r="P3930" s="92"/>
      <c r="Q3930" s="14"/>
      <c r="R3930" s="11"/>
    </row>
    <row r="3931" s="1" customFormat="1" ht="5.1" customHeight="1" spans="1:18">
      <c r="A3931" s="7"/>
      <c r="B3931" s="90"/>
      <c r="C3931" s="91"/>
      <c r="D3931" s="91"/>
      <c r="E3931" s="91"/>
      <c r="F3931" s="91"/>
      <c r="G3931" s="91"/>
      <c r="H3931" s="91"/>
      <c r="I3931" s="91"/>
      <c r="J3931" s="91"/>
      <c r="K3931" s="91"/>
      <c r="L3931" s="91"/>
      <c r="M3931" s="91"/>
      <c r="N3931" s="91"/>
      <c r="O3931" s="91"/>
      <c r="P3931" s="91"/>
      <c r="Q3931" s="92"/>
      <c r="R3931" s="11"/>
    </row>
    <row r="3932" s="1" customFormat="1" ht="5.1" customHeight="1" spans="1:18">
      <c r="A3932" s="93"/>
      <c r="B3932" s="94"/>
      <c r="C3932" s="94"/>
      <c r="D3932" s="94"/>
      <c r="E3932" s="94"/>
      <c r="F3932" s="94"/>
      <c r="G3932" s="94"/>
      <c r="H3932" s="94"/>
      <c r="I3932" s="94"/>
      <c r="J3932" s="94"/>
      <c r="K3932" s="94"/>
      <c r="L3932" s="94"/>
      <c r="M3932" s="94"/>
      <c r="N3932" s="94"/>
      <c r="O3932" s="94"/>
      <c r="P3932" s="94"/>
      <c r="Q3932" s="94"/>
      <c r="R3932" s="95"/>
    </row>
    <row r="3933" s="2" customFormat="1" ht="9.95" customHeight="1"/>
    <row r="3934" s="1" customFormat="1" ht="5.1" customHeight="1" spans="1:18">
      <c r="A3934" s="4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  <c r="O3934" s="5"/>
      <c r="P3934" s="5"/>
      <c r="Q3934" s="5"/>
      <c r="R3934" s="6"/>
    </row>
    <row r="3935" s="1" customFormat="1" ht="15" customHeight="1" spans="1:18">
      <c r="A3935" s="7"/>
      <c r="B3935" s="8"/>
      <c r="C3935" s="9"/>
      <c r="D3935" s="9"/>
      <c r="E3935" s="9"/>
      <c r="F3935" s="9"/>
      <c r="G3935" s="9"/>
      <c r="H3935" s="9"/>
      <c r="I3935" s="9"/>
      <c r="J3935" s="9"/>
      <c r="K3935" s="9"/>
      <c r="L3935" s="9"/>
      <c r="M3935" s="9"/>
      <c r="N3935" s="9"/>
      <c r="O3935" s="9"/>
      <c r="P3935" s="9"/>
      <c r="Q3935" s="10"/>
      <c r="R3935" s="11"/>
    </row>
    <row r="3936" s="1" customFormat="1" ht="21.95" customHeight="1" spans="1:18">
      <c r="A3936" s="7"/>
      <c r="B3936" s="12"/>
      <c r="C3936" s="13" t="s">
        <v>7</v>
      </c>
      <c r="D3936" s="13"/>
      <c r="E3936" s="13"/>
      <c r="F3936" s="13"/>
      <c r="G3936" s="13"/>
      <c r="H3936" s="13"/>
      <c r="I3936" s="13"/>
      <c r="J3936" s="13"/>
      <c r="K3936" s="13"/>
      <c r="L3936" s="13"/>
      <c r="M3936" s="13"/>
      <c r="N3936" s="13"/>
      <c r="O3936" s="13"/>
      <c r="P3936" s="13"/>
      <c r="Q3936" s="14"/>
      <c r="R3936" s="11"/>
    </row>
    <row r="3937" s="1" customFormat="1" ht="21.95" customHeight="1" spans="1:18">
      <c r="A3937" s="7"/>
      <c r="B3937" s="1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14"/>
      <c r="R3937" s="11"/>
    </row>
    <row r="3938" s="1" customFormat="1" ht="21.95" customHeight="1" spans="1:18">
      <c r="A3938" s="7"/>
      <c r="B3938" s="12"/>
      <c r="C3938" s="15" t="str">
        <f>"SESSION-"&amp;ENTRY!$D$11</f>
        <v>SESSION-2026-27</v>
      </c>
      <c r="D3938" s="15"/>
      <c r="E3938" s="15"/>
      <c r="F3938" s="15"/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  <c r="Q3938" s="14"/>
      <c r="R3938" s="11"/>
    </row>
    <row r="3939" s="1" customFormat="1" ht="21.95" customHeight="1" spans="1:18">
      <c r="A3939" s="7"/>
      <c r="B3939" s="12"/>
      <c r="C3939" s="2"/>
      <c r="D3939" s="2"/>
      <c r="E3939" s="2"/>
      <c r="F3939" s="16">
        <f>F3882+1</f>
        <v>70</v>
      </c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14"/>
      <c r="R3939" s="11"/>
    </row>
    <row r="3940" s="1" customFormat="1" ht="21.95" customHeight="1" spans="1:18">
      <c r="A3940" s="7"/>
      <c r="B3940" s="12"/>
      <c r="C3940" s="17" t="s">
        <v>392</v>
      </c>
      <c r="D3940" s="17"/>
      <c r="E3940" s="17"/>
      <c r="F3940" s="18" t="str">
        <f>IF(F3939&gt;0,ENTRY!$D$6,"")</f>
        <v>MCP NITHARI NO 1 BOYS</v>
      </c>
      <c r="G3940" s="18"/>
      <c r="H3940" s="18"/>
      <c r="I3940" s="18"/>
      <c r="J3940" s="18"/>
      <c r="K3940" s="18"/>
      <c r="L3940" s="18"/>
      <c r="M3940" s="18"/>
      <c r="N3940" s="18"/>
      <c r="O3940" s="18"/>
      <c r="P3940" s="18"/>
      <c r="Q3940" s="19"/>
      <c r="R3940" s="11"/>
    </row>
    <row r="3941" s="1" customFormat="1" ht="21.95" customHeight="1" spans="1:18">
      <c r="A3941" s="7"/>
      <c r="B3941" s="12"/>
      <c r="C3941" s="17" t="s">
        <v>393</v>
      </c>
      <c r="D3941" s="17"/>
      <c r="E3941" s="17"/>
      <c r="F3941" s="18">
        <f>IF(F3939&gt;0,ENTRY!$D$7,"")</f>
        <v>0</v>
      </c>
      <c r="G3941" s="18"/>
      <c r="H3941" s="20" t="s">
        <v>702</v>
      </c>
      <c r="I3941" s="20"/>
      <c r="J3941" s="21">
        <f>IF(F3939&gt;0,ENTRY!$D$10,"")</f>
        <v>40</v>
      </c>
      <c r="K3941" s="20" t="s">
        <v>703</v>
      </c>
      <c r="L3941" s="22" t="str">
        <f>IF(F3939&gt;0,ENTRY!$D$5,"")</f>
        <v>ROHINI ZONE</v>
      </c>
      <c r="M3941" s="22"/>
      <c r="N3941" s="22"/>
      <c r="O3941" s="22"/>
      <c r="P3941" s="22"/>
      <c r="Q3941" s="19"/>
      <c r="R3941" s="11"/>
    </row>
    <row r="3942" s="1" customFormat="1" ht="21.95" customHeight="1" spans="1:18">
      <c r="A3942" s="7"/>
      <c r="B3942" s="12"/>
      <c r="C3942" s="17" t="s">
        <v>706</v>
      </c>
      <c r="D3942" s="17"/>
      <c r="E3942" s="17"/>
      <c r="F3942" s="23">
        <f>IFERROR(VLOOKUP(F3939,STUDENT!$A$2:$BP$101,5,0),"")</f>
        <v>0</v>
      </c>
      <c r="G3942" s="23"/>
      <c r="H3942" s="23"/>
      <c r="I3942" s="23"/>
      <c r="J3942" s="23"/>
      <c r="K3942" s="23"/>
      <c r="L3942" s="20" t="s">
        <v>707</v>
      </c>
      <c r="M3942" s="20"/>
      <c r="N3942" s="24" t="str">
        <f>IF(F3939&gt;0,ENTRY!$D$20&amp;"-"&amp;ENTRY!$D$21,"")</f>
        <v>III-A</v>
      </c>
      <c r="O3942" s="24"/>
      <c r="P3942" s="24"/>
      <c r="Q3942" s="19"/>
      <c r="R3942" s="11"/>
    </row>
    <row r="3943" s="1" customFormat="1" ht="21.95" customHeight="1" spans="1:18">
      <c r="A3943" s="7"/>
      <c r="B3943" s="12"/>
      <c r="C3943" s="17" t="s">
        <v>708</v>
      </c>
      <c r="D3943" s="17"/>
      <c r="E3943" s="17"/>
      <c r="F3943" s="25">
        <f>IFERROR(VLOOKUP(F3939,STUDENT!$A$2:$BP$101,6,0),"")</f>
        <v>0</v>
      </c>
      <c r="G3943" s="25"/>
      <c r="H3943" s="26" t="s">
        <v>709</v>
      </c>
      <c r="I3943" s="27" t="str">
        <f>IFERROR(VLOOKUP(F3939,STUDENT!$A$2:$BP$101,59,0),"")</f>
        <v/>
      </c>
      <c r="J3943" s="27"/>
      <c r="K3943" s="20" t="s">
        <v>710</v>
      </c>
      <c r="L3943" s="20"/>
      <c r="M3943" s="28">
        <f>IFERROR(VLOOKUP(F3939,STUDENT!$A$2:$BP$101,20,0),"")</f>
        <v>0</v>
      </c>
      <c r="N3943" s="28"/>
      <c r="O3943" s="28"/>
      <c r="P3943" s="28"/>
      <c r="Q3943" s="19"/>
      <c r="R3943" s="11"/>
    </row>
    <row r="3944" s="1" customFormat="1" ht="21.95" customHeight="1" spans="1:18">
      <c r="A3944" s="7"/>
      <c r="B3944" s="12"/>
      <c r="C3944" s="17" t="s">
        <v>711</v>
      </c>
      <c r="D3944" s="17"/>
      <c r="E3944" s="17"/>
      <c r="F3944" s="23">
        <f>IFERROR(VLOOKUP(F3939,STUDENT!$A$2:$BP$101,9,0),"")</f>
        <v>0</v>
      </c>
      <c r="G3944" s="23"/>
      <c r="H3944" s="23"/>
      <c r="I3944" s="23"/>
      <c r="J3944" s="17" t="s">
        <v>620</v>
      </c>
      <c r="K3944" s="17"/>
      <c r="L3944" s="23">
        <f>IFERROR(VLOOKUP(F3939,STUDENT!$A$2:$BP$101,8,0),"")</f>
        <v>0</v>
      </c>
      <c r="M3944" s="23"/>
      <c r="N3944" s="23"/>
      <c r="O3944" s="23"/>
      <c r="P3944" s="23"/>
      <c r="Q3944" s="19"/>
      <c r="R3944" s="11"/>
    </row>
    <row r="3945" s="1" customFormat="1" ht="21.95" customHeight="1" spans="1:18">
      <c r="A3945" s="7"/>
      <c r="B3945" s="12"/>
      <c r="C3945" s="17" t="s">
        <v>712</v>
      </c>
      <c r="D3945" s="17"/>
      <c r="E3945" s="17"/>
      <c r="F3945" s="23">
        <f>IFERROR(VLOOKUP(F3939,STUDENT!$A$2:$BP$101,22,0),"")</f>
        <v>0</v>
      </c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19"/>
      <c r="R3945" s="11"/>
    </row>
    <row r="3946" s="1" customFormat="1" ht="9.95" customHeight="1" spans="1:18">
      <c r="A3946" s="7"/>
      <c r="B3946" s="12"/>
      <c r="C3946" s="29"/>
      <c r="D3946" s="29"/>
      <c r="E3946" s="29"/>
      <c r="F3946" s="29"/>
      <c r="G3946" s="29"/>
      <c r="H3946" s="29"/>
      <c r="I3946" s="29"/>
      <c r="J3946" s="29"/>
      <c r="K3946" s="29"/>
      <c r="L3946" s="29"/>
      <c r="M3946" s="29"/>
      <c r="N3946" s="29"/>
      <c r="O3946" s="29"/>
      <c r="P3946" s="29"/>
      <c r="Q3946" s="19"/>
      <c r="R3946" s="11"/>
    </row>
    <row r="3947" s="1" customFormat="1" ht="9.95" customHeight="1" spans="1:18">
      <c r="A3947" s="7"/>
      <c r="B3947" s="12"/>
      <c r="C3947" s="30"/>
      <c r="D3947" s="31"/>
      <c r="E3947" s="31"/>
      <c r="F3947" s="31"/>
      <c r="G3947" s="31"/>
      <c r="H3947" s="31"/>
      <c r="I3947" s="31"/>
      <c r="J3947" s="31"/>
      <c r="K3947" s="31"/>
      <c r="L3947" s="31"/>
      <c r="M3947" s="31"/>
      <c r="N3947" s="31"/>
      <c r="O3947" s="31"/>
      <c r="P3947" s="32"/>
      <c r="Q3947" s="19"/>
      <c r="R3947" s="11"/>
    </row>
    <row r="3948" s="1" customFormat="1" ht="21.95" customHeight="1" spans="1:18">
      <c r="A3948" s="7"/>
      <c r="B3948" s="12"/>
      <c r="C3948" s="33"/>
      <c r="D3948" s="34" t="s">
        <v>713</v>
      </c>
      <c r="E3948" s="20" t="s">
        <v>714</v>
      </c>
      <c r="F3948" s="35" t="str">
        <f>"Level - "&amp;IFERROR(VLOOKUP(F3939,FLN!$A$4:$K$103,9,0),"")</f>
        <v>Level - </v>
      </c>
      <c r="G3948" s="36"/>
      <c r="H3948" s="37" t="s">
        <v>715</v>
      </c>
      <c r="I3948" s="20"/>
      <c r="J3948" s="35" t="str">
        <f>"Level - "&amp;IFERROR(VLOOKUP(F3939,FLN!$A$4:$K$103,11,0),"")</f>
        <v>Level - </v>
      </c>
      <c r="K3948" s="36"/>
      <c r="L3948" s="37" t="s">
        <v>408</v>
      </c>
      <c r="M3948" s="20"/>
      <c r="N3948" s="35" t="str">
        <f>"Level - "&amp;IFERROR(VLOOKUP(F3939,FLN!$A$4:$K$103,10,0),"")</f>
        <v>Level - </v>
      </c>
      <c r="O3948" s="36"/>
      <c r="P3948" s="19"/>
      <c r="Q3948" s="19"/>
      <c r="R3948" s="11"/>
    </row>
    <row r="3949" s="1" customFormat="1" ht="21.95" customHeight="1" spans="1:18">
      <c r="A3949" s="7"/>
      <c r="B3949" s="12"/>
      <c r="C3949" s="33"/>
      <c r="D3949" s="38"/>
      <c r="E3949" s="20" t="s">
        <v>716</v>
      </c>
      <c r="F3949" s="18" t="str">
        <f ca="1">IF(L3963&gt;197,"PERFORMED WELL","")</f>
        <v/>
      </c>
      <c r="G3949" s="18"/>
      <c r="H3949" s="18"/>
      <c r="I3949" s="18"/>
      <c r="J3949" s="18"/>
      <c r="K3949" s="18"/>
      <c r="L3949" s="18"/>
      <c r="M3949" s="18"/>
      <c r="N3949" s="18"/>
      <c r="O3949" s="18"/>
      <c r="P3949" s="19"/>
      <c r="Q3949" s="19"/>
      <c r="R3949" s="11"/>
    </row>
    <row r="3950" s="1" customFormat="1" ht="9.95" customHeight="1" spans="1:18">
      <c r="A3950" s="7"/>
      <c r="B3950" s="12"/>
      <c r="C3950" s="39"/>
      <c r="D3950" s="40"/>
      <c r="E3950" s="40"/>
      <c r="F3950" s="40"/>
      <c r="G3950" s="40"/>
      <c r="H3950" s="40"/>
      <c r="I3950" s="40"/>
      <c r="J3950" s="40"/>
      <c r="K3950" s="40"/>
      <c r="L3950" s="40"/>
      <c r="M3950" s="40"/>
      <c r="N3950" s="40"/>
      <c r="O3950" s="40"/>
      <c r="P3950" s="41"/>
      <c r="Q3950" s="19"/>
      <c r="R3950" s="11"/>
    </row>
    <row r="3951" s="1" customFormat="1" ht="9.95" customHeight="1" spans="1:18">
      <c r="A3951" s="7"/>
      <c r="B3951" s="12"/>
      <c r="C3951" s="29"/>
      <c r="D3951" s="29"/>
      <c r="E3951" s="29"/>
      <c r="F3951" s="29"/>
      <c r="G3951" s="29"/>
      <c r="H3951" s="29"/>
      <c r="I3951" s="29"/>
      <c r="J3951" s="29"/>
      <c r="K3951" s="29"/>
      <c r="L3951" s="29"/>
      <c r="M3951" s="29"/>
      <c r="N3951" s="29"/>
      <c r="O3951" s="29"/>
      <c r="P3951" s="29"/>
      <c r="Q3951" s="19"/>
      <c r="R3951" s="11"/>
    </row>
    <row r="3952" s="1" customFormat="1" ht="9.95" customHeight="1" spans="1:18">
      <c r="A3952" s="7"/>
      <c r="B3952" s="12"/>
      <c r="C3952" s="30"/>
      <c r="D3952" s="31"/>
      <c r="E3952" s="31"/>
      <c r="F3952" s="31"/>
      <c r="G3952" s="31"/>
      <c r="H3952" s="31"/>
      <c r="I3952" s="31"/>
      <c r="J3952" s="31"/>
      <c r="K3952" s="31"/>
      <c r="L3952" s="31"/>
      <c r="M3952" s="31"/>
      <c r="N3952" s="31"/>
      <c r="O3952" s="31"/>
      <c r="P3952" s="32"/>
      <c r="Q3952" s="19"/>
      <c r="R3952" s="11"/>
    </row>
    <row r="3953" s="1" customFormat="1" ht="21.95" customHeight="1" spans="1:18">
      <c r="A3953" s="7"/>
      <c r="B3953" s="12"/>
      <c r="C3953" s="33"/>
      <c r="D3953" s="35"/>
      <c r="E3953" s="24"/>
      <c r="F3953" s="42" t="s">
        <v>717</v>
      </c>
      <c r="G3953" s="42"/>
      <c r="H3953" s="42"/>
      <c r="I3953" s="42"/>
      <c r="J3953" s="42"/>
      <c r="K3953" s="42"/>
      <c r="L3953" s="43"/>
      <c r="M3953" s="44"/>
      <c r="N3953" s="29"/>
      <c r="O3953" s="29"/>
      <c r="P3953" s="19"/>
      <c r="Q3953" s="19"/>
      <c r="R3953" s="11"/>
    </row>
    <row r="3954" s="1" customFormat="1" ht="21.95" customHeight="1" spans="1:18">
      <c r="A3954" s="7"/>
      <c r="B3954" s="12"/>
      <c r="C3954" s="33"/>
      <c r="D3954" s="45"/>
      <c r="E3954" s="46"/>
      <c r="F3954" s="47" t="s">
        <v>541</v>
      </c>
      <c r="G3954" s="47" t="s">
        <v>542</v>
      </c>
      <c r="H3954" s="47" t="s">
        <v>543</v>
      </c>
      <c r="I3954" s="47" t="s">
        <v>544</v>
      </c>
      <c r="J3954" s="47" t="s">
        <v>561</v>
      </c>
      <c r="K3954" s="48" t="s">
        <v>750</v>
      </c>
      <c r="L3954" s="47" t="s">
        <v>382</v>
      </c>
      <c r="M3954" s="49" t="s">
        <v>546</v>
      </c>
      <c r="N3954" s="29"/>
      <c r="O3954" s="29"/>
      <c r="P3954" s="19"/>
      <c r="Q3954" s="19"/>
      <c r="R3954" s="11"/>
    </row>
    <row r="3955" s="1" customFormat="1" ht="21.95" customHeight="1" spans="1:18">
      <c r="A3955" s="7"/>
      <c r="B3955" s="12"/>
      <c r="C3955" s="33"/>
      <c r="D3955" s="45" t="s">
        <v>652</v>
      </c>
      <c r="E3955" s="46"/>
      <c r="F3955" s="50">
        <v>10</v>
      </c>
      <c r="G3955" s="50">
        <v>10</v>
      </c>
      <c r="H3955" s="50">
        <v>10</v>
      </c>
      <c r="I3955" s="50">
        <v>10</v>
      </c>
      <c r="J3955" s="50">
        <v>60</v>
      </c>
      <c r="K3955" s="51"/>
      <c r="L3955" s="50">
        <v>100</v>
      </c>
      <c r="M3955" s="49"/>
      <c r="N3955" s="29"/>
      <c r="O3955" s="29"/>
      <c r="P3955" s="19"/>
      <c r="Q3955" s="19"/>
      <c r="R3955" s="11"/>
    </row>
    <row r="3956" s="1" customFormat="1" ht="21.95" customHeight="1" spans="1:18">
      <c r="A3956" s="7"/>
      <c r="B3956" s="12"/>
      <c r="C3956" s="33"/>
      <c r="D3956" s="52" t="s">
        <v>751</v>
      </c>
      <c r="E3956" s="53"/>
      <c r="F3956" s="54" t="str">
        <f ca="1">IFERROR(VLOOKUP(F3939,'RR-3.1-5TH'!$A$12:'RR-3.1-5TH'!$BN$111,9,0),"")</f>
        <v/>
      </c>
      <c r="G3956" s="54" t="str">
        <f ca="1">IFERROR(VLOOKUP(F3939,'RR-3.1-5TH'!$A$12:'RR-3.1-5TH'!$BN$111,10,0),"")</f>
        <v/>
      </c>
      <c r="H3956" s="54" t="str">
        <f ca="1">IFERROR(VLOOKUP(F3939,'RR-3.1-5TH'!$A$12:'RR-3.1-5TH'!$BN$111,11,0),"")</f>
        <v/>
      </c>
      <c r="I3956" s="54" t="str">
        <f ca="1">IFERROR(VLOOKUP(F3939,'RR-3.1-5TH'!$A$12:'RR-3.1-5TH'!$BN$111,12,0),"")</f>
        <v/>
      </c>
      <c r="J3956" s="54" t="str">
        <f ca="1">IFERROR(VLOOKUP(F3939,'RR-3.1-5TH'!$A$12:'RR-3.1-5TH'!$BN$111,13,0),"")</f>
        <v/>
      </c>
      <c r="K3956" s="54" t="str">
        <f ca="1">IFERROR(VLOOKUP(F3939,'RR-3.1-5TH'!$A$12:'RR-3.1-5TH'!$BN$111,14,0),"")</f>
        <v/>
      </c>
      <c r="L3956" s="55">
        <f ca="1" t="shared" ref="L3956:L3961" si="207">SUM(F3956,G3956,H3956,I3956,J3956,K3956)</f>
        <v>0</v>
      </c>
      <c r="M3956" s="56" t="str">
        <f ca="1">IF(F3939&gt;ENTRY!$D$24,"",IF(L3956=0,"Ab",IF(L3956&gt;80,"A",IF(L3956&gt;60,"B",IF(L3956&gt;44,"C",IF(L3956&gt;=33,"D",IF(L3956&lt;=32,"E","")))))))</f>
        <v/>
      </c>
      <c r="N3956" s="57" t="s">
        <v>729</v>
      </c>
      <c r="O3956" s="58"/>
      <c r="P3956" s="59"/>
      <c r="Q3956" s="19"/>
      <c r="R3956" s="11"/>
    </row>
    <row r="3957" s="1" customFormat="1" ht="21.95" customHeight="1" spans="1:18">
      <c r="A3957" s="7"/>
      <c r="B3957" s="12"/>
      <c r="C3957" s="33"/>
      <c r="D3957" s="52" t="s">
        <v>513</v>
      </c>
      <c r="E3957" s="53"/>
      <c r="F3957" s="54" t="str">
        <f ca="1">IFERROR(VLOOKUP(F3939,'RR-3.1-5TH'!$A$12:'RR-3.1-5TH'!$BN$111,17,0),"")</f>
        <v/>
      </c>
      <c r="G3957" s="54" t="str">
        <f ca="1">IFERROR(VLOOKUP(F3939,'RR-3.1-5TH'!$A$12:'RR-3.1-5TH'!$BN$111,18,0),"")</f>
        <v/>
      </c>
      <c r="H3957" s="54" t="str">
        <f ca="1">IFERROR(VLOOKUP(F3939,'RR-3.1-5TH'!$A$12:'RR-3.1-5TH'!$BN$111,19,0),"")</f>
        <v/>
      </c>
      <c r="I3957" s="54" t="str">
        <f ca="1">IFERROR(VLOOKUP(F3939,'RR-3.1-5TH'!$A$12:'RR-3.1-5TH'!$BN$111,20,0),"")</f>
        <v/>
      </c>
      <c r="J3957" s="54" t="str">
        <f ca="1">IFERROR(VLOOKUP(F3939,'RR-3.1-5TH'!$A$12:'RR-3.1-5TH'!$BN$111,21,0),"")</f>
        <v/>
      </c>
      <c r="K3957" s="54" t="str">
        <f ca="1">IFERROR(VLOOKUP(F3939,'RR-3.1-5TH'!$A$12:'RR-3.1-5TH'!$BN$111,22,0),"")</f>
        <v/>
      </c>
      <c r="L3957" s="55">
        <f ca="1" t="shared" si="207"/>
        <v>0</v>
      </c>
      <c r="M3957" s="56" t="str">
        <f ca="1">IF(F3939&gt;ENTRY!$D$24,"",IF(L3957=0,"Ab",IF(L3957&gt;80,"A",IF(L3957&gt;60,"B",IF(L3957&gt;44,"C",IF(L3957&gt;=33,"D",IF(L3957&lt;=32,"E","")))))))</f>
        <v/>
      </c>
      <c r="N3957" s="58"/>
      <c r="O3957" s="58"/>
      <c r="P3957" s="59"/>
      <c r="Q3957" s="19"/>
      <c r="R3957" s="11"/>
    </row>
    <row r="3958" s="1" customFormat="1" ht="21.95" customHeight="1" spans="1:18">
      <c r="A3958" s="7"/>
      <c r="B3958" s="12"/>
      <c r="C3958" s="33"/>
      <c r="D3958" s="52" t="s">
        <v>718</v>
      </c>
      <c r="E3958" s="53"/>
      <c r="F3958" s="54" t="str">
        <f ca="1">IFERROR(VLOOKUP(F3939,'RR-3.1-5TH'!$A$12:'RR-3.1-5TH'!$BN$111,25,0),"")</f>
        <v/>
      </c>
      <c r="G3958" s="54" t="str">
        <f ca="1">IFERROR(VLOOKUP(F3939,'RR-3.1-5TH'!$A$12:'RR-3.1-5TH'!$BN$111,26,0),"")</f>
        <v/>
      </c>
      <c r="H3958" s="54" t="str">
        <f ca="1">IFERROR(VLOOKUP(F3939,'RR-3.1-5TH'!$A$12:'RR-3.1-5TH'!$BN$111,27,0),"")</f>
        <v/>
      </c>
      <c r="I3958" s="54" t="str">
        <f ca="1">IFERROR(VLOOKUP(F3939,'RR-3.1-5TH'!$A$12:'RR-3.1-5TH'!$BN$111,28,0),"")</f>
        <v/>
      </c>
      <c r="J3958" s="54" t="str">
        <f ca="1">IFERROR(VLOOKUP(F3939,'RR-3.1-5TH'!$A$12:'RR-3.1-5TH'!$BN$111,29,0),"")</f>
        <v/>
      </c>
      <c r="K3958" s="54" t="str">
        <f ca="1">IFERROR(VLOOKUP(F3939,'RR-3.1-5TH'!$A$12:'RR-3.1-5TH'!$BN$111,30,0),"")</f>
        <v/>
      </c>
      <c r="L3958" s="55">
        <f ca="1" t="shared" si="207"/>
        <v>0</v>
      </c>
      <c r="M3958" s="56" t="str">
        <f ca="1">IF(F3939&gt;ENTRY!$D$24,"",IF(L3958=0,"Ab",IF(L3958&gt;80,"A",IF(L3958&gt;60,"B",IF(L3958&gt;44,"C",IF(L3958&gt;=33,"D",IF(L3958&lt;=32,"E","")))))))</f>
        <v/>
      </c>
      <c r="N3958" s="29"/>
      <c r="O3958" s="29"/>
      <c r="P3958" s="19"/>
      <c r="Q3958" s="19"/>
      <c r="R3958" s="11"/>
    </row>
    <row r="3959" s="1" customFormat="1" ht="21.95" customHeight="1" spans="1:18">
      <c r="A3959" s="7"/>
      <c r="B3959" s="12"/>
      <c r="C3959" s="33"/>
      <c r="D3959" s="52" t="s">
        <v>719</v>
      </c>
      <c r="E3959" s="53"/>
      <c r="F3959" s="54" t="str">
        <f ca="1">IFERROR(VLOOKUP(F3939,'RR-3.1-5TH'!$A$12:'RR-3.1-5TH'!$BN$111,33,0),"")</f>
        <v/>
      </c>
      <c r="G3959" s="54" t="str">
        <f ca="1">IFERROR(VLOOKUP(F3939,'RR-3.1-5TH'!$A$12:'RR-3.1-5TH'!$BN$111,34,0),"")</f>
        <v/>
      </c>
      <c r="H3959" s="54" t="str">
        <f ca="1">IFERROR(VLOOKUP(F3939,'RR-3.1-5TH'!$A$12:'RR-3.1-5TH'!$BN$111,35,0),"")</f>
        <v/>
      </c>
      <c r="I3959" s="54" t="str">
        <f ca="1">IFERROR(VLOOKUP(F3939,'RR-3.1-5TH'!$A$12:'RR-3.1-5TH'!$BN$111,36,0),"")</f>
        <v/>
      </c>
      <c r="J3959" s="54" t="str">
        <f ca="1">IFERROR(VLOOKUP(F3939,'RR-3.1-5TH'!$A$12:'RR-3.1-5TH'!$BN$111,37,0),"")</f>
        <v/>
      </c>
      <c r="K3959" s="54" t="str">
        <f ca="1">IFERROR(VLOOKUP(F3939,'RR-3.1-5TH'!$A$12:'RR-3.1-5TH'!$BN$111,38,0),"")</f>
        <v/>
      </c>
      <c r="L3959" s="55">
        <f ca="1" t="shared" si="207"/>
        <v>0</v>
      </c>
      <c r="M3959" s="56" t="str">
        <f ca="1">IF(F3939&gt;ENTRY!$D$24,"",IF(L3959=0,"Ab",IF(L3959&gt;80,"A",IF(L3959&gt;60,"B",IF(L3959&gt;44,"C",IF(L3959&gt;=33,"D",IF(L3959&lt;=32,"E","")))))))</f>
        <v/>
      </c>
      <c r="N3959" s="29"/>
      <c r="O3959" s="29"/>
      <c r="P3959" s="19"/>
      <c r="Q3959" s="19"/>
      <c r="R3959" s="11"/>
    </row>
    <row r="3960" s="1" customFormat="1" ht="21.95" customHeight="1" spans="1:18">
      <c r="A3960" s="7"/>
      <c r="B3960" s="12"/>
      <c r="C3960" s="33"/>
      <c r="D3960" s="52" t="s">
        <v>548</v>
      </c>
      <c r="E3960" s="53"/>
      <c r="F3960" s="54" t="str">
        <f ca="1">IFERROR(VLOOKUP(F3939,'RR-3.1-5TH'!$A$12:'RR-3.1-5TH'!$BN$111,41,0),"")</f>
        <v/>
      </c>
      <c r="G3960" s="54" t="str">
        <f ca="1">IFERROR(VLOOKUP(F3939,'RR-3.1-5TH'!$A$12:'RR-3.1-5TH'!$BN$111,42,0),"")</f>
        <v/>
      </c>
      <c r="H3960" s="54" t="str">
        <f ca="1">IFERROR(VLOOKUP(F3939,'RR-3.1-5TH'!$A$12:'RR-3.1-5TH'!$BN$111,43,0),"")</f>
        <v/>
      </c>
      <c r="I3960" s="54" t="str">
        <f ca="1">IFERROR(VLOOKUP(F3939,'RR-3.1-5TH'!$A$12:'RR-3.1-5TH'!$BN$111,44,0),"")</f>
        <v/>
      </c>
      <c r="J3960" s="54" t="str">
        <f ca="1">IFERROR(VLOOKUP(F3939,'RR-3.1-5TH'!$A$12:'RR-3.1-5TH'!$BN$111,45,0),"")</f>
        <v/>
      </c>
      <c r="K3960" s="54" t="str">
        <f ca="1">IFERROR(VLOOKUP(F3939,'RR-3.1-5TH'!$A$12:'RR-3.1-5TH'!$BN$111,46,0),"")</f>
        <v/>
      </c>
      <c r="L3960" s="55">
        <f ca="1" t="shared" si="207"/>
        <v>0</v>
      </c>
      <c r="M3960" s="56" t="str">
        <f ca="1">IF(F3939&gt;ENTRY!$D$24,"",IF(L3960=0,"Ab",IF(L3960&gt;80,"A",IF(L3960&gt;60,"B",IF(L3960&gt;44,"C",IF(L3960&gt;=33,"D",IF(L3960&lt;=32,"E","")))))))</f>
        <v/>
      </c>
      <c r="N3960" s="29"/>
      <c r="O3960" s="29"/>
      <c r="P3960" s="19"/>
      <c r="Q3960" s="19"/>
      <c r="R3960" s="11"/>
    </row>
    <row r="3961" s="1" customFormat="1" ht="21.95" customHeight="1" spans="1:18">
      <c r="A3961" s="7"/>
      <c r="B3961" s="12"/>
      <c r="C3961" s="33"/>
      <c r="D3961" s="52" t="s">
        <v>549</v>
      </c>
      <c r="E3961" s="53"/>
      <c r="F3961" s="54" t="str">
        <f ca="1">IFERROR(VLOOKUP(F3939,'RR-3.1-5TH'!$A$12:'RR-3.1-5TH'!$BN$111,49,0),"")</f>
        <v/>
      </c>
      <c r="G3961" s="54" t="str">
        <f ca="1">IFERROR(VLOOKUP(F3939,'RR-3.1-5TH'!$A$12:'RR-3.1-5TH'!$BN$111,50,0),"")</f>
        <v/>
      </c>
      <c r="H3961" s="54" t="str">
        <f ca="1">IFERROR(VLOOKUP(F3939,'RR-3.1-5TH'!$A$12:'RR-3.1-5TH'!$BN$111,51,0),"")</f>
        <v/>
      </c>
      <c r="I3961" s="54" t="str">
        <f ca="1">IFERROR(VLOOKUP(F3939,'RR-3.1-5TH'!$A$12:'RR-3.1-5TH'!$BN$111,52,0),"")</f>
        <v/>
      </c>
      <c r="J3961" s="54" t="str">
        <f ca="1">IFERROR(VLOOKUP(F3939,'RR-3.1-5TH'!$A$12:'RR-3.1-5TH'!$BN$111,53,0),"")</f>
        <v/>
      </c>
      <c r="K3961" s="54" t="str">
        <f ca="1">IFERROR(VLOOKUP(F3939,'RR-3.1-5TH'!$A$12:'RR-3.1-5TH'!$BN$111,54,0),"")</f>
        <v/>
      </c>
      <c r="L3961" s="55">
        <f ca="1" t="shared" si="207"/>
        <v>0</v>
      </c>
      <c r="M3961" s="56" t="str">
        <f ca="1">IF(F3939&gt;ENTRY!$D$24,"",IF(L3961=0,"Ab",IF(L3961&gt;80,"A",IF(L3961&gt;60,"B",IF(L3961&gt;44,"C",IF(L3961&gt;=33,"D",IF(L3961&lt;=32,"E","")))))))</f>
        <v/>
      </c>
      <c r="N3961" s="57" t="s">
        <v>752</v>
      </c>
      <c r="O3961" s="58"/>
      <c r="P3961" s="59"/>
      <c r="Q3961" s="19"/>
      <c r="R3961" s="11"/>
    </row>
    <row r="3962" s="1" customFormat="1" ht="21.95" customHeight="1" spans="1:18">
      <c r="A3962" s="7"/>
      <c r="B3962" s="12"/>
      <c r="C3962" s="33"/>
      <c r="D3962" s="52" t="s">
        <v>753</v>
      </c>
      <c r="E3962" s="53"/>
      <c r="F3962" s="60"/>
      <c r="G3962" s="54"/>
      <c r="H3962" s="54"/>
      <c r="I3962" s="54"/>
      <c r="J3962" s="54"/>
      <c r="K3962" s="54"/>
      <c r="L3962" s="55">
        <f t="shared" ref="L3962" si="208">SUM(G3962:K3962)</f>
        <v>0</v>
      </c>
      <c r="M3962" s="56" t="str">
        <f>IF(F3939&gt;ENTRY!$D$24,"",IF(L3962=0,"",IF(L3962&gt;79,"A",IF(L3962&gt;59,"B",IF(L3962&gt;44,"C",IF(L3962&gt;=33,"D",IF(L3962&lt;=32,"E","")))))))</f>
        <v/>
      </c>
      <c r="N3962" s="58"/>
      <c r="O3962" s="58"/>
      <c r="P3962" s="59"/>
      <c r="Q3962" s="19"/>
      <c r="R3962" s="11"/>
    </row>
    <row r="3963" s="1" customFormat="1" ht="21.95" customHeight="1" spans="1:18">
      <c r="A3963" s="7"/>
      <c r="B3963" s="12"/>
      <c r="C3963" s="33"/>
      <c r="D3963" s="45" t="s">
        <v>382</v>
      </c>
      <c r="E3963" s="46"/>
      <c r="F3963" s="54">
        <f ca="1" t="shared" ref="F3963:L3963" si="209">IFERROR(SUM(F3956:F3962),"")</f>
        <v>0</v>
      </c>
      <c r="G3963" s="54">
        <f ca="1" t="shared" si="209"/>
        <v>0</v>
      </c>
      <c r="H3963" s="54">
        <f ca="1" t="shared" si="209"/>
        <v>0</v>
      </c>
      <c r="I3963" s="54">
        <f ca="1" t="shared" si="209"/>
        <v>0</v>
      </c>
      <c r="J3963" s="54">
        <f ca="1" t="shared" si="209"/>
        <v>0</v>
      </c>
      <c r="K3963" s="54">
        <f ca="1" t="shared" si="209"/>
        <v>0</v>
      </c>
      <c r="L3963" s="55">
        <f ca="1" t="shared" si="209"/>
        <v>0</v>
      </c>
      <c r="M3963" s="61" t="str">
        <f ca="1">IF(F3939&gt;ENTRY!$D$24,"",IF(N3964="Ab","Ab",IF(N3964&gt;79.5,"A",IF(N3964&gt;59.5,"B",IF(N3964&gt;44.5,"C",IF(N3964&gt;=33,"D",IF(N3964&lt;33,"E","")))))))</f>
        <v/>
      </c>
      <c r="N3963" s="62"/>
      <c r="O3963" s="58"/>
      <c r="P3963" s="59"/>
      <c r="Q3963" s="19"/>
      <c r="R3963" s="11"/>
    </row>
    <row r="3964" s="1" customFormat="1" ht="21.95" customHeight="1" spans="1:18">
      <c r="A3964" s="7"/>
      <c r="B3964" s="12"/>
      <c r="C3964" s="33"/>
      <c r="D3964" s="63" t="s">
        <v>721</v>
      </c>
      <c r="E3964" s="63"/>
      <c r="F3964" s="63"/>
      <c r="G3964" s="63"/>
      <c r="H3964" s="63"/>
      <c r="I3964" s="63"/>
      <c r="J3964" s="63"/>
      <c r="K3964" s="63"/>
      <c r="L3964" s="63"/>
      <c r="M3964" s="63"/>
      <c r="N3964" s="64">
        <f ca="1">IF(L3963="Ab","Ab",L3963/6)</f>
        <v>0</v>
      </c>
      <c r="O3964" s="65"/>
      <c r="P3964" s="19"/>
      <c r="Q3964" s="19"/>
      <c r="R3964" s="11"/>
    </row>
    <row r="3965" s="1" customFormat="1" ht="21.95" customHeight="1" spans="1:18">
      <c r="A3965" s="7"/>
      <c r="B3965" s="12"/>
      <c r="C3965" s="33"/>
      <c r="D3965" s="29" t="s">
        <v>716</v>
      </c>
      <c r="E3965" s="18" t="str">
        <f>IFERROR(VLOOKUP(F3939,'1to4-2.1-RR'!$A$12:$BG$111,57,0),"")</f>
        <v/>
      </c>
      <c r="F3965" s="18"/>
      <c r="G3965" s="18"/>
      <c r="H3965" s="18"/>
      <c r="I3965" s="18"/>
      <c r="J3965" s="18"/>
      <c r="K3965" s="18"/>
      <c r="L3965" s="18"/>
      <c r="M3965" s="18"/>
      <c r="N3965" s="29"/>
      <c r="O3965" s="29"/>
      <c r="P3965" s="19"/>
      <c r="Q3965" s="19"/>
      <c r="R3965" s="11"/>
    </row>
    <row r="3966" s="1" customFormat="1" ht="9.95" customHeight="1" spans="1:18">
      <c r="A3966" s="7"/>
      <c r="B3966" s="12"/>
      <c r="C3966" s="33"/>
      <c r="D3966" s="29"/>
      <c r="E3966" s="29"/>
      <c r="F3966" s="29"/>
      <c r="G3966" s="29"/>
      <c r="H3966" s="29"/>
      <c r="I3966" s="29"/>
      <c r="J3966" s="29"/>
      <c r="K3966" s="29"/>
      <c r="L3966" s="29"/>
      <c r="M3966" s="29"/>
      <c r="N3966" s="29"/>
      <c r="O3966" s="29"/>
      <c r="P3966" s="19"/>
      <c r="Q3966" s="19"/>
      <c r="R3966" s="11"/>
    </row>
    <row r="3967" s="1" customFormat="1" ht="36" spans="1:18">
      <c r="A3967" s="7"/>
      <c r="B3967" s="12"/>
      <c r="C3967" s="33"/>
      <c r="D3967" s="66" t="s">
        <v>576</v>
      </c>
      <c r="E3967" s="67" t="s">
        <v>754</v>
      </c>
      <c r="F3967" s="47" t="str">
        <f>IF(F3939&gt;ENTRY!$D$24,"",IFERROR(VLOOKUP(F3939,PASHEET!$A$4:$CJ$103,88,0),""))</f>
        <v/>
      </c>
      <c r="G3967" s="67" t="s">
        <v>755</v>
      </c>
      <c r="H3967" s="47" t="str">
        <f>IF(F3939&gt;ENTRY!$D$24,"",IFERROR(VLOOKUP(F3939,PASHEET!$A$4:$CJ$103,87,0),""))</f>
        <v/>
      </c>
      <c r="I3967" s="68" t="s">
        <v>756</v>
      </c>
      <c r="J3967" s="69" t="str">
        <f>IF(F3939&gt;ENTRY!$D$24,"",IFERROR(IF(F3939&gt;0,H3967/F3967*100),""))</f>
        <v/>
      </c>
      <c r="K3967" s="60" t="s">
        <v>757</v>
      </c>
      <c r="L3967" s="70" t="str">
        <f ca="1">IF(F3939&gt;ENTRY!$D$24,"",IFERROR(L3963/600*100,""))</f>
        <v/>
      </c>
      <c r="M3967" s="47" t="str">
        <f ca="1">IF(F3939&gt;ENTRY!$D$24,"",IFERROR(L3963&amp;" / "&amp;"600",""))</f>
        <v/>
      </c>
      <c r="N3967" s="29"/>
      <c r="O3967" s="29"/>
      <c r="P3967" s="19"/>
      <c r="Q3967" s="19"/>
      <c r="R3967" s="11"/>
    </row>
    <row r="3968" s="1" customFormat="1" ht="9.95" customHeight="1" spans="1:18">
      <c r="A3968" s="7"/>
      <c r="B3968" s="12"/>
      <c r="C3968" s="39"/>
      <c r="D3968" s="40"/>
      <c r="E3968" s="40"/>
      <c r="F3968" s="40"/>
      <c r="G3968" s="40"/>
      <c r="H3968" s="40"/>
      <c r="I3968" s="40"/>
      <c r="J3968" s="40"/>
      <c r="K3968" s="40"/>
      <c r="L3968" s="40"/>
      <c r="M3968" s="40"/>
      <c r="N3968" s="40"/>
      <c r="O3968" s="40"/>
      <c r="P3968" s="41"/>
      <c r="Q3968" s="19"/>
      <c r="R3968" s="11"/>
    </row>
    <row r="3969" s="1" customFormat="1" ht="9.95" customHeight="1" spans="1:19">
      <c r="A3969" s="7"/>
      <c r="B3969" s="12"/>
      <c r="C3969" s="71"/>
      <c r="D3969" s="71"/>
      <c r="E3969" s="71"/>
      <c r="F3969" s="29"/>
      <c r="G3969" s="71"/>
      <c r="H3969" s="71"/>
      <c r="I3969" s="71"/>
      <c r="J3969" s="71"/>
      <c r="K3969" s="71"/>
      <c r="L3969" s="71"/>
      <c r="M3969" s="71"/>
      <c r="N3969" s="71"/>
      <c r="O3969" s="71"/>
      <c r="P3969" s="71"/>
      <c r="Q3969" s="19"/>
      <c r="R3969" s="11"/>
    </row>
    <row r="3970" s="1" customFormat="1" ht="9.95" customHeight="1" spans="1:19">
      <c r="A3970" s="7"/>
      <c r="B3970" s="12"/>
      <c r="C3970" s="29"/>
      <c r="D3970" s="29"/>
      <c r="E3970" s="29"/>
      <c r="F3970" s="72"/>
      <c r="G3970" s="29"/>
      <c r="H3970" s="29"/>
      <c r="I3970" s="29"/>
      <c r="J3970" s="29"/>
      <c r="K3970" s="29"/>
      <c r="L3970" s="29"/>
      <c r="M3970" s="29"/>
      <c r="N3970" s="29"/>
      <c r="O3970" s="29"/>
      <c r="P3970" s="29"/>
      <c r="Q3970" s="19"/>
      <c r="R3970" s="11"/>
    </row>
    <row r="3971" s="1" customFormat="1" ht="9.95" customHeight="1" spans="1:19">
      <c r="A3971" s="7"/>
      <c r="B3971" s="12"/>
      <c r="C3971" s="30"/>
      <c r="D3971" s="31"/>
      <c r="E3971" s="31"/>
      <c r="F3971" s="31"/>
      <c r="G3971" s="31"/>
      <c r="H3971" s="31"/>
      <c r="I3971" s="31"/>
      <c r="J3971" s="31"/>
      <c r="K3971" s="31"/>
      <c r="L3971" s="31"/>
      <c r="M3971" s="31"/>
      <c r="N3971" s="31"/>
      <c r="O3971" s="31"/>
      <c r="P3971" s="32"/>
      <c r="Q3971" s="19"/>
      <c r="R3971" s="11"/>
    </row>
    <row r="3972" s="1" customFormat="1" ht="21.95" customHeight="1" spans="1:19">
      <c r="A3972" s="7"/>
      <c r="B3972" s="12"/>
      <c r="C3972" s="73" t="s">
        <v>7</v>
      </c>
      <c r="D3972" s="13"/>
      <c r="E3972" s="13"/>
      <c r="F3972" s="13"/>
      <c r="G3972" s="13"/>
      <c r="H3972" s="13"/>
      <c r="I3972" s="13"/>
      <c r="J3972" s="13"/>
      <c r="K3972" s="13"/>
      <c r="L3972" s="13"/>
      <c r="M3972" s="13"/>
      <c r="N3972" s="13"/>
      <c r="O3972" s="13"/>
      <c r="P3972" s="74"/>
      <c r="Q3972" s="19"/>
      <c r="R3972" s="11"/>
      <c r="S3972" s="2"/>
    </row>
    <row r="3973" s="1" customFormat="1" ht="21.95" customHeight="1" spans="1:19">
      <c r="A3973" s="7"/>
      <c r="B3973" s="12"/>
      <c r="C3973" s="33"/>
      <c r="D3973" s="29"/>
      <c r="E3973" s="29"/>
      <c r="F3973" s="29"/>
      <c r="G3973" s="29"/>
      <c r="H3973" s="29"/>
      <c r="I3973" s="29"/>
      <c r="J3973" s="29"/>
      <c r="K3973" s="29"/>
      <c r="L3973" s="29"/>
      <c r="M3973" s="29"/>
      <c r="N3973" s="29"/>
      <c r="O3973" s="29"/>
      <c r="P3973" s="19"/>
      <c r="Q3973" s="19"/>
      <c r="R3973" s="11"/>
    </row>
    <row r="3974" s="1" customFormat="1" ht="21.95" customHeight="1" spans="1:19">
      <c r="A3974" s="7"/>
      <c r="B3974" s="12"/>
      <c r="C3974" s="75" t="str">
        <f>"SESSION-"&amp;ENTRY!$D$11</f>
        <v>SESSION-2026-27</v>
      </c>
      <c r="D3974" s="15"/>
      <c r="E3974" s="15"/>
      <c r="F3974" s="15"/>
      <c r="G3974" s="15"/>
      <c r="H3974" s="15"/>
      <c r="I3974" s="15"/>
      <c r="J3974" s="15"/>
      <c r="K3974" s="15"/>
      <c r="L3974" s="15"/>
      <c r="M3974" s="15"/>
      <c r="N3974" s="15"/>
      <c r="O3974" s="15"/>
      <c r="P3974" s="76"/>
      <c r="Q3974" s="19"/>
      <c r="R3974" s="11"/>
    </row>
    <row r="3975" s="1" customFormat="1" ht="18" customHeight="1" spans="1:19">
      <c r="A3975" s="7"/>
      <c r="B3975" s="12"/>
      <c r="C3975" s="33"/>
      <c r="D3975" s="29"/>
      <c r="E3975" s="29"/>
      <c r="F3975" s="29"/>
      <c r="G3975" s="29"/>
      <c r="H3975" s="29"/>
      <c r="I3975" s="29"/>
      <c r="J3975" s="29"/>
      <c r="K3975" s="29"/>
      <c r="L3975" s="29"/>
      <c r="M3975" s="29"/>
      <c r="N3975" s="29"/>
      <c r="O3975" s="29"/>
      <c r="P3975" s="19"/>
      <c r="Q3975" s="19"/>
      <c r="R3975" s="11"/>
    </row>
    <row r="3976" s="1" customFormat="1" ht="21.95" customHeight="1" spans="1:19">
      <c r="A3976" s="7"/>
      <c r="B3976" s="12"/>
      <c r="C3976" s="33"/>
      <c r="D3976" s="77" t="s">
        <v>758</v>
      </c>
      <c r="E3976" s="77"/>
      <c r="F3976" s="78" t="str">
        <f>IFERROR(PROPER(VLOOKUP(F3939,STUDENT!$A$2:$BP$101,5,0)),"")</f>
        <v/>
      </c>
      <c r="G3976" s="78"/>
      <c r="H3976" s="78"/>
      <c r="I3976" s="78"/>
      <c r="J3976" s="78"/>
      <c r="K3976" s="78"/>
      <c r="L3976" s="78"/>
      <c r="M3976" s="78"/>
      <c r="N3976" s="79" t="s">
        <v>759</v>
      </c>
      <c r="O3976" s="79"/>
      <c r="P3976" s="19"/>
      <c r="Q3976" s="19"/>
      <c r="R3976" s="11"/>
    </row>
    <row r="3977" s="1" customFormat="1" ht="21.95" customHeight="1" spans="1:19">
      <c r="A3977" s="7"/>
      <c r="B3977" s="12"/>
      <c r="C3977" s="33"/>
      <c r="D3977" s="80" t="s">
        <v>760</v>
      </c>
      <c r="E3977" s="81" t="str">
        <f>IFERROR(PROPER(VLOOKUP(F3939,STUDENT!$A$2:$BP$101,9,0)),"")</f>
        <v/>
      </c>
      <c r="F3977" s="81"/>
      <c r="G3977" s="81"/>
      <c r="H3977" s="80" t="s">
        <v>761</v>
      </c>
      <c r="I3977" s="82" t="str">
        <f>IFERROR(PROPER(VLOOKUP(F3939,STUDENT!$A$2:$BP$101,8,0)),"")</f>
        <v/>
      </c>
      <c r="J3977" s="82"/>
      <c r="K3977" s="82"/>
      <c r="L3977" s="82"/>
      <c r="M3977" s="80" t="s">
        <v>762</v>
      </c>
      <c r="N3977" s="83" t="str">
        <f>IFERROR(VLOOKUP(F3939,STUDENT!$A$2:$BP$101,59,0),"")</f>
        <v/>
      </c>
      <c r="O3977" s="83"/>
      <c r="P3977" s="19"/>
      <c r="Q3977" s="19"/>
      <c r="R3977" s="11"/>
    </row>
    <row r="3978" s="1" customFormat="1" ht="21.95" customHeight="1" spans="1:19">
      <c r="A3978" s="7"/>
      <c r="B3978" s="12"/>
      <c r="C3978" s="33"/>
      <c r="D3978" s="77" t="str">
        <f>"has    completed     his  /  her     primary     level     education    in    the    year    "&amp;RIGHT(ENTRY!$D3944,4)&amp;"    from    ( School    Name )"</f>
        <v>has    completed     his  /  her     primary     level     education    in    the    year        from    ( School    Name )</v>
      </c>
      <c r="E3978" s="77"/>
      <c r="F3978" s="77"/>
      <c r="G3978" s="77"/>
      <c r="H3978" s="77"/>
      <c r="I3978" s="77"/>
      <c r="J3978" s="77"/>
      <c r="K3978" s="77"/>
      <c r="L3978" s="77"/>
      <c r="M3978" s="77"/>
      <c r="N3978" s="77"/>
      <c r="O3978" s="77"/>
      <c r="P3978" s="19"/>
      <c r="Q3978" s="19"/>
      <c r="R3978" s="11"/>
    </row>
    <row r="3979" s="1" customFormat="1" ht="21.95" customHeight="1" spans="1:19">
      <c r="A3979" s="7"/>
      <c r="B3979" s="12"/>
      <c r="C3979" s="33"/>
      <c r="D3979" s="81" t="str">
        <f>IF(F3939&gt;0,ENTRY!$D$6,"")</f>
        <v>MCP NITHARI NO 1 BOYS</v>
      </c>
      <c r="E3979" s="81"/>
      <c r="F3979" s="81"/>
      <c r="G3979" s="81"/>
      <c r="H3979" s="81"/>
      <c r="I3979" s="81"/>
      <c r="J3979" s="81"/>
      <c r="K3979" s="81"/>
      <c r="L3979" s="81"/>
      <c r="M3979" s="80" t="s">
        <v>763</v>
      </c>
      <c r="N3979" s="84">
        <f>IF(F3939&gt;0,ENTRY!$D$7,"")</f>
        <v>0</v>
      </c>
      <c r="O3979" s="84"/>
      <c r="P3979" s="85" t="s">
        <v>727</v>
      </c>
      <c r="Q3979" s="19"/>
      <c r="R3979" s="11"/>
    </row>
    <row r="3980" s="1" customFormat="1" ht="21.95" customHeight="1" spans="1:19">
      <c r="A3980" s="7"/>
      <c r="B3980" s="12"/>
      <c r="C3980" s="33"/>
      <c r="D3980" s="29"/>
      <c r="E3980" s="29"/>
      <c r="F3980" s="29"/>
      <c r="G3980" s="29"/>
      <c r="H3980" s="29"/>
      <c r="I3980" s="29"/>
      <c r="J3980" s="29"/>
      <c r="K3980" s="29"/>
      <c r="L3980" s="29"/>
      <c r="M3980" s="29"/>
      <c r="N3980" s="29"/>
      <c r="O3980" s="29"/>
      <c r="P3980" s="19"/>
      <c r="Q3980" s="19"/>
      <c r="R3980" s="11"/>
    </row>
    <row r="3981" s="1" customFormat="1" ht="21.95" customHeight="1" spans="1:19">
      <c r="A3981" s="7"/>
      <c r="B3981" s="12"/>
      <c r="C3981" s="33"/>
      <c r="D3981" s="29"/>
      <c r="E3981" s="29"/>
      <c r="F3981" s="29"/>
      <c r="G3981" s="29"/>
      <c r="H3981" s="29"/>
      <c r="I3981" s="29"/>
      <c r="J3981" s="29"/>
      <c r="K3981" s="29"/>
      <c r="L3981" s="29"/>
      <c r="M3981" s="29"/>
      <c r="N3981" s="29"/>
      <c r="O3981" s="29"/>
      <c r="P3981" s="19"/>
      <c r="Q3981" s="19"/>
      <c r="R3981" s="11"/>
    </row>
    <row r="3982" s="1" customFormat="1" ht="21.95" customHeight="1" spans="1:19">
      <c r="A3982" s="7"/>
      <c r="B3982" s="12"/>
      <c r="C3982" s="33"/>
      <c r="D3982" s="29"/>
      <c r="E3982" s="29"/>
      <c r="F3982" s="29"/>
      <c r="G3982" s="29"/>
      <c r="H3982" s="29"/>
      <c r="I3982" s="29"/>
      <c r="J3982" s="29"/>
      <c r="K3982" s="29"/>
      <c r="L3982" s="29"/>
      <c r="M3982" s="29"/>
      <c r="N3982" s="29"/>
      <c r="O3982" s="29"/>
      <c r="P3982" s="19"/>
      <c r="Q3982" s="19"/>
      <c r="R3982" s="11"/>
    </row>
    <row r="3983" s="1" customFormat="1" ht="21.95" customHeight="1" spans="1:19">
      <c r="A3983" s="7"/>
      <c r="B3983" s="12"/>
      <c r="C3983" s="33"/>
      <c r="D3983" s="29"/>
      <c r="E3983" s="29"/>
      <c r="F3983" s="29"/>
      <c r="G3983" s="29"/>
      <c r="H3983" s="29"/>
      <c r="I3983" s="29"/>
      <c r="J3983" s="29"/>
      <c r="K3983" s="29"/>
      <c r="L3983" s="29"/>
      <c r="M3983" s="29"/>
      <c r="N3983" s="29"/>
      <c r="O3983" s="29"/>
      <c r="P3983" s="19"/>
      <c r="Q3983" s="19"/>
      <c r="R3983" s="11"/>
    </row>
    <row r="3984" s="1" customFormat="1" ht="21.95" customHeight="1" spans="1:19">
      <c r="A3984" s="7"/>
      <c r="B3984" s="12"/>
      <c r="C3984" s="33"/>
      <c r="D3984" s="29"/>
      <c r="E3984" s="29"/>
      <c r="F3984" s="29"/>
      <c r="G3984" s="29"/>
      <c r="H3984" s="29"/>
      <c r="I3984" s="29"/>
      <c r="J3984" s="29"/>
      <c r="K3984" s="29"/>
      <c r="L3984" s="29"/>
      <c r="M3984" s="29"/>
      <c r="N3984" s="29"/>
      <c r="O3984" s="29"/>
      <c r="P3984" s="19"/>
      <c r="Q3984" s="19"/>
      <c r="R3984" s="11"/>
    </row>
    <row r="3985" s="1" customFormat="1" ht="21.95" customHeight="1" spans="1:18">
      <c r="A3985" s="7"/>
      <c r="B3985" s="12"/>
      <c r="C3985" s="33"/>
      <c r="D3985" s="80" t="s">
        <v>728</v>
      </c>
      <c r="E3985" s="86">
        <f>ENTRY!$D$27</f>
        <v>46102</v>
      </c>
      <c r="F3985" s="86"/>
      <c r="G3985" s="29"/>
      <c r="H3985" s="29"/>
      <c r="I3985" s="29"/>
      <c r="J3985" s="29"/>
      <c r="K3985" s="29"/>
      <c r="L3985" s="29"/>
      <c r="M3985" s="87" t="s">
        <v>730</v>
      </c>
      <c r="N3985" s="87"/>
      <c r="O3985" s="87"/>
      <c r="P3985" s="19"/>
      <c r="Q3985" s="19"/>
      <c r="R3985" s="11"/>
    </row>
    <row r="3986" s="1" customFormat="1" ht="21.95" customHeight="1" spans="1:18">
      <c r="A3986" s="7"/>
      <c r="B3986" s="12"/>
      <c r="C3986" s="33"/>
      <c r="D3986" s="80" t="s">
        <v>731</v>
      </c>
      <c r="E3986" s="88" t="str">
        <f>PROPER(ENTRY!$D$28)</f>
        <v>New Delhi</v>
      </c>
      <c r="F3986" s="88"/>
      <c r="G3986" s="29"/>
      <c r="H3986" s="29"/>
      <c r="I3986" s="29"/>
      <c r="J3986" s="29"/>
      <c r="K3986" s="29"/>
      <c r="L3986" s="29"/>
      <c r="M3986" s="89" t="s">
        <v>732</v>
      </c>
      <c r="N3986" s="89"/>
      <c r="O3986" s="89"/>
      <c r="P3986" s="19"/>
      <c r="Q3986" s="19"/>
      <c r="R3986" s="11"/>
    </row>
    <row r="3987" s="1" customFormat="1" ht="21.95" customHeight="1" spans="1:18">
      <c r="A3987" s="7"/>
      <c r="B3987" s="12"/>
      <c r="C3987" s="90"/>
      <c r="D3987" s="91"/>
      <c r="E3987" s="91"/>
      <c r="F3987" s="91"/>
      <c r="G3987" s="91"/>
      <c r="H3987" s="91"/>
      <c r="I3987" s="91"/>
      <c r="J3987" s="91"/>
      <c r="K3987" s="91"/>
      <c r="L3987" s="91"/>
      <c r="M3987" s="91"/>
      <c r="N3987" s="91"/>
      <c r="O3987" s="91"/>
      <c r="P3987" s="92"/>
      <c r="Q3987" s="14"/>
      <c r="R3987" s="11"/>
    </row>
    <row r="3988" s="1" customFormat="1" ht="5.1" customHeight="1" spans="1:18">
      <c r="A3988" s="7"/>
      <c r="B3988" s="90"/>
      <c r="C3988" s="91"/>
      <c r="D3988" s="91"/>
      <c r="E3988" s="91"/>
      <c r="F3988" s="91"/>
      <c r="G3988" s="91"/>
      <c r="H3988" s="91"/>
      <c r="I3988" s="91"/>
      <c r="J3988" s="91"/>
      <c r="K3988" s="91"/>
      <c r="L3988" s="91"/>
      <c r="M3988" s="91"/>
      <c r="N3988" s="91"/>
      <c r="O3988" s="91"/>
      <c r="P3988" s="91"/>
      <c r="Q3988" s="92"/>
      <c r="R3988" s="11"/>
    </row>
    <row r="3989" s="1" customFormat="1" ht="5.1" customHeight="1" spans="1:18">
      <c r="A3989" s="93"/>
      <c r="B3989" s="94"/>
      <c r="C3989" s="94"/>
      <c r="D3989" s="94"/>
      <c r="E3989" s="94"/>
      <c r="F3989" s="94"/>
      <c r="G3989" s="94"/>
      <c r="H3989" s="94"/>
      <c r="I3989" s="94"/>
      <c r="J3989" s="94"/>
      <c r="K3989" s="94"/>
      <c r="L3989" s="94"/>
      <c r="M3989" s="94"/>
      <c r="N3989" s="94"/>
      <c r="O3989" s="94"/>
      <c r="P3989" s="94"/>
      <c r="Q3989" s="94"/>
      <c r="R3989" s="95"/>
    </row>
    <row r="3990" s="2" customFormat="1" ht="9.95" customHeight="1"/>
    <row r="3991" s="1" customFormat="1" ht="5.1" customHeight="1" spans="1:18">
      <c r="A3991" s="4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  <c r="O3991" s="5"/>
      <c r="P3991" s="5"/>
      <c r="Q3991" s="5"/>
      <c r="R3991" s="6"/>
    </row>
    <row r="3992" s="1" customFormat="1" ht="15" customHeight="1" spans="1:18">
      <c r="A3992" s="7"/>
      <c r="B3992" s="8"/>
      <c r="C3992" s="9"/>
      <c r="D3992" s="9"/>
      <c r="E3992" s="9"/>
      <c r="F3992" s="9"/>
      <c r="G3992" s="9"/>
      <c r="H3992" s="9"/>
      <c r="I3992" s="9"/>
      <c r="J3992" s="9"/>
      <c r="K3992" s="9"/>
      <c r="L3992" s="9"/>
      <c r="M3992" s="9"/>
      <c r="N3992" s="9"/>
      <c r="O3992" s="9"/>
      <c r="P3992" s="9"/>
      <c r="Q3992" s="10"/>
      <c r="R3992" s="11"/>
    </row>
    <row r="3993" s="1" customFormat="1" ht="21.95" customHeight="1" spans="1:18">
      <c r="A3993" s="7"/>
      <c r="B3993" s="12"/>
      <c r="C3993" s="13" t="s">
        <v>7</v>
      </c>
      <c r="D3993" s="13"/>
      <c r="E3993" s="13"/>
      <c r="F3993" s="13"/>
      <c r="G3993" s="13"/>
      <c r="H3993" s="13"/>
      <c r="I3993" s="13"/>
      <c r="J3993" s="13"/>
      <c r="K3993" s="13"/>
      <c r="L3993" s="13"/>
      <c r="M3993" s="13"/>
      <c r="N3993" s="13"/>
      <c r="O3993" s="13"/>
      <c r="P3993" s="13"/>
      <c r="Q3993" s="14"/>
      <c r="R3993" s="11"/>
    </row>
    <row r="3994" s="1" customFormat="1" ht="21.95" customHeight="1" spans="1:18">
      <c r="A3994" s="7"/>
      <c r="B3994" s="1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14"/>
      <c r="R3994" s="11"/>
    </row>
    <row r="3995" s="1" customFormat="1" ht="21.95" customHeight="1" spans="1:18">
      <c r="A3995" s="7"/>
      <c r="B3995" s="12"/>
      <c r="C3995" s="15" t="str">
        <f>"SESSION-"&amp;ENTRY!$D$11</f>
        <v>SESSION-2026-27</v>
      </c>
      <c r="D3995" s="15"/>
      <c r="E3995" s="15"/>
      <c r="F3995" s="15"/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  <c r="Q3995" s="14"/>
      <c r="R3995" s="11"/>
    </row>
    <row r="3996" s="1" customFormat="1" ht="21.95" customHeight="1" spans="1:18">
      <c r="A3996" s="7"/>
      <c r="B3996" s="12"/>
      <c r="C3996" s="2"/>
      <c r="D3996" s="2"/>
      <c r="E3996" s="2"/>
      <c r="F3996" s="16">
        <f>F3939+1</f>
        <v>71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14"/>
      <c r="R3996" s="11"/>
    </row>
    <row r="3997" s="1" customFormat="1" ht="21.95" customHeight="1" spans="1:18">
      <c r="A3997" s="7"/>
      <c r="B3997" s="12"/>
      <c r="C3997" s="17" t="s">
        <v>392</v>
      </c>
      <c r="D3997" s="17"/>
      <c r="E3997" s="17"/>
      <c r="F3997" s="18" t="str">
        <f>IF(F3996&gt;0,ENTRY!$D$6,"")</f>
        <v>MCP NITHARI NO 1 BOYS</v>
      </c>
      <c r="G3997" s="18"/>
      <c r="H3997" s="18"/>
      <c r="I3997" s="18"/>
      <c r="J3997" s="18"/>
      <c r="K3997" s="18"/>
      <c r="L3997" s="18"/>
      <c r="M3997" s="18"/>
      <c r="N3997" s="18"/>
      <c r="O3997" s="18"/>
      <c r="P3997" s="18"/>
      <c r="Q3997" s="19"/>
      <c r="R3997" s="11"/>
    </row>
    <row r="3998" s="1" customFormat="1" ht="21.95" customHeight="1" spans="1:18">
      <c r="A3998" s="7"/>
      <c r="B3998" s="12"/>
      <c r="C3998" s="17" t="s">
        <v>393</v>
      </c>
      <c r="D3998" s="17"/>
      <c r="E3998" s="17"/>
      <c r="F3998" s="18">
        <f>IF(F3996&gt;0,ENTRY!$D$7,"")</f>
        <v>0</v>
      </c>
      <c r="G3998" s="18"/>
      <c r="H3998" s="20" t="s">
        <v>702</v>
      </c>
      <c r="I3998" s="20"/>
      <c r="J3998" s="21">
        <f>IF(F3996&gt;0,ENTRY!$D$10,"")</f>
        <v>40</v>
      </c>
      <c r="K3998" s="20" t="s">
        <v>703</v>
      </c>
      <c r="L3998" s="22" t="str">
        <f>IF(F3996&gt;0,ENTRY!$D$5,"")</f>
        <v>ROHINI ZONE</v>
      </c>
      <c r="M3998" s="22"/>
      <c r="N3998" s="22"/>
      <c r="O3998" s="22"/>
      <c r="P3998" s="22"/>
      <c r="Q3998" s="19"/>
      <c r="R3998" s="11"/>
    </row>
    <row r="3999" s="1" customFormat="1" ht="21.95" customHeight="1" spans="1:18">
      <c r="A3999" s="7"/>
      <c r="B3999" s="12"/>
      <c r="C3999" s="17" t="s">
        <v>706</v>
      </c>
      <c r="D3999" s="17"/>
      <c r="E3999" s="17"/>
      <c r="F3999" s="23">
        <f>IFERROR(VLOOKUP(F3996,STUDENT!$A$2:$BP$101,5,0),"")</f>
        <v>0</v>
      </c>
      <c r="G3999" s="23"/>
      <c r="H3999" s="23"/>
      <c r="I3999" s="23"/>
      <c r="J3999" s="23"/>
      <c r="K3999" s="23"/>
      <c r="L3999" s="20" t="s">
        <v>707</v>
      </c>
      <c r="M3999" s="20"/>
      <c r="N3999" s="24" t="str">
        <f>IF(F3996&gt;0,ENTRY!$D$20&amp;"-"&amp;ENTRY!$D$21,"")</f>
        <v>III-A</v>
      </c>
      <c r="O3999" s="24"/>
      <c r="P3999" s="24"/>
      <c r="Q3999" s="19"/>
      <c r="R3999" s="11"/>
    </row>
    <row r="4000" s="1" customFormat="1" ht="21.95" customHeight="1" spans="1:18">
      <c r="A4000" s="7"/>
      <c r="B4000" s="12"/>
      <c r="C4000" s="17" t="s">
        <v>708</v>
      </c>
      <c r="D4000" s="17"/>
      <c r="E4000" s="17"/>
      <c r="F4000" s="25">
        <f>IFERROR(VLOOKUP(F3996,STUDENT!$A$2:$BP$101,6,0),"")</f>
        <v>0</v>
      </c>
      <c r="G4000" s="25"/>
      <c r="H4000" s="26" t="s">
        <v>709</v>
      </c>
      <c r="I4000" s="27" t="str">
        <f>IFERROR(VLOOKUP(F3996,STUDENT!$A$2:$BP$101,59,0),"")</f>
        <v/>
      </c>
      <c r="J4000" s="27"/>
      <c r="K4000" s="20" t="s">
        <v>710</v>
      </c>
      <c r="L4000" s="20"/>
      <c r="M4000" s="28">
        <f>IFERROR(VLOOKUP(F3996,STUDENT!$A$2:$BP$101,20,0),"")</f>
        <v>0</v>
      </c>
      <c r="N4000" s="28"/>
      <c r="O4000" s="28"/>
      <c r="P4000" s="28"/>
      <c r="Q4000" s="19"/>
      <c r="R4000" s="11"/>
    </row>
    <row r="4001" s="1" customFormat="1" ht="21.95" customHeight="1" spans="1:18">
      <c r="A4001" s="7"/>
      <c r="B4001" s="12"/>
      <c r="C4001" s="17" t="s">
        <v>711</v>
      </c>
      <c r="D4001" s="17"/>
      <c r="E4001" s="17"/>
      <c r="F4001" s="23">
        <f>IFERROR(VLOOKUP(F3996,STUDENT!$A$2:$BP$101,9,0),"")</f>
        <v>0</v>
      </c>
      <c r="G4001" s="23"/>
      <c r="H4001" s="23"/>
      <c r="I4001" s="23"/>
      <c r="J4001" s="17" t="s">
        <v>620</v>
      </c>
      <c r="K4001" s="17"/>
      <c r="L4001" s="23">
        <f>IFERROR(VLOOKUP(F3996,STUDENT!$A$2:$BP$101,8,0),"")</f>
        <v>0</v>
      </c>
      <c r="M4001" s="23"/>
      <c r="N4001" s="23"/>
      <c r="O4001" s="23"/>
      <c r="P4001" s="23"/>
      <c r="Q4001" s="19"/>
      <c r="R4001" s="11"/>
    </row>
    <row r="4002" s="1" customFormat="1" ht="21.95" customHeight="1" spans="1:18">
      <c r="A4002" s="7"/>
      <c r="B4002" s="12"/>
      <c r="C4002" s="17" t="s">
        <v>712</v>
      </c>
      <c r="D4002" s="17"/>
      <c r="E4002" s="17"/>
      <c r="F4002" s="23">
        <f>IFERROR(VLOOKUP(F3996,STUDENT!$A$2:$BP$101,22,0),"")</f>
        <v>0</v>
      </c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19"/>
      <c r="R4002" s="11"/>
    </row>
    <row r="4003" s="1" customFormat="1" ht="9.95" customHeight="1" spans="1:18">
      <c r="A4003" s="7"/>
      <c r="B4003" s="12"/>
      <c r="C4003" s="29"/>
      <c r="D4003" s="29"/>
      <c r="E4003" s="29"/>
      <c r="F4003" s="29"/>
      <c r="G4003" s="29"/>
      <c r="H4003" s="29"/>
      <c r="I4003" s="29"/>
      <c r="J4003" s="29"/>
      <c r="K4003" s="29"/>
      <c r="L4003" s="29"/>
      <c r="M4003" s="29"/>
      <c r="N4003" s="29"/>
      <c r="O4003" s="29"/>
      <c r="P4003" s="29"/>
      <c r="Q4003" s="19"/>
      <c r="R4003" s="11"/>
    </row>
    <row r="4004" s="1" customFormat="1" ht="9.95" customHeight="1" spans="1:18">
      <c r="A4004" s="7"/>
      <c r="B4004" s="12"/>
      <c r="C4004" s="30"/>
      <c r="D4004" s="31"/>
      <c r="E4004" s="31"/>
      <c r="F4004" s="31"/>
      <c r="G4004" s="31"/>
      <c r="H4004" s="31"/>
      <c r="I4004" s="31"/>
      <c r="J4004" s="31"/>
      <c r="K4004" s="31"/>
      <c r="L4004" s="31"/>
      <c r="M4004" s="31"/>
      <c r="N4004" s="31"/>
      <c r="O4004" s="31"/>
      <c r="P4004" s="32"/>
      <c r="Q4004" s="19"/>
      <c r="R4004" s="11"/>
    </row>
    <row r="4005" s="1" customFormat="1" ht="21.95" customHeight="1" spans="1:18">
      <c r="A4005" s="7"/>
      <c r="B4005" s="12"/>
      <c r="C4005" s="33"/>
      <c r="D4005" s="34" t="s">
        <v>713</v>
      </c>
      <c r="E4005" s="20" t="s">
        <v>714</v>
      </c>
      <c r="F4005" s="35" t="str">
        <f>"Level - "&amp;IFERROR(VLOOKUP(F3996,FLN!$A$4:$K$103,9,0),"")</f>
        <v>Level - </v>
      </c>
      <c r="G4005" s="36"/>
      <c r="H4005" s="37" t="s">
        <v>715</v>
      </c>
      <c r="I4005" s="20"/>
      <c r="J4005" s="35" t="str">
        <f>"Level - "&amp;IFERROR(VLOOKUP(F3996,FLN!$A$4:$K$103,11,0),"")</f>
        <v>Level - </v>
      </c>
      <c r="K4005" s="36"/>
      <c r="L4005" s="37" t="s">
        <v>408</v>
      </c>
      <c r="M4005" s="20"/>
      <c r="N4005" s="35" t="str">
        <f>"Level - "&amp;IFERROR(VLOOKUP(F3996,FLN!$A$4:$K$103,10,0),"")</f>
        <v>Level - </v>
      </c>
      <c r="O4005" s="36"/>
      <c r="P4005" s="19"/>
      <c r="Q4005" s="19"/>
      <c r="R4005" s="11"/>
    </row>
    <row r="4006" s="1" customFormat="1" ht="21.95" customHeight="1" spans="1:18">
      <c r="A4006" s="7"/>
      <c r="B4006" s="12"/>
      <c r="C4006" s="33"/>
      <c r="D4006" s="38"/>
      <c r="E4006" s="20" t="s">
        <v>716</v>
      </c>
      <c r="F4006" s="18" t="str">
        <f ca="1">IF(L4020&gt;197,"PERFORMED WELL","")</f>
        <v/>
      </c>
      <c r="G4006" s="18"/>
      <c r="H4006" s="18"/>
      <c r="I4006" s="18"/>
      <c r="J4006" s="18"/>
      <c r="K4006" s="18"/>
      <c r="L4006" s="18"/>
      <c r="M4006" s="18"/>
      <c r="N4006" s="18"/>
      <c r="O4006" s="18"/>
      <c r="P4006" s="19"/>
      <c r="Q4006" s="19"/>
      <c r="R4006" s="11"/>
    </row>
    <row r="4007" s="1" customFormat="1" ht="9.95" customHeight="1" spans="1:18">
      <c r="A4007" s="7"/>
      <c r="B4007" s="12"/>
      <c r="C4007" s="39"/>
      <c r="D4007" s="40"/>
      <c r="E4007" s="40"/>
      <c r="F4007" s="40"/>
      <c r="G4007" s="40"/>
      <c r="H4007" s="40"/>
      <c r="I4007" s="40"/>
      <c r="J4007" s="40"/>
      <c r="K4007" s="40"/>
      <c r="L4007" s="40"/>
      <c r="M4007" s="40"/>
      <c r="N4007" s="40"/>
      <c r="O4007" s="40"/>
      <c r="P4007" s="41"/>
      <c r="Q4007" s="19"/>
      <c r="R4007" s="11"/>
    </row>
    <row r="4008" s="1" customFormat="1" ht="9.95" customHeight="1" spans="1:18">
      <c r="A4008" s="7"/>
      <c r="B4008" s="12"/>
      <c r="C4008" s="29"/>
      <c r="D4008" s="29"/>
      <c r="E4008" s="29"/>
      <c r="F4008" s="29"/>
      <c r="G4008" s="29"/>
      <c r="H4008" s="29"/>
      <c r="I4008" s="29"/>
      <c r="J4008" s="29"/>
      <c r="K4008" s="29"/>
      <c r="L4008" s="29"/>
      <c r="M4008" s="29"/>
      <c r="N4008" s="29"/>
      <c r="O4008" s="29"/>
      <c r="P4008" s="29"/>
      <c r="Q4008" s="19"/>
      <c r="R4008" s="11"/>
    </row>
    <row r="4009" s="1" customFormat="1" ht="9.95" customHeight="1" spans="1:18">
      <c r="A4009" s="7"/>
      <c r="B4009" s="12"/>
      <c r="C4009" s="30"/>
      <c r="D4009" s="31"/>
      <c r="E4009" s="31"/>
      <c r="F4009" s="31"/>
      <c r="G4009" s="31"/>
      <c r="H4009" s="31"/>
      <c r="I4009" s="31"/>
      <c r="J4009" s="31"/>
      <c r="K4009" s="31"/>
      <c r="L4009" s="31"/>
      <c r="M4009" s="31"/>
      <c r="N4009" s="31"/>
      <c r="O4009" s="31"/>
      <c r="P4009" s="32"/>
      <c r="Q4009" s="19"/>
      <c r="R4009" s="11"/>
    </row>
    <row r="4010" s="1" customFormat="1" ht="21.95" customHeight="1" spans="1:18">
      <c r="A4010" s="7"/>
      <c r="B4010" s="12"/>
      <c r="C4010" s="33"/>
      <c r="D4010" s="35"/>
      <c r="E4010" s="24"/>
      <c r="F4010" s="42" t="s">
        <v>717</v>
      </c>
      <c r="G4010" s="42"/>
      <c r="H4010" s="42"/>
      <c r="I4010" s="42"/>
      <c r="J4010" s="42"/>
      <c r="K4010" s="42"/>
      <c r="L4010" s="43"/>
      <c r="M4010" s="44"/>
      <c r="N4010" s="29"/>
      <c r="O4010" s="29"/>
      <c r="P4010" s="19"/>
      <c r="Q4010" s="19"/>
      <c r="R4010" s="11"/>
    </row>
    <row r="4011" s="1" customFormat="1" ht="21.95" customHeight="1" spans="1:18">
      <c r="A4011" s="7"/>
      <c r="B4011" s="12"/>
      <c r="C4011" s="33"/>
      <c r="D4011" s="45"/>
      <c r="E4011" s="46"/>
      <c r="F4011" s="47" t="s">
        <v>541</v>
      </c>
      <c r="G4011" s="47" t="s">
        <v>542</v>
      </c>
      <c r="H4011" s="47" t="s">
        <v>543</v>
      </c>
      <c r="I4011" s="47" t="s">
        <v>544</v>
      </c>
      <c r="J4011" s="47" t="s">
        <v>561</v>
      </c>
      <c r="K4011" s="48" t="s">
        <v>750</v>
      </c>
      <c r="L4011" s="47" t="s">
        <v>382</v>
      </c>
      <c r="M4011" s="49" t="s">
        <v>546</v>
      </c>
      <c r="N4011" s="29"/>
      <c r="O4011" s="29"/>
      <c r="P4011" s="19"/>
      <c r="Q4011" s="19"/>
      <c r="R4011" s="11"/>
    </row>
    <row r="4012" s="1" customFormat="1" ht="21.95" customHeight="1" spans="1:18">
      <c r="A4012" s="7"/>
      <c r="B4012" s="12"/>
      <c r="C4012" s="33"/>
      <c r="D4012" s="45" t="s">
        <v>652</v>
      </c>
      <c r="E4012" s="46"/>
      <c r="F4012" s="50">
        <v>10</v>
      </c>
      <c r="G4012" s="50">
        <v>10</v>
      </c>
      <c r="H4012" s="50">
        <v>10</v>
      </c>
      <c r="I4012" s="50">
        <v>10</v>
      </c>
      <c r="J4012" s="50">
        <v>60</v>
      </c>
      <c r="K4012" s="51"/>
      <c r="L4012" s="50">
        <v>100</v>
      </c>
      <c r="M4012" s="49"/>
      <c r="N4012" s="29"/>
      <c r="O4012" s="29"/>
      <c r="P4012" s="19"/>
      <c r="Q4012" s="19"/>
      <c r="R4012" s="11"/>
    </row>
    <row r="4013" s="1" customFormat="1" ht="21.95" customHeight="1" spans="1:18">
      <c r="A4013" s="7"/>
      <c r="B4013" s="12"/>
      <c r="C4013" s="33"/>
      <c r="D4013" s="52" t="s">
        <v>751</v>
      </c>
      <c r="E4013" s="53"/>
      <c r="F4013" s="54" t="str">
        <f ca="1">IFERROR(VLOOKUP(F3996,'RR-3.1-5TH'!$A$12:'RR-3.1-5TH'!$BN$111,9,0),"")</f>
        <v/>
      </c>
      <c r="G4013" s="54" t="str">
        <f ca="1">IFERROR(VLOOKUP(F3996,'RR-3.1-5TH'!$A$12:'RR-3.1-5TH'!$BN$111,10,0),"")</f>
        <v/>
      </c>
      <c r="H4013" s="54" t="str">
        <f ca="1">IFERROR(VLOOKUP(F3996,'RR-3.1-5TH'!$A$12:'RR-3.1-5TH'!$BN$111,11,0),"")</f>
        <v/>
      </c>
      <c r="I4013" s="54" t="str">
        <f ca="1">IFERROR(VLOOKUP(F3996,'RR-3.1-5TH'!$A$12:'RR-3.1-5TH'!$BN$111,12,0),"")</f>
        <v/>
      </c>
      <c r="J4013" s="54" t="str">
        <f ca="1">IFERROR(VLOOKUP(F3996,'RR-3.1-5TH'!$A$12:'RR-3.1-5TH'!$BN$111,13,0),"")</f>
        <v/>
      </c>
      <c r="K4013" s="54" t="str">
        <f ca="1">IFERROR(VLOOKUP(F3996,'RR-3.1-5TH'!$A$12:'RR-3.1-5TH'!$BN$111,14,0),"")</f>
        <v/>
      </c>
      <c r="L4013" s="55">
        <f ca="1" t="shared" ref="L4013:L4018" si="210">SUM(F4013,G4013,H4013,I4013,J4013,K4013)</f>
        <v>0</v>
      </c>
      <c r="M4013" s="56" t="str">
        <f ca="1">IF(F3996&gt;ENTRY!$D$24,"",IF(L4013=0,"Ab",IF(L4013&gt;80,"A",IF(L4013&gt;60,"B",IF(L4013&gt;44,"C",IF(L4013&gt;=33,"D",IF(L4013&lt;=32,"E","")))))))</f>
        <v/>
      </c>
      <c r="N4013" s="57" t="s">
        <v>729</v>
      </c>
      <c r="O4013" s="58"/>
      <c r="P4013" s="59"/>
      <c r="Q4013" s="19"/>
      <c r="R4013" s="11"/>
    </row>
    <row r="4014" s="1" customFormat="1" ht="21.95" customHeight="1" spans="1:18">
      <c r="A4014" s="7"/>
      <c r="B4014" s="12"/>
      <c r="C4014" s="33"/>
      <c r="D4014" s="52" t="s">
        <v>513</v>
      </c>
      <c r="E4014" s="53"/>
      <c r="F4014" s="54" t="str">
        <f ca="1">IFERROR(VLOOKUP(F3996,'RR-3.1-5TH'!$A$12:'RR-3.1-5TH'!$BN$111,17,0),"")</f>
        <v/>
      </c>
      <c r="G4014" s="54" t="str">
        <f ca="1">IFERROR(VLOOKUP(F3996,'RR-3.1-5TH'!$A$12:'RR-3.1-5TH'!$BN$111,18,0),"")</f>
        <v/>
      </c>
      <c r="H4014" s="54" t="str">
        <f ca="1">IFERROR(VLOOKUP(F3996,'RR-3.1-5TH'!$A$12:'RR-3.1-5TH'!$BN$111,19,0),"")</f>
        <v/>
      </c>
      <c r="I4014" s="54" t="str">
        <f ca="1">IFERROR(VLOOKUP(F3996,'RR-3.1-5TH'!$A$12:'RR-3.1-5TH'!$BN$111,20,0),"")</f>
        <v/>
      </c>
      <c r="J4014" s="54" t="str">
        <f ca="1">IFERROR(VLOOKUP(F3996,'RR-3.1-5TH'!$A$12:'RR-3.1-5TH'!$BN$111,21,0),"")</f>
        <v/>
      </c>
      <c r="K4014" s="54" t="str">
        <f ca="1">IFERROR(VLOOKUP(F3996,'RR-3.1-5TH'!$A$12:'RR-3.1-5TH'!$BN$111,22,0),"")</f>
        <v/>
      </c>
      <c r="L4014" s="55">
        <f ca="1" t="shared" si="210"/>
        <v>0</v>
      </c>
      <c r="M4014" s="56" t="str">
        <f ca="1">IF(F3996&gt;ENTRY!$D$24,"",IF(L4014=0,"Ab",IF(L4014&gt;80,"A",IF(L4014&gt;60,"B",IF(L4014&gt;44,"C",IF(L4014&gt;=33,"D",IF(L4014&lt;=32,"E","")))))))</f>
        <v/>
      </c>
      <c r="N4014" s="58"/>
      <c r="O4014" s="58"/>
      <c r="P4014" s="59"/>
      <c r="Q4014" s="19"/>
      <c r="R4014" s="11"/>
    </row>
    <row r="4015" s="1" customFormat="1" ht="21.95" customHeight="1" spans="1:18">
      <c r="A4015" s="7"/>
      <c r="B4015" s="12"/>
      <c r="C4015" s="33"/>
      <c r="D4015" s="52" t="s">
        <v>718</v>
      </c>
      <c r="E4015" s="53"/>
      <c r="F4015" s="54" t="str">
        <f ca="1">IFERROR(VLOOKUP(F3996,'RR-3.1-5TH'!$A$12:'RR-3.1-5TH'!$BN$111,25,0),"")</f>
        <v/>
      </c>
      <c r="G4015" s="54" t="str">
        <f ca="1">IFERROR(VLOOKUP(F3996,'RR-3.1-5TH'!$A$12:'RR-3.1-5TH'!$BN$111,26,0),"")</f>
        <v/>
      </c>
      <c r="H4015" s="54" t="str">
        <f ca="1">IFERROR(VLOOKUP(F3996,'RR-3.1-5TH'!$A$12:'RR-3.1-5TH'!$BN$111,27,0),"")</f>
        <v/>
      </c>
      <c r="I4015" s="54" t="str">
        <f ca="1">IFERROR(VLOOKUP(F3996,'RR-3.1-5TH'!$A$12:'RR-3.1-5TH'!$BN$111,28,0),"")</f>
        <v/>
      </c>
      <c r="J4015" s="54" t="str">
        <f ca="1">IFERROR(VLOOKUP(F3996,'RR-3.1-5TH'!$A$12:'RR-3.1-5TH'!$BN$111,29,0),"")</f>
        <v/>
      </c>
      <c r="K4015" s="54" t="str">
        <f ca="1">IFERROR(VLOOKUP(F3996,'RR-3.1-5TH'!$A$12:'RR-3.1-5TH'!$BN$111,30,0),"")</f>
        <v/>
      </c>
      <c r="L4015" s="55">
        <f ca="1" t="shared" si="210"/>
        <v>0</v>
      </c>
      <c r="M4015" s="56" t="str">
        <f ca="1">IF(F3996&gt;ENTRY!$D$24,"",IF(L4015=0,"Ab",IF(L4015&gt;80,"A",IF(L4015&gt;60,"B",IF(L4015&gt;44,"C",IF(L4015&gt;=33,"D",IF(L4015&lt;=32,"E","")))))))</f>
        <v/>
      </c>
      <c r="N4015" s="29"/>
      <c r="O4015" s="29"/>
      <c r="P4015" s="19"/>
      <c r="Q4015" s="19"/>
      <c r="R4015" s="11"/>
    </row>
    <row r="4016" s="1" customFormat="1" ht="21.95" customHeight="1" spans="1:18">
      <c r="A4016" s="7"/>
      <c r="B4016" s="12"/>
      <c r="C4016" s="33"/>
      <c r="D4016" s="52" t="s">
        <v>719</v>
      </c>
      <c r="E4016" s="53"/>
      <c r="F4016" s="54" t="str">
        <f ca="1">IFERROR(VLOOKUP(F3996,'RR-3.1-5TH'!$A$12:'RR-3.1-5TH'!$BN$111,33,0),"")</f>
        <v/>
      </c>
      <c r="G4016" s="54" t="str">
        <f ca="1">IFERROR(VLOOKUP(F3996,'RR-3.1-5TH'!$A$12:'RR-3.1-5TH'!$BN$111,34,0),"")</f>
        <v/>
      </c>
      <c r="H4016" s="54" t="str">
        <f ca="1">IFERROR(VLOOKUP(F3996,'RR-3.1-5TH'!$A$12:'RR-3.1-5TH'!$BN$111,35,0),"")</f>
        <v/>
      </c>
      <c r="I4016" s="54" t="str">
        <f ca="1">IFERROR(VLOOKUP(F3996,'RR-3.1-5TH'!$A$12:'RR-3.1-5TH'!$BN$111,36,0),"")</f>
        <v/>
      </c>
      <c r="J4016" s="54" t="str">
        <f ca="1">IFERROR(VLOOKUP(F3996,'RR-3.1-5TH'!$A$12:'RR-3.1-5TH'!$BN$111,37,0),"")</f>
        <v/>
      </c>
      <c r="K4016" s="54" t="str">
        <f ca="1">IFERROR(VLOOKUP(F3996,'RR-3.1-5TH'!$A$12:'RR-3.1-5TH'!$BN$111,38,0),"")</f>
        <v/>
      </c>
      <c r="L4016" s="55">
        <f ca="1" t="shared" si="210"/>
        <v>0</v>
      </c>
      <c r="M4016" s="56" t="str">
        <f ca="1">IF(F3996&gt;ENTRY!$D$24,"",IF(L4016=0,"Ab",IF(L4016&gt;80,"A",IF(L4016&gt;60,"B",IF(L4016&gt;44,"C",IF(L4016&gt;=33,"D",IF(L4016&lt;=32,"E","")))))))</f>
        <v/>
      </c>
      <c r="N4016" s="29"/>
      <c r="O4016" s="29"/>
      <c r="P4016" s="19"/>
      <c r="Q4016" s="19"/>
      <c r="R4016" s="11"/>
    </row>
    <row r="4017" s="1" customFormat="1" ht="21.95" customHeight="1" spans="1:19">
      <c r="A4017" s="7"/>
      <c r="B4017" s="12"/>
      <c r="C4017" s="33"/>
      <c r="D4017" s="52" t="s">
        <v>548</v>
      </c>
      <c r="E4017" s="53"/>
      <c r="F4017" s="54" t="str">
        <f ca="1">IFERROR(VLOOKUP(F3996,'RR-3.1-5TH'!$A$12:'RR-3.1-5TH'!$BN$111,41,0),"")</f>
        <v/>
      </c>
      <c r="G4017" s="54" t="str">
        <f ca="1">IFERROR(VLOOKUP(F3996,'RR-3.1-5TH'!$A$12:'RR-3.1-5TH'!$BN$111,42,0),"")</f>
        <v/>
      </c>
      <c r="H4017" s="54" t="str">
        <f ca="1">IFERROR(VLOOKUP(F3996,'RR-3.1-5TH'!$A$12:'RR-3.1-5TH'!$BN$111,43,0),"")</f>
        <v/>
      </c>
      <c r="I4017" s="54" t="str">
        <f ca="1">IFERROR(VLOOKUP(F3996,'RR-3.1-5TH'!$A$12:'RR-3.1-5TH'!$BN$111,44,0),"")</f>
        <v/>
      </c>
      <c r="J4017" s="54" t="str">
        <f ca="1">IFERROR(VLOOKUP(F3996,'RR-3.1-5TH'!$A$12:'RR-3.1-5TH'!$BN$111,45,0),"")</f>
        <v/>
      </c>
      <c r="K4017" s="54" t="str">
        <f ca="1">IFERROR(VLOOKUP(F3996,'RR-3.1-5TH'!$A$12:'RR-3.1-5TH'!$BN$111,46,0),"")</f>
        <v/>
      </c>
      <c r="L4017" s="55">
        <f ca="1" t="shared" si="210"/>
        <v>0</v>
      </c>
      <c r="M4017" s="56" t="str">
        <f ca="1">IF(F3996&gt;ENTRY!$D$24,"",IF(L4017=0,"Ab",IF(L4017&gt;80,"A",IF(L4017&gt;60,"B",IF(L4017&gt;44,"C",IF(L4017&gt;=33,"D",IF(L4017&lt;=32,"E","")))))))</f>
        <v/>
      </c>
      <c r="N4017" s="29"/>
      <c r="O4017" s="29"/>
      <c r="P4017" s="19"/>
      <c r="Q4017" s="19"/>
      <c r="R4017" s="11"/>
    </row>
    <row r="4018" s="1" customFormat="1" ht="21.95" customHeight="1" spans="1:19">
      <c r="A4018" s="7"/>
      <c r="B4018" s="12"/>
      <c r="C4018" s="33"/>
      <c r="D4018" s="52" t="s">
        <v>549</v>
      </c>
      <c r="E4018" s="53"/>
      <c r="F4018" s="54" t="str">
        <f ca="1">IFERROR(VLOOKUP(F3996,'RR-3.1-5TH'!$A$12:'RR-3.1-5TH'!$BN$111,49,0),"")</f>
        <v/>
      </c>
      <c r="G4018" s="54" t="str">
        <f ca="1">IFERROR(VLOOKUP(F3996,'RR-3.1-5TH'!$A$12:'RR-3.1-5TH'!$BN$111,50,0),"")</f>
        <v/>
      </c>
      <c r="H4018" s="54" t="str">
        <f ca="1">IFERROR(VLOOKUP(F3996,'RR-3.1-5TH'!$A$12:'RR-3.1-5TH'!$BN$111,51,0),"")</f>
        <v/>
      </c>
      <c r="I4018" s="54" t="str">
        <f ca="1">IFERROR(VLOOKUP(F3996,'RR-3.1-5TH'!$A$12:'RR-3.1-5TH'!$BN$111,52,0),"")</f>
        <v/>
      </c>
      <c r="J4018" s="54" t="str">
        <f ca="1">IFERROR(VLOOKUP(F3996,'RR-3.1-5TH'!$A$12:'RR-3.1-5TH'!$BN$111,53,0),"")</f>
        <v/>
      </c>
      <c r="K4018" s="54" t="str">
        <f ca="1">IFERROR(VLOOKUP(F3996,'RR-3.1-5TH'!$A$12:'RR-3.1-5TH'!$BN$111,54,0),"")</f>
        <v/>
      </c>
      <c r="L4018" s="55">
        <f ca="1" t="shared" si="210"/>
        <v>0</v>
      </c>
      <c r="M4018" s="56" t="str">
        <f ca="1">IF(F3996&gt;ENTRY!$D$24,"",IF(L4018=0,"Ab",IF(L4018&gt;80,"A",IF(L4018&gt;60,"B",IF(L4018&gt;44,"C",IF(L4018&gt;=33,"D",IF(L4018&lt;=32,"E","")))))))</f>
        <v/>
      </c>
      <c r="N4018" s="57" t="s">
        <v>752</v>
      </c>
      <c r="O4018" s="58"/>
      <c r="P4018" s="59"/>
      <c r="Q4018" s="19"/>
      <c r="R4018" s="11"/>
    </row>
    <row r="4019" s="1" customFormat="1" ht="21.95" customHeight="1" spans="1:19">
      <c r="A4019" s="7"/>
      <c r="B4019" s="12"/>
      <c r="C4019" s="33"/>
      <c r="D4019" s="52" t="s">
        <v>753</v>
      </c>
      <c r="E4019" s="53"/>
      <c r="F4019" s="60"/>
      <c r="G4019" s="54"/>
      <c r="H4019" s="54"/>
      <c r="I4019" s="54"/>
      <c r="J4019" s="54"/>
      <c r="K4019" s="54"/>
      <c r="L4019" s="55">
        <f t="shared" ref="L4019" si="211">SUM(G4019:K4019)</f>
        <v>0</v>
      </c>
      <c r="M4019" s="56" t="str">
        <f>IF(F3996&gt;ENTRY!$D$24,"",IF(L4019=0,"",IF(L4019&gt;79,"A",IF(L4019&gt;59,"B",IF(L4019&gt;44,"C",IF(L4019&gt;=33,"D",IF(L4019&lt;=32,"E","")))))))</f>
        <v/>
      </c>
      <c r="N4019" s="58"/>
      <c r="O4019" s="58"/>
      <c r="P4019" s="59"/>
      <c r="Q4019" s="19"/>
      <c r="R4019" s="11"/>
    </row>
    <row r="4020" s="1" customFormat="1" ht="21.95" customHeight="1" spans="1:19">
      <c r="A4020" s="7"/>
      <c r="B4020" s="12"/>
      <c r="C4020" s="33"/>
      <c r="D4020" s="45" t="s">
        <v>382</v>
      </c>
      <c r="E4020" s="46"/>
      <c r="F4020" s="54">
        <f ca="1" t="shared" ref="F4020:L4020" si="212">IFERROR(SUM(F4013:F4019),"")</f>
        <v>0</v>
      </c>
      <c r="G4020" s="54">
        <f ca="1" t="shared" si="212"/>
        <v>0</v>
      </c>
      <c r="H4020" s="54">
        <f ca="1" t="shared" si="212"/>
        <v>0</v>
      </c>
      <c r="I4020" s="54">
        <f ca="1" t="shared" si="212"/>
        <v>0</v>
      </c>
      <c r="J4020" s="54">
        <f ca="1" t="shared" si="212"/>
        <v>0</v>
      </c>
      <c r="K4020" s="54">
        <f ca="1" t="shared" si="212"/>
        <v>0</v>
      </c>
      <c r="L4020" s="55">
        <f ca="1" t="shared" si="212"/>
        <v>0</v>
      </c>
      <c r="M4020" s="61" t="str">
        <f ca="1">IF(F3996&gt;ENTRY!$D$24,"",IF(N4021="Ab","Ab",IF(N4021&gt;79.5,"A",IF(N4021&gt;59.5,"B",IF(N4021&gt;44.5,"C",IF(N4021&gt;=33,"D",IF(N4021&lt;33,"E","")))))))</f>
        <v/>
      </c>
      <c r="N4020" s="62"/>
      <c r="O4020" s="58"/>
      <c r="P4020" s="59"/>
      <c r="Q4020" s="19"/>
      <c r="R4020" s="11"/>
    </row>
    <row r="4021" s="1" customFormat="1" ht="21.95" customHeight="1" spans="1:19">
      <c r="A4021" s="7"/>
      <c r="B4021" s="12"/>
      <c r="C4021" s="33"/>
      <c r="D4021" s="63" t="s">
        <v>721</v>
      </c>
      <c r="E4021" s="63"/>
      <c r="F4021" s="63"/>
      <c r="G4021" s="63"/>
      <c r="H4021" s="63"/>
      <c r="I4021" s="63"/>
      <c r="J4021" s="63"/>
      <c r="K4021" s="63"/>
      <c r="L4021" s="63"/>
      <c r="M4021" s="63"/>
      <c r="N4021" s="64">
        <f ca="1">IF(L4020="Ab","Ab",L4020/6)</f>
        <v>0</v>
      </c>
      <c r="O4021" s="65"/>
      <c r="P4021" s="19"/>
      <c r="Q4021" s="19"/>
      <c r="R4021" s="11"/>
    </row>
    <row r="4022" s="1" customFormat="1" ht="21.95" customHeight="1" spans="1:19">
      <c r="A4022" s="7"/>
      <c r="B4022" s="12"/>
      <c r="C4022" s="33"/>
      <c r="D4022" s="29" t="s">
        <v>716</v>
      </c>
      <c r="E4022" s="18" t="str">
        <f>IFERROR(VLOOKUP(F3996,'1to4-2.1-RR'!$A$12:$BG$111,57,0),"")</f>
        <v/>
      </c>
      <c r="F4022" s="18"/>
      <c r="G4022" s="18"/>
      <c r="H4022" s="18"/>
      <c r="I4022" s="18"/>
      <c r="J4022" s="18"/>
      <c r="K4022" s="18"/>
      <c r="L4022" s="18"/>
      <c r="M4022" s="18"/>
      <c r="N4022" s="29"/>
      <c r="O4022" s="29"/>
      <c r="P4022" s="19"/>
      <c r="Q4022" s="19"/>
      <c r="R4022" s="11"/>
    </row>
    <row r="4023" s="1" customFormat="1" ht="9.95" customHeight="1" spans="1:19">
      <c r="A4023" s="7"/>
      <c r="B4023" s="12"/>
      <c r="C4023" s="33"/>
      <c r="D4023" s="29"/>
      <c r="E4023" s="29"/>
      <c r="F4023" s="29"/>
      <c r="G4023" s="29"/>
      <c r="H4023" s="29"/>
      <c r="I4023" s="29"/>
      <c r="J4023" s="29"/>
      <c r="K4023" s="29"/>
      <c r="L4023" s="29"/>
      <c r="M4023" s="29"/>
      <c r="N4023" s="29"/>
      <c r="O4023" s="29"/>
      <c r="P4023" s="19"/>
      <c r="Q4023" s="19"/>
      <c r="R4023" s="11"/>
    </row>
    <row r="4024" s="1" customFormat="1" ht="36" spans="1:19">
      <c r="A4024" s="7"/>
      <c r="B4024" s="12"/>
      <c r="C4024" s="33"/>
      <c r="D4024" s="66" t="s">
        <v>576</v>
      </c>
      <c r="E4024" s="67" t="s">
        <v>754</v>
      </c>
      <c r="F4024" s="47" t="str">
        <f>IF(F3996&gt;ENTRY!$D$24,"",IFERROR(VLOOKUP(F3996,PASHEET!$A$4:$CJ$103,88,0),""))</f>
        <v/>
      </c>
      <c r="G4024" s="67" t="s">
        <v>755</v>
      </c>
      <c r="H4024" s="47" t="str">
        <f>IF(F3996&gt;ENTRY!$D$24,"",IFERROR(VLOOKUP(F3996,PASHEET!$A$4:$CJ$103,87,0),""))</f>
        <v/>
      </c>
      <c r="I4024" s="68" t="s">
        <v>756</v>
      </c>
      <c r="J4024" s="69" t="str">
        <f>IF(F3996&gt;ENTRY!$D$24,"",IFERROR(IF(F3996&gt;0,H4024/F4024*100),""))</f>
        <v/>
      </c>
      <c r="K4024" s="60" t="s">
        <v>757</v>
      </c>
      <c r="L4024" s="70" t="str">
        <f ca="1">IF(F3996&gt;ENTRY!$D$24,"",IFERROR(L4020/600*100,""))</f>
        <v/>
      </c>
      <c r="M4024" s="47" t="str">
        <f ca="1">IF(F3996&gt;ENTRY!$D$24,"",IFERROR(L4020&amp;" / "&amp;"600",""))</f>
        <v/>
      </c>
      <c r="N4024" s="29"/>
      <c r="O4024" s="29"/>
      <c r="P4024" s="19"/>
      <c r="Q4024" s="19"/>
      <c r="R4024" s="11"/>
    </row>
    <row r="4025" s="1" customFormat="1" ht="9.95" customHeight="1" spans="1:19">
      <c r="A4025" s="7"/>
      <c r="B4025" s="12"/>
      <c r="C4025" s="39"/>
      <c r="D4025" s="40"/>
      <c r="E4025" s="40"/>
      <c r="F4025" s="40"/>
      <c r="G4025" s="40"/>
      <c r="H4025" s="40"/>
      <c r="I4025" s="40"/>
      <c r="J4025" s="40"/>
      <c r="K4025" s="40"/>
      <c r="L4025" s="40"/>
      <c r="M4025" s="40"/>
      <c r="N4025" s="40"/>
      <c r="O4025" s="40"/>
      <c r="P4025" s="41"/>
      <c r="Q4025" s="19"/>
      <c r="R4025" s="11"/>
    </row>
    <row r="4026" s="1" customFormat="1" ht="9.95" customHeight="1" spans="1:19">
      <c r="A4026" s="7"/>
      <c r="B4026" s="12"/>
      <c r="C4026" s="71"/>
      <c r="D4026" s="71"/>
      <c r="E4026" s="71"/>
      <c r="F4026" s="29"/>
      <c r="G4026" s="71"/>
      <c r="H4026" s="71"/>
      <c r="I4026" s="71"/>
      <c r="J4026" s="71"/>
      <c r="K4026" s="71"/>
      <c r="L4026" s="71"/>
      <c r="M4026" s="71"/>
      <c r="N4026" s="71"/>
      <c r="O4026" s="71"/>
      <c r="P4026" s="71"/>
      <c r="Q4026" s="19"/>
      <c r="R4026" s="11"/>
    </row>
    <row r="4027" s="1" customFormat="1" ht="9.95" customHeight="1" spans="1:19">
      <c r="A4027" s="7"/>
      <c r="B4027" s="12"/>
      <c r="C4027" s="29"/>
      <c r="D4027" s="29"/>
      <c r="E4027" s="29"/>
      <c r="F4027" s="72"/>
      <c r="G4027" s="29"/>
      <c r="H4027" s="29"/>
      <c r="I4027" s="29"/>
      <c r="J4027" s="29"/>
      <c r="K4027" s="29"/>
      <c r="L4027" s="29"/>
      <c r="M4027" s="29"/>
      <c r="N4027" s="29"/>
      <c r="O4027" s="29"/>
      <c r="P4027" s="29"/>
      <c r="Q4027" s="19"/>
      <c r="R4027" s="11"/>
    </row>
    <row r="4028" s="1" customFormat="1" ht="9.95" customHeight="1" spans="1:19">
      <c r="A4028" s="7"/>
      <c r="B4028" s="12"/>
      <c r="C4028" s="30"/>
      <c r="D4028" s="31"/>
      <c r="E4028" s="31"/>
      <c r="F4028" s="31"/>
      <c r="G4028" s="31"/>
      <c r="H4028" s="31"/>
      <c r="I4028" s="31"/>
      <c r="J4028" s="31"/>
      <c r="K4028" s="31"/>
      <c r="L4028" s="31"/>
      <c r="M4028" s="31"/>
      <c r="N4028" s="31"/>
      <c r="O4028" s="31"/>
      <c r="P4028" s="32"/>
      <c r="Q4028" s="19"/>
      <c r="R4028" s="11"/>
    </row>
    <row r="4029" s="1" customFormat="1" ht="21.95" customHeight="1" spans="1:19">
      <c r="A4029" s="7"/>
      <c r="B4029" s="12"/>
      <c r="C4029" s="73" t="s">
        <v>7</v>
      </c>
      <c r="D4029" s="13"/>
      <c r="E4029" s="13"/>
      <c r="F4029" s="13"/>
      <c r="G4029" s="13"/>
      <c r="H4029" s="13"/>
      <c r="I4029" s="13"/>
      <c r="J4029" s="13"/>
      <c r="K4029" s="13"/>
      <c r="L4029" s="13"/>
      <c r="M4029" s="13"/>
      <c r="N4029" s="13"/>
      <c r="O4029" s="13"/>
      <c r="P4029" s="74"/>
      <c r="Q4029" s="19"/>
      <c r="R4029" s="11"/>
      <c r="S4029" s="2"/>
    </row>
    <row r="4030" s="1" customFormat="1" ht="21.95" customHeight="1" spans="1:19">
      <c r="A4030" s="7"/>
      <c r="B4030" s="12"/>
      <c r="C4030" s="33"/>
      <c r="D4030" s="29"/>
      <c r="E4030" s="29"/>
      <c r="F4030" s="29"/>
      <c r="G4030" s="29"/>
      <c r="H4030" s="29"/>
      <c r="I4030" s="29"/>
      <c r="J4030" s="29"/>
      <c r="K4030" s="29"/>
      <c r="L4030" s="29"/>
      <c r="M4030" s="29"/>
      <c r="N4030" s="29"/>
      <c r="O4030" s="29"/>
      <c r="P4030" s="19"/>
      <c r="Q4030" s="19"/>
      <c r="R4030" s="11"/>
    </row>
    <row r="4031" s="1" customFormat="1" ht="21.95" customHeight="1" spans="1:19">
      <c r="A4031" s="7"/>
      <c r="B4031" s="12"/>
      <c r="C4031" s="75" t="str">
        <f>"SESSION-"&amp;ENTRY!$D$11</f>
        <v>SESSION-2026-27</v>
      </c>
      <c r="D4031" s="15"/>
      <c r="E4031" s="15"/>
      <c r="F4031" s="15"/>
      <c r="G4031" s="15"/>
      <c r="H4031" s="15"/>
      <c r="I4031" s="15"/>
      <c r="J4031" s="15"/>
      <c r="K4031" s="15"/>
      <c r="L4031" s="15"/>
      <c r="M4031" s="15"/>
      <c r="N4031" s="15"/>
      <c r="O4031" s="15"/>
      <c r="P4031" s="76"/>
      <c r="Q4031" s="19"/>
      <c r="R4031" s="11"/>
    </row>
    <row r="4032" s="1" customFormat="1" ht="18" customHeight="1" spans="1:19">
      <c r="A4032" s="7"/>
      <c r="B4032" s="12"/>
      <c r="C4032" s="33"/>
      <c r="D4032" s="29"/>
      <c r="E4032" s="29"/>
      <c r="F4032" s="29"/>
      <c r="G4032" s="29"/>
      <c r="H4032" s="29"/>
      <c r="I4032" s="29"/>
      <c r="J4032" s="29"/>
      <c r="K4032" s="29"/>
      <c r="L4032" s="29"/>
      <c r="M4032" s="29"/>
      <c r="N4032" s="29"/>
      <c r="O4032" s="29"/>
      <c r="P4032" s="19"/>
      <c r="Q4032" s="19"/>
      <c r="R4032" s="11"/>
    </row>
    <row r="4033" s="1" customFormat="1" ht="21.95" customHeight="1" spans="1:18">
      <c r="A4033" s="7"/>
      <c r="B4033" s="12"/>
      <c r="C4033" s="33"/>
      <c r="D4033" s="77" t="s">
        <v>758</v>
      </c>
      <c r="E4033" s="77"/>
      <c r="F4033" s="78" t="str">
        <f>IFERROR(PROPER(VLOOKUP(F3996,STUDENT!$A$2:$BP$101,5,0)),"")</f>
        <v/>
      </c>
      <c r="G4033" s="78"/>
      <c r="H4033" s="78"/>
      <c r="I4033" s="78"/>
      <c r="J4033" s="78"/>
      <c r="K4033" s="78"/>
      <c r="L4033" s="78"/>
      <c r="M4033" s="78"/>
      <c r="N4033" s="79" t="s">
        <v>759</v>
      </c>
      <c r="O4033" s="79"/>
      <c r="P4033" s="19"/>
      <c r="Q4033" s="19"/>
      <c r="R4033" s="11"/>
    </row>
    <row r="4034" s="1" customFormat="1" ht="21.95" customHeight="1" spans="1:18">
      <c r="A4034" s="7"/>
      <c r="B4034" s="12"/>
      <c r="C4034" s="33"/>
      <c r="D4034" s="80" t="s">
        <v>760</v>
      </c>
      <c r="E4034" s="81" t="str">
        <f>IFERROR(PROPER(VLOOKUP(F3996,STUDENT!$A$2:$BP$101,9,0)),"")</f>
        <v/>
      </c>
      <c r="F4034" s="81"/>
      <c r="G4034" s="81"/>
      <c r="H4034" s="80" t="s">
        <v>761</v>
      </c>
      <c r="I4034" s="82" t="str">
        <f>IFERROR(PROPER(VLOOKUP(F3996,STUDENT!$A$2:$BP$101,8,0)),"")</f>
        <v/>
      </c>
      <c r="J4034" s="82"/>
      <c r="K4034" s="82"/>
      <c r="L4034" s="82"/>
      <c r="M4034" s="80" t="s">
        <v>762</v>
      </c>
      <c r="N4034" s="83" t="str">
        <f>IFERROR(VLOOKUP(F3996,STUDENT!$A$2:$BP$101,59,0),"")</f>
        <v/>
      </c>
      <c r="O4034" s="83"/>
      <c r="P4034" s="19"/>
      <c r="Q4034" s="19"/>
      <c r="R4034" s="11"/>
    </row>
    <row r="4035" s="1" customFormat="1" ht="21.95" customHeight="1" spans="1:18">
      <c r="A4035" s="7"/>
      <c r="B4035" s="12"/>
      <c r="C4035" s="33"/>
      <c r="D4035" s="77" t="str">
        <f>"has    completed     his  /  her     primary     level     education    in    the    year    "&amp;RIGHT(ENTRY!$D4001,4)&amp;"    from    ( School    Name )"</f>
        <v>has    completed     his  /  her     primary     level     education    in    the    year        from    ( School    Name )</v>
      </c>
      <c r="E4035" s="77"/>
      <c r="F4035" s="77"/>
      <c r="G4035" s="77"/>
      <c r="H4035" s="77"/>
      <c r="I4035" s="77"/>
      <c r="J4035" s="77"/>
      <c r="K4035" s="77"/>
      <c r="L4035" s="77"/>
      <c r="M4035" s="77"/>
      <c r="N4035" s="77"/>
      <c r="O4035" s="77"/>
      <c r="P4035" s="19"/>
      <c r="Q4035" s="19"/>
      <c r="R4035" s="11"/>
    </row>
    <row r="4036" s="1" customFormat="1" ht="21.95" customHeight="1" spans="1:18">
      <c r="A4036" s="7"/>
      <c r="B4036" s="12"/>
      <c r="C4036" s="33"/>
      <c r="D4036" s="81" t="str">
        <f>IF(F3996&gt;0,ENTRY!$D$6,"")</f>
        <v>MCP NITHARI NO 1 BOYS</v>
      </c>
      <c r="E4036" s="81"/>
      <c r="F4036" s="81"/>
      <c r="G4036" s="81"/>
      <c r="H4036" s="81"/>
      <c r="I4036" s="81"/>
      <c r="J4036" s="81"/>
      <c r="K4036" s="81"/>
      <c r="L4036" s="81"/>
      <c r="M4036" s="80" t="s">
        <v>763</v>
      </c>
      <c r="N4036" s="84">
        <f>IF(F3996&gt;0,ENTRY!$D$7,"")</f>
        <v>0</v>
      </c>
      <c r="O4036" s="84"/>
      <c r="P4036" s="85" t="s">
        <v>727</v>
      </c>
      <c r="Q4036" s="19"/>
      <c r="R4036" s="11"/>
    </row>
    <row r="4037" s="1" customFormat="1" ht="21.95" customHeight="1" spans="1:18">
      <c r="A4037" s="7"/>
      <c r="B4037" s="12"/>
      <c r="C4037" s="33"/>
      <c r="D4037" s="29"/>
      <c r="E4037" s="29"/>
      <c r="F4037" s="29"/>
      <c r="G4037" s="29"/>
      <c r="H4037" s="29"/>
      <c r="I4037" s="29"/>
      <c r="J4037" s="29"/>
      <c r="K4037" s="29"/>
      <c r="L4037" s="29"/>
      <c r="M4037" s="29"/>
      <c r="N4037" s="29"/>
      <c r="O4037" s="29"/>
      <c r="P4037" s="19"/>
      <c r="Q4037" s="19"/>
      <c r="R4037" s="11"/>
    </row>
    <row r="4038" s="1" customFormat="1" ht="21.95" customHeight="1" spans="1:18">
      <c r="A4038" s="7"/>
      <c r="B4038" s="12"/>
      <c r="C4038" s="33"/>
      <c r="D4038" s="29"/>
      <c r="E4038" s="29"/>
      <c r="F4038" s="29"/>
      <c r="G4038" s="29"/>
      <c r="H4038" s="29"/>
      <c r="I4038" s="29"/>
      <c r="J4038" s="29"/>
      <c r="K4038" s="29"/>
      <c r="L4038" s="29"/>
      <c r="M4038" s="29"/>
      <c r="N4038" s="29"/>
      <c r="O4038" s="29"/>
      <c r="P4038" s="19"/>
      <c r="Q4038" s="19"/>
      <c r="R4038" s="11"/>
    </row>
    <row r="4039" s="1" customFormat="1" ht="21.95" customHeight="1" spans="1:18">
      <c r="A4039" s="7"/>
      <c r="B4039" s="12"/>
      <c r="C4039" s="33"/>
      <c r="D4039" s="29"/>
      <c r="E4039" s="29"/>
      <c r="F4039" s="29"/>
      <c r="G4039" s="29"/>
      <c r="H4039" s="29"/>
      <c r="I4039" s="29"/>
      <c r="J4039" s="29"/>
      <c r="K4039" s="29"/>
      <c r="L4039" s="29"/>
      <c r="M4039" s="29"/>
      <c r="N4039" s="29"/>
      <c r="O4039" s="29"/>
      <c r="P4039" s="19"/>
      <c r="Q4039" s="19"/>
      <c r="R4039" s="11"/>
    </row>
    <row r="4040" s="1" customFormat="1" ht="21.95" customHeight="1" spans="1:18">
      <c r="A4040" s="7"/>
      <c r="B4040" s="12"/>
      <c r="C4040" s="33"/>
      <c r="D4040" s="29"/>
      <c r="E4040" s="29"/>
      <c r="F4040" s="29"/>
      <c r="G4040" s="29"/>
      <c r="H4040" s="29"/>
      <c r="I4040" s="29"/>
      <c r="J4040" s="29"/>
      <c r="K4040" s="29"/>
      <c r="L4040" s="29"/>
      <c r="M4040" s="29"/>
      <c r="N4040" s="29"/>
      <c r="O4040" s="29"/>
      <c r="P4040" s="19"/>
      <c r="Q4040" s="19"/>
      <c r="R4040" s="11"/>
    </row>
    <row r="4041" s="1" customFormat="1" ht="21.95" customHeight="1" spans="1:18">
      <c r="A4041" s="7"/>
      <c r="B4041" s="12"/>
      <c r="C4041" s="33"/>
      <c r="D4041" s="29"/>
      <c r="E4041" s="29"/>
      <c r="F4041" s="29"/>
      <c r="G4041" s="29"/>
      <c r="H4041" s="29"/>
      <c r="I4041" s="29"/>
      <c r="J4041" s="29"/>
      <c r="K4041" s="29"/>
      <c r="L4041" s="29"/>
      <c r="M4041" s="29"/>
      <c r="N4041" s="29"/>
      <c r="O4041" s="29"/>
      <c r="P4041" s="19"/>
      <c r="Q4041" s="19"/>
      <c r="R4041" s="11"/>
    </row>
    <row r="4042" s="1" customFormat="1" ht="21.95" customHeight="1" spans="1:18">
      <c r="A4042" s="7"/>
      <c r="B4042" s="12"/>
      <c r="C4042" s="33"/>
      <c r="D4042" s="80" t="s">
        <v>728</v>
      </c>
      <c r="E4042" s="86">
        <f>ENTRY!$D$27</f>
        <v>46102</v>
      </c>
      <c r="F4042" s="86"/>
      <c r="G4042" s="29"/>
      <c r="H4042" s="29"/>
      <c r="I4042" s="29"/>
      <c r="J4042" s="29"/>
      <c r="K4042" s="29"/>
      <c r="L4042" s="29"/>
      <c r="M4042" s="87" t="s">
        <v>730</v>
      </c>
      <c r="N4042" s="87"/>
      <c r="O4042" s="87"/>
      <c r="P4042" s="19"/>
      <c r="Q4042" s="19"/>
      <c r="R4042" s="11"/>
    </row>
    <row r="4043" s="1" customFormat="1" ht="21.95" customHeight="1" spans="1:18">
      <c r="A4043" s="7"/>
      <c r="B4043" s="12"/>
      <c r="C4043" s="33"/>
      <c r="D4043" s="80" t="s">
        <v>731</v>
      </c>
      <c r="E4043" s="88" t="str">
        <f>PROPER(ENTRY!$D$28)</f>
        <v>New Delhi</v>
      </c>
      <c r="F4043" s="88"/>
      <c r="G4043" s="29"/>
      <c r="H4043" s="29"/>
      <c r="I4043" s="29"/>
      <c r="J4043" s="29"/>
      <c r="K4043" s="29"/>
      <c r="L4043" s="29"/>
      <c r="M4043" s="89" t="s">
        <v>732</v>
      </c>
      <c r="N4043" s="89"/>
      <c r="O4043" s="89"/>
      <c r="P4043" s="19"/>
      <c r="Q4043" s="19"/>
      <c r="R4043" s="11"/>
    </row>
    <row r="4044" s="1" customFormat="1" ht="21.95" customHeight="1" spans="1:18">
      <c r="A4044" s="7"/>
      <c r="B4044" s="12"/>
      <c r="C4044" s="90"/>
      <c r="D4044" s="91"/>
      <c r="E4044" s="91"/>
      <c r="F4044" s="91"/>
      <c r="G4044" s="91"/>
      <c r="H4044" s="91"/>
      <c r="I4044" s="91"/>
      <c r="J4044" s="91"/>
      <c r="K4044" s="91"/>
      <c r="L4044" s="91"/>
      <c r="M4044" s="91"/>
      <c r="N4044" s="91"/>
      <c r="O4044" s="91"/>
      <c r="P4044" s="92"/>
      <c r="Q4044" s="14"/>
      <c r="R4044" s="11"/>
    </row>
    <row r="4045" s="1" customFormat="1" ht="5.1" customHeight="1" spans="1:18">
      <c r="A4045" s="7"/>
      <c r="B4045" s="90"/>
      <c r="C4045" s="91"/>
      <c r="D4045" s="91"/>
      <c r="E4045" s="91"/>
      <c r="F4045" s="91"/>
      <c r="G4045" s="91"/>
      <c r="H4045" s="91"/>
      <c r="I4045" s="91"/>
      <c r="J4045" s="91"/>
      <c r="K4045" s="91"/>
      <c r="L4045" s="91"/>
      <c r="M4045" s="91"/>
      <c r="N4045" s="91"/>
      <c r="O4045" s="91"/>
      <c r="P4045" s="91"/>
      <c r="Q4045" s="92"/>
      <c r="R4045" s="11"/>
    </row>
    <row r="4046" s="1" customFormat="1" ht="5.1" customHeight="1" spans="1:18">
      <c r="A4046" s="93"/>
      <c r="B4046" s="94"/>
      <c r="C4046" s="94"/>
      <c r="D4046" s="94"/>
      <c r="E4046" s="94"/>
      <c r="F4046" s="94"/>
      <c r="G4046" s="94"/>
      <c r="H4046" s="94"/>
      <c r="I4046" s="94"/>
      <c r="J4046" s="94"/>
      <c r="K4046" s="94"/>
      <c r="L4046" s="94"/>
      <c r="M4046" s="94"/>
      <c r="N4046" s="94"/>
      <c r="O4046" s="94"/>
      <c r="P4046" s="94"/>
      <c r="Q4046" s="94"/>
      <c r="R4046" s="95"/>
    </row>
    <row r="4047" s="2" customFormat="1" ht="9.95" customHeight="1"/>
    <row r="4048" s="1" customFormat="1" ht="5.1" customHeight="1" spans="1:18">
      <c r="A4048" s="4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  <c r="O4048" s="5"/>
      <c r="P4048" s="5"/>
      <c r="Q4048" s="5"/>
      <c r="R4048" s="6"/>
    </row>
    <row r="4049" s="1" customFormat="1" ht="15" customHeight="1" spans="1:18">
      <c r="A4049" s="7"/>
      <c r="B4049" s="8"/>
      <c r="C4049" s="9"/>
      <c r="D4049" s="9"/>
      <c r="E4049" s="9"/>
      <c r="F4049" s="9"/>
      <c r="G4049" s="9"/>
      <c r="H4049" s="9"/>
      <c r="I4049" s="9"/>
      <c r="J4049" s="9"/>
      <c r="K4049" s="9"/>
      <c r="L4049" s="9"/>
      <c r="M4049" s="9"/>
      <c r="N4049" s="9"/>
      <c r="O4049" s="9"/>
      <c r="P4049" s="9"/>
      <c r="Q4049" s="10"/>
      <c r="R4049" s="11"/>
    </row>
    <row r="4050" s="1" customFormat="1" ht="21.95" customHeight="1" spans="1:18">
      <c r="A4050" s="7"/>
      <c r="B4050" s="12"/>
      <c r="C4050" s="13" t="s">
        <v>7</v>
      </c>
      <c r="D4050" s="13"/>
      <c r="E4050" s="13"/>
      <c r="F4050" s="13"/>
      <c r="G4050" s="13"/>
      <c r="H4050" s="13"/>
      <c r="I4050" s="13"/>
      <c r="J4050" s="13"/>
      <c r="K4050" s="13"/>
      <c r="L4050" s="13"/>
      <c r="M4050" s="13"/>
      <c r="N4050" s="13"/>
      <c r="O4050" s="13"/>
      <c r="P4050" s="13"/>
      <c r="Q4050" s="14"/>
      <c r="R4050" s="11"/>
    </row>
    <row r="4051" s="1" customFormat="1" ht="21.95" customHeight="1" spans="1:18">
      <c r="A4051" s="7"/>
      <c r="B4051" s="1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14"/>
      <c r="R4051" s="11"/>
    </row>
    <row r="4052" s="1" customFormat="1" ht="21.95" customHeight="1" spans="1:18">
      <c r="A4052" s="7"/>
      <c r="B4052" s="12"/>
      <c r="C4052" s="15" t="str">
        <f>"SESSION-"&amp;ENTRY!$D$11</f>
        <v>SESSION-2026-27</v>
      </c>
      <c r="D4052" s="15"/>
      <c r="E4052" s="15"/>
      <c r="F4052" s="15"/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  <c r="Q4052" s="14"/>
      <c r="R4052" s="11"/>
    </row>
    <row r="4053" s="1" customFormat="1" ht="21.95" customHeight="1" spans="1:18">
      <c r="A4053" s="7"/>
      <c r="B4053" s="12"/>
      <c r="C4053" s="2"/>
      <c r="D4053" s="2"/>
      <c r="E4053" s="2"/>
      <c r="F4053" s="16">
        <f>F3996+1</f>
        <v>72</v>
      </c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14"/>
      <c r="R4053" s="11"/>
    </row>
    <row r="4054" s="1" customFormat="1" ht="21.95" customHeight="1" spans="1:18">
      <c r="A4054" s="7"/>
      <c r="B4054" s="12"/>
      <c r="C4054" s="17" t="s">
        <v>392</v>
      </c>
      <c r="D4054" s="17"/>
      <c r="E4054" s="17"/>
      <c r="F4054" s="18" t="str">
        <f>IF(F4053&gt;0,ENTRY!$D$6,"")</f>
        <v>MCP NITHARI NO 1 BOYS</v>
      </c>
      <c r="G4054" s="18"/>
      <c r="H4054" s="18"/>
      <c r="I4054" s="18"/>
      <c r="J4054" s="18"/>
      <c r="K4054" s="18"/>
      <c r="L4054" s="18"/>
      <c r="M4054" s="18"/>
      <c r="N4054" s="18"/>
      <c r="O4054" s="18"/>
      <c r="P4054" s="18"/>
      <c r="Q4054" s="19"/>
      <c r="R4054" s="11"/>
    </row>
    <row r="4055" s="1" customFormat="1" ht="21.95" customHeight="1" spans="1:18">
      <c r="A4055" s="7"/>
      <c r="B4055" s="12"/>
      <c r="C4055" s="17" t="s">
        <v>393</v>
      </c>
      <c r="D4055" s="17"/>
      <c r="E4055" s="17"/>
      <c r="F4055" s="18">
        <f>IF(F4053&gt;0,ENTRY!$D$7,"")</f>
        <v>0</v>
      </c>
      <c r="G4055" s="18"/>
      <c r="H4055" s="20" t="s">
        <v>702</v>
      </c>
      <c r="I4055" s="20"/>
      <c r="J4055" s="21">
        <f>IF(F4053&gt;0,ENTRY!$D$10,"")</f>
        <v>40</v>
      </c>
      <c r="K4055" s="20" t="s">
        <v>703</v>
      </c>
      <c r="L4055" s="22" t="str">
        <f>IF(F4053&gt;0,ENTRY!$D$5,"")</f>
        <v>ROHINI ZONE</v>
      </c>
      <c r="M4055" s="22"/>
      <c r="N4055" s="22"/>
      <c r="O4055" s="22"/>
      <c r="P4055" s="22"/>
      <c r="Q4055" s="19"/>
      <c r="R4055" s="11"/>
    </row>
    <row r="4056" s="1" customFormat="1" ht="21.95" customHeight="1" spans="1:18">
      <c r="A4056" s="7"/>
      <c r="B4056" s="12"/>
      <c r="C4056" s="17" t="s">
        <v>706</v>
      </c>
      <c r="D4056" s="17"/>
      <c r="E4056" s="17"/>
      <c r="F4056" s="23">
        <f>IFERROR(VLOOKUP(F4053,STUDENT!$A$2:$BP$101,5,0),"")</f>
        <v>0</v>
      </c>
      <c r="G4056" s="23"/>
      <c r="H4056" s="23"/>
      <c r="I4056" s="23"/>
      <c r="J4056" s="23"/>
      <c r="K4056" s="23"/>
      <c r="L4056" s="20" t="s">
        <v>707</v>
      </c>
      <c r="M4056" s="20"/>
      <c r="N4056" s="24" t="str">
        <f>IF(F4053&gt;0,ENTRY!$D$20&amp;"-"&amp;ENTRY!$D$21,"")</f>
        <v>III-A</v>
      </c>
      <c r="O4056" s="24"/>
      <c r="P4056" s="24"/>
      <c r="Q4056" s="19"/>
      <c r="R4056" s="11"/>
    </row>
    <row r="4057" s="1" customFormat="1" ht="21.95" customHeight="1" spans="1:18">
      <c r="A4057" s="7"/>
      <c r="B4057" s="12"/>
      <c r="C4057" s="17" t="s">
        <v>708</v>
      </c>
      <c r="D4057" s="17"/>
      <c r="E4057" s="17"/>
      <c r="F4057" s="25">
        <f>IFERROR(VLOOKUP(F4053,STUDENT!$A$2:$BP$101,6,0),"")</f>
        <v>0</v>
      </c>
      <c r="G4057" s="25"/>
      <c r="H4057" s="26" t="s">
        <v>709</v>
      </c>
      <c r="I4057" s="27" t="str">
        <f>IFERROR(VLOOKUP(F4053,STUDENT!$A$2:$BP$101,59,0),"")</f>
        <v/>
      </c>
      <c r="J4057" s="27"/>
      <c r="K4057" s="20" t="s">
        <v>710</v>
      </c>
      <c r="L4057" s="20"/>
      <c r="M4057" s="28">
        <f>IFERROR(VLOOKUP(F4053,STUDENT!$A$2:$BP$101,20,0),"")</f>
        <v>0</v>
      </c>
      <c r="N4057" s="28"/>
      <c r="O4057" s="28"/>
      <c r="P4057" s="28"/>
      <c r="Q4057" s="19"/>
      <c r="R4057" s="11"/>
    </row>
    <row r="4058" s="1" customFormat="1" ht="21.95" customHeight="1" spans="1:18">
      <c r="A4058" s="7"/>
      <c r="B4058" s="12"/>
      <c r="C4058" s="17" t="s">
        <v>711</v>
      </c>
      <c r="D4058" s="17"/>
      <c r="E4058" s="17"/>
      <c r="F4058" s="23">
        <f>IFERROR(VLOOKUP(F4053,STUDENT!$A$2:$BP$101,9,0),"")</f>
        <v>0</v>
      </c>
      <c r="G4058" s="23"/>
      <c r="H4058" s="23"/>
      <c r="I4058" s="23"/>
      <c r="J4058" s="17" t="s">
        <v>620</v>
      </c>
      <c r="K4058" s="17"/>
      <c r="L4058" s="23">
        <f>IFERROR(VLOOKUP(F4053,STUDENT!$A$2:$BP$101,8,0),"")</f>
        <v>0</v>
      </c>
      <c r="M4058" s="23"/>
      <c r="N4058" s="23"/>
      <c r="O4058" s="23"/>
      <c r="P4058" s="23"/>
      <c r="Q4058" s="19"/>
      <c r="R4058" s="11"/>
    </row>
    <row r="4059" s="1" customFormat="1" ht="21.95" customHeight="1" spans="1:18">
      <c r="A4059" s="7"/>
      <c r="B4059" s="12"/>
      <c r="C4059" s="17" t="s">
        <v>712</v>
      </c>
      <c r="D4059" s="17"/>
      <c r="E4059" s="17"/>
      <c r="F4059" s="23">
        <f>IFERROR(VLOOKUP(F4053,STUDENT!$A$2:$BP$101,22,0),"")</f>
        <v>0</v>
      </c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19"/>
      <c r="R4059" s="11"/>
    </row>
    <row r="4060" s="1" customFormat="1" ht="9.95" customHeight="1" spans="1:18">
      <c r="A4060" s="7"/>
      <c r="B4060" s="12"/>
      <c r="C4060" s="29"/>
      <c r="D4060" s="29"/>
      <c r="E4060" s="29"/>
      <c r="F4060" s="29"/>
      <c r="G4060" s="29"/>
      <c r="H4060" s="29"/>
      <c r="I4060" s="29"/>
      <c r="J4060" s="29"/>
      <c r="K4060" s="29"/>
      <c r="L4060" s="29"/>
      <c r="M4060" s="29"/>
      <c r="N4060" s="29"/>
      <c r="O4060" s="29"/>
      <c r="P4060" s="29"/>
      <c r="Q4060" s="19"/>
      <c r="R4060" s="11"/>
    </row>
    <row r="4061" s="1" customFormat="1" ht="9.95" customHeight="1" spans="1:18">
      <c r="A4061" s="7"/>
      <c r="B4061" s="12"/>
      <c r="C4061" s="30"/>
      <c r="D4061" s="31"/>
      <c r="E4061" s="31"/>
      <c r="F4061" s="31"/>
      <c r="G4061" s="31"/>
      <c r="H4061" s="31"/>
      <c r="I4061" s="31"/>
      <c r="J4061" s="31"/>
      <c r="K4061" s="31"/>
      <c r="L4061" s="31"/>
      <c r="M4061" s="31"/>
      <c r="N4061" s="31"/>
      <c r="O4061" s="31"/>
      <c r="P4061" s="32"/>
      <c r="Q4061" s="19"/>
      <c r="R4061" s="11"/>
    </row>
    <row r="4062" s="1" customFormat="1" ht="21.95" customHeight="1" spans="1:18">
      <c r="A4062" s="7"/>
      <c r="B4062" s="12"/>
      <c r="C4062" s="33"/>
      <c r="D4062" s="34" t="s">
        <v>713</v>
      </c>
      <c r="E4062" s="20" t="s">
        <v>714</v>
      </c>
      <c r="F4062" s="35" t="str">
        <f>"Level - "&amp;IFERROR(VLOOKUP(F4053,FLN!$A$4:$K$103,9,0),"")</f>
        <v>Level - </v>
      </c>
      <c r="G4062" s="36"/>
      <c r="H4062" s="37" t="s">
        <v>715</v>
      </c>
      <c r="I4062" s="20"/>
      <c r="J4062" s="35" t="str">
        <f>"Level - "&amp;IFERROR(VLOOKUP(F4053,FLN!$A$4:$K$103,11,0),"")</f>
        <v>Level - </v>
      </c>
      <c r="K4062" s="36"/>
      <c r="L4062" s="37" t="s">
        <v>408</v>
      </c>
      <c r="M4062" s="20"/>
      <c r="N4062" s="35" t="str">
        <f>"Level - "&amp;IFERROR(VLOOKUP(F4053,FLN!$A$4:$K$103,10,0),"")</f>
        <v>Level - </v>
      </c>
      <c r="O4062" s="36"/>
      <c r="P4062" s="19"/>
      <c r="Q4062" s="19"/>
      <c r="R4062" s="11"/>
    </row>
    <row r="4063" s="1" customFormat="1" ht="21.95" customHeight="1" spans="1:18">
      <c r="A4063" s="7"/>
      <c r="B4063" s="12"/>
      <c r="C4063" s="33"/>
      <c r="D4063" s="38"/>
      <c r="E4063" s="20" t="s">
        <v>716</v>
      </c>
      <c r="F4063" s="18" t="str">
        <f ca="1">IF(L4077&gt;197,"PERFORMED WELL","")</f>
        <v/>
      </c>
      <c r="G4063" s="18"/>
      <c r="H4063" s="18"/>
      <c r="I4063" s="18"/>
      <c r="J4063" s="18"/>
      <c r="K4063" s="18"/>
      <c r="L4063" s="18"/>
      <c r="M4063" s="18"/>
      <c r="N4063" s="18"/>
      <c r="O4063" s="18"/>
      <c r="P4063" s="19"/>
      <c r="Q4063" s="19"/>
      <c r="R4063" s="11"/>
    </row>
    <row r="4064" s="1" customFormat="1" ht="9.95" customHeight="1" spans="1:18">
      <c r="A4064" s="7"/>
      <c r="B4064" s="12"/>
      <c r="C4064" s="39"/>
      <c r="D4064" s="40"/>
      <c r="E4064" s="40"/>
      <c r="F4064" s="40"/>
      <c r="G4064" s="40"/>
      <c r="H4064" s="40"/>
      <c r="I4064" s="40"/>
      <c r="J4064" s="40"/>
      <c r="K4064" s="40"/>
      <c r="L4064" s="40"/>
      <c r="M4064" s="40"/>
      <c r="N4064" s="40"/>
      <c r="O4064" s="40"/>
      <c r="P4064" s="41"/>
      <c r="Q4064" s="19"/>
      <c r="R4064" s="11"/>
    </row>
    <row r="4065" s="1" customFormat="1" ht="9.95" customHeight="1" spans="1:18">
      <c r="A4065" s="7"/>
      <c r="B4065" s="12"/>
      <c r="C4065" s="29"/>
      <c r="D4065" s="29"/>
      <c r="E4065" s="29"/>
      <c r="F4065" s="29"/>
      <c r="G4065" s="29"/>
      <c r="H4065" s="29"/>
      <c r="I4065" s="29"/>
      <c r="J4065" s="29"/>
      <c r="K4065" s="29"/>
      <c r="L4065" s="29"/>
      <c r="M4065" s="29"/>
      <c r="N4065" s="29"/>
      <c r="O4065" s="29"/>
      <c r="P4065" s="29"/>
      <c r="Q4065" s="19"/>
      <c r="R4065" s="11"/>
    </row>
    <row r="4066" s="1" customFormat="1" ht="9.95" customHeight="1" spans="1:18">
      <c r="A4066" s="7"/>
      <c r="B4066" s="12"/>
      <c r="C4066" s="30"/>
      <c r="D4066" s="31"/>
      <c r="E4066" s="31"/>
      <c r="F4066" s="31"/>
      <c r="G4066" s="31"/>
      <c r="H4066" s="31"/>
      <c r="I4066" s="31"/>
      <c r="J4066" s="31"/>
      <c r="K4066" s="31"/>
      <c r="L4066" s="31"/>
      <c r="M4066" s="31"/>
      <c r="N4066" s="31"/>
      <c r="O4066" s="31"/>
      <c r="P4066" s="32"/>
      <c r="Q4066" s="19"/>
      <c r="R4066" s="11"/>
    </row>
    <row r="4067" s="1" customFormat="1" ht="21.95" customHeight="1" spans="1:18">
      <c r="A4067" s="7"/>
      <c r="B4067" s="12"/>
      <c r="C4067" s="33"/>
      <c r="D4067" s="35"/>
      <c r="E4067" s="24"/>
      <c r="F4067" s="42" t="s">
        <v>717</v>
      </c>
      <c r="G4067" s="42"/>
      <c r="H4067" s="42"/>
      <c r="I4067" s="42"/>
      <c r="J4067" s="42"/>
      <c r="K4067" s="42"/>
      <c r="L4067" s="43"/>
      <c r="M4067" s="44"/>
      <c r="N4067" s="29"/>
      <c r="O4067" s="29"/>
      <c r="P4067" s="19"/>
      <c r="Q4067" s="19"/>
      <c r="R4067" s="11"/>
    </row>
    <row r="4068" s="1" customFormat="1" ht="21.95" customHeight="1" spans="1:18">
      <c r="A4068" s="7"/>
      <c r="B4068" s="12"/>
      <c r="C4068" s="33"/>
      <c r="D4068" s="45"/>
      <c r="E4068" s="46"/>
      <c r="F4068" s="47" t="s">
        <v>541</v>
      </c>
      <c r="G4068" s="47" t="s">
        <v>542</v>
      </c>
      <c r="H4068" s="47" t="s">
        <v>543</v>
      </c>
      <c r="I4068" s="47" t="s">
        <v>544</v>
      </c>
      <c r="J4068" s="47" t="s">
        <v>561</v>
      </c>
      <c r="K4068" s="48" t="s">
        <v>750</v>
      </c>
      <c r="L4068" s="47" t="s">
        <v>382</v>
      </c>
      <c r="M4068" s="49" t="s">
        <v>546</v>
      </c>
      <c r="N4068" s="29"/>
      <c r="O4068" s="29"/>
      <c r="P4068" s="19"/>
      <c r="Q4068" s="19"/>
      <c r="R4068" s="11"/>
    </row>
    <row r="4069" s="1" customFormat="1" ht="21.95" customHeight="1" spans="1:18">
      <c r="A4069" s="7"/>
      <c r="B4069" s="12"/>
      <c r="C4069" s="33"/>
      <c r="D4069" s="45" t="s">
        <v>652</v>
      </c>
      <c r="E4069" s="46"/>
      <c r="F4069" s="50">
        <v>10</v>
      </c>
      <c r="G4069" s="50">
        <v>10</v>
      </c>
      <c r="H4069" s="50">
        <v>10</v>
      </c>
      <c r="I4069" s="50">
        <v>10</v>
      </c>
      <c r="J4069" s="50">
        <v>60</v>
      </c>
      <c r="K4069" s="51"/>
      <c r="L4069" s="50">
        <v>100</v>
      </c>
      <c r="M4069" s="49"/>
      <c r="N4069" s="29"/>
      <c r="O4069" s="29"/>
      <c r="P4069" s="19"/>
      <c r="Q4069" s="19"/>
      <c r="R4069" s="11"/>
    </row>
    <row r="4070" s="1" customFormat="1" ht="21.95" customHeight="1" spans="1:18">
      <c r="A4070" s="7"/>
      <c r="B4070" s="12"/>
      <c r="C4070" s="33"/>
      <c r="D4070" s="52" t="s">
        <v>751</v>
      </c>
      <c r="E4070" s="53"/>
      <c r="F4070" s="54" t="str">
        <f ca="1">IFERROR(VLOOKUP(F4053,'RR-3.1-5TH'!$A$12:'RR-3.1-5TH'!$BN$111,9,0),"")</f>
        <v/>
      </c>
      <c r="G4070" s="54" t="str">
        <f ca="1">IFERROR(VLOOKUP(F4053,'RR-3.1-5TH'!$A$12:'RR-3.1-5TH'!$BN$111,10,0),"")</f>
        <v/>
      </c>
      <c r="H4070" s="54" t="str">
        <f ca="1">IFERROR(VLOOKUP(F4053,'RR-3.1-5TH'!$A$12:'RR-3.1-5TH'!$BN$111,11,0),"")</f>
        <v/>
      </c>
      <c r="I4070" s="54" t="str">
        <f ca="1">IFERROR(VLOOKUP(F4053,'RR-3.1-5TH'!$A$12:'RR-3.1-5TH'!$BN$111,12,0),"")</f>
        <v/>
      </c>
      <c r="J4070" s="54" t="str">
        <f ca="1">IFERROR(VLOOKUP(F4053,'RR-3.1-5TH'!$A$12:'RR-3.1-5TH'!$BN$111,13,0),"")</f>
        <v/>
      </c>
      <c r="K4070" s="54" t="str">
        <f ca="1">IFERROR(VLOOKUP(F4053,'RR-3.1-5TH'!$A$12:'RR-3.1-5TH'!$BN$111,14,0),"")</f>
        <v/>
      </c>
      <c r="L4070" s="55">
        <f ca="1" t="shared" ref="L4070:L4075" si="213">SUM(F4070,G4070,H4070,I4070,J4070,K4070)</f>
        <v>0</v>
      </c>
      <c r="M4070" s="56" t="str">
        <f ca="1">IF(F4053&gt;ENTRY!$D$24,"",IF(L4070=0,"Ab",IF(L4070&gt;80,"A",IF(L4070&gt;60,"B",IF(L4070&gt;44,"C",IF(L4070&gt;=33,"D",IF(L4070&lt;=32,"E","")))))))</f>
        <v/>
      </c>
      <c r="N4070" s="57" t="s">
        <v>729</v>
      </c>
      <c r="O4070" s="58"/>
      <c r="P4070" s="59"/>
      <c r="Q4070" s="19"/>
      <c r="R4070" s="11"/>
    </row>
    <row r="4071" s="1" customFormat="1" ht="21.95" customHeight="1" spans="1:18">
      <c r="A4071" s="7"/>
      <c r="B4071" s="12"/>
      <c r="C4071" s="33"/>
      <c r="D4071" s="52" t="s">
        <v>513</v>
      </c>
      <c r="E4071" s="53"/>
      <c r="F4071" s="54" t="str">
        <f ca="1">IFERROR(VLOOKUP(F4053,'RR-3.1-5TH'!$A$12:'RR-3.1-5TH'!$BN$111,17,0),"")</f>
        <v/>
      </c>
      <c r="G4071" s="54" t="str">
        <f ca="1">IFERROR(VLOOKUP(F4053,'RR-3.1-5TH'!$A$12:'RR-3.1-5TH'!$BN$111,18,0),"")</f>
        <v/>
      </c>
      <c r="H4071" s="54" t="str">
        <f ca="1">IFERROR(VLOOKUP(F4053,'RR-3.1-5TH'!$A$12:'RR-3.1-5TH'!$BN$111,19,0),"")</f>
        <v/>
      </c>
      <c r="I4071" s="54" t="str">
        <f ca="1">IFERROR(VLOOKUP(F4053,'RR-3.1-5TH'!$A$12:'RR-3.1-5TH'!$BN$111,20,0),"")</f>
        <v/>
      </c>
      <c r="J4071" s="54" t="str">
        <f ca="1">IFERROR(VLOOKUP(F4053,'RR-3.1-5TH'!$A$12:'RR-3.1-5TH'!$BN$111,21,0),"")</f>
        <v/>
      </c>
      <c r="K4071" s="54" t="str">
        <f ca="1">IFERROR(VLOOKUP(F4053,'RR-3.1-5TH'!$A$12:'RR-3.1-5TH'!$BN$111,22,0),"")</f>
        <v/>
      </c>
      <c r="L4071" s="55">
        <f ca="1" t="shared" si="213"/>
        <v>0</v>
      </c>
      <c r="M4071" s="56" t="str">
        <f ca="1">IF(F4053&gt;ENTRY!$D$24,"",IF(L4071=0,"Ab",IF(L4071&gt;80,"A",IF(L4071&gt;60,"B",IF(L4071&gt;44,"C",IF(L4071&gt;=33,"D",IF(L4071&lt;=32,"E","")))))))</f>
        <v/>
      </c>
      <c r="N4071" s="58"/>
      <c r="O4071" s="58"/>
      <c r="P4071" s="59"/>
      <c r="Q4071" s="19"/>
      <c r="R4071" s="11"/>
    </row>
    <row r="4072" s="1" customFormat="1" ht="21.95" customHeight="1" spans="1:18">
      <c r="A4072" s="7"/>
      <c r="B4072" s="12"/>
      <c r="C4072" s="33"/>
      <c r="D4072" s="52" t="s">
        <v>718</v>
      </c>
      <c r="E4072" s="53"/>
      <c r="F4072" s="54" t="str">
        <f ca="1">IFERROR(VLOOKUP(F4053,'RR-3.1-5TH'!$A$12:'RR-3.1-5TH'!$BN$111,25,0),"")</f>
        <v/>
      </c>
      <c r="G4072" s="54" t="str">
        <f ca="1">IFERROR(VLOOKUP(F4053,'RR-3.1-5TH'!$A$12:'RR-3.1-5TH'!$BN$111,26,0),"")</f>
        <v/>
      </c>
      <c r="H4072" s="54" t="str">
        <f ca="1">IFERROR(VLOOKUP(F4053,'RR-3.1-5TH'!$A$12:'RR-3.1-5TH'!$BN$111,27,0),"")</f>
        <v/>
      </c>
      <c r="I4072" s="54" t="str">
        <f ca="1">IFERROR(VLOOKUP(F4053,'RR-3.1-5TH'!$A$12:'RR-3.1-5TH'!$BN$111,28,0),"")</f>
        <v/>
      </c>
      <c r="J4072" s="54" t="str">
        <f ca="1">IFERROR(VLOOKUP(F4053,'RR-3.1-5TH'!$A$12:'RR-3.1-5TH'!$BN$111,29,0),"")</f>
        <v/>
      </c>
      <c r="K4072" s="54" t="str">
        <f ca="1">IFERROR(VLOOKUP(F4053,'RR-3.1-5TH'!$A$12:'RR-3.1-5TH'!$BN$111,30,0),"")</f>
        <v/>
      </c>
      <c r="L4072" s="55">
        <f ca="1" t="shared" si="213"/>
        <v>0</v>
      </c>
      <c r="M4072" s="56" t="str">
        <f ca="1">IF(F4053&gt;ENTRY!$D$24,"",IF(L4072=0,"Ab",IF(L4072&gt;80,"A",IF(L4072&gt;60,"B",IF(L4072&gt;44,"C",IF(L4072&gt;=33,"D",IF(L4072&lt;=32,"E","")))))))</f>
        <v/>
      </c>
      <c r="N4072" s="29"/>
      <c r="O4072" s="29"/>
      <c r="P4072" s="19"/>
      <c r="Q4072" s="19"/>
      <c r="R4072" s="11"/>
    </row>
    <row r="4073" s="1" customFormat="1" ht="21.95" customHeight="1" spans="1:18">
      <c r="A4073" s="7"/>
      <c r="B4073" s="12"/>
      <c r="C4073" s="33"/>
      <c r="D4073" s="52" t="s">
        <v>719</v>
      </c>
      <c r="E4073" s="53"/>
      <c r="F4073" s="54" t="str">
        <f ca="1">IFERROR(VLOOKUP(F4053,'RR-3.1-5TH'!$A$12:'RR-3.1-5TH'!$BN$111,33,0),"")</f>
        <v/>
      </c>
      <c r="G4073" s="54" t="str">
        <f ca="1">IFERROR(VLOOKUP(F4053,'RR-3.1-5TH'!$A$12:'RR-3.1-5TH'!$BN$111,34,0),"")</f>
        <v/>
      </c>
      <c r="H4073" s="54" t="str">
        <f ca="1">IFERROR(VLOOKUP(F4053,'RR-3.1-5TH'!$A$12:'RR-3.1-5TH'!$BN$111,35,0),"")</f>
        <v/>
      </c>
      <c r="I4073" s="54" t="str">
        <f ca="1">IFERROR(VLOOKUP(F4053,'RR-3.1-5TH'!$A$12:'RR-3.1-5TH'!$BN$111,36,0),"")</f>
        <v/>
      </c>
      <c r="J4073" s="54" t="str">
        <f ca="1">IFERROR(VLOOKUP(F4053,'RR-3.1-5TH'!$A$12:'RR-3.1-5TH'!$BN$111,37,0),"")</f>
        <v/>
      </c>
      <c r="K4073" s="54" t="str">
        <f ca="1">IFERROR(VLOOKUP(F4053,'RR-3.1-5TH'!$A$12:'RR-3.1-5TH'!$BN$111,38,0),"")</f>
        <v/>
      </c>
      <c r="L4073" s="55">
        <f ca="1" t="shared" si="213"/>
        <v>0</v>
      </c>
      <c r="M4073" s="56" t="str">
        <f ca="1">IF(F4053&gt;ENTRY!$D$24,"",IF(L4073=0,"Ab",IF(L4073&gt;80,"A",IF(L4073&gt;60,"B",IF(L4073&gt;44,"C",IF(L4073&gt;=33,"D",IF(L4073&lt;=32,"E","")))))))</f>
        <v/>
      </c>
      <c r="N4073" s="29"/>
      <c r="O4073" s="29"/>
      <c r="P4073" s="19"/>
      <c r="Q4073" s="19"/>
      <c r="R4073" s="11"/>
    </row>
    <row r="4074" s="1" customFormat="1" ht="21.95" customHeight="1" spans="1:18">
      <c r="A4074" s="7"/>
      <c r="B4074" s="12"/>
      <c r="C4074" s="33"/>
      <c r="D4074" s="52" t="s">
        <v>548</v>
      </c>
      <c r="E4074" s="53"/>
      <c r="F4074" s="54" t="str">
        <f ca="1">IFERROR(VLOOKUP(F4053,'RR-3.1-5TH'!$A$12:'RR-3.1-5TH'!$BN$111,41,0),"")</f>
        <v/>
      </c>
      <c r="G4074" s="54" t="str">
        <f ca="1">IFERROR(VLOOKUP(F4053,'RR-3.1-5TH'!$A$12:'RR-3.1-5TH'!$BN$111,42,0),"")</f>
        <v/>
      </c>
      <c r="H4074" s="54" t="str">
        <f ca="1">IFERROR(VLOOKUP(F4053,'RR-3.1-5TH'!$A$12:'RR-3.1-5TH'!$BN$111,43,0),"")</f>
        <v/>
      </c>
      <c r="I4074" s="54" t="str">
        <f ca="1">IFERROR(VLOOKUP(F4053,'RR-3.1-5TH'!$A$12:'RR-3.1-5TH'!$BN$111,44,0),"")</f>
        <v/>
      </c>
      <c r="J4074" s="54" t="str">
        <f ca="1">IFERROR(VLOOKUP(F4053,'RR-3.1-5TH'!$A$12:'RR-3.1-5TH'!$BN$111,45,0),"")</f>
        <v/>
      </c>
      <c r="K4074" s="54" t="str">
        <f ca="1">IFERROR(VLOOKUP(F4053,'RR-3.1-5TH'!$A$12:'RR-3.1-5TH'!$BN$111,46,0),"")</f>
        <v/>
      </c>
      <c r="L4074" s="55">
        <f ca="1" t="shared" si="213"/>
        <v>0</v>
      </c>
      <c r="M4074" s="56" t="str">
        <f ca="1">IF(F4053&gt;ENTRY!$D$24,"",IF(L4074=0,"Ab",IF(L4074&gt;80,"A",IF(L4074&gt;60,"B",IF(L4074&gt;44,"C",IF(L4074&gt;=33,"D",IF(L4074&lt;=32,"E","")))))))</f>
        <v/>
      </c>
      <c r="N4074" s="29"/>
      <c r="O4074" s="29"/>
      <c r="P4074" s="19"/>
      <c r="Q4074" s="19"/>
      <c r="R4074" s="11"/>
    </row>
    <row r="4075" s="1" customFormat="1" ht="21.95" customHeight="1" spans="1:18">
      <c r="A4075" s="7"/>
      <c r="B4075" s="12"/>
      <c r="C4075" s="33"/>
      <c r="D4075" s="52" t="s">
        <v>549</v>
      </c>
      <c r="E4075" s="53"/>
      <c r="F4075" s="54" t="str">
        <f ca="1">IFERROR(VLOOKUP(F4053,'RR-3.1-5TH'!$A$12:'RR-3.1-5TH'!$BN$111,49,0),"")</f>
        <v/>
      </c>
      <c r="G4075" s="54" t="str">
        <f ca="1">IFERROR(VLOOKUP(F4053,'RR-3.1-5TH'!$A$12:'RR-3.1-5TH'!$BN$111,50,0),"")</f>
        <v/>
      </c>
      <c r="H4075" s="54" t="str">
        <f ca="1">IFERROR(VLOOKUP(F4053,'RR-3.1-5TH'!$A$12:'RR-3.1-5TH'!$BN$111,51,0),"")</f>
        <v/>
      </c>
      <c r="I4075" s="54" t="str">
        <f ca="1">IFERROR(VLOOKUP(F4053,'RR-3.1-5TH'!$A$12:'RR-3.1-5TH'!$BN$111,52,0),"")</f>
        <v/>
      </c>
      <c r="J4075" s="54" t="str">
        <f ca="1">IFERROR(VLOOKUP(F4053,'RR-3.1-5TH'!$A$12:'RR-3.1-5TH'!$BN$111,53,0),"")</f>
        <v/>
      </c>
      <c r="K4075" s="54" t="str">
        <f ca="1">IFERROR(VLOOKUP(F4053,'RR-3.1-5TH'!$A$12:'RR-3.1-5TH'!$BN$111,54,0),"")</f>
        <v/>
      </c>
      <c r="L4075" s="55">
        <f ca="1" t="shared" si="213"/>
        <v>0</v>
      </c>
      <c r="M4075" s="56" t="str">
        <f ca="1">IF(F4053&gt;ENTRY!$D$24,"",IF(L4075=0,"Ab",IF(L4075&gt;80,"A",IF(L4075&gt;60,"B",IF(L4075&gt;44,"C",IF(L4075&gt;=33,"D",IF(L4075&lt;=32,"E","")))))))</f>
        <v/>
      </c>
      <c r="N4075" s="57" t="s">
        <v>752</v>
      </c>
      <c r="O4075" s="58"/>
      <c r="P4075" s="59"/>
      <c r="Q4075" s="19"/>
      <c r="R4075" s="11"/>
    </row>
    <row r="4076" s="1" customFormat="1" ht="21.95" customHeight="1" spans="1:18">
      <c r="A4076" s="7"/>
      <c r="B4076" s="12"/>
      <c r="C4076" s="33"/>
      <c r="D4076" s="52" t="s">
        <v>753</v>
      </c>
      <c r="E4076" s="53"/>
      <c r="F4076" s="60"/>
      <c r="G4076" s="54"/>
      <c r="H4076" s="54"/>
      <c r="I4076" s="54"/>
      <c r="J4076" s="54"/>
      <c r="K4076" s="54"/>
      <c r="L4076" s="55">
        <f t="shared" ref="L4076" si="214">SUM(G4076:K4076)</f>
        <v>0</v>
      </c>
      <c r="M4076" s="56" t="str">
        <f>IF(F4053&gt;ENTRY!$D$24,"",IF(L4076=0,"",IF(L4076&gt;79,"A",IF(L4076&gt;59,"B",IF(L4076&gt;44,"C",IF(L4076&gt;=33,"D",IF(L4076&lt;=32,"E","")))))))</f>
        <v/>
      </c>
      <c r="N4076" s="58"/>
      <c r="O4076" s="58"/>
      <c r="P4076" s="59"/>
      <c r="Q4076" s="19"/>
      <c r="R4076" s="11"/>
    </row>
    <row r="4077" s="1" customFormat="1" ht="21.95" customHeight="1" spans="1:18">
      <c r="A4077" s="7"/>
      <c r="B4077" s="12"/>
      <c r="C4077" s="33"/>
      <c r="D4077" s="45" t="s">
        <v>382</v>
      </c>
      <c r="E4077" s="46"/>
      <c r="F4077" s="54">
        <f ca="1" t="shared" ref="F4077:L4077" si="215">IFERROR(SUM(F4070:F4076),"")</f>
        <v>0</v>
      </c>
      <c r="G4077" s="54">
        <f ca="1" t="shared" si="215"/>
        <v>0</v>
      </c>
      <c r="H4077" s="54">
        <f ca="1" t="shared" si="215"/>
        <v>0</v>
      </c>
      <c r="I4077" s="54">
        <f ca="1" t="shared" si="215"/>
        <v>0</v>
      </c>
      <c r="J4077" s="54">
        <f ca="1" t="shared" si="215"/>
        <v>0</v>
      </c>
      <c r="K4077" s="54">
        <f ca="1" t="shared" si="215"/>
        <v>0</v>
      </c>
      <c r="L4077" s="55">
        <f ca="1" t="shared" si="215"/>
        <v>0</v>
      </c>
      <c r="M4077" s="61" t="str">
        <f ca="1">IF(F4053&gt;ENTRY!$D$24,"",IF(N4078="Ab","Ab",IF(N4078&gt;79.5,"A",IF(N4078&gt;59.5,"B",IF(N4078&gt;44.5,"C",IF(N4078&gt;=33,"D",IF(N4078&lt;33,"E","")))))))</f>
        <v/>
      </c>
      <c r="N4077" s="62"/>
      <c r="O4077" s="58"/>
      <c r="P4077" s="59"/>
      <c r="Q4077" s="19"/>
      <c r="R4077" s="11"/>
    </row>
    <row r="4078" s="1" customFormat="1" ht="21.95" customHeight="1" spans="1:18">
      <c r="A4078" s="7"/>
      <c r="B4078" s="12"/>
      <c r="C4078" s="33"/>
      <c r="D4078" s="63" t="s">
        <v>721</v>
      </c>
      <c r="E4078" s="63"/>
      <c r="F4078" s="63"/>
      <c r="G4078" s="63"/>
      <c r="H4078" s="63"/>
      <c r="I4078" s="63"/>
      <c r="J4078" s="63"/>
      <c r="K4078" s="63"/>
      <c r="L4078" s="63"/>
      <c r="M4078" s="63"/>
      <c r="N4078" s="64">
        <f ca="1">IF(L4077="Ab","Ab",L4077/6)</f>
        <v>0</v>
      </c>
      <c r="O4078" s="65"/>
      <c r="P4078" s="19"/>
      <c r="Q4078" s="19"/>
      <c r="R4078" s="11"/>
    </row>
    <row r="4079" s="1" customFormat="1" ht="21.95" customHeight="1" spans="1:18">
      <c r="A4079" s="7"/>
      <c r="B4079" s="12"/>
      <c r="C4079" s="33"/>
      <c r="D4079" s="29" t="s">
        <v>716</v>
      </c>
      <c r="E4079" s="18" t="str">
        <f>IFERROR(VLOOKUP(F4053,'1to4-2.1-RR'!$A$12:$BG$111,57,0),"")</f>
        <v/>
      </c>
      <c r="F4079" s="18"/>
      <c r="G4079" s="18"/>
      <c r="H4079" s="18"/>
      <c r="I4079" s="18"/>
      <c r="J4079" s="18"/>
      <c r="K4079" s="18"/>
      <c r="L4079" s="18"/>
      <c r="M4079" s="18"/>
      <c r="N4079" s="29"/>
      <c r="O4079" s="29"/>
      <c r="P4079" s="19"/>
      <c r="Q4079" s="19"/>
      <c r="R4079" s="11"/>
    </row>
    <row r="4080" s="1" customFormat="1" ht="9.95" customHeight="1" spans="1:18">
      <c r="A4080" s="7"/>
      <c r="B4080" s="12"/>
      <c r="C4080" s="33"/>
      <c r="D4080" s="29"/>
      <c r="E4080" s="29"/>
      <c r="F4080" s="29"/>
      <c r="G4080" s="29"/>
      <c r="H4080" s="29"/>
      <c r="I4080" s="29"/>
      <c r="J4080" s="29"/>
      <c r="K4080" s="29"/>
      <c r="L4080" s="29"/>
      <c r="M4080" s="29"/>
      <c r="N4080" s="29"/>
      <c r="O4080" s="29"/>
      <c r="P4080" s="19"/>
      <c r="Q4080" s="19"/>
      <c r="R4080" s="11"/>
    </row>
    <row r="4081" s="1" customFormat="1" ht="36" spans="1:19">
      <c r="A4081" s="7"/>
      <c r="B4081" s="12"/>
      <c r="C4081" s="33"/>
      <c r="D4081" s="66" t="s">
        <v>576</v>
      </c>
      <c r="E4081" s="67" t="s">
        <v>754</v>
      </c>
      <c r="F4081" s="47" t="str">
        <f>IF(F4053&gt;ENTRY!$D$24,"",IFERROR(VLOOKUP(F4053,PASHEET!$A$4:$CJ$103,88,0),""))</f>
        <v/>
      </c>
      <c r="G4081" s="67" t="s">
        <v>755</v>
      </c>
      <c r="H4081" s="47" t="str">
        <f>IF(F4053&gt;ENTRY!$D$24,"",IFERROR(VLOOKUP(F4053,PASHEET!$A$4:$CJ$103,87,0),""))</f>
        <v/>
      </c>
      <c r="I4081" s="68" t="s">
        <v>756</v>
      </c>
      <c r="J4081" s="69" t="str">
        <f>IF(F4053&gt;ENTRY!$D$24,"",IFERROR(IF(F4053&gt;0,H4081/F4081*100),""))</f>
        <v/>
      </c>
      <c r="K4081" s="60" t="s">
        <v>757</v>
      </c>
      <c r="L4081" s="70" t="str">
        <f ca="1">IF(F4053&gt;ENTRY!$D$24,"",IFERROR(L4077/600*100,""))</f>
        <v/>
      </c>
      <c r="M4081" s="47" t="str">
        <f ca="1">IF(F4053&gt;ENTRY!$D$24,"",IFERROR(L4077&amp;" / "&amp;"600",""))</f>
        <v/>
      </c>
      <c r="N4081" s="29"/>
      <c r="O4081" s="29"/>
      <c r="P4081" s="19"/>
      <c r="Q4081" s="19"/>
      <c r="R4081" s="11"/>
    </row>
    <row r="4082" s="1" customFormat="1" ht="9.95" customHeight="1" spans="1:19">
      <c r="A4082" s="7"/>
      <c r="B4082" s="12"/>
      <c r="C4082" s="39"/>
      <c r="D4082" s="40"/>
      <c r="E4082" s="40"/>
      <c r="F4082" s="40"/>
      <c r="G4082" s="40"/>
      <c r="H4082" s="40"/>
      <c r="I4082" s="40"/>
      <c r="J4082" s="40"/>
      <c r="K4082" s="40"/>
      <c r="L4082" s="40"/>
      <c r="M4082" s="40"/>
      <c r="N4082" s="40"/>
      <c r="O4082" s="40"/>
      <c r="P4082" s="41"/>
      <c r="Q4082" s="19"/>
      <c r="R4082" s="11"/>
    </row>
    <row r="4083" s="1" customFormat="1" ht="9.95" customHeight="1" spans="1:19">
      <c r="A4083" s="7"/>
      <c r="B4083" s="12"/>
      <c r="C4083" s="71"/>
      <c r="D4083" s="71"/>
      <c r="E4083" s="71"/>
      <c r="F4083" s="29"/>
      <c r="G4083" s="71"/>
      <c r="H4083" s="71"/>
      <c r="I4083" s="71"/>
      <c r="J4083" s="71"/>
      <c r="K4083" s="71"/>
      <c r="L4083" s="71"/>
      <c r="M4083" s="71"/>
      <c r="N4083" s="71"/>
      <c r="O4083" s="71"/>
      <c r="P4083" s="71"/>
      <c r="Q4083" s="19"/>
      <c r="R4083" s="11"/>
    </row>
    <row r="4084" s="1" customFormat="1" ht="9.95" customHeight="1" spans="1:19">
      <c r="A4084" s="7"/>
      <c r="B4084" s="12"/>
      <c r="C4084" s="29"/>
      <c r="D4084" s="29"/>
      <c r="E4084" s="29"/>
      <c r="F4084" s="72"/>
      <c r="G4084" s="29"/>
      <c r="H4084" s="29"/>
      <c r="I4084" s="29"/>
      <c r="J4084" s="29"/>
      <c r="K4084" s="29"/>
      <c r="L4084" s="29"/>
      <c r="M4084" s="29"/>
      <c r="N4084" s="29"/>
      <c r="O4084" s="29"/>
      <c r="P4084" s="29"/>
      <c r="Q4084" s="19"/>
      <c r="R4084" s="11"/>
    </row>
    <row r="4085" s="1" customFormat="1" ht="9.95" customHeight="1" spans="1:19">
      <c r="A4085" s="7"/>
      <c r="B4085" s="12"/>
      <c r="C4085" s="30"/>
      <c r="D4085" s="31"/>
      <c r="E4085" s="31"/>
      <c r="F4085" s="31"/>
      <c r="G4085" s="31"/>
      <c r="H4085" s="31"/>
      <c r="I4085" s="31"/>
      <c r="J4085" s="31"/>
      <c r="K4085" s="31"/>
      <c r="L4085" s="31"/>
      <c r="M4085" s="31"/>
      <c r="N4085" s="31"/>
      <c r="O4085" s="31"/>
      <c r="P4085" s="32"/>
      <c r="Q4085" s="19"/>
      <c r="R4085" s="11"/>
    </row>
    <row r="4086" s="1" customFormat="1" ht="21.95" customHeight="1" spans="1:19">
      <c r="A4086" s="7"/>
      <c r="B4086" s="12"/>
      <c r="C4086" s="73" t="s">
        <v>7</v>
      </c>
      <c r="D4086" s="13"/>
      <c r="E4086" s="13"/>
      <c r="F4086" s="13"/>
      <c r="G4086" s="13"/>
      <c r="H4086" s="13"/>
      <c r="I4086" s="13"/>
      <c r="J4086" s="13"/>
      <c r="K4086" s="13"/>
      <c r="L4086" s="13"/>
      <c r="M4086" s="13"/>
      <c r="N4086" s="13"/>
      <c r="O4086" s="13"/>
      <c r="P4086" s="74"/>
      <c r="Q4086" s="19"/>
      <c r="R4086" s="11"/>
      <c r="S4086" s="2"/>
    </row>
    <row r="4087" s="1" customFormat="1" ht="21.95" customHeight="1" spans="1:19">
      <c r="A4087" s="7"/>
      <c r="B4087" s="12"/>
      <c r="C4087" s="33"/>
      <c r="D4087" s="29"/>
      <c r="E4087" s="29"/>
      <c r="F4087" s="29"/>
      <c r="G4087" s="29"/>
      <c r="H4087" s="29"/>
      <c r="I4087" s="29"/>
      <c r="J4087" s="29"/>
      <c r="K4087" s="29"/>
      <c r="L4087" s="29"/>
      <c r="M4087" s="29"/>
      <c r="N4087" s="29"/>
      <c r="O4087" s="29"/>
      <c r="P4087" s="19"/>
      <c r="Q4087" s="19"/>
      <c r="R4087" s="11"/>
    </row>
    <row r="4088" s="1" customFormat="1" ht="21.95" customHeight="1" spans="1:19">
      <c r="A4088" s="7"/>
      <c r="B4088" s="12"/>
      <c r="C4088" s="75" t="str">
        <f>"SESSION-"&amp;ENTRY!$D$11</f>
        <v>SESSION-2026-27</v>
      </c>
      <c r="D4088" s="15"/>
      <c r="E4088" s="15"/>
      <c r="F4088" s="15"/>
      <c r="G4088" s="15"/>
      <c r="H4088" s="15"/>
      <c r="I4088" s="15"/>
      <c r="J4088" s="15"/>
      <c r="K4088" s="15"/>
      <c r="L4088" s="15"/>
      <c r="M4088" s="15"/>
      <c r="N4088" s="15"/>
      <c r="O4088" s="15"/>
      <c r="P4088" s="76"/>
      <c r="Q4088" s="19"/>
      <c r="R4088" s="11"/>
    </row>
    <row r="4089" s="1" customFormat="1" ht="18" customHeight="1" spans="1:19">
      <c r="A4089" s="7"/>
      <c r="B4089" s="12"/>
      <c r="C4089" s="33"/>
      <c r="D4089" s="29"/>
      <c r="E4089" s="29"/>
      <c r="F4089" s="29"/>
      <c r="G4089" s="29"/>
      <c r="H4089" s="29"/>
      <c r="I4089" s="29"/>
      <c r="J4089" s="29"/>
      <c r="K4089" s="29"/>
      <c r="L4089" s="29"/>
      <c r="M4089" s="29"/>
      <c r="N4089" s="29"/>
      <c r="O4089" s="29"/>
      <c r="P4089" s="19"/>
      <c r="Q4089" s="19"/>
      <c r="R4089" s="11"/>
    </row>
    <row r="4090" s="1" customFormat="1" ht="21.95" customHeight="1" spans="1:19">
      <c r="A4090" s="7"/>
      <c r="B4090" s="12"/>
      <c r="C4090" s="33"/>
      <c r="D4090" s="77" t="s">
        <v>758</v>
      </c>
      <c r="E4090" s="77"/>
      <c r="F4090" s="78" t="str">
        <f>IFERROR(PROPER(VLOOKUP(F4053,STUDENT!$A$2:$BP$101,5,0)),"")</f>
        <v/>
      </c>
      <c r="G4090" s="78"/>
      <c r="H4090" s="78"/>
      <c r="I4090" s="78"/>
      <c r="J4090" s="78"/>
      <c r="K4090" s="78"/>
      <c r="L4090" s="78"/>
      <c r="M4090" s="78"/>
      <c r="N4090" s="79" t="s">
        <v>759</v>
      </c>
      <c r="O4090" s="79"/>
      <c r="P4090" s="19"/>
      <c r="Q4090" s="19"/>
      <c r="R4090" s="11"/>
    </row>
    <row r="4091" s="1" customFormat="1" ht="21.95" customHeight="1" spans="1:19">
      <c r="A4091" s="7"/>
      <c r="B4091" s="12"/>
      <c r="C4091" s="33"/>
      <c r="D4091" s="80" t="s">
        <v>760</v>
      </c>
      <c r="E4091" s="81" t="str">
        <f>IFERROR(PROPER(VLOOKUP(F4053,STUDENT!$A$2:$BP$101,9,0)),"")</f>
        <v/>
      </c>
      <c r="F4091" s="81"/>
      <c r="G4091" s="81"/>
      <c r="H4091" s="80" t="s">
        <v>761</v>
      </c>
      <c r="I4091" s="82" t="str">
        <f>IFERROR(PROPER(VLOOKUP(F4053,STUDENT!$A$2:$BP$101,8,0)),"")</f>
        <v/>
      </c>
      <c r="J4091" s="82"/>
      <c r="K4091" s="82"/>
      <c r="L4091" s="82"/>
      <c r="M4091" s="80" t="s">
        <v>762</v>
      </c>
      <c r="N4091" s="83" t="str">
        <f>IFERROR(VLOOKUP(F4053,STUDENT!$A$2:$BP$101,59,0),"")</f>
        <v/>
      </c>
      <c r="O4091" s="83"/>
      <c r="P4091" s="19"/>
      <c r="Q4091" s="19"/>
      <c r="R4091" s="11"/>
    </row>
    <row r="4092" s="1" customFormat="1" ht="21.95" customHeight="1" spans="1:19">
      <c r="A4092" s="7"/>
      <c r="B4092" s="12"/>
      <c r="C4092" s="33"/>
      <c r="D4092" s="77" t="str">
        <f>"has    completed     his  /  her     primary     level     education    in    the    year    "&amp;RIGHT(ENTRY!$D4058,4)&amp;"    from    ( School    Name )"</f>
        <v>has    completed     his  /  her     primary     level     education    in    the    year        from    ( School    Name )</v>
      </c>
      <c r="E4092" s="77"/>
      <c r="F4092" s="77"/>
      <c r="G4092" s="77"/>
      <c r="H4092" s="77"/>
      <c r="I4092" s="77"/>
      <c r="J4092" s="77"/>
      <c r="K4092" s="77"/>
      <c r="L4092" s="77"/>
      <c r="M4092" s="77"/>
      <c r="N4092" s="77"/>
      <c r="O4092" s="77"/>
      <c r="P4092" s="19"/>
      <c r="Q4092" s="19"/>
      <c r="R4092" s="11"/>
    </row>
    <row r="4093" s="1" customFormat="1" ht="21.95" customHeight="1" spans="1:19">
      <c r="A4093" s="7"/>
      <c r="B4093" s="12"/>
      <c r="C4093" s="33"/>
      <c r="D4093" s="81" t="str">
        <f>IF(F4053&gt;0,ENTRY!$D$6,"")</f>
        <v>MCP NITHARI NO 1 BOYS</v>
      </c>
      <c r="E4093" s="81"/>
      <c r="F4093" s="81"/>
      <c r="G4093" s="81"/>
      <c r="H4093" s="81"/>
      <c r="I4093" s="81"/>
      <c r="J4093" s="81"/>
      <c r="K4093" s="81"/>
      <c r="L4093" s="81"/>
      <c r="M4093" s="80" t="s">
        <v>763</v>
      </c>
      <c r="N4093" s="84">
        <f>IF(F4053&gt;0,ENTRY!$D$7,"")</f>
        <v>0</v>
      </c>
      <c r="O4093" s="84"/>
      <c r="P4093" s="85" t="s">
        <v>727</v>
      </c>
      <c r="Q4093" s="19"/>
      <c r="R4093" s="11"/>
    </row>
    <row r="4094" s="1" customFormat="1" ht="21.95" customHeight="1" spans="1:19">
      <c r="A4094" s="7"/>
      <c r="B4094" s="12"/>
      <c r="C4094" s="33"/>
      <c r="D4094" s="29"/>
      <c r="E4094" s="29"/>
      <c r="F4094" s="29"/>
      <c r="G4094" s="29"/>
      <c r="H4094" s="29"/>
      <c r="I4094" s="29"/>
      <c r="J4094" s="29"/>
      <c r="K4094" s="29"/>
      <c r="L4094" s="29"/>
      <c r="M4094" s="29"/>
      <c r="N4094" s="29"/>
      <c r="O4094" s="29"/>
      <c r="P4094" s="19"/>
      <c r="Q4094" s="19"/>
      <c r="R4094" s="11"/>
    </row>
    <row r="4095" s="1" customFormat="1" ht="21.95" customHeight="1" spans="1:19">
      <c r="A4095" s="7"/>
      <c r="B4095" s="12"/>
      <c r="C4095" s="33"/>
      <c r="D4095" s="29"/>
      <c r="E4095" s="29"/>
      <c r="F4095" s="29"/>
      <c r="G4095" s="29"/>
      <c r="H4095" s="29"/>
      <c r="I4095" s="29"/>
      <c r="J4095" s="29"/>
      <c r="K4095" s="29"/>
      <c r="L4095" s="29"/>
      <c r="M4095" s="29"/>
      <c r="N4095" s="29"/>
      <c r="O4095" s="29"/>
      <c r="P4095" s="19"/>
      <c r="Q4095" s="19"/>
      <c r="R4095" s="11"/>
    </row>
    <row r="4096" s="1" customFormat="1" ht="21.95" customHeight="1" spans="1:19">
      <c r="A4096" s="7"/>
      <c r="B4096" s="12"/>
      <c r="C4096" s="33"/>
      <c r="D4096" s="29"/>
      <c r="E4096" s="29"/>
      <c r="F4096" s="29"/>
      <c r="G4096" s="29"/>
      <c r="H4096" s="29"/>
      <c r="I4096" s="29"/>
      <c r="J4096" s="29"/>
      <c r="K4096" s="29"/>
      <c r="L4096" s="29"/>
      <c r="M4096" s="29"/>
      <c r="N4096" s="29"/>
      <c r="O4096" s="29"/>
      <c r="P4096" s="19"/>
      <c r="Q4096" s="19"/>
      <c r="R4096" s="11"/>
    </row>
    <row r="4097" s="1" customFormat="1" ht="21.95" customHeight="1" spans="1:18">
      <c r="A4097" s="7"/>
      <c r="B4097" s="12"/>
      <c r="C4097" s="33"/>
      <c r="D4097" s="29"/>
      <c r="E4097" s="29"/>
      <c r="F4097" s="29"/>
      <c r="G4097" s="29"/>
      <c r="H4097" s="29"/>
      <c r="I4097" s="29"/>
      <c r="J4097" s="29"/>
      <c r="K4097" s="29"/>
      <c r="L4097" s="29"/>
      <c r="M4097" s="29"/>
      <c r="N4097" s="29"/>
      <c r="O4097" s="29"/>
      <c r="P4097" s="19"/>
      <c r="Q4097" s="19"/>
      <c r="R4097" s="11"/>
    </row>
    <row r="4098" s="1" customFormat="1" ht="21.95" customHeight="1" spans="1:18">
      <c r="A4098" s="7"/>
      <c r="B4098" s="12"/>
      <c r="C4098" s="33"/>
      <c r="D4098" s="29"/>
      <c r="E4098" s="29"/>
      <c r="F4098" s="29"/>
      <c r="G4098" s="29"/>
      <c r="H4098" s="29"/>
      <c r="I4098" s="29"/>
      <c r="J4098" s="29"/>
      <c r="K4098" s="29"/>
      <c r="L4098" s="29"/>
      <c r="M4098" s="29"/>
      <c r="N4098" s="29"/>
      <c r="O4098" s="29"/>
      <c r="P4098" s="19"/>
      <c r="Q4098" s="19"/>
      <c r="R4098" s="11"/>
    </row>
    <row r="4099" s="1" customFormat="1" ht="21.95" customHeight="1" spans="1:18">
      <c r="A4099" s="7"/>
      <c r="B4099" s="12"/>
      <c r="C4099" s="33"/>
      <c r="D4099" s="80" t="s">
        <v>728</v>
      </c>
      <c r="E4099" s="86">
        <f>ENTRY!$D$27</f>
        <v>46102</v>
      </c>
      <c r="F4099" s="86"/>
      <c r="G4099" s="29"/>
      <c r="H4099" s="29"/>
      <c r="I4099" s="29"/>
      <c r="J4099" s="29"/>
      <c r="K4099" s="29"/>
      <c r="L4099" s="29"/>
      <c r="M4099" s="87" t="s">
        <v>730</v>
      </c>
      <c r="N4099" s="87"/>
      <c r="O4099" s="87"/>
      <c r="P4099" s="19"/>
      <c r="Q4099" s="19"/>
      <c r="R4099" s="11"/>
    </row>
    <row r="4100" s="1" customFormat="1" ht="21.95" customHeight="1" spans="1:18">
      <c r="A4100" s="7"/>
      <c r="B4100" s="12"/>
      <c r="C4100" s="33"/>
      <c r="D4100" s="80" t="s">
        <v>731</v>
      </c>
      <c r="E4100" s="88" t="str">
        <f>PROPER(ENTRY!$D$28)</f>
        <v>New Delhi</v>
      </c>
      <c r="F4100" s="88"/>
      <c r="G4100" s="29"/>
      <c r="H4100" s="29"/>
      <c r="I4100" s="29"/>
      <c r="J4100" s="29"/>
      <c r="K4100" s="29"/>
      <c r="L4100" s="29"/>
      <c r="M4100" s="89" t="s">
        <v>732</v>
      </c>
      <c r="N4100" s="89"/>
      <c r="O4100" s="89"/>
      <c r="P4100" s="19"/>
      <c r="Q4100" s="19"/>
      <c r="R4100" s="11"/>
    </row>
    <row r="4101" s="1" customFormat="1" ht="21.95" customHeight="1" spans="1:18">
      <c r="A4101" s="7"/>
      <c r="B4101" s="12"/>
      <c r="C4101" s="90"/>
      <c r="D4101" s="91"/>
      <c r="E4101" s="91"/>
      <c r="F4101" s="91"/>
      <c r="G4101" s="91"/>
      <c r="H4101" s="91"/>
      <c r="I4101" s="91"/>
      <c r="J4101" s="91"/>
      <c r="K4101" s="91"/>
      <c r="L4101" s="91"/>
      <c r="M4101" s="91"/>
      <c r="N4101" s="91"/>
      <c r="O4101" s="91"/>
      <c r="P4101" s="92"/>
      <c r="Q4101" s="14"/>
      <c r="R4101" s="11"/>
    </row>
    <row r="4102" s="1" customFormat="1" ht="5.1" customHeight="1" spans="1:18">
      <c r="A4102" s="7"/>
      <c r="B4102" s="90"/>
      <c r="C4102" s="91"/>
      <c r="D4102" s="91"/>
      <c r="E4102" s="91"/>
      <c r="F4102" s="91"/>
      <c r="G4102" s="91"/>
      <c r="H4102" s="91"/>
      <c r="I4102" s="91"/>
      <c r="J4102" s="91"/>
      <c r="K4102" s="91"/>
      <c r="L4102" s="91"/>
      <c r="M4102" s="91"/>
      <c r="N4102" s="91"/>
      <c r="O4102" s="91"/>
      <c r="P4102" s="91"/>
      <c r="Q4102" s="92"/>
      <c r="R4102" s="11"/>
    </row>
    <row r="4103" s="1" customFormat="1" ht="5.1" customHeight="1" spans="1:18">
      <c r="A4103" s="93"/>
      <c r="B4103" s="94"/>
      <c r="C4103" s="94"/>
      <c r="D4103" s="94"/>
      <c r="E4103" s="94"/>
      <c r="F4103" s="94"/>
      <c r="G4103" s="94"/>
      <c r="H4103" s="94"/>
      <c r="I4103" s="94"/>
      <c r="J4103" s="94"/>
      <c r="K4103" s="94"/>
      <c r="L4103" s="94"/>
      <c r="M4103" s="94"/>
      <c r="N4103" s="94"/>
      <c r="O4103" s="94"/>
      <c r="P4103" s="94"/>
      <c r="Q4103" s="94"/>
      <c r="R4103" s="95"/>
    </row>
    <row r="4104" s="2" customFormat="1" ht="9.95" customHeight="1"/>
    <row r="4105" s="1" customFormat="1" ht="5.1" customHeight="1" spans="1:18">
      <c r="A4105" s="4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  <c r="O4105" s="5"/>
      <c r="P4105" s="5"/>
      <c r="Q4105" s="5"/>
      <c r="R4105" s="6"/>
    </row>
    <row r="4106" s="1" customFormat="1" ht="15" customHeight="1" spans="1:18">
      <c r="A4106" s="7"/>
      <c r="B4106" s="8"/>
      <c r="C4106" s="9"/>
      <c r="D4106" s="9"/>
      <c r="E4106" s="9"/>
      <c r="F4106" s="9"/>
      <c r="G4106" s="9"/>
      <c r="H4106" s="9"/>
      <c r="I4106" s="9"/>
      <c r="J4106" s="9"/>
      <c r="K4106" s="9"/>
      <c r="L4106" s="9"/>
      <c r="M4106" s="9"/>
      <c r="N4106" s="9"/>
      <c r="O4106" s="9"/>
      <c r="P4106" s="9"/>
      <c r="Q4106" s="10"/>
      <c r="R4106" s="11"/>
    </row>
    <row r="4107" s="1" customFormat="1" ht="21.95" customHeight="1" spans="1:18">
      <c r="A4107" s="7"/>
      <c r="B4107" s="12"/>
      <c r="C4107" s="13" t="s">
        <v>7</v>
      </c>
      <c r="D4107" s="13"/>
      <c r="E4107" s="13"/>
      <c r="F4107" s="13"/>
      <c r="G4107" s="13"/>
      <c r="H4107" s="13"/>
      <c r="I4107" s="13"/>
      <c r="J4107" s="13"/>
      <c r="K4107" s="13"/>
      <c r="L4107" s="13"/>
      <c r="M4107" s="13"/>
      <c r="N4107" s="13"/>
      <c r="O4107" s="13"/>
      <c r="P4107" s="13"/>
      <c r="Q4107" s="14"/>
      <c r="R4107" s="11"/>
    </row>
    <row r="4108" s="1" customFormat="1" ht="21.95" customHeight="1" spans="1:18">
      <c r="A4108" s="7"/>
      <c r="B4108" s="1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14"/>
      <c r="R4108" s="11"/>
    </row>
    <row r="4109" s="1" customFormat="1" ht="21.95" customHeight="1" spans="1:18">
      <c r="A4109" s="7"/>
      <c r="B4109" s="12"/>
      <c r="C4109" s="15" t="str">
        <f>"SESSION-"&amp;ENTRY!$D$11</f>
        <v>SESSION-2026-27</v>
      </c>
      <c r="D4109" s="15"/>
      <c r="E4109" s="15"/>
      <c r="F4109" s="15"/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  <c r="Q4109" s="14"/>
      <c r="R4109" s="11"/>
    </row>
    <row r="4110" s="1" customFormat="1" ht="21.95" customHeight="1" spans="1:18">
      <c r="A4110" s="7"/>
      <c r="B4110" s="12"/>
      <c r="C4110" s="2"/>
      <c r="D4110" s="2"/>
      <c r="E4110" s="2"/>
      <c r="F4110" s="16">
        <f>F4053+1</f>
        <v>73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14"/>
      <c r="R4110" s="11"/>
    </row>
    <row r="4111" s="1" customFormat="1" ht="21.95" customHeight="1" spans="1:18">
      <c r="A4111" s="7"/>
      <c r="B4111" s="12"/>
      <c r="C4111" s="17" t="s">
        <v>392</v>
      </c>
      <c r="D4111" s="17"/>
      <c r="E4111" s="17"/>
      <c r="F4111" s="18" t="str">
        <f>IF(F4110&gt;0,ENTRY!$D$6,"")</f>
        <v>MCP NITHARI NO 1 BOYS</v>
      </c>
      <c r="G4111" s="18"/>
      <c r="H4111" s="18"/>
      <c r="I4111" s="18"/>
      <c r="J4111" s="18"/>
      <c r="K4111" s="18"/>
      <c r="L4111" s="18"/>
      <c r="M4111" s="18"/>
      <c r="N4111" s="18"/>
      <c r="O4111" s="18"/>
      <c r="P4111" s="18"/>
      <c r="Q4111" s="19"/>
      <c r="R4111" s="11"/>
    </row>
    <row r="4112" s="1" customFormat="1" ht="21.95" customHeight="1" spans="1:18">
      <c r="A4112" s="7"/>
      <c r="B4112" s="12"/>
      <c r="C4112" s="17" t="s">
        <v>393</v>
      </c>
      <c r="D4112" s="17"/>
      <c r="E4112" s="17"/>
      <c r="F4112" s="18">
        <f>IF(F4110&gt;0,ENTRY!$D$7,"")</f>
        <v>0</v>
      </c>
      <c r="G4112" s="18"/>
      <c r="H4112" s="20" t="s">
        <v>702</v>
      </c>
      <c r="I4112" s="20"/>
      <c r="J4112" s="21">
        <f>IF(F4110&gt;0,ENTRY!$D$10,"")</f>
        <v>40</v>
      </c>
      <c r="K4112" s="20" t="s">
        <v>703</v>
      </c>
      <c r="L4112" s="22" t="str">
        <f>IF(F4110&gt;0,ENTRY!$D$5,"")</f>
        <v>ROHINI ZONE</v>
      </c>
      <c r="M4112" s="22"/>
      <c r="N4112" s="22"/>
      <c r="O4112" s="22"/>
      <c r="P4112" s="22"/>
      <c r="Q4112" s="19"/>
      <c r="R4112" s="11"/>
    </row>
    <row r="4113" s="1" customFormat="1" ht="21.95" customHeight="1" spans="1:18">
      <c r="A4113" s="7"/>
      <c r="B4113" s="12"/>
      <c r="C4113" s="17" t="s">
        <v>706</v>
      </c>
      <c r="D4113" s="17"/>
      <c r="E4113" s="17"/>
      <c r="F4113" s="23">
        <f>IFERROR(VLOOKUP(F4110,STUDENT!$A$2:$BP$101,5,0),"")</f>
        <v>0</v>
      </c>
      <c r="G4113" s="23"/>
      <c r="H4113" s="23"/>
      <c r="I4113" s="23"/>
      <c r="J4113" s="23"/>
      <c r="K4113" s="23"/>
      <c r="L4113" s="20" t="s">
        <v>707</v>
      </c>
      <c r="M4113" s="20"/>
      <c r="N4113" s="24" t="str">
        <f>IF(F4110&gt;0,ENTRY!$D$20&amp;"-"&amp;ENTRY!$D$21,"")</f>
        <v>III-A</v>
      </c>
      <c r="O4113" s="24"/>
      <c r="P4113" s="24"/>
      <c r="Q4113" s="19"/>
      <c r="R4113" s="11"/>
    </row>
    <row r="4114" s="1" customFormat="1" ht="21.95" customHeight="1" spans="1:18">
      <c r="A4114" s="7"/>
      <c r="B4114" s="12"/>
      <c r="C4114" s="17" t="s">
        <v>708</v>
      </c>
      <c r="D4114" s="17"/>
      <c r="E4114" s="17"/>
      <c r="F4114" s="25">
        <f>IFERROR(VLOOKUP(F4110,STUDENT!$A$2:$BP$101,6,0),"")</f>
        <v>0</v>
      </c>
      <c r="G4114" s="25"/>
      <c r="H4114" s="26" t="s">
        <v>709</v>
      </c>
      <c r="I4114" s="27" t="str">
        <f>IFERROR(VLOOKUP(F4110,STUDENT!$A$2:$BP$101,59,0),"")</f>
        <v/>
      </c>
      <c r="J4114" s="27"/>
      <c r="K4114" s="20" t="s">
        <v>710</v>
      </c>
      <c r="L4114" s="20"/>
      <c r="M4114" s="28">
        <f>IFERROR(VLOOKUP(F4110,STUDENT!$A$2:$BP$101,20,0),"")</f>
        <v>0</v>
      </c>
      <c r="N4114" s="28"/>
      <c r="O4114" s="28"/>
      <c r="P4114" s="28"/>
      <c r="Q4114" s="19"/>
      <c r="R4114" s="11"/>
    </row>
    <row r="4115" s="1" customFormat="1" ht="21.95" customHeight="1" spans="1:18">
      <c r="A4115" s="7"/>
      <c r="B4115" s="12"/>
      <c r="C4115" s="17" t="s">
        <v>711</v>
      </c>
      <c r="D4115" s="17"/>
      <c r="E4115" s="17"/>
      <c r="F4115" s="23">
        <f>IFERROR(VLOOKUP(F4110,STUDENT!$A$2:$BP$101,9,0),"")</f>
        <v>0</v>
      </c>
      <c r="G4115" s="23"/>
      <c r="H4115" s="23"/>
      <c r="I4115" s="23"/>
      <c r="J4115" s="17" t="s">
        <v>620</v>
      </c>
      <c r="K4115" s="17"/>
      <c r="L4115" s="23">
        <f>IFERROR(VLOOKUP(F4110,STUDENT!$A$2:$BP$101,8,0),"")</f>
        <v>0</v>
      </c>
      <c r="M4115" s="23"/>
      <c r="N4115" s="23"/>
      <c r="O4115" s="23"/>
      <c r="P4115" s="23"/>
      <c r="Q4115" s="19"/>
      <c r="R4115" s="11"/>
    </row>
    <row r="4116" s="1" customFormat="1" ht="21.95" customHeight="1" spans="1:18">
      <c r="A4116" s="7"/>
      <c r="B4116" s="12"/>
      <c r="C4116" s="17" t="s">
        <v>712</v>
      </c>
      <c r="D4116" s="17"/>
      <c r="E4116" s="17"/>
      <c r="F4116" s="23">
        <f>IFERROR(VLOOKUP(F4110,STUDENT!$A$2:$BP$101,22,0),"")</f>
        <v>0</v>
      </c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19"/>
      <c r="R4116" s="11"/>
    </row>
    <row r="4117" s="1" customFormat="1" ht="9.95" customHeight="1" spans="1:18">
      <c r="A4117" s="7"/>
      <c r="B4117" s="12"/>
      <c r="C4117" s="29"/>
      <c r="D4117" s="29"/>
      <c r="E4117" s="29"/>
      <c r="F4117" s="29"/>
      <c r="G4117" s="29"/>
      <c r="H4117" s="29"/>
      <c r="I4117" s="29"/>
      <c r="J4117" s="29"/>
      <c r="K4117" s="29"/>
      <c r="L4117" s="29"/>
      <c r="M4117" s="29"/>
      <c r="N4117" s="29"/>
      <c r="O4117" s="29"/>
      <c r="P4117" s="29"/>
      <c r="Q4117" s="19"/>
      <c r="R4117" s="11"/>
    </row>
    <row r="4118" s="1" customFormat="1" ht="9.95" customHeight="1" spans="1:18">
      <c r="A4118" s="7"/>
      <c r="B4118" s="12"/>
      <c r="C4118" s="30"/>
      <c r="D4118" s="31"/>
      <c r="E4118" s="31"/>
      <c r="F4118" s="31"/>
      <c r="G4118" s="31"/>
      <c r="H4118" s="31"/>
      <c r="I4118" s="31"/>
      <c r="J4118" s="31"/>
      <c r="K4118" s="31"/>
      <c r="L4118" s="31"/>
      <c r="M4118" s="31"/>
      <c r="N4118" s="31"/>
      <c r="O4118" s="31"/>
      <c r="P4118" s="32"/>
      <c r="Q4118" s="19"/>
      <c r="R4118" s="11"/>
    </row>
    <row r="4119" s="1" customFormat="1" ht="21.95" customHeight="1" spans="1:18">
      <c r="A4119" s="7"/>
      <c r="B4119" s="12"/>
      <c r="C4119" s="33"/>
      <c r="D4119" s="34" t="s">
        <v>713</v>
      </c>
      <c r="E4119" s="20" t="s">
        <v>714</v>
      </c>
      <c r="F4119" s="35" t="str">
        <f>"Level - "&amp;IFERROR(VLOOKUP(F4110,FLN!$A$4:$K$103,9,0),"")</f>
        <v>Level - </v>
      </c>
      <c r="G4119" s="36"/>
      <c r="H4119" s="37" t="s">
        <v>715</v>
      </c>
      <c r="I4119" s="20"/>
      <c r="J4119" s="35" t="str">
        <f>"Level - "&amp;IFERROR(VLOOKUP(F4110,FLN!$A$4:$K$103,11,0),"")</f>
        <v>Level - </v>
      </c>
      <c r="K4119" s="36"/>
      <c r="L4119" s="37" t="s">
        <v>408</v>
      </c>
      <c r="M4119" s="20"/>
      <c r="N4119" s="35" t="str">
        <f>"Level - "&amp;IFERROR(VLOOKUP(F4110,FLN!$A$4:$K$103,10,0),"")</f>
        <v>Level - </v>
      </c>
      <c r="O4119" s="36"/>
      <c r="P4119" s="19"/>
      <c r="Q4119" s="19"/>
      <c r="R4119" s="11"/>
    </row>
    <row r="4120" s="1" customFormat="1" ht="21.95" customHeight="1" spans="1:18">
      <c r="A4120" s="7"/>
      <c r="B4120" s="12"/>
      <c r="C4120" s="33"/>
      <c r="D4120" s="38"/>
      <c r="E4120" s="20" t="s">
        <v>716</v>
      </c>
      <c r="F4120" s="18" t="str">
        <f ca="1">IF(L4134&gt;197,"PERFORMED WELL","")</f>
        <v/>
      </c>
      <c r="G4120" s="18"/>
      <c r="H4120" s="18"/>
      <c r="I4120" s="18"/>
      <c r="J4120" s="18"/>
      <c r="K4120" s="18"/>
      <c r="L4120" s="18"/>
      <c r="M4120" s="18"/>
      <c r="N4120" s="18"/>
      <c r="O4120" s="18"/>
      <c r="P4120" s="19"/>
      <c r="Q4120" s="19"/>
      <c r="R4120" s="11"/>
    </row>
    <row r="4121" s="1" customFormat="1" ht="9.95" customHeight="1" spans="1:18">
      <c r="A4121" s="7"/>
      <c r="B4121" s="12"/>
      <c r="C4121" s="39"/>
      <c r="D4121" s="40"/>
      <c r="E4121" s="40"/>
      <c r="F4121" s="40"/>
      <c r="G4121" s="40"/>
      <c r="H4121" s="40"/>
      <c r="I4121" s="40"/>
      <c r="J4121" s="40"/>
      <c r="K4121" s="40"/>
      <c r="L4121" s="40"/>
      <c r="M4121" s="40"/>
      <c r="N4121" s="40"/>
      <c r="O4121" s="40"/>
      <c r="P4121" s="41"/>
      <c r="Q4121" s="19"/>
      <c r="R4121" s="11"/>
    </row>
    <row r="4122" s="1" customFormat="1" ht="9.95" customHeight="1" spans="1:18">
      <c r="A4122" s="7"/>
      <c r="B4122" s="12"/>
      <c r="C4122" s="29"/>
      <c r="D4122" s="29"/>
      <c r="E4122" s="29"/>
      <c r="F4122" s="29"/>
      <c r="G4122" s="29"/>
      <c r="H4122" s="29"/>
      <c r="I4122" s="29"/>
      <c r="J4122" s="29"/>
      <c r="K4122" s="29"/>
      <c r="L4122" s="29"/>
      <c r="M4122" s="29"/>
      <c r="N4122" s="29"/>
      <c r="O4122" s="29"/>
      <c r="P4122" s="29"/>
      <c r="Q4122" s="19"/>
      <c r="R4122" s="11"/>
    </row>
    <row r="4123" s="1" customFormat="1" ht="9.95" customHeight="1" spans="1:18">
      <c r="A4123" s="7"/>
      <c r="B4123" s="12"/>
      <c r="C4123" s="30"/>
      <c r="D4123" s="31"/>
      <c r="E4123" s="31"/>
      <c r="F4123" s="31"/>
      <c r="G4123" s="31"/>
      <c r="H4123" s="31"/>
      <c r="I4123" s="31"/>
      <c r="J4123" s="31"/>
      <c r="K4123" s="31"/>
      <c r="L4123" s="31"/>
      <c r="M4123" s="31"/>
      <c r="N4123" s="31"/>
      <c r="O4123" s="31"/>
      <c r="P4123" s="32"/>
      <c r="Q4123" s="19"/>
      <c r="R4123" s="11"/>
    </row>
    <row r="4124" s="1" customFormat="1" ht="21.95" customHeight="1" spans="1:18">
      <c r="A4124" s="7"/>
      <c r="B4124" s="12"/>
      <c r="C4124" s="33"/>
      <c r="D4124" s="35"/>
      <c r="E4124" s="24"/>
      <c r="F4124" s="42" t="s">
        <v>717</v>
      </c>
      <c r="G4124" s="42"/>
      <c r="H4124" s="42"/>
      <c r="I4124" s="42"/>
      <c r="J4124" s="42"/>
      <c r="K4124" s="42"/>
      <c r="L4124" s="43"/>
      <c r="M4124" s="44"/>
      <c r="N4124" s="29"/>
      <c r="O4124" s="29"/>
      <c r="P4124" s="19"/>
      <c r="Q4124" s="19"/>
      <c r="R4124" s="11"/>
    </row>
    <row r="4125" s="1" customFormat="1" ht="21.95" customHeight="1" spans="1:18">
      <c r="A4125" s="7"/>
      <c r="B4125" s="12"/>
      <c r="C4125" s="33"/>
      <c r="D4125" s="45"/>
      <c r="E4125" s="46"/>
      <c r="F4125" s="47" t="s">
        <v>541</v>
      </c>
      <c r="G4125" s="47" t="s">
        <v>542</v>
      </c>
      <c r="H4125" s="47" t="s">
        <v>543</v>
      </c>
      <c r="I4125" s="47" t="s">
        <v>544</v>
      </c>
      <c r="J4125" s="47" t="s">
        <v>561</v>
      </c>
      <c r="K4125" s="48" t="s">
        <v>750</v>
      </c>
      <c r="L4125" s="47" t="s">
        <v>382</v>
      </c>
      <c r="M4125" s="49" t="s">
        <v>546</v>
      </c>
      <c r="N4125" s="29"/>
      <c r="O4125" s="29"/>
      <c r="P4125" s="19"/>
      <c r="Q4125" s="19"/>
      <c r="R4125" s="11"/>
    </row>
    <row r="4126" s="1" customFormat="1" ht="21.95" customHeight="1" spans="1:18">
      <c r="A4126" s="7"/>
      <c r="B4126" s="12"/>
      <c r="C4126" s="33"/>
      <c r="D4126" s="45" t="s">
        <v>652</v>
      </c>
      <c r="E4126" s="46"/>
      <c r="F4126" s="50">
        <v>10</v>
      </c>
      <c r="G4126" s="50">
        <v>10</v>
      </c>
      <c r="H4126" s="50">
        <v>10</v>
      </c>
      <c r="I4126" s="50">
        <v>10</v>
      </c>
      <c r="J4126" s="50">
        <v>60</v>
      </c>
      <c r="K4126" s="51"/>
      <c r="L4126" s="50">
        <v>100</v>
      </c>
      <c r="M4126" s="49"/>
      <c r="N4126" s="29"/>
      <c r="O4126" s="29"/>
      <c r="P4126" s="19"/>
      <c r="Q4126" s="19"/>
      <c r="R4126" s="11"/>
    </row>
    <row r="4127" s="1" customFormat="1" ht="21.95" customHeight="1" spans="1:18">
      <c r="A4127" s="7"/>
      <c r="B4127" s="12"/>
      <c r="C4127" s="33"/>
      <c r="D4127" s="52" t="s">
        <v>751</v>
      </c>
      <c r="E4127" s="53"/>
      <c r="F4127" s="54" t="str">
        <f ca="1">IFERROR(VLOOKUP(F4110,'RR-3.1-5TH'!$A$12:'RR-3.1-5TH'!$BN$111,9,0),"")</f>
        <v/>
      </c>
      <c r="G4127" s="54" t="str">
        <f ca="1">IFERROR(VLOOKUP(F4110,'RR-3.1-5TH'!$A$12:'RR-3.1-5TH'!$BN$111,10,0),"")</f>
        <v/>
      </c>
      <c r="H4127" s="54" t="str">
        <f ca="1">IFERROR(VLOOKUP(F4110,'RR-3.1-5TH'!$A$12:'RR-3.1-5TH'!$BN$111,11,0),"")</f>
        <v/>
      </c>
      <c r="I4127" s="54" t="str">
        <f ca="1">IFERROR(VLOOKUP(F4110,'RR-3.1-5TH'!$A$12:'RR-3.1-5TH'!$BN$111,12,0),"")</f>
        <v/>
      </c>
      <c r="J4127" s="54" t="str">
        <f ca="1">IFERROR(VLOOKUP(F4110,'RR-3.1-5TH'!$A$12:'RR-3.1-5TH'!$BN$111,13,0),"")</f>
        <v/>
      </c>
      <c r="K4127" s="54" t="str">
        <f ca="1">IFERROR(VLOOKUP(F4110,'RR-3.1-5TH'!$A$12:'RR-3.1-5TH'!$BN$111,14,0),"")</f>
        <v/>
      </c>
      <c r="L4127" s="55">
        <f ca="1" t="shared" ref="L4127:L4132" si="216">SUM(F4127,G4127,H4127,I4127,J4127,K4127)</f>
        <v>0</v>
      </c>
      <c r="M4127" s="56" t="str">
        <f ca="1">IF(F4110&gt;ENTRY!$D$24,"",IF(L4127=0,"Ab",IF(L4127&gt;80,"A",IF(L4127&gt;60,"B",IF(L4127&gt;44,"C",IF(L4127&gt;=33,"D",IF(L4127&lt;=32,"E","")))))))</f>
        <v/>
      </c>
      <c r="N4127" s="57" t="s">
        <v>729</v>
      </c>
      <c r="O4127" s="58"/>
      <c r="P4127" s="59"/>
      <c r="Q4127" s="19"/>
      <c r="R4127" s="11"/>
    </row>
    <row r="4128" s="1" customFormat="1" ht="21.95" customHeight="1" spans="1:18">
      <c r="A4128" s="7"/>
      <c r="B4128" s="12"/>
      <c r="C4128" s="33"/>
      <c r="D4128" s="52" t="s">
        <v>513</v>
      </c>
      <c r="E4128" s="53"/>
      <c r="F4128" s="54" t="str">
        <f ca="1">IFERROR(VLOOKUP(F4110,'RR-3.1-5TH'!$A$12:'RR-3.1-5TH'!$BN$111,17,0),"")</f>
        <v/>
      </c>
      <c r="G4128" s="54" t="str">
        <f ca="1">IFERROR(VLOOKUP(F4110,'RR-3.1-5TH'!$A$12:'RR-3.1-5TH'!$BN$111,18,0),"")</f>
        <v/>
      </c>
      <c r="H4128" s="54" t="str">
        <f ca="1">IFERROR(VLOOKUP(F4110,'RR-3.1-5TH'!$A$12:'RR-3.1-5TH'!$BN$111,19,0),"")</f>
        <v/>
      </c>
      <c r="I4128" s="54" t="str">
        <f ca="1">IFERROR(VLOOKUP(F4110,'RR-3.1-5TH'!$A$12:'RR-3.1-5TH'!$BN$111,20,0),"")</f>
        <v/>
      </c>
      <c r="J4128" s="54" t="str">
        <f ca="1">IFERROR(VLOOKUP(F4110,'RR-3.1-5TH'!$A$12:'RR-3.1-5TH'!$BN$111,21,0),"")</f>
        <v/>
      </c>
      <c r="K4128" s="54" t="str">
        <f ca="1">IFERROR(VLOOKUP(F4110,'RR-3.1-5TH'!$A$12:'RR-3.1-5TH'!$BN$111,22,0),"")</f>
        <v/>
      </c>
      <c r="L4128" s="55">
        <f ca="1" t="shared" si="216"/>
        <v>0</v>
      </c>
      <c r="M4128" s="56" t="str">
        <f ca="1">IF(F4110&gt;ENTRY!$D$24,"",IF(L4128=0,"Ab",IF(L4128&gt;80,"A",IF(L4128&gt;60,"B",IF(L4128&gt;44,"C",IF(L4128&gt;=33,"D",IF(L4128&lt;=32,"E","")))))))</f>
        <v/>
      </c>
      <c r="N4128" s="58"/>
      <c r="O4128" s="58"/>
      <c r="P4128" s="59"/>
      <c r="Q4128" s="19"/>
      <c r="R4128" s="11"/>
    </row>
    <row r="4129" s="1" customFormat="1" ht="21.95" customHeight="1" spans="1:19">
      <c r="A4129" s="7"/>
      <c r="B4129" s="12"/>
      <c r="C4129" s="33"/>
      <c r="D4129" s="52" t="s">
        <v>718</v>
      </c>
      <c r="E4129" s="53"/>
      <c r="F4129" s="54" t="str">
        <f ca="1">IFERROR(VLOOKUP(F4110,'RR-3.1-5TH'!$A$12:'RR-3.1-5TH'!$BN$111,25,0),"")</f>
        <v/>
      </c>
      <c r="G4129" s="54" t="str">
        <f ca="1">IFERROR(VLOOKUP(F4110,'RR-3.1-5TH'!$A$12:'RR-3.1-5TH'!$BN$111,26,0),"")</f>
        <v/>
      </c>
      <c r="H4129" s="54" t="str">
        <f ca="1">IFERROR(VLOOKUP(F4110,'RR-3.1-5TH'!$A$12:'RR-3.1-5TH'!$BN$111,27,0),"")</f>
        <v/>
      </c>
      <c r="I4129" s="54" t="str">
        <f ca="1">IFERROR(VLOOKUP(F4110,'RR-3.1-5TH'!$A$12:'RR-3.1-5TH'!$BN$111,28,0),"")</f>
        <v/>
      </c>
      <c r="J4129" s="54" t="str">
        <f ca="1">IFERROR(VLOOKUP(F4110,'RR-3.1-5TH'!$A$12:'RR-3.1-5TH'!$BN$111,29,0),"")</f>
        <v/>
      </c>
      <c r="K4129" s="54" t="str">
        <f ca="1">IFERROR(VLOOKUP(F4110,'RR-3.1-5TH'!$A$12:'RR-3.1-5TH'!$BN$111,30,0),"")</f>
        <v/>
      </c>
      <c r="L4129" s="55">
        <f ca="1" t="shared" si="216"/>
        <v>0</v>
      </c>
      <c r="M4129" s="56" t="str">
        <f ca="1">IF(F4110&gt;ENTRY!$D$24,"",IF(L4129=0,"Ab",IF(L4129&gt;80,"A",IF(L4129&gt;60,"B",IF(L4129&gt;44,"C",IF(L4129&gt;=33,"D",IF(L4129&lt;=32,"E","")))))))</f>
        <v/>
      </c>
      <c r="N4129" s="29"/>
      <c r="O4129" s="29"/>
      <c r="P4129" s="19"/>
      <c r="Q4129" s="19"/>
      <c r="R4129" s="11"/>
    </row>
    <row r="4130" s="1" customFormat="1" ht="21.95" customHeight="1" spans="1:19">
      <c r="A4130" s="7"/>
      <c r="B4130" s="12"/>
      <c r="C4130" s="33"/>
      <c r="D4130" s="52" t="s">
        <v>719</v>
      </c>
      <c r="E4130" s="53"/>
      <c r="F4130" s="54" t="str">
        <f ca="1">IFERROR(VLOOKUP(F4110,'RR-3.1-5TH'!$A$12:'RR-3.1-5TH'!$BN$111,33,0),"")</f>
        <v/>
      </c>
      <c r="G4130" s="54" t="str">
        <f ca="1">IFERROR(VLOOKUP(F4110,'RR-3.1-5TH'!$A$12:'RR-3.1-5TH'!$BN$111,34,0),"")</f>
        <v/>
      </c>
      <c r="H4130" s="54" t="str">
        <f ca="1">IFERROR(VLOOKUP(F4110,'RR-3.1-5TH'!$A$12:'RR-3.1-5TH'!$BN$111,35,0),"")</f>
        <v/>
      </c>
      <c r="I4130" s="54" t="str">
        <f ca="1">IFERROR(VLOOKUP(F4110,'RR-3.1-5TH'!$A$12:'RR-3.1-5TH'!$BN$111,36,0),"")</f>
        <v/>
      </c>
      <c r="J4130" s="54" t="str">
        <f ca="1">IFERROR(VLOOKUP(F4110,'RR-3.1-5TH'!$A$12:'RR-3.1-5TH'!$BN$111,37,0),"")</f>
        <v/>
      </c>
      <c r="K4130" s="54" t="str">
        <f ca="1">IFERROR(VLOOKUP(F4110,'RR-3.1-5TH'!$A$12:'RR-3.1-5TH'!$BN$111,38,0),"")</f>
        <v/>
      </c>
      <c r="L4130" s="55">
        <f ca="1" t="shared" si="216"/>
        <v>0</v>
      </c>
      <c r="M4130" s="56" t="str">
        <f ca="1">IF(F4110&gt;ENTRY!$D$24,"",IF(L4130=0,"Ab",IF(L4130&gt;80,"A",IF(L4130&gt;60,"B",IF(L4130&gt;44,"C",IF(L4130&gt;=33,"D",IF(L4130&lt;=32,"E","")))))))</f>
        <v/>
      </c>
      <c r="N4130" s="29"/>
      <c r="O4130" s="29"/>
      <c r="P4130" s="19"/>
      <c r="Q4130" s="19"/>
      <c r="R4130" s="11"/>
    </row>
    <row r="4131" s="1" customFormat="1" ht="21.95" customHeight="1" spans="1:19">
      <c r="A4131" s="7"/>
      <c r="B4131" s="12"/>
      <c r="C4131" s="33"/>
      <c r="D4131" s="52" t="s">
        <v>548</v>
      </c>
      <c r="E4131" s="53"/>
      <c r="F4131" s="54" t="str">
        <f ca="1">IFERROR(VLOOKUP(F4110,'RR-3.1-5TH'!$A$12:'RR-3.1-5TH'!$BN$111,41,0),"")</f>
        <v/>
      </c>
      <c r="G4131" s="54" t="str">
        <f ca="1">IFERROR(VLOOKUP(F4110,'RR-3.1-5TH'!$A$12:'RR-3.1-5TH'!$BN$111,42,0),"")</f>
        <v/>
      </c>
      <c r="H4131" s="54" t="str">
        <f ca="1">IFERROR(VLOOKUP(F4110,'RR-3.1-5TH'!$A$12:'RR-3.1-5TH'!$BN$111,43,0),"")</f>
        <v/>
      </c>
      <c r="I4131" s="54" t="str">
        <f ca="1">IFERROR(VLOOKUP(F4110,'RR-3.1-5TH'!$A$12:'RR-3.1-5TH'!$BN$111,44,0),"")</f>
        <v/>
      </c>
      <c r="J4131" s="54" t="str">
        <f ca="1">IFERROR(VLOOKUP(F4110,'RR-3.1-5TH'!$A$12:'RR-3.1-5TH'!$BN$111,45,0),"")</f>
        <v/>
      </c>
      <c r="K4131" s="54" t="str">
        <f ca="1">IFERROR(VLOOKUP(F4110,'RR-3.1-5TH'!$A$12:'RR-3.1-5TH'!$BN$111,46,0),"")</f>
        <v/>
      </c>
      <c r="L4131" s="55">
        <f ca="1" t="shared" si="216"/>
        <v>0</v>
      </c>
      <c r="M4131" s="56" t="str">
        <f ca="1">IF(F4110&gt;ENTRY!$D$24,"",IF(L4131=0,"Ab",IF(L4131&gt;80,"A",IF(L4131&gt;60,"B",IF(L4131&gt;44,"C",IF(L4131&gt;=33,"D",IF(L4131&lt;=32,"E","")))))))</f>
        <v/>
      </c>
      <c r="N4131" s="29"/>
      <c r="O4131" s="29"/>
      <c r="P4131" s="19"/>
      <c r="Q4131" s="19"/>
      <c r="R4131" s="11"/>
    </row>
    <row r="4132" s="1" customFormat="1" ht="21.95" customHeight="1" spans="1:19">
      <c r="A4132" s="7"/>
      <c r="B4132" s="12"/>
      <c r="C4132" s="33"/>
      <c r="D4132" s="52" t="s">
        <v>549</v>
      </c>
      <c r="E4132" s="53"/>
      <c r="F4132" s="54" t="str">
        <f ca="1">IFERROR(VLOOKUP(F4110,'RR-3.1-5TH'!$A$12:'RR-3.1-5TH'!$BN$111,49,0),"")</f>
        <v/>
      </c>
      <c r="G4132" s="54" t="str">
        <f ca="1">IFERROR(VLOOKUP(F4110,'RR-3.1-5TH'!$A$12:'RR-3.1-5TH'!$BN$111,50,0),"")</f>
        <v/>
      </c>
      <c r="H4132" s="54" t="str">
        <f ca="1">IFERROR(VLOOKUP(F4110,'RR-3.1-5TH'!$A$12:'RR-3.1-5TH'!$BN$111,51,0),"")</f>
        <v/>
      </c>
      <c r="I4132" s="54" t="str">
        <f ca="1">IFERROR(VLOOKUP(F4110,'RR-3.1-5TH'!$A$12:'RR-3.1-5TH'!$BN$111,52,0),"")</f>
        <v/>
      </c>
      <c r="J4132" s="54" t="str">
        <f ca="1">IFERROR(VLOOKUP(F4110,'RR-3.1-5TH'!$A$12:'RR-3.1-5TH'!$BN$111,53,0),"")</f>
        <v/>
      </c>
      <c r="K4132" s="54" t="str">
        <f ca="1">IFERROR(VLOOKUP(F4110,'RR-3.1-5TH'!$A$12:'RR-3.1-5TH'!$BN$111,54,0),"")</f>
        <v/>
      </c>
      <c r="L4132" s="55">
        <f ca="1" t="shared" si="216"/>
        <v>0</v>
      </c>
      <c r="M4132" s="56" t="str">
        <f ca="1">IF(F4110&gt;ENTRY!$D$24,"",IF(L4132=0,"Ab",IF(L4132&gt;80,"A",IF(L4132&gt;60,"B",IF(L4132&gt;44,"C",IF(L4132&gt;=33,"D",IF(L4132&lt;=32,"E","")))))))</f>
        <v/>
      </c>
      <c r="N4132" s="57" t="s">
        <v>752</v>
      </c>
      <c r="O4132" s="58"/>
      <c r="P4132" s="59"/>
      <c r="Q4132" s="19"/>
      <c r="R4132" s="11"/>
    </row>
    <row r="4133" s="1" customFormat="1" ht="21.95" customHeight="1" spans="1:19">
      <c r="A4133" s="7"/>
      <c r="B4133" s="12"/>
      <c r="C4133" s="33"/>
      <c r="D4133" s="52" t="s">
        <v>753</v>
      </c>
      <c r="E4133" s="53"/>
      <c r="F4133" s="60"/>
      <c r="G4133" s="54"/>
      <c r="H4133" s="54"/>
      <c r="I4133" s="54"/>
      <c r="J4133" s="54"/>
      <c r="K4133" s="54"/>
      <c r="L4133" s="55">
        <f t="shared" ref="L4133" si="217">SUM(G4133:K4133)</f>
        <v>0</v>
      </c>
      <c r="M4133" s="56" t="str">
        <f>IF(F4110&gt;ENTRY!$D$24,"",IF(L4133=0,"",IF(L4133&gt;79,"A",IF(L4133&gt;59,"B",IF(L4133&gt;44,"C",IF(L4133&gt;=33,"D",IF(L4133&lt;=32,"E","")))))))</f>
        <v/>
      </c>
      <c r="N4133" s="58"/>
      <c r="O4133" s="58"/>
      <c r="P4133" s="59"/>
      <c r="Q4133" s="19"/>
      <c r="R4133" s="11"/>
    </row>
    <row r="4134" s="1" customFormat="1" ht="21.95" customHeight="1" spans="1:19">
      <c r="A4134" s="7"/>
      <c r="B4134" s="12"/>
      <c r="C4134" s="33"/>
      <c r="D4134" s="45" t="s">
        <v>382</v>
      </c>
      <c r="E4134" s="46"/>
      <c r="F4134" s="54">
        <f ca="1" t="shared" ref="F4134:L4134" si="218">IFERROR(SUM(F4127:F4133),"")</f>
        <v>0</v>
      </c>
      <c r="G4134" s="54">
        <f ca="1" t="shared" si="218"/>
        <v>0</v>
      </c>
      <c r="H4134" s="54">
        <f ca="1" t="shared" si="218"/>
        <v>0</v>
      </c>
      <c r="I4134" s="54">
        <f ca="1" t="shared" si="218"/>
        <v>0</v>
      </c>
      <c r="J4134" s="54">
        <f ca="1" t="shared" si="218"/>
        <v>0</v>
      </c>
      <c r="K4134" s="54">
        <f ca="1" t="shared" si="218"/>
        <v>0</v>
      </c>
      <c r="L4134" s="55">
        <f ca="1" t="shared" si="218"/>
        <v>0</v>
      </c>
      <c r="M4134" s="61" t="str">
        <f ca="1">IF(F4110&gt;ENTRY!$D$24,"",IF(N4135="Ab","Ab",IF(N4135&gt;79.5,"A",IF(N4135&gt;59.5,"B",IF(N4135&gt;44.5,"C",IF(N4135&gt;=33,"D",IF(N4135&lt;33,"E","")))))))</f>
        <v/>
      </c>
      <c r="N4134" s="62"/>
      <c r="O4134" s="58"/>
      <c r="P4134" s="59"/>
      <c r="Q4134" s="19"/>
      <c r="R4134" s="11"/>
    </row>
    <row r="4135" s="1" customFormat="1" ht="21.95" customHeight="1" spans="1:19">
      <c r="A4135" s="7"/>
      <c r="B4135" s="12"/>
      <c r="C4135" s="33"/>
      <c r="D4135" s="63" t="s">
        <v>721</v>
      </c>
      <c r="E4135" s="63"/>
      <c r="F4135" s="63"/>
      <c r="G4135" s="63"/>
      <c r="H4135" s="63"/>
      <c r="I4135" s="63"/>
      <c r="J4135" s="63"/>
      <c r="K4135" s="63"/>
      <c r="L4135" s="63"/>
      <c r="M4135" s="63"/>
      <c r="N4135" s="64">
        <f ca="1">IF(L4134="Ab","Ab",L4134/6)</f>
        <v>0</v>
      </c>
      <c r="O4135" s="65"/>
      <c r="P4135" s="19"/>
      <c r="Q4135" s="19"/>
      <c r="R4135" s="11"/>
    </row>
    <row r="4136" s="1" customFormat="1" ht="21.95" customHeight="1" spans="1:19">
      <c r="A4136" s="7"/>
      <c r="B4136" s="12"/>
      <c r="C4136" s="33"/>
      <c r="D4136" s="29" t="s">
        <v>716</v>
      </c>
      <c r="E4136" s="18" t="str">
        <f>IFERROR(VLOOKUP(F4110,'1to4-2.1-RR'!$A$12:$BG$111,57,0),"")</f>
        <v/>
      </c>
      <c r="F4136" s="18"/>
      <c r="G4136" s="18"/>
      <c r="H4136" s="18"/>
      <c r="I4136" s="18"/>
      <c r="J4136" s="18"/>
      <c r="K4136" s="18"/>
      <c r="L4136" s="18"/>
      <c r="M4136" s="18"/>
      <c r="N4136" s="29"/>
      <c r="O4136" s="29"/>
      <c r="P4136" s="19"/>
      <c r="Q4136" s="19"/>
      <c r="R4136" s="11"/>
    </row>
    <row r="4137" s="1" customFormat="1" ht="9.95" customHeight="1" spans="1:19">
      <c r="A4137" s="7"/>
      <c r="B4137" s="12"/>
      <c r="C4137" s="33"/>
      <c r="D4137" s="29"/>
      <c r="E4137" s="29"/>
      <c r="F4137" s="29"/>
      <c r="G4137" s="29"/>
      <c r="H4137" s="29"/>
      <c r="I4137" s="29"/>
      <c r="J4137" s="29"/>
      <c r="K4137" s="29"/>
      <c r="L4137" s="29"/>
      <c r="M4137" s="29"/>
      <c r="N4137" s="29"/>
      <c r="O4137" s="29"/>
      <c r="P4137" s="19"/>
      <c r="Q4137" s="19"/>
      <c r="R4137" s="11"/>
    </row>
    <row r="4138" s="1" customFormat="1" ht="36" spans="1:19">
      <c r="A4138" s="7"/>
      <c r="B4138" s="12"/>
      <c r="C4138" s="33"/>
      <c r="D4138" s="66" t="s">
        <v>576</v>
      </c>
      <c r="E4138" s="67" t="s">
        <v>754</v>
      </c>
      <c r="F4138" s="47" t="str">
        <f>IF(F4110&gt;ENTRY!$D$24,"",IFERROR(VLOOKUP(F4110,PASHEET!$A$4:$CJ$103,88,0),""))</f>
        <v/>
      </c>
      <c r="G4138" s="67" t="s">
        <v>755</v>
      </c>
      <c r="H4138" s="47" t="str">
        <f>IF(F4110&gt;ENTRY!$D$24,"",IFERROR(VLOOKUP(F4110,PASHEET!$A$4:$CJ$103,87,0),""))</f>
        <v/>
      </c>
      <c r="I4138" s="68" t="s">
        <v>756</v>
      </c>
      <c r="J4138" s="69" t="str">
        <f>IF(F4110&gt;ENTRY!$D$24,"",IFERROR(IF(F4110&gt;0,H4138/F4138*100),""))</f>
        <v/>
      </c>
      <c r="K4138" s="60" t="s">
        <v>757</v>
      </c>
      <c r="L4138" s="70" t="str">
        <f ca="1">IF(F4110&gt;ENTRY!$D$24,"",IFERROR(L4134/600*100,""))</f>
        <v/>
      </c>
      <c r="M4138" s="47" t="str">
        <f ca="1">IF(F4110&gt;ENTRY!$D$24,"",IFERROR(L4134&amp;" / "&amp;"600",""))</f>
        <v/>
      </c>
      <c r="N4138" s="29"/>
      <c r="O4138" s="29"/>
      <c r="P4138" s="19"/>
      <c r="Q4138" s="19"/>
      <c r="R4138" s="11"/>
    </row>
    <row r="4139" s="1" customFormat="1" ht="9.95" customHeight="1" spans="1:19">
      <c r="A4139" s="7"/>
      <c r="B4139" s="12"/>
      <c r="C4139" s="39"/>
      <c r="D4139" s="40"/>
      <c r="E4139" s="40"/>
      <c r="F4139" s="40"/>
      <c r="G4139" s="40"/>
      <c r="H4139" s="40"/>
      <c r="I4139" s="40"/>
      <c r="J4139" s="40"/>
      <c r="K4139" s="40"/>
      <c r="L4139" s="40"/>
      <c r="M4139" s="40"/>
      <c r="N4139" s="40"/>
      <c r="O4139" s="40"/>
      <c r="P4139" s="41"/>
      <c r="Q4139" s="19"/>
      <c r="R4139" s="11"/>
    </row>
    <row r="4140" s="1" customFormat="1" ht="9.95" customHeight="1" spans="1:19">
      <c r="A4140" s="7"/>
      <c r="B4140" s="12"/>
      <c r="C4140" s="71"/>
      <c r="D4140" s="71"/>
      <c r="E4140" s="71"/>
      <c r="F4140" s="29"/>
      <c r="G4140" s="71"/>
      <c r="H4140" s="71"/>
      <c r="I4140" s="71"/>
      <c r="J4140" s="71"/>
      <c r="K4140" s="71"/>
      <c r="L4140" s="71"/>
      <c r="M4140" s="71"/>
      <c r="N4140" s="71"/>
      <c r="O4140" s="71"/>
      <c r="P4140" s="71"/>
      <c r="Q4140" s="19"/>
      <c r="R4140" s="11"/>
    </row>
    <row r="4141" s="1" customFormat="1" ht="9.95" customHeight="1" spans="1:19">
      <c r="A4141" s="7"/>
      <c r="B4141" s="12"/>
      <c r="C4141" s="29"/>
      <c r="D4141" s="29"/>
      <c r="E4141" s="29"/>
      <c r="F4141" s="72"/>
      <c r="G4141" s="29"/>
      <c r="H4141" s="29"/>
      <c r="I4141" s="29"/>
      <c r="J4141" s="29"/>
      <c r="K4141" s="29"/>
      <c r="L4141" s="29"/>
      <c r="M4141" s="29"/>
      <c r="N4141" s="29"/>
      <c r="O4141" s="29"/>
      <c r="P4141" s="29"/>
      <c r="Q4141" s="19"/>
      <c r="R4141" s="11"/>
    </row>
    <row r="4142" s="1" customFormat="1" ht="9.95" customHeight="1" spans="1:19">
      <c r="A4142" s="7"/>
      <c r="B4142" s="12"/>
      <c r="C4142" s="30"/>
      <c r="D4142" s="31"/>
      <c r="E4142" s="31"/>
      <c r="F4142" s="31"/>
      <c r="G4142" s="31"/>
      <c r="H4142" s="31"/>
      <c r="I4142" s="31"/>
      <c r="J4142" s="31"/>
      <c r="K4142" s="31"/>
      <c r="L4142" s="31"/>
      <c r="M4142" s="31"/>
      <c r="N4142" s="31"/>
      <c r="O4142" s="31"/>
      <c r="P4142" s="32"/>
      <c r="Q4142" s="19"/>
      <c r="R4142" s="11"/>
    </row>
    <row r="4143" s="1" customFormat="1" ht="21.95" customHeight="1" spans="1:19">
      <c r="A4143" s="7"/>
      <c r="B4143" s="12"/>
      <c r="C4143" s="73" t="s">
        <v>7</v>
      </c>
      <c r="D4143" s="13"/>
      <c r="E4143" s="13"/>
      <c r="F4143" s="13"/>
      <c r="G4143" s="13"/>
      <c r="H4143" s="13"/>
      <c r="I4143" s="13"/>
      <c r="J4143" s="13"/>
      <c r="K4143" s="13"/>
      <c r="L4143" s="13"/>
      <c r="M4143" s="13"/>
      <c r="N4143" s="13"/>
      <c r="O4143" s="13"/>
      <c r="P4143" s="74"/>
      <c r="Q4143" s="19"/>
      <c r="R4143" s="11"/>
      <c r="S4143" s="2"/>
    </row>
    <row r="4144" s="1" customFormat="1" ht="21.95" customHeight="1" spans="1:19">
      <c r="A4144" s="7"/>
      <c r="B4144" s="12"/>
      <c r="C4144" s="33"/>
      <c r="D4144" s="29"/>
      <c r="E4144" s="29"/>
      <c r="F4144" s="29"/>
      <c r="G4144" s="29"/>
      <c r="H4144" s="29"/>
      <c r="I4144" s="29"/>
      <c r="J4144" s="29"/>
      <c r="K4144" s="29"/>
      <c r="L4144" s="29"/>
      <c r="M4144" s="29"/>
      <c r="N4144" s="29"/>
      <c r="O4144" s="29"/>
      <c r="P4144" s="19"/>
      <c r="Q4144" s="19"/>
      <c r="R4144" s="11"/>
    </row>
    <row r="4145" s="1" customFormat="1" ht="21.95" customHeight="1" spans="1:18">
      <c r="A4145" s="7"/>
      <c r="B4145" s="12"/>
      <c r="C4145" s="75" t="str">
        <f>"SESSION-"&amp;ENTRY!$D$11</f>
        <v>SESSION-2026-27</v>
      </c>
      <c r="D4145" s="15"/>
      <c r="E4145" s="15"/>
      <c r="F4145" s="15"/>
      <c r="G4145" s="15"/>
      <c r="H4145" s="15"/>
      <c r="I4145" s="15"/>
      <c r="J4145" s="15"/>
      <c r="K4145" s="15"/>
      <c r="L4145" s="15"/>
      <c r="M4145" s="15"/>
      <c r="N4145" s="15"/>
      <c r="O4145" s="15"/>
      <c r="P4145" s="76"/>
      <c r="Q4145" s="19"/>
      <c r="R4145" s="11"/>
    </row>
    <row r="4146" s="1" customFormat="1" ht="18" customHeight="1" spans="1:18">
      <c r="A4146" s="7"/>
      <c r="B4146" s="12"/>
      <c r="C4146" s="33"/>
      <c r="D4146" s="29"/>
      <c r="E4146" s="29"/>
      <c r="F4146" s="29"/>
      <c r="G4146" s="29"/>
      <c r="H4146" s="29"/>
      <c r="I4146" s="29"/>
      <c r="J4146" s="29"/>
      <c r="K4146" s="29"/>
      <c r="L4146" s="29"/>
      <c r="M4146" s="29"/>
      <c r="N4146" s="29"/>
      <c r="O4146" s="29"/>
      <c r="P4146" s="19"/>
      <c r="Q4146" s="19"/>
      <c r="R4146" s="11"/>
    </row>
    <row r="4147" s="1" customFormat="1" ht="21.95" customHeight="1" spans="1:18">
      <c r="A4147" s="7"/>
      <c r="B4147" s="12"/>
      <c r="C4147" s="33"/>
      <c r="D4147" s="77" t="s">
        <v>758</v>
      </c>
      <c r="E4147" s="77"/>
      <c r="F4147" s="78" t="str">
        <f>IFERROR(PROPER(VLOOKUP(F4110,STUDENT!$A$2:$BP$101,5,0)),"")</f>
        <v/>
      </c>
      <c r="G4147" s="78"/>
      <c r="H4147" s="78"/>
      <c r="I4147" s="78"/>
      <c r="J4147" s="78"/>
      <c r="K4147" s="78"/>
      <c r="L4147" s="78"/>
      <c r="M4147" s="78"/>
      <c r="N4147" s="79" t="s">
        <v>759</v>
      </c>
      <c r="O4147" s="79"/>
      <c r="P4147" s="19"/>
      <c r="Q4147" s="19"/>
      <c r="R4147" s="11"/>
    </row>
    <row r="4148" s="1" customFormat="1" ht="21.95" customHeight="1" spans="1:18">
      <c r="A4148" s="7"/>
      <c r="B4148" s="12"/>
      <c r="C4148" s="33"/>
      <c r="D4148" s="80" t="s">
        <v>760</v>
      </c>
      <c r="E4148" s="81" t="str">
        <f>IFERROR(PROPER(VLOOKUP(F4110,STUDENT!$A$2:$BP$101,9,0)),"")</f>
        <v/>
      </c>
      <c r="F4148" s="81"/>
      <c r="G4148" s="81"/>
      <c r="H4148" s="80" t="s">
        <v>761</v>
      </c>
      <c r="I4148" s="82" t="str">
        <f>IFERROR(PROPER(VLOOKUP(F4110,STUDENT!$A$2:$BP$101,8,0)),"")</f>
        <v/>
      </c>
      <c r="J4148" s="82"/>
      <c r="K4148" s="82"/>
      <c r="L4148" s="82"/>
      <c r="M4148" s="80" t="s">
        <v>762</v>
      </c>
      <c r="N4148" s="83" t="str">
        <f>IFERROR(VLOOKUP(F4110,STUDENT!$A$2:$BP$101,59,0),"")</f>
        <v/>
      </c>
      <c r="O4148" s="83"/>
      <c r="P4148" s="19"/>
      <c r="Q4148" s="19"/>
      <c r="R4148" s="11"/>
    </row>
    <row r="4149" s="1" customFormat="1" ht="21.95" customHeight="1" spans="1:18">
      <c r="A4149" s="7"/>
      <c r="B4149" s="12"/>
      <c r="C4149" s="33"/>
      <c r="D4149" s="77" t="str">
        <f>"has    completed     his  /  her     primary     level     education    in    the    year    "&amp;RIGHT(ENTRY!$D4115,4)&amp;"    from    ( School    Name )"</f>
        <v>has    completed     his  /  her     primary     level     education    in    the    year        from    ( School    Name )</v>
      </c>
      <c r="E4149" s="77"/>
      <c r="F4149" s="77"/>
      <c r="G4149" s="77"/>
      <c r="H4149" s="77"/>
      <c r="I4149" s="77"/>
      <c r="J4149" s="77"/>
      <c r="K4149" s="77"/>
      <c r="L4149" s="77"/>
      <c r="M4149" s="77"/>
      <c r="N4149" s="77"/>
      <c r="O4149" s="77"/>
      <c r="P4149" s="19"/>
      <c r="Q4149" s="19"/>
      <c r="R4149" s="11"/>
    </row>
    <row r="4150" s="1" customFormat="1" ht="21.95" customHeight="1" spans="1:18">
      <c r="A4150" s="7"/>
      <c r="B4150" s="12"/>
      <c r="C4150" s="33"/>
      <c r="D4150" s="81" t="str">
        <f>IF(F4110&gt;0,ENTRY!$D$6,"")</f>
        <v>MCP NITHARI NO 1 BOYS</v>
      </c>
      <c r="E4150" s="81"/>
      <c r="F4150" s="81"/>
      <c r="G4150" s="81"/>
      <c r="H4150" s="81"/>
      <c r="I4150" s="81"/>
      <c r="J4150" s="81"/>
      <c r="K4150" s="81"/>
      <c r="L4150" s="81"/>
      <c r="M4150" s="80" t="s">
        <v>763</v>
      </c>
      <c r="N4150" s="84">
        <f>IF(F4110&gt;0,ENTRY!$D$7,"")</f>
        <v>0</v>
      </c>
      <c r="O4150" s="84"/>
      <c r="P4150" s="85" t="s">
        <v>727</v>
      </c>
      <c r="Q4150" s="19"/>
      <c r="R4150" s="11"/>
    </row>
    <row r="4151" s="1" customFormat="1" ht="21.95" customHeight="1" spans="1:18">
      <c r="A4151" s="7"/>
      <c r="B4151" s="12"/>
      <c r="C4151" s="33"/>
      <c r="D4151" s="29"/>
      <c r="E4151" s="29"/>
      <c r="F4151" s="29"/>
      <c r="G4151" s="29"/>
      <c r="H4151" s="29"/>
      <c r="I4151" s="29"/>
      <c r="J4151" s="29"/>
      <c r="K4151" s="29"/>
      <c r="L4151" s="29"/>
      <c r="M4151" s="29"/>
      <c r="N4151" s="29"/>
      <c r="O4151" s="29"/>
      <c r="P4151" s="19"/>
      <c r="Q4151" s="19"/>
      <c r="R4151" s="11"/>
    </row>
    <row r="4152" s="1" customFormat="1" ht="21.95" customHeight="1" spans="1:18">
      <c r="A4152" s="7"/>
      <c r="B4152" s="12"/>
      <c r="C4152" s="33"/>
      <c r="D4152" s="29"/>
      <c r="E4152" s="29"/>
      <c r="F4152" s="29"/>
      <c r="G4152" s="29"/>
      <c r="H4152" s="29"/>
      <c r="I4152" s="29"/>
      <c r="J4152" s="29"/>
      <c r="K4152" s="29"/>
      <c r="L4152" s="29"/>
      <c r="M4152" s="29"/>
      <c r="N4152" s="29"/>
      <c r="O4152" s="29"/>
      <c r="P4152" s="19"/>
      <c r="Q4152" s="19"/>
      <c r="R4152" s="11"/>
    </row>
    <row r="4153" s="1" customFormat="1" ht="21.95" customHeight="1" spans="1:18">
      <c r="A4153" s="7"/>
      <c r="B4153" s="12"/>
      <c r="C4153" s="33"/>
      <c r="D4153" s="29"/>
      <c r="E4153" s="29"/>
      <c r="F4153" s="29"/>
      <c r="G4153" s="29"/>
      <c r="H4153" s="29"/>
      <c r="I4153" s="29"/>
      <c r="J4153" s="29"/>
      <c r="K4153" s="29"/>
      <c r="L4153" s="29"/>
      <c r="M4153" s="29"/>
      <c r="N4153" s="29"/>
      <c r="O4153" s="29"/>
      <c r="P4153" s="19"/>
      <c r="Q4153" s="19"/>
      <c r="R4153" s="11"/>
    </row>
    <row r="4154" s="1" customFormat="1" ht="21.95" customHeight="1" spans="1:18">
      <c r="A4154" s="7"/>
      <c r="B4154" s="12"/>
      <c r="C4154" s="33"/>
      <c r="D4154" s="29"/>
      <c r="E4154" s="29"/>
      <c r="F4154" s="29"/>
      <c r="G4154" s="29"/>
      <c r="H4154" s="29"/>
      <c r="I4154" s="29"/>
      <c r="J4154" s="29"/>
      <c r="K4154" s="29"/>
      <c r="L4154" s="29"/>
      <c r="M4154" s="29"/>
      <c r="N4154" s="29"/>
      <c r="O4154" s="29"/>
      <c r="P4154" s="19"/>
      <c r="Q4154" s="19"/>
      <c r="R4154" s="11"/>
    </row>
    <row r="4155" s="1" customFormat="1" ht="21.95" customHeight="1" spans="1:18">
      <c r="A4155" s="7"/>
      <c r="B4155" s="12"/>
      <c r="C4155" s="33"/>
      <c r="D4155" s="29"/>
      <c r="E4155" s="29"/>
      <c r="F4155" s="29"/>
      <c r="G4155" s="29"/>
      <c r="H4155" s="29"/>
      <c r="I4155" s="29"/>
      <c r="J4155" s="29"/>
      <c r="K4155" s="29"/>
      <c r="L4155" s="29"/>
      <c r="M4155" s="29"/>
      <c r="N4155" s="29"/>
      <c r="O4155" s="29"/>
      <c r="P4155" s="19"/>
      <c r="Q4155" s="19"/>
      <c r="R4155" s="11"/>
    </row>
    <row r="4156" s="1" customFormat="1" ht="21.95" customHeight="1" spans="1:18">
      <c r="A4156" s="7"/>
      <c r="B4156" s="12"/>
      <c r="C4156" s="33"/>
      <c r="D4156" s="80" t="s">
        <v>728</v>
      </c>
      <c r="E4156" s="86">
        <f>ENTRY!$D$27</f>
        <v>46102</v>
      </c>
      <c r="F4156" s="86"/>
      <c r="G4156" s="29"/>
      <c r="H4156" s="29"/>
      <c r="I4156" s="29"/>
      <c r="J4156" s="29"/>
      <c r="K4156" s="29"/>
      <c r="L4156" s="29"/>
      <c r="M4156" s="87" t="s">
        <v>730</v>
      </c>
      <c r="N4156" s="87"/>
      <c r="O4156" s="87"/>
      <c r="P4156" s="19"/>
      <c r="Q4156" s="19"/>
      <c r="R4156" s="11"/>
    </row>
    <row r="4157" s="1" customFormat="1" ht="21.95" customHeight="1" spans="1:18">
      <c r="A4157" s="7"/>
      <c r="B4157" s="12"/>
      <c r="C4157" s="33"/>
      <c r="D4157" s="80" t="s">
        <v>731</v>
      </c>
      <c r="E4157" s="88" t="str">
        <f>PROPER(ENTRY!$D$28)</f>
        <v>New Delhi</v>
      </c>
      <c r="F4157" s="88"/>
      <c r="G4157" s="29"/>
      <c r="H4157" s="29"/>
      <c r="I4157" s="29"/>
      <c r="J4157" s="29"/>
      <c r="K4157" s="29"/>
      <c r="L4157" s="29"/>
      <c r="M4157" s="89" t="s">
        <v>732</v>
      </c>
      <c r="N4157" s="89"/>
      <c r="O4157" s="89"/>
      <c r="P4157" s="19"/>
      <c r="Q4157" s="19"/>
      <c r="R4157" s="11"/>
    </row>
    <row r="4158" s="1" customFormat="1" ht="21.95" customHeight="1" spans="1:18">
      <c r="A4158" s="7"/>
      <c r="B4158" s="12"/>
      <c r="C4158" s="90"/>
      <c r="D4158" s="91"/>
      <c r="E4158" s="91"/>
      <c r="F4158" s="91"/>
      <c r="G4158" s="91"/>
      <c r="H4158" s="91"/>
      <c r="I4158" s="91"/>
      <c r="J4158" s="91"/>
      <c r="K4158" s="91"/>
      <c r="L4158" s="91"/>
      <c r="M4158" s="91"/>
      <c r="N4158" s="91"/>
      <c r="O4158" s="91"/>
      <c r="P4158" s="92"/>
      <c r="Q4158" s="14"/>
      <c r="R4158" s="11"/>
    </row>
    <row r="4159" s="1" customFormat="1" ht="5.1" customHeight="1" spans="1:18">
      <c r="A4159" s="7"/>
      <c r="B4159" s="90"/>
      <c r="C4159" s="91"/>
      <c r="D4159" s="91"/>
      <c r="E4159" s="91"/>
      <c r="F4159" s="91"/>
      <c r="G4159" s="91"/>
      <c r="H4159" s="91"/>
      <c r="I4159" s="91"/>
      <c r="J4159" s="91"/>
      <c r="K4159" s="91"/>
      <c r="L4159" s="91"/>
      <c r="M4159" s="91"/>
      <c r="N4159" s="91"/>
      <c r="O4159" s="91"/>
      <c r="P4159" s="91"/>
      <c r="Q4159" s="92"/>
      <c r="R4159" s="11"/>
    </row>
    <row r="4160" s="1" customFormat="1" ht="5.1" customHeight="1" spans="1:18">
      <c r="A4160" s="93"/>
      <c r="B4160" s="94"/>
      <c r="C4160" s="94"/>
      <c r="D4160" s="94"/>
      <c r="E4160" s="94"/>
      <c r="F4160" s="94"/>
      <c r="G4160" s="94"/>
      <c r="H4160" s="94"/>
      <c r="I4160" s="94"/>
      <c r="J4160" s="94"/>
      <c r="K4160" s="94"/>
      <c r="L4160" s="94"/>
      <c r="M4160" s="94"/>
      <c r="N4160" s="94"/>
      <c r="O4160" s="94"/>
      <c r="P4160" s="94"/>
      <c r="Q4160" s="94"/>
      <c r="R4160" s="95"/>
    </row>
    <row r="4161" s="2" customFormat="1" ht="9.95" customHeight="1"/>
    <row r="4162" s="1" customFormat="1" ht="5.1" customHeight="1" spans="1:18">
      <c r="A4162" s="4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  <c r="O4162" s="5"/>
      <c r="P4162" s="5"/>
      <c r="Q4162" s="5"/>
      <c r="R4162" s="6"/>
    </row>
    <row r="4163" s="1" customFormat="1" ht="15" customHeight="1" spans="1:18">
      <c r="A4163" s="7"/>
      <c r="B4163" s="8"/>
      <c r="C4163" s="9"/>
      <c r="D4163" s="9"/>
      <c r="E4163" s="9"/>
      <c r="F4163" s="9"/>
      <c r="G4163" s="9"/>
      <c r="H4163" s="9"/>
      <c r="I4163" s="9"/>
      <c r="J4163" s="9"/>
      <c r="K4163" s="9"/>
      <c r="L4163" s="9"/>
      <c r="M4163" s="9"/>
      <c r="N4163" s="9"/>
      <c r="O4163" s="9"/>
      <c r="P4163" s="9"/>
      <c r="Q4163" s="10"/>
      <c r="R4163" s="11"/>
    </row>
    <row r="4164" s="1" customFormat="1" ht="21.95" customHeight="1" spans="1:18">
      <c r="A4164" s="7"/>
      <c r="B4164" s="12"/>
      <c r="C4164" s="13" t="s">
        <v>7</v>
      </c>
      <c r="D4164" s="13"/>
      <c r="E4164" s="13"/>
      <c r="F4164" s="13"/>
      <c r="G4164" s="13"/>
      <c r="H4164" s="13"/>
      <c r="I4164" s="13"/>
      <c r="J4164" s="13"/>
      <c r="K4164" s="13"/>
      <c r="L4164" s="13"/>
      <c r="M4164" s="13"/>
      <c r="N4164" s="13"/>
      <c r="O4164" s="13"/>
      <c r="P4164" s="13"/>
      <c r="Q4164" s="14"/>
      <c r="R4164" s="11"/>
    </row>
    <row r="4165" s="1" customFormat="1" ht="21.95" customHeight="1" spans="1:18">
      <c r="A4165" s="7"/>
      <c r="B4165" s="1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14"/>
      <c r="R4165" s="11"/>
    </row>
    <row r="4166" s="1" customFormat="1" ht="21.95" customHeight="1" spans="1:18">
      <c r="A4166" s="7"/>
      <c r="B4166" s="12"/>
      <c r="C4166" s="15" t="str">
        <f>"SESSION-"&amp;ENTRY!$D$11</f>
        <v>SESSION-2026-27</v>
      </c>
      <c r="D4166" s="15"/>
      <c r="E4166" s="15"/>
      <c r="F4166" s="15"/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  <c r="Q4166" s="14"/>
      <c r="R4166" s="11"/>
    </row>
    <row r="4167" s="1" customFormat="1" ht="21.95" customHeight="1" spans="1:18">
      <c r="A4167" s="7"/>
      <c r="B4167" s="12"/>
      <c r="C4167" s="2"/>
      <c r="D4167" s="2"/>
      <c r="E4167" s="2"/>
      <c r="F4167" s="16">
        <f>F4110+1</f>
        <v>74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14"/>
      <c r="R4167" s="11"/>
    </row>
    <row r="4168" s="1" customFormat="1" ht="21.95" customHeight="1" spans="1:18">
      <c r="A4168" s="7"/>
      <c r="B4168" s="12"/>
      <c r="C4168" s="17" t="s">
        <v>392</v>
      </c>
      <c r="D4168" s="17"/>
      <c r="E4168" s="17"/>
      <c r="F4168" s="18" t="str">
        <f>IF(F4167&gt;0,ENTRY!$D$6,"")</f>
        <v>MCP NITHARI NO 1 BOYS</v>
      </c>
      <c r="G4168" s="18"/>
      <c r="H4168" s="18"/>
      <c r="I4168" s="18"/>
      <c r="J4168" s="18"/>
      <c r="K4168" s="18"/>
      <c r="L4168" s="18"/>
      <c r="M4168" s="18"/>
      <c r="N4168" s="18"/>
      <c r="O4168" s="18"/>
      <c r="P4168" s="18"/>
      <c r="Q4168" s="19"/>
      <c r="R4168" s="11"/>
    </row>
    <row r="4169" s="1" customFormat="1" ht="21.95" customHeight="1" spans="1:18">
      <c r="A4169" s="7"/>
      <c r="B4169" s="12"/>
      <c r="C4169" s="17" t="s">
        <v>393</v>
      </c>
      <c r="D4169" s="17"/>
      <c r="E4169" s="17"/>
      <c r="F4169" s="18">
        <f>IF(F4167&gt;0,ENTRY!$D$7,"")</f>
        <v>0</v>
      </c>
      <c r="G4169" s="18"/>
      <c r="H4169" s="20" t="s">
        <v>702</v>
      </c>
      <c r="I4169" s="20"/>
      <c r="J4169" s="21">
        <f>IF(F4167&gt;0,ENTRY!$D$10,"")</f>
        <v>40</v>
      </c>
      <c r="K4169" s="20" t="s">
        <v>703</v>
      </c>
      <c r="L4169" s="22" t="str">
        <f>IF(F4167&gt;0,ENTRY!$D$5,"")</f>
        <v>ROHINI ZONE</v>
      </c>
      <c r="M4169" s="22"/>
      <c r="N4169" s="22"/>
      <c r="O4169" s="22"/>
      <c r="P4169" s="22"/>
      <c r="Q4169" s="19"/>
      <c r="R4169" s="11"/>
    </row>
    <row r="4170" s="1" customFormat="1" ht="21.95" customHeight="1" spans="1:18">
      <c r="A4170" s="7"/>
      <c r="B4170" s="12"/>
      <c r="C4170" s="17" t="s">
        <v>706</v>
      </c>
      <c r="D4170" s="17"/>
      <c r="E4170" s="17"/>
      <c r="F4170" s="23">
        <f>IFERROR(VLOOKUP(F4167,STUDENT!$A$2:$BP$101,5,0),"")</f>
        <v>0</v>
      </c>
      <c r="G4170" s="23"/>
      <c r="H4170" s="23"/>
      <c r="I4170" s="23"/>
      <c r="J4170" s="23"/>
      <c r="K4170" s="23"/>
      <c r="L4170" s="20" t="s">
        <v>707</v>
      </c>
      <c r="M4170" s="20"/>
      <c r="N4170" s="24" t="str">
        <f>IF(F4167&gt;0,ENTRY!$D$20&amp;"-"&amp;ENTRY!$D$21,"")</f>
        <v>III-A</v>
      </c>
      <c r="O4170" s="24"/>
      <c r="P4170" s="24"/>
      <c r="Q4170" s="19"/>
      <c r="R4170" s="11"/>
    </row>
    <row r="4171" s="1" customFormat="1" ht="21.95" customHeight="1" spans="1:18">
      <c r="A4171" s="7"/>
      <c r="B4171" s="12"/>
      <c r="C4171" s="17" t="s">
        <v>708</v>
      </c>
      <c r="D4171" s="17"/>
      <c r="E4171" s="17"/>
      <c r="F4171" s="25">
        <f>IFERROR(VLOOKUP(F4167,STUDENT!$A$2:$BP$101,6,0),"")</f>
        <v>0</v>
      </c>
      <c r="G4171" s="25"/>
      <c r="H4171" s="26" t="s">
        <v>709</v>
      </c>
      <c r="I4171" s="27" t="str">
        <f>IFERROR(VLOOKUP(F4167,STUDENT!$A$2:$BP$101,59,0),"")</f>
        <v/>
      </c>
      <c r="J4171" s="27"/>
      <c r="K4171" s="20" t="s">
        <v>710</v>
      </c>
      <c r="L4171" s="20"/>
      <c r="M4171" s="28">
        <f>IFERROR(VLOOKUP(F4167,STUDENT!$A$2:$BP$101,20,0),"")</f>
        <v>0</v>
      </c>
      <c r="N4171" s="28"/>
      <c r="O4171" s="28"/>
      <c r="P4171" s="28"/>
      <c r="Q4171" s="19"/>
      <c r="R4171" s="11"/>
    </row>
    <row r="4172" s="1" customFormat="1" ht="21.95" customHeight="1" spans="1:18">
      <c r="A4172" s="7"/>
      <c r="B4172" s="12"/>
      <c r="C4172" s="17" t="s">
        <v>711</v>
      </c>
      <c r="D4172" s="17"/>
      <c r="E4172" s="17"/>
      <c r="F4172" s="23">
        <f>IFERROR(VLOOKUP(F4167,STUDENT!$A$2:$BP$101,9,0),"")</f>
        <v>0</v>
      </c>
      <c r="G4172" s="23"/>
      <c r="H4172" s="23"/>
      <c r="I4172" s="23"/>
      <c r="J4172" s="17" t="s">
        <v>620</v>
      </c>
      <c r="K4172" s="17"/>
      <c r="L4172" s="23">
        <f>IFERROR(VLOOKUP(F4167,STUDENT!$A$2:$BP$101,8,0),"")</f>
        <v>0</v>
      </c>
      <c r="M4172" s="23"/>
      <c r="N4172" s="23"/>
      <c r="O4172" s="23"/>
      <c r="P4172" s="23"/>
      <c r="Q4172" s="19"/>
      <c r="R4172" s="11"/>
    </row>
    <row r="4173" s="1" customFormat="1" ht="21.95" customHeight="1" spans="1:18">
      <c r="A4173" s="7"/>
      <c r="B4173" s="12"/>
      <c r="C4173" s="17" t="s">
        <v>712</v>
      </c>
      <c r="D4173" s="17"/>
      <c r="E4173" s="17"/>
      <c r="F4173" s="23">
        <f>IFERROR(VLOOKUP(F4167,STUDENT!$A$2:$BP$101,22,0),"")</f>
        <v>0</v>
      </c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19"/>
      <c r="R4173" s="11"/>
    </row>
    <row r="4174" s="1" customFormat="1" ht="9.95" customHeight="1" spans="1:18">
      <c r="A4174" s="7"/>
      <c r="B4174" s="12"/>
      <c r="C4174" s="29"/>
      <c r="D4174" s="29"/>
      <c r="E4174" s="29"/>
      <c r="F4174" s="29"/>
      <c r="G4174" s="29"/>
      <c r="H4174" s="29"/>
      <c r="I4174" s="29"/>
      <c r="J4174" s="29"/>
      <c r="K4174" s="29"/>
      <c r="L4174" s="29"/>
      <c r="M4174" s="29"/>
      <c r="N4174" s="29"/>
      <c r="O4174" s="29"/>
      <c r="P4174" s="29"/>
      <c r="Q4174" s="19"/>
      <c r="R4174" s="11"/>
    </row>
    <row r="4175" s="1" customFormat="1" ht="9.95" customHeight="1" spans="1:18">
      <c r="A4175" s="7"/>
      <c r="B4175" s="12"/>
      <c r="C4175" s="30"/>
      <c r="D4175" s="31"/>
      <c r="E4175" s="31"/>
      <c r="F4175" s="31"/>
      <c r="G4175" s="31"/>
      <c r="H4175" s="31"/>
      <c r="I4175" s="31"/>
      <c r="J4175" s="31"/>
      <c r="K4175" s="31"/>
      <c r="L4175" s="31"/>
      <c r="M4175" s="31"/>
      <c r="N4175" s="31"/>
      <c r="O4175" s="31"/>
      <c r="P4175" s="32"/>
      <c r="Q4175" s="19"/>
      <c r="R4175" s="11"/>
    </row>
    <row r="4176" s="1" customFormat="1" ht="21.95" customHeight="1" spans="1:18">
      <c r="A4176" s="7"/>
      <c r="B4176" s="12"/>
      <c r="C4176" s="33"/>
      <c r="D4176" s="34" t="s">
        <v>713</v>
      </c>
      <c r="E4176" s="20" t="s">
        <v>714</v>
      </c>
      <c r="F4176" s="35" t="str">
        <f>"Level - "&amp;IFERROR(VLOOKUP(F4167,FLN!$A$4:$K$103,9,0),"")</f>
        <v>Level - </v>
      </c>
      <c r="G4176" s="36"/>
      <c r="H4176" s="37" t="s">
        <v>715</v>
      </c>
      <c r="I4176" s="20"/>
      <c r="J4176" s="35" t="str">
        <f>"Level - "&amp;IFERROR(VLOOKUP(F4167,FLN!$A$4:$K$103,11,0),"")</f>
        <v>Level - </v>
      </c>
      <c r="K4176" s="36"/>
      <c r="L4176" s="37" t="s">
        <v>408</v>
      </c>
      <c r="M4176" s="20"/>
      <c r="N4176" s="35" t="str">
        <f>"Level - "&amp;IFERROR(VLOOKUP(F4167,FLN!$A$4:$K$103,10,0),"")</f>
        <v>Level - </v>
      </c>
      <c r="O4176" s="36"/>
      <c r="P4176" s="19"/>
      <c r="Q4176" s="19"/>
      <c r="R4176" s="11"/>
    </row>
    <row r="4177" s="1" customFormat="1" ht="21.95" customHeight="1" spans="1:18">
      <c r="A4177" s="7"/>
      <c r="B4177" s="12"/>
      <c r="C4177" s="33"/>
      <c r="D4177" s="38"/>
      <c r="E4177" s="20" t="s">
        <v>716</v>
      </c>
      <c r="F4177" s="18" t="str">
        <f ca="1">IF(L4191&gt;197,"PERFORMED WELL","")</f>
        <v/>
      </c>
      <c r="G4177" s="18"/>
      <c r="H4177" s="18"/>
      <c r="I4177" s="18"/>
      <c r="J4177" s="18"/>
      <c r="K4177" s="18"/>
      <c r="L4177" s="18"/>
      <c r="M4177" s="18"/>
      <c r="N4177" s="18"/>
      <c r="O4177" s="18"/>
      <c r="P4177" s="19"/>
      <c r="Q4177" s="19"/>
      <c r="R4177" s="11"/>
    </row>
    <row r="4178" s="1" customFormat="1" ht="9.95" customHeight="1" spans="1:18">
      <c r="A4178" s="7"/>
      <c r="B4178" s="12"/>
      <c r="C4178" s="39"/>
      <c r="D4178" s="40"/>
      <c r="E4178" s="40"/>
      <c r="F4178" s="40"/>
      <c r="G4178" s="40"/>
      <c r="H4178" s="40"/>
      <c r="I4178" s="40"/>
      <c r="J4178" s="40"/>
      <c r="K4178" s="40"/>
      <c r="L4178" s="40"/>
      <c r="M4178" s="40"/>
      <c r="N4178" s="40"/>
      <c r="O4178" s="40"/>
      <c r="P4178" s="41"/>
      <c r="Q4178" s="19"/>
      <c r="R4178" s="11"/>
    </row>
    <row r="4179" s="1" customFormat="1" ht="9.95" customHeight="1" spans="1:18">
      <c r="A4179" s="7"/>
      <c r="B4179" s="12"/>
      <c r="C4179" s="29"/>
      <c r="D4179" s="29"/>
      <c r="E4179" s="29"/>
      <c r="F4179" s="29"/>
      <c r="G4179" s="29"/>
      <c r="H4179" s="29"/>
      <c r="I4179" s="29"/>
      <c r="J4179" s="29"/>
      <c r="K4179" s="29"/>
      <c r="L4179" s="29"/>
      <c r="M4179" s="29"/>
      <c r="N4179" s="29"/>
      <c r="O4179" s="29"/>
      <c r="P4179" s="29"/>
      <c r="Q4179" s="19"/>
      <c r="R4179" s="11"/>
    </row>
    <row r="4180" s="1" customFormat="1" ht="9.95" customHeight="1" spans="1:18">
      <c r="A4180" s="7"/>
      <c r="B4180" s="12"/>
      <c r="C4180" s="30"/>
      <c r="D4180" s="31"/>
      <c r="E4180" s="31"/>
      <c r="F4180" s="31"/>
      <c r="G4180" s="31"/>
      <c r="H4180" s="31"/>
      <c r="I4180" s="31"/>
      <c r="J4180" s="31"/>
      <c r="K4180" s="31"/>
      <c r="L4180" s="31"/>
      <c r="M4180" s="31"/>
      <c r="N4180" s="31"/>
      <c r="O4180" s="31"/>
      <c r="P4180" s="32"/>
      <c r="Q4180" s="19"/>
      <c r="R4180" s="11"/>
    </row>
    <row r="4181" s="1" customFormat="1" ht="21.95" customHeight="1" spans="1:18">
      <c r="A4181" s="7"/>
      <c r="B4181" s="12"/>
      <c r="C4181" s="33"/>
      <c r="D4181" s="35"/>
      <c r="E4181" s="24"/>
      <c r="F4181" s="42" t="s">
        <v>717</v>
      </c>
      <c r="G4181" s="42"/>
      <c r="H4181" s="42"/>
      <c r="I4181" s="42"/>
      <c r="J4181" s="42"/>
      <c r="K4181" s="42"/>
      <c r="L4181" s="43"/>
      <c r="M4181" s="44"/>
      <c r="N4181" s="29"/>
      <c r="O4181" s="29"/>
      <c r="P4181" s="19"/>
      <c r="Q4181" s="19"/>
      <c r="R4181" s="11"/>
    </row>
    <row r="4182" s="1" customFormat="1" ht="21.95" customHeight="1" spans="1:18">
      <c r="A4182" s="7"/>
      <c r="B4182" s="12"/>
      <c r="C4182" s="33"/>
      <c r="D4182" s="45"/>
      <c r="E4182" s="46"/>
      <c r="F4182" s="47" t="s">
        <v>541</v>
      </c>
      <c r="G4182" s="47" t="s">
        <v>542</v>
      </c>
      <c r="H4182" s="47" t="s">
        <v>543</v>
      </c>
      <c r="I4182" s="47" t="s">
        <v>544</v>
      </c>
      <c r="J4182" s="47" t="s">
        <v>561</v>
      </c>
      <c r="K4182" s="48" t="s">
        <v>750</v>
      </c>
      <c r="L4182" s="47" t="s">
        <v>382</v>
      </c>
      <c r="M4182" s="49" t="s">
        <v>546</v>
      </c>
      <c r="N4182" s="29"/>
      <c r="O4182" s="29"/>
      <c r="P4182" s="19"/>
      <c r="Q4182" s="19"/>
      <c r="R4182" s="11"/>
    </row>
    <row r="4183" s="1" customFormat="1" ht="21.95" customHeight="1" spans="1:18">
      <c r="A4183" s="7"/>
      <c r="B4183" s="12"/>
      <c r="C4183" s="33"/>
      <c r="D4183" s="45" t="s">
        <v>652</v>
      </c>
      <c r="E4183" s="46"/>
      <c r="F4183" s="50">
        <v>10</v>
      </c>
      <c r="G4183" s="50">
        <v>10</v>
      </c>
      <c r="H4183" s="50">
        <v>10</v>
      </c>
      <c r="I4183" s="50">
        <v>10</v>
      </c>
      <c r="J4183" s="50">
        <v>60</v>
      </c>
      <c r="K4183" s="51"/>
      <c r="L4183" s="50">
        <v>100</v>
      </c>
      <c r="M4183" s="49"/>
      <c r="N4183" s="29"/>
      <c r="O4183" s="29"/>
      <c r="P4183" s="19"/>
      <c r="Q4183" s="19"/>
      <c r="R4183" s="11"/>
    </row>
    <row r="4184" s="1" customFormat="1" ht="21.95" customHeight="1" spans="1:18">
      <c r="A4184" s="7"/>
      <c r="B4184" s="12"/>
      <c r="C4184" s="33"/>
      <c r="D4184" s="52" t="s">
        <v>751</v>
      </c>
      <c r="E4184" s="53"/>
      <c r="F4184" s="54" t="str">
        <f ca="1">IFERROR(VLOOKUP(F4167,'RR-3.1-5TH'!$A$12:'RR-3.1-5TH'!$BN$111,9,0),"")</f>
        <v/>
      </c>
      <c r="G4184" s="54" t="str">
        <f ca="1">IFERROR(VLOOKUP(F4167,'RR-3.1-5TH'!$A$12:'RR-3.1-5TH'!$BN$111,10,0),"")</f>
        <v/>
      </c>
      <c r="H4184" s="54" t="str">
        <f ca="1">IFERROR(VLOOKUP(F4167,'RR-3.1-5TH'!$A$12:'RR-3.1-5TH'!$BN$111,11,0),"")</f>
        <v/>
      </c>
      <c r="I4184" s="54" t="str">
        <f ca="1">IFERROR(VLOOKUP(F4167,'RR-3.1-5TH'!$A$12:'RR-3.1-5TH'!$BN$111,12,0),"")</f>
        <v/>
      </c>
      <c r="J4184" s="54" t="str">
        <f ca="1">IFERROR(VLOOKUP(F4167,'RR-3.1-5TH'!$A$12:'RR-3.1-5TH'!$BN$111,13,0),"")</f>
        <v/>
      </c>
      <c r="K4184" s="54" t="str">
        <f ca="1">IFERROR(VLOOKUP(F4167,'RR-3.1-5TH'!$A$12:'RR-3.1-5TH'!$BN$111,14,0),"")</f>
        <v/>
      </c>
      <c r="L4184" s="55">
        <f ca="1" t="shared" ref="L4184:L4189" si="219">SUM(F4184,G4184,H4184,I4184,J4184,K4184)</f>
        <v>0</v>
      </c>
      <c r="M4184" s="56" t="str">
        <f ca="1">IF(F4167&gt;ENTRY!$D$24,"",IF(L4184=0,"Ab",IF(L4184&gt;80,"A",IF(L4184&gt;60,"B",IF(L4184&gt;44,"C",IF(L4184&gt;=33,"D",IF(L4184&lt;=32,"E","")))))))</f>
        <v/>
      </c>
      <c r="N4184" s="57" t="s">
        <v>729</v>
      </c>
      <c r="O4184" s="58"/>
      <c r="P4184" s="59"/>
      <c r="Q4184" s="19"/>
      <c r="R4184" s="11"/>
    </row>
    <row r="4185" s="1" customFormat="1" ht="21.95" customHeight="1" spans="1:18">
      <c r="A4185" s="7"/>
      <c r="B4185" s="12"/>
      <c r="C4185" s="33"/>
      <c r="D4185" s="52" t="s">
        <v>513</v>
      </c>
      <c r="E4185" s="53"/>
      <c r="F4185" s="54" t="str">
        <f ca="1">IFERROR(VLOOKUP(F4167,'RR-3.1-5TH'!$A$12:'RR-3.1-5TH'!$BN$111,17,0),"")</f>
        <v/>
      </c>
      <c r="G4185" s="54" t="str">
        <f ca="1">IFERROR(VLOOKUP(F4167,'RR-3.1-5TH'!$A$12:'RR-3.1-5TH'!$BN$111,18,0),"")</f>
        <v/>
      </c>
      <c r="H4185" s="54" t="str">
        <f ca="1">IFERROR(VLOOKUP(F4167,'RR-3.1-5TH'!$A$12:'RR-3.1-5TH'!$BN$111,19,0),"")</f>
        <v/>
      </c>
      <c r="I4185" s="54" t="str">
        <f ca="1">IFERROR(VLOOKUP(F4167,'RR-3.1-5TH'!$A$12:'RR-3.1-5TH'!$BN$111,20,0),"")</f>
        <v/>
      </c>
      <c r="J4185" s="54" t="str">
        <f ca="1">IFERROR(VLOOKUP(F4167,'RR-3.1-5TH'!$A$12:'RR-3.1-5TH'!$BN$111,21,0),"")</f>
        <v/>
      </c>
      <c r="K4185" s="54" t="str">
        <f ca="1">IFERROR(VLOOKUP(F4167,'RR-3.1-5TH'!$A$12:'RR-3.1-5TH'!$BN$111,22,0),"")</f>
        <v/>
      </c>
      <c r="L4185" s="55">
        <f ca="1" t="shared" si="219"/>
        <v>0</v>
      </c>
      <c r="M4185" s="56" t="str">
        <f ca="1">IF(F4167&gt;ENTRY!$D$24,"",IF(L4185=0,"Ab",IF(L4185&gt;80,"A",IF(L4185&gt;60,"B",IF(L4185&gt;44,"C",IF(L4185&gt;=33,"D",IF(L4185&lt;=32,"E","")))))))</f>
        <v/>
      </c>
      <c r="N4185" s="58"/>
      <c r="O4185" s="58"/>
      <c r="P4185" s="59"/>
      <c r="Q4185" s="19"/>
      <c r="R4185" s="11"/>
    </row>
    <row r="4186" s="1" customFormat="1" ht="21.95" customHeight="1" spans="1:18">
      <c r="A4186" s="7"/>
      <c r="B4186" s="12"/>
      <c r="C4186" s="33"/>
      <c r="D4186" s="52" t="s">
        <v>718</v>
      </c>
      <c r="E4186" s="53"/>
      <c r="F4186" s="54" t="str">
        <f ca="1">IFERROR(VLOOKUP(F4167,'RR-3.1-5TH'!$A$12:'RR-3.1-5TH'!$BN$111,25,0),"")</f>
        <v/>
      </c>
      <c r="G4186" s="54" t="str">
        <f ca="1">IFERROR(VLOOKUP(F4167,'RR-3.1-5TH'!$A$12:'RR-3.1-5TH'!$BN$111,26,0),"")</f>
        <v/>
      </c>
      <c r="H4186" s="54" t="str">
        <f ca="1">IFERROR(VLOOKUP(F4167,'RR-3.1-5TH'!$A$12:'RR-3.1-5TH'!$BN$111,27,0),"")</f>
        <v/>
      </c>
      <c r="I4186" s="54" t="str">
        <f ca="1">IFERROR(VLOOKUP(F4167,'RR-3.1-5TH'!$A$12:'RR-3.1-5TH'!$BN$111,28,0),"")</f>
        <v/>
      </c>
      <c r="J4186" s="54" t="str">
        <f ca="1">IFERROR(VLOOKUP(F4167,'RR-3.1-5TH'!$A$12:'RR-3.1-5TH'!$BN$111,29,0),"")</f>
        <v/>
      </c>
      <c r="K4186" s="54" t="str">
        <f ca="1">IFERROR(VLOOKUP(F4167,'RR-3.1-5TH'!$A$12:'RR-3.1-5TH'!$BN$111,30,0),"")</f>
        <v/>
      </c>
      <c r="L4186" s="55">
        <f ca="1" t="shared" si="219"/>
        <v>0</v>
      </c>
      <c r="M4186" s="56" t="str">
        <f ca="1">IF(F4167&gt;ENTRY!$D$24,"",IF(L4186=0,"Ab",IF(L4186&gt;80,"A",IF(L4186&gt;60,"B",IF(L4186&gt;44,"C",IF(L4186&gt;=33,"D",IF(L4186&lt;=32,"E","")))))))</f>
        <v/>
      </c>
      <c r="N4186" s="29"/>
      <c r="O4186" s="29"/>
      <c r="P4186" s="19"/>
      <c r="Q4186" s="19"/>
      <c r="R4186" s="11"/>
    </row>
    <row r="4187" s="1" customFormat="1" ht="21.95" customHeight="1" spans="1:18">
      <c r="A4187" s="7"/>
      <c r="B4187" s="12"/>
      <c r="C4187" s="33"/>
      <c r="D4187" s="52" t="s">
        <v>719</v>
      </c>
      <c r="E4187" s="53"/>
      <c r="F4187" s="54" t="str">
        <f ca="1">IFERROR(VLOOKUP(F4167,'RR-3.1-5TH'!$A$12:'RR-3.1-5TH'!$BN$111,33,0),"")</f>
        <v/>
      </c>
      <c r="G4187" s="54" t="str">
        <f ca="1">IFERROR(VLOOKUP(F4167,'RR-3.1-5TH'!$A$12:'RR-3.1-5TH'!$BN$111,34,0),"")</f>
        <v/>
      </c>
      <c r="H4187" s="54" t="str">
        <f ca="1">IFERROR(VLOOKUP(F4167,'RR-3.1-5TH'!$A$12:'RR-3.1-5TH'!$BN$111,35,0),"")</f>
        <v/>
      </c>
      <c r="I4187" s="54" t="str">
        <f ca="1">IFERROR(VLOOKUP(F4167,'RR-3.1-5TH'!$A$12:'RR-3.1-5TH'!$BN$111,36,0),"")</f>
        <v/>
      </c>
      <c r="J4187" s="54" t="str">
        <f ca="1">IFERROR(VLOOKUP(F4167,'RR-3.1-5TH'!$A$12:'RR-3.1-5TH'!$BN$111,37,0),"")</f>
        <v/>
      </c>
      <c r="K4187" s="54" t="str">
        <f ca="1">IFERROR(VLOOKUP(F4167,'RR-3.1-5TH'!$A$12:'RR-3.1-5TH'!$BN$111,38,0),"")</f>
        <v/>
      </c>
      <c r="L4187" s="55">
        <f ca="1" t="shared" si="219"/>
        <v>0</v>
      </c>
      <c r="M4187" s="56" t="str">
        <f ca="1">IF(F4167&gt;ENTRY!$D$24,"",IF(L4187=0,"Ab",IF(L4187&gt;80,"A",IF(L4187&gt;60,"B",IF(L4187&gt;44,"C",IF(L4187&gt;=33,"D",IF(L4187&lt;=32,"E","")))))))</f>
        <v/>
      </c>
      <c r="N4187" s="29"/>
      <c r="O4187" s="29"/>
      <c r="P4187" s="19"/>
      <c r="Q4187" s="19"/>
      <c r="R4187" s="11"/>
    </row>
    <row r="4188" s="1" customFormat="1" ht="21.95" customHeight="1" spans="1:18">
      <c r="A4188" s="7"/>
      <c r="B4188" s="12"/>
      <c r="C4188" s="33"/>
      <c r="D4188" s="52" t="s">
        <v>548</v>
      </c>
      <c r="E4188" s="53"/>
      <c r="F4188" s="54" t="str">
        <f ca="1">IFERROR(VLOOKUP(F4167,'RR-3.1-5TH'!$A$12:'RR-3.1-5TH'!$BN$111,41,0),"")</f>
        <v/>
      </c>
      <c r="G4188" s="54" t="str">
        <f ca="1">IFERROR(VLOOKUP(F4167,'RR-3.1-5TH'!$A$12:'RR-3.1-5TH'!$BN$111,42,0),"")</f>
        <v/>
      </c>
      <c r="H4188" s="54" t="str">
        <f ca="1">IFERROR(VLOOKUP(F4167,'RR-3.1-5TH'!$A$12:'RR-3.1-5TH'!$BN$111,43,0),"")</f>
        <v/>
      </c>
      <c r="I4188" s="54" t="str">
        <f ca="1">IFERROR(VLOOKUP(F4167,'RR-3.1-5TH'!$A$12:'RR-3.1-5TH'!$BN$111,44,0),"")</f>
        <v/>
      </c>
      <c r="J4188" s="54" t="str">
        <f ca="1">IFERROR(VLOOKUP(F4167,'RR-3.1-5TH'!$A$12:'RR-3.1-5TH'!$BN$111,45,0),"")</f>
        <v/>
      </c>
      <c r="K4188" s="54" t="str">
        <f ca="1">IFERROR(VLOOKUP(F4167,'RR-3.1-5TH'!$A$12:'RR-3.1-5TH'!$BN$111,46,0),"")</f>
        <v/>
      </c>
      <c r="L4188" s="55">
        <f ca="1" t="shared" si="219"/>
        <v>0</v>
      </c>
      <c r="M4188" s="56" t="str">
        <f ca="1">IF(F4167&gt;ENTRY!$D$24,"",IF(L4188=0,"Ab",IF(L4188&gt;80,"A",IF(L4188&gt;60,"B",IF(L4188&gt;44,"C",IF(L4188&gt;=33,"D",IF(L4188&lt;=32,"E","")))))))</f>
        <v/>
      </c>
      <c r="N4188" s="29"/>
      <c r="O4188" s="29"/>
      <c r="P4188" s="19"/>
      <c r="Q4188" s="19"/>
      <c r="R4188" s="11"/>
    </row>
    <row r="4189" s="1" customFormat="1" ht="21.95" customHeight="1" spans="1:18">
      <c r="A4189" s="7"/>
      <c r="B4189" s="12"/>
      <c r="C4189" s="33"/>
      <c r="D4189" s="52" t="s">
        <v>549</v>
      </c>
      <c r="E4189" s="53"/>
      <c r="F4189" s="54" t="str">
        <f ca="1">IFERROR(VLOOKUP(F4167,'RR-3.1-5TH'!$A$12:'RR-3.1-5TH'!$BN$111,49,0),"")</f>
        <v/>
      </c>
      <c r="G4189" s="54" t="str">
        <f ca="1">IFERROR(VLOOKUP(F4167,'RR-3.1-5TH'!$A$12:'RR-3.1-5TH'!$BN$111,50,0),"")</f>
        <v/>
      </c>
      <c r="H4189" s="54" t="str">
        <f ca="1">IFERROR(VLOOKUP(F4167,'RR-3.1-5TH'!$A$12:'RR-3.1-5TH'!$BN$111,51,0),"")</f>
        <v/>
      </c>
      <c r="I4189" s="54" t="str">
        <f ca="1">IFERROR(VLOOKUP(F4167,'RR-3.1-5TH'!$A$12:'RR-3.1-5TH'!$BN$111,52,0),"")</f>
        <v/>
      </c>
      <c r="J4189" s="54" t="str">
        <f ca="1">IFERROR(VLOOKUP(F4167,'RR-3.1-5TH'!$A$12:'RR-3.1-5TH'!$BN$111,53,0),"")</f>
        <v/>
      </c>
      <c r="K4189" s="54" t="str">
        <f ca="1">IFERROR(VLOOKUP(F4167,'RR-3.1-5TH'!$A$12:'RR-3.1-5TH'!$BN$111,54,0),"")</f>
        <v/>
      </c>
      <c r="L4189" s="55">
        <f ca="1" t="shared" si="219"/>
        <v>0</v>
      </c>
      <c r="M4189" s="56" t="str">
        <f ca="1">IF(F4167&gt;ENTRY!$D$24,"",IF(L4189=0,"Ab",IF(L4189&gt;80,"A",IF(L4189&gt;60,"B",IF(L4189&gt;44,"C",IF(L4189&gt;=33,"D",IF(L4189&lt;=32,"E","")))))))</f>
        <v/>
      </c>
      <c r="N4189" s="57" t="s">
        <v>752</v>
      </c>
      <c r="O4189" s="58"/>
      <c r="P4189" s="59"/>
      <c r="Q4189" s="19"/>
      <c r="R4189" s="11"/>
    </row>
    <row r="4190" s="1" customFormat="1" ht="21.95" customHeight="1" spans="1:18">
      <c r="A4190" s="7"/>
      <c r="B4190" s="12"/>
      <c r="C4190" s="33"/>
      <c r="D4190" s="52" t="s">
        <v>753</v>
      </c>
      <c r="E4190" s="53"/>
      <c r="F4190" s="60"/>
      <c r="G4190" s="54"/>
      <c r="H4190" s="54"/>
      <c r="I4190" s="54"/>
      <c r="J4190" s="54"/>
      <c r="K4190" s="54"/>
      <c r="L4190" s="55">
        <f t="shared" ref="L4190" si="220">SUM(G4190:K4190)</f>
        <v>0</v>
      </c>
      <c r="M4190" s="56" t="str">
        <f>IF(F4167&gt;ENTRY!$D$24,"",IF(L4190=0,"",IF(L4190&gt;79,"A",IF(L4190&gt;59,"B",IF(L4190&gt;44,"C",IF(L4190&gt;=33,"D",IF(L4190&lt;=32,"E","")))))))</f>
        <v/>
      </c>
      <c r="N4190" s="58"/>
      <c r="O4190" s="58"/>
      <c r="P4190" s="59"/>
      <c r="Q4190" s="19"/>
      <c r="R4190" s="11"/>
    </row>
    <row r="4191" s="1" customFormat="1" ht="21.95" customHeight="1" spans="1:18">
      <c r="A4191" s="7"/>
      <c r="B4191" s="12"/>
      <c r="C4191" s="33"/>
      <c r="D4191" s="45" t="s">
        <v>382</v>
      </c>
      <c r="E4191" s="46"/>
      <c r="F4191" s="54">
        <f ca="1" t="shared" ref="F4191:L4191" si="221">IFERROR(SUM(F4184:F4190),"")</f>
        <v>0</v>
      </c>
      <c r="G4191" s="54">
        <f ca="1" t="shared" si="221"/>
        <v>0</v>
      </c>
      <c r="H4191" s="54">
        <f ca="1" t="shared" si="221"/>
        <v>0</v>
      </c>
      <c r="I4191" s="54">
        <f ca="1" t="shared" si="221"/>
        <v>0</v>
      </c>
      <c r="J4191" s="54">
        <f ca="1" t="shared" si="221"/>
        <v>0</v>
      </c>
      <c r="K4191" s="54">
        <f ca="1" t="shared" si="221"/>
        <v>0</v>
      </c>
      <c r="L4191" s="55">
        <f ca="1" t="shared" si="221"/>
        <v>0</v>
      </c>
      <c r="M4191" s="61" t="str">
        <f ca="1">IF(F4167&gt;ENTRY!$D$24,"",IF(N4192="Ab","Ab",IF(N4192&gt;79.5,"A",IF(N4192&gt;59.5,"B",IF(N4192&gt;44.5,"C",IF(N4192&gt;=33,"D",IF(N4192&lt;33,"E","")))))))</f>
        <v/>
      </c>
      <c r="N4191" s="62"/>
      <c r="O4191" s="58"/>
      <c r="P4191" s="59"/>
      <c r="Q4191" s="19"/>
      <c r="R4191" s="11"/>
    </row>
    <row r="4192" s="1" customFormat="1" ht="21.95" customHeight="1" spans="1:18">
      <c r="A4192" s="7"/>
      <c r="B4192" s="12"/>
      <c r="C4192" s="33"/>
      <c r="D4192" s="63" t="s">
        <v>721</v>
      </c>
      <c r="E4192" s="63"/>
      <c r="F4192" s="63"/>
      <c r="G4192" s="63"/>
      <c r="H4192" s="63"/>
      <c r="I4192" s="63"/>
      <c r="J4192" s="63"/>
      <c r="K4192" s="63"/>
      <c r="L4192" s="63"/>
      <c r="M4192" s="63"/>
      <c r="N4192" s="64">
        <f ca="1">IF(L4191="Ab","Ab",L4191/6)</f>
        <v>0</v>
      </c>
      <c r="O4192" s="65"/>
      <c r="P4192" s="19"/>
      <c r="Q4192" s="19"/>
      <c r="R4192" s="11"/>
    </row>
    <row r="4193" s="1" customFormat="1" ht="21.95" customHeight="1" spans="1:19">
      <c r="A4193" s="7"/>
      <c r="B4193" s="12"/>
      <c r="C4193" s="33"/>
      <c r="D4193" s="29" t="s">
        <v>716</v>
      </c>
      <c r="E4193" s="18" t="str">
        <f>IFERROR(VLOOKUP(F4167,'1to4-2.1-RR'!$A$12:$BG$111,57,0),"")</f>
        <v/>
      </c>
      <c r="F4193" s="18"/>
      <c r="G4193" s="18"/>
      <c r="H4193" s="18"/>
      <c r="I4193" s="18"/>
      <c r="J4193" s="18"/>
      <c r="K4193" s="18"/>
      <c r="L4193" s="18"/>
      <c r="M4193" s="18"/>
      <c r="N4193" s="29"/>
      <c r="O4193" s="29"/>
      <c r="P4193" s="19"/>
      <c r="Q4193" s="19"/>
      <c r="R4193" s="11"/>
    </row>
    <row r="4194" s="1" customFormat="1" ht="9.95" customHeight="1" spans="1:19">
      <c r="A4194" s="7"/>
      <c r="B4194" s="12"/>
      <c r="C4194" s="33"/>
      <c r="D4194" s="29"/>
      <c r="E4194" s="29"/>
      <c r="F4194" s="29"/>
      <c r="G4194" s="29"/>
      <c r="H4194" s="29"/>
      <c r="I4194" s="29"/>
      <c r="J4194" s="29"/>
      <c r="K4194" s="29"/>
      <c r="L4194" s="29"/>
      <c r="M4194" s="29"/>
      <c r="N4194" s="29"/>
      <c r="O4194" s="29"/>
      <c r="P4194" s="19"/>
      <c r="Q4194" s="19"/>
      <c r="R4194" s="11"/>
    </row>
    <row r="4195" s="1" customFormat="1" ht="36" spans="1:19">
      <c r="A4195" s="7"/>
      <c r="B4195" s="12"/>
      <c r="C4195" s="33"/>
      <c r="D4195" s="66" t="s">
        <v>576</v>
      </c>
      <c r="E4195" s="67" t="s">
        <v>754</v>
      </c>
      <c r="F4195" s="47" t="str">
        <f>IF(F4167&gt;ENTRY!$D$24,"",IFERROR(VLOOKUP(F4167,PASHEET!$A$4:$CJ$103,88,0),""))</f>
        <v/>
      </c>
      <c r="G4195" s="67" t="s">
        <v>755</v>
      </c>
      <c r="H4195" s="47" t="str">
        <f>IF(F4167&gt;ENTRY!$D$24,"",IFERROR(VLOOKUP(F4167,PASHEET!$A$4:$CJ$103,87,0),""))</f>
        <v/>
      </c>
      <c r="I4195" s="68" t="s">
        <v>756</v>
      </c>
      <c r="J4195" s="69" t="str">
        <f>IF(F4167&gt;ENTRY!$D$24,"",IFERROR(IF(F4167&gt;0,H4195/F4195*100),""))</f>
        <v/>
      </c>
      <c r="K4195" s="60" t="s">
        <v>757</v>
      </c>
      <c r="L4195" s="70" t="str">
        <f ca="1">IF(F4167&gt;ENTRY!$D$24,"",IFERROR(L4191/600*100,""))</f>
        <v/>
      </c>
      <c r="M4195" s="47" t="str">
        <f ca="1">IF(F4167&gt;ENTRY!$D$24,"",IFERROR(L4191&amp;" / "&amp;"600",""))</f>
        <v/>
      </c>
      <c r="N4195" s="29"/>
      <c r="O4195" s="29"/>
      <c r="P4195" s="19"/>
      <c r="Q4195" s="19"/>
      <c r="R4195" s="11"/>
    </row>
    <row r="4196" s="1" customFormat="1" ht="9.95" customHeight="1" spans="1:19">
      <c r="A4196" s="7"/>
      <c r="B4196" s="12"/>
      <c r="C4196" s="39"/>
      <c r="D4196" s="40"/>
      <c r="E4196" s="40"/>
      <c r="F4196" s="40"/>
      <c r="G4196" s="40"/>
      <c r="H4196" s="40"/>
      <c r="I4196" s="40"/>
      <c r="J4196" s="40"/>
      <c r="K4196" s="40"/>
      <c r="L4196" s="40"/>
      <c r="M4196" s="40"/>
      <c r="N4196" s="40"/>
      <c r="O4196" s="40"/>
      <c r="P4196" s="41"/>
      <c r="Q4196" s="19"/>
      <c r="R4196" s="11"/>
    </row>
    <row r="4197" s="1" customFormat="1" ht="9.95" customHeight="1" spans="1:19">
      <c r="A4197" s="7"/>
      <c r="B4197" s="12"/>
      <c r="C4197" s="71"/>
      <c r="D4197" s="71"/>
      <c r="E4197" s="71"/>
      <c r="F4197" s="29"/>
      <c r="G4197" s="71"/>
      <c r="H4197" s="71"/>
      <c r="I4197" s="71"/>
      <c r="J4197" s="71"/>
      <c r="K4197" s="71"/>
      <c r="L4197" s="71"/>
      <c r="M4197" s="71"/>
      <c r="N4197" s="71"/>
      <c r="O4197" s="71"/>
      <c r="P4197" s="71"/>
      <c r="Q4197" s="19"/>
      <c r="R4197" s="11"/>
    </row>
    <row r="4198" s="1" customFormat="1" ht="9.95" customHeight="1" spans="1:19">
      <c r="A4198" s="7"/>
      <c r="B4198" s="12"/>
      <c r="C4198" s="29"/>
      <c r="D4198" s="29"/>
      <c r="E4198" s="29"/>
      <c r="F4198" s="72"/>
      <c r="G4198" s="29"/>
      <c r="H4198" s="29"/>
      <c r="I4198" s="29"/>
      <c r="J4198" s="29"/>
      <c r="K4198" s="29"/>
      <c r="L4198" s="29"/>
      <c r="M4198" s="29"/>
      <c r="N4198" s="29"/>
      <c r="O4198" s="29"/>
      <c r="P4198" s="29"/>
      <c r="Q4198" s="19"/>
      <c r="R4198" s="11"/>
    </row>
    <row r="4199" s="1" customFormat="1" ht="9.95" customHeight="1" spans="1:19">
      <c r="A4199" s="7"/>
      <c r="B4199" s="12"/>
      <c r="C4199" s="30"/>
      <c r="D4199" s="31"/>
      <c r="E4199" s="31"/>
      <c r="F4199" s="31"/>
      <c r="G4199" s="31"/>
      <c r="H4199" s="31"/>
      <c r="I4199" s="31"/>
      <c r="J4199" s="31"/>
      <c r="K4199" s="31"/>
      <c r="L4199" s="31"/>
      <c r="M4199" s="31"/>
      <c r="N4199" s="31"/>
      <c r="O4199" s="31"/>
      <c r="P4199" s="32"/>
      <c r="Q4199" s="19"/>
      <c r="R4199" s="11"/>
    </row>
    <row r="4200" s="1" customFormat="1" ht="21.95" customHeight="1" spans="1:19">
      <c r="A4200" s="7"/>
      <c r="B4200" s="12"/>
      <c r="C4200" s="73" t="s">
        <v>7</v>
      </c>
      <c r="D4200" s="13"/>
      <c r="E4200" s="13"/>
      <c r="F4200" s="13"/>
      <c r="G4200" s="13"/>
      <c r="H4200" s="13"/>
      <c r="I4200" s="13"/>
      <c r="J4200" s="13"/>
      <c r="K4200" s="13"/>
      <c r="L4200" s="13"/>
      <c r="M4200" s="13"/>
      <c r="N4200" s="13"/>
      <c r="O4200" s="13"/>
      <c r="P4200" s="74"/>
      <c r="Q4200" s="19"/>
      <c r="R4200" s="11"/>
      <c r="S4200" s="2"/>
    </row>
    <row r="4201" s="1" customFormat="1" ht="21.95" customHeight="1" spans="1:19">
      <c r="A4201" s="7"/>
      <c r="B4201" s="12"/>
      <c r="C4201" s="33"/>
      <c r="D4201" s="29"/>
      <c r="E4201" s="29"/>
      <c r="F4201" s="29"/>
      <c r="G4201" s="29"/>
      <c r="H4201" s="29"/>
      <c r="I4201" s="29"/>
      <c r="J4201" s="29"/>
      <c r="K4201" s="29"/>
      <c r="L4201" s="29"/>
      <c r="M4201" s="29"/>
      <c r="N4201" s="29"/>
      <c r="O4201" s="29"/>
      <c r="P4201" s="19"/>
      <c r="Q4201" s="19"/>
      <c r="R4201" s="11"/>
    </row>
    <row r="4202" s="1" customFormat="1" ht="21.95" customHeight="1" spans="1:19">
      <c r="A4202" s="7"/>
      <c r="B4202" s="12"/>
      <c r="C4202" s="75" t="str">
        <f>"SESSION-"&amp;ENTRY!$D$11</f>
        <v>SESSION-2026-27</v>
      </c>
      <c r="D4202" s="15"/>
      <c r="E4202" s="15"/>
      <c r="F4202" s="15"/>
      <c r="G4202" s="15"/>
      <c r="H4202" s="15"/>
      <c r="I4202" s="15"/>
      <c r="J4202" s="15"/>
      <c r="K4202" s="15"/>
      <c r="L4202" s="15"/>
      <c r="M4202" s="15"/>
      <c r="N4202" s="15"/>
      <c r="O4202" s="15"/>
      <c r="P4202" s="76"/>
      <c r="Q4202" s="19"/>
      <c r="R4202" s="11"/>
    </row>
    <row r="4203" s="1" customFormat="1" ht="18" customHeight="1" spans="1:19">
      <c r="A4203" s="7"/>
      <c r="B4203" s="12"/>
      <c r="C4203" s="33"/>
      <c r="D4203" s="29"/>
      <c r="E4203" s="29"/>
      <c r="F4203" s="29"/>
      <c r="G4203" s="29"/>
      <c r="H4203" s="29"/>
      <c r="I4203" s="29"/>
      <c r="J4203" s="29"/>
      <c r="K4203" s="29"/>
      <c r="L4203" s="29"/>
      <c r="M4203" s="29"/>
      <c r="N4203" s="29"/>
      <c r="O4203" s="29"/>
      <c r="P4203" s="19"/>
      <c r="Q4203" s="19"/>
      <c r="R4203" s="11"/>
    </row>
    <row r="4204" s="1" customFormat="1" ht="21.95" customHeight="1" spans="1:19">
      <c r="A4204" s="7"/>
      <c r="B4204" s="12"/>
      <c r="C4204" s="33"/>
      <c r="D4204" s="77" t="s">
        <v>758</v>
      </c>
      <c r="E4204" s="77"/>
      <c r="F4204" s="78" t="str">
        <f>IFERROR(PROPER(VLOOKUP(F4167,STUDENT!$A$2:$BP$101,5,0)),"")</f>
        <v/>
      </c>
      <c r="G4204" s="78"/>
      <c r="H4204" s="78"/>
      <c r="I4204" s="78"/>
      <c r="J4204" s="78"/>
      <c r="K4204" s="78"/>
      <c r="L4204" s="78"/>
      <c r="M4204" s="78"/>
      <c r="N4204" s="79" t="s">
        <v>759</v>
      </c>
      <c r="O4204" s="79"/>
      <c r="P4204" s="19"/>
      <c r="Q4204" s="19"/>
      <c r="R4204" s="11"/>
    </row>
    <row r="4205" s="1" customFormat="1" ht="21.95" customHeight="1" spans="1:19">
      <c r="A4205" s="7"/>
      <c r="B4205" s="12"/>
      <c r="C4205" s="33"/>
      <c r="D4205" s="80" t="s">
        <v>760</v>
      </c>
      <c r="E4205" s="81" t="str">
        <f>IFERROR(PROPER(VLOOKUP(F4167,STUDENT!$A$2:$BP$101,9,0)),"")</f>
        <v/>
      </c>
      <c r="F4205" s="81"/>
      <c r="G4205" s="81"/>
      <c r="H4205" s="80" t="s">
        <v>761</v>
      </c>
      <c r="I4205" s="82" t="str">
        <f>IFERROR(PROPER(VLOOKUP(F4167,STUDENT!$A$2:$BP$101,8,0)),"")</f>
        <v/>
      </c>
      <c r="J4205" s="82"/>
      <c r="K4205" s="82"/>
      <c r="L4205" s="82"/>
      <c r="M4205" s="80" t="s">
        <v>762</v>
      </c>
      <c r="N4205" s="83" t="str">
        <f>IFERROR(VLOOKUP(F4167,STUDENT!$A$2:$BP$101,59,0),"")</f>
        <v/>
      </c>
      <c r="O4205" s="83"/>
      <c r="P4205" s="19"/>
      <c r="Q4205" s="19"/>
      <c r="R4205" s="11"/>
    </row>
    <row r="4206" s="1" customFormat="1" ht="21.95" customHeight="1" spans="1:19">
      <c r="A4206" s="7"/>
      <c r="B4206" s="12"/>
      <c r="C4206" s="33"/>
      <c r="D4206" s="77" t="str">
        <f>"has    completed     his  /  her     primary     level     education    in    the    year    "&amp;RIGHT(ENTRY!$D4172,4)&amp;"    from    ( School    Name )"</f>
        <v>has    completed     his  /  her     primary     level     education    in    the    year        from    ( School    Name )</v>
      </c>
      <c r="E4206" s="77"/>
      <c r="F4206" s="77"/>
      <c r="G4206" s="77"/>
      <c r="H4206" s="77"/>
      <c r="I4206" s="77"/>
      <c r="J4206" s="77"/>
      <c r="K4206" s="77"/>
      <c r="L4206" s="77"/>
      <c r="M4206" s="77"/>
      <c r="N4206" s="77"/>
      <c r="O4206" s="77"/>
      <c r="P4206" s="19"/>
      <c r="Q4206" s="19"/>
      <c r="R4206" s="11"/>
    </row>
    <row r="4207" s="1" customFormat="1" ht="21.95" customHeight="1" spans="1:19">
      <c r="A4207" s="7"/>
      <c r="B4207" s="12"/>
      <c r="C4207" s="33"/>
      <c r="D4207" s="81" t="str">
        <f>IF(F4167&gt;0,ENTRY!$D$6,"")</f>
        <v>MCP NITHARI NO 1 BOYS</v>
      </c>
      <c r="E4207" s="81"/>
      <c r="F4207" s="81"/>
      <c r="G4207" s="81"/>
      <c r="H4207" s="81"/>
      <c r="I4207" s="81"/>
      <c r="J4207" s="81"/>
      <c r="K4207" s="81"/>
      <c r="L4207" s="81"/>
      <c r="M4207" s="80" t="s">
        <v>763</v>
      </c>
      <c r="N4207" s="84">
        <f>IF(F4167&gt;0,ENTRY!$D$7,"")</f>
        <v>0</v>
      </c>
      <c r="O4207" s="84"/>
      <c r="P4207" s="85" t="s">
        <v>727</v>
      </c>
      <c r="Q4207" s="19"/>
      <c r="R4207" s="11"/>
    </row>
    <row r="4208" s="1" customFormat="1" ht="21.95" customHeight="1" spans="1:19">
      <c r="A4208" s="7"/>
      <c r="B4208" s="12"/>
      <c r="C4208" s="33"/>
      <c r="D4208" s="29"/>
      <c r="E4208" s="29"/>
      <c r="F4208" s="29"/>
      <c r="G4208" s="29"/>
      <c r="H4208" s="29"/>
      <c r="I4208" s="29"/>
      <c r="J4208" s="29"/>
      <c r="K4208" s="29"/>
      <c r="L4208" s="29"/>
      <c r="M4208" s="29"/>
      <c r="N4208" s="29"/>
      <c r="O4208" s="29"/>
      <c r="P4208" s="19"/>
      <c r="Q4208" s="19"/>
      <c r="R4208" s="11"/>
    </row>
    <row r="4209" s="1" customFormat="1" ht="21.95" customHeight="1" spans="1:18">
      <c r="A4209" s="7"/>
      <c r="B4209" s="12"/>
      <c r="C4209" s="33"/>
      <c r="D4209" s="29"/>
      <c r="E4209" s="29"/>
      <c r="F4209" s="29"/>
      <c r="G4209" s="29"/>
      <c r="H4209" s="29"/>
      <c r="I4209" s="29"/>
      <c r="J4209" s="29"/>
      <c r="K4209" s="29"/>
      <c r="L4209" s="29"/>
      <c r="M4209" s="29"/>
      <c r="N4209" s="29"/>
      <c r="O4209" s="29"/>
      <c r="P4209" s="19"/>
      <c r="Q4209" s="19"/>
      <c r="R4209" s="11"/>
    </row>
    <row r="4210" s="1" customFormat="1" ht="21.95" customHeight="1" spans="1:18">
      <c r="A4210" s="7"/>
      <c r="B4210" s="12"/>
      <c r="C4210" s="33"/>
      <c r="D4210" s="29"/>
      <c r="E4210" s="29"/>
      <c r="F4210" s="29"/>
      <c r="G4210" s="29"/>
      <c r="H4210" s="29"/>
      <c r="I4210" s="29"/>
      <c r="J4210" s="29"/>
      <c r="K4210" s="29"/>
      <c r="L4210" s="29"/>
      <c r="M4210" s="29"/>
      <c r="N4210" s="29"/>
      <c r="O4210" s="29"/>
      <c r="P4210" s="19"/>
      <c r="Q4210" s="19"/>
      <c r="R4210" s="11"/>
    </row>
    <row r="4211" s="1" customFormat="1" ht="21.95" customHeight="1" spans="1:18">
      <c r="A4211" s="7"/>
      <c r="B4211" s="12"/>
      <c r="C4211" s="33"/>
      <c r="D4211" s="29"/>
      <c r="E4211" s="29"/>
      <c r="F4211" s="29"/>
      <c r="G4211" s="29"/>
      <c r="H4211" s="29"/>
      <c r="I4211" s="29"/>
      <c r="J4211" s="29"/>
      <c r="K4211" s="29"/>
      <c r="L4211" s="29"/>
      <c r="M4211" s="29"/>
      <c r="N4211" s="29"/>
      <c r="O4211" s="29"/>
      <c r="P4211" s="19"/>
      <c r="Q4211" s="19"/>
      <c r="R4211" s="11"/>
    </row>
    <row r="4212" s="1" customFormat="1" ht="21.95" customHeight="1" spans="1:18">
      <c r="A4212" s="7"/>
      <c r="B4212" s="12"/>
      <c r="C4212" s="33"/>
      <c r="D4212" s="29"/>
      <c r="E4212" s="29"/>
      <c r="F4212" s="29"/>
      <c r="G4212" s="29"/>
      <c r="H4212" s="29"/>
      <c r="I4212" s="29"/>
      <c r="J4212" s="29"/>
      <c r="K4212" s="29"/>
      <c r="L4212" s="29"/>
      <c r="M4212" s="29"/>
      <c r="N4212" s="29"/>
      <c r="O4212" s="29"/>
      <c r="P4212" s="19"/>
      <c r="Q4212" s="19"/>
      <c r="R4212" s="11"/>
    </row>
    <row r="4213" s="1" customFormat="1" ht="21.95" customHeight="1" spans="1:18">
      <c r="A4213" s="7"/>
      <c r="B4213" s="12"/>
      <c r="C4213" s="33"/>
      <c r="D4213" s="80" t="s">
        <v>728</v>
      </c>
      <c r="E4213" s="86">
        <f>ENTRY!$D$27</f>
        <v>46102</v>
      </c>
      <c r="F4213" s="86"/>
      <c r="G4213" s="29"/>
      <c r="H4213" s="29"/>
      <c r="I4213" s="29"/>
      <c r="J4213" s="29"/>
      <c r="K4213" s="29"/>
      <c r="L4213" s="29"/>
      <c r="M4213" s="87" t="s">
        <v>730</v>
      </c>
      <c r="N4213" s="87"/>
      <c r="O4213" s="87"/>
      <c r="P4213" s="19"/>
      <c r="Q4213" s="19"/>
      <c r="R4213" s="11"/>
    </row>
    <row r="4214" s="1" customFormat="1" ht="21.95" customHeight="1" spans="1:18">
      <c r="A4214" s="7"/>
      <c r="B4214" s="12"/>
      <c r="C4214" s="33"/>
      <c r="D4214" s="80" t="s">
        <v>731</v>
      </c>
      <c r="E4214" s="88" t="str">
        <f>PROPER(ENTRY!$D$28)</f>
        <v>New Delhi</v>
      </c>
      <c r="F4214" s="88"/>
      <c r="G4214" s="29"/>
      <c r="H4214" s="29"/>
      <c r="I4214" s="29"/>
      <c r="J4214" s="29"/>
      <c r="K4214" s="29"/>
      <c r="L4214" s="29"/>
      <c r="M4214" s="89" t="s">
        <v>732</v>
      </c>
      <c r="N4214" s="89"/>
      <c r="O4214" s="89"/>
      <c r="P4214" s="19"/>
      <c r="Q4214" s="19"/>
      <c r="R4214" s="11"/>
    </row>
    <row r="4215" s="1" customFormat="1" ht="21.95" customHeight="1" spans="1:18">
      <c r="A4215" s="7"/>
      <c r="B4215" s="12"/>
      <c r="C4215" s="90"/>
      <c r="D4215" s="91"/>
      <c r="E4215" s="91"/>
      <c r="F4215" s="91"/>
      <c r="G4215" s="91"/>
      <c r="H4215" s="91"/>
      <c r="I4215" s="91"/>
      <c r="J4215" s="91"/>
      <c r="K4215" s="91"/>
      <c r="L4215" s="91"/>
      <c r="M4215" s="91"/>
      <c r="N4215" s="91"/>
      <c r="O4215" s="91"/>
      <c r="P4215" s="92"/>
      <c r="Q4215" s="14"/>
      <c r="R4215" s="11"/>
    </row>
    <row r="4216" s="1" customFormat="1" ht="5.1" customHeight="1" spans="1:18">
      <c r="A4216" s="7"/>
      <c r="B4216" s="90"/>
      <c r="C4216" s="91"/>
      <c r="D4216" s="91"/>
      <c r="E4216" s="91"/>
      <c r="F4216" s="91"/>
      <c r="G4216" s="91"/>
      <c r="H4216" s="91"/>
      <c r="I4216" s="91"/>
      <c r="J4216" s="91"/>
      <c r="K4216" s="91"/>
      <c r="L4216" s="91"/>
      <c r="M4216" s="91"/>
      <c r="N4216" s="91"/>
      <c r="O4216" s="91"/>
      <c r="P4216" s="91"/>
      <c r="Q4216" s="92"/>
      <c r="R4216" s="11"/>
    </row>
    <row r="4217" s="1" customFormat="1" ht="5.1" customHeight="1" spans="1:18">
      <c r="A4217" s="93"/>
      <c r="B4217" s="94"/>
      <c r="C4217" s="94"/>
      <c r="D4217" s="94"/>
      <c r="E4217" s="94"/>
      <c r="F4217" s="94"/>
      <c r="G4217" s="94"/>
      <c r="H4217" s="94"/>
      <c r="I4217" s="94"/>
      <c r="J4217" s="94"/>
      <c r="K4217" s="94"/>
      <c r="L4217" s="94"/>
      <c r="M4217" s="94"/>
      <c r="N4217" s="94"/>
      <c r="O4217" s="94"/>
      <c r="P4217" s="94"/>
      <c r="Q4217" s="94"/>
      <c r="R4217" s="95"/>
    </row>
    <row r="4218" s="2" customFormat="1" ht="9.95" customHeight="1"/>
    <row r="4219" s="1" customFormat="1" ht="5.1" customHeight="1" spans="1:18">
      <c r="A4219" s="4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  <c r="O4219" s="5"/>
      <c r="P4219" s="5"/>
      <c r="Q4219" s="5"/>
      <c r="R4219" s="6"/>
    </row>
    <row r="4220" s="1" customFormat="1" ht="15" customHeight="1" spans="1:18">
      <c r="A4220" s="7"/>
      <c r="B4220" s="8"/>
      <c r="C4220" s="9"/>
      <c r="D4220" s="9"/>
      <c r="E4220" s="9"/>
      <c r="F4220" s="9"/>
      <c r="G4220" s="9"/>
      <c r="H4220" s="9"/>
      <c r="I4220" s="9"/>
      <c r="J4220" s="9"/>
      <c r="K4220" s="9"/>
      <c r="L4220" s="9"/>
      <c r="M4220" s="9"/>
      <c r="N4220" s="9"/>
      <c r="O4220" s="9"/>
      <c r="P4220" s="9"/>
      <c r="Q4220" s="10"/>
      <c r="R4220" s="11"/>
    </row>
    <row r="4221" s="1" customFormat="1" ht="21.95" customHeight="1" spans="1:18">
      <c r="A4221" s="7"/>
      <c r="B4221" s="12"/>
      <c r="C4221" s="13" t="s">
        <v>7</v>
      </c>
      <c r="D4221" s="13"/>
      <c r="E4221" s="13"/>
      <c r="F4221" s="13"/>
      <c r="G4221" s="13"/>
      <c r="H4221" s="13"/>
      <c r="I4221" s="13"/>
      <c r="J4221" s="13"/>
      <c r="K4221" s="13"/>
      <c r="L4221" s="13"/>
      <c r="M4221" s="13"/>
      <c r="N4221" s="13"/>
      <c r="O4221" s="13"/>
      <c r="P4221" s="13"/>
      <c r="Q4221" s="14"/>
      <c r="R4221" s="11"/>
    </row>
    <row r="4222" s="1" customFormat="1" ht="21.95" customHeight="1" spans="1:18">
      <c r="A4222" s="7"/>
      <c r="B4222" s="1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14"/>
      <c r="R4222" s="11"/>
    </row>
    <row r="4223" s="1" customFormat="1" ht="21.95" customHeight="1" spans="1:18">
      <c r="A4223" s="7"/>
      <c r="B4223" s="12"/>
      <c r="C4223" s="15" t="str">
        <f>"SESSION-"&amp;ENTRY!$D$11</f>
        <v>SESSION-2026-27</v>
      </c>
      <c r="D4223" s="15"/>
      <c r="E4223" s="15"/>
      <c r="F4223" s="15"/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  <c r="Q4223" s="14"/>
      <c r="R4223" s="11"/>
    </row>
    <row r="4224" s="1" customFormat="1" ht="21.95" customHeight="1" spans="1:18">
      <c r="A4224" s="7"/>
      <c r="B4224" s="12"/>
      <c r="C4224" s="2"/>
      <c r="D4224" s="2"/>
      <c r="E4224" s="2"/>
      <c r="F4224" s="16">
        <f>F4167+1</f>
        <v>75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14"/>
      <c r="R4224" s="11"/>
    </row>
    <row r="4225" s="1" customFormat="1" ht="21.95" customHeight="1" spans="1:18">
      <c r="A4225" s="7"/>
      <c r="B4225" s="12"/>
      <c r="C4225" s="17" t="s">
        <v>392</v>
      </c>
      <c r="D4225" s="17"/>
      <c r="E4225" s="17"/>
      <c r="F4225" s="18" t="str">
        <f>IF(F4224&gt;0,ENTRY!$D$6,"")</f>
        <v>MCP NITHARI NO 1 BOYS</v>
      </c>
      <c r="G4225" s="18"/>
      <c r="H4225" s="18"/>
      <c r="I4225" s="18"/>
      <c r="J4225" s="18"/>
      <c r="K4225" s="18"/>
      <c r="L4225" s="18"/>
      <c r="M4225" s="18"/>
      <c r="N4225" s="18"/>
      <c r="O4225" s="18"/>
      <c r="P4225" s="18"/>
      <c r="Q4225" s="19"/>
      <c r="R4225" s="11"/>
    </row>
    <row r="4226" s="1" customFormat="1" ht="21.95" customHeight="1" spans="1:18">
      <c r="A4226" s="7"/>
      <c r="B4226" s="12"/>
      <c r="C4226" s="17" t="s">
        <v>393</v>
      </c>
      <c r="D4226" s="17"/>
      <c r="E4226" s="17"/>
      <c r="F4226" s="18">
        <f>IF(F4224&gt;0,ENTRY!$D$7,"")</f>
        <v>0</v>
      </c>
      <c r="G4226" s="18"/>
      <c r="H4226" s="20" t="s">
        <v>702</v>
      </c>
      <c r="I4226" s="20"/>
      <c r="J4226" s="21">
        <f>IF(F4224&gt;0,ENTRY!$D$10,"")</f>
        <v>40</v>
      </c>
      <c r="K4226" s="20" t="s">
        <v>703</v>
      </c>
      <c r="L4226" s="22" t="str">
        <f>IF(F4224&gt;0,ENTRY!$D$5,"")</f>
        <v>ROHINI ZONE</v>
      </c>
      <c r="M4226" s="22"/>
      <c r="N4226" s="22"/>
      <c r="O4226" s="22"/>
      <c r="P4226" s="22"/>
      <c r="Q4226" s="19"/>
      <c r="R4226" s="11"/>
    </row>
    <row r="4227" s="1" customFormat="1" ht="21.95" customHeight="1" spans="1:18">
      <c r="A4227" s="7"/>
      <c r="B4227" s="12"/>
      <c r="C4227" s="17" t="s">
        <v>706</v>
      </c>
      <c r="D4227" s="17"/>
      <c r="E4227" s="17"/>
      <c r="F4227" s="23">
        <f>IFERROR(VLOOKUP(F4224,STUDENT!$A$2:$BP$101,5,0),"")</f>
        <v>0</v>
      </c>
      <c r="G4227" s="23"/>
      <c r="H4227" s="23"/>
      <c r="I4227" s="23"/>
      <c r="J4227" s="23"/>
      <c r="K4227" s="23"/>
      <c r="L4227" s="20" t="s">
        <v>707</v>
      </c>
      <c r="M4227" s="20"/>
      <c r="N4227" s="24" t="str">
        <f>IF(F4224&gt;0,ENTRY!$D$20&amp;"-"&amp;ENTRY!$D$21,"")</f>
        <v>III-A</v>
      </c>
      <c r="O4227" s="24"/>
      <c r="P4227" s="24"/>
      <c r="Q4227" s="19"/>
      <c r="R4227" s="11"/>
    </row>
    <row r="4228" s="1" customFormat="1" ht="21.95" customHeight="1" spans="1:18">
      <c r="A4228" s="7"/>
      <c r="B4228" s="12"/>
      <c r="C4228" s="17" t="s">
        <v>708</v>
      </c>
      <c r="D4228" s="17"/>
      <c r="E4228" s="17"/>
      <c r="F4228" s="25">
        <f>IFERROR(VLOOKUP(F4224,STUDENT!$A$2:$BP$101,6,0),"")</f>
        <v>0</v>
      </c>
      <c r="G4228" s="25"/>
      <c r="H4228" s="26" t="s">
        <v>709</v>
      </c>
      <c r="I4228" s="27" t="str">
        <f>IFERROR(VLOOKUP(F4224,STUDENT!$A$2:$BP$101,59,0),"")</f>
        <v/>
      </c>
      <c r="J4228" s="27"/>
      <c r="K4228" s="20" t="s">
        <v>710</v>
      </c>
      <c r="L4228" s="20"/>
      <c r="M4228" s="28">
        <f>IFERROR(VLOOKUP(F4224,STUDENT!$A$2:$BP$101,20,0),"")</f>
        <v>0</v>
      </c>
      <c r="N4228" s="28"/>
      <c r="O4228" s="28"/>
      <c r="P4228" s="28"/>
      <c r="Q4228" s="19"/>
      <c r="R4228" s="11"/>
    </row>
    <row r="4229" s="1" customFormat="1" ht="21.95" customHeight="1" spans="1:18">
      <c r="A4229" s="7"/>
      <c r="B4229" s="12"/>
      <c r="C4229" s="17" t="s">
        <v>711</v>
      </c>
      <c r="D4229" s="17"/>
      <c r="E4229" s="17"/>
      <c r="F4229" s="23">
        <f>IFERROR(VLOOKUP(F4224,STUDENT!$A$2:$BP$101,9,0),"")</f>
        <v>0</v>
      </c>
      <c r="G4229" s="23"/>
      <c r="H4229" s="23"/>
      <c r="I4229" s="23"/>
      <c r="J4229" s="17" t="s">
        <v>620</v>
      </c>
      <c r="K4229" s="17"/>
      <c r="L4229" s="23">
        <f>IFERROR(VLOOKUP(F4224,STUDENT!$A$2:$BP$101,8,0),"")</f>
        <v>0</v>
      </c>
      <c r="M4229" s="23"/>
      <c r="N4229" s="23"/>
      <c r="O4229" s="23"/>
      <c r="P4229" s="23"/>
      <c r="Q4229" s="19"/>
      <c r="R4229" s="11"/>
    </row>
    <row r="4230" s="1" customFormat="1" ht="21.95" customHeight="1" spans="1:18">
      <c r="A4230" s="7"/>
      <c r="B4230" s="12"/>
      <c r="C4230" s="17" t="s">
        <v>712</v>
      </c>
      <c r="D4230" s="17"/>
      <c r="E4230" s="17"/>
      <c r="F4230" s="23">
        <f>IFERROR(VLOOKUP(F4224,STUDENT!$A$2:$BP$101,22,0),"")</f>
        <v>0</v>
      </c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19"/>
      <c r="R4230" s="11"/>
    </row>
    <row r="4231" s="1" customFormat="1" ht="9.95" customHeight="1" spans="1:18">
      <c r="A4231" s="7"/>
      <c r="B4231" s="12"/>
      <c r="C4231" s="29"/>
      <c r="D4231" s="29"/>
      <c r="E4231" s="29"/>
      <c r="F4231" s="29"/>
      <c r="G4231" s="29"/>
      <c r="H4231" s="29"/>
      <c r="I4231" s="29"/>
      <c r="J4231" s="29"/>
      <c r="K4231" s="29"/>
      <c r="L4231" s="29"/>
      <c r="M4231" s="29"/>
      <c r="N4231" s="29"/>
      <c r="O4231" s="29"/>
      <c r="P4231" s="29"/>
      <c r="Q4231" s="19"/>
      <c r="R4231" s="11"/>
    </row>
    <row r="4232" s="1" customFormat="1" ht="9.95" customHeight="1" spans="1:18">
      <c r="A4232" s="7"/>
      <c r="B4232" s="12"/>
      <c r="C4232" s="30"/>
      <c r="D4232" s="31"/>
      <c r="E4232" s="31"/>
      <c r="F4232" s="31"/>
      <c r="G4232" s="31"/>
      <c r="H4232" s="31"/>
      <c r="I4232" s="31"/>
      <c r="J4232" s="31"/>
      <c r="K4232" s="31"/>
      <c r="L4232" s="31"/>
      <c r="M4232" s="31"/>
      <c r="N4232" s="31"/>
      <c r="O4232" s="31"/>
      <c r="P4232" s="32"/>
      <c r="Q4232" s="19"/>
      <c r="R4232" s="11"/>
    </row>
    <row r="4233" s="1" customFormat="1" ht="21.95" customHeight="1" spans="1:18">
      <c r="A4233" s="7"/>
      <c r="B4233" s="12"/>
      <c r="C4233" s="33"/>
      <c r="D4233" s="34" t="s">
        <v>713</v>
      </c>
      <c r="E4233" s="20" t="s">
        <v>714</v>
      </c>
      <c r="F4233" s="35" t="str">
        <f>"Level - "&amp;IFERROR(VLOOKUP(F4224,FLN!$A$4:$K$103,9,0),"")</f>
        <v>Level - </v>
      </c>
      <c r="G4233" s="36"/>
      <c r="H4233" s="37" t="s">
        <v>715</v>
      </c>
      <c r="I4233" s="20"/>
      <c r="J4233" s="35" t="str">
        <f>"Level - "&amp;IFERROR(VLOOKUP(F4224,FLN!$A$4:$K$103,11,0),"")</f>
        <v>Level - </v>
      </c>
      <c r="K4233" s="36"/>
      <c r="L4233" s="37" t="s">
        <v>408</v>
      </c>
      <c r="M4233" s="20"/>
      <c r="N4233" s="35" t="str">
        <f>"Level - "&amp;IFERROR(VLOOKUP(F4224,FLN!$A$4:$K$103,10,0),"")</f>
        <v>Level - </v>
      </c>
      <c r="O4233" s="36"/>
      <c r="P4233" s="19"/>
      <c r="Q4233" s="19"/>
      <c r="R4233" s="11"/>
    </row>
    <row r="4234" s="1" customFormat="1" ht="21.95" customHeight="1" spans="1:18">
      <c r="A4234" s="7"/>
      <c r="B4234" s="12"/>
      <c r="C4234" s="33"/>
      <c r="D4234" s="38"/>
      <c r="E4234" s="20" t="s">
        <v>716</v>
      </c>
      <c r="F4234" s="18" t="str">
        <f ca="1">IF(L4248&gt;197,"PERFORMED WELL","")</f>
        <v/>
      </c>
      <c r="G4234" s="18"/>
      <c r="H4234" s="18"/>
      <c r="I4234" s="18"/>
      <c r="J4234" s="18"/>
      <c r="K4234" s="18"/>
      <c r="L4234" s="18"/>
      <c r="M4234" s="18"/>
      <c r="N4234" s="18"/>
      <c r="O4234" s="18"/>
      <c r="P4234" s="19"/>
      <c r="Q4234" s="19"/>
      <c r="R4234" s="11"/>
    </row>
    <row r="4235" s="1" customFormat="1" ht="9.95" customHeight="1" spans="1:18">
      <c r="A4235" s="7"/>
      <c r="B4235" s="12"/>
      <c r="C4235" s="39"/>
      <c r="D4235" s="40"/>
      <c r="E4235" s="40"/>
      <c r="F4235" s="40"/>
      <c r="G4235" s="40"/>
      <c r="H4235" s="40"/>
      <c r="I4235" s="40"/>
      <c r="J4235" s="40"/>
      <c r="K4235" s="40"/>
      <c r="L4235" s="40"/>
      <c r="M4235" s="40"/>
      <c r="N4235" s="40"/>
      <c r="O4235" s="40"/>
      <c r="P4235" s="41"/>
      <c r="Q4235" s="19"/>
      <c r="R4235" s="11"/>
    </row>
    <row r="4236" s="1" customFormat="1" ht="9.95" customHeight="1" spans="1:18">
      <c r="A4236" s="7"/>
      <c r="B4236" s="12"/>
      <c r="C4236" s="29"/>
      <c r="D4236" s="29"/>
      <c r="E4236" s="29"/>
      <c r="F4236" s="29"/>
      <c r="G4236" s="29"/>
      <c r="H4236" s="29"/>
      <c r="I4236" s="29"/>
      <c r="J4236" s="29"/>
      <c r="K4236" s="29"/>
      <c r="L4236" s="29"/>
      <c r="M4236" s="29"/>
      <c r="N4236" s="29"/>
      <c r="O4236" s="29"/>
      <c r="P4236" s="29"/>
      <c r="Q4236" s="19"/>
      <c r="R4236" s="11"/>
    </row>
    <row r="4237" s="1" customFormat="1" ht="9.95" customHeight="1" spans="1:18">
      <c r="A4237" s="7"/>
      <c r="B4237" s="12"/>
      <c r="C4237" s="30"/>
      <c r="D4237" s="31"/>
      <c r="E4237" s="31"/>
      <c r="F4237" s="31"/>
      <c r="G4237" s="31"/>
      <c r="H4237" s="31"/>
      <c r="I4237" s="31"/>
      <c r="J4237" s="31"/>
      <c r="K4237" s="31"/>
      <c r="L4237" s="31"/>
      <c r="M4237" s="31"/>
      <c r="N4237" s="31"/>
      <c r="O4237" s="31"/>
      <c r="P4237" s="32"/>
      <c r="Q4237" s="19"/>
      <c r="R4237" s="11"/>
    </row>
    <row r="4238" s="1" customFormat="1" ht="21.95" customHeight="1" spans="1:18">
      <c r="A4238" s="7"/>
      <c r="B4238" s="12"/>
      <c r="C4238" s="33"/>
      <c r="D4238" s="35"/>
      <c r="E4238" s="24"/>
      <c r="F4238" s="42" t="s">
        <v>717</v>
      </c>
      <c r="G4238" s="42"/>
      <c r="H4238" s="42"/>
      <c r="I4238" s="42"/>
      <c r="J4238" s="42"/>
      <c r="K4238" s="42"/>
      <c r="L4238" s="43"/>
      <c r="M4238" s="44"/>
      <c r="N4238" s="29"/>
      <c r="O4238" s="29"/>
      <c r="P4238" s="19"/>
      <c r="Q4238" s="19"/>
      <c r="R4238" s="11"/>
    </row>
    <row r="4239" s="1" customFormat="1" ht="21.95" customHeight="1" spans="1:18">
      <c r="A4239" s="7"/>
      <c r="B4239" s="12"/>
      <c r="C4239" s="33"/>
      <c r="D4239" s="45"/>
      <c r="E4239" s="46"/>
      <c r="F4239" s="47" t="s">
        <v>541</v>
      </c>
      <c r="G4239" s="47" t="s">
        <v>542</v>
      </c>
      <c r="H4239" s="47" t="s">
        <v>543</v>
      </c>
      <c r="I4239" s="47" t="s">
        <v>544</v>
      </c>
      <c r="J4239" s="47" t="s">
        <v>561</v>
      </c>
      <c r="K4239" s="48" t="s">
        <v>750</v>
      </c>
      <c r="L4239" s="47" t="s">
        <v>382</v>
      </c>
      <c r="M4239" s="49" t="s">
        <v>546</v>
      </c>
      <c r="N4239" s="29"/>
      <c r="O4239" s="29"/>
      <c r="P4239" s="19"/>
      <c r="Q4239" s="19"/>
      <c r="R4239" s="11"/>
    </row>
    <row r="4240" s="1" customFormat="1" ht="21.95" customHeight="1" spans="1:18">
      <c r="A4240" s="7"/>
      <c r="B4240" s="12"/>
      <c r="C4240" s="33"/>
      <c r="D4240" s="45" t="s">
        <v>652</v>
      </c>
      <c r="E4240" s="46"/>
      <c r="F4240" s="50">
        <v>10</v>
      </c>
      <c r="G4240" s="50">
        <v>10</v>
      </c>
      <c r="H4240" s="50">
        <v>10</v>
      </c>
      <c r="I4240" s="50">
        <v>10</v>
      </c>
      <c r="J4240" s="50">
        <v>60</v>
      </c>
      <c r="K4240" s="51"/>
      <c r="L4240" s="50">
        <v>100</v>
      </c>
      <c r="M4240" s="49"/>
      <c r="N4240" s="29"/>
      <c r="O4240" s="29"/>
      <c r="P4240" s="19"/>
      <c r="Q4240" s="19"/>
      <c r="R4240" s="11"/>
    </row>
    <row r="4241" s="1" customFormat="1" ht="21.95" customHeight="1" spans="1:18">
      <c r="A4241" s="7"/>
      <c r="B4241" s="12"/>
      <c r="C4241" s="33"/>
      <c r="D4241" s="52" t="s">
        <v>751</v>
      </c>
      <c r="E4241" s="53"/>
      <c r="F4241" s="54" t="str">
        <f ca="1">IFERROR(VLOOKUP(F4224,'RR-3.1-5TH'!$A$12:'RR-3.1-5TH'!$BN$111,9,0),"")</f>
        <v/>
      </c>
      <c r="G4241" s="54" t="str">
        <f ca="1">IFERROR(VLOOKUP(F4224,'RR-3.1-5TH'!$A$12:'RR-3.1-5TH'!$BN$111,10,0),"")</f>
        <v/>
      </c>
      <c r="H4241" s="54" t="str">
        <f ca="1">IFERROR(VLOOKUP(F4224,'RR-3.1-5TH'!$A$12:'RR-3.1-5TH'!$BN$111,11,0),"")</f>
        <v/>
      </c>
      <c r="I4241" s="54" t="str">
        <f ca="1">IFERROR(VLOOKUP(F4224,'RR-3.1-5TH'!$A$12:'RR-3.1-5TH'!$BN$111,12,0),"")</f>
        <v/>
      </c>
      <c r="J4241" s="54" t="str">
        <f ca="1">IFERROR(VLOOKUP(F4224,'RR-3.1-5TH'!$A$12:'RR-3.1-5TH'!$BN$111,13,0),"")</f>
        <v/>
      </c>
      <c r="K4241" s="54" t="str">
        <f ca="1">IFERROR(VLOOKUP(F4224,'RR-3.1-5TH'!$A$12:'RR-3.1-5TH'!$BN$111,14,0),"")</f>
        <v/>
      </c>
      <c r="L4241" s="55">
        <f ca="1" t="shared" ref="L4241:L4246" si="222">SUM(F4241,G4241,H4241,I4241,J4241,K4241)</f>
        <v>0</v>
      </c>
      <c r="M4241" s="56" t="str">
        <f ca="1">IF(F4224&gt;ENTRY!$D$24,"",IF(L4241=0,"Ab",IF(L4241&gt;80,"A",IF(L4241&gt;60,"B",IF(L4241&gt;44,"C",IF(L4241&gt;=33,"D",IF(L4241&lt;=32,"E","")))))))</f>
        <v/>
      </c>
      <c r="N4241" s="57" t="s">
        <v>729</v>
      </c>
      <c r="O4241" s="58"/>
      <c r="P4241" s="59"/>
      <c r="Q4241" s="19"/>
      <c r="R4241" s="11"/>
    </row>
    <row r="4242" s="1" customFormat="1" ht="21.95" customHeight="1" spans="1:18">
      <c r="A4242" s="7"/>
      <c r="B4242" s="12"/>
      <c r="C4242" s="33"/>
      <c r="D4242" s="52" t="s">
        <v>513</v>
      </c>
      <c r="E4242" s="53"/>
      <c r="F4242" s="54" t="str">
        <f ca="1">IFERROR(VLOOKUP(F4224,'RR-3.1-5TH'!$A$12:'RR-3.1-5TH'!$BN$111,17,0),"")</f>
        <v/>
      </c>
      <c r="G4242" s="54" t="str">
        <f ca="1">IFERROR(VLOOKUP(F4224,'RR-3.1-5TH'!$A$12:'RR-3.1-5TH'!$BN$111,18,0),"")</f>
        <v/>
      </c>
      <c r="H4242" s="54" t="str">
        <f ca="1">IFERROR(VLOOKUP(F4224,'RR-3.1-5TH'!$A$12:'RR-3.1-5TH'!$BN$111,19,0),"")</f>
        <v/>
      </c>
      <c r="I4242" s="54" t="str">
        <f ca="1">IFERROR(VLOOKUP(F4224,'RR-3.1-5TH'!$A$12:'RR-3.1-5TH'!$BN$111,20,0),"")</f>
        <v/>
      </c>
      <c r="J4242" s="54" t="str">
        <f ca="1">IFERROR(VLOOKUP(F4224,'RR-3.1-5TH'!$A$12:'RR-3.1-5TH'!$BN$111,21,0),"")</f>
        <v/>
      </c>
      <c r="K4242" s="54" t="str">
        <f ca="1">IFERROR(VLOOKUP(F4224,'RR-3.1-5TH'!$A$12:'RR-3.1-5TH'!$BN$111,22,0),"")</f>
        <v/>
      </c>
      <c r="L4242" s="55">
        <f ca="1" t="shared" si="222"/>
        <v>0</v>
      </c>
      <c r="M4242" s="56" t="str">
        <f ca="1">IF(F4224&gt;ENTRY!$D$24,"",IF(L4242=0,"Ab",IF(L4242&gt;80,"A",IF(L4242&gt;60,"B",IF(L4242&gt;44,"C",IF(L4242&gt;=33,"D",IF(L4242&lt;=32,"E","")))))))</f>
        <v/>
      </c>
      <c r="N4242" s="58"/>
      <c r="O4242" s="58"/>
      <c r="P4242" s="59"/>
      <c r="Q4242" s="19"/>
      <c r="R4242" s="11"/>
    </row>
    <row r="4243" s="1" customFormat="1" ht="21.95" customHeight="1" spans="1:18">
      <c r="A4243" s="7"/>
      <c r="B4243" s="12"/>
      <c r="C4243" s="33"/>
      <c r="D4243" s="52" t="s">
        <v>718</v>
      </c>
      <c r="E4243" s="53"/>
      <c r="F4243" s="54" t="str">
        <f ca="1">IFERROR(VLOOKUP(F4224,'RR-3.1-5TH'!$A$12:'RR-3.1-5TH'!$BN$111,25,0),"")</f>
        <v/>
      </c>
      <c r="G4243" s="54" t="str">
        <f ca="1">IFERROR(VLOOKUP(F4224,'RR-3.1-5TH'!$A$12:'RR-3.1-5TH'!$BN$111,26,0),"")</f>
        <v/>
      </c>
      <c r="H4243" s="54" t="str">
        <f ca="1">IFERROR(VLOOKUP(F4224,'RR-3.1-5TH'!$A$12:'RR-3.1-5TH'!$BN$111,27,0),"")</f>
        <v/>
      </c>
      <c r="I4243" s="54" t="str">
        <f ca="1">IFERROR(VLOOKUP(F4224,'RR-3.1-5TH'!$A$12:'RR-3.1-5TH'!$BN$111,28,0),"")</f>
        <v/>
      </c>
      <c r="J4243" s="54" t="str">
        <f ca="1">IFERROR(VLOOKUP(F4224,'RR-3.1-5TH'!$A$12:'RR-3.1-5TH'!$BN$111,29,0),"")</f>
        <v/>
      </c>
      <c r="K4243" s="54" t="str">
        <f ca="1">IFERROR(VLOOKUP(F4224,'RR-3.1-5TH'!$A$12:'RR-3.1-5TH'!$BN$111,30,0),"")</f>
        <v/>
      </c>
      <c r="L4243" s="55">
        <f ca="1" t="shared" si="222"/>
        <v>0</v>
      </c>
      <c r="M4243" s="56" t="str">
        <f ca="1">IF(F4224&gt;ENTRY!$D$24,"",IF(L4243=0,"Ab",IF(L4243&gt;80,"A",IF(L4243&gt;60,"B",IF(L4243&gt;44,"C",IF(L4243&gt;=33,"D",IF(L4243&lt;=32,"E","")))))))</f>
        <v/>
      </c>
      <c r="N4243" s="29"/>
      <c r="O4243" s="29"/>
      <c r="P4243" s="19"/>
      <c r="Q4243" s="19"/>
      <c r="R4243" s="11"/>
    </row>
    <row r="4244" s="1" customFormat="1" ht="21.95" customHeight="1" spans="1:18">
      <c r="A4244" s="7"/>
      <c r="B4244" s="12"/>
      <c r="C4244" s="33"/>
      <c r="D4244" s="52" t="s">
        <v>719</v>
      </c>
      <c r="E4244" s="53"/>
      <c r="F4244" s="54" t="str">
        <f ca="1">IFERROR(VLOOKUP(F4224,'RR-3.1-5TH'!$A$12:'RR-3.1-5TH'!$BN$111,33,0),"")</f>
        <v/>
      </c>
      <c r="G4244" s="54" t="str">
        <f ca="1">IFERROR(VLOOKUP(F4224,'RR-3.1-5TH'!$A$12:'RR-3.1-5TH'!$BN$111,34,0),"")</f>
        <v/>
      </c>
      <c r="H4244" s="54" t="str">
        <f ca="1">IFERROR(VLOOKUP(F4224,'RR-3.1-5TH'!$A$12:'RR-3.1-5TH'!$BN$111,35,0),"")</f>
        <v/>
      </c>
      <c r="I4244" s="54" t="str">
        <f ca="1">IFERROR(VLOOKUP(F4224,'RR-3.1-5TH'!$A$12:'RR-3.1-5TH'!$BN$111,36,0),"")</f>
        <v/>
      </c>
      <c r="J4244" s="54" t="str">
        <f ca="1">IFERROR(VLOOKUP(F4224,'RR-3.1-5TH'!$A$12:'RR-3.1-5TH'!$BN$111,37,0),"")</f>
        <v/>
      </c>
      <c r="K4244" s="54" t="str">
        <f ca="1">IFERROR(VLOOKUP(F4224,'RR-3.1-5TH'!$A$12:'RR-3.1-5TH'!$BN$111,38,0),"")</f>
        <v/>
      </c>
      <c r="L4244" s="55">
        <f ca="1" t="shared" si="222"/>
        <v>0</v>
      </c>
      <c r="M4244" s="56" t="str">
        <f ca="1">IF(F4224&gt;ENTRY!$D$24,"",IF(L4244=0,"Ab",IF(L4244&gt;80,"A",IF(L4244&gt;60,"B",IF(L4244&gt;44,"C",IF(L4244&gt;=33,"D",IF(L4244&lt;=32,"E","")))))))</f>
        <v/>
      </c>
      <c r="N4244" s="29"/>
      <c r="O4244" s="29"/>
      <c r="P4244" s="19"/>
      <c r="Q4244" s="19"/>
      <c r="R4244" s="11"/>
    </row>
    <row r="4245" s="1" customFormat="1" ht="21.95" customHeight="1" spans="1:18">
      <c r="A4245" s="7"/>
      <c r="B4245" s="12"/>
      <c r="C4245" s="33"/>
      <c r="D4245" s="52" t="s">
        <v>548</v>
      </c>
      <c r="E4245" s="53"/>
      <c r="F4245" s="54" t="str">
        <f ca="1">IFERROR(VLOOKUP(F4224,'RR-3.1-5TH'!$A$12:'RR-3.1-5TH'!$BN$111,41,0),"")</f>
        <v/>
      </c>
      <c r="G4245" s="54" t="str">
        <f ca="1">IFERROR(VLOOKUP(F4224,'RR-3.1-5TH'!$A$12:'RR-3.1-5TH'!$BN$111,42,0),"")</f>
        <v/>
      </c>
      <c r="H4245" s="54" t="str">
        <f ca="1">IFERROR(VLOOKUP(F4224,'RR-3.1-5TH'!$A$12:'RR-3.1-5TH'!$BN$111,43,0),"")</f>
        <v/>
      </c>
      <c r="I4245" s="54" t="str">
        <f ca="1">IFERROR(VLOOKUP(F4224,'RR-3.1-5TH'!$A$12:'RR-3.1-5TH'!$BN$111,44,0),"")</f>
        <v/>
      </c>
      <c r="J4245" s="54" t="str">
        <f ca="1">IFERROR(VLOOKUP(F4224,'RR-3.1-5TH'!$A$12:'RR-3.1-5TH'!$BN$111,45,0),"")</f>
        <v/>
      </c>
      <c r="K4245" s="54" t="str">
        <f ca="1">IFERROR(VLOOKUP(F4224,'RR-3.1-5TH'!$A$12:'RR-3.1-5TH'!$BN$111,46,0),"")</f>
        <v/>
      </c>
      <c r="L4245" s="55">
        <f ca="1" t="shared" si="222"/>
        <v>0</v>
      </c>
      <c r="M4245" s="56" t="str">
        <f ca="1">IF(F4224&gt;ENTRY!$D$24,"",IF(L4245=0,"Ab",IF(L4245&gt;80,"A",IF(L4245&gt;60,"B",IF(L4245&gt;44,"C",IF(L4245&gt;=33,"D",IF(L4245&lt;=32,"E","")))))))</f>
        <v/>
      </c>
      <c r="N4245" s="29"/>
      <c r="O4245" s="29"/>
      <c r="P4245" s="19"/>
      <c r="Q4245" s="19"/>
      <c r="R4245" s="11"/>
    </row>
    <row r="4246" s="1" customFormat="1" ht="21.95" customHeight="1" spans="1:18">
      <c r="A4246" s="7"/>
      <c r="B4246" s="12"/>
      <c r="C4246" s="33"/>
      <c r="D4246" s="52" t="s">
        <v>549</v>
      </c>
      <c r="E4246" s="53"/>
      <c r="F4246" s="54" t="str">
        <f ca="1">IFERROR(VLOOKUP(F4224,'RR-3.1-5TH'!$A$12:'RR-3.1-5TH'!$BN$111,49,0),"")</f>
        <v/>
      </c>
      <c r="G4246" s="54" t="str">
        <f ca="1">IFERROR(VLOOKUP(F4224,'RR-3.1-5TH'!$A$12:'RR-3.1-5TH'!$BN$111,50,0),"")</f>
        <v/>
      </c>
      <c r="H4246" s="54" t="str">
        <f ca="1">IFERROR(VLOOKUP(F4224,'RR-3.1-5TH'!$A$12:'RR-3.1-5TH'!$BN$111,51,0),"")</f>
        <v/>
      </c>
      <c r="I4246" s="54" t="str">
        <f ca="1">IFERROR(VLOOKUP(F4224,'RR-3.1-5TH'!$A$12:'RR-3.1-5TH'!$BN$111,52,0),"")</f>
        <v/>
      </c>
      <c r="J4246" s="54" t="str">
        <f ca="1">IFERROR(VLOOKUP(F4224,'RR-3.1-5TH'!$A$12:'RR-3.1-5TH'!$BN$111,53,0),"")</f>
        <v/>
      </c>
      <c r="K4246" s="54" t="str">
        <f ca="1">IFERROR(VLOOKUP(F4224,'RR-3.1-5TH'!$A$12:'RR-3.1-5TH'!$BN$111,54,0),"")</f>
        <v/>
      </c>
      <c r="L4246" s="55">
        <f ca="1" t="shared" si="222"/>
        <v>0</v>
      </c>
      <c r="M4246" s="56" t="str">
        <f ca="1">IF(F4224&gt;ENTRY!$D$24,"",IF(L4246=0,"Ab",IF(L4246&gt;80,"A",IF(L4246&gt;60,"B",IF(L4246&gt;44,"C",IF(L4246&gt;=33,"D",IF(L4246&lt;=32,"E","")))))))</f>
        <v/>
      </c>
      <c r="N4246" s="57" t="s">
        <v>752</v>
      </c>
      <c r="O4246" s="58"/>
      <c r="P4246" s="59"/>
      <c r="Q4246" s="19"/>
      <c r="R4246" s="11"/>
    </row>
    <row r="4247" s="1" customFormat="1" ht="21.95" customHeight="1" spans="1:18">
      <c r="A4247" s="7"/>
      <c r="B4247" s="12"/>
      <c r="C4247" s="33"/>
      <c r="D4247" s="52" t="s">
        <v>753</v>
      </c>
      <c r="E4247" s="53"/>
      <c r="F4247" s="60"/>
      <c r="G4247" s="54"/>
      <c r="H4247" s="54"/>
      <c r="I4247" s="54"/>
      <c r="J4247" s="54"/>
      <c r="K4247" s="54"/>
      <c r="L4247" s="55">
        <f t="shared" ref="L4247" si="223">SUM(G4247:K4247)</f>
        <v>0</v>
      </c>
      <c r="M4247" s="56" t="str">
        <f>IF(F4224&gt;ENTRY!$D$24,"",IF(L4247=0,"",IF(L4247&gt;79,"A",IF(L4247&gt;59,"B",IF(L4247&gt;44,"C",IF(L4247&gt;=33,"D",IF(L4247&lt;=32,"E","")))))))</f>
        <v/>
      </c>
      <c r="N4247" s="58"/>
      <c r="O4247" s="58"/>
      <c r="P4247" s="59"/>
      <c r="Q4247" s="19"/>
      <c r="R4247" s="11"/>
    </row>
    <row r="4248" s="1" customFormat="1" ht="21.95" customHeight="1" spans="1:18">
      <c r="A4248" s="7"/>
      <c r="B4248" s="12"/>
      <c r="C4248" s="33"/>
      <c r="D4248" s="45" t="s">
        <v>382</v>
      </c>
      <c r="E4248" s="46"/>
      <c r="F4248" s="54">
        <f ca="1" t="shared" ref="F4248:L4248" si="224">IFERROR(SUM(F4241:F4247),"")</f>
        <v>0</v>
      </c>
      <c r="G4248" s="54">
        <f ca="1" t="shared" si="224"/>
        <v>0</v>
      </c>
      <c r="H4248" s="54">
        <f ca="1" t="shared" si="224"/>
        <v>0</v>
      </c>
      <c r="I4248" s="54">
        <f ca="1" t="shared" si="224"/>
        <v>0</v>
      </c>
      <c r="J4248" s="54">
        <f ca="1" t="shared" si="224"/>
        <v>0</v>
      </c>
      <c r="K4248" s="54">
        <f ca="1" t="shared" si="224"/>
        <v>0</v>
      </c>
      <c r="L4248" s="55">
        <f ca="1" t="shared" si="224"/>
        <v>0</v>
      </c>
      <c r="M4248" s="61" t="str">
        <f ca="1">IF(F4224&gt;ENTRY!$D$24,"",IF(N4249="Ab","Ab",IF(N4249&gt;79.5,"A",IF(N4249&gt;59.5,"B",IF(N4249&gt;44.5,"C",IF(N4249&gt;=33,"D",IF(N4249&lt;33,"E","")))))))</f>
        <v/>
      </c>
      <c r="N4248" s="62"/>
      <c r="O4248" s="58"/>
      <c r="P4248" s="59"/>
      <c r="Q4248" s="19"/>
      <c r="R4248" s="11"/>
    </row>
    <row r="4249" s="1" customFormat="1" ht="21.95" customHeight="1" spans="1:18">
      <c r="A4249" s="7"/>
      <c r="B4249" s="12"/>
      <c r="C4249" s="33"/>
      <c r="D4249" s="63" t="s">
        <v>721</v>
      </c>
      <c r="E4249" s="63"/>
      <c r="F4249" s="63"/>
      <c r="G4249" s="63"/>
      <c r="H4249" s="63"/>
      <c r="I4249" s="63"/>
      <c r="J4249" s="63"/>
      <c r="K4249" s="63"/>
      <c r="L4249" s="63"/>
      <c r="M4249" s="63"/>
      <c r="N4249" s="64">
        <f ca="1">IF(L4248="Ab","Ab",L4248/6)</f>
        <v>0</v>
      </c>
      <c r="O4249" s="65"/>
      <c r="P4249" s="19"/>
      <c r="Q4249" s="19"/>
      <c r="R4249" s="11"/>
    </row>
    <row r="4250" s="1" customFormat="1" ht="21.95" customHeight="1" spans="1:18">
      <c r="A4250" s="7"/>
      <c r="B4250" s="12"/>
      <c r="C4250" s="33"/>
      <c r="D4250" s="29" t="s">
        <v>716</v>
      </c>
      <c r="E4250" s="18" t="str">
        <f>IFERROR(VLOOKUP(F4224,'1to4-2.1-RR'!$A$12:$BG$111,57,0),"")</f>
        <v/>
      </c>
      <c r="F4250" s="18"/>
      <c r="G4250" s="18"/>
      <c r="H4250" s="18"/>
      <c r="I4250" s="18"/>
      <c r="J4250" s="18"/>
      <c r="K4250" s="18"/>
      <c r="L4250" s="18"/>
      <c r="M4250" s="18"/>
      <c r="N4250" s="29"/>
      <c r="O4250" s="29"/>
      <c r="P4250" s="19"/>
      <c r="Q4250" s="19"/>
      <c r="R4250" s="11"/>
    </row>
    <row r="4251" s="1" customFormat="1" ht="9.95" customHeight="1" spans="1:18">
      <c r="A4251" s="7"/>
      <c r="B4251" s="12"/>
      <c r="C4251" s="33"/>
      <c r="D4251" s="29"/>
      <c r="E4251" s="29"/>
      <c r="F4251" s="29"/>
      <c r="G4251" s="29"/>
      <c r="H4251" s="29"/>
      <c r="I4251" s="29"/>
      <c r="J4251" s="29"/>
      <c r="K4251" s="29"/>
      <c r="L4251" s="29"/>
      <c r="M4251" s="29"/>
      <c r="N4251" s="29"/>
      <c r="O4251" s="29"/>
      <c r="P4251" s="19"/>
      <c r="Q4251" s="19"/>
      <c r="R4251" s="11"/>
    </row>
    <row r="4252" s="1" customFormat="1" ht="36" spans="1:18">
      <c r="A4252" s="7"/>
      <c r="B4252" s="12"/>
      <c r="C4252" s="33"/>
      <c r="D4252" s="66" t="s">
        <v>576</v>
      </c>
      <c r="E4252" s="67" t="s">
        <v>754</v>
      </c>
      <c r="F4252" s="47" t="str">
        <f>IF(F4224&gt;ENTRY!$D$24,"",IFERROR(VLOOKUP(F4224,PASHEET!$A$4:$CJ$103,88,0),""))</f>
        <v/>
      </c>
      <c r="G4252" s="67" t="s">
        <v>755</v>
      </c>
      <c r="H4252" s="47" t="str">
        <f>IF(F4224&gt;ENTRY!$D$24,"",IFERROR(VLOOKUP(F4224,PASHEET!$A$4:$CJ$103,87,0),""))</f>
        <v/>
      </c>
      <c r="I4252" s="68" t="s">
        <v>756</v>
      </c>
      <c r="J4252" s="69" t="str">
        <f>IF(F4224&gt;ENTRY!$D$24,"",IFERROR(IF(F4224&gt;0,H4252/F4252*100),""))</f>
        <v/>
      </c>
      <c r="K4252" s="60" t="s">
        <v>757</v>
      </c>
      <c r="L4252" s="70" t="str">
        <f ca="1">IF(F4224&gt;ENTRY!$D$24,"",IFERROR(L4248/600*100,""))</f>
        <v/>
      </c>
      <c r="M4252" s="47" t="str">
        <f ca="1">IF(F4224&gt;ENTRY!$D$24,"",IFERROR(L4248&amp;" / "&amp;"600",""))</f>
        <v/>
      </c>
      <c r="N4252" s="29"/>
      <c r="O4252" s="29"/>
      <c r="P4252" s="19"/>
      <c r="Q4252" s="19"/>
      <c r="R4252" s="11"/>
    </row>
    <row r="4253" s="1" customFormat="1" ht="9.95" customHeight="1" spans="1:18">
      <c r="A4253" s="7"/>
      <c r="B4253" s="12"/>
      <c r="C4253" s="39"/>
      <c r="D4253" s="40"/>
      <c r="E4253" s="40"/>
      <c r="F4253" s="40"/>
      <c r="G4253" s="40"/>
      <c r="H4253" s="40"/>
      <c r="I4253" s="40"/>
      <c r="J4253" s="40"/>
      <c r="K4253" s="40"/>
      <c r="L4253" s="40"/>
      <c r="M4253" s="40"/>
      <c r="N4253" s="40"/>
      <c r="O4253" s="40"/>
      <c r="P4253" s="41"/>
      <c r="Q4253" s="19"/>
      <c r="R4253" s="11"/>
    </row>
    <row r="4254" s="1" customFormat="1" ht="9.95" customHeight="1" spans="1:18">
      <c r="A4254" s="7"/>
      <c r="B4254" s="12"/>
      <c r="C4254" s="71"/>
      <c r="D4254" s="71"/>
      <c r="E4254" s="71"/>
      <c r="F4254" s="29"/>
      <c r="G4254" s="71"/>
      <c r="H4254" s="71"/>
      <c r="I4254" s="71"/>
      <c r="J4254" s="71"/>
      <c r="K4254" s="71"/>
      <c r="L4254" s="71"/>
      <c r="M4254" s="71"/>
      <c r="N4254" s="71"/>
      <c r="O4254" s="71"/>
      <c r="P4254" s="71"/>
      <c r="Q4254" s="19"/>
      <c r="R4254" s="11"/>
    </row>
    <row r="4255" s="1" customFormat="1" ht="9.95" customHeight="1" spans="1:18">
      <c r="A4255" s="7"/>
      <c r="B4255" s="12"/>
      <c r="C4255" s="29"/>
      <c r="D4255" s="29"/>
      <c r="E4255" s="29"/>
      <c r="F4255" s="72"/>
      <c r="G4255" s="29"/>
      <c r="H4255" s="29"/>
      <c r="I4255" s="29"/>
      <c r="J4255" s="29"/>
      <c r="K4255" s="29"/>
      <c r="L4255" s="29"/>
      <c r="M4255" s="29"/>
      <c r="N4255" s="29"/>
      <c r="O4255" s="29"/>
      <c r="P4255" s="29"/>
      <c r="Q4255" s="19"/>
      <c r="R4255" s="11"/>
    </row>
    <row r="4256" s="1" customFormat="1" ht="9.95" customHeight="1" spans="1:18">
      <c r="A4256" s="7"/>
      <c r="B4256" s="12"/>
      <c r="C4256" s="30"/>
      <c r="D4256" s="31"/>
      <c r="E4256" s="31"/>
      <c r="F4256" s="31"/>
      <c r="G4256" s="31"/>
      <c r="H4256" s="31"/>
      <c r="I4256" s="31"/>
      <c r="J4256" s="31"/>
      <c r="K4256" s="31"/>
      <c r="L4256" s="31"/>
      <c r="M4256" s="31"/>
      <c r="N4256" s="31"/>
      <c r="O4256" s="31"/>
      <c r="P4256" s="32"/>
      <c r="Q4256" s="19"/>
      <c r="R4256" s="11"/>
    </row>
    <row r="4257" s="1" customFormat="1" ht="21.95" customHeight="1" spans="1:19">
      <c r="A4257" s="7"/>
      <c r="B4257" s="12"/>
      <c r="C4257" s="73" t="s">
        <v>7</v>
      </c>
      <c r="D4257" s="13"/>
      <c r="E4257" s="13"/>
      <c r="F4257" s="13"/>
      <c r="G4257" s="13"/>
      <c r="H4257" s="13"/>
      <c r="I4257" s="13"/>
      <c r="J4257" s="13"/>
      <c r="K4257" s="13"/>
      <c r="L4257" s="13"/>
      <c r="M4257" s="13"/>
      <c r="N4257" s="13"/>
      <c r="O4257" s="13"/>
      <c r="P4257" s="74"/>
      <c r="Q4257" s="19"/>
      <c r="R4257" s="11"/>
      <c r="S4257" s="2"/>
    </row>
    <row r="4258" s="1" customFormat="1" ht="21.95" customHeight="1" spans="1:19">
      <c r="A4258" s="7"/>
      <c r="B4258" s="12"/>
      <c r="C4258" s="33"/>
      <c r="D4258" s="29"/>
      <c r="E4258" s="29"/>
      <c r="F4258" s="29"/>
      <c r="G4258" s="29"/>
      <c r="H4258" s="29"/>
      <c r="I4258" s="29"/>
      <c r="J4258" s="29"/>
      <c r="K4258" s="29"/>
      <c r="L4258" s="29"/>
      <c r="M4258" s="29"/>
      <c r="N4258" s="29"/>
      <c r="O4258" s="29"/>
      <c r="P4258" s="19"/>
      <c r="Q4258" s="19"/>
      <c r="R4258" s="11"/>
    </row>
    <row r="4259" s="1" customFormat="1" ht="21.95" customHeight="1" spans="1:19">
      <c r="A4259" s="7"/>
      <c r="B4259" s="12"/>
      <c r="C4259" s="75" t="str">
        <f>"SESSION-"&amp;ENTRY!$D$11</f>
        <v>SESSION-2026-27</v>
      </c>
      <c r="D4259" s="15"/>
      <c r="E4259" s="15"/>
      <c r="F4259" s="15"/>
      <c r="G4259" s="15"/>
      <c r="H4259" s="15"/>
      <c r="I4259" s="15"/>
      <c r="J4259" s="15"/>
      <c r="K4259" s="15"/>
      <c r="L4259" s="15"/>
      <c r="M4259" s="15"/>
      <c r="N4259" s="15"/>
      <c r="O4259" s="15"/>
      <c r="P4259" s="76"/>
      <c r="Q4259" s="19"/>
      <c r="R4259" s="11"/>
    </row>
    <row r="4260" s="1" customFormat="1" ht="18" customHeight="1" spans="1:19">
      <c r="A4260" s="7"/>
      <c r="B4260" s="12"/>
      <c r="C4260" s="33"/>
      <c r="D4260" s="29"/>
      <c r="E4260" s="29"/>
      <c r="F4260" s="29"/>
      <c r="G4260" s="29"/>
      <c r="H4260" s="29"/>
      <c r="I4260" s="29"/>
      <c r="J4260" s="29"/>
      <c r="K4260" s="29"/>
      <c r="L4260" s="29"/>
      <c r="M4260" s="29"/>
      <c r="N4260" s="29"/>
      <c r="O4260" s="29"/>
      <c r="P4260" s="19"/>
      <c r="Q4260" s="19"/>
      <c r="R4260" s="11"/>
    </row>
    <row r="4261" s="1" customFormat="1" ht="21.95" customHeight="1" spans="1:19">
      <c r="A4261" s="7"/>
      <c r="B4261" s="12"/>
      <c r="C4261" s="33"/>
      <c r="D4261" s="77" t="s">
        <v>758</v>
      </c>
      <c r="E4261" s="77"/>
      <c r="F4261" s="78" t="str">
        <f>IFERROR(PROPER(VLOOKUP(F4224,STUDENT!$A$2:$BP$101,5,0)),"")</f>
        <v/>
      </c>
      <c r="G4261" s="78"/>
      <c r="H4261" s="78"/>
      <c r="I4261" s="78"/>
      <c r="J4261" s="78"/>
      <c r="K4261" s="78"/>
      <c r="L4261" s="78"/>
      <c r="M4261" s="78"/>
      <c r="N4261" s="79" t="s">
        <v>759</v>
      </c>
      <c r="O4261" s="79"/>
      <c r="P4261" s="19"/>
      <c r="Q4261" s="19"/>
      <c r="R4261" s="11"/>
    </row>
    <row r="4262" s="1" customFormat="1" ht="21.95" customHeight="1" spans="1:19">
      <c r="A4262" s="7"/>
      <c r="B4262" s="12"/>
      <c r="C4262" s="33"/>
      <c r="D4262" s="80" t="s">
        <v>760</v>
      </c>
      <c r="E4262" s="81" t="str">
        <f>IFERROR(PROPER(VLOOKUP(F4224,STUDENT!$A$2:$BP$101,9,0)),"")</f>
        <v/>
      </c>
      <c r="F4262" s="81"/>
      <c r="G4262" s="81"/>
      <c r="H4262" s="80" t="s">
        <v>761</v>
      </c>
      <c r="I4262" s="82" t="str">
        <f>IFERROR(PROPER(VLOOKUP(F4224,STUDENT!$A$2:$BP$101,8,0)),"")</f>
        <v/>
      </c>
      <c r="J4262" s="82"/>
      <c r="K4262" s="82"/>
      <c r="L4262" s="82"/>
      <c r="M4262" s="80" t="s">
        <v>762</v>
      </c>
      <c r="N4262" s="83" t="str">
        <f>IFERROR(VLOOKUP(F4224,STUDENT!$A$2:$BP$101,59,0),"")</f>
        <v/>
      </c>
      <c r="O4262" s="83"/>
      <c r="P4262" s="19"/>
      <c r="Q4262" s="19"/>
      <c r="R4262" s="11"/>
    </row>
    <row r="4263" s="1" customFormat="1" ht="21.95" customHeight="1" spans="1:19">
      <c r="A4263" s="7"/>
      <c r="B4263" s="12"/>
      <c r="C4263" s="33"/>
      <c r="D4263" s="77" t="str">
        <f>"has    completed     his  /  her     primary     level     education    in    the    year    "&amp;RIGHT(ENTRY!$D4229,4)&amp;"    from    ( School    Name )"</f>
        <v>has    completed     his  /  her     primary     level     education    in    the    year        from    ( School    Name )</v>
      </c>
      <c r="E4263" s="77"/>
      <c r="F4263" s="77"/>
      <c r="G4263" s="77"/>
      <c r="H4263" s="77"/>
      <c r="I4263" s="77"/>
      <c r="J4263" s="77"/>
      <c r="K4263" s="77"/>
      <c r="L4263" s="77"/>
      <c r="M4263" s="77"/>
      <c r="N4263" s="77"/>
      <c r="O4263" s="77"/>
      <c r="P4263" s="19"/>
      <c r="Q4263" s="19"/>
      <c r="R4263" s="11"/>
    </row>
    <row r="4264" s="1" customFormat="1" ht="21.95" customHeight="1" spans="1:19">
      <c r="A4264" s="7"/>
      <c r="B4264" s="12"/>
      <c r="C4264" s="33"/>
      <c r="D4264" s="81" t="str">
        <f>IF(F4224&gt;0,ENTRY!$D$6,"")</f>
        <v>MCP NITHARI NO 1 BOYS</v>
      </c>
      <c r="E4264" s="81"/>
      <c r="F4264" s="81"/>
      <c r="G4264" s="81"/>
      <c r="H4264" s="81"/>
      <c r="I4264" s="81"/>
      <c r="J4264" s="81"/>
      <c r="K4264" s="81"/>
      <c r="L4264" s="81"/>
      <c r="M4264" s="80" t="s">
        <v>763</v>
      </c>
      <c r="N4264" s="84">
        <f>IF(F4224&gt;0,ENTRY!$D$7,"")</f>
        <v>0</v>
      </c>
      <c r="O4264" s="84"/>
      <c r="P4264" s="85" t="s">
        <v>727</v>
      </c>
      <c r="Q4264" s="19"/>
      <c r="R4264" s="11"/>
    </row>
    <row r="4265" s="1" customFormat="1" ht="21.95" customHeight="1" spans="1:19">
      <c r="A4265" s="7"/>
      <c r="B4265" s="12"/>
      <c r="C4265" s="33"/>
      <c r="D4265" s="29"/>
      <c r="E4265" s="29"/>
      <c r="F4265" s="29"/>
      <c r="G4265" s="29"/>
      <c r="H4265" s="29"/>
      <c r="I4265" s="29"/>
      <c r="J4265" s="29"/>
      <c r="K4265" s="29"/>
      <c r="L4265" s="29"/>
      <c r="M4265" s="29"/>
      <c r="N4265" s="29"/>
      <c r="O4265" s="29"/>
      <c r="P4265" s="19"/>
      <c r="Q4265" s="19"/>
      <c r="R4265" s="11"/>
    </row>
    <row r="4266" s="1" customFormat="1" ht="21.95" customHeight="1" spans="1:19">
      <c r="A4266" s="7"/>
      <c r="B4266" s="12"/>
      <c r="C4266" s="33"/>
      <c r="D4266" s="29"/>
      <c r="E4266" s="29"/>
      <c r="F4266" s="29"/>
      <c r="G4266" s="29"/>
      <c r="H4266" s="29"/>
      <c r="I4266" s="29"/>
      <c r="J4266" s="29"/>
      <c r="K4266" s="29"/>
      <c r="L4266" s="29"/>
      <c r="M4266" s="29"/>
      <c r="N4266" s="29"/>
      <c r="O4266" s="29"/>
      <c r="P4266" s="19"/>
      <c r="Q4266" s="19"/>
      <c r="R4266" s="11"/>
    </row>
    <row r="4267" s="1" customFormat="1" ht="21.95" customHeight="1" spans="1:19">
      <c r="A4267" s="7"/>
      <c r="B4267" s="12"/>
      <c r="C4267" s="33"/>
      <c r="D4267" s="29"/>
      <c r="E4267" s="29"/>
      <c r="F4267" s="29"/>
      <c r="G4267" s="29"/>
      <c r="H4267" s="29"/>
      <c r="I4267" s="29"/>
      <c r="J4267" s="29"/>
      <c r="K4267" s="29"/>
      <c r="L4267" s="29"/>
      <c r="M4267" s="29"/>
      <c r="N4267" s="29"/>
      <c r="O4267" s="29"/>
      <c r="P4267" s="19"/>
      <c r="Q4267" s="19"/>
      <c r="R4267" s="11"/>
    </row>
    <row r="4268" s="1" customFormat="1" ht="21.95" customHeight="1" spans="1:19">
      <c r="A4268" s="7"/>
      <c r="B4268" s="12"/>
      <c r="C4268" s="33"/>
      <c r="D4268" s="29"/>
      <c r="E4268" s="29"/>
      <c r="F4268" s="29"/>
      <c r="G4268" s="29"/>
      <c r="H4268" s="29"/>
      <c r="I4268" s="29"/>
      <c r="J4268" s="29"/>
      <c r="K4268" s="29"/>
      <c r="L4268" s="29"/>
      <c r="M4268" s="29"/>
      <c r="N4268" s="29"/>
      <c r="O4268" s="29"/>
      <c r="P4268" s="19"/>
      <c r="Q4268" s="19"/>
      <c r="R4268" s="11"/>
    </row>
    <row r="4269" s="1" customFormat="1" ht="21.95" customHeight="1" spans="1:19">
      <c r="A4269" s="7"/>
      <c r="B4269" s="12"/>
      <c r="C4269" s="33"/>
      <c r="D4269" s="29"/>
      <c r="E4269" s="29"/>
      <c r="F4269" s="29"/>
      <c r="G4269" s="29"/>
      <c r="H4269" s="29"/>
      <c r="I4269" s="29"/>
      <c r="J4269" s="29"/>
      <c r="K4269" s="29"/>
      <c r="L4269" s="29"/>
      <c r="M4269" s="29"/>
      <c r="N4269" s="29"/>
      <c r="O4269" s="29"/>
      <c r="P4269" s="19"/>
      <c r="Q4269" s="19"/>
      <c r="R4269" s="11"/>
    </row>
    <row r="4270" s="1" customFormat="1" ht="21.95" customHeight="1" spans="1:19">
      <c r="A4270" s="7"/>
      <c r="B4270" s="12"/>
      <c r="C4270" s="33"/>
      <c r="D4270" s="80" t="s">
        <v>728</v>
      </c>
      <c r="E4270" s="86">
        <f>ENTRY!$D$27</f>
        <v>46102</v>
      </c>
      <c r="F4270" s="86"/>
      <c r="G4270" s="29"/>
      <c r="H4270" s="29"/>
      <c r="I4270" s="29"/>
      <c r="J4270" s="29"/>
      <c r="K4270" s="29"/>
      <c r="L4270" s="29"/>
      <c r="M4270" s="87" t="s">
        <v>730</v>
      </c>
      <c r="N4270" s="87"/>
      <c r="O4270" s="87"/>
      <c r="P4270" s="19"/>
      <c r="Q4270" s="19"/>
      <c r="R4270" s="11"/>
    </row>
    <row r="4271" s="1" customFormat="1" ht="21.95" customHeight="1" spans="1:19">
      <c r="A4271" s="7"/>
      <c r="B4271" s="12"/>
      <c r="C4271" s="33"/>
      <c r="D4271" s="80" t="s">
        <v>731</v>
      </c>
      <c r="E4271" s="88" t="str">
        <f>PROPER(ENTRY!$D$28)</f>
        <v>New Delhi</v>
      </c>
      <c r="F4271" s="88"/>
      <c r="G4271" s="29"/>
      <c r="H4271" s="29"/>
      <c r="I4271" s="29"/>
      <c r="J4271" s="29"/>
      <c r="K4271" s="29"/>
      <c r="L4271" s="29"/>
      <c r="M4271" s="89" t="s">
        <v>732</v>
      </c>
      <c r="N4271" s="89"/>
      <c r="O4271" s="89"/>
      <c r="P4271" s="19"/>
      <c r="Q4271" s="19"/>
      <c r="R4271" s="11"/>
    </row>
    <row r="4272" s="1" customFormat="1" ht="21.95" customHeight="1" spans="1:19">
      <c r="A4272" s="7"/>
      <c r="B4272" s="12"/>
      <c r="C4272" s="90"/>
      <c r="D4272" s="91"/>
      <c r="E4272" s="91"/>
      <c r="F4272" s="91"/>
      <c r="G4272" s="91"/>
      <c r="H4272" s="91"/>
      <c r="I4272" s="91"/>
      <c r="J4272" s="91"/>
      <c r="K4272" s="91"/>
      <c r="L4272" s="91"/>
      <c r="M4272" s="91"/>
      <c r="N4272" s="91"/>
      <c r="O4272" s="91"/>
      <c r="P4272" s="92"/>
      <c r="Q4272" s="14"/>
      <c r="R4272" s="11"/>
    </row>
    <row r="4273" s="1" customFormat="1" ht="5.1" customHeight="1" spans="1:18">
      <c r="A4273" s="7"/>
      <c r="B4273" s="90"/>
      <c r="C4273" s="91"/>
      <c r="D4273" s="91"/>
      <c r="E4273" s="91"/>
      <c r="F4273" s="91"/>
      <c r="G4273" s="91"/>
      <c r="H4273" s="91"/>
      <c r="I4273" s="91"/>
      <c r="J4273" s="91"/>
      <c r="K4273" s="91"/>
      <c r="L4273" s="91"/>
      <c r="M4273" s="91"/>
      <c r="N4273" s="91"/>
      <c r="O4273" s="91"/>
      <c r="P4273" s="91"/>
      <c r="Q4273" s="92"/>
      <c r="R4273" s="11"/>
    </row>
    <row r="4274" s="1" customFormat="1" ht="5.1" customHeight="1" spans="1:18">
      <c r="A4274" s="93"/>
      <c r="B4274" s="94"/>
      <c r="C4274" s="94"/>
      <c r="D4274" s="94"/>
      <c r="E4274" s="94"/>
      <c r="F4274" s="94"/>
      <c r="G4274" s="94"/>
      <c r="H4274" s="94"/>
      <c r="I4274" s="94"/>
      <c r="J4274" s="94"/>
      <c r="K4274" s="94"/>
      <c r="L4274" s="94"/>
      <c r="M4274" s="94"/>
      <c r="N4274" s="94"/>
      <c r="O4274" s="94"/>
      <c r="P4274" s="94"/>
      <c r="Q4274" s="94"/>
      <c r="R4274" s="95"/>
    </row>
    <row r="4275" s="2" customFormat="1" ht="9.95" customHeight="1"/>
    <row r="4276" s="1" customFormat="1" ht="5.1" customHeight="1" spans="1:18">
      <c r="A4276" s="4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  <c r="O4276" s="5"/>
      <c r="P4276" s="5"/>
      <c r="Q4276" s="5"/>
      <c r="R4276" s="6"/>
    </row>
    <row r="4277" s="1" customFormat="1" ht="15" customHeight="1" spans="1:18">
      <c r="A4277" s="7"/>
      <c r="B4277" s="8"/>
      <c r="C4277" s="9"/>
      <c r="D4277" s="9"/>
      <c r="E4277" s="9"/>
      <c r="F4277" s="9"/>
      <c r="G4277" s="9"/>
      <c r="H4277" s="9"/>
      <c r="I4277" s="9"/>
      <c r="J4277" s="9"/>
      <c r="K4277" s="9"/>
      <c r="L4277" s="9"/>
      <c r="M4277" s="9"/>
      <c r="N4277" s="9"/>
      <c r="O4277" s="9"/>
      <c r="P4277" s="9"/>
      <c r="Q4277" s="10"/>
      <c r="R4277" s="11"/>
    </row>
    <row r="4278" s="1" customFormat="1" ht="21.95" customHeight="1" spans="1:18">
      <c r="A4278" s="7"/>
      <c r="B4278" s="12"/>
      <c r="C4278" s="13" t="s">
        <v>7</v>
      </c>
      <c r="D4278" s="13"/>
      <c r="E4278" s="13"/>
      <c r="F4278" s="13"/>
      <c r="G4278" s="13"/>
      <c r="H4278" s="13"/>
      <c r="I4278" s="13"/>
      <c r="J4278" s="13"/>
      <c r="K4278" s="13"/>
      <c r="L4278" s="13"/>
      <c r="M4278" s="13"/>
      <c r="N4278" s="13"/>
      <c r="O4278" s="13"/>
      <c r="P4278" s="13"/>
      <c r="Q4278" s="14"/>
      <c r="R4278" s="11"/>
    </row>
    <row r="4279" s="1" customFormat="1" ht="21.95" customHeight="1" spans="1:18">
      <c r="A4279" s="7"/>
      <c r="B4279" s="1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14"/>
      <c r="R4279" s="11"/>
    </row>
    <row r="4280" s="1" customFormat="1" ht="21.95" customHeight="1" spans="1:18">
      <c r="A4280" s="7"/>
      <c r="B4280" s="12"/>
      <c r="C4280" s="15" t="str">
        <f>"SESSION-"&amp;ENTRY!$D$11</f>
        <v>SESSION-2026-27</v>
      </c>
      <c r="D4280" s="15"/>
      <c r="E4280" s="15"/>
      <c r="F4280" s="15"/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  <c r="Q4280" s="14"/>
      <c r="R4280" s="11"/>
    </row>
    <row r="4281" s="1" customFormat="1" ht="21.95" customHeight="1" spans="1:18">
      <c r="A4281" s="7"/>
      <c r="B4281" s="12"/>
      <c r="C4281" s="2"/>
      <c r="D4281" s="2"/>
      <c r="E4281" s="2"/>
      <c r="F4281" s="16">
        <f>F4224+1</f>
        <v>76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14"/>
      <c r="R4281" s="11"/>
    </row>
    <row r="4282" s="1" customFormat="1" ht="21.95" customHeight="1" spans="1:18">
      <c r="A4282" s="7"/>
      <c r="B4282" s="12"/>
      <c r="C4282" s="17" t="s">
        <v>392</v>
      </c>
      <c r="D4282" s="17"/>
      <c r="E4282" s="17"/>
      <c r="F4282" s="18" t="str">
        <f>IF(F4281&gt;0,ENTRY!$D$6,"")</f>
        <v>MCP NITHARI NO 1 BOYS</v>
      </c>
      <c r="G4282" s="18"/>
      <c r="H4282" s="18"/>
      <c r="I4282" s="18"/>
      <c r="J4282" s="18"/>
      <c r="K4282" s="18"/>
      <c r="L4282" s="18"/>
      <c r="M4282" s="18"/>
      <c r="N4282" s="18"/>
      <c r="O4282" s="18"/>
      <c r="P4282" s="18"/>
      <c r="Q4282" s="19"/>
      <c r="R4282" s="11"/>
    </row>
    <row r="4283" s="1" customFormat="1" ht="21.95" customHeight="1" spans="1:18">
      <c r="A4283" s="7"/>
      <c r="B4283" s="12"/>
      <c r="C4283" s="17" t="s">
        <v>393</v>
      </c>
      <c r="D4283" s="17"/>
      <c r="E4283" s="17"/>
      <c r="F4283" s="18">
        <f>IF(F4281&gt;0,ENTRY!$D$7,"")</f>
        <v>0</v>
      </c>
      <c r="G4283" s="18"/>
      <c r="H4283" s="20" t="s">
        <v>702</v>
      </c>
      <c r="I4283" s="20"/>
      <c r="J4283" s="21">
        <f>IF(F4281&gt;0,ENTRY!$D$10,"")</f>
        <v>40</v>
      </c>
      <c r="K4283" s="20" t="s">
        <v>703</v>
      </c>
      <c r="L4283" s="22" t="str">
        <f>IF(F4281&gt;0,ENTRY!$D$5,"")</f>
        <v>ROHINI ZONE</v>
      </c>
      <c r="M4283" s="22"/>
      <c r="N4283" s="22"/>
      <c r="O4283" s="22"/>
      <c r="P4283" s="22"/>
      <c r="Q4283" s="19"/>
      <c r="R4283" s="11"/>
    </row>
    <row r="4284" s="1" customFormat="1" ht="21.95" customHeight="1" spans="1:18">
      <c r="A4284" s="7"/>
      <c r="B4284" s="12"/>
      <c r="C4284" s="17" t="s">
        <v>706</v>
      </c>
      <c r="D4284" s="17"/>
      <c r="E4284" s="17"/>
      <c r="F4284" s="23">
        <f>IFERROR(VLOOKUP(F4281,STUDENT!$A$2:$BP$101,5,0),"")</f>
        <v>0</v>
      </c>
      <c r="G4284" s="23"/>
      <c r="H4284" s="23"/>
      <c r="I4284" s="23"/>
      <c r="J4284" s="23"/>
      <c r="K4284" s="23"/>
      <c r="L4284" s="20" t="s">
        <v>707</v>
      </c>
      <c r="M4284" s="20"/>
      <c r="N4284" s="24" t="str">
        <f>IF(F4281&gt;0,ENTRY!$D$20&amp;"-"&amp;ENTRY!$D$21,"")</f>
        <v>III-A</v>
      </c>
      <c r="O4284" s="24"/>
      <c r="P4284" s="24"/>
      <c r="Q4284" s="19"/>
      <c r="R4284" s="11"/>
    </row>
    <row r="4285" s="1" customFormat="1" ht="21.95" customHeight="1" spans="1:18">
      <c r="A4285" s="7"/>
      <c r="B4285" s="12"/>
      <c r="C4285" s="17" t="s">
        <v>708</v>
      </c>
      <c r="D4285" s="17"/>
      <c r="E4285" s="17"/>
      <c r="F4285" s="25">
        <f>IFERROR(VLOOKUP(F4281,STUDENT!$A$2:$BP$101,6,0),"")</f>
        <v>0</v>
      </c>
      <c r="G4285" s="25"/>
      <c r="H4285" s="26" t="s">
        <v>709</v>
      </c>
      <c r="I4285" s="27" t="str">
        <f>IFERROR(VLOOKUP(F4281,STUDENT!$A$2:$BP$101,59,0),"")</f>
        <v/>
      </c>
      <c r="J4285" s="27"/>
      <c r="K4285" s="20" t="s">
        <v>710</v>
      </c>
      <c r="L4285" s="20"/>
      <c r="M4285" s="28">
        <f>IFERROR(VLOOKUP(F4281,STUDENT!$A$2:$BP$101,20,0),"")</f>
        <v>0</v>
      </c>
      <c r="N4285" s="28"/>
      <c r="O4285" s="28"/>
      <c r="P4285" s="28"/>
      <c r="Q4285" s="19"/>
      <c r="R4285" s="11"/>
    </row>
    <row r="4286" s="1" customFormat="1" ht="21.95" customHeight="1" spans="1:18">
      <c r="A4286" s="7"/>
      <c r="B4286" s="12"/>
      <c r="C4286" s="17" t="s">
        <v>711</v>
      </c>
      <c r="D4286" s="17"/>
      <c r="E4286" s="17"/>
      <c r="F4286" s="23">
        <f>IFERROR(VLOOKUP(F4281,STUDENT!$A$2:$BP$101,9,0),"")</f>
        <v>0</v>
      </c>
      <c r="G4286" s="23"/>
      <c r="H4286" s="23"/>
      <c r="I4286" s="23"/>
      <c r="J4286" s="17" t="s">
        <v>620</v>
      </c>
      <c r="K4286" s="17"/>
      <c r="L4286" s="23">
        <f>IFERROR(VLOOKUP(F4281,STUDENT!$A$2:$BP$101,8,0),"")</f>
        <v>0</v>
      </c>
      <c r="M4286" s="23"/>
      <c r="N4286" s="23"/>
      <c r="O4286" s="23"/>
      <c r="P4286" s="23"/>
      <c r="Q4286" s="19"/>
      <c r="R4286" s="11"/>
    </row>
    <row r="4287" s="1" customFormat="1" ht="21.95" customHeight="1" spans="1:18">
      <c r="A4287" s="7"/>
      <c r="B4287" s="12"/>
      <c r="C4287" s="17" t="s">
        <v>712</v>
      </c>
      <c r="D4287" s="17"/>
      <c r="E4287" s="17"/>
      <c r="F4287" s="23">
        <f>IFERROR(VLOOKUP(F4281,STUDENT!$A$2:$BP$101,22,0),"")</f>
        <v>0</v>
      </c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19"/>
      <c r="R4287" s="11"/>
    </row>
    <row r="4288" s="1" customFormat="1" ht="9.95" customHeight="1" spans="1:18">
      <c r="A4288" s="7"/>
      <c r="B4288" s="12"/>
      <c r="C4288" s="29"/>
      <c r="D4288" s="29"/>
      <c r="E4288" s="29"/>
      <c r="F4288" s="29"/>
      <c r="G4288" s="29"/>
      <c r="H4288" s="29"/>
      <c r="I4288" s="29"/>
      <c r="J4288" s="29"/>
      <c r="K4288" s="29"/>
      <c r="L4288" s="29"/>
      <c r="M4288" s="29"/>
      <c r="N4288" s="29"/>
      <c r="O4288" s="29"/>
      <c r="P4288" s="29"/>
      <c r="Q4288" s="19"/>
      <c r="R4288" s="11"/>
    </row>
    <row r="4289" s="1" customFormat="1" ht="9.95" customHeight="1" spans="1:18">
      <c r="A4289" s="7"/>
      <c r="B4289" s="12"/>
      <c r="C4289" s="30"/>
      <c r="D4289" s="31"/>
      <c r="E4289" s="31"/>
      <c r="F4289" s="31"/>
      <c r="G4289" s="31"/>
      <c r="H4289" s="31"/>
      <c r="I4289" s="31"/>
      <c r="J4289" s="31"/>
      <c r="K4289" s="31"/>
      <c r="L4289" s="31"/>
      <c r="M4289" s="31"/>
      <c r="N4289" s="31"/>
      <c r="O4289" s="31"/>
      <c r="P4289" s="32"/>
      <c r="Q4289" s="19"/>
      <c r="R4289" s="11"/>
    </row>
    <row r="4290" s="1" customFormat="1" ht="21.95" customHeight="1" spans="1:18">
      <c r="A4290" s="7"/>
      <c r="B4290" s="12"/>
      <c r="C4290" s="33"/>
      <c r="D4290" s="34" t="s">
        <v>713</v>
      </c>
      <c r="E4290" s="20" t="s">
        <v>714</v>
      </c>
      <c r="F4290" s="35" t="str">
        <f>"Level - "&amp;IFERROR(VLOOKUP(F4281,FLN!$A$4:$K$103,9,0),"")</f>
        <v>Level - </v>
      </c>
      <c r="G4290" s="36"/>
      <c r="H4290" s="37" t="s">
        <v>715</v>
      </c>
      <c r="I4290" s="20"/>
      <c r="J4290" s="35" t="str">
        <f>"Level - "&amp;IFERROR(VLOOKUP(F4281,FLN!$A$4:$K$103,11,0),"")</f>
        <v>Level - </v>
      </c>
      <c r="K4290" s="36"/>
      <c r="L4290" s="37" t="s">
        <v>408</v>
      </c>
      <c r="M4290" s="20"/>
      <c r="N4290" s="35" t="str">
        <f>"Level - "&amp;IFERROR(VLOOKUP(F4281,FLN!$A$4:$K$103,10,0),"")</f>
        <v>Level - </v>
      </c>
      <c r="O4290" s="36"/>
      <c r="P4290" s="19"/>
      <c r="Q4290" s="19"/>
      <c r="R4290" s="11"/>
    </row>
    <row r="4291" s="1" customFormat="1" ht="21.95" customHeight="1" spans="1:18">
      <c r="A4291" s="7"/>
      <c r="B4291" s="12"/>
      <c r="C4291" s="33"/>
      <c r="D4291" s="38"/>
      <c r="E4291" s="20" t="s">
        <v>716</v>
      </c>
      <c r="F4291" s="18" t="str">
        <f ca="1">IF(L4305&gt;197,"PERFORMED WELL","")</f>
        <v/>
      </c>
      <c r="G4291" s="18"/>
      <c r="H4291" s="18"/>
      <c r="I4291" s="18"/>
      <c r="J4291" s="18"/>
      <c r="K4291" s="18"/>
      <c r="L4291" s="18"/>
      <c r="M4291" s="18"/>
      <c r="N4291" s="18"/>
      <c r="O4291" s="18"/>
      <c r="P4291" s="19"/>
      <c r="Q4291" s="19"/>
      <c r="R4291" s="11"/>
    </row>
    <row r="4292" s="1" customFormat="1" ht="9.95" customHeight="1" spans="1:18">
      <c r="A4292" s="7"/>
      <c r="B4292" s="12"/>
      <c r="C4292" s="39"/>
      <c r="D4292" s="40"/>
      <c r="E4292" s="40"/>
      <c r="F4292" s="40"/>
      <c r="G4292" s="40"/>
      <c r="H4292" s="40"/>
      <c r="I4292" s="40"/>
      <c r="J4292" s="40"/>
      <c r="K4292" s="40"/>
      <c r="L4292" s="40"/>
      <c r="M4292" s="40"/>
      <c r="N4292" s="40"/>
      <c r="O4292" s="40"/>
      <c r="P4292" s="41"/>
      <c r="Q4292" s="19"/>
      <c r="R4292" s="11"/>
    </row>
    <row r="4293" s="1" customFormat="1" ht="9.95" customHeight="1" spans="1:18">
      <c r="A4293" s="7"/>
      <c r="B4293" s="12"/>
      <c r="C4293" s="29"/>
      <c r="D4293" s="29"/>
      <c r="E4293" s="29"/>
      <c r="F4293" s="29"/>
      <c r="G4293" s="29"/>
      <c r="H4293" s="29"/>
      <c r="I4293" s="29"/>
      <c r="J4293" s="29"/>
      <c r="K4293" s="29"/>
      <c r="L4293" s="29"/>
      <c r="M4293" s="29"/>
      <c r="N4293" s="29"/>
      <c r="O4293" s="29"/>
      <c r="P4293" s="29"/>
      <c r="Q4293" s="19"/>
      <c r="R4293" s="11"/>
    </row>
    <row r="4294" s="1" customFormat="1" ht="9.95" customHeight="1" spans="1:18">
      <c r="A4294" s="7"/>
      <c r="B4294" s="12"/>
      <c r="C4294" s="30"/>
      <c r="D4294" s="31"/>
      <c r="E4294" s="31"/>
      <c r="F4294" s="31"/>
      <c r="G4294" s="31"/>
      <c r="H4294" s="31"/>
      <c r="I4294" s="31"/>
      <c r="J4294" s="31"/>
      <c r="K4294" s="31"/>
      <c r="L4294" s="31"/>
      <c r="M4294" s="31"/>
      <c r="N4294" s="31"/>
      <c r="O4294" s="31"/>
      <c r="P4294" s="32"/>
      <c r="Q4294" s="19"/>
      <c r="R4294" s="11"/>
    </row>
    <row r="4295" s="1" customFormat="1" ht="21.95" customHeight="1" spans="1:18">
      <c r="A4295" s="7"/>
      <c r="B4295" s="12"/>
      <c r="C4295" s="33"/>
      <c r="D4295" s="35"/>
      <c r="E4295" s="24"/>
      <c r="F4295" s="42" t="s">
        <v>717</v>
      </c>
      <c r="G4295" s="42"/>
      <c r="H4295" s="42"/>
      <c r="I4295" s="42"/>
      <c r="J4295" s="42"/>
      <c r="K4295" s="42"/>
      <c r="L4295" s="43"/>
      <c r="M4295" s="44"/>
      <c r="N4295" s="29"/>
      <c r="O4295" s="29"/>
      <c r="P4295" s="19"/>
      <c r="Q4295" s="19"/>
      <c r="R4295" s="11"/>
    </row>
    <row r="4296" s="1" customFormat="1" ht="21.95" customHeight="1" spans="1:18">
      <c r="A4296" s="7"/>
      <c r="B4296" s="12"/>
      <c r="C4296" s="33"/>
      <c r="D4296" s="45"/>
      <c r="E4296" s="46"/>
      <c r="F4296" s="47" t="s">
        <v>541</v>
      </c>
      <c r="G4296" s="47" t="s">
        <v>542</v>
      </c>
      <c r="H4296" s="47" t="s">
        <v>543</v>
      </c>
      <c r="I4296" s="47" t="s">
        <v>544</v>
      </c>
      <c r="J4296" s="47" t="s">
        <v>561</v>
      </c>
      <c r="K4296" s="48" t="s">
        <v>750</v>
      </c>
      <c r="L4296" s="47" t="s">
        <v>382</v>
      </c>
      <c r="M4296" s="49" t="s">
        <v>546</v>
      </c>
      <c r="N4296" s="29"/>
      <c r="O4296" s="29"/>
      <c r="P4296" s="19"/>
      <c r="Q4296" s="19"/>
      <c r="R4296" s="11"/>
    </row>
    <row r="4297" s="1" customFormat="1" ht="21.95" customHeight="1" spans="1:18">
      <c r="A4297" s="7"/>
      <c r="B4297" s="12"/>
      <c r="C4297" s="33"/>
      <c r="D4297" s="45" t="s">
        <v>652</v>
      </c>
      <c r="E4297" s="46"/>
      <c r="F4297" s="50">
        <v>10</v>
      </c>
      <c r="G4297" s="50">
        <v>10</v>
      </c>
      <c r="H4297" s="50">
        <v>10</v>
      </c>
      <c r="I4297" s="50">
        <v>10</v>
      </c>
      <c r="J4297" s="50">
        <v>60</v>
      </c>
      <c r="K4297" s="51"/>
      <c r="L4297" s="50">
        <v>100</v>
      </c>
      <c r="M4297" s="49"/>
      <c r="N4297" s="29"/>
      <c r="O4297" s="29"/>
      <c r="P4297" s="19"/>
      <c r="Q4297" s="19"/>
      <c r="R4297" s="11"/>
    </row>
    <row r="4298" s="1" customFormat="1" ht="21.95" customHeight="1" spans="1:18">
      <c r="A4298" s="7"/>
      <c r="B4298" s="12"/>
      <c r="C4298" s="33"/>
      <c r="D4298" s="52" t="s">
        <v>751</v>
      </c>
      <c r="E4298" s="53"/>
      <c r="F4298" s="54" t="str">
        <f ca="1">IFERROR(VLOOKUP(F4281,'RR-3.1-5TH'!$A$12:'RR-3.1-5TH'!$BN$111,9,0),"")</f>
        <v/>
      </c>
      <c r="G4298" s="54" t="str">
        <f ca="1">IFERROR(VLOOKUP(F4281,'RR-3.1-5TH'!$A$12:'RR-3.1-5TH'!$BN$111,10,0),"")</f>
        <v/>
      </c>
      <c r="H4298" s="54" t="str">
        <f ca="1">IFERROR(VLOOKUP(F4281,'RR-3.1-5TH'!$A$12:'RR-3.1-5TH'!$BN$111,11,0),"")</f>
        <v/>
      </c>
      <c r="I4298" s="54" t="str">
        <f ca="1">IFERROR(VLOOKUP(F4281,'RR-3.1-5TH'!$A$12:'RR-3.1-5TH'!$BN$111,12,0),"")</f>
        <v/>
      </c>
      <c r="J4298" s="54" t="str">
        <f ca="1">IFERROR(VLOOKUP(F4281,'RR-3.1-5TH'!$A$12:'RR-3.1-5TH'!$BN$111,13,0),"")</f>
        <v/>
      </c>
      <c r="K4298" s="54" t="str">
        <f ca="1">IFERROR(VLOOKUP(F4281,'RR-3.1-5TH'!$A$12:'RR-3.1-5TH'!$BN$111,14,0),"")</f>
        <v/>
      </c>
      <c r="L4298" s="55">
        <f ca="1" t="shared" ref="L4298:L4303" si="225">SUM(F4298,G4298,H4298,I4298,J4298,K4298)</f>
        <v>0</v>
      </c>
      <c r="M4298" s="56" t="str">
        <f ca="1">IF(F4281&gt;ENTRY!$D$24,"",IF(L4298=0,"Ab",IF(L4298&gt;80,"A",IF(L4298&gt;60,"B",IF(L4298&gt;44,"C",IF(L4298&gt;=33,"D",IF(L4298&lt;=32,"E","")))))))</f>
        <v/>
      </c>
      <c r="N4298" s="57" t="s">
        <v>729</v>
      </c>
      <c r="O4298" s="58"/>
      <c r="P4298" s="59"/>
      <c r="Q4298" s="19"/>
      <c r="R4298" s="11"/>
    </row>
    <row r="4299" s="1" customFormat="1" ht="21.95" customHeight="1" spans="1:18">
      <c r="A4299" s="7"/>
      <c r="B4299" s="12"/>
      <c r="C4299" s="33"/>
      <c r="D4299" s="52" t="s">
        <v>513</v>
      </c>
      <c r="E4299" s="53"/>
      <c r="F4299" s="54" t="str">
        <f ca="1">IFERROR(VLOOKUP(F4281,'RR-3.1-5TH'!$A$12:'RR-3.1-5TH'!$BN$111,17,0),"")</f>
        <v/>
      </c>
      <c r="G4299" s="54" t="str">
        <f ca="1">IFERROR(VLOOKUP(F4281,'RR-3.1-5TH'!$A$12:'RR-3.1-5TH'!$BN$111,18,0),"")</f>
        <v/>
      </c>
      <c r="H4299" s="54" t="str">
        <f ca="1">IFERROR(VLOOKUP(F4281,'RR-3.1-5TH'!$A$12:'RR-3.1-5TH'!$BN$111,19,0),"")</f>
        <v/>
      </c>
      <c r="I4299" s="54" t="str">
        <f ca="1">IFERROR(VLOOKUP(F4281,'RR-3.1-5TH'!$A$12:'RR-3.1-5TH'!$BN$111,20,0),"")</f>
        <v/>
      </c>
      <c r="J4299" s="54" t="str">
        <f ca="1">IFERROR(VLOOKUP(F4281,'RR-3.1-5TH'!$A$12:'RR-3.1-5TH'!$BN$111,21,0),"")</f>
        <v/>
      </c>
      <c r="K4299" s="54" t="str">
        <f ca="1">IFERROR(VLOOKUP(F4281,'RR-3.1-5TH'!$A$12:'RR-3.1-5TH'!$BN$111,22,0),"")</f>
        <v/>
      </c>
      <c r="L4299" s="55">
        <f ca="1" t="shared" si="225"/>
        <v>0</v>
      </c>
      <c r="M4299" s="56" t="str">
        <f ca="1">IF(F4281&gt;ENTRY!$D$24,"",IF(L4299=0,"Ab",IF(L4299&gt;80,"A",IF(L4299&gt;60,"B",IF(L4299&gt;44,"C",IF(L4299&gt;=33,"D",IF(L4299&lt;=32,"E","")))))))</f>
        <v/>
      </c>
      <c r="N4299" s="58"/>
      <c r="O4299" s="58"/>
      <c r="P4299" s="59"/>
      <c r="Q4299" s="19"/>
      <c r="R4299" s="11"/>
    </row>
    <row r="4300" s="1" customFormat="1" ht="21.95" customHeight="1" spans="1:18">
      <c r="A4300" s="7"/>
      <c r="B4300" s="12"/>
      <c r="C4300" s="33"/>
      <c r="D4300" s="52" t="s">
        <v>718</v>
      </c>
      <c r="E4300" s="53"/>
      <c r="F4300" s="54" t="str">
        <f ca="1">IFERROR(VLOOKUP(F4281,'RR-3.1-5TH'!$A$12:'RR-3.1-5TH'!$BN$111,25,0),"")</f>
        <v/>
      </c>
      <c r="G4300" s="54" t="str">
        <f ca="1">IFERROR(VLOOKUP(F4281,'RR-3.1-5TH'!$A$12:'RR-3.1-5TH'!$BN$111,26,0),"")</f>
        <v/>
      </c>
      <c r="H4300" s="54" t="str">
        <f ca="1">IFERROR(VLOOKUP(F4281,'RR-3.1-5TH'!$A$12:'RR-3.1-5TH'!$BN$111,27,0),"")</f>
        <v/>
      </c>
      <c r="I4300" s="54" t="str">
        <f ca="1">IFERROR(VLOOKUP(F4281,'RR-3.1-5TH'!$A$12:'RR-3.1-5TH'!$BN$111,28,0),"")</f>
        <v/>
      </c>
      <c r="J4300" s="54" t="str">
        <f ca="1">IFERROR(VLOOKUP(F4281,'RR-3.1-5TH'!$A$12:'RR-3.1-5TH'!$BN$111,29,0),"")</f>
        <v/>
      </c>
      <c r="K4300" s="54" t="str">
        <f ca="1">IFERROR(VLOOKUP(F4281,'RR-3.1-5TH'!$A$12:'RR-3.1-5TH'!$BN$111,30,0),"")</f>
        <v/>
      </c>
      <c r="L4300" s="55">
        <f ca="1" t="shared" si="225"/>
        <v>0</v>
      </c>
      <c r="M4300" s="56" t="str">
        <f ca="1">IF(F4281&gt;ENTRY!$D$24,"",IF(L4300=0,"Ab",IF(L4300&gt;80,"A",IF(L4300&gt;60,"B",IF(L4300&gt;44,"C",IF(L4300&gt;=33,"D",IF(L4300&lt;=32,"E","")))))))</f>
        <v/>
      </c>
      <c r="N4300" s="29"/>
      <c r="O4300" s="29"/>
      <c r="P4300" s="19"/>
      <c r="Q4300" s="19"/>
      <c r="R4300" s="11"/>
    </row>
    <row r="4301" s="1" customFormat="1" ht="21.95" customHeight="1" spans="1:18">
      <c r="A4301" s="7"/>
      <c r="B4301" s="12"/>
      <c r="C4301" s="33"/>
      <c r="D4301" s="52" t="s">
        <v>719</v>
      </c>
      <c r="E4301" s="53"/>
      <c r="F4301" s="54" t="str">
        <f ca="1">IFERROR(VLOOKUP(F4281,'RR-3.1-5TH'!$A$12:'RR-3.1-5TH'!$BN$111,33,0),"")</f>
        <v/>
      </c>
      <c r="G4301" s="54" t="str">
        <f ca="1">IFERROR(VLOOKUP(F4281,'RR-3.1-5TH'!$A$12:'RR-3.1-5TH'!$BN$111,34,0),"")</f>
        <v/>
      </c>
      <c r="H4301" s="54" t="str">
        <f ca="1">IFERROR(VLOOKUP(F4281,'RR-3.1-5TH'!$A$12:'RR-3.1-5TH'!$BN$111,35,0),"")</f>
        <v/>
      </c>
      <c r="I4301" s="54" t="str">
        <f ca="1">IFERROR(VLOOKUP(F4281,'RR-3.1-5TH'!$A$12:'RR-3.1-5TH'!$BN$111,36,0),"")</f>
        <v/>
      </c>
      <c r="J4301" s="54" t="str">
        <f ca="1">IFERROR(VLOOKUP(F4281,'RR-3.1-5TH'!$A$12:'RR-3.1-5TH'!$BN$111,37,0),"")</f>
        <v/>
      </c>
      <c r="K4301" s="54" t="str">
        <f ca="1">IFERROR(VLOOKUP(F4281,'RR-3.1-5TH'!$A$12:'RR-3.1-5TH'!$BN$111,38,0),"")</f>
        <v/>
      </c>
      <c r="L4301" s="55">
        <f ca="1" t="shared" si="225"/>
        <v>0</v>
      </c>
      <c r="M4301" s="56" t="str">
        <f ca="1">IF(F4281&gt;ENTRY!$D$24,"",IF(L4301=0,"Ab",IF(L4301&gt;80,"A",IF(L4301&gt;60,"B",IF(L4301&gt;44,"C",IF(L4301&gt;=33,"D",IF(L4301&lt;=32,"E","")))))))</f>
        <v/>
      </c>
      <c r="N4301" s="29"/>
      <c r="O4301" s="29"/>
      <c r="P4301" s="19"/>
      <c r="Q4301" s="19"/>
      <c r="R4301" s="11"/>
    </row>
    <row r="4302" s="1" customFormat="1" ht="21.95" customHeight="1" spans="1:18">
      <c r="A4302" s="7"/>
      <c r="B4302" s="12"/>
      <c r="C4302" s="33"/>
      <c r="D4302" s="52" t="s">
        <v>548</v>
      </c>
      <c r="E4302" s="53"/>
      <c r="F4302" s="54" t="str">
        <f ca="1">IFERROR(VLOOKUP(F4281,'RR-3.1-5TH'!$A$12:'RR-3.1-5TH'!$BN$111,41,0),"")</f>
        <v/>
      </c>
      <c r="G4302" s="54" t="str">
        <f ca="1">IFERROR(VLOOKUP(F4281,'RR-3.1-5TH'!$A$12:'RR-3.1-5TH'!$BN$111,42,0),"")</f>
        <v/>
      </c>
      <c r="H4302" s="54" t="str">
        <f ca="1">IFERROR(VLOOKUP(F4281,'RR-3.1-5TH'!$A$12:'RR-3.1-5TH'!$BN$111,43,0),"")</f>
        <v/>
      </c>
      <c r="I4302" s="54" t="str">
        <f ca="1">IFERROR(VLOOKUP(F4281,'RR-3.1-5TH'!$A$12:'RR-3.1-5TH'!$BN$111,44,0),"")</f>
        <v/>
      </c>
      <c r="J4302" s="54" t="str">
        <f ca="1">IFERROR(VLOOKUP(F4281,'RR-3.1-5TH'!$A$12:'RR-3.1-5TH'!$BN$111,45,0),"")</f>
        <v/>
      </c>
      <c r="K4302" s="54" t="str">
        <f ca="1">IFERROR(VLOOKUP(F4281,'RR-3.1-5TH'!$A$12:'RR-3.1-5TH'!$BN$111,46,0),"")</f>
        <v/>
      </c>
      <c r="L4302" s="55">
        <f ca="1" t="shared" si="225"/>
        <v>0</v>
      </c>
      <c r="M4302" s="56" t="str">
        <f ca="1">IF(F4281&gt;ENTRY!$D$24,"",IF(L4302=0,"Ab",IF(L4302&gt;80,"A",IF(L4302&gt;60,"B",IF(L4302&gt;44,"C",IF(L4302&gt;=33,"D",IF(L4302&lt;=32,"E","")))))))</f>
        <v/>
      </c>
      <c r="N4302" s="29"/>
      <c r="O4302" s="29"/>
      <c r="P4302" s="19"/>
      <c r="Q4302" s="19"/>
      <c r="R4302" s="11"/>
    </row>
    <row r="4303" s="1" customFormat="1" ht="21.95" customHeight="1" spans="1:18">
      <c r="A4303" s="7"/>
      <c r="B4303" s="12"/>
      <c r="C4303" s="33"/>
      <c r="D4303" s="52" t="s">
        <v>549</v>
      </c>
      <c r="E4303" s="53"/>
      <c r="F4303" s="54" t="str">
        <f ca="1">IFERROR(VLOOKUP(F4281,'RR-3.1-5TH'!$A$12:'RR-3.1-5TH'!$BN$111,49,0),"")</f>
        <v/>
      </c>
      <c r="G4303" s="54" t="str">
        <f ca="1">IFERROR(VLOOKUP(F4281,'RR-3.1-5TH'!$A$12:'RR-3.1-5TH'!$BN$111,50,0),"")</f>
        <v/>
      </c>
      <c r="H4303" s="54" t="str">
        <f ca="1">IFERROR(VLOOKUP(F4281,'RR-3.1-5TH'!$A$12:'RR-3.1-5TH'!$BN$111,51,0),"")</f>
        <v/>
      </c>
      <c r="I4303" s="54" t="str">
        <f ca="1">IFERROR(VLOOKUP(F4281,'RR-3.1-5TH'!$A$12:'RR-3.1-5TH'!$BN$111,52,0),"")</f>
        <v/>
      </c>
      <c r="J4303" s="54" t="str">
        <f ca="1">IFERROR(VLOOKUP(F4281,'RR-3.1-5TH'!$A$12:'RR-3.1-5TH'!$BN$111,53,0),"")</f>
        <v/>
      </c>
      <c r="K4303" s="54" t="str">
        <f ca="1">IFERROR(VLOOKUP(F4281,'RR-3.1-5TH'!$A$12:'RR-3.1-5TH'!$BN$111,54,0),"")</f>
        <v/>
      </c>
      <c r="L4303" s="55">
        <f ca="1" t="shared" si="225"/>
        <v>0</v>
      </c>
      <c r="M4303" s="56" t="str">
        <f ca="1">IF(F4281&gt;ENTRY!$D$24,"",IF(L4303=0,"Ab",IF(L4303&gt;80,"A",IF(L4303&gt;60,"B",IF(L4303&gt;44,"C",IF(L4303&gt;=33,"D",IF(L4303&lt;=32,"E","")))))))</f>
        <v/>
      </c>
      <c r="N4303" s="57" t="s">
        <v>752</v>
      </c>
      <c r="O4303" s="58"/>
      <c r="P4303" s="59"/>
      <c r="Q4303" s="19"/>
      <c r="R4303" s="11"/>
    </row>
    <row r="4304" s="1" customFormat="1" ht="21.95" customHeight="1" spans="1:18">
      <c r="A4304" s="7"/>
      <c r="B4304" s="12"/>
      <c r="C4304" s="33"/>
      <c r="D4304" s="52" t="s">
        <v>753</v>
      </c>
      <c r="E4304" s="53"/>
      <c r="F4304" s="60"/>
      <c r="G4304" s="54"/>
      <c r="H4304" s="54"/>
      <c r="I4304" s="54"/>
      <c r="J4304" s="54"/>
      <c r="K4304" s="54"/>
      <c r="L4304" s="55">
        <f t="shared" ref="L4304" si="226">SUM(G4304:K4304)</f>
        <v>0</v>
      </c>
      <c r="M4304" s="56" t="str">
        <f>IF(F4281&gt;ENTRY!$D$24,"",IF(L4304=0,"",IF(L4304&gt;79,"A",IF(L4304&gt;59,"B",IF(L4304&gt;44,"C",IF(L4304&gt;=33,"D",IF(L4304&lt;=32,"E","")))))))</f>
        <v/>
      </c>
      <c r="N4304" s="58"/>
      <c r="O4304" s="58"/>
      <c r="P4304" s="59"/>
      <c r="Q4304" s="19"/>
      <c r="R4304" s="11"/>
    </row>
    <row r="4305" s="1" customFormat="1" ht="21.95" customHeight="1" spans="1:19">
      <c r="A4305" s="7"/>
      <c r="B4305" s="12"/>
      <c r="C4305" s="33"/>
      <c r="D4305" s="45" t="s">
        <v>382</v>
      </c>
      <c r="E4305" s="46"/>
      <c r="F4305" s="54">
        <f ca="1" t="shared" ref="F4305:L4305" si="227">IFERROR(SUM(F4298:F4304),"")</f>
        <v>0</v>
      </c>
      <c r="G4305" s="54">
        <f ca="1" t="shared" si="227"/>
        <v>0</v>
      </c>
      <c r="H4305" s="54">
        <f ca="1" t="shared" si="227"/>
        <v>0</v>
      </c>
      <c r="I4305" s="54">
        <f ca="1" t="shared" si="227"/>
        <v>0</v>
      </c>
      <c r="J4305" s="54">
        <f ca="1" t="shared" si="227"/>
        <v>0</v>
      </c>
      <c r="K4305" s="54">
        <f ca="1" t="shared" si="227"/>
        <v>0</v>
      </c>
      <c r="L4305" s="55">
        <f ca="1" t="shared" si="227"/>
        <v>0</v>
      </c>
      <c r="M4305" s="61" t="str">
        <f ca="1">IF(F4281&gt;ENTRY!$D$24,"",IF(N4306="Ab","Ab",IF(N4306&gt;79.5,"A",IF(N4306&gt;59.5,"B",IF(N4306&gt;44.5,"C",IF(N4306&gt;=33,"D",IF(N4306&lt;33,"E","")))))))</f>
        <v/>
      </c>
      <c r="N4305" s="62"/>
      <c r="O4305" s="58"/>
      <c r="P4305" s="59"/>
      <c r="Q4305" s="19"/>
      <c r="R4305" s="11"/>
    </row>
    <row r="4306" s="1" customFormat="1" ht="21.95" customHeight="1" spans="1:19">
      <c r="A4306" s="7"/>
      <c r="B4306" s="12"/>
      <c r="C4306" s="33"/>
      <c r="D4306" s="63" t="s">
        <v>721</v>
      </c>
      <c r="E4306" s="63"/>
      <c r="F4306" s="63"/>
      <c r="G4306" s="63"/>
      <c r="H4306" s="63"/>
      <c r="I4306" s="63"/>
      <c r="J4306" s="63"/>
      <c r="K4306" s="63"/>
      <c r="L4306" s="63"/>
      <c r="M4306" s="63"/>
      <c r="N4306" s="64">
        <f ca="1">IF(L4305="Ab","Ab",L4305/6)</f>
        <v>0</v>
      </c>
      <c r="O4306" s="65"/>
      <c r="P4306" s="19"/>
      <c r="Q4306" s="19"/>
      <c r="R4306" s="11"/>
    </row>
    <row r="4307" s="1" customFormat="1" ht="21.95" customHeight="1" spans="1:19">
      <c r="A4307" s="7"/>
      <c r="B4307" s="12"/>
      <c r="C4307" s="33"/>
      <c r="D4307" s="29" t="s">
        <v>716</v>
      </c>
      <c r="E4307" s="18" t="str">
        <f>IFERROR(VLOOKUP(F4281,'1to4-2.1-RR'!$A$12:$BG$111,57,0),"")</f>
        <v/>
      </c>
      <c r="F4307" s="18"/>
      <c r="G4307" s="18"/>
      <c r="H4307" s="18"/>
      <c r="I4307" s="18"/>
      <c r="J4307" s="18"/>
      <c r="K4307" s="18"/>
      <c r="L4307" s="18"/>
      <c r="M4307" s="18"/>
      <c r="N4307" s="29"/>
      <c r="O4307" s="29"/>
      <c r="P4307" s="19"/>
      <c r="Q4307" s="19"/>
      <c r="R4307" s="11"/>
    </row>
    <row r="4308" s="1" customFormat="1" ht="9.95" customHeight="1" spans="1:19">
      <c r="A4308" s="7"/>
      <c r="B4308" s="12"/>
      <c r="C4308" s="33"/>
      <c r="D4308" s="29"/>
      <c r="E4308" s="29"/>
      <c r="F4308" s="29"/>
      <c r="G4308" s="29"/>
      <c r="H4308" s="29"/>
      <c r="I4308" s="29"/>
      <c r="J4308" s="29"/>
      <c r="K4308" s="29"/>
      <c r="L4308" s="29"/>
      <c r="M4308" s="29"/>
      <c r="N4308" s="29"/>
      <c r="O4308" s="29"/>
      <c r="P4308" s="19"/>
      <c r="Q4308" s="19"/>
      <c r="R4308" s="11"/>
    </row>
    <row r="4309" s="1" customFormat="1" ht="36" spans="1:19">
      <c r="A4309" s="7"/>
      <c r="B4309" s="12"/>
      <c r="C4309" s="33"/>
      <c r="D4309" s="66" t="s">
        <v>576</v>
      </c>
      <c r="E4309" s="67" t="s">
        <v>754</v>
      </c>
      <c r="F4309" s="47" t="str">
        <f>IF(F4281&gt;ENTRY!$D$24,"",IFERROR(VLOOKUP(F4281,PASHEET!$A$4:$CJ$103,88,0),""))</f>
        <v/>
      </c>
      <c r="G4309" s="67" t="s">
        <v>755</v>
      </c>
      <c r="H4309" s="47" t="str">
        <f>IF(F4281&gt;ENTRY!$D$24,"",IFERROR(VLOOKUP(F4281,PASHEET!$A$4:$CJ$103,87,0),""))</f>
        <v/>
      </c>
      <c r="I4309" s="68" t="s">
        <v>756</v>
      </c>
      <c r="J4309" s="69" t="str">
        <f>IF(F4281&gt;ENTRY!$D$24,"",IFERROR(IF(F4281&gt;0,H4309/F4309*100),""))</f>
        <v/>
      </c>
      <c r="K4309" s="60" t="s">
        <v>757</v>
      </c>
      <c r="L4309" s="70" t="str">
        <f ca="1">IF(F4281&gt;ENTRY!$D$24,"",IFERROR(L4305/600*100,""))</f>
        <v/>
      </c>
      <c r="M4309" s="47" t="str">
        <f ca="1">IF(F4281&gt;ENTRY!$D$24,"",IFERROR(L4305&amp;" / "&amp;"600",""))</f>
        <v/>
      </c>
      <c r="N4309" s="29"/>
      <c r="O4309" s="29"/>
      <c r="P4309" s="19"/>
      <c r="Q4309" s="19"/>
      <c r="R4309" s="11"/>
    </row>
    <row r="4310" s="1" customFormat="1" ht="9.95" customHeight="1" spans="1:19">
      <c r="A4310" s="7"/>
      <c r="B4310" s="12"/>
      <c r="C4310" s="39"/>
      <c r="D4310" s="40"/>
      <c r="E4310" s="40"/>
      <c r="F4310" s="40"/>
      <c r="G4310" s="40"/>
      <c r="H4310" s="40"/>
      <c r="I4310" s="40"/>
      <c r="J4310" s="40"/>
      <c r="K4310" s="40"/>
      <c r="L4310" s="40"/>
      <c r="M4310" s="40"/>
      <c r="N4310" s="40"/>
      <c r="O4310" s="40"/>
      <c r="P4310" s="41"/>
      <c r="Q4310" s="19"/>
      <c r="R4310" s="11"/>
    </row>
    <row r="4311" s="1" customFormat="1" ht="9.95" customHeight="1" spans="1:19">
      <c r="A4311" s="7"/>
      <c r="B4311" s="12"/>
      <c r="C4311" s="71"/>
      <c r="D4311" s="71"/>
      <c r="E4311" s="71"/>
      <c r="F4311" s="29"/>
      <c r="G4311" s="71"/>
      <c r="H4311" s="71"/>
      <c r="I4311" s="71"/>
      <c r="J4311" s="71"/>
      <c r="K4311" s="71"/>
      <c r="L4311" s="71"/>
      <c r="M4311" s="71"/>
      <c r="N4311" s="71"/>
      <c r="O4311" s="71"/>
      <c r="P4311" s="71"/>
      <c r="Q4311" s="19"/>
      <c r="R4311" s="11"/>
    </row>
    <row r="4312" s="1" customFormat="1" ht="9.95" customHeight="1" spans="1:19">
      <c r="A4312" s="7"/>
      <c r="B4312" s="12"/>
      <c r="C4312" s="29"/>
      <c r="D4312" s="29"/>
      <c r="E4312" s="29"/>
      <c r="F4312" s="72"/>
      <c r="G4312" s="29"/>
      <c r="H4312" s="29"/>
      <c r="I4312" s="29"/>
      <c r="J4312" s="29"/>
      <c r="K4312" s="29"/>
      <c r="L4312" s="29"/>
      <c r="M4312" s="29"/>
      <c r="N4312" s="29"/>
      <c r="O4312" s="29"/>
      <c r="P4312" s="29"/>
      <c r="Q4312" s="19"/>
      <c r="R4312" s="11"/>
    </row>
    <row r="4313" s="1" customFormat="1" ht="9.95" customHeight="1" spans="1:19">
      <c r="A4313" s="7"/>
      <c r="B4313" s="12"/>
      <c r="C4313" s="30"/>
      <c r="D4313" s="31"/>
      <c r="E4313" s="31"/>
      <c r="F4313" s="31"/>
      <c r="G4313" s="31"/>
      <c r="H4313" s="31"/>
      <c r="I4313" s="31"/>
      <c r="J4313" s="31"/>
      <c r="K4313" s="31"/>
      <c r="L4313" s="31"/>
      <c r="M4313" s="31"/>
      <c r="N4313" s="31"/>
      <c r="O4313" s="31"/>
      <c r="P4313" s="32"/>
      <c r="Q4313" s="19"/>
      <c r="R4313" s="11"/>
    </row>
    <row r="4314" s="1" customFormat="1" ht="21.95" customHeight="1" spans="1:19">
      <c r="A4314" s="7"/>
      <c r="B4314" s="12"/>
      <c r="C4314" s="73" t="s">
        <v>7</v>
      </c>
      <c r="D4314" s="13"/>
      <c r="E4314" s="13"/>
      <c r="F4314" s="13"/>
      <c r="G4314" s="13"/>
      <c r="H4314" s="13"/>
      <c r="I4314" s="13"/>
      <c r="J4314" s="13"/>
      <c r="K4314" s="13"/>
      <c r="L4314" s="13"/>
      <c r="M4314" s="13"/>
      <c r="N4314" s="13"/>
      <c r="O4314" s="13"/>
      <c r="P4314" s="74"/>
      <c r="Q4314" s="19"/>
      <c r="R4314" s="11"/>
      <c r="S4314" s="2"/>
    </row>
    <row r="4315" s="1" customFormat="1" ht="21.95" customHeight="1" spans="1:19">
      <c r="A4315" s="7"/>
      <c r="B4315" s="12"/>
      <c r="C4315" s="33"/>
      <c r="D4315" s="29"/>
      <c r="E4315" s="29"/>
      <c r="F4315" s="29"/>
      <c r="G4315" s="29"/>
      <c r="H4315" s="29"/>
      <c r="I4315" s="29"/>
      <c r="J4315" s="29"/>
      <c r="K4315" s="29"/>
      <c r="L4315" s="29"/>
      <c r="M4315" s="29"/>
      <c r="N4315" s="29"/>
      <c r="O4315" s="29"/>
      <c r="P4315" s="19"/>
      <c r="Q4315" s="19"/>
      <c r="R4315" s="11"/>
    </row>
    <row r="4316" s="1" customFormat="1" ht="21.95" customHeight="1" spans="1:19">
      <c r="A4316" s="7"/>
      <c r="B4316" s="12"/>
      <c r="C4316" s="75" t="str">
        <f>"SESSION-"&amp;ENTRY!$D$11</f>
        <v>SESSION-2026-27</v>
      </c>
      <c r="D4316" s="15"/>
      <c r="E4316" s="15"/>
      <c r="F4316" s="15"/>
      <c r="G4316" s="15"/>
      <c r="H4316" s="15"/>
      <c r="I4316" s="15"/>
      <c r="J4316" s="15"/>
      <c r="K4316" s="15"/>
      <c r="L4316" s="15"/>
      <c r="M4316" s="15"/>
      <c r="N4316" s="15"/>
      <c r="O4316" s="15"/>
      <c r="P4316" s="76"/>
      <c r="Q4316" s="19"/>
      <c r="R4316" s="11"/>
    </row>
    <row r="4317" s="1" customFormat="1" ht="18" customHeight="1" spans="1:19">
      <c r="A4317" s="7"/>
      <c r="B4317" s="12"/>
      <c r="C4317" s="33"/>
      <c r="D4317" s="29"/>
      <c r="E4317" s="29"/>
      <c r="F4317" s="29"/>
      <c r="G4317" s="29"/>
      <c r="H4317" s="29"/>
      <c r="I4317" s="29"/>
      <c r="J4317" s="29"/>
      <c r="K4317" s="29"/>
      <c r="L4317" s="29"/>
      <c r="M4317" s="29"/>
      <c r="N4317" s="29"/>
      <c r="O4317" s="29"/>
      <c r="P4317" s="19"/>
      <c r="Q4317" s="19"/>
      <c r="R4317" s="11"/>
    </row>
    <row r="4318" s="1" customFormat="1" ht="21.95" customHeight="1" spans="1:19">
      <c r="A4318" s="7"/>
      <c r="B4318" s="12"/>
      <c r="C4318" s="33"/>
      <c r="D4318" s="77" t="s">
        <v>758</v>
      </c>
      <c r="E4318" s="77"/>
      <c r="F4318" s="78" t="str">
        <f>IFERROR(PROPER(VLOOKUP(F4281,STUDENT!$A$2:$BP$101,5,0)),"")</f>
        <v/>
      </c>
      <c r="G4318" s="78"/>
      <c r="H4318" s="78"/>
      <c r="I4318" s="78"/>
      <c r="J4318" s="78"/>
      <c r="K4318" s="78"/>
      <c r="L4318" s="78"/>
      <c r="M4318" s="78"/>
      <c r="N4318" s="79" t="s">
        <v>759</v>
      </c>
      <c r="O4318" s="79"/>
      <c r="P4318" s="19"/>
      <c r="Q4318" s="19"/>
      <c r="R4318" s="11"/>
    </row>
    <row r="4319" s="1" customFormat="1" ht="21.95" customHeight="1" spans="1:19">
      <c r="A4319" s="7"/>
      <c r="B4319" s="12"/>
      <c r="C4319" s="33"/>
      <c r="D4319" s="80" t="s">
        <v>760</v>
      </c>
      <c r="E4319" s="81" t="str">
        <f>IFERROR(PROPER(VLOOKUP(F4281,STUDENT!$A$2:$BP$101,9,0)),"")</f>
        <v/>
      </c>
      <c r="F4319" s="81"/>
      <c r="G4319" s="81"/>
      <c r="H4319" s="80" t="s">
        <v>761</v>
      </c>
      <c r="I4319" s="82" t="str">
        <f>IFERROR(PROPER(VLOOKUP(F4281,STUDENT!$A$2:$BP$101,8,0)),"")</f>
        <v/>
      </c>
      <c r="J4319" s="82"/>
      <c r="K4319" s="82"/>
      <c r="L4319" s="82"/>
      <c r="M4319" s="80" t="s">
        <v>762</v>
      </c>
      <c r="N4319" s="83" t="str">
        <f>IFERROR(VLOOKUP(F4281,STUDENT!$A$2:$BP$101,59,0),"")</f>
        <v/>
      </c>
      <c r="O4319" s="83"/>
      <c r="P4319" s="19"/>
      <c r="Q4319" s="19"/>
      <c r="R4319" s="11"/>
    </row>
    <row r="4320" s="1" customFormat="1" ht="21.95" customHeight="1" spans="1:19">
      <c r="A4320" s="7"/>
      <c r="B4320" s="12"/>
      <c r="C4320" s="33"/>
      <c r="D4320" s="77" t="str">
        <f>"has    completed     his  /  her     primary     level     education    in    the    year    "&amp;RIGHT(ENTRY!$D4286,4)&amp;"    from    ( School    Name )"</f>
        <v>has    completed     his  /  her     primary     level     education    in    the    year        from    ( School    Name )</v>
      </c>
      <c r="E4320" s="77"/>
      <c r="F4320" s="77"/>
      <c r="G4320" s="77"/>
      <c r="H4320" s="77"/>
      <c r="I4320" s="77"/>
      <c r="J4320" s="77"/>
      <c r="K4320" s="77"/>
      <c r="L4320" s="77"/>
      <c r="M4320" s="77"/>
      <c r="N4320" s="77"/>
      <c r="O4320" s="77"/>
      <c r="P4320" s="19"/>
      <c r="Q4320" s="19"/>
      <c r="R4320" s="11"/>
    </row>
    <row r="4321" s="1" customFormat="1" ht="21.95" customHeight="1" spans="1:18">
      <c r="A4321" s="7"/>
      <c r="B4321" s="12"/>
      <c r="C4321" s="33"/>
      <c r="D4321" s="81" t="str">
        <f>IF(F4281&gt;0,ENTRY!$D$6,"")</f>
        <v>MCP NITHARI NO 1 BOYS</v>
      </c>
      <c r="E4321" s="81"/>
      <c r="F4321" s="81"/>
      <c r="G4321" s="81"/>
      <c r="H4321" s="81"/>
      <c r="I4321" s="81"/>
      <c r="J4321" s="81"/>
      <c r="K4321" s="81"/>
      <c r="L4321" s="81"/>
      <c r="M4321" s="80" t="s">
        <v>763</v>
      </c>
      <c r="N4321" s="84">
        <f>IF(F4281&gt;0,ENTRY!$D$7,"")</f>
        <v>0</v>
      </c>
      <c r="O4321" s="84"/>
      <c r="P4321" s="85" t="s">
        <v>727</v>
      </c>
      <c r="Q4321" s="19"/>
      <c r="R4321" s="11"/>
    </row>
    <row r="4322" s="1" customFormat="1" ht="21.95" customHeight="1" spans="1:18">
      <c r="A4322" s="7"/>
      <c r="B4322" s="12"/>
      <c r="C4322" s="33"/>
      <c r="D4322" s="29"/>
      <c r="E4322" s="29"/>
      <c r="F4322" s="29"/>
      <c r="G4322" s="29"/>
      <c r="H4322" s="29"/>
      <c r="I4322" s="29"/>
      <c r="J4322" s="29"/>
      <c r="K4322" s="29"/>
      <c r="L4322" s="29"/>
      <c r="M4322" s="29"/>
      <c r="N4322" s="29"/>
      <c r="O4322" s="29"/>
      <c r="P4322" s="19"/>
      <c r="Q4322" s="19"/>
      <c r="R4322" s="11"/>
    </row>
    <row r="4323" s="1" customFormat="1" ht="21.95" customHeight="1" spans="1:18">
      <c r="A4323" s="7"/>
      <c r="B4323" s="12"/>
      <c r="C4323" s="33"/>
      <c r="D4323" s="29"/>
      <c r="E4323" s="29"/>
      <c r="F4323" s="29"/>
      <c r="G4323" s="29"/>
      <c r="H4323" s="29"/>
      <c r="I4323" s="29"/>
      <c r="J4323" s="29"/>
      <c r="K4323" s="29"/>
      <c r="L4323" s="29"/>
      <c r="M4323" s="29"/>
      <c r="N4323" s="29"/>
      <c r="O4323" s="29"/>
      <c r="P4323" s="19"/>
      <c r="Q4323" s="19"/>
      <c r="R4323" s="11"/>
    </row>
    <row r="4324" s="1" customFormat="1" ht="21.95" customHeight="1" spans="1:18">
      <c r="A4324" s="7"/>
      <c r="B4324" s="12"/>
      <c r="C4324" s="33"/>
      <c r="D4324" s="29"/>
      <c r="E4324" s="29"/>
      <c r="F4324" s="29"/>
      <c r="G4324" s="29"/>
      <c r="H4324" s="29"/>
      <c r="I4324" s="29"/>
      <c r="J4324" s="29"/>
      <c r="K4324" s="29"/>
      <c r="L4324" s="29"/>
      <c r="M4324" s="29"/>
      <c r="N4324" s="29"/>
      <c r="O4324" s="29"/>
      <c r="P4324" s="19"/>
      <c r="Q4324" s="19"/>
      <c r="R4324" s="11"/>
    </row>
    <row r="4325" s="1" customFormat="1" ht="21.95" customHeight="1" spans="1:18">
      <c r="A4325" s="7"/>
      <c r="B4325" s="12"/>
      <c r="C4325" s="33"/>
      <c r="D4325" s="29"/>
      <c r="E4325" s="29"/>
      <c r="F4325" s="29"/>
      <c r="G4325" s="29"/>
      <c r="H4325" s="29"/>
      <c r="I4325" s="29"/>
      <c r="J4325" s="29"/>
      <c r="K4325" s="29"/>
      <c r="L4325" s="29"/>
      <c r="M4325" s="29"/>
      <c r="N4325" s="29"/>
      <c r="O4325" s="29"/>
      <c r="P4325" s="19"/>
      <c r="Q4325" s="19"/>
      <c r="R4325" s="11"/>
    </row>
    <row r="4326" s="1" customFormat="1" ht="21.95" customHeight="1" spans="1:18">
      <c r="A4326" s="7"/>
      <c r="B4326" s="12"/>
      <c r="C4326" s="33"/>
      <c r="D4326" s="29"/>
      <c r="E4326" s="29"/>
      <c r="F4326" s="29"/>
      <c r="G4326" s="29"/>
      <c r="H4326" s="29"/>
      <c r="I4326" s="29"/>
      <c r="J4326" s="29"/>
      <c r="K4326" s="29"/>
      <c r="L4326" s="29"/>
      <c r="M4326" s="29"/>
      <c r="N4326" s="29"/>
      <c r="O4326" s="29"/>
      <c r="P4326" s="19"/>
      <c r="Q4326" s="19"/>
      <c r="R4326" s="11"/>
    </row>
    <row r="4327" s="1" customFormat="1" ht="21.95" customHeight="1" spans="1:18">
      <c r="A4327" s="7"/>
      <c r="B4327" s="12"/>
      <c r="C4327" s="33"/>
      <c r="D4327" s="80" t="s">
        <v>728</v>
      </c>
      <c r="E4327" s="86">
        <f>ENTRY!$D$27</f>
        <v>46102</v>
      </c>
      <c r="F4327" s="86"/>
      <c r="G4327" s="29"/>
      <c r="H4327" s="29"/>
      <c r="I4327" s="29"/>
      <c r="J4327" s="29"/>
      <c r="K4327" s="29"/>
      <c r="L4327" s="29"/>
      <c r="M4327" s="87" t="s">
        <v>730</v>
      </c>
      <c r="N4327" s="87"/>
      <c r="O4327" s="87"/>
      <c r="P4327" s="19"/>
      <c r="Q4327" s="19"/>
      <c r="R4327" s="11"/>
    </row>
    <row r="4328" s="1" customFormat="1" ht="21.95" customHeight="1" spans="1:18">
      <c r="A4328" s="7"/>
      <c r="B4328" s="12"/>
      <c r="C4328" s="33"/>
      <c r="D4328" s="80" t="s">
        <v>731</v>
      </c>
      <c r="E4328" s="88" t="str">
        <f>PROPER(ENTRY!$D$28)</f>
        <v>New Delhi</v>
      </c>
      <c r="F4328" s="88"/>
      <c r="G4328" s="29"/>
      <c r="H4328" s="29"/>
      <c r="I4328" s="29"/>
      <c r="J4328" s="29"/>
      <c r="K4328" s="29"/>
      <c r="L4328" s="29"/>
      <c r="M4328" s="89" t="s">
        <v>732</v>
      </c>
      <c r="N4328" s="89"/>
      <c r="O4328" s="89"/>
      <c r="P4328" s="19"/>
      <c r="Q4328" s="19"/>
      <c r="R4328" s="11"/>
    </row>
    <row r="4329" s="1" customFormat="1" ht="21.95" customHeight="1" spans="1:18">
      <c r="A4329" s="7"/>
      <c r="B4329" s="12"/>
      <c r="C4329" s="90"/>
      <c r="D4329" s="91"/>
      <c r="E4329" s="91"/>
      <c r="F4329" s="91"/>
      <c r="G4329" s="91"/>
      <c r="H4329" s="91"/>
      <c r="I4329" s="91"/>
      <c r="J4329" s="91"/>
      <c r="K4329" s="91"/>
      <c r="L4329" s="91"/>
      <c r="M4329" s="91"/>
      <c r="N4329" s="91"/>
      <c r="O4329" s="91"/>
      <c r="P4329" s="92"/>
      <c r="Q4329" s="14"/>
      <c r="R4329" s="11"/>
    </row>
    <row r="4330" s="1" customFormat="1" ht="5.1" customHeight="1" spans="1:18">
      <c r="A4330" s="7"/>
      <c r="B4330" s="90"/>
      <c r="C4330" s="91"/>
      <c r="D4330" s="91"/>
      <c r="E4330" s="91"/>
      <c r="F4330" s="91"/>
      <c r="G4330" s="91"/>
      <c r="H4330" s="91"/>
      <c r="I4330" s="91"/>
      <c r="J4330" s="91"/>
      <c r="K4330" s="91"/>
      <c r="L4330" s="91"/>
      <c r="M4330" s="91"/>
      <c r="N4330" s="91"/>
      <c r="O4330" s="91"/>
      <c r="P4330" s="91"/>
      <c r="Q4330" s="92"/>
      <c r="R4330" s="11"/>
    </row>
    <row r="4331" s="1" customFormat="1" ht="5.1" customHeight="1" spans="1:18">
      <c r="A4331" s="93"/>
      <c r="B4331" s="94"/>
      <c r="C4331" s="94"/>
      <c r="D4331" s="94"/>
      <c r="E4331" s="94"/>
      <c r="F4331" s="94"/>
      <c r="G4331" s="94"/>
      <c r="H4331" s="94"/>
      <c r="I4331" s="94"/>
      <c r="J4331" s="94"/>
      <c r="K4331" s="94"/>
      <c r="L4331" s="94"/>
      <c r="M4331" s="94"/>
      <c r="N4331" s="94"/>
      <c r="O4331" s="94"/>
      <c r="P4331" s="94"/>
      <c r="Q4331" s="94"/>
      <c r="R4331" s="95"/>
    </row>
    <row r="4332" s="2" customFormat="1" ht="9.95" customHeight="1"/>
    <row r="4333" s="1" customFormat="1" ht="5.1" customHeight="1" spans="1:18">
      <c r="A4333" s="4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  <c r="O4333" s="5"/>
      <c r="P4333" s="5"/>
      <c r="Q4333" s="5"/>
      <c r="R4333" s="6"/>
    </row>
    <row r="4334" s="1" customFormat="1" ht="15" customHeight="1" spans="1:18">
      <c r="A4334" s="7"/>
      <c r="B4334" s="8"/>
      <c r="C4334" s="9"/>
      <c r="D4334" s="9"/>
      <c r="E4334" s="9"/>
      <c r="F4334" s="9"/>
      <c r="G4334" s="9"/>
      <c r="H4334" s="9"/>
      <c r="I4334" s="9"/>
      <c r="J4334" s="9"/>
      <c r="K4334" s="9"/>
      <c r="L4334" s="9"/>
      <c r="M4334" s="9"/>
      <c r="N4334" s="9"/>
      <c r="O4334" s="9"/>
      <c r="P4334" s="9"/>
      <c r="Q4334" s="10"/>
      <c r="R4334" s="11"/>
    </row>
    <row r="4335" s="1" customFormat="1" ht="21.95" customHeight="1" spans="1:18">
      <c r="A4335" s="7"/>
      <c r="B4335" s="12"/>
      <c r="C4335" s="13" t="s">
        <v>7</v>
      </c>
      <c r="D4335" s="13"/>
      <c r="E4335" s="13"/>
      <c r="F4335" s="13"/>
      <c r="G4335" s="13"/>
      <c r="H4335" s="13"/>
      <c r="I4335" s="13"/>
      <c r="J4335" s="13"/>
      <c r="K4335" s="13"/>
      <c r="L4335" s="13"/>
      <c r="M4335" s="13"/>
      <c r="N4335" s="13"/>
      <c r="O4335" s="13"/>
      <c r="P4335" s="13"/>
      <c r="Q4335" s="14"/>
      <c r="R4335" s="11"/>
    </row>
    <row r="4336" s="1" customFormat="1" ht="21.95" customHeight="1" spans="1:18">
      <c r="A4336" s="7"/>
      <c r="B4336" s="1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14"/>
      <c r="R4336" s="11"/>
    </row>
    <row r="4337" s="1" customFormat="1" ht="21.95" customHeight="1" spans="1:18">
      <c r="A4337" s="7"/>
      <c r="B4337" s="12"/>
      <c r="C4337" s="15" t="str">
        <f>"SESSION-"&amp;ENTRY!$D$11</f>
        <v>SESSION-2026-27</v>
      </c>
      <c r="D4337" s="15"/>
      <c r="E4337" s="15"/>
      <c r="F4337" s="15"/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  <c r="Q4337" s="14"/>
      <c r="R4337" s="11"/>
    </row>
    <row r="4338" s="1" customFormat="1" ht="21.95" customHeight="1" spans="1:18">
      <c r="A4338" s="7"/>
      <c r="B4338" s="12"/>
      <c r="C4338" s="2"/>
      <c r="D4338" s="2"/>
      <c r="E4338" s="2"/>
      <c r="F4338" s="16">
        <f>F4281+1</f>
        <v>77</v>
      </c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14"/>
      <c r="R4338" s="11"/>
    </row>
    <row r="4339" s="1" customFormat="1" ht="21.95" customHeight="1" spans="1:18">
      <c r="A4339" s="7"/>
      <c r="B4339" s="12"/>
      <c r="C4339" s="17" t="s">
        <v>392</v>
      </c>
      <c r="D4339" s="17"/>
      <c r="E4339" s="17"/>
      <c r="F4339" s="18" t="str">
        <f>IF(F4338&gt;0,ENTRY!$D$6,"")</f>
        <v>MCP NITHARI NO 1 BOYS</v>
      </c>
      <c r="G4339" s="18"/>
      <c r="H4339" s="18"/>
      <c r="I4339" s="18"/>
      <c r="J4339" s="18"/>
      <c r="K4339" s="18"/>
      <c r="L4339" s="18"/>
      <c r="M4339" s="18"/>
      <c r="N4339" s="18"/>
      <c r="O4339" s="18"/>
      <c r="P4339" s="18"/>
      <c r="Q4339" s="19"/>
      <c r="R4339" s="11"/>
    </row>
    <row r="4340" s="1" customFormat="1" ht="21.95" customHeight="1" spans="1:18">
      <c r="A4340" s="7"/>
      <c r="B4340" s="12"/>
      <c r="C4340" s="17" t="s">
        <v>393</v>
      </c>
      <c r="D4340" s="17"/>
      <c r="E4340" s="17"/>
      <c r="F4340" s="18">
        <f>IF(F4338&gt;0,ENTRY!$D$7,"")</f>
        <v>0</v>
      </c>
      <c r="G4340" s="18"/>
      <c r="H4340" s="20" t="s">
        <v>702</v>
      </c>
      <c r="I4340" s="20"/>
      <c r="J4340" s="21">
        <f>IF(F4338&gt;0,ENTRY!$D$10,"")</f>
        <v>40</v>
      </c>
      <c r="K4340" s="20" t="s">
        <v>703</v>
      </c>
      <c r="L4340" s="22" t="str">
        <f>IF(F4338&gt;0,ENTRY!$D$5,"")</f>
        <v>ROHINI ZONE</v>
      </c>
      <c r="M4340" s="22"/>
      <c r="N4340" s="22"/>
      <c r="O4340" s="22"/>
      <c r="P4340" s="22"/>
      <c r="Q4340" s="19"/>
      <c r="R4340" s="11"/>
    </row>
    <row r="4341" s="1" customFormat="1" ht="21.95" customHeight="1" spans="1:18">
      <c r="A4341" s="7"/>
      <c r="B4341" s="12"/>
      <c r="C4341" s="17" t="s">
        <v>706</v>
      </c>
      <c r="D4341" s="17"/>
      <c r="E4341" s="17"/>
      <c r="F4341" s="23">
        <f>IFERROR(VLOOKUP(F4338,STUDENT!$A$2:$BP$101,5,0),"")</f>
        <v>0</v>
      </c>
      <c r="G4341" s="23"/>
      <c r="H4341" s="23"/>
      <c r="I4341" s="23"/>
      <c r="J4341" s="23"/>
      <c r="K4341" s="23"/>
      <c r="L4341" s="20" t="s">
        <v>707</v>
      </c>
      <c r="M4341" s="20"/>
      <c r="N4341" s="24" t="str">
        <f>IF(F4338&gt;0,ENTRY!$D$20&amp;"-"&amp;ENTRY!$D$21,"")</f>
        <v>III-A</v>
      </c>
      <c r="O4341" s="24"/>
      <c r="P4341" s="24"/>
      <c r="Q4341" s="19"/>
      <c r="R4341" s="11"/>
    </row>
    <row r="4342" s="1" customFormat="1" ht="21.95" customHeight="1" spans="1:18">
      <c r="A4342" s="7"/>
      <c r="B4342" s="12"/>
      <c r="C4342" s="17" t="s">
        <v>708</v>
      </c>
      <c r="D4342" s="17"/>
      <c r="E4342" s="17"/>
      <c r="F4342" s="25">
        <f>IFERROR(VLOOKUP(F4338,STUDENT!$A$2:$BP$101,6,0),"")</f>
        <v>0</v>
      </c>
      <c r="G4342" s="25"/>
      <c r="H4342" s="26" t="s">
        <v>709</v>
      </c>
      <c r="I4342" s="27" t="str">
        <f>IFERROR(VLOOKUP(F4338,STUDENT!$A$2:$BP$101,59,0),"")</f>
        <v/>
      </c>
      <c r="J4342" s="27"/>
      <c r="K4342" s="20" t="s">
        <v>710</v>
      </c>
      <c r="L4342" s="20"/>
      <c r="M4342" s="28">
        <f>IFERROR(VLOOKUP(F4338,STUDENT!$A$2:$BP$101,20,0),"")</f>
        <v>0</v>
      </c>
      <c r="N4342" s="28"/>
      <c r="O4342" s="28"/>
      <c r="P4342" s="28"/>
      <c r="Q4342" s="19"/>
      <c r="R4342" s="11"/>
    </row>
    <row r="4343" s="1" customFormat="1" ht="21.95" customHeight="1" spans="1:18">
      <c r="A4343" s="7"/>
      <c r="B4343" s="12"/>
      <c r="C4343" s="17" t="s">
        <v>711</v>
      </c>
      <c r="D4343" s="17"/>
      <c r="E4343" s="17"/>
      <c r="F4343" s="23">
        <f>IFERROR(VLOOKUP(F4338,STUDENT!$A$2:$BP$101,9,0),"")</f>
        <v>0</v>
      </c>
      <c r="G4343" s="23"/>
      <c r="H4343" s="23"/>
      <c r="I4343" s="23"/>
      <c r="J4343" s="17" t="s">
        <v>620</v>
      </c>
      <c r="K4343" s="17"/>
      <c r="L4343" s="23">
        <f>IFERROR(VLOOKUP(F4338,STUDENT!$A$2:$BP$101,8,0),"")</f>
        <v>0</v>
      </c>
      <c r="M4343" s="23"/>
      <c r="N4343" s="23"/>
      <c r="O4343" s="23"/>
      <c r="P4343" s="23"/>
      <c r="Q4343" s="19"/>
      <c r="R4343" s="11"/>
    </row>
    <row r="4344" s="1" customFormat="1" ht="21.95" customHeight="1" spans="1:18">
      <c r="A4344" s="7"/>
      <c r="B4344" s="12"/>
      <c r="C4344" s="17" t="s">
        <v>712</v>
      </c>
      <c r="D4344" s="17"/>
      <c r="E4344" s="17"/>
      <c r="F4344" s="23">
        <f>IFERROR(VLOOKUP(F4338,STUDENT!$A$2:$BP$101,22,0),"")</f>
        <v>0</v>
      </c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19"/>
      <c r="R4344" s="11"/>
    </row>
    <row r="4345" s="1" customFormat="1" ht="9.95" customHeight="1" spans="1:18">
      <c r="A4345" s="7"/>
      <c r="B4345" s="12"/>
      <c r="C4345" s="29"/>
      <c r="D4345" s="29"/>
      <c r="E4345" s="29"/>
      <c r="F4345" s="29"/>
      <c r="G4345" s="29"/>
      <c r="H4345" s="29"/>
      <c r="I4345" s="29"/>
      <c r="J4345" s="29"/>
      <c r="K4345" s="29"/>
      <c r="L4345" s="29"/>
      <c r="M4345" s="29"/>
      <c r="N4345" s="29"/>
      <c r="O4345" s="29"/>
      <c r="P4345" s="29"/>
      <c r="Q4345" s="19"/>
      <c r="R4345" s="11"/>
    </row>
    <row r="4346" s="1" customFormat="1" ht="9.95" customHeight="1" spans="1:18">
      <c r="A4346" s="7"/>
      <c r="B4346" s="12"/>
      <c r="C4346" s="30"/>
      <c r="D4346" s="31"/>
      <c r="E4346" s="31"/>
      <c r="F4346" s="31"/>
      <c r="G4346" s="31"/>
      <c r="H4346" s="31"/>
      <c r="I4346" s="31"/>
      <c r="J4346" s="31"/>
      <c r="K4346" s="31"/>
      <c r="L4346" s="31"/>
      <c r="M4346" s="31"/>
      <c r="N4346" s="31"/>
      <c r="O4346" s="31"/>
      <c r="P4346" s="32"/>
      <c r="Q4346" s="19"/>
      <c r="R4346" s="11"/>
    </row>
    <row r="4347" s="1" customFormat="1" ht="21.95" customHeight="1" spans="1:18">
      <c r="A4347" s="7"/>
      <c r="B4347" s="12"/>
      <c r="C4347" s="33"/>
      <c r="D4347" s="34" t="s">
        <v>713</v>
      </c>
      <c r="E4347" s="20" t="s">
        <v>714</v>
      </c>
      <c r="F4347" s="35" t="str">
        <f>"Level - "&amp;IFERROR(VLOOKUP(F4338,FLN!$A$4:$K$103,9,0),"")</f>
        <v>Level - </v>
      </c>
      <c r="G4347" s="36"/>
      <c r="H4347" s="37" t="s">
        <v>715</v>
      </c>
      <c r="I4347" s="20"/>
      <c r="J4347" s="35" t="str">
        <f>"Level - "&amp;IFERROR(VLOOKUP(F4338,FLN!$A$4:$K$103,11,0),"")</f>
        <v>Level - </v>
      </c>
      <c r="K4347" s="36"/>
      <c r="L4347" s="37" t="s">
        <v>408</v>
      </c>
      <c r="M4347" s="20"/>
      <c r="N4347" s="35" t="str">
        <f>"Level - "&amp;IFERROR(VLOOKUP(F4338,FLN!$A$4:$K$103,10,0),"")</f>
        <v>Level - </v>
      </c>
      <c r="O4347" s="36"/>
      <c r="P4347" s="19"/>
      <c r="Q4347" s="19"/>
      <c r="R4347" s="11"/>
    </row>
    <row r="4348" s="1" customFormat="1" ht="21.95" customHeight="1" spans="1:18">
      <c r="A4348" s="7"/>
      <c r="B4348" s="12"/>
      <c r="C4348" s="33"/>
      <c r="D4348" s="38"/>
      <c r="E4348" s="20" t="s">
        <v>716</v>
      </c>
      <c r="F4348" s="18" t="str">
        <f ca="1">IF(L4362&gt;197,"PERFORMED WELL","")</f>
        <v/>
      </c>
      <c r="G4348" s="18"/>
      <c r="H4348" s="18"/>
      <c r="I4348" s="18"/>
      <c r="J4348" s="18"/>
      <c r="K4348" s="18"/>
      <c r="L4348" s="18"/>
      <c r="M4348" s="18"/>
      <c r="N4348" s="18"/>
      <c r="O4348" s="18"/>
      <c r="P4348" s="19"/>
      <c r="Q4348" s="19"/>
      <c r="R4348" s="11"/>
    </row>
    <row r="4349" s="1" customFormat="1" ht="9.95" customHeight="1" spans="1:18">
      <c r="A4349" s="7"/>
      <c r="B4349" s="12"/>
      <c r="C4349" s="39"/>
      <c r="D4349" s="40"/>
      <c r="E4349" s="40"/>
      <c r="F4349" s="40"/>
      <c r="G4349" s="40"/>
      <c r="H4349" s="40"/>
      <c r="I4349" s="40"/>
      <c r="J4349" s="40"/>
      <c r="K4349" s="40"/>
      <c r="L4349" s="40"/>
      <c r="M4349" s="40"/>
      <c r="N4349" s="40"/>
      <c r="O4349" s="40"/>
      <c r="P4349" s="41"/>
      <c r="Q4349" s="19"/>
      <c r="R4349" s="11"/>
    </row>
    <row r="4350" s="1" customFormat="1" ht="9.95" customHeight="1" spans="1:18">
      <c r="A4350" s="7"/>
      <c r="B4350" s="12"/>
      <c r="C4350" s="29"/>
      <c r="D4350" s="29"/>
      <c r="E4350" s="29"/>
      <c r="F4350" s="29"/>
      <c r="G4350" s="29"/>
      <c r="H4350" s="29"/>
      <c r="I4350" s="29"/>
      <c r="J4350" s="29"/>
      <c r="K4350" s="29"/>
      <c r="L4350" s="29"/>
      <c r="M4350" s="29"/>
      <c r="N4350" s="29"/>
      <c r="O4350" s="29"/>
      <c r="P4350" s="29"/>
      <c r="Q4350" s="19"/>
      <c r="R4350" s="11"/>
    </row>
    <row r="4351" s="1" customFormat="1" ht="9.95" customHeight="1" spans="1:18">
      <c r="A4351" s="7"/>
      <c r="B4351" s="12"/>
      <c r="C4351" s="30"/>
      <c r="D4351" s="31"/>
      <c r="E4351" s="31"/>
      <c r="F4351" s="31"/>
      <c r="G4351" s="31"/>
      <c r="H4351" s="31"/>
      <c r="I4351" s="31"/>
      <c r="J4351" s="31"/>
      <c r="K4351" s="31"/>
      <c r="L4351" s="31"/>
      <c r="M4351" s="31"/>
      <c r="N4351" s="31"/>
      <c r="O4351" s="31"/>
      <c r="P4351" s="32"/>
      <c r="Q4351" s="19"/>
      <c r="R4351" s="11"/>
    </row>
    <row r="4352" s="1" customFormat="1" ht="21.95" customHeight="1" spans="1:18">
      <c r="A4352" s="7"/>
      <c r="B4352" s="12"/>
      <c r="C4352" s="33"/>
      <c r="D4352" s="35"/>
      <c r="E4352" s="24"/>
      <c r="F4352" s="42" t="s">
        <v>717</v>
      </c>
      <c r="G4352" s="42"/>
      <c r="H4352" s="42"/>
      <c r="I4352" s="42"/>
      <c r="J4352" s="42"/>
      <c r="K4352" s="42"/>
      <c r="L4352" s="43"/>
      <c r="M4352" s="44"/>
      <c r="N4352" s="29"/>
      <c r="O4352" s="29"/>
      <c r="P4352" s="19"/>
      <c r="Q4352" s="19"/>
      <c r="R4352" s="11"/>
    </row>
    <row r="4353" s="1" customFormat="1" ht="21.95" customHeight="1" spans="1:18">
      <c r="A4353" s="7"/>
      <c r="B4353" s="12"/>
      <c r="C4353" s="33"/>
      <c r="D4353" s="45"/>
      <c r="E4353" s="46"/>
      <c r="F4353" s="47" t="s">
        <v>541</v>
      </c>
      <c r="G4353" s="47" t="s">
        <v>542</v>
      </c>
      <c r="H4353" s="47" t="s">
        <v>543</v>
      </c>
      <c r="I4353" s="47" t="s">
        <v>544</v>
      </c>
      <c r="J4353" s="47" t="s">
        <v>561</v>
      </c>
      <c r="K4353" s="48" t="s">
        <v>750</v>
      </c>
      <c r="L4353" s="47" t="s">
        <v>382</v>
      </c>
      <c r="M4353" s="49" t="s">
        <v>546</v>
      </c>
      <c r="N4353" s="29"/>
      <c r="O4353" s="29"/>
      <c r="P4353" s="19"/>
      <c r="Q4353" s="19"/>
      <c r="R4353" s="11"/>
    </row>
    <row r="4354" s="1" customFormat="1" ht="21.95" customHeight="1" spans="1:18">
      <c r="A4354" s="7"/>
      <c r="B4354" s="12"/>
      <c r="C4354" s="33"/>
      <c r="D4354" s="45" t="s">
        <v>652</v>
      </c>
      <c r="E4354" s="46"/>
      <c r="F4354" s="50">
        <v>10</v>
      </c>
      <c r="G4354" s="50">
        <v>10</v>
      </c>
      <c r="H4354" s="50">
        <v>10</v>
      </c>
      <c r="I4354" s="50">
        <v>10</v>
      </c>
      <c r="J4354" s="50">
        <v>60</v>
      </c>
      <c r="K4354" s="51"/>
      <c r="L4354" s="50">
        <v>100</v>
      </c>
      <c r="M4354" s="49"/>
      <c r="N4354" s="29"/>
      <c r="O4354" s="29"/>
      <c r="P4354" s="19"/>
      <c r="Q4354" s="19"/>
      <c r="R4354" s="11"/>
    </row>
    <row r="4355" s="1" customFormat="1" ht="21.95" customHeight="1" spans="1:18">
      <c r="A4355" s="7"/>
      <c r="B4355" s="12"/>
      <c r="C4355" s="33"/>
      <c r="D4355" s="52" t="s">
        <v>751</v>
      </c>
      <c r="E4355" s="53"/>
      <c r="F4355" s="54" t="str">
        <f ca="1">IFERROR(VLOOKUP(F4338,'RR-3.1-5TH'!$A$12:'RR-3.1-5TH'!$BN$111,9,0),"")</f>
        <v/>
      </c>
      <c r="G4355" s="54" t="str">
        <f ca="1">IFERROR(VLOOKUP(F4338,'RR-3.1-5TH'!$A$12:'RR-3.1-5TH'!$BN$111,10,0),"")</f>
        <v/>
      </c>
      <c r="H4355" s="54" t="str">
        <f ca="1">IFERROR(VLOOKUP(F4338,'RR-3.1-5TH'!$A$12:'RR-3.1-5TH'!$BN$111,11,0),"")</f>
        <v/>
      </c>
      <c r="I4355" s="54" t="str">
        <f ca="1">IFERROR(VLOOKUP(F4338,'RR-3.1-5TH'!$A$12:'RR-3.1-5TH'!$BN$111,12,0),"")</f>
        <v/>
      </c>
      <c r="J4355" s="54" t="str">
        <f ca="1">IFERROR(VLOOKUP(F4338,'RR-3.1-5TH'!$A$12:'RR-3.1-5TH'!$BN$111,13,0),"")</f>
        <v/>
      </c>
      <c r="K4355" s="54" t="str">
        <f ca="1">IFERROR(VLOOKUP(F4338,'RR-3.1-5TH'!$A$12:'RR-3.1-5TH'!$BN$111,14,0),"")</f>
        <v/>
      </c>
      <c r="L4355" s="55">
        <f ca="1" t="shared" ref="L4355:L4360" si="228">SUM(F4355,G4355,H4355,I4355,J4355,K4355)</f>
        <v>0</v>
      </c>
      <c r="M4355" s="56" t="str">
        <f ca="1">IF(F4338&gt;ENTRY!$D$24,"",IF(L4355=0,"Ab",IF(L4355&gt;80,"A",IF(L4355&gt;60,"B",IF(L4355&gt;44,"C",IF(L4355&gt;=33,"D",IF(L4355&lt;=32,"E","")))))))</f>
        <v/>
      </c>
      <c r="N4355" s="57" t="s">
        <v>729</v>
      </c>
      <c r="O4355" s="58"/>
      <c r="P4355" s="59"/>
      <c r="Q4355" s="19"/>
      <c r="R4355" s="11"/>
    </row>
    <row r="4356" s="1" customFormat="1" ht="21.95" customHeight="1" spans="1:18">
      <c r="A4356" s="7"/>
      <c r="B4356" s="12"/>
      <c r="C4356" s="33"/>
      <c r="D4356" s="52" t="s">
        <v>513</v>
      </c>
      <c r="E4356" s="53"/>
      <c r="F4356" s="54" t="str">
        <f ca="1">IFERROR(VLOOKUP(F4338,'RR-3.1-5TH'!$A$12:'RR-3.1-5TH'!$BN$111,17,0),"")</f>
        <v/>
      </c>
      <c r="G4356" s="54" t="str">
        <f ca="1">IFERROR(VLOOKUP(F4338,'RR-3.1-5TH'!$A$12:'RR-3.1-5TH'!$BN$111,18,0),"")</f>
        <v/>
      </c>
      <c r="H4356" s="54" t="str">
        <f ca="1">IFERROR(VLOOKUP(F4338,'RR-3.1-5TH'!$A$12:'RR-3.1-5TH'!$BN$111,19,0),"")</f>
        <v/>
      </c>
      <c r="I4356" s="54" t="str">
        <f ca="1">IFERROR(VLOOKUP(F4338,'RR-3.1-5TH'!$A$12:'RR-3.1-5TH'!$BN$111,20,0),"")</f>
        <v/>
      </c>
      <c r="J4356" s="54" t="str">
        <f ca="1">IFERROR(VLOOKUP(F4338,'RR-3.1-5TH'!$A$12:'RR-3.1-5TH'!$BN$111,21,0),"")</f>
        <v/>
      </c>
      <c r="K4356" s="54" t="str">
        <f ca="1">IFERROR(VLOOKUP(F4338,'RR-3.1-5TH'!$A$12:'RR-3.1-5TH'!$BN$111,22,0),"")</f>
        <v/>
      </c>
      <c r="L4356" s="55">
        <f ca="1" t="shared" si="228"/>
        <v>0</v>
      </c>
      <c r="M4356" s="56" t="str">
        <f ca="1">IF(F4338&gt;ENTRY!$D$24,"",IF(L4356=0,"Ab",IF(L4356&gt;80,"A",IF(L4356&gt;60,"B",IF(L4356&gt;44,"C",IF(L4356&gt;=33,"D",IF(L4356&lt;=32,"E","")))))))</f>
        <v/>
      </c>
      <c r="N4356" s="58"/>
      <c r="O4356" s="58"/>
      <c r="P4356" s="59"/>
      <c r="Q4356" s="19"/>
      <c r="R4356" s="11"/>
    </row>
    <row r="4357" s="1" customFormat="1" ht="21.95" customHeight="1" spans="1:18">
      <c r="A4357" s="7"/>
      <c r="B4357" s="12"/>
      <c r="C4357" s="33"/>
      <c r="D4357" s="52" t="s">
        <v>718</v>
      </c>
      <c r="E4357" s="53"/>
      <c r="F4357" s="54" t="str">
        <f ca="1">IFERROR(VLOOKUP(F4338,'RR-3.1-5TH'!$A$12:'RR-3.1-5TH'!$BN$111,25,0),"")</f>
        <v/>
      </c>
      <c r="G4357" s="54" t="str">
        <f ca="1">IFERROR(VLOOKUP(F4338,'RR-3.1-5TH'!$A$12:'RR-3.1-5TH'!$BN$111,26,0),"")</f>
        <v/>
      </c>
      <c r="H4357" s="54" t="str">
        <f ca="1">IFERROR(VLOOKUP(F4338,'RR-3.1-5TH'!$A$12:'RR-3.1-5TH'!$BN$111,27,0),"")</f>
        <v/>
      </c>
      <c r="I4357" s="54" t="str">
        <f ca="1">IFERROR(VLOOKUP(F4338,'RR-3.1-5TH'!$A$12:'RR-3.1-5TH'!$BN$111,28,0),"")</f>
        <v/>
      </c>
      <c r="J4357" s="54" t="str">
        <f ca="1">IFERROR(VLOOKUP(F4338,'RR-3.1-5TH'!$A$12:'RR-3.1-5TH'!$BN$111,29,0),"")</f>
        <v/>
      </c>
      <c r="K4357" s="54" t="str">
        <f ca="1">IFERROR(VLOOKUP(F4338,'RR-3.1-5TH'!$A$12:'RR-3.1-5TH'!$BN$111,30,0),"")</f>
        <v/>
      </c>
      <c r="L4357" s="55">
        <f ca="1" t="shared" si="228"/>
        <v>0</v>
      </c>
      <c r="M4357" s="56" t="str">
        <f ca="1">IF(F4338&gt;ENTRY!$D$24,"",IF(L4357=0,"Ab",IF(L4357&gt;80,"A",IF(L4357&gt;60,"B",IF(L4357&gt;44,"C",IF(L4357&gt;=33,"D",IF(L4357&lt;=32,"E","")))))))</f>
        <v/>
      </c>
      <c r="N4357" s="29"/>
      <c r="O4357" s="29"/>
      <c r="P4357" s="19"/>
      <c r="Q4357" s="19"/>
      <c r="R4357" s="11"/>
    </row>
    <row r="4358" s="1" customFormat="1" ht="21.95" customHeight="1" spans="1:18">
      <c r="A4358" s="7"/>
      <c r="B4358" s="12"/>
      <c r="C4358" s="33"/>
      <c r="D4358" s="52" t="s">
        <v>719</v>
      </c>
      <c r="E4358" s="53"/>
      <c r="F4358" s="54" t="str">
        <f ca="1">IFERROR(VLOOKUP(F4338,'RR-3.1-5TH'!$A$12:'RR-3.1-5TH'!$BN$111,33,0),"")</f>
        <v/>
      </c>
      <c r="G4358" s="54" t="str">
        <f ca="1">IFERROR(VLOOKUP(F4338,'RR-3.1-5TH'!$A$12:'RR-3.1-5TH'!$BN$111,34,0),"")</f>
        <v/>
      </c>
      <c r="H4358" s="54" t="str">
        <f ca="1">IFERROR(VLOOKUP(F4338,'RR-3.1-5TH'!$A$12:'RR-3.1-5TH'!$BN$111,35,0),"")</f>
        <v/>
      </c>
      <c r="I4358" s="54" t="str">
        <f ca="1">IFERROR(VLOOKUP(F4338,'RR-3.1-5TH'!$A$12:'RR-3.1-5TH'!$BN$111,36,0),"")</f>
        <v/>
      </c>
      <c r="J4358" s="54" t="str">
        <f ca="1">IFERROR(VLOOKUP(F4338,'RR-3.1-5TH'!$A$12:'RR-3.1-5TH'!$BN$111,37,0),"")</f>
        <v/>
      </c>
      <c r="K4358" s="54" t="str">
        <f ca="1">IFERROR(VLOOKUP(F4338,'RR-3.1-5TH'!$A$12:'RR-3.1-5TH'!$BN$111,38,0),"")</f>
        <v/>
      </c>
      <c r="L4358" s="55">
        <f ca="1" t="shared" si="228"/>
        <v>0</v>
      </c>
      <c r="M4358" s="56" t="str">
        <f ca="1">IF(F4338&gt;ENTRY!$D$24,"",IF(L4358=0,"Ab",IF(L4358&gt;80,"A",IF(L4358&gt;60,"B",IF(L4358&gt;44,"C",IF(L4358&gt;=33,"D",IF(L4358&lt;=32,"E","")))))))</f>
        <v/>
      </c>
      <c r="N4358" s="29"/>
      <c r="O4358" s="29"/>
      <c r="P4358" s="19"/>
      <c r="Q4358" s="19"/>
      <c r="R4358" s="11"/>
    </row>
    <row r="4359" s="1" customFormat="1" ht="21.95" customHeight="1" spans="1:18">
      <c r="A4359" s="7"/>
      <c r="B4359" s="12"/>
      <c r="C4359" s="33"/>
      <c r="D4359" s="52" t="s">
        <v>548</v>
      </c>
      <c r="E4359" s="53"/>
      <c r="F4359" s="54" t="str">
        <f ca="1">IFERROR(VLOOKUP(F4338,'RR-3.1-5TH'!$A$12:'RR-3.1-5TH'!$BN$111,41,0),"")</f>
        <v/>
      </c>
      <c r="G4359" s="54" t="str">
        <f ca="1">IFERROR(VLOOKUP(F4338,'RR-3.1-5TH'!$A$12:'RR-3.1-5TH'!$BN$111,42,0),"")</f>
        <v/>
      </c>
      <c r="H4359" s="54" t="str">
        <f ca="1">IFERROR(VLOOKUP(F4338,'RR-3.1-5TH'!$A$12:'RR-3.1-5TH'!$BN$111,43,0),"")</f>
        <v/>
      </c>
      <c r="I4359" s="54" t="str">
        <f ca="1">IFERROR(VLOOKUP(F4338,'RR-3.1-5TH'!$A$12:'RR-3.1-5TH'!$BN$111,44,0),"")</f>
        <v/>
      </c>
      <c r="J4359" s="54" t="str">
        <f ca="1">IFERROR(VLOOKUP(F4338,'RR-3.1-5TH'!$A$12:'RR-3.1-5TH'!$BN$111,45,0),"")</f>
        <v/>
      </c>
      <c r="K4359" s="54" t="str">
        <f ca="1">IFERROR(VLOOKUP(F4338,'RR-3.1-5TH'!$A$12:'RR-3.1-5TH'!$BN$111,46,0),"")</f>
        <v/>
      </c>
      <c r="L4359" s="55">
        <f ca="1" t="shared" si="228"/>
        <v>0</v>
      </c>
      <c r="M4359" s="56" t="str">
        <f ca="1">IF(F4338&gt;ENTRY!$D$24,"",IF(L4359=0,"Ab",IF(L4359&gt;80,"A",IF(L4359&gt;60,"B",IF(L4359&gt;44,"C",IF(L4359&gt;=33,"D",IF(L4359&lt;=32,"E","")))))))</f>
        <v/>
      </c>
      <c r="N4359" s="29"/>
      <c r="O4359" s="29"/>
      <c r="P4359" s="19"/>
      <c r="Q4359" s="19"/>
      <c r="R4359" s="11"/>
    </row>
    <row r="4360" s="1" customFormat="1" ht="21.95" customHeight="1" spans="1:18">
      <c r="A4360" s="7"/>
      <c r="B4360" s="12"/>
      <c r="C4360" s="33"/>
      <c r="D4360" s="52" t="s">
        <v>549</v>
      </c>
      <c r="E4360" s="53"/>
      <c r="F4360" s="54" t="str">
        <f ca="1">IFERROR(VLOOKUP(F4338,'RR-3.1-5TH'!$A$12:'RR-3.1-5TH'!$BN$111,49,0),"")</f>
        <v/>
      </c>
      <c r="G4360" s="54" t="str">
        <f ca="1">IFERROR(VLOOKUP(F4338,'RR-3.1-5TH'!$A$12:'RR-3.1-5TH'!$BN$111,50,0),"")</f>
        <v/>
      </c>
      <c r="H4360" s="54" t="str">
        <f ca="1">IFERROR(VLOOKUP(F4338,'RR-3.1-5TH'!$A$12:'RR-3.1-5TH'!$BN$111,51,0),"")</f>
        <v/>
      </c>
      <c r="I4360" s="54" t="str">
        <f ca="1">IFERROR(VLOOKUP(F4338,'RR-3.1-5TH'!$A$12:'RR-3.1-5TH'!$BN$111,52,0),"")</f>
        <v/>
      </c>
      <c r="J4360" s="54" t="str">
        <f ca="1">IFERROR(VLOOKUP(F4338,'RR-3.1-5TH'!$A$12:'RR-3.1-5TH'!$BN$111,53,0),"")</f>
        <v/>
      </c>
      <c r="K4360" s="54" t="str">
        <f ca="1">IFERROR(VLOOKUP(F4338,'RR-3.1-5TH'!$A$12:'RR-3.1-5TH'!$BN$111,54,0),"")</f>
        <v/>
      </c>
      <c r="L4360" s="55">
        <f ca="1" t="shared" si="228"/>
        <v>0</v>
      </c>
      <c r="M4360" s="56" t="str">
        <f ca="1">IF(F4338&gt;ENTRY!$D$24,"",IF(L4360=0,"Ab",IF(L4360&gt;80,"A",IF(L4360&gt;60,"B",IF(L4360&gt;44,"C",IF(L4360&gt;=33,"D",IF(L4360&lt;=32,"E","")))))))</f>
        <v/>
      </c>
      <c r="N4360" s="57" t="s">
        <v>752</v>
      </c>
      <c r="O4360" s="58"/>
      <c r="P4360" s="59"/>
      <c r="Q4360" s="19"/>
      <c r="R4360" s="11"/>
    </row>
    <row r="4361" s="1" customFormat="1" ht="21.95" customHeight="1" spans="1:18">
      <c r="A4361" s="7"/>
      <c r="B4361" s="12"/>
      <c r="C4361" s="33"/>
      <c r="D4361" s="52" t="s">
        <v>753</v>
      </c>
      <c r="E4361" s="53"/>
      <c r="F4361" s="60"/>
      <c r="G4361" s="54"/>
      <c r="H4361" s="54"/>
      <c r="I4361" s="54"/>
      <c r="J4361" s="54"/>
      <c r="K4361" s="54"/>
      <c r="L4361" s="55">
        <f t="shared" ref="L4361" si="229">SUM(G4361:K4361)</f>
        <v>0</v>
      </c>
      <c r="M4361" s="56" t="str">
        <f>IF(F4338&gt;ENTRY!$D$24,"",IF(L4361=0,"",IF(L4361&gt;79,"A",IF(L4361&gt;59,"B",IF(L4361&gt;44,"C",IF(L4361&gt;=33,"D",IF(L4361&lt;=32,"E","")))))))</f>
        <v/>
      </c>
      <c r="N4361" s="58"/>
      <c r="O4361" s="58"/>
      <c r="P4361" s="59"/>
      <c r="Q4361" s="19"/>
      <c r="R4361" s="11"/>
    </row>
    <row r="4362" s="1" customFormat="1" ht="21.95" customHeight="1" spans="1:18">
      <c r="A4362" s="7"/>
      <c r="B4362" s="12"/>
      <c r="C4362" s="33"/>
      <c r="D4362" s="45" t="s">
        <v>382</v>
      </c>
      <c r="E4362" s="46"/>
      <c r="F4362" s="54">
        <f ca="1" t="shared" ref="F4362:L4362" si="230">IFERROR(SUM(F4355:F4361),"")</f>
        <v>0</v>
      </c>
      <c r="G4362" s="54">
        <f ca="1" t="shared" si="230"/>
        <v>0</v>
      </c>
      <c r="H4362" s="54">
        <f ca="1" t="shared" si="230"/>
        <v>0</v>
      </c>
      <c r="I4362" s="54">
        <f ca="1" t="shared" si="230"/>
        <v>0</v>
      </c>
      <c r="J4362" s="54">
        <f ca="1" t="shared" si="230"/>
        <v>0</v>
      </c>
      <c r="K4362" s="54">
        <f ca="1" t="shared" si="230"/>
        <v>0</v>
      </c>
      <c r="L4362" s="55">
        <f ca="1" t="shared" si="230"/>
        <v>0</v>
      </c>
      <c r="M4362" s="61" t="str">
        <f ca="1">IF(F4338&gt;ENTRY!$D$24,"",IF(N4363="Ab","Ab",IF(N4363&gt;79.5,"A",IF(N4363&gt;59.5,"B",IF(N4363&gt;44.5,"C",IF(N4363&gt;=33,"D",IF(N4363&lt;33,"E","")))))))</f>
        <v/>
      </c>
      <c r="N4362" s="62"/>
      <c r="O4362" s="58"/>
      <c r="P4362" s="59"/>
      <c r="Q4362" s="19"/>
      <c r="R4362" s="11"/>
    </row>
    <row r="4363" s="1" customFormat="1" ht="21.95" customHeight="1" spans="1:18">
      <c r="A4363" s="7"/>
      <c r="B4363" s="12"/>
      <c r="C4363" s="33"/>
      <c r="D4363" s="63" t="s">
        <v>721</v>
      </c>
      <c r="E4363" s="63"/>
      <c r="F4363" s="63"/>
      <c r="G4363" s="63"/>
      <c r="H4363" s="63"/>
      <c r="I4363" s="63"/>
      <c r="J4363" s="63"/>
      <c r="K4363" s="63"/>
      <c r="L4363" s="63"/>
      <c r="M4363" s="63"/>
      <c r="N4363" s="64">
        <f ca="1">IF(L4362="Ab","Ab",L4362/6)</f>
        <v>0</v>
      </c>
      <c r="O4363" s="65"/>
      <c r="P4363" s="19"/>
      <c r="Q4363" s="19"/>
      <c r="R4363" s="11"/>
    </row>
    <row r="4364" s="1" customFormat="1" ht="21.95" customHeight="1" spans="1:18">
      <c r="A4364" s="7"/>
      <c r="B4364" s="12"/>
      <c r="C4364" s="33"/>
      <c r="D4364" s="29" t="s">
        <v>716</v>
      </c>
      <c r="E4364" s="18" t="str">
        <f>IFERROR(VLOOKUP(F4338,'1to4-2.1-RR'!$A$12:$BG$111,57,0),"")</f>
        <v/>
      </c>
      <c r="F4364" s="18"/>
      <c r="G4364" s="18"/>
      <c r="H4364" s="18"/>
      <c r="I4364" s="18"/>
      <c r="J4364" s="18"/>
      <c r="K4364" s="18"/>
      <c r="L4364" s="18"/>
      <c r="M4364" s="18"/>
      <c r="N4364" s="29"/>
      <c r="O4364" s="29"/>
      <c r="P4364" s="19"/>
      <c r="Q4364" s="19"/>
      <c r="R4364" s="11"/>
    </row>
    <row r="4365" s="1" customFormat="1" ht="9.95" customHeight="1" spans="1:18">
      <c r="A4365" s="7"/>
      <c r="B4365" s="12"/>
      <c r="C4365" s="33"/>
      <c r="D4365" s="29"/>
      <c r="E4365" s="29"/>
      <c r="F4365" s="29"/>
      <c r="G4365" s="29"/>
      <c r="H4365" s="29"/>
      <c r="I4365" s="29"/>
      <c r="J4365" s="29"/>
      <c r="K4365" s="29"/>
      <c r="L4365" s="29"/>
      <c r="M4365" s="29"/>
      <c r="N4365" s="29"/>
      <c r="O4365" s="29"/>
      <c r="P4365" s="19"/>
      <c r="Q4365" s="19"/>
      <c r="R4365" s="11"/>
    </row>
    <row r="4366" s="1" customFormat="1" ht="36" spans="1:18">
      <c r="A4366" s="7"/>
      <c r="B4366" s="12"/>
      <c r="C4366" s="33"/>
      <c r="D4366" s="66" t="s">
        <v>576</v>
      </c>
      <c r="E4366" s="67" t="s">
        <v>754</v>
      </c>
      <c r="F4366" s="47" t="str">
        <f>IF(F4338&gt;ENTRY!$D$24,"",IFERROR(VLOOKUP(F4338,PASHEET!$A$4:$CJ$103,88,0),""))</f>
        <v/>
      </c>
      <c r="G4366" s="67" t="s">
        <v>755</v>
      </c>
      <c r="H4366" s="47" t="str">
        <f>IF(F4338&gt;ENTRY!$D$24,"",IFERROR(VLOOKUP(F4338,PASHEET!$A$4:$CJ$103,87,0),""))</f>
        <v/>
      </c>
      <c r="I4366" s="68" t="s">
        <v>756</v>
      </c>
      <c r="J4366" s="69" t="str">
        <f>IF(F4338&gt;ENTRY!$D$24,"",IFERROR(IF(F4338&gt;0,H4366/F4366*100),""))</f>
        <v/>
      </c>
      <c r="K4366" s="60" t="s">
        <v>757</v>
      </c>
      <c r="L4366" s="70" t="str">
        <f ca="1">IF(F4338&gt;ENTRY!$D$24,"",IFERROR(L4362/600*100,""))</f>
        <v/>
      </c>
      <c r="M4366" s="47" t="str">
        <f ca="1">IF(F4338&gt;ENTRY!$D$24,"",IFERROR(L4362&amp;" / "&amp;"600",""))</f>
        <v/>
      </c>
      <c r="N4366" s="29"/>
      <c r="O4366" s="29"/>
      <c r="P4366" s="19"/>
      <c r="Q4366" s="19"/>
      <c r="R4366" s="11"/>
    </row>
    <row r="4367" s="1" customFormat="1" ht="9.95" customHeight="1" spans="1:18">
      <c r="A4367" s="7"/>
      <c r="B4367" s="12"/>
      <c r="C4367" s="39"/>
      <c r="D4367" s="40"/>
      <c r="E4367" s="40"/>
      <c r="F4367" s="40"/>
      <c r="G4367" s="40"/>
      <c r="H4367" s="40"/>
      <c r="I4367" s="40"/>
      <c r="J4367" s="40"/>
      <c r="K4367" s="40"/>
      <c r="L4367" s="40"/>
      <c r="M4367" s="40"/>
      <c r="N4367" s="40"/>
      <c r="O4367" s="40"/>
      <c r="P4367" s="41"/>
      <c r="Q4367" s="19"/>
      <c r="R4367" s="11"/>
    </row>
    <row r="4368" s="1" customFormat="1" ht="9.95" customHeight="1" spans="1:18">
      <c r="A4368" s="7"/>
      <c r="B4368" s="12"/>
      <c r="C4368" s="71"/>
      <c r="D4368" s="71"/>
      <c r="E4368" s="71"/>
      <c r="F4368" s="29"/>
      <c r="G4368" s="71"/>
      <c r="H4368" s="71"/>
      <c r="I4368" s="71"/>
      <c r="J4368" s="71"/>
      <c r="K4368" s="71"/>
      <c r="L4368" s="71"/>
      <c r="M4368" s="71"/>
      <c r="N4368" s="71"/>
      <c r="O4368" s="71"/>
      <c r="P4368" s="71"/>
      <c r="Q4368" s="19"/>
      <c r="R4368" s="11"/>
    </row>
    <row r="4369" s="1" customFormat="1" ht="9.95" customHeight="1" spans="1:19">
      <c r="A4369" s="7"/>
      <c r="B4369" s="12"/>
      <c r="C4369" s="29"/>
      <c r="D4369" s="29"/>
      <c r="E4369" s="29"/>
      <c r="F4369" s="72"/>
      <c r="G4369" s="29"/>
      <c r="H4369" s="29"/>
      <c r="I4369" s="29"/>
      <c r="J4369" s="29"/>
      <c r="K4369" s="29"/>
      <c r="L4369" s="29"/>
      <c r="M4369" s="29"/>
      <c r="N4369" s="29"/>
      <c r="O4369" s="29"/>
      <c r="P4369" s="29"/>
      <c r="Q4369" s="19"/>
      <c r="R4369" s="11"/>
    </row>
    <row r="4370" s="1" customFormat="1" ht="9.95" customHeight="1" spans="1:19">
      <c r="A4370" s="7"/>
      <c r="B4370" s="12"/>
      <c r="C4370" s="30"/>
      <c r="D4370" s="31"/>
      <c r="E4370" s="31"/>
      <c r="F4370" s="31"/>
      <c r="G4370" s="31"/>
      <c r="H4370" s="31"/>
      <c r="I4370" s="31"/>
      <c r="J4370" s="31"/>
      <c r="K4370" s="31"/>
      <c r="L4370" s="31"/>
      <c r="M4370" s="31"/>
      <c r="N4370" s="31"/>
      <c r="O4370" s="31"/>
      <c r="P4370" s="32"/>
      <c r="Q4370" s="19"/>
      <c r="R4370" s="11"/>
    </row>
    <row r="4371" s="1" customFormat="1" ht="21.95" customHeight="1" spans="1:19">
      <c r="A4371" s="7"/>
      <c r="B4371" s="12"/>
      <c r="C4371" s="73" t="s">
        <v>7</v>
      </c>
      <c r="D4371" s="13"/>
      <c r="E4371" s="13"/>
      <c r="F4371" s="13"/>
      <c r="G4371" s="13"/>
      <c r="H4371" s="13"/>
      <c r="I4371" s="13"/>
      <c r="J4371" s="13"/>
      <c r="K4371" s="13"/>
      <c r="L4371" s="13"/>
      <c r="M4371" s="13"/>
      <c r="N4371" s="13"/>
      <c r="O4371" s="13"/>
      <c r="P4371" s="74"/>
      <c r="Q4371" s="19"/>
      <c r="R4371" s="11"/>
      <c r="S4371" s="2"/>
    </row>
    <row r="4372" s="1" customFormat="1" ht="21.95" customHeight="1" spans="1:19">
      <c r="A4372" s="7"/>
      <c r="B4372" s="12"/>
      <c r="C4372" s="33"/>
      <c r="D4372" s="29"/>
      <c r="E4372" s="29"/>
      <c r="F4372" s="29"/>
      <c r="G4372" s="29"/>
      <c r="H4372" s="29"/>
      <c r="I4372" s="29"/>
      <c r="J4372" s="29"/>
      <c r="K4372" s="29"/>
      <c r="L4372" s="29"/>
      <c r="M4372" s="29"/>
      <c r="N4372" s="29"/>
      <c r="O4372" s="29"/>
      <c r="P4372" s="19"/>
      <c r="Q4372" s="19"/>
      <c r="R4372" s="11"/>
    </row>
    <row r="4373" s="1" customFormat="1" ht="21.95" customHeight="1" spans="1:19">
      <c r="A4373" s="7"/>
      <c r="B4373" s="12"/>
      <c r="C4373" s="75" t="str">
        <f>"SESSION-"&amp;ENTRY!$D$11</f>
        <v>SESSION-2026-27</v>
      </c>
      <c r="D4373" s="15"/>
      <c r="E4373" s="15"/>
      <c r="F4373" s="15"/>
      <c r="G4373" s="15"/>
      <c r="H4373" s="15"/>
      <c r="I4373" s="15"/>
      <c r="J4373" s="15"/>
      <c r="K4373" s="15"/>
      <c r="L4373" s="15"/>
      <c r="M4373" s="15"/>
      <c r="N4373" s="15"/>
      <c r="O4373" s="15"/>
      <c r="P4373" s="76"/>
      <c r="Q4373" s="19"/>
      <c r="R4373" s="11"/>
    </row>
    <row r="4374" s="1" customFormat="1" ht="18" customHeight="1" spans="1:19">
      <c r="A4374" s="7"/>
      <c r="B4374" s="12"/>
      <c r="C4374" s="33"/>
      <c r="D4374" s="29"/>
      <c r="E4374" s="29"/>
      <c r="F4374" s="29"/>
      <c r="G4374" s="29"/>
      <c r="H4374" s="29"/>
      <c r="I4374" s="29"/>
      <c r="J4374" s="29"/>
      <c r="K4374" s="29"/>
      <c r="L4374" s="29"/>
      <c r="M4374" s="29"/>
      <c r="N4374" s="29"/>
      <c r="O4374" s="29"/>
      <c r="P4374" s="19"/>
      <c r="Q4374" s="19"/>
      <c r="R4374" s="11"/>
    </row>
    <row r="4375" s="1" customFormat="1" ht="21.95" customHeight="1" spans="1:19">
      <c r="A4375" s="7"/>
      <c r="B4375" s="12"/>
      <c r="C4375" s="33"/>
      <c r="D4375" s="77" t="s">
        <v>758</v>
      </c>
      <c r="E4375" s="77"/>
      <c r="F4375" s="78" t="str">
        <f>IFERROR(PROPER(VLOOKUP(F4338,STUDENT!$A$2:$BP$101,5,0)),"")</f>
        <v/>
      </c>
      <c r="G4375" s="78"/>
      <c r="H4375" s="78"/>
      <c r="I4375" s="78"/>
      <c r="J4375" s="78"/>
      <c r="K4375" s="78"/>
      <c r="L4375" s="78"/>
      <c r="M4375" s="78"/>
      <c r="N4375" s="79" t="s">
        <v>759</v>
      </c>
      <c r="O4375" s="79"/>
      <c r="P4375" s="19"/>
      <c r="Q4375" s="19"/>
      <c r="R4375" s="11"/>
    </row>
    <row r="4376" s="1" customFormat="1" ht="21.95" customHeight="1" spans="1:19">
      <c r="A4376" s="7"/>
      <c r="B4376" s="12"/>
      <c r="C4376" s="33"/>
      <c r="D4376" s="80" t="s">
        <v>760</v>
      </c>
      <c r="E4376" s="81" t="str">
        <f>IFERROR(PROPER(VLOOKUP(F4338,STUDENT!$A$2:$BP$101,9,0)),"")</f>
        <v/>
      </c>
      <c r="F4376" s="81"/>
      <c r="G4376" s="81"/>
      <c r="H4376" s="80" t="s">
        <v>761</v>
      </c>
      <c r="I4376" s="82" t="str">
        <f>IFERROR(PROPER(VLOOKUP(F4338,STUDENT!$A$2:$BP$101,8,0)),"")</f>
        <v/>
      </c>
      <c r="J4376" s="82"/>
      <c r="K4376" s="82"/>
      <c r="L4376" s="82"/>
      <c r="M4376" s="80" t="s">
        <v>762</v>
      </c>
      <c r="N4376" s="83" t="str">
        <f>IFERROR(VLOOKUP(F4338,STUDENT!$A$2:$BP$101,59,0),"")</f>
        <v/>
      </c>
      <c r="O4376" s="83"/>
      <c r="P4376" s="19"/>
      <c r="Q4376" s="19"/>
      <c r="R4376" s="11"/>
    </row>
    <row r="4377" s="1" customFormat="1" ht="21.95" customHeight="1" spans="1:19">
      <c r="A4377" s="7"/>
      <c r="B4377" s="12"/>
      <c r="C4377" s="33"/>
      <c r="D4377" s="77" t="str">
        <f>"has    completed     his  /  her     primary     level     education    in    the    year    "&amp;RIGHT(ENTRY!$D4343,4)&amp;"    from    ( School    Name )"</f>
        <v>has    completed     his  /  her     primary     level     education    in    the    year        from    ( School    Name )</v>
      </c>
      <c r="E4377" s="77"/>
      <c r="F4377" s="77"/>
      <c r="G4377" s="77"/>
      <c r="H4377" s="77"/>
      <c r="I4377" s="77"/>
      <c r="J4377" s="77"/>
      <c r="K4377" s="77"/>
      <c r="L4377" s="77"/>
      <c r="M4377" s="77"/>
      <c r="N4377" s="77"/>
      <c r="O4377" s="77"/>
      <c r="P4377" s="19"/>
      <c r="Q4377" s="19"/>
      <c r="R4377" s="11"/>
    </row>
    <row r="4378" s="1" customFormat="1" ht="21.95" customHeight="1" spans="1:19">
      <c r="A4378" s="7"/>
      <c r="B4378" s="12"/>
      <c r="C4378" s="33"/>
      <c r="D4378" s="81" t="str">
        <f>IF(F4338&gt;0,ENTRY!$D$6,"")</f>
        <v>MCP NITHARI NO 1 BOYS</v>
      </c>
      <c r="E4378" s="81"/>
      <c r="F4378" s="81"/>
      <c r="G4378" s="81"/>
      <c r="H4378" s="81"/>
      <c r="I4378" s="81"/>
      <c r="J4378" s="81"/>
      <c r="K4378" s="81"/>
      <c r="L4378" s="81"/>
      <c r="M4378" s="80" t="s">
        <v>763</v>
      </c>
      <c r="N4378" s="84">
        <f>IF(F4338&gt;0,ENTRY!$D$7,"")</f>
        <v>0</v>
      </c>
      <c r="O4378" s="84"/>
      <c r="P4378" s="85" t="s">
        <v>727</v>
      </c>
      <c r="Q4378" s="19"/>
      <c r="R4378" s="11"/>
    </row>
    <row r="4379" s="1" customFormat="1" ht="21.95" customHeight="1" spans="1:19">
      <c r="A4379" s="7"/>
      <c r="B4379" s="12"/>
      <c r="C4379" s="33"/>
      <c r="D4379" s="29"/>
      <c r="E4379" s="29"/>
      <c r="F4379" s="29"/>
      <c r="G4379" s="29"/>
      <c r="H4379" s="29"/>
      <c r="I4379" s="29"/>
      <c r="J4379" s="29"/>
      <c r="K4379" s="29"/>
      <c r="L4379" s="29"/>
      <c r="M4379" s="29"/>
      <c r="N4379" s="29"/>
      <c r="O4379" s="29"/>
      <c r="P4379" s="19"/>
      <c r="Q4379" s="19"/>
      <c r="R4379" s="11"/>
    </row>
    <row r="4380" s="1" customFormat="1" ht="21.95" customHeight="1" spans="1:19">
      <c r="A4380" s="7"/>
      <c r="B4380" s="12"/>
      <c r="C4380" s="33"/>
      <c r="D4380" s="29"/>
      <c r="E4380" s="29"/>
      <c r="F4380" s="29"/>
      <c r="G4380" s="29"/>
      <c r="H4380" s="29"/>
      <c r="I4380" s="29"/>
      <c r="J4380" s="29"/>
      <c r="K4380" s="29"/>
      <c r="L4380" s="29"/>
      <c r="M4380" s="29"/>
      <c r="N4380" s="29"/>
      <c r="O4380" s="29"/>
      <c r="P4380" s="19"/>
      <c r="Q4380" s="19"/>
      <c r="R4380" s="11"/>
    </row>
    <row r="4381" s="1" customFormat="1" ht="21.95" customHeight="1" spans="1:19">
      <c r="A4381" s="7"/>
      <c r="B4381" s="12"/>
      <c r="C4381" s="33"/>
      <c r="D4381" s="29"/>
      <c r="E4381" s="29"/>
      <c r="F4381" s="29"/>
      <c r="G4381" s="29"/>
      <c r="H4381" s="29"/>
      <c r="I4381" s="29"/>
      <c r="J4381" s="29"/>
      <c r="K4381" s="29"/>
      <c r="L4381" s="29"/>
      <c r="M4381" s="29"/>
      <c r="N4381" s="29"/>
      <c r="O4381" s="29"/>
      <c r="P4381" s="19"/>
      <c r="Q4381" s="19"/>
      <c r="R4381" s="11"/>
    </row>
    <row r="4382" s="1" customFormat="1" ht="21.95" customHeight="1" spans="1:19">
      <c r="A4382" s="7"/>
      <c r="B4382" s="12"/>
      <c r="C4382" s="33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19"/>
      <c r="Q4382" s="19"/>
      <c r="R4382" s="11"/>
    </row>
    <row r="4383" s="1" customFormat="1" ht="21.95" customHeight="1" spans="1:19">
      <c r="A4383" s="7"/>
      <c r="B4383" s="12"/>
      <c r="C4383" s="33"/>
      <c r="D4383" s="29"/>
      <c r="E4383" s="29"/>
      <c r="F4383" s="29"/>
      <c r="G4383" s="29"/>
      <c r="H4383" s="29"/>
      <c r="I4383" s="29"/>
      <c r="J4383" s="29"/>
      <c r="K4383" s="29"/>
      <c r="L4383" s="29"/>
      <c r="M4383" s="29"/>
      <c r="N4383" s="29"/>
      <c r="O4383" s="29"/>
      <c r="P4383" s="19"/>
      <c r="Q4383" s="19"/>
      <c r="R4383" s="11"/>
    </row>
    <row r="4384" s="1" customFormat="1" ht="21.95" customHeight="1" spans="1:19">
      <c r="A4384" s="7"/>
      <c r="B4384" s="12"/>
      <c r="C4384" s="33"/>
      <c r="D4384" s="80" t="s">
        <v>728</v>
      </c>
      <c r="E4384" s="86">
        <f>ENTRY!$D$27</f>
        <v>46102</v>
      </c>
      <c r="F4384" s="86"/>
      <c r="G4384" s="29"/>
      <c r="H4384" s="29"/>
      <c r="I4384" s="29"/>
      <c r="J4384" s="29"/>
      <c r="K4384" s="29"/>
      <c r="L4384" s="29"/>
      <c r="M4384" s="87" t="s">
        <v>730</v>
      </c>
      <c r="N4384" s="87"/>
      <c r="O4384" s="87"/>
      <c r="P4384" s="19"/>
      <c r="Q4384" s="19"/>
      <c r="R4384" s="11"/>
    </row>
    <row r="4385" s="1" customFormat="1" ht="21.95" customHeight="1" spans="1:18">
      <c r="A4385" s="7"/>
      <c r="B4385" s="12"/>
      <c r="C4385" s="33"/>
      <c r="D4385" s="80" t="s">
        <v>731</v>
      </c>
      <c r="E4385" s="88" t="str">
        <f>PROPER(ENTRY!$D$28)</f>
        <v>New Delhi</v>
      </c>
      <c r="F4385" s="88"/>
      <c r="G4385" s="29"/>
      <c r="H4385" s="29"/>
      <c r="I4385" s="29"/>
      <c r="J4385" s="29"/>
      <c r="K4385" s="29"/>
      <c r="L4385" s="29"/>
      <c r="M4385" s="89" t="s">
        <v>732</v>
      </c>
      <c r="N4385" s="89"/>
      <c r="O4385" s="89"/>
      <c r="P4385" s="19"/>
      <c r="Q4385" s="19"/>
      <c r="R4385" s="11"/>
    </row>
    <row r="4386" s="1" customFormat="1" ht="21.95" customHeight="1" spans="1:18">
      <c r="A4386" s="7"/>
      <c r="B4386" s="12"/>
      <c r="C4386" s="90"/>
      <c r="D4386" s="91"/>
      <c r="E4386" s="91"/>
      <c r="F4386" s="91"/>
      <c r="G4386" s="91"/>
      <c r="H4386" s="91"/>
      <c r="I4386" s="91"/>
      <c r="J4386" s="91"/>
      <c r="K4386" s="91"/>
      <c r="L4386" s="91"/>
      <c r="M4386" s="91"/>
      <c r="N4386" s="91"/>
      <c r="O4386" s="91"/>
      <c r="P4386" s="92"/>
      <c r="Q4386" s="14"/>
      <c r="R4386" s="11"/>
    </row>
    <row r="4387" s="1" customFormat="1" ht="5.1" customHeight="1" spans="1:18">
      <c r="A4387" s="7"/>
      <c r="B4387" s="90"/>
      <c r="C4387" s="91"/>
      <c r="D4387" s="91"/>
      <c r="E4387" s="91"/>
      <c r="F4387" s="91"/>
      <c r="G4387" s="91"/>
      <c r="H4387" s="91"/>
      <c r="I4387" s="91"/>
      <c r="J4387" s="91"/>
      <c r="K4387" s="91"/>
      <c r="L4387" s="91"/>
      <c r="M4387" s="91"/>
      <c r="N4387" s="91"/>
      <c r="O4387" s="91"/>
      <c r="P4387" s="91"/>
      <c r="Q4387" s="92"/>
      <c r="R4387" s="11"/>
    </row>
    <row r="4388" s="1" customFormat="1" ht="5.1" customHeight="1" spans="1:18">
      <c r="A4388" s="93"/>
      <c r="B4388" s="94"/>
      <c r="C4388" s="94"/>
      <c r="D4388" s="94"/>
      <c r="E4388" s="94"/>
      <c r="F4388" s="94"/>
      <c r="G4388" s="94"/>
      <c r="H4388" s="94"/>
      <c r="I4388" s="94"/>
      <c r="J4388" s="94"/>
      <c r="K4388" s="94"/>
      <c r="L4388" s="94"/>
      <c r="M4388" s="94"/>
      <c r="N4388" s="94"/>
      <c r="O4388" s="94"/>
      <c r="P4388" s="94"/>
      <c r="Q4388" s="94"/>
      <c r="R4388" s="95"/>
    </row>
    <row r="4389" s="2" customFormat="1" ht="9.95" customHeight="1"/>
    <row r="4390" s="1" customFormat="1" ht="5.1" customHeight="1" spans="1:18">
      <c r="A4390" s="4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  <c r="O4390" s="5"/>
      <c r="P4390" s="5"/>
      <c r="Q4390" s="5"/>
      <c r="R4390" s="6"/>
    </row>
    <row r="4391" s="1" customFormat="1" ht="15" customHeight="1" spans="1:18">
      <c r="A4391" s="7"/>
      <c r="B4391" s="8"/>
      <c r="C4391" s="9"/>
      <c r="D4391" s="9"/>
      <c r="E4391" s="9"/>
      <c r="F4391" s="9"/>
      <c r="G4391" s="9"/>
      <c r="H4391" s="9"/>
      <c r="I4391" s="9"/>
      <c r="J4391" s="9"/>
      <c r="K4391" s="9"/>
      <c r="L4391" s="9"/>
      <c r="M4391" s="9"/>
      <c r="N4391" s="9"/>
      <c r="O4391" s="9"/>
      <c r="P4391" s="9"/>
      <c r="Q4391" s="10"/>
      <c r="R4391" s="11"/>
    </row>
    <row r="4392" s="1" customFormat="1" ht="21.95" customHeight="1" spans="1:18">
      <c r="A4392" s="7"/>
      <c r="B4392" s="12"/>
      <c r="C4392" s="13" t="s">
        <v>7</v>
      </c>
      <c r="D4392" s="13"/>
      <c r="E4392" s="13"/>
      <c r="F4392" s="13"/>
      <c r="G4392" s="13"/>
      <c r="H4392" s="13"/>
      <c r="I4392" s="13"/>
      <c r="J4392" s="13"/>
      <c r="K4392" s="13"/>
      <c r="L4392" s="13"/>
      <c r="M4392" s="13"/>
      <c r="N4392" s="13"/>
      <c r="O4392" s="13"/>
      <c r="P4392" s="13"/>
      <c r="Q4392" s="14"/>
      <c r="R4392" s="11"/>
    </row>
    <row r="4393" s="1" customFormat="1" ht="21.95" customHeight="1" spans="1:18">
      <c r="A4393" s="7"/>
      <c r="B4393" s="1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14"/>
      <c r="R4393" s="11"/>
    </row>
    <row r="4394" s="1" customFormat="1" ht="21.95" customHeight="1" spans="1:18">
      <c r="A4394" s="7"/>
      <c r="B4394" s="12"/>
      <c r="C4394" s="15" t="str">
        <f>"SESSION-"&amp;ENTRY!$D$11</f>
        <v>SESSION-2026-27</v>
      </c>
      <c r="D4394" s="15"/>
      <c r="E4394" s="15"/>
      <c r="F4394" s="15"/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  <c r="Q4394" s="14"/>
      <c r="R4394" s="11"/>
    </row>
    <row r="4395" s="1" customFormat="1" ht="21.95" customHeight="1" spans="1:18">
      <c r="A4395" s="7"/>
      <c r="B4395" s="12"/>
      <c r="C4395" s="2"/>
      <c r="D4395" s="2"/>
      <c r="E4395" s="2"/>
      <c r="F4395" s="16">
        <f>F4338+1</f>
        <v>78</v>
      </c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14"/>
      <c r="R4395" s="11"/>
    </row>
    <row r="4396" s="1" customFormat="1" ht="21.95" customHeight="1" spans="1:18">
      <c r="A4396" s="7"/>
      <c r="B4396" s="12"/>
      <c r="C4396" s="17" t="s">
        <v>392</v>
      </c>
      <c r="D4396" s="17"/>
      <c r="E4396" s="17"/>
      <c r="F4396" s="18" t="str">
        <f>IF(F4395&gt;0,ENTRY!$D$6,"")</f>
        <v>MCP NITHARI NO 1 BOYS</v>
      </c>
      <c r="G4396" s="18"/>
      <c r="H4396" s="18"/>
      <c r="I4396" s="18"/>
      <c r="J4396" s="18"/>
      <c r="K4396" s="18"/>
      <c r="L4396" s="18"/>
      <c r="M4396" s="18"/>
      <c r="N4396" s="18"/>
      <c r="O4396" s="18"/>
      <c r="P4396" s="18"/>
      <c r="Q4396" s="19"/>
      <c r="R4396" s="11"/>
    </row>
    <row r="4397" s="1" customFormat="1" ht="21.95" customHeight="1" spans="1:18">
      <c r="A4397" s="7"/>
      <c r="B4397" s="12"/>
      <c r="C4397" s="17" t="s">
        <v>393</v>
      </c>
      <c r="D4397" s="17"/>
      <c r="E4397" s="17"/>
      <c r="F4397" s="18">
        <f>IF(F4395&gt;0,ENTRY!$D$7,"")</f>
        <v>0</v>
      </c>
      <c r="G4397" s="18"/>
      <c r="H4397" s="20" t="s">
        <v>702</v>
      </c>
      <c r="I4397" s="20"/>
      <c r="J4397" s="21">
        <f>IF(F4395&gt;0,ENTRY!$D$10,"")</f>
        <v>40</v>
      </c>
      <c r="K4397" s="20" t="s">
        <v>703</v>
      </c>
      <c r="L4397" s="22" t="str">
        <f>IF(F4395&gt;0,ENTRY!$D$5,"")</f>
        <v>ROHINI ZONE</v>
      </c>
      <c r="M4397" s="22"/>
      <c r="N4397" s="22"/>
      <c r="O4397" s="22"/>
      <c r="P4397" s="22"/>
      <c r="Q4397" s="19"/>
      <c r="R4397" s="11"/>
    </row>
    <row r="4398" s="1" customFormat="1" ht="21.95" customHeight="1" spans="1:18">
      <c r="A4398" s="7"/>
      <c r="B4398" s="12"/>
      <c r="C4398" s="17" t="s">
        <v>706</v>
      </c>
      <c r="D4398" s="17"/>
      <c r="E4398" s="17"/>
      <c r="F4398" s="23">
        <f>IFERROR(VLOOKUP(F4395,STUDENT!$A$2:$BP$101,5,0),"")</f>
        <v>0</v>
      </c>
      <c r="G4398" s="23"/>
      <c r="H4398" s="23"/>
      <c r="I4398" s="23"/>
      <c r="J4398" s="23"/>
      <c r="K4398" s="23"/>
      <c r="L4398" s="20" t="s">
        <v>707</v>
      </c>
      <c r="M4398" s="20"/>
      <c r="N4398" s="24" t="str">
        <f>IF(F4395&gt;0,ENTRY!$D$20&amp;"-"&amp;ENTRY!$D$21,"")</f>
        <v>III-A</v>
      </c>
      <c r="O4398" s="24"/>
      <c r="P4398" s="24"/>
      <c r="Q4398" s="19"/>
      <c r="R4398" s="11"/>
    </row>
    <row r="4399" s="1" customFormat="1" ht="21.95" customHeight="1" spans="1:18">
      <c r="A4399" s="7"/>
      <c r="B4399" s="12"/>
      <c r="C4399" s="17" t="s">
        <v>708</v>
      </c>
      <c r="D4399" s="17"/>
      <c r="E4399" s="17"/>
      <c r="F4399" s="25">
        <f>IFERROR(VLOOKUP(F4395,STUDENT!$A$2:$BP$101,6,0),"")</f>
        <v>0</v>
      </c>
      <c r="G4399" s="25"/>
      <c r="H4399" s="26" t="s">
        <v>709</v>
      </c>
      <c r="I4399" s="27" t="str">
        <f>IFERROR(VLOOKUP(F4395,STUDENT!$A$2:$BP$101,59,0),"")</f>
        <v/>
      </c>
      <c r="J4399" s="27"/>
      <c r="K4399" s="20" t="s">
        <v>710</v>
      </c>
      <c r="L4399" s="20"/>
      <c r="M4399" s="28">
        <f>IFERROR(VLOOKUP(F4395,STUDENT!$A$2:$BP$101,20,0),"")</f>
        <v>0</v>
      </c>
      <c r="N4399" s="28"/>
      <c r="O4399" s="28"/>
      <c r="P4399" s="28"/>
      <c r="Q4399" s="19"/>
      <c r="R4399" s="11"/>
    </row>
    <row r="4400" s="1" customFormat="1" ht="21.95" customHeight="1" spans="1:18">
      <c r="A4400" s="7"/>
      <c r="B4400" s="12"/>
      <c r="C4400" s="17" t="s">
        <v>711</v>
      </c>
      <c r="D4400" s="17"/>
      <c r="E4400" s="17"/>
      <c r="F4400" s="23">
        <f>IFERROR(VLOOKUP(F4395,STUDENT!$A$2:$BP$101,9,0),"")</f>
        <v>0</v>
      </c>
      <c r="G4400" s="23"/>
      <c r="H4400" s="23"/>
      <c r="I4400" s="23"/>
      <c r="J4400" s="17" t="s">
        <v>620</v>
      </c>
      <c r="K4400" s="17"/>
      <c r="L4400" s="23">
        <f>IFERROR(VLOOKUP(F4395,STUDENT!$A$2:$BP$101,8,0),"")</f>
        <v>0</v>
      </c>
      <c r="M4400" s="23"/>
      <c r="N4400" s="23"/>
      <c r="O4400" s="23"/>
      <c r="P4400" s="23"/>
      <c r="Q4400" s="19"/>
      <c r="R4400" s="11"/>
    </row>
    <row r="4401" s="1" customFormat="1" ht="21.95" customHeight="1" spans="1:18">
      <c r="A4401" s="7"/>
      <c r="B4401" s="12"/>
      <c r="C4401" s="17" t="s">
        <v>712</v>
      </c>
      <c r="D4401" s="17"/>
      <c r="E4401" s="17"/>
      <c r="F4401" s="23">
        <f>IFERROR(VLOOKUP(F4395,STUDENT!$A$2:$BP$101,22,0),"")</f>
        <v>0</v>
      </c>
      <c r="G4401" s="23"/>
      <c r="H4401" s="23"/>
      <c r="I4401" s="23"/>
      <c r="J4401" s="23"/>
      <c r="K4401" s="23"/>
      <c r="L4401" s="23"/>
      <c r="M4401" s="23"/>
      <c r="N4401" s="23"/>
      <c r="O4401" s="23"/>
      <c r="P4401" s="23"/>
      <c r="Q4401" s="19"/>
      <c r="R4401" s="11"/>
    </row>
    <row r="4402" s="1" customFormat="1" ht="9.95" customHeight="1" spans="1:18">
      <c r="A4402" s="7"/>
      <c r="B4402" s="12"/>
      <c r="C4402" s="29"/>
      <c r="D4402" s="29"/>
      <c r="E4402" s="29"/>
      <c r="F4402" s="29"/>
      <c r="G4402" s="29"/>
      <c r="H4402" s="29"/>
      <c r="I4402" s="29"/>
      <c r="J4402" s="29"/>
      <c r="K4402" s="29"/>
      <c r="L4402" s="29"/>
      <c r="M4402" s="29"/>
      <c r="N4402" s="29"/>
      <c r="O4402" s="29"/>
      <c r="P4402" s="29"/>
      <c r="Q4402" s="19"/>
      <c r="R4402" s="11"/>
    </row>
    <row r="4403" s="1" customFormat="1" ht="9.95" customHeight="1" spans="1:18">
      <c r="A4403" s="7"/>
      <c r="B4403" s="12"/>
      <c r="C4403" s="30"/>
      <c r="D4403" s="31"/>
      <c r="E4403" s="31"/>
      <c r="F4403" s="31"/>
      <c r="G4403" s="31"/>
      <c r="H4403" s="31"/>
      <c r="I4403" s="31"/>
      <c r="J4403" s="31"/>
      <c r="K4403" s="31"/>
      <c r="L4403" s="31"/>
      <c r="M4403" s="31"/>
      <c r="N4403" s="31"/>
      <c r="O4403" s="31"/>
      <c r="P4403" s="32"/>
      <c r="Q4403" s="19"/>
      <c r="R4403" s="11"/>
    </row>
    <row r="4404" s="1" customFormat="1" ht="21.95" customHeight="1" spans="1:18">
      <c r="A4404" s="7"/>
      <c r="B4404" s="12"/>
      <c r="C4404" s="33"/>
      <c r="D4404" s="34" t="s">
        <v>713</v>
      </c>
      <c r="E4404" s="20" t="s">
        <v>714</v>
      </c>
      <c r="F4404" s="35" t="str">
        <f>"Level - "&amp;IFERROR(VLOOKUP(F4395,FLN!$A$4:$K$103,9,0),"")</f>
        <v>Level - </v>
      </c>
      <c r="G4404" s="36"/>
      <c r="H4404" s="37" t="s">
        <v>715</v>
      </c>
      <c r="I4404" s="20"/>
      <c r="J4404" s="35" t="str">
        <f>"Level - "&amp;IFERROR(VLOOKUP(F4395,FLN!$A$4:$K$103,11,0),"")</f>
        <v>Level - </v>
      </c>
      <c r="K4404" s="36"/>
      <c r="L4404" s="37" t="s">
        <v>408</v>
      </c>
      <c r="M4404" s="20"/>
      <c r="N4404" s="35" t="str">
        <f>"Level - "&amp;IFERROR(VLOOKUP(F4395,FLN!$A$4:$K$103,10,0),"")</f>
        <v>Level - </v>
      </c>
      <c r="O4404" s="36"/>
      <c r="P4404" s="19"/>
      <c r="Q4404" s="19"/>
      <c r="R4404" s="11"/>
    </row>
    <row r="4405" s="1" customFormat="1" ht="21.95" customHeight="1" spans="1:18">
      <c r="A4405" s="7"/>
      <c r="B4405" s="12"/>
      <c r="C4405" s="33"/>
      <c r="D4405" s="38"/>
      <c r="E4405" s="20" t="s">
        <v>716</v>
      </c>
      <c r="F4405" s="18" t="str">
        <f ca="1">IF(L4419&gt;197,"PERFORMED WELL","")</f>
        <v/>
      </c>
      <c r="G4405" s="18"/>
      <c r="H4405" s="18"/>
      <c r="I4405" s="18"/>
      <c r="J4405" s="18"/>
      <c r="K4405" s="18"/>
      <c r="L4405" s="18"/>
      <c r="M4405" s="18"/>
      <c r="N4405" s="18"/>
      <c r="O4405" s="18"/>
      <c r="P4405" s="19"/>
      <c r="Q4405" s="19"/>
      <c r="R4405" s="11"/>
    </row>
    <row r="4406" s="1" customFormat="1" ht="9.95" customHeight="1" spans="1:18">
      <c r="A4406" s="7"/>
      <c r="B4406" s="12"/>
      <c r="C4406" s="39"/>
      <c r="D4406" s="40"/>
      <c r="E4406" s="40"/>
      <c r="F4406" s="40"/>
      <c r="G4406" s="40"/>
      <c r="H4406" s="40"/>
      <c r="I4406" s="40"/>
      <c r="J4406" s="40"/>
      <c r="K4406" s="40"/>
      <c r="L4406" s="40"/>
      <c r="M4406" s="40"/>
      <c r="N4406" s="40"/>
      <c r="O4406" s="40"/>
      <c r="P4406" s="41"/>
      <c r="Q4406" s="19"/>
      <c r="R4406" s="11"/>
    </row>
    <row r="4407" s="1" customFormat="1" ht="9.95" customHeight="1" spans="1:18">
      <c r="A4407" s="7"/>
      <c r="B4407" s="12"/>
      <c r="C4407" s="29"/>
      <c r="D4407" s="29"/>
      <c r="E4407" s="29"/>
      <c r="F4407" s="29"/>
      <c r="G4407" s="29"/>
      <c r="H4407" s="29"/>
      <c r="I4407" s="29"/>
      <c r="J4407" s="29"/>
      <c r="K4407" s="29"/>
      <c r="L4407" s="29"/>
      <c r="M4407" s="29"/>
      <c r="N4407" s="29"/>
      <c r="O4407" s="29"/>
      <c r="P4407" s="29"/>
      <c r="Q4407" s="19"/>
      <c r="R4407" s="11"/>
    </row>
    <row r="4408" s="1" customFormat="1" ht="9.95" customHeight="1" spans="1:18">
      <c r="A4408" s="7"/>
      <c r="B4408" s="12"/>
      <c r="C4408" s="30"/>
      <c r="D4408" s="31"/>
      <c r="E4408" s="31"/>
      <c r="F4408" s="31"/>
      <c r="G4408" s="31"/>
      <c r="H4408" s="31"/>
      <c r="I4408" s="31"/>
      <c r="J4408" s="31"/>
      <c r="K4408" s="31"/>
      <c r="L4408" s="31"/>
      <c r="M4408" s="31"/>
      <c r="N4408" s="31"/>
      <c r="O4408" s="31"/>
      <c r="P4408" s="32"/>
      <c r="Q4408" s="19"/>
      <c r="R4408" s="11"/>
    </row>
    <row r="4409" s="1" customFormat="1" ht="21.95" customHeight="1" spans="1:18">
      <c r="A4409" s="7"/>
      <c r="B4409" s="12"/>
      <c r="C4409" s="33"/>
      <c r="D4409" s="35"/>
      <c r="E4409" s="24"/>
      <c r="F4409" s="42" t="s">
        <v>717</v>
      </c>
      <c r="G4409" s="42"/>
      <c r="H4409" s="42"/>
      <c r="I4409" s="42"/>
      <c r="J4409" s="42"/>
      <c r="K4409" s="42"/>
      <c r="L4409" s="43"/>
      <c r="M4409" s="44"/>
      <c r="N4409" s="29"/>
      <c r="O4409" s="29"/>
      <c r="P4409" s="19"/>
      <c r="Q4409" s="19"/>
      <c r="R4409" s="11"/>
    </row>
    <row r="4410" s="1" customFormat="1" ht="21.95" customHeight="1" spans="1:18">
      <c r="A4410" s="7"/>
      <c r="B4410" s="12"/>
      <c r="C4410" s="33"/>
      <c r="D4410" s="45"/>
      <c r="E4410" s="46"/>
      <c r="F4410" s="47" t="s">
        <v>541</v>
      </c>
      <c r="G4410" s="47" t="s">
        <v>542</v>
      </c>
      <c r="H4410" s="47" t="s">
        <v>543</v>
      </c>
      <c r="I4410" s="47" t="s">
        <v>544</v>
      </c>
      <c r="J4410" s="47" t="s">
        <v>561</v>
      </c>
      <c r="K4410" s="48" t="s">
        <v>750</v>
      </c>
      <c r="L4410" s="47" t="s">
        <v>382</v>
      </c>
      <c r="M4410" s="49" t="s">
        <v>546</v>
      </c>
      <c r="N4410" s="29"/>
      <c r="O4410" s="29"/>
      <c r="P4410" s="19"/>
      <c r="Q4410" s="19"/>
      <c r="R4410" s="11"/>
    </row>
    <row r="4411" s="1" customFormat="1" ht="21.95" customHeight="1" spans="1:18">
      <c r="A4411" s="7"/>
      <c r="B4411" s="12"/>
      <c r="C4411" s="33"/>
      <c r="D4411" s="45" t="s">
        <v>652</v>
      </c>
      <c r="E4411" s="46"/>
      <c r="F4411" s="50">
        <v>10</v>
      </c>
      <c r="G4411" s="50">
        <v>10</v>
      </c>
      <c r="H4411" s="50">
        <v>10</v>
      </c>
      <c r="I4411" s="50">
        <v>10</v>
      </c>
      <c r="J4411" s="50">
        <v>60</v>
      </c>
      <c r="K4411" s="51"/>
      <c r="L4411" s="50">
        <v>100</v>
      </c>
      <c r="M4411" s="49"/>
      <c r="N4411" s="29"/>
      <c r="O4411" s="29"/>
      <c r="P4411" s="19"/>
      <c r="Q4411" s="19"/>
      <c r="R4411" s="11"/>
    </row>
    <row r="4412" s="1" customFormat="1" ht="21.95" customHeight="1" spans="1:18">
      <c r="A4412" s="7"/>
      <c r="B4412" s="12"/>
      <c r="C4412" s="33"/>
      <c r="D4412" s="52" t="s">
        <v>751</v>
      </c>
      <c r="E4412" s="53"/>
      <c r="F4412" s="54" t="str">
        <f ca="1">IFERROR(VLOOKUP(F4395,'RR-3.1-5TH'!$A$12:'RR-3.1-5TH'!$BN$111,9,0),"")</f>
        <v/>
      </c>
      <c r="G4412" s="54" t="str">
        <f ca="1">IFERROR(VLOOKUP(F4395,'RR-3.1-5TH'!$A$12:'RR-3.1-5TH'!$BN$111,10,0),"")</f>
        <v/>
      </c>
      <c r="H4412" s="54" t="str">
        <f ca="1">IFERROR(VLOOKUP(F4395,'RR-3.1-5TH'!$A$12:'RR-3.1-5TH'!$BN$111,11,0),"")</f>
        <v/>
      </c>
      <c r="I4412" s="54" t="str">
        <f ca="1">IFERROR(VLOOKUP(F4395,'RR-3.1-5TH'!$A$12:'RR-3.1-5TH'!$BN$111,12,0),"")</f>
        <v/>
      </c>
      <c r="J4412" s="54" t="str">
        <f ca="1">IFERROR(VLOOKUP(F4395,'RR-3.1-5TH'!$A$12:'RR-3.1-5TH'!$BN$111,13,0),"")</f>
        <v/>
      </c>
      <c r="K4412" s="54" t="str">
        <f ca="1">IFERROR(VLOOKUP(F4395,'RR-3.1-5TH'!$A$12:'RR-3.1-5TH'!$BN$111,14,0),"")</f>
        <v/>
      </c>
      <c r="L4412" s="55">
        <f ca="1" t="shared" ref="L4412:L4417" si="231">SUM(F4412,G4412,H4412,I4412,J4412,K4412)</f>
        <v>0</v>
      </c>
      <c r="M4412" s="56" t="str">
        <f ca="1">IF(F4395&gt;ENTRY!$D$24,"",IF(L4412=0,"Ab",IF(L4412&gt;80,"A",IF(L4412&gt;60,"B",IF(L4412&gt;44,"C",IF(L4412&gt;=33,"D",IF(L4412&lt;=32,"E","")))))))</f>
        <v/>
      </c>
      <c r="N4412" s="57" t="s">
        <v>729</v>
      </c>
      <c r="O4412" s="58"/>
      <c r="P4412" s="59"/>
      <c r="Q4412" s="19"/>
      <c r="R4412" s="11"/>
    </row>
    <row r="4413" s="1" customFormat="1" ht="21.95" customHeight="1" spans="1:18">
      <c r="A4413" s="7"/>
      <c r="B4413" s="12"/>
      <c r="C4413" s="33"/>
      <c r="D4413" s="52" t="s">
        <v>513</v>
      </c>
      <c r="E4413" s="53"/>
      <c r="F4413" s="54" t="str">
        <f ca="1">IFERROR(VLOOKUP(F4395,'RR-3.1-5TH'!$A$12:'RR-3.1-5TH'!$BN$111,17,0),"")</f>
        <v/>
      </c>
      <c r="G4413" s="54" t="str">
        <f ca="1">IFERROR(VLOOKUP(F4395,'RR-3.1-5TH'!$A$12:'RR-3.1-5TH'!$BN$111,18,0),"")</f>
        <v/>
      </c>
      <c r="H4413" s="54" t="str">
        <f ca="1">IFERROR(VLOOKUP(F4395,'RR-3.1-5TH'!$A$12:'RR-3.1-5TH'!$BN$111,19,0),"")</f>
        <v/>
      </c>
      <c r="I4413" s="54" t="str">
        <f ca="1">IFERROR(VLOOKUP(F4395,'RR-3.1-5TH'!$A$12:'RR-3.1-5TH'!$BN$111,20,0),"")</f>
        <v/>
      </c>
      <c r="J4413" s="54" t="str">
        <f ca="1">IFERROR(VLOOKUP(F4395,'RR-3.1-5TH'!$A$12:'RR-3.1-5TH'!$BN$111,21,0),"")</f>
        <v/>
      </c>
      <c r="K4413" s="54" t="str">
        <f ca="1">IFERROR(VLOOKUP(F4395,'RR-3.1-5TH'!$A$12:'RR-3.1-5TH'!$BN$111,22,0),"")</f>
        <v/>
      </c>
      <c r="L4413" s="55">
        <f ca="1" t="shared" si="231"/>
        <v>0</v>
      </c>
      <c r="M4413" s="56" t="str">
        <f ca="1">IF(F4395&gt;ENTRY!$D$24,"",IF(L4413=0,"Ab",IF(L4413&gt;80,"A",IF(L4413&gt;60,"B",IF(L4413&gt;44,"C",IF(L4413&gt;=33,"D",IF(L4413&lt;=32,"E","")))))))</f>
        <v/>
      </c>
      <c r="N4413" s="58"/>
      <c r="O4413" s="58"/>
      <c r="P4413" s="59"/>
      <c r="Q4413" s="19"/>
      <c r="R4413" s="11"/>
    </row>
    <row r="4414" s="1" customFormat="1" ht="21.95" customHeight="1" spans="1:18">
      <c r="A4414" s="7"/>
      <c r="B4414" s="12"/>
      <c r="C4414" s="33"/>
      <c r="D4414" s="52" t="s">
        <v>718</v>
      </c>
      <c r="E4414" s="53"/>
      <c r="F4414" s="54" t="str">
        <f ca="1">IFERROR(VLOOKUP(F4395,'RR-3.1-5TH'!$A$12:'RR-3.1-5TH'!$BN$111,25,0),"")</f>
        <v/>
      </c>
      <c r="G4414" s="54" t="str">
        <f ca="1">IFERROR(VLOOKUP(F4395,'RR-3.1-5TH'!$A$12:'RR-3.1-5TH'!$BN$111,26,0),"")</f>
        <v/>
      </c>
      <c r="H4414" s="54" t="str">
        <f ca="1">IFERROR(VLOOKUP(F4395,'RR-3.1-5TH'!$A$12:'RR-3.1-5TH'!$BN$111,27,0),"")</f>
        <v/>
      </c>
      <c r="I4414" s="54" t="str">
        <f ca="1">IFERROR(VLOOKUP(F4395,'RR-3.1-5TH'!$A$12:'RR-3.1-5TH'!$BN$111,28,0),"")</f>
        <v/>
      </c>
      <c r="J4414" s="54" t="str">
        <f ca="1">IFERROR(VLOOKUP(F4395,'RR-3.1-5TH'!$A$12:'RR-3.1-5TH'!$BN$111,29,0),"")</f>
        <v/>
      </c>
      <c r="K4414" s="54" t="str">
        <f ca="1">IFERROR(VLOOKUP(F4395,'RR-3.1-5TH'!$A$12:'RR-3.1-5TH'!$BN$111,30,0),"")</f>
        <v/>
      </c>
      <c r="L4414" s="55">
        <f ca="1" t="shared" si="231"/>
        <v>0</v>
      </c>
      <c r="M4414" s="56" t="str">
        <f ca="1">IF(F4395&gt;ENTRY!$D$24,"",IF(L4414=0,"Ab",IF(L4414&gt;80,"A",IF(L4414&gt;60,"B",IF(L4414&gt;44,"C",IF(L4414&gt;=33,"D",IF(L4414&lt;=32,"E","")))))))</f>
        <v/>
      </c>
      <c r="N4414" s="29"/>
      <c r="O4414" s="29"/>
      <c r="P4414" s="19"/>
      <c r="Q4414" s="19"/>
      <c r="R4414" s="11"/>
    </row>
    <row r="4415" s="1" customFormat="1" ht="21.95" customHeight="1" spans="1:18">
      <c r="A4415" s="7"/>
      <c r="B4415" s="12"/>
      <c r="C4415" s="33"/>
      <c r="D4415" s="52" t="s">
        <v>719</v>
      </c>
      <c r="E4415" s="53"/>
      <c r="F4415" s="54" t="str">
        <f ca="1">IFERROR(VLOOKUP(F4395,'RR-3.1-5TH'!$A$12:'RR-3.1-5TH'!$BN$111,33,0),"")</f>
        <v/>
      </c>
      <c r="G4415" s="54" t="str">
        <f ca="1">IFERROR(VLOOKUP(F4395,'RR-3.1-5TH'!$A$12:'RR-3.1-5TH'!$BN$111,34,0),"")</f>
        <v/>
      </c>
      <c r="H4415" s="54" t="str">
        <f ca="1">IFERROR(VLOOKUP(F4395,'RR-3.1-5TH'!$A$12:'RR-3.1-5TH'!$BN$111,35,0),"")</f>
        <v/>
      </c>
      <c r="I4415" s="54" t="str">
        <f ca="1">IFERROR(VLOOKUP(F4395,'RR-3.1-5TH'!$A$12:'RR-3.1-5TH'!$BN$111,36,0),"")</f>
        <v/>
      </c>
      <c r="J4415" s="54" t="str">
        <f ca="1">IFERROR(VLOOKUP(F4395,'RR-3.1-5TH'!$A$12:'RR-3.1-5TH'!$BN$111,37,0),"")</f>
        <v/>
      </c>
      <c r="K4415" s="54" t="str">
        <f ca="1">IFERROR(VLOOKUP(F4395,'RR-3.1-5TH'!$A$12:'RR-3.1-5TH'!$BN$111,38,0),"")</f>
        <v/>
      </c>
      <c r="L4415" s="55">
        <f ca="1" t="shared" si="231"/>
        <v>0</v>
      </c>
      <c r="M4415" s="56" t="str">
        <f ca="1">IF(F4395&gt;ENTRY!$D$24,"",IF(L4415=0,"Ab",IF(L4415&gt;80,"A",IF(L4415&gt;60,"B",IF(L4415&gt;44,"C",IF(L4415&gt;=33,"D",IF(L4415&lt;=32,"E","")))))))</f>
        <v/>
      </c>
      <c r="N4415" s="29"/>
      <c r="O4415" s="29"/>
      <c r="P4415" s="19"/>
      <c r="Q4415" s="19"/>
      <c r="R4415" s="11"/>
    </row>
    <row r="4416" s="1" customFormat="1" ht="21.95" customHeight="1" spans="1:18">
      <c r="A4416" s="7"/>
      <c r="B4416" s="12"/>
      <c r="C4416" s="33"/>
      <c r="D4416" s="52" t="s">
        <v>548</v>
      </c>
      <c r="E4416" s="53"/>
      <c r="F4416" s="54" t="str">
        <f ca="1">IFERROR(VLOOKUP(F4395,'RR-3.1-5TH'!$A$12:'RR-3.1-5TH'!$BN$111,41,0),"")</f>
        <v/>
      </c>
      <c r="G4416" s="54" t="str">
        <f ca="1">IFERROR(VLOOKUP(F4395,'RR-3.1-5TH'!$A$12:'RR-3.1-5TH'!$BN$111,42,0),"")</f>
        <v/>
      </c>
      <c r="H4416" s="54" t="str">
        <f ca="1">IFERROR(VLOOKUP(F4395,'RR-3.1-5TH'!$A$12:'RR-3.1-5TH'!$BN$111,43,0),"")</f>
        <v/>
      </c>
      <c r="I4416" s="54" t="str">
        <f ca="1">IFERROR(VLOOKUP(F4395,'RR-3.1-5TH'!$A$12:'RR-3.1-5TH'!$BN$111,44,0),"")</f>
        <v/>
      </c>
      <c r="J4416" s="54" t="str">
        <f ca="1">IFERROR(VLOOKUP(F4395,'RR-3.1-5TH'!$A$12:'RR-3.1-5TH'!$BN$111,45,0),"")</f>
        <v/>
      </c>
      <c r="K4416" s="54" t="str">
        <f ca="1">IFERROR(VLOOKUP(F4395,'RR-3.1-5TH'!$A$12:'RR-3.1-5TH'!$BN$111,46,0),"")</f>
        <v/>
      </c>
      <c r="L4416" s="55">
        <f ca="1" t="shared" si="231"/>
        <v>0</v>
      </c>
      <c r="M4416" s="56" t="str">
        <f ca="1">IF(F4395&gt;ENTRY!$D$24,"",IF(L4416=0,"Ab",IF(L4416&gt;80,"A",IF(L4416&gt;60,"B",IF(L4416&gt;44,"C",IF(L4416&gt;=33,"D",IF(L4416&lt;=32,"E","")))))))</f>
        <v/>
      </c>
      <c r="N4416" s="29"/>
      <c r="O4416" s="29"/>
      <c r="P4416" s="19"/>
      <c r="Q4416" s="19"/>
      <c r="R4416" s="11"/>
    </row>
    <row r="4417" s="1" customFormat="1" ht="21.95" customHeight="1" spans="1:19">
      <c r="A4417" s="7"/>
      <c r="B4417" s="12"/>
      <c r="C4417" s="33"/>
      <c r="D4417" s="52" t="s">
        <v>549</v>
      </c>
      <c r="E4417" s="53"/>
      <c r="F4417" s="54" t="str">
        <f ca="1">IFERROR(VLOOKUP(F4395,'RR-3.1-5TH'!$A$12:'RR-3.1-5TH'!$BN$111,49,0),"")</f>
        <v/>
      </c>
      <c r="G4417" s="54" t="str">
        <f ca="1">IFERROR(VLOOKUP(F4395,'RR-3.1-5TH'!$A$12:'RR-3.1-5TH'!$BN$111,50,0),"")</f>
        <v/>
      </c>
      <c r="H4417" s="54" t="str">
        <f ca="1">IFERROR(VLOOKUP(F4395,'RR-3.1-5TH'!$A$12:'RR-3.1-5TH'!$BN$111,51,0),"")</f>
        <v/>
      </c>
      <c r="I4417" s="54" t="str">
        <f ca="1">IFERROR(VLOOKUP(F4395,'RR-3.1-5TH'!$A$12:'RR-3.1-5TH'!$BN$111,52,0),"")</f>
        <v/>
      </c>
      <c r="J4417" s="54" t="str">
        <f ca="1">IFERROR(VLOOKUP(F4395,'RR-3.1-5TH'!$A$12:'RR-3.1-5TH'!$BN$111,53,0),"")</f>
        <v/>
      </c>
      <c r="K4417" s="54" t="str">
        <f ca="1">IFERROR(VLOOKUP(F4395,'RR-3.1-5TH'!$A$12:'RR-3.1-5TH'!$BN$111,54,0),"")</f>
        <v/>
      </c>
      <c r="L4417" s="55">
        <f ca="1" t="shared" si="231"/>
        <v>0</v>
      </c>
      <c r="M4417" s="56" t="str">
        <f ca="1">IF(F4395&gt;ENTRY!$D$24,"",IF(L4417=0,"Ab",IF(L4417&gt;80,"A",IF(L4417&gt;60,"B",IF(L4417&gt;44,"C",IF(L4417&gt;=33,"D",IF(L4417&lt;=32,"E","")))))))</f>
        <v/>
      </c>
      <c r="N4417" s="57" t="s">
        <v>752</v>
      </c>
      <c r="O4417" s="58"/>
      <c r="P4417" s="59"/>
      <c r="Q4417" s="19"/>
      <c r="R4417" s="11"/>
    </row>
    <row r="4418" s="1" customFormat="1" ht="21.95" customHeight="1" spans="1:19">
      <c r="A4418" s="7"/>
      <c r="B4418" s="12"/>
      <c r="C4418" s="33"/>
      <c r="D4418" s="52" t="s">
        <v>753</v>
      </c>
      <c r="E4418" s="53"/>
      <c r="F4418" s="60"/>
      <c r="G4418" s="54"/>
      <c r="H4418" s="54"/>
      <c r="I4418" s="54"/>
      <c r="J4418" s="54"/>
      <c r="K4418" s="54"/>
      <c r="L4418" s="55">
        <f t="shared" ref="L4418" si="232">SUM(G4418:K4418)</f>
        <v>0</v>
      </c>
      <c r="M4418" s="56" t="str">
        <f>IF(F4395&gt;ENTRY!$D$24,"",IF(L4418=0,"",IF(L4418&gt;79,"A",IF(L4418&gt;59,"B",IF(L4418&gt;44,"C",IF(L4418&gt;=33,"D",IF(L4418&lt;=32,"E","")))))))</f>
        <v/>
      </c>
      <c r="N4418" s="58"/>
      <c r="O4418" s="58"/>
      <c r="P4418" s="59"/>
      <c r="Q4418" s="19"/>
      <c r="R4418" s="11"/>
    </row>
    <row r="4419" s="1" customFormat="1" ht="21.95" customHeight="1" spans="1:19">
      <c r="A4419" s="7"/>
      <c r="B4419" s="12"/>
      <c r="C4419" s="33"/>
      <c r="D4419" s="45" t="s">
        <v>382</v>
      </c>
      <c r="E4419" s="46"/>
      <c r="F4419" s="54">
        <f ca="1" t="shared" ref="F4419:L4419" si="233">IFERROR(SUM(F4412:F4418),"")</f>
        <v>0</v>
      </c>
      <c r="G4419" s="54">
        <f ca="1" t="shared" si="233"/>
        <v>0</v>
      </c>
      <c r="H4419" s="54">
        <f ca="1" t="shared" si="233"/>
        <v>0</v>
      </c>
      <c r="I4419" s="54">
        <f ca="1" t="shared" si="233"/>
        <v>0</v>
      </c>
      <c r="J4419" s="54">
        <f ca="1" t="shared" si="233"/>
        <v>0</v>
      </c>
      <c r="K4419" s="54">
        <f ca="1" t="shared" si="233"/>
        <v>0</v>
      </c>
      <c r="L4419" s="55">
        <f ca="1" t="shared" si="233"/>
        <v>0</v>
      </c>
      <c r="M4419" s="61" t="str">
        <f ca="1">IF(F4395&gt;ENTRY!$D$24,"",IF(N4420="Ab","Ab",IF(N4420&gt;79.5,"A",IF(N4420&gt;59.5,"B",IF(N4420&gt;44.5,"C",IF(N4420&gt;=33,"D",IF(N4420&lt;33,"E","")))))))</f>
        <v/>
      </c>
      <c r="N4419" s="62"/>
      <c r="O4419" s="58"/>
      <c r="P4419" s="59"/>
      <c r="Q4419" s="19"/>
      <c r="R4419" s="11"/>
    </row>
    <row r="4420" s="1" customFormat="1" ht="21.95" customHeight="1" spans="1:19">
      <c r="A4420" s="7"/>
      <c r="B4420" s="12"/>
      <c r="C4420" s="33"/>
      <c r="D4420" s="63" t="s">
        <v>721</v>
      </c>
      <c r="E4420" s="63"/>
      <c r="F4420" s="63"/>
      <c r="G4420" s="63"/>
      <c r="H4420" s="63"/>
      <c r="I4420" s="63"/>
      <c r="J4420" s="63"/>
      <c r="K4420" s="63"/>
      <c r="L4420" s="63"/>
      <c r="M4420" s="63"/>
      <c r="N4420" s="64">
        <f ca="1">IF(L4419="Ab","Ab",L4419/6)</f>
        <v>0</v>
      </c>
      <c r="O4420" s="65"/>
      <c r="P4420" s="19"/>
      <c r="Q4420" s="19"/>
      <c r="R4420" s="11"/>
    </row>
    <row r="4421" s="1" customFormat="1" ht="21.95" customHeight="1" spans="1:19">
      <c r="A4421" s="7"/>
      <c r="B4421" s="12"/>
      <c r="C4421" s="33"/>
      <c r="D4421" s="29" t="s">
        <v>716</v>
      </c>
      <c r="E4421" s="18" t="str">
        <f>IFERROR(VLOOKUP(F4395,'1to4-2.1-RR'!$A$12:$BG$111,57,0),"")</f>
        <v/>
      </c>
      <c r="F4421" s="18"/>
      <c r="G4421" s="18"/>
      <c r="H4421" s="18"/>
      <c r="I4421" s="18"/>
      <c r="J4421" s="18"/>
      <c r="K4421" s="18"/>
      <c r="L4421" s="18"/>
      <c r="M4421" s="18"/>
      <c r="N4421" s="29"/>
      <c r="O4421" s="29"/>
      <c r="P4421" s="19"/>
      <c r="Q4421" s="19"/>
      <c r="R4421" s="11"/>
    </row>
    <row r="4422" s="1" customFormat="1" ht="9.95" customHeight="1" spans="1:19">
      <c r="A4422" s="7"/>
      <c r="B4422" s="12"/>
      <c r="C4422" s="33"/>
      <c r="D4422" s="29"/>
      <c r="E4422" s="29"/>
      <c r="F4422" s="29"/>
      <c r="G4422" s="29"/>
      <c r="H4422" s="29"/>
      <c r="I4422" s="29"/>
      <c r="J4422" s="29"/>
      <c r="K4422" s="29"/>
      <c r="L4422" s="29"/>
      <c r="M4422" s="29"/>
      <c r="N4422" s="29"/>
      <c r="O4422" s="29"/>
      <c r="P4422" s="19"/>
      <c r="Q4422" s="19"/>
      <c r="R4422" s="11"/>
    </row>
    <row r="4423" s="1" customFormat="1" ht="36" spans="1:19">
      <c r="A4423" s="7"/>
      <c r="B4423" s="12"/>
      <c r="C4423" s="33"/>
      <c r="D4423" s="66" t="s">
        <v>576</v>
      </c>
      <c r="E4423" s="67" t="s">
        <v>754</v>
      </c>
      <c r="F4423" s="47" t="str">
        <f>IF(F4395&gt;ENTRY!$D$24,"",IFERROR(VLOOKUP(F4395,PASHEET!$A$4:$CJ$103,88,0),""))</f>
        <v/>
      </c>
      <c r="G4423" s="67" t="s">
        <v>755</v>
      </c>
      <c r="H4423" s="47" t="str">
        <f>IF(F4395&gt;ENTRY!$D$24,"",IFERROR(VLOOKUP(F4395,PASHEET!$A$4:$CJ$103,87,0),""))</f>
        <v/>
      </c>
      <c r="I4423" s="68" t="s">
        <v>756</v>
      </c>
      <c r="J4423" s="69" t="str">
        <f>IF(F4395&gt;ENTRY!$D$24,"",IFERROR(IF(F4395&gt;0,H4423/F4423*100),""))</f>
        <v/>
      </c>
      <c r="K4423" s="60" t="s">
        <v>757</v>
      </c>
      <c r="L4423" s="70" t="str">
        <f ca="1">IF(F4395&gt;ENTRY!$D$24,"",IFERROR(L4419/600*100,""))</f>
        <v/>
      </c>
      <c r="M4423" s="47" t="str">
        <f ca="1">IF(F4395&gt;ENTRY!$D$24,"",IFERROR(L4419&amp;" / "&amp;"600",""))</f>
        <v/>
      </c>
      <c r="N4423" s="29"/>
      <c r="O4423" s="29"/>
      <c r="P4423" s="19"/>
      <c r="Q4423" s="19"/>
      <c r="R4423" s="11"/>
    </row>
    <row r="4424" s="1" customFormat="1" ht="9.95" customHeight="1" spans="1:19">
      <c r="A4424" s="7"/>
      <c r="B4424" s="12"/>
      <c r="C4424" s="39"/>
      <c r="D4424" s="40"/>
      <c r="E4424" s="40"/>
      <c r="F4424" s="40"/>
      <c r="G4424" s="40"/>
      <c r="H4424" s="40"/>
      <c r="I4424" s="40"/>
      <c r="J4424" s="40"/>
      <c r="K4424" s="40"/>
      <c r="L4424" s="40"/>
      <c r="M4424" s="40"/>
      <c r="N4424" s="40"/>
      <c r="O4424" s="40"/>
      <c r="P4424" s="41"/>
      <c r="Q4424" s="19"/>
      <c r="R4424" s="11"/>
    </row>
    <row r="4425" s="1" customFormat="1" ht="9.95" customHeight="1" spans="1:19">
      <c r="A4425" s="7"/>
      <c r="B4425" s="12"/>
      <c r="C4425" s="71"/>
      <c r="D4425" s="71"/>
      <c r="E4425" s="71"/>
      <c r="F4425" s="29"/>
      <c r="G4425" s="71"/>
      <c r="H4425" s="71"/>
      <c r="I4425" s="71"/>
      <c r="J4425" s="71"/>
      <c r="K4425" s="71"/>
      <c r="L4425" s="71"/>
      <c r="M4425" s="71"/>
      <c r="N4425" s="71"/>
      <c r="O4425" s="71"/>
      <c r="P4425" s="71"/>
      <c r="Q4425" s="19"/>
      <c r="R4425" s="11"/>
    </row>
    <row r="4426" s="1" customFormat="1" ht="9.95" customHeight="1" spans="1:19">
      <c r="A4426" s="7"/>
      <c r="B4426" s="12"/>
      <c r="C4426" s="29"/>
      <c r="D4426" s="29"/>
      <c r="E4426" s="29"/>
      <c r="F4426" s="72"/>
      <c r="G4426" s="29"/>
      <c r="H4426" s="29"/>
      <c r="I4426" s="29"/>
      <c r="J4426" s="29"/>
      <c r="K4426" s="29"/>
      <c r="L4426" s="29"/>
      <c r="M4426" s="29"/>
      <c r="N4426" s="29"/>
      <c r="O4426" s="29"/>
      <c r="P4426" s="29"/>
      <c r="Q4426" s="19"/>
      <c r="R4426" s="11"/>
    </row>
    <row r="4427" s="1" customFormat="1" ht="9.95" customHeight="1" spans="1:19">
      <c r="A4427" s="7"/>
      <c r="B4427" s="12"/>
      <c r="C4427" s="30"/>
      <c r="D4427" s="31"/>
      <c r="E4427" s="31"/>
      <c r="F4427" s="31"/>
      <c r="G4427" s="31"/>
      <c r="H4427" s="31"/>
      <c r="I4427" s="31"/>
      <c r="J4427" s="31"/>
      <c r="K4427" s="31"/>
      <c r="L4427" s="31"/>
      <c r="M4427" s="31"/>
      <c r="N4427" s="31"/>
      <c r="O4427" s="31"/>
      <c r="P4427" s="32"/>
      <c r="Q4427" s="19"/>
      <c r="R4427" s="11"/>
    </row>
    <row r="4428" s="1" customFormat="1" ht="21.95" customHeight="1" spans="1:19">
      <c r="A4428" s="7"/>
      <c r="B4428" s="12"/>
      <c r="C4428" s="73" t="s">
        <v>7</v>
      </c>
      <c r="D4428" s="13"/>
      <c r="E4428" s="13"/>
      <c r="F4428" s="13"/>
      <c r="G4428" s="13"/>
      <c r="H4428" s="13"/>
      <c r="I4428" s="13"/>
      <c r="J4428" s="13"/>
      <c r="K4428" s="13"/>
      <c r="L4428" s="13"/>
      <c r="M4428" s="13"/>
      <c r="N4428" s="13"/>
      <c r="O4428" s="13"/>
      <c r="P4428" s="74"/>
      <c r="Q4428" s="19"/>
      <c r="R4428" s="11"/>
      <c r="S4428" s="2"/>
    </row>
    <row r="4429" s="1" customFormat="1" ht="21.95" customHeight="1" spans="1:19">
      <c r="A4429" s="7"/>
      <c r="B4429" s="12"/>
      <c r="C4429" s="33"/>
      <c r="D4429" s="29"/>
      <c r="E4429" s="29"/>
      <c r="F4429" s="29"/>
      <c r="G4429" s="29"/>
      <c r="H4429" s="29"/>
      <c r="I4429" s="29"/>
      <c r="J4429" s="29"/>
      <c r="K4429" s="29"/>
      <c r="L4429" s="29"/>
      <c r="M4429" s="29"/>
      <c r="N4429" s="29"/>
      <c r="O4429" s="29"/>
      <c r="P4429" s="19"/>
      <c r="Q4429" s="19"/>
      <c r="R4429" s="11"/>
    </row>
    <row r="4430" s="1" customFormat="1" ht="21.95" customHeight="1" spans="1:19">
      <c r="A4430" s="7"/>
      <c r="B4430" s="12"/>
      <c r="C4430" s="75" t="str">
        <f>"SESSION-"&amp;ENTRY!$D$11</f>
        <v>SESSION-2026-27</v>
      </c>
      <c r="D4430" s="15"/>
      <c r="E4430" s="15"/>
      <c r="F4430" s="15"/>
      <c r="G4430" s="15"/>
      <c r="H4430" s="15"/>
      <c r="I4430" s="15"/>
      <c r="J4430" s="15"/>
      <c r="K4430" s="15"/>
      <c r="L4430" s="15"/>
      <c r="M4430" s="15"/>
      <c r="N4430" s="15"/>
      <c r="O4430" s="15"/>
      <c r="P4430" s="76"/>
      <c r="Q4430" s="19"/>
      <c r="R4430" s="11"/>
    </row>
    <row r="4431" s="1" customFormat="1" ht="18" customHeight="1" spans="1:19">
      <c r="A4431" s="7"/>
      <c r="B4431" s="12"/>
      <c r="C4431" s="33"/>
      <c r="D4431" s="29"/>
      <c r="E4431" s="29"/>
      <c r="F4431" s="29"/>
      <c r="G4431" s="29"/>
      <c r="H4431" s="29"/>
      <c r="I4431" s="29"/>
      <c r="J4431" s="29"/>
      <c r="K4431" s="29"/>
      <c r="L4431" s="29"/>
      <c r="M4431" s="29"/>
      <c r="N4431" s="29"/>
      <c r="O4431" s="29"/>
      <c r="P4431" s="19"/>
      <c r="Q4431" s="19"/>
      <c r="R4431" s="11"/>
    </row>
    <row r="4432" s="1" customFormat="1" ht="21.95" customHeight="1" spans="1:19">
      <c r="A4432" s="7"/>
      <c r="B4432" s="12"/>
      <c r="C4432" s="33"/>
      <c r="D4432" s="77" t="s">
        <v>758</v>
      </c>
      <c r="E4432" s="77"/>
      <c r="F4432" s="78" t="str">
        <f>IFERROR(PROPER(VLOOKUP(F4395,STUDENT!$A$2:$BP$101,5,0)),"")</f>
        <v/>
      </c>
      <c r="G4432" s="78"/>
      <c r="H4432" s="78"/>
      <c r="I4432" s="78"/>
      <c r="J4432" s="78"/>
      <c r="K4432" s="78"/>
      <c r="L4432" s="78"/>
      <c r="M4432" s="78"/>
      <c r="N4432" s="79" t="s">
        <v>759</v>
      </c>
      <c r="O4432" s="79"/>
      <c r="P4432" s="19"/>
      <c r="Q4432" s="19"/>
      <c r="R4432" s="11"/>
    </row>
    <row r="4433" s="1" customFormat="1" ht="21.95" customHeight="1" spans="1:18">
      <c r="A4433" s="7"/>
      <c r="B4433" s="12"/>
      <c r="C4433" s="33"/>
      <c r="D4433" s="80" t="s">
        <v>760</v>
      </c>
      <c r="E4433" s="81" t="str">
        <f>IFERROR(PROPER(VLOOKUP(F4395,STUDENT!$A$2:$BP$101,9,0)),"")</f>
        <v/>
      </c>
      <c r="F4433" s="81"/>
      <c r="G4433" s="81"/>
      <c r="H4433" s="80" t="s">
        <v>761</v>
      </c>
      <c r="I4433" s="82" t="str">
        <f>IFERROR(PROPER(VLOOKUP(F4395,STUDENT!$A$2:$BP$101,8,0)),"")</f>
        <v/>
      </c>
      <c r="J4433" s="82"/>
      <c r="K4433" s="82"/>
      <c r="L4433" s="82"/>
      <c r="M4433" s="80" t="s">
        <v>762</v>
      </c>
      <c r="N4433" s="83" t="str">
        <f>IFERROR(VLOOKUP(F4395,STUDENT!$A$2:$BP$101,59,0),"")</f>
        <v/>
      </c>
      <c r="O4433" s="83"/>
      <c r="P4433" s="19"/>
      <c r="Q4433" s="19"/>
      <c r="R4433" s="11"/>
    </row>
    <row r="4434" s="1" customFormat="1" ht="21.95" customHeight="1" spans="1:18">
      <c r="A4434" s="7"/>
      <c r="B4434" s="12"/>
      <c r="C4434" s="33"/>
      <c r="D4434" s="77" t="str">
        <f>"has    completed     his  /  her     primary     level     education    in    the    year    "&amp;RIGHT(ENTRY!$D4400,4)&amp;"    from    ( School    Name )"</f>
        <v>has    completed     his  /  her     primary     level     education    in    the    year        from    ( School    Name )</v>
      </c>
      <c r="E4434" s="77"/>
      <c r="F4434" s="77"/>
      <c r="G4434" s="77"/>
      <c r="H4434" s="77"/>
      <c r="I4434" s="77"/>
      <c r="J4434" s="77"/>
      <c r="K4434" s="77"/>
      <c r="L4434" s="77"/>
      <c r="M4434" s="77"/>
      <c r="N4434" s="77"/>
      <c r="O4434" s="77"/>
      <c r="P4434" s="19"/>
      <c r="Q4434" s="19"/>
      <c r="R4434" s="11"/>
    </row>
    <row r="4435" s="1" customFormat="1" ht="21.95" customHeight="1" spans="1:18">
      <c r="A4435" s="7"/>
      <c r="B4435" s="12"/>
      <c r="C4435" s="33"/>
      <c r="D4435" s="81" t="str">
        <f>IF(F4395&gt;0,ENTRY!$D$6,"")</f>
        <v>MCP NITHARI NO 1 BOYS</v>
      </c>
      <c r="E4435" s="81"/>
      <c r="F4435" s="81"/>
      <c r="G4435" s="81"/>
      <c r="H4435" s="81"/>
      <c r="I4435" s="81"/>
      <c r="J4435" s="81"/>
      <c r="K4435" s="81"/>
      <c r="L4435" s="81"/>
      <c r="M4435" s="80" t="s">
        <v>763</v>
      </c>
      <c r="N4435" s="84">
        <f>IF(F4395&gt;0,ENTRY!$D$7,"")</f>
        <v>0</v>
      </c>
      <c r="O4435" s="84"/>
      <c r="P4435" s="85" t="s">
        <v>727</v>
      </c>
      <c r="Q4435" s="19"/>
      <c r="R4435" s="11"/>
    </row>
    <row r="4436" s="1" customFormat="1" ht="21.95" customHeight="1" spans="1:18">
      <c r="A4436" s="7"/>
      <c r="B4436" s="12"/>
      <c r="C4436" s="33"/>
      <c r="D4436" s="29"/>
      <c r="E4436" s="29"/>
      <c r="F4436" s="29"/>
      <c r="G4436" s="29"/>
      <c r="H4436" s="29"/>
      <c r="I4436" s="29"/>
      <c r="J4436" s="29"/>
      <c r="K4436" s="29"/>
      <c r="L4436" s="29"/>
      <c r="M4436" s="29"/>
      <c r="N4436" s="29"/>
      <c r="O4436" s="29"/>
      <c r="P4436" s="19"/>
      <c r="Q4436" s="19"/>
      <c r="R4436" s="11"/>
    </row>
    <row r="4437" s="1" customFormat="1" ht="21.95" customHeight="1" spans="1:18">
      <c r="A4437" s="7"/>
      <c r="B4437" s="12"/>
      <c r="C4437" s="33"/>
      <c r="D4437" s="29"/>
      <c r="E4437" s="29"/>
      <c r="F4437" s="29"/>
      <c r="G4437" s="29"/>
      <c r="H4437" s="29"/>
      <c r="I4437" s="29"/>
      <c r="J4437" s="29"/>
      <c r="K4437" s="29"/>
      <c r="L4437" s="29"/>
      <c r="M4437" s="29"/>
      <c r="N4437" s="29"/>
      <c r="O4437" s="29"/>
      <c r="P4437" s="19"/>
      <c r="Q4437" s="19"/>
      <c r="R4437" s="11"/>
    </row>
    <row r="4438" s="1" customFormat="1" ht="21.95" customHeight="1" spans="1:18">
      <c r="A4438" s="7"/>
      <c r="B4438" s="12"/>
      <c r="C4438" s="33"/>
      <c r="D4438" s="29"/>
      <c r="E4438" s="29"/>
      <c r="F4438" s="29"/>
      <c r="G4438" s="29"/>
      <c r="H4438" s="29"/>
      <c r="I4438" s="29"/>
      <c r="J4438" s="29"/>
      <c r="K4438" s="29"/>
      <c r="L4438" s="29"/>
      <c r="M4438" s="29"/>
      <c r="N4438" s="29"/>
      <c r="O4438" s="29"/>
      <c r="P4438" s="19"/>
      <c r="Q4438" s="19"/>
      <c r="R4438" s="11"/>
    </row>
    <row r="4439" s="1" customFormat="1" ht="21.95" customHeight="1" spans="1:18">
      <c r="A4439" s="7"/>
      <c r="B4439" s="12"/>
      <c r="C4439" s="33"/>
      <c r="D4439" s="29"/>
      <c r="E4439" s="29"/>
      <c r="F4439" s="29"/>
      <c r="G4439" s="29"/>
      <c r="H4439" s="29"/>
      <c r="I4439" s="29"/>
      <c r="J4439" s="29"/>
      <c r="K4439" s="29"/>
      <c r="L4439" s="29"/>
      <c r="M4439" s="29"/>
      <c r="N4439" s="29"/>
      <c r="O4439" s="29"/>
      <c r="P4439" s="19"/>
      <c r="Q4439" s="19"/>
      <c r="R4439" s="11"/>
    </row>
    <row r="4440" s="1" customFormat="1" ht="21.95" customHeight="1" spans="1:18">
      <c r="A4440" s="7"/>
      <c r="B4440" s="12"/>
      <c r="C4440" s="33"/>
      <c r="D4440" s="29"/>
      <c r="E4440" s="29"/>
      <c r="F4440" s="29"/>
      <c r="G4440" s="29"/>
      <c r="H4440" s="29"/>
      <c r="I4440" s="29"/>
      <c r="J4440" s="29"/>
      <c r="K4440" s="29"/>
      <c r="L4440" s="29"/>
      <c r="M4440" s="29"/>
      <c r="N4440" s="29"/>
      <c r="O4440" s="29"/>
      <c r="P4440" s="19"/>
      <c r="Q4440" s="19"/>
      <c r="R4440" s="11"/>
    </row>
    <row r="4441" s="1" customFormat="1" ht="21.95" customHeight="1" spans="1:18">
      <c r="A4441" s="7"/>
      <c r="B4441" s="12"/>
      <c r="C4441" s="33"/>
      <c r="D4441" s="80" t="s">
        <v>728</v>
      </c>
      <c r="E4441" s="86">
        <f>ENTRY!$D$27</f>
        <v>46102</v>
      </c>
      <c r="F4441" s="86"/>
      <c r="G4441" s="29"/>
      <c r="H4441" s="29"/>
      <c r="I4441" s="29"/>
      <c r="J4441" s="29"/>
      <c r="K4441" s="29"/>
      <c r="L4441" s="29"/>
      <c r="M4441" s="87" t="s">
        <v>730</v>
      </c>
      <c r="N4441" s="87"/>
      <c r="O4441" s="87"/>
      <c r="P4441" s="19"/>
      <c r="Q4441" s="19"/>
      <c r="R4441" s="11"/>
    </row>
    <row r="4442" s="1" customFormat="1" ht="21.95" customHeight="1" spans="1:18">
      <c r="A4442" s="7"/>
      <c r="B4442" s="12"/>
      <c r="C4442" s="33"/>
      <c r="D4442" s="80" t="s">
        <v>731</v>
      </c>
      <c r="E4442" s="88" t="str">
        <f>PROPER(ENTRY!$D$28)</f>
        <v>New Delhi</v>
      </c>
      <c r="F4442" s="88"/>
      <c r="G4442" s="29"/>
      <c r="H4442" s="29"/>
      <c r="I4442" s="29"/>
      <c r="J4442" s="29"/>
      <c r="K4442" s="29"/>
      <c r="L4442" s="29"/>
      <c r="M4442" s="89" t="s">
        <v>732</v>
      </c>
      <c r="N4442" s="89"/>
      <c r="O4442" s="89"/>
      <c r="P4442" s="19"/>
      <c r="Q4442" s="19"/>
      <c r="R4442" s="11"/>
    </row>
    <row r="4443" s="1" customFormat="1" ht="21.95" customHeight="1" spans="1:18">
      <c r="A4443" s="7"/>
      <c r="B4443" s="12"/>
      <c r="C4443" s="90"/>
      <c r="D4443" s="91"/>
      <c r="E4443" s="91"/>
      <c r="F4443" s="91"/>
      <c r="G4443" s="91"/>
      <c r="H4443" s="91"/>
      <c r="I4443" s="91"/>
      <c r="J4443" s="91"/>
      <c r="K4443" s="91"/>
      <c r="L4443" s="91"/>
      <c r="M4443" s="91"/>
      <c r="N4443" s="91"/>
      <c r="O4443" s="91"/>
      <c r="P4443" s="92"/>
      <c r="Q4443" s="14"/>
      <c r="R4443" s="11"/>
    </row>
    <row r="4444" s="1" customFormat="1" ht="5.1" customHeight="1" spans="1:18">
      <c r="A4444" s="7"/>
      <c r="B4444" s="90"/>
      <c r="C4444" s="91"/>
      <c r="D4444" s="91"/>
      <c r="E4444" s="91"/>
      <c r="F4444" s="91"/>
      <c r="G4444" s="91"/>
      <c r="H4444" s="91"/>
      <c r="I4444" s="91"/>
      <c r="J4444" s="91"/>
      <c r="K4444" s="91"/>
      <c r="L4444" s="91"/>
      <c r="M4444" s="91"/>
      <c r="N4444" s="91"/>
      <c r="O4444" s="91"/>
      <c r="P4444" s="91"/>
      <c r="Q4444" s="92"/>
      <c r="R4444" s="11"/>
    </row>
    <row r="4445" s="1" customFormat="1" ht="5.1" customHeight="1" spans="1:18">
      <c r="A4445" s="93"/>
      <c r="B4445" s="94"/>
      <c r="C4445" s="94"/>
      <c r="D4445" s="94"/>
      <c r="E4445" s="94"/>
      <c r="F4445" s="94"/>
      <c r="G4445" s="94"/>
      <c r="H4445" s="94"/>
      <c r="I4445" s="94"/>
      <c r="J4445" s="94"/>
      <c r="K4445" s="94"/>
      <c r="L4445" s="94"/>
      <c r="M4445" s="94"/>
      <c r="N4445" s="94"/>
      <c r="O4445" s="94"/>
      <c r="P4445" s="94"/>
      <c r="Q4445" s="94"/>
      <c r="R4445" s="95"/>
    </row>
    <row r="4446" s="2" customFormat="1" ht="9.95" customHeight="1"/>
    <row r="4447" s="1" customFormat="1" ht="5.1" customHeight="1" spans="1:18">
      <c r="A4447" s="4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  <c r="O4447" s="5"/>
      <c r="P4447" s="5"/>
      <c r="Q4447" s="5"/>
      <c r="R4447" s="6"/>
    </row>
    <row r="4448" s="1" customFormat="1" ht="15" customHeight="1" spans="1:18">
      <c r="A4448" s="7"/>
      <c r="B4448" s="8"/>
      <c r="C4448" s="9"/>
      <c r="D4448" s="9"/>
      <c r="E4448" s="9"/>
      <c r="F4448" s="9"/>
      <c r="G4448" s="9"/>
      <c r="H4448" s="9"/>
      <c r="I4448" s="9"/>
      <c r="J4448" s="9"/>
      <c r="K4448" s="9"/>
      <c r="L4448" s="9"/>
      <c r="M4448" s="9"/>
      <c r="N4448" s="9"/>
      <c r="O4448" s="9"/>
      <c r="P4448" s="9"/>
      <c r="Q4448" s="10"/>
      <c r="R4448" s="11"/>
    </row>
    <row r="4449" s="1" customFormat="1" ht="21.95" customHeight="1" spans="1:18">
      <c r="A4449" s="7"/>
      <c r="B4449" s="12"/>
      <c r="C4449" s="13" t="s">
        <v>7</v>
      </c>
      <c r="D4449" s="13"/>
      <c r="E4449" s="13"/>
      <c r="F4449" s="13"/>
      <c r="G4449" s="13"/>
      <c r="H4449" s="13"/>
      <c r="I4449" s="13"/>
      <c r="J4449" s="13"/>
      <c r="K4449" s="13"/>
      <c r="L4449" s="13"/>
      <c r="M4449" s="13"/>
      <c r="N4449" s="13"/>
      <c r="O4449" s="13"/>
      <c r="P4449" s="13"/>
      <c r="Q4449" s="14"/>
      <c r="R4449" s="11"/>
    </row>
    <row r="4450" s="1" customFormat="1" ht="21.95" customHeight="1" spans="1:18">
      <c r="A4450" s="7"/>
      <c r="B4450" s="1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14"/>
      <c r="R4450" s="11"/>
    </row>
    <row r="4451" s="1" customFormat="1" ht="21.95" customHeight="1" spans="1:18">
      <c r="A4451" s="7"/>
      <c r="B4451" s="12"/>
      <c r="C4451" s="15" t="str">
        <f>"SESSION-"&amp;ENTRY!$D$11</f>
        <v>SESSION-2026-27</v>
      </c>
      <c r="D4451" s="15"/>
      <c r="E4451" s="15"/>
      <c r="F4451" s="15"/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  <c r="Q4451" s="14"/>
      <c r="R4451" s="11"/>
    </row>
    <row r="4452" s="1" customFormat="1" ht="21.95" customHeight="1" spans="1:18">
      <c r="A4452" s="7"/>
      <c r="B4452" s="12"/>
      <c r="C4452" s="2"/>
      <c r="D4452" s="2"/>
      <c r="E4452" s="2"/>
      <c r="F4452" s="16">
        <f>F4395+1</f>
        <v>79</v>
      </c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14"/>
      <c r="R4452" s="11"/>
    </row>
    <row r="4453" s="1" customFormat="1" ht="21.95" customHeight="1" spans="1:18">
      <c r="A4453" s="7"/>
      <c r="B4453" s="12"/>
      <c r="C4453" s="17" t="s">
        <v>392</v>
      </c>
      <c r="D4453" s="17"/>
      <c r="E4453" s="17"/>
      <c r="F4453" s="18" t="str">
        <f>IF(F4452&gt;0,ENTRY!$D$6,"")</f>
        <v>MCP NITHARI NO 1 BOYS</v>
      </c>
      <c r="G4453" s="18"/>
      <c r="H4453" s="18"/>
      <c r="I4453" s="18"/>
      <c r="J4453" s="18"/>
      <c r="K4453" s="18"/>
      <c r="L4453" s="18"/>
      <c r="M4453" s="18"/>
      <c r="N4453" s="18"/>
      <c r="O4453" s="18"/>
      <c r="P4453" s="18"/>
      <c r="Q4453" s="19"/>
      <c r="R4453" s="11"/>
    </row>
    <row r="4454" s="1" customFormat="1" ht="21.95" customHeight="1" spans="1:18">
      <c r="A4454" s="7"/>
      <c r="B4454" s="12"/>
      <c r="C4454" s="17" t="s">
        <v>393</v>
      </c>
      <c r="D4454" s="17"/>
      <c r="E4454" s="17"/>
      <c r="F4454" s="18">
        <f>IF(F4452&gt;0,ENTRY!$D$7,"")</f>
        <v>0</v>
      </c>
      <c r="G4454" s="18"/>
      <c r="H4454" s="20" t="s">
        <v>702</v>
      </c>
      <c r="I4454" s="20"/>
      <c r="J4454" s="21">
        <f>IF(F4452&gt;0,ENTRY!$D$10,"")</f>
        <v>40</v>
      </c>
      <c r="K4454" s="20" t="s">
        <v>703</v>
      </c>
      <c r="L4454" s="22" t="str">
        <f>IF(F4452&gt;0,ENTRY!$D$5,"")</f>
        <v>ROHINI ZONE</v>
      </c>
      <c r="M4454" s="22"/>
      <c r="N4454" s="22"/>
      <c r="O4454" s="22"/>
      <c r="P4454" s="22"/>
      <c r="Q4454" s="19"/>
      <c r="R4454" s="11"/>
    </row>
    <row r="4455" s="1" customFormat="1" ht="21.95" customHeight="1" spans="1:18">
      <c r="A4455" s="7"/>
      <c r="B4455" s="12"/>
      <c r="C4455" s="17" t="s">
        <v>706</v>
      </c>
      <c r="D4455" s="17"/>
      <c r="E4455" s="17"/>
      <c r="F4455" s="23">
        <f>IFERROR(VLOOKUP(F4452,STUDENT!$A$2:$BP$101,5,0),"")</f>
        <v>0</v>
      </c>
      <c r="G4455" s="23"/>
      <c r="H4455" s="23"/>
      <c r="I4455" s="23"/>
      <c r="J4455" s="23"/>
      <c r="K4455" s="23"/>
      <c r="L4455" s="20" t="s">
        <v>707</v>
      </c>
      <c r="M4455" s="20"/>
      <c r="N4455" s="24" t="str">
        <f>IF(F4452&gt;0,ENTRY!$D$20&amp;"-"&amp;ENTRY!$D$21,"")</f>
        <v>III-A</v>
      </c>
      <c r="O4455" s="24"/>
      <c r="P4455" s="24"/>
      <c r="Q4455" s="19"/>
      <c r="R4455" s="11"/>
    </row>
    <row r="4456" s="1" customFormat="1" ht="21.95" customHeight="1" spans="1:18">
      <c r="A4456" s="7"/>
      <c r="B4456" s="12"/>
      <c r="C4456" s="17" t="s">
        <v>708</v>
      </c>
      <c r="D4456" s="17"/>
      <c r="E4456" s="17"/>
      <c r="F4456" s="25">
        <f>IFERROR(VLOOKUP(F4452,STUDENT!$A$2:$BP$101,6,0),"")</f>
        <v>0</v>
      </c>
      <c r="G4456" s="25"/>
      <c r="H4456" s="26" t="s">
        <v>709</v>
      </c>
      <c r="I4456" s="27" t="str">
        <f>IFERROR(VLOOKUP(F4452,STUDENT!$A$2:$BP$101,59,0),"")</f>
        <v/>
      </c>
      <c r="J4456" s="27"/>
      <c r="K4456" s="20" t="s">
        <v>710</v>
      </c>
      <c r="L4456" s="20"/>
      <c r="M4456" s="28">
        <f>IFERROR(VLOOKUP(F4452,STUDENT!$A$2:$BP$101,20,0),"")</f>
        <v>0</v>
      </c>
      <c r="N4456" s="28"/>
      <c r="O4456" s="28"/>
      <c r="P4456" s="28"/>
      <c r="Q4456" s="19"/>
      <c r="R4456" s="11"/>
    </row>
    <row r="4457" s="1" customFormat="1" ht="21.95" customHeight="1" spans="1:18">
      <c r="A4457" s="7"/>
      <c r="B4457" s="12"/>
      <c r="C4457" s="17" t="s">
        <v>711</v>
      </c>
      <c r="D4457" s="17"/>
      <c r="E4457" s="17"/>
      <c r="F4457" s="23">
        <f>IFERROR(VLOOKUP(F4452,STUDENT!$A$2:$BP$101,9,0),"")</f>
        <v>0</v>
      </c>
      <c r="G4457" s="23"/>
      <c r="H4457" s="23"/>
      <c r="I4457" s="23"/>
      <c r="J4457" s="17" t="s">
        <v>620</v>
      </c>
      <c r="K4457" s="17"/>
      <c r="L4457" s="23">
        <f>IFERROR(VLOOKUP(F4452,STUDENT!$A$2:$BP$101,8,0),"")</f>
        <v>0</v>
      </c>
      <c r="M4457" s="23"/>
      <c r="N4457" s="23"/>
      <c r="O4457" s="23"/>
      <c r="P4457" s="23"/>
      <c r="Q4457" s="19"/>
      <c r="R4457" s="11"/>
    </row>
    <row r="4458" s="1" customFormat="1" ht="21.95" customHeight="1" spans="1:18">
      <c r="A4458" s="7"/>
      <c r="B4458" s="12"/>
      <c r="C4458" s="17" t="s">
        <v>712</v>
      </c>
      <c r="D4458" s="17"/>
      <c r="E4458" s="17"/>
      <c r="F4458" s="23">
        <f>IFERROR(VLOOKUP(F4452,STUDENT!$A$2:$BP$101,22,0),"")</f>
        <v>0</v>
      </c>
      <c r="G4458" s="23"/>
      <c r="H4458" s="23"/>
      <c r="I4458" s="23"/>
      <c r="J4458" s="23"/>
      <c r="K4458" s="23"/>
      <c r="L4458" s="23"/>
      <c r="M4458" s="23"/>
      <c r="N4458" s="23"/>
      <c r="O4458" s="23"/>
      <c r="P4458" s="23"/>
      <c r="Q4458" s="19"/>
      <c r="R4458" s="11"/>
    </row>
    <row r="4459" s="1" customFormat="1" ht="9.95" customHeight="1" spans="1:18">
      <c r="A4459" s="7"/>
      <c r="B4459" s="12"/>
      <c r="C4459" s="29"/>
      <c r="D4459" s="29"/>
      <c r="E4459" s="29"/>
      <c r="F4459" s="29"/>
      <c r="G4459" s="29"/>
      <c r="H4459" s="29"/>
      <c r="I4459" s="29"/>
      <c r="J4459" s="29"/>
      <c r="K4459" s="29"/>
      <c r="L4459" s="29"/>
      <c r="M4459" s="29"/>
      <c r="N4459" s="29"/>
      <c r="O4459" s="29"/>
      <c r="P4459" s="29"/>
      <c r="Q4459" s="19"/>
      <c r="R4459" s="11"/>
    </row>
    <row r="4460" s="1" customFormat="1" ht="9.95" customHeight="1" spans="1:18">
      <c r="A4460" s="7"/>
      <c r="B4460" s="12"/>
      <c r="C4460" s="30"/>
      <c r="D4460" s="31"/>
      <c r="E4460" s="31"/>
      <c r="F4460" s="31"/>
      <c r="G4460" s="31"/>
      <c r="H4460" s="31"/>
      <c r="I4460" s="31"/>
      <c r="J4460" s="31"/>
      <c r="K4460" s="31"/>
      <c r="L4460" s="31"/>
      <c r="M4460" s="31"/>
      <c r="N4460" s="31"/>
      <c r="O4460" s="31"/>
      <c r="P4460" s="32"/>
      <c r="Q4460" s="19"/>
      <c r="R4460" s="11"/>
    </row>
    <row r="4461" s="1" customFormat="1" ht="21.95" customHeight="1" spans="1:18">
      <c r="A4461" s="7"/>
      <c r="B4461" s="12"/>
      <c r="C4461" s="33"/>
      <c r="D4461" s="34" t="s">
        <v>713</v>
      </c>
      <c r="E4461" s="20" t="s">
        <v>714</v>
      </c>
      <c r="F4461" s="35" t="str">
        <f>"Level - "&amp;IFERROR(VLOOKUP(F4452,FLN!$A$4:$K$103,9,0),"")</f>
        <v>Level - </v>
      </c>
      <c r="G4461" s="36"/>
      <c r="H4461" s="37" t="s">
        <v>715</v>
      </c>
      <c r="I4461" s="20"/>
      <c r="J4461" s="35" t="str">
        <f>"Level - "&amp;IFERROR(VLOOKUP(F4452,FLN!$A$4:$K$103,11,0),"")</f>
        <v>Level - </v>
      </c>
      <c r="K4461" s="36"/>
      <c r="L4461" s="37" t="s">
        <v>408</v>
      </c>
      <c r="M4461" s="20"/>
      <c r="N4461" s="35" t="str">
        <f>"Level - "&amp;IFERROR(VLOOKUP(F4452,FLN!$A$4:$K$103,10,0),"")</f>
        <v>Level - </v>
      </c>
      <c r="O4461" s="36"/>
      <c r="P4461" s="19"/>
      <c r="Q4461" s="19"/>
      <c r="R4461" s="11"/>
    </row>
    <row r="4462" s="1" customFormat="1" ht="21.95" customHeight="1" spans="1:18">
      <c r="A4462" s="7"/>
      <c r="B4462" s="12"/>
      <c r="C4462" s="33"/>
      <c r="D4462" s="38"/>
      <c r="E4462" s="20" t="s">
        <v>716</v>
      </c>
      <c r="F4462" s="18" t="str">
        <f ca="1">IF(L4476&gt;197,"PERFORMED WELL","")</f>
        <v/>
      </c>
      <c r="G4462" s="18"/>
      <c r="H4462" s="18"/>
      <c r="I4462" s="18"/>
      <c r="J4462" s="18"/>
      <c r="K4462" s="18"/>
      <c r="L4462" s="18"/>
      <c r="M4462" s="18"/>
      <c r="N4462" s="18"/>
      <c r="O4462" s="18"/>
      <c r="P4462" s="19"/>
      <c r="Q4462" s="19"/>
      <c r="R4462" s="11"/>
    </row>
    <row r="4463" s="1" customFormat="1" ht="9.95" customHeight="1" spans="1:18">
      <c r="A4463" s="7"/>
      <c r="B4463" s="12"/>
      <c r="C4463" s="39"/>
      <c r="D4463" s="40"/>
      <c r="E4463" s="40"/>
      <c r="F4463" s="40"/>
      <c r="G4463" s="40"/>
      <c r="H4463" s="40"/>
      <c r="I4463" s="40"/>
      <c r="J4463" s="40"/>
      <c r="K4463" s="40"/>
      <c r="L4463" s="40"/>
      <c r="M4463" s="40"/>
      <c r="N4463" s="40"/>
      <c r="O4463" s="40"/>
      <c r="P4463" s="41"/>
      <c r="Q4463" s="19"/>
      <c r="R4463" s="11"/>
    </row>
    <row r="4464" s="1" customFormat="1" ht="9.95" customHeight="1" spans="1:18">
      <c r="A4464" s="7"/>
      <c r="B4464" s="12"/>
      <c r="C4464" s="29"/>
      <c r="D4464" s="29"/>
      <c r="E4464" s="29"/>
      <c r="F4464" s="29"/>
      <c r="G4464" s="29"/>
      <c r="H4464" s="29"/>
      <c r="I4464" s="29"/>
      <c r="J4464" s="29"/>
      <c r="K4464" s="29"/>
      <c r="L4464" s="29"/>
      <c r="M4464" s="29"/>
      <c r="N4464" s="29"/>
      <c r="O4464" s="29"/>
      <c r="P4464" s="29"/>
      <c r="Q4464" s="19"/>
      <c r="R4464" s="11"/>
    </row>
    <row r="4465" s="1" customFormat="1" ht="9.95" customHeight="1" spans="1:18">
      <c r="A4465" s="7"/>
      <c r="B4465" s="12"/>
      <c r="C4465" s="30"/>
      <c r="D4465" s="31"/>
      <c r="E4465" s="31"/>
      <c r="F4465" s="31"/>
      <c r="G4465" s="31"/>
      <c r="H4465" s="31"/>
      <c r="I4465" s="31"/>
      <c r="J4465" s="31"/>
      <c r="K4465" s="31"/>
      <c r="L4465" s="31"/>
      <c r="M4465" s="31"/>
      <c r="N4465" s="31"/>
      <c r="O4465" s="31"/>
      <c r="P4465" s="32"/>
      <c r="Q4465" s="19"/>
      <c r="R4465" s="11"/>
    </row>
    <row r="4466" s="1" customFormat="1" ht="21.95" customHeight="1" spans="1:18">
      <c r="A4466" s="7"/>
      <c r="B4466" s="12"/>
      <c r="C4466" s="33"/>
      <c r="D4466" s="35"/>
      <c r="E4466" s="24"/>
      <c r="F4466" s="42" t="s">
        <v>717</v>
      </c>
      <c r="G4466" s="42"/>
      <c r="H4466" s="42"/>
      <c r="I4466" s="42"/>
      <c r="J4466" s="42"/>
      <c r="K4466" s="42"/>
      <c r="L4466" s="43"/>
      <c r="M4466" s="44"/>
      <c r="N4466" s="29"/>
      <c r="O4466" s="29"/>
      <c r="P4466" s="19"/>
      <c r="Q4466" s="19"/>
      <c r="R4466" s="11"/>
    </row>
    <row r="4467" s="1" customFormat="1" ht="21.95" customHeight="1" spans="1:18">
      <c r="A4467" s="7"/>
      <c r="B4467" s="12"/>
      <c r="C4467" s="33"/>
      <c r="D4467" s="45"/>
      <c r="E4467" s="46"/>
      <c r="F4467" s="47" t="s">
        <v>541</v>
      </c>
      <c r="G4467" s="47" t="s">
        <v>542</v>
      </c>
      <c r="H4467" s="47" t="s">
        <v>543</v>
      </c>
      <c r="I4467" s="47" t="s">
        <v>544</v>
      </c>
      <c r="J4467" s="47" t="s">
        <v>561</v>
      </c>
      <c r="K4467" s="48" t="s">
        <v>750</v>
      </c>
      <c r="L4467" s="47" t="s">
        <v>382</v>
      </c>
      <c r="M4467" s="49" t="s">
        <v>546</v>
      </c>
      <c r="N4467" s="29"/>
      <c r="O4467" s="29"/>
      <c r="P4467" s="19"/>
      <c r="Q4467" s="19"/>
      <c r="R4467" s="11"/>
    </row>
    <row r="4468" s="1" customFormat="1" ht="21.95" customHeight="1" spans="1:18">
      <c r="A4468" s="7"/>
      <c r="B4468" s="12"/>
      <c r="C4468" s="33"/>
      <c r="D4468" s="45" t="s">
        <v>652</v>
      </c>
      <c r="E4468" s="46"/>
      <c r="F4468" s="50">
        <v>10</v>
      </c>
      <c r="G4468" s="50">
        <v>10</v>
      </c>
      <c r="H4468" s="50">
        <v>10</v>
      </c>
      <c r="I4468" s="50">
        <v>10</v>
      </c>
      <c r="J4468" s="50">
        <v>60</v>
      </c>
      <c r="K4468" s="51"/>
      <c r="L4468" s="50">
        <v>100</v>
      </c>
      <c r="M4468" s="49"/>
      <c r="N4468" s="29"/>
      <c r="O4468" s="29"/>
      <c r="P4468" s="19"/>
      <c r="Q4468" s="19"/>
      <c r="R4468" s="11"/>
    </row>
    <row r="4469" s="1" customFormat="1" ht="21.95" customHeight="1" spans="1:18">
      <c r="A4469" s="7"/>
      <c r="B4469" s="12"/>
      <c r="C4469" s="33"/>
      <c r="D4469" s="52" t="s">
        <v>751</v>
      </c>
      <c r="E4469" s="53"/>
      <c r="F4469" s="54" t="str">
        <f ca="1">IFERROR(VLOOKUP(F4452,'RR-3.1-5TH'!$A$12:'RR-3.1-5TH'!$BN$111,9,0),"")</f>
        <v/>
      </c>
      <c r="G4469" s="54" t="str">
        <f ca="1">IFERROR(VLOOKUP(F4452,'RR-3.1-5TH'!$A$12:'RR-3.1-5TH'!$BN$111,10,0),"")</f>
        <v/>
      </c>
      <c r="H4469" s="54" t="str">
        <f ca="1">IFERROR(VLOOKUP(F4452,'RR-3.1-5TH'!$A$12:'RR-3.1-5TH'!$BN$111,11,0),"")</f>
        <v/>
      </c>
      <c r="I4469" s="54" t="str">
        <f ca="1">IFERROR(VLOOKUP(F4452,'RR-3.1-5TH'!$A$12:'RR-3.1-5TH'!$BN$111,12,0),"")</f>
        <v/>
      </c>
      <c r="J4469" s="54" t="str">
        <f ca="1">IFERROR(VLOOKUP(F4452,'RR-3.1-5TH'!$A$12:'RR-3.1-5TH'!$BN$111,13,0),"")</f>
        <v/>
      </c>
      <c r="K4469" s="54" t="str">
        <f ca="1">IFERROR(VLOOKUP(F4452,'RR-3.1-5TH'!$A$12:'RR-3.1-5TH'!$BN$111,14,0),"")</f>
        <v/>
      </c>
      <c r="L4469" s="55">
        <f ca="1" t="shared" ref="L4469:L4474" si="234">SUM(F4469,G4469,H4469,I4469,J4469,K4469)</f>
        <v>0</v>
      </c>
      <c r="M4469" s="56" t="str">
        <f ca="1">IF(F4452&gt;ENTRY!$D$24,"",IF(L4469=0,"Ab",IF(L4469&gt;80,"A",IF(L4469&gt;60,"B",IF(L4469&gt;44,"C",IF(L4469&gt;=33,"D",IF(L4469&lt;=32,"E","")))))))</f>
        <v/>
      </c>
      <c r="N4469" s="57" t="s">
        <v>729</v>
      </c>
      <c r="O4469" s="58"/>
      <c r="P4469" s="59"/>
      <c r="Q4469" s="19"/>
      <c r="R4469" s="11"/>
    </row>
    <row r="4470" s="1" customFormat="1" ht="21.95" customHeight="1" spans="1:18">
      <c r="A4470" s="7"/>
      <c r="B4470" s="12"/>
      <c r="C4470" s="33"/>
      <c r="D4470" s="52" t="s">
        <v>513</v>
      </c>
      <c r="E4470" s="53"/>
      <c r="F4470" s="54" t="str">
        <f ca="1">IFERROR(VLOOKUP(F4452,'RR-3.1-5TH'!$A$12:'RR-3.1-5TH'!$BN$111,17,0),"")</f>
        <v/>
      </c>
      <c r="G4470" s="54" t="str">
        <f ca="1">IFERROR(VLOOKUP(F4452,'RR-3.1-5TH'!$A$12:'RR-3.1-5TH'!$BN$111,18,0),"")</f>
        <v/>
      </c>
      <c r="H4470" s="54" t="str">
        <f ca="1">IFERROR(VLOOKUP(F4452,'RR-3.1-5TH'!$A$12:'RR-3.1-5TH'!$BN$111,19,0),"")</f>
        <v/>
      </c>
      <c r="I4470" s="54" t="str">
        <f ca="1">IFERROR(VLOOKUP(F4452,'RR-3.1-5TH'!$A$12:'RR-3.1-5TH'!$BN$111,20,0),"")</f>
        <v/>
      </c>
      <c r="J4470" s="54" t="str">
        <f ca="1">IFERROR(VLOOKUP(F4452,'RR-3.1-5TH'!$A$12:'RR-3.1-5TH'!$BN$111,21,0),"")</f>
        <v/>
      </c>
      <c r="K4470" s="54" t="str">
        <f ca="1">IFERROR(VLOOKUP(F4452,'RR-3.1-5TH'!$A$12:'RR-3.1-5TH'!$BN$111,22,0),"")</f>
        <v/>
      </c>
      <c r="L4470" s="55">
        <f ca="1" t="shared" si="234"/>
        <v>0</v>
      </c>
      <c r="M4470" s="56" t="str">
        <f ca="1">IF(F4452&gt;ENTRY!$D$24,"",IF(L4470=0,"Ab",IF(L4470&gt;80,"A",IF(L4470&gt;60,"B",IF(L4470&gt;44,"C",IF(L4470&gt;=33,"D",IF(L4470&lt;=32,"E","")))))))</f>
        <v/>
      </c>
      <c r="N4470" s="58"/>
      <c r="O4470" s="58"/>
      <c r="P4470" s="59"/>
      <c r="Q4470" s="19"/>
      <c r="R4470" s="11"/>
    </row>
    <row r="4471" s="1" customFormat="1" ht="21.95" customHeight="1" spans="1:18">
      <c r="A4471" s="7"/>
      <c r="B4471" s="12"/>
      <c r="C4471" s="33"/>
      <c r="D4471" s="52" t="s">
        <v>718</v>
      </c>
      <c r="E4471" s="53"/>
      <c r="F4471" s="54" t="str">
        <f ca="1">IFERROR(VLOOKUP(F4452,'RR-3.1-5TH'!$A$12:'RR-3.1-5TH'!$BN$111,25,0),"")</f>
        <v/>
      </c>
      <c r="G4471" s="54" t="str">
        <f ca="1">IFERROR(VLOOKUP(F4452,'RR-3.1-5TH'!$A$12:'RR-3.1-5TH'!$BN$111,26,0),"")</f>
        <v/>
      </c>
      <c r="H4471" s="54" t="str">
        <f ca="1">IFERROR(VLOOKUP(F4452,'RR-3.1-5TH'!$A$12:'RR-3.1-5TH'!$BN$111,27,0),"")</f>
        <v/>
      </c>
      <c r="I4471" s="54" t="str">
        <f ca="1">IFERROR(VLOOKUP(F4452,'RR-3.1-5TH'!$A$12:'RR-3.1-5TH'!$BN$111,28,0),"")</f>
        <v/>
      </c>
      <c r="J4471" s="54" t="str">
        <f ca="1">IFERROR(VLOOKUP(F4452,'RR-3.1-5TH'!$A$12:'RR-3.1-5TH'!$BN$111,29,0),"")</f>
        <v/>
      </c>
      <c r="K4471" s="54" t="str">
        <f ca="1">IFERROR(VLOOKUP(F4452,'RR-3.1-5TH'!$A$12:'RR-3.1-5TH'!$BN$111,30,0),"")</f>
        <v/>
      </c>
      <c r="L4471" s="55">
        <f ca="1" t="shared" si="234"/>
        <v>0</v>
      </c>
      <c r="M4471" s="56" t="str">
        <f ca="1">IF(F4452&gt;ENTRY!$D$24,"",IF(L4471=0,"Ab",IF(L4471&gt;80,"A",IF(L4471&gt;60,"B",IF(L4471&gt;44,"C",IF(L4471&gt;=33,"D",IF(L4471&lt;=32,"E","")))))))</f>
        <v/>
      </c>
      <c r="N4471" s="29"/>
      <c r="O4471" s="29"/>
      <c r="P4471" s="19"/>
      <c r="Q4471" s="19"/>
      <c r="R4471" s="11"/>
    </row>
    <row r="4472" s="1" customFormat="1" ht="21.95" customHeight="1" spans="1:18">
      <c r="A4472" s="7"/>
      <c r="B4472" s="12"/>
      <c r="C4472" s="33"/>
      <c r="D4472" s="52" t="s">
        <v>719</v>
      </c>
      <c r="E4472" s="53"/>
      <c r="F4472" s="54" t="str">
        <f ca="1">IFERROR(VLOOKUP(F4452,'RR-3.1-5TH'!$A$12:'RR-3.1-5TH'!$BN$111,33,0),"")</f>
        <v/>
      </c>
      <c r="G4472" s="54" t="str">
        <f ca="1">IFERROR(VLOOKUP(F4452,'RR-3.1-5TH'!$A$12:'RR-3.1-5TH'!$BN$111,34,0),"")</f>
        <v/>
      </c>
      <c r="H4472" s="54" t="str">
        <f ca="1">IFERROR(VLOOKUP(F4452,'RR-3.1-5TH'!$A$12:'RR-3.1-5TH'!$BN$111,35,0),"")</f>
        <v/>
      </c>
      <c r="I4472" s="54" t="str">
        <f ca="1">IFERROR(VLOOKUP(F4452,'RR-3.1-5TH'!$A$12:'RR-3.1-5TH'!$BN$111,36,0),"")</f>
        <v/>
      </c>
      <c r="J4472" s="54" t="str">
        <f ca="1">IFERROR(VLOOKUP(F4452,'RR-3.1-5TH'!$A$12:'RR-3.1-5TH'!$BN$111,37,0),"")</f>
        <v/>
      </c>
      <c r="K4472" s="54" t="str">
        <f ca="1">IFERROR(VLOOKUP(F4452,'RR-3.1-5TH'!$A$12:'RR-3.1-5TH'!$BN$111,38,0),"")</f>
        <v/>
      </c>
      <c r="L4472" s="55">
        <f ca="1" t="shared" si="234"/>
        <v>0</v>
      </c>
      <c r="M4472" s="56" t="str">
        <f ca="1">IF(F4452&gt;ENTRY!$D$24,"",IF(L4472=0,"Ab",IF(L4472&gt;80,"A",IF(L4472&gt;60,"B",IF(L4472&gt;44,"C",IF(L4472&gt;=33,"D",IF(L4472&lt;=32,"E","")))))))</f>
        <v/>
      </c>
      <c r="N4472" s="29"/>
      <c r="O4472" s="29"/>
      <c r="P4472" s="19"/>
      <c r="Q4472" s="19"/>
      <c r="R4472" s="11"/>
    </row>
    <row r="4473" s="1" customFormat="1" ht="21.95" customHeight="1" spans="1:18">
      <c r="A4473" s="7"/>
      <c r="B4473" s="12"/>
      <c r="C4473" s="33"/>
      <c r="D4473" s="52" t="s">
        <v>548</v>
      </c>
      <c r="E4473" s="53"/>
      <c r="F4473" s="54" t="str">
        <f ca="1">IFERROR(VLOOKUP(F4452,'RR-3.1-5TH'!$A$12:'RR-3.1-5TH'!$BN$111,41,0),"")</f>
        <v/>
      </c>
      <c r="G4473" s="54" t="str">
        <f ca="1">IFERROR(VLOOKUP(F4452,'RR-3.1-5TH'!$A$12:'RR-3.1-5TH'!$BN$111,42,0),"")</f>
        <v/>
      </c>
      <c r="H4473" s="54" t="str">
        <f ca="1">IFERROR(VLOOKUP(F4452,'RR-3.1-5TH'!$A$12:'RR-3.1-5TH'!$BN$111,43,0),"")</f>
        <v/>
      </c>
      <c r="I4473" s="54" t="str">
        <f ca="1">IFERROR(VLOOKUP(F4452,'RR-3.1-5TH'!$A$12:'RR-3.1-5TH'!$BN$111,44,0),"")</f>
        <v/>
      </c>
      <c r="J4473" s="54" t="str">
        <f ca="1">IFERROR(VLOOKUP(F4452,'RR-3.1-5TH'!$A$12:'RR-3.1-5TH'!$BN$111,45,0),"")</f>
        <v/>
      </c>
      <c r="K4473" s="54" t="str">
        <f ca="1">IFERROR(VLOOKUP(F4452,'RR-3.1-5TH'!$A$12:'RR-3.1-5TH'!$BN$111,46,0),"")</f>
        <v/>
      </c>
      <c r="L4473" s="55">
        <f ca="1" t="shared" si="234"/>
        <v>0</v>
      </c>
      <c r="M4473" s="56" t="str">
        <f ca="1">IF(F4452&gt;ENTRY!$D$24,"",IF(L4473=0,"Ab",IF(L4473&gt;80,"A",IF(L4473&gt;60,"B",IF(L4473&gt;44,"C",IF(L4473&gt;=33,"D",IF(L4473&lt;=32,"E","")))))))</f>
        <v/>
      </c>
      <c r="N4473" s="29"/>
      <c r="O4473" s="29"/>
      <c r="P4473" s="19"/>
      <c r="Q4473" s="19"/>
      <c r="R4473" s="11"/>
    </row>
    <row r="4474" s="1" customFormat="1" ht="21.95" customHeight="1" spans="1:18">
      <c r="A4474" s="7"/>
      <c r="B4474" s="12"/>
      <c r="C4474" s="33"/>
      <c r="D4474" s="52" t="s">
        <v>549</v>
      </c>
      <c r="E4474" s="53"/>
      <c r="F4474" s="54" t="str">
        <f ca="1">IFERROR(VLOOKUP(F4452,'RR-3.1-5TH'!$A$12:'RR-3.1-5TH'!$BN$111,49,0),"")</f>
        <v/>
      </c>
      <c r="G4474" s="54" t="str">
        <f ca="1">IFERROR(VLOOKUP(F4452,'RR-3.1-5TH'!$A$12:'RR-3.1-5TH'!$BN$111,50,0),"")</f>
        <v/>
      </c>
      <c r="H4474" s="54" t="str">
        <f ca="1">IFERROR(VLOOKUP(F4452,'RR-3.1-5TH'!$A$12:'RR-3.1-5TH'!$BN$111,51,0),"")</f>
        <v/>
      </c>
      <c r="I4474" s="54" t="str">
        <f ca="1">IFERROR(VLOOKUP(F4452,'RR-3.1-5TH'!$A$12:'RR-3.1-5TH'!$BN$111,52,0),"")</f>
        <v/>
      </c>
      <c r="J4474" s="54" t="str">
        <f ca="1">IFERROR(VLOOKUP(F4452,'RR-3.1-5TH'!$A$12:'RR-3.1-5TH'!$BN$111,53,0),"")</f>
        <v/>
      </c>
      <c r="K4474" s="54" t="str">
        <f ca="1">IFERROR(VLOOKUP(F4452,'RR-3.1-5TH'!$A$12:'RR-3.1-5TH'!$BN$111,54,0),"")</f>
        <v/>
      </c>
      <c r="L4474" s="55">
        <f ca="1" t="shared" si="234"/>
        <v>0</v>
      </c>
      <c r="M4474" s="56" t="str">
        <f ca="1">IF(F4452&gt;ENTRY!$D$24,"",IF(L4474=0,"Ab",IF(L4474&gt;80,"A",IF(L4474&gt;60,"B",IF(L4474&gt;44,"C",IF(L4474&gt;=33,"D",IF(L4474&lt;=32,"E","")))))))</f>
        <v/>
      </c>
      <c r="N4474" s="57" t="s">
        <v>752</v>
      </c>
      <c r="O4474" s="58"/>
      <c r="P4474" s="59"/>
      <c r="Q4474" s="19"/>
      <c r="R4474" s="11"/>
    </row>
    <row r="4475" s="1" customFormat="1" ht="21.95" customHeight="1" spans="1:18">
      <c r="A4475" s="7"/>
      <c r="B4475" s="12"/>
      <c r="C4475" s="33"/>
      <c r="D4475" s="52" t="s">
        <v>753</v>
      </c>
      <c r="E4475" s="53"/>
      <c r="F4475" s="60"/>
      <c r="G4475" s="54"/>
      <c r="H4475" s="54"/>
      <c r="I4475" s="54"/>
      <c r="J4475" s="54"/>
      <c r="K4475" s="54"/>
      <c r="L4475" s="55">
        <f t="shared" ref="L4475" si="235">SUM(G4475:K4475)</f>
        <v>0</v>
      </c>
      <c r="M4475" s="56" t="str">
        <f>IF(F4452&gt;ENTRY!$D$24,"",IF(L4475=0,"",IF(L4475&gt;79,"A",IF(L4475&gt;59,"B",IF(L4475&gt;44,"C",IF(L4475&gt;=33,"D",IF(L4475&lt;=32,"E","")))))))</f>
        <v/>
      </c>
      <c r="N4475" s="58"/>
      <c r="O4475" s="58"/>
      <c r="P4475" s="59"/>
      <c r="Q4475" s="19"/>
      <c r="R4475" s="11"/>
    </row>
    <row r="4476" s="1" customFormat="1" ht="21.95" customHeight="1" spans="1:18">
      <c r="A4476" s="7"/>
      <c r="B4476" s="12"/>
      <c r="C4476" s="33"/>
      <c r="D4476" s="45" t="s">
        <v>382</v>
      </c>
      <c r="E4476" s="46"/>
      <c r="F4476" s="54">
        <f ca="1" t="shared" ref="F4476:L4476" si="236">IFERROR(SUM(F4469:F4475),"")</f>
        <v>0</v>
      </c>
      <c r="G4476" s="54">
        <f ca="1" t="shared" si="236"/>
        <v>0</v>
      </c>
      <c r="H4476" s="54">
        <f ca="1" t="shared" si="236"/>
        <v>0</v>
      </c>
      <c r="I4476" s="54">
        <f ca="1" t="shared" si="236"/>
        <v>0</v>
      </c>
      <c r="J4476" s="54">
        <f ca="1" t="shared" si="236"/>
        <v>0</v>
      </c>
      <c r="K4476" s="54">
        <f ca="1" t="shared" si="236"/>
        <v>0</v>
      </c>
      <c r="L4476" s="55">
        <f ca="1" t="shared" si="236"/>
        <v>0</v>
      </c>
      <c r="M4476" s="61" t="str">
        <f ca="1">IF(F4452&gt;ENTRY!$D$24,"",IF(N4477="Ab","Ab",IF(N4477&gt;79.5,"A",IF(N4477&gt;59.5,"B",IF(N4477&gt;44.5,"C",IF(N4477&gt;=33,"D",IF(N4477&lt;33,"E","")))))))</f>
        <v/>
      </c>
      <c r="N4476" s="62"/>
      <c r="O4476" s="58"/>
      <c r="P4476" s="59"/>
      <c r="Q4476" s="19"/>
      <c r="R4476" s="11"/>
    </row>
    <row r="4477" s="1" customFormat="1" ht="21.95" customHeight="1" spans="1:18">
      <c r="A4477" s="7"/>
      <c r="B4477" s="12"/>
      <c r="C4477" s="33"/>
      <c r="D4477" s="63" t="s">
        <v>721</v>
      </c>
      <c r="E4477" s="63"/>
      <c r="F4477" s="63"/>
      <c r="G4477" s="63"/>
      <c r="H4477" s="63"/>
      <c r="I4477" s="63"/>
      <c r="J4477" s="63"/>
      <c r="K4477" s="63"/>
      <c r="L4477" s="63"/>
      <c r="M4477" s="63"/>
      <c r="N4477" s="64">
        <f ca="1">IF(L4476="Ab","Ab",L4476/6)</f>
        <v>0</v>
      </c>
      <c r="O4477" s="65"/>
      <c r="P4477" s="19"/>
      <c r="Q4477" s="19"/>
      <c r="R4477" s="11"/>
    </row>
    <row r="4478" s="1" customFormat="1" ht="21.95" customHeight="1" spans="1:18">
      <c r="A4478" s="7"/>
      <c r="B4478" s="12"/>
      <c r="C4478" s="33"/>
      <c r="D4478" s="29" t="s">
        <v>716</v>
      </c>
      <c r="E4478" s="18" t="str">
        <f>IFERROR(VLOOKUP(F4452,'1to4-2.1-RR'!$A$12:$BG$111,57,0),"")</f>
        <v/>
      </c>
      <c r="F4478" s="18"/>
      <c r="G4478" s="18"/>
      <c r="H4478" s="18"/>
      <c r="I4478" s="18"/>
      <c r="J4478" s="18"/>
      <c r="K4478" s="18"/>
      <c r="L4478" s="18"/>
      <c r="M4478" s="18"/>
      <c r="N4478" s="29"/>
      <c r="O4478" s="29"/>
      <c r="P4478" s="19"/>
      <c r="Q4478" s="19"/>
      <c r="R4478" s="11"/>
    </row>
    <row r="4479" s="1" customFormat="1" ht="9.95" customHeight="1" spans="1:18">
      <c r="A4479" s="7"/>
      <c r="B4479" s="12"/>
      <c r="C4479" s="33"/>
      <c r="D4479" s="29"/>
      <c r="E4479" s="29"/>
      <c r="F4479" s="29"/>
      <c r="G4479" s="29"/>
      <c r="H4479" s="29"/>
      <c r="I4479" s="29"/>
      <c r="J4479" s="29"/>
      <c r="K4479" s="29"/>
      <c r="L4479" s="29"/>
      <c r="M4479" s="29"/>
      <c r="N4479" s="29"/>
      <c r="O4479" s="29"/>
      <c r="P4479" s="19"/>
      <c r="Q4479" s="19"/>
      <c r="R4479" s="11"/>
    </row>
    <row r="4480" s="1" customFormat="1" ht="36" spans="1:18">
      <c r="A4480" s="7"/>
      <c r="B4480" s="12"/>
      <c r="C4480" s="33"/>
      <c r="D4480" s="66" t="s">
        <v>576</v>
      </c>
      <c r="E4480" s="67" t="s">
        <v>754</v>
      </c>
      <c r="F4480" s="47" t="str">
        <f>IF(F4452&gt;ENTRY!$D$24,"",IFERROR(VLOOKUP(F4452,PASHEET!$A$4:$CJ$103,88,0),""))</f>
        <v/>
      </c>
      <c r="G4480" s="67" t="s">
        <v>755</v>
      </c>
      <c r="H4480" s="47" t="str">
        <f>IF(F4452&gt;ENTRY!$D$24,"",IFERROR(VLOOKUP(F4452,PASHEET!$A$4:$CJ$103,87,0),""))</f>
        <v/>
      </c>
      <c r="I4480" s="68" t="s">
        <v>756</v>
      </c>
      <c r="J4480" s="69" t="str">
        <f>IF(F4452&gt;ENTRY!$D$24,"",IFERROR(IF(F4452&gt;0,H4480/F4480*100),""))</f>
        <v/>
      </c>
      <c r="K4480" s="60" t="s">
        <v>757</v>
      </c>
      <c r="L4480" s="70" t="str">
        <f ca="1">IF(F4452&gt;ENTRY!$D$24,"",IFERROR(L4476/600*100,""))</f>
        <v/>
      </c>
      <c r="M4480" s="47" t="str">
        <f ca="1">IF(F4452&gt;ENTRY!$D$24,"",IFERROR(L4476&amp;" / "&amp;"600",""))</f>
        <v/>
      </c>
      <c r="N4480" s="29"/>
      <c r="O4480" s="29"/>
      <c r="P4480" s="19"/>
      <c r="Q4480" s="19"/>
      <c r="R4480" s="11"/>
    </row>
    <row r="4481" s="1" customFormat="1" ht="9.95" customHeight="1" spans="1:19">
      <c r="A4481" s="7"/>
      <c r="B4481" s="12"/>
      <c r="C4481" s="39"/>
      <c r="D4481" s="40"/>
      <c r="E4481" s="40"/>
      <c r="F4481" s="40"/>
      <c r="G4481" s="40"/>
      <c r="H4481" s="40"/>
      <c r="I4481" s="40"/>
      <c r="J4481" s="40"/>
      <c r="K4481" s="40"/>
      <c r="L4481" s="40"/>
      <c r="M4481" s="40"/>
      <c r="N4481" s="40"/>
      <c r="O4481" s="40"/>
      <c r="P4481" s="41"/>
      <c r="Q4481" s="19"/>
      <c r="R4481" s="11"/>
    </row>
    <row r="4482" s="1" customFormat="1" ht="9.95" customHeight="1" spans="1:19">
      <c r="A4482" s="7"/>
      <c r="B4482" s="12"/>
      <c r="C4482" s="71"/>
      <c r="D4482" s="71"/>
      <c r="E4482" s="71"/>
      <c r="F4482" s="29"/>
      <c r="G4482" s="71"/>
      <c r="H4482" s="71"/>
      <c r="I4482" s="71"/>
      <c r="J4482" s="71"/>
      <c r="K4482" s="71"/>
      <c r="L4482" s="71"/>
      <c r="M4482" s="71"/>
      <c r="N4482" s="71"/>
      <c r="O4482" s="71"/>
      <c r="P4482" s="71"/>
      <c r="Q4482" s="19"/>
      <c r="R4482" s="11"/>
    </row>
    <row r="4483" s="1" customFormat="1" ht="9.95" customHeight="1" spans="1:19">
      <c r="A4483" s="7"/>
      <c r="B4483" s="12"/>
      <c r="C4483" s="29"/>
      <c r="D4483" s="29"/>
      <c r="E4483" s="29"/>
      <c r="F4483" s="72"/>
      <c r="G4483" s="29"/>
      <c r="H4483" s="29"/>
      <c r="I4483" s="29"/>
      <c r="J4483" s="29"/>
      <c r="K4483" s="29"/>
      <c r="L4483" s="29"/>
      <c r="M4483" s="29"/>
      <c r="N4483" s="29"/>
      <c r="O4483" s="29"/>
      <c r="P4483" s="29"/>
      <c r="Q4483" s="19"/>
      <c r="R4483" s="11"/>
    </row>
    <row r="4484" s="1" customFormat="1" ht="9.95" customHeight="1" spans="1:19">
      <c r="A4484" s="7"/>
      <c r="B4484" s="12"/>
      <c r="C4484" s="30"/>
      <c r="D4484" s="31"/>
      <c r="E4484" s="31"/>
      <c r="F4484" s="31"/>
      <c r="G4484" s="31"/>
      <c r="H4484" s="31"/>
      <c r="I4484" s="31"/>
      <c r="J4484" s="31"/>
      <c r="K4484" s="31"/>
      <c r="L4484" s="31"/>
      <c r="M4484" s="31"/>
      <c r="N4484" s="31"/>
      <c r="O4484" s="31"/>
      <c r="P4484" s="32"/>
      <c r="Q4484" s="19"/>
      <c r="R4484" s="11"/>
    </row>
    <row r="4485" s="1" customFormat="1" ht="21.95" customHeight="1" spans="1:19">
      <c r="A4485" s="7"/>
      <c r="B4485" s="12"/>
      <c r="C4485" s="73" t="s">
        <v>7</v>
      </c>
      <c r="D4485" s="13"/>
      <c r="E4485" s="13"/>
      <c r="F4485" s="13"/>
      <c r="G4485" s="13"/>
      <c r="H4485" s="13"/>
      <c r="I4485" s="13"/>
      <c r="J4485" s="13"/>
      <c r="K4485" s="13"/>
      <c r="L4485" s="13"/>
      <c r="M4485" s="13"/>
      <c r="N4485" s="13"/>
      <c r="O4485" s="13"/>
      <c r="P4485" s="74"/>
      <c r="Q4485" s="19"/>
      <c r="R4485" s="11"/>
      <c r="S4485" s="2"/>
    </row>
    <row r="4486" s="1" customFormat="1" ht="21.95" customHeight="1" spans="1:19">
      <c r="A4486" s="7"/>
      <c r="B4486" s="12"/>
      <c r="C4486" s="33"/>
      <c r="D4486" s="29"/>
      <c r="E4486" s="29"/>
      <c r="F4486" s="29"/>
      <c r="G4486" s="29"/>
      <c r="H4486" s="29"/>
      <c r="I4486" s="29"/>
      <c r="J4486" s="29"/>
      <c r="K4486" s="29"/>
      <c r="L4486" s="29"/>
      <c r="M4486" s="29"/>
      <c r="N4486" s="29"/>
      <c r="O4486" s="29"/>
      <c r="P4486" s="19"/>
      <c r="Q4486" s="19"/>
      <c r="R4486" s="11"/>
    </row>
    <row r="4487" s="1" customFormat="1" ht="21.95" customHeight="1" spans="1:19">
      <c r="A4487" s="7"/>
      <c r="B4487" s="12"/>
      <c r="C4487" s="75" t="str">
        <f>"SESSION-"&amp;ENTRY!$D$11</f>
        <v>SESSION-2026-27</v>
      </c>
      <c r="D4487" s="15"/>
      <c r="E4487" s="15"/>
      <c r="F4487" s="15"/>
      <c r="G4487" s="15"/>
      <c r="H4487" s="15"/>
      <c r="I4487" s="15"/>
      <c r="J4487" s="15"/>
      <c r="K4487" s="15"/>
      <c r="L4487" s="15"/>
      <c r="M4487" s="15"/>
      <c r="N4487" s="15"/>
      <c r="O4487" s="15"/>
      <c r="P4487" s="76"/>
      <c r="Q4487" s="19"/>
      <c r="R4487" s="11"/>
    </row>
    <row r="4488" s="1" customFormat="1" ht="18" customHeight="1" spans="1:19">
      <c r="A4488" s="7"/>
      <c r="B4488" s="12"/>
      <c r="C4488" s="33"/>
      <c r="D4488" s="29"/>
      <c r="E4488" s="29"/>
      <c r="F4488" s="29"/>
      <c r="G4488" s="29"/>
      <c r="H4488" s="29"/>
      <c r="I4488" s="29"/>
      <c r="J4488" s="29"/>
      <c r="K4488" s="29"/>
      <c r="L4488" s="29"/>
      <c r="M4488" s="29"/>
      <c r="N4488" s="29"/>
      <c r="O4488" s="29"/>
      <c r="P4488" s="19"/>
      <c r="Q4488" s="19"/>
      <c r="R4488" s="11"/>
    </row>
    <row r="4489" s="1" customFormat="1" ht="21.95" customHeight="1" spans="1:19">
      <c r="A4489" s="7"/>
      <c r="B4489" s="12"/>
      <c r="C4489" s="33"/>
      <c r="D4489" s="77" t="s">
        <v>758</v>
      </c>
      <c r="E4489" s="77"/>
      <c r="F4489" s="78" t="str">
        <f>IFERROR(PROPER(VLOOKUP(F4452,STUDENT!$A$2:$BP$101,5,0)),"")</f>
        <v/>
      </c>
      <c r="G4489" s="78"/>
      <c r="H4489" s="78"/>
      <c r="I4489" s="78"/>
      <c r="J4489" s="78"/>
      <c r="K4489" s="78"/>
      <c r="L4489" s="78"/>
      <c r="M4489" s="78"/>
      <c r="N4489" s="79" t="s">
        <v>759</v>
      </c>
      <c r="O4489" s="79"/>
      <c r="P4489" s="19"/>
      <c r="Q4489" s="19"/>
      <c r="R4489" s="11"/>
    </row>
    <row r="4490" s="1" customFormat="1" ht="21.95" customHeight="1" spans="1:19">
      <c r="A4490" s="7"/>
      <c r="B4490" s="12"/>
      <c r="C4490" s="33"/>
      <c r="D4490" s="80" t="s">
        <v>760</v>
      </c>
      <c r="E4490" s="81" t="str">
        <f>IFERROR(PROPER(VLOOKUP(F4452,STUDENT!$A$2:$BP$101,9,0)),"")</f>
        <v/>
      </c>
      <c r="F4490" s="81"/>
      <c r="G4490" s="81"/>
      <c r="H4490" s="80" t="s">
        <v>761</v>
      </c>
      <c r="I4490" s="82" t="str">
        <f>IFERROR(PROPER(VLOOKUP(F4452,STUDENT!$A$2:$BP$101,8,0)),"")</f>
        <v/>
      </c>
      <c r="J4490" s="82"/>
      <c r="K4490" s="82"/>
      <c r="L4490" s="82"/>
      <c r="M4490" s="80" t="s">
        <v>762</v>
      </c>
      <c r="N4490" s="83" t="str">
        <f>IFERROR(VLOOKUP(F4452,STUDENT!$A$2:$BP$101,59,0),"")</f>
        <v/>
      </c>
      <c r="O4490" s="83"/>
      <c r="P4490" s="19"/>
      <c r="Q4490" s="19"/>
      <c r="R4490" s="11"/>
    </row>
    <row r="4491" s="1" customFormat="1" ht="21.95" customHeight="1" spans="1:19">
      <c r="A4491" s="7"/>
      <c r="B4491" s="12"/>
      <c r="C4491" s="33"/>
      <c r="D4491" s="77" t="str">
        <f>"has    completed     his  /  her     primary     level     education    in    the    year    "&amp;RIGHT(ENTRY!$D4457,4)&amp;"    from    ( School    Name )"</f>
        <v>has    completed     his  /  her     primary     level     education    in    the    year        from    ( School    Name )</v>
      </c>
      <c r="E4491" s="77"/>
      <c r="F4491" s="77"/>
      <c r="G4491" s="77"/>
      <c r="H4491" s="77"/>
      <c r="I4491" s="77"/>
      <c r="J4491" s="77"/>
      <c r="K4491" s="77"/>
      <c r="L4491" s="77"/>
      <c r="M4491" s="77"/>
      <c r="N4491" s="77"/>
      <c r="O4491" s="77"/>
      <c r="P4491" s="19"/>
      <c r="Q4491" s="19"/>
      <c r="R4491" s="11"/>
    </row>
    <row r="4492" s="1" customFormat="1" ht="21.95" customHeight="1" spans="1:19">
      <c r="A4492" s="7"/>
      <c r="B4492" s="12"/>
      <c r="C4492" s="33"/>
      <c r="D4492" s="81" t="str">
        <f>IF(F4452&gt;0,ENTRY!$D$6,"")</f>
        <v>MCP NITHARI NO 1 BOYS</v>
      </c>
      <c r="E4492" s="81"/>
      <c r="F4492" s="81"/>
      <c r="G4492" s="81"/>
      <c r="H4492" s="81"/>
      <c r="I4492" s="81"/>
      <c r="J4492" s="81"/>
      <c r="K4492" s="81"/>
      <c r="L4492" s="81"/>
      <c r="M4492" s="80" t="s">
        <v>763</v>
      </c>
      <c r="N4492" s="84">
        <f>IF(F4452&gt;0,ENTRY!$D$7,"")</f>
        <v>0</v>
      </c>
      <c r="O4492" s="84"/>
      <c r="P4492" s="85" t="s">
        <v>727</v>
      </c>
      <c r="Q4492" s="19"/>
      <c r="R4492" s="11"/>
    </row>
    <row r="4493" s="1" customFormat="1" ht="21.95" customHeight="1" spans="1:19">
      <c r="A4493" s="7"/>
      <c r="B4493" s="12"/>
      <c r="C4493" s="33"/>
      <c r="D4493" s="29"/>
      <c r="E4493" s="29"/>
      <c r="F4493" s="29"/>
      <c r="G4493" s="29"/>
      <c r="H4493" s="29"/>
      <c r="I4493" s="29"/>
      <c r="J4493" s="29"/>
      <c r="K4493" s="29"/>
      <c r="L4493" s="29"/>
      <c r="M4493" s="29"/>
      <c r="N4493" s="29"/>
      <c r="O4493" s="29"/>
      <c r="P4493" s="19"/>
      <c r="Q4493" s="19"/>
      <c r="R4493" s="11"/>
    </row>
    <row r="4494" s="1" customFormat="1" ht="21.95" customHeight="1" spans="1:19">
      <c r="A4494" s="7"/>
      <c r="B4494" s="12"/>
      <c r="C4494" s="33"/>
      <c r="D4494" s="29"/>
      <c r="E4494" s="29"/>
      <c r="F4494" s="29"/>
      <c r="G4494" s="29"/>
      <c r="H4494" s="29"/>
      <c r="I4494" s="29"/>
      <c r="J4494" s="29"/>
      <c r="K4494" s="29"/>
      <c r="L4494" s="29"/>
      <c r="M4494" s="29"/>
      <c r="N4494" s="29"/>
      <c r="O4494" s="29"/>
      <c r="P4494" s="19"/>
      <c r="Q4494" s="19"/>
      <c r="R4494" s="11"/>
    </row>
    <row r="4495" s="1" customFormat="1" ht="21.95" customHeight="1" spans="1:19">
      <c r="A4495" s="7"/>
      <c r="B4495" s="12"/>
      <c r="C4495" s="33"/>
      <c r="D4495" s="29"/>
      <c r="E4495" s="29"/>
      <c r="F4495" s="29"/>
      <c r="G4495" s="29"/>
      <c r="H4495" s="29"/>
      <c r="I4495" s="29"/>
      <c r="J4495" s="29"/>
      <c r="K4495" s="29"/>
      <c r="L4495" s="29"/>
      <c r="M4495" s="29"/>
      <c r="N4495" s="29"/>
      <c r="O4495" s="29"/>
      <c r="P4495" s="19"/>
      <c r="Q4495" s="19"/>
      <c r="R4495" s="11"/>
    </row>
    <row r="4496" s="1" customFormat="1" ht="21.95" customHeight="1" spans="1:19">
      <c r="A4496" s="7"/>
      <c r="B4496" s="12"/>
      <c r="C4496" s="33"/>
      <c r="D4496" s="29"/>
      <c r="E4496" s="29"/>
      <c r="F4496" s="29"/>
      <c r="G4496" s="29"/>
      <c r="H4496" s="29"/>
      <c r="I4496" s="29"/>
      <c r="J4496" s="29"/>
      <c r="K4496" s="29"/>
      <c r="L4496" s="29"/>
      <c r="M4496" s="29"/>
      <c r="N4496" s="29"/>
      <c r="O4496" s="29"/>
      <c r="P4496" s="19"/>
      <c r="Q4496" s="19"/>
      <c r="R4496" s="11"/>
    </row>
    <row r="4497" s="1" customFormat="1" ht="21.95" customHeight="1" spans="1:18">
      <c r="A4497" s="7"/>
      <c r="B4497" s="12"/>
      <c r="C4497" s="33"/>
      <c r="D4497" s="29"/>
      <c r="E4497" s="29"/>
      <c r="F4497" s="29"/>
      <c r="G4497" s="29"/>
      <c r="H4497" s="29"/>
      <c r="I4497" s="29"/>
      <c r="J4497" s="29"/>
      <c r="K4497" s="29"/>
      <c r="L4497" s="29"/>
      <c r="M4497" s="29"/>
      <c r="N4497" s="29"/>
      <c r="O4497" s="29"/>
      <c r="P4497" s="19"/>
      <c r="Q4497" s="19"/>
      <c r="R4497" s="11"/>
    </row>
    <row r="4498" s="1" customFormat="1" ht="21.95" customHeight="1" spans="1:18">
      <c r="A4498" s="7"/>
      <c r="B4498" s="12"/>
      <c r="C4498" s="33"/>
      <c r="D4498" s="80" t="s">
        <v>728</v>
      </c>
      <c r="E4498" s="86">
        <f>ENTRY!$D$27</f>
        <v>46102</v>
      </c>
      <c r="F4498" s="86"/>
      <c r="G4498" s="29"/>
      <c r="H4498" s="29"/>
      <c r="I4498" s="29"/>
      <c r="J4498" s="29"/>
      <c r="K4498" s="29"/>
      <c r="L4498" s="29"/>
      <c r="M4498" s="87" t="s">
        <v>730</v>
      </c>
      <c r="N4498" s="87"/>
      <c r="O4498" s="87"/>
      <c r="P4498" s="19"/>
      <c r="Q4498" s="19"/>
      <c r="R4498" s="11"/>
    </row>
    <row r="4499" s="1" customFormat="1" ht="21.95" customHeight="1" spans="1:18">
      <c r="A4499" s="7"/>
      <c r="B4499" s="12"/>
      <c r="C4499" s="33"/>
      <c r="D4499" s="80" t="s">
        <v>731</v>
      </c>
      <c r="E4499" s="88" t="str">
        <f>PROPER(ENTRY!$D$28)</f>
        <v>New Delhi</v>
      </c>
      <c r="F4499" s="88"/>
      <c r="G4499" s="29"/>
      <c r="H4499" s="29"/>
      <c r="I4499" s="29"/>
      <c r="J4499" s="29"/>
      <c r="K4499" s="29"/>
      <c r="L4499" s="29"/>
      <c r="M4499" s="89" t="s">
        <v>732</v>
      </c>
      <c r="N4499" s="89"/>
      <c r="O4499" s="89"/>
      <c r="P4499" s="19"/>
      <c r="Q4499" s="19"/>
      <c r="R4499" s="11"/>
    </row>
    <row r="4500" s="1" customFormat="1" ht="21.95" customHeight="1" spans="1:18">
      <c r="A4500" s="7"/>
      <c r="B4500" s="12"/>
      <c r="C4500" s="90"/>
      <c r="D4500" s="91"/>
      <c r="E4500" s="91"/>
      <c r="F4500" s="91"/>
      <c r="G4500" s="91"/>
      <c r="H4500" s="91"/>
      <c r="I4500" s="91"/>
      <c r="J4500" s="91"/>
      <c r="K4500" s="91"/>
      <c r="L4500" s="91"/>
      <c r="M4500" s="91"/>
      <c r="N4500" s="91"/>
      <c r="O4500" s="91"/>
      <c r="P4500" s="92"/>
      <c r="Q4500" s="14"/>
      <c r="R4500" s="11"/>
    </row>
    <row r="4501" s="1" customFormat="1" ht="5.1" customHeight="1" spans="1:18">
      <c r="A4501" s="7"/>
      <c r="B4501" s="90"/>
      <c r="C4501" s="91"/>
      <c r="D4501" s="91"/>
      <c r="E4501" s="91"/>
      <c r="F4501" s="91"/>
      <c r="G4501" s="91"/>
      <c r="H4501" s="91"/>
      <c r="I4501" s="91"/>
      <c r="J4501" s="91"/>
      <c r="K4501" s="91"/>
      <c r="L4501" s="91"/>
      <c r="M4501" s="91"/>
      <c r="N4501" s="91"/>
      <c r="O4501" s="91"/>
      <c r="P4501" s="91"/>
      <c r="Q4501" s="92"/>
      <c r="R4501" s="11"/>
    </row>
    <row r="4502" s="1" customFormat="1" ht="5.1" customHeight="1" spans="1:18">
      <c r="A4502" s="93"/>
      <c r="B4502" s="94"/>
      <c r="C4502" s="94"/>
      <c r="D4502" s="94"/>
      <c r="E4502" s="94"/>
      <c r="F4502" s="94"/>
      <c r="G4502" s="94"/>
      <c r="H4502" s="94"/>
      <c r="I4502" s="94"/>
      <c r="J4502" s="94"/>
      <c r="K4502" s="94"/>
      <c r="L4502" s="94"/>
      <c r="M4502" s="94"/>
      <c r="N4502" s="94"/>
      <c r="O4502" s="94"/>
      <c r="P4502" s="94"/>
      <c r="Q4502" s="94"/>
      <c r="R4502" s="95"/>
    </row>
    <row r="4503" s="2" customFormat="1" ht="9.95" customHeight="1"/>
    <row r="4504" s="1" customFormat="1" ht="5.1" customHeight="1" spans="1:18">
      <c r="A4504" s="4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  <c r="O4504" s="5"/>
      <c r="P4504" s="5"/>
      <c r="Q4504" s="5"/>
      <c r="R4504" s="6"/>
    </row>
    <row r="4505" s="1" customFormat="1" ht="15" customHeight="1" spans="1:18">
      <c r="A4505" s="7"/>
      <c r="B4505" s="8"/>
      <c r="C4505" s="9"/>
      <c r="D4505" s="9"/>
      <c r="E4505" s="9"/>
      <c r="F4505" s="9"/>
      <c r="G4505" s="9"/>
      <c r="H4505" s="9"/>
      <c r="I4505" s="9"/>
      <c r="J4505" s="9"/>
      <c r="K4505" s="9"/>
      <c r="L4505" s="9"/>
      <c r="M4505" s="9"/>
      <c r="N4505" s="9"/>
      <c r="O4505" s="9"/>
      <c r="P4505" s="9"/>
      <c r="Q4505" s="10"/>
      <c r="R4505" s="11"/>
    </row>
    <row r="4506" s="1" customFormat="1" ht="21.95" customHeight="1" spans="1:18">
      <c r="A4506" s="7"/>
      <c r="B4506" s="12"/>
      <c r="C4506" s="13" t="s">
        <v>7</v>
      </c>
      <c r="D4506" s="13"/>
      <c r="E4506" s="13"/>
      <c r="F4506" s="13"/>
      <c r="G4506" s="13"/>
      <c r="H4506" s="13"/>
      <c r="I4506" s="13"/>
      <c r="J4506" s="13"/>
      <c r="K4506" s="13"/>
      <c r="L4506" s="13"/>
      <c r="M4506" s="13"/>
      <c r="N4506" s="13"/>
      <c r="O4506" s="13"/>
      <c r="P4506" s="13"/>
      <c r="Q4506" s="14"/>
      <c r="R4506" s="11"/>
    </row>
    <row r="4507" s="1" customFormat="1" ht="21.95" customHeight="1" spans="1:18">
      <c r="A4507" s="7"/>
      <c r="B4507" s="1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14"/>
      <c r="R4507" s="11"/>
    </row>
    <row r="4508" s="1" customFormat="1" ht="21.95" customHeight="1" spans="1:18">
      <c r="A4508" s="7"/>
      <c r="B4508" s="12"/>
      <c r="C4508" s="15" t="str">
        <f>"SESSION-"&amp;ENTRY!$D$11</f>
        <v>SESSION-2026-27</v>
      </c>
      <c r="D4508" s="15"/>
      <c r="E4508" s="15"/>
      <c r="F4508" s="15"/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  <c r="Q4508" s="14"/>
      <c r="R4508" s="11"/>
    </row>
    <row r="4509" s="1" customFormat="1" ht="21.95" customHeight="1" spans="1:18">
      <c r="A4509" s="7"/>
      <c r="B4509" s="12"/>
      <c r="C4509" s="2"/>
      <c r="D4509" s="2"/>
      <c r="E4509" s="2"/>
      <c r="F4509" s="16">
        <f>F4452+1</f>
        <v>80</v>
      </c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14"/>
      <c r="R4509" s="11"/>
    </row>
    <row r="4510" s="1" customFormat="1" ht="21.95" customHeight="1" spans="1:18">
      <c r="A4510" s="7"/>
      <c r="B4510" s="12"/>
      <c r="C4510" s="17" t="s">
        <v>392</v>
      </c>
      <c r="D4510" s="17"/>
      <c r="E4510" s="17"/>
      <c r="F4510" s="18" t="str">
        <f>IF(F4509&gt;0,ENTRY!$D$6,"")</f>
        <v>MCP NITHARI NO 1 BOYS</v>
      </c>
      <c r="G4510" s="18"/>
      <c r="H4510" s="18"/>
      <c r="I4510" s="18"/>
      <c r="J4510" s="18"/>
      <c r="K4510" s="18"/>
      <c r="L4510" s="18"/>
      <c r="M4510" s="18"/>
      <c r="N4510" s="18"/>
      <c r="O4510" s="18"/>
      <c r="P4510" s="18"/>
      <c r="Q4510" s="19"/>
      <c r="R4510" s="11"/>
    </row>
    <row r="4511" s="1" customFormat="1" ht="21.95" customHeight="1" spans="1:18">
      <c r="A4511" s="7"/>
      <c r="B4511" s="12"/>
      <c r="C4511" s="17" t="s">
        <v>393</v>
      </c>
      <c r="D4511" s="17"/>
      <c r="E4511" s="17"/>
      <c r="F4511" s="18">
        <f>IF(F4509&gt;0,ENTRY!$D$7,"")</f>
        <v>0</v>
      </c>
      <c r="G4511" s="18"/>
      <c r="H4511" s="20" t="s">
        <v>702</v>
      </c>
      <c r="I4511" s="20"/>
      <c r="J4511" s="21">
        <f>IF(F4509&gt;0,ENTRY!$D$10,"")</f>
        <v>40</v>
      </c>
      <c r="K4511" s="20" t="s">
        <v>703</v>
      </c>
      <c r="L4511" s="22" t="str">
        <f>IF(F4509&gt;0,ENTRY!$D$5,"")</f>
        <v>ROHINI ZONE</v>
      </c>
      <c r="M4511" s="22"/>
      <c r="N4511" s="22"/>
      <c r="O4511" s="22"/>
      <c r="P4511" s="22"/>
      <c r="Q4511" s="19"/>
      <c r="R4511" s="11"/>
    </row>
    <row r="4512" s="1" customFormat="1" ht="21.95" customHeight="1" spans="1:18">
      <c r="A4512" s="7"/>
      <c r="B4512" s="12"/>
      <c r="C4512" s="17" t="s">
        <v>706</v>
      </c>
      <c r="D4512" s="17"/>
      <c r="E4512" s="17"/>
      <c r="F4512" s="23">
        <f>IFERROR(VLOOKUP(F4509,STUDENT!$A$2:$BP$101,5,0),"")</f>
        <v>0</v>
      </c>
      <c r="G4512" s="23"/>
      <c r="H4512" s="23"/>
      <c r="I4512" s="23"/>
      <c r="J4512" s="23"/>
      <c r="K4512" s="23"/>
      <c r="L4512" s="20" t="s">
        <v>707</v>
      </c>
      <c r="M4512" s="20"/>
      <c r="N4512" s="24" t="str">
        <f>IF(F4509&gt;0,ENTRY!$D$20&amp;"-"&amp;ENTRY!$D$21,"")</f>
        <v>III-A</v>
      </c>
      <c r="O4512" s="24"/>
      <c r="P4512" s="24"/>
      <c r="Q4512" s="19"/>
      <c r="R4512" s="11"/>
    </row>
    <row r="4513" s="1" customFormat="1" ht="21.95" customHeight="1" spans="1:18">
      <c r="A4513" s="7"/>
      <c r="B4513" s="12"/>
      <c r="C4513" s="17" t="s">
        <v>708</v>
      </c>
      <c r="D4513" s="17"/>
      <c r="E4513" s="17"/>
      <c r="F4513" s="25">
        <f>IFERROR(VLOOKUP(F4509,STUDENT!$A$2:$BP$101,6,0),"")</f>
        <v>0</v>
      </c>
      <c r="G4513" s="25"/>
      <c r="H4513" s="26" t="s">
        <v>709</v>
      </c>
      <c r="I4513" s="27" t="str">
        <f>IFERROR(VLOOKUP(F4509,STUDENT!$A$2:$BP$101,59,0),"")</f>
        <v/>
      </c>
      <c r="J4513" s="27"/>
      <c r="K4513" s="20" t="s">
        <v>710</v>
      </c>
      <c r="L4513" s="20"/>
      <c r="M4513" s="28">
        <f>IFERROR(VLOOKUP(F4509,STUDENT!$A$2:$BP$101,20,0),"")</f>
        <v>0</v>
      </c>
      <c r="N4513" s="28"/>
      <c r="O4513" s="28"/>
      <c r="P4513" s="28"/>
      <c r="Q4513" s="19"/>
      <c r="R4513" s="11"/>
    </row>
    <row r="4514" s="1" customFormat="1" ht="21.95" customHeight="1" spans="1:18">
      <c r="A4514" s="7"/>
      <c r="B4514" s="12"/>
      <c r="C4514" s="17" t="s">
        <v>711</v>
      </c>
      <c r="D4514" s="17"/>
      <c r="E4514" s="17"/>
      <c r="F4514" s="23">
        <f>IFERROR(VLOOKUP(F4509,STUDENT!$A$2:$BP$101,9,0),"")</f>
        <v>0</v>
      </c>
      <c r="G4514" s="23"/>
      <c r="H4514" s="23"/>
      <c r="I4514" s="23"/>
      <c r="J4514" s="17" t="s">
        <v>620</v>
      </c>
      <c r="K4514" s="17"/>
      <c r="L4514" s="23">
        <f>IFERROR(VLOOKUP(F4509,STUDENT!$A$2:$BP$101,8,0),"")</f>
        <v>0</v>
      </c>
      <c r="M4514" s="23"/>
      <c r="N4514" s="23"/>
      <c r="O4514" s="23"/>
      <c r="P4514" s="23"/>
      <c r="Q4514" s="19"/>
      <c r="R4514" s="11"/>
    </row>
    <row r="4515" s="1" customFormat="1" ht="21.95" customHeight="1" spans="1:18">
      <c r="A4515" s="7"/>
      <c r="B4515" s="12"/>
      <c r="C4515" s="17" t="s">
        <v>712</v>
      </c>
      <c r="D4515" s="17"/>
      <c r="E4515" s="17"/>
      <c r="F4515" s="23">
        <f>IFERROR(VLOOKUP(F4509,STUDENT!$A$2:$BP$101,22,0),"")</f>
        <v>0</v>
      </c>
      <c r="G4515" s="23"/>
      <c r="H4515" s="23"/>
      <c r="I4515" s="23"/>
      <c r="J4515" s="23"/>
      <c r="K4515" s="23"/>
      <c r="L4515" s="23"/>
      <c r="M4515" s="23"/>
      <c r="N4515" s="23"/>
      <c r="O4515" s="23"/>
      <c r="P4515" s="23"/>
      <c r="Q4515" s="19"/>
      <c r="R4515" s="11"/>
    </row>
    <row r="4516" s="1" customFormat="1" ht="9.95" customHeight="1" spans="1:18">
      <c r="A4516" s="7"/>
      <c r="B4516" s="12"/>
      <c r="C4516" s="29"/>
      <c r="D4516" s="29"/>
      <c r="E4516" s="29"/>
      <c r="F4516" s="29"/>
      <c r="G4516" s="29"/>
      <c r="H4516" s="29"/>
      <c r="I4516" s="29"/>
      <c r="J4516" s="29"/>
      <c r="K4516" s="29"/>
      <c r="L4516" s="29"/>
      <c r="M4516" s="29"/>
      <c r="N4516" s="29"/>
      <c r="O4516" s="29"/>
      <c r="P4516" s="29"/>
      <c r="Q4516" s="19"/>
      <c r="R4516" s="11"/>
    </row>
    <row r="4517" s="1" customFormat="1" ht="9.95" customHeight="1" spans="1:18">
      <c r="A4517" s="7"/>
      <c r="B4517" s="12"/>
      <c r="C4517" s="30"/>
      <c r="D4517" s="31"/>
      <c r="E4517" s="31"/>
      <c r="F4517" s="31"/>
      <c r="G4517" s="31"/>
      <c r="H4517" s="31"/>
      <c r="I4517" s="31"/>
      <c r="J4517" s="31"/>
      <c r="K4517" s="31"/>
      <c r="L4517" s="31"/>
      <c r="M4517" s="31"/>
      <c r="N4517" s="31"/>
      <c r="O4517" s="31"/>
      <c r="P4517" s="32"/>
      <c r="Q4517" s="19"/>
      <c r="R4517" s="11"/>
    </row>
    <row r="4518" s="1" customFormat="1" ht="21.95" customHeight="1" spans="1:18">
      <c r="A4518" s="7"/>
      <c r="B4518" s="12"/>
      <c r="C4518" s="33"/>
      <c r="D4518" s="34" t="s">
        <v>713</v>
      </c>
      <c r="E4518" s="20" t="s">
        <v>714</v>
      </c>
      <c r="F4518" s="35" t="str">
        <f>"Level - "&amp;IFERROR(VLOOKUP(F4509,FLN!$A$4:$K$103,9,0),"")</f>
        <v>Level - </v>
      </c>
      <c r="G4518" s="36"/>
      <c r="H4518" s="37" t="s">
        <v>715</v>
      </c>
      <c r="I4518" s="20"/>
      <c r="J4518" s="35" t="str">
        <f>"Level - "&amp;IFERROR(VLOOKUP(F4509,FLN!$A$4:$K$103,11,0),"")</f>
        <v>Level - </v>
      </c>
      <c r="K4518" s="36"/>
      <c r="L4518" s="37" t="s">
        <v>408</v>
      </c>
      <c r="M4518" s="20"/>
      <c r="N4518" s="35" t="str">
        <f>"Level - "&amp;IFERROR(VLOOKUP(F4509,FLN!$A$4:$K$103,10,0),"")</f>
        <v>Level - </v>
      </c>
      <c r="O4518" s="36"/>
      <c r="P4518" s="19"/>
      <c r="Q4518" s="19"/>
      <c r="R4518" s="11"/>
    </row>
    <row r="4519" s="1" customFormat="1" ht="21.95" customHeight="1" spans="1:18">
      <c r="A4519" s="7"/>
      <c r="B4519" s="12"/>
      <c r="C4519" s="33"/>
      <c r="D4519" s="38"/>
      <c r="E4519" s="20" t="s">
        <v>716</v>
      </c>
      <c r="F4519" s="18" t="str">
        <f ca="1">IF(L4533&gt;197,"PERFORMED WELL","")</f>
        <v/>
      </c>
      <c r="G4519" s="18"/>
      <c r="H4519" s="18"/>
      <c r="I4519" s="18"/>
      <c r="J4519" s="18"/>
      <c r="K4519" s="18"/>
      <c r="L4519" s="18"/>
      <c r="M4519" s="18"/>
      <c r="N4519" s="18"/>
      <c r="O4519" s="18"/>
      <c r="P4519" s="19"/>
      <c r="Q4519" s="19"/>
      <c r="R4519" s="11"/>
    </row>
    <row r="4520" s="1" customFormat="1" ht="9.95" customHeight="1" spans="1:18">
      <c r="A4520" s="7"/>
      <c r="B4520" s="12"/>
      <c r="C4520" s="39"/>
      <c r="D4520" s="40"/>
      <c r="E4520" s="40"/>
      <c r="F4520" s="40"/>
      <c r="G4520" s="40"/>
      <c r="H4520" s="40"/>
      <c r="I4520" s="40"/>
      <c r="J4520" s="40"/>
      <c r="K4520" s="40"/>
      <c r="L4520" s="40"/>
      <c r="M4520" s="40"/>
      <c r="N4520" s="40"/>
      <c r="O4520" s="40"/>
      <c r="P4520" s="41"/>
      <c r="Q4520" s="19"/>
      <c r="R4520" s="11"/>
    </row>
    <row r="4521" s="1" customFormat="1" ht="9.95" customHeight="1" spans="1:18">
      <c r="A4521" s="7"/>
      <c r="B4521" s="12"/>
      <c r="C4521" s="29"/>
      <c r="D4521" s="29"/>
      <c r="E4521" s="29"/>
      <c r="F4521" s="29"/>
      <c r="G4521" s="29"/>
      <c r="H4521" s="29"/>
      <c r="I4521" s="29"/>
      <c r="J4521" s="29"/>
      <c r="K4521" s="29"/>
      <c r="L4521" s="29"/>
      <c r="M4521" s="29"/>
      <c r="N4521" s="29"/>
      <c r="O4521" s="29"/>
      <c r="P4521" s="29"/>
      <c r="Q4521" s="19"/>
      <c r="R4521" s="11"/>
    </row>
    <row r="4522" s="1" customFormat="1" ht="9.95" customHeight="1" spans="1:18">
      <c r="A4522" s="7"/>
      <c r="B4522" s="12"/>
      <c r="C4522" s="30"/>
      <c r="D4522" s="31"/>
      <c r="E4522" s="31"/>
      <c r="F4522" s="31"/>
      <c r="G4522" s="31"/>
      <c r="H4522" s="31"/>
      <c r="I4522" s="31"/>
      <c r="J4522" s="31"/>
      <c r="K4522" s="31"/>
      <c r="L4522" s="31"/>
      <c r="M4522" s="31"/>
      <c r="N4522" s="31"/>
      <c r="O4522" s="31"/>
      <c r="P4522" s="32"/>
      <c r="Q4522" s="19"/>
      <c r="R4522" s="11"/>
    </row>
    <row r="4523" s="1" customFormat="1" ht="21.95" customHeight="1" spans="1:18">
      <c r="A4523" s="7"/>
      <c r="B4523" s="12"/>
      <c r="C4523" s="33"/>
      <c r="D4523" s="35"/>
      <c r="E4523" s="24"/>
      <c r="F4523" s="42" t="s">
        <v>717</v>
      </c>
      <c r="G4523" s="42"/>
      <c r="H4523" s="42"/>
      <c r="I4523" s="42"/>
      <c r="J4523" s="42"/>
      <c r="K4523" s="42"/>
      <c r="L4523" s="43"/>
      <c r="M4523" s="44"/>
      <c r="N4523" s="29"/>
      <c r="O4523" s="29"/>
      <c r="P4523" s="19"/>
      <c r="Q4523" s="19"/>
      <c r="R4523" s="11"/>
    </row>
    <row r="4524" s="1" customFormat="1" ht="21.95" customHeight="1" spans="1:18">
      <c r="A4524" s="7"/>
      <c r="B4524" s="12"/>
      <c r="C4524" s="33"/>
      <c r="D4524" s="45"/>
      <c r="E4524" s="46"/>
      <c r="F4524" s="47" t="s">
        <v>541</v>
      </c>
      <c r="G4524" s="47" t="s">
        <v>542</v>
      </c>
      <c r="H4524" s="47" t="s">
        <v>543</v>
      </c>
      <c r="I4524" s="47" t="s">
        <v>544</v>
      </c>
      <c r="J4524" s="47" t="s">
        <v>561</v>
      </c>
      <c r="K4524" s="48" t="s">
        <v>750</v>
      </c>
      <c r="L4524" s="47" t="s">
        <v>382</v>
      </c>
      <c r="M4524" s="49" t="s">
        <v>546</v>
      </c>
      <c r="N4524" s="29"/>
      <c r="O4524" s="29"/>
      <c r="P4524" s="19"/>
      <c r="Q4524" s="19"/>
      <c r="R4524" s="11"/>
    </row>
    <row r="4525" s="1" customFormat="1" ht="21.95" customHeight="1" spans="1:18">
      <c r="A4525" s="7"/>
      <c r="B4525" s="12"/>
      <c r="C4525" s="33"/>
      <c r="D4525" s="45" t="s">
        <v>652</v>
      </c>
      <c r="E4525" s="46"/>
      <c r="F4525" s="50">
        <v>10</v>
      </c>
      <c r="G4525" s="50">
        <v>10</v>
      </c>
      <c r="H4525" s="50">
        <v>10</v>
      </c>
      <c r="I4525" s="50">
        <v>10</v>
      </c>
      <c r="J4525" s="50">
        <v>60</v>
      </c>
      <c r="K4525" s="51"/>
      <c r="L4525" s="50">
        <v>100</v>
      </c>
      <c r="M4525" s="49"/>
      <c r="N4525" s="29"/>
      <c r="O4525" s="29"/>
      <c r="P4525" s="19"/>
      <c r="Q4525" s="19"/>
      <c r="R4525" s="11"/>
    </row>
    <row r="4526" s="1" customFormat="1" ht="21.95" customHeight="1" spans="1:18">
      <c r="A4526" s="7"/>
      <c r="B4526" s="12"/>
      <c r="C4526" s="33"/>
      <c r="D4526" s="52" t="s">
        <v>751</v>
      </c>
      <c r="E4526" s="53"/>
      <c r="F4526" s="54" t="str">
        <f ca="1">IFERROR(VLOOKUP(F4509,'RR-3.1-5TH'!$A$12:'RR-3.1-5TH'!$BN$111,9,0),"")</f>
        <v/>
      </c>
      <c r="G4526" s="54" t="str">
        <f ca="1">IFERROR(VLOOKUP(F4509,'RR-3.1-5TH'!$A$12:'RR-3.1-5TH'!$BN$111,10,0),"")</f>
        <v/>
      </c>
      <c r="H4526" s="54" t="str">
        <f ca="1">IFERROR(VLOOKUP(F4509,'RR-3.1-5TH'!$A$12:'RR-3.1-5TH'!$BN$111,11,0),"")</f>
        <v/>
      </c>
      <c r="I4526" s="54" t="str">
        <f ca="1">IFERROR(VLOOKUP(F4509,'RR-3.1-5TH'!$A$12:'RR-3.1-5TH'!$BN$111,12,0),"")</f>
        <v/>
      </c>
      <c r="J4526" s="54" t="str">
        <f ca="1">IFERROR(VLOOKUP(F4509,'RR-3.1-5TH'!$A$12:'RR-3.1-5TH'!$BN$111,13,0),"")</f>
        <v/>
      </c>
      <c r="K4526" s="54" t="str">
        <f ca="1">IFERROR(VLOOKUP(F4509,'RR-3.1-5TH'!$A$12:'RR-3.1-5TH'!$BN$111,14,0),"")</f>
        <v/>
      </c>
      <c r="L4526" s="55">
        <f ca="1" t="shared" ref="L4526:L4531" si="237">SUM(F4526,G4526,H4526,I4526,J4526,K4526)</f>
        <v>0</v>
      </c>
      <c r="M4526" s="56" t="str">
        <f ca="1">IF(F4509&gt;ENTRY!$D$24,"",IF(L4526=0,"Ab",IF(L4526&gt;80,"A",IF(L4526&gt;60,"B",IF(L4526&gt;44,"C",IF(L4526&gt;=33,"D",IF(L4526&lt;=32,"E","")))))))</f>
        <v/>
      </c>
      <c r="N4526" s="57" t="s">
        <v>729</v>
      </c>
      <c r="O4526" s="58"/>
      <c r="P4526" s="59"/>
      <c r="Q4526" s="19"/>
      <c r="R4526" s="11"/>
    </row>
    <row r="4527" s="1" customFormat="1" ht="21.95" customHeight="1" spans="1:18">
      <c r="A4527" s="7"/>
      <c r="B4527" s="12"/>
      <c r="C4527" s="33"/>
      <c r="D4527" s="52" t="s">
        <v>513</v>
      </c>
      <c r="E4527" s="53"/>
      <c r="F4527" s="54" t="str">
        <f ca="1">IFERROR(VLOOKUP(F4509,'RR-3.1-5TH'!$A$12:'RR-3.1-5TH'!$BN$111,17,0),"")</f>
        <v/>
      </c>
      <c r="G4527" s="54" t="str">
        <f ca="1">IFERROR(VLOOKUP(F4509,'RR-3.1-5TH'!$A$12:'RR-3.1-5TH'!$BN$111,18,0),"")</f>
        <v/>
      </c>
      <c r="H4527" s="54" t="str">
        <f ca="1">IFERROR(VLOOKUP(F4509,'RR-3.1-5TH'!$A$12:'RR-3.1-5TH'!$BN$111,19,0),"")</f>
        <v/>
      </c>
      <c r="I4527" s="54" t="str">
        <f ca="1">IFERROR(VLOOKUP(F4509,'RR-3.1-5TH'!$A$12:'RR-3.1-5TH'!$BN$111,20,0),"")</f>
        <v/>
      </c>
      <c r="J4527" s="54" t="str">
        <f ca="1">IFERROR(VLOOKUP(F4509,'RR-3.1-5TH'!$A$12:'RR-3.1-5TH'!$BN$111,21,0),"")</f>
        <v/>
      </c>
      <c r="K4527" s="54" t="str">
        <f ca="1">IFERROR(VLOOKUP(F4509,'RR-3.1-5TH'!$A$12:'RR-3.1-5TH'!$BN$111,22,0),"")</f>
        <v/>
      </c>
      <c r="L4527" s="55">
        <f ca="1" t="shared" si="237"/>
        <v>0</v>
      </c>
      <c r="M4527" s="56" t="str">
        <f ca="1">IF(F4509&gt;ENTRY!$D$24,"",IF(L4527=0,"Ab",IF(L4527&gt;80,"A",IF(L4527&gt;60,"B",IF(L4527&gt;44,"C",IF(L4527&gt;=33,"D",IF(L4527&lt;=32,"E","")))))))</f>
        <v/>
      </c>
      <c r="N4527" s="58"/>
      <c r="O4527" s="58"/>
      <c r="P4527" s="59"/>
      <c r="Q4527" s="19"/>
      <c r="R4527" s="11"/>
    </row>
    <row r="4528" s="1" customFormat="1" ht="21.95" customHeight="1" spans="1:18">
      <c r="A4528" s="7"/>
      <c r="B4528" s="12"/>
      <c r="C4528" s="33"/>
      <c r="D4528" s="52" t="s">
        <v>718</v>
      </c>
      <c r="E4528" s="53"/>
      <c r="F4528" s="54" t="str">
        <f ca="1">IFERROR(VLOOKUP(F4509,'RR-3.1-5TH'!$A$12:'RR-3.1-5TH'!$BN$111,25,0),"")</f>
        <v/>
      </c>
      <c r="G4528" s="54" t="str">
        <f ca="1">IFERROR(VLOOKUP(F4509,'RR-3.1-5TH'!$A$12:'RR-3.1-5TH'!$BN$111,26,0),"")</f>
        <v/>
      </c>
      <c r="H4528" s="54" t="str">
        <f ca="1">IFERROR(VLOOKUP(F4509,'RR-3.1-5TH'!$A$12:'RR-3.1-5TH'!$BN$111,27,0),"")</f>
        <v/>
      </c>
      <c r="I4528" s="54" t="str">
        <f ca="1">IFERROR(VLOOKUP(F4509,'RR-3.1-5TH'!$A$12:'RR-3.1-5TH'!$BN$111,28,0),"")</f>
        <v/>
      </c>
      <c r="J4528" s="54" t="str">
        <f ca="1">IFERROR(VLOOKUP(F4509,'RR-3.1-5TH'!$A$12:'RR-3.1-5TH'!$BN$111,29,0),"")</f>
        <v/>
      </c>
      <c r="K4528" s="54" t="str">
        <f ca="1">IFERROR(VLOOKUP(F4509,'RR-3.1-5TH'!$A$12:'RR-3.1-5TH'!$BN$111,30,0),"")</f>
        <v/>
      </c>
      <c r="L4528" s="55">
        <f ca="1" t="shared" si="237"/>
        <v>0</v>
      </c>
      <c r="M4528" s="56" t="str">
        <f ca="1">IF(F4509&gt;ENTRY!$D$24,"",IF(L4528=0,"Ab",IF(L4528&gt;80,"A",IF(L4528&gt;60,"B",IF(L4528&gt;44,"C",IF(L4528&gt;=33,"D",IF(L4528&lt;=32,"E","")))))))</f>
        <v/>
      </c>
      <c r="N4528" s="29"/>
      <c r="O4528" s="29"/>
      <c r="P4528" s="19"/>
      <c r="Q4528" s="19"/>
      <c r="R4528" s="11"/>
    </row>
    <row r="4529" s="1" customFormat="1" ht="21.95" customHeight="1" spans="1:19">
      <c r="A4529" s="7"/>
      <c r="B4529" s="12"/>
      <c r="C4529" s="33"/>
      <c r="D4529" s="52" t="s">
        <v>719</v>
      </c>
      <c r="E4529" s="53"/>
      <c r="F4529" s="54" t="str">
        <f ca="1">IFERROR(VLOOKUP(F4509,'RR-3.1-5TH'!$A$12:'RR-3.1-5TH'!$BN$111,33,0),"")</f>
        <v/>
      </c>
      <c r="G4529" s="54" t="str">
        <f ca="1">IFERROR(VLOOKUP(F4509,'RR-3.1-5TH'!$A$12:'RR-3.1-5TH'!$BN$111,34,0),"")</f>
        <v/>
      </c>
      <c r="H4529" s="54" t="str">
        <f ca="1">IFERROR(VLOOKUP(F4509,'RR-3.1-5TH'!$A$12:'RR-3.1-5TH'!$BN$111,35,0),"")</f>
        <v/>
      </c>
      <c r="I4529" s="54" t="str">
        <f ca="1">IFERROR(VLOOKUP(F4509,'RR-3.1-5TH'!$A$12:'RR-3.1-5TH'!$BN$111,36,0),"")</f>
        <v/>
      </c>
      <c r="J4529" s="54" t="str">
        <f ca="1">IFERROR(VLOOKUP(F4509,'RR-3.1-5TH'!$A$12:'RR-3.1-5TH'!$BN$111,37,0),"")</f>
        <v/>
      </c>
      <c r="K4529" s="54" t="str">
        <f ca="1">IFERROR(VLOOKUP(F4509,'RR-3.1-5TH'!$A$12:'RR-3.1-5TH'!$BN$111,38,0),"")</f>
        <v/>
      </c>
      <c r="L4529" s="55">
        <f ca="1" t="shared" si="237"/>
        <v>0</v>
      </c>
      <c r="M4529" s="56" t="str">
        <f ca="1">IF(F4509&gt;ENTRY!$D$24,"",IF(L4529=0,"Ab",IF(L4529&gt;80,"A",IF(L4529&gt;60,"B",IF(L4529&gt;44,"C",IF(L4529&gt;=33,"D",IF(L4529&lt;=32,"E","")))))))</f>
        <v/>
      </c>
      <c r="N4529" s="29"/>
      <c r="O4529" s="29"/>
      <c r="P4529" s="19"/>
      <c r="Q4529" s="19"/>
      <c r="R4529" s="11"/>
    </row>
    <row r="4530" s="1" customFormat="1" ht="21.95" customHeight="1" spans="1:19">
      <c r="A4530" s="7"/>
      <c r="B4530" s="12"/>
      <c r="C4530" s="33"/>
      <c r="D4530" s="52" t="s">
        <v>548</v>
      </c>
      <c r="E4530" s="53"/>
      <c r="F4530" s="54" t="str">
        <f ca="1">IFERROR(VLOOKUP(F4509,'RR-3.1-5TH'!$A$12:'RR-3.1-5TH'!$BN$111,41,0),"")</f>
        <v/>
      </c>
      <c r="G4530" s="54" t="str">
        <f ca="1">IFERROR(VLOOKUP(F4509,'RR-3.1-5TH'!$A$12:'RR-3.1-5TH'!$BN$111,42,0),"")</f>
        <v/>
      </c>
      <c r="H4530" s="54" t="str">
        <f ca="1">IFERROR(VLOOKUP(F4509,'RR-3.1-5TH'!$A$12:'RR-3.1-5TH'!$BN$111,43,0),"")</f>
        <v/>
      </c>
      <c r="I4530" s="54" t="str">
        <f ca="1">IFERROR(VLOOKUP(F4509,'RR-3.1-5TH'!$A$12:'RR-3.1-5TH'!$BN$111,44,0),"")</f>
        <v/>
      </c>
      <c r="J4530" s="54" t="str">
        <f ca="1">IFERROR(VLOOKUP(F4509,'RR-3.1-5TH'!$A$12:'RR-3.1-5TH'!$BN$111,45,0),"")</f>
        <v/>
      </c>
      <c r="K4530" s="54" t="str">
        <f ca="1">IFERROR(VLOOKUP(F4509,'RR-3.1-5TH'!$A$12:'RR-3.1-5TH'!$BN$111,46,0),"")</f>
        <v/>
      </c>
      <c r="L4530" s="55">
        <f ca="1" t="shared" si="237"/>
        <v>0</v>
      </c>
      <c r="M4530" s="56" t="str">
        <f ca="1">IF(F4509&gt;ENTRY!$D$24,"",IF(L4530=0,"Ab",IF(L4530&gt;80,"A",IF(L4530&gt;60,"B",IF(L4530&gt;44,"C",IF(L4530&gt;=33,"D",IF(L4530&lt;=32,"E","")))))))</f>
        <v/>
      </c>
      <c r="N4530" s="29"/>
      <c r="O4530" s="29"/>
      <c r="P4530" s="19"/>
      <c r="Q4530" s="19"/>
      <c r="R4530" s="11"/>
    </row>
    <row r="4531" s="1" customFormat="1" ht="21.95" customHeight="1" spans="1:19">
      <c r="A4531" s="7"/>
      <c r="B4531" s="12"/>
      <c r="C4531" s="33"/>
      <c r="D4531" s="52" t="s">
        <v>549</v>
      </c>
      <c r="E4531" s="53"/>
      <c r="F4531" s="54" t="str">
        <f ca="1">IFERROR(VLOOKUP(F4509,'RR-3.1-5TH'!$A$12:'RR-3.1-5TH'!$BN$111,49,0),"")</f>
        <v/>
      </c>
      <c r="G4531" s="54" t="str">
        <f ca="1">IFERROR(VLOOKUP(F4509,'RR-3.1-5TH'!$A$12:'RR-3.1-5TH'!$BN$111,50,0),"")</f>
        <v/>
      </c>
      <c r="H4531" s="54" t="str">
        <f ca="1">IFERROR(VLOOKUP(F4509,'RR-3.1-5TH'!$A$12:'RR-3.1-5TH'!$BN$111,51,0),"")</f>
        <v/>
      </c>
      <c r="I4531" s="54" t="str">
        <f ca="1">IFERROR(VLOOKUP(F4509,'RR-3.1-5TH'!$A$12:'RR-3.1-5TH'!$BN$111,52,0),"")</f>
        <v/>
      </c>
      <c r="J4531" s="54" t="str">
        <f ca="1">IFERROR(VLOOKUP(F4509,'RR-3.1-5TH'!$A$12:'RR-3.1-5TH'!$BN$111,53,0),"")</f>
        <v/>
      </c>
      <c r="K4531" s="54" t="str">
        <f ca="1">IFERROR(VLOOKUP(F4509,'RR-3.1-5TH'!$A$12:'RR-3.1-5TH'!$BN$111,54,0),"")</f>
        <v/>
      </c>
      <c r="L4531" s="55">
        <f ca="1" t="shared" si="237"/>
        <v>0</v>
      </c>
      <c r="M4531" s="56" t="str">
        <f ca="1">IF(F4509&gt;ENTRY!$D$24,"",IF(L4531=0,"Ab",IF(L4531&gt;80,"A",IF(L4531&gt;60,"B",IF(L4531&gt;44,"C",IF(L4531&gt;=33,"D",IF(L4531&lt;=32,"E","")))))))</f>
        <v/>
      </c>
      <c r="N4531" s="57" t="s">
        <v>752</v>
      </c>
      <c r="O4531" s="58"/>
      <c r="P4531" s="59"/>
      <c r="Q4531" s="19"/>
      <c r="R4531" s="11"/>
    </row>
    <row r="4532" s="1" customFormat="1" ht="21.95" customHeight="1" spans="1:19">
      <c r="A4532" s="7"/>
      <c r="B4532" s="12"/>
      <c r="C4532" s="33"/>
      <c r="D4532" s="52" t="s">
        <v>753</v>
      </c>
      <c r="E4532" s="53"/>
      <c r="F4532" s="60"/>
      <c r="G4532" s="54"/>
      <c r="H4532" s="54"/>
      <c r="I4532" s="54"/>
      <c r="J4532" s="54"/>
      <c r="K4532" s="54"/>
      <c r="L4532" s="55">
        <f t="shared" ref="L4532" si="238">SUM(G4532:K4532)</f>
        <v>0</v>
      </c>
      <c r="M4532" s="56" t="str">
        <f>IF(F4509&gt;ENTRY!$D$24,"",IF(L4532=0,"",IF(L4532&gt;79,"A",IF(L4532&gt;59,"B",IF(L4532&gt;44,"C",IF(L4532&gt;=33,"D",IF(L4532&lt;=32,"E","")))))))</f>
        <v/>
      </c>
      <c r="N4532" s="58"/>
      <c r="O4532" s="58"/>
      <c r="P4532" s="59"/>
      <c r="Q4532" s="19"/>
      <c r="R4532" s="11"/>
    </row>
    <row r="4533" s="1" customFormat="1" ht="21.95" customHeight="1" spans="1:19">
      <c r="A4533" s="7"/>
      <c r="B4533" s="12"/>
      <c r="C4533" s="33"/>
      <c r="D4533" s="45" t="s">
        <v>382</v>
      </c>
      <c r="E4533" s="46"/>
      <c r="F4533" s="54">
        <f ca="1" t="shared" ref="F4533:L4533" si="239">IFERROR(SUM(F4526:F4532),"")</f>
        <v>0</v>
      </c>
      <c r="G4533" s="54">
        <f ca="1" t="shared" si="239"/>
        <v>0</v>
      </c>
      <c r="H4533" s="54">
        <f ca="1" t="shared" si="239"/>
        <v>0</v>
      </c>
      <c r="I4533" s="54">
        <f ca="1" t="shared" si="239"/>
        <v>0</v>
      </c>
      <c r="J4533" s="54">
        <f ca="1" t="shared" si="239"/>
        <v>0</v>
      </c>
      <c r="K4533" s="54">
        <f ca="1" t="shared" si="239"/>
        <v>0</v>
      </c>
      <c r="L4533" s="55">
        <f ca="1" t="shared" si="239"/>
        <v>0</v>
      </c>
      <c r="M4533" s="61" t="str">
        <f ca="1">IF(F4509&gt;ENTRY!$D$24,"",IF(N4534="Ab","Ab",IF(N4534&gt;79.5,"A",IF(N4534&gt;59.5,"B",IF(N4534&gt;44.5,"C",IF(N4534&gt;=33,"D",IF(N4534&lt;33,"E","")))))))</f>
        <v/>
      </c>
      <c r="N4533" s="62"/>
      <c r="O4533" s="58"/>
      <c r="P4533" s="59"/>
      <c r="Q4533" s="19"/>
      <c r="R4533" s="11"/>
    </row>
    <row r="4534" s="1" customFormat="1" ht="21.95" customHeight="1" spans="1:19">
      <c r="A4534" s="7"/>
      <c r="B4534" s="12"/>
      <c r="C4534" s="33"/>
      <c r="D4534" s="63" t="s">
        <v>721</v>
      </c>
      <c r="E4534" s="63"/>
      <c r="F4534" s="63"/>
      <c r="G4534" s="63"/>
      <c r="H4534" s="63"/>
      <c r="I4534" s="63"/>
      <c r="J4534" s="63"/>
      <c r="K4534" s="63"/>
      <c r="L4534" s="63"/>
      <c r="M4534" s="63"/>
      <c r="N4534" s="64">
        <f ca="1">IF(L4533="Ab","Ab",L4533/6)</f>
        <v>0</v>
      </c>
      <c r="O4534" s="65"/>
      <c r="P4534" s="19"/>
      <c r="Q4534" s="19"/>
      <c r="R4534" s="11"/>
    </row>
    <row r="4535" s="1" customFormat="1" ht="21.95" customHeight="1" spans="1:19">
      <c r="A4535" s="7"/>
      <c r="B4535" s="12"/>
      <c r="C4535" s="33"/>
      <c r="D4535" s="29" t="s">
        <v>716</v>
      </c>
      <c r="E4535" s="18" t="str">
        <f>IFERROR(VLOOKUP(F4509,'1to4-2.1-RR'!$A$12:$BG$111,57,0),"")</f>
        <v/>
      </c>
      <c r="F4535" s="18"/>
      <c r="G4535" s="18"/>
      <c r="H4535" s="18"/>
      <c r="I4535" s="18"/>
      <c r="J4535" s="18"/>
      <c r="K4535" s="18"/>
      <c r="L4535" s="18"/>
      <c r="M4535" s="18"/>
      <c r="N4535" s="29"/>
      <c r="O4535" s="29"/>
      <c r="P4535" s="19"/>
      <c r="Q4535" s="19"/>
      <c r="R4535" s="11"/>
    </row>
    <row r="4536" s="1" customFormat="1" ht="9.95" customHeight="1" spans="1:19">
      <c r="A4536" s="7"/>
      <c r="B4536" s="12"/>
      <c r="C4536" s="33"/>
      <c r="D4536" s="29"/>
      <c r="E4536" s="29"/>
      <c r="F4536" s="29"/>
      <c r="G4536" s="29"/>
      <c r="H4536" s="29"/>
      <c r="I4536" s="29"/>
      <c r="J4536" s="29"/>
      <c r="K4536" s="29"/>
      <c r="L4536" s="29"/>
      <c r="M4536" s="29"/>
      <c r="N4536" s="29"/>
      <c r="O4536" s="29"/>
      <c r="P4536" s="19"/>
      <c r="Q4536" s="19"/>
      <c r="R4536" s="11"/>
    </row>
    <row r="4537" s="1" customFormat="1" ht="36" spans="1:19">
      <c r="A4537" s="7"/>
      <c r="B4537" s="12"/>
      <c r="C4537" s="33"/>
      <c r="D4537" s="66" t="s">
        <v>576</v>
      </c>
      <c r="E4537" s="67" t="s">
        <v>754</v>
      </c>
      <c r="F4537" s="47" t="str">
        <f>IF(F4509&gt;ENTRY!$D$24,"",IFERROR(VLOOKUP(F4509,PASHEET!$A$4:$CJ$103,88,0),""))</f>
        <v/>
      </c>
      <c r="G4537" s="67" t="s">
        <v>755</v>
      </c>
      <c r="H4537" s="47" t="str">
        <f>IF(F4509&gt;ENTRY!$D$24,"",IFERROR(VLOOKUP(F4509,PASHEET!$A$4:$CJ$103,87,0),""))</f>
        <v/>
      </c>
      <c r="I4537" s="68" t="s">
        <v>756</v>
      </c>
      <c r="J4537" s="69" t="str">
        <f>IF(F4509&gt;ENTRY!$D$24,"",IFERROR(IF(F4509&gt;0,H4537/F4537*100),""))</f>
        <v/>
      </c>
      <c r="K4537" s="60" t="s">
        <v>757</v>
      </c>
      <c r="L4537" s="70" t="str">
        <f ca="1">IF(F4509&gt;ENTRY!$D$24,"",IFERROR(L4533/600*100,""))</f>
        <v/>
      </c>
      <c r="M4537" s="47" t="str">
        <f ca="1">IF(F4509&gt;ENTRY!$D$24,"",IFERROR(L4533&amp;" / "&amp;"600",""))</f>
        <v/>
      </c>
      <c r="N4537" s="29"/>
      <c r="O4537" s="29"/>
      <c r="P4537" s="19"/>
      <c r="Q4537" s="19"/>
      <c r="R4537" s="11"/>
    </row>
    <row r="4538" s="1" customFormat="1" ht="9.95" customHeight="1" spans="1:19">
      <c r="A4538" s="7"/>
      <c r="B4538" s="12"/>
      <c r="C4538" s="39"/>
      <c r="D4538" s="40"/>
      <c r="E4538" s="40"/>
      <c r="F4538" s="40"/>
      <c r="G4538" s="40"/>
      <c r="H4538" s="40"/>
      <c r="I4538" s="40"/>
      <c r="J4538" s="40"/>
      <c r="K4538" s="40"/>
      <c r="L4538" s="40"/>
      <c r="M4538" s="40"/>
      <c r="N4538" s="40"/>
      <c r="O4538" s="40"/>
      <c r="P4538" s="41"/>
      <c r="Q4538" s="19"/>
      <c r="R4538" s="11"/>
    </row>
    <row r="4539" s="1" customFormat="1" ht="9.95" customHeight="1" spans="1:19">
      <c r="A4539" s="7"/>
      <c r="B4539" s="12"/>
      <c r="C4539" s="71"/>
      <c r="D4539" s="71"/>
      <c r="E4539" s="71"/>
      <c r="F4539" s="29"/>
      <c r="G4539" s="71"/>
      <c r="H4539" s="71"/>
      <c r="I4539" s="71"/>
      <c r="J4539" s="71"/>
      <c r="K4539" s="71"/>
      <c r="L4539" s="71"/>
      <c r="M4539" s="71"/>
      <c r="N4539" s="71"/>
      <c r="O4539" s="71"/>
      <c r="P4539" s="71"/>
      <c r="Q4539" s="19"/>
      <c r="R4539" s="11"/>
    </row>
    <row r="4540" s="1" customFormat="1" ht="9.95" customHeight="1" spans="1:19">
      <c r="A4540" s="7"/>
      <c r="B4540" s="12"/>
      <c r="C4540" s="29"/>
      <c r="D4540" s="29"/>
      <c r="E4540" s="29"/>
      <c r="F4540" s="72"/>
      <c r="G4540" s="29"/>
      <c r="H4540" s="29"/>
      <c r="I4540" s="29"/>
      <c r="J4540" s="29"/>
      <c r="K4540" s="29"/>
      <c r="L4540" s="29"/>
      <c r="M4540" s="29"/>
      <c r="N4540" s="29"/>
      <c r="O4540" s="29"/>
      <c r="P4540" s="29"/>
      <c r="Q4540" s="19"/>
      <c r="R4540" s="11"/>
    </row>
    <row r="4541" s="1" customFormat="1" ht="9.95" customHeight="1" spans="1:19">
      <c r="A4541" s="7"/>
      <c r="B4541" s="12"/>
      <c r="C4541" s="30"/>
      <c r="D4541" s="31"/>
      <c r="E4541" s="31"/>
      <c r="F4541" s="31"/>
      <c r="G4541" s="31"/>
      <c r="H4541" s="31"/>
      <c r="I4541" s="31"/>
      <c r="J4541" s="31"/>
      <c r="K4541" s="31"/>
      <c r="L4541" s="31"/>
      <c r="M4541" s="31"/>
      <c r="N4541" s="31"/>
      <c r="O4541" s="31"/>
      <c r="P4541" s="32"/>
      <c r="Q4541" s="19"/>
      <c r="R4541" s="11"/>
    </row>
    <row r="4542" s="1" customFormat="1" ht="21.95" customHeight="1" spans="1:19">
      <c r="A4542" s="7"/>
      <c r="B4542" s="12"/>
      <c r="C4542" s="73" t="s">
        <v>7</v>
      </c>
      <c r="D4542" s="13"/>
      <c r="E4542" s="13"/>
      <c r="F4542" s="13"/>
      <c r="G4542" s="13"/>
      <c r="H4542" s="13"/>
      <c r="I4542" s="13"/>
      <c r="J4542" s="13"/>
      <c r="K4542" s="13"/>
      <c r="L4542" s="13"/>
      <c r="M4542" s="13"/>
      <c r="N4542" s="13"/>
      <c r="O4542" s="13"/>
      <c r="P4542" s="74"/>
      <c r="Q4542" s="19"/>
      <c r="R4542" s="11"/>
      <c r="S4542" s="2"/>
    </row>
    <row r="4543" s="1" customFormat="1" ht="21.95" customHeight="1" spans="1:19">
      <c r="A4543" s="7"/>
      <c r="B4543" s="12"/>
      <c r="C4543" s="33"/>
      <c r="D4543" s="29"/>
      <c r="E4543" s="29"/>
      <c r="F4543" s="29"/>
      <c r="G4543" s="29"/>
      <c r="H4543" s="29"/>
      <c r="I4543" s="29"/>
      <c r="J4543" s="29"/>
      <c r="K4543" s="29"/>
      <c r="L4543" s="29"/>
      <c r="M4543" s="29"/>
      <c r="N4543" s="29"/>
      <c r="O4543" s="29"/>
      <c r="P4543" s="19"/>
      <c r="Q4543" s="19"/>
      <c r="R4543" s="11"/>
    </row>
    <row r="4544" s="1" customFormat="1" ht="21.95" customHeight="1" spans="1:19">
      <c r="A4544" s="7"/>
      <c r="B4544" s="12"/>
      <c r="C4544" s="75" t="str">
        <f>"SESSION-"&amp;ENTRY!$D$11</f>
        <v>SESSION-2026-27</v>
      </c>
      <c r="D4544" s="15"/>
      <c r="E4544" s="15"/>
      <c r="F4544" s="15"/>
      <c r="G4544" s="15"/>
      <c r="H4544" s="15"/>
      <c r="I4544" s="15"/>
      <c r="J4544" s="15"/>
      <c r="K4544" s="15"/>
      <c r="L4544" s="15"/>
      <c r="M4544" s="15"/>
      <c r="N4544" s="15"/>
      <c r="O4544" s="15"/>
      <c r="P4544" s="76"/>
      <c r="Q4544" s="19"/>
      <c r="R4544" s="11"/>
    </row>
    <row r="4545" s="1" customFormat="1" ht="18" customHeight="1" spans="1:18">
      <c r="A4545" s="7"/>
      <c r="B4545" s="12"/>
      <c r="C4545" s="33"/>
      <c r="D4545" s="29"/>
      <c r="E4545" s="29"/>
      <c r="F4545" s="29"/>
      <c r="G4545" s="29"/>
      <c r="H4545" s="29"/>
      <c r="I4545" s="29"/>
      <c r="J4545" s="29"/>
      <c r="K4545" s="29"/>
      <c r="L4545" s="29"/>
      <c r="M4545" s="29"/>
      <c r="N4545" s="29"/>
      <c r="O4545" s="29"/>
      <c r="P4545" s="19"/>
      <c r="Q4545" s="19"/>
      <c r="R4545" s="11"/>
    </row>
    <row r="4546" s="1" customFormat="1" ht="21.95" customHeight="1" spans="1:18">
      <c r="A4546" s="7"/>
      <c r="B4546" s="12"/>
      <c r="C4546" s="33"/>
      <c r="D4546" s="77" t="s">
        <v>758</v>
      </c>
      <c r="E4546" s="77"/>
      <c r="F4546" s="78" t="str">
        <f>IFERROR(PROPER(VLOOKUP(F4509,STUDENT!$A$2:$BP$101,5,0)),"")</f>
        <v/>
      </c>
      <c r="G4546" s="78"/>
      <c r="H4546" s="78"/>
      <c r="I4546" s="78"/>
      <c r="J4546" s="78"/>
      <c r="K4546" s="78"/>
      <c r="L4546" s="78"/>
      <c r="M4546" s="78"/>
      <c r="N4546" s="79" t="s">
        <v>759</v>
      </c>
      <c r="O4546" s="79"/>
      <c r="P4546" s="19"/>
      <c r="Q4546" s="19"/>
      <c r="R4546" s="11"/>
    </row>
    <row r="4547" s="1" customFormat="1" ht="21.95" customHeight="1" spans="1:18">
      <c r="A4547" s="7"/>
      <c r="B4547" s="12"/>
      <c r="C4547" s="33"/>
      <c r="D4547" s="80" t="s">
        <v>760</v>
      </c>
      <c r="E4547" s="81" t="str">
        <f>IFERROR(PROPER(VLOOKUP(F4509,STUDENT!$A$2:$BP$101,9,0)),"")</f>
        <v/>
      </c>
      <c r="F4547" s="81"/>
      <c r="G4547" s="81"/>
      <c r="H4547" s="80" t="s">
        <v>761</v>
      </c>
      <c r="I4547" s="82" t="str">
        <f>IFERROR(PROPER(VLOOKUP(F4509,STUDENT!$A$2:$BP$101,8,0)),"")</f>
        <v/>
      </c>
      <c r="J4547" s="82"/>
      <c r="K4547" s="82"/>
      <c r="L4547" s="82"/>
      <c r="M4547" s="80" t="s">
        <v>762</v>
      </c>
      <c r="N4547" s="83" t="str">
        <f>IFERROR(VLOOKUP(F4509,STUDENT!$A$2:$BP$101,59,0),"")</f>
        <v/>
      </c>
      <c r="O4547" s="83"/>
      <c r="P4547" s="19"/>
      <c r="Q4547" s="19"/>
      <c r="R4547" s="11"/>
    </row>
    <row r="4548" s="1" customFormat="1" ht="21.95" customHeight="1" spans="1:18">
      <c r="A4548" s="7"/>
      <c r="B4548" s="12"/>
      <c r="C4548" s="33"/>
      <c r="D4548" s="77" t="str">
        <f>"has    completed     his  /  her     primary     level     education    in    the    year    "&amp;RIGHT(ENTRY!$D4514,4)&amp;"    from    ( School    Name )"</f>
        <v>has    completed     his  /  her     primary     level     education    in    the    year        from    ( School    Name )</v>
      </c>
      <c r="E4548" s="77"/>
      <c r="F4548" s="77"/>
      <c r="G4548" s="77"/>
      <c r="H4548" s="77"/>
      <c r="I4548" s="77"/>
      <c r="J4548" s="77"/>
      <c r="K4548" s="77"/>
      <c r="L4548" s="77"/>
      <c r="M4548" s="77"/>
      <c r="N4548" s="77"/>
      <c r="O4548" s="77"/>
      <c r="P4548" s="19"/>
      <c r="Q4548" s="19"/>
      <c r="R4548" s="11"/>
    </row>
    <row r="4549" s="1" customFormat="1" ht="21.95" customHeight="1" spans="1:18">
      <c r="A4549" s="7"/>
      <c r="B4549" s="12"/>
      <c r="C4549" s="33"/>
      <c r="D4549" s="81" t="str">
        <f>IF(F4509&gt;0,ENTRY!$D$6,"")</f>
        <v>MCP NITHARI NO 1 BOYS</v>
      </c>
      <c r="E4549" s="81"/>
      <c r="F4549" s="81"/>
      <c r="G4549" s="81"/>
      <c r="H4549" s="81"/>
      <c r="I4549" s="81"/>
      <c r="J4549" s="81"/>
      <c r="K4549" s="81"/>
      <c r="L4549" s="81"/>
      <c r="M4549" s="80" t="s">
        <v>763</v>
      </c>
      <c r="N4549" s="84">
        <f>IF(F4509&gt;0,ENTRY!$D$7,"")</f>
        <v>0</v>
      </c>
      <c r="O4549" s="84"/>
      <c r="P4549" s="85" t="s">
        <v>727</v>
      </c>
      <c r="Q4549" s="19"/>
      <c r="R4549" s="11"/>
    </row>
    <row r="4550" s="1" customFormat="1" ht="21.95" customHeight="1" spans="1:18">
      <c r="A4550" s="7"/>
      <c r="B4550" s="12"/>
      <c r="C4550" s="33"/>
      <c r="D4550" s="29"/>
      <c r="E4550" s="29"/>
      <c r="F4550" s="29"/>
      <c r="G4550" s="29"/>
      <c r="H4550" s="29"/>
      <c r="I4550" s="29"/>
      <c r="J4550" s="29"/>
      <c r="K4550" s="29"/>
      <c r="L4550" s="29"/>
      <c r="M4550" s="29"/>
      <c r="N4550" s="29"/>
      <c r="O4550" s="29"/>
      <c r="P4550" s="19"/>
      <c r="Q4550" s="19"/>
      <c r="R4550" s="11"/>
    </row>
    <row r="4551" s="1" customFormat="1" ht="21.95" customHeight="1" spans="1:18">
      <c r="A4551" s="7"/>
      <c r="B4551" s="12"/>
      <c r="C4551" s="33"/>
      <c r="D4551" s="29"/>
      <c r="E4551" s="29"/>
      <c r="F4551" s="29"/>
      <c r="G4551" s="29"/>
      <c r="H4551" s="29"/>
      <c r="I4551" s="29"/>
      <c r="J4551" s="29"/>
      <c r="K4551" s="29"/>
      <c r="L4551" s="29"/>
      <c r="M4551" s="29"/>
      <c r="N4551" s="29"/>
      <c r="O4551" s="29"/>
      <c r="P4551" s="19"/>
      <c r="Q4551" s="19"/>
      <c r="R4551" s="11"/>
    </row>
    <row r="4552" s="1" customFormat="1" ht="21.95" customHeight="1" spans="1:18">
      <c r="A4552" s="7"/>
      <c r="B4552" s="12"/>
      <c r="C4552" s="33"/>
      <c r="D4552" s="29"/>
      <c r="E4552" s="29"/>
      <c r="F4552" s="29"/>
      <c r="G4552" s="29"/>
      <c r="H4552" s="29"/>
      <c r="I4552" s="29"/>
      <c r="J4552" s="29"/>
      <c r="K4552" s="29"/>
      <c r="L4552" s="29"/>
      <c r="M4552" s="29"/>
      <c r="N4552" s="29"/>
      <c r="O4552" s="29"/>
      <c r="P4552" s="19"/>
      <c r="Q4552" s="19"/>
      <c r="R4552" s="11"/>
    </row>
    <row r="4553" s="1" customFormat="1" ht="21.95" customHeight="1" spans="1:18">
      <c r="A4553" s="7"/>
      <c r="B4553" s="12"/>
      <c r="C4553" s="33"/>
      <c r="D4553" s="29"/>
      <c r="E4553" s="29"/>
      <c r="F4553" s="29"/>
      <c r="G4553" s="29"/>
      <c r="H4553" s="29"/>
      <c r="I4553" s="29"/>
      <c r="J4553" s="29"/>
      <c r="K4553" s="29"/>
      <c r="L4553" s="29"/>
      <c r="M4553" s="29"/>
      <c r="N4553" s="29"/>
      <c r="O4553" s="29"/>
      <c r="P4553" s="19"/>
      <c r="Q4553" s="19"/>
      <c r="R4553" s="11"/>
    </row>
    <row r="4554" s="1" customFormat="1" ht="21.95" customHeight="1" spans="1:18">
      <c r="A4554" s="7"/>
      <c r="B4554" s="12"/>
      <c r="C4554" s="33"/>
      <c r="D4554" s="29"/>
      <c r="E4554" s="29"/>
      <c r="F4554" s="29"/>
      <c r="G4554" s="29"/>
      <c r="H4554" s="29"/>
      <c r="I4554" s="29"/>
      <c r="J4554" s="29"/>
      <c r="K4554" s="29"/>
      <c r="L4554" s="29"/>
      <c r="M4554" s="29"/>
      <c r="N4554" s="29"/>
      <c r="O4554" s="29"/>
      <c r="P4554" s="19"/>
      <c r="Q4554" s="19"/>
      <c r="R4554" s="11"/>
    </row>
    <row r="4555" s="1" customFormat="1" ht="21.95" customHeight="1" spans="1:18">
      <c r="A4555" s="7"/>
      <c r="B4555" s="12"/>
      <c r="C4555" s="33"/>
      <c r="D4555" s="80" t="s">
        <v>728</v>
      </c>
      <c r="E4555" s="86">
        <f>ENTRY!$D$27</f>
        <v>46102</v>
      </c>
      <c r="F4555" s="86"/>
      <c r="G4555" s="29"/>
      <c r="H4555" s="29"/>
      <c r="I4555" s="29"/>
      <c r="J4555" s="29"/>
      <c r="K4555" s="29"/>
      <c r="L4555" s="29"/>
      <c r="M4555" s="87" t="s">
        <v>730</v>
      </c>
      <c r="N4555" s="87"/>
      <c r="O4555" s="87"/>
      <c r="P4555" s="19"/>
      <c r="Q4555" s="19"/>
      <c r="R4555" s="11"/>
    </row>
    <row r="4556" s="1" customFormat="1" ht="21.95" customHeight="1" spans="1:18">
      <c r="A4556" s="7"/>
      <c r="B4556" s="12"/>
      <c r="C4556" s="33"/>
      <c r="D4556" s="80" t="s">
        <v>731</v>
      </c>
      <c r="E4556" s="88" t="str">
        <f>PROPER(ENTRY!$D$28)</f>
        <v>New Delhi</v>
      </c>
      <c r="F4556" s="88"/>
      <c r="G4556" s="29"/>
      <c r="H4556" s="29"/>
      <c r="I4556" s="29"/>
      <c r="J4556" s="29"/>
      <c r="K4556" s="29"/>
      <c r="L4556" s="29"/>
      <c r="M4556" s="89" t="s">
        <v>732</v>
      </c>
      <c r="N4556" s="89"/>
      <c r="O4556" s="89"/>
      <c r="P4556" s="19"/>
      <c r="Q4556" s="19"/>
      <c r="R4556" s="11"/>
    </row>
    <row r="4557" s="1" customFormat="1" ht="21.95" customHeight="1" spans="1:18">
      <c r="A4557" s="7"/>
      <c r="B4557" s="12"/>
      <c r="C4557" s="90"/>
      <c r="D4557" s="91"/>
      <c r="E4557" s="91"/>
      <c r="F4557" s="91"/>
      <c r="G4557" s="91"/>
      <c r="H4557" s="91"/>
      <c r="I4557" s="91"/>
      <c r="J4557" s="91"/>
      <c r="K4557" s="91"/>
      <c r="L4557" s="91"/>
      <c r="M4557" s="91"/>
      <c r="N4557" s="91"/>
      <c r="O4557" s="91"/>
      <c r="P4557" s="92"/>
      <c r="Q4557" s="14"/>
      <c r="R4557" s="11"/>
    </row>
    <row r="4558" s="1" customFormat="1" ht="5.1" customHeight="1" spans="1:18">
      <c r="A4558" s="7"/>
      <c r="B4558" s="90"/>
      <c r="C4558" s="91"/>
      <c r="D4558" s="91"/>
      <c r="E4558" s="91"/>
      <c r="F4558" s="91"/>
      <c r="G4558" s="91"/>
      <c r="H4558" s="91"/>
      <c r="I4558" s="91"/>
      <c r="J4558" s="91"/>
      <c r="K4558" s="91"/>
      <c r="L4558" s="91"/>
      <c r="M4558" s="91"/>
      <c r="N4558" s="91"/>
      <c r="O4558" s="91"/>
      <c r="P4558" s="91"/>
      <c r="Q4558" s="92"/>
      <c r="R4558" s="11"/>
    </row>
    <row r="4559" s="1" customFormat="1" ht="5.1" customHeight="1" spans="1:18">
      <c r="A4559" s="93"/>
      <c r="B4559" s="94"/>
      <c r="C4559" s="94"/>
      <c r="D4559" s="94"/>
      <c r="E4559" s="94"/>
      <c r="F4559" s="94"/>
      <c r="G4559" s="94"/>
      <c r="H4559" s="94"/>
      <c r="I4559" s="94"/>
      <c r="J4559" s="94"/>
      <c r="K4559" s="94"/>
      <c r="L4559" s="94"/>
      <c r="M4559" s="94"/>
      <c r="N4559" s="94"/>
      <c r="O4559" s="94"/>
      <c r="P4559" s="94"/>
      <c r="Q4559" s="94"/>
      <c r="R4559" s="95"/>
    </row>
    <row r="4560" s="2" customFormat="1" ht="9.95" customHeight="1"/>
    <row r="4561" s="1" customFormat="1" ht="5.1" customHeight="1" spans="1:18">
      <c r="A4561" s="4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  <c r="P4561" s="5"/>
      <c r="Q4561" s="5"/>
      <c r="R4561" s="6"/>
    </row>
    <row r="4562" s="1" customFormat="1" ht="15" customHeight="1" spans="1:18">
      <c r="A4562" s="7"/>
      <c r="B4562" s="8"/>
      <c r="C4562" s="9"/>
      <c r="D4562" s="9"/>
      <c r="E4562" s="9"/>
      <c r="F4562" s="9"/>
      <c r="G4562" s="9"/>
      <c r="H4562" s="9"/>
      <c r="I4562" s="9"/>
      <c r="J4562" s="9"/>
      <c r="K4562" s="9"/>
      <c r="L4562" s="9"/>
      <c r="M4562" s="9"/>
      <c r="N4562" s="9"/>
      <c r="O4562" s="9"/>
      <c r="P4562" s="9"/>
      <c r="Q4562" s="10"/>
      <c r="R4562" s="11"/>
    </row>
    <row r="4563" s="1" customFormat="1" ht="21.95" customHeight="1" spans="1:18">
      <c r="A4563" s="7"/>
      <c r="B4563" s="12"/>
      <c r="C4563" s="13" t="s">
        <v>7</v>
      </c>
      <c r="D4563" s="13"/>
      <c r="E4563" s="13"/>
      <c r="F4563" s="13"/>
      <c r="G4563" s="13"/>
      <c r="H4563" s="13"/>
      <c r="I4563" s="13"/>
      <c r="J4563" s="13"/>
      <c r="K4563" s="13"/>
      <c r="L4563" s="13"/>
      <c r="M4563" s="13"/>
      <c r="N4563" s="13"/>
      <c r="O4563" s="13"/>
      <c r="P4563" s="13"/>
      <c r="Q4563" s="14"/>
      <c r="R4563" s="11"/>
    </row>
    <row r="4564" s="1" customFormat="1" ht="21.95" customHeight="1" spans="1:18">
      <c r="A4564" s="7"/>
      <c r="B4564" s="1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14"/>
      <c r="R4564" s="11"/>
    </row>
    <row r="4565" s="1" customFormat="1" ht="21.95" customHeight="1" spans="1:18">
      <c r="A4565" s="7"/>
      <c r="B4565" s="12"/>
      <c r="C4565" s="15" t="str">
        <f>"SESSION-"&amp;ENTRY!$D$11</f>
        <v>SESSION-2026-27</v>
      </c>
      <c r="D4565" s="15"/>
      <c r="E4565" s="15"/>
      <c r="F4565" s="15"/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  <c r="Q4565" s="14"/>
      <c r="R4565" s="11"/>
    </row>
    <row r="4566" s="1" customFormat="1" ht="21.95" customHeight="1" spans="1:18">
      <c r="A4566" s="7"/>
      <c r="B4566" s="12"/>
      <c r="C4566" s="2"/>
      <c r="D4566" s="2"/>
      <c r="E4566" s="2"/>
      <c r="F4566" s="16">
        <f>F4509+1</f>
        <v>81</v>
      </c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14"/>
      <c r="R4566" s="11"/>
    </row>
    <row r="4567" s="1" customFormat="1" ht="21.95" customHeight="1" spans="1:18">
      <c r="A4567" s="7"/>
      <c r="B4567" s="12"/>
      <c r="C4567" s="17" t="s">
        <v>392</v>
      </c>
      <c r="D4567" s="17"/>
      <c r="E4567" s="17"/>
      <c r="F4567" s="18" t="str">
        <f>IF(F4566&gt;0,ENTRY!$D$6,"")</f>
        <v>MCP NITHARI NO 1 BOYS</v>
      </c>
      <c r="G4567" s="18"/>
      <c r="H4567" s="18"/>
      <c r="I4567" s="18"/>
      <c r="J4567" s="18"/>
      <c r="K4567" s="18"/>
      <c r="L4567" s="18"/>
      <c r="M4567" s="18"/>
      <c r="N4567" s="18"/>
      <c r="O4567" s="18"/>
      <c r="P4567" s="18"/>
      <c r="Q4567" s="19"/>
      <c r="R4567" s="11"/>
    </row>
    <row r="4568" s="1" customFormat="1" ht="21.95" customHeight="1" spans="1:18">
      <c r="A4568" s="7"/>
      <c r="B4568" s="12"/>
      <c r="C4568" s="17" t="s">
        <v>393</v>
      </c>
      <c r="D4568" s="17"/>
      <c r="E4568" s="17"/>
      <c r="F4568" s="18">
        <f>IF(F4566&gt;0,ENTRY!$D$7,"")</f>
        <v>0</v>
      </c>
      <c r="G4568" s="18"/>
      <c r="H4568" s="20" t="s">
        <v>702</v>
      </c>
      <c r="I4568" s="20"/>
      <c r="J4568" s="21">
        <f>IF(F4566&gt;0,ENTRY!$D$10,"")</f>
        <v>40</v>
      </c>
      <c r="K4568" s="20" t="s">
        <v>703</v>
      </c>
      <c r="L4568" s="22" t="str">
        <f>IF(F4566&gt;0,ENTRY!$D$5,"")</f>
        <v>ROHINI ZONE</v>
      </c>
      <c r="M4568" s="22"/>
      <c r="N4568" s="22"/>
      <c r="O4568" s="22"/>
      <c r="P4568" s="22"/>
      <c r="Q4568" s="19"/>
      <c r="R4568" s="11"/>
    </row>
    <row r="4569" s="1" customFormat="1" ht="21.95" customHeight="1" spans="1:18">
      <c r="A4569" s="7"/>
      <c r="B4569" s="12"/>
      <c r="C4569" s="17" t="s">
        <v>706</v>
      </c>
      <c r="D4569" s="17"/>
      <c r="E4569" s="17"/>
      <c r="F4569" s="23">
        <f>IFERROR(VLOOKUP(F4566,STUDENT!$A$2:$BP$101,5,0),"")</f>
        <v>0</v>
      </c>
      <c r="G4569" s="23"/>
      <c r="H4569" s="23"/>
      <c r="I4569" s="23"/>
      <c r="J4569" s="23"/>
      <c r="K4569" s="23"/>
      <c r="L4569" s="20" t="s">
        <v>707</v>
      </c>
      <c r="M4569" s="20"/>
      <c r="N4569" s="24" t="str">
        <f>IF(F4566&gt;0,ENTRY!$D$20&amp;"-"&amp;ENTRY!$D$21,"")</f>
        <v>III-A</v>
      </c>
      <c r="O4569" s="24"/>
      <c r="P4569" s="24"/>
      <c r="Q4569" s="19"/>
      <c r="R4569" s="11"/>
    </row>
    <row r="4570" s="1" customFormat="1" ht="21.95" customHeight="1" spans="1:18">
      <c r="A4570" s="7"/>
      <c r="B4570" s="12"/>
      <c r="C4570" s="17" t="s">
        <v>708</v>
      </c>
      <c r="D4570" s="17"/>
      <c r="E4570" s="17"/>
      <c r="F4570" s="25">
        <f>IFERROR(VLOOKUP(F4566,STUDENT!$A$2:$BP$101,6,0),"")</f>
        <v>0</v>
      </c>
      <c r="G4570" s="25"/>
      <c r="H4570" s="26" t="s">
        <v>709</v>
      </c>
      <c r="I4570" s="27" t="str">
        <f>IFERROR(VLOOKUP(F4566,STUDENT!$A$2:$BP$101,59,0),"")</f>
        <v/>
      </c>
      <c r="J4570" s="27"/>
      <c r="K4570" s="20" t="s">
        <v>710</v>
      </c>
      <c r="L4570" s="20"/>
      <c r="M4570" s="28">
        <f>IFERROR(VLOOKUP(F4566,STUDENT!$A$2:$BP$101,20,0),"")</f>
        <v>0</v>
      </c>
      <c r="N4570" s="28"/>
      <c r="O4570" s="28"/>
      <c r="P4570" s="28"/>
      <c r="Q4570" s="19"/>
      <c r="R4570" s="11"/>
    </row>
    <row r="4571" s="1" customFormat="1" ht="21.95" customHeight="1" spans="1:18">
      <c r="A4571" s="7"/>
      <c r="B4571" s="12"/>
      <c r="C4571" s="17" t="s">
        <v>711</v>
      </c>
      <c r="D4571" s="17"/>
      <c r="E4571" s="17"/>
      <c r="F4571" s="23">
        <f>IFERROR(VLOOKUP(F4566,STUDENT!$A$2:$BP$101,9,0),"")</f>
        <v>0</v>
      </c>
      <c r="G4571" s="23"/>
      <c r="H4571" s="23"/>
      <c r="I4571" s="23"/>
      <c r="J4571" s="17" t="s">
        <v>620</v>
      </c>
      <c r="K4571" s="17"/>
      <c r="L4571" s="23">
        <f>IFERROR(VLOOKUP(F4566,STUDENT!$A$2:$BP$101,8,0),"")</f>
        <v>0</v>
      </c>
      <c r="M4571" s="23"/>
      <c r="N4571" s="23"/>
      <c r="O4571" s="23"/>
      <c r="P4571" s="23"/>
      <c r="Q4571" s="19"/>
      <c r="R4571" s="11"/>
    </row>
    <row r="4572" s="1" customFormat="1" ht="21.95" customHeight="1" spans="1:18">
      <c r="A4572" s="7"/>
      <c r="B4572" s="12"/>
      <c r="C4572" s="17" t="s">
        <v>712</v>
      </c>
      <c r="D4572" s="17"/>
      <c r="E4572" s="17"/>
      <c r="F4572" s="23">
        <f>IFERROR(VLOOKUP(F4566,STUDENT!$A$2:$BP$101,22,0),"")</f>
        <v>0</v>
      </c>
      <c r="G4572" s="23"/>
      <c r="H4572" s="23"/>
      <c r="I4572" s="23"/>
      <c r="J4572" s="23"/>
      <c r="K4572" s="23"/>
      <c r="L4572" s="23"/>
      <c r="M4572" s="23"/>
      <c r="N4572" s="23"/>
      <c r="O4572" s="23"/>
      <c r="P4572" s="23"/>
      <c r="Q4572" s="19"/>
      <c r="R4572" s="11"/>
    </row>
    <row r="4573" s="1" customFormat="1" ht="9.95" customHeight="1" spans="1:18">
      <c r="A4573" s="7"/>
      <c r="B4573" s="12"/>
      <c r="C4573" s="29"/>
      <c r="D4573" s="29"/>
      <c r="E4573" s="29"/>
      <c r="F4573" s="29"/>
      <c r="G4573" s="29"/>
      <c r="H4573" s="29"/>
      <c r="I4573" s="29"/>
      <c r="J4573" s="29"/>
      <c r="K4573" s="29"/>
      <c r="L4573" s="29"/>
      <c r="M4573" s="29"/>
      <c r="N4573" s="29"/>
      <c r="O4573" s="29"/>
      <c r="P4573" s="29"/>
      <c r="Q4573" s="19"/>
      <c r="R4573" s="11"/>
    </row>
    <row r="4574" s="1" customFormat="1" ht="9.95" customHeight="1" spans="1:18">
      <c r="A4574" s="7"/>
      <c r="B4574" s="12"/>
      <c r="C4574" s="30"/>
      <c r="D4574" s="31"/>
      <c r="E4574" s="31"/>
      <c r="F4574" s="31"/>
      <c r="G4574" s="31"/>
      <c r="H4574" s="31"/>
      <c r="I4574" s="31"/>
      <c r="J4574" s="31"/>
      <c r="K4574" s="31"/>
      <c r="L4574" s="31"/>
      <c r="M4574" s="31"/>
      <c r="N4574" s="31"/>
      <c r="O4574" s="31"/>
      <c r="P4574" s="32"/>
      <c r="Q4574" s="19"/>
      <c r="R4574" s="11"/>
    </row>
    <row r="4575" s="1" customFormat="1" ht="21.95" customHeight="1" spans="1:18">
      <c r="A4575" s="7"/>
      <c r="B4575" s="12"/>
      <c r="C4575" s="33"/>
      <c r="D4575" s="34" t="s">
        <v>713</v>
      </c>
      <c r="E4575" s="20" t="s">
        <v>714</v>
      </c>
      <c r="F4575" s="35" t="str">
        <f>"Level - "&amp;IFERROR(VLOOKUP(F4566,FLN!$A$4:$K$103,9,0),"")</f>
        <v>Level - </v>
      </c>
      <c r="G4575" s="36"/>
      <c r="H4575" s="37" t="s">
        <v>715</v>
      </c>
      <c r="I4575" s="20"/>
      <c r="J4575" s="35" t="str">
        <f>"Level - "&amp;IFERROR(VLOOKUP(F4566,FLN!$A$4:$K$103,11,0),"")</f>
        <v>Level - </v>
      </c>
      <c r="K4575" s="36"/>
      <c r="L4575" s="37" t="s">
        <v>408</v>
      </c>
      <c r="M4575" s="20"/>
      <c r="N4575" s="35" t="str">
        <f>"Level - "&amp;IFERROR(VLOOKUP(F4566,FLN!$A$4:$K$103,10,0),"")</f>
        <v>Level - </v>
      </c>
      <c r="O4575" s="36"/>
      <c r="P4575" s="19"/>
      <c r="Q4575" s="19"/>
      <c r="R4575" s="11"/>
    </row>
    <row r="4576" s="1" customFormat="1" ht="21.95" customHeight="1" spans="1:18">
      <c r="A4576" s="7"/>
      <c r="B4576" s="12"/>
      <c r="C4576" s="33"/>
      <c r="D4576" s="38"/>
      <c r="E4576" s="20" t="s">
        <v>716</v>
      </c>
      <c r="F4576" s="18" t="str">
        <f ca="1">IF(L4590&gt;197,"PERFORMED WELL","")</f>
        <v/>
      </c>
      <c r="G4576" s="18"/>
      <c r="H4576" s="18"/>
      <c r="I4576" s="18"/>
      <c r="J4576" s="18"/>
      <c r="K4576" s="18"/>
      <c r="L4576" s="18"/>
      <c r="M4576" s="18"/>
      <c r="N4576" s="18"/>
      <c r="O4576" s="18"/>
      <c r="P4576" s="19"/>
      <c r="Q4576" s="19"/>
      <c r="R4576" s="11"/>
    </row>
    <row r="4577" s="1" customFormat="1" ht="9.95" customHeight="1" spans="1:18">
      <c r="A4577" s="7"/>
      <c r="B4577" s="12"/>
      <c r="C4577" s="39"/>
      <c r="D4577" s="40"/>
      <c r="E4577" s="40"/>
      <c r="F4577" s="40"/>
      <c r="G4577" s="40"/>
      <c r="H4577" s="40"/>
      <c r="I4577" s="40"/>
      <c r="J4577" s="40"/>
      <c r="K4577" s="40"/>
      <c r="L4577" s="40"/>
      <c r="M4577" s="40"/>
      <c r="N4577" s="40"/>
      <c r="O4577" s="40"/>
      <c r="P4577" s="41"/>
      <c r="Q4577" s="19"/>
      <c r="R4577" s="11"/>
    </row>
    <row r="4578" s="1" customFormat="1" ht="9.95" customHeight="1" spans="1:18">
      <c r="A4578" s="7"/>
      <c r="B4578" s="12"/>
      <c r="C4578" s="29"/>
      <c r="D4578" s="29"/>
      <c r="E4578" s="29"/>
      <c r="F4578" s="29"/>
      <c r="G4578" s="29"/>
      <c r="H4578" s="29"/>
      <c r="I4578" s="29"/>
      <c r="J4578" s="29"/>
      <c r="K4578" s="29"/>
      <c r="L4578" s="29"/>
      <c r="M4578" s="29"/>
      <c r="N4578" s="29"/>
      <c r="O4578" s="29"/>
      <c r="P4578" s="29"/>
      <c r="Q4578" s="19"/>
      <c r="R4578" s="11"/>
    </row>
    <row r="4579" s="1" customFormat="1" ht="9.95" customHeight="1" spans="1:18">
      <c r="A4579" s="7"/>
      <c r="B4579" s="12"/>
      <c r="C4579" s="30"/>
      <c r="D4579" s="31"/>
      <c r="E4579" s="31"/>
      <c r="F4579" s="31"/>
      <c r="G4579" s="31"/>
      <c r="H4579" s="31"/>
      <c r="I4579" s="31"/>
      <c r="J4579" s="31"/>
      <c r="K4579" s="31"/>
      <c r="L4579" s="31"/>
      <c r="M4579" s="31"/>
      <c r="N4579" s="31"/>
      <c r="O4579" s="31"/>
      <c r="P4579" s="32"/>
      <c r="Q4579" s="19"/>
      <c r="R4579" s="11"/>
    </row>
    <row r="4580" s="1" customFormat="1" ht="21.95" customHeight="1" spans="1:18">
      <c r="A4580" s="7"/>
      <c r="B4580" s="12"/>
      <c r="C4580" s="33"/>
      <c r="D4580" s="35"/>
      <c r="E4580" s="24"/>
      <c r="F4580" s="42" t="s">
        <v>717</v>
      </c>
      <c r="G4580" s="42"/>
      <c r="H4580" s="42"/>
      <c r="I4580" s="42"/>
      <c r="J4580" s="42"/>
      <c r="K4580" s="42"/>
      <c r="L4580" s="43"/>
      <c r="M4580" s="44"/>
      <c r="N4580" s="29"/>
      <c r="O4580" s="29"/>
      <c r="P4580" s="19"/>
      <c r="Q4580" s="19"/>
      <c r="R4580" s="11"/>
    </row>
    <row r="4581" s="1" customFormat="1" ht="21.95" customHeight="1" spans="1:18">
      <c r="A4581" s="7"/>
      <c r="B4581" s="12"/>
      <c r="C4581" s="33"/>
      <c r="D4581" s="45"/>
      <c r="E4581" s="46"/>
      <c r="F4581" s="47" t="s">
        <v>541</v>
      </c>
      <c r="G4581" s="47" t="s">
        <v>542</v>
      </c>
      <c r="H4581" s="47" t="s">
        <v>543</v>
      </c>
      <c r="I4581" s="47" t="s">
        <v>544</v>
      </c>
      <c r="J4581" s="47" t="s">
        <v>561</v>
      </c>
      <c r="K4581" s="48" t="s">
        <v>750</v>
      </c>
      <c r="L4581" s="47" t="s">
        <v>382</v>
      </c>
      <c r="M4581" s="49" t="s">
        <v>546</v>
      </c>
      <c r="N4581" s="29"/>
      <c r="O4581" s="29"/>
      <c r="P4581" s="19"/>
      <c r="Q4581" s="19"/>
      <c r="R4581" s="11"/>
    </row>
    <row r="4582" s="1" customFormat="1" ht="21.95" customHeight="1" spans="1:18">
      <c r="A4582" s="7"/>
      <c r="B4582" s="12"/>
      <c r="C4582" s="33"/>
      <c r="D4582" s="45" t="s">
        <v>652</v>
      </c>
      <c r="E4582" s="46"/>
      <c r="F4582" s="50">
        <v>10</v>
      </c>
      <c r="G4582" s="50">
        <v>10</v>
      </c>
      <c r="H4582" s="50">
        <v>10</v>
      </c>
      <c r="I4582" s="50">
        <v>10</v>
      </c>
      <c r="J4582" s="50">
        <v>60</v>
      </c>
      <c r="K4582" s="51"/>
      <c r="L4582" s="50">
        <v>100</v>
      </c>
      <c r="M4582" s="49"/>
      <c r="N4582" s="29"/>
      <c r="O4582" s="29"/>
      <c r="P4582" s="19"/>
      <c r="Q4582" s="19"/>
      <c r="R4582" s="11"/>
    </row>
    <row r="4583" s="1" customFormat="1" ht="21.95" customHeight="1" spans="1:18">
      <c r="A4583" s="7"/>
      <c r="B4583" s="12"/>
      <c r="C4583" s="33"/>
      <c r="D4583" s="52" t="s">
        <v>751</v>
      </c>
      <c r="E4583" s="53"/>
      <c r="F4583" s="54" t="str">
        <f ca="1">IFERROR(VLOOKUP(F4566,'RR-3.1-5TH'!$A$12:'RR-3.1-5TH'!$BN$111,9,0),"")</f>
        <v/>
      </c>
      <c r="G4583" s="54" t="str">
        <f ca="1">IFERROR(VLOOKUP(F4566,'RR-3.1-5TH'!$A$12:'RR-3.1-5TH'!$BN$111,10,0),"")</f>
        <v/>
      </c>
      <c r="H4583" s="54" t="str">
        <f ca="1">IFERROR(VLOOKUP(F4566,'RR-3.1-5TH'!$A$12:'RR-3.1-5TH'!$BN$111,11,0),"")</f>
        <v/>
      </c>
      <c r="I4583" s="54" t="str">
        <f ca="1">IFERROR(VLOOKUP(F4566,'RR-3.1-5TH'!$A$12:'RR-3.1-5TH'!$BN$111,12,0),"")</f>
        <v/>
      </c>
      <c r="J4583" s="54" t="str">
        <f ca="1">IFERROR(VLOOKUP(F4566,'RR-3.1-5TH'!$A$12:'RR-3.1-5TH'!$BN$111,13,0),"")</f>
        <v/>
      </c>
      <c r="K4583" s="54" t="str">
        <f ca="1">IFERROR(VLOOKUP(F4566,'RR-3.1-5TH'!$A$12:'RR-3.1-5TH'!$BN$111,14,0),"")</f>
        <v/>
      </c>
      <c r="L4583" s="55">
        <f ca="1" t="shared" ref="L4583:L4588" si="240">SUM(F4583,G4583,H4583,I4583,J4583,K4583)</f>
        <v>0</v>
      </c>
      <c r="M4583" s="56" t="str">
        <f ca="1">IF(F4566&gt;ENTRY!$D$24,"",IF(L4583=0,"Ab",IF(L4583&gt;80,"A",IF(L4583&gt;60,"B",IF(L4583&gt;44,"C",IF(L4583&gt;=33,"D",IF(L4583&lt;=32,"E","")))))))</f>
        <v/>
      </c>
      <c r="N4583" s="57" t="s">
        <v>729</v>
      </c>
      <c r="O4583" s="58"/>
      <c r="P4583" s="59"/>
      <c r="Q4583" s="19"/>
      <c r="R4583" s="11"/>
    </row>
    <row r="4584" s="1" customFormat="1" ht="21.95" customHeight="1" spans="1:18">
      <c r="A4584" s="7"/>
      <c r="B4584" s="12"/>
      <c r="C4584" s="33"/>
      <c r="D4584" s="52" t="s">
        <v>513</v>
      </c>
      <c r="E4584" s="53"/>
      <c r="F4584" s="54" t="str">
        <f ca="1">IFERROR(VLOOKUP(F4566,'RR-3.1-5TH'!$A$12:'RR-3.1-5TH'!$BN$111,17,0),"")</f>
        <v/>
      </c>
      <c r="G4584" s="54" t="str">
        <f ca="1">IFERROR(VLOOKUP(F4566,'RR-3.1-5TH'!$A$12:'RR-3.1-5TH'!$BN$111,18,0),"")</f>
        <v/>
      </c>
      <c r="H4584" s="54" t="str">
        <f ca="1">IFERROR(VLOOKUP(F4566,'RR-3.1-5TH'!$A$12:'RR-3.1-5TH'!$BN$111,19,0),"")</f>
        <v/>
      </c>
      <c r="I4584" s="54" t="str">
        <f ca="1">IFERROR(VLOOKUP(F4566,'RR-3.1-5TH'!$A$12:'RR-3.1-5TH'!$BN$111,20,0),"")</f>
        <v/>
      </c>
      <c r="J4584" s="54" t="str">
        <f ca="1">IFERROR(VLOOKUP(F4566,'RR-3.1-5TH'!$A$12:'RR-3.1-5TH'!$BN$111,21,0),"")</f>
        <v/>
      </c>
      <c r="K4584" s="54" t="str">
        <f ca="1">IFERROR(VLOOKUP(F4566,'RR-3.1-5TH'!$A$12:'RR-3.1-5TH'!$BN$111,22,0),"")</f>
        <v/>
      </c>
      <c r="L4584" s="55">
        <f ca="1" t="shared" si="240"/>
        <v>0</v>
      </c>
      <c r="M4584" s="56" t="str">
        <f ca="1">IF(F4566&gt;ENTRY!$D$24,"",IF(L4584=0,"Ab",IF(L4584&gt;80,"A",IF(L4584&gt;60,"B",IF(L4584&gt;44,"C",IF(L4584&gt;=33,"D",IF(L4584&lt;=32,"E","")))))))</f>
        <v/>
      </c>
      <c r="N4584" s="58"/>
      <c r="O4584" s="58"/>
      <c r="P4584" s="59"/>
      <c r="Q4584" s="19"/>
      <c r="R4584" s="11"/>
    </row>
    <row r="4585" s="1" customFormat="1" ht="21.95" customHeight="1" spans="1:18">
      <c r="A4585" s="7"/>
      <c r="B4585" s="12"/>
      <c r="C4585" s="33"/>
      <c r="D4585" s="52" t="s">
        <v>718</v>
      </c>
      <c r="E4585" s="53"/>
      <c r="F4585" s="54" t="str">
        <f ca="1">IFERROR(VLOOKUP(F4566,'RR-3.1-5TH'!$A$12:'RR-3.1-5TH'!$BN$111,25,0),"")</f>
        <v/>
      </c>
      <c r="G4585" s="54" t="str">
        <f ca="1">IFERROR(VLOOKUP(F4566,'RR-3.1-5TH'!$A$12:'RR-3.1-5TH'!$BN$111,26,0),"")</f>
        <v/>
      </c>
      <c r="H4585" s="54" t="str">
        <f ca="1">IFERROR(VLOOKUP(F4566,'RR-3.1-5TH'!$A$12:'RR-3.1-5TH'!$BN$111,27,0),"")</f>
        <v/>
      </c>
      <c r="I4585" s="54" t="str">
        <f ca="1">IFERROR(VLOOKUP(F4566,'RR-3.1-5TH'!$A$12:'RR-3.1-5TH'!$BN$111,28,0),"")</f>
        <v/>
      </c>
      <c r="J4585" s="54" t="str">
        <f ca="1">IFERROR(VLOOKUP(F4566,'RR-3.1-5TH'!$A$12:'RR-3.1-5TH'!$BN$111,29,0),"")</f>
        <v/>
      </c>
      <c r="K4585" s="54" t="str">
        <f ca="1">IFERROR(VLOOKUP(F4566,'RR-3.1-5TH'!$A$12:'RR-3.1-5TH'!$BN$111,30,0),"")</f>
        <v/>
      </c>
      <c r="L4585" s="55">
        <f ca="1" t="shared" si="240"/>
        <v>0</v>
      </c>
      <c r="M4585" s="56" t="str">
        <f ca="1">IF(F4566&gt;ENTRY!$D$24,"",IF(L4585=0,"Ab",IF(L4585&gt;80,"A",IF(L4585&gt;60,"B",IF(L4585&gt;44,"C",IF(L4585&gt;=33,"D",IF(L4585&lt;=32,"E","")))))))</f>
        <v/>
      </c>
      <c r="N4585" s="29"/>
      <c r="O4585" s="29"/>
      <c r="P4585" s="19"/>
      <c r="Q4585" s="19"/>
      <c r="R4585" s="11"/>
    </row>
    <row r="4586" s="1" customFormat="1" ht="21.95" customHeight="1" spans="1:18">
      <c r="A4586" s="7"/>
      <c r="B4586" s="12"/>
      <c r="C4586" s="33"/>
      <c r="D4586" s="52" t="s">
        <v>719</v>
      </c>
      <c r="E4586" s="53"/>
      <c r="F4586" s="54" t="str">
        <f ca="1">IFERROR(VLOOKUP(F4566,'RR-3.1-5TH'!$A$12:'RR-3.1-5TH'!$BN$111,33,0),"")</f>
        <v/>
      </c>
      <c r="G4586" s="54" t="str">
        <f ca="1">IFERROR(VLOOKUP(F4566,'RR-3.1-5TH'!$A$12:'RR-3.1-5TH'!$BN$111,34,0),"")</f>
        <v/>
      </c>
      <c r="H4586" s="54" t="str">
        <f ca="1">IFERROR(VLOOKUP(F4566,'RR-3.1-5TH'!$A$12:'RR-3.1-5TH'!$BN$111,35,0),"")</f>
        <v/>
      </c>
      <c r="I4586" s="54" t="str">
        <f ca="1">IFERROR(VLOOKUP(F4566,'RR-3.1-5TH'!$A$12:'RR-3.1-5TH'!$BN$111,36,0),"")</f>
        <v/>
      </c>
      <c r="J4586" s="54" t="str">
        <f ca="1">IFERROR(VLOOKUP(F4566,'RR-3.1-5TH'!$A$12:'RR-3.1-5TH'!$BN$111,37,0),"")</f>
        <v/>
      </c>
      <c r="K4586" s="54" t="str">
        <f ca="1">IFERROR(VLOOKUP(F4566,'RR-3.1-5TH'!$A$12:'RR-3.1-5TH'!$BN$111,38,0),"")</f>
        <v/>
      </c>
      <c r="L4586" s="55">
        <f ca="1" t="shared" si="240"/>
        <v>0</v>
      </c>
      <c r="M4586" s="56" t="str">
        <f ca="1">IF(F4566&gt;ENTRY!$D$24,"",IF(L4586=0,"Ab",IF(L4586&gt;80,"A",IF(L4586&gt;60,"B",IF(L4586&gt;44,"C",IF(L4586&gt;=33,"D",IF(L4586&lt;=32,"E","")))))))</f>
        <v/>
      </c>
      <c r="N4586" s="29"/>
      <c r="O4586" s="29"/>
      <c r="P4586" s="19"/>
      <c r="Q4586" s="19"/>
      <c r="R4586" s="11"/>
    </row>
    <row r="4587" s="1" customFormat="1" ht="21.95" customHeight="1" spans="1:18">
      <c r="A4587" s="7"/>
      <c r="B4587" s="12"/>
      <c r="C4587" s="33"/>
      <c r="D4587" s="52" t="s">
        <v>548</v>
      </c>
      <c r="E4587" s="53"/>
      <c r="F4587" s="54" t="str">
        <f ca="1">IFERROR(VLOOKUP(F4566,'RR-3.1-5TH'!$A$12:'RR-3.1-5TH'!$BN$111,41,0),"")</f>
        <v/>
      </c>
      <c r="G4587" s="54" t="str">
        <f ca="1">IFERROR(VLOOKUP(F4566,'RR-3.1-5TH'!$A$12:'RR-3.1-5TH'!$BN$111,42,0),"")</f>
        <v/>
      </c>
      <c r="H4587" s="54" t="str">
        <f ca="1">IFERROR(VLOOKUP(F4566,'RR-3.1-5TH'!$A$12:'RR-3.1-5TH'!$BN$111,43,0),"")</f>
        <v/>
      </c>
      <c r="I4587" s="54" t="str">
        <f ca="1">IFERROR(VLOOKUP(F4566,'RR-3.1-5TH'!$A$12:'RR-3.1-5TH'!$BN$111,44,0),"")</f>
        <v/>
      </c>
      <c r="J4587" s="54" t="str">
        <f ca="1">IFERROR(VLOOKUP(F4566,'RR-3.1-5TH'!$A$12:'RR-3.1-5TH'!$BN$111,45,0),"")</f>
        <v/>
      </c>
      <c r="K4587" s="54" t="str">
        <f ca="1">IFERROR(VLOOKUP(F4566,'RR-3.1-5TH'!$A$12:'RR-3.1-5TH'!$BN$111,46,0),"")</f>
        <v/>
      </c>
      <c r="L4587" s="55">
        <f ca="1" t="shared" si="240"/>
        <v>0</v>
      </c>
      <c r="M4587" s="56" t="str">
        <f ca="1">IF(F4566&gt;ENTRY!$D$24,"",IF(L4587=0,"Ab",IF(L4587&gt;80,"A",IF(L4587&gt;60,"B",IF(L4587&gt;44,"C",IF(L4587&gt;=33,"D",IF(L4587&lt;=32,"E","")))))))</f>
        <v/>
      </c>
      <c r="N4587" s="29"/>
      <c r="O4587" s="29"/>
      <c r="P4587" s="19"/>
      <c r="Q4587" s="19"/>
      <c r="R4587" s="11"/>
    </row>
    <row r="4588" s="1" customFormat="1" ht="21.95" customHeight="1" spans="1:18">
      <c r="A4588" s="7"/>
      <c r="B4588" s="12"/>
      <c r="C4588" s="33"/>
      <c r="D4588" s="52" t="s">
        <v>549</v>
      </c>
      <c r="E4588" s="53"/>
      <c r="F4588" s="54" t="str">
        <f ca="1">IFERROR(VLOOKUP(F4566,'RR-3.1-5TH'!$A$12:'RR-3.1-5TH'!$BN$111,49,0),"")</f>
        <v/>
      </c>
      <c r="G4588" s="54" t="str">
        <f ca="1">IFERROR(VLOOKUP(F4566,'RR-3.1-5TH'!$A$12:'RR-3.1-5TH'!$BN$111,50,0),"")</f>
        <v/>
      </c>
      <c r="H4588" s="54" t="str">
        <f ca="1">IFERROR(VLOOKUP(F4566,'RR-3.1-5TH'!$A$12:'RR-3.1-5TH'!$BN$111,51,0),"")</f>
        <v/>
      </c>
      <c r="I4588" s="54" t="str">
        <f ca="1">IFERROR(VLOOKUP(F4566,'RR-3.1-5TH'!$A$12:'RR-3.1-5TH'!$BN$111,52,0),"")</f>
        <v/>
      </c>
      <c r="J4588" s="54" t="str">
        <f ca="1">IFERROR(VLOOKUP(F4566,'RR-3.1-5TH'!$A$12:'RR-3.1-5TH'!$BN$111,53,0),"")</f>
        <v/>
      </c>
      <c r="K4588" s="54" t="str">
        <f ca="1">IFERROR(VLOOKUP(F4566,'RR-3.1-5TH'!$A$12:'RR-3.1-5TH'!$BN$111,54,0),"")</f>
        <v/>
      </c>
      <c r="L4588" s="55">
        <f ca="1" t="shared" si="240"/>
        <v>0</v>
      </c>
      <c r="M4588" s="56" t="str">
        <f ca="1">IF(F4566&gt;ENTRY!$D$24,"",IF(L4588=0,"Ab",IF(L4588&gt;80,"A",IF(L4588&gt;60,"B",IF(L4588&gt;44,"C",IF(L4588&gt;=33,"D",IF(L4588&lt;=32,"E","")))))))</f>
        <v/>
      </c>
      <c r="N4588" s="57" t="s">
        <v>752</v>
      </c>
      <c r="O4588" s="58"/>
      <c r="P4588" s="59"/>
      <c r="Q4588" s="19"/>
      <c r="R4588" s="11"/>
    </row>
    <row r="4589" s="1" customFormat="1" ht="21.95" customHeight="1" spans="1:18">
      <c r="A4589" s="7"/>
      <c r="B4589" s="12"/>
      <c r="C4589" s="33"/>
      <c r="D4589" s="52" t="s">
        <v>753</v>
      </c>
      <c r="E4589" s="53"/>
      <c r="F4589" s="60"/>
      <c r="G4589" s="54"/>
      <c r="H4589" s="54"/>
      <c r="I4589" s="54"/>
      <c r="J4589" s="54"/>
      <c r="K4589" s="54"/>
      <c r="L4589" s="55">
        <f t="shared" ref="L4589" si="241">SUM(G4589:K4589)</f>
        <v>0</v>
      </c>
      <c r="M4589" s="56" t="str">
        <f>IF(F4566&gt;ENTRY!$D$24,"",IF(L4589=0,"",IF(L4589&gt;79,"A",IF(L4589&gt;59,"B",IF(L4589&gt;44,"C",IF(L4589&gt;=33,"D",IF(L4589&lt;=32,"E","")))))))</f>
        <v/>
      </c>
      <c r="N4589" s="58"/>
      <c r="O4589" s="58"/>
      <c r="P4589" s="59"/>
      <c r="Q4589" s="19"/>
      <c r="R4589" s="11"/>
    </row>
    <row r="4590" s="1" customFormat="1" ht="21.95" customHeight="1" spans="1:18">
      <c r="A4590" s="7"/>
      <c r="B4590" s="12"/>
      <c r="C4590" s="33"/>
      <c r="D4590" s="45" t="s">
        <v>382</v>
      </c>
      <c r="E4590" s="46"/>
      <c r="F4590" s="54">
        <f ca="1" t="shared" ref="F4590:L4590" si="242">IFERROR(SUM(F4583:F4589),"")</f>
        <v>0</v>
      </c>
      <c r="G4590" s="54">
        <f ca="1" t="shared" si="242"/>
        <v>0</v>
      </c>
      <c r="H4590" s="54">
        <f ca="1" t="shared" si="242"/>
        <v>0</v>
      </c>
      <c r="I4590" s="54">
        <f ca="1" t="shared" si="242"/>
        <v>0</v>
      </c>
      <c r="J4590" s="54">
        <f ca="1" t="shared" si="242"/>
        <v>0</v>
      </c>
      <c r="K4590" s="54">
        <f ca="1" t="shared" si="242"/>
        <v>0</v>
      </c>
      <c r="L4590" s="55">
        <f ca="1" t="shared" si="242"/>
        <v>0</v>
      </c>
      <c r="M4590" s="61" t="str">
        <f ca="1">IF(F4566&gt;ENTRY!$D$24,"",IF(N4591="Ab","Ab",IF(N4591&gt;79.5,"A",IF(N4591&gt;59.5,"B",IF(N4591&gt;44.5,"C",IF(N4591&gt;=33,"D",IF(N4591&lt;33,"E","")))))))</f>
        <v/>
      </c>
      <c r="N4590" s="62"/>
      <c r="O4590" s="58"/>
      <c r="P4590" s="59"/>
      <c r="Q4590" s="19"/>
      <c r="R4590" s="11"/>
    </row>
    <row r="4591" s="1" customFormat="1" ht="21.95" customHeight="1" spans="1:18">
      <c r="A4591" s="7"/>
      <c r="B4591" s="12"/>
      <c r="C4591" s="33"/>
      <c r="D4591" s="63" t="s">
        <v>721</v>
      </c>
      <c r="E4591" s="63"/>
      <c r="F4591" s="63"/>
      <c r="G4591" s="63"/>
      <c r="H4591" s="63"/>
      <c r="I4591" s="63"/>
      <c r="J4591" s="63"/>
      <c r="K4591" s="63"/>
      <c r="L4591" s="63"/>
      <c r="M4591" s="63"/>
      <c r="N4591" s="64">
        <f ca="1">IF(L4590="Ab","Ab",L4590/6)</f>
        <v>0</v>
      </c>
      <c r="O4591" s="65"/>
      <c r="P4591" s="19"/>
      <c r="Q4591" s="19"/>
      <c r="R4591" s="11"/>
    </row>
    <row r="4592" s="1" customFormat="1" ht="21.95" customHeight="1" spans="1:18">
      <c r="A4592" s="7"/>
      <c r="B4592" s="12"/>
      <c r="C4592" s="33"/>
      <c r="D4592" s="29" t="s">
        <v>716</v>
      </c>
      <c r="E4592" s="18" t="str">
        <f>IFERROR(VLOOKUP(F4566,'1to4-2.1-RR'!$A$12:$BG$111,57,0),"")</f>
        <v/>
      </c>
      <c r="F4592" s="18"/>
      <c r="G4592" s="18"/>
      <c r="H4592" s="18"/>
      <c r="I4592" s="18"/>
      <c r="J4592" s="18"/>
      <c r="K4592" s="18"/>
      <c r="L4592" s="18"/>
      <c r="M4592" s="18"/>
      <c r="N4592" s="29"/>
      <c r="O4592" s="29"/>
      <c r="P4592" s="19"/>
      <c r="Q4592" s="19"/>
      <c r="R4592" s="11"/>
    </row>
    <row r="4593" s="1" customFormat="1" ht="9.95" customHeight="1" spans="1:19">
      <c r="A4593" s="7"/>
      <c r="B4593" s="12"/>
      <c r="C4593" s="33"/>
      <c r="D4593" s="29"/>
      <c r="E4593" s="29"/>
      <c r="F4593" s="29"/>
      <c r="G4593" s="29"/>
      <c r="H4593" s="29"/>
      <c r="I4593" s="29"/>
      <c r="J4593" s="29"/>
      <c r="K4593" s="29"/>
      <c r="L4593" s="29"/>
      <c r="M4593" s="29"/>
      <c r="N4593" s="29"/>
      <c r="O4593" s="29"/>
      <c r="P4593" s="19"/>
      <c r="Q4593" s="19"/>
      <c r="R4593" s="11"/>
    </row>
    <row r="4594" s="1" customFormat="1" ht="36" spans="1:19">
      <c r="A4594" s="7"/>
      <c r="B4594" s="12"/>
      <c r="C4594" s="33"/>
      <c r="D4594" s="66" t="s">
        <v>576</v>
      </c>
      <c r="E4594" s="67" t="s">
        <v>754</v>
      </c>
      <c r="F4594" s="47" t="str">
        <f>IF(F4566&gt;ENTRY!$D$24,"",IFERROR(VLOOKUP(F4566,PASHEET!$A$4:$CJ$103,88,0),""))</f>
        <v/>
      </c>
      <c r="G4594" s="67" t="s">
        <v>755</v>
      </c>
      <c r="H4594" s="47" t="str">
        <f>IF(F4566&gt;ENTRY!$D$24,"",IFERROR(VLOOKUP(F4566,PASHEET!$A$4:$CJ$103,87,0),""))</f>
        <v/>
      </c>
      <c r="I4594" s="68" t="s">
        <v>756</v>
      </c>
      <c r="J4594" s="69" t="str">
        <f>IF(F4566&gt;ENTRY!$D$24,"",IFERROR(IF(F4566&gt;0,H4594/F4594*100),""))</f>
        <v/>
      </c>
      <c r="K4594" s="60" t="s">
        <v>757</v>
      </c>
      <c r="L4594" s="70" t="str">
        <f ca="1">IF(F4566&gt;ENTRY!$D$24,"",IFERROR(L4590/600*100,""))</f>
        <v/>
      </c>
      <c r="M4594" s="47" t="str">
        <f ca="1">IF(F4566&gt;ENTRY!$D$24,"",IFERROR(L4590&amp;" / "&amp;"600",""))</f>
        <v/>
      </c>
      <c r="N4594" s="29"/>
      <c r="O4594" s="29"/>
      <c r="P4594" s="19"/>
      <c r="Q4594" s="19"/>
      <c r="R4594" s="11"/>
    </row>
    <row r="4595" s="1" customFormat="1" ht="9.95" customHeight="1" spans="1:19">
      <c r="A4595" s="7"/>
      <c r="B4595" s="12"/>
      <c r="C4595" s="39"/>
      <c r="D4595" s="40"/>
      <c r="E4595" s="40"/>
      <c r="F4595" s="40"/>
      <c r="G4595" s="40"/>
      <c r="H4595" s="40"/>
      <c r="I4595" s="40"/>
      <c r="J4595" s="40"/>
      <c r="K4595" s="40"/>
      <c r="L4595" s="40"/>
      <c r="M4595" s="40"/>
      <c r="N4595" s="40"/>
      <c r="O4595" s="40"/>
      <c r="P4595" s="41"/>
      <c r="Q4595" s="19"/>
      <c r="R4595" s="11"/>
    </row>
    <row r="4596" s="1" customFormat="1" ht="9.95" customHeight="1" spans="1:19">
      <c r="A4596" s="7"/>
      <c r="B4596" s="12"/>
      <c r="C4596" s="71"/>
      <c r="D4596" s="71"/>
      <c r="E4596" s="71"/>
      <c r="F4596" s="29"/>
      <c r="G4596" s="71"/>
      <c r="H4596" s="71"/>
      <c r="I4596" s="71"/>
      <c r="J4596" s="71"/>
      <c r="K4596" s="71"/>
      <c r="L4596" s="71"/>
      <c r="M4596" s="71"/>
      <c r="N4596" s="71"/>
      <c r="O4596" s="71"/>
      <c r="P4596" s="71"/>
      <c r="Q4596" s="19"/>
      <c r="R4596" s="11"/>
    </row>
    <row r="4597" s="1" customFormat="1" ht="9.95" customHeight="1" spans="1:19">
      <c r="A4597" s="7"/>
      <c r="B4597" s="12"/>
      <c r="C4597" s="29"/>
      <c r="D4597" s="29"/>
      <c r="E4597" s="29"/>
      <c r="F4597" s="72"/>
      <c r="G4597" s="29"/>
      <c r="H4597" s="29"/>
      <c r="I4597" s="29"/>
      <c r="J4597" s="29"/>
      <c r="K4597" s="29"/>
      <c r="L4597" s="29"/>
      <c r="M4597" s="29"/>
      <c r="N4597" s="29"/>
      <c r="O4597" s="29"/>
      <c r="P4597" s="29"/>
      <c r="Q4597" s="19"/>
      <c r="R4597" s="11"/>
    </row>
    <row r="4598" s="1" customFormat="1" ht="9.95" customHeight="1" spans="1:19">
      <c r="A4598" s="7"/>
      <c r="B4598" s="12"/>
      <c r="C4598" s="30"/>
      <c r="D4598" s="31"/>
      <c r="E4598" s="31"/>
      <c r="F4598" s="31"/>
      <c r="G4598" s="31"/>
      <c r="H4598" s="31"/>
      <c r="I4598" s="31"/>
      <c r="J4598" s="31"/>
      <c r="K4598" s="31"/>
      <c r="L4598" s="31"/>
      <c r="M4598" s="31"/>
      <c r="N4598" s="31"/>
      <c r="O4598" s="31"/>
      <c r="P4598" s="32"/>
      <c r="Q4598" s="19"/>
      <c r="R4598" s="11"/>
    </row>
    <row r="4599" s="1" customFormat="1" ht="21.95" customHeight="1" spans="1:19">
      <c r="A4599" s="7"/>
      <c r="B4599" s="12"/>
      <c r="C4599" s="73" t="s">
        <v>7</v>
      </c>
      <c r="D4599" s="13"/>
      <c r="E4599" s="13"/>
      <c r="F4599" s="13"/>
      <c r="G4599" s="13"/>
      <c r="H4599" s="13"/>
      <c r="I4599" s="13"/>
      <c r="J4599" s="13"/>
      <c r="K4599" s="13"/>
      <c r="L4599" s="13"/>
      <c r="M4599" s="13"/>
      <c r="N4599" s="13"/>
      <c r="O4599" s="13"/>
      <c r="P4599" s="74"/>
      <c r="Q4599" s="19"/>
      <c r="R4599" s="11"/>
      <c r="S4599" s="2"/>
    </row>
    <row r="4600" s="1" customFormat="1" ht="21.95" customHeight="1" spans="1:19">
      <c r="A4600" s="7"/>
      <c r="B4600" s="12"/>
      <c r="C4600" s="33"/>
      <c r="D4600" s="29"/>
      <c r="E4600" s="29"/>
      <c r="F4600" s="29"/>
      <c r="G4600" s="29"/>
      <c r="H4600" s="29"/>
      <c r="I4600" s="29"/>
      <c r="J4600" s="29"/>
      <c r="K4600" s="29"/>
      <c r="L4600" s="29"/>
      <c r="M4600" s="29"/>
      <c r="N4600" s="29"/>
      <c r="O4600" s="29"/>
      <c r="P4600" s="19"/>
      <c r="Q4600" s="19"/>
      <c r="R4600" s="11"/>
    </row>
    <row r="4601" s="1" customFormat="1" ht="21.95" customHeight="1" spans="1:19">
      <c r="A4601" s="7"/>
      <c r="B4601" s="12"/>
      <c r="C4601" s="75" t="str">
        <f>"SESSION-"&amp;ENTRY!$D$11</f>
        <v>SESSION-2026-27</v>
      </c>
      <c r="D4601" s="15"/>
      <c r="E4601" s="15"/>
      <c r="F4601" s="15"/>
      <c r="G4601" s="15"/>
      <c r="H4601" s="15"/>
      <c r="I4601" s="15"/>
      <c r="J4601" s="15"/>
      <c r="K4601" s="15"/>
      <c r="L4601" s="15"/>
      <c r="M4601" s="15"/>
      <c r="N4601" s="15"/>
      <c r="O4601" s="15"/>
      <c r="P4601" s="76"/>
      <c r="Q4601" s="19"/>
      <c r="R4601" s="11"/>
    </row>
    <row r="4602" s="1" customFormat="1" ht="18" customHeight="1" spans="1:19">
      <c r="A4602" s="7"/>
      <c r="B4602" s="12"/>
      <c r="C4602" s="33"/>
      <c r="D4602" s="29"/>
      <c r="E4602" s="29"/>
      <c r="F4602" s="29"/>
      <c r="G4602" s="29"/>
      <c r="H4602" s="29"/>
      <c r="I4602" s="29"/>
      <c r="J4602" s="29"/>
      <c r="K4602" s="29"/>
      <c r="L4602" s="29"/>
      <c r="M4602" s="29"/>
      <c r="N4602" s="29"/>
      <c r="O4602" s="29"/>
      <c r="P4602" s="19"/>
      <c r="Q4602" s="19"/>
      <c r="R4602" s="11"/>
    </row>
    <row r="4603" s="1" customFormat="1" ht="21.95" customHeight="1" spans="1:19">
      <c r="A4603" s="7"/>
      <c r="B4603" s="12"/>
      <c r="C4603" s="33"/>
      <c r="D4603" s="77" t="s">
        <v>758</v>
      </c>
      <c r="E4603" s="77"/>
      <c r="F4603" s="78" t="str">
        <f>IFERROR(PROPER(VLOOKUP(F4566,STUDENT!$A$2:$BP$101,5,0)),"")</f>
        <v/>
      </c>
      <c r="G4603" s="78"/>
      <c r="H4603" s="78"/>
      <c r="I4603" s="78"/>
      <c r="J4603" s="78"/>
      <c r="K4603" s="78"/>
      <c r="L4603" s="78"/>
      <c r="M4603" s="78"/>
      <c r="N4603" s="79" t="s">
        <v>759</v>
      </c>
      <c r="O4603" s="79"/>
      <c r="P4603" s="19"/>
      <c r="Q4603" s="19"/>
      <c r="R4603" s="11"/>
    </row>
    <row r="4604" s="1" customFormat="1" ht="21.95" customHeight="1" spans="1:19">
      <c r="A4604" s="7"/>
      <c r="B4604" s="12"/>
      <c r="C4604" s="33"/>
      <c r="D4604" s="80" t="s">
        <v>760</v>
      </c>
      <c r="E4604" s="81" t="str">
        <f>IFERROR(PROPER(VLOOKUP(F4566,STUDENT!$A$2:$BP$101,9,0)),"")</f>
        <v/>
      </c>
      <c r="F4604" s="81"/>
      <c r="G4604" s="81"/>
      <c r="H4604" s="80" t="s">
        <v>761</v>
      </c>
      <c r="I4604" s="82" t="str">
        <f>IFERROR(PROPER(VLOOKUP(F4566,STUDENT!$A$2:$BP$101,8,0)),"")</f>
        <v/>
      </c>
      <c r="J4604" s="82"/>
      <c r="K4604" s="82"/>
      <c r="L4604" s="82"/>
      <c r="M4604" s="80" t="s">
        <v>762</v>
      </c>
      <c r="N4604" s="83" t="str">
        <f>IFERROR(VLOOKUP(F4566,STUDENT!$A$2:$BP$101,59,0),"")</f>
        <v/>
      </c>
      <c r="O4604" s="83"/>
      <c r="P4604" s="19"/>
      <c r="Q4604" s="19"/>
      <c r="R4604" s="11"/>
    </row>
    <row r="4605" s="1" customFormat="1" ht="21.95" customHeight="1" spans="1:19">
      <c r="A4605" s="7"/>
      <c r="B4605" s="12"/>
      <c r="C4605" s="33"/>
      <c r="D4605" s="77" t="str">
        <f>"has    completed     his  /  her     primary     level     education    in    the    year    "&amp;RIGHT(ENTRY!$D4571,4)&amp;"    from    ( School    Name )"</f>
        <v>has    completed     his  /  her     primary     level     education    in    the    year        from    ( School    Name )</v>
      </c>
      <c r="E4605" s="77"/>
      <c r="F4605" s="77"/>
      <c r="G4605" s="77"/>
      <c r="H4605" s="77"/>
      <c r="I4605" s="77"/>
      <c r="J4605" s="77"/>
      <c r="K4605" s="77"/>
      <c r="L4605" s="77"/>
      <c r="M4605" s="77"/>
      <c r="N4605" s="77"/>
      <c r="O4605" s="77"/>
      <c r="P4605" s="19"/>
      <c r="Q4605" s="19"/>
      <c r="R4605" s="11"/>
    </row>
    <row r="4606" s="1" customFormat="1" ht="21.95" customHeight="1" spans="1:19">
      <c r="A4606" s="7"/>
      <c r="B4606" s="12"/>
      <c r="C4606" s="33"/>
      <c r="D4606" s="81" t="str">
        <f>IF(F4566&gt;0,ENTRY!$D$6,"")</f>
        <v>MCP NITHARI NO 1 BOYS</v>
      </c>
      <c r="E4606" s="81"/>
      <c r="F4606" s="81"/>
      <c r="G4606" s="81"/>
      <c r="H4606" s="81"/>
      <c r="I4606" s="81"/>
      <c r="J4606" s="81"/>
      <c r="K4606" s="81"/>
      <c r="L4606" s="81"/>
      <c r="M4606" s="80" t="s">
        <v>763</v>
      </c>
      <c r="N4606" s="84">
        <f>IF(F4566&gt;0,ENTRY!$D$7,"")</f>
        <v>0</v>
      </c>
      <c r="O4606" s="84"/>
      <c r="P4606" s="85" t="s">
        <v>727</v>
      </c>
      <c r="Q4606" s="19"/>
      <c r="R4606" s="11"/>
    </row>
    <row r="4607" s="1" customFormat="1" ht="21.95" customHeight="1" spans="1:19">
      <c r="A4607" s="7"/>
      <c r="B4607" s="12"/>
      <c r="C4607" s="33"/>
      <c r="D4607" s="29"/>
      <c r="E4607" s="29"/>
      <c r="F4607" s="29"/>
      <c r="G4607" s="29"/>
      <c r="H4607" s="29"/>
      <c r="I4607" s="29"/>
      <c r="J4607" s="29"/>
      <c r="K4607" s="29"/>
      <c r="L4607" s="29"/>
      <c r="M4607" s="29"/>
      <c r="N4607" s="29"/>
      <c r="O4607" s="29"/>
      <c r="P4607" s="19"/>
      <c r="Q4607" s="19"/>
      <c r="R4607" s="11"/>
    </row>
    <row r="4608" s="1" customFormat="1" ht="21.95" customHeight="1" spans="1:19">
      <c r="A4608" s="7"/>
      <c r="B4608" s="12"/>
      <c r="C4608" s="33"/>
      <c r="D4608" s="29"/>
      <c r="E4608" s="29"/>
      <c r="F4608" s="29"/>
      <c r="G4608" s="29"/>
      <c r="H4608" s="29"/>
      <c r="I4608" s="29"/>
      <c r="J4608" s="29"/>
      <c r="K4608" s="29"/>
      <c r="L4608" s="29"/>
      <c r="M4608" s="29"/>
      <c r="N4608" s="29"/>
      <c r="O4608" s="29"/>
      <c r="P4608" s="19"/>
      <c r="Q4608" s="19"/>
      <c r="R4608" s="11"/>
    </row>
    <row r="4609" s="1" customFormat="1" ht="21.95" customHeight="1" spans="1:18">
      <c r="A4609" s="7"/>
      <c r="B4609" s="12"/>
      <c r="C4609" s="33"/>
      <c r="D4609" s="29"/>
      <c r="E4609" s="29"/>
      <c r="F4609" s="29"/>
      <c r="G4609" s="29"/>
      <c r="H4609" s="29"/>
      <c r="I4609" s="29"/>
      <c r="J4609" s="29"/>
      <c r="K4609" s="29"/>
      <c r="L4609" s="29"/>
      <c r="M4609" s="29"/>
      <c r="N4609" s="29"/>
      <c r="O4609" s="29"/>
      <c r="P4609" s="19"/>
      <c r="Q4609" s="19"/>
      <c r="R4609" s="11"/>
    </row>
    <row r="4610" s="1" customFormat="1" ht="21.95" customHeight="1" spans="1:18">
      <c r="A4610" s="7"/>
      <c r="B4610" s="12"/>
      <c r="C4610" s="33"/>
      <c r="D4610" s="29"/>
      <c r="E4610" s="29"/>
      <c r="F4610" s="29"/>
      <c r="G4610" s="29"/>
      <c r="H4610" s="29"/>
      <c r="I4610" s="29"/>
      <c r="J4610" s="29"/>
      <c r="K4610" s="29"/>
      <c r="L4610" s="29"/>
      <c r="M4610" s="29"/>
      <c r="N4610" s="29"/>
      <c r="O4610" s="29"/>
      <c r="P4610" s="19"/>
      <c r="Q4610" s="19"/>
      <c r="R4610" s="11"/>
    </row>
    <row r="4611" s="1" customFormat="1" ht="21.95" customHeight="1" spans="1:18">
      <c r="A4611" s="7"/>
      <c r="B4611" s="12"/>
      <c r="C4611" s="33"/>
      <c r="D4611" s="29"/>
      <c r="E4611" s="29"/>
      <c r="F4611" s="29"/>
      <c r="G4611" s="29"/>
      <c r="H4611" s="29"/>
      <c r="I4611" s="29"/>
      <c r="J4611" s="29"/>
      <c r="K4611" s="29"/>
      <c r="L4611" s="29"/>
      <c r="M4611" s="29"/>
      <c r="N4611" s="29"/>
      <c r="O4611" s="29"/>
      <c r="P4611" s="19"/>
      <c r="Q4611" s="19"/>
      <c r="R4611" s="11"/>
    </row>
    <row r="4612" s="1" customFormat="1" ht="21.95" customHeight="1" spans="1:18">
      <c r="A4612" s="7"/>
      <c r="B4612" s="12"/>
      <c r="C4612" s="33"/>
      <c r="D4612" s="80" t="s">
        <v>728</v>
      </c>
      <c r="E4612" s="86">
        <f>ENTRY!$D$27</f>
        <v>46102</v>
      </c>
      <c r="F4612" s="86"/>
      <c r="G4612" s="29"/>
      <c r="H4612" s="29"/>
      <c r="I4612" s="29"/>
      <c r="J4612" s="29"/>
      <c r="K4612" s="29"/>
      <c r="L4612" s="29"/>
      <c r="M4612" s="87" t="s">
        <v>730</v>
      </c>
      <c r="N4612" s="87"/>
      <c r="O4612" s="87"/>
      <c r="P4612" s="19"/>
      <c r="Q4612" s="19"/>
      <c r="R4612" s="11"/>
    </row>
    <row r="4613" s="1" customFormat="1" ht="21.95" customHeight="1" spans="1:18">
      <c r="A4613" s="7"/>
      <c r="B4613" s="12"/>
      <c r="C4613" s="33"/>
      <c r="D4613" s="80" t="s">
        <v>731</v>
      </c>
      <c r="E4613" s="88" t="str">
        <f>PROPER(ENTRY!$D$28)</f>
        <v>New Delhi</v>
      </c>
      <c r="F4613" s="88"/>
      <c r="G4613" s="29"/>
      <c r="H4613" s="29"/>
      <c r="I4613" s="29"/>
      <c r="J4613" s="29"/>
      <c r="K4613" s="29"/>
      <c r="L4613" s="29"/>
      <c r="M4613" s="89" t="s">
        <v>732</v>
      </c>
      <c r="N4613" s="89"/>
      <c r="O4613" s="89"/>
      <c r="P4613" s="19"/>
      <c r="Q4613" s="19"/>
      <c r="R4613" s="11"/>
    </row>
    <row r="4614" s="1" customFormat="1" ht="21.95" customHeight="1" spans="1:18">
      <c r="A4614" s="7"/>
      <c r="B4614" s="12"/>
      <c r="C4614" s="90"/>
      <c r="D4614" s="91"/>
      <c r="E4614" s="91"/>
      <c r="F4614" s="91"/>
      <c r="G4614" s="91"/>
      <c r="H4614" s="91"/>
      <c r="I4614" s="91"/>
      <c r="J4614" s="91"/>
      <c r="K4614" s="91"/>
      <c r="L4614" s="91"/>
      <c r="M4614" s="91"/>
      <c r="N4614" s="91"/>
      <c r="O4614" s="91"/>
      <c r="P4614" s="92"/>
      <c r="Q4614" s="14"/>
      <c r="R4614" s="11"/>
    </row>
    <row r="4615" s="1" customFormat="1" ht="5.1" customHeight="1" spans="1:18">
      <c r="A4615" s="7"/>
      <c r="B4615" s="90"/>
      <c r="C4615" s="91"/>
      <c r="D4615" s="91"/>
      <c r="E4615" s="91"/>
      <c r="F4615" s="91"/>
      <c r="G4615" s="91"/>
      <c r="H4615" s="91"/>
      <c r="I4615" s="91"/>
      <c r="J4615" s="91"/>
      <c r="K4615" s="91"/>
      <c r="L4615" s="91"/>
      <c r="M4615" s="91"/>
      <c r="N4615" s="91"/>
      <c r="O4615" s="91"/>
      <c r="P4615" s="91"/>
      <c r="Q4615" s="92"/>
      <c r="R4615" s="11"/>
    </row>
    <row r="4616" s="1" customFormat="1" ht="5.1" customHeight="1" spans="1:18">
      <c r="A4616" s="93"/>
      <c r="B4616" s="94"/>
      <c r="C4616" s="94"/>
      <c r="D4616" s="94"/>
      <c r="E4616" s="94"/>
      <c r="F4616" s="94"/>
      <c r="G4616" s="94"/>
      <c r="H4616" s="94"/>
      <c r="I4616" s="94"/>
      <c r="J4616" s="94"/>
      <c r="K4616" s="94"/>
      <c r="L4616" s="94"/>
      <c r="M4616" s="94"/>
      <c r="N4616" s="94"/>
      <c r="O4616" s="94"/>
      <c r="P4616" s="94"/>
      <c r="Q4616" s="94"/>
      <c r="R4616" s="95"/>
    </row>
    <row r="4617" s="2" customFormat="1" ht="9.95" customHeight="1"/>
    <row r="4618" s="1" customFormat="1" ht="5.1" customHeight="1" spans="1:18">
      <c r="A4618" s="4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5"/>
      <c r="O4618" s="5"/>
      <c r="P4618" s="5"/>
      <c r="Q4618" s="5"/>
      <c r="R4618" s="6"/>
    </row>
    <row r="4619" s="1" customFormat="1" ht="15" customHeight="1" spans="1:18">
      <c r="A4619" s="7"/>
      <c r="B4619" s="8"/>
      <c r="C4619" s="9"/>
      <c r="D4619" s="9"/>
      <c r="E4619" s="9"/>
      <c r="F4619" s="9"/>
      <c r="G4619" s="9"/>
      <c r="H4619" s="9"/>
      <c r="I4619" s="9"/>
      <c r="J4619" s="9"/>
      <c r="K4619" s="9"/>
      <c r="L4619" s="9"/>
      <c r="M4619" s="9"/>
      <c r="N4619" s="9"/>
      <c r="O4619" s="9"/>
      <c r="P4619" s="9"/>
      <c r="Q4619" s="10"/>
      <c r="R4619" s="11"/>
    </row>
    <row r="4620" s="1" customFormat="1" ht="21.95" customHeight="1" spans="1:18">
      <c r="A4620" s="7"/>
      <c r="B4620" s="12"/>
      <c r="C4620" s="13" t="s">
        <v>7</v>
      </c>
      <c r="D4620" s="13"/>
      <c r="E4620" s="13"/>
      <c r="F4620" s="13"/>
      <c r="G4620" s="13"/>
      <c r="H4620" s="13"/>
      <c r="I4620" s="13"/>
      <c r="J4620" s="13"/>
      <c r="K4620" s="13"/>
      <c r="L4620" s="13"/>
      <c r="M4620" s="13"/>
      <c r="N4620" s="13"/>
      <c r="O4620" s="13"/>
      <c r="P4620" s="13"/>
      <c r="Q4620" s="14"/>
      <c r="R4620" s="11"/>
    </row>
    <row r="4621" s="1" customFormat="1" ht="21.95" customHeight="1" spans="1:18">
      <c r="A4621" s="7"/>
      <c r="B4621" s="1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14"/>
      <c r="R4621" s="11"/>
    </row>
    <row r="4622" s="1" customFormat="1" ht="21.95" customHeight="1" spans="1:18">
      <c r="A4622" s="7"/>
      <c r="B4622" s="12"/>
      <c r="C4622" s="15" t="str">
        <f>"SESSION-"&amp;ENTRY!$D$11</f>
        <v>SESSION-2026-27</v>
      </c>
      <c r="D4622" s="15"/>
      <c r="E4622" s="15"/>
      <c r="F4622" s="15"/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  <c r="Q4622" s="14"/>
      <c r="R4622" s="11"/>
    </row>
    <row r="4623" s="1" customFormat="1" ht="21.95" customHeight="1" spans="1:18">
      <c r="A4623" s="7"/>
      <c r="B4623" s="12"/>
      <c r="C4623" s="2"/>
      <c r="D4623" s="2"/>
      <c r="E4623" s="2"/>
      <c r="F4623" s="16">
        <f>F4566+1</f>
        <v>82</v>
      </c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14"/>
      <c r="R4623" s="11"/>
    </row>
    <row r="4624" s="1" customFormat="1" ht="21.95" customHeight="1" spans="1:18">
      <c r="A4624" s="7"/>
      <c r="B4624" s="12"/>
      <c r="C4624" s="17" t="s">
        <v>392</v>
      </c>
      <c r="D4624" s="17"/>
      <c r="E4624" s="17"/>
      <c r="F4624" s="18" t="str">
        <f>IF(F4623&gt;0,ENTRY!$D$6,"")</f>
        <v>MCP NITHARI NO 1 BOYS</v>
      </c>
      <c r="G4624" s="18"/>
      <c r="H4624" s="18"/>
      <c r="I4624" s="18"/>
      <c r="J4624" s="18"/>
      <c r="K4624" s="18"/>
      <c r="L4624" s="18"/>
      <c r="M4624" s="18"/>
      <c r="N4624" s="18"/>
      <c r="O4624" s="18"/>
      <c r="P4624" s="18"/>
      <c r="Q4624" s="19"/>
      <c r="R4624" s="11"/>
    </row>
    <row r="4625" s="1" customFormat="1" ht="21.95" customHeight="1" spans="1:18">
      <c r="A4625" s="7"/>
      <c r="B4625" s="12"/>
      <c r="C4625" s="17" t="s">
        <v>393</v>
      </c>
      <c r="D4625" s="17"/>
      <c r="E4625" s="17"/>
      <c r="F4625" s="18">
        <f>IF(F4623&gt;0,ENTRY!$D$7,"")</f>
        <v>0</v>
      </c>
      <c r="G4625" s="18"/>
      <c r="H4625" s="20" t="s">
        <v>702</v>
      </c>
      <c r="I4625" s="20"/>
      <c r="J4625" s="21">
        <f>IF(F4623&gt;0,ENTRY!$D$10,"")</f>
        <v>40</v>
      </c>
      <c r="K4625" s="20" t="s">
        <v>703</v>
      </c>
      <c r="L4625" s="22" t="str">
        <f>IF(F4623&gt;0,ENTRY!$D$5,"")</f>
        <v>ROHINI ZONE</v>
      </c>
      <c r="M4625" s="22"/>
      <c r="N4625" s="22"/>
      <c r="O4625" s="22"/>
      <c r="P4625" s="22"/>
      <c r="Q4625" s="19"/>
      <c r="R4625" s="11"/>
    </row>
    <row r="4626" s="1" customFormat="1" ht="21.95" customHeight="1" spans="1:18">
      <c r="A4626" s="7"/>
      <c r="B4626" s="12"/>
      <c r="C4626" s="17" t="s">
        <v>706</v>
      </c>
      <c r="D4626" s="17"/>
      <c r="E4626" s="17"/>
      <c r="F4626" s="23">
        <f>IFERROR(VLOOKUP(F4623,STUDENT!$A$2:$BP$101,5,0),"")</f>
        <v>0</v>
      </c>
      <c r="G4626" s="23"/>
      <c r="H4626" s="23"/>
      <c r="I4626" s="23"/>
      <c r="J4626" s="23"/>
      <c r="K4626" s="23"/>
      <c r="L4626" s="20" t="s">
        <v>707</v>
      </c>
      <c r="M4626" s="20"/>
      <c r="N4626" s="24" t="str">
        <f>IF(F4623&gt;0,ENTRY!$D$20&amp;"-"&amp;ENTRY!$D$21,"")</f>
        <v>III-A</v>
      </c>
      <c r="O4626" s="24"/>
      <c r="P4626" s="24"/>
      <c r="Q4626" s="19"/>
      <c r="R4626" s="11"/>
    </row>
    <row r="4627" s="1" customFormat="1" ht="21.95" customHeight="1" spans="1:18">
      <c r="A4627" s="7"/>
      <c r="B4627" s="12"/>
      <c r="C4627" s="17" t="s">
        <v>708</v>
      </c>
      <c r="D4627" s="17"/>
      <c r="E4627" s="17"/>
      <c r="F4627" s="25">
        <f>IFERROR(VLOOKUP(F4623,STUDENT!$A$2:$BP$101,6,0),"")</f>
        <v>0</v>
      </c>
      <c r="G4627" s="25"/>
      <c r="H4627" s="26" t="s">
        <v>709</v>
      </c>
      <c r="I4627" s="27" t="str">
        <f>IFERROR(VLOOKUP(F4623,STUDENT!$A$2:$BP$101,59,0),"")</f>
        <v/>
      </c>
      <c r="J4627" s="27"/>
      <c r="K4627" s="20" t="s">
        <v>710</v>
      </c>
      <c r="L4627" s="20"/>
      <c r="M4627" s="28">
        <f>IFERROR(VLOOKUP(F4623,STUDENT!$A$2:$BP$101,20,0),"")</f>
        <v>0</v>
      </c>
      <c r="N4627" s="28"/>
      <c r="O4627" s="28"/>
      <c r="P4627" s="28"/>
      <c r="Q4627" s="19"/>
      <c r="R4627" s="11"/>
    </row>
    <row r="4628" s="1" customFormat="1" ht="21.95" customHeight="1" spans="1:18">
      <c r="A4628" s="7"/>
      <c r="B4628" s="12"/>
      <c r="C4628" s="17" t="s">
        <v>711</v>
      </c>
      <c r="D4628" s="17"/>
      <c r="E4628" s="17"/>
      <c r="F4628" s="23">
        <f>IFERROR(VLOOKUP(F4623,STUDENT!$A$2:$BP$101,9,0),"")</f>
        <v>0</v>
      </c>
      <c r="G4628" s="23"/>
      <c r="H4628" s="23"/>
      <c r="I4628" s="23"/>
      <c r="J4628" s="17" t="s">
        <v>620</v>
      </c>
      <c r="K4628" s="17"/>
      <c r="L4628" s="23">
        <f>IFERROR(VLOOKUP(F4623,STUDENT!$A$2:$BP$101,8,0),"")</f>
        <v>0</v>
      </c>
      <c r="M4628" s="23"/>
      <c r="N4628" s="23"/>
      <c r="O4628" s="23"/>
      <c r="P4628" s="23"/>
      <c r="Q4628" s="19"/>
      <c r="R4628" s="11"/>
    </row>
    <row r="4629" s="1" customFormat="1" ht="21.95" customHeight="1" spans="1:18">
      <c r="A4629" s="7"/>
      <c r="B4629" s="12"/>
      <c r="C4629" s="17" t="s">
        <v>712</v>
      </c>
      <c r="D4629" s="17"/>
      <c r="E4629" s="17"/>
      <c r="F4629" s="23">
        <f>IFERROR(VLOOKUP(F4623,STUDENT!$A$2:$BP$101,22,0),"")</f>
        <v>0</v>
      </c>
      <c r="G4629" s="23"/>
      <c r="H4629" s="23"/>
      <c r="I4629" s="23"/>
      <c r="J4629" s="23"/>
      <c r="K4629" s="23"/>
      <c r="L4629" s="23"/>
      <c r="M4629" s="23"/>
      <c r="N4629" s="23"/>
      <c r="O4629" s="23"/>
      <c r="P4629" s="23"/>
      <c r="Q4629" s="19"/>
      <c r="R4629" s="11"/>
    </row>
    <row r="4630" s="1" customFormat="1" ht="9.95" customHeight="1" spans="1:18">
      <c r="A4630" s="7"/>
      <c r="B4630" s="12"/>
      <c r="C4630" s="29"/>
      <c r="D4630" s="29"/>
      <c r="E4630" s="29"/>
      <c r="F4630" s="29"/>
      <c r="G4630" s="29"/>
      <c r="H4630" s="29"/>
      <c r="I4630" s="29"/>
      <c r="J4630" s="29"/>
      <c r="K4630" s="29"/>
      <c r="L4630" s="29"/>
      <c r="M4630" s="29"/>
      <c r="N4630" s="29"/>
      <c r="O4630" s="29"/>
      <c r="P4630" s="29"/>
      <c r="Q4630" s="19"/>
      <c r="R4630" s="11"/>
    </row>
    <row r="4631" s="1" customFormat="1" ht="9.95" customHeight="1" spans="1:18">
      <c r="A4631" s="7"/>
      <c r="B4631" s="12"/>
      <c r="C4631" s="30"/>
      <c r="D4631" s="31"/>
      <c r="E4631" s="31"/>
      <c r="F4631" s="31"/>
      <c r="G4631" s="31"/>
      <c r="H4631" s="31"/>
      <c r="I4631" s="31"/>
      <c r="J4631" s="31"/>
      <c r="K4631" s="31"/>
      <c r="L4631" s="31"/>
      <c r="M4631" s="31"/>
      <c r="N4631" s="31"/>
      <c r="O4631" s="31"/>
      <c r="P4631" s="32"/>
      <c r="Q4631" s="19"/>
      <c r="R4631" s="11"/>
    </row>
    <row r="4632" s="1" customFormat="1" ht="21.95" customHeight="1" spans="1:18">
      <c r="A4632" s="7"/>
      <c r="B4632" s="12"/>
      <c r="C4632" s="33"/>
      <c r="D4632" s="34" t="s">
        <v>713</v>
      </c>
      <c r="E4632" s="20" t="s">
        <v>714</v>
      </c>
      <c r="F4632" s="35" t="str">
        <f>"Level - "&amp;IFERROR(VLOOKUP(F4623,FLN!$A$4:$K$103,9,0),"")</f>
        <v>Level - </v>
      </c>
      <c r="G4632" s="36"/>
      <c r="H4632" s="37" t="s">
        <v>715</v>
      </c>
      <c r="I4632" s="20"/>
      <c r="J4632" s="35" t="str">
        <f>"Level - "&amp;IFERROR(VLOOKUP(F4623,FLN!$A$4:$K$103,11,0),"")</f>
        <v>Level - </v>
      </c>
      <c r="K4632" s="36"/>
      <c r="L4632" s="37" t="s">
        <v>408</v>
      </c>
      <c r="M4632" s="20"/>
      <c r="N4632" s="35" t="str">
        <f>"Level - "&amp;IFERROR(VLOOKUP(F4623,FLN!$A$4:$K$103,10,0),"")</f>
        <v>Level - </v>
      </c>
      <c r="O4632" s="36"/>
      <c r="P4632" s="19"/>
      <c r="Q4632" s="19"/>
      <c r="R4632" s="11"/>
    </row>
    <row r="4633" s="1" customFormat="1" ht="21.95" customHeight="1" spans="1:18">
      <c r="A4633" s="7"/>
      <c r="B4633" s="12"/>
      <c r="C4633" s="33"/>
      <c r="D4633" s="38"/>
      <c r="E4633" s="20" t="s">
        <v>716</v>
      </c>
      <c r="F4633" s="18" t="str">
        <f ca="1">IF(L4647&gt;197,"PERFORMED WELL","")</f>
        <v/>
      </c>
      <c r="G4633" s="18"/>
      <c r="H4633" s="18"/>
      <c r="I4633" s="18"/>
      <c r="J4633" s="18"/>
      <c r="K4633" s="18"/>
      <c r="L4633" s="18"/>
      <c r="M4633" s="18"/>
      <c r="N4633" s="18"/>
      <c r="O4633" s="18"/>
      <c r="P4633" s="19"/>
      <c r="Q4633" s="19"/>
      <c r="R4633" s="11"/>
    </row>
    <row r="4634" s="1" customFormat="1" ht="9.95" customHeight="1" spans="1:18">
      <c r="A4634" s="7"/>
      <c r="B4634" s="12"/>
      <c r="C4634" s="39"/>
      <c r="D4634" s="40"/>
      <c r="E4634" s="40"/>
      <c r="F4634" s="40"/>
      <c r="G4634" s="40"/>
      <c r="H4634" s="40"/>
      <c r="I4634" s="40"/>
      <c r="J4634" s="40"/>
      <c r="K4634" s="40"/>
      <c r="L4634" s="40"/>
      <c r="M4634" s="40"/>
      <c r="N4634" s="40"/>
      <c r="O4634" s="40"/>
      <c r="P4634" s="41"/>
      <c r="Q4634" s="19"/>
      <c r="R4634" s="11"/>
    </row>
    <row r="4635" s="1" customFormat="1" ht="9.95" customHeight="1" spans="1:18">
      <c r="A4635" s="7"/>
      <c r="B4635" s="12"/>
      <c r="C4635" s="29"/>
      <c r="D4635" s="29"/>
      <c r="E4635" s="29"/>
      <c r="F4635" s="29"/>
      <c r="G4635" s="29"/>
      <c r="H4635" s="29"/>
      <c r="I4635" s="29"/>
      <c r="J4635" s="29"/>
      <c r="K4635" s="29"/>
      <c r="L4635" s="29"/>
      <c r="M4635" s="29"/>
      <c r="N4635" s="29"/>
      <c r="O4635" s="29"/>
      <c r="P4635" s="29"/>
      <c r="Q4635" s="19"/>
      <c r="R4635" s="11"/>
    </row>
    <row r="4636" s="1" customFormat="1" ht="9.95" customHeight="1" spans="1:18">
      <c r="A4636" s="7"/>
      <c r="B4636" s="12"/>
      <c r="C4636" s="30"/>
      <c r="D4636" s="31"/>
      <c r="E4636" s="31"/>
      <c r="F4636" s="31"/>
      <c r="G4636" s="31"/>
      <c r="H4636" s="31"/>
      <c r="I4636" s="31"/>
      <c r="J4636" s="31"/>
      <c r="K4636" s="31"/>
      <c r="L4636" s="31"/>
      <c r="M4636" s="31"/>
      <c r="N4636" s="31"/>
      <c r="O4636" s="31"/>
      <c r="P4636" s="32"/>
      <c r="Q4636" s="19"/>
      <c r="R4636" s="11"/>
    </row>
    <row r="4637" s="1" customFormat="1" ht="21.95" customHeight="1" spans="1:18">
      <c r="A4637" s="7"/>
      <c r="B4637" s="12"/>
      <c r="C4637" s="33"/>
      <c r="D4637" s="35"/>
      <c r="E4637" s="24"/>
      <c r="F4637" s="42" t="s">
        <v>717</v>
      </c>
      <c r="G4637" s="42"/>
      <c r="H4637" s="42"/>
      <c r="I4637" s="42"/>
      <c r="J4637" s="42"/>
      <c r="K4637" s="42"/>
      <c r="L4637" s="43"/>
      <c r="M4637" s="44"/>
      <c r="N4637" s="29"/>
      <c r="O4637" s="29"/>
      <c r="P4637" s="19"/>
      <c r="Q4637" s="19"/>
      <c r="R4637" s="11"/>
    </row>
    <row r="4638" s="1" customFormat="1" ht="21.95" customHeight="1" spans="1:18">
      <c r="A4638" s="7"/>
      <c r="B4638" s="12"/>
      <c r="C4638" s="33"/>
      <c r="D4638" s="45"/>
      <c r="E4638" s="46"/>
      <c r="F4638" s="47" t="s">
        <v>541</v>
      </c>
      <c r="G4638" s="47" t="s">
        <v>542</v>
      </c>
      <c r="H4638" s="47" t="s">
        <v>543</v>
      </c>
      <c r="I4638" s="47" t="s">
        <v>544</v>
      </c>
      <c r="J4638" s="47" t="s">
        <v>561</v>
      </c>
      <c r="K4638" s="48" t="s">
        <v>750</v>
      </c>
      <c r="L4638" s="47" t="s">
        <v>382</v>
      </c>
      <c r="M4638" s="49" t="s">
        <v>546</v>
      </c>
      <c r="N4638" s="29"/>
      <c r="O4638" s="29"/>
      <c r="P4638" s="19"/>
      <c r="Q4638" s="19"/>
      <c r="R4638" s="11"/>
    </row>
    <row r="4639" s="1" customFormat="1" ht="21.95" customHeight="1" spans="1:18">
      <c r="A4639" s="7"/>
      <c r="B4639" s="12"/>
      <c r="C4639" s="33"/>
      <c r="D4639" s="45" t="s">
        <v>652</v>
      </c>
      <c r="E4639" s="46"/>
      <c r="F4639" s="50">
        <v>10</v>
      </c>
      <c r="G4639" s="50">
        <v>10</v>
      </c>
      <c r="H4639" s="50">
        <v>10</v>
      </c>
      <c r="I4639" s="50">
        <v>10</v>
      </c>
      <c r="J4639" s="50">
        <v>60</v>
      </c>
      <c r="K4639" s="51"/>
      <c r="L4639" s="50">
        <v>100</v>
      </c>
      <c r="M4639" s="49"/>
      <c r="N4639" s="29"/>
      <c r="O4639" s="29"/>
      <c r="P4639" s="19"/>
      <c r="Q4639" s="19"/>
      <c r="R4639" s="11"/>
    </row>
    <row r="4640" s="1" customFormat="1" ht="21.95" customHeight="1" spans="1:18">
      <c r="A4640" s="7"/>
      <c r="B4640" s="12"/>
      <c r="C4640" s="33"/>
      <c r="D4640" s="52" t="s">
        <v>751</v>
      </c>
      <c r="E4640" s="53"/>
      <c r="F4640" s="54" t="str">
        <f ca="1">IFERROR(VLOOKUP(F4623,'RR-3.1-5TH'!$A$12:'RR-3.1-5TH'!$BN$111,9,0),"")</f>
        <v/>
      </c>
      <c r="G4640" s="54" t="str">
        <f ca="1">IFERROR(VLOOKUP(F4623,'RR-3.1-5TH'!$A$12:'RR-3.1-5TH'!$BN$111,10,0),"")</f>
        <v/>
      </c>
      <c r="H4640" s="54" t="str">
        <f ca="1">IFERROR(VLOOKUP(F4623,'RR-3.1-5TH'!$A$12:'RR-3.1-5TH'!$BN$111,11,0),"")</f>
        <v/>
      </c>
      <c r="I4640" s="54" t="str">
        <f ca="1">IFERROR(VLOOKUP(F4623,'RR-3.1-5TH'!$A$12:'RR-3.1-5TH'!$BN$111,12,0),"")</f>
        <v/>
      </c>
      <c r="J4640" s="54" t="str">
        <f ca="1">IFERROR(VLOOKUP(F4623,'RR-3.1-5TH'!$A$12:'RR-3.1-5TH'!$BN$111,13,0),"")</f>
        <v/>
      </c>
      <c r="K4640" s="54" t="str">
        <f ca="1">IFERROR(VLOOKUP(F4623,'RR-3.1-5TH'!$A$12:'RR-3.1-5TH'!$BN$111,14,0),"")</f>
        <v/>
      </c>
      <c r="L4640" s="55">
        <f ca="1" t="shared" ref="L4640:L4645" si="243">SUM(F4640,G4640,H4640,I4640,J4640,K4640)</f>
        <v>0</v>
      </c>
      <c r="M4640" s="56" t="str">
        <f ca="1">IF(F4623&gt;ENTRY!$D$24,"",IF(L4640=0,"Ab",IF(L4640&gt;80,"A",IF(L4640&gt;60,"B",IF(L4640&gt;44,"C",IF(L4640&gt;=33,"D",IF(L4640&lt;=32,"E","")))))))</f>
        <v/>
      </c>
      <c r="N4640" s="57" t="s">
        <v>729</v>
      </c>
      <c r="O4640" s="58"/>
      <c r="P4640" s="59"/>
      <c r="Q4640" s="19"/>
      <c r="R4640" s="11"/>
    </row>
    <row r="4641" s="1" customFormat="1" ht="21.95" customHeight="1" spans="1:19">
      <c r="A4641" s="7"/>
      <c r="B4641" s="12"/>
      <c r="C4641" s="33"/>
      <c r="D4641" s="52" t="s">
        <v>513</v>
      </c>
      <c r="E4641" s="53"/>
      <c r="F4641" s="54" t="str">
        <f ca="1">IFERROR(VLOOKUP(F4623,'RR-3.1-5TH'!$A$12:'RR-3.1-5TH'!$BN$111,17,0),"")</f>
        <v/>
      </c>
      <c r="G4641" s="54" t="str">
        <f ca="1">IFERROR(VLOOKUP(F4623,'RR-3.1-5TH'!$A$12:'RR-3.1-5TH'!$BN$111,18,0),"")</f>
        <v/>
      </c>
      <c r="H4641" s="54" t="str">
        <f ca="1">IFERROR(VLOOKUP(F4623,'RR-3.1-5TH'!$A$12:'RR-3.1-5TH'!$BN$111,19,0),"")</f>
        <v/>
      </c>
      <c r="I4641" s="54" t="str">
        <f ca="1">IFERROR(VLOOKUP(F4623,'RR-3.1-5TH'!$A$12:'RR-3.1-5TH'!$BN$111,20,0),"")</f>
        <v/>
      </c>
      <c r="J4641" s="54" t="str">
        <f ca="1">IFERROR(VLOOKUP(F4623,'RR-3.1-5TH'!$A$12:'RR-3.1-5TH'!$BN$111,21,0),"")</f>
        <v/>
      </c>
      <c r="K4641" s="54" t="str">
        <f ca="1">IFERROR(VLOOKUP(F4623,'RR-3.1-5TH'!$A$12:'RR-3.1-5TH'!$BN$111,22,0),"")</f>
        <v/>
      </c>
      <c r="L4641" s="55">
        <f ca="1" t="shared" si="243"/>
        <v>0</v>
      </c>
      <c r="M4641" s="56" t="str">
        <f ca="1">IF(F4623&gt;ENTRY!$D$24,"",IF(L4641=0,"Ab",IF(L4641&gt;80,"A",IF(L4641&gt;60,"B",IF(L4641&gt;44,"C",IF(L4641&gt;=33,"D",IF(L4641&lt;=32,"E","")))))))</f>
        <v/>
      </c>
      <c r="N4641" s="58"/>
      <c r="O4641" s="58"/>
      <c r="P4641" s="59"/>
      <c r="Q4641" s="19"/>
      <c r="R4641" s="11"/>
    </row>
    <row r="4642" s="1" customFormat="1" ht="21.95" customHeight="1" spans="1:19">
      <c r="A4642" s="7"/>
      <c r="B4642" s="12"/>
      <c r="C4642" s="33"/>
      <c r="D4642" s="52" t="s">
        <v>718</v>
      </c>
      <c r="E4642" s="53"/>
      <c r="F4642" s="54" t="str">
        <f ca="1">IFERROR(VLOOKUP(F4623,'RR-3.1-5TH'!$A$12:'RR-3.1-5TH'!$BN$111,25,0),"")</f>
        <v/>
      </c>
      <c r="G4642" s="54" t="str">
        <f ca="1">IFERROR(VLOOKUP(F4623,'RR-3.1-5TH'!$A$12:'RR-3.1-5TH'!$BN$111,26,0),"")</f>
        <v/>
      </c>
      <c r="H4642" s="54" t="str">
        <f ca="1">IFERROR(VLOOKUP(F4623,'RR-3.1-5TH'!$A$12:'RR-3.1-5TH'!$BN$111,27,0),"")</f>
        <v/>
      </c>
      <c r="I4642" s="54" t="str">
        <f ca="1">IFERROR(VLOOKUP(F4623,'RR-3.1-5TH'!$A$12:'RR-3.1-5TH'!$BN$111,28,0),"")</f>
        <v/>
      </c>
      <c r="J4642" s="54" t="str">
        <f ca="1">IFERROR(VLOOKUP(F4623,'RR-3.1-5TH'!$A$12:'RR-3.1-5TH'!$BN$111,29,0),"")</f>
        <v/>
      </c>
      <c r="K4642" s="54" t="str">
        <f ca="1">IFERROR(VLOOKUP(F4623,'RR-3.1-5TH'!$A$12:'RR-3.1-5TH'!$BN$111,30,0),"")</f>
        <v/>
      </c>
      <c r="L4642" s="55">
        <f ca="1" t="shared" si="243"/>
        <v>0</v>
      </c>
      <c r="M4642" s="56" t="str">
        <f ca="1">IF(F4623&gt;ENTRY!$D$24,"",IF(L4642=0,"Ab",IF(L4642&gt;80,"A",IF(L4642&gt;60,"B",IF(L4642&gt;44,"C",IF(L4642&gt;=33,"D",IF(L4642&lt;=32,"E","")))))))</f>
        <v/>
      </c>
      <c r="N4642" s="29"/>
      <c r="O4642" s="29"/>
      <c r="P4642" s="19"/>
      <c r="Q4642" s="19"/>
      <c r="R4642" s="11"/>
    </row>
    <row r="4643" s="1" customFormat="1" ht="21.95" customHeight="1" spans="1:19">
      <c r="A4643" s="7"/>
      <c r="B4643" s="12"/>
      <c r="C4643" s="33"/>
      <c r="D4643" s="52" t="s">
        <v>719</v>
      </c>
      <c r="E4643" s="53"/>
      <c r="F4643" s="54" t="str">
        <f ca="1">IFERROR(VLOOKUP(F4623,'RR-3.1-5TH'!$A$12:'RR-3.1-5TH'!$BN$111,33,0),"")</f>
        <v/>
      </c>
      <c r="G4643" s="54" t="str">
        <f ca="1">IFERROR(VLOOKUP(F4623,'RR-3.1-5TH'!$A$12:'RR-3.1-5TH'!$BN$111,34,0),"")</f>
        <v/>
      </c>
      <c r="H4643" s="54" t="str">
        <f ca="1">IFERROR(VLOOKUP(F4623,'RR-3.1-5TH'!$A$12:'RR-3.1-5TH'!$BN$111,35,0),"")</f>
        <v/>
      </c>
      <c r="I4643" s="54" t="str">
        <f ca="1">IFERROR(VLOOKUP(F4623,'RR-3.1-5TH'!$A$12:'RR-3.1-5TH'!$BN$111,36,0),"")</f>
        <v/>
      </c>
      <c r="J4643" s="54" t="str">
        <f ca="1">IFERROR(VLOOKUP(F4623,'RR-3.1-5TH'!$A$12:'RR-3.1-5TH'!$BN$111,37,0),"")</f>
        <v/>
      </c>
      <c r="K4643" s="54" t="str">
        <f ca="1">IFERROR(VLOOKUP(F4623,'RR-3.1-5TH'!$A$12:'RR-3.1-5TH'!$BN$111,38,0),"")</f>
        <v/>
      </c>
      <c r="L4643" s="55">
        <f ca="1" t="shared" si="243"/>
        <v>0</v>
      </c>
      <c r="M4643" s="56" t="str">
        <f ca="1">IF(F4623&gt;ENTRY!$D$24,"",IF(L4643=0,"Ab",IF(L4643&gt;80,"A",IF(L4643&gt;60,"B",IF(L4643&gt;44,"C",IF(L4643&gt;=33,"D",IF(L4643&lt;=32,"E","")))))))</f>
        <v/>
      </c>
      <c r="N4643" s="29"/>
      <c r="O4643" s="29"/>
      <c r="P4643" s="19"/>
      <c r="Q4643" s="19"/>
      <c r="R4643" s="11"/>
    </row>
    <row r="4644" s="1" customFormat="1" ht="21.95" customHeight="1" spans="1:19">
      <c r="A4644" s="7"/>
      <c r="B4644" s="12"/>
      <c r="C4644" s="33"/>
      <c r="D4644" s="52" t="s">
        <v>548</v>
      </c>
      <c r="E4644" s="53"/>
      <c r="F4644" s="54" t="str">
        <f ca="1">IFERROR(VLOOKUP(F4623,'RR-3.1-5TH'!$A$12:'RR-3.1-5TH'!$BN$111,41,0),"")</f>
        <v/>
      </c>
      <c r="G4644" s="54" t="str">
        <f ca="1">IFERROR(VLOOKUP(F4623,'RR-3.1-5TH'!$A$12:'RR-3.1-5TH'!$BN$111,42,0),"")</f>
        <v/>
      </c>
      <c r="H4644" s="54" t="str">
        <f ca="1">IFERROR(VLOOKUP(F4623,'RR-3.1-5TH'!$A$12:'RR-3.1-5TH'!$BN$111,43,0),"")</f>
        <v/>
      </c>
      <c r="I4644" s="54" t="str">
        <f ca="1">IFERROR(VLOOKUP(F4623,'RR-3.1-5TH'!$A$12:'RR-3.1-5TH'!$BN$111,44,0),"")</f>
        <v/>
      </c>
      <c r="J4644" s="54" t="str">
        <f ca="1">IFERROR(VLOOKUP(F4623,'RR-3.1-5TH'!$A$12:'RR-3.1-5TH'!$BN$111,45,0),"")</f>
        <v/>
      </c>
      <c r="K4644" s="54" t="str">
        <f ca="1">IFERROR(VLOOKUP(F4623,'RR-3.1-5TH'!$A$12:'RR-3.1-5TH'!$BN$111,46,0),"")</f>
        <v/>
      </c>
      <c r="L4644" s="55">
        <f ca="1" t="shared" si="243"/>
        <v>0</v>
      </c>
      <c r="M4644" s="56" t="str">
        <f ca="1">IF(F4623&gt;ENTRY!$D$24,"",IF(L4644=0,"Ab",IF(L4644&gt;80,"A",IF(L4644&gt;60,"B",IF(L4644&gt;44,"C",IF(L4644&gt;=33,"D",IF(L4644&lt;=32,"E","")))))))</f>
        <v/>
      </c>
      <c r="N4644" s="29"/>
      <c r="O4644" s="29"/>
      <c r="P4644" s="19"/>
      <c r="Q4644" s="19"/>
      <c r="R4644" s="11"/>
    </row>
    <row r="4645" s="1" customFormat="1" ht="21.95" customHeight="1" spans="1:19">
      <c r="A4645" s="7"/>
      <c r="B4645" s="12"/>
      <c r="C4645" s="33"/>
      <c r="D4645" s="52" t="s">
        <v>549</v>
      </c>
      <c r="E4645" s="53"/>
      <c r="F4645" s="54" t="str">
        <f ca="1">IFERROR(VLOOKUP(F4623,'RR-3.1-5TH'!$A$12:'RR-3.1-5TH'!$BN$111,49,0),"")</f>
        <v/>
      </c>
      <c r="G4645" s="54" t="str">
        <f ca="1">IFERROR(VLOOKUP(F4623,'RR-3.1-5TH'!$A$12:'RR-3.1-5TH'!$BN$111,50,0),"")</f>
        <v/>
      </c>
      <c r="H4645" s="54" t="str">
        <f ca="1">IFERROR(VLOOKUP(F4623,'RR-3.1-5TH'!$A$12:'RR-3.1-5TH'!$BN$111,51,0),"")</f>
        <v/>
      </c>
      <c r="I4645" s="54" t="str">
        <f ca="1">IFERROR(VLOOKUP(F4623,'RR-3.1-5TH'!$A$12:'RR-3.1-5TH'!$BN$111,52,0),"")</f>
        <v/>
      </c>
      <c r="J4645" s="54" t="str">
        <f ca="1">IFERROR(VLOOKUP(F4623,'RR-3.1-5TH'!$A$12:'RR-3.1-5TH'!$BN$111,53,0),"")</f>
        <v/>
      </c>
      <c r="K4645" s="54" t="str">
        <f ca="1">IFERROR(VLOOKUP(F4623,'RR-3.1-5TH'!$A$12:'RR-3.1-5TH'!$BN$111,54,0),"")</f>
        <v/>
      </c>
      <c r="L4645" s="55">
        <f ca="1" t="shared" si="243"/>
        <v>0</v>
      </c>
      <c r="M4645" s="56" t="str">
        <f ca="1">IF(F4623&gt;ENTRY!$D$24,"",IF(L4645=0,"Ab",IF(L4645&gt;80,"A",IF(L4645&gt;60,"B",IF(L4645&gt;44,"C",IF(L4645&gt;=33,"D",IF(L4645&lt;=32,"E","")))))))</f>
        <v/>
      </c>
      <c r="N4645" s="57" t="s">
        <v>752</v>
      </c>
      <c r="O4645" s="58"/>
      <c r="P4645" s="59"/>
      <c r="Q4645" s="19"/>
      <c r="R4645" s="11"/>
    </row>
    <row r="4646" s="1" customFormat="1" ht="21.95" customHeight="1" spans="1:19">
      <c r="A4646" s="7"/>
      <c r="B4646" s="12"/>
      <c r="C4646" s="33"/>
      <c r="D4646" s="52" t="s">
        <v>753</v>
      </c>
      <c r="E4646" s="53"/>
      <c r="F4646" s="60"/>
      <c r="G4646" s="54"/>
      <c r="H4646" s="54"/>
      <c r="I4646" s="54"/>
      <c r="J4646" s="54"/>
      <c r="K4646" s="54"/>
      <c r="L4646" s="55">
        <f t="shared" ref="L4646" si="244">SUM(G4646:K4646)</f>
        <v>0</v>
      </c>
      <c r="M4646" s="56" t="str">
        <f>IF(F4623&gt;ENTRY!$D$24,"",IF(L4646=0,"",IF(L4646&gt;79,"A",IF(L4646&gt;59,"B",IF(L4646&gt;44,"C",IF(L4646&gt;=33,"D",IF(L4646&lt;=32,"E","")))))))</f>
        <v/>
      </c>
      <c r="N4646" s="58"/>
      <c r="O4646" s="58"/>
      <c r="P4646" s="59"/>
      <c r="Q4646" s="19"/>
      <c r="R4646" s="11"/>
    </row>
    <row r="4647" s="1" customFormat="1" ht="21.95" customHeight="1" spans="1:19">
      <c r="A4647" s="7"/>
      <c r="B4647" s="12"/>
      <c r="C4647" s="33"/>
      <c r="D4647" s="45" t="s">
        <v>382</v>
      </c>
      <c r="E4647" s="46"/>
      <c r="F4647" s="54">
        <f ca="1" t="shared" ref="F4647:L4647" si="245">IFERROR(SUM(F4640:F4646),"")</f>
        <v>0</v>
      </c>
      <c r="G4647" s="54">
        <f ca="1" t="shared" si="245"/>
        <v>0</v>
      </c>
      <c r="H4647" s="54">
        <f ca="1" t="shared" si="245"/>
        <v>0</v>
      </c>
      <c r="I4647" s="54">
        <f ca="1" t="shared" si="245"/>
        <v>0</v>
      </c>
      <c r="J4647" s="54">
        <f ca="1" t="shared" si="245"/>
        <v>0</v>
      </c>
      <c r="K4647" s="54">
        <f ca="1" t="shared" si="245"/>
        <v>0</v>
      </c>
      <c r="L4647" s="55">
        <f ca="1" t="shared" si="245"/>
        <v>0</v>
      </c>
      <c r="M4647" s="61" t="str">
        <f ca="1">IF(F4623&gt;ENTRY!$D$24,"",IF(N4648="Ab","Ab",IF(N4648&gt;79.5,"A",IF(N4648&gt;59.5,"B",IF(N4648&gt;44.5,"C",IF(N4648&gt;=33,"D",IF(N4648&lt;33,"E","")))))))</f>
        <v/>
      </c>
      <c r="N4647" s="62"/>
      <c r="O4647" s="58"/>
      <c r="P4647" s="59"/>
      <c r="Q4647" s="19"/>
      <c r="R4647" s="11"/>
    </row>
    <row r="4648" s="1" customFormat="1" ht="21.95" customHeight="1" spans="1:19">
      <c r="A4648" s="7"/>
      <c r="B4648" s="12"/>
      <c r="C4648" s="33"/>
      <c r="D4648" s="63" t="s">
        <v>721</v>
      </c>
      <c r="E4648" s="63"/>
      <c r="F4648" s="63"/>
      <c r="G4648" s="63"/>
      <c r="H4648" s="63"/>
      <c r="I4648" s="63"/>
      <c r="J4648" s="63"/>
      <c r="K4648" s="63"/>
      <c r="L4648" s="63"/>
      <c r="M4648" s="63"/>
      <c r="N4648" s="64">
        <f ca="1">IF(L4647="Ab","Ab",L4647/6)</f>
        <v>0</v>
      </c>
      <c r="O4648" s="65"/>
      <c r="P4648" s="19"/>
      <c r="Q4648" s="19"/>
      <c r="R4648" s="11"/>
    </row>
    <row r="4649" s="1" customFormat="1" ht="21.95" customHeight="1" spans="1:19">
      <c r="A4649" s="7"/>
      <c r="B4649" s="12"/>
      <c r="C4649" s="33"/>
      <c r="D4649" s="29" t="s">
        <v>716</v>
      </c>
      <c r="E4649" s="18" t="str">
        <f>IFERROR(VLOOKUP(F4623,'1to4-2.1-RR'!$A$12:$BG$111,57,0),"")</f>
        <v/>
      </c>
      <c r="F4649" s="18"/>
      <c r="G4649" s="18"/>
      <c r="H4649" s="18"/>
      <c r="I4649" s="18"/>
      <c r="J4649" s="18"/>
      <c r="K4649" s="18"/>
      <c r="L4649" s="18"/>
      <c r="M4649" s="18"/>
      <c r="N4649" s="29"/>
      <c r="O4649" s="29"/>
      <c r="P4649" s="19"/>
      <c r="Q4649" s="19"/>
      <c r="R4649" s="11"/>
    </row>
    <row r="4650" s="1" customFormat="1" ht="9.95" customHeight="1" spans="1:19">
      <c r="A4650" s="7"/>
      <c r="B4650" s="12"/>
      <c r="C4650" s="33"/>
      <c r="D4650" s="29"/>
      <c r="E4650" s="29"/>
      <c r="F4650" s="29"/>
      <c r="G4650" s="29"/>
      <c r="H4650" s="29"/>
      <c r="I4650" s="29"/>
      <c r="J4650" s="29"/>
      <c r="K4650" s="29"/>
      <c r="L4650" s="29"/>
      <c r="M4650" s="29"/>
      <c r="N4650" s="29"/>
      <c r="O4650" s="29"/>
      <c r="P4650" s="19"/>
      <c r="Q4650" s="19"/>
      <c r="R4650" s="11"/>
    </row>
    <row r="4651" s="1" customFormat="1" ht="36" spans="1:19">
      <c r="A4651" s="7"/>
      <c r="B4651" s="12"/>
      <c r="C4651" s="33"/>
      <c r="D4651" s="66" t="s">
        <v>576</v>
      </c>
      <c r="E4651" s="67" t="s">
        <v>754</v>
      </c>
      <c r="F4651" s="47" t="str">
        <f>IF(F4623&gt;ENTRY!$D$24,"",IFERROR(VLOOKUP(F4623,PASHEET!$A$4:$CJ$103,88,0),""))</f>
        <v/>
      </c>
      <c r="G4651" s="67" t="s">
        <v>755</v>
      </c>
      <c r="H4651" s="47" t="str">
        <f>IF(F4623&gt;ENTRY!$D$24,"",IFERROR(VLOOKUP(F4623,PASHEET!$A$4:$CJ$103,87,0),""))</f>
        <v/>
      </c>
      <c r="I4651" s="68" t="s">
        <v>756</v>
      </c>
      <c r="J4651" s="69" t="str">
        <f>IF(F4623&gt;ENTRY!$D$24,"",IFERROR(IF(F4623&gt;0,H4651/F4651*100),""))</f>
        <v/>
      </c>
      <c r="K4651" s="60" t="s">
        <v>757</v>
      </c>
      <c r="L4651" s="70" t="str">
        <f ca="1">IF(F4623&gt;ENTRY!$D$24,"",IFERROR(L4647/600*100,""))</f>
        <v/>
      </c>
      <c r="M4651" s="47" t="str">
        <f ca="1">IF(F4623&gt;ENTRY!$D$24,"",IFERROR(L4647&amp;" / "&amp;"600",""))</f>
        <v/>
      </c>
      <c r="N4651" s="29"/>
      <c r="O4651" s="29"/>
      <c r="P4651" s="19"/>
      <c r="Q4651" s="19"/>
      <c r="R4651" s="11"/>
    </row>
    <row r="4652" s="1" customFormat="1" ht="9.95" customHeight="1" spans="1:19">
      <c r="A4652" s="7"/>
      <c r="B4652" s="12"/>
      <c r="C4652" s="39"/>
      <c r="D4652" s="40"/>
      <c r="E4652" s="40"/>
      <c r="F4652" s="40"/>
      <c r="G4652" s="40"/>
      <c r="H4652" s="40"/>
      <c r="I4652" s="40"/>
      <c r="J4652" s="40"/>
      <c r="K4652" s="40"/>
      <c r="L4652" s="40"/>
      <c r="M4652" s="40"/>
      <c r="N4652" s="40"/>
      <c r="O4652" s="40"/>
      <c r="P4652" s="41"/>
      <c r="Q4652" s="19"/>
      <c r="R4652" s="11"/>
    </row>
    <row r="4653" s="1" customFormat="1" ht="9.95" customHeight="1" spans="1:19">
      <c r="A4653" s="7"/>
      <c r="B4653" s="12"/>
      <c r="C4653" s="71"/>
      <c r="D4653" s="71"/>
      <c r="E4653" s="71"/>
      <c r="F4653" s="29"/>
      <c r="G4653" s="71"/>
      <c r="H4653" s="71"/>
      <c r="I4653" s="71"/>
      <c r="J4653" s="71"/>
      <c r="K4653" s="71"/>
      <c r="L4653" s="71"/>
      <c r="M4653" s="71"/>
      <c r="N4653" s="71"/>
      <c r="O4653" s="71"/>
      <c r="P4653" s="71"/>
      <c r="Q4653" s="19"/>
      <c r="R4653" s="11"/>
    </row>
    <row r="4654" s="1" customFormat="1" ht="9.95" customHeight="1" spans="1:19">
      <c r="A4654" s="7"/>
      <c r="B4654" s="12"/>
      <c r="C4654" s="29"/>
      <c r="D4654" s="29"/>
      <c r="E4654" s="29"/>
      <c r="F4654" s="72"/>
      <c r="G4654" s="29"/>
      <c r="H4654" s="29"/>
      <c r="I4654" s="29"/>
      <c r="J4654" s="29"/>
      <c r="K4654" s="29"/>
      <c r="L4654" s="29"/>
      <c r="M4654" s="29"/>
      <c r="N4654" s="29"/>
      <c r="O4654" s="29"/>
      <c r="P4654" s="29"/>
      <c r="Q4654" s="19"/>
      <c r="R4654" s="11"/>
    </row>
    <row r="4655" s="1" customFormat="1" ht="9.95" customHeight="1" spans="1:19">
      <c r="A4655" s="7"/>
      <c r="B4655" s="12"/>
      <c r="C4655" s="30"/>
      <c r="D4655" s="31"/>
      <c r="E4655" s="31"/>
      <c r="F4655" s="31"/>
      <c r="G4655" s="31"/>
      <c r="H4655" s="31"/>
      <c r="I4655" s="31"/>
      <c r="J4655" s="31"/>
      <c r="K4655" s="31"/>
      <c r="L4655" s="31"/>
      <c r="M4655" s="31"/>
      <c r="N4655" s="31"/>
      <c r="O4655" s="31"/>
      <c r="P4655" s="32"/>
      <c r="Q4655" s="19"/>
      <c r="R4655" s="11"/>
    </row>
    <row r="4656" s="1" customFormat="1" ht="21.95" customHeight="1" spans="1:19">
      <c r="A4656" s="7"/>
      <c r="B4656" s="12"/>
      <c r="C4656" s="73" t="s">
        <v>7</v>
      </c>
      <c r="D4656" s="13"/>
      <c r="E4656" s="13"/>
      <c r="F4656" s="13"/>
      <c r="G4656" s="13"/>
      <c r="H4656" s="13"/>
      <c r="I4656" s="13"/>
      <c r="J4656" s="13"/>
      <c r="K4656" s="13"/>
      <c r="L4656" s="13"/>
      <c r="M4656" s="13"/>
      <c r="N4656" s="13"/>
      <c r="O4656" s="13"/>
      <c r="P4656" s="74"/>
      <c r="Q4656" s="19"/>
      <c r="R4656" s="11"/>
      <c r="S4656" s="2"/>
    </row>
    <row r="4657" s="1" customFormat="1" ht="21.95" customHeight="1" spans="1:18">
      <c r="A4657" s="7"/>
      <c r="B4657" s="12"/>
      <c r="C4657" s="33"/>
      <c r="D4657" s="29"/>
      <c r="E4657" s="29"/>
      <c r="F4657" s="29"/>
      <c r="G4657" s="29"/>
      <c r="H4657" s="29"/>
      <c r="I4657" s="29"/>
      <c r="J4657" s="29"/>
      <c r="K4657" s="29"/>
      <c r="L4657" s="29"/>
      <c r="M4657" s="29"/>
      <c r="N4657" s="29"/>
      <c r="O4657" s="29"/>
      <c r="P4657" s="19"/>
      <c r="Q4657" s="19"/>
      <c r="R4657" s="11"/>
    </row>
    <row r="4658" s="1" customFormat="1" ht="21.95" customHeight="1" spans="1:18">
      <c r="A4658" s="7"/>
      <c r="B4658" s="12"/>
      <c r="C4658" s="75" t="str">
        <f>"SESSION-"&amp;ENTRY!$D$11</f>
        <v>SESSION-2026-27</v>
      </c>
      <c r="D4658" s="15"/>
      <c r="E4658" s="15"/>
      <c r="F4658" s="15"/>
      <c r="G4658" s="15"/>
      <c r="H4658" s="15"/>
      <c r="I4658" s="15"/>
      <c r="J4658" s="15"/>
      <c r="K4658" s="15"/>
      <c r="L4658" s="15"/>
      <c r="M4658" s="15"/>
      <c r="N4658" s="15"/>
      <c r="O4658" s="15"/>
      <c r="P4658" s="76"/>
      <c r="Q4658" s="19"/>
      <c r="R4658" s="11"/>
    </row>
    <row r="4659" s="1" customFormat="1" ht="18" customHeight="1" spans="1:18">
      <c r="A4659" s="7"/>
      <c r="B4659" s="12"/>
      <c r="C4659" s="33"/>
      <c r="D4659" s="29"/>
      <c r="E4659" s="29"/>
      <c r="F4659" s="29"/>
      <c r="G4659" s="29"/>
      <c r="H4659" s="29"/>
      <c r="I4659" s="29"/>
      <c r="J4659" s="29"/>
      <c r="K4659" s="29"/>
      <c r="L4659" s="29"/>
      <c r="M4659" s="29"/>
      <c r="N4659" s="29"/>
      <c r="O4659" s="29"/>
      <c r="P4659" s="19"/>
      <c r="Q4659" s="19"/>
      <c r="R4659" s="11"/>
    </row>
    <row r="4660" s="1" customFormat="1" ht="21.95" customHeight="1" spans="1:18">
      <c r="A4660" s="7"/>
      <c r="B4660" s="12"/>
      <c r="C4660" s="33"/>
      <c r="D4660" s="77" t="s">
        <v>758</v>
      </c>
      <c r="E4660" s="77"/>
      <c r="F4660" s="78" t="str">
        <f>IFERROR(PROPER(VLOOKUP(F4623,STUDENT!$A$2:$BP$101,5,0)),"")</f>
        <v/>
      </c>
      <c r="G4660" s="78"/>
      <c r="H4660" s="78"/>
      <c r="I4660" s="78"/>
      <c r="J4660" s="78"/>
      <c r="K4660" s="78"/>
      <c r="L4660" s="78"/>
      <c r="M4660" s="78"/>
      <c r="N4660" s="79" t="s">
        <v>759</v>
      </c>
      <c r="O4660" s="79"/>
      <c r="P4660" s="19"/>
      <c r="Q4660" s="19"/>
      <c r="R4660" s="11"/>
    </row>
    <row r="4661" s="1" customFormat="1" ht="21.95" customHeight="1" spans="1:18">
      <c r="A4661" s="7"/>
      <c r="B4661" s="12"/>
      <c r="C4661" s="33"/>
      <c r="D4661" s="80" t="s">
        <v>760</v>
      </c>
      <c r="E4661" s="81" t="str">
        <f>IFERROR(PROPER(VLOOKUP(F4623,STUDENT!$A$2:$BP$101,9,0)),"")</f>
        <v/>
      </c>
      <c r="F4661" s="81"/>
      <c r="G4661" s="81"/>
      <c r="H4661" s="80" t="s">
        <v>761</v>
      </c>
      <c r="I4661" s="82" t="str">
        <f>IFERROR(PROPER(VLOOKUP(F4623,STUDENT!$A$2:$BP$101,8,0)),"")</f>
        <v/>
      </c>
      <c r="J4661" s="82"/>
      <c r="K4661" s="82"/>
      <c r="L4661" s="82"/>
      <c r="M4661" s="80" t="s">
        <v>762</v>
      </c>
      <c r="N4661" s="83" t="str">
        <f>IFERROR(VLOOKUP(F4623,STUDENT!$A$2:$BP$101,59,0),"")</f>
        <v/>
      </c>
      <c r="O4661" s="83"/>
      <c r="P4661" s="19"/>
      <c r="Q4661" s="19"/>
      <c r="R4661" s="11"/>
    </row>
    <row r="4662" s="1" customFormat="1" ht="21.95" customHeight="1" spans="1:18">
      <c r="A4662" s="7"/>
      <c r="B4662" s="12"/>
      <c r="C4662" s="33"/>
      <c r="D4662" s="77" t="str">
        <f>"has    completed     his  /  her     primary     level     education    in    the    year    "&amp;RIGHT(ENTRY!$D4628,4)&amp;"    from    ( School    Name )"</f>
        <v>has    completed     his  /  her     primary     level     education    in    the    year        from    ( School    Name )</v>
      </c>
      <c r="E4662" s="77"/>
      <c r="F4662" s="77"/>
      <c r="G4662" s="77"/>
      <c r="H4662" s="77"/>
      <c r="I4662" s="77"/>
      <c r="J4662" s="77"/>
      <c r="K4662" s="77"/>
      <c r="L4662" s="77"/>
      <c r="M4662" s="77"/>
      <c r="N4662" s="77"/>
      <c r="O4662" s="77"/>
      <c r="P4662" s="19"/>
      <c r="Q4662" s="19"/>
      <c r="R4662" s="11"/>
    </row>
    <row r="4663" s="1" customFormat="1" ht="21.95" customHeight="1" spans="1:18">
      <c r="A4663" s="7"/>
      <c r="B4663" s="12"/>
      <c r="C4663" s="33"/>
      <c r="D4663" s="81" t="str">
        <f>IF(F4623&gt;0,ENTRY!$D$6,"")</f>
        <v>MCP NITHARI NO 1 BOYS</v>
      </c>
      <c r="E4663" s="81"/>
      <c r="F4663" s="81"/>
      <c r="G4663" s="81"/>
      <c r="H4663" s="81"/>
      <c r="I4663" s="81"/>
      <c r="J4663" s="81"/>
      <c r="K4663" s="81"/>
      <c r="L4663" s="81"/>
      <c r="M4663" s="80" t="s">
        <v>763</v>
      </c>
      <c r="N4663" s="84">
        <f>IF(F4623&gt;0,ENTRY!$D$7,"")</f>
        <v>0</v>
      </c>
      <c r="O4663" s="84"/>
      <c r="P4663" s="85" t="s">
        <v>727</v>
      </c>
      <c r="Q4663" s="19"/>
      <c r="R4663" s="11"/>
    </row>
    <row r="4664" s="1" customFormat="1" ht="21.95" customHeight="1" spans="1:18">
      <c r="A4664" s="7"/>
      <c r="B4664" s="12"/>
      <c r="C4664" s="33"/>
      <c r="D4664" s="29"/>
      <c r="E4664" s="29"/>
      <c r="F4664" s="29"/>
      <c r="G4664" s="29"/>
      <c r="H4664" s="29"/>
      <c r="I4664" s="29"/>
      <c r="J4664" s="29"/>
      <c r="K4664" s="29"/>
      <c r="L4664" s="29"/>
      <c r="M4664" s="29"/>
      <c r="N4664" s="29"/>
      <c r="O4664" s="29"/>
      <c r="P4664" s="19"/>
      <c r="Q4664" s="19"/>
      <c r="R4664" s="11"/>
    </row>
    <row r="4665" s="1" customFormat="1" ht="21.95" customHeight="1" spans="1:18">
      <c r="A4665" s="7"/>
      <c r="B4665" s="12"/>
      <c r="C4665" s="33"/>
      <c r="D4665" s="29"/>
      <c r="E4665" s="29"/>
      <c r="F4665" s="29"/>
      <c r="G4665" s="29"/>
      <c r="H4665" s="29"/>
      <c r="I4665" s="29"/>
      <c r="J4665" s="29"/>
      <c r="K4665" s="29"/>
      <c r="L4665" s="29"/>
      <c r="M4665" s="29"/>
      <c r="N4665" s="29"/>
      <c r="O4665" s="29"/>
      <c r="P4665" s="19"/>
      <c r="Q4665" s="19"/>
      <c r="R4665" s="11"/>
    </row>
    <row r="4666" s="1" customFormat="1" ht="21.95" customHeight="1" spans="1:18">
      <c r="A4666" s="7"/>
      <c r="B4666" s="12"/>
      <c r="C4666" s="33"/>
      <c r="D4666" s="29"/>
      <c r="E4666" s="29"/>
      <c r="F4666" s="29"/>
      <c r="G4666" s="29"/>
      <c r="H4666" s="29"/>
      <c r="I4666" s="29"/>
      <c r="J4666" s="29"/>
      <c r="K4666" s="29"/>
      <c r="L4666" s="29"/>
      <c r="M4666" s="29"/>
      <c r="N4666" s="29"/>
      <c r="O4666" s="29"/>
      <c r="P4666" s="19"/>
      <c r="Q4666" s="19"/>
      <c r="R4666" s="11"/>
    </row>
    <row r="4667" s="1" customFormat="1" ht="21.95" customHeight="1" spans="1:18">
      <c r="A4667" s="7"/>
      <c r="B4667" s="12"/>
      <c r="C4667" s="33"/>
      <c r="D4667" s="29"/>
      <c r="E4667" s="29"/>
      <c r="F4667" s="29"/>
      <c r="G4667" s="29"/>
      <c r="H4667" s="29"/>
      <c r="I4667" s="29"/>
      <c r="J4667" s="29"/>
      <c r="K4667" s="29"/>
      <c r="L4667" s="29"/>
      <c r="M4667" s="29"/>
      <c r="N4667" s="29"/>
      <c r="O4667" s="29"/>
      <c r="P4667" s="19"/>
      <c r="Q4667" s="19"/>
      <c r="R4667" s="11"/>
    </row>
    <row r="4668" s="1" customFormat="1" ht="21.95" customHeight="1" spans="1:18">
      <c r="A4668" s="7"/>
      <c r="B4668" s="12"/>
      <c r="C4668" s="33"/>
      <c r="D4668" s="29"/>
      <c r="E4668" s="29"/>
      <c r="F4668" s="29"/>
      <c r="G4668" s="29"/>
      <c r="H4668" s="29"/>
      <c r="I4668" s="29"/>
      <c r="J4668" s="29"/>
      <c r="K4668" s="29"/>
      <c r="L4668" s="29"/>
      <c r="M4668" s="29"/>
      <c r="N4668" s="29"/>
      <c r="O4668" s="29"/>
      <c r="P4668" s="19"/>
      <c r="Q4668" s="19"/>
      <c r="R4668" s="11"/>
    </row>
    <row r="4669" s="1" customFormat="1" ht="21.95" customHeight="1" spans="1:18">
      <c r="A4669" s="7"/>
      <c r="B4669" s="12"/>
      <c r="C4669" s="33"/>
      <c r="D4669" s="80" t="s">
        <v>728</v>
      </c>
      <c r="E4669" s="86">
        <f>ENTRY!$D$27</f>
        <v>46102</v>
      </c>
      <c r="F4669" s="86"/>
      <c r="G4669" s="29"/>
      <c r="H4669" s="29"/>
      <c r="I4669" s="29"/>
      <c r="J4669" s="29"/>
      <c r="K4669" s="29"/>
      <c r="L4669" s="29"/>
      <c r="M4669" s="87" t="s">
        <v>730</v>
      </c>
      <c r="N4669" s="87"/>
      <c r="O4669" s="87"/>
      <c r="P4669" s="19"/>
      <c r="Q4669" s="19"/>
      <c r="R4669" s="11"/>
    </row>
    <row r="4670" s="1" customFormat="1" ht="21.95" customHeight="1" spans="1:18">
      <c r="A4670" s="7"/>
      <c r="B4670" s="12"/>
      <c r="C4670" s="33"/>
      <c r="D4670" s="80" t="s">
        <v>731</v>
      </c>
      <c r="E4670" s="88" t="str">
        <f>PROPER(ENTRY!$D$28)</f>
        <v>New Delhi</v>
      </c>
      <c r="F4670" s="88"/>
      <c r="G4670" s="29"/>
      <c r="H4670" s="29"/>
      <c r="I4670" s="29"/>
      <c r="J4670" s="29"/>
      <c r="K4670" s="29"/>
      <c r="L4670" s="29"/>
      <c r="M4670" s="89" t="s">
        <v>732</v>
      </c>
      <c r="N4670" s="89"/>
      <c r="O4670" s="89"/>
      <c r="P4670" s="19"/>
      <c r="Q4670" s="19"/>
      <c r="R4670" s="11"/>
    </row>
    <row r="4671" s="1" customFormat="1" ht="21.95" customHeight="1" spans="1:18">
      <c r="A4671" s="7"/>
      <c r="B4671" s="12"/>
      <c r="C4671" s="90"/>
      <c r="D4671" s="91"/>
      <c r="E4671" s="91"/>
      <c r="F4671" s="91"/>
      <c r="G4671" s="91"/>
      <c r="H4671" s="91"/>
      <c r="I4671" s="91"/>
      <c r="J4671" s="91"/>
      <c r="K4671" s="91"/>
      <c r="L4671" s="91"/>
      <c r="M4671" s="91"/>
      <c r="N4671" s="91"/>
      <c r="O4671" s="91"/>
      <c r="P4671" s="92"/>
      <c r="Q4671" s="14"/>
      <c r="R4671" s="11"/>
    </row>
    <row r="4672" s="1" customFormat="1" ht="5.1" customHeight="1" spans="1:18">
      <c r="A4672" s="7"/>
      <c r="B4672" s="90"/>
      <c r="C4672" s="91"/>
      <c r="D4672" s="91"/>
      <c r="E4672" s="91"/>
      <c r="F4672" s="91"/>
      <c r="G4672" s="91"/>
      <c r="H4672" s="91"/>
      <c r="I4672" s="91"/>
      <c r="J4672" s="91"/>
      <c r="K4672" s="91"/>
      <c r="L4672" s="91"/>
      <c r="M4672" s="91"/>
      <c r="N4672" s="91"/>
      <c r="O4672" s="91"/>
      <c r="P4672" s="91"/>
      <c r="Q4672" s="92"/>
      <c r="R4672" s="11"/>
    </row>
    <row r="4673" s="1" customFormat="1" ht="5.1" customHeight="1" spans="1:18">
      <c r="A4673" s="93"/>
      <c r="B4673" s="94"/>
      <c r="C4673" s="94"/>
      <c r="D4673" s="94"/>
      <c r="E4673" s="94"/>
      <c r="F4673" s="94"/>
      <c r="G4673" s="94"/>
      <c r="H4673" s="94"/>
      <c r="I4673" s="94"/>
      <c r="J4673" s="94"/>
      <c r="K4673" s="94"/>
      <c r="L4673" s="94"/>
      <c r="M4673" s="94"/>
      <c r="N4673" s="94"/>
      <c r="O4673" s="94"/>
      <c r="P4673" s="94"/>
      <c r="Q4673" s="94"/>
      <c r="R4673" s="95"/>
    </row>
    <row r="4674" s="2" customFormat="1" ht="9.95" customHeight="1"/>
    <row r="4675" s="1" customFormat="1" ht="5.1" customHeight="1" spans="1:18">
      <c r="A4675" s="4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5"/>
      <c r="O4675" s="5"/>
      <c r="P4675" s="5"/>
      <c r="Q4675" s="5"/>
      <c r="R4675" s="6"/>
    </row>
    <row r="4676" s="1" customFormat="1" ht="15" customHeight="1" spans="1:18">
      <c r="A4676" s="7"/>
      <c r="B4676" s="8"/>
      <c r="C4676" s="9"/>
      <c r="D4676" s="9"/>
      <c r="E4676" s="9"/>
      <c r="F4676" s="9"/>
      <c r="G4676" s="9"/>
      <c r="H4676" s="9"/>
      <c r="I4676" s="9"/>
      <c r="J4676" s="9"/>
      <c r="K4676" s="9"/>
      <c r="L4676" s="9"/>
      <c r="M4676" s="9"/>
      <c r="N4676" s="9"/>
      <c r="O4676" s="9"/>
      <c r="P4676" s="9"/>
      <c r="Q4676" s="10"/>
      <c r="R4676" s="11"/>
    </row>
    <row r="4677" s="1" customFormat="1" ht="21.95" customHeight="1" spans="1:18">
      <c r="A4677" s="7"/>
      <c r="B4677" s="12"/>
      <c r="C4677" s="13" t="s">
        <v>7</v>
      </c>
      <c r="D4677" s="13"/>
      <c r="E4677" s="13"/>
      <c r="F4677" s="13"/>
      <c r="G4677" s="13"/>
      <c r="H4677" s="13"/>
      <c r="I4677" s="13"/>
      <c r="J4677" s="13"/>
      <c r="K4677" s="13"/>
      <c r="L4677" s="13"/>
      <c r="M4677" s="13"/>
      <c r="N4677" s="13"/>
      <c r="O4677" s="13"/>
      <c r="P4677" s="13"/>
      <c r="Q4677" s="14"/>
      <c r="R4677" s="11"/>
    </row>
    <row r="4678" s="1" customFormat="1" ht="21.95" customHeight="1" spans="1:18">
      <c r="A4678" s="7"/>
      <c r="B4678" s="1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14"/>
      <c r="R4678" s="11"/>
    </row>
    <row r="4679" s="1" customFormat="1" ht="21.95" customHeight="1" spans="1:18">
      <c r="A4679" s="7"/>
      <c r="B4679" s="12"/>
      <c r="C4679" s="15" t="str">
        <f>"SESSION-"&amp;ENTRY!$D$11</f>
        <v>SESSION-2026-27</v>
      </c>
      <c r="D4679" s="15"/>
      <c r="E4679" s="15"/>
      <c r="F4679" s="15"/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  <c r="Q4679" s="14"/>
      <c r="R4679" s="11"/>
    </row>
    <row r="4680" s="1" customFormat="1" ht="21.95" customHeight="1" spans="1:18">
      <c r="A4680" s="7"/>
      <c r="B4680" s="12"/>
      <c r="C4680" s="2"/>
      <c r="D4680" s="2"/>
      <c r="E4680" s="2"/>
      <c r="F4680" s="16">
        <f>F4623+1</f>
        <v>83</v>
      </c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14"/>
      <c r="R4680" s="11"/>
    </row>
    <row r="4681" s="1" customFormat="1" ht="21.95" customHeight="1" spans="1:18">
      <c r="A4681" s="7"/>
      <c r="B4681" s="12"/>
      <c r="C4681" s="17" t="s">
        <v>392</v>
      </c>
      <c r="D4681" s="17"/>
      <c r="E4681" s="17"/>
      <c r="F4681" s="18" t="str">
        <f>IF(F4680&gt;0,ENTRY!$D$6,"")</f>
        <v>MCP NITHARI NO 1 BOYS</v>
      </c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9"/>
      <c r="R4681" s="11"/>
    </row>
    <row r="4682" s="1" customFormat="1" ht="21.95" customHeight="1" spans="1:18">
      <c r="A4682" s="7"/>
      <c r="B4682" s="12"/>
      <c r="C4682" s="17" t="s">
        <v>393</v>
      </c>
      <c r="D4682" s="17"/>
      <c r="E4682" s="17"/>
      <c r="F4682" s="18">
        <f>IF(F4680&gt;0,ENTRY!$D$7,"")</f>
        <v>0</v>
      </c>
      <c r="G4682" s="18"/>
      <c r="H4682" s="20" t="s">
        <v>702</v>
      </c>
      <c r="I4682" s="20"/>
      <c r="J4682" s="21">
        <f>IF(F4680&gt;0,ENTRY!$D$10,"")</f>
        <v>40</v>
      </c>
      <c r="K4682" s="20" t="s">
        <v>703</v>
      </c>
      <c r="L4682" s="22" t="str">
        <f>IF(F4680&gt;0,ENTRY!$D$5,"")</f>
        <v>ROHINI ZONE</v>
      </c>
      <c r="M4682" s="22"/>
      <c r="N4682" s="22"/>
      <c r="O4682" s="22"/>
      <c r="P4682" s="22"/>
      <c r="Q4682" s="19"/>
      <c r="R4682" s="11"/>
    </row>
    <row r="4683" s="1" customFormat="1" ht="21.95" customHeight="1" spans="1:18">
      <c r="A4683" s="7"/>
      <c r="B4683" s="12"/>
      <c r="C4683" s="17" t="s">
        <v>706</v>
      </c>
      <c r="D4683" s="17"/>
      <c r="E4683" s="17"/>
      <c r="F4683" s="23">
        <f>IFERROR(VLOOKUP(F4680,STUDENT!$A$2:$BP$101,5,0),"")</f>
        <v>0</v>
      </c>
      <c r="G4683" s="23"/>
      <c r="H4683" s="23"/>
      <c r="I4683" s="23"/>
      <c r="J4683" s="23"/>
      <c r="K4683" s="23"/>
      <c r="L4683" s="20" t="s">
        <v>707</v>
      </c>
      <c r="M4683" s="20"/>
      <c r="N4683" s="24" t="str">
        <f>IF(F4680&gt;0,ENTRY!$D$20&amp;"-"&amp;ENTRY!$D$21,"")</f>
        <v>III-A</v>
      </c>
      <c r="O4683" s="24"/>
      <c r="P4683" s="24"/>
      <c r="Q4683" s="19"/>
      <c r="R4683" s="11"/>
    </row>
    <row r="4684" s="1" customFormat="1" ht="21.95" customHeight="1" spans="1:18">
      <c r="A4684" s="7"/>
      <c r="B4684" s="12"/>
      <c r="C4684" s="17" t="s">
        <v>708</v>
      </c>
      <c r="D4684" s="17"/>
      <c r="E4684" s="17"/>
      <c r="F4684" s="25">
        <f>IFERROR(VLOOKUP(F4680,STUDENT!$A$2:$BP$101,6,0),"")</f>
        <v>0</v>
      </c>
      <c r="G4684" s="25"/>
      <c r="H4684" s="26" t="s">
        <v>709</v>
      </c>
      <c r="I4684" s="27" t="str">
        <f>IFERROR(VLOOKUP(F4680,STUDENT!$A$2:$BP$101,59,0),"")</f>
        <v/>
      </c>
      <c r="J4684" s="27"/>
      <c r="K4684" s="20" t="s">
        <v>710</v>
      </c>
      <c r="L4684" s="20"/>
      <c r="M4684" s="28">
        <f>IFERROR(VLOOKUP(F4680,STUDENT!$A$2:$BP$101,20,0),"")</f>
        <v>0</v>
      </c>
      <c r="N4684" s="28"/>
      <c r="O4684" s="28"/>
      <c r="P4684" s="28"/>
      <c r="Q4684" s="19"/>
      <c r="R4684" s="11"/>
    </row>
    <row r="4685" s="1" customFormat="1" ht="21.95" customHeight="1" spans="1:18">
      <c r="A4685" s="7"/>
      <c r="B4685" s="12"/>
      <c r="C4685" s="17" t="s">
        <v>711</v>
      </c>
      <c r="D4685" s="17"/>
      <c r="E4685" s="17"/>
      <c r="F4685" s="23">
        <f>IFERROR(VLOOKUP(F4680,STUDENT!$A$2:$BP$101,9,0),"")</f>
        <v>0</v>
      </c>
      <c r="G4685" s="23"/>
      <c r="H4685" s="23"/>
      <c r="I4685" s="23"/>
      <c r="J4685" s="17" t="s">
        <v>620</v>
      </c>
      <c r="K4685" s="17"/>
      <c r="L4685" s="23">
        <f>IFERROR(VLOOKUP(F4680,STUDENT!$A$2:$BP$101,8,0),"")</f>
        <v>0</v>
      </c>
      <c r="M4685" s="23"/>
      <c r="N4685" s="23"/>
      <c r="O4685" s="23"/>
      <c r="P4685" s="23"/>
      <c r="Q4685" s="19"/>
      <c r="R4685" s="11"/>
    </row>
    <row r="4686" s="1" customFormat="1" ht="21.95" customHeight="1" spans="1:18">
      <c r="A4686" s="7"/>
      <c r="B4686" s="12"/>
      <c r="C4686" s="17" t="s">
        <v>712</v>
      </c>
      <c r="D4686" s="17"/>
      <c r="E4686" s="17"/>
      <c r="F4686" s="23">
        <f>IFERROR(VLOOKUP(F4680,STUDENT!$A$2:$BP$101,22,0),"")</f>
        <v>0</v>
      </c>
      <c r="G4686" s="23"/>
      <c r="H4686" s="23"/>
      <c r="I4686" s="23"/>
      <c r="J4686" s="23"/>
      <c r="K4686" s="23"/>
      <c r="L4686" s="23"/>
      <c r="M4686" s="23"/>
      <c r="N4686" s="23"/>
      <c r="O4686" s="23"/>
      <c r="P4686" s="23"/>
      <c r="Q4686" s="19"/>
      <c r="R4686" s="11"/>
    </row>
    <row r="4687" s="1" customFormat="1" ht="9.95" customHeight="1" spans="1:18">
      <c r="A4687" s="7"/>
      <c r="B4687" s="12"/>
      <c r="C4687" s="29"/>
      <c r="D4687" s="29"/>
      <c r="E4687" s="29"/>
      <c r="F4687" s="29"/>
      <c r="G4687" s="29"/>
      <c r="H4687" s="29"/>
      <c r="I4687" s="29"/>
      <c r="J4687" s="29"/>
      <c r="K4687" s="29"/>
      <c r="L4687" s="29"/>
      <c r="M4687" s="29"/>
      <c r="N4687" s="29"/>
      <c r="O4687" s="29"/>
      <c r="P4687" s="29"/>
      <c r="Q4687" s="19"/>
      <c r="R4687" s="11"/>
    </row>
    <row r="4688" s="1" customFormat="1" ht="9.95" customHeight="1" spans="1:18">
      <c r="A4688" s="7"/>
      <c r="B4688" s="12"/>
      <c r="C4688" s="30"/>
      <c r="D4688" s="31"/>
      <c r="E4688" s="31"/>
      <c r="F4688" s="31"/>
      <c r="G4688" s="31"/>
      <c r="H4688" s="31"/>
      <c r="I4688" s="31"/>
      <c r="J4688" s="31"/>
      <c r="K4688" s="31"/>
      <c r="L4688" s="31"/>
      <c r="M4688" s="31"/>
      <c r="N4688" s="31"/>
      <c r="O4688" s="31"/>
      <c r="P4688" s="32"/>
      <c r="Q4688" s="19"/>
      <c r="R4688" s="11"/>
    </row>
    <row r="4689" s="1" customFormat="1" ht="21.95" customHeight="1" spans="1:18">
      <c r="A4689" s="7"/>
      <c r="B4689" s="12"/>
      <c r="C4689" s="33"/>
      <c r="D4689" s="34" t="s">
        <v>713</v>
      </c>
      <c r="E4689" s="20" t="s">
        <v>714</v>
      </c>
      <c r="F4689" s="35" t="str">
        <f>"Level - "&amp;IFERROR(VLOOKUP(F4680,FLN!$A$4:$K$103,9,0),"")</f>
        <v>Level - </v>
      </c>
      <c r="G4689" s="36"/>
      <c r="H4689" s="37" t="s">
        <v>715</v>
      </c>
      <c r="I4689" s="20"/>
      <c r="J4689" s="35" t="str">
        <f>"Level - "&amp;IFERROR(VLOOKUP(F4680,FLN!$A$4:$K$103,11,0),"")</f>
        <v>Level - </v>
      </c>
      <c r="K4689" s="36"/>
      <c r="L4689" s="37" t="s">
        <v>408</v>
      </c>
      <c r="M4689" s="20"/>
      <c r="N4689" s="35" t="str">
        <f>"Level - "&amp;IFERROR(VLOOKUP(F4680,FLN!$A$4:$K$103,10,0),"")</f>
        <v>Level - </v>
      </c>
      <c r="O4689" s="36"/>
      <c r="P4689" s="19"/>
      <c r="Q4689" s="19"/>
      <c r="R4689" s="11"/>
    </row>
    <row r="4690" s="1" customFormat="1" ht="21.95" customHeight="1" spans="1:18">
      <c r="A4690" s="7"/>
      <c r="B4690" s="12"/>
      <c r="C4690" s="33"/>
      <c r="D4690" s="38"/>
      <c r="E4690" s="20" t="s">
        <v>716</v>
      </c>
      <c r="F4690" s="18" t="str">
        <f ca="1">IF(L4704&gt;197,"PERFORMED WELL","")</f>
        <v/>
      </c>
      <c r="G4690" s="18"/>
      <c r="H4690" s="18"/>
      <c r="I4690" s="18"/>
      <c r="J4690" s="18"/>
      <c r="K4690" s="18"/>
      <c r="L4690" s="18"/>
      <c r="M4690" s="18"/>
      <c r="N4690" s="18"/>
      <c r="O4690" s="18"/>
      <c r="P4690" s="19"/>
      <c r="Q4690" s="19"/>
      <c r="R4690" s="11"/>
    </row>
    <row r="4691" s="1" customFormat="1" ht="9.95" customHeight="1" spans="1:18">
      <c r="A4691" s="7"/>
      <c r="B4691" s="12"/>
      <c r="C4691" s="39"/>
      <c r="D4691" s="40"/>
      <c r="E4691" s="40"/>
      <c r="F4691" s="40"/>
      <c r="G4691" s="40"/>
      <c r="H4691" s="40"/>
      <c r="I4691" s="40"/>
      <c r="J4691" s="40"/>
      <c r="K4691" s="40"/>
      <c r="L4691" s="40"/>
      <c r="M4691" s="40"/>
      <c r="N4691" s="40"/>
      <c r="O4691" s="40"/>
      <c r="P4691" s="41"/>
      <c r="Q4691" s="19"/>
      <c r="R4691" s="11"/>
    </row>
    <row r="4692" s="1" customFormat="1" ht="9.95" customHeight="1" spans="1:18">
      <c r="A4692" s="7"/>
      <c r="B4692" s="12"/>
      <c r="C4692" s="29"/>
      <c r="D4692" s="29"/>
      <c r="E4692" s="29"/>
      <c r="F4692" s="29"/>
      <c r="G4692" s="29"/>
      <c r="H4692" s="29"/>
      <c r="I4692" s="29"/>
      <c r="J4692" s="29"/>
      <c r="K4692" s="29"/>
      <c r="L4692" s="29"/>
      <c r="M4692" s="29"/>
      <c r="N4692" s="29"/>
      <c r="O4692" s="29"/>
      <c r="P4692" s="29"/>
      <c r="Q4692" s="19"/>
      <c r="R4692" s="11"/>
    </row>
    <row r="4693" s="1" customFormat="1" ht="9.95" customHeight="1" spans="1:18">
      <c r="A4693" s="7"/>
      <c r="B4693" s="12"/>
      <c r="C4693" s="30"/>
      <c r="D4693" s="31"/>
      <c r="E4693" s="31"/>
      <c r="F4693" s="31"/>
      <c r="G4693" s="31"/>
      <c r="H4693" s="31"/>
      <c r="I4693" s="31"/>
      <c r="J4693" s="31"/>
      <c r="K4693" s="31"/>
      <c r="L4693" s="31"/>
      <c r="M4693" s="31"/>
      <c r="N4693" s="31"/>
      <c r="O4693" s="31"/>
      <c r="P4693" s="32"/>
      <c r="Q4693" s="19"/>
      <c r="R4693" s="11"/>
    </row>
    <row r="4694" s="1" customFormat="1" ht="21.95" customHeight="1" spans="1:18">
      <c r="A4694" s="7"/>
      <c r="B4694" s="12"/>
      <c r="C4694" s="33"/>
      <c r="D4694" s="35"/>
      <c r="E4694" s="24"/>
      <c r="F4694" s="42" t="s">
        <v>717</v>
      </c>
      <c r="G4694" s="42"/>
      <c r="H4694" s="42"/>
      <c r="I4694" s="42"/>
      <c r="J4694" s="42"/>
      <c r="K4694" s="42"/>
      <c r="L4694" s="43"/>
      <c r="M4694" s="44"/>
      <c r="N4694" s="29"/>
      <c r="O4694" s="29"/>
      <c r="P4694" s="19"/>
      <c r="Q4694" s="19"/>
      <c r="R4694" s="11"/>
    </row>
    <row r="4695" s="1" customFormat="1" ht="21.95" customHeight="1" spans="1:18">
      <c r="A4695" s="7"/>
      <c r="B4695" s="12"/>
      <c r="C4695" s="33"/>
      <c r="D4695" s="45"/>
      <c r="E4695" s="46"/>
      <c r="F4695" s="47" t="s">
        <v>541</v>
      </c>
      <c r="G4695" s="47" t="s">
        <v>542</v>
      </c>
      <c r="H4695" s="47" t="s">
        <v>543</v>
      </c>
      <c r="I4695" s="47" t="s">
        <v>544</v>
      </c>
      <c r="J4695" s="47" t="s">
        <v>561</v>
      </c>
      <c r="K4695" s="48" t="s">
        <v>750</v>
      </c>
      <c r="L4695" s="47" t="s">
        <v>382</v>
      </c>
      <c r="M4695" s="49" t="s">
        <v>546</v>
      </c>
      <c r="N4695" s="29"/>
      <c r="O4695" s="29"/>
      <c r="P4695" s="19"/>
      <c r="Q4695" s="19"/>
      <c r="R4695" s="11"/>
    </row>
    <row r="4696" s="1" customFormat="1" ht="21.95" customHeight="1" spans="1:18">
      <c r="A4696" s="7"/>
      <c r="B4696" s="12"/>
      <c r="C4696" s="33"/>
      <c r="D4696" s="45" t="s">
        <v>652</v>
      </c>
      <c r="E4696" s="46"/>
      <c r="F4696" s="50">
        <v>10</v>
      </c>
      <c r="G4696" s="50">
        <v>10</v>
      </c>
      <c r="H4696" s="50">
        <v>10</v>
      </c>
      <c r="I4696" s="50">
        <v>10</v>
      </c>
      <c r="J4696" s="50">
        <v>60</v>
      </c>
      <c r="K4696" s="51"/>
      <c r="L4696" s="50">
        <v>100</v>
      </c>
      <c r="M4696" s="49"/>
      <c r="N4696" s="29"/>
      <c r="O4696" s="29"/>
      <c r="P4696" s="19"/>
      <c r="Q4696" s="19"/>
      <c r="R4696" s="11"/>
    </row>
    <row r="4697" s="1" customFormat="1" ht="21.95" customHeight="1" spans="1:18">
      <c r="A4697" s="7"/>
      <c r="B4697" s="12"/>
      <c r="C4697" s="33"/>
      <c r="D4697" s="52" t="s">
        <v>751</v>
      </c>
      <c r="E4697" s="53"/>
      <c r="F4697" s="54" t="str">
        <f ca="1">IFERROR(VLOOKUP(F4680,'RR-3.1-5TH'!$A$12:'RR-3.1-5TH'!$BN$111,9,0),"")</f>
        <v/>
      </c>
      <c r="G4697" s="54" t="str">
        <f ca="1">IFERROR(VLOOKUP(F4680,'RR-3.1-5TH'!$A$12:'RR-3.1-5TH'!$BN$111,10,0),"")</f>
        <v/>
      </c>
      <c r="H4697" s="54" t="str">
        <f ca="1">IFERROR(VLOOKUP(F4680,'RR-3.1-5TH'!$A$12:'RR-3.1-5TH'!$BN$111,11,0),"")</f>
        <v/>
      </c>
      <c r="I4697" s="54" t="str">
        <f ca="1">IFERROR(VLOOKUP(F4680,'RR-3.1-5TH'!$A$12:'RR-3.1-5TH'!$BN$111,12,0),"")</f>
        <v/>
      </c>
      <c r="J4697" s="54" t="str">
        <f ca="1">IFERROR(VLOOKUP(F4680,'RR-3.1-5TH'!$A$12:'RR-3.1-5TH'!$BN$111,13,0),"")</f>
        <v/>
      </c>
      <c r="K4697" s="54" t="str">
        <f ca="1">IFERROR(VLOOKUP(F4680,'RR-3.1-5TH'!$A$12:'RR-3.1-5TH'!$BN$111,14,0),"")</f>
        <v/>
      </c>
      <c r="L4697" s="55">
        <f ca="1" t="shared" ref="L4697:L4702" si="246">SUM(F4697,G4697,H4697,I4697,J4697,K4697)</f>
        <v>0</v>
      </c>
      <c r="M4697" s="56" t="str">
        <f ca="1">IF(F4680&gt;ENTRY!$D$24,"",IF(L4697=0,"Ab",IF(L4697&gt;80,"A",IF(L4697&gt;60,"B",IF(L4697&gt;44,"C",IF(L4697&gt;=33,"D",IF(L4697&lt;=32,"E","")))))))</f>
        <v/>
      </c>
      <c r="N4697" s="57" t="s">
        <v>729</v>
      </c>
      <c r="O4697" s="58"/>
      <c r="P4697" s="59"/>
      <c r="Q4697" s="19"/>
      <c r="R4697" s="11"/>
    </row>
    <row r="4698" s="1" customFormat="1" ht="21.95" customHeight="1" spans="1:18">
      <c r="A4698" s="7"/>
      <c r="B4698" s="12"/>
      <c r="C4698" s="33"/>
      <c r="D4698" s="52" t="s">
        <v>513</v>
      </c>
      <c r="E4698" s="53"/>
      <c r="F4698" s="54" t="str">
        <f ca="1">IFERROR(VLOOKUP(F4680,'RR-3.1-5TH'!$A$12:'RR-3.1-5TH'!$BN$111,17,0),"")</f>
        <v/>
      </c>
      <c r="G4698" s="54" t="str">
        <f ca="1">IFERROR(VLOOKUP(F4680,'RR-3.1-5TH'!$A$12:'RR-3.1-5TH'!$BN$111,18,0),"")</f>
        <v/>
      </c>
      <c r="H4698" s="54" t="str">
        <f ca="1">IFERROR(VLOOKUP(F4680,'RR-3.1-5TH'!$A$12:'RR-3.1-5TH'!$BN$111,19,0),"")</f>
        <v/>
      </c>
      <c r="I4698" s="54" t="str">
        <f ca="1">IFERROR(VLOOKUP(F4680,'RR-3.1-5TH'!$A$12:'RR-3.1-5TH'!$BN$111,20,0),"")</f>
        <v/>
      </c>
      <c r="J4698" s="54" t="str">
        <f ca="1">IFERROR(VLOOKUP(F4680,'RR-3.1-5TH'!$A$12:'RR-3.1-5TH'!$BN$111,21,0),"")</f>
        <v/>
      </c>
      <c r="K4698" s="54" t="str">
        <f ca="1">IFERROR(VLOOKUP(F4680,'RR-3.1-5TH'!$A$12:'RR-3.1-5TH'!$BN$111,22,0),"")</f>
        <v/>
      </c>
      <c r="L4698" s="55">
        <f ca="1" t="shared" si="246"/>
        <v>0</v>
      </c>
      <c r="M4698" s="56" t="str">
        <f ca="1">IF(F4680&gt;ENTRY!$D$24,"",IF(L4698=0,"Ab",IF(L4698&gt;80,"A",IF(L4698&gt;60,"B",IF(L4698&gt;44,"C",IF(L4698&gt;=33,"D",IF(L4698&lt;=32,"E","")))))))</f>
        <v/>
      </c>
      <c r="N4698" s="58"/>
      <c r="O4698" s="58"/>
      <c r="P4698" s="59"/>
      <c r="Q4698" s="19"/>
      <c r="R4698" s="11"/>
    </row>
    <row r="4699" s="1" customFormat="1" ht="21.95" customHeight="1" spans="1:18">
      <c r="A4699" s="7"/>
      <c r="B4699" s="12"/>
      <c r="C4699" s="33"/>
      <c r="D4699" s="52" t="s">
        <v>718</v>
      </c>
      <c r="E4699" s="53"/>
      <c r="F4699" s="54" t="str">
        <f ca="1">IFERROR(VLOOKUP(F4680,'RR-3.1-5TH'!$A$12:'RR-3.1-5TH'!$BN$111,25,0),"")</f>
        <v/>
      </c>
      <c r="G4699" s="54" t="str">
        <f ca="1">IFERROR(VLOOKUP(F4680,'RR-3.1-5TH'!$A$12:'RR-3.1-5TH'!$BN$111,26,0),"")</f>
        <v/>
      </c>
      <c r="H4699" s="54" t="str">
        <f ca="1">IFERROR(VLOOKUP(F4680,'RR-3.1-5TH'!$A$12:'RR-3.1-5TH'!$BN$111,27,0),"")</f>
        <v/>
      </c>
      <c r="I4699" s="54" t="str">
        <f ca="1">IFERROR(VLOOKUP(F4680,'RR-3.1-5TH'!$A$12:'RR-3.1-5TH'!$BN$111,28,0),"")</f>
        <v/>
      </c>
      <c r="J4699" s="54" t="str">
        <f ca="1">IFERROR(VLOOKUP(F4680,'RR-3.1-5TH'!$A$12:'RR-3.1-5TH'!$BN$111,29,0),"")</f>
        <v/>
      </c>
      <c r="K4699" s="54" t="str">
        <f ca="1">IFERROR(VLOOKUP(F4680,'RR-3.1-5TH'!$A$12:'RR-3.1-5TH'!$BN$111,30,0),"")</f>
        <v/>
      </c>
      <c r="L4699" s="55">
        <f ca="1" t="shared" si="246"/>
        <v>0</v>
      </c>
      <c r="M4699" s="56" t="str">
        <f ca="1">IF(F4680&gt;ENTRY!$D$24,"",IF(L4699=0,"Ab",IF(L4699&gt;80,"A",IF(L4699&gt;60,"B",IF(L4699&gt;44,"C",IF(L4699&gt;=33,"D",IF(L4699&lt;=32,"E","")))))))</f>
        <v/>
      </c>
      <c r="N4699" s="29"/>
      <c r="O4699" s="29"/>
      <c r="P4699" s="19"/>
      <c r="Q4699" s="19"/>
      <c r="R4699" s="11"/>
    </row>
    <row r="4700" s="1" customFormat="1" ht="21.95" customHeight="1" spans="1:18">
      <c r="A4700" s="7"/>
      <c r="B4700" s="12"/>
      <c r="C4700" s="33"/>
      <c r="D4700" s="52" t="s">
        <v>719</v>
      </c>
      <c r="E4700" s="53"/>
      <c r="F4700" s="54" t="str">
        <f ca="1">IFERROR(VLOOKUP(F4680,'RR-3.1-5TH'!$A$12:'RR-3.1-5TH'!$BN$111,33,0),"")</f>
        <v/>
      </c>
      <c r="G4700" s="54" t="str">
        <f ca="1">IFERROR(VLOOKUP(F4680,'RR-3.1-5TH'!$A$12:'RR-3.1-5TH'!$BN$111,34,0),"")</f>
        <v/>
      </c>
      <c r="H4700" s="54" t="str">
        <f ca="1">IFERROR(VLOOKUP(F4680,'RR-3.1-5TH'!$A$12:'RR-3.1-5TH'!$BN$111,35,0),"")</f>
        <v/>
      </c>
      <c r="I4700" s="54" t="str">
        <f ca="1">IFERROR(VLOOKUP(F4680,'RR-3.1-5TH'!$A$12:'RR-3.1-5TH'!$BN$111,36,0),"")</f>
        <v/>
      </c>
      <c r="J4700" s="54" t="str">
        <f ca="1">IFERROR(VLOOKUP(F4680,'RR-3.1-5TH'!$A$12:'RR-3.1-5TH'!$BN$111,37,0),"")</f>
        <v/>
      </c>
      <c r="K4700" s="54" t="str">
        <f ca="1">IFERROR(VLOOKUP(F4680,'RR-3.1-5TH'!$A$12:'RR-3.1-5TH'!$BN$111,38,0),"")</f>
        <v/>
      </c>
      <c r="L4700" s="55">
        <f ca="1" t="shared" si="246"/>
        <v>0</v>
      </c>
      <c r="M4700" s="56" t="str">
        <f ca="1">IF(F4680&gt;ENTRY!$D$24,"",IF(L4700=0,"Ab",IF(L4700&gt;80,"A",IF(L4700&gt;60,"B",IF(L4700&gt;44,"C",IF(L4700&gt;=33,"D",IF(L4700&lt;=32,"E","")))))))</f>
        <v/>
      </c>
      <c r="N4700" s="29"/>
      <c r="O4700" s="29"/>
      <c r="P4700" s="19"/>
      <c r="Q4700" s="19"/>
      <c r="R4700" s="11"/>
    </row>
    <row r="4701" s="1" customFormat="1" ht="21.95" customHeight="1" spans="1:18">
      <c r="A4701" s="7"/>
      <c r="B4701" s="12"/>
      <c r="C4701" s="33"/>
      <c r="D4701" s="52" t="s">
        <v>548</v>
      </c>
      <c r="E4701" s="53"/>
      <c r="F4701" s="54" t="str">
        <f ca="1">IFERROR(VLOOKUP(F4680,'RR-3.1-5TH'!$A$12:'RR-3.1-5TH'!$BN$111,41,0),"")</f>
        <v/>
      </c>
      <c r="G4701" s="54" t="str">
        <f ca="1">IFERROR(VLOOKUP(F4680,'RR-3.1-5TH'!$A$12:'RR-3.1-5TH'!$BN$111,42,0),"")</f>
        <v/>
      </c>
      <c r="H4701" s="54" t="str">
        <f ca="1">IFERROR(VLOOKUP(F4680,'RR-3.1-5TH'!$A$12:'RR-3.1-5TH'!$BN$111,43,0),"")</f>
        <v/>
      </c>
      <c r="I4701" s="54" t="str">
        <f ca="1">IFERROR(VLOOKUP(F4680,'RR-3.1-5TH'!$A$12:'RR-3.1-5TH'!$BN$111,44,0),"")</f>
        <v/>
      </c>
      <c r="J4701" s="54" t="str">
        <f ca="1">IFERROR(VLOOKUP(F4680,'RR-3.1-5TH'!$A$12:'RR-3.1-5TH'!$BN$111,45,0),"")</f>
        <v/>
      </c>
      <c r="K4701" s="54" t="str">
        <f ca="1">IFERROR(VLOOKUP(F4680,'RR-3.1-5TH'!$A$12:'RR-3.1-5TH'!$BN$111,46,0),"")</f>
        <v/>
      </c>
      <c r="L4701" s="55">
        <f ca="1" t="shared" si="246"/>
        <v>0</v>
      </c>
      <c r="M4701" s="56" t="str">
        <f ca="1">IF(F4680&gt;ENTRY!$D$24,"",IF(L4701=0,"Ab",IF(L4701&gt;80,"A",IF(L4701&gt;60,"B",IF(L4701&gt;44,"C",IF(L4701&gt;=33,"D",IF(L4701&lt;=32,"E","")))))))</f>
        <v/>
      </c>
      <c r="N4701" s="29"/>
      <c r="O4701" s="29"/>
      <c r="P4701" s="19"/>
      <c r="Q4701" s="19"/>
      <c r="R4701" s="11"/>
    </row>
    <row r="4702" s="1" customFormat="1" ht="21.95" customHeight="1" spans="1:18">
      <c r="A4702" s="7"/>
      <c r="B4702" s="12"/>
      <c r="C4702" s="33"/>
      <c r="D4702" s="52" t="s">
        <v>549</v>
      </c>
      <c r="E4702" s="53"/>
      <c r="F4702" s="54" t="str">
        <f ca="1">IFERROR(VLOOKUP(F4680,'RR-3.1-5TH'!$A$12:'RR-3.1-5TH'!$BN$111,49,0),"")</f>
        <v/>
      </c>
      <c r="G4702" s="54" t="str">
        <f ca="1">IFERROR(VLOOKUP(F4680,'RR-3.1-5TH'!$A$12:'RR-3.1-5TH'!$BN$111,50,0),"")</f>
        <v/>
      </c>
      <c r="H4702" s="54" t="str">
        <f ca="1">IFERROR(VLOOKUP(F4680,'RR-3.1-5TH'!$A$12:'RR-3.1-5TH'!$BN$111,51,0),"")</f>
        <v/>
      </c>
      <c r="I4702" s="54" t="str">
        <f ca="1">IFERROR(VLOOKUP(F4680,'RR-3.1-5TH'!$A$12:'RR-3.1-5TH'!$BN$111,52,0),"")</f>
        <v/>
      </c>
      <c r="J4702" s="54" t="str">
        <f ca="1">IFERROR(VLOOKUP(F4680,'RR-3.1-5TH'!$A$12:'RR-3.1-5TH'!$BN$111,53,0),"")</f>
        <v/>
      </c>
      <c r="K4702" s="54" t="str">
        <f ca="1">IFERROR(VLOOKUP(F4680,'RR-3.1-5TH'!$A$12:'RR-3.1-5TH'!$BN$111,54,0),"")</f>
        <v/>
      </c>
      <c r="L4702" s="55">
        <f ca="1" t="shared" si="246"/>
        <v>0</v>
      </c>
      <c r="M4702" s="56" t="str">
        <f ca="1">IF(F4680&gt;ENTRY!$D$24,"",IF(L4702=0,"Ab",IF(L4702&gt;80,"A",IF(L4702&gt;60,"B",IF(L4702&gt;44,"C",IF(L4702&gt;=33,"D",IF(L4702&lt;=32,"E","")))))))</f>
        <v/>
      </c>
      <c r="N4702" s="57" t="s">
        <v>752</v>
      </c>
      <c r="O4702" s="58"/>
      <c r="P4702" s="59"/>
      <c r="Q4702" s="19"/>
      <c r="R4702" s="11"/>
    </row>
    <row r="4703" s="1" customFormat="1" ht="21.95" customHeight="1" spans="1:18">
      <c r="A4703" s="7"/>
      <c r="B4703" s="12"/>
      <c r="C4703" s="33"/>
      <c r="D4703" s="52" t="s">
        <v>753</v>
      </c>
      <c r="E4703" s="53"/>
      <c r="F4703" s="60"/>
      <c r="G4703" s="54"/>
      <c r="H4703" s="54"/>
      <c r="I4703" s="54"/>
      <c r="J4703" s="54"/>
      <c r="K4703" s="54"/>
      <c r="L4703" s="55">
        <f t="shared" ref="L4703" si="247">SUM(G4703:K4703)</f>
        <v>0</v>
      </c>
      <c r="M4703" s="56" t="str">
        <f>IF(F4680&gt;ENTRY!$D$24,"",IF(L4703=0,"",IF(L4703&gt;79,"A",IF(L4703&gt;59,"B",IF(L4703&gt;44,"C",IF(L4703&gt;=33,"D",IF(L4703&lt;=32,"E","")))))))</f>
        <v/>
      </c>
      <c r="N4703" s="58"/>
      <c r="O4703" s="58"/>
      <c r="P4703" s="59"/>
      <c r="Q4703" s="19"/>
      <c r="R4703" s="11"/>
    </row>
    <row r="4704" s="1" customFormat="1" ht="21.95" customHeight="1" spans="1:18">
      <c r="A4704" s="7"/>
      <c r="B4704" s="12"/>
      <c r="C4704" s="33"/>
      <c r="D4704" s="45" t="s">
        <v>382</v>
      </c>
      <c r="E4704" s="46"/>
      <c r="F4704" s="54">
        <f ca="1" t="shared" ref="F4704:L4704" si="248">IFERROR(SUM(F4697:F4703),"")</f>
        <v>0</v>
      </c>
      <c r="G4704" s="54">
        <f ca="1" t="shared" si="248"/>
        <v>0</v>
      </c>
      <c r="H4704" s="54">
        <f ca="1" t="shared" si="248"/>
        <v>0</v>
      </c>
      <c r="I4704" s="54">
        <f ca="1" t="shared" si="248"/>
        <v>0</v>
      </c>
      <c r="J4704" s="54">
        <f ca="1" t="shared" si="248"/>
        <v>0</v>
      </c>
      <c r="K4704" s="54">
        <f ca="1" t="shared" si="248"/>
        <v>0</v>
      </c>
      <c r="L4704" s="55">
        <f ca="1" t="shared" si="248"/>
        <v>0</v>
      </c>
      <c r="M4704" s="61" t="str">
        <f ca="1">IF(F4680&gt;ENTRY!$D$24,"",IF(N4705="Ab","Ab",IF(N4705&gt;79.5,"A",IF(N4705&gt;59.5,"B",IF(N4705&gt;44.5,"C",IF(N4705&gt;=33,"D",IF(N4705&lt;33,"E","")))))))</f>
        <v/>
      </c>
      <c r="N4704" s="62"/>
      <c r="O4704" s="58"/>
      <c r="P4704" s="59"/>
      <c r="Q4704" s="19"/>
      <c r="R4704" s="11"/>
    </row>
    <row r="4705" s="1" customFormat="1" ht="21.95" customHeight="1" spans="1:19">
      <c r="A4705" s="7"/>
      <c r="B4705" s="12"/>
      <c r="C4705" s="33"/>
      <c r="D4705" s="63" t="s">
        <v>721</v>
      </c>
      <c r="E4705" s="63"/>
      <c r="F4705" s="63"/>
      <c r="G4705" s="63"/>
      <c r="H4705" s="63"/>
      <c r="I4705" s="63"/>
      <c r="J4705" s="63"/>
      <c r="K4705" s="63"/>
      <c r="L4705" s="63"/>
      <c r="M4705" s="63"/>
      <c r="N4705" s="64">
        <f ca="1">IF(L4704="Ab","Ab",L4704/6)</f>
        <v>0</v>
      </c>
      <c r="O4705" s="65"/>
      <c r="P4705" s="19"/>
      <c r="Q4705" s="19"/>
      <c r="R4705" s="11"/>
    </row>
    <row r="4706" s="1" customFormat="1" ht="21.95" customHeight="1" spans="1:19">
      <c r="A4706" s="7"/>
      <c r="B4706" s="12"/>
      <c r="C4706" s="33"/>
      <c r="D4706" s="29" t="s">
        <v>716</v>
      </c>
      <c r="E4706" s="18" t="str">
        <f>IFERROR(VLOOKUP(F4680,'1to4-2.1-RR'!$A$12:$BG$111,57,0),"")</f>
        <v/>
      </c>
      <c r="F4706" s="18"/>
      <c r="G4706" s="18"/>
      <c r="H4706" s="18"/>
      <c r="I4706" s="18"/>
      <c r="J4706" s="18"/>
      <c r="K4706" s="18"/>
      <c r="L4706" s="18"/>
      <c r="M4706" s="18"/>
      <c r="N4706" s="29"/>
      <c r="O4706" s="29"/>
      <c r="P4706" s="19"/>
      <c r="Q4706" s="19"/>
      <c r="R4706" s="11"/>
    </row>
    <row r="4707" s="1" customFormat="1" ht="9.95" customHeight="1" spans="1:19">
      <c r="A4707" s="7"/>
      <c r="B4707" s="12"/>
      <c r="C4707" s="33"/>
      <c r="D4707" s="29"/>
      <c r="E4707" s="29"/>
      <c r="F4707" s="29"/>
      <c r="G4707" s="29"/>
      <c r="H4707" s="29"/>
      <c r="I4707" s="29"/>
      <c r="J4707" s="29"/>
      <c r="K4707" s="29"/>
      <c r="L4707" s="29"/>
      <c r="M4707" s="29"/>
      <c r="N4707" s="29"/>
      <c r="O4707" s="29"/>
      <c r="P4707" s="19"/>
      <c r="Q4707" s="19"/>
      <c r="R4707" s="11"/>
    </row>
    <row r="4708" s="1" customFormat="1" ht="36" spans="1:19">
      <c r="A4708" s="7"/>
      <c r="B4708" s="12"/>
      <c r="C4708" s="33"/>
      <c r="D4708" s="66" t="s">
        <v>576</v>
      </c>
      <c r="E4708" s="67" t="s">
        <v>754</v>
      </c>
      <c r="F4708" s="47" t="str">
        <f>IF(F4680&gt;ENTRY!$D$24,"",IFERROR(VLOOKUP(F4680,PASHEET!$A$4:$CJ$103,88,0),""))</f>
        <v/>
      </c>
      <c r="G4708" s="67" t="s">
        <v>755</v>
      </c>
      <c r="H4708" s="47" t="str">
        <f>IF(F4680&gt;ENTRY!$D$24,"",IFERROR(VLOOKUP(F4680,PASHEET!$A$4:$CJ$103,87,0),""))</f>
        <v/>
      </c>
      <c r="I4708" s="68" t="s">
        <v>756</v>
      </c>
      <c r="J4708" s="69" t="str">
        <f>IF(F4680&gt;ENTRY!$D$24,"",IFERROR(IF(F4680&gt;0,H4708/F4708*100),""))</f>
        <v/>
      </c>
      <c r="K4708" s="60" t="s">
        <v>757</v>
      </c>
      <c r="L4708" s="70" t="str">
        <f ca="1">IF(F4680&gt;ENTRY!$D$24,"",IFERROR(L4704/600*100,""))</f>
        <v/>
      </c>
      <c r="M4708" s="47" t="str">
        <f ca="1">IF(F4680&gt;ENTRY!$D$24,"",IFERROR(L4704&amp;" / "&amp;"600",""))</f>
        <v/>
      </c>
      <c r="N4708" s="29"/>
      <c r="O4708" s="29"/>
      <c r="P4708" s="19"/>
      <c r="Q4708" s="19"/>
      <c r="R4708" s="11"/>
    </row>
    <row r="4709" s="1" customFormat="1" ht="9.95" customHeight="1" spans="1:19">
      <c r="A4709" s="7"/>
      <c r="B4709" s="12"/>
      <c r="C4709" s="39"/>
      <c r="D4709" s="40"/>
      <c r="E4709" s="40"/>
      <c r="F4709" s="40"/>
      <c r="G4709" s="40"/>
      <c r="H4709" s="40"/>
      <c r="I4709" s="40"/>
      <c r="J4709" s="40"/>
      <c r="K4709" s="40"/>
      <c r="L4709" s="40"/>
      <c r="M4709" s="40"/>
      <c r="N4709" s="40"/>
      <c r="O4709" s="40"/>
      <c r="P4709" s="41"/>
      <c r="Q4709" s="19"/>
      <c r="R4709" s="11"/>
    </row>
    <row r="4710" s="1" customFormat="1" ht="9.95" customHeight="1" spans="1:19">
      <c r="A4710" s="7"/>
      <c r="B4710" s="12"/>
      <c r="C4710" s="71"/>
      <c r="D4710" s="71"/>
      <c r="E4710" s="71"/>
      <c r="F4710" s="29"/>
      <c r="G4710" s="71"/>
      <c r="H4710" s="71"/>
      <c r="I4710" s="71"/>
      <c r="J4710" s="71"/>
      <c r="K4710" s="71"/>
      <c r="L4710" s="71"/>
      <c r="M4710" s="71"/>
      <c r="N4710" s="71"/>
      <c r="O4710" s="71"/>
      <c r="P4710" s="71"/>
      <c r="Q4710" s="19"/>
      <c r="R4710" s="11"/>
    </row>
    <row r="4711" s="1" customFormat="1" ht="9.95" customHeight="1" spans="1:19">
      <c r="A4711" s="7"/>
      <c r="B4711" s="12"/>
      <c r="C4711" s="29"/>
      <c r="D4711" s="29"/>
      <c r="E4711" s="29"/>
      <c r="F4711" s="72"/>
      <c r="G4711" s="29"/>
      <c r="H4711" s="29"/>
      <c r="I4711" s="29"/>
      <c r="J4711" s="29"/>
      <c r="K4711" s="29"/>
      <c r="L4711" s="29"/>
      <c r="M4711" s="29"/>
      <c r="N4711" s="29"/>
      <c r="O4711" s="29"/>
      <c r="P4711" s="29"/>
      <c r="Q4711" s="19"/>
      <c r="R4711" s="11"/>
    </row>
    <row r="4712" s="1" customFormat="1" ht="9.95" customHeight="1" spans="1:19">
      <c r="A4712" s="7"/>
      <c r="B4712" s="12"/>
      <c r="C4712" s="30"/>
      <c r="D4712" s="31"/>
      <c r="E4712" s="31"/>
      <c r="F4712" s="31"/>
      <c r="G4712" s="31"/>
      <c r="H4712" s="31"/>
      <c r="I4712" s="31"/>
      <c r="J4712" s="31"/>
      <c r="K4712" s="31"/>
      <c r="L4712" s="31"/>
      <c r="M4712" s="31"/>
      <c r="N4712" s="31"/>
      <c r="O4712" s="31"/>
      <c r="P4712" s="32"/>
      <c r="Q4712" s="19"/>
      <c r="R4712" s="11"/>
    </row>
    <row r="4713" s="1" customFormat="1" ht="21.95" customHeight="1" spans="1:19">
      <c r="A4713" s="7"/>
      <c r="B4713" s="12"/>
      <c r="C4713" s="73" t="s">
        <v>7</v>
      </c>
      <c r="D4713" s="13"/>
      <c r="E4713" s="13"/>
      <c r="F4713" s="13"/>
      <c r="G4713" s="13"/>
      <c r="H4713" s="13"/>
      <c r="I4713" s="13"/>
      <c r="J4713" s="13"/>
      <c r="K4713" s="13"/>
      <c r="L4713" s="13"/>
      <c r="M4713" s="13"/>
      <c r="N4713" s="13"/>
      <c r="O4713" s="13"/>
      <c r="P4713" s="74"/>
      <c r="Q4713" s="19"/>
      <c r="R4713" s="11"/>
      <c r="S4713" s="2"/>
    </row>
    <row r="4714" s="1" customFormat="1" ht="21.95" customHeight="1" spans="1:19">
      <c r="A4714" s="7"/>
      <c r="B4714" s="12"/>
      <c r="C4714" s="33"/>
      <c r="D4714" s="29"/>
      <c r="E4714" s="29"/>
      <c r="F4714" s="29"/>
      <c r="G4714" s="29"/>
      <c r="H4714" s="29"/>
      <c r="I4714" s="29"/>
      <c r="J4714" s="29"/>
      <c r="K4714" s="29"/>
      <c r="L4714" s="29"/>
      <c r="M4714" s="29"/>
      <c r="N4714" s="29"/>
      <c r="O4714" s="29"/>
      <c r="P4714" s="19"/>
      <c r="Q4714" s="19"/>
      <c r="R4714" s="11"/>
    </row>
    <row r="4715" s="1" customFormat="1" ht="21.95" customHeight="1" spans="1:19">
      <c r="A4715" s="7"/>
      <c r="B4715" s="12"/>
      <c r="C4715" s="75" t="str">
        <f>"SESSION-"&amp;ENTRY!$D$11</f>
        <v>SESSION-2026-27</v>
      </c>
      <c r="D4715" s="15"/>
      <c r="E4715" s="15"/>
      <c r="F4715" s="15"/>
      <c r="G4715" s="15"/>
      <c r="H4715" s="15"/>
      <c r="I4715" s="15"/>
      <c r="J4715" s="15"/>
      <c r="K4715" s="15"/>
      <c r="L4715" s="15"/>
      <c r="M4715" s="15"/>
      <c r="N4715" s="15"/>
      <c r="O4715" s="15"/>
      <c r="P4715" s="76"/>
      <c r="Q4715" s="19"/>
      <c r="R4715" s="11"/>
    </row>
    <row r="4716" s="1" customFormat="1" ht="18" customHeight="1" spans="1:19">
      <c r="A4716" s="7"/>
      <c r="B4716" s="12"/>
      <c r="C4716" s="33"/>
      <c r="D4716" s="29"/>
      <c r="E4716" s="29"/>
      <c r="F4716" s="29"/>
      <c r="G4716" s="29"/>
      <c r="H4716" s="29"/>
      <c r="I4716" s="29"/>
      <c r="J4716" s="29"/>
      <c r="K4716" s="29"/>
      <c r="L4716" s="29"/>
      <c r="M4716" s="29"/>
      <c r="N4716" s="29"/>
      <c r="O4716" s="29"/>
      <c r="P4716" s="19"/>
      <c r="Q4716" s="19"/>
      <c r="R4716" s="11"/>
    </row>
    <row r="4717" s="1" customFormat="1" ht="21.95" customHeight="1" spans="1:19">
      <c r="A4717" s="7"/>
      <c r="B4717" s="12"/>
      <c r="C4717" s="33"/>
      <c r="D4717" s="77" t="s">
        <v>758</v>
      </c>
      <c r="E4717" s="77"/>
      <c r="F4717" s="78" t="str">
        <f>IFERROR(PROPER(VLOOKUP(F4680,STUDENT!$A$2:$BP$101,5,0)),"")</f>
        <v/>
      </c>
      <c r="G4717" s="78"/>
      <c r="H4717" s="78"/>
      <c r="I4717" s="78"/>
      <c r="J4717" s="78"/>
      <c r="K4717" s="78"/>
      <c r="L4717" s="78"/>
      <c r="M4717" s="78"/>
      <c r="N4717" s="79" t="s">
        <v>759</v>
      </c>
      <c r="O4717" s="79"/>
      <c r="P4717" s="19"/>
      <c r="Q4717" s="19"/>
      <c r="R4717" s="11"/>
    </row>
    <row r="4718" s="1" customFormat="1" ht="21.95" customHeight="1" spans="1:19">
      <c r="A4718" s="7"/>
      <c r="B4718" s="12"/>
      <c r="C4718" s="33"/>
      <c r="D4718" s="80" t="s">
        <v>760</v>
      </c>
      <c r="E4718" s="81" t="str">
        <f>IFERROR(PROPER(VLOOKUP(F4680,STUDENT!$A$2:$BP$101,9,0)),"")</f>
        <v/>
      </c>
      <c r="F4718" s="81"/>
      <c r="G4718" s="81"/>
      <c r="H4718" s="80" t="s">
        <v>761</v>
      </c>
      <c r="I4718" s="82" t="str">
        <f>IFERROR(PROPER(VLOOKUP(F4680,STUDENT!$A$2:$BP$101,8,0)),"")</f>
        <v/>
      </c>
      <c r="J4718" s="82"/>
      <c r="K4718" s="82"/>
      <c r="L4718" s="82"/>
      <c r="M4718" s="80" t="s">
        <v>762</v>
      </c>
      <c r="N4718" s="83" t="str">
        <f>IFERROR(VLOOKUP(F4680,STUDENT!$A$2:$BP$101,59,0),"")</f>
        <v/>
      </c>
      <c r="O4718" s="83"/>
      <c r="P4718" s="19"/>
      <c r="Q4718" s="19"/>
      <c r="R4718" s="11"/>
    </row>
    <row r="4719" s="1" customFormat="1" ht="21.95" customHeight="1" spans="1:19">
      <c r="A4719" s="7"/>
      <c r="B4719" s="12"/>
      <c r="C4719" s="33"/>
      <c r="D4719" s="77" t="str">
        <f>"has    completed     his  /  her     primary     level     education    in    the    year    "&amp;RIGHT(ENTRY!$D4685,4)&amp;"    from    ( School    Name )"</f>
        <v>has    completed     his  /  her     primary     level     education    in    the    year        from    ( School    Name )</v>
      </c>
      <c r="E4719" s="77"/>
      <c r="F4719" s="77"/>
      <c r="G4719" s="77"/>
      <c r="H4719" s="77"/>
      <c r="I4719" s="77"/>
      <c r="J4719" s="77"/>
      <c r="K4719" s="77"/>
      <c r="L4719" s="77"/>
      <c r="M4719" s="77"/>
      <c r="N4719" s="77"/>
      <c r="O4719" s="77"/>
      <c r="P4719" s="19"/>
      <c r="Q4719" s="19"/>
      <c r="R4719" s="11"/>
    </row>
    <row r="4720" s="1" customFormat="1" ht="21.95" customHeight="1" spans="1:19">
      <c r="A4720" s="7"/>
      <c r="B4720" s="12"/>
      <c r="C4720" s="33"/>
      <c r="D4720" s="81" t="str">
        <f>IF(F4680&gt;0,ENTRY!$D$6,"")</f>
        <v>MCP NITHARI NO 1 BOYS</v>
      </c>
      <c r="E4720" s="81"/>
      <c r="F4720" s="81"/>
      <c r="G4720" s="81"/>
      <c r="H4720" s="81"/>
      <c r="I4720" s="81"/>
      <c r="J4720" s="81"/>
      <c r="K4720" s="81"/>
      <c r="L4720" s="81"/>
      <c r="M4720" s="80" t="s">
        <v>763</v>
      </c>
      <c r="N4720" s="84">
        <f>IF(F4680&gt;0,ENTRY!$D$7,"")</f>
        <v>0</v>
      </c>
      <c r="O4720" s="84"/>
      <c r="P4720" s="85" t="s">
        <v>727</v>
      </c>
      <c r="Q4720" s="19"/>
      <c r="R4720" s="11"/>
    </row>
    <row r="4721" s="1" customFormat="1" ht="21.95" customHeight="1" spans="1:18">
      <c r="A4721" s="7"/>
      <c r="B4721" s="12"/>
      <c r="C4721" s="33"/>
      <c r="D4721" s="29"/>
      <c r="E4721" s="29"/>
      <c r="F4721" s="29"/>
      <c r="G4721" s="29"/>
      <c r="H4721" s="29"/>
      <c r="I4721" s="29"/>
      <c r="J4721" s="29"/>
      <c r="K4721" s="29"/>
      <c r="L4721" s="29"/>
      <c r="M4721" s="29"/>
      <c r="N4721" s="29"/>
      <c r="O4721" s="29"/>
      <c r="P4721" s="19"/>
      <c r="Q4721" s="19"/>
      <c r="R4721" s="11"/>
    </row>
    <row r="4722" s="1" customFormat="1" ht="21.95" customHeight="1" spans="1:18">
      <c r="A4722" s="7"/>
      <c r="B4722" s="12"/>
      <c r="C4722" s="33"/>
      <c r="D4722" s="29"/>
      <c r="E4722" s="29"/>
      <c r="F4722" s="29"/>
      <c r="G4722" s="29"/>
      <c r="H4722" s="29"/>
      <c r="I4722" s="29"/>
      <c r="J4722" s="29"/>
      <c r="K4722" s="29"/>
      <c r="L4722" s="29"/>
      <c r="M4722" s="29"/>
      <c r="N4722" s="29"/>
      <c r="O4722" s="29"/>
      <c r="P4722" s="19"/>
      <c r="Q4722" s="19"/>
      <c r="R4722" s="11"/>
    </row>
    <row r="4723" s="1" customFormat="1" ht="21.95" customHeight="1" spans="1:18">
      <c r="A4723" s="7"/>
      <c r="B4723" s="12"/>
      <c r="C4723" s="33"/>
      <c r="D4723" s="29"/>
      <c r="E4723" s="29"/>
      <c r="F4723" s="29"/>
      <c r="G4723" s="29"/>
      <c r="H4723" s="29"/>
      <c r="I4723" s="29"/>
      <c r="J4723" s="29"/>
      <c r="K4723" s="29"/>
      <c r="L4723" s="29"/>
      <c r="M4723" s="29"/>
      <c r="N4723" s="29"/>
      <c r="O4723" s="29"/>
      <c r="P4723" s="19"/>
      <c r="Q4723" s="19"/>
      <c r="R4723" s="11"/>
    </row>
    <row r="4724" s="1" customFormat="1" ht="21.95" customHeight="1" spans="1:18">
      <c r="A4724" s="7"/>
      <c r="B4724" s="12"/>
      <c r="C4724" s="33"/>
      <c r="D4724" s="29"/>
      <c r="E4724" s="29"/>
      <c r="F4724" s="29"/>
      <c r="G4724" s="29"/>
      <c r="H4724" s="29"/>
      <c r="I4724" s="29"/>
      <c r="J4724" s="29"/>
      <c r="K4724" s="29"/>
      <c r="L4724" s="29"/>
      <c r="M4724" s="29"/>
      <c r="N4724" s="29"/>
      <c r="O4724" s="29"/>
      <c r="P4724" s="19"/>
      <c r="Q4724" s="19"/>
      <c r="R4724" s="11"/>
    </row>
    <row r="4725" s="1" customFormat="1" ht="21.95" customHeight="1" spans="1:18">
      <c r="A4725" s="7"/>
      <c r="B4725" s="12"/>
      <c r="C4725" s="33"/>
      <c r="D4725" s="29"/>
      <c r="E4725" s="29"/>
      <c r="F4725" s="29"/>
      <c r="G4725" s="29"/>
      <c r="H4725" s="29"/>
      <c r="I4725" s="29"/>
      <c r="J4725" s="29"/>
      <c r="K4725" s="29"/>
      <c r="L4725" s="29"/>
      <c r="M4725" s="29"/>
      <c r="N4725" s="29"/>
      <c r="O4725" s="29"/>
      <c r="P4725" s="19"/>
      <c r="Q4725" s="19"/>
      <c r="R4725" s="11"/>
    </row>
    <row r="4726" s="1" customFormat="1" ht="21.95" customHeight="1" spans="1:18">
      <c r="A4726" s="7"/>
      <c r="B4726" s="12"/>
      <c r="C4726" s="33"/>
      <c r="D4726" s="80" t="s">
        <v>728</v>
      </c>
      <c r="E4726" s="86">
        <f>ENTRY!$D$27</f>
        <v>46102</v>
      </c>
      <c r="F4726" s="86"/>
      <c r="G4726" s="29"/>
      <c r="H4726" s="29"/>
      <c r="I4726" s="29"/>
      <c r="J4726" s="29"/>
      <c r="K4726" s="29"/>
      <c r="L4726" s="29"/>
      <c r="M4726" s="87" t="s">
        <v>730</v>
      </c>
      <c r="N4726" s="87"/>
      <c r="O4726" s="87"/>
      <c r="P4726" s="19"/>
      <c r="Q4726" s="19"/>
      <c r="R4726" s="11"/>
    </row>
    <row r="4727" s="1" customFormat="1" ht="21.95" customHeight="1" spans="1:18">
      <c r="A4727" s="7"/>
      <c r="B4727" s="12"/>
      <c r="C4727" s="33"/>
      <c r="D4727" s="80" t="s">
        <v>731</v>
      </c>
      <c r="E4727" s="88" t="str">
        <f>PROPER(ENTRY!$D$28)</f>
        <v>New Delhi</v>
      </c>
      <c r="F4727" s="88"/>
      <c r="G4727" s="29"/>
      <c r="H4727" s="29"/>
      <c r="I4727" s="29"/>
      <c r="J4727" s="29"/>
      <c r="K4727" s="29"/>
      <c r="L4727" s="29"/>
      <c r="M4727" s="89" t="s">
        <v>732</v>
      </c>
      <c r="N4727" s="89"/>
      <c r="O4727" s="89"/>
      <c r="P4727" s="19"/>
      <c r="Q4727" s="19"/>
      <c r="R4727" s="11"/>
    </row>
    <row r="4728" s="1" customFormat="1" ht="21.95" customHeight="1" spans="1:18">
      <c r="A4728" s="7"/>
      <c r="B4728" s="12"/>
      <c r="C4728" s="90"/>
      <c r="D4728" s="91"/>
      <c r="E4728" s="91"/>
      <c r="F4728" s="91"/>
      <c r="G4728" s="91"/>
      <c r="H4728" s="91"/>
      <c r="I4728" s="91"/>
      <c r="J4728" s="91"/>
      <c r="K4728" s="91"/>
      <c r="L4728" s="91"/>
      <c r="M4728" s="91"/>
      <c r="N4728" s="91"/>
      <c r="O4728" s="91"/>
      <c r="P4728" s="92"/>
      <c r="Q4728" s="14"/>
      <c r="R4728" s="11"/>
    </row>
    <row r="4729" s="1" customFormat="1" ht="5.1" customHeight="1" spans="1:18">
      <c r="A4729" s="7"/>
      <c r="B4729" s="90"/>
      <c r="C4729" s="91"/>
      <c r="D4729" s="91"/>
      <c r="E4729" s="91"/>
      <c r="F4729" s="91"/>
      <c r="G4729" s="91"/>
      <c r="H4729" s="91"/>
      <c r="I4729" s="91"/>
      <c r="J4729" s="91"/>
      <c r="K4729" s="91"/>
      <c r="L4729" s="91"/>
      <c r="M4729" s="91"/>
      <c r="N4729" s="91"/>
      <c r="O4729" s="91"/>
      <c r="P4729" s="91"/>
      <c r="Q4729" s="92"/>
      <c r="R4729" s="11"/>
    </row>
    <row r="4730" s="1" customFormat="1" ht="5.1" customHeight="1" spans="1:18">
      <c r="A4730" s="93"/>
      <c r="B4730" s="94"/>
      <c r="C4730" s="94"/>
      <c r="D4730" s="94"/>
      <c r="E4730" s="94"/>
      <c r="F4730" s="94"/>
      <c r="G4730" s="94"/>
      <c r="H4730" s="94"/>
      <c r="I4730" s="94"/>
      <c r="J4730" s="94"/>
      <c r="K4730" s="94"/>
      <c r="L4730" s="94"/>
      <c r="M4730" s="94"/>
      <c r="N4730" s="94"/>
      <c r="O4730" s="94"/>
      <c r="P4730" s="94"/>
      <c r="Q4730" s="94"/>
      <c r="R4730" s="95"/>
    </row>
    <row r="4731" s="2" customFormat="1" ht="9.95" customHeight="1"/>
    <row r="4732" s="1" customFormat="1" ht="5.1" customHeight="1" spans="1:18">
      <c r="A4732" s="4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5"/>
      <c r="O4732" s="5"/>
      <c r="P4732" s="5"/>
      <c r="Q4732" s="5"/>
      <c r="R4732" s="6"/>
    </row>
    <row r="4733" s="1" customFormat="1" ht="15" customHeight="1" spans="1:18">
      <c r="A4733" s="7"/>
      <c r="B4733" s="8"/>
      <c r="C4733" s="9"/>
      <c r="D4733" s="9"/>
      <c r="E4733" s="9"/>
      <c r="F4733" s="9"/>
      <c r="G4733" s="9"/>
      <c r="H4733" s="9"/>
      <c r="I4733" s="9"/>
      <c r="J4733" s="9"/>
      <c r="K4733" s="9"/>
      <c r="L4733" s="9"/>
      <c r="M4733" s="9"/>
      <c r="N4733" s="9"/>
      <c r="O4733" s="9"/>
      <c r="P4733" s="9"/>
      <c r="Q4733" s="10"/>
      <c r="R4733" s="11"/>
    </row>
    <row r="4734" s="1" customFormat="1" ht="21.95" customHeight="1" spans="1:18">
      <c r="A4734" s="7"/>
      <c r="B4734" s="12"/>
      <c r="C4734" s="13" t="s">
        <v>7</v>
      </c>
      <c r="D4734" s="13"/>
      <c r="E4734" s="13"/>
      <c r="F4734" s="13"/>
      <c r="G4734" s="13"/>
      <c r="H4734" s="13"/>
      <c r="I4734" s="13"/>
      <c r="J4734" s="13"/>
      <c r="K4734" s="13"/>
      <c r="L4734" s="13"/>
      <c r="M4734" s="13"/>
      <c r="N4734" s="13"/>
      <c r="O4734" s="13"/>
      <c r="P4734" s="13"/>
      <c r="Q4734" s="14"/>
      <c r="R4734" s="11"/>
    </row>
    <row r="4735" s="1" customFormat="1" ht="21.95" customHeight="1" spans="1:18">
      <c r="A4735" s="7"/>
      <c r="B4735" s="1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14"/>
      <c r="R4735" s="11"/>
    </row>
    <row r="4736" s="1" customFormat="1" ht="21.95" customHeight="1" spans="1:18">
      <c r="A4736" s="7"/>
      <c r="B4736" s="12"/>
      <c r="C4736" s="15" t="str">
        <f>"SESSION-"&amp;ENTRY!$D$11</f>
        <v>SESSION-2026-27</v>
      </c>
      <c r="D4736" s="15"/>
      <c r="E4736" s="15"/>
      <c r="F4736" s="15"/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  <c r="Q4736" s="14"/>
      <c r="R4736" s="11"/>
    </row>
    <row r="4737" s="1" customFormat="1" ht="21.95" customHeight="1" spans="1:18">
      <c r="A4737" s="7"/>
      <c r="B4737" s="12"/>
      <c r="C4737" s="2"/>
      <c r="D4737" s="2"/>
      <c r="E4737" s="2"/>
      <c r="F4737" s="16">
        <f>F4680+1</f>
        <v>84</v>
      </c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14"/>
      <c r="R4737" s="11"/>
    </row>
    <row r="4738" s="1" customFormat="1" ht="21.95" customHeight="1" spans="1:18">
      <c r="A4738" s="7"/>
      <c r="B4738" s="12"/>
      <c r="C4738" s="17" t="s">
        <v>392</v>
      </c>
      <c r="D4738" s="17"/>
      <c r="E4738" s="17"/>
      <c r="F4738" s="18" t="str">
        <f>IF(F4737&gt;0,ENTRY!$D$6,"")</f>
        <v>MCP NITHARI NO 1 BOYS</v>
      </c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9"/>
      <c r="R4738" s="11"/>
    </row>
    <row r="4739" s="1" customFormat="1" ht="21.95" customHeight="1" spans="1:18">
      <c r="A4739" s="7"/>
      <c r="B4739" s="12"/>
      <c r="C4739" s="17" t="s">
        <v>393</v>
      </c>
      <c r="D4739" s="17"/>
      <c r="E4739" s="17"/>
      <c r="F4739" s="18">
        <f>IF(F4737&gt;0,ENTRY!$D$7,"")</f>
        <v>0</v>
      </c>
      <c r="G4739" s="18"/>
      <c r="H4739" s="20" t="s">
        <v>702</v>
      </c>
      <c r="I4739" s="20"/>
      <c r="J4739" s="21">
        <f>IF(F4737&gt;0,ENTRY!$D$10,"")</f>
        <v>40</v>
      </c>
      <c r="K4739" s="20" t="s">
        <v>703</v>
      </c>
      <c r="L4739" s="22" t="str">
        <f>IF(F4737&gt;0,ENTRY!$D$5,"")</f>
        <v>ROHINI ZONE</v>
      </c>
      <c r="M4739" s="22"/>
      <c r="N4739" s="22"/>
      <c r="O4739" s="22"/>
      <c r="P4739" s="22"/>
      <c r="Q4739" s="19"/>
      <c r="R4739" s="11"/>
    </row>
    <row r="4740" s="1" customFormat="1" ht="21.95" customHeight="1" spans="1:18">
      <c r="A4740" s="7"/>
      <c r="B4740" s="12"/>
      <c r="C4740" s="17" t="s">
        <v>706</v>
      </c>
      <c r="D4740" s="17"/>
      <c r="E4740" s="17"/>
      <c r="F4740" s="23">
        <f>IFERROR(VLOOKUP(F4737,STUDENT!$A$2:$BP$101,5,0),"")</f>
        <v>0</v>
      </c>
      <c r="G4740" s="23"/>
      <c r="H4740" s="23"/>
      <c r="I4740" s="23"/>
      <c r="J4740" s="23"/>
      <c r="K4740" s="23"/>
      <c r="L4740" s="20" t="s">
        <v>707</v>
      </c>
      <c r="M4740" s="20"/>
      <c r="N4740" s="24" t="str">
        <f>IF(F4737&gt;0,ENTRY!$D$20&amp;"-"&amp;ENTRY!$D$21,"")</f>
        <v>III-A</v>
      </c>
      <c r="O4740" s="24"/>
      <c r="P4740" s="24"/>
      <c r="Q4740" s="19"/>
      <c r="R4740" s="11"/>
    </row>
    <row r="4741" s="1" customFormat="1" ht="21.95" customHeight="1" spans="1:18">
      <c r="A4741" s="7"/>
      <c r="B4741" s="12"/>
      <c r="C4741" s="17" t="s">
        <v>708</v>
      </c>
      <c r="D4741" s="17"/>
      <c r="E4741" s="17"/>
      <c r="F4741" s="25">
        <f>IFERROR(VLOOKUP(F4737,STUDENT!$A$2:$BP$101,6,0),"")</f>
        <v>0</v>
      </c>
      <c r="G4741" s="25"/>
      <c r="H4741" s="26" t="s">
        <v>709</v>
      </c>
      <c r="I4741" s="27" t="str">
        <f>IFERROR(VLOOKUP(F4737,STUDENT!$A$2:$BP$101,59,0),"")</f>
        <v/>
      </c>
      <c r="J4741" s="27"/>
      <c r="K4741" s="20" t="s">
        <v>710</v>
      </c>
      <c r="L4741" s="20"/>
      <c r="M4741" s="28">
        <f>IFERROR(VLOOKUP(F4737,STUDENT!$A$2:$BP$101,20,0),"")</f>
        <v>0</v>
      </c>
      <c r="N4741" s="28"/>
      <c r="O4741" s="28"/>
      <c r="P4741" s="28"/>
      <c r="Q4741" s="19"/>
      <c r="R4741" s="11"/>
    </row>
    <row r="4742" s="1" customFormat="1" ht="21.95" customHeight="1" spans="1:18">
      <c r="A4742" s="7"/>
      <c r="B4742" s="12"/>
      <c r="C4742" s="17" t="s">
        <v>711</v>
      </c>
      <c r="D4742" s="17"/>
      <c r="E4742" s="17"/>
      <c r="F4742" s="23">
        <f>IFERROR(VLOOKUP(F4737,STUDENT!$A$2:$BP$101,9,0),"")</f>
        <v>0</v>
      </c>
      <c r="G4742" s="23"/>
      <c r="H4742" s="23"/>
      <c r="I4742" s="23"/>
      <c r="J4742" s="17" t="s">
        <v>620</v>
      </c>
      <c r="K4742" s="17"/>
      <c r="L4742" s="23">
        <f>IFERROR(VLOOKUP(F4737,STUDENT!$A$2:$BP$101,8,0),"")</f>
        <v>0</v>
      </c>
      <c r="M4742" s="23"/>
      <c r="N4742" s="23"/>
      <c r="O4742" s="23"/>
      <c r="P4742" s="23"/>
      <c r="Q4742" s="19"/>
      <c r="R4742" s="11"/>
    </row>
    <row r="4743" s="1" customFormat="1" ht="21.95" customHeight="1" spans="1:18">
      <c r="A4743" s="7"/>
      <c r="B4743" s="12"/>
      <c r="C4743" s="17" t="s">
        <v>712</v>
      </c>
      <c r="D4743" s="17"/>
      <c r="E4743" s="17"/>
      <c r="F4743" s="23">
        <f>IFERROR(VLOOKUP(F4737,STUDENT!$A$2:$BP$101,22,0),"")</f>
        <v>0</v>
      </c>
      <c r="G4743" s="23"/>
      <c r="H4743" s="23"/>
      <c r="I4743" s="23"/>
      <c r="J4743" s="23"/>
      <c r="K4743" s="23"/>
      <c r="L4743" s="23"/>
      <c r="M4743" s="23"/>
      <c r="N4743" s="23"/>
      <c r="O4743" s="23"/>
      <c r="P4743" s="23"/>
      <c r="Q4743" s="19"/>
      <c r="R4743" s="11"/>
    </row>
    <row r="4744" s="1" customFormat="1" ht="9.95" customHeight="1" spans="1:18">
      <c r="A4744" s="7"/>
      <c r="B4744" s="12"/>
      <c r="C4744" s="29"/>
      <c r="D4744" s="29"/>
      <c r="E4744" s="29"/>
      <c r="F4744" s="29"/>
      <c r="G4744" s="29"/>
      <c r="H4744" s="29"/>
      <c r="I4744" s="29"/>
      <c r="J4744" s="29"/>
      <c r="K4744" s="29"/>
      <c r="L4744" s="29"/>
      <c r="M4744" s="29"/>
      <c r="N4744" s="29"/>
      <c r="O4744" s="29"/>
      <c r="P4744" s="29"/>
      <c r="Q4744" s="19"/>
      <c r="R4744" s="11"/>
    </row>
    <row r="4745" s="1" customFormat="1" ht="9.95" customHeight="1" spans="1:18">
      <c r="A4745" s="7"/>
      <c r="B4745" s="12"/>
      <c r="C4745" s="30"/>
      <c r="D4745" s="31"/>
      <c r="E4745" s="31"/>
      <c r="F4745" s="31"/>
      <c r="G4745" s="31"/>
      <c r="H4745" s="31"/>
      <c r="I4745" s="31"/>
      <c r="J4745" s="31"/>
      <c r="K4745" s="31"/>
      <c r="L4745" s="31"/>
      <c r="M4745" s="31"/>
      <c r="N4745" s="31"/>
      <c r="O4745" s="31"/>
      <c r="P4745" s="32"/>
      <c r="Q4745" s="19"/>
      <c r="R4745" s="11"/>
    </row>
    <row r="4746" s="1" customFormat="1" ht="21.95" customHeight="1" spans="1:18">
      <c r="A4746" s="7"/>
      <c r="B4746" s="12"/>
      <c r="C4746" s="33"/>
      <c r="D4746" s="34" t="s">
        <v>713</v>
      </c>
      <c r="E4746" s="20" t="s">
        <v>714</v>
      </c>
      <c r="F4746" s="35" t="str">
        <f>"Level - "&amp;IFERROR(VLOOKUP(F4737,FLN!$A$4:$K$103,9,0),"")</f>
        <v>Level - </v>
      </c>
      <c r="G4746" s="36"/>
      <c r="H4746" s="37" t="s">
        <v>715</v>
      </c>
      <c r="I4746" s="20"/>
      <c r="J4746" s="35" t="str">
        <f>"Level - "&amp;IFERROR(VLOOKUP(F4737,FLN!$A$4:$K$103,11,0),"")</f>
        <v>Level - </v>
      </c>
      <c r="K4746" s="36"/>
      <c r="L4746" s="37" t="s">
        <v>408</v>
      </c>
      <c r="M4746" s="20"/>
      <c r="N4746" s="35" t="str">
        <f>"Level - "&amp;IFERROR(VLOOKUP(F4737,FLN!$A$4:$K$103,10,0),"")</f>
        <v>Level - </v>
      </c>
      <c r="O4746" s="36"/>
      <c r="P4746" s="19"/>
      <c r="Q4746" s="19"/>
      <c r="R4746" s="11"/>
    </row>
    <row r="4747" s="1" customFormat="1" ht="21.95" customHeight="1" spans="1:18">
      <c r="A4747" s="7"/>
      <c r="B4747" s="12"/>
      <c r="C4747" s="33"/>
      <c r="D4747" s="38"/>
      <c r="E4747" s="20" t="s">
        <v>716</v>
      </c>
      <c r="F4747" s="18" t="str">
        <f ca="1">IF(L4761&gt;197,"PERFORMED WELL","")</f>
        <v/>
      </c>
      <c r="G4747" s="18"/>
      <c r="H4747" s="18"/>
      <c r="I4747" s="18"/>
      <c r="J4747" s="18"/>
      <c r="K4747" s="18"/>
      <c r="L4747" s="18"/>
      <c r="M4747" s="18"/>
      <c r="N4747" s="18"/>
      <c r="O4747" s="18"/>
      <c r="P4747" s="19"/>
      <c r="Q4747" s="19"/>
      <c r="R4747" s="11"/>
    </row>
    <row r="4748" s="1" customFormat="1" ht="9.95" customHeight="1" spans="1:18">
      <c r="A4748" s="7"/>
      <c r="B4748" s="12"/>
      <c r="C4748" s="39"/>
      <c r="D4748" s="40"/>
      <c r="E4748" s="40"/>
      <c r="F4748" s="40"/>
      <c r="G4748" s="40"/>
      <c r="H4748" s="40"/>
      <c r="I4748" s="40"/>
      <c r="J4748" s="40"/>
      <c r="K4748" s="40"/>
      <c r="L4748" s="40"/>
      <c r="M4748" s="40"/>
      <c r="N4748" s="40"/>
      <c r="O4748" s="40"/>
      <c r="P4748" s="41"/>
      <c r="Q4748" s="19"/>
      <c r="R4748" s="11"/>
    </row>
    <row r="4749" s="1" customFormat="1" ht="9.95" customHeight="1" spans="1:18">
      <c r="A4749" s="7"/>
      <c r="B4749" s="12"/>
      <c r="C4749" s="29"/>
      <c r="D4749" s="29"/>
      <c r="E4749" s="29"/>
      <c r="F4749" s="29"/>
      <c r="G4749" s="29"/>
      <c r="H4749" s="29"/>
      <c r="I4749" s="29"/>
      <c r="J4749" s="29"/>
      <c r="K4749" s="29"/>
      <c r="L4749" s="29"/>
      <c r="M4749" s="29"/>
      <c r="N4749" s="29"/>
      <c r="O4749" s="29"/>
      <c r="P4749" s="29"/>
      <c r="Q4749" s="19"/>
      <c r="R4749" s="11"/>
    </row>
    <row r="4750" s="1" customFormat="1" ht="9.95" customHeight="1" spans="1:18">
      <c r="A4750" s="7"/>
      <c r="B4750" s="12"/>
      <c r="C4750" s="30"/>
      <c r="D4750" s="31"/>
      <c r="E4750" s="31"/>
      <c r="F4750" s="31"/>
      <c r="G4750" s="31"/>
      <c r="H4750" s="31"/>
      <c r="I4750" s="31"/>
      <c r="J4750" s="31"/>
      <c r="K4750" s="31"/>
      <c r="L4750" s="31"/>
      <c r="M4750" s="31"/>
      <c r="N4750" s="31"/>
      <c r="O4750" s="31"/>
      <c r="P4750" s="32"/>
      <c r="Q4750" s="19"/>
      <c r="R4750" s="11"/>
    </row>
    <row r="4751" s="1" customFormat="1" ht="21.95" customHeight="1" spans="1:18">
      <c r="A4751" s="7"/>
      <c r="B4751" s="12"/>
      <c r="C4751" s="33"/>
      <c r="D4751" s="35"/>
      <c r="E4751" s="24"/>
      <c r="F4751" s="42" t="s">
        <v>717</v>
      </c>
      <c r="G4751" s="42"/>
      <c r="H4751" s="42"/>
      <c r="I4751" s="42"/>
      <c r="J4751" s="42"/>
      <c r="K4751" s="42"/>
      <c r="L4751" s="43"/>
      <c r="M4751" s="44"/>
      <c r="N4751" s="29"/>
      <c r="O4751" s="29"/>
      <c r="P4751" s="19"/>
      <c r="Q4751" s="19"/>
      <c r="R4751" s="11"/>
    </row>
    <row r="4752" s="1" customFormat="1" ht="21.95" customHeight="1" spans="1:18">
      <c r="A4752" s="7"/>
      <c r="B4752" s="12"/>
      <c r="C4752" s="33"/>
      <c r="D4752" s="45"/>
      <c r="E4752" s="46"/>
      <c r="F4752" s="47" t="s">
        <v>541</v>
      </c>
      <c r="G4752" s="47" t="s">
        <v>542</v>
      </c>
      <c r="H4752" s="47" t="s">
        <v>543</v>
      </c>
      <c r="I4752" s="47" t="s">
        <v>544</v>
      </c>
      <c r="J4752" s="47" t="s">
        <v>561</v>
      </c>
      <c r="K4752" s="48" t="s">
        <v>750</v>
      </c>
      <c r="L4752" s="47" t="s">
        <v>382</v>
      </c>
      <c r="M4752" s="49" t="s">
        <v>546</v>
      </c>
      <c r="N4752" s="29"/>
      <c r="O4752" s="29"/>
      <c r="P4752" s="19"/>
      <c r="Q4752" s="19"/>
      <c r="R4752" s="11"/>
    </row>
    <row r="4753" s="1" customFormat="1" ht="21.95" customHeight="1" spans="1:18">
      <c r="A4753" s="7"/>
      <c r="B4753" s="12"/>
      <c r="C4753" s="33"/>
      <c r="D4753" s="45" t="s">
        <v>652</v>
      </c>
      <c r="E4753" s="46"/>
      <c r="F4753" s="50">
        <v>10</v>
      </c>
      <c r="G4753" s="50">
        <v>10</v>
      </c>
      <c r="H4753" s="50">
        <v>10</v>
      </c>
      <c r="I4753" s="50">
        <v>10</v>
      </c>
      <c r="J4753" s="50">
        <v>60</v>
      </c>
      <c r="K4753" s="51"/>
      <c r="L4753" s="50">
        <v>100</v>
      </c>
      <c r="M4753" s="49"/>
      <c r="N4753" s="29"/>
      <c r="O4753" s="29"/>
      <c r="P4753" s="19"/>
      <c r="Q4753" s="19"/>
      <c r="R4753" s="11"/>
    </row>
    <row r="4754" s="1" customFormat="1" ht="21.95" customHeight="1" spans="1:18">
      <c r="A4754" s="7"/>
      <c r="B4754" s="12"/>
      <c r="C4754" s="33"/>
      <c r="D4754" s="52" t="s">
        <v>751</v>
      </c>
      <c r="E4754" s="53"/>
      <c r="F4754" s="54" t="str">
        <f ca="1">IFERROR(VLOOKUP(F4737,'RR-3.1-5TH'!$A$12:'RR-3.1-5TH'!$BN$111,9,0),"")</f>
        <v/>
      </c>
      <c r="G4754" s="54" t="str">
        <f ca="1">IFERROR(VLOOKUP(F4737,'RR-3.1-5TH'!$A$12:'RR-3.1-5TH'!$BN$111,10,0),"")</f>
        <v/>
      </c>
      <c r="H4754" s="54" t="str">
        <f ca="1">IFERROR(VLOOKUP(F4737,'RR-3.1-5TH'!$A$12:'RR-3.1-5TH'!$BN$111,11,0),"")</f>
        <v/>
      </c>
      <c r="I4754" s="54" t="str">
        <f ca="1">IFERROR(VLOOKUP(F4737,'RR-3.1-5TH'!$A$12:'RR-3.1-5TH'!$BN$111,12,0),"")</f>
        <v/>
      </c>
      <c r="J4754" s="54" t="str">
        <f ca="1">IFERROR(VLOOKUP(F4737,'RR-3.1-5TH'!$A$12:'RR-3.1-5TH'!$BN$111,13,0),"")</f>
        <v/>
      </c>
      <c r="K4754" s="54" t="str">
        <f ca="1">IFERROR(VLOOKUP(F4737,'RR-3.1-5TH'!$A$12:'RR-3.1-5TH'!$BN$111,14,0),"")</f>
        <v/>
      </c>
      <c r="L4754" s="55">
        <f ca="1" t="shared" ref="L4754:L4759" si="249">SUM(F4754,G4754,H4754,I4754,J4754,K4754)</f>
        <v>0</v>
      </c>
      <c r="M4754" s="56" t="str">
        <f ca="1">IF(F4737&gt;ENTRY!$D$24,"",IF(L4754=0,"Ab",IF(L4754&gt;80,"A",IF(L4754&gt;60,"B",IF(L4754&gt;44,"C",IF(L4754&gt;=33,"D",IF(L4754&lt;=32,"E","")))))))</f>
        <v/>
      </c>
      <c r="N4754" s="57" t="s">
        <v>729</v>
      </c>
      <c r="O4754" s="58"/>
      <c r="P4754" s="59"/>
      <c r="Q4754" s="19"/>
      <c r="R4754" s="11"/>
    </row>
    <row r="4755" s="1" customFormat="1" ht="21.95" customHeight="1" spans="1:18">
      <c r="A4755" s="7"/>
      <c r="B4755" s="12"/>
      <c r="C4755" s="33"/>
      <c r="D4755" s="52" t="s">
        <v>513</v>
      </c>
      <c r="E4755" s="53"/>
      <c r="F4755" s="54" t="str">
        <f ca="1">IFERROR(VLOOKUP(F4737,'RR-3.1-5TH'!$A$12:'RR-3.1-5TH'!$BN$111,17,0),"")</f>
        <v/>
      </c>
      <c r="G4755" s="54" t="str">
        <f ca="1">IFERROR(VLOOKUP(F4737,'RR-3.1-5TH'!$A$12:'RR-3.1-5TH'!$BN$111,18,0),"")</f>
        <v/>
      </c>
      <c r="H4755" s="54" t="str">
        <f ca="1">IFERROR(VLOOKUP(F4737,'RR-3.1-5TH'!$A$12:'RR-3.1-5TH'!$BN$111,19,0),"")</f>
        <v/>
      </c>
      <c r="I4755" s="54" t="str">
        <f ca="1">IFERROR(VLOOKUP(F4737,'RR-3.1-5TH'!$A$12:'RR-3.1-5TH'!$BN$111,20,0),"")</f>
        <v/>
      </c>
      <c r="J4755" s="54" t="str">
        <f ca="1">IFERROR(VLOOKUP(F4737,'RR-3.1-5TH'!$A$12:'RR-3.1-5TH'!$BN$111,21,0),"")</f>
        <v/>
      </c>
      <c r="K4755" s="54" t="str">
        <f ca="1">IFERROR(VLOOKUP(F4737,'RR-3.1-5TH'!$A$12:'RR-3.1-5TH'!$BN$111,22,0),"")</f>
        <v/>
      </c>
      <c r="L4755" s="55">
        <f ca="1" t="shared" si="249"/>
        <v>0</v>
      </c>
      <c r="M4755" s="56" t="str">
        <f ca="1">IF(F4737&gt;ENTRY!$D$24,"",IF(L4755=0,"Ab",IF(L4755&gt;80,"A",IF(L4755&gt;60,"B",IF(L4755&gt;44,"C",IF(L4755&gt;=33,"D",IF(L4755&lt;=32,"E","")))))))</f>
        <v/>
      </c>
      <c r="N4755" s="58"/>
      <c r="O4755" s="58"/>
      <c r="P4755" s="59"/>
      <c r="Q4755" s="19"/>
      <c r="R4755" s="11"/>
    </row>
    <row r="4756" s="1" customFormat="1" ht="21.95" customHeight="1" spans="1:18">
      <c r="A4756" s="7"/>
      <c r="B4756" s="12"/>
      <c r="C4756" s="33"/>
      <c r="D4756" s="52" t="s">
        <v>718</v>
      </c>
      <c r="E4756" s="53"/>
      <c r="F4756" s="54" t="str">
        <f ca="1">IFERROR(VLOOKUP(F4737,'RR-3.1-5TH'!$A$12:'RR-3.1-5TH'!$BN$111,25,0),"")</f>
        <v/>
      </c>
      <c r="G4756" s="54" t="str">
        <f ca="1">IFERROR(VLOOKUP(F4737,'RR-3.1-5TH'!$A$12:'RR-3.1-5TH'!$BN$111,26,0),"")</f>
        <v/>
      </c>
      <c r="H4756" s="54" t="str">
        <f ca="1">IFERROR(VLOOKUP(F4737,'RR-3.1-5TH'!$A$12:'RR-3.1-5TH'!$BN$111,27,0),"")</f>
        <v/>
      </c>
      <c r="I4756" s="54" t="str">
        <f ca="1">IFERROR(VLOOKUP(F4737,'RR-3.1-5TH'!$A$12:'RR-3.1-5TH'!$BN$111,28,0),"")</f>
        <v/>
      </c>
      <c r="J4756" s="54" t="str">
        <f ca="1">IFERROR(VLOOKUP(F4737,'RR-3.1-5TH'!$A$12:'RR-3.1-5TH'!$BN$111,29,0),"")</f>
        <v/>
      </c>
      <c r="K4756" s="54" t="str">
        <f ca="1">IFERROR(VLOOKUP(F4737,'RR-3.1-5TH'!$A$12:'RR-3.1-5TH'!$BN$111,30,0),"")</f>
        <v/>
      </c>
      <c r="L4756" s="55">
        <f ca="1" t="shared" si="249"/>
        <v>0</v>
      </c>
      <c r="M4756" s="56" t="str">
        <f ca="1">IF(F4737&gt;ENTRY!$D$24,"",IF(L4756=0,"Ab",IF(L4756&gt;80,"A",IF(L4756&gt;60,"B",IF(L4756&gt;44,"C",IF(L4756&gt;=33,"D",IF(L4756&lt;=32,"E","")))))))</f>
        <v/>
      </c>
      <c r="N4756" s="29"/>
      <c r="O4756" s="29"/>
      <c r="P4756" s="19"/>
      <c r="Q4756" s="19"/>
      <c r="R4756" s="11"/>
    </row>
    <row r="4757" s="1" customFormat="1" ht="21.95" customHeight="1" spans="1:18">
      <c r="A4757" s="7"/>
      <c r="B4757" s="12"/>
      <c r="C4757" s="33"/>
      <c r="D4757" s="52" t="s">
        <v>719</v>
      </c>
      <c r="E4757" s="53"/>
      <c r="F4757" s="54" t="str">
        <f ca="1">IFERROR(VLOOKUP(F4737,'RR-3.1-5TH'!$A$12:'RR-3.1-5TH'!$BN$111,33,0),"")</f>
        <v/>
      </c>
      <c r="G4757" s="54" t="str">
        <f ca="1">IFERROR(VLOOKUP(F4737,'RR-3.1-5TH'!$A$12:'RR-3.1-5TH'!$BN$111,34,0),"")</f>
        <v/>
      </c>
      <c r="H4757" s="54" t="str">
        <f ca="1">IFERROR(VLOOKUP(F4737,'RR-3.1-5TH'!$A$12:'RR-3.1-5TH'!$BN$111,35,0),"")</f>
        <v/>
      </c>
      <c r="I4757" s="54" t="str">
        <f ca="1">IFERROR(VLOOKUP(F4737,'RR-3.1-5TH'!$A$12:'RR-3.1-5TH'!$BN$111,36,0),"")</f>
        <v/>
      </c>
      <c r="J4757" s="54" t="str">
        <f ca="1">IFERROR(VLOOKUP(F4737,'RR-3.1-5TH'!$A$12:'RR-3.1-5TH'!$BN$111,37,0),"")</f>
        <v/>
      </c>
      <c r="K4757" s="54" t="str">
        <f ca="1">IFERROR(VLOOKUP(F4737,'RR-3.1-5TH'!$A$12:'RR-3.1-5TH'!$BN$111,38,0),"")</f>
        <v/>
      </c>
      <c r="L4757" s="55">
        <f ca="1" t="shared" si="249"/>
        <v>0</v>
      </c>
      <c r="M4757" s="56" t="str">
        <f ca="1">IF(F4737&gt;ENTRY!$D$24,"",IF(L4757=0,"Ab",IF(L4757&gt;80,"A",IF(L4757&gt;60,"B",IF(L4757&gt;44,"C",IF(L4757&gt;=33,"D",IF(L4757&lt;=32,"E","")))))))</f>
        <v/>
      </c>
      <c r="N4757" s="29"/>
      <c r="O4757" s="29"/>
      <c r="P4757" s="19"/>
      <c r="Q4757" s="19"/>
      <c r="R4757" s="11"/>
    </row>
    <row r="4758" s="1" customFormat="1" ht="21.95" customHeight="1" spans="1:18">
      <c r="A4758" s="7"/>
      <c r="B4758" s="12"/>
      <c r="C4758" s="33"/>
      <c r="D4758" s="52" t="s">
        <v>548</v>
      </c>
      <c r="E4758" s="53"/>
      <c r="F4758" s="54" t="str">
        <f ca="1">IFERROR(VLOOKUP(F4737,'RR-3.1-5TH'!$A$12:'RR-3.1-5TH'!$BN$111,41,0),"")</f>
        <v/>
      </c>
      <c r="G4758" s="54" t="str">
        <f ca="1">IFERROR(VLOOKUP(F4737,'RR-3.1-5TH'!$A$12:'RR-3.1-5TH'!$BN$111,42,0),"")</f>
        <v/>
      </c>
      <c r="H4758" s="54" t="str">
        <f ca="1">IFERROR(VLOOKUP(F4737,'RR-3.1-5TH'!$A$12:'RR-3.1-5TH'!$BN$111,43,0),"")</f>
        <v/>
      </c>
      <c r="I4758" s="54" t="str">
        <f ca="1">IFERROR(VLOOKUP(F4737,'RR-3.1-5TH'!$A$12:'RR-3.1-5TH'!$BN$111,44,0),"")</f>
        <v/>
      </c>
      <c r="J4758" s="54" t="str">
        <f ca="1">IFERROR(VLOOKUP(F4737,'RR-3.1-5TH'!$A$12:'RR-3.1-5TH'!$BN$111,45,0),"")</f>
        <v/>
      </c>
      <c r="K4758" s="54" t="str">
        <f ca="1">IFERROR(VLOOKUP(F4737,'RR-3.1-5TH'!$A$12:'RR-3.1-5TH'!$BN$111,46,0),"")</f>
        <v/>
      </c>
      <c r="L4758" s="55">
        <f ca="1" t="shared" si="249"/>
        <v>0</v>
      </c>
      <c r="M4758" s="56" t="str">
        <f ca="1">IF(F4737&gt;ENTRY!$D$24,"",IF(L4758=0,"Ab",IF(L4758&gt;80,"A",IF(L4758&gt;60,"B",IF(L4758&gt;44,"C",IF(L4758&gt;=33,"D",IF(L4758&lt;=32,"E","")))))))</f>
        <v/>
      </c>
      <c r="N4758" s="29"/>
      <c r="O4758" s="29"/>
      <c r="P4758" s="19"/>
      <c r="Q4758" s="19"/>
      <c r="R4758" s="11"/>
    </row>
    <row r="4759" s="1" customFormat="1" ht="21.95" customHeight="1" spans="1:18">
      <c r="A4759" s="7"/>
      <c r="B4759" s="12"/>
      <c r="C4759" s="33"/>
      <c r="D4759" s="52" t="s">
        <v>549</v>
      </c>
      <c r="E4759" s="53"/>
      <c r="F4759" s="54" t="str">
        <f ca="1">IFERROR(VLOOKUP(F4737,'RR-3.1-5TH'!$A$12:'RR-3.1-5TH'!$BN$111,49,0),"")</f>
        <v/>
      </c>
      <c r="G4759" s="54" t="str">
        <f ca="1">IFERROR(VLOOKUP(F4737,'RR-3.1-5TH'!$A$12:'RR-3.1-5TH'!$BN$111,50,0),"")</f>
        <v/>
      </c>
      <c r="H4759" s="54" t="str">
        <f ca="1">IFERROR(VLOOKUP(F4737,'RR-3.1-5TH'!$A$12:'RR-3.1-5TH'!$BN$111,51,0),"")</f>
        <v/>
      </c>
      <c r="I4759" s="54" t="str">
        <f ca="1">IFERROR(VLOOKUP(F4737,'RR-3.1-5TH'!$A$12:'RR-3.1-5TH'!$BN$111,52,0),"")</f>
        <v/>
      </c>
      <c r="J4759" s="54" t="str">
        <f ca="1">IFERROR(VLOOKUP(F4737,'RR-3.1-5TH'!$A$12:'RR-3.1-5TH'!$BN$111,53,0),"")</f>
        <v/>
      </c>
      <c r="K4759" s="54" t="str">
        <f ca="1">IFERROR(VLOOKUP(F4737,'RR-3.1-5TH'!$A$12:'RR-3.1-5TH'!$BN$111,54,0),"")</f>
        <v/>
      </c>
      <c r="L4759" s="55">
        <f ca="1" t="shared" si="249"/>
        <v>0</v>
      </c>
      <c r="M4759" s="56" t="str">
        <f ca="1">IF(F4737&gt;ENTRY!$D$24,"",IF(L4759=0,"Ab",IF(L4759&gt;80,"A",IF(L4759&gt;60,"B",IF(L4759&gt;44,"C",IF(L4759&gt;=33,"D",IF(L4759&lt;=32,"E","")))))))</f>
        <v/>
      </c>
      <c r="N4759" s="57" t="s">
        <v>752</v>
      </c>
      <c r="O4759" s="58"/>
      <c r="P4759" s="59"/>
      <c r="Q4759" s="19"/>
      <c r="R4759" s="11"/>
    </row>
    <row r="4760" s="1" customFormat="1" ht="21.95" customHeight="1" spans="1:18">
      <c r="A4760" s="7"/>
      <c r="B4760" s="12"/>
      <c r="C4760" s="33"/>
      <c r="D4760" s="52" t="s">
        <v>753</v>
      </c>
      <c r="E4760" s="53"/>
      <c r="F4760" s="60"/>
      <c r="G4760" s="54"/>
      <c r="H4760" s="54"/>
      <c r="I4760" s="54"/>
      <c r="J4760" s="54"/>
      <c r="K4760" s="54"/>
      <c r="L4760" s="55">
        <f t="shared" ref="L4760" si="250">SUM(G4760:K4760)</f>
        <v>0</v>
      </c>
      <c r="M4760" s="56" t="str">
        <f>IF(F4737&gt;ENTRY!$D$24,"",IF(L4760=0,"",IF(L4760&gt;79,"A",IF(L4760&gt;59,"B",IF(L4760&gt;44,"C",IF(L4760&gt;=33,"D",IF(L4760&lt;=32,"E","")))))))</f>
        <v/>
      </c>
      <c r="N4760" s="58"/>
      <c r="O4760" s="58"/>
      <c r="P4760" s="59"/>
      <c r="Q4760" s="19"/>
      <c r="R4760" s="11"/>
    </row>
    <row r="4761" s="1" customFormat="1" ht="21.95" customHeight="1" spans="1:18">
      <c r="A4761" s="7"/>
      <c r="B4761" s="12"/>
      <c r="C4761" s="33"/>
      <c r="D4761" s="45" t="s">
        <v>382</v>
      </c>
      <c r="E4761" s="46"/>
      <c r="F4761" s="54">
        <f ca="1" t="shared" ref="F4761:L4761" si="251">IFERROR(SUM(F4754:F4760),"")</f>
        <v>0</v>
      </c>
      <c r="G4761" s="54">
        <f ca="1" t="shared" si="251"/>
        <v>0</v>
      </c>
      <c r="H4761" s="54">
        <f ca="1" t="shared" si="251"/>
        <v>0</v>
      </c>
      <c r="I4761" s="54">
        <f ca="1" t="shared" si="251"/>
        <v>0</v>
      </c>
      <c r="J4761" s="54">
        <f ca="1" t="shared" si="251"/>
        <v>0</v>
      </c>
      <c r="K4761" s="54">
        <f ca="1" t="shared" si="251"/>
        <v>0</v>
      </c>
      <c r="L4761" s="55">
        <f ca="1" t="shared" si="251"/>
        <v>0</v>
      </c>
      <c r="M4761" s="61" t="str">
        <f ca="1">IF(F4737&gt;ENTRY!$D$24,"",IF(N4762="Ab","Ab",IF(N4762&gt;79.5,"A",IF(N4762&gt;59.5,"B",IF(N4762&gt;44.5,"C",IF(N4762&gt;=33,"D",IF(N4762&lt;33,"E","")))))))</f>
        <v/>
      </c>
      <c r="N4761" s="62"/>
      <c r="O4761" s="58"/>
      <c r="P4761" s="59"/>
      <c r="Q4761" s="19"/>
      <c r="R4761" s="11"/>
    </row>
    <row r="4762" s="1" customFormat="1" ht="21.95" customHeight="1" spans="1:18">
      <c r="A4762" s="7"/>
      <c r="B4762" s="12"/>
      <c r="C4762" s="33"/>
      <c r="D4762" s="63" t="s">
        <v>721</v>
      </c>
      <c r="E4762" s="63"/>
      <c r="F4762" s="63"/>
      <c r="G4762" s="63"/>
      <c r="H4762" s="63"/>
      <c r="I4762" s="63"/>
      <c r="J4762" s="63"/>
      <c r="K4762" s="63"/>
      <c r="L4762" s="63"/>
      <c r="M4762" s="63"/>
      <c r="N4762" s="64">
        <f ca="1">IF(L4761="Ab","Ab",L4761/6)</f>
        <v>0</v>
      </c>
      <c r="O4762" s="65"/>
      <c r="P4762" s="19"/>
      <c r="Q4762" s="19"/>
      <c r="R4762" s="11"/>
    </row>
    <row r="4763" s="1" customFormat="1" ht="21.95" customHeight="1" spans="1:18">
      <c r="A4763" s="7"/>
      <c r="B4763" s="12"/>
      <c r="C4763" s="33"/>
      <c r="D4763" s="29" t="s">
        <v>716</v>
      </c>
      <c r="E4763" s="18" t="str">
        <f>IFERROR(VLOOKUP(F4737,'1to4-2.1-RR'!$A$12:$BG$111,57,0),"")</f>
        <v/>
      </c>
      <c r="F4763" s="18"/>
      <c r="G4763" s="18"/>
      <c r="H4763" s="18"/>
      <c r="I4763" s="18"/>
      <c r="J4763" s="18"/>
      <c r="K4763" s="18"/>
      <c r="L4763" s="18"/>
      <c r="M4763" s="18"/>
      <c r="N4763" s="29"/>
      <c r="O4763" s="29"/>
      <c r="P4763" s="19"/>
      <c r="Q4763" s="19"/>
      <c r="R4763" s="11"/>
    </row>
    <row r="4764" s="1" customFormat="1" ht="9.95" customHeight="1" spans="1:18">
      <c r="A4764" s="7"/>
      <c r="B4764" s="12"/>
      <c r="C4764" s="33"/>
      <c r="D4764" s="29"/>
      <c r="E4764" s="29"/>
      <c r="F4764" s="29"/>
      <c r="G4764" s="29"/>
      <c r="H4764" s="29"/>
      <c r="I4764" s="29"/>
      <c r="J4764" s="29"/>
      <c r="K4764" s="29"/>
      <c r="L4764" s="29"/>
      <c r="M4764" s="29"/>
      <c r="N4764" s="29"/>
      <c r="O4764" s="29"/>
      <c r="P4764" s="19"/>
      <c r="Q4764" s="19"/>
      <c r="R4764" s="11"/>
    </row>
    <row r="4765" s="1" customFormat="1" ht="36" spans="1:18">
      <c r="A4765" s="7"/>
      <c r="B4765" s="12"/>
      <c r="C4765" s="33"/>
      <c r="D4765" s="66" t="s">
        <v>576</v>
      </c>
      <c r="E4765" s="67" t="s">
        <v>754</v>
      </c>
      <c r="F4765" s="47" t="str">
        <f>IF(F4737&gt;ENTRY!$D$24,"",IFERROR(VLOOKUP(F4737,PASHEET!$A$4:$CJ$103,88,0),""))</f>
        <v/>
      </c>
      <c r="G4765" s="67" t="s">
        <v>755</v>
      </c>
      <c r="H4765" s="47" t="str">
        <f>IF(F4737&gt;ENTRY!$D$24,"",IFERROR(VLOOKUP(F4737,PASHEET!$A$4:$CJ$103,87,0),""))</f>
        <v/>
      </c>
      <c r="I4765" s="68" t="s">
        <v>756</v>
      </c>
      <c r="J4765" s="69" t="str">
        <f>IF(F4737&gt;ENTRY!$D$24,"",IFERROR(IF(F4737&gt;0,H4765/F4765*100),""))</f>
        <v/>
      </c>
      <c r="K4765" s="60" t="s">
        <v>757</v>
      </c>
      <c r="L4765" s="70" t="str">
        <f ca="1">IF(F4737&gt;ENTRY!$D$24,"",IFERROR(L4761/600*100,""))</f>
        <v/>
      </c>
      <c r="M4765" s="47" t="str">
        <f ca="1">IF(F4737&gt;ENTRY!$D$24,"",IFERROR(L4761&amp;" / "&amp;"600",""))</f>
        <v/>
      </c>
      <c r="N4765" s="29"/>
      <c r="O4765" s="29"/>
      <c r="P4765" s="19"/>
      <c r="Q4765" s="19"/>
      <c r="R4765" s="11"/>
    </row>
    <row r="4766" s="1" customFormat="1" ht="9.95" customHeight="1" spans="1:18">
      <c r="A4766" s="7"/>
      <c r="B4766" s="12"/>
      <c r="C4766" s="39"/>
      <c r="D4766" s="40"/>
      <c r="E4766" s="40"/>
      <c r="F4766" s="40"/>
      <c r="G4766" s="40"/>
      <c r="H4766" s="40"/>
      <c r="I4766" s="40"/>
      <c r="J4766" s="40"/>
      <c r="K4766" s="40"/>
      <c r="L4766" s="40"/>
      <c r="M4766" s="40"/>
      <c r="N4766" s="40"/>
      <c r="O4766" s="40"/>
      <c r="P4766" s="41"/>
      <c r="Q4766" s="19"/>
      <c r="R4766" s="11"/>
    </row>
    <row r="4767" s="1" customFormat="1" ht="9.95" customHeight="1" spans="1:18">
      <c r="A4767" s="7"/>
      <c r="B4767" s="12"/>
      <c r="C4767" s="71"/>
      <c r="D4767" s="71"/>
      <c r="E4767" s="71"/>
      <c r="F4767" s="29"/>
      <c r="G4767" s="71"/>
      <c r="H4767" s="71"/>
      <c r="I4767" s="71"/>
      <c r="J4767" s="71"/>
      <c r="K4767" s="71"/>
      <c r="L4767" s="71"/>
      <c r="M4767" s="71"/>
      <c r="N4767" s="71"/>
      <c r="O4767" s="71"/>
      <c r="P4767" s="71"/>
      <c r="Q4767" s="19"/>
      <c r="R4767" s="11"/>
    </row>
    <row r="4768" s="1" customFormat="1" ht="9.95" customHeight="1" spans="1:18">
      <c r="A4768" s="7"/>
      <c r="B4768" s="12"/>
      <c r="C4768" s="29"/>
      <c r="D4768" s="29"/>
      <c r="E4768" s="29"/>
      <c r="F4768" s="72"/>
      <c r="G4768" s="29"/>
      <c r="H4768" s="29"/>
      <c r="I4768" s="29"/>
      <c r="J4768" s="29"/>
      <c r="K4768" s="29"/>
      <c r="L4768" s="29"/>
      <c r="M4768" s="29"/>
      <c r="N4768" s="29"/>
      <c r="O4768" s="29"/>
      <c r="P4768" s="29"/>
      <c r="Q4768" s="19"/>
      <c r="R4768" s="11"/>
    </row>
    <row r="4769" s="1" customFormat="1" ht="9.95" customHeight="1" spans="1:19">
      <c r="A4769" s="7"/>
      <c r="B4769" s="12"/>
      <c r="C4769" s="30"/>
      <c r="D4769" s="31"/>
      <c r="E4769" s="31"/>
      <c r="F4769" s="31"/>
      <c r="G4769" s="31"/>
      <c r="H4769" s="31"/>
      <c r="I4769" s="31"/>
      <c r="J4769" s="31"/>
      <c r="K4769" s="31"/>
      <c r="L4769" s="31"/>
      <c r="M4769" s="31"/>
      <c r="N4769" s="31"/>
      <c r="O4769" s="31"/>
      <c r="P4769" s="32"/>
      <c r="Q4769" s="19"/>
      <c r="R4769" s="11"/>
    </row>
    <row r="4770" s="1" customFormat="1" ht="21.95" customHeight="1" spans="1:19">
      <c r="A4770" s="7"/>
      <c r="B4770" s="12"/>
      <c r="C4770" s="73" t="s">
        <v>7</v>
      </c>
      <c r="D4770" s="13"/>
      <c r="E4770" s="13"/>
      <c r="F4770" s="13"/>
      <c r="G4770" s="13"/>
      <c r="H4770" s="13"/>
      <c r="I4770" s="13"/>
      <c r="J4770" s="13"/>
      <c r="K4770" s="13"/>
      <c r="L4770" s="13"/>
      <c r="M4770" s="13"/>
      <c r="N4770" s="13"/>
      <c r="O4770" s="13"/>
      <c r="P4770" s="74"/>
      <c r="Q4770" s="19"/>
      <c r="R4770" s="11"/>
      <c r="S4770" s="2"/>
    </row>
    <row r="4771" s="1" customFormat="1" ht="21.95" customHeight="1" spans="1:19">
      <c r="A4771" s="7"/>
      <c r="B4771" s="12"/>
      <c r="C4771" s="33"/>
      <c r="D4771" s="29"/>
      <c r="E4771" s="29"/>
      <c r="F4771" s="29"/>
      <c r="G4771" s="29"/>
      <c r="H4771" s="29"/>
      <c r="I4771" s="29"/>
      <c r="J4771" s="29"/>
      <c r="K4771" s="29"/>
      <c r="L4771" s="29"/>
      <c r="M4771" s="29"/>
      <c r="N4771" s="29"/>
      <c r="O4771" s="29"/>
      <c r="P4771" s="19"/>
      <c r="Q4771" s="19"/>
      <c r="R4771" s="11"/>
    </row>
    <row r="4772" s="1" customFormat="1" ht="21.95" customHeight="1" spans="1:19">
      <c r="A4772" s="7"/>
      <c r="B4772" s="12"/>
      <c r="C4772" s="75" t="str">
        <f>"SESSION-"&amp;ENTRY!$D$11</f>
        <v>SESSION-2026-27</v>
      </c>
      <c r="D4772" s="15"/>
      <c r="E4772" s="15"/>
      <c r="F4772" s="15"/>
      <c r="G4772" s="15"/>
      <c r="H4772" s="15"/>
      <c r="I4772" s="15"/>
      <c r="J4772" s="15"/>
      <c r="K4772" s="15"/>
      <c r="L4772" s="15"/>
      <c r="M4772" s="15"/>
      <c r="N4772" s="15"/>
      <c r="O4772" s="15"/>
      <c r="P4772" s="76"/>
      <c r="Q4772" s="19"/>
      <c r="R4772" s="11"/>
    </row>
    <row r="4773" s="1" customFormat="1" ht="18" customHeight="1" spans="1:19">
      <c r="A4773" s="7"/>
      <c r="B4773" s="12"/>
      <c r="C4773" s="33"/>
      <c r="D4773" s="29"/>
      <c r="E4773" s="29"/>
      <c r="F4773" s="29"/>
      <c r="G4773" s="29"/>
      <c r="H4773" s="29"/>
      <c r="I4773" s="29"/>
      <c r="J4773" s="29"/>
      <c r="K4773" s="29"/>
      <c r="L4773" s="29"/>
      <c r="M4773" s="29"/>
      <c r="N4773" s="29"/>
      <c r="O4773" s="29"/>
      <c r="P4773" s="19"/>
      <c r="Q4773" s="19"/>
      <c r="R4773" s="11"/>
    </row>
    <row r="4774" s="1" customFormat="1" ht="21.95" customHeight="1" spans="1:19">
      <c r="A4774" s="7"/>
      <c r="B4774" s="12"/>
      <c r="C4774" s="33"/>
      <c r="D4774" s="77" t="s">
        <v>758</v>
      </c>
      <c r="E4774" s="77"/>
      <c r="F4774" s="78" t="str">
        <f>IFERROR(PROPER(VLOOKUP(F4737,STUDENT!$A$2:$BP$101,5,0)),"")</f>
        <v/>
      </c>
      <c r="G4774" s="78"/>
      <c r="H4774" s="78"/>
      <c r="I4774" s="78"/>
      <c r="J4774" s="78"/>
      <c r="K4774" s="78"/>
      <c r="L4774" s="78"/>
      <c r="M4774" s="78"/>
      <c r="N4774" s="79" t="s">
        <v>759</v>
      </c>
      <c r="O4774" s="79"/>
      <c r="P4774" s="19"/>
      <c r="Q4774" s="19"/>
      <c r="R4774" s="11"/>
    </row>
    <row r="4775" s="1" customFormat="1" ht="21.95" customHeight="1" spans="1:19">
      <c r="A4775" s="7"/>
      <c r="B4775" s="12"/>
      <c r="C4775" s="33"/>
      <c r="D4775" s="80" t="s">
        <v>760</v>
      </c>
      <c r="E4775" s="81" t="str">
        <f>IFERROR(PROPER(VLOOKUP(F4737,STUDENT!$A$2:$BP$101,9,0)),"")</f>
        <v/>
      </c>
      <c r="F4775" s="81"/>
      <c r="G4775" s="81"/>
      <c r="H4775" s="80" t="s">
        <v>761</v>
      </c>
      <c r="I4775" s="82" t="str">
        <f>IFERROR(PROPER(VLOOKUP(F4737,STUDENT!$A$2:$BP$101,8,0)),"")</f>
        <v/>
      </c>
      <c r="J4775" s="82"/>
      <c r="K4775" s="82"/>
      <c r="L4775" s="82"/>
      <c r="M4775" s="80" t="s">
        <v>762</v>
      </c>
      <c r="N4775" s="83" t="str">
        <f>IFERROR(VLOOKUP(F4737,STUDENT!$A$2:$BP$101,59,0),"")</f>
        <v/>
      </c>
      <c r="O4775" s="83"/>
      <c r="P4775" s="19"/>
      <c r="Q4775" s="19"/>
      <c r="R4775" s="11"/>
    </row>
    <row r="4776" s="1" customFormat="1" ht="21.95" customHeight="1" spans="1:19">
      <c r="A4776" s="7"/>
      <c r="B4776" s="12"/>
      <c r="C4776" s="33"/>
      <c r="D4776" s="77" t="str">
        <f>"has    completed     his  /  her     primary     level     education    in    the    year    "&amp;RIGHT(ENTRY!$D4742,4)&amp;"    from    ( School    Name )"</f>
        <v>has    completed     his  /  her     primary     level     education    in    the    year        from    ( School    Name )</v>
      </c>
      <c r="E4776" s="77"/>
      <c r="F4776" s="77"/>
      <c r="G4776" s="77"/>
      <c r="H4776" s="77"/>
      <c r="I4776" s="77"/>
      <c r="J4776" s="77"/>
      <c r="K4776" s="77"/>
      <c r="L4776" s="77"/>
      <c r="M4776" s="77"/>
      <c r="N4776" s="77"/>
      <c r="O4776" s="77"/>
      <c r="P4776" s="19"/>
      <c r="Q4776" s="19"/>
      <c r="R4776" s="11"/>
    </row>
    <row r="4777" s="1" customFormat="1" ht="21.95" customHeight="1" spans="1:19">
      <c r="A4777" s="7"/>
      <c r="B4777" s="12"/>
      <c r="C4777" s="33"/>
      <c r="D4777" s="81" t="str">
        <f>IF(F4737&gt;0,ENTRY!$D$6,"")</f>
        <v>MCP NITHARI NO 1 BOYS</v>
      </c>
      <c r="E4777" s="81"/>
      <c r="F4777" s="81"/>
      <c r="G4777" s="81"/>
      <c r="H4777" s="81"/>
      <c r="I4777" s="81"/>
      <c r="J4777" s="81"/>
      <c r="K4777" s="81"/>
      <c r="L4777" s="81"/>
      <c r="M4777" s="80" t="s">
        <v>763</v>
      </c>
      <c r="N4777" s="84">
        <f>IF(F4737&gt;0,ENTRY!$D$7,"")</f>
        <v>0</v>
      </c>
      <c r="O4777" s="84"/>
      <c r="P4777" s="85" t="s">
        <v>727</v>
      </c>
      <c r="Q4777" s="19"/>
      <c r="R4777" s="11"/>
    </row>
    <row r="4778" s="1" customFormat="1" ht="21.95" customHeight="1" spans="1:19">
      <c r="A4778" s="7"/>
      <c r="B4778" s="12"/>
      <c r="C4778" s="33"/>
      <c r="D4778" s="29"/>
      <c r="E4778" s="29"/>
      <c r="F4778" s="29"/>
      <c r="G4778" s="29"/>
      <c r="H4778" s="29"/>
      <c r="I4778" s="29"/>
      <c r="J4778" s="29"/>
      <c r="K4778" s="29"/>
      <c r="L4778" s="29"/>
      <c r="M4778" s="29"/>
      <c r="N4778" s="29"/>
      <c r="O4778" s="29"/>
      <c r="P4778" s="19"/>
      <c r="Q4778" s="19"/>
      <c r="R4778" s="11"/>
    </row>
    <row r="4779" s="1" customFormat="1" ht="21.95" customHeight="1" spans="1:19">
      <c r="A4779" s="7"/>
      <c r="B4779" s="12"/>
      <c r="C4779" s="33"/>
      <c r="D4779" s="29"/>
      <c r="E4779" s="29"/>
      <c r="F4779" s="29"/>
      <c r="G4779" s="29"/>
      <c r="H4779" s="29"/>
      <c r="I4779" s="29"/>
      <c r="J4779" s="29"/>
      <c r="K4779" s="29"/>
      <c r="L4779" s="29"/>
      <c r="M4779" s="29"/>
      <c r="N4779" s="29"/>
      <c r="O4779" s="29"/>
      <c r="P4779" s="19"/>
      <c r="Q4779" s="19"/>
      <c r="R4779" s="11"/>
    </row>
    <row r="4780" s="1" customFormat="1" ht="21.95" customHeight="1" spans="1:19">
      <c r="A4780" s="7"/>
      <c r="B4780" s="12"/>
      <c r="C4780" s="33"/>
      <c r="D4780" s="29"/>
      <c r="E4780" s="29"/>
      <c r="F4780" s="29"/>
      <c r="G4780" s="29"/>
      <c r="H4780" s="29"/>
      <c r="I4780" s="29"/>
      <c r="J4780" s="29"/>
      <c r="K4780" s="29"/>
      <c r="L4780" s="29"/>
      <c r="M4780" s="29"/>
      <c r="N4780" s="29"/>
      <c r="O4780" s="29"/>
      <c r="P4780" s="19"/>
      <c r="Q4780" s="19"/>
      <c r="R4780" s="11"/>
    </row>
    <row r="4781" s="1" customFormat="1" ht="21.95" customHeight="1" spans="1:19">
      <c r="A4781" s="7"/>
      <c r="B4781" s="12"/>
      <c r="C4781" s="33"/>
      <c r="D4781" s="29"/>
      <c r="E4781" s="29"/>
      <c r="F4781" s="29"/>
      <c r="G4781" s="29"/>
      <c r="H4781" s="29"/>
      <c r="I4781" s="29"/>
      <c r="J4781" s="29"/>
      <c r="K4781" s="29"/>
      <c r="L4781" s="29"/>
      <c r="M4781" s="29"/>
      <c r="N4781" s="29"/>
      <c r="O4781" s="29"/>
      <c r="P4781" s="19"/>
      <c r="Q4781" s="19"/>
      <c r="R4781" s="11"/>
    </row>
    <row r="4782" s="1" customFormat="1" ht="21.95" customHeight="1" spans="1:19">
      <c r="A4782" s="7"/>
      <c r="B4782" s="12"/>
      <c r="C4782" s="33"/>
      <c r="D4782" s="29"/>
      <c r="E4782" s="29"/>
      <c r="F4782" s="29"/>
      <c r="G4782" s="29"/>
      <c r="H4782" s="29"/>
      <c r="I4782" s="29"/>
      <c r="J4782" s="29"/>
      <c r="K4782" s="29"/>
      <c r="L4782" s="29"/>
      <c r="M4782" s="29"/>
      <c r="N4782" s="29"/>
      <c r="O4782" s="29"/>
      <c r="P4782" s="19"/>
      <c r="Q4782" s="19"/>
      <c r="R4782" s="11"/>
    </row>
    <row r="4783" s="1" customFormat="1" ht="21.95" customHeight="1" spans="1:19">
      <c r="A4783" s="7"/>
      <c r="B4783" s="12"/>
      <c r="C4783" s="33"/>
      <c r="D4783" s="80" t="s">
        <v>728</v>
      </c>
      <c r="E4783" s="86">
        <f>ENTRY!$D$27</f>
        <v>46102</v>
      </c>
      <c r="F4783" s="86"/>
      <c r="G4783" s="29"/>
      <c r="H4783" s="29"/>
      <c r="I4783" s="29"/>
      <c r="J4783" s="29"/>
      <c r="K4783" s="29"/>
      <c r="L4783" s="29"/>
      <c r="M4783" s="87" t="s">
        <v>730</v>
      </c>
      <c r="N4783" s="87"/>
      <c r="O4783" s="87"/>
      <c r="P4783" s="19"/>
      <c r="Q4783" s="19"/>
      <c r="R4783" s="11"/>
    </row>
    <row r="4784" s="1" customFormat="1" ht="21.95" customHeight="1" spans="1:19">
      <c r="A4784" s="7"/>
      <c r="B4784" s="12"/>
      <c r="C4784" s="33"/>
      <c r="D4784" s="80" t="s">
        <v>731</v>
      </c>
      <c r="E4784" s="88" t="str">
        <f>PROPER(ENTRY!$D$28)</f>
        <v>New Delhi</v>
      </c>
      <c r="F4784" s="88"/>
      <c r="G4784" s="29"/>
      <c r="H4784" s="29"/>
      <c r="I4784" s="29"/>
      <c r="J4784" s="29"/>
      <c r="K4784" s="29"/>
      <c r="L4784" s="29"/>
      <c r="M4784" s="89" t="s">
        <v>732</v>
      </c>
      <c r="N4784" s="89"/>
      <c r="O4784" s="89"/>
      <c r="P4784" s="19"/>
      <c r="Q4784" s="19"/>
      <c r="R4784" s="11"/>
    </row>
    <row r="4785" s="1" customFormat="1" ht="21.95" customHeight="1" spans="1:18">
      <c r="A4785" s="7"/>
      <c r="B4785" s="12"/>
      <c r="C4785" s="90"/>
      <c r="D4785" s="91"/>
      <c r="E4785" s="91"/>
      <c r="F4785" s="91"/>
      <c r="G4785" s="91"/>
      <c r="H4785" s="91"/>
      <c r="I4785" s="91"/>
      <c r="J4785" s="91"/>
      <c r="K4785" s="91"/>
      <c r="L4785" s="91"/>
      <c r="M4785" s="91"/>
      <c r="N4785" s="91"/>
      <c r="O4785" s="91"/>
      <c r="P4785" s="92"/>
      <c r="Q4785" s="14"/>
      <c r="R4785" s="11"/>
    </row>
    <row r="4786" s="1" customFormat="1" ht="5.1" customHeight="1" spans="1:18">
      <c r="A4786" s="7"/>
      <c r="B4786" s="90"/>
      <c r="C4786" s="91"/>
      <c r="D4786" s="91"/>
      <c r="E4786" s="91"/>
      <c r="F4786" s="91"/>
      <c r="G4786" s="91"/>
      <c r="H4786" s="91"/>
      <c r="I4786" s="91"/>
      <c r="J4786" s="91"/>
      <c r="K4786" s="91"/>
      <c r="L4786" s="91"/>
      <c r="M4786" s="91"/>
      <c r="N4786" s="91"/>
      <c r="O4786" s="91"/>
      <c r="P4786" s="91"/>
      <c r="Q4786" s="92"/>
      <c r="R4786" s="11"/>
    </row>
    <row r="4787" s="1" customFormat="1" ht="5.1" customHeight="1" spans="1:18">
      <c r="A4787" s="93"/>
      <c r="B4787" s="94"/>
      <c r="C4787" s="94"/>
      <c r="D4787" s="94"/>
      <c r="E4787" s="94"/>
      <c r="F4787" s="94"/>
      <c r="G4787" s="94"/>
      <c r="H4787" s="94"/>
      <c r="I4787" s="94"/>
      <c r="J4787" s="94"/>
      <c r="K4787" s="94"/>
      <c r="L4787" s="94"/>
      <c r="M4787" s="94"/>
      <c r="N4787" s="94"/>
      <c r="O4787" s="94"/>
      <c r="P4787" s="94"/>
      <c r="Q4787" s="94"/>
      <c r="R4787" s="95"/>
    </row>
    <row r="4788" s="2" customFormat="1" ht="9.95" customHeight="1"/>
    <row r="4789" s="1" customFormat="1" ht="5.1" customHeight="1" spans="1:18">
      <c r="A4789" s="4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5"/>
      <c r="O4789" s="5"/>
      <c r="P4789" s="5"/>
      <c r="Q4789" s="5"/>
      <c r="R4789" s="6"/>
    </row>
    <row r="4790" s="1" customFormat="1" ht="15" customHeight="1" spans="1:18">
      <c r="A4790" s="7"/>
      <c r="B4790" s="8"/>
      <c r="C4790" s="9"/>
      <c r="D4790" s="9"/>
      <c r="E4790" s="9"/>
      <c r="F4790" s="9"/>
      <c r="G4790" s="9"/>
      <c r="H4790" s="9"/>
      <c r="I4790" s="9"/>
      <c r="J4790" s="9"/>
      <c r="K4790" s="9"/>
      <c r="L4790" s="9"/>
      <c r="M4790" s="9"/>
      <c r="N4790" s="9"/>
      <c r="O4790" s="9"/>
      <c r="P4790" s="9"/>
      <c r="Q4790" s="10"/>
      <c r="R4790" s="11"/>
    </row>
    <row r="4791" s="1" customFormat="1" ht="21.95" customHeight="1" spans="1:18">
      <c r="A4791" s="7"/>
      <c r="B4791" s="12"/>
      <c r="C4791" s="13" t="s">
        <v>7</v>
      </c>
      <c r="D4791" s="13"/>
      <c r="E4791" s="13"/>
      <c r="F4791" s="13"/>
      <c r="G4791" s="13"/>
      <c r="H4791" s="13"/>
      <c r="I4791" s="13"/>
      <c r="J4791" s="13"/>
      <c r="K4791" s="13"/>
      <c r="L4791" s="13"/>
      <c r="M4791" s="13"/>
      <c r="N4791" s="13"/>
      <c r="O4791" s="13"/>
      <c r="P4791" s="13"/>
      <c r="Q4791" s="14"/>
      <c r="R4791" s="11"/>
    </row>
    <row r="4792" s="1" customFormat="1" ht="21.95" customHeight="1" spans="1:18">
      <c r="A4792" s="7"/>
      <c r="B4792" s="1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14"/>
      <c r="R4792" s="11"/>
    </row>
    <row r="4793" s="1" customFormat="1" ht="21.95" customHeight="1" spans="1:18">
      <c r="A4793" s="7"/>
      <c r="B4793" s="12"/>
      <c r="C4793" s="15" t="str">
        <f>"SESSION-"&amp;ENTRY!$D$11</f>
        <v>SESSION-2026-27</v>
      </c>
      <c r="D4793" s="15"/>
      <c r="E4793" s="15"/>
      <c r="F4793" s="15"/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  <c r="Q4793" s="14"/>
      <c r="R4793" s="11"/>
    </row>
    <row r="4794" s="1" customFormat="1" ht="21.95" customHeight="1" spans="1:18">
      <c r="A4794" s="7"/>
      <c r="B4794" s="12"/>
      <c r="C4794" s="2"/>
      <c r="D4794" s="2"/>
      <c r="E4794" s="2"/>
      <c r="F4794" s="16">
        <f>F4737+1</f>
        <v>85</v>
      </c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14"/>
      <c r="R4794" s="11"/>
    </row>
    <row r="4795" s="1" customFormat="1" ht="21.95" customHeight="1" spans="1:18">
      <c r="A4795" s="7"/>
      <c r="B4795" s="12"/>
      <c r="C4795" s="17" t="s">
        <v>392</v>
      </c>
      <c r="D4795" s="17"/>
      <c r="E4795" s="17"/>
      <c r="F4795" s="18" t="str">
        <f>IF(F4794&gt;0,ENTRY!$D$6,"")</f>
        <v>MCP NITHARI NO 1 BOYS</v>
      </c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9"/>
      <c r="R4795" s="11"/>
    </row>
    <row r="4796" s="1" customFormat="1" ht="21.95" customHeight="1" spans="1:18">
      <c r="A4796" s="7"/>
      <c r="B4796" s="12"/>
      <c r="C4796" s="17" t="s">
        <v>393</v>
      </c>
      <c r="D4796" s="17"/>
      <c r="E4796" s="17"/>
      <c r="F4796" s="18">
        <f>IF(F4794&gt;0,ENTRY!$D$7,"")</f>
        <v>0</v>
      </c>
      <c r="G4796" s="18"/>
      <c r="H4796" s="20" t="s">
        <v>702</v>
      </c>
      <c r="I4796" s="20"/>
      <c r="J4796" s="21">
        <f>IF(F4794&gt;0,ENTRY!$D$10,"")</f>
        <v>40</v>
      </c>
      <c r="K4796" s="20" t="s">
        <v>703</v>
      </c>
      <c r="L4796" s="22" t="str">
        <f>IF(F4794&gt;0,ENTRY!$D$5,"")</f>
        <v>ROHINI ZONE</v>
      </c>
      <c r="M4796" s="22"/>
      <c r="N4796" s="22"/>
      <c r="O4796" s="22"/>
      <c r="P4796" s="22"/>
      <c r="Q4796" s="19"/>
      <c r="R4796" s="11"/>
    </row>
    <row r="4797" s="1" customFormat="1" ht="21.95" customHeight="1" spans="1:18">
      <c r="A4797" s="7"/>
      <c r="B4797" s="12"/>
      <c r="C4797" s="17" t="s">
        <v>706</v>
      </c>
      <c r="D4797" s="17"/>
      <c r="E4797" s="17"/>
      <c r="F4797" s="23">
        <f>IFERROR(VLOOKUP(F4794,STUDENT!$A$2:$BP$101,5,0),"")</f>
        <v>0</v>
      </c>
      <c r="G4797" s="23"/>
      <c r="H4797" s="23"/>
      <c r="I4797" s="23"/>
      <c r="J4797" s="23"/>
      <c r="K4797" s="23"/>
      <c r="L4797" s="20" t="s">
        <v>707</v>
      </c>
      <c r="M4797" s="20"/>
      <c r="N4797" s="24" t="str">
        <f>IF(F4794&gt;0,ENTRY!$D$20&amp;"-"&amp;ENTRY!$D$21,"")</f>
        <v>III-A</v>
      </c>
      <c r="O4797" s="24"/>
      <c r="P4797" s="24"/>
      <c r="Q4797" s="19"/>
      <c r="R4797" s="11"/>
    </row>
    <row r="4798" s="1" customFormat="1" ht="21.95" customHeight="1" spans="1:18">
      <c r="A4798" s="7"/>
      <c r="B4798" s="12"/>
      <c r="C4798" s="17" t="s">
        <v>708</v>
      </c>
      <c r="D4798" s="17"/>
      <c r="E4798" s="17"/>
      <c r="F4798" s="25">
        <f>IFERROR(VLOOKUP(F4794,STUDENT!$A$2:$BP$101,6,0),"")</f>
        <v>0</v>
      </c>
      <c r="G4798" s="25"/>
      <c r="H4798" s="26" t="s">
        <v>709</v>
      </c>
      <c r="I4798" s="27" t="str">
        <f>IFERROR(VLOOKUP(F4794,STUDENT!$A$2:$BP$101,59,0),"")</f>
        <v/>
      </c>
      <c r="J4798" s="27"/>
      <c r="K4798" s="20" t="s">
        <v>710</v>
      </c>
      <c r="L4798" s="20"/>
      <c r="M4798" s="28">
        <f>IFERROR(VLOOKUP(F4794,STUDENT!$A$2:$BP$101,20,0),"")</f>
        <v>0</v>
      </c>
      <c r="N4798" s="28"/>
      <c r="O4798" s="28"/>
      <c r="P4798" s="28"/>
      <c r="Q4798" s="19"/>
      <c r="R4798" s="11"/>
    </row>
    <row r="4799" s="1" customFormat="1" ht="21.95" customHeight="1" spans="1:18">
      <c r="A4799" s="7"/>
      <c r="B4799" s="12"/>
      <c r="C4799" s="17" t="s">
        <v>711</v>
      </c>
      <c r="D4799" s="17"/>
      <c r="E4799" s="17"/>
      <c r="F4799" s="23">
        <f>IFERROR(VLOOKUP(F4794,STUDENT!$A$2:$BP$101,9,0),"")</f>
        <v>0</v>
      </c>
      <c r="G4799" s="23"/>
      <c r="H4799" s="23"/>
      <c r="I4799" s="23"/>
      <c r="J4799" s="17" t="s">
        <v>620</v>
      </c>
      <c r="K4799" s="17"/>
      <c r="L4799" s="23">
        <f>IFERROR(VLOOKUP(F4794,STUDENT!$A$2:$BP$101,8,0),"")</f>
        <v>0</v>
      </c>
      <c r="M4799" s="23"/>
      <c r="N4799" s="23"/>
      <c r="O4799" s="23"/>
      <c r="P4799" s="23"/>
      <c r="Q4799" s="19"/>
      <c r="R4799" s="11"/>
    </row>
    <row r="4800" s="1" customFormat="1" ht="21.95" customHeight="1" spans="1:18">
      <c r="A4800" s="7"/>
      <c r="B4800" s="12"/>
      <c r="C4800" s="17" t="s">
        <v>712</v>
      </c>
      <c r="D4800" s="17"/>
      <c r="E4800" s="17"/>
      <c r="F4800" s="23">
        <f>IFERROR(VLOOKUP(F4794,STUDENT!$A$2:$BP$101,22,0),"")</f>
        <v>0</v>
      </c>
      <c r="G4800" s="23"/>
      <c r="H4800" s="23"/>
      <c r="I4800" s="23"/>
      <c r="J4800" s="23"/>
      <c r="K4800" s="23"/>
      <c r="L4800" s="23"/>
      <c r="M4800" s="23"/>
      <c r="N4800" s="23"/>
      <c r="O4800" s="23"/>
      <c r="P4800" s="23"/>
      <c r="Q4800" s="19"/>
      <c r="R4800" s="11"/>
    </row>
    <row r="4801" s="1" customFormat="1" ht="9.95" customHeight="1" spans="1:18">
      <c r="A4801" s="7"/>
      <c r="B4801" s="12"/>
      <c r="C4801" s="29"/>
      <c r="D4801" s="29"/>
      <c r="E4801" s="29"/>
      <c r="F4801" s="29"/>
      <c r="G4801" s="29"/>
      <c r="H4801" s="29"/>
      <c r="I4801" s="29"/>
      <c r="J4801" s="29"/>
      <c r="K4801" s="29"/>
      <c r="L4801" s="29"/>
      <c r="M4801" s="29"/>
      <c r="N4801" s="29"/>
      <c r="O4801" s="29"/>
      <c r="P4801" s="29"/>
      <c r="Q4801" s="19"/>
      <c r="R4801" s="11"/>
    </row>
    <row r="4802" s="1" customFormat="1" ht="9.95" customHeight="1" spans="1:18">
      <c r="A4802" s="7"/>
      <c r="B4802" s="12"/>
      <c r="C4802" s="30"/>
      <c r="D4802" s="31"/>
      <c r="E4802" s="31"/>
      <c r="F4802" s="31"/>
      <c r="G4802" s="31"/>
      <c r="H4802" s="31"/>
      <c r="I4802" s="31"/>
      <c r="J4802" s="31"/>
      <c r="K4802" s="31"/>
      <c r="L4802" s="31"/>
      <c r="M4802" s="31"/>
      <c r="N4802" s="31"/>
      <c r="O4802" s="31"/>
      <c r="P4802" s="32"/>
      <c r="Q4802" s="19"/>
      <c r="R4802" s="11"/>
    </row>
    <row r="4803" s="1" customFormat="1" ht="21.95" customHeight="1" spans="1:18">
      <c r="A4803" s="7"/>
      <c r="B4803" s="12"/>
      <c r="C4803" s="33"/>
      <c r="D4803" s="34" t="s">
        <v>713</v>
      </c>
      <c r="E4803" s="20" t="s">
        <v>714</v>
      </c>
      <c r="F4803" s="35" t="str">
        <f>"Level - "&amp;IFERROR(VLOOKUP(F4794,FLN!$A$4:$K$103,9,0),"")</f>
        <v>Level - </v>
      </c>
      <c r="G4803" s="36"/>
      <c r="H4803" s="37" t="s">
        <v>715</v>
      </c>
      <c r="I4803" s="20"/>
      <c r="J4803" s="35" t="str">
        <f>"Level - "&amp;IFERROR(VLOOKUP(F4794,FLN!$A$4:$K$103,11,0),"")</f>
        <v>Level - </v>
      </c>
      <c r="K4803" s="36"/>
      <c r="L4803" s="37" t="s">
        <v>408</v>
      </c>
      <c r="M4803" s="20"/>
      <c r="N4803" s="35" t="str">
        <f>"Level - "&amp;IFERROR(VLOOKUP(F4794,FLN!$A$4:$K$103,10,0),"")</f>
        <v>Level - </v>
      </c>
      <c r="O4803" s="36"/>
      <c r="P4803" s="19"/>
      <c r="Q4803" s="19"/>
      <c r="R4803" s="11"/>
    </row>
    <row r="4804" s="1" customFormat="1" ht="21.95" customHeight="1" spans="1:18">
      <c r="A4804" s="7"/>
      <c r="B4804" s="12"/>
      <c r="C4804" s="33"/>
      <c r="D4804" s="38"/>
      <c r="E4804" s="20" t="s">
        <v>716</v>
      </c>
      <c r="F4804" s="18" t="str">
        <f ca="1">IF(L4818&gt;197,"PERFORMED WELL","")</f>
        <v/>
      </c>
      <c r="G4804" s="18"/>
      <c r="H4804" s="18"/>
      <c r="I4804" s="18"/>
      <c r="J4804" s="18"/>
      <c r="K4804" s="18"/>
      <c r="L4804" s="18"/>
      <c r="M4804" s="18"/>
      <c r="N4804" s="18"/>
      <c r="O4804" s="18"/>
      <c r="P4804" s="19"/>
      <c r="Q4804" s="19"/>
      <c r="R4804" s="11"/>
    </row>
    <row r="4805" s="1" customFormat="1" ht="9.95" customHeight="1" spans="1:18">
      <c r="A4805" s="7"/>
      <c r="B4805" s="12"/>
      <c r="C4805" s="39"/>
      <c r="D4805" s="40"/>
      <c r="E4805" s="40"/>
      <c r="F4805" s="40"/>
      <c r="G4805" s="40"/>
      <c r="H4805" s="40"/>
      <c r="I4805" s="40"/>
      <c r="J4805" s="40"/>
      <c r="K4805" s="40"/>
      <c r="L4805" s="40"/>
      <c r="M4805" s="40"/>
      <c r="N4805" s="40"/>
      <c r="O4805" s="40"/>
      <c r="P4805" s="41"/>
      <c r="Q4805" s="19"/>
      <c r="R4805" s="11"/>
    </row>
    <row r="4806" s="1" customFormat="1" ht="9.95" customHeight="1" spans="1:18">
      <c r="A4806" s="7"/>
      <c r="B4806" s="12"/>
      <c r="C4806" s="29"/>
      <c r="D4806" s="29"/>
      <c r="E4806" s="29"/>
      <c r="F4806" s="29"/>
      <c r="G4806" s="29"/>
      <c r="H4806" s="29"/>
      <c r="I4806" s="29"/>
      <c r="J4806" s="29"/>
      <c r="K4806" s="29"/>
      <c r="L4806" s="29"/>
      <c r="M4806" s="29"/>
      <c r="N4806" s="29"/>
      <c r="O4806" s="29"/>
      <c r="P4806" s="29"/>
      <c r="Q4806" s="19"/>
      <c r="R4806" s="11"/>
    </row>
    <row r="4807" s="1" customFormat="1" ht="9.95" customHeight="1" spans="1:18">
      <c r="A4807" s="7"/>
      <c r="B4807" s="12"/>
      <c r="C4807" s="30"/>
      <c r="D4807" s="31"/>
      <c r="E4807" s="31"/>
      <c r="F4807" s="31"/>
      <c r="G4807" s="31"/>
      <c r="H4807" s="31"/>
      <c r="I4807" s="31"/>
      <c r="J4807" s="31"/>
      <c r="K4807" s="31"/>
      <c r="L4807" s="31"/>
      <c r="M4807" s="31"/>
      <c r="N4807" s="31"/>
      <c r="O4807" s="31"/>
      <c r="P4807" s="32"/>
      <c r="Q4807" s="19"/>
      <c r="R4807" s="11"/>
    </row>
    <row r="4808" s="1" customFormat="1" ht="21.95" customHeight="1" spans="1:18">
      <c r="A4808" s="7"/>
      <c r="B4808" s="12"/>
      <c r="C4808" s="33"/>
      <c r="D4808" s="35"/>
      <c r="E4808" s="24"/>
      <c r="F4808" s="42" t="s">
        <v>717</v>
      </c>
      <c r="G4808" s="42"/>
      <c r="H4808" s="42"/>
      <c r="I4808" s="42"/>
      <c r="J4808" s="42"/>
      <c r="K4808" s="42"/>
      <c r="L4808" s="43"/>
      <c r="M4808" s="44"/>
      <c r="N4808" s="29"/>
      <c r="O4808" s="29"/>
      <c r="P4808" s="19"/>
      <c r="Q4808" s="19"/>
      <c r="R4808" s="11"/>
    </row>
    <row r="4809" s="1" customFormat="1" ht="21.95" customHeight="1" spans="1:18">
      <c r="A4809" s="7"/>
      <c r="B4809" s="12"/>
      <c r="C4809" s="33"/>
      <c r="D4809" s="45"/>
      <c r="E4809" s="46"/>
      <c r="F4809" s="47" t="s">
        <v>541</v>
      </c>
      <c r="G4809" s="47" t="s">
        <v>542</v>
      </c>
      <c r="H4809" s="47" t="s">
        <v>543</v>
      </c>
      <c r="I4809" s="47" t="s">
        <v>544</v>
      </c>
      <c r="J4809" s="47" t="s">
        <v>561</v>
      </c>
      <c r="K4809" s="48" t="s">
        <v>750</v>
      </c>
      <c r="L4809" s="47" t="s">
        <v>382</v>
      </c>
      <c r="M4809" s="49" t="s">
        <v>546</v>
      </c>
      <c r="N4809" s="29"/>
      <c r="O4809" s="29"/>
      <c r="P4809" s="19"/>
      <c r="Q4809" s="19"/>
      <c r="R4809" s="11"/>
    </row>
    <row r="4810" s="1" customFormat="1" ht="21.95" customHeight="1" spans="1:18">
      <c r="A4810" s="7"/>
      <c r="B4810" s="12"/>
      <c r="C4810" s="33"/>
      <c r="D4810" s="45" t="s">
        <v>652</v>
      </c>
      <c r="E4810" s="46"/>
      <c r="F4810" s="50">
        <v>10</v>
      </c>
      <c r="G4810" s="50">
        <v>10</v>
      </c>
      <c r="H4810" s="50">
        <v>10</v>
      </c>
      <c r="I4810" s="50">
        <v>10</v>
      </c>
      <c r="J4810" s="50">
        <v>60</v>
      </c>
      <c r="K4810" s="51"/>
      <c r="L4810" s="50">
        <v>100</v>
      </c>
      <c r="M4810" s="49"/>
      <c r="N4810" s="29"/>
      <c r="O4810" s="29"/>
      <c r="P4810" s="19"/>
      <c r="Q4810" s="19"/>
      <c r="R4810" s="11"/>
    </row>
    <row r="4811" s="1" customFormat="1" ht="21.95" customHeight="1" spans="1:18">
      <c r="A4811" s="7"/>
      <c r="B4811" s="12"/>
      <c r="C4811" s="33"/>
      <c r="D4811" s="52" t="s">
        <v>751</v>
      </c>
      <c r="E4811" s="53"/>
      <c r="F4811" s="54" t="str">
        <f ca="1">IFERROR(VLOOKUP(F4794,'RR-3.1-5TH'!$A$12:'RR-3.1-5TH'!$BN$111,9,0),"")</f>
        <v/>
      </c>
      <c r="G4811" s="54" t="str">
        <f ca="1">IFERROR(VLOOKUP(F4794,'RR-3.1-5TH'!$A$12:'RR-3.1-5TH'!$BN$111,10,0),"")</f>
        <v/>
      </c>
      <c r="H4811" s="54" t="str">
        <f ca="1">IFERROR(VLOOKUP(F4794,'RR-3.1-5TH'!$A$12:'RR-3.1-5TH'!$BN$111,11,0),"")</f>
        <v/>
      </c>
      <c r="I4811" s="54" t="str">
        <f ca="1">IFERROR(VLOOKUP(F4794,'RR-3.1-5TH'!$A$12:'RR-3.1-5TH'!$BN$111,12,0),"")</f>
        <v/>
      </c>
      <c r="J4811" s="54" t="str">
        <f ca="1">IFERROR(VLOOKUP(F4794,'RR-3.1-5TH'!$A$12:'RR-3.1-5TH'!$BN$111,13,0),"")</f>
        <v/>
      </c>
      <c r="K4811" s="54" t="str">
        <f ca="1">IFERROR(VLOOKUP(F4794,'RR-3.1-5TH'!$A$12:'RR-3.1-5TH'!$BN$111,14,0),"")</f>
        <v/>
      </c>
      <c r="L4811" s="55">
        <f ca="1" t="shared" ref="L4811:L4816" si="252">SUM(F4811,G4811,H4811,I4811,J4811,K4811)</f>
        <v>0</v>
      </c>
      <c r="M4811" s="56" t="str">
        <f ca="1">IF(F4794&gt;ENTRY!$D$24,"",IF(L4811=0,"Ab",IF(L4811&gt;80,"A",IF(L4811&gt;60,"B",IF(L4811&gt;44,"C",IF(L4811&gt;=33,"D",IF(L4811&lt;=32,"E","")))))))</f>
        <v/>
      </c>
      <c r="N4811" s="57" t="s">
        <v>729</v>
      </c>
      <c r="O4811" s="58"/>
      <c r="P4811" s="59"/>
      <c r="Q4811" s="19"/>
      <c r="R4811" s="11"/>
    </row>
    <row r="4812" s="1" customFormat="1" ht="21.95" customHeight="1" spans="1:18">
      <c r="A4812" s="7"/>
      <c r="B4812" s="12"/>
      <c r="C4812" s="33"/>
      <c r="D4812" s="52" t="s">
        <v>513</v>
      </c>
      <c r="E4812" s="53"/>
      <c r="F4812" s="54" t="str">
        <f ca="1">IFERROR(VLOOKUP(F4794,'RR-3.1-5TH'!$A$12:'RR-3.1-5TH'!$BN$111,17,0),"")</f>
        <v/>
      </c>
      <c r="G4812" s="54" t="str">
        <f ca="1">IFERROR(VLOOKUP(F4794,'RR-3.1-5TH'!$A$12:'RR-3.1-5TH'!$BN$111,18,0),"")</f>
        <v/>
      </c>
      <c r="H4812" s="54" t="str">
        <f ca="1">IFERROR(VLOOKUP(F4794,'RR-3.1-5TH'!$A$12:'RR-3.1-5TH'!$BN$111,19,0),"")</f>
        <v/>
      </c>
      <c r="I4812" s="54" t="str">
        <f ca="1">IFERROR(VLOOKUP(F4794,'RR-3.1-5TH'!$A$12:'RR-3.1-5TH'!$BN$111,20,0),"")</f>
        <v/>
      </c>
      <c r="J4812" s="54" t="str">
        <f ca="1">IFERROR(VLOOKUP(F4794,'RR-3.1-5TH'!$A$12:'RR-3.1-5TH'!$BN$111,21,0),"")</f>
        <v/>
      </c>
      <c r="K4812" s="54" t="str">
        <f ca="1">IFERROR(VLOOKUP(F4794,'RR-3.1-5TH'!$A$12:'RR-3.1-5TH'!$BN$111,22,0),"")</f>
        <v/>
      </c>
      <c r="L4812" s="55">
        <f ca="1" t="shared" si="252"/>
        <v>0</v>
      </c>
      <c r="M4812" s="56" t="str">
        <f ca="1">IF(F4794&gt;ENTRY!$D$24,"",IF(L4812=0,"Ab",IF(L4812&gt;80,"A",IF(L4812&gt;60,"B",IF(L4812&gt;44,"C",IF(L4812&gt;=33,"D",IF(L4812&lt;=32,"E","")))))))</f>
        <v/>
      </c>
      <c r="N4812" s="58"/>
      <c r="O4812" s="58"/>
      <c r="P4812" s="59"/>
      <c r="Q4812" s="19"/>
      <c r="R4812" s="11"/>
    </row>
    <row r="4813" s="1" customFormat="1" ht="21.95" customHeight="1" spans="1:18">
      <c r="A4813" s="7"/>
      <c r="B4813" s="12"/>
      <c r="C4813" s="33"/>
      <c r="D4813" s="52" t="s">
        <v>718</v>
      </c>
      <c r="E4813" s="53"/>
      <c r="F4813" s="54" t="str">
        <f ca="1">IFERROR(VLOOKUP(F4794,'RR-3.1-5TH'!$A$12:'RR-3.1-5TH'!$BN$111,25,0),"")</f>
        <v/>
      </c>
      <c r="G4813" s="54" t="str">
        <f ca="1">IFERROR(VLOOKUP(F4794,'RR-3.1-5TH'!$A$12:'RR-3.1-5TH'!$BN$111,26,0),"")</f>
        <v/>
      </c>
      <c r="H4813" s="54" t="str">
        <f ca="1">IFERROR(VLOOKUP(F4794,'RR-3.1-5TH'!$A$12:'RR-3.1-5TH'!$BN$111,27,0),"")</f>
        <v/>
      </c>
      <c r="I4813" s="54" t="str">
        <f ca="1">IFERROR(VLOOKUP(F4794,'RR-3.1-5TH'!$A$12:'RR-3.1-5TH'!$BN$111,28,0),"")</f>
        <v/>
      </c>
      <c r="J4813" s="54" t="str">
        <f ca="1">IFERROR(VLOOKUP(F4794,'RR-3.1-5TH'!$A$12:'RR-3.1-5TH'!$BN$111,29,0),"")</f>
        <v/>
      </c>
      <c r="K4813" s="54" t="str">
        <f ca="1">IFERROR(VLOOKUP(F4794,'RR-3.1-5TH'!$A$12:'RR-3.1-5TH'!$BN$111,30,0),"")</f>
        <v/>
      </c>
      <c r="L4813" s="55">
        <f ca="1" t="shared" si="252"/>
        <v>0</v>
      </c>
      <c r="M4813" s="56" t="str">
        <f ca="1">IF(F4794&gt;ENTRY!$D$24,"",IF(L4813=0,"Ab",IF(L4813&gt;80,"A",IF(L4813&gt;60,"B",IF(L4813&gt;44,"C",IF(L4813&gt;=33,"D",IF(L4813&lt;=32,"E","")))))))</f>
        <v/>
      </c>
      <c r="N4813" s="29"/>
      <c r="O4813" s="29"/>
      <c r="P4813" s="19"/>
      <c r="Q4813" s="19"/>
      <c r="R4813" s="11"/>
    </row>
    <row r="4814" s="1" customFormat="1" ht="21.95" customHeight="1" spans="1:18">
      <c r="A4814" s="7"/>
      <c r="B4814" s="12"/>
      <c r="C4814" s="33"/>
      <c r="D4814" s="52" t="s">
        <v>719</v>
      </c>
      <c r="E4814" s="53"/>
      <c r="F4814" s="54" t="str">
        <f ca="1">IFERROR(VLOOKUP(F4794,'RR-3.1-5TH'!$A$12:'RR-3.1-5TH'!$BN$111,33,0),"")</f>
        <v/>
      </c>
      <c r="G4814" s="54" t="str">
        <f ca="1">IFERROR(VLOOKUP(F4794,'RR-3.1-5TH'!$A$12:'RR-3.1-5TH'!$BN$111,34,0),"")</f>
        <v/>
      </c>
      <c r="H4814" s="54" t="str">
        <f ca="1">IFERROR(VLOOKUP(F4794,'RR-3.1-5TH'!$A$12:'RR-3.1-5TH'!$BN$111,35,0),"")</f>
        <v/>
      </c>
      <c r="I4814" s="54" t="str">
        <f ca="1">IFERROR(VLOOKUP(F4794,'RR-3.1-5TH'!$A$12:'RR-3.1-5TH'!$BN$111,36,0),"")</f>
        <v/>
      </c>
      <c r="J4814" s="54" t="str">
        <f ca="1">IFERROR(VLOOKUP(F4794,'RR-3.1-5TH'!$A$12:'RR-3.1-5TH'!$BN$111,37,0),"")</f>
        <v/>
      </c>
      <c r="K4814" s="54" t="str">
        <f ca="1">IFERROR(VLOOKUP(F4794,'RR-3.1-5TH'!$A$12:'RR-3.1-5TH'!$BN$111,38,0),"")</f>
        <v/>
      </c>
      <c r="L4814" s="55">
        <f ca="1" t="shared" si="252"/>
        <v>0</v>
      </c>
      <c r="M4814" s="56" t="str">
        <f ca="1">IF(F4794&gt;ENTRY!$D$24,"",IF(L4814=0,"Ab",IF(L4814&gt;80,"A",IF(L4814&gt;60,"B",IF(L4814&gt;44,"C",IF(L4814&gt;=33,"D",IF(L4814&lt;=32,"E","")))))))</f>
        <v/>
      </c>
      <c r="N4814" s="29"/>
      <c r="O4814" s="29"/>
      <c r="P4814" s="19"/>
      <c r="Q4814" s="19"/>
      <c r="R4814" s="11"/>
    </row>
    <row r="4815" s="1" customFormat="1" ht="21.95" customHeight="1" spans="1:18">
      <c r="A4815" s="7"/>
      <c r="B4815" s="12"/>
      <c r="C4815" s="33"/>
      <c r="D4815" s="52" t="s">
        <v>548</v>
      </c>
      <c r="E4815" s="53"/>
      <c r="F4815" s="54" t="str">
        <f ca="1">IFERROR(VLOOKUP(F4794,'RR-3.1-5TH'!$A$12:'RR-3.1-5TH'!$BN$111,41,0),"")</f>
        <v/>
      </c>
      <c r="G4815" s="54" t="str">
        <f ca="1">IFERROR(VLOOKUP(F4794,'RR-3.1-5TH'!$A$12:'RR-3.1-5TH'!$BN$111,42,0),"")</f>
        <v/>
      </c>
      <c r="H4815" s="54" t="str">
        <f ca="1">IFERROR(VLOOKUP(F4794,'RR-3.1-5TH'!$A$12:'RR-3.1-5TH'!$BN$111,43,0),"")</f>
        <v/>
      </c>
      <c r="I4815" s="54" t="str">
        <f ca="1">IFERROR(VLOOKUP(F4794,'RR-3.1-5TH'!$A$12:'RR-3.1-5TH'!$BN$111,44,0),"")</f>
        <v/>
      </c>
      <c r="J4815" s="54" t="str">
        <f ca="1">IFERROR(VLOOKUP(F4794,'RR-3.1-5TH'!$A$12:'RR-3.1-5TH'!$BN$111,45,0),"")</f>
        <v/>
      </c>
      <c r="K4815" s="54" t="str">
        <f ca="1">IFERROR(VLOOKUP(F4794,'RR-3.1-5TH'!$A$12:'RR-3.1-5TH'!$BN$111,46,0),"")</f>
        <v/>
      </c>
      <c r="L4815" s="55">
        <f ca="1" t="shared" si="252"/>
        <v>0</v>
      </c>
      <c r="M4815" s="56" t="str">
        <f ca="1">IF(F4794&gt;ENTRY!$D$24,"",IF(L4815=0,"Ab",IF(L4815&gt;80,"A",IF(L4815&gt;60,"B",IF(L4815&gt;44,"C",IF(L4815&gt;=33,"D",IF(L4815&lt;=32,"E","")))))))</f>
        <v/>
      </c>
      <c r="N4815" s="29"/>
      <c r="O4815" s="29"/>
      <c r="P4815" s="19"/>
      <c r="Q4815" s="19"/>
      <c r="R4815" s="11"/>
    </row>
    <row r="4816" s="1" customFormat="1" ht="21.95" customHeight="1" spans="1:18">
      <c r="A4816" s="7"/>
      <c r="B4816" s="12"/>
      <c r="C4816" s="33"/>
      <c r="D4816" s="52" t="s">
        <v>549</v>
      </c>
      <c r="E4816" s="53"/>
      <c r="F4816" s="54" t="str">
        <f ca="1">IFERROR(VLOOKUP(F4794,'RR-3.1-5TH'!$A$12:'RR-3.1-5TH'!$BN$111,49,0),"")</f>
        <v/>
      </c>
      <c r="G4816" s="54" t="str">
        <f ca="1">IFERROR(VLOOKUP(F4794,'RR-3.1-5TH'!$A$12:'RR-3.1-5TH'!$BN$111,50,0),"")</f>
        <v/>
      </c>
      <c r="H4816" s="54" t="str">
        <f ca="1">IFERROR(VLOOKUP(F4794,'RR-3.1-5TH'!$A$12:'RR-3.1-5TH'!$BN$111,51,0),"")</f>
        <v/>
      </c>
      <c r="I4816" s="54" t="str">
        <f ca="1">IFERROR(VLOOKUP(F4794,'RR-3.1-5TH'!$A$12:'RR-3.1-5TH'!$BN$111,52,0),"")</f>
        <v/>
      </c>
      <c r="J4816" s="54" t="str">
        <f ca="1">IFERROR(VLOOKUP(F4794,'RR-3.1-5TH'!$A$12:'RR-3.1-5TH'!$BN$111,53,0),"")</f>
        <v/>
      </c>
      <c r="K4816" s="54" t="str">
        <f ca="1">IFERROR(VLOOKUP(F4794,'RR-3.1-5TH'!$A$12:'RR-3.1-5TH'!$BN$111,54,0),"")</f>
        <v/>
      </c>
      <c r="L4816" s="55">
        <f ca="1" t="shared" si="252"/>
        <v>0</v>
      </c>
      <c r="M4816" s="56" t="str">
        <f ca="1">IF(F4794&gt;ENTRY!$D$24,"",IF(L4816=0,"Ab",IF(L4816&gt;80,"A",IF(L4816&gt;60,"B",IF(L4816&gt;44,"C",IF(L4816&gt;=33,"D",IF(L4816&lt;=32,"E","")))))))</f>
        <v/>
      </c>
      <c r="N4816" s="57" t="s">
        <v>752</v>
      </c>
      <c r="O4816" s="58"/>
      <c r="P4816" s="59"/>
      <c r="Q4816" s="19"/>
      <c r="R4816" s="11"/>
    </row>
    <row r="4817" s="1" customFormat="1" ht="21.95" customHeight="1" spans="1:19">
      <c r="A4817" s="7"/>
      <c r="B4817" s="12"/>
      <c r="C4817" s="33"/>
      <c r="D4817" s="52" t="s">
        <v>753</v>
      </c>
      <c r="E4817" s="53"/>
      <c r="F4817" s="60"/>
      <c r="G4817" s="54"/>
      <c r="H4817" s="54"/>
      <c r="I4817" s="54"/>
      <c r="J4817" s="54"/>
      <c r="K4817" s="54"/>
      <c r="L4817" s="55">
        <f t="shared" ref="L4817" si="253">SUM(G4817:K4817)</f>
        <v>0</v>
      </c>
      <c r="M4817" s="56" t="str">
        <f>IF(F4794&gt;ENTRY!$D$24,"",IF(L4817=0,"",IF(L4817&gt;79,"A",IF(L4817&gt;59,"B",IF(L4817&gt;44,"C",IF(L4817&gt;=33,"D",IF(L4817&lt;=32,"E","")))))))</f>
        <v/>
      </c>
      <c r="N4817" s="58"/>
      <c r="O4817" s="58"/>
      <c r="P4817" s="59"/>
      <c r="Q4817" s="19"/>
      <c r="R4817" s="11"/>
    </row>
    <row r="4818" s="1" customFormat="1" ht="21.95" customHeight="1" spans="1:19">
      <c r="A4818" s="7"/>
      <c r="B4818" s="12"/>
      <c r="C4818" s="33"/>
      <c r="D4818" s="45" t="s">
        <v>382</v>
      </c>
      <c r="E4818" s="46"/>
      <c r="F4818" s="54">
        <f ca="1" t="shared" ref="F4818:L4818" si="254">IFERROR(SUM(F4811:F4817),"")</f>
        <v>0</v>
      </c>
      <c r="G4818" s="54">
        <f ca="1" t="shared" si="254"/>
        <v>0</v>
      </c>
      <c r="H4818" s="54">
        <f ca="1" t="shared" si="254"/>
        <v>0</v>
      </c>
      <c r="I4818" s="54">
        <f ca="1" t="shared" si="254"/>
        <v>0</v>
      </c>
      <c r="J4818" s="54">
        <f ca="1" t="shared" si="254"/>
        <v>0</v>
      </c>
      <c r="K4818" s="54">
        <f ca="1" t="shared" si="254"/>
        <v>0</v>
      </c>
      <c r="L4818" s="55">
        <f ca="1" t="shared" si="254"/>
        <v>0</v>
      </c>
      <c r="M4818" s="61" t="str">
        <f ca="1">IF(F4794&gt;ENTRY!$D$24,"",IF(N4819="Ab","Ab",IF(N4819&gt;79.5,"A",IF(N4819&gt;59.5,"B",IF(N4819&gt;44.5,"C",IF(N4819&gt;=33,"D",IF(N4819&lt;33,"E","")))))))</f>
        <v/>
      </c>
      <c r="N4818" s="62"/>
      <c r="O4818" s="58"/>
      <c r="P4818" s="59"/>
      <c r="Q4818" s="19"/>
      <c r="R4818" s="11"/>
    </row>
    <row r="4819" s="1" customFormat="1" ht="21.95" customHeight="1" spans="1:19">
      <c r="A4819" s="7"/>
      <c r="B4819" s="12"/>
      <c r="C4819" s="33"/>
      <c r="D4819" s="63" t="s">
        <v>721</v>
      </c>
      <c r="E4819" s="63"/>
      <c r="F4819" s="63"/>
      <c r="G4819" s="63"/>
      <c r="H4819" s="63"/>
      <c r="I4819" s="63"/>
      <c r="J4819" s="63"/>
      <c r="K4819" s="63"/>
      <c r="L4819" s="63"/>
      <c r="M4819" s="63"/>
      <c r="N4819" s="64">
        <f ca="1">IF(L4818="Ab","Ab",L4818/6)</f>
        <v>0</v>
      </c>
      <c r="O4819" s="65"/>
      <c r="P4819" s="19"/>
      <c r="Q4819" s="19"/>
      <c r="R4819" s="11"/>
    </row>
    <row r="4820" s="1" customFormat="1" ht="21.95" customHeight="1" spans="1:19">
      <c r="A4820" s="7"/>
      <c r="B4820" s="12"/>
      <c r="C4820" s="33"/>
      <c r="D4820" s="29" t="s">
        <v>716</v>
      </c>
      <c r="E4820" s="18" t="str">
        <f>IFERROR(VLOOKUP(F4794,'1to4-2.1-RR'!$A$12:$BG$111,57,0),"")</f>
        <v/>
      </c>
      <c r="F4820" s="18"/>
      <c r="G4820" s="18"/>
      <c r="H4820" s="18"/>
      <c r="I4820" s="18"/>
      <c r="J4820" s="18"/>
      <c r="K4820" s="18"/>
      <c r="L4820" s="18"/>
      <c r="M4820" s="18"/>
      <c r="N4820" s="29"/>
      <c r="O4820" s="29"/>
      <c r="P4820" s="19"/>
      <c r="Q4820" s="19"/>
      <c r="R4820" s="11"/>
    </row>
    <row r="4821" s="1" customFormat="1" ht="9.95" customHeight="1" spans="1:19">
      <c r="A4821" s="7"/>
      <c r="B4821" s="12"/>
      <c r="C4821" s="33"/>
      <c r="D4821" s="29"/>
      <c r="E4821" s="29"/>
      <c r="F4821" s="29"/>
      <c r="G4821" s="29"/>
      <c r="H4821" s="29"/>
      <c r="I4821" s="29"/>
      <c r="J4821" s="29"/>
      <c r="K4821" s="29"/>
      <c r="L4821" s="29"/>
      <c r="M4821" s="29"/>
      <c r="N4821" s="29"/>
      <c r="O4821" s="29"/>
      <c r="P4821" s="19"/>
      <c r="Q4821" s="19"/>
      <c r="R4821" s="11"/>
    </row>
    <row r="4822" s="1" customFormat="1" ht="36" spans="1:19">
      <c r="A4822" s="7"/>
      <c r="B4822" s="12"/>
      <c r="C4822" s="33"/>
      <c r="D4822" s="66" t="s">
        <v>576</v>
      </c>
      <c r="E4822" s="67" t="s">
        <v>754</v>
      </c>
      <c r="F4822" s="47" t="str">
        <f>IF(F4794&gt;ENTRY!$D$24,"",IFERROR(VLOOKUP(F4794,PASHEET!$A$4:$CJ$103,88,0),""))</f>
        <v/>
      </c>
      <c r="G4822" s="67" t="s">
        <v>755</v>
      </c>
      <c r="H4822" s="47" t="str">
        <f>IF(F4794&gt;ENTRY!$D$24,"",IFERROR(VLOOKUP(F4794,PASHEET!$A$4:$CJ$103,87,0),""))</f>
        <v/>
      </c>
      <c r="I4822" s="68" t="s">
        <v>756</v>
      </c>
      <c r="J4822" s="69" t="str">
        <f>IF(F4794&gt;ENTRY!$D$24,"",IFERROR(IF(F4794&gt;0,H4822/F4822*100),""))</f>
        <v/>
      </c>
      <c r="K4822" s="60" t="s">
        <v>757</v>
      </c>
      <c r="L4822" s="70" t="str">
        <f ca="1">IF(F4794&gt;ENTRY!$D$24,"",IFERROR(L4818/600*100,""))</f>
        <v/>
      </c>
      <c r="M4822" s="47" t="str">
        <f ca="1">IF(F4794&gt;ENTRY!$D$24,"",IFERROR(L4818&amp;" / "&amp;"600",""))</f>
        <v/>
      </c>
      <c r="N4822" s="29"/>
      <c r="O4822" s="29"/>
      <c r="P4822" s="19"/>
      <c r="Q4822" s="19"/>
      <c r="R4822" s="11"/>
    </row>
    <row r="4823" s="1" customFormat="1" ht="9.95" customHeight="1" spans="1:19">
      <c r="A4823" s="7"/>
      <c r="B4823" s="12"/>
      <c r="C4823" s="39"/>
      <c r="D4823" s="40"/>
      <c r="E4823" s="40"/>
      <c r="F4823" s="40"/>
      <c r="G4823" s="40"/>
      <c r="H4823" s="40"/>
      <c r="I4823" s="40"/>
      <c r="J4823" s="40"/>
      <c r="K4823" s="40"/>
      <c r="L4823" s="40"/>
      <c r="M4823" s="40"/>
      <c r="N4823" s="40"/>
      <c r="O4823" s="40"/>
      <c r="P4823" s="41"/>
      <c r="Q4823" s="19"/>
      <c r="R4823" s="11"/>
    </row>
    <row r="4824" s="1" customFormat="1" ht="9.95" customHeight="1" spans="1:19">
      <c r="A4824" s="7"/>
      <c r="B4824" s="12"/>
      <c r="C4824" s="71"/>
      <c r="D4824" s="71"/>
      <c r="E4824" s="71"/>
      <c r="F4824" s="29"/>
      <c r="G4824" s="71"/>
      <c r="H4824" s="71"/>
      <c r="I4824" s="71"/>
      <c r="J4824" s="71"/>
      <c r="K4824" s="71"/>
      <c r="L4824" s="71"/>
      <c r="M4824" s="71"/>
      <c r="N4824" s="71"/>
      <c r="O4824" s="71"/>
      <c r="P4824" s="71"/>
      <c r="Q4824" s="19"/>
      <c r="R4824" s="11"/>
    </row>
    <row r="4825" s="1" customFormat="1" ht="9.95" customHeight="1" spans="1:19">
      <c r="A4825" s="7"/>
      <c r="B4825" s="12"/>
      <c r="C4825" s="29"/>
      <c r="D4825" s="29"/>
      <c r="E4825" s="29"/>
      <c r="F4825" s="72"/>
      <c r="G4825" s="29"/>
      <c r="H4825" s="29"/>
      <c r="I4825" s="29"/>
      <c r="J4825" s="29"/>
      <c r="K4825" s="29"/>
      <c r="L4825" s="29"/>
      <c r="M4825" s="29"/>
      <c r="N4825" s="29"/>
      <c r="O4825" s="29"/>
      <c r="P4825" s="29"/>
      <c r="Q4825" s="19"/>
      <c r="R4825" s="11"/>
    </row>
    <row r="4826" s="1" customFormat="1" ht="9.95" customHeight="1" spans="1:19">
      <c r="A4826" s="7"/>
      <c r="B4826" s="12"/>
      <c r="C4826" s="30"/>
      <c r="D4826" s="31"/>
      <c r="E4826" s="31"/>
      <c r="F4826" s="31"/>
      <c r="G4826" s="31"/>
      <c r="H4826" s="31"/>
      <c r="I4826" s="31"/>
      <c r="J4826" s="31"/>
      <c r="K4826" s="31"/>
      <c r="L4826" s="31"/>
      <c r="M4826" s="31"/>
      <c r="N4826" s="31"/>
      <c r="O4826" s="31"/>
      <c r="P4826" s="32"/>
      <c r="Q4826" s="19"/>
      <c r="R4826" s="11"/>
    </row>
    <row r="4827" s="1" customFormat="1" ht="21.95" customHeight="1" spans="1:19">
      <c r="A4827" s="7"/>
      <c r="B4827" s="12"/>
      <c r="C4827" s="73" t="s">
        <v>7</v>
      </c>
      <c r="D4827" s="13"/>
      <c r="E4827" s="13"/>
      <c r="F4827" s="13"/>
      <c r="G4827" s="13"/>
      <c r="H4827" s="13"/>
      <c r="I4827" s="13"/>
      <c r="J4827" s="13"/>
      <c r="K4827" s="13"/>
      <c r="L4827" s="13"/>
      <c r="M4827" s="13"/>
      <c r="N4827" s="13"/>
      <c r="O4827" s="13"/>
      <c r="P4827" s="74"/>
      <c r="Q4827" s="19"/>
      <c r="R4827" s="11"/>
      <c r="S4827" s="2"/>
    </row>
    <row r="4828" s="1" customFormat="1" ht="21.95" customHeight="1" spans="1:19">
      <c r="A4828" s="7"/>
      <c r="B4828" s="12"/>
      <c r="C4828" s="33"/>
      <c r="D4828" s="29"/>
      <c r="E4828" s="29"/>
      <c r="F4828" s="29"/>
      <c r="G4828" s="29"/>
      <c r="H4828" s="29"/>
      <c r="I4828" s="29"/>
      <c r="J4828" s="29"/>
      <c r="K4828" s="29"/>
      <c r="L4828" s="29"/>
      <c r="M4828" s="29"/>
      <c r="N4828" s="29"/>
      <c r="O4828" s="29"/>
      <c r="P4828" s="19"/>
      <c r="Q4828" s="19"/>
      <c r="R4828" s="11"/>
    </row>
    <row r="4829" s="1" customFormat="1" ht="21.95" customHeight="1" spans="1:19">
      <c r="A4829" s="7"/>
      <c r="B4829" s="12"/>
      <c r="C4829" s="75" t="str">
        <f>"SESSION-"&amp;ENTRY!$D$11</f>
        <v>SESSION-2026-27</v>
      </c>
      <c r="D4829" s="15"/>
      <c r="E4829" s="15"/>
      <c r="F4829" s="15"/>
      <c r="G4829" s="15"/>
      <c r="H4829" s="15"/>
      <c r="I4829" s="15"/>
      <c r="J4829" s="15"/>
      <c r="K4829" s="15"/>
      <c r="L4829" s="15"/>
      <c r="M4829" s="15"/>
      <c r="N4829" s="15"/>
      <c r="O4829" s="15"/>
      <c r="P4829" s="76"/>
      <c r="Q4829" s="19"/>
      <c r="R4829" s="11"/>
    </row>
    <row r="4830" s="1" customFormat="1" ht="18" customHeight="1" spans="1:19">
      <c r="A4830" s="7"/>
      <c r="B4830" s="12"/>
      <c r="C4830" s="33"/>
      <c r="D4830" s="29"/>
      <c r="E4830" s="29"/>
      <c r="F4830" s="29"/>
      <c r="G4830" s="29"/>
      <c r="H4830" s="29"/>
      <c r="I4830" s="29"/>
      <c r="J4830" s="29"/>
      <c r="K4830" s="29"/>
      <c r="L4830" s="29"/>
      <c r="M4830" s="29"/>
      <c r="N4830" s="29"/>
      <c r="O4830" s="29"/>
      <c r="P4830" s="19"/>
      <c r="Q4830" s="19"/>
      <c r="R4830" s="11"/>
    </row>
    <row r="4831" s="1" customFormat="1" ht="21.95" customHeight="1" spans="1:19">
      <c r="A4831" s="7"/>
      <c r="B4831" s="12"/>
      <c r="C4831" s="33"/>
      <c r="D4831" s="77" t="s">
        <v>758</v>
      </c>
      <c r="E4831" s="77"/>
      <c r="F4831" s="78" t="str">
        <f>IFERROR(PROPER(VLOOKUP(F4794,STUDENT!$A$2:$BP$101,5,0)),"")</f>
        <v/>
      </c>
      <c r="G4831" s="78"/>
      <c r="H4831" s="78"/>
      <c r="I4831" s="78"/>
      <c r="J4831" s="78"/>
      <c r="K4831" s="78"/>
      <c r="L4831" s="78"/>
      <c r="M4831" s="78"/>
      <c r="N4831" s="79" t="s">
        <v>759</v>
      </c>
      <c r="O4831" s="79"/>
      <c r="P4831" s="19"/>
      <c r="Q4831" s="19"/>
      <c r="R4831" s="11"/>
    </row>
    <row r="4832" s="1" customFormat="1" ht="21.95" customHeight="1" spans="1:19">
      <c r="A4832" s="7"/>
      <c r="B4832" s="12"/>
      <c r="C4832" s="33"/>
      <c r="D4832" s="80" t="s">
        <v>760</v>
      </c>
      <c r="E4832" s="81" t="str">
        <f>IFERROR(PROPER(VLOOKUP(F4794,STUDENT!$A$2:$BP$101,9,0)),"")</f>
        <v/>
      </c>
      <c r="F4832" s="81"/>
      <c r="G4832" s="81"/>
      <c r="H4832" s="80" t="s">
        <v>761</v>
      </c>
      <c r="I4832" s="82" t="str">
        <f>IFERROR(PROPER(VLOOKUP(F4794,STUDENT!$A$2:$BP$101,8,0)),"")</f>
        <v/>
      </c>
      <c r="J4832" s="82"/>
      <c r="K4832" s="82"/>
      <c r="L4832" s="82"/>
      <c r="M4832" s="80" t="s">
        <v>762</v>
      </c>
      <c r="N4832" s="83" t="str">
        <f>IFERROR(VLOOKUP(F4794,STUDENT!$A$2:$BP$101,59,0),"")</f>
        <v/>
      </c>
      <c r="O4832" s="83"/>
      <c r="P4832" s="19"/>
      <c r="Q4832" s="19"/>
      <c r="R4832" s="11"/>
    </row>
    <row r="4833" s="1" customFormat="1" ht="21.95" customHeight="1" spans="1:18">
      <c r="A4833" s="7"/>
      <c r="B4833" s="12"/>
      <c r="C4833" s="33"/>
      <c r="D4833" s="77" t="str">
        <f>"has    completed     his  /  her     primary     level     education    in    the    year    "&amp;RIGHT(ENTRY!$D4799,4)&amp;"    from    ( School    Name )"</f>
        <v>has    completed     his  /  her     primary     level     education    in    the    year        from    ( School    Name )</v>
      </c>
      <c r="E4833" s="77"/>
      <c r="F4833" s="77"/>
      <c r="G4833" s="77"/>
      <c r="H4833" s="77"/>
      <c r="I4833" s="77"/>
      <c r="J4833" s="77"/>
      <c r="K4833" s="77"/>
      <c r="L4833" s="77"/>
      <c r="M4833" s="77"/>
      <c r="N4833" s="77"/>
      <c r="O4833" s="77"/>
      <c r="P4833" s="19"/>
      <c r="Q4833" s="19"/>
      <c r="R4833" s="11"/>
    </row>
    <row r="4834" s="1" customFormat="1" ht="21.95" customHeight="1" spans="1:18">
      <c r="A4834" s="7"/>
      <c r="B4834" s="12"/>
      <c r="C4834" s="33"/>
      <c r="D4834" s="81" t="str">
        <f>IF(F4794&gt;0,ENTRY!$D$6,"")</f>
        <v>MCP NITHARI NO 1 BOYS</v>
      </c>
      <c r="E4834" s="81"/>
      <c r="F4834" s="81"/>
      <c r="G4834" s="81"/>
      <c r="H4834" s="81"/>
      <c r="I4834" s="81"/>
      <c r="J4834" s="81"/>
      <c r="K4834" s="81"/>
      <c r="L4834" s="81"/>
      <c r="M4834" s="80" t="s">
        <v>763</v>
      </c>
      <c r="N4834" s="84">
        <f>IF(F4794&gt;0,ENTRY!$D$7,"")</f>
        <v>0</v>
      </c>
      <c r="O4834" s="84"/>
      <c r="P4834" s="85" t="s">
        <v>727</v>
      </c>
      <c r="Q4834" s="19"/>
      <c r="R4834" s="11"/>
    </row>
    <row r="4835" s="1" customFormat="1" ht="21.95" customHeight="1" spans="1:18">
      <c r="A4835" s="7"/>
      <c r="B4835" s="12"/>
      <c r="C4835" s="33"/>
      <c r="D4835" s="29"/>
      <c r="E4835" s="29"/>
      <c r="F4835" s="29"/>
      <c r="G4835" s="29"/>
      <c r="H4835" s="29"/>
      <c r="I4835" s="29"/>
      <c r="J4835" s="29"/>
      <c r="K4835" s="29"/>
      <c r="L4835" s="29"/>
      <c r="M4835" s="29"/>
      <c r="N4835" s="29"/>
      <c r="O4835" s="29"/>
      <c r="P4835" s="19"/>
      <c r="Q4835" s="19"/>
      <c r="R4835" s="11"/>
    </row>
    <row r="4836" s="1" customFormat="1" ht="21.95" customHeight="1" spans="1:18">
      <c r="A4836" s="7"/>
      <c r="B4836" s="12"/>
      <c r="C4836" s="33"/>
      <c r="D4836" s="29"/>
      <c r="E4836" s="29"/>
      <c r="F4836" s="29"/>
      <c r="G4836" s="29"/>
      <c r="H4836" s="29"/>
      <c r="I4836" s="29"/>
      <c r="J4836" s="29"/>
      <c r="K4836" s="29"/>
      <c r="L4836" s="29"/>
      <c r="M4836" s="29"/>
      <c r="N4836" s="29"/>
      <c r="O4836" s="29"/>
      <c r="P4836" s="19"/>
      <c r="Q4836" s="19"/>
      <c r="R4836" s="11"/>
    </row>
    <row r="4837" s="1" customFormat="1" ht="21.95" customHeight="1" spans="1:18">
      <c r="A4837" s="7"/>
      <c r="B4837" s="12"/>
      <c r="C4837" s="33"/>
      <c r="D4837" s="29"/>
      <c r="E4837" s="29"/>
      <c r="F4837" s="29"/>
      <c r="G4837" s="29"/>
      <c r="H4837" s="29"/>
      <c r="I4837" s="29"/>
      <c r="J4837" s="29"/>
      <c r="K4837" s="29"/>
      <c r="L4837" s="29"/>
      <c r="M4837" s="29"/>
      <c r="N4837" s="29"/>
      <c r="O4837" s="29"/>
      <c r="P4837" s="19"/>
      <c r="Q4837" s="19"/>
      <c r="R4837" s="11"/>
    </row>
    <row r="4838" s="1" customFormat="1" ht="21.95" customHeight="1" spans="1:18">
      <c r="A4838" s="7"/>
      <c r="B4838" s="12"/>
      <c r="C4838" s="33"/>
      <c r="D4838" s="29"/>
      <c r="E4838" s="29"/>
      <c r="F4838" s="29"/>
      <c r="G4838" s="29"/>
      <c r="H4838" s="29"/>
      <c r="I4838" s="29"/>
      <c r="J4838" s="29"/>
      <c r="K4838" s="29"/>
      <c r="L4838" s="29"/>
      <c r="M4838" s="29"/>
      <c r="N4838" s="29"/>
      <c r="O4838" s="29"/>
      <c r="P4838" s="19"/>
      <c r="Q4838" s="19"/>
      <c r="R4838" s="11"/>
    </row>
    <row r="4839" s="1" customFormat="1" ht="21.95" customHeight="1" spans="1:18">
      <c r="A4839" s="7"/>
      <c r="B4839" s="12"/>
      <c r="C4839" s="33"/>
      <c r="D4839" s="29"/>
      <c r="E4839" s="29"/>
      <c r="F4839" s="29"/>
      <c r="G4839" s="29"/>
      <c r="H4839" s="29"/>
      <c r="I4839" s="29"/>
      <c r="J4839" s="29"/>
      <c r="K4839" s="29"/>
      <c r="L4839" s="29"/>
      <c r="M4839" s="29"/>
      <c r="N4839" s="29"/>
      <c r="O4839" s="29"/>
      <c r="P4839" s="19"/>
      <c r="Q4839" s="19"/>
      <c r="R4839" s="11"/>
    </row>
    <row r="4840" s="1" customFormat="1" ht="21.95" customHeight="1" spans="1:18">
      <c r="A4840" s="7"/>
      <c r="B4840" s="12"/>
      <c r="C4840" s="33"/>
      <c r="D4840" s="80" t="s">
        <v>728</v>
      </c>
      <c r="E4840" s="86">
        <f>ENTRY!$D$27</f>
        <v>46102</v>
      </c>
      <c r="F4840" s="86"/>
      <c r="G4840" s="29"/>
      <c r="H4840" s="29"/>
      <c r="I4840" s="29"/>
      <c r="J4840" s="29"/>
      <c r="K4840" s="29"/>
      <c r="L4840" s="29"/>
      <c r="M4840" s="87" t="s">
        <v>730</v>
      </c>
      <c r="N4840" s="87"/>
      <c r="O4840" s="87"/>
      <c r="P4840" s="19"/>
      <c r="Q4840" s="19"/>
      <c r="R4840" s="11"/>
    </row>
    <row r="4841" s="1" customFormat="1" ht="21.95" customHeight="1" spans="1:18">
      <c r="A4841" s="7"/>
      <c r="B4841" s="12"/>
      <c r="C4841" s="33"/>
      <c r="D4841" s="80" t="s">
        <v>731</v>
      </c>
      <c r="E4841" s="88" t="str">
        <f>PROPER(ENTRY!$D$28)</f>
        <v>New Delhi</v>
      </c>
      <c r="F4841" s="88"/>
      <c r="G4841" s="29"/>
      <c r="H4841" s="29"/>
      <c r="I4841" s="29"/>
      <c r="J4841" s="29"/>
      <c r="K4841" s="29"/>
      <c r="L4841" s="29"/>
      <c r="M4841" s="89" t="s">
        <v>732</v>
      </c>
      <c r="N4841" s="89"/>
      <c r="O4841" s="89"/>
      <c r="P4841" s="19"/>
      <c r="Q4841" s="19"/>
      <c r="R4841" s="11"/>
    </row>
    <row r="4842" s="1" customFormat="1" ht="21.95" customHeight="1" spans="1:18">
      <c r="A4842" s="7"/>
      <c r="B4842" s="12"/>
      <c r="C4842" s="90"/>
      <c r="D4842" s="91"/>
      <c r="E4842" s="91"/>
      <c r="F4842" s="91"/>
      <c r="G4842" s="91"/>
      <c r="H4842" s="91"/>
      <c r="I4842" s="91"/>
      <c r="J4842" s="91"/>
      <c r="K4842" s="91"/>
      <c r="L4842" s="91"/>
      <c r="M4842" s="91"/>
      <c r="N4842" s="91"/>
      <c r="O4842" s="91"/>
      <c r="P4842" s="92"/>
      <c r="Q4842" s="14"/>
      <c r="R4842" s="11"/>
    </row>
    <row r="4843" s="1" customFormat="1" ht="5.1" customHeight="1" spans="1:18">
      <c r="A4843" s="7"/>
      <c r="B4843" s="90"/>
      <c r="C4843" s="91"/>
      <c r="D4843" s="91"/>
      <c r="E4843" s="91"/>
      <c r="F4843" s="91"/>
      <c r="G4843" s="91"/>
      <c r="H4843" s="91"/>
      <c r="I4843" s="91"/>
      <c r="J4843" s="91"/>
      <c r="K4843" s="91"/>
      <c r="L4843" s="91"/>
      <c r="M4843" s="91"/>
      <c r="N4843" s="91"/>
      <c r="O4843" s="91"/>
      <c r="P4843" s="91"/>
      <c r="Q4843" s="92"/>
      <c r="R4843" s="11"/>
    </row>
    <row r="4844" s="1" customFormat="1" ht="5.1" customHeight="1" spans="1:18">
      <c r="A4844" s="93"/>
      <c r="B4844" s="94"/>
      <c r="C4844" s="94"/>
      <c r="D4844" s="94"/>
      <c r="E4844" s="94"/>
      <c r="F4844" s="94"/>
      <c r="G4844" s="94"/>
      <c r="H4844" s="94"/>
      <c r="I4844" s="94"/>
      <c r="J4844" s="94"/>
      <c r="K4844" s="94"/>
      <c r="L4844" s="94"/>
      <c r="M4844" s="94"/>
      <c r="N4844" s="94"/>
      <c r="O4844" s="94"/>
      <c r="P4844" s="94"/>
      <c r="Q4844" s="94"/>
      <c r="R4844" s="95"/>
    </row>
    <row r="4845" s="2" customFormat="1" ht="9.95" customHeight="1"/>
    <row r="4846" s="1" customFormat="1" ht="5.1" customHeight="1" spans="1:18">
      <c r="A4846" s="4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6"/>
    </row>
    <row r="4847" s="1" customFormat="1" ht="15" customHeight="1" spans="1:18">
      <c r="A4847" s="7"/>
      <c r="B4847" s="8"/>
      <c r="C4847" s="9"/>
      <c r="D4847" s="9"/>
      <c r="E4847" s="9"/>
      <c r="F4847" s="9"/>
      <c r="G4847" s="9"/>
      <c r="H4847" s="9"/>
      <c r="I4847" s="9"/>
      <c r="J4847" s="9"/>
      <c r="K4847" s="9"/>
      <c r="L4847" s="9"/>
      <c r="M4847" s="9"/>
      <c r="N4847" s="9"/>
      <c r="O4847" s="9"/>
      <c r="P4847" s="9"/>
      <c r="Q4847" s="10"/>
      <c r="R4847" s="11"/>
    </row>
    <row r="4848" s="1" customFormat="1" ht="21.95" customHeight="1" spans="1:18">
      <c r="A4848" s="7"/>
      <c r="B4848" s="12"/>
      <c r="C4848" s="13" t="s">
        <v>7</v>
      </c>
      <c r="D4848" s="13"/>
      <c r="E4848" s="13"/>
      <c r="F4848" s="13"/>
      <c r="G4848" s="13"/>
      <c r="H4848" s="13"/>
      <c r="I4848" s="13"/>
      <c r="J4848" s="13"/>
      <c r="K4848" s="13"/>
      <c r="L4848" s="13"/>
      <c r="M4848" s="13"/>
      <c r="N4848" s="13"/>
      <c r="O4848" s="13"/>
      <c r="P4848" s="13"/>
      <c r="Q4848" s="14"/>
      <c r="R4848" s="11"/>
    </row>
    <row r="4849" s="1" customFormat="1" ht="21.95" customHeight="1" spans="1:18">
      <c r="A4849" s="7"/>
      <c r="B4849" s="1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14"/>
      <c r="R4849" s="11"/>
    </row>
    <row r="4850" s="1" customFormat="1" ht="21.95" customHeight="1" spans="1:18">
      <c r="A4850" s="7"/>
      <c r="B4850" s="12"/>
      <c r="C4850" s="15" t="str">
        <f>"SESSION-"&amp;ENTRY!$D$11</f>
        <v>SESSION-2026-27</v>
      </c>
      <c r="D4850" s="15"/>
      <c r="E4850" s="15"/>
      <c r="F4850" s="15"/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  <c r="Q4850" s="14"/>
      <c r="R4850" s="11"/>
    </row>
    <row r="4851" s="1" customFormat="1" ht="21.95" customHeight="1" spans="1:18">
      <c r="A4851" s="7"/>
      <c r="B4851" s="12"/>
      <c r="C4851" s="2"/>
      <c r="D4851" s="2"/>
      <c r="E4851" s="2"/>
      <c r="F4851" s="16">
        <f>F4794+1</f>
        <v>86</v>
      </c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14"/>
      <c r="R4851" s="11"/>
    </row>
    <row r="4852" s="1" customFormat="1" ht="21.95" customHeight="1" spans="1:18">
      <c r="A4852" s="7"/>
      <c r="B4852" s="12"/>
      <c r="C4852" s="17" t="s">
        <v>392</v>
      </c>
      <c r="D4852" s="17"/>
      <c r="E4852" s="17"/>
      <c r="F4852" s="18" t="str">
        <f>IF(F4851&gt;0,ENTRY!$D$6,"")</f>
        <v>MCP NITHARI NO 1 BOYS</v>
      </c>
      <c r="G4852" s="18"/>
      <c r="H4852" s="18"/>
      <c r="I4852" s="18"/>
      <c r="J4852" s="18"/>
      <c r="K4852" s="18"/>
      <c r="L4852" s="18"/>
      <c r="M4852" s="18"/>
      <c r="N4852" s="18"/>
      <c r="O4852" s="18"/>
      <c r="P4852" s="18"/>
      <c r="Q4852" s="19"/>
      <c r="R4852" s="11"/>
    </row>
    <row r="4853" s="1" customFormat="1" ht="21.95" customHeight="1" spans="1:18">
      <c r="A4853" s="7"/>
      <c r="B4853" s="12"/>
      <c r="C4853" s="17" t="s">
        <v>393</v>
      </c>
      <c r="D4853" s="17"/>
      <c r="E4853" s="17"/>
      <c r="F4853" s="18">
        <f>IF(F4851&gt;0,ENTRY!$D$7,"")</f>
        <v>0</v>
      </c>
      <c r="G4853" s="18"/>
      <c r="H4853" s="20" t="s">
        <v>702</v>
      </c>
      <c r="I4853" s="20"/>
      <c r="J4853" s="21">
        <f>IF(F4851&gt;0,ENTRY!$D$10,"")</f>
        <v>40</v>
      </c>
      <c r="K4853" s="20" t="s">
        <v>703</v>
      </c>
      <c r="L4853" s="22" t="str">
        <f>IF(F4851&gt;0,ENTRY!$D$5,"")</f>
        <v>ROHINI ZONE</v>
      </c>
      <c r="M4853" s="22"/>
      <c r="N4853" s="22"/>
      <c r="O4853" s="22"/>
      <c r="P4853" s="22"/>
      <c r="Q4853" s="19"/>
      <c r="R4853" s="11"/>
    </row>
    <row r="4854" s="1" customFormat="1" ht="21.95" customHeight="1" spans="1:18">
      <c r="A4854" s="7"/>
      <c r="B4854" s="12"/>
      <c r="C4854" s="17" t="s">
        <v>706</v>
      </c>
      <c r="D4854" s="17"/>
      <c r="E4854" s="17"/>
      <c r="F4854" s="23">
        <f>IFERROR(VLOOKUP(F4851,STUDENT!$A$2:$BP$101,5,0),"")</f>
        <v>0</v>
      </c>
      <c r="G4854" s="23"/>
      <c r="H4854" s="23"/>
      <c r="I4854" s="23"/>
      <c r="J4854" s="23"/>
      <c r="K4854" s="23"/>
      <c r="L4854" s="20" t="s">
        <v>707</v>
      </c>
      <c r="M4854" s="20"/>
      <c r="N4854" s="24" t="str">
        <f>IF(F4851&gt;0,ENTRY!$D$20&amp;"-"&amp;ENTRY!$D$21,"")</f>
        <v>III-A</v>
      </c>
      <c r="O4854" s="24"/>
      <c r="P4854" s="24"/>
      <c r="Q4854" s="19"/>
      <c r="R4854" s="11"/>
    </row>
    <row r="4855" s="1" customFormat="1" ht="21.95" customHeight="1" spans="1:18">
      <c r="A4855" s="7"/>
      <c r="B4855" s="12"/>
      <c r="C4855" s="17" t="s">
        <v>708</v>
      </c>
      <c r="D4855" s="17"/>
      <c r="E4855" s="17"/>
      <c r="F4855" s="25">
        <f>IFERROR(VLOOKUP(F4851,STUDENT!$A$2:$BP$101,6,0),"")</f>
        <v>0</v>
      </c>
      <c r="G4855" s="25"/>
      <c r="H4855" s="26" t="s">
        <v>709</v>
      </c>
      <c r="I4855" s="27" t="str">
        <f>IFERROR(VLOOKUP(F4851,STUDENT!$A$2:$BP$101,59,0),"")</f>
        <v/>
      </c>
      <c r="J4855" s="27"/>
      <c r="K4855" s="20" t="s">
        <v>710</v>
      </c>
      <c r="L4855" s="20"/>
      <c r="M4855" s="28">
        <f>IFERROR(VLOOKUP(F4851,STUDENT!$A$2:$BP$101,20,0),"")</f>
        <v>0</v>
      </c>
      <c r="N4855" s="28"/>
      <c r="O4855" s="28"/>
      <c r="P4855" s="28"/>
      <c r="Q4855" s="19"/>
      <c r="R4855" s="11"/>
    </row>
    <row r="4856" s="1" customFormat="1" ht="21.95" customHeight="1" spans="1:18">
      <c r="A4856" s="7"/>
      <c r="B4856" s="12"/>
      <c r="C4856" s="17" t="s">
        <v>711</v>
      </c>
      <c r="D4856" s="17"/>
      <c r="E4856" s="17"/>
      <c r="F4856" s="23">
        <f>IFERROR(VLOOKUP(F4851,STUDENT!$A$2:$BP$101,9,0),"")</f>
        <v>0</v>
      </c>
      <c r="G4856" s="23"/>
      <c r="H4856" s="23"/>
      <c r="I4856" s="23"/>
      <c r="J4856" s="17" t="s">
        <v>620</v>
      </c>
      <c r="K4856" s="17"/>
      <c r="L4856" s="23">
        <f>IFERROR(VLOOKUP(F4851,STUDENT!$A$2:$BP$101,8,0),"")</f>
        <v>0</v>
      </c>
      <c r="M4856" s="23"/>
      <c r="N4856" s="23"/>
      <c r="O4856" s="23"/>
      <c r="P4856" s="23"/>
      <c r="Q4856" s="19"/>
      <c r="R4856" s="11"/>
    </row>
    <row r="4857" s="1" customFormat="1" ht="21.95" customHeight="1" spans="1:18">
      <c r="A4857" s="7"/>
      <c r="B4857" s="12"/>
      <c r="C4857" s="17" t="s">
        <v>712</v>
      </c>
      <c r="D4857" s="17"/>
      <c r="E4857" s="17"/>
      <c r="F4857" s="23">
        <f>IFERROR(VLOOKUP(F4851,STUDENT!$A$2:$BP$101,22,0),"")</f>
        <v>0</v>
      </c>
      <c r="G4857" s="23"/>
      <c r="H4857" s="23"/>
      <c r="I4857" s="23"/>
      <c r="J4857" s="23"/>
      <c r="K4857" s="23"/>
      <c r="L4857" s="23"/>
      <c r="M4857" s="23"/>
      <c r="N4857" s="23"/>
      <c r="O4857" s="23"/>
      <c r="P4857" s="23"/>
      <c r="Q4857" s="19"/>
      <c r="R4857" s="11"/>
    </row>
    <row r="4858" s="1" customFormat="1" ht="9.95" customHeight="1" spans="1:18">
      <c r="A4858" s="7"/>
      <c r="B4858" s="12"/>
      <c r="C4858" s="29"/>
      <c r="D4858" s="29"/>
      <c r="E4858" s="29"/>
      <c r="F4858" s="29"/>
      <c r="G4858" s="29"/>
      <c r="H4858" s="29"/>
      <c r="I4858" s="29"/>
      <c r="J4858" s="29"/>
      <c r="K4858" s="29"/>
      <c r="L4858" s="29"/>
      <c r="M4858" s="29"/>
      <c r="N4858" s="29"/>
      <c r="O4858" s="29"/>
      <c r="P4858" s="29"/>
      <c r="Q4858" s="19"/>
      <c r="R4858" s="11"/>
    </row>
    <row r="4859" s="1" customFormat="1" ht="9.95" customHeight="1" spans="1:18">
      <c r="A4859" s="7"/>
      <c r="B4859" s="12"/>
      <c r="C4859" s="30"/>
      <c r="D4859" s="31"/>
      <c r="E4859" s="31"/>
      <c r="F4859" s="31"/>
      <c r="G4859" s="31"/>
      <c r="H4859" s="31"/>
      <c r="I4859" s="31"/>
      <c r="J4859" s="31"/>
      <c r="K4859" s="31"/>
      <c r="L4859" s="31"/>
      <c r="M4859" s="31"/>
      <c r="N4859" s="31"/>
      <c r="O4859" s="31"/>
      <c r="P4859" s="32"/>
      <c r="Q4859" s="19"/>
      <c r="R4859" s="11"/>
    </row>
    <row r="4860" s="1" customFormat="1" ht="21.95" customHeight="1" spans="1:18">
      <c r="A4860" s="7"/>
      <c r="B4860" s="12"/>
      <c r="C4860" s="33"/>
      <c r="D4860" s="34" t="s">
        <v>713</v>
      </c>
      <c r="E4860" s="20" t="s">
        <v>714</v>
      </c>
      <c r="F4860" s="35" t="str">
        <f>"Level - "&amp;IFERROR(VLOOKUP(F4851,FLN!$A$4:$K$103,9,0),"")</f>
        <v>Level - </v>
      </c>
      <c r="G4860" s="36"/>
      <c r="H4860" s="37" t="s">
        <v>715</v>
      </c>
      <c r="I4860" s="20"/>
      <c r="J4860" s="35" t="str">
        <f>"Level - "&amp;IFERROR(VLOOKUP(F4851,FLN!$A$4:$K$103,11,0),"")</f>
        <v>Level - </v>
      </c>
      <c r="K4860" s="36"/>
      <c r="L4860" s="37" t="s">
        <v>408</v>
      </c>
      <c r="M4860" s="20"/>
      <c r="N4860" s="35" t="str">
        <f>"Level - "&amp;IFERROR(VLOOKUP(F4851,FLN!$A$4:$K$103,10,0),"")</f>
        <v>Level - </v>
      </c>
      <c r="O4860" s="36"/>
      <c r="P4860" s="19"/>
      <c r="Q4860" s="19"/>
      <c r="R4860" s="11"/>
    </row>
    <row r="4861" s="1" customFormat="1" ht="21.95" customHeight="1" spans="1:18">
      <c r="A4861" s="7"/>
      <c r="B4861" s="12"/>
      <c r="C4861" s="33"/>
      <c r="D4861" s="38"/>
      <c r="E4861" s="20" t="s">
        <v>716</v>
      </c>
      <c r="F4861" s="18" t="str">
        <f ca="1">IF(L4875&gt;197,"PERFORMED WELL","")</f>
        <v/>
      </c>
      <c r="G4861" s="18"/>
      <c r="H4861" s="18"/>
      <c r="I4861" s="18"/>
      <c r="J4861" s="18"/>
      <c r="K4861" s="18"/>
      <c r="L4861" s="18"/>
      <c r="M4861" s="18"/>
      <c r="N4861" s="18"/>
      <c r="O4861" s="18"/>
      <c r="P4861" s="19"/>
      <c r="Q4861" s="19"/>
      <c r="R4861" s="11"/>
    </row>
    <row r="4862" s="1" customFormat="1" ht="9.95" customHeight="1" spans="1:18">
      <c r="A4862" s="7"/>
      <c r="B4862" s="12"/>
      <c r="C4862" s="39"/>
      <c r="D4862" s="40"/>
      <c r="E4862" s="40"/>
      <c r="F4862" s="40"/>
      <c r="G4862" s="40"/>
      <c r="H4862" s="40"/>
      <c r="I4862" s="40"/>
      <c r="J4862" s="40"/>
      <c r="K4862" s="40"/>
      <c r="L4862" s="40"/>
      <c r="M4862" s="40"/>
      <c r="N4862" s="40"/>
      <c r="O4862" s="40"/>
      <c r="P4862" s="41"/>
      <c r="Q4862" s="19"/>
      <c r="R4862" s="11"/>
    </row>
    <row r="4863" s="1" customFormat="1" ht="9.95" customHeight="1" spans="1:18">
      <c r="A4863" s="7"/>
      <c r="B4863" s="12"/>
      <c r="C4863" s="29"/>
      <c r="D4863" s="29"/>
      <c r="E4863" s="29"/>
      <c r="F4863" s="29"/>
      <c r="G4863" s="29"/>
      <c r="H4863" s="29"/>
      <c r="I4863" s="29"/>
      <c r="J4863" s="29"/>
      <c r="K4863" s="29"/>
      <c r="L4863" s="29"/>
      <c r="M4863" s="29"/>
      <c r="N4863" s="29"/>
      <c r="O4863" s="29"/>
      <c r="P4863" s="29"/>
      <c r="Q4863" s="19"/>
      <c r="R4863" s="11"/>
    </row>
    <row r="4864" s="1" customFormat="1" ht="9.95" customHeight="1" spans="1:18">
      <c r="A4864" s="7"/>
      <c r="B4864" s="12"/>
      <c r="C4864" s="30"/>
      <c r="D4864" s="31"/>
      <c r="E4864" s="31"/>
      <c r="F4864" s="31"/>
      <c r="G4864" s="31"/>
      <c r="H4864" s="31"/>
      <c r="I4864" s="31"/>
      <c r="J4864" s="31"/>
      <c r="K4864" s="31"/>
      <c r="L4864" s="31"/>
      <c r="M4864" s="31"/>
      <c r="N4864" s="31"/>
      <c r="O4864" s="31"/>
      <c r="P4864" s="32"/>
      <c r="Q4864" s="19"/>
      <c r="R4864" s="11"/>
    </row>
    <row r="4865" s="1" customFormat="1" ht="21.95" customHeight="1" spans="1:18">
      <c r="A4865" s="7"/>
      <c r="B4865" s="12"/>
      <c r="C4865" s="33"/>
      <c r="D4865" s="35"/>
      <c r="E4865" s="24"/>
      <c r="F4865" s="42" t="s">
        <v>717</v>
      </c>
      <c r="G4865" s="42"/>
      <c r="H4865" s="42"/>
      <c r="I4865" s="42"/>
      <c r="J4865" s="42"/>
      <c r="K4865" s="42"/>
      <c r="L4865" s="43"/>
      <c r="M4865" s="44"/>
      <c r="N4865" s="29"/>
      <c r="O4865" s="29"/>
      <c r="P4865" s="19"/>
      <c r="Q4865" s="19"/>
      <c r="R4865" s="11"/>
    </row>
    <row r="4866" s="1" customFormat="1" ht="21.95" customHeight="1" spans="1:18">
      <c r="A4866" s="7"/>
      <c r="B4866" s="12"/>
      <c r="C4866" s="33"/>
      <c r="D4866" s="45"/>
      <c r="E4866" s="46"/>
      <c r="F4866" s="47" t="s">
        <v>541</v>
      </c>
      <c r="G4866" s="47" t="s">
        <v>542</v>
      </c>
      <c r="H4866" s="47" t="s">
        <v>543</v>
      </c>
      <c r="I4866" s="47" t="s">
        <v>544</v>
      </c>
      <c r="J4866" s="47" t="s">
        <v>561</v>
      </c>
      <c r="K4866" s="48" t="s">
        <v>750</v>
      </c>
      <c r="L4866" s="47" t="s">
        <v>382</v>
      </c>
      <c r="M4866" s="49" t="s">
        <v>546</v>
      </c>
      <c r="N4866" s="29"/>
      <c r="O4866" s="29"/>
      <c r="P4866" s="19"/>
      <c r="Q4866" s="19"/>
      <c r="R4866" s="11"/>
    </row>
    <row r="4867" s="1" customFormat="1" ht="21.95" customHeight="1" spans="1:18">
      <c r="A4867" s="7"/>
      <c r="B4867" s="12"/>
      <c r="C4867" s="33"/>
      <c r="D4867" s="45" t="s">
        <v>652</v>
      </c>
      <c r="E4867" s="46"/>
      <c r="F4867" s="50">
        <v>10</v>
      </c>
      <c r="G4867" s="50">
        <v>10</v>
      </c>
      <c r="H4867" s="50">
        <v>10</v>
      </c>
      <c r="I4867" s="50">
        <v>10</v>
      </c>
      <c r="J4867" s="50">
        <v>60</v>
      </c>
      <c r="K4867" s="51"/>
      <c r="L4867" s="50">
        <v>100</v>
      </c>
      <c r="M4867" s="49"/>
      <c r="N4867" s="29"/>
      <c r="O4867" s="29"/>
      <c r="P4867" s="19"/>
      <c r="Q4867" s="19"/>
      <c r="R4867" s="11"/>
    </row>
    <row r="4868" s="1" customFormat="1" ht="21.95" customHeight="1" spans="1:18">
      <c r="A4868" s="7"/>
      <c r="B4868" s="12"/>
      <c r="C4868" s="33"/>
      <c r="D4868" s="52" t="s">
        <v>751</v>
      </c>
      <c r="E4868" s="53"/>
      <c r="F4868" s="54" t="str">
        <f ca="1">IFERROR(VLOOKUP(F4851,'RR-3.1-5TH'!$A$12:'RR-3.1-5TH'!$BN$111,9,0),"")</f>
        <v/>
      </c>
      <c r="G4868" s="54" t="str">
        <f ca="1">IFERROR(VLOOKUP(F4851,'RR-3.1-5TH'!$A$12:'RR-3.1-5TH'!$BN$111,10,0),"")</f>
        <v/>
      </c>
      <c r="H4868" s="54" t="str">
        <f ca="1">IFERROR(VLOOKUP(F4851,'RR-3.1-5TH'!$A$12:'RR-3.1-5TH'!$BN$111,11,0),"")</f>
        <v/>
      </c>
      <c r="I4868" s="54" t="str">
        <f ca="1">IFERROR(VLOOKUP(F4851,'RR-3.1-5TH'!$A$12:'RR-3.1-5TH'!$BN$111,12,0),"")</f>
        <v/>
      </c>
      <c r="J4868" s="54" t="str">
        <f ca="1">IFERROR(VLOOKUP(F4851,'RR-3.1-5TH'!$A$12:'RR-3.1-5TH'!$BN$111,13,0),"")</f>
        <v/>
      </c>
      <c r="K4868" s="54" t="str">
        <f ca="1">IFERROR(VLOOKUP(F4851,'RR-3.1-5TH'!$A$12:'RR-3.1-5TH'!$BN$111,14,0),"")</f>
        <v/>
      </c>
      <c r="L4868" s="55">
        <f ca="1" t="shared" ref="L4868:L4873" si="255">SUM(F4868,G4868,H4868,I4868,J4868,K4868)</f>
        <v>0</v>
      </c>
      <c r="M4868" s="56" t="str">
        <f ca="1">IF(F4851&gt;ENTRY!$D$24,"",IF(L4868=0,"Ab",IF(L4868&gt;80,"A",IF(L4868&gt;60,"B",IF(L4868&gt;44,"C",IF(L4868&gt;=33,"D",IF(L4868&lt;=32,"E","")))))))</f>
        <v/>
      </c>
      <c r="N4868" s="57" t="s">
        <v>729</v>
      </c>
      <c r="O4868" s="58"/>
      <c r="P4868" s="59"/>
      <c r="Q4868" s="19"/>
      <c r="R4868" s="11"/>
    </row>
    <row r="4869" s="1" customFormat="1" ht="21.95" customHeight="1" spans="1:18">
      <c r="A4869" s="7"/>
      <c r="B4869" s="12"/>
      <c r="C4869" s="33"/>
      <c r="D4869" s="52" t="s">
        <v>513</v>
      </c>
      <c r="E4869" s="53"/>
      <c r="F4869" s="54" t="str">
        <f ca="1">IFERROR(VLOOKUP(F4851,'RR-3.1-5TH'!$A$12:'RR-3.1-5TH'!$BN$111,17,0),"")</f>
        <v/>
      </c>
      <c r="G4869" s="54" t="str">
        <f ca="1">IFERROR(VLOOKUP(F4851,'RR-3.1-5TH'!$A$12:'RR-3.1-5TH'!$BN$111,18,0),"")</f>
        <v/>
      </c>
      <c r="H4869" s="54" t="str">
        <f ca="1">IFERROR(VLOOKUP(F4851,'RR-3.1-5TH'!$A$12:'RR-3.1-5TH'!$BN$111,19,0),"")</f>
        <v/>
      </c>
      <c r="I4869" s="54" t="str">
        <f ca="1">IFERROR(VLOOKUP(F4851,'RR-3.1-5TH'!$A$12:'RR-3.1-5TH'!$BN$111,20,0),"")</f>
        <v/>
      </c>
      <c r="J4869" s="54" t="str">
        <f ca="1">IFERROR(VLOOKUP(F4851,'RR-3.1-5TH'!$A$12:'RR-3.1-5TH'!$BN$111,21,0),"")</f>
        <v/>
      </c>
      <c r="K4869" s="54" t="str">
        <f ca="1">IFERROR(VLOOKUP(F4851,'RR-3.1-5TH'!$A$12:'RR-3.1-5TH'!$BN$111,22,0),"")</f>
        <v/>
      </c>
      <c r="L4869" s="55">
        <f ca="1" t="shared" si="255"/>
        <v>0</v>
      </c>
      <c r="M4869" s="56" t="str">
        <f ca="1">IF(F4851&gt;ENTRY!$D$24,"",IF(L4869=0,"Ab",IF(L4869&gt;80,"A",IF(L4869&gt;60,"B",IF(L4869&gt;44,"C",IF(L4869&gt;=33,"D",IF(L4869&lt;=32,"E","")))))))</f>
        <v/>
      </c>
      <c r="N4869" s="58"/>
      <c r="O4869" s="58"/>
      <c r="P4869" s="59"/>
      <c r="Q4869" s="19"/>
      <c r="R4869" s="11"/>
    </row>
    <row r="4870" s="1" customFormat="1" ht="21.95" customHeight="1" spans="1:18">
      <c r="A4870" s="7"/>
      <c r="B4870" s="12"/>
      <c r="C4870" s="33"/>
      <c r="D4870" s="52" t="s">
        <v>718</v>
      </c>
      <c r="E4870" s="53"/>
      <c r="F4870" s="54" t="str">
        <f ca="1">IFERROR(VLOOKUP(F4851,'RR-3.1-5TH'!$A$12:'RR-3.1-5TH'!$BN$111,25,0),"")</f>
        <v/>
      </c>
      <c r="G4870" s="54" t="str">
        <f ca="1">IFERROR(VLOOKUP(F4851,'RR-3.1-5TH'!$A$12:'RR-3.1-5TH'!$BN$111,26,0),"")</f>
        <v/>
      </c>
      <c r="H4870" s="54" t="str">
        <f ca="1">IFERROR(VLOOKUP(F4851,'RR-3.1-5TH'!$A$12:'RR-3.1-5TH'!$BN$111,27,0),"")</f>
        <v/>
      </c>
      <c r="I4870" s="54" t="str">
        <f ca="1">IFERROR(VLOOKUP(F4851,'RR-3.1-5TH'!$A$12:'RR-3.1-5TH'!$BN$111,28,0),"")</f>
        <v/>
      </c>
      <c r="J4870" s="54" t="str">
        <f ca="1">IFERROR(VLOOKUP(F4851,'RR-3.1-5TH'!$A$12:'RR-3.1-5TH'!$BN$111,29,0),"")</f>
        <v/>
      </c>
      <c r="K4870" s="54" t="str">
        <f ca="1">IFERROR(VLOOKUP(F4851,'RR-3.1-5TH'!$A$12:'RR-3.1-5TH'!$BN$111,30,0),"")</f>
        <v/>
      </c>
      <c r="L4870" s="55">
        <f ca="1" t="shared" si="255"/>
        <v>0</v>
      </c>
      <c r="M4870" s="56" t="str">
        <f ca="1">IF(F4851&gt;ENTRY!$D$24,"",IF(L4870=0,"Ab",IF(L4870&gt;80,"A",IF(L4870&gt;60,"B",IF(L4870&gt;44,"C",IF(L4870&gt;=33,"D",IF(L4870&lt;=32,"E","")))))))</f>
        <v/>
      </c>
      <c r="N4870" s="29"/>
      <c r="O4870" s="29"/>
      <c r="P4870" s="19"/>
      <c r="Q4870" s="19"/>
      <c r="R4870" s="11"/>
    </row>
    <row r="4871" s="1" customFormat="1" ht="21.95" customHeight="1" spans="1:18">
      <c r="A4871" s="7"/>
      <c r="B4871" s="12"/>
      <c r="C4871" s="33"/>
      <c r="D4871" s="52" t="s">
        <v>719</v>
      </c>
      <c r="E4871" s="53"/>
      <c r="F4871" s="54" t="str">
        <f ca="1">IFERROR(VLOOKUP(F4851,'RR-3.1-5TH'!$A$12:'RR-3.1-5TH'!$BN$111,33,0),"")</f>
        <v/>
      </c>
      <c r="G4871" s="54" t="str">
        <f ca="1">IFERROR(VLOOKUP(F4851,'RR-3.1-5TH'!$A$12:'RR-3.1-5TH'!$BN$111,34,0),"")</f>
        <v/>
      </c>
      <c r="H4871" s="54" t="str">
        <f ca="1">IFERROR(VLOOKUP(F4851,'RR-3.1-5TH'!$A$12:'RR-3.1-5TH'!$BN$111,35,0),"")</f>
        <v/>
      </c>
      <c r="I4871" s="54" t="str">
        <f ca="1">IFERROR(VLOOKUP(F4851,'RR-3.1-5TH'!$A$12:'RR-3.1-5TH'!$BN$111,36,0),"")</f>
        <v/>
      </c>
      <c r="J4871" s="54" t="str">
        <f ca="1">IFERROR(VLOOKUP(F4851,'RR-3.1-5TH'!$A$12:'RR-3.1-5TH'!$BN$111,37,0),"")</f>
        <v/>
      </c>
      <c r="K4871" s="54" t="str">
        <f ca="1">IFERROR(VLOOKUP(F4851,'RR-3.1-5TH'!$A$12:'RR-3.1-5TH'!$BN$111,38,0),"")</f>
        <v/>
      </c>
      <c r="L4871" s="55">
        <f ca="1" t="shared" si="255"/>
        <v>0</v>
      </c>
      <c r="M4871" s="56" t="str">
        <f ca="1">IF(F4851&gt;ENTRY!$D$24,"",IF(L4871=0,"Ab",IF(L4871&gt;80,"A",IF(L4871&gt;60,"B",IF(L4871&gt;44,"C",IF(L4871&gt;=33,"D",IF(L4871&lt;=32,"E","")))))))</f>
        <v/>
      </c>
      <c r="N4871" s="29"/>
      <c r="O4871" s="29"/>
      <c r="P4871" s="19"/>
      <c r="Q4871" s="19"/>
      <c r="R4871" s="11"/>
    </row>
    <row r="4872" s="1" customFormat="1" ht="21.95" customHeight="1" spans="1:18">
      <c r="A4872" s="7"/>
      <c r="B4872" s="12"/>
      <c r="C4872" s="33"/>
      <c r="D4872" s="52" t="s">
        <v>548</v>
      </c>
      <c r="E4872" s="53"/>
      <c r="F4872" s="54" t="str">
        <f ca="1">IFERROR(VLOOKUP(F4851,'RR-3.1-5TH'!$A$12:'RR-3.1-5TH'!$BN$111,41,0),"")</f>
        <v/>
      </c>
      <c r="G4872" s="54" t="str">
        <f ca="1">IFERROR(VLOOKUP(F4851,'RR-3.1-5TH'!$A$12:'RR-3.1-5TH'!$BN$111,42,0),"")</f>
        <v/>
      </c>
      <c r="H4872" s="54" t="str">
        <f ca="1">IFERROR(VLOOKUP(F4851,'RR-3.1-5TH'!$A$12:'RR-3.1-5TH'!$BN$111,43,0),"")</f>
        <v/>
      </c>
      <c r="I4872" s="54" t="str">
        <f ca="1">IFERROR(VLOOKUP(F4851,'RR-3.1-5TH'!$A$12:'RR-3.1-5TH'!$BN$111,44,0),"")</f>
        <v/>
      </c>
      <c r="J4872" s="54" t="str">
        <f ca="1">IFERROR(VLOOKUP(F4851,'RR-3.1-5TH'!$A$12:'RR-3.1-5TH'!$BN$111,45,0),"")</f>
        <v/>
      </c>
      <c r="K4872" s="54" t="str">
        <f ca="1">IFERROR(VLOOKUP(F4851,'RR-3.1-5TH'!$A$12:'RR-3.1-5TH'!$BN$111,46,0),"")</f>
        <v/>
      </c>
      <c r="L4872" s="55">
        <f ca="1" t="shared" si="255"/>
        <v>0</v>
      </c>
      <c r="M4872" s="56" t="str">
        <f ca="1">IF(F4851&gt;ENTRY!$D$24,"",IF(L4872=0,"Ab",IF(L4872&gt;80,"A",IF(L4872&gt;60,"B",IF(L4872&gt;44,"C",IF(L4872&gt;=33,"D",IF(L4872&lt;=32,"E","")))))))</f>
        <v/>
      </c>
      <c r="N4872" s="29"/>
      <c r="O4872" s="29"/>
      <c r="P4872" s="19"/>
      <c r="Q4872" s="19"/>
      <c r="R4872" s="11"/>
    </row>
    <row r="4873" s="1" customFormat="1" ht="21.95" customHeight="1" spans="1:18">
      <c r="A4873" s="7"/>
      <c r="B4873" s="12"/>
      <c r="C4873" s="33"/>
      <c r="D4873" s="52" t="s">
        <v>549</v>
      </c>
      <c r="E4873" s="53"/>
      <c r="F4873" s="54" t="str">
        <f ca="1">IFERROR(VLOOKUP(F4851,'RR-3.1-5TH'!$A$12:'RR-3.1-5TH'!$BN$111,49,0),"")</f>
        <v/>
      </c>
      <c r="G4873" s="54" t="str">
        <f ca="1">IFERROR(VLOOKUP(F4851,'RR-3.1-5TH'!$A$12:'RR-3.1-5TH'!$BN$111,50,0),"")</f>
        <v/>
      </c>
      <c r="H4873" s="54" t="str">
        <f ca="1">IFERROR(VLOOKUP(F4851,'RR-3.1-5TH'!$A$12:'RR-3.1-5TH'!$BN$111,51,0),"")</f>
        <v/>
      </c>
      <c r="I4873" s="54" t="str">
        <f ca="1">IFERROR(VLOOKUP(F4851,'RR-3.1-5TH'!$A$12:'RR-3.1-5TH'!$BN$111,52,0),"")</f>
        <v/>
      </c>
      <c r="J4873" s="54" t="str">
        <f ca="1">IFERROR(VLOOKUP(F4851,'RR-3.1-5TH'!$A$12:'RR-3.1-5TH'!$BN$111,53,0),"")</f>
        <v/>
      </c>
      <c r="K4873" s="54" t="str">
        <f ca="1">IFERROR(VLOOKUP(F4851,'RR-3.1-5TH'!$A$12:'RR-3.1-5TH'!$BN$111,54,0),"")</f>
        <v/>
      </c>
      <c r="L4873" s="55">
        <f ca="1" t="shared" si="255"/>
        <v>0</v>
      </c>
      <c r="M4873" s="56" t="str">
        <f ca="1">IF(F4851&gt;ENTRY!$D$24,"",IF(L4873=0,"Ab",IF(L4873&gt;80,"A",IF(L4873&gt;60,"B",IF(L4873&gt;44,"C",IF(L4873&gt;=33,"D",IF(L4873&lt;=32,"E","")))))))</f>
        <v/>
      </c>
      <c r="N4873" s="57" t="s">
        <v>752</v>
      </c>
      <c r="O4873" s="58"/>
      <c r="P4873" s="59"/>
      <c r="Q4873" s="19"/>
      <c r="R4873" s="11"/>
    </row>
    <row r="4874" s="1" customFormat="1" ht="21.95" customHeight="1" spans="1:18">
      <c r="A4874" s="7"/>
      <c r="B4874" s="12"/>
      <c r="C4874" s="33"/>
      <c r="D4874" s="52" t="s">
        <v>753</v>
      </c>
      <c r="E4874" s="53"/>
      <c r="F4874" s="60"/>
      <c r="G4874" s="54"/>
      <c r="H4874" s="54"/>
      <c r="I4874" s="54"/>
      <c r="J4874" s="54"/>
      <c r="K4874" s="54"/>
      <c r="L4874" s="55">
        <f t="shared" ref="L4874" si="256">SUM(G4874:K4874)</f>
        <v>0</v>
      </c>
      <c r="M4874" s="56" t="str">
        <f>IF(F4851&gt;ENTRY!$D$24,"",IF(L4874=0,"",IF(L4874&gt;79,"A",IF(L4874&gt;59,"B",IF(L4874&gt;44,"C",IF(L4874&gt;=33,"D",IF(L4874&lt;=32,"E","")))))))</f>
        <v/>
      </c>
      <c r="N4874" s="58"/>
      <c r="O4874" s="58"/>
      <c r="P4874" s="59"/>
      <c r="Q4874" s="19"/>
      <c r="R4874" s="11"/>
    </row>
    <row r="4875" s="1" customFormat="1" ht="21.95" customHeight="1" spans="1:18">
      <c r="A4875" s="7"/>
      <c r="B4875" s="12"/>
      <c r="C4875" s="33"/>
      <c r="D4875" s="45" t="s">
        <v>382</v>
      </c>
      <c r="E4875" s="46"/>
      <c r="F4875" s="54">
        <f ca="1" t="shared" ref="F4875:L4875" si="257">IFERROR(SUM(F4868:F4874),"")</f>
        <v>0</v>
      </c>
      <c r="G4875" s="54">
        <f ca="1" t="shared" si="257"/>
        <v>0</v>
      </c>
      <c r="H4875" s="54">
        <f ca="1" t="shared" si="257"/>
        <v>0</v>
      </c>
      <c r="I4875" s="54">
        <f ca="1" t="shared" si="257"/>
        <v>0</v>
      </c>
      <c r="J4875" s="54">
        <f ca="1" t="shared" si="257"/>
        <v>0</v>
      </c>
      <c r="K4875" s="54">
        <f ca="1" t="shared" si="257"/>
        <v>0</v>
      </c>
      <c r="L4875" s="55">
        <f ca="1" t="shared" si="257"/>
        <v>0</v>
      </c>
      <c r="M4875" s="61" t="str">
        <f ca="1">IF(F4851&gt;ENTRY!$D$24,"",IF(N4876="Ab","Ab",IF(N4876&gt;79.5,"A",IF(N4876&gt;59.5,"B",IF(N4876&gt;44.5,"C",IF(N4876&gt;=33,"D",IF(N4876&lt;33,"E","")))))))</f>
        <v/>
      </c>
      <c r="N4875" s="62"/>
      <c r="O4875" s="58"/>
      <c r="P4875" s="59"/>
      <c r="Q4875" s="19"/>
      <c r="R4875" s="11"/>
    </row>
    <row r="4876" s="1" customFormat="1" ht="21.95" customHeight="1" spans="1:18">
      <c r="A4876" s="7"/>
      <c r="B4876" s="12"/>
      <c r="C4876" s="33"/>
      <c r="D4876" s="63" t="s">
        <v>721</v>
      </c>
      <c r="E4876" s="63"/>
      <c r="F4876" s="63"/>
      <c r="G4876" s="63"/>
      <c r="H4876" s="63"/>
      <c r="I4876" s="63"/>
      <c r="J4876" s="63"/>
      <c r="K4876" s="63"/>
      <c r="L4876" s="63"/>
      <c r="M4876" s="63"/>
      <c r="N4876" s="64">
        <f ca="1">IF(L4875="Ab","Ab",L4875/6)</f>
        <v>0</v>
      </c>
      <c r="O4876" s="65"/>
      <c r="P4876" s="19"/>
      <c r="Q4876" s="19"/>
      <c r="R4876" s="11"/>
    </row>
    <row r="4877" s="1" customFormat="1" ht="21.95" customHeight="1" spans="1:18">
      <c r="A4877" s="7"/>
      <c r="B4877" s="12"/>
      <c r="C4877" s="33"/>
      <c r="D4877" s="29" t="s">
        <v>716</v>
      </c>
      <c r="E4877" s="18" t="str">
        <f>IFERROR(VLOOKUP(F4851,'1to4-2.1-RR'!$A$12:$BG$111,57,0),"")</f>
        <v/>
      </c>
      <c r="F4877" s="18"/>
      <c r="G4877" s="18"/>
      <c r="H4877" s="18"/>
      <c r="I4877" s="18"/>
      <c r="J4877" s="18"/>
      <c r="K4877" s="18"/>
      <c r="L4877" s="18"/>
      <c r="M4877" s="18"/>
      <c r="N4877" s="29"/>
      <c r="O4877" s="29"/>
      <c r="P4877" s="19"/>
      <c r="Q4877" s="19"/>
      <c r="R4877" s="11"/>
    </row>
    <row r="4878" s="1" customFormat="1" ht="9.95" customHeight="1" spans="1:18">
      <c r="A4878" s="7"/>
      <c r="B4878" s="12"/>
      <c r="C4878" s="33"/>
      <c r="D4878" s="29"/>
      <c r="E4878" s="29"/>
      <c r="F4878" s="29"/>
      <c r="G4878" s="29"/>
      <c r="H4878" s="29"/>
      <c r="I4878" s="29"/>
      <c r="J4878" s="29"/>
      <c r="K4878" s="29"/>
      <c r="L4878" s="29"/>
      <c r="M4878" s="29"/>
      <c r="N4878" s="29"/>
      <c r="O4878" s="29"/>
      <c r="P4878" s="19"/>
      <c r="Q4878" s="19"/>
      <c r="R4878" s="11"/>
    </row>
    <row r="4879" s="1" customFormat="1" ht="36" spans="1:18">
      <c r="A4879" s="7"/>
      <c r="B4879" s="12"/>
      <c r="C4879" s="33"/>
      <c r="D4879" s="66" t="s">
        <v>576</v>
      </c>
      <c r="E4879" s="67" t="s">
        <v>754</v>
      </c>
      <c r="F4879" s="47" t="str">
        <f>IF(F4851&gt;ENTRY!$D$24,"",IFERROR(VLOOKUP(F4851,PASHEET!$A$4:$CJ$103,88,0),""))</f>
        <v/>
      </c>
      <c r="G4879" s="67" t="s">
        <v>755</v>
      </c>
      <c r="H4879" s="47" t="str">
        <f>IF(F4851&gt;ENTRY!$D$24,"",IFERROR(VLOOKUP(F4851,PASHEET!$A$4:$CJ$103,87,0),""))</f>
        <v/>
      </c>
      <c r="I4879" s="68" t="s">
        <v>756</v>
      </c>
      <c r="J4879" s="69" t="str">
        <f>IF(F4851&gt;ENTRY!$D$24,"",IFERROR(IF(F4851&gt;0,H4879/F4879*100),""))</f>
        <v/>
      </c>
      <c r="K4879" s="60" t="s">
        <v>757</v>
      </c>
      <c r="L4879" s="70" t="str">
        <f ca="1">IF(F4851&gt;ENTRY!$D$24,"",IFERROR(L4875/600*100,""))</f>
        <v/>
      </c>
      <c r="M4879" s="47" t="str">
        <f ca="1">IF(F4851&gt;ENTRY!$D$24,"",IFERROR(L4875&amp;" / "&amp;"600",""))</f>
        <v/>
      </c>
      <c r="N4879" s="29"/>
      <c r="O4879" s="29"/>
      <c r="P4879" s="19"/>
      <c r="Q4879" s="19"/>
      <c r="R4879" s="11"/>
    </row>
    <row r="4880" s="1" customFormat="1" ht="9.95" customHeight="1" spans="1:18">
      <c r="A4880" s="7"/>
      <c r="B4880" s="12"/>
      <c r="C4880" s="39"/>
      <c r="D4880" s="40"/>
      <c r="E4880" s="40"/>
      <c r="F4880" s="40"/>
      <c r="G4880" s="40"/>
      <c r="H4880" s="40"/>
      <c r="I4880" s="40"/>
      <c r="J4880" s="40"/>
      <c r="K4880" s="40"/>
      <c r="L4880" s="40"/>
      <c r="M4880" s="40"/>
      <c r="N4880" s="40"/>
      <c r="O4880" s="40"/>
      <c r="P4880" s="41"/>
      <c r="Q4880" s="19"/>
      <c r="R4880" s="11"/>
    </row>
    <row r="4881" s="1" customFormat="1" ht="9.95" customHeight="1" spans="1:19">
      <c r="A4881" s="7"/>
      <c r="B4881" s="12"/>
      <c r="C4881" s="71"/>
      <c r="D4881" s="71"/>
      <c r="E4881" s="71"/>
      <c r="F4881" s="29"/>
      <c r="G4881" s="71"/>
      <c r="H4881" s="71"/>
      <c r="I4881" s="71"/>
      <c r="J4881" s="71"/>
      <c r="K4881" s="71"/>
      <c r="L4881" s="71"/>
      <c r="M4881" s="71"/>
      <c r="N4881" s="71"/>
      <c r="O4881" s="71"/>
      <c r="P4881" s="71"/>
      <c r="Q4881" s="19"/>
      <c r="R4881" s="11"/>
    </row>
    <row r="4882" s="1" customFormat="1" ht="9.95" customHeight="1" spans="1:19">
      <c r="A4882" s="7"/>
      <c r="B4882" s="12"/>
      <c r="C4882" s="29"/>
      <c r="D4882" s="29"/>
      <c r="E4882" s="29"/>
      <c r="F4882" s="72"/>
      <c r="G4882" s="29"/>
      <c r="H4882" s="29"/>
      <c r="I4882" s="29"/>
      <c r="J4882" s="29"/>
      <c r="K4882" s="29"/>
      <c r="L4882" s="29"/>
      <c r="M4882" s="29"/>
      <c r="N4882" s="29"/>
      <c r="O4882" s="29"/>
      <c r="P4882" s="29"/>
      <c r="Q4882" s="19"/>
      <c r="R4882" s="11"/>
    </row>
    <row r="4883" s="1" customFormat="1" ht="9.95" customHeight="1" spans="1:19">
      <c r="A4883" s="7"/>
      <c r="B4883" s="12"/>
      <c r="C4883" s="30"/>
      <c r="D4883" s="31"/>
      <c r="E4883" s="31"/>
      <c r="F4883" s="31"/>
      <c r="G4883" s="31"/>
      <c r="H4883" s="31"/>
      <c r="I4883" s="31"/>
      <c r="J4883" s="31"/>
      <c r="K4883" s="31"/>
      <c r="L4883" s="31"/>
      <c r="M4883" s="31"/>
      <c r="N4883" s="31"/>
      <c r="O4883" s="31"/>
      <c r="P4883" s="32"/>
      <c r="Q4883" s="19"/>
      <c r="R4883" s="11"/>
    </row>
    <row r="4884" s="1" customFormat="1" ht="21.95" customHeight="1" spans="1:19">
      <c r="A4884" s="7"/>
      <c r="B4884" s="12"/>
      <c r="C4884" s="73" t="s">
        <v>7</v>
      </c>
      <c r="D4884" s="13"/>
      <c r="E4884" s="13"/>
      <c r="F4884" s="13"/>
      <c r="G4884" s="13"/>
      <c r="H4884" s="13"/>
      <c r="I4884" s="13"/>
      <c r="J4884" s="13"/>
      <c r="K4884" s="13"/>
      <c r="L4884" s="13"/>
      <c r="M4884" s="13"/>
      <c r="N4884" s="13"/>
      <c r="O4884" s="13"/>
      <c r="P4884" s="74"/>
      <c r="Q4884" s="19"/>
      <c r="R4884" s="11"/>
      <c r="S4884" s="2"/>
    </row>
    <row r="4885" s="1" customFormat="1" ht="21.95" customHeight="1" spans="1:19">
      <c r="A4885" s="7"/>
      <c r="B4885" s="12"/>
      <c r="C4885" s="33"/>
      <c r="D4885" s="29"/>
      <c r="E4885" s="29"/>
      <c r="F4885" s="29"/>
      <c r="G4885" s="29"/>
      <c r="H4885" s="29"/>
      <c r="I4885" s="29"/>
      <c r="J4885" s="29"/>
      <c r="K4885" s="29"/>
      <c r="L4885" s="29"/>
      <c r="M4885" s="29"/>
      <c r="N4885" s="29"/>
      <c r="O4885" s="29"/>
      <c r="P4885" s="19"/>
      <c r="Q4885" s="19"/>
      <c r="R4885" s="11"/>
    </row>
    <row r="4886" s="1" customFormat="1" ht="21.95" customHeight="1" spans="1:19">
      <c r="A4886" s="7"/>
      <c r="B4886" s="12"/>
      <c r="C4886" s="75" t="str">
        <f>"SESSION-"&amp;ENTRY!$D$11</f>
        <v>SESSION-2026-27</v>
      </c>
      <c r="D4886" s="15"/>
      <c r="E4886" s="15"/>
      <c r="F4886" s="15"/>
      <c r="G4886" s="15"/>
      <c r="H4886" s="15"/>
      <c r="I4886" s="15"/>
      <c r="J4886" s="15"/>
      <c r="K4886" s="15"/>
      <c r="L4886" s="15"/>
      <c r="M4886" s="15"/>
      <c r="N4886" s="15"/>
      <c r="O4886" s="15"/>
      <c r="P4886" s="76"/>
      <c r="Q4886" s="19"/>
      <c r="R4886" s="11"/>
    </row>
    <row r="4887" s="1" customFormat="1" ht="18" customHeight="1" spans="1:19">
      <c r="A4887" s="7"/>
      <c r="B4887" s="12"/>
      <c r="C4887" s="33"/>
      <c r="D4887" s="29"/>
      <c r="E4887" s="29"/>
      <c r="F4887" s="29"/>
      <c r="G4887" s="29"/>
      <c r="H4887" s="29"/>
      <c r="I4887" s="29"/>
      <c r="J4887" s="29"/>
      <c r="K4887" s="29"/>
      <c r="L4887" s="29"/>
      <c r="M4887" s="29"/>
      <c r="N4887" s="29"/>
      <c r="O4887" s="29"/>
      <c r="P4887" s="19"/>
      <c r="Q4887" s="19"/>
      <c r="R4887" s="11"/>
    </row>
    <row r="4888" s="1" customFormat="1" ht="21.95" customHeight="1" spans="1:19">
      <c r="A4888" s="7"/>
      <c r="B4888" s="12"/>
      <c r="C4888" s="33"/>
      <c r="D4888" s="77" t="s">
        <v>758</v>
      </c>
      <c r="E4888" s="77"/>
      <c r="F4888" s="78" t="str">
        <f>IFERROR(PROPER(VLOOKUP(F4851,STUDENT!$A$2:$BP$101,5,0)),"")</f>
        <v/>
      </c>
      <c r="G4888" s="78"/>
      <c r="H4888" s="78"/>
      <c r="I4888" s="78"/>
      <c r="J4888" s="78"/>
      <c r="K4888" s="78"/>
      <c r="L4888" s="78"/>
      <c r="M4888" s="78"/>
      <c r="N4888" s="79" t="s">
        <v>759</v>
      </c>
      <c r="O4888" s="79"/>
      <c r="P4888" s="19"/>
      <c r="Q4888" s="19"/>
      <c r="R4888" s="11"/>
    </row>
    <row r="4889" s="1" customFormat="1" ht="21.95" customHeight="1" spans="1:19">
      <c r="A4889" s="7"/>
      <c r="B4889" s="12"/>
      <c r="C4889" s="33"/>
      <c r="D4889" s="80" t="s">
        <v>760</v>
      </c>
      <c r="E4889" s="81" t="str">
        <f>IFERROR(PROPER(VLOOKUP(F4851,STUDENT!$A$2:$BP$101,9,0)),"")</f>
        <v/>
      </c>
      <c r="F4889" s="81"/>
      <c r="G4889" s="81"/>
      <c r="H4889" s="80" t="s">
        <v>761</v>
      </c>
      <c r="I4889" s="82" t="str">
        <f>IFERROR(PROPER(VLOOKUP(F4851,STUDENT!$A$2:$BP$101,8,0)),"")</f>
        <v/>
      </c>
      <c r="J4889" s="82"/>
      <c r="K4889" s="82"/>
      <c r="L4889" s="82"/>
      <c r="M4889" s="80" t="s">
        <v>762</v>
      </c>
      <c r="N4889" s="83" t="str">
        <f>IFERROR(VLOOKUP(F4851,STUDENT!$A$2:$BP$101,59,0),"")</f>
        <v/>
      </c>
      <c r="O4889" s="83"/>
      <c r="P4889" s="19"/>
      <c r="Q4889" s="19"/>
      <c r="R4889" s="11"/>
    </row>
    <row r="4890" s="1" customFormat="1" ht="21.95" customHeight="1" spans="1:19">
      <c r="A4890" s="7"/>
      <c r="B4890" s="12"/>
      <c r="C4890" s="33"/>
      <c r="D4890" s="77" t="str">
        <f>"has    completed     his  /  her     primary     level     education    in    the    year    "&amp;RIGHT(ENTRY!$D4856,4)&amp;"    from    ( School    Name )"</f>
        <v>has    completed     his  /  her     primary     level     education    in    the    year        from    ( School    Name )</v>
      </c>
      <c r="E4890" s="77"/>
      <c r="F4890" s="77"/>
      <c r="G4890" s="77"/>
      <c r="H4890" s="77"/>
      <c r="I4890" s="77"/>
      <c r="J4890" s="77"/>
      <c r="K4890" s="77"/>
      <c r="L4890" s="77"/>
      <c r="M4890" s="77"/>
      <c r="N4890" s="77"/>
      <c r="O4890" s="77"/>
      <c r="P4890" s="19"/>
      <c r="Q4890" s="19"/>
      <c r="R4890" s="11"/>
    </row>
    <row r="4891" s="1" customFormat="1" ht="21.95" customHeight="1" spans="1:19">
      <c r="A4891" s="7"/>
      <c r="B4891" s="12"/>
      <c r="C4891" s="33"/>
      <c r="D4891" s="81" t="str">
        <f>IF(F4851&gt;0,ENTRY!$D$6,"")</f>
        <v>MCP NITHARI NO 1 BOYS</v>
      </c>
      <c r="E4891" s="81"/>
      <c r="F4891" s="81"/>
      <c r="G4891" s="81"/>
      <c r="H4891" s="81"/>
      <c r="I4891" s="81"/>
      <c r="J4891" s="81"/>
      <c r="K4891" s="81"/>
      <c r="L4891" s="81"/>
      <c r="M4891" s="80" t="s">
        <v>763</v>
      </c>
      <c r="N4891" s="84">
        <f>IF(F4851&gt;0,ENTRY!$D$7,"")</f>
        <v>0</v>
      </c>
      <c r="O4891" s="84"/>
      <c r="P4891" s="85" t="s">
        <v>727</v>
      </c>
      <c r="Q4891" s="19"/>
      <c r="R4891" s="11"/>
    </row>
    <row r="4892" s="1" customFormat="1" ht="21.95" customHeight="1" spans="1:19">
      <c r="A4892" s="7"/>
      <c r="B4892" s="12"/>
      <c r="C4892" s="33"/>
      <c r="D4892" s="29"/>
      <c r="E4892" s="29"/>
      <c r="F4892" s="29"/>
      <c r="G4892" s="29"/>
      <c r="H4892" s="29"/>
      <c r="I4892" s="29"/>
      <c r="J4892" s="29"/>
      <c r="K4892" s="29"/>
      <c r="L4892" s="29"/>
      <c r="M4892" s="29"/>
      <c r="N4892" s="29"/>
      <c r="O4892" s="29"/>
      <c r="P4892" s="19"/>
      <c r="Q4892" s="19"/>
      <c r="R4892" s="11"/>
    </row>
    <row r="4893" s="1" customFormat="1" ht="21.95" customHeight="1" spans="1:19">
      <c r="A4893" s="7"/>
      <c r="B4893" s="12"/>
      <c r="C4893" s="33"/>
      <c r="D4893" s="29"/>
      <c r="E4893" s="29"/>
      <c r="F4893" s="29"/>
      <c r="G4893" s="29"/>
      <c r="H4893" s="29"/>
      <c r="I4893" s="29"/>
      <c r="J4893" s="29"/>
      <c r="K4893" s="29"/>
      <c r="L4893" s="29"/>
      <c r="M4893" s="29"/>
      <c r="N4893" s="29"/>
      <c r="O4893" s="29"/>
      <c r="P4893" s="19"/>
      <c r="Q4893" s="19"/>
      <c r="R4893" s="11"/>
    </row>
    <row r="4894" s="1" customFormat="1" ht="21.95" customHeight="1" spans="1:19">
      <c r="A4894" s="7"/>
      <c r="B4894" s="12"/>
      <c r="C4894" s="33"/>
      <c r="D4894" s="29"/>
      <c r="E4894" s="29"/>
      <c r="F4894" s="29"/>
      <c r="G4894" s="29"/>
      <c r="H4894" s="29"/>
      <c r="I4894" s="29"/>
      <c r="J4894" s="29"/>
      <c r="K4894" s="29"/>
      <c r="L4894" s="29"/>
      <c r="M4894" s="29"/>
      <c r="N4894" s="29"/>
      <c r="O4894" s="29"/>
      <c r="P4894" s="19"/>
      <c r="Q4894" s="19"/>
      <c r="R4894" s="11"/>
    </row>
    <row r="4895" s="1" customFormat="1" ht="21.95" customHeight="1" spans="1:19">
      <c r="A4895" s="7"/>
      <c r="B4895" s="12"/>
      <c r="C4895" s="33"/>
      <c r="D4895" s="29"/>
      <c r="E4895" s="29"/>
      <c r="F4895" s="29"/>
      <c r="G4895" s="29"/>
      <c r="H4895" s="29"/>
      <c r="I4895" s="29"/>
      <c r="J4895" s="29"/>
      <c r="K4895" s="29"/>
      <c r="L4895" s="29"/>
      <c r="M4895" s="29"/>
      <c r="N4895" s="29"/>
      <c r="O4895" s="29"/>
      <c r="P4895" s="19"/>
      <c r="Q4895" s="19"/>
      <c r="R4895" s="11"/>
    </row>
    <row r="4896" s="1" customFormat="1" ht="21.95" customHeight="1" spans="1:19">
      <c r="A4896" s="7"/>
      <c r="B4896" s="12"/>
      <c r="C4896" s="33"/>
      <c r="D4896" s="29"/>
      <c r="E4896" s="29"/>
      <c r="F4896" s="29"/>
      <c r="G4896" s="29"/>
      <c r="H4896" s="29"/>
      <c r="I4896" s="29"/>
      <c r="J4896" s="29"/>
      <c r="K4896" s="29"/>
      <c r="L4896" s="29"/>
      <c r="M4896" s="29"/>
      <c r="N4896" s="29"/>
      <c r="O4896" s="29"/>
      <c r="P4896" s="19"/>
      <c r="Q4896" s="19"/>
      <c r="R4896" s="11"/>
    </row>
    <row r="4897" s="1" customFormat="1" ht="21.95" customHeight="1" spans="1:18">
      <c r="A4897" s="7"/>
      <c r="B4897" s="12"/>
      <c r="C4897" s="33"/>
      <c r="D4897" s="80" t="s">
        <v>728</v>
      </c>
      <c r="E4897" s="86">
        <f>ENTRY!$D$27</f>
        <v>46102</v>
      </c>
      <c r="F4897" s="86"/>
      <c r="G4897" s="29"/>
      <c r="H4897" s="29"/>
      <c r="I4897" s="29"/>
      <c r="J4897" s="29"/>
      <c r="K4897" s="29"/>
      <c r="L4897" s="29"/>
      <c r="M4897" s="87" t="s">
        <v>730</v>
      </c>
      <c r="N4897" s="87"/>
      <c r="O4897" s="87"/>
      <c r="P4897" s="19"/>
      <c r="Q4897" s="19"/>
      <c r="R4897" s="11"/>
    </row>
    <row r="4898" s="1" customFormat="1" ht="21.95" customHeight="1" spans="1:18">
      <c r="A4898" s="7"/>
      <c r="B4898" s="12"/>
      <c r="C4898" s="33"/>
      <c r="D4898" s="80" t="s">
        <v>731</v>
      </c>
      <c r="E4898" s="88" t="str">
        <f>PROPER(ENTRY!$D$28)</f>
        <v>New Delhi</v>
      </c>
      <c r="F4898" s="88"/>
      <c r="G4898" s="29"/>
      <c r="H4898" s="29"/>
      <c r="I4898" s="29"/>
      <c r="J4898" s="29"/>
      <c r="K4898" s="29"/>
      <c r="L4898" s="29"/>
      <c r="M4898" s="89" t="s">
        <v>732</v>
      </c>
      <c r="N4898" s="89"/>
      <c r="O4898" s="89"/>
      <c r="P4898" s="19"/>
      <c r="Q4898" s="19"/>
      <c r="R4898" s="11"/>
    </row>
    <row r="4899" s="1" customFormat="1" ht="21.95" customHeight="1" spans="1:18">
      <c r="A4899" s="7"/>
      <c r="B4899" s="12"/>
      <c r="C4899" s="90"/>
      <c r="D4899" s="91"/>
      <c r="E4899" s="91"/>
      <c r="F4899" s="91"/>
      <c r="G4899" s="91"/>
      <c r="H4899" s="91"/>
      <c r="I4899" s="91"/>
      <c r="J4899" s="91"/>
      <c r="K4899" s="91"/>
      <c r="L4899" s="91"/>
      <c r="M4899" s="91"/>
      <c r="N4899" s="91"/>
      <c r="O4899" s="91"/>
      <c r="P4899" s="92"/>
      <c r="Q4899" s="14"/>
      <c r="R4899" s="11"/>
    </row>
    <row r="4900" s="1" customFormat="1" ht="5.1" customHeight="1" spans="1:18">
      <c r="A4900" s="7"/>
      <c r="B4900" s="90"/>
      <c r="C4900" s="91"/>
      <c r="D4900" s="91"/>
      <c r="E4900" s="91"/>
      <c r="F4900" s="91"/>
      <c r="G4900" s="91"/>
      <c r="H4900" s="91"/>
      <c r="I4900" s="91"/>
      <c r="J4900" s="91"/>
      <c r="K4900" s="91"/>
      <c r="L4900" s="91"/>
      <c r="M4900" s="91"/>
      <c r="N4900" s="91"/>
      <c r="O4900" s="91"/>
      <c r="P4900" s="91"/>
      <c r="Q4900" s="92"/>
      <c r="R4900" s="11"/>
    </row>
    <row r="4901" s="1" customFormat="1" ht="5.1" customHeight="1" spans="1:18">
      <c r="A4901" s="93"/>
      <c r="B4901" s="94"/>
      <c r="C4901" s="94"/>
      <c r="D4901" s="94"/>
      <c r="E4901" s="94"/>
      <c r="F4901" s="94"/>
      <c r="G4901" s="94"/>
      <c r="H4901" s="94"/>
      <c r="I4901" s="94"/>
      <c r="J4901" s="94"/>
      <c r="K4901" s="94"/>
      <c r="L4901" s="94"/>
      <c r="M4901" s="94"/>
      <c r="N4901" s="94"/>
      <c r="O4901" s="94"/>
      <c r="P4901" s="94"/>
      <c r="Q4901" s="94"/>
      <c r="R4901" s="95"/>
    </row>
    <row r="4902" s="2" customFormat="1" ht="9.95" customHeight="1"/>
    <row r="4903" s="1" customFormat="1" ht="5.1" customHeight="1" spans="1:18">
      <c r="A4903" s="4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6"/>
    </row>
    <row r="4904" s="1" customFormat="1" ht="15" customHeight="1" spans="1:18">
      <c r="A4904" s="7"/>
      <c r="B4904" s="8"/>
      <c r="C4904" s="9"/>
      <c r="D4904" s="9"/>
      <c r="E4904" s="9"/>
      <c r="F4904" s="9"/>
      <c r="G4904" s="9"/>
      <c r="H4904" s="9"/>
      <c r="I4904" s="9"/>
      <c r="J4904" s="9"/>
      <c r="K4904" s="9"/>
      <c r="L4904" s="9"/>
      <c r="M4904" s="9"/>
      <c r="N4904" s="9"/>
      <c r="O4904" s="9"/>
      <c r="P4904" s="9"/>
      <c r="Q4904" s="10"/>
      <c r="R4904" s="11"/>
    </row>
    <row r="4905" s="1" customFormat="1" ht="21.95" customHeight="1" spans="1:18">
      <c r="A4905" s="7"/>
      <c r="B4905" s="12"/>
      <c r="C4905" s="13" t="s">
        <v>7</v>
      </c>
      <c r="D4905" s="13"/>
      <c r="E4905" s="13"/>
      <c r="F4905" s="13"/>
      <c r="G4905" s="13"/>
      <c r="H4905" s="13"/>
      <c r="I4905" s="13"/>
      <c r="J4905" s="13"/>
      <c r="K4905" s="13"/>
      <c r="L4905" s="13"/>
      <c r="M4905" s="13"/>
      <c r="N4905" s="13"/>
      <c r="O4905" s="13"/>
      <c r="P4905" s="13"/>
      <c r="Q4905" s="14"/>
      <c r="R4905" s="11"/>
    </row>
    <row r="4906" s="1" customFormat="1" ht="21.95" customHeight="1" spans="1:18">
      <c r="A4906" s="7"/>
      <c r="B4906" s="1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14"/>
      <c r="R4906" s="11"/>
    </row>
    <row r="4907" s="1" customFormat="1" ht="21.95" customHeight="1" spans="1:18">
      <c r="A4907" s="7"/>
      <c r="B4907" s="12"/>
      <c r="C4907" s="15" t="str">
        <f>"SESSION-"&amp;ENTRY!$D$11</f>
        <v>SESSION-2026-27</v>
      </c>
      <c r="D4907" s="15"/>
      <c r="E4907" s="15"/>
      <c r="F4907" s="15"/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  <c r="Q4907" s="14"/>
      <c r="R4907" s="11"/>
    </row>
    <row r="4908" s="1" customFormat="1" ht="21.95" customHeight="1" spans="1:18">
      <c r="A4908" s="7"/>
      <c r="B4908" s="12"/>
      <c r="C4908" s="2"/>
      <c r="D4908" s="2"/>
      <c r="E4908" s="2"/>
      <c r="F4908" s="16">
        <f>F4851+1</f>
        <v>87</v>
      </c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14"/>
      <c r="R4908" s="11"/>
    </row>
    <row r="4909" s="1" customFormat="1" ht="21.95" customHeight="1" spans="1:18">
      <c r="A4909" s="7"/>
      <c r="B4909" s="12"/>
      <c r="C4909" s="17" t="s">
        <v>392</v>
      </c>
      <c r="D4909" s="17"/>
      <c r="E4909" s="17"/>
      <c r="F4909" s="18" t="str">
        <f>IF(F4908&gt;0,ENTRY!$D$6,"")</f>
        <v>MCP NITHARI NO 1 BOYS</v>
      </c>
      <c r="G4909" s="18"/>
      <c r="H4909" s="18"/>
      <c r="I4909" s="18"/>
      <c r="J4909" s="18"/>
      <c r="K4909" s="18"/>
      <c r="L4909" s="18"/>
      <c r="M4909" s="18"/>
      <c r="N4909" s="18"/>
      <c r="O4909" s="18"/>
      <c r="P4909" s="18"/>
      <c r="Q4909" s="19"/>
      <c r="R4909" s="11"/>
    </row>
    <row r="4910" s="1" customFormat="1" ht="21.95" customHeight="1" spans="1:18">
      <c r="A4910" s="7"/>
      <c r="B4910" s="12"/>
      <c r="C4910" s="17" t="s">
        <v>393</v>
      </c>
      <c r="D4910" s="17"/>
      <c r="E4910" s="17"/>
      <c r="F4910" s="18">
        <f>IF(F4908&gt;0,ENTRY!$D$7,"")</f>
        <v>0</v>
      </c>
      <c r="G4910" s="18"/>
      <c r="H4910" s="20" t="s">
        <v>702</v>
      </c>
      <c r="I4910" s="20"/>
      <c r="J4910" s="21">
        <f>IF(F4908&gt;0,ENTRY!$D$10,"")</f>
        <v>40</v>
      </c>
      <c r="K4910" s="20" t="s">
        <v>703</v>
      </c>
      <c r="L4910" s="22" t="str">
        <f>IF(F4908&gt;0,ENTRY!$D$5,"")</f>
        <v>ROHINI ZONE</v>
      </c>
      <c r="M4910" s="22"/>
      <c r="N4910" s="22"/>
      <c r="O4910" s="22"/>
      <c r="P4910" s="22"/>
      <c r="Q4910" s="19"/>
      <c r="R4910" s="11"/>
    </row>
    <row r="4911" s="1" customFormat="1" ht="21.95" customHeight="1" spans="1:18">
      <c r="A4911" s="7"/>
      <c r="B4911" s="12"/>
      <c r="C4911" s="17" t="s">
        <v>706</v>
      </c>
      <c r="D4911" s="17"/>
      <c r="E4911" s="17"/>
      <c r="F4911" s="23">
        <f>IFERROR(VLOOKUP(F4908,STUDENT!$A$2:$BP$101,5,0),"")</f>
        <v>0</v>
      </c>
      <c r="G4911" s="23"/>
      <c r="H4911" s="23"/>
      <c r="I4911" s="23"/>
      <c r="J4911" s="23"/>
      <c r="K4911" s="23"/>
      <c r="L4911" s="20" t="s">
        <v>707</v>
      </c>
      <c r="M4911" s="20"/>
      <c r="N4911" s="24" t="str">
        <f>IF(F4908&gt;0,ENTRY!$D$20&amp;"-"&amp;ENTRY!$D$21,"")</f>
        <v>III-A</v>
      </c>
      <c r="O4911" s="24"/>
      <c r="P4911" s="24"/>
      <c r="Q4911" s="19"/>
      <c r="R4911" s="11"/>
    </row>
    <row r="4912" s="1" customFormat="1" ht="21.95" customHeight="1" spans="1:18">
      <c r="A4912" s="7"/>
      <c r="B4912" s="12"/>
      <c r="C4912" s="17" t="s">
        <v>708</v>
      </c>
      <c r="D4912" s="17"/>
      <c r="E4912" s="17"/>
      <c r="F4912" s="25">
        <f>IFERROR(VLOOKUP(F4908,STUDENT!$A$2:$BP$101,6,0),"")</f>
        <v>0</v>
      </c>
      <c r="G4912" s="25"/>
      <c r="H4912" s="26" t="s">
        <v>709</v>
      </c>
      <c r="I4912" s="27" t="str">
        <f>IFERROR(VLOOKUP(F4908,STUDENT!$A$2:$BP$101,59,0),"")</f>
        <v/>
      </c>
      <c r="J4912" s="27"/>
      <c r="K4912" s="20" t="s">
        <v>710</v>
      </c>
      <c r="L4912" s="20"/>
      <c r="M4912" s="28">
        <f>IFERROR(VLOOKUP(F4908,STUDENT!$A$2:$BP$101,20,0),"")</f>
        <v>0</v>
      </c>
      <c r="N4912" s="28"/>
      <c r="O4912" s="28"/>
      <c r="P4912" s="28"/>
      <c r="Q4912" s="19"/>
      <c r="R4912" s="11"/>
    </row>
    <row r="4913" s="1" customFormat="1" ht="21.95" customHeight="1" spans="1:18">
      <c r="A4913" s="7"/>
      <c r="B4913" s="12"/>
      <c r="C4913" s="17" t="s">
        <v>711</v>
      </c>
      <c r="D4913" s="17"/>
      <c r="E4913" s="17"/>
      <c r="F4913" s="23">
        <f>IFERROR(VLOOKUP(F4908,STUDENT!$A$2:$BP$101,9,0),"")</f>
        <v>0</v>
      </c>
      <c r="G4913" s="23"/>
      <c r="H4913" s="23"/>
      <c r="I4913" s="23"/>
      <c r="J4913" s="17" t="s">
        <v>620</v>
      </c>
      <c r="K4913" s="17"/>
      <c r="L4913" s="23">
        <f>IFERROR(VLOOKUP(F4908,STUDENT!$A$2:$BP$101,8,0),"")</f>
        <v>0</v>
      </c>
      <c r="M4913" s="23"/>
      <c r="N4913" s="23"/>
      <c r="O4913" s="23"/>
      <c r="P4913" s="23"/>
      <c r="Q4913" s="19"/>
      <c r="R4913" s="11"/>
    </row>
    <row r="4914" s="1" customFormat="1" ht="21.95" customHeight="1" spans="1:18">
      <c r="A4914" s="7"/>
      <c r="B4914" s="12"/>
      <c r="C4914" s="17" t="s">
        <v>712</v>
      </c>
      <c r="D4914" s="17"/>
      <c r="E4914" s="17"/>
      <c r="F4914" s="23">
        <f>IFERROR(VLOOKUP(F4908,STUDENT!$A$2:$BP$101,22,0),"")</f>
        <v>0</v>
      </c>
      <c r="G4914" s="23"/>
      <c r="H4914" s="23"/>
      <c r="I4914" s="23"/>
      <c r="J4914" s="23"/>
      <c r="K4914" s="23"/>
      <c r="L4914" s="23"/>
      <c r="M4914" s="23"/>
      <c r="N4914" s="23"/>
      <c r="O4914" s="23"/>
      <c r="P4914" s="23"/>
      <c r="Q4914" s="19"/>
      <c r="R4914" s="11"/>
    </row>
    <row r="4915" s="1" customFormat="1" ht="9.95" customHeight="1" spans="1:18">
      <c r="A4915" s="7"/>
      <c r="B4915" s="12"/>
      <c r="C4915" s="29"/>
      <c r="D4915" s="29"/>
      <c r="E4915" s="29"/>
      <c r="F4915" s="29"/>
      <c r="G4915" s="29"/>
      <c r="H4915" s="29"/>
      <c r="I4915" s="29"/>
      <c r="J4915" s="29"/>
      <c r="K4915" s="29"/>
      <c r="L4915" s="29"/>
      <c r="M4915" s="29"/>
      <c r="N4915" s="29"/>
      <c r="O4915" s="29"/>
      <c r="P4915" s="29"/>
      <c r="Q4915" s="19"/>
      <c r="R4915" s="11"/>
    </row>
    <row r="4916" s="1" customFormat="1" ht="9.95" customHeight="1" spans="1:18">
      <c r="A4916" s="7"/>
      <c r="B4916" s="12"/>
      <c r="C4916" s="30"/>
      <c r="D4916" s="31"/>
      <c r="E4916" s="31"/>
      <c r="F4916" s="31"/>
      <c r="G4916" s="31"/>
      <c r="H4916" s="31"/>
      <c r="I4916" s="31"/>
      <c r="J4916" s="31"/>
      <c r="K4916" s="31"/>
      <c r="L4916" s="31"/>
      <c r="M4916" s="31"/>
      <c r="N4916" s="31"/>
      <c r="O4916" s="31"/>
      <c r="P4916" s="32"/>
      <c r="Q4916" s="19"/>
      <c r="R4916" s="11"/>
    </row>
    <row r="4917" s="1" customFormat="1" ht="21.95" customHeight="1" spans="1:18">
      <c r="A4917" s="7"/>
      <c r="B4917" s="12"/>
      <c r="C4917" s="33"/>
      <c r="D4917" s="34" t="s">
        <v>713</v>
      </c>
      <c r="E4917" s="20" t="s">
        <v>714</v>
      </c>
      <c r="F4917" s="35" t="str">
        <f>"Level - "&amp;IFERROR(VLOOKUP(F4908,FLN!$A$4:$K$103,9,0),"")</f>
        <v>Level - </v>
      </c>
      <c r="G4917" s="36"/>
      <c r="H4917" s="37" t="s">
        <v>715</v>
      </c>
      <c r="I4917" s="20"/>
      <c r="J4917" s="35" t="str">
        <f>"Level - "&amp;IFERROR(VLOOKUP(F4908,FLN!$A$4:$K$103,11,0),"")</f>
        <v>Level - </v>
      </c>
      <c r="K4917" s="36"/>
      <c r="L4917" s="37" t="s">
        <v>408</v>
      </c>
      <c r="M4917" s="20"/>
      <c r="N4917" s="35" t="str">
        <f>"Level - "&amp;IFERROR(VLOOKUP(F4908,FLN!$A$4:$K$103,10,0),"")</f>
        <v>Level - </v>
      </c>
      <c r="O4917" s="36"/>
      <c r="P4917" s="19"/>
      <c r="Q4917" s="19"/>
      <c r="R4917" s="11"/>
    </row>
    <row r="4918" s="1" customFormat="1" ht="21.95" customHeight="1" spans="1:18">
      <c r="A4918" s="7"/>
      <c r="B4918" s="12"/>
      <c r="C4918" s="33"/>
      <c r="D4918" s="38"/>
      <c r="E4918" s="20" t="s">
        <v>716</v>
      </c>
      <c r="F4918" s="18" t="str">
        <f ca="1">IF(L4932&gt;197,"PERFORMED WELL","")</f>
        <v/>
      </c>
      <c r="G4918" s="18"/>
      <c r="H4918" s="18"/>
      <c r="I4918" s="18"/>
      <c r="J4918" s="18"/>
      <c r="K4918" s="18"/>
      <c r="L4918" s="18"/>
      <c r="M4918" s="18"/>
      <c r="N4918" s="18"/>
      <c r="O4918" s="18"/>
      <c r="P4918" s="19"/>
      <c r="Q4918" s="19"/>
      <c r="R4918" s="11"/>
    </row>
    <row r="4919" s="1" customFormat="1" ht="9.95" customHeight="1" spans="1:18">
      <c r="A4919" s="7"/>
      <c r="B4919" s="12"/>
      <c r="C4919" s="39"/>
      <c r="D4919" s="40"/>
      <c r="E4919" s="40"/>
      <c r="F4919" s="40"/>
      <c r="G4919" s="40"/>
      <c r="H4919" s="40"/>
      <c r="I4919" s="40"/>
      <c r="J4919" s="40"/>
      <c r="K4919" s="40"/>
      <c r="L4919" s="40"/>
      <c r="M4919" s="40"/>
      <c r="N4919" s="40"/>
      <c r="O4919" s="40"/>
      <c r="P4919" s="41"/>
      <c r="Q4919" s="19"/>
      <c r="R4919" s="11"/>
    </row>
    <row r="4920" s="1" customFormat="1" ht="9.95" customHeight="1" spans="1:18">
      <c r="A4920" s="7"/>
      <c r="B4920" s="12"/>
      <c r="C4920" s="29"/>
      <c r="D4920" s="29"/>
      <c r="E4920" s="29"/>
      <c r="F4920" s="29"/>
      <c r="G4920" s="29"/>
      <c r="H4920" s="29"/>
      <c r="I4920" s="29"/>
      <c r="J4920" s="29"/>
      <c r="K4920" s="29"/>
      <c r="L4920" s="29"/>
      <c r="M4920" s="29"/>
      <c r="N4920" s="29"/>
      <c r="O4920" s="29"/>
      <c r="P4920" s="29"/>
      <c r="Q4920" s="19"/>
      <c r="R4920" s="11"/>
    </row>
    <row r="4921" s="1" customFormat="1" ht="9.95" customHeight="1" spans="1:18">
      <c r="A4921" s="7"/>
      <c r="B4921" s="12"/>
      <c r="C4921" s="30"/>
      <c r="D4921" s="31"/>
      <c r="E4921" s="31"/>
      <c r="F4921" s="31"/>
      <c r="G4921" s="31"/>
      <c r="H4921" s="31"/>
      <c r="I4921" s="31"/>
      <c r="J4921" s="31"/>
      <c r="K4921" s="31"/>
      <c r="L4921" s="31"/>
      <c r="M4921" s="31"/>
      <c r="N4921" s="31"/>
      <c r="O4921" s="31"/>
      <c r="P4921" s="32"/>
      <c r="Q4921" s="19"/>
      <c r="R4921" s="11"/>
    </row>
    <row r="4922" s="1" customFormat="1" ht="21.95" customHeight="1" spans="1:18">
      <c r="A4922" s="7"/>
      <c r="B4922" s="12"/>
      <c r="C4922" s="33"/>
      <c r="D4922" s="35"/>
      <c r="E4922" s="24"/>
      <c r="F4922" s="42" t="s">
        <v>717</v>
      </c>
      <c r="G4922" s="42"/>
      <c r="H4922" s="42"/>
      <c r="I4922" s="42"/>
      <c r="J4922" s="42"/>
      <c r="K4922" s="42"/>
      <c r="L4922" s="43"/>
      <c r="M4922" s="44"/>
      <c r="N4922" s="29"/>
      <c r="O4922" s="29"/>
      <c r="P4922" s="19"/>
      <c r="Q4922" s="19"/>
      <c r="R4922" s="11"/>
    </row>
    <row r="4923" s="1" customFormat="1" ht="21.95" customHeight="1" spans="1:18">
      <c r="A4923" s="7"/>
      <c r="B4923" s="12"/>
      <c r="C4923" s="33"/>
      <c r="D4923" s="45"/>
      <c r="E4923" s="46"/>
      <c r="F4923" s="47" t="s">
        <v>541</v>
      </c>
      <c r="G4923" s="47" t="s">
        <v>542</v>
      </c>
      <c r="H4923" s="47" t="s">
        <v>543</v>
      </c>
      <c r="I4923" s="47" t="s">
        <v>544</v>
      </c>
      <c r="J4923" s="47" t="s">
        <v>561</v>
      </c>
      <c r="K4923" s="48" t="s">
        <v>750</v>
      </c>
      <c r="L4923" s="47" t="s">
        <v>382</v>
      </c>
      <c r="M4923" s="49" t="s">
        <v>546</v>
      </c>
      <c r="N4923" s="29"/>
      <c r="O4923" s="29"/>
      <c r="P4923" s="19"/>
      <c r="Q4923" s="19"/>
      <c r="R4923" s="11"/>
    </row>
    <row r="4924" s="1" customFormat="1" ht="21.95" customHeight="1" spans="1:18">
      <c r="A4924" s="7"/>
      <c r="B4924" s="12"/>
      <c r="C4924" s="33"/>
      <c r="D4924" s="45" t="s">
        <v>652</v>
      </c>
      <c r="E4924" s="46"/>
      <c r="F4924" s="50">
        <v>10</v>
      </c>
      <c r="G4924" s="50">
        <v>10</v>
      </c>
      <c r="H4924" s="50">
        <v>10</v>
      </c>
      <c r="I4924" s="50">
        <v>10</v>
      </c>
      <c r="J4924" s="50">
        <v>60</v>
      </c>
      <c r="K4924" s="51"/>
      <c r="L4924" s="50">
        <v>100</v>
      </c>
      <c r="M4924" s="49"/>
      <c r="N4924" s="29"/>
      <c r="O4924" s="29"/>
      <c r="P4924" s="19"/>
      <c r="Q4924" s="19"/>
      <c r="R4924" s="11"/>
    </row>
    <row r="4925" s="1" customFormat="1" ht="21.95" customHeight="1" spans="1:18">
      <c r="A4925" s="7"/>
      <c r="B4925" s="12"/>
      <c r="C4925" s="33"/>
      <c r="D4925" s="52" t="s">
        <v>751</v>
      </c>
      <c r="E4925" s="53"/>
      <c r="F4925" s="54" t="str">
        <f ca="1">IFERROR(VLOOKUP(F4908,'RR-3.1-5TH'!$A$12:'RR-3.1-5TH'!$BN$111,9,0),"")</f>
        <v/>
      </c>
      <c r="G4925" s="54" t="str">
        <f ca="1">IFERROR(VLOOKUP(F4908,'RR-3.1-5TH'!$A$12:'RR-3.1-5TH'!$BN$111,10,0),"")</f>
        <v/>
      </c>
      <c r="H4925" s="54" t="str">
        <f ca="1">IFERROR(VLOOKUP(F4908,'RR-3.1-5TH'!$A$12:'RR-3.1-5TH'!$BN$111,11,0),"")</f>
        <v/>
      </c>
      <c r="I4925" s="54" t="str">
        <f ca="1">IFERROR(VLOOKUP(F4908,'RR-3.1-5TH'!$A$12:'RR-3.1-5TH'!$BN$111,12,0),"")</f>
        <v/>
      </c>
      <c r="J4925" s="54" t="str">
        <f ca="1">IFERROR(VLOOKUP(F4908,'RR-3.1-5TH'!$A$12:'RR-3.1-5TH'!$BN$111,13,0),"")</f>
        <v/>
      </c>
      <c r="K4925" s="54" t="str">
        <f ca="1">IFERROR(VLOOKUP(F4908,'RR-3.1-5TH'!$A$12:'RR-3.1-5TH'!$BN$111,14,0),"")</f>
        <v/>
      </c>
      <c r="L4925" s="55">
        <f ca="1" t="shared" ref="L4925:L4930" si="258">SUM(F4925,G4925,H4925,I4925,J4925,K4925)</f>
        <v>0</v>
      </c>
      <c r="M4925" s="56" t="str">
        <f ca="1">IF(F4908&gt;ENTRY!$D$24,"",IF(L4925=0,"Ab",IF(L4925&gt;80,"A",IF(L4925&gt;60,"B",IF(L4925&gt;44,"C",IF(L4925&gt;=33,"D",IF(L4925&lt;=32,"E","")))))))</f>
        <v/>
      </c>
      <c r="N4925" s="57" t="s">
        <v>729</v>
      </c>
      <c r="O4925" s="58"/>
      <c r="P4925" s="59"/>
      <c r="Q4925" s="19"/>
      <c r="R4925" s="11"/>
    </row>
    <row r="4926" s="1" customFormat="1" ht="21.95" customHeight="1" spans="1:18">
      <c r="A4926" s="7"/>
      <c r="B4926" s="12"/>
      <c r="C4926" s="33"/>
      <c r="D4926" s="52" t="s">
        <v>513</v>
      </c>
      <c r="E4926" s="53"/>
      <c r="F4926" s="54" t="str">
        <f ca="1">IFERROR(VLOOKUP(F4908,'RR-3.1-5TH'!$A$12:'RR-3.1-5TH'!$BN$111,17,0),"")</f>
        <v/>
      </c>
      <c r="G4926" s="54" t="str">
        <f ca="1">IFERROR(VLOOKUP(F4908,'RR-3.1-5TH'!$A$12:'RR-3.1-5TH'!$BN$111,18,0),"")</f>
        <v/>
      </c>
      <c r="H4926" s="54" t="str">
        <f ca="1">IFERROR(VLOOKUP(F4908,'RR-3.1-5TH'!$A$12:'RR-3.1-5TH'!$BN$111,19,0),"")</f>
        <v/>
      </c>
      <c r="I4926" s="54" t="str">
        <f ca="1">IFERROR(VLOOKUP(F4908,'RR-3.1-5TH'!$A$12:'RR-3.1-5TH'!$BN$111,20,0),"")</f>
        <v/>
      </c>
      <c r="J4926" s="54" t="str">
        <f ca="1">IFERROR(VLOOKUP(F4908,'RR-3.1-5TH'!$A$12:'RR-3.1-5TH'!$BN$111,21,0),"")</f>
        <v/>
      </c>
      <c r="K4926" s="54" t="str">
        <f ca="1">IFERROR(VLOOKUP(F4908,'RR-3.1-5TH'!$A$12:'RR-3.1-5TH'!$BN$111,22,0),"")</f>
        <v/>
      </c>
      <c r="L4926" s="55">
        <f ca="1" t="shared" si="258"/>
        <v>0</v>
      </c>
      <c r="M4926" s="56" t="str">
        <f ca="1">IF(F4908&gt;ENTRY!$D$24,"",IF(L4926=0,"Ab",IF(L4926&gt;80,"A",IF(L4926&gt;60,"B",IF(L4926&gt;44,"C",IF(L4926&gt;=33,"D",IF(L4926&lt;=32,"E","")))))))</f>
        <v/>
      </c>
      <c r="N4926" s="58"/>
      <c r="O4926" s="58"/>
      <c r="P4926" s="59"/>
      <c r="Q4926" s="19"/>
      <c r="R4926" s="11"/>
    </row>
    <row r="4927" s="1" customFormat="1" ht="21.95" customHeight="1" spans="1:18">
      <c r="A4927" s="7"/>
      <c r="B4927" s="12"/>
      <c r="C4927" s="33"/>
      <c r="D4927" s="52" t="s">
        <v>718</v>
      </c>
      <c r="E4927" s="53"/>
      <c r="F4927" s="54" t="str">
        <f ca="1">IFERROR(VLOOKUP(F4908,'RR-3.1-5TH'!$A$12:'RR-3.1-5TH'!$BN$111,25,0),"")</f>
        <v/>
      </c>
      <c r="G4927" s="54" t="str">
        <f ca="1">IFERROR(VLOOKUP(F4908,'RR-3.1-5TH'!$A$12:'RR-3.1-5TH'!$BN$111,26,0),"")</f>
        <v/>
      </c>
      <c r="H4927" s="54" t="str">
        <f ca="1">IFERROR(VLOOKUP(F4908,'RR-3.1-5TH'!$A$12:'RR-3.1-5TH'!$BN$111,27,0),"")</f>
        <v/>
      </c>
      <c r="I4927" s="54" t="str">
        <f ca="1">IFERROR(VLOOKUP(F4908,'RR-3.1-5TH'!$A$12:'RR-3.1-5TH'!$BN$111,28,0),"")</f>
        <v/>
      </c>
      <c r="J4927" s="54" t="str">
        <f ca="1">IFERROR(VLOOKUP(F4908,'RR-3.1-5TH'!$A$12:'RR-3.1-5TH'!$BN$111,29,0),"")</f>
        <v/>
      </c>
      <c r="K4927" s="54" t="str">
        <f ca="1">IFERROR(VLOOKUP(F4908,'RR-3.1-5TH'!$A$12:'RR-3.1-5TH'!$BN$111,30,0),"")</f>
        <v/>
      </c>
      <c r="L4927" s="55">
        <f ca="1" t="shared" si="258"/>
        <v>0</v>
      </c>
      <c r="M4927" s="56" t="str">
        <f ca="1">IF(F4908&gt;ENTRY!$D$24,"",IF(L4927=0,"Ab",IF(L4927&gt;80,"A",IF(L4927&gt;60,"B",IF(L4927&gt;44,"C",IF(L4927&gt;=33,"D",IF(L4927&lt;=32,"E","")))))))</f>
        <v/>
      </c>
      <c r="N4927" s="29"/>
      <c r="O4927" s="29"/>
      <c r="P4927" s="19"/>
      <c r="Q4927" s="19"/>
      <c r="R4927" s="11"/>
    </row>
    <row r="4928" s="1" customFormat="1" ht="21.95" customHeight="1" spans="1:18">
      <c r="A4928" s="7"/>
      <c r="B4928" s="12"/>
      <c r="C4928" s="33"/>
      <c r="D4928" s="52" t="s">
        <v>719</v>
      </c>
      <c r="E4928" s="53"/>
      <c r="F4928" s="54" t="str">
        <f ca="1">IFERROR(VLOOKUP(F4908,'RR-3.1-5TH'!$A$12:'RR-3.1-5TH'!$BN$111,33,0),"")</f>
        <v/>
      </c>
      <c r="G4928" s="54" t="str">
        <f ca="1">IFERROR(VLOOKUP(F4908,'RR-3.1-5TH'!$A$12:'RR-3.1-5TH'!$BN$111,34,0),"")</f>
        <v/>
      </c>
      <c r="H4928" s="54" t="str">
        <f ca="1">IFERROR(VLOOKUP(F4908,'RR-3.1-5TH'!$A$12:'RR-3.1-5TH'!$BN$111,35,0),"")</f>
        <v/>
      </c>
      <c r="I4928" s="54" t="str">
        <f ca="1">IFERROR(VLOOKUP(F4908,'RR-3.1-5TH'!$A$12:'RR-3.1-5TH'!$BN$111,36,0),"")</f>
        <v/>
      </c>
      <c r="J4928" s="54" t="str">
        <f ca="1">IFERROR(VLOOKUP(F4908,'RR-3.1-5TH'!$A$12:'RR-3.1-5TH'!$BN$111,37,0),"")</f>
        <v/>
      </c>
      <c r="K4928" s="54" t="str">
        <f ca="1">IFERROR(VLOOKUP(F4908,'RR-3.1-5TH'!$A$12:'RR-3.1-5TH'!$BN$111,38,0),"")</f>
        <v/>
      </c>
      <c r="L4928" s="55">
        <f ca="1" t="shared" si="258"/>
        <v>0</v>
      </c>
      <c r="M4928" s="56" t="str">
        <f ca="1">IF(F4908&gt;ENTRY!$D$24,"",IF(L4928=0,"Ab",IF(L4928&gt;80,"A",IF(L4928&gt;60,"B",IF(L4928&gt;44,"C",IF(L4928&gt;=33,"D",IF(L4928&lt;=32,"E","")))))))</f>
        <v/>
      </c>
      <c r="N4928" s="29"/>
      <c r="O4928" s="29"/>
      <c r="P4928" s="19"/>
      <c r="Q4928" s="19"/>
      <c r="R4928" s="11"/>
    </row>
    <row r="4929" s="1" customFormat="1" ht="21.95" customHeight="1" spans="1:19">
      <c r="A4929" s="7"/>
      <c r="B4929" s="12"/>
      <c r="C4929" s="33"/>
      <c r="D4929" s="52" t="s">
        <v>548</v>
      </c>
      <c r="E4929" s="53"/>
      <c r="F4929" s="54" t="str">
        <f ca="1">IFERROR(VLOOKUP(F4908,'RR-3.1-5TH'!$A$12:'RR-3.1-5TH'!$BN$111,41,0),"")</f>
        <v/>
      </c>
      <c r="G4929" s="54" t="str">
        <f ca="1">IFERROR(VLOOKUP(F4908,'RR-3.1-5TH'!$A$12:'RR-3.1-5TH'!$BN$111,42,0),"")</f>
        <v/>
      </c>
      <c r="H4929" s="54" t="str">
        <f ca="1">IFERROR(VLOOKUP(F4908,'RR-3.1-5TH'!$A$12:'RR-3.1-5TH'!$BN$111,43,0),"")</f>
        <v/>
      </c>
      <c r="I4929" s="54" t="str">
        <f ca="1">IFERROR(VLOOKUP(F4908,'RR-3.1-5TH'!$A$12:'RR-3.1-5TH'!$BN$111,44,0),"")</f>
        <v/>
      </c>
      <c r="J4929" s="54" t="str">
        <f ca="1">IFERROR(VLOOKUP(F4908,'RR-3.1-5TH'!$A$12:'RR-3.1-5TH'!$BN$111,45,0),"")</f>
        <v/>
      </c>
      <c r="K4929" s="54" t="str">
        <f ca="1">IFERROR(VLOOKUP(F4908,'RR-3.1-5TH'!$A$12:'RR-3.1-5TH'!$BN$111,46,0),"")</f>
        <v/>
      </c>
      <c r="L4929" s="55">
        <f ca="1" t="shared" si="258"/>
        <v>0</v>
      </c>
      <c r="M4929" s="56" t="str">
        <f ca="1">IF(F4908&gt;ENTRY!$D$24,"",IF(L4929=0,"Ab",IF(L4929&gt;80,"A",IF(L4929&gt;60,"B",IF(L4929&gt;44,"C",IF(L4929&gt;=33,"D",IF(L4929&lt;=32,"E","")))))))</f>
        <v/>
      </c>
      <c r="N4929" s="29"/>
      <c r="O4929" s="29"/>
      <c r="P4929" s="19"/>
      <c r="Q4929" s="19"/>
      <c r="R4929" s="11"/>
    </row>
    <row r="4930" s="1" customFormat="1" ht="21.95" customHeight="1" spans="1:19">
      <c r="A4930" s="7"/>
      <c r="B4930" s="12"/>
      <c r="C4930" s="33"/>
      <c r="D4930" s="52" t="s">
        <v>549</v>
      </c>
      <c r="E4930" s="53"/>
      <c r="F4930" s="54" t="str">
        <f ca="1">IFERROR(VLOOKUP(F4908,'RR-3.1-5TH'!$A$12:'RR-3.1-5TH'!$BN$111,49,0),"")</f>
        <v/>
      </c>
      <c r="G4930" s="54" t="str">
        <f ca="1">IFERROR(VLOOKUP(F4908,'RR-3.1-5TH'!$A$12:'RR-3.1-5TH'!$BN$111,50,0),"")</f>
        <v/>
      </c>
      <c r="H4930" s="54" t="str">
        <f ca="1">IFERROR(VLOOKUP(F4908,'RR-3.1-5TH'!$A$12:'RR-3.1-5TH'!$BN$111,51,0),"")</f>
        <v/>
      </c>
      <c r="I4930" s="54" t="str">
        <f ca="1">IFERROR(VLOOKUP(F4908,'RR-3.1-5TH'!$A$12:'RR-3.1-5TH'!$BN$111,52,0),"")</f>
        <v/>
      </c>
      <c r="J4930" s="54" t="str">
        <f ca="1">IFERROR(VLOOKUP(F4908,'RR-3.1-5TH'!$A$12:'RR-3.1-5TH'!$BN$111,53,0),"")</f>
        <v/>
      </c>
      <c r="K4930" s="54" t="str">
        <f ca="1">IFERROR(VLOOKUP(F4908,'RR-3.1-5TH'!$A$12:'RR-3.1-5TH'!$BN$111,54,0),"")</f>
        <v/>
      </c>
      <c r="L4930" s="55">
        <f ca="1" t="shared" si="258"/>
        <v>0</v>
      </c>
      <c r="M4930" s="56" t="str">
        <f ca="1">IF(F4908&gt;ENTRY!$D$24,"",IF(L4930=0,"Ab",IF(L4930&gt;80,"A",IF(L4930&gt;60,"B",IF(L4930&gt;44,"C",IF(L4930&gt;=33,"D",IF(L4930&lt;=32,"E","")))))))</f>
        <v/>
      </c>
      <c r="N4930" s="57" t="s">
        <v>752</v>
      </c>
      <c r="O4930" s="58"/>
      <c r="P4930" s="59"/>
      <c r="Q4930" s="19"/>
      <c r="R4930" s="11"/>
    </row>
    <row r="4931" s="1" customFormat="1" ht="21.95" customHeight="1" spans="1:19">
      <c r="A4931" s="7"/>
      <c r="B4931" s="12"/>
      <c r="C4931" s="33"/>
      <c r="D4931" s="52" t="s">
        <v>753</v>
      </c>
      <c r="E4931" s="53"/>
      <c r="F4931" s="60"/>
      <c r="G4931" s="54"/>
      <c r="H4931" s="54"/>
      <c r="I4931" s="54"/>
      <c r="J4931" s="54"/>
      <c r="K4931" s="54"/>
      <c r="L4931" s="55">
        <f t="shared" ref="L4931" si="259">SUM(G4931:K4931)</f>
        <v>0</v>
      </c>
      <c r="M4931" s="56" t="str">
        <f>IF(F4908&gt;ENTRY!$D$24,"",IF(L4931=0,"",IF(L4931&gt;79,"A",IF(L4931&gt;59,"B",IF(L4931&gt;44,"C",IF(L4931&gt;=33,"D",IF(L4931&lt;=32,"E","")))))))</f>
        <v/>
      </c>
      <c r="N4931" s="58"/>
      <c r="O4931" s="58"/>
      <c r="P4931" s="59"/>
      <c r="Q4931" s="19"/>
      <c r="R4931" s="11"/>
    </row>
    <row r="4932" s="1" customFormat="1" ht="21.95" customHeight="1" spans="1:19">
      <c r="A4932" s="7"/>
      <c r="B4932" s="12"/>
      <c r="C4932" s="33"/>
      <c r="D4932" s="45" t="s">
        <v>382</v>
      </c>
      <c r="E4932" s="46"/>
      <c r="F4932" s="54">
        <f ca="1" t="shared" ref="F4932:L4932" si="260">IFERROR(SUM(F4925:F4931),"")</f>
        <v>0</v>
      </c>
      <c r="G4932" s="54">
        <f ca="1" t="shared" si="260"/>
        <v>0</v>
      </c>
      <c r="H4932" s="54">
        <f ca="1" t="shared" si="260"/>
        <v>0</v>
      </c>
      <c r="I4932" s="54">
        <f ca="1" t="shared" si="260"/>
        <v>0</v>
      </c>
      <c r="J4932" s="54">
        <f ca="1" t="shared" si="260"/>
        <v>0</v>
      </c>
      <c r="K4932" s="54">
        <f ca="1" t="shared" si="260"/>
        <v>0</v>
      </c>
      <c r="L4932" s="55">
        <f ca="1" t="shared" si="260"/>
        <v>0</v>
      </c>
      <c r="M4932" s="61" t="str">
        <f ca="1">IF(F4908&gt;ENTRY!$D$24,"",IF(N4933="Ab","Ab",IF(N4933&gt;79.5,"A",IF(N4933&gt;59.5,"B",IF(N4933&gt;44.5,"C",IF(N4933&gt;=33,"D",IF(N4933&lt;33,"E","")))))))</f>
        <v/>
      </c>
      <c r="N4932" s="62"/>
      <c r="O4932" s="58"/>
      <c r="P4932" s="59"/>
      <c r="Q4932" s="19"/>
      <c r="R4932" s="11"/>
    </row>
    <row r="4933" s="1" customFormat="1" ht="21.95" customHeight="1" spans="1:19">
      <c r="A4933" s="7"/>
      <c r="B4933" s="12"/>
      <c r="C4933" s="33"/>
      <c r="D4933" s="63" t="s">
        <v>721</v>
      </c>
      <c r="E4933" s="63"/>
      <c r="F4933" s="63"/>
      <c r="G4933" s="63"/>
      <c r="H4933" s="63"/>
      <c r="I4933" s="63"/>
      <c r="J4933" s="63"/>
      <c r="K4933" s="63"/>
      <c r="L4933" s="63"/>
      <c r="M4933" s="63"/>
      <c r="N4933" s="64">
        <f ca="1">IF(L4932="Ab","Ab",L4932/6)</f>
        <v>0</v>
      </c>
      <c r="O4933" s="65"/>
      <c r="P4933" s="19"/>
      <c r="Q4933" s="19"/>
      <c r="R4933" s="11"/>
    </row>
    <row r="4934" s="1" customFormat="1" ht="21.95" customHeight="1" spans="1:19">
      <c r="A4934" s="7"/>
      <c r="B4934" s="12"/>
      <c r="C4934" s="33"/>
      <c r="D4934" s="29" t="s">
        <v>716</v>
      </c>
      <c r="E4934" s="18" t="str">
        <f>IFERROR(VLOOKUP(F4908,'1to4-2.1-RR'!$A$12:$BG$111,57,0),"")</f>
        <v/>
      </c>
      <c r="F4934" s="18"/>
      <c r="G4934" s="18"/>
      <c r="H4934" s="18"/>
      <c r="I4934" s="18"/>
      <c r="J4934" s="18"/>
      <c r="K4934" s="18"/>
      <c r="L4934" s="18"/>
      <c r="M4934" s="18"/>
      <c r="N4934" s="29"/>
      <c r="O4934" s="29"/>
      <c r="P4934" s="19"/>
      <c r="Q4934" s="19"/>
      <c r="R4934" s="11"/>
    </row>
    <row r="4935" s="1" customFormat="1" ht="9.95" customHeight="1" spans="1:19">
      <c r="A4935" s="7"/>
      <c r="B4935" s="12"/>
      <c r="C4935" s="33"/>
      <c r="D4935" s="29"/>
      <c r="E4935" s="29"/>
      <c r="F4935" s="29"/>
      <c r="G4935" s="29"/>
      <c r="H4935" s="29"/>
      <c r="I4935" s="29"/>
      <c r="J4935" s="29"/>
      <c r="K4935" s="29"/>
      <c r="L4935" s="29"/>
      <c r="M4935" s="29"/>
      <c r="N4935" s="29"/>
      <c r="O4935" s="29"/>
      <c r="P4935" s="19"/>
      <c r="Q4935" s="19"/>
      <c r="R4935" s="11"/>
    </row>
    <row r="4936" s="1" customFormat="1" ht="36" spans="1:19">
      <c r="A4936" s="7"/>
      <c r="B4936" s="12"/>
      <c r="C4936" s="33"/>
      <c r="D4936" s="66" t="s">
        <v>576</v>
      </c>
      <c r="E4936" s="67" t="s">
        <v>754</v>
      </c>
      <c r="F4936" s="47" t="str">
        <f>IF(F4908&gt;ENTRY!$D$24,"",IFERROR(VLOOKUP(F4908,PASHEET!$A$4:$CJ$103,88,0),""))</f>
        <v/>
      </c>
      <c r="G4936" s="67" t="s">
        <v>755</v>
      </c>
      <c r="H4936" s="47" t="str">
        <f>IF(F4908&gt;ENTRY!$D$24,"",IFERROR(VLOOKUP(F4908,PASHEET!$A$4:$CJ$103,87,0),""))</f>
        <v/>
      </c>
      <c r="I4936" s="68" t="s">
        <v>756</v>
      </c>
      <c r="J4936" s="69" t="str">
        <f>IF(F4908&gt;ENTRY!$D$24,"",IFERROR(IF(F4908&gt;0,H4936/F4936*100),""))</f>
        <v/>
      </c>
      <c r="K4936" s="60" t="s">
        <v>757</v>
      </c>
      <c r="L4936" s="70" t="str">
        <f ca="1">IF(F4908&gt;ENTRY!$D$24,"",IFERROR(L4932/600*100,""))</f>
        <v/>
      </c>
      <c r="M4936" s="47" t="str">
        <f ca="1">IF(F4908&gt;ENTRY!$D$24,"",IFERROR(L4932&amp;" / "&amp;"600",""))</f>
        <v/>
      </c>
      <c r="N4936" s="29"/>
      <c r="O4936" s="29"/>
      <c r="P4936" s="19"/>
      <c r="Q4936" s="19"/>
      <c r="R4936" s="11"/>
    </row>
    <row r="4937" s="1" customFormat="1" ht="9.95" customHeight="1" spans="1:19">
      <c r="A4937" s="7"/>
      <c r="B4937" s="12"/>
      <c r="C4937" s="39"/>
      <c r="D4937" s="40"/>
      <c r="E4937" s="40"/>
      <c r="F4937" s="40"/>
      <c r="G4937" s="40"/>
      <c r="H4937" s="40"/>
      <c r="I4937" s="40"/>
      <c r="J4937" s="40"/>
      <c r="K4937" s="40"/>
      <c r="L4937" s="40"/>
      <c r="M4937" s="40"/>
      <c r="N4937" s="40"/>
      <c r="O4937" s="40"/>
      <c r="P4937" s="41"/>
      <c r="Q4937" s="19"/>
      <c r="R4937" s="11"/>
    </row>
    <row r="4938" s="1" customFormat="1" ht="9.95" customHeight="1" spans="1:19">
      <c r="A4938" s="7"/>
      <c r="B4938" s="12"/>
      <c r="C4938" s="71"/>
      <c r="D4938" s="71"/>
      <c r="E4938" s="71"/>
      <c r="F4938" s="29"/>
      <c r="G4938" s="71"/>
      <c r="H4938" s="71"/>
      <c r="I4938" s="71"/>
      <c r="J4938" s="71"/>
      <c r="K4938" s="71"/>
      <c r="L4938" s="71"/>
      <c r="M4938" s="71"/>
      <c r="N4938" s="71"/>
      <c r="O4938" s="71"/>
      <c r="P4938" s="71"/>
      <c r="Q4938" s="19"/>
      <c r="R4938" s="11"/>
    </row>
    <row r="4939" s="1" customFormat="1" ht="9.95" customHeight="1" spans="1:19">
      <c r="A4939" s="7"/>
      <c r="B4939" s="12"/>
      <c r="C4939" s="29"/>
      <c r="D4939" s="29"/>
      <c r="E4939" s="29"/>
      <c r="F4939" s="72"/>
      <c r="G4939" s="29"/>
      <c r="H4939" s="29"/>
      <c r="I4939" s="29"/>
      <c r="J4939" s="29"/>
      <c r="K4939" s="29"/>
      <c r="L4939" s="29"/>
      <c r="M4939" s="29"/>
      <c r="N4939" s="29"/>
      <c r="O4939" s="29"/>
      <c r="P4939" s="29"/>
      <c r="Q4939" s="19"/>
      <c r="R4939" s="11"/>
    </row>
    <row r="4940" s="1" customFormat="1" ht="9.95" customHeight="1" spans="1:19">
      <c r="A4940" s="7"/>
      <c r="B4940" s="12"/>
      <c r="C4940" s="30"/>
      <c r="D4940" s="31"/>
      <c r="E4940" s="31"/>
      <c r="F4940" s="31"/>
      <c r="G4940" s="31"/>
      <c r="H4940" s="31"/>
      <c r="I4940" s="31"/>
      <c r="J4940" s="31"/>
      <c r="K4940" s="31"/>
      <c r="L4940" s="31"/>
      <c r="M4940" s="31"/>
      <c r="N4940" s="31"/>
      <c r="O4940" s="31"/>
      <c r="P4940" s="32"/>
      <c r="Q4940" s="19"/>
      <c r="R4940" s="11"/>
    </row>
    <row r="4941" s="1" customFormat="1" ht="21.95" customHeight="1" spans="1:19">
      <c r="A4941" s="7"/>
      <c r="B4941" s="12"/>
      <c r="C4941" s="73" t="s">
        <v>7</v>
      </c>
      <c r="D4941" s="13"/>
      <c r="E4941" s="13"/>
      <c r="F4941" s="13"/>
      <c r="G4941" s="13"/>
      <c r="H4941" s="13"/>
      <c r="I4941" s="13"/>
      <c r="J4941" s="13"/>
      <c r="K4941" s="13"/>
      <c r="L4941" s="13"/>
      <c r="M4941" s="13"/>
      <c r="N4941" s="13"/>
      <c r="O4941" s="13"/>
      <c r="P4941" s="74"/>
      <c r="Q4941" s="19"/>
      <c r="R4941" s="11"/>
      <c r="S4941" s="2"/>
    </row>
    <row r="4942" s="1" customFormat="1" ht="21.95" customHeight="1" spans="1:19">
      <c r="A4942" s="7"/>
      <c r="B4942" s="12"/>
      <c r="C4942" s="33"/>
      <c r="D4942" s="29"/>
      <c r="E4942" s="29"/>
      <c r="F4942" s="29"/>
      <c r="G4942" s="29"/>
      <c r="H4942" s="29"/>
      <c r="I4942" s="29"/>
      <c r="J4942" s="29"/>
      <c r="K4942" s="29"/>
      <c r="L4942" s="29"/>
      <c r="M4942" s="29"/>
      <c r="N4942" s="29"/>
      <c r="O4942" s="29"/>
      <c r="P4942" s="19"/>
      <c r="Q4942" s="19"/>
      <c r="R4942" s="11"/>
    </row>
    <row r="4943" s="1" customFormat="1" ht="21.95" customHeight="1" spans="1:19">
      <c r="A4943" s="7"/>
      <c r="B4943" s="12"/>
      <c r="C4943" s="75" t="str">
        <f>"SESSION-"&amp;ENTRY!$D$11</f>
        <v>SESSION-2026-27</v>
      </c>
      <c r="D4943" s="15"/>
      <c r="E4943" s="15"/>
      <c r="F4943" s="15"/>
      <c r="G4943" s="15"/>
      <c r="H4943" s="15"/>
      <c r="I4943" s="15"/>
      <c r="J4943" s="15"/>
      <c r="K4943" s="15"/>
      <c r="L4943" s="15"/>
      <c r="M4943" s="15"/>
      <c r="N4943" s="15"/>
      <c r="O4943" s="15"/>
      <c r="P4943" s="76"/>
      <c r="Q4943" s="19"/>
      <c r="R4943" s="11"/>
    </row>
    <row r="4944" s="1" customFormat="1" ht="18" customHeight="1" spans="1:19">
      <c r="A4944" s="7"/>
      <c r="B4944" s="12"/>
      <c r="C4944" s="33"/>
      <c r="D4944" s="29"/>
      <c r="E4944" s="29"/>
      <c r="F4944" s="29"/>
      <c r="G4944" s="29"/>
      <c r="H4944" s="29"/>
      <c r="I4944" s="29"/>
      <c r="J4944" s="29"/>
      <c r="K4944" s="29"/>
      <c r="L4944" s="29"/>
      <c r="M4944" s="29"/>
      <c r="N4944" s="29"/>
      <c r="O4944" s="29"/>
      <c r="P4944" s="19"/>
      <c r="Q4944" s="19"/>
      <c r="R4944" s="11"/>
    </row>
    <row r="4945" s="1" customFormat="1" ht="21.95" customHeight="1" spans="1:18">
      <c r="A4945" s="7"/>
      <c r="B4945" s="12"/>
      <c r="C4945" s="33"/>
      <c r="D4945" s="77" t="s">
        <v>758</v>
      </c>
      <c r="E4945" s="77"/>
      <c r="F4945" s="78" t="str">
        <f>IFERROR(PROPER(VLOOKUP(F4908,STUDENT!$A$2:$BP$101,5,0)),"")</f>
        <v/>
      </c>
      <c r="G4945" s="78"/>
      <c r="H4945" s="78"/>
      <c r="I4945" s="78"/>
      <c r="J4945" s="78"/>
      <c r="K4945" s="78"/>
      <c r="L4945" s="78"/>
      <c r="M4945" s="78"/>
      <c r="N4945" s="79" t="s">
        <v>759</v>
      </c>
      <c r="O4945" s="79"/>
      <c r="P4945" s="19"/>
      <c r="Q4945" s="19"/>
      <c r="R4945" s="11"/>
    </row>
    <row r="4946" s="1" customFormat="1" ht="21.95" customHeight="1" spans="1:18">
      <c r="A4946" s="7"/>
      <c r="B4946" s="12"/>
      <c r="C4946" s="33"/>
      <c r="D4946" s="80" t="s">
        <v>760</v>
      </c>
      <c r="E4946" s="81" t="str">
        <f>IFERROR(PROPER(VLOOKUP(F4908,STUDENT!$A$2:$BP$101,9,0)),"")</f>
        <v/>
      </c>
      <c r="F4946" s="81"/>
      <c r="G4946" s="81"/>
      <c r="H4946" s="80" t="s">
        <v>761</v>
      </c>
      <c r="I4946" s="82" t="str">
        <f>IFERROR(PROPER(VLOOKUP(F4908,STUDENT!$A$2:$BP$101,8,0)),"")</f>
        <v/>
      </c>
      <c r="J4946" s="82"/>
      <c r="K4946" s="82"/>
      <c r="L4946" s="82"/>
      <c r="M4946" s="80" t="s">
        <v>762</v>
      </c>
      <c r="N4946" s="83" t="str">
        <f>IFERROR(VLOOKUP(F4908,STUDENT!$A$2:$BP$101,59,0),"")</f>
        <v/>
      </c>
      <c r="O4946" s="83"/>
      <c r="P4946" s="19"/>
      <c r="Q4946" s="19"/>
      <c r="R4946" s="11"/>
    </row>
    <row r="4947" s="1" customFormat="1" ht="21.95" customHeight="1" spans="1:18">
      <c r="A4947" s="7"/>
      <c r="B4947" s="12"/>
      <c r="C4947" s="33"/>
      <c r="D4947" s="77" t="str">
        <f>"has    completed     his  /  her     primary     level     education    in    the    year    "&amp;RIGHT(ENTRY!$D4913,4)&amp;"    from    ( School    Name )"</f>
        <v>has    completed     his  /  her     primary     level     education    in    the    year        from    ( School    Name )</v>
      </c>
      <c r="E4947" s="77"/>
      <c r="F4947" s="77"/>
      <c r="G4947" s="77"/>
      <c r="H4947" s="77"/>
      <c r="I4947" s="77"/>
      <c r="J4947" s="77"/>
      <c r="K4947" s="77"/>
      <c r="L4947" s="77"/>
      <c r="M4947" s="77"/>
      <c r="N4947" s="77"/>
      <c r="O4947" s="77"/>
      <c r="P4947" s="19"/>
      <c r="Q4947" s="19"/>
      <c r="R4947" s="11"/>
    </row>
    <row r="4948" s="1" customFormat="1" ht="21.95" customHeight="1" spans="1:18">
      <c r="A4948" s="7"/>
      <c r="B4948" s="12"/>
      <c r="C4948" s="33"/>
      <c r="D4948" s="81" t="str">
        <f>IF(F4908&gt;0,ENTRY!$D$6,"")</f>
        <v>MCP NITHARI NO 1 BOYS</v>
      </c>
      <c r="E4948" s="81"/>
      <c r="F4948" s="81"/>
      <c r="G4948" s="81"/>
      <c r="H4948" s="81"/>
      <c r="I4948" s="81"/>
      <c r="J4948" s="81"/>
      <c r="K4948" s="81"/>
      <c r="L4948" s="81"/>
      <c r="M4948" s="80" t="s">
        <v>763</v>
      </c>
      <c r="N4948" s="84">
        <f>IF(F4908&gt;0,ENTRY!$D$7,"")</f>
        <v>0</v>
      </c>
      <c r="O4948" s="84"/>
      <c r="P4948" s="85" t="s">
        <v>727</v>
      </c>
      <c r="Q4948" s="19"/>
      <c r="R4948" s="11"/>
    </row>
    <row r="4949" s="1" customFormat="1" ht="21.95" customHeight="1" spans="1:18">
      <c r="A4949" s="7"/>
      <c r="B4949" s="12"/>
      <c r="C4949" s="33"/>
      <c r="D4949" s="29"/>
      <c r="E4949" s="29"/>
      <c r="F4949" s="29"/>
      <c r="G4949" s="29"/>
      <c r="H4949" s="29"/>
      <c r="I4949" s="29"/>
      <c r="J4949" s="29"/>
      <c r="K4949" s="29"/>
      <c r="L4949" s="29"/>
      <c r="M4949" s="29"/>
      <c r="N4949" s="29"/>
      <c r="O4949" s="29"/>
      <c r="P4949" s="19"/>
      <c r="Q4949" s="19"/>
      <c r="R4949" s="11"/>
    </row>
    <row r="4950" s="1" customFormat="1" ht="21.95" customHeight="1" spans="1:18">
      <c r="A4950" s="7"/>
      <c r="B4950" s="12"/>
      <c r="C4950" s="33"/>
      <c r="D4950" s="29"/>
      <c r="E4950" s="29"/>
      <c r="F4950" s="29"/>
      <c r="G4950" s="29"/>
      <c r="H4950" s="29"/>
      <c r="I4950" s="29"/>
      <c r="J4950" s="29"/>
      <c r="K4950" s="29"/>
      <c r="L4950" s="29"/>
      <c r="M4950" s="29"/>
      <c r="N4950" s="29"/>
      <c r="O4950" s="29"/>
      <c r="P4950" s="19"/>
      <c r="Q4950" s="19"/>
      <c r="R4950" s="11"/>
    </row>
    <row r="4951" s="1" customFormat="1" ht="21.95" customHeight="1" spans="1:18">
      <c r="A4951" s="7"/>
      <c r="B4951" s="12"/>
      <c r="C4951" s="33"/>
      <c r="D4951" s="29"/>
      <c r="E4951" s="29"/>
      <c r="F4951" s="29"/>
      <c r="G4951" s="29"/>
      <c r="H4951" s="29"/>
      <c r="I4951" s="29"/>
      <c r="J4951" s="29"/>
      <c r="K4951" s="29"/>
      <c r="L4951" s="29"/>
      <c r="M4951" s="29"/>
      <c r="N4951" s="29"/>
      <c r="O4951" s="29"/>
      <c r="P4951" s="19"/>
      <c r="Q4951" s="19"/>
      <c r="R4951" s="11"/>
    </row>
    <row r="4952" s="1" customFormat="1" ht="21.95" customHeight="1" spans="1:18">
      <c r="A4952" s="7"/>
      <c r="B4952" s="12"/>
      <c r="C4952" s="33"/>
      <c r="D4952" s="29"/>
      <c r="E4952" s="29"/>
      <c r="F4952" s="29"/>
      <c r="G4952" s="29"/>
      <c r="H4952" s="29"/>
      <c r="I4952" s="29"/>
      <c r="J4952" s="29"/>
      <c r="K4952" s="29"/>
      <c r="L4952" s="29"/>
      <c r="M4952" s="29"/>
      <c r="N4952" s="29"/>
      <c r="O4952" s="29"/>
      <c r="P4952" s="19"/>
      <c r="Q4952" s="19"/>
      <c r="R4952" s="11"/>
    </row>
    <row r="4953" s="1" customFormat="1" ht="21.95" customHeight="1" spans="1:18">
      <c r="A4953" s="7"/>
      <c r="B4953" s="12"/>
      <c r="C4953" s="33"/>
      <c r="D4953" s="29"/>
      <c r="E4953" s="29"/>
      <c r="F4953" s="29"/>
      <c r="G4953" s="29"/>
      <c r="H4953" s="29"/>
      <c r="I4953" s="29"/>
      <c r="J4953" s="29"/>
      <c r="K4953" s="29"/>
      <c r="L4953" s="29"/>
      <c r="M4953" s="29"/>
      <c r="N4953" s="29"/>
      <c r="O4953" s="29"/>
      <c r="P4953" s="19"/>
      <c r="Q4953" s="19"/>
      <c r="R4953" s="11"/>
    </row>
    <row r="4954" s="1" customFormat="1" ht="21.95" customHeight="1" spans="1:18">
      <c r="A4954" s="7"/>
      <c r="B4954" s="12"/>
      <c r="C4954" s="33"/>
      <c r="D4954" s="80" t="s">
        <v>728</v>
      </c>
      <c r="E4954" s="86">
        <f>ENTRY!$D$27</f>
        <v>46102</v>
      </c>
      <c r="F4954" s="86"/>
      <c r="G4954" s="29"/>
      <c r="H4954" s="29"/>
      <c r="I4954" s="29"/>
      <c r="J4954" s="29"/>
      <c r="K4954" s="29"/>
      <c r="L4954" s="29"/>
      <c r="M4954" s="87" t="s">
        <v>730</v>
      </c>
      <c r="N4954" s="87"/>
      <c r="O4954" s="87"/>
      <c r="P4954" s="19"/>
      <c r="Q4954" s="19"/>
      <c r="R4954" s="11"/>
    </row>
    <row r="4955" s="1" customFormat="1" ht="21.95" customHeight="1" spans="1:18">
      <c r="A4955" s="7"/>
      <c r="B4955" s="12"/>
      <c r="C4955" s="33"/>
      <c r="D4955" s="80" t="s">
        <v>731</v>
      </c>
      <c r="E4955" s="88" t="str">
        <f>PROPER(ENTRY!$D$28)</f>
        <v>New Delhi</v>
      </c>
      <c r="F4955" s="88"/>
      <c r="G4955" s="29"/>
      <c r="H4955" s="29"/>
      <c r="I4955" s="29"/>
      <c r="J4955" s="29"/>
      <c r="K4955" s="29"/>
      <c r="L4955" s="29"/>
      <c r="M4955" s="89" t="s">
        <v>732</v>
      </c>
      <c r="N4955" s="89"/>
      <c r="O4955" s="89"/>
      <c r="P4955" s="19"/>
      <c r="Q4955" s="19"/>
      <c r="R4955" s="11"/>
    </row>
    <row r="4956" s="1" customFormat="1" ht="21.95" customHeight="1" spans="1:18">
      <c r="A4956" s="7"/>
      <c r="B4956" s="12"/>
      <c r="C4956" s="90"/>
      <c r="D4956" s="91"/>
      <c r="E4956" s="91"/>
      <c r="F4956" s="91"/>
      <c r="G4956" s="91"/>
      <c r="H4956" s="91"/>
      <c r="I4956" s="91"/>
      <c r="J4956" s="91"/>
      <c r="K4956" s="91"/>
      <c r="L4956" s="91"/>
      <c r="M4956" s="91"/>
      <c r="N4956" s="91"/>
      <c r="O4956" s="91"/>
      <c r="P4956" s="92"/>
      <c r="Q4956" s="14"/>
      <c r="R4956" s="11"/>
    </row>
    <row r="4957" s="1" customFormat="1" ht="5.1" customHeight="1" spans="1:18">
      <c r="A4957" s="7"/>
      <c r="B4957" s="90"/>
      <c r="C4957" s="91"/>
      <c r="D4957" s="91"/>
      <c r="E4957" s="91"/>
      <c r="F4957" s="91"/>
      <c r="G4957" s="91"/>
      <c r="H4957" s="91"/>
      <c r="I4957" s="91"/>
      <c r="J4957" s="91"/>
      <c r="K4957" s="91"/>
      <c r="L4957" s="91"/>
      <c r="M4957" s="91"/>
      <c r="N4957" s="91"/>
      <c r="O4957" s="91"/>
      <c r="P4957" s="91"/>
      <c r="Q4957" s="92"/>
      <c r="R4957" s="11"/>
    </row>
    <row r="4958" s="1" customFormat="1" ht="5.1" customHeight="1" spans="1:18">
      <c r="A4958" s="93"/>
      <c r="B4958" s="94"/>
      <c r="C4958" s="94"/>
      <c r="D4958" s="94"/>
      <c r="E4958" s="94"/>
      <c r="F4958" s="94"/>
      <c r="G4958" s="94"/>
      <c r="H4958" s="94"/>
      <c r="I4958" s="94"/>
      <c r="J4958" s="94"/>
      <c r="K4958" s="94"/>
      <c r="L4958" s="94"/>
      <c r="M4958" s="94"/>
      <c r="N4958" s="94"/>
      <c r="O4958" s="94"/>
      <c r="P4958" s="94"/>
      <c r="Q4958" s="94"/>
      <c r="R4958" s="95"/>
    </row>
    <row r="4959" s="2" customFormat="1" ht="9.95" customHeight="1"/>
    <row r="4960" s="1" customFormat="1" ht="5.1" customHeight="1" spans="1:18">
      <c r="A4960" s="4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6"/>
    </row>
    <row r="4961" s="1" customFormat="1" ht="15" customHeight="1" spans="1:18">
      <c r="A4961" s="7"/>
      <c r="B4961" s="8"/>
      <c r="C4961" s="9"/>
      <c r="D4961" s="9"/>
      <c r="E4961" s="9"/>
      <c r="F4961" s="9"/>
      <c r="G4961" s="9"/>
      <c r="H4961" s="9"/>
      <c r="I4961" s="9"/>
      <c r="J4961" s="9"/>
      <c r="K4961" s="9"/>
      <c r="L4961" s="9"/>
      <c r="M4961" s="9"/>
      <c r="N4961" s="9"/>
      <c r="O4961" s="9"/>
      <c r="P4961" s="9"/>
      <c r="Q4961" s="10"/>
      <c r="R4961" s="11"/>
    </row>
    <row r="4962" s="1" customFormat="1" ht="21.95" customHeight="1" spans="1:18">
      <c r="A4962" s="7"/>
      <c r="B4962" s="12"/>
      <c r="C4962" s="13" t="s">
        <v>7</v>
      </c>
      <c r="D4962" s="13"/>
      <c r="E4962" s="13"/>
      <c r="F4962" s="13"/>
      <c r="G4962" s="13"/>
      <c r="H4962" s="13"/>
      <c r="I4962" s="13"/>
      <c r="J4962" s="13"/>
      <c r="K4962" s="13"/>
      <c r="L4962" s="13"/>
      <c r="M4962" s="13"/>
      <c r="N4962" s="13"/>
      <c r="O4962" s="13"/>
      <c r="P4962" s="13"/>
      <c r="Q4962" s="14"/>
      <c r="R4962" s="11"/>
    </row>
    <row r="4963" s="1" customFormat="1" ht="21.95" customHeight="1" spans="1:18">
      <c r="A4963" s="7"/>
      <c r="B4963" s="1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14"/>
      <c r="R4963" s="11"/>
    </row>
    <row r="4964" s="1" customFormat="1" ht="21.95" customHeight="1" spans="1:18">
      <c r="A4964" s="7"/>
      <c r="B4964" s="12"/>
      <c r="C4964" s="15" t="str">
        <f>"SESSION-"&amp;ENTRY!$D$11</f>
        <v>SESSION-2026-27</v>
      </c>
      <c r="D4964" s="15"/>
      <c r="E4964" s="15"/>
      <c r="F4964" s="15"/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  <c r="Q4964" s="14"/>
      <c r="R4964" s="11"/>
    </row>
    <row r="4965" s="1" customFormat="1" ht="21.95" customHeight="1" spans="1:18">
      <c r="A4965" s="7"/>
      <c r="B4965" s="12"/>
      <c r="C4965" s="2"/>
      <c r="D4965" s="2"/>
      <c r="E4965" s="2"/>
      <c r="F4965" s="16">
        <f>F4908+1</f>
        <v>88</v>
      </c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14"/>
      <c r="R4965" s="11"/>
    </row>
    <row r="4966" s="1" customFormat="1" ht="21.95" customHeight="1" spans="1:18">
      <c r="A4966" s="7"/>
      <c r="B4966" s="12"/>
      <c r="C4966" s="17" t="s">
        <v>392</v>
      </c>
      <c r="D4966" s="17"/>
      <c r="E4966" s="17"/>
      <c r="F4966" s="18" t="str">
        <f>IF(F4965&gt;0,ENTRY!$D$6,"")</f>
        <v>MCP NITHARI NO 1 BOYS</v>
      </c>
      <c r="G4966" s="18"/>
      <c r="H4966" s="18"/>
      <c r="I4966" s="18"/>
      <c r="J4966" s="18"/>
      <c r="K4966" s="18"/>
      <c r="L4966" s="18"/>
      <c r="M4966" s="18"/>
      <c r="N4966" s="18"/>
      <c r="O4966" s="18"/>
      <c r="P4966" s="18"/>
      <c r="Q4966" s="19"/>
      <c r="R4966" s="11"/>
    </row>
    <row r="4967" s="1" customFormat="1" ht="21.95" customHeight="1" spans="1:18">
      <c r="A4967" s="7"/>
      <c r="B4967" s="12"/>
      <c r="C4967" s="17" t="s">
        <v>393</v>
      </c>
      <c r="D4967" s="17"/>
      <c r="E4967" s="17"/>
      <c r="F4967" s="18">
        <f>IF(F4965&gt;0,ENTRY!$D$7,"")</f>
        <v>0</v>
      </c>
      <c r="G4967" s="18"/>
      <c r="H4967" s="20" t="s">
        <v>702</v>
      </c>
      <c r="I4967" s="20"/>
      <c r="J4967" s="21">
        <f>IF(F4965&gt;0,ENTRY!$D$10,"")</f>
        <v>40</v>
      </c>
      <c r="K4967" s="20" t="s">
        <v>703</v>
      </c>
      <c r="L4967" s="22" t="str">
        <f>IF(F4965&gt;0,ENTRY!$D$5,"")</f>
        <v>ROHINI ZONE</v>
      </c>
      <c r="M4967" s="22"/>
      <c r="N4967" s="22"/>
      <c r="O4967" s="22"/>
      <c r="P4967" s="22"/>
      <c r="Q4967" s="19"/>
      <c r="R4967" s="11"/>
    </row>
    <row r="4968" s="1" customFormat="1" ht="21.95" customHeight="1" spans="1:18">
      <c r="A4968" s="7"/>
      <c r="B4968" s="12"/>
      <c r="C4968" s="17" t="s">
        <v>706</v>
      </c>
      <c r="D4968" s="17"/>
      <c r="E4968" s="17"/>
      <c r="F4968" s="23">
        <f>IFERROR(VLOOKUP(F4965,STUDENT!$A$2:$BP$101,5,0),"")</f>
        <v>0</v>
      </c>
      <c r="G4968" s="23"/>
      <c r="H4968" s="23"/>
      <c r="I4968" s="23"/>
      <c r="J4968" s="23"/>
      <c r="K4968" s="23"/>
      <c r="L4968" s="20" t="s">
        <v>707</v>
      </c>
      <c r="M4968" s="20"/>
      <c r="N4968" s="24" t="str">
        <f>IF(F4965&gt;0,ENTRY!$D$20&amp;"-"&amp;ENTRY!$D$21,"")</f>
        <v>III-A</v>
      </c>
      <c r="O4968" s="24"/>
      <c r="P4968" s="24"/>
      <c r="Q4968" s="19"/>
      <c r="R4968" s="11"/>
    </row>
    <row r="4969" s="1" customFormat="1" ht="21.95" customHeight="1" spans="1:18">
      <c r="A4969" s="7"/>
      <c r="B4969" s="12"/>
      <c r="C4969" s="17" t="s">
        <v>708</v>
      </c>
      <c r="D4969" s="17"/>
      <c r="E4969" s="17"/>
      <c r="F4969" s="25">
        <f>IFERROR(VLOOKUP(F4965,STUDENT!$A$2:$BP$101,6,0),"")</f>
        <v>0</v>
      </c>
      <c r="G4969" s="25"/>
      <c r="H4969" s="26" t="s">
        <v>709</v>
      </c>
      <c r="I4969" s="27" t="str">
        <f>IFERROR(VLOOKUP(F4965,STUDENT!$A$2:$BP$101,59,0),"")</f>
        <v/>
      </c>
      <c r="J4969" s="27"/>
      <c r="K4969" s="20" t="s">
        <v>710</v>
      </c>
      <c r="L4969" s="20"/>
      <c r="M4969" s="28">
        <f>IFERROR(VLOOKUP(F4965,STUDENT!$A$2:$BP$101,20,0),"")</f>
        <v>0</v>
      </c>
      <c r="N4969" s="28"/>
      <c r="O4969" s="28"/>
      <c r="P4969" s="28"/>
      <c r="Q4969" s="19"/>
      <c r="R4969" s="11"/>
    </row>
    <row r="4970" s="1" customFormat="1" ht="21.95" customHeight="1" spans="1:18">
      <c r="A4970" s="7"/>
      <c r="B4970" s="12"/>
      <c r="C4970" s="17" t="s">
        <v>711</v>
      </c>
      <c r="D4970" s="17"/>
      <c r="E4970" s="17"/>
      <c r="F4970" s="23">
        <f>IFERROR(VLOOKUP(F4965,STUDENT!$A$2:$BP$101,9,0),"")</f>
        <v>0</v>
      </c>
      <c r="G4970" s="23"/>
      <c r="H4970" s="23"/>
      <c r="I4970" s="23"/>
      <c r="J4970" s="17" t="s">
        <v>620</v>
      </c>
      <c r="K4970" s="17"/>
      <c r="L4970" s="23">
        <f>IFERROR(VLOOKUP(F4965,STUDENT!$A$2:$BP$101,8,0),"")</f>
        <v>0</v>
      </c>
      <c r="M4970" s="23"/>
      <c r="N4970" s="23"/>
      <c r="O4970" s="23"/>
      <c r="P4970" s="23"/>
      <c r="Q4970" s="19"/>
      <c r="R4970" s="11"/>
    </row>
    <row r="4971" s="1" customFormat="1" ht="21.95" customHeight="1" spans="1:18">
      <c r="A4971" s="7"/>
      <c r="B4971" s="12"/>
      <c r="C4971" s="17" t="s">
        <v>712</v>
      </c>
      <c r="D4971" s="17"/>
      <c r="E4971" s="17"/>
      <c r="F4971" s="23">
        <f>IFERROR(VLOOKUP(F4965,STUDENT!$A$2:$BP$101,22,0),"")</f>
        <v>0</v>
      </c>
      <c r="G4971" s="23"/>
      <c r="H4971" s="23"/>
      <c r="I4971" s="23"/>
      <c r="J4971" s="23"/>
      <c r="K4971" s="23"/>
      <c r="L4971" s="23"/>
      <c r="M4971" s="23"/>
      <c r="N4971" s="23"/>
      <c r="O4971" s="23"/>
      <c r="P4971" s="23"/>
      <c r="Q4971" s="19"/>
      <c r="R4971" s="11"/>
    </row>
    <row r="4972" s="1" customFormat="1" ht="9.95" customHeight="1" spans="1:18">
      <c r="A4972" s="7"/>
      <c r="B4972" s="12"/>
      <c r="C4972" s="29"/>
      <c r="D4972" s="29"/>
      <c r="E4972" s="29"/>
      <c r="F4972" s="29"/>
      <c r="G4972" s="29"/>
      <c r="H4972" s="29"/>
      <c r="I4972" s="29"/>
      <c r="J4972" s="29"/>
      <c r="K4972" s="29"/>
      <c r="L4972" s="29"/>
      <c r="M4972" s="29"/>
      <c r="N4972" s="29"/>
      <c r="O4972" s="29"/>
      <c r="P4972" s="29"/>
      <c r="Q4972" s="19"/>
      <c r="R4972" s="11"/>
    </row>
    <row r="4973" s="1" customFormat="1" ht="9.95" customHeight="1" spans="1:18">
      <c r="A4973" s="7"/>
      <c r="B4973" s="12"/>
      <c r="C4973" s="30"/>
      <c r="D4973" s="31"/>
      <c r="E4973" s="31"/>
      <c r="F4973" s="31"/>
      <c r="G4973" s="31"/>
      <c r="H4973" s="31"/>
      <c r="I4973" s="31"/>
      <c r="J4973" s="31"/>
      <c r="K4973" s="31"/>
      <c r="L4973" s="31"/>
      <c r="M4973" s="31"/>
      <c r="N4973" s="31"/>
      <c r="O4973" s="31"/>
      <c r="P4973" s="32"/>
      <c r="Q4973" s="19"/>
      <c r="R4973" s="11"/>
    </row>
    <row r="4974" s="1" customFormat="1" ht="21.95" customHeight="1" spans="1:18">
      <c r="A4974" s="7"/>
      <c r="B4974" s="12"/>
      <c r="C4974" s="33"/>
      <c r="D4974" s="34" t="s">
        <v>713</v>
      </c>
      <c r="E4974" s="20" t="s">
        <v>714</v>
      </c>
      <c r="F4974" s="35" t="str">
        <f>"Level - "&amp;IFERROR(VLOOKUP(F4965,FLN!$A$4:$K$103,9,0),"")</f>
        <v>Level - </v>
      </c>
      <c r="G4974" s="36"/>
      <c r="H4974" s="37" t="s">
        <v>715</v>
      </c>
      <c r="I4974" s="20"/>
      <c r="J4974" s="35" t="str">
        <f>"Level - "&amp;IFERROR(VLOOKUP(F4965,FLN!$A$4:$K$103,11,0),"")</f>
        <v>Level - </v>
      </c>
      <c r="K4974" s="36"/>
      <c r="L4974" s="37" t="s">
        <v>408</v>
      </c>
      <c r="M4974" s="20"/>
      <c r="N4974" s="35" t="str">
        <f>"Level - "&amp;IFERROR(VLOOKUP(F4965,FLN!$A$4:$K$103,10,0),"")</f>
        <v>Level - </v>
      </c>
      <c r="O4974" s="36"/>
      <c r="P4974" s="19"/>
      <c r="Q4974" s="19"/>
      <c r="R4974" s="11"/>
    </row>
    <row r="4975" s="1" customFormat="1" ht="21.95" customHeight="1" spans="1:18">
      <c r="A4975" s="7"/>
      <c r="B4975" s="12"/>
      <c r="C4975" s="33"/>
      <c r="D4975" s="38"/>
      <c r="E4975" s="20" t="s">
        <v>716</v>
      </c>
      <c r="F4975" s="18" t="str">
        <f ca="1">IF(L4989&gt;197,"PERFORMED WELL","")</f>
        <v/>
      </c>
      <c r="G4975" s="18"/>
      <c r="H4975" s="18"/>
      <c r="I4975" s="18"/>
      <c r="J4975" s="18"/>
      <c r="K4975" s="18"/>
      <c r="L4975" s="18"/>
      <c r="M4975" s="18"/>
      <c r="N4975" s="18"/>
      <c r="O4975" s="18"/>
      <c r="P4975" s="19"/>
      <c r="Q4975" s="19"/>
      <c r="R4975" s="11"/>
    </row>
    <row r="4976" s="1" customFormat="1" ht="9.95" customHeight="1" spans="1:18">
      <c r="A4976" s="7"/>
      <c r="B4976" s="12"/>
      <c r="C4976" s="39"/>
      <c r="D4976" s="40"/>
      <c r="E4976" s="40"/>
      <c r="F4976" s="40"/>
      <c r="G4976" s="40"/>
      <c r="H4976" s="40"/>
      <c r="I4976" s="40"/>
      <c r="J4976" s="40"/>
      <c r="K4976" s="40"/>
      <c r="L4976" s="40"/>
      <c r="M4976" s="40"/>
      <c r="N4976" s="40"/>
      <c r="O4976" s="40"/>
      <c r="P4976" s="41"/>
      <c r="Q4976" s="19"/>
      <c r="R4976" s="11"/>
    </row>
    <row r="4977" s="1" customFormat="1" ht="9.95" customHeight="1" spans="1:18">
      <c r="A4977" s="7"/>
      <c r="B4977" s="12"/>
      <c r="C4977" s="29"/>
      <c r="D4977" s="29"/>
      <c r="E4977" s="29"/>
      <c r="F4977" s="29"/>
      <c r="G4977" s="29"/>
      <c r="H4977" s="29"/>
      <c r="I4977" s="29"/>
      <c r="J4977" s="29"/>
      <c r="K4977" s="29"/>
      <c r="L4977" s="29"/>
      <c r="M4977" s="29"/>
      <c r="N4977" s="29"/>
      <c r="O4977" s="29"/>
      <c r="P4977" s="29"/>
      <c r="Q4977" s="19"/>
      <c r="R4977" s="11"/>
    </row>
    <row r="4978" s="1" customFormat="1" ht="9.95" customHeight="1" spans="1:18">
      <c r="A4978" s="7"/>
      <c r="B4978" s="12"/>
      <c r="C4978" s="30"/>
      <c r="D4978" s="31"/>
      <c r="E4978" s="31"/>
      <c r="F4978" s="31"/>
      <c r="G4978" s="31"/>
      <c r="H4978" s="31"/>
      <c r="I4978" s="31"/>
      <c r="J4978" s="31"/>
      <c r="K4978" s="31"/>
      <c r="L4978" s="31"/>
      <c r="M4978" s="31"/>
      <c r="N4978" s="31"/>
      <c r="O4978" s="31"/>
      <c r="P4978" s="32"/>
      <c r="Q4978" s="19"/>
      <c r="R4978" s="11"/>
    </row>
    <row r="4979" s="1" customFormat="1" ht="21.95" customHeight="1" spans="1:18">
      <c r="A4979" s="7"/>
      <c r="B4979" s="12"/>
      <c r="C4979" s="33"/>
      <c r="D4979" s="35"/>
      <c r="E4979" s="24"/>
      <c r="F4979" s="42" t="s">
        <v>717</v>
      </c>
      <c r="G4979" s="42"/>
      <c r="H4979" s="42"/>
      <c r="I4979" s="42"/>
      <c r="J4979" s="42"/>
      <c r="K4979" s="42"/>
      <c r="L4979" s="43"/>
      <c r="M4979" s="44"/>
      <c r="N4979" s="29"/>
      <c r="O4979" s="29"/>
      <c r="P4979" s="19"/>
      <c r="Q4979" s="19"/>
      <c r="R4979" s="11"/>
    </row>
    <row r="4980" s="1" customFormat="1" ht="21.95" customHeight="1" spans="1:18">
      <c r="A4980" s="7"/>
      <c r="B4980" s="12"/>
      <c r="C4980" s="33"/>
      <c r="D4980" s="45"/>
      <c r="E4980" s="46"/>
      <c r="F4980" s="47" t="s">
        <v>541</v>
      </c>
      <c r="G4980" s="47" t="s">
        <v>542</v>
      </c>
      <c r="H4980" s="47" t="s">
        <v>543</v>
      </c>
      <c r="I4980" s="47" t="s">
        <v>544</v>
      </c>
      <c r="J4980" s="47" t="s">
        <v>561</v>
      </c>
      <c r="K4980" s="48" t="s">
        <v>750</v>
      </c>
      <c r="L4980" s="47" t="s">
        <v>382</v>
      </c>
      <c r="M4980" s="49" t="s">
        <v>546</v>
      </c>
      <c r="N4980" s="29"/>
      <c r="O4980" s="29"/>
      <c r="P4980" s="19"/>
      <c r="Q4980" s="19"/>
      <c r="R4980" s="11"/>
    </row>
    <row r="4981" s="1" customFormat="1" ht="21.95" customHeight="1" spans="1:18">
      <c r="A4981" s="7"/>
      <c r="B4981" s="12"/>
      <c r="C4981" s="33"/>
      <c r="D4981" s="45" t="s">
        <v>652</v>
      </c>
      <c r="E4981" s="46"/>
      <c r="F4981" s="50">
        <v>10</v>
      </c>
      <c r="G4981" s="50">
        <v>10</v>
      </c>
      <c r="H4981" s="50">
        <v>10</v>
      </c>
      <c r="I4981" s="50">
        <v>10</v>
      </c>
      <c r="J4981" s="50">
        <v>60</v>
      </c>
      <c r="K4981" s="51"/>
      <c r="L4981" s="50">
        <v>100</v>
      </c>
      <c r="M4981" s="49"/>
      <c r="N4981" s="29"/>
      <c r="O4981" s="29"/>
      <c r="P4981" s="19"/>
      <c r="Q4981" s="19"/>
      <c r="R4981" s="11"/>
    </row>
    <row r="4982" s="1" customFormat="1" ht="21.95" customHeight="1" spans="1:18">
      <c r="A4982" s="7"/>
      <c r="B4982" s="12"/>
      <c r="C4982" s="33"/>
      <c r="D4982" s="52" t="s">
        <v>751</v>
      </c>
      <c r="E4982" s="53"/>
      <c r="F4982" s="54" t="str">
        <f ca="1">IFERROR(VLOOKUP(F4965,'RR-3.1-5TH'!$A$12:'RR-3.1-5TH'!$BN$111,9,0),"")</f>
        <v/>
      </c>
      <c r="G4982" s="54" t="str">
        <f ca="1">IFERROR(VLOOKUP(F4965,'RR-3.1-5TH'!$A$12:'RR-3.1-5TH'!$BN$111,10,0),"")</f>
        <v/>
      </c>
      <c r="H4982" s="54" t="str">
        <f ca="1">IFERROR(VLOOKUP(F4965,'RR-3.1-5TH'!$A$12:'RR-3.1-5TH'!$BN$111,11,0),"")</f>
        <v/>
      </c>
      <c r="I4982" s="54" t="str">
        <f ca="1">IFERROR(VLOOKUP(F4965,'RR-3.1-5TH'!$A$12:'RR-3.1-5TH'!$BN$111,12,0),"")</f>
        <v/>
      </c>
      <c r="J4982" s="54" t="str">
        <f ca="1">IFERROR(VLOOKUP(F4965,'RR-3.1-5TH'!$A$12:'RR-3.1-5TH'!$BN$111,13,0),"")</f>
        <v/>
      </c>
      <c r="K4982" s="54" t="str">
        <f ca="1">IFERROR(VLOOKUP(F4965,'RR-3.1-5TH'!$A$12:'RR-3.1-5TH'!$BN$111,14,0),"")</f>
        <v/>
      </c>
      <c r="L4982" s="55">
        <f ca="1" t="shared" ref="L4982:L4987" si="261">SUM(F4982,G4982,H4982,I4982,J4982,K4982)</f>
        <v>0</v>
      </c>
      <c r="M4982" s="56" t="str">
        <f ca="1">IF(F4965&gt;ENTRY!$D$24,"",IF(L4982=0,"Ab",IF(L4982&gt;80,"A",IF(L4982&gt;60,"B",IF(L4982&gt;44,"C",IF(L4982&gt;=33,"D",IF(L4982&lt;=32,"E","")))))))</f>
        <v/>
      </c>
      <c r="N4982" s="57" t="s">
        <v>729</v>
      </c>
      <c r="O4982" s="58"/>
      <c r="P4982" s="59"/>
      <c r="Q4982" s="19"/>
      <c r="R4982" s="11"/>
    </row>
    <row r="4983" s="1" customFormat="1" ht="21.95" customHeight="1" spans="1:18">
      <c r="A4983" s="7"/>
      <c r="B4983" s="12"/>
      <c r="C4983" s="33"/>
      <c r="D4983" s="52" t="s">
        <v>513</v>
      </c>
      <c r="E4983" s="53"/>
      <c r="F4983" s="54" t="str">
        <f ca="1">IFERROR(VLOOKUP(F4965,'RR-3.1-5TH'!$A$12:'RR-3.1-5TH'!$BN$111,17,0),"")</f>
        <v/>
      </c>
      <c r="G4983" s="54" t="str">
        <f ca="1">IFERROR(VLOOKUP(F4965,'RR-3.1-5TH'!$A$12:'RR-3.1-5TH'!$BN$111,18,0),"")</f>
        <v/>
      </c>
      <c r="H4983" s="54" t="str">
        <f ca="1">IFERROR(VLOOKUP(F4965,'RR-3.1-5TH'!$A$12:'RR-3.1-5TH'!$BN$111,19,0),"")</f>
        <v/>
      </c>
      <c r="I4983" s="54" t="str">
        <f ca="1">IFERROR(VLOOKUP(F4965,'RR-3.1-5TH'!$A$12:'RR-3.1-5TH'!$BN$111,20,0),"")</f>
        <v/>
      </c>
      <c r="J4983" s="54" t="str">
        <f ca="1">IFERROR(VLOOKUP(F4965,'RR-3.1-5TH'!$A$12:'RR-3.1-5TH'!$BN$111,21,0),"")</f>
        <v/>
      </c>
      <c r="K4983" s="54" t="str">
        <f ca="1">IFERROR(VLOOKUP(F4965,'RR-3.1-5TH'!$A$12:'RR-3.1-5TH'!$BN$111,22,0),"")</f>
        <v/>
      </c>
      <c r="L4983" s="55">
        <f ca="1" t="shared" si="261"/>
        <v>0</v>
      </c>
      <c r="M4983" s="56" t="str">
        <f ca="1">IF(F4965&gt;ENTRY!$D$24,"",IF(L4983=0,"Ab",IF(L4983&gt;80,"A",IF(L4983&gt;60,"B",IF(L4983&gt;44,"C",IF(L4983&gt;=33,"D",IF(L4983&lt;=32,"E","")))))))</f>
        <v/>
      </c>
      <c r="N4983" s="58"/>
      <c r="O4983" s="58"/>
      <c r="P4983" s="59"/>
      <c r="Q4983" s="19"/>
      <c r="R4983" s="11"/>
    </row>
    <row r="4984" s="1" customFormat="1" ht="21.95" customHeight="1" spans="1:18">
      <c r="A4984" s="7"/>
      <c r="B4984" s="12"/>
      <c r="C4984" s="33"/>
      <c r="D4984" s="52" t="s">
        <v>718</v>
      </c>
      <c r="E4984" s="53"/>
      <c r="F4984" s="54" t="str">
        <f ca="1">IFERROR(VLOOKUP(F4965,'RR-3.1-5TH'!$A$12:'RR-3.1-5TH'!$BN$111,25,0),"")</f>
        <v/>
      </c>
      <c r="G4984" s="54" t="str">
        <f ca="1">IFERROR(VLOOKUP(F4965,'RR-3.1-5TH'!$A$12:'RR-3.1-5TH'!$BN$111,26,0),"")</f>
        <v/>
      </c>
      <c r="H4984" s="54" t="str">
        <f ca="1">IFERROR(VLOOKUP(F4965,'RR-3.1-5TH'!$A$12:'RR-3.1-5TH'!$BN$111,27,0),"")</f>
        <v/>
      </c>
      <c r="I4984" s="54" t="str">
        <f ca="1">IFERROR(VLOOKUP(F4965,'RR-3.1-5TH'!$A$12:'RR-3.1-5TH'!$BN$111,28,0),"")</f>
        <v/>
      </c>
      <c r="J4984" s="54" t="str">
        <f ca="1">IFERROR(VLOOKUP(F4965,'RR-3.1-5TH'!$A$12:'RR-3.1-5TH'!$BN$111,29,0),"")</f>
        <v/>
      </c>
      <c r="K4984" s="54" t="str">
        <f ca="1">IFERROR(VLOOKUP(F4965,'RR-3.1-5TH'!$A$12:'RR-3.1-5TH'!$BN$111,30,0),"")</f>
        <v/>
      </c>
      <c r="L4984" s="55">
        <f ca="1" t="shared" si="261"/>
        <v>0</v>
      </c>
      <c r="M4984" s="56" t="str">
        <f ca="1">IF(F4965&gt;ENTRY!$D$24,"",IF(L4984=0,"Ab",IF(L4984&gt;80,"A",IF(L4984&gt;60,"B",IF(L4984&gt;44,"C",IF(L4984&gt;=33,"D",IF(L4984&lt;=32,"E","")))))))</f>
        <v/>
      </c>
      <c r="N4984" s="29"/>
      <c r="O4984" s="29"/>
      <c r="P4984" s="19"/>
      <c r="Q4984" s="19"/>
      <c r="R4984" s="11"/>
    </row>
    <row r="4985" s="1" customFormat="1" ht="21.95" customHeight="1" spans="1:18">
      <c r="A4985" s="7"/>
      <c r="B4985" s="12"/>
      <c r="C4985" s="33"/>
      <c r="D4985" s="52" t="s">
        <v>719</v>
      </c>
      <c r="E4985" s="53"/>
      <c r="F4985" s="54" t="str">
        <f ca="1">IFERROR(VLOOKUP(F4965,'RR-3.1-5TH'!$A$12:'RR-3.1-5TH'!$BN$111,33,0),"")</f>
        <v/>
      </c>
      <c r="G4985" s="54" t="str">
        <f ca="1">IFERROR(VLOOKUP(F4965,'RR-3.1-5TH'!$A$12:'RR-3.1-5TH'!$BN$111,34,0),"")</f>
        <v/>
      </c>
      <c r="H4985" s="54" t="str">
        <f ca="1">IFERROR(VLOOKUP(F4965,'RR-3.1-5TH'!$A$12:'RR-3.1-5TH'!$BN$111,35,0),"")</f>
        <v/>
      </c>
      <c r="I4985" s="54" t="str">
        <f ca="1">IFERROR(VLOOKUP(F4965,'RR-3.1-5TH'!$A$12:'RR-3.1-5TH'!$BN$111,36,0),"")</f>
        <v/>
      </c>
      <c r="J4985" s="54" t="str">
        <f ca="1">IFERROR(VLOOKUP(F4965,'RR-3.1-5TH'!$A$12:'RR-3.1-5TH'!$BN$111,37,0),"")</f>
        <v/>
      </c>
      <c r="K4985" s="54" t="str">
        <f ca="1">IFERROR(VLOOKUP(F4965,'RR-3.1-5TH'!$A$12:'RR-3.1-5TH'!$BN$111,38,0),"")</f>
        <v/>
      </c>
      <c r="L4985" s="55">
        <f ca="1" t="shared" si="261"/>
        <v>0</v>
      </c>
      <c r="M4985" s="56" t="str">
        <f ca="1">IF(F4965&gt;ENTRY!$D$24,"",IF(L4985=0,"Ab",IF(L4985&gt;80,"A",IF(L4985&gt;60,"B",IF(L4985&gt;44,"C",IF(L4985&gt;=33,"D",IF(L4985&lt;=32,"E","")))))))</f>
        <v/>
      </c>
      <c r="N4985" s="29"/>
      <c r="O4985" s="29"/>
      <c r="P4985" s="19"/>
      <c r="Q4985" s="19"/>
      <c r="R4985" s="11"/>
    </row>
    <row r="4986" s="1" customFormat="1" ht="21.95" customHeight="1" spans="1:18">
      <c r="A4986" s="7"/>
      <c r="B4986" s="12"/>
      <c r="C4986" s="33"/>
      <c r="D4986" s="52" t="s">
        <v>548</v>
      </c>
      <c r="E4986" s="53"/>
      <c r="F4986" s="54" t="str">
        <f ca="1">IFERROR(VLOOKUP(F4965,'RR-3.1-5TH'!$A$12:'RR-3.1-5TH'!$BN$111,41,0),"")</f>
        <v/>
      </c>
      <c r="G4986" s="54" t="str">
        <f ca="1">IFERROR(VLOOKUP(F4965,'RR-3.1-5TH'!$A$12:'RR-3.1-5TH'!$BN$111,42,0),"")</f>
        <v/>
      </c>
      <c r="H4986" s="54" t="str">
        <f ca="1">IFERROR(VLOOKUP(F4965,'RR-3.1-5TH'!$A$12:'RR-3.1-5TH'!$BN$111,43,0),"")</f>
        <v/>
      </c>
      <c r="I4986" s="54" t="str">
        <f ca="1">IFERROR(VLOOKUP(F4965,'RR-3.1-5TH'!$A$12:'RR-3.1-5TH'!$BN$111,44,0),"")</f>
        <v/>
      </c>
      <c r="J4986" s="54" t="str">
        <f ca="1">IFERROR(VLOOKUP(F4965,'RR-3.1-5TH'!$A$12:'RR-3.1-5TH'!$BN$111,45,0),"")</f>
        <v/>
      </c>
      <c r="K4986" s="54" t="str">
        <f ca="1">IFERROR(VLOOKUP(F4965,'RR-3.1-5TH'!$A$12:'RR-3.1-5TH'!$BN$111,46,0),"")</f>
        <v/>
      </c>
      <c r="L4986" s="55">
        <f ca="1" t="shared" si="261"/>
        <v>0</v>
      </c>
      <c r="M4986" s="56" t="str">
        <f ca="1">IF(F4965&gt;ENTRY!$D$24,"",IF(L4986=0,"Ab",IF(L4986&gt;80,"A",IF(L4986&gt;60,"B",IF(L4986&gt;44,"C",IF(L4986&gt;=33,"D",IF(L4986&lt;=32,"E","")))))))</f>
        <v/>
      </c>
      <c r="N4986" s="29"/>
      <c r="O4986" s="29"/>
      <c r="P4986" s="19"/>
      <c r="Q4986" s="19"/>
      <c r="R4986" s="11"/>
    </row>
    <row r="4987" s="1" customFormat="1" ht="21.95" customHeight="1" spans="1:18">
      <c r="A4987" s="7"/>
      <c r="B4987" s="12"/>
      <c r="C4987" s="33"/>
      <c r="D4987" s="52" t="s">
        <v>549</v>
      </c>
      <c r="E4987" s="53"/>
      <c r="F4987" s="54" t="str">
        <f ca="1">IFERROR(VLOOKUP(F4965,'RR-3.1-5TH'!$A$12:'RR-3.1-5TH'!$BN$111,49,0),"")</f>
        <v/>
      </c>
      <c r="G4987" s="54" t="str">
        <f ca="1">IFERROR(VLOOKUP(F4965,'RR-3.1-5TH'!$A$12:'RR-3.1-5TH'!$BN$111,50,0),"")</f>
        <v/>
      </c>
      <c r="H4987" s="54" t="str">
        <f ca="1">IFERROR(VLOOKUP(F4965,'RR-3.1-5TH'!$A$12:'RR-3.1-5TH'!$BN$111,51,0),"")</f>
        <v/>
      </c>
      <c r="I4987" s="54" t="str">
        <f ca="1">IFERROR(VLOOKUP(F4965,'RR-3.1-5TH'!$A$12:'RR-3.1-5TH'!$BN$111,52,0),"")</f>
        <v/>
      </c>
      <c r="J4987" s="54" t="str">
        <f ca="1">IFERROR(VLOOKUP(F4965,'RR-3.1-5TH'!$A$12:'RR-3.1-5TH'!$BN$111,53,0),"")</f>
        <v/>
      </c>
      <c r="K4987" s="54" t="str">
        <f ca="1">IFERROR(VLOOKUP(F4965,'RR-3.1-5TH'!$A$12:'RR-3.1-5TH'!$BN$111,54,0),"")</f>
        <v/>
      </c>
      <c r="L4987" s="55">
        <f ca="1" t="shared" si="261"/>
        <v>0</v>
      </c>
      <c r="M4987" s="56" t="str">
        <f ca="1">IF(F4965&gt;ENTRY!$D$24,"",IF(L4987=0,"Ab",IF(L4987&gt;80,"A",IF(L4987&gt;60,"B",IF(L4987&gt;44,"C",IF(L4987&gt;=33,"D",IF(L4987&lt;=32,"E","")))))))</f>
        <v/>
      </c>
      <c r="N4987" s="57" t="s">
        <v>752</v>
      </c>
      <c r="O4987" s="58"/>
      <c r="P4987" s="59"/>
      <c r="Q4987" s="19"/>
      <c r="R4987" s="11"/>
    </row>
    <row r="4988" s="1" customFormat="1" ht="21.95" customHeight="1" spans="1:18">
      <c r="A4988" s="7"/>
      <c r="B4988" s="12"/>
      <c r="C4988" s="33"/>
      <c r="D4988" s="52" t="s">
        <v>753</v>
      </c>
      <c r="E4988" s="53"/>
      <c r="F4988" s="60"/>
      <c r="G4988" s="54"/>
      <c r="H4988" s="54"/>
      <c r="I4988" s="54"/>
      <c r="J4988" s="54"/>
      <c r="K4988" s="54"/>
      <c r="L4988" s="55">
        <f t="shared" ref="L4988" si="262">SUM(G4988:K4988)</f>
        <v>0</v>
      </c>
      <c r="M4988" s="56" t="str">
        <f>IF(F4965&gt;ENTRY!$D$24,"",IF(L4988=0,"",IF(L4988&gt;79,"A",IF(L4988&gt;59,"B",IF(L4988&gt;44,"C",IF(L4988&gt;=33,"D",IF(L4988&lt;=32,"E","")))))))</f>
        <v/>
      </c>
      <c r="N4988" s="58"/>
      <c r="O4988" s="58"/>
      <c r="P4988" s="59"/>
      <c r="Q4988" s="19"/>
      <c r="R4988" s="11"/>
    </row>
    <row r="4989" s="1" customFormat="1" ht="21.95" customHeight="1" spans="1:18">
      <c r="A4989" s="7"/>
      <c r="B4989" s="12"/>
      <c r="C4989" s="33"/>
      <c r="D4989" s="45" t="s">
        <v>382</v>
      </c>
      <c r="E4989" s="46"/>
      <c r="F4989" s="54">
        <f ca="1" t="shared" ref="F4989:L4989" si="263">IFERROR(SUM(F4982:F4988),"")</f>
        <v>0</v>
      </c>
      <c r="G4989" s="54">
        <f ca="1" t="shared" si="263"/>
        <v>0</v>
      </c>
      <c r="H4989" s="54">
        <f ca="1" t="shared" si="263"/>
        <v>0</v>
      </c>
      <c r="I4989" s="54">
        <f ca="1" t="shared" si="263"/>
        <v>0</v>
      </c>
      <c r="J4989" s="54">
        <f ca="1" t="shared" si="263"/>
        <v>0</v>
      </c>
      <c r="K4989" s="54">
        <f ca="1" t="shared" si="263"/>
        <v>0</v>
      </c>
      <c r="L4989" s="55">
        <f ca="1" t="shared" si="263"/>
        <v>0</v>
      </c>
      <c r="M4989" s="61" t="str">
        <f ca="1">IF(F4965&gt;ENTRY!$D$24,"",IF(N4990="Ab","Ab",IF(N4990&gt;79.5,"A",IF(N4990&gt;59.5,"B",IF(N4990&gt;44.5,"C",IF(N4990&gt;=33,"D",IF(N4990&lt;33,"E","")))))))</f>
        <v/>
      </c>
      <c r="N4989" s="62"/>
      <c r="O4989" s="58"/>
      <c r="P4989" s="59"/>
      <c r="Q4989" s="19"/>
      <c r="R4989" s="11"/>
    </row>
    <row r="4990" s="1" customFormat="1" ht="21.95" customHeight="1" spans="1:18">
      <c r="A4990" s="7"/>
      <c r="B4990" s="12"/>
      <c r="C4990" s="33"/>
      <c r="D4990" s="63" t="s">
        <v>721</v>
      </c>
      <c r="E4990" s="63"/>
      <c r="F4990" s="63"/>
      <c r="G4990" s="63"/>
      <c r="H4990" s="63"/>
      <c r="I4990" s="63"/>
      <c r="J4990" s="63"/>
      <c r="K4990" s="63"/>
      <c r="L4990" s="63"/>
      <c r="M4990" s="63"/>
      <c r="N4990" s="64">
        <f ca="1">IF(L4989="Ab","Ab",L4989/6)</f>
        <v>0</v>
      </c>
      <c r="O4990" s="65"/>
      <c r="P4990" s="19"/>
      <c r="Q4990" s="19"/>
      <c r="R4990" s="11"/>
    </row>
    <row r="4991" s="1" customFormat="1" ht="21.95" customHeight="1" spans="1:18">
      <c r="A4991" s="7"/>
      <c r="B4991" s="12"/>
      <c r="C4991" s="33"/>
      <c r="D4991" s="29" t="s">
        <v>716</v>
      </c>
      <c r="E4991" s="18" t="str">
        <f>IFERROR(VLOOKUP(F4965,'1to4-2.1-RR'!$A$12:$BG$111,57,0),"")</f>
        <v/>
      </c>
      <c r="F4991" s="18"/>
      <c r="G4991" s="18"/>
      <c r="H4991" s="18"/>
      <c r="I4991" s="18"/>
      <c r="J4991" s="18"/>
      <c r="K4991" s="18"/>
      <c r="L4991" s="18"/>
      <c r="M4991" s="18"/>
      <c r="N4991" s="29"/>
      <c r="O4991" s="29"/>
      <c r="P4991" s="19"/>
      <c r="Q4991" s="19"/>
      <c r="R4991" s="11"/>
    </row>
    <row r="4992" s="1" customFormat="1" ht="9.95" customHeight="1" spans="1:18">
      <c r="A4992" s="7"/>
      <c r="B4992" s="12"/>
      <c r="C4992" s="33"/>
      <c r="D4992" s="29"/>
      <c r="E4992" s="29"/>
      <c r="F4992" s="29"/>
      <c r="G4992" s="29"/>
      <c r="H4992" s="29"/>
      <c r="I4992" s="29"/>
      <c r="J4992" s="29"/>
      <c r="K4992" s="29"/>
      <c r="L4992" s="29"/>
      <c r="M4992" s="29"/>
      <c r="N4992" s="29"/>
      <c r="O4992" s="29"/>
      <c r="P4992" s="19"/>
      <c r="Q4992" s="19"/>
      <c r="R4992" s="11"/>
    </row>
    <row r="4993" s="1" customFormat="1" ht="36" spans="1:19">
      <c r="A4993" s="7"/>
      <c r="B4993" s="12"/>
      <c r="C4993" s="33"/>
      <c r="D4993" s="66" t="s">
        <v>576</v>
      </c>
      <c r="E4993" s="67" t="s">
        <v>754</v>
      </c>
      <c r="F4993" s="47" t="str">
        <f>IF(F4965&gt;ENTRY!$D$24,"",IFERROR(VLOOKUP(F4965,PASHEET!$A$4:$CJ$103,88,0),""))</f>
        <v/>
      </c>
      <c r="G4993" s="67" t="s">
        <v>755</v>
      </c>
      <c r="H4993" s="47" t="str">
        <f>IF(F4965&gt;ENTRY!$D$24,"",IFERROR(VLOOKUP(F4965,PASHEET!$A$4:$CJ$103,87,0),""))</f>
        <v/>
      </c>
      <c r="I4993" s="68" t="s">
        <v>756</v>
      </c>
      <c r="J4993" s="69" t="str">
        <f>IF(F4965&gt;ENTRY!$D$24,"",IFERROR(IF(F4965&gt;0,H4993/F4993*100),""))</f>
        <v/>
      </c>
      <c r="K4993" s="60" t="s">
        <v>757</v>
      </c>
      <c r="L4993" s="70" t="str">
        <f ca="1">IF(F4965&gt;ENTRY!$D$24,"",IFERROR(L4989/600*100,""))</f>
        <v/>
      </c>
      <c r="M4993" s="47" t="str">
        <f ca="1">IF(F4965&gt;ENTRY!$D$24,"",IFERROR(L4989&amp;" / "&amp;"600",""))</f>
        <v/>
      </c>
      <c r="N4993" s="29"/>
      <c r="O4993" s="29"/>
      <c r="P4993" s="19"/>
      <c r="Q4993" s="19"/>
      <c r="R4993" s="11"/>
    </row>
    <row r="4994" s="1" customFormat="1" ht="9.95" customHeight="1" spans="1:19">
      <c r="A4994" s="7"/>
      <c r="B4994" s="12"/>
      <c r="C4994" s="39"/>
      <c r="D4994" s="40"/>
      <c r="E4994" s="40"/>
      <c r="F4994" s="40"/>
      <c r="G4994" s="40"/>
      <c r="H4994" s="40"/>
      <c r="I4994" s="40"/>
      <c r="J4994" s="40"/>
      <c r="K4994" s="40"/>
      <c r="L4994" s="40"/>
      <c r="M4994" s="40"/>
      <c r="N4994" s="40"/>
      <c r="O4994" s="40"/>
      <c r="P4994" s="41"/>
      <c r="Q4994" s="19"/>
      <c r="R4994" s="11"/>
    </row>
    <row r="4995" s="1" customFormat="1" ht="9.95" customHeight="1" spans="1:19">
      <c r="A4995" s="7"/>
      <c r="B4995" s="12"/>
      <c r="C4995" s="71"/>
      <c r="D4995" s="71"/>
      <c r="E4995" s="71"/>
      <c r="F4995" s="29"/>
      <c r="G4995" s="71"/>
      <c r="H4995" s="71"/>
      <c r="I4995" s="71"/>
      <c r="J4995" s="71"/>
      <c r="K4995" s="71"/>
      <c r="L4995" s="71"/>
      <c r="M4995" s="71"/>
      <c r="N4995" s="71"/>
      <c r="O4995" s="71"/>
      <c r="P4995" s="71"/>
      <c r="Q4995" s="19"/>
      <c r="R4995" s="11"/>
    </row>
    <row r="4996" s="1" customFormat="1" ht="9.95" customHeight="1" spans="1:19">
      <c r="A4996" s="7"/>
      <c r="B4996" s="12"/>
      <c r="C4996" s="29"/>
      <c r="D4996" s="29"/>
      <c r="E4996" s="29"/>
      <c r="F4996" s="72"/>
      <c r="G4996" s="29"/>
      <c r="H4996" s="29"/>
      <c r="I4996" s="29"/>
      <c r="J4996" s="29"/>
      <c r="K4996" s="29"/>
      <c r="L4996" s="29"/>
      <c r="M4996" s="29"/>
      <c r="N4996" s="29"/>
      <c r="O4996" s="29"/>
      <c r="P4996" s="29"/>
      <c r="Q4996" s="19"/>
      <c r="R4996" s="11"/>
    </row>
    <row r="4997" s="1" customFormat="1" ht="9.95" customHeight="1" spans="1:19">
      <c r="A4997" s="7"/>
      <c r="B4997" s="12"/>
      <c r="C4997" s="30"/>
      <c r="D4997" s="31"/>
      <c r="E4997" s="31"/>
      <c r="F4997" s="31"/>
      <c r="G4997" s="31"/>
      <c r="H4997" s="31"/>
      <c r="I4997" s="31"/>
      <c r="J4997" s="31"/>
      <c r="K4997" s="31"/>
      <c r="L4997" s="31"/>
      <c r="M4997" s="31"/>
      <c r="N4997" s="31"/>
      <c r="O4997" s="31"/>
      <c r="P4997" s="32"/>
      <c r="Q4997" s="19"/>
      <c r="R4997" s="11"/>
    </row>
    <row r="4998" s="1" customFormat="1" ht="21.95" customHeight="1" spans="1:19">
      <c r="A4998" s="7"/>
      <c r="B4998" s="12"/>
      <c r="C4998" s="73" t="s">
        <v>7</v>
      </c>
      <c r="D4998" s="13"/>
      <c r="E4998" s="13"/>
      <c r="F4998" s="13"/>
      <c r="G4998" s="13"/>
      <c r="H4998" s="13"/>
      <c r="I4998" s="13"/>
      <c r="J4998" s="13"/>
      <c r="K4998" s="13"/>
      <c r="L4998" s="13"/>
      <c r="M4998" s="13"/>
      <c r="N4998" s="13"/>
      <c r="O4998" s="13"/>
      <c r="P4998" s="74"/>
      <c r="Q4998" s="19"/>
      <c r="R4998" s="11"/>
      <c r="S4998" s="2"/>
    </row>
    <row r="4999" s="1" customFormat="1" ht="21.95" customHeight="1" spans="1:19">
      <c r="A4999" s="7"/>
      <c r="B4999" s="12"/>
      <c r="C4999" s="33"/>
      <c r="D4999" s="29"/>
      <c r="E4999" s="29"/>
      <c r="F4999" s="29"/>
      <c r="G4999" s="29"/>
      <c r="H4999" s="29"/>
      <c r="I4999" s="29"/>
      <c r="J4999" s="29"/>
      <c r="K4999" s="29"/>
      <c r="L4999" s="29"/>
      <c r="M4999" s="29"/>
      <c r="N4999" s="29"/>
      <c r="O4999" s="29"/>
      <c r="P4999" s="19"/>
      <c r="Q4999" s="19"/>
      <c r="R4999" s="11"/>
    </row>
    <row r="5000" s="1" customFormat="1" ht="21.95" customHeight="1" spans="1:19">
      <c r="A5000" s="7"/>
      <c r="B5000" s="12"/>
      <c r="C5000" s="75" t="str">
        <f>"SESSION-"&amp;ENTRY!$D$11</f>
        <v>SESSION-2026-27</v>
      </c>
      <c r="D5000" s="15"/>
      <c r="E5000" s="15"/>
      <c r="F5000" s="15"/>
      <c r="G5000" s="15"/>
      <c r="H5000" s="15"/>
      <c r="I5000" s="15"/>
      <c r="J5000" s="15"/>
      <c r="K5000" s="15"/>
      <c r="L5000" s="15"/>
      <c r="M5000" s="15"/>
      <c r="N5000" s="15"/>
      <c r="O5000" s="15"/>
      <c r="P5000" s="76"/>
      <c r="Q5000" s="19"/>
      <c r="R5000" s="11"/>
    </row>
    <row r="5001" s="1" customFormat="1" ht="18" customHeight="1" spans="1:19">
      <c r="A5001" s="7"/>
      <c r="B5001" s="12"/>
      <c r="C5001" s="33"/>
      <c r="D5001" s="29"/>
      <c r="E5001" s="29"/>
      <c r="F5001" s="29"/>
      <c r="G5001" s="29"/>
      <c r="H5001" s="29"/>
      <c r="I5001" s="29"/>
      <c r="J5001" s="29"/>
      <c r="K5001" s="29"/>
      <c r="L5001" s="29"/>
      <c r="M5001" s="29"/>
      <c r="N5001" s="29"/>
      <c r="O5001" s="29"/>
      <c r="P5001" s="19"/>
      <c r="Q5001" s="19"/>
      <c r="R5001" s="11"/>
    </row>
    <row r="5002" s="1" customFormat="1" ht="21.95" customHeight="1" spans="1:19">
      <c r="A5002" s="7"/>
      <c r="B5002" s="12"/>
      <c r="C5002" s="33"/>
      <c r="D5002" s="77" t="s">
        <v>758</v>
      </c>
      <c r="E5002" s="77"/>
      <c r="F5002" s="78" t="str">
        <f>IFERROR(PROPER(VLOOKUP(F4965,STUDENT!$A$2:$BP$101,5,0)),"")</f>
        <v/>
      </c>
      <c r="G5002" s="78"/>
      <c r="H5002" s="78"/>
      <c r="I5002" s="78"/>
      <c r="J5002" s="78"/>
      <c r="K5002" s="78"/>
      <c r="L5002" s="78"/>
      <c r="M5002" s="78"/>
      <c r="N5002" s="79" t="s">
        <v>759</v>
      </c>
      <c r="O5002" s="79"/>
      <c r="P5002" s="19"/>
      <c r="Q5002" s="19"/>
      <c r="R5002" s="11"/>
    </row>
    <row r="5003" s="1" customFormat="1" ht="21.95" customHeight="1" spans="1:19">
      <c r="A5003" s="7"/>
      <c r="B5003" s="12"/>
      <c r="C5003" s="33"/>
      <c r="D5003" s="80" t="s">
        <v>760</v>
      </c>
      <c r="E5003" s="81" t="str">
        <f>IFERROR(PROPER(VLOOKUP(F4965,STUDENT!$A$2:$BP$101,9,0)),"")</f>
        <v/>
      </c>
      <c r="F5003" s="81"/>
      <c r="G5003" s="81"/>
      <c r="H5003" s="80" t="s">
        <v>761</v>
      </c>
      <c r="I5003" s="82" t="str">
        <f>IFERROR(PROPER(VLOOKUP(F4965,STUDENT!$A$2:$BP$101,8,0)),"")</f>
        <v/>
      </c>
      <c r="J5003" s="82"/>
      <c r="K5003" s="82"/>
      <c r="L5003" s="82"/>
      <c r="M5003" s="80" t="s">
        <v>762</v>
      </c>
      <c r="N5003" s="83" t="str">
        <f>IFERROR(VLOOKUP(F4965,STUDENT!$A$2:$BP$101,59,0),"")</f>
        <v/>
      </c>
      <c r="O5003" s="83"/>
      <c r="P5003" s="19"/>
      <c r="Q5003" s="19"/>
      <c r="R5003" s="11"/>
    </row>
    <row r="5004" s="1" customFormat="1" ht="21.95" customHeight="1" spans="1:19">
      <c r="A5004" s="7"/>
      <c r="B5004" s="12"/>
      <c r="C5004" s="33"/>
      <c r="D5004" s="77" t="str">
        <f>"has    completed     his  /  her     primary     level     education    in    the    year    "&amp;RIGHT(ENTRY!$D4970,4)&amp;"    from    ( School    Name )"</f>
        <v>has    completed     his  /  her     primary     level     education    in    the    year        from    ( School    Name )</v>
      </c>
      <c r="E5004" s="77"/>
      <c r="F5004" s="77"/>
      <c r="G5004" s="77"/>
      <c r="H5004" s="77"/>
      <c r="I5004" s="77"/>
      <c r="J5004" s="77"/>
      <c r="K5004" s="77"/>
      <c r="L5004" s="77"/>
      <c r="M5004" s="77"/>
      <c r="N5004" s="77"/>
      <c r="O5004" s="77"/>
      <c r="P5004" s="19"/>
      <c r="Q5004" s="19"/>
      <c r="R5004" s="11"/>
    </row>
    <row r="5005" s="1" customFormat="1" ht="21.95" customHeight="1" spans="1:19">
      <c r="A5005" s="7"/>
      <c r="B5005" s="12"/>
      <c r="C5005" s="33"/>
      <c r="D5005" s="81" t="str">
        <f>IF(F4965&gt;0,ENTRY!$D$6,"")</f>
        <v>MCP NITHARI NO 1 BOYS</v>
      </c>
      <c r="E5005" s="81"/>
      <c r="F5005" s="81"/>
      <c r="G5005" s="81"/>
      <c r="H5005" s="81"/>
      <c r="I5005" s="81"/>
      <c r="J5005" s="81"/>
      <c r="K5005" s="81"/>
      <c r="L5005" s="81"/>
      <c r="M5005" s="80" t="s">
        <v>763</v>
      </c>
      <c r="N5005" s="84">
        <f>IF(F4965&gt;0,ENTRY!$D$7,"")</f>
        <v>0</v>
      </c>
      <c r="O5005" s="84"/>
      <c r="P5005" s="85" t="s">
        <v>727</v>
      </c>
      <c r="Q5005" s="19"/>
      <c r="R5005" s="11"/>
    </row>
    <row r="5006" s="1" customFormat="1" ht="21.95" customHeight="1" spans="1:19">
      <c r="A5006" s="7"/>
      <c r="B5006" s="12"/>
      <c r="C5006" s="33"/>
      <c r="D5006" s="29"/>
      <c r="E5006" s="29"/>
      <c r="F5006" s="29"/>
      <c r="G5006" s="29"/>
      <c r="H5006" s="29"/>
      <c r="I5006" s="29"/>
      <c r="J5006" s="29"/>
      <c r="K5006" s="29"/>
      <c r="L5006" s="29"/>
      <c r="M5006" s="29"/>
      <c r="N5006" s="29"/>
      <c r="O5006" s="29"/>
      <c r="P5006" s="19"/>
      <c r="Q5006" s="19"/>
      <c r="R5006" s="11"/>
    </row>
    <row r="5007" s="1" customFormat="1" ht="21.95" customHeight="1" spans="1:19">
      <c r="A5007" s="7"/>
      <c r="B5007" s="12"/>
      <c r="C5007" s="33"/>
      <c r="D5007" s="29"/>
      <c r="E5007" s="29"/>
      <c r="F5007" s="29"/>
      <c r="G5007" s="29"/>
      <c r="H5007" s="29"/>
      <c r="I5007" s="29"/>
      <c r="J5007" s="29"/>
      <c r="K5007" s="29"/>
      <c r="L5007" s="29"/>
      <c r="M5007" s="29"/>
      <c r="N5007" s="29"/>
      <c r="O5007" s="29"/>
      <c r="P5007" s="19"/>
      <c r="Q5007" s="19"/>
      <c r="R5007" s="11"/>
    </row>
    <row r="5008" s="1" customFormat="1" ht="21.95" customHeight="1" spans="1:19">
      <c r="A5008" s="7"/>
      <c r="B5008" s="12"/>
      <c r="C5008" s="33"/>
      <c r="D5008" s="29"/>
      <c r="E5008" s="29"/>
      <c r="F5008" s="29"/>
      <c r="G5008" s="29"/>
      <c r="H5008" s="29"/>
      <c r="I5008" s="29"/>
      <c r="J5008" s="29"/>
      <c r="K5008" s="29"/>
      <c r="L5008" s="29"/>
      <c r="M5008" s="29"/>
      <c r="N5008" s="29"/>
      <c r="O5008" s="29"/>
      <c r="P5008" s="19"/>
      <c r="Q5008" s="19"/>
      <c r="R5008" s="11"/>
    </row>
    <row r="5009" s="1" customFormat="1" ht="21.95" customHeight="1" spans="1:18">
      <c r="A5009" s="7"/>
      <c r="B5009" s="12"/>
      <c r="C5009" s="33"/>
      <c r="D5009" s="29"/>
      <c r="E5009" s="29"/>
      <c r="F5009" s="29"/>
      <c r="G5009" s="29"/>
      <c r="H5009" s="29"/>
      <c r="I5009" s="29"/>
      <c r="J5009" s="29"/>
      <c r="K5009" s="29"/>
      <c r="L5009" s="29"/>
      <c r="M5009" s="29"/>
      <c r="N5009" s="29"/>
      <c r="O5009" s="29"/>
      <c r="P5009" s="19"/>
      <c r="Q5009" s="19"/>
      <c r="R5009" s="11"/>
    </row>
    <row r="5010" s="1" customFormat="1" ht="21.95" customHeight="1" spans="1:18">
      <c r="A5010" s="7"/>
      <c r="B5010" s="12"/>
      <c r="C5010" s="33"/>
      <c r="D5010" s="29"/>
      <c r="E5010" s="29"/>
      <c r="F5010" s="29"/>
      <c r="G5010" s="29"/>
      <c r="H5010" s="29"/>
      <c r="I5010" s="29"/>
      <c r="J5010" s="29"/>
      <c r="K5010" s="29"/>
      <c r="L5010" s="29"/>
      <c r="M5010" s="29"/>
      <c r="N5010" s="29"/>
      <c r="O5010" s="29"/>
      <c r="P5010" s="19"/>
      <c r="Q5010" s="19"/>
      <c r="R5010" s="11"/>
    </row>
    <row r="5011" s="1" customFormat="1" ht="21.95" customHeight="1" spans="1:18">
      <c r="A5011" s="7"/>
      <c r="B5011" s="12"/>
      <c r="C5011" s="33"/>
      <c r="D5011" s="80" t="s">
        <v>728</v>
      </c>
      <c r="E5011" s="86">
        <f>ENTRY!$D$27</f>
        <v>46102</v>
      </c>
      <c r="F5011" s="86"/>
      <c r="G5011" s="29"/>
      <c r="H5011" s="29"/>
      <c r="I5011" s="29"/>
      <c r="J5011" s="29"/>
      <c r="K5011" s="29"/>
      <c r="L5011" s="29"/>
      <c r="M5011" s="87" t="s">
        <v>730</v>
      </c>
      <c r="N5011" s="87"/>
      <c r="O5011" s="87"/>
      <c r="P5011" s="19"/>
      <c r="Q5011" s="19"/>
      <c r="R5011" s="11"/>
    </row>
    <row r="5012" s="1" customFormat="1" ht="21.95" customHeight="1" spans="1:18">
      <c r="A5012" s="7"/>
      <c r="B5012" s="12"/>
      <c r="C5012" s="33"/>
      <c r="D5012" s="80" t="s">
        <v>731</v>
      </c>
      <c r="E5012" s="88" t="str">
        <f>PROPER(ENTRY!$D$28)</f>
        <v>New Delhi</v>
      </c>
      <c r="F5012" s="88"/>
      <c r="G5012" s="29"/>
      <c r="H5012" s="29"/>
      <c r="I5012" s="29"/>
      <c r="J5012" s="29"/>
      <c r="K5012" s="29"/>
      <c r="L5012" s="29"/>
      <c r="M5012" s="89" t="s">
        <v>732</v>
      </c>
      <c r="N5012" s="89"/>
      <c r="O5012" s="89"/>
      <c r="P5012" s="19"/>
      <c r="Q5012" s="19"/>
      <c r="R5012" s="11"/>
    </row>
    <row r="5013" s="1" customFormat="1" ht="21.95" customHeight="1" spans="1:18">
      <c r="A5013" s="7"/>
      <c r="B5013" s="12"/>
      <c r="C5013" s="90"/>
      <c r="D5013" s="91"/>
      <c r="E5013" s="91"/>
      <c r="F5013" s="91"/>
      <c r="G5013" s="91"/>
      <c r="H5013" s="91"/>
      <c r="I5013" s="91"/>
      <c r="J5013" s="91"/>
      <c r="K5013" s="91"/>
      <c r="L5013" s="91"/>
      <c r="M5013" s="91"/>
      <c r="N5013" s="91"/>
      <c r="O5013" s="91"/>
      <c r="P5013" s="92"/>
      <c r="Q5013" s="14"/>
      <c r="R5013" s="11"/>
    </row>
    <row r="5014" s="1" customFormat="1" ht="5.1" customHeight="1" spans="1:18">
      <c r="A5014" s="7"/>
      <c r="B5014" s="90"/>
      <c r="C5014" s="91"/>
      <c r="D5014" s="91"/>
      <c r="E5014" s="91"/>
      <c r="F5014" s="91"/>
      <c r="G5014" s="91"/>
      <c r="H5014" s="91"/>
      <c r="I5014" s="91"/>
      <c r="J5014" s="91"/>
      <c r="K5014" s="91"/>
      <c r="L5014" s="91"/>
      <c r="M5014" s="91"/>
      <c r="N5014" s="91"/>
      <c r="O5014" s="91"/>
      <c r="P5014" s="91"/>
      <c r="Q5014" s="92"/>
      <c r="R5014" s="11"/>
    </row>
    <row r="5015" s="1" customFormat="1" ht="5.1" customHeight="1" spans="1:18">
      <c r="A5015" s="93"/>
      <c r="B5015" s="94"/>
      <c r="C5015" s="94"/>
      <c r="D5015" s="94"/>
      <c r="E5015" s="94"/>
      <c r="F5015" s="94"/>
      <c r="G5015" s="94"/>
      <c r="H5015" s="94"/>
      <c r="I5015" s="94"/>
      <c r="J5015" s="94"/>
      <c r="K5015" s="94"/>
      <c r="L5015" s="94"/>
      <c r="M5015" s="94"/>
      <c r="N5015" s="94"/>
      <c r="O5015" s="94"/>
      <c r="P5015" s="94"/>
      <c r="Q5015" s="94"/>
      <c r="R5015" s="95"/>
    </row>
    <row r="5016" s="2" customFormat="1" ht="9.95" customHeight="1"/>
    <row r="5017" s="1" customFormat="1" ht="5.1" customHeight="1" spans="1:18">
      <c r="A5017" s="4"/>
      <c r="B5017" s="5"/>
      <c r="C5017" s="5"/>
      <c r="D5017" s="5"/>
      <c r="E5017" s="5"/>
      <c r="F5017" s="5"/>
      <c r="G5017" s="5"/>
      <c r="H5017" s="5"/>
      <c r="I5017" s="5"/>
      <c r="J5017" s="5"/>
      <c r="K5017" s="5"/>
      <c r="L5017" s="5"/>
      <c r="M5017" s="5"/>
      <c r="N5017" s="5"/>
      <c r="O5017" s="5"/>
      <c r="P5017" s="5"/>
      <c r="Q5017" s="5"/>
      <c r="R5017" s="6"/>
    </row>
    <row r="5018" s="1" customFormat="1" ht="15" customHeight="1" spans="1:18">
      <c r="A5018" s="7"/>
      <c r="B5018" s="8"/>
      <c r="C5018" s="9"/>
      <c r="D5018" s="9"/>
      <c r="E5018" s="9"/>
      <c r="F5018" s="9"/>
      <c r="G5018" s="9"/>
      <c r="H5018" s="9"/>
      <c r="I5018" s="9"/>
      <c r="J5018" s="9"/>
      <c r="K5018" s="9"/>
      <c r="L5018" s="9"/>
      <c r="M5018" s="9"/>
      <c r="N5018" s="9"/>
      <c r="O5018" s="9"/>
      <c r="P5018" s="9"/>
      <c r="Q5018" s="10"/>
      <c r="R5018" s="11"/>
    </row>
    <row r="5019" s="1" customFormat="1" ht="21.95" customHeight="1" spans="1:18">
      <c r="A5019" s="7"/>
      <c r="B5019" s="12"/>
      <c r="C5019" s="13" t="s">
        <v>7</v>
      </c>
      <c r="D5019" s="13"/>
      <c r="E5019" s="13"/>
      <c r="F5019" s="13"/>
      <c r="G5019" s="13"/>
      <c r="H5019" s="13"/>
      <c r="I5019" s="13"/>
      <c r="J5019" s="13"/>
      <c r="K5019" s="13"/>
      <c r="L5019" s="13"/>
      <c r="M5019" s="13"/>
      <c r="N5019" s="13"/>
      <c r="O5019" s="13"/>
      <c r="P5019" s="13"/>
      <c r="Q5019" s="14"/>
      <c r="R5019" s="11"/>
    </row>
    <row r="5020" s="1" customFormat="1" ht="21.95" customHeight="1" spans="1:18">
      <c r="A5020" s="7"/>
      <c r="B5020" s="1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14"/>
      <c r="R5020" s="11"/>
    </row>
    <row r="5021" s="1" customFormat="1" ht="21.95" customHeight="1" spans="1:18">
      <c r="A5021" s="7"/>
      <c r="B5021" s="12"/>
      <c r="C5021" s="15" t="str">
        <f>"SESSION-"&amp;ENTRY!$D$11</f>
        <v>SESSION-2026-27</v>
      </c>
      <c r="D5021" s="15"/>
      <c r="E5021" s="15"/>
      <c r="F5021" s="15"/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  <c r="Q5021" s="14"/>
      <c r="R5021" s="11"/>
    </row>
    <row r="5022" s="1" customFormat="1" ht="21.95" customHeight="1" spans="1:18">
      <c r="A5022" s="7"/>
      <c r="B5022" s="12"/>
      <c r="C5022" s="2"/>
      <c r="D5022" s="2"/>
      <c r="E5022" s="2"/>
      <c r="F5022" s="16">
        <f>F4965+1</f>
        <v>89</v>
      </c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14"/>
      <c r="R5022" s="11"/>
    </row>
    <row r="5023" s="1" customFormat="1" ht="21.95" customHeight="1" spans="1:18">
      <c r="A5023" s="7"/>
      <c r="B5023" s="12"/>
      <c r="C5023" s="17" t="s">
        <v>392</v>
      </c>
      <c r="D5023" s="17"/>
      <c r="E5023" s="17"/>
      <c r="F5023" s="18" t="str">
        <f>IF(F5022&gt;0,ENTRY!$D$6,"")</f>
        <v>MCP NITHARI NO 1 BOYS</v>
      </c>
      <c r="G5023" s="18"/>
      <c r="H5023" s="18"/>
      <c r="I5023" s="18"/>
      <c r="J5023" s="18"/>
      <c r="K5023" s="18"/>
      <c r="L5023" s="18"/>
      <c r="M5023" s="18"/>
      <c r="N5023" s="18"/>
      <c r="O5023" s="18"/>
      <c r="P5023" s="18"/>
      <c r="Q5023" s="19"/>
      <c r="R5023" s="11"/>
    </row>
    <row r="5024" s="1" customFormat="1" ht="21.95" customHeight="1" spans="1:18">
      <c r="A5024" s="7"/>
      <c r="B5024" s="12"/>
      <c r="C5024" s="17" t="s">
        <v>393</v>
      </c>
      <c r="D5024" s="17"/>
      <c r="E5024" s="17"/>
      <c r="F5024" s="18">
        <f>IF(F5022&gt;0,ENTRY!$D$7,"")</f>
        <v>0</v>
      </c>
      <c r="G5024" s="18"/>
      <c r="H5024" s="20" t="s">
        <v>702</v>
      </c>
      <c r="I5024" s="20"/>
      <c r="J5024" s="21">
        <f>IF(F5022&gt;0,ENTRY!$D$10,"")</f>
        <v>40</v>
      </c>
      <c r="K5024" s="20" t="s">
        <v>703</v>
      </c>
      <c r="L5024" s="22" t="str">
        <f>IF(F5022&gt;0,ENTRY!$D$5,"")</f>
        <v>ROHINI ZONE</v>
      </c>
      <c r="M5024" s="22"/>
      <c r="N5024" s="22"/>
      <c r="O5024" s="22"/>
      <c r="P5024" s="22"/>
      <c r="Q5024" s="19"/>
      <c r="R5024" s="11"/>
    </row>
    <row r="5025" s="1" customFormat="1" ht="21.95" customHeight="1" spans="1:18">
      <c r="A5025" s="7"/>
      <c r="B5025" s="12"/>
      <c r="C5025" s="17" t="s">
        <v>706</v>
      </c>
      <c r="D5025" s="17"/>
      <c r="E5025" s="17"/>
      <c r="F5025" s="23">
        <f>IFERROR(VLOOKUP(F5022,STUDENT!$A$2:$BP$101,5,0),"")</f>
        <v>0</v>
      </c>
      <c r="G5025" s="23"/>
      <c r="H5025" s="23"/>
      <c r="I5025" s="23"/>
      <c r="J5025" s="23"/>
      <c r="K5025" s="23"/>
      <c r="L5025" s="20" t="s">
        <v>707</v>
      </c>
      <c r="M5025" s="20"/>
      <c r="N5025" s="24" t="str">
        <f>IF(F5022&gt;0,ENTRY!$D$20&amp;"-"&amp;ENTRY!$D$21,"")</f>
        <v>III-A</v>
      </c>
      <c r="O5025" s="24"/>
      <c r="P5025" s="24"/>
      <c r="Q5025" s="19"/>
      <c r="R5025" s="11"/>
    </row>
    <row r="5026" s="1" customFormat="1" ht="21.95" customHeight="1" spans="1:18">
      <c r="A5026" s="7"/>
      <c r="B5026" s="12"/>
      <c r="C5026" s="17" t="s">
        <v>708</v>
      </c>
      <c r="D5026" s="17"/>
      <c r="E5026" s="17"/>
      <c r="F5026" s="25">
        <f>IFERROR(VLOOKUP(F5022,STUDENT!$A$2:$BP$101,6,0),"")</f>
        <v>0</v>
      </c>
      <c r="G5026" s="25"/>
      <c r="H5026" s="26" t="s">
        <v>709</v>
      </c>
      <c r="I5026" s="27" t="str">
        <f>IFERROR(VLOOKUP(F5022,STUDENT!$A$2:$BP$101,59,0),"")</f>
        <v/>
      </c>
      <c r="J5026" s="27"/>
      <c r="K5026" s="20" t="s">
        <v>710</v>
      </c>
      <c r="L5026" s="20"/>
      <c r="M5026" s="28">
        <f>IFERROR(VLOOKUP(F5022,STUDENT!$A$2:$BP$101,20,0),"")</f>
        <v>0</v>
      </c>
      <c r="N5026" s="28"/>
      <c r="O5026" s="28"/>
      <c r="P5026" s="28"/>
      <c r="Q5026" s="19"/>
      <c r="R5026" s="11"/>
    </row>
    <row r="5027" s="1" customFormat="1" ht="21.95" customHeight="1" spans="1:18">
      <c r="A5027" s="7"/>
      <c r="B5027" s="12"/>
      <c r="C5027" s="17" t="s">
        <v>711</v>
      </c>
      <c r="D5027" s="17"/>
      <c r="E5027" s="17"/>
      <c r="F5027" s="23">
        <f>IFERROR(VLOOKUP(F5022,STUDENT!$A$2:$BP$101,9,0),"")</f>
        <v>0</v>
      </c>
      <c r="G5027" s="23"/>
      <c r="H5027" s="23"/>
      <c r="I5027" s="23"/>
      <c r="J5027" s="17" t="s">
        <v>620</v>
      </c>
      <c r="K5027" s="17"/>
      <c r="L5027" s="23">
        <f>IFERROR(VLOOKUP(F5022,STUDENT!$A$2:$BP$101,8,0),"")</f>
        <v>0</v>
      </c>
      <c r="M5027" s="23"/>
      <c r="N5027" s="23"/>
      <c r="O5027" s="23"/>
      <c r="P5027" s="23"/>
      <c r="Q5027" s="19"/>
      <c r="R5027" s="11"/>
    </row>
    <row r="5028" s="1" customFormat="1" ht="21.95" customHeight="1" spans="1:18">
      <c r="A5028" s="7"/>
      <c r="B5028" s="12"/>
      <c r="C5028" s="17" t="s">
        <v>712</v>
      </c>
      <c r="D5028" s="17"/>
      <c r="E5028" s="17"/>
      <c r="F5028" s="23">
        <f>IFERROR(VLOOKUP(F5022,STUDENT!$A$2:$BP$101,22,0),"")</f>
        <v>0</v>
      </c>
      <c r="G5028" s="23"/>
      <c r="H5028" s="23"/>
      <c r="I5028" s="23"/>
      <c r="J5028" s="23"/>
      <c r="K5028" s="23"/>
      <c r="L5028" s="23"/>
      <c r="M5028" s="23"/>
      <c r="N5028" s="23"/>
      <c r="O5028" s="23"/>
      <c r="P5028" s="23"/>
      <c r="Q5028" s="19"/>
      <c r="R5028" s="11"/>
    </row>
    <row r="5029" s="1" customFormat="1" ht="9.95" customHeight="1" spans="1:18">
      <c r="A5029" s="7"/>
      <c r="B5029" s="12"/>
      <c r="C5029" s="29"/>
      <c r="D5029" s="29"/>
      <c r="E5029" s="29"/>
      <c r="F5029" s="29"/>
      <c r="G5029" s="29"/>
      <c r="H5029" s="29"/>
      <c r="I5029" s="29"/>
      <c r="J5029" s="29"/>
      <c r="K5029" s="29"/>
      <c r="L5029" s="29"/>
      <c r="M5029" s="29"/>
      <c r="N5029" s="29"/>
      <c r="O5029" s="29"/>
      <c r="P5029" s="29"/>
      <c r="Q5029" s="19"/>
      <c r="R5029" s="11"/>
    </row>
    <row r="5030" s="1" customFormat="1" ht="9.95" customHeight="1" spans="1:18">
      <c r="A5030" s="7"/>
      <c r="B5030" s="12"/>
      <c r="C5030" s="30"/>
      <c r="D5030" s="31"/>
      <c r="E5030" s="31"/>
      <c r="F5030" s="31"/>
      <c r="G5030" s="31"/>
      <c r="H5030" s="31"/>
      <c r="I5030" s="31"/>
      <c r="J5030" s="31"/>
      <c r="K5030" s="31"/>
      <c r="L5030" s="31"/>
      <c r="M5030" s="31"/>
      <c r="N5030" s="31"/>
      <c r="O5030" s="31"/>
      <c r="P5030" s="32"/>
      <c r="Q5030" s="19"/>
      <c r="R5030" s="11"/>
    </row>
    <row r="5031" s="1" customFormat="1" ht="21.95" customHeight="1" spans="1:18">
      <c r="A5031" s="7"/>
      <c r="B5031" s="12"/>
      <c r="C5031" s="33"/>
      <c r="D5031" s="34" t="s">
        <v>713</v>
      </c>
      <c r="E5031" s="20" t="s">
        <v>714</v>
      </c>
      <c r="F5031" s="35" t="str">
        <f>"Level - "&amp;IFERROR(VLOOKUP(F5022,FLN!$A$4:$K$103,9,0),"")</f>
        <v>Level - </v>
      </c>
      <c r="G5031" s="36"/>
      <c r="H5031" s="37" t="s">
        <v>715</v>
      </c>
      <c r="I5031" s="20"/>
      <c r="J5031" s="35" t="str">
        <f>"Level - "&amp;IFERROR(VLOOKUP(F5022,FLN!$A$4:$K$103,11,0),"")</f>
        <v>Level - </v>
      </c>
      <c r="K5031" s="36"/>
      <c r="L5031" s="37" t="s">
        <v>408</v>
      </c>
      <c r="M5031" s="20"/>
      <c r="N5031" s="35" t="str">
        <f>"Level - "&amp;IFERROR(VLOOKUP(F5022,FLN!$A$4:$K$103,10,0),"")</f>
        <v>Level - </v>
      </c>
      <c r="O5031" s="36"/>
      <c r="P5031" s="19"/>
      <c r="Q5031" s="19"/>
      <c r="R5031" s="11"/>
    </row>
    <row r="5032" s="1" customFormat="1" ht="21.95" customHeight="1" spans="1:18">
      <c r="A5032" s="7"/>
      <c r="B5032" s="12"/>
      <c r="C5032" s="33"/>
      <c r="D5032" s="38"/>
      <c r="E5032" s="20" t="s">
        <v>716</v>
      </c>
      <c r="F5032" s="18" t="str">
        <f ca="1">IF(L5046&gt;197,"PERFORMED WELL","")</f>
        <v/>
      </c>
      <c r="G5032" s="18"/>
      <c r="H5032" s="18"/>
      <c r="I5032" s="18"/>
      <c r="J5032" s="18"/>
      <c r="K5032" s="18"/>
      <c r="L5032" s="18"/>
      <c r="M5032" s="18"/>
      <c r="N5032" s="18"/>
      <c r="O5032" s="18"/>
      <c r="P5032" s="19"/>
      <c r="Q5032" s="19"/>
      <c r="R5032" s="11"/>
    </row>
    <row r="5033" s="1" customFormat="1" ht="9.95" customHeight="1" spans="1:18">
      <c r="A5033" s="7"/>
      <c r="B5033" s="12"/>
      <c r="C5033" s="39"/>
      <c r="D5033" s="40"/>
      <c r="E5033" s="40"/>
      <c r="F5033" s="40"/>
      <c r="G5033" s="40"/>
      <c r="H5033" s="40"/>
      <c r="I5033" s="40"/>
      <c r="J5033" s="40"/>
      <c r="K5033" s="40"/>
      <c r="L5033" s="40"/>
      <c r="M5033" s="40"/>
      <c r="N5033" s="40"/>
      <c r="O5033" s="40"/>
      <c r="P5033" s="41"/>
      <c r="Q5033" s="19"/>
      <c r="R5033" s="11"/>
    </row>
    <row r="5034" s="1" customFormat="1" ht="9.95" customHeight="1" spans="1:18">
      <c r="A5034" s="7"/>
      <c r="B5034" s="12"/>
      <c r="C5034" s="29"/>
      <c r="D5034" s="29"/>
      <c r="E5034" s="29"/>
      <c r="F5034" s="29"/>
      <c r="G5034" s="29"/>
      <c r="H5034" s="29"/>
      <c r="I5034" s="29"/>
      <c r="J5034" s="29"/>
      <c r="K5034" s="29"/>
      <c r="L5034" s="29"/>
      <c r="M5034" s="29"/>
      <c r="N5034" s="29"/>
      <c r="O5034" s="29"/>
      <c r="P5034" s="29"/>
      <c r="Q5034" s="19"/>
      <c r="R5034" s="11"/>
    </row>
    <row r="5035" s="1" customFormat="1" ht="9.95" customHeight="1" spans="1:18">
      <c r="A5035" s="7"/>
      <c r="B5035" s="12"/>
      <c r="C5035" s="30"/>
      <c r="D5035" s="31"/>
      <c r="E5035" s="31"/>
      <c r="F5035" s="31"/>
      <c r="G5035" s="31"/>
      <c r="H5035" s="31"/>
      <c r="I5035" s="31"/>
      <c r="J5035" s="31"/>
      <c r="K5035" s="31"/>
      <c r="L5035" s="31"/>
      <c r="M5035" s="31"/>
      <c r="N5035" s="31"/>
      <c r="O5035" s="31"/>
      <c r="P5035" s="32"/>
      <c r="Q5035" s="19"/>
      <c r="R5035" s="11"/>
    </row>
    <row r="5036" s="1" customFormat="1" ht="21.95" customHeight="1" spans="1:18">
      <c r="A5036" s="7"/>
      <c r="B5036" s="12"/>
      <c r="C5036" s="33"/>
      <c r="D5036" s="35"/>
      <c r="E5036" s="24"/>
      <c r="F5036" s="42" t="s">
        <v>717</v>
      </c>
      <c r="G5036" s="42"/>
      <c r="H5036" s="42"/>
      <c r="I5036" s="42"/>
      <c r="J5036" s="42"/>
      <c r="K5036" s="42"/>
      <c r="L5036" s="43"/>
      <c r="M5036" s="44"/>
      <c r="N5036" s="29"/>
      <c r="O5036" s="29"/>
      <c r="P5036" s="19"/>
      <c r="Q5036" s="19"/>
      <c r="R5036" s="11"/>
    </row>
    <row r="5037" s="1" customFormat="1" ht="21.95" customHeight="1" spans="1:18">
      <c r="A5037" s="7"/>
      <c r="B5037" s="12"/>
      <c r="C5037" s="33"/>
      <c r="D5037" s="45"/>
      <c r="E5037" s="46"/>
      <c r="F5037" s="47" t="s">
        <v>541</v>
      </c>
      <c r="G5037" s="47" t="s">
        <v>542</v>
      </c>
      <c r="H5037" s="47" t="s">
        <v>543</v>
      </c>
      <c r="I5037" s="47" t="s">
        <v>544</v>
      </c>
      <c r="J5037" s="47" t="s">
        <v>561</v>
      </c>
      <c r="K5037" s="48" t="s">
        <v>750</v>
      </c>
      <c r="L5037" s="47" t="s">
        <v>382</v>
      </c>
      <c r="M5037" s="49" t="s">
        <v>546</v>
      </c>
      <c r="N5037" s="29"/>
      <c r="O5037" s="29"/>
      <c r="P5037" s="19"/>
      <c r="Q5037" s="19"/>
      <c r="R5037" s="11"/>
    </row>
    <row r="5038" s="1" customFormat="1" ht="21.95" customHeight="1" spans="1:18">
      <c r="A5038" s="7"/>
      <c r="B5038" s="12"/>
      <c r="C5038" s="33"/>
      <c r="D5038" s="45" t="s">
        <v>652</v>
      </c>
      <c r="E5038" s="46"/>
      <c r="F5038" s="50">
        <v>10</v>
      </c>
      <c r="G5038" s="50">
        <v>10</v>
      </c>
      <c r="H5038" s="50">
        <v>10</v>
      </c>
      <c r="I5038" s="50">
        <v>10</v>
      </c>
      <c r="J5038" s="50">
        <v>60</v>
      </c>
      <c r="K5038" s="51"/>
      <c r="L5038" s="50">
        <v>100</v>
      </c>
      <c r="M5038" s="49"/>
      <c r="N5038" s="29"/>
      <c r="O5038" s="29"/>
      <c r="P5038" s="19"/>
      <c r="Q5038" s="19"/>
      <c r="R5038" s="11"/>
    </row>
    <row r="5039" s="1" customFormat="1" ht="21.95" customHeight="1" spans="1:18">
      <c r="A5039" s="7"/>
      <c r="B5039" s="12"/>
      <c r="C5039" s="33"/>
      <c r="D5039" s="52" t="s">
        <v>751</v>
      </c>
      <c r="E5039" s="53"/>
      <c r="F5039" s="54" t="str">
        <f ca="1">IFERROR(VLOOKUP(F5022,'RR-3.1-5TH'!$A$12:'RR-3.1-5TH'!$BN$111,9,0),"")</f>
        <v/>
      </c>
      <c r="G5039" s="54" t="str">
        <f ca="1">IFERROR(VLOOKUP(F5022,'RR-3.1-5TH'!$A$12:'RR-3.1-5TH'!$BN$111,10,0),"")</f>
        <v/>
      </c>
      <c r="H5039" s="54" t="str">
        <f ca="1">IFERROR(VLOOKUP(F5022,'RR-3.1-5TH'!$A$12:'RR-3.1-5TH'!$BN$111,11,0),"")</f>
        <v/>
      </c>
      <c r="I5039" s="54" t="str">
        <f ca="1">IFERROR(VLOOKUP(F5022,'RR-3.1-5TH'!$A$12:'RR-3.1-5TH'!$BN$111,12,0),"")</f>
        <v/>
      </c>
      <c r="J5039" s="54" t="str">
        <f ca="1">IFERROR(VLOOKUP(F5022,'RR-3.1-5TH'!$A$12:'RR-3.1-5TH'!$BN$111,13,0),"")</f>
        <v/>
      </c>
      <c r="K5039" s="54" t="str">
        <f ca="1">IFERROR(VLOOKUP(F5022,'RR-3.1-5TH'!$A$12:'RR-3.1-5TH'!$BN$111,14,0),"")</f>
        <v/>
      </c>
      <c r="L5039" s="55">
        <f ca="1" t="shared" ref="L5039:L5044" si="264">SUM(F5039,G5039,H5039,I5039,J5039,K5039)</f>
        <v>0</v>
      </c>
      <c r="M5039" s="56" t="str">
        <f ca="1">IF(F5022&gt;ENTRY!$D$24,"",IF(L5039=0,"Ab",IF(L5039&gt;80,"A",IF(L5039&gt;60,"B",IF(L5039&gt;44,"C",IF(L5039&gt;=33,"D",IF(L5039&lt;=32,"E","")))))))</f>
        <v/>
      </c>
      <c r="N5039" s="57" t="s">
        <v>729</v>
      </c>
      <c r="O5039" s="58"/>
      <c r="P5039" s="59"/>
      <c r="Q5039" s="19"/>
      <c r="R5039" s="11"/>
    </row>
    <row r="5040" s="1" customFormat="1" ht="21.95" customHeight="1" spans="1:18">
      <c r="A5040" s="7"/>
      <c r="B5040" s="12"/>
      <c r="C5040" s="33"/>
      <c r="D5040" s="52" t="s">
        <v>513</v>
      </c>
      <c r="E5040" s="53"/>
      <c r="F5040" s="54" t="str">
        <f ca="1">IFERROR(VLOOKUP(F5022,'RR-3.1-5TH'!$A$12:'RR-3.1-5TH'!$BN$111,17,0),"")</f>
        <v/>
      </c>
      <c r="G5040" s="54" t="str">
        <f ca="1">IFERROR(VLOOKUP(F5022,'RR-3.1-5TH'!$A$12:'RR-3.1-5TH'!$BN$111,18,0),"")</f>
        <v/>
      </c>
      <c r="H5040" s="54" t="str">
        <f ca="1">IFERROR(VLOOKUP(F5022,'RR-3.1-5TH'!$A$12:'RR-3.1-5TH'!$BN$111,19,0),"")</f>
        <v/>
      </c>
      <c r="I5040" s="54" t="str">
        <f ca="1">IFERROR(VLOOKUP(F5022,'RR-3.1-5TH'!$A$12:'RR-3.1-5TH'!$BN$111,20,0),"")</f>
        <v/>
      </c>
      <c r="J5040" s="54" t="str">
        <f ca="1">IFERROR(VLOOKUP(F5022,'RR-3.1-5TH'!$A$12:'RR-3.1-5TH'!$BN$111,21,0),"")</f>
        <v/>
      </c>
      <c r="K5040" s="54" t="str">
        <f ca="1">IFERROR(VLOOKUP(F5022,'RR-3.1-5TH'!$A$12:'RR-3.1-5TH'!$BN$111,22,0),"")</f>
        <v/>
      </c>
      <c r="L5040" s="55">
        <f ca="1" t="shared" si="264"/>
        <v>0</v>
      </c>
      <c r="M5040" s="56" t="str">
        <f ca="1">IF(F5022&gt;ENTRY!$D$24,"",IF(L5040=0,"Ab",IF(L5040&gt;80,"A",IF(L5040&gt;60,"B",IF(L5040&gt;44,"C",IF(L5040&gt;=33,"D",IF(L5040&lt;=32,"E","")))))))</f>
        <v/>
      </c>
      <c r="N5040" s="58"/>
      <c r="O5040" s="58"/>
      <c r="P5040" s="59"/>
      <c r="Q5040" s="19"/>
      <c r="R5040" s="11"/>
    </row>
    <row r="5041" s="1" customFormat="1" ht="21.95" customHeight="1" spans="1:19">
      <c r="A5041" s="7"/>
      <c r="B5041" s="12"/>
      <c r="C5041" s="33"/>
      <c r="D5041" s="52" t="s">
        <v>718</v>
      </c>
      <c r="E5041" s="53"/>
      <c r="F5041" s="54" t="str">
        <f ca="1">IFERROR(VLOOKUP(F5022,'RR-3.1-5TH'!$A$12:'RR-3.1-5TH'!$BN$111,25,0),"")</f>
        <v/>
      </c>
      <c r="G5041" s="54" t="str">
        <f ca="1">IFERROR(VLOOKUP(F5022,'RR-3.1-5TH'!$A$12:'RR-3.1-5TH'!$BN$111,26,0),"")</f>
        <v/>
      </c>
      <c r="H5041" s="54" t="str">
        <f ca="1">IFERROR(VLOOKUP(F5022,'RR-3.1-5TH'!$A$12:'RR-3.1-5TH'!$BN$111,27,0),"")</f>
        <v/>
      </c>
      <c r="I5041" s="54" t="str">
        <f ca="1">IFERROR(VLOOKUP(F5022,'RR-3.1-5TH'!$A$12:'RR-3.1-5TH'!$BN$111,28,0),"")</f>
        <v/>
      </c>
      <c r="J5041" s="54" t="str">
        <f ca="1">IFERROR(VLOOKUP(F5022,'RR-3.1-5TH'!$A$12:'RR-3.1-5TH'!$BN$111,29,0),"")</f>
        <v/>
      </c>
      <c r="K5041" s="54" t="str">
        <f ca="1">IFERROR(VLOOKUP(F5022,'RR-3.1-5TH'!$A$12:'RR-3.1-5TH'!$BN$111,30,0),"")</f>
        <v/>
      </c>
      <c r="L5041" s="55">
        <f ca="1" t="shared" si="264"/>
        <v>0</v>
      </c>
      <c r="M5041" s="56" t="str">
        <f ca="1">IF(F5022&gt;ENTRY!$D$24,"",IF(L5041=0,"Ab",IF(L5041&gt;80,"A",IF(L5041&gt;60,"B",IF(L5041&gt;44,"C",IF(L5041&gt;=33,"D",IF(L5041&lt;=32,"E","")))))))</f>
        <v/>
      </c>
      <c r="N5041" s="29"/>
      <c r="O5041" s="29"/>
      <c r="P5041" s="19"/>
      <c r="Q5041" s="19"/>
      <c r="R5041" s="11"/>
    </row>
    <row r="5042" s="1" customFormat="1" ht="21.95" customHeight="1" spans="1:19">
      <c r="A5042" s="7"/>
      <c r="B5042" s="12"/>
      <c r="C5042" s="33"/>
      <c r="D5042" s="52" t="s">
        <v>719</v>
      </c>
      <c r="E5042" s="53"/>
      <c r="F5042" s="54" t="str">
        <f ca="1">IFERROR(VLOOKUP(F5022,'RR-3.1-5TH'!$A$12:'RR-3.1-5TH'!$BN$111,33,0),"")</f>
        <v/>
      </c>
      <c r="G5042" s="54" t="str">
        <f ca="1">IFERROR(VLOOKUP(F5022,'RR-3.1-5TH'!$A$12:'RR-3.1-5TH'!$BN$111,34,0),"")</f>
        <v/>
      </c>
      <c r="H5042" s="54" t="str">
        <f ca="1">IFERROR(VLOOKUP(F5022,'RR-3.1-5TH'!$A$12:'RR-3.1-5TH'!$BN$111,35,0),"")</f>
        <v/>
      </c>
      <c r="I5042" s="54" t="str">
        <f ca="1">IFERROR(VLOOKUP(F5022,'RR-3.1-5TH'!$A$12:'RR-3.1-5TH'!$BN$111,36,0),"")</f>
        <v/>
      </c>
      <c r="J5042" s="54" t="str">
        <f ca="1">IFERROR(VLOOKUP(F5022,'RR-3.1-5TH'!$A$12:'RR-3.1-5TH'!$BN$111,37,0),"")</f>
        <v/>
      </c>
      <c r="K5042" s="54" t="str">
        <f ca="1">IFERROR(VLOOKUP(F5022,'RR-3.1-5TH'!$A$12:'RR-3.1-5TH'!$BN$111,38,0),"")</f>
        <v/>
      </c>
      <c r="L5042" s="55">
        <f ca="1" t="shared" si="264"/>
        <v>0</v>
      </c>
      <c r="M5042" s="56" t="str">
        <f ca="1">IF(F5022&gt;ENTRY!$D$24,"",IF(L5042=0,"Ab",IF(L5042&gt;80,"A",IF(L5042&gt;60,"B",IF(L5042&gt;44,"C",IF(L5042&gt;=33,"D",IF(L5042&lt;=32,"E","")))))))</f>
        <v/>
      </c>
      <c r="N5042" s="29"/>
      <c r="O5042" s="29"/>
      <c r="P5042" s="19"/>
      <c r="Q5042" s="19"/>
      <c r="R5042" s="11"/>
    </row>
    <row r="5043" s="1" customFormat="1" ht="21.95" customHeight="1" spans="1:19">
      <c r="A5043" s="7"/>
      <c r="B5043" s="12"/>
      <c r="C5043" s="33"/>
      <c r="D5043" s="52" t="s">
        <v>548</v>
      </c>
      <c r="E5043" s="53"/>
      <c r="F5043" s="54" t="str">
        <f ca="1">IFERROR(VLOOKUP(F5022,'RR-3.1-5TH'!$A$12:'RR-3.1-5TH'!$BN$111,41,0),"")</f>
        <v/>
      </c>
      <c r="G5043" s="54" t="str">
        <f ca="1">IFERROR(VLOOKUP(F5022,'RR-3.1-5TH'!$A$12:'RR-3.1-5TH'!$BN$111,42,0),"")</f>
        <v/>
      </c>
      <c r="H5043" s="54" t="str">
        <f ca="1">IFERROR(VLOOKUP(F5022,'RR-3.1-5TH'!$A$12:'RR-3.1-5TH'!$BN$111,43,0),"")</f>
        <v/>
      </c>
      <c r="I5043" s="54" t="str">
        <f ca="1">IFERROR(VLOOKUP(F5022,'RR-3.1-5TH'!$A$12:'RR-3.1-5TH'!$BN$111,44,0),"")</f>
        <v/>
      </c>
      <c r="J5043" s="54" t="str">
        <f ca="1">IFERROR(VLOOKUP(F5022,'RR-3.1-5TH'!$A$12:'RR-3.1-5TH'!$BN$111,45,0),"")</f>
        <v/>
      </c>
      <c r="K5043" s="54" t="str">
        <f ca="1">IFERROR(VLOOKUP(F5022,'RR-3.1-5TH'!$A$12:'RR-3.1-5TH'!$BN$111,46,0),"")</f>
        <v/>
      </c>
      <c r="L5043" s="55">
        <f ca="1" t="shared" si="264"/>
        <v>0</v>
      </c>
      <c r="M5043" s="56" t="str">
        <f ca="1">IF(F5022&gt;ENTRY!$D$24,"",IF(L5043=0,"Ab",IF(L5043&gt;80,"A",IF(L5043&gt;60,"B",IF(L5043&gt;44,"C",IF(L5043&gt;=33,"D",IF(L5043&lt;=32,"E","")))))))</f>
        <v/>
      </c>
      <c r="N5043" s="29"/>
      <c r="O5043" s="29"/>
      <c r="P5043" s="19"/>
      <c r="Q5043" s="19"/>
      <c r="R5043" s="11"/>
    </row>
    <row r="5044" s="1" customFormat="1" ht="21.95" customHeight="1" spans="1:19">
      <c r="A5044" s="7"/>
      <c r="B5044" s="12"/>
      <c r="C5044" s="33"/>
      <c r="D5044" s="52" t="s">
        <v>549</v>
      </c>
      <c r="E5044" s="53"/>
      <c r="F5044" s="54" t="str">
        <f ca="1">IFERROR(VLOOKUP(F5022,'RR-3.1-5TH'!$A$12:'RR-3.1-5TH'!$BN$111,49,0),"")</f>
        <v/>
      </c>
      <c r="G5044" s="54" t="str">
        <f ca="1">IFERROR(VLOOKUP(F5022,'RR-3.1-5TH'!$A$12:'RR-3.1-5TH'!$BN$111,50,0),"")</f>
        <v/>
      </c>
      <c r="H5044" s="54" t="str">
        <f ca="1">IFERROR(VLOOKUP(F5022,'RR-3.1-5TH'!$A$12:'RR-3.1-5TH'!$BN$111,51,0),"")</f>
        <v/>
      </c>
      <c r="I5044" s="54" t="str">
        <f ca="1">IFERROR(VLOOKUP(F5022,'RR-3.1-5TH'!$A$12:'RR-3.1-5TH'!$BN$111,52,0),"")</f>
        <v/>
      </c>
      <c r="J5044" s="54" t="str">
        <f ca="1">IFERROR(VLOOKUP(F5022,'RR-3.1-5TH'!$A$12:'RR-3.1-5TH'!$BN$111,53,0),"")</f>
        <v/>
      </c>
      <c r="K5044" s="54" t="str">
        <f ca="1">IFERROR(VLOOKUP(F5022,'RR-3.1-5TH'!$A$12:'RR-3.1-5TH'!$BN$111,54,0),"")</f>
        <v/>
      </c>
      <c r="L5044" s="55">
        <f ca="1" t="shared" si="264"/>
        <v>0</v>
      </c>
      <c r="M5044" s="56" t="str">
        <f ca="1">IF(F5022&gt;ENTRY!$D$24,"",IF(L5044=0,"Ab",IF(L5044&gt;80,"A",IF(L5044&gt;60,"B",IF(L5044&gt;44,"C",IF(L5044&gt;=33,"D",IF(L5044&lt;=32,"E","")))))))</f>
        <v/>
      </c>
      <c r="N5044" s="57" t="s">
        <v>752</v>
      </c>
      <c r="O5044" s="58"/>
      <c r="P5044" s="59"/>
      <c r="Q5044" s="19"/>
      <c r="R5044" s="11"/>
    </row>
    <row r="5045" s="1" customFormat="1" ht="21.95" customHeight="1" spans="1:19">
      <c r="A5045" s="7"/>
      <c r="B5045" s="12"/>
      <c r="C5045" s="33"/>
      <c r="D5045" s="52" t="s">
        <v>753</v>
      </c>
      <c r="E5045" s="53"/>
      <c r="F5045" s="60"/>
      <c r="G5045" s="54"/>
      <c r="H5045" s="54"/>
      <c r="I5045" s="54"/>
      <c r="J5045" s="54"/>
      <c r="K5045" s="54"/>
      <c r="L5045" s="55">
        <f t="shared" ref="L5045" si="265">SUM(G5045:K5045)</f>
        <v>0</v>
      </c>
      <c r="M5045" s="56" t="str">
        <f>IF(F5022&gt;ENTRY!$D$24,"",IF(L5045=0,"",IF(L5045&gt;79,"A",IF(L5045&gt;59,"B",IF(L5045&gt;44,"C",IF(L5045&gt;=33,"D",IF(L5045&lt;=32,"E","")))))))</f>
        <v/>
      </c>
      <c r="N5045" s="58"/>
      <c r="O5045" s="58"/>
      <c r="P5045" s="59"/>
      <c r="Q5045" s="19"/>
      <c r="R5045" s="11"/>
    </row>
    <row r="5046" s="1" customFormat="1" ht="21.95" customHeight="1" spans="1:19">
      <c r="A5046" s="7"/>
      <c r="B5046" s="12"/>
      <c r="C5046" s="33"/>
      <c r="D5046" s="45" t="s">
        <v>382</v>
      </c>
      <c r="E5046" s="46"/>
      <c r="F5046" s="54">
        <f ca="1" t="shared" ref="F5046:L5046" si="266">IFERROR(SUM(F5039:F5045),"")</f>
        <v>0</v>
      </c>
      <c r="G5046" s="54">
        <f ca="1" t="shared" si="266"/>
        <v>0</v>
      </c>
      <c r="H5046" s="54">
        <f ca="1" t="shared" si="266"/>
        <v>0</v>
      </c>
      <c r="I5046" s="54">
        <f ca="1" t="shared" si="266"/>
        <v>0</v>
      </c>
      <c r="J5046" s="54">
        <f ca="1" t="shared" si="266"/>
        <v>0</v>
      </c>
      <c r="K5046" s="54">
        <f ca="1" t="shared" si="266"/>
        <v>0</v>
      </c>
      <c r="L5046" s="55">
        <f ca="1" t="shared" si="266"/>
        <v>0</v>
      </c>
      <c r="M5046" s="61" t="str">
        <f ca="1">IF(F5022&gt;ENTRY!$D$24,"",IF(N5047="Ab","Ab",IF(N5047&gt;79.5,"A",IF(N5047&gt;59.5,"B",IF(N5047&gt;44.5,"C",IF(N5047&gt;=33,"D",IF(N5047&lt;33,"E","")))))))</f>
        <v/>
      </c>
      <c r="N5046" s="62"/>
      <c r="O5046" s="58"/>
      <c r="P5046" s="59"/>
      <c r="Q5046" s="19"/>
      <c r="R5046" s="11"/>
    </row>
    <row r="5047" s="1" customFormat="1" ht="21.95" customHeight="1" spans="1:19">
      <c r="A5047" s="7"/>
      <c r="B5047" s="12"/>
      <c r="C5047" s="33"/>
      <c r="D5047" s="63" t="s">
        <v>721</v>
      </c>
      <c r="E5047" s="63"/>
      <c r="F5047" s="63"/>
      <c r="G5047" s="63"/>
      <c r="H5047" s="63"/>
      <c r="I5047" s="63"/>
      <c r="J5047" s="63"/>
      <c r="K5047" s="63"/>
      <c r="L5047" s="63"/>
      <c r="M5047" s="63"/>
      <c r="N5047" s="64">
        <f ca="1">IF(L5046="Ab","Ab",L5046/6)</f>
        <v>0</v>
      </c>
      <c r="O5047" s="65"/>
      <c r="P5047" s="19"/>
      <c r="Q5047" s="19"/>
      <c r="R5047" s="11"/>
    </row>
    <row r="5048" s="1" customFormat="1" ht="21.95" customHeight="1" spans="1:19">
      <c r="A5048" s="7"/>
      <c r="B5048" s="12"/>
      <c r="C5048" s="33"/>
      <c r="D5048" s="29" t="s">
        <v>716</v>
      </c>
      <c r="E5048" s="18" t="str">
        <f>IFERROR(VLOOKUP(F5022,'1to4-2.1-RR'!$A$12:$BG$111,57,0),"")</f>
        <v/>
      </c>
      <c r="F5048" s="18"/>
      <c r="G5048" s="18"/>
      <c r="H5048" s="18"/>
      <c r="I5048" s="18"/>
      <c r="J5048" s="18"/>
      <c r="K5048" s="18"/>
      <c r="L5048" s="18"/>
      <c r="M5048" s="18"/>
      <c r="N5048" s="29"/>
      <c r="O5048" s="29"/>
      <c r="P5048" s="19"/>
      <c r="Q5048" s="19"/>
      <c r="R5048" s="11"/>
    </row>
    <row r="5049" s="1" customFormat="1" ht="9.95" customHeight="1" spans="1:19">
      <c r="A5049" s="7"/>
      <c r="B5049" s="12"/>
      <c r="C5049" s="33"/>
      <c r="D5049" s="29"/>
      <c r="E5049" s="29"/>
      <c r="F5049" s="29"/>
      <c r="G5049" s="29"/>
      <c r="H5049" s="29"/>
      <c r="I5049" s="29"/>
      <c r="J5049" s="29"/>
      <c r="K5049" s="29"/>
      <c r="L5049" s="29"/>
      <c r="M5049" s="29"/>
      <c r="N5049" s="29"/>
      <c r="O5049" s="29"/>
      <c r="P5049" s="19"/>
      <c r="Q5049" s="19"/>
      <c r="R5049" s="11"/>
    </row>
    <row r="5050" s="1" customFormat="1" ht="36" spans="1:19">
      <c r="A5050" s="7"/>
      <c r="B5050" s="12"/>
      <c r="C5050" s="33"/>
      <c r="D5050" s="66" t="s">
        <v>576</v>
      </c>
      <c r="E5050" s="67" t="s">
        <v>754</v>
      </c>
      <c r="F5050" s="47" t="str">
        <f>IF(F5022&gt;ENTRY!$D$24,"",IFERROR(VLOOKUP(F5022,PASHEET!$A$4:$CJ$103,88,0),""))</f>
        <v/>
      </c>
      <c r="G5050" s="67" t="s">
        <v>755</v>
      </c>
      <c r="H5050" s="47" t="str">
        <f>IF(F5022&gt;ENTRY!$D$24,"",IFERROR(VLOOKUP(F5022,PASHEET!$A$4:$CJ$103,87,0),""))</f>
        <v/>
      </c>
      <c r="I5050" s="68" t="s">
        <v>756</v>
      </c>
      <c r="J5050" s="69" t="str">
        <f>IF(F5022&gt;ENTRY!$D$24,"",IFERROR(IF(F5022&gt;0,H5050/F5050*100),""))</f>
        <v/>
      </c>
      <c r="K5050" s="60" t="s">
        <v>757</v>
      </c>
      <c r="L5050" s="70" t="str">
        <f ca="1">IF(F5022&gt;ENTRY!$D$24,"",IFERROR(L5046/600*100,""))</f>
        <v/>
      </c>
      <c r="M5050" s="47" t="str">
        <f ca="1">IF(F5022&gt;ENTRY!$D$24,"",IFERROR(L5046&amp;" / "&amp;"600",""))</f>
        <v/>
      </c>
      <c r="N5050" s="29"/>
      <c r="O5050" s="29"/>
      <c r="P5050" s="19"/>
      <c r="Q5050" s="19"/>
      <c r="R5050" s="11"/>
    </row>
    <row r="5051" s="1" customFormat="1" ht="9.95" customHeight="1" spans="1:19">
      <c r="A5051" s="7"/>
      <c r="B5051" s="12"/>
      <c r="C5051" s="39"/>
      <c r="D5051" s="40"/>
      <c r="E5051" s="40"/>
      <c r="F5051" s="40"/>
      <c r="G5051" s="40"/>
      <c r="H5051" s="40"/>
      <c r="I5051" s="40"/>
      <c r="J5051" s="40"/>
      <c r="K5051" s="40"/>
      <c r="L5051" s="40"/>
      <c r="M5051" s="40"/>
      <c r="N5051" s="40"/>
      <c r="O5051" s="40"/>
      <c r="P5051" s="41"/>
      <c r="Q5051" s="19"/>
      <c r="R5051" s="11"/>
    </row>
    <row r="5052" s="1" customFormat="1" ht="9.95" customHeight="1" spans="1:19">
      <c r="A5052" s="7"/>
      <c r="B5052" s="12"/>
      <c r="C5052" s="71"/>
      <c r="D5052" s="71"/>
      <c r="E5052" s="71"/>
      <c r="F5052" s="29"/>
      <c r="G5052" s="71"/>
      <c r="H5052" s="71"/>
      <c r="I5052" s="71"/>
      <c r="J5052" s="71"/>
      <c r="K5052" s="71"/>
      <c r="L5052" s="71"/>
      <c r="M5052" s="71"/>
      <c r="N5052" s="71"/>
      <c r="O5052" s="71"/>
      <c r="P5052" s="71"/>
      <c r="Q5052" s="19"/>
      <c r="R5052" s="11"/>
    </row>
    <row r="5053" s="1" customFormat="1" ht="9.95" customHeight="1" spans="1:19">
      <c r="A5053" s="7"/>
      <c r="B5053" s="12"/>
      <c r="C5053" s="29"/>
      <c r="D5053" s="29"/>
      <c r="E5053" s="29"/>
      <c r="F5053" s="72"/>
      <c r="G5053" s="29"/>
      <c r="H5053" s="29"/>
      <c r="I5053" s="29"/>
      <c r="J5053" s="29"/>
      <c r="K5053" s="29"/>
      <c r="L5053" s="29"/>
      <c r="M5053" s="29"/>
      <c r="N5053" s="29"/>
      <c r="O5053" s="29"/>
      <c r="P5053" s="29"/>
      <c r="Q5053" s="19"/>
      <c r="R5053" s="11"/>
    </row>
    <row r="5054" s="1" customFormat="1" ht="9.95" customHeight="1" spans="1:19">
      <c r="A5054" s="7"/>
      <c r="B5054" s="12"/>
      <c r="C5054" s="30"/>
      <c r="D5054" s="31"/>
      <c r="E5054" s="31"/>
      <c r="F5054" s="31"/>
      <c r="G5054" s="31"/>
      <c r="H5054" s="31"/>
      <c r="I5054" s="31"/>
      <c r="J5054" s="31"/>
      <c r="K5054" s="31"/>
      <c r="L5054" s="31"/>
      <c r="M5054" s="31"/>
      <c r="N5054" s="31"/>
      <c r="O5054" s="31"/>
      <c r="P5054" s="32"/>
      <c r="Q5054" s="19"/>
      <c r="R5054" s="11"/>
    </row>
    <row r="5055" s="1" customFormat="1" ht="21.95" customHeight="1" spans="1:19">
      <c r="A5055" s="7"/>
      <c r="B5055" s="12"/>
      <c r="C5055" s="73" t="s">
        <v>7</v>
      </c>
      <c r="D5055" s="13"/>
      <c r="E5055" s="13"/>
      <c r="F5055" s="13"/>
      <c r="G5055" s="13"/>
      <c r="H5055" s="13"/>
      <c r="I5055" s="13"/>
      <c r="J5055" s="13"/>
      <c r="K5055" s="13"/>
      <c r="L5055" s="13"/>
      <c r="M5055" s="13"/>
      <c r="N5055" s="13"/>
      <c r="O5055" s="13"/>
      <c r="P5055" s="74"/>
      <c r="Q5055" s="19"/>
      <c r="R5055" s="11"/>
      <c r="S5055" s="2"/>
    </row>
    <row r="5056" s="1" customFormat="1" ht="21.95" customHeight="1" spans="1:19">
      <c r="A5056" s="7"/>
      <c r="B5056" s="12"/>
      <c r="C5056" s="33"/>
      <c r="D5056" s="29"/>
      <c r="E5056" s="29"/>
      <c r="F5056" s="29"/>
      <c r="G5056" s="29"/>
      <c r="H5056" s="29"/>
      <c r="I5056" s="29"/>
      <c r="J5056" s="29"/>
      <c r="K5056" s="29"/>
      <c r="L5056" s="29"/>
      <c r="M5056" s="29"/>
      <c r="N5056" s="29"/>
      <c r="O5056" s="29"/>
      <c r="P5056" s="19"/>
      <c r="Q5056" s="19"/>
      <c r="R5056" s="11"/>
    </row>
    <row r="5057" s="1" customFormat="1" ht="21.95" customHeight="1" spans="1:18">
      <c r="A5057" s="7"/>
      <c r="B5057" s="12"/>
      <c r="C5057" s="75" t="str">
        <f>"SESSION-"&amp;ENTRY!$D$11</f>
        <v>SESSION-2026-27</v>
      </c>
      <c r="D5057" s="15"/>
      <c r="E5057" s="15"/>
      <c r="F5057" s="15"/>
      <c r="G5057" s="15"/>
      <c r="H5057" s="15"/>
      <c r="I5057" s="15"/>
      <c r="J5057" s="15"/>
      <c r="K5057" s="15"/>
      <c r="L5057" s="15"/>
      <c r="M5057" s="15"/>
      <c r="N5057" s="15"/>
      <c r="O5057" s="15"/>
      <c r="P5057" s="76"/>
      <c r="Q5057" s="19"/>
      <c r="R5057" s="11"/>
    </row>
    <row r="5058" s="1" customFormat="1" ht="18" customHeight="1" spans="1:18">
      <c r="A5058" s="7"/>
      <c r="B5058" s="12"/>
      <c r="C5058" s="33"/>
      <c r="D5058" s="29"/>
      <c r="E5058" s="29"/>
      <c r="F5058" s="29"/>
      <c r="G5058" s="29"/>
      <c r="H5058" s="29"/>
      <c r="I5058" s="29"/>
      <c r="J5058" s="29"/>
      <c r="K5058" s="29"/>
      <c r="L5058" s="29"/>
      <c r="M5058" s="29"/>
      <c r="N5058" s="29"/>
      <c r="O5058" s="29"/>
      <c r="P5058" s="19"/>
      <c r="Q5058" s="19"/>
      <c r="R5058" s="11"/>
    </row>
    <row r="5059" s="1" customFormat="1" ht="21.95" customHeight="1" spans="1:18">
      <c r="A5059" s="7"/>
      <c r="B5059" s="12"/>
      <c r="C5059" s="33"/>
      <c r="D5059" s="77" t="s">
        <v>758</v>
      </c>
      <c r="E5059" s="77"/>
      <c r="F5059" s="78" t="str">
        <f>IFERROR(PROPER(VLOOKUP(F5022,STUDENT!$A$2:$BP$101,5,0)),"")</f>
        <v/>
      </c>
      <c r="G5059" s="78"/>
      <c r="H5059" s="78"/>
      <c r="I5059" s="78"/>
      <c r="J5059" s="78"/>
      <c r="K5059" s="78"/>
      <c r="L5059" s="78"/>
      <c r="M5059" s="78"/>
      <c r="N5059" s="79" t="s">
        <v>759</v>
      </c>
      <c r="O5059" s="79"/>
      <c r="P5059" s="19"/>
      <c r="Q5059" s="19"/>
      <c r="R5059" s="11"/>
    </row>
    <row r="5060" s="1" customFormat="1" ht="21.95" customHeight="1" spans="1:18">
      <c r="A5060" s="7"/>
      <c r="B5060" s="12"/>
      <c r="C5060" s="33"/>
      <c r="D5060" s="80" t="s">
        <v>760</v>
      </c>
      <c r="E5060" s="81" t="str">
        <f>IFERROR(PROPER(VLOOKUP(F5022,STUDENT!$A$2:$BP$101,9,0)),"")</f>
        <v/>
      </c>
      <c r="F5060" s="81"/>
      <c r="G5060" s="81"/>
      <c r="H5060" s="80" t="s">
        <v>761</v>
      </c>
      <c r="I5060" s="82" t="str">
        <f>IFERROR(PROPER(VLOOKUP(F5022,STUDENT!$A$2:$BP$101,8,0)),"")</f>
        <v/>
      </c>
      <c r="J5060" s="82"/>
      <c r="K5060" s="82"/>
      <c r="L5060" s="82"/>
      <c r="M5060" s="80" t="s">
        <v>762</v>
      </c>
      <c r="N5060" s="83" t="str">
        <f>IFERROR(VLOOKUP(F5022,STUDENT!$A$2:$BP$101,59,0),"")</f>
        <v/>
      </c>
      <c r="O5060" s="83"/>
      <c r="P5060" s="19"/>
      <c r="Q5060" s="19"/>
      <c r="R5060" s="11"/>
    </row>
    <row r="5061" s="1" customFormat="1" ht="21.95" customHeight="1" spans="1:18">
      <c r="A5061" s="7"/>
      <c r="B5061" s="12"/>
      <c r="C5061" s="33"/>
      <c r="D5061" s="77" t="str">
        <f>"has    completed     his  /  her     primary     level     education    in    the    year    "&amp;RIGHT(ENTRY!$D5027,4)&amp;"    from    ( School    Name )"</f>
        <v>has    completed     his  /  her     primary     level     education    in    the    year        from    ( School    Name )</v>
      </c>
      <c r="E5061" s="77"/>
      <c r="F5061" s="77"/>
      <c r="G5061" s="77"/>
      <c r="H5061" s="77"/>
      <c r="I5061" s="77"/>
      <c r="J5061" s="77"/>
      <c r="K5061" s="77"/>
      <c r="L5061" s="77"/>
      <c r="M5061" s="77"/>
      <c r="N5061" s="77"/>
      <c r="O5061" s="77"/>
      <c r="P5061" s="19"/>
      <c r="Q5061" s="19"/>
      <c r="R5061" s="11"/>
    </row>
    <row r="5062" s="1" customFormat="1" ht="21.95" customHeight="1" spans="1:18">
      <c r="A5062" s="7"/>
      <c r="B5062" s="12"/>
      <c r="C5062" s="33"/>
      <c r="D5062" s="81" t="str">
        <f>IF(F5022&gt;0,ENTRY!$D$6,"")</f>
        <v>MCP NITHARI NO 1 BOYS</v>
      </c>
      <c r="E5062" s="81"/>
      <c r="F5062" s="81"/>
      <c r="G5062" s="81"/>
      <c r="H5062" s="81"/>
      <c r="I5062" s="81"/>
      <c r="J5062" s="81"/>
      <c r="K5062" s="81"/>
      <c r="L5062" s="81"/>
      <c r="M5062" s="80" t="s">
        <v>763</v>
      </c>
      <c r="N5062" s="84">
        <f>IF(F5022&gt;0,ENTRY!$D$7,"")</f>
        <v>0</v>
      </c>
      <c r="O5062" s="84"/>
      <c r="P5062" s="85" t="s">
        <v>727</v>
      </c>
      <c r="Q5062" s="19"/>
      <c r="R5062" s="11"/>
    </row>
    <row r="5063" s="1" customFormat="1" ht="21.95" customHeight="1" spans="1:18">
      <c r="A5063" s="7"/>
      <c r="B5063" s="12"/>
      <c r="C5063" s="33"/>
      <c r="D5063" s="29"/>
      <c r="E5063" s="29"/>
      <c r="F5063" s="29"/>
      <c r="G5063" s="29"/>
      <c r="H5063" s="29"/>
      <c r="I5063" s="29"/>
      <c r="J5063" s="29"/>
      <c r="K5063" s="29"/>
      <c r="L5063" s="29"/>
      <c r="M5063" s="29"/>
      <c r="N5063" s="29"/>
      <c r="O5063" s="29"/>
      <c r="P5063" s="19"/>
      <c r="Q5063" s="19"/>
      <c r="R5063" s="11"/>
    </row>
    <row r="5064" s="1" customFormat="1" ht="21.95" customHeight="1" spans="1:18">
      <c r="A5064" s="7"/>
      <c r="B5064" s="12"/>
      <c r="C5064" s="33"/>
      <c r="D5064" s="29"/>
      <c r="E5064" s="29"/>
      <c r="F5064" s="29"/>
      <c r="G5064" s="29"/>
      <c r="H5064" s="29"/>
      <c r="I5064" s="29"/>
      <c r="J5064" s="29"/>
      <c r="K5064" s="29"/>
      <c r="L5064" s="29"/>
      <c r="M5064" s="29"/>
      <c r="N5064" s="29"/>
      <c r="O5064" s="29"/>
      <c r="P5064" s="19"/>
      <c r="Q5064" s="19"/>
      <c r="R5064" s="11"/>
    </row>
    <row r="5065" s="1" customFormat="1" ht="21.95" customHeight="1" spans="1:18">
      <c r="A5065" s="7"/>
      <c r="B5065" s="12"/>
      <c r="C5065" s="33"/>
      <c r="D5065" s="29"/>
      <c r="E5065" s="29"/>
      <c r="F5065" s="29"/>
      <c r="G5065" s="29"/>
      <c r="H5065" s="29"/>
      <c r="I5065" s="29"/>
      <c r="J5065" s="29"/>
      <c r="K5065" s="29"/>
      <c r="L5065" s="29"/>
      <c r="M5065" s="29"/>
      <c r="N5065" s="29"/>
      <c r="O5065" s="29"/>
      <c r="P5065" s="19"/>
      <c r="Q5065" s="19"/>
      <c r="R5065" s="11"/>
    </row>
    <row r="5066" s="1" customFormat="1" ht="21.95" customHeight="1" spans="1:18">
      <c r="A5066" s="7"/>
      <c r="B5066" s="12"/>
      <c r="C5066" s="33"/>
      <c r="D5066" s="29"/>
      <c r="E5066" s="29"/>
      <c r="F5066" s="29"/>
      <c r="G5066" s="29"/>
      <c r="H5066" s="29"/>
      <c r="I5066" s="29"/>
      <c r="J5066" s="29"/>
      <c r="K5066" s="29"/>
      <c r="L5066" s="29"/>
      <c r="M5066" s="29"/>
      <c r="N5066" s="29"/>
      <c r="O5066" s="29"/>
      <c r="P5066" s="19"/>
      <c r="Q5066" s="19"/>
      <c r="R5066" s="11"/>
    </row>
    <row r="5067" s="1" customFormat="1" ht="21.95" customHeight="1" spans="1:18">
      <c r="A5067" s="7"/>
      <c r="B5067" s="12"/>
      <c r="C5067" s="33"/>
      <c r="D5067" s="29"/>
      <c r="E5067" s="29"/>
      <c r="F5067" s="29"/>
      <c r="G5067" s="29"/>
      <c r="H5067" s="29"/>
      <c r="I5067" s="29"/>
      <c r="J5067" s="29"/>
      <c r="K5067" s="29"/>
      <c r="L5067" s="29"/>
      <c r="M5067" s="29"/>
      <c r="N5067" s="29"/>
      <c r="O5067" s="29"/>
      <c r="P5067" s="19"/>
      <c r="Q5067" s="19"/>
      <c r="R5067" s="11"/>
    </row>
    <row r="5068" s="1" customFormat="1" ht="21.95" customHeight="1" spans="1:18">
      <c r="A5068" s="7"/>
      <c r="B5068" s="12"/>
      <c r="C5068" s="33"/>
      <c r="D5068" s="80" t="s">
        <v>728</v>
      </c>
      <c r="E5068" s="86">
        <f>ENTRY!$D$27</f>
        <v>46102</v>
      </c>
      <c r="F5068" s="86"/>
      <c r="G5068" s="29"/>
      <c r="H5068" s="29"/>
      <c r="I5068" s="29"/>
      <c r="J5068" s="29"/>
      <c r="K5068" s="29"/>
      <c r="L5068" s="29"/>
      <c r="M5068" s="87" t="s">
        <v>730</v>
      </c>
      <c r="N5068" s="87"/>
      <c r="O5068" s="87"/>
      <c r="P5068" s="19"/>
      <c r="Q5068" s="19"/>
      <c r="R5068" s="11"/>
    </row>
    <row r="5069" s="1" customFormat="1" ht="21.95" customHeight="1" spans="1:18">
      <c r="A5069" s="7"/>
      <c r="B5069" s="12"/>
      <c r="C5069" s="33"/>
      <c r="D5069" s="80" t="s">
        <v>731</v>
      </c>
      <c r="E5069" s="88" t="str">
        <f>PROPER(ENTRY!$D$28)</f>
        <v>New Delhi</v>
      </c>
      <c r="F5069" s="88"/>
      <c r="G5069" s="29"/>
      <c r="H5069" s="29"/>
      <c r="I5069" s="29"/>
      <c r="J5069" s="29"/>
      <c r="K5069" s="29"/>
      <c r="L5069" s="29"/>
      <c r="M5069" s="89" t="s">
        <v>732</v>
      </c>
      <c r="N5069" s="89"/>
      <c r="O5069" s="89"/>
      <c r="P5069" s="19"/>
      <c r="Q5069" s="19"/>
      <c r="R5069" s="11"/>
    </row>
    <row r="5070" s="1" customFormat="1" ht="21.95" customHeight="1" spans="1:18">
      <c r="A5070" s="7"/>
      <c r="B5070" s="12"/>
      <c r="C5070" s="90"/>
      <c r="D5070" s="91"/>
      <c r="E5070" s="91"/>
      <c r="F5070" s="91"/>
      <c r="G5070" s="91"/>
      <c r="H5070" s="91"/>
      <c r="I5070" s="91"/>
      <c r="J5070" s="91"/>
      <c r="K5070" s="91"/>
      <c r="L5070" s="91"/>
      <c r="M5070" s="91"/>
      <c r="N5070" s="91"/>
      <c r="O5070" s="91"/>
      <c r="P5070" s="92"/>
      <c r="Q5070" s="14"/>
      <c r="R5070" s="11"/>
    </row>
    <row r="5071" s="1" customFormat="1" ht="5.1" customHeight="1" spans="1:18">
      <c r="A5071" s="7"/>
      <c r="B5071" s="90"/>
      <c r="C5071" s="91"/>
      <c r="D5071" s="91"/>
      <c r="E5071" s="91"/>
      <c r="F5071" s="91"/>
      <c r="G5071" s="91"/>
      <c r="H5071" s="91"/>
      <c r="I5071" s="91"/>
      <c r="J5071" s="91"/>
      <c r="K5071" s="91"/>
      <c r="L5071" s="91"/>
      <c r="M5071" s="91"/>
      <c r="N5071" s="91"/>
      <c r="O5071" s="91"/>
      <c r="P5071" s="91"/>
      <c r="Q5071" s="92"/>
      <c r="R5071" s="11"/>
    </row>
    <row r="5072" s="1" customFormat="1" ht="5.1" customHeight="1" spans="1:18">
      <c r="A5072" s="93"/>
      <c r="B5072" s="94"/>
      <c r="C5072" s="94"/>
      <c r="D5072" s="94"/>
      <c r="E5072" s="94"/>
      <c r="F5072" s="94"/>
      <c r="G5072" s="94"/>
      <c r="H5072" s="94"/>
      <c r="I5072" s="94"/>
      <c r="J5072" s="94"/>
      <c r="K5072" s="94"/>
      <c r="L5072" s="94"/>
      <c r="M5072" s="94"/>
      <c r="N5072" s="94"/>
      <c r="O5072" s="94"/>
      <c r="P5072" s="94"/>
      <c r="Q5072" s="94"/>
      <c r="R5072" s="95"/>
    </row>
    <row r="5073" s="2" customFormat="1" ht="9.95" customHeight="1"/>
    <row r="5074" s="1" customFormat="1" ht="5.1" customHeight="1" spans="1:18">
      <c r="A5074" s="4"/>
      <c r="B5074" s="5"/>
      <c r="C5074" s="5"/>
      <c r="D5074" s="5"/>
      <c r="E5074" s="5"/>
      <c r="F5074" s="5"/>
      <c r="G5074" s="5"/>
      <c r="H5074" s="5"/>
      <c r="I5074" s="5"/>
      <c r="J5074" s="5"/>
      <c r="K5074" s="5"/>
      <c r="L5074" s="5"/>
      <c r="M5074" s="5"/>
      <c r="N5074" s="5"/>
      <c r="O5074" s="5"/>
      <c r="P5074" s="5"/>
      <c r="Q5074" s="5"/>
      <c r="R5074" s="6"/>
    </row>
    <row r="5075" s="1" customFormat="1" ht="15" customHeight="1" spans="1:18">
      <c r="A5075" s="7"/>
      <c r="B5075" s="8"/>
      <c r="C5075" s="9"/>
      <c r="D5075" s="9"/>
      <c r="E5075" s="9"/>
      <c r="F5075" s="9"/>
      <c r="G5075" s="9"/>
      <c r="H5075" s="9"/>
      <c r="I5075" s="9"/>
      <c r="J5075" s="9"/>
      <c r="K5075" s="9"/>
      <c r="L5075" s="9"/>
      <c r="M5075" s="9"/>
      <c r="N5075" s="9"/>
      <c r="O5075" s="9"/>
      <c r="P5075" s="9"/>
      <c r="Q5075" s="10"/>
      <c r="R5075" s="11"/>
    </row>
    <row r="5076" s="1" customFormat="1" ht="21.95" customHeight="1" spans="1:18">
      <c r="A5076" s="7"/>
      <c r="B5076" s="12"/>
      <c r="C5076" s="13" t="s">
        <v>7</v>
      </c>
      <c r="D5076" s="13"/>
      <c r="E5076" s="13"/>
      <c r="F5076" s="13"/>
      <c r="G5076" s="13"/>
      <c r="H5076" s="13"/>
      <c r="I5076" s="13"/>
      <c r="J5076" s="13"/>
      <c r="K5076" s="13"/>
      <c r="L5076" s="13"/>
      <c r="M5076" s="13"/>
      <c r="N5076" s="13"/>
      <c r="O5076" s="13"/>
      <c r="P5076" s="13"/>
      <c r="Q5076" s="14"/>
      <c r="R5076" s="11"/>
    </row>
    <row r="5077" s="1" customFormat="1" ht="21.95" customHeight="1" spans="1:18">
      <c r="A5077" s="7"/>
      <c r="B5077" s="1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14"/>
      <c r="R5077" s="11"/>
    </row>
    <row r="5078" s="1" customFormat="1" ht="21.95" customHeight="1" spans="1:18">
      <c r="A5078" s="7"/>
      <c r="B5078" s="12"/>
      <c r="C5078" s="15" t="str">
        <f>"SESSION-"&amp;ENTRY!$D$11</f>
        <v>SESSION-2026-27</v>
      </c>
      <c r="D5078" s="15"/>
      <c r="E5078" s="15"/>
      <c r="F5078" s="15"/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  <c r="Q5078" s="14"/>
      <c r="R5078" s="11"/>
    </row>
    <row r="5079" s="1" customFormat="1" ht="21.95" customHeight="1" spans="1:18">
      <c r="A5079" s="7"/>
      <c r="B5079" s="12"/>
      <c r="C5079" s="2"/>
      <c r="D5079" s="2"/>
      <c r="E5079" s="2"/>
      <c r="F5079" s="16">
        <f>F5022+1</f>
        <v>90</v>
      </c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14"/>
      <c r="R5079" s="11"/>
    </row>
    <row r="5080" s="1" customFormat="1" ht="21.95" customHeight="1" spans="1:18">
      <c r="A5080" s="7"/>
      <c r="B5080" s="12"/>
      <c r="C5080" s="17" t="s">
        <v>392</v>
      </c>
      <c r="D5080" s="17"/>
      <c r="E5080" s="17"/>
      <c r="F5080" s="18" t="str">
        <f>IF(F5079&gt;0,ENTRY!$D$6,"")</f>
        <v>MCP NITHARI NO 1 BOYS</v>
      </c>
      <c r="G5080" s="18"/>
      <c r="H5080" s="18"/>
      <c r="I5080" s="18"/>
      <c r="J5080" s="18"/>
      <c r="K5080" s="18"/>
      <c r="L5080" s="18"/>
      <c r="M5080" s="18"/>
      <c r="N5080" s="18"/>
      <c r="O5080" s="18"/>
      <c r="P5080" s="18"/>
      <c r="Q5080" s="19"/>
      <c r="R5080" s="11"/>
    </row>
    <row r="5081" s="1" customFormat="1" ht="21.95" customHeight="1" spans="1:18">
      <c r="A5081" s="7"/>
      <c r="B5081" s="12"/>
      <c r="C5081" s="17" t="s">
        <v>393</v>
      </c>
      <c r="D5081" s="17"/>
      <c r="E5081" s="17"/>
      <c r="F5081" s="18">
        <f>IF(F5079&gt;0,ENTRY!$D$7,"")</f>
        <v>0</v>
      </c>
      <c r="G5081" s="18"/>
      <c r="H5081" s="20" t="s">
        <v>702</v>
      </c>
      <c r="I5081" s="20"/>
      <c r="J5081" s="21">
        <f>IF(F5079&gt;0,ENTRY!$D$10,"")</f>
        <v>40</v>
      </c>
      <c r="K5081" s="20" t="s">
        <v>703</v>
      </c>
      <c r="L5081" s="22" t="str">
        <f>IF(F5079&gt;0,ENTRY!$D$5,"")</f>
        <v>ROHINI ZONE</v>
      </c>
      <c r="M5081" s="22"/>
      <c r="N5081" s="22"/>
      <c r="O5081" s="22"/>
      <c r="P5081" s="22"/>
      <c r="Q5081" s="19"/>
      <c r="R5081" s="11"/>
    </row>
    <row r="5082" s="1" customFormat="1" ht="21.95" customHeight="1" spans="1:18">
      <c r="A5082" s="7"/>
      <c r="B5082" s="12"/>
      <c r="C5082" s="17" t="s">
        <v>706</v>
      </c>
      <c r="D5082" s="17"/>
      <c r="E5082" s="17"/>
      <c r="F5082" s="23">
        <f>IFERROR(VLOOKUP(F5079,STUDENT!$A$2:$BP$101,5,0),"")</f>
        <v>0</v>
      </c>
      <c r="G5082" s="23"/>
      <c r="H5082" s="23"/>
      <c r="I5082" s="23"/>
      <c r="J5082" s="23"/>
      <c r="K5082" s="23"/>
      <c r="L5082" s="20" t="s">
        <v>707</v>
      </c>
      <c r="M5082" s="20"/>
      <c r="N5082" s="24" t="str">
        <f>IF(F5079&gt;0,ENTRY!$D$20&amp;"-"&amp;ENTRY!$D$21,"")</f>
        <v>III-A</v>
      </c>
      <c r="O5082" s="24"/>
      <c r="P5082" s="24"/>
      <c r="Q5082" s="19"/>
      <c r="R5082" s="11"/>
    </row>
    <row r="5083" s="1" customFormat="1" ht="21.95" customHeight="1" spans="1:18">
      <c r="A5083" s="7"/>
      <c r="B5083" s="12"/>
      <c r="C5083" s="17" t="s">
        <v>708</v>
      </c>
      <c r="D5083" s="17"/>
      <c r="E5083" s="17"/>
      <c r="F5083" s="25">
        <f>IFERROR(VLOOKUP(F5079,STUDENT!$A$2:$BP$101,6,0),"")</f>
        <v>0</v>
      </c>
      <c r="G5083" s="25"/>
      <c r="H5083" s="26" t="s">
        <v>709</v>
      </c>
      <c r="I5083" s="27" t="str">
        <f>IFERROR(VLOOKUP(F5079,STUDENT!$A$2:$BP$101,59,0),"")</f>
        <v/>
      </c>
      <c r="J5083" s="27"/>
      <c r="K5083" s="20" t="s">
        <v>710</v>
      </c>
      <c r="L5083" s="20"/>
      <c r="M5083" s="28">
        <f>IFERROR(VLOOKUP(F5079,STUDENT!$A$2:$BP$101,20,0),"")</f>
        <v>0</v>
      </c>
      <c r="N5083" s="28"/>
      <c r="O5083" s="28"/>
      <c r="P5083" s="28"/>
      <c r="Q5083" s="19"/>
      <c r="R5083" s="11"/>
    </row>
    <row r="5084" s="1" customFormat="1" ht="21.95" customHeight="1" spans="1:18">
      <c r="A5084" s="7"/>
      <c r="B5084" s="12"/>
      <c r="C5084" s="17" t="s">
        <v>711</v>
      </c>
      <c r="D5084" s="17"/>
      <c r="E5084" s="17"/>
      <c r="F5084" s="23">
        <f>IFERROR(VLOOKUP(F5079,STUDENT!$A$2:$BP$101,9,0),"")</f>
        <v>0</v>
      </c>
      <c r="G5084" s="23"/>
      <c r="H5084" s="23"/>
      <c r="I5084" s="23"/>
      <c r="J5084" s="17" t="s">
        <v>620</v>
      </c>
      <c r="K5084" s="17"/>
      <c r="L5084" s="23">
        <f>IFERROR(VLOOKUP(F5079,STUDENT!$A$2:$BP$101,8,0),"")</f>
        <v>0</v>
      </c>
      <c r="M5084" s="23"/>
      <c r="N5084" s="23"/>
      <c r="O5084" s="23"/>
      <c r="P5084" s="23"/>
      <c r="Q5084" s="19"/>
      <c r="R5084" s="11"/>
    </row>
    <row r="5085" s="1" customFormat="1" ht="21.95" customHeight="1" spans="1:18">
      <c r="A5085" s="7"/>
      <c r="B5085" s="12"/>
      <c r="C5085" s="17" t="s">
        <v>712</v>
      </c>
      <c r="D5085" s="17"/>
      <c r="E5085" s="17"/>
      <c r="F5085" s="23">
        <f>IFERROR(VLOOKUP(F5079,STUDENT!$A$2:$BP$101,22,0),"")</f>
        <v>0</v>
      </c>
      <c r="G5085" s="23"/>
      <c r="H5085" s="23"/>
      <c r="I5085" s="23"/>
      <c r="J5085" s="23"/>
      <c r="K5085" s="23"/>
      <c r="L5085" s="23"/>
      <c r="M5085" s="23"/>
      <c r="N5085" s="23"/>
      <c r="O5085" s="23"/>
      <c r="P5085" s="23"/>
      <c r="Q5085" s="19"/>
      <c r="R5085" s="11"/>
    </row>
    <row r="5086" s="1" customFormat="1" ht="9.95" customHeight="1" spans="1:18">
      <c r="A5086" s="7"/>
      <c r="B5086" s="12"/>
      <c r="C5086" s="29"/>
      <c r="D5086" s="29"/>
      <c r="E5086" s="29"/>
      <c r="F5086" s="29"/>
      <c r="G5086" s="29"/>
      <c r="H5086" s="29"/>
      <c r="I5086" s="29"/>
      <c r="J5086" s="29"/>
      <c r="K5086" s="29"/>
      <c r="L5086" s="29"/>
      <c r="M5086" s="29"/>
      <c r="N5086" s="29"/>
      <c r="O5086" s="29"/>
      <c r="P5086" s="29"/>
      <c r="Q5086" s="19"/>
      <c r="R5086" s="11"/>
    </row>
    <row r="5087" s="1" customFormat="1" ht="9.95" customHeight="1" spans="1:18">
      <c r="A5087" s="7"/>
      <c r="B5087" s="12"/>
      <c r="C5087" s="30"/>
      <c r="D5087" s="31"/>
      <c r="E5087" s="31"/>
      <c r="F5087" s="31"/>
      <c r="G5087" s="31"/>
      <c r="H5087" s="31"/>
      <c r="I5087" s="31"/>
      <c r="J5087" s="31"/>
      <c r="K5087" s="31"/>
      <c r="L5087" s="31"/>
      <c r="M5087" s="31"/>
      <c r="N5087" s="31"/>
      <c r="O5087" s="31"/>
      <c r="P5087" s="32"/>
      <c r="Q5087" s="19"/>
      <c r="R5087" s="11"/>
    </row>
    <row r="5088" s="1" customFormat="1" ht="21.95" customHeight="1" spans="1:18">
      <c r="A5088" s="7"/>
      <c r="B5088" s="12"/>
      <c r="C5088" s="33"/>
      <c r="D5088" s="34" t="s">
        <v>713</v>
      </c>
      <c r="E5088" s="20" t="s">
        <v>714</v>
      </c>
      <c r="F5088" s="35" t="str">
        <f>"Level - "&amp;IFERROR(VLOOKUP(F5079,FLN!$A$4:$K$103,9,0),"")</f>
        <v>Level - </v>
      </c>
      <c r="G5088" s="36"/>
      <c r="H5088" s="37" t="s">
        <v>715</v>
      </c>
      <c r="I5088" s="20"/>
      <c r="J5088" s="35" t="str">
        <f>"Level - "&amp;IFERROR(VLOOKUP(F5079,FLN!$A$4:$K$103,11,0),"")</f>
        <v>Level - </v>
      </c>
      <c r="K5088" s="36"/>
      <c r="L5088" s="37" t="s">
        <v>408</v>
      </c>
      <c r="M5088" s="20"/>
      <c r="N5088" s="35" t="str">
        <f>"Level - "&amp;IFERROR(VLOOKUP(F5079,FLN!$A$4:$K$103,10,0),"")</f>
        <v>Level - </v>
      </c>
      <c r="O5088" s="36"/>
      <c r="P5088" s="19"/>
      <c r="Q5088" s="19"/>
      <c r="R5088" s="11"/>
    </row>
    <row r="5089" s="1" customFormat="1" ht="21.95" customHeight="1" spans="1:18">
      <c r="A5089" s="7"/>
      <c r="B5089" s="12"/>
      <c r="C5089" s="33"/>
      <c r="D5089" s="38"/>
      <c r="E5089" s="20" t="s">
        <v>716</v>
      </c>
      <c r="F5089" s="18" t="str">
        <f ca="1">IF(L5103&gt;197,"PERFORMED WELL","")</f>
        <v/>
      </c>
      <c r="G5089" s="18"/>
      <c r="H5089" s="18"/>
      <c r="I5089" s="18"/>
      <c r="J5089" s="18"/>
      <c r="K5089" s="18"/>
      <c r="L5089" s="18"/>
      <c r="M5089" s="18"/>
      <c r="N5089" s="18"/>
      <c r="O5089" s="18"/>
      <c r="P5089" s="19"/>
      <c r="Q5089" s="19"/>
      <c r="R5089" s="11"/>
    </row>
    <row r="5090" s="1" customFormat="1" ht="9.95" customHeight="1" spans="1:18">
      <c r="A5090" s="7"/>
      <c r="B5090" s="12"/>
      <c r="C5090" s="39"/>
      <c r="D5090" s="40"/>
      <c r="E5090" s="40"/>
      <c r="F5090" s="40"/>
      <c r="G5090" s="40"/>
      <c r="H5090" s="40"/>
      <c r="I5090" s="40"/>
      <c r="J5090" s="40"/>
      <c r="K5090" s="40"/>
      <c r="L5090" s="40"/>
      <c r="M5090" s="40"/>
      <c r="N5090" s="40"/>
      <c r="O5090" s="40"/>
      <c r="P5090" s="41"/>
      <c r="Q5090" s="19"/>
      <c r="R5090" s="11"/>
    </row>
    <row r="5091" s="1" customFormat="1" ht="9.95" customHeight="1" spans="1:18">
      <c r="A5091" s="7"/>
      <c r="B5091" s="12"/>
      <c r="C5091" s="29"/>
      <c r="D5091" s="29"/>
      <c r="E5091" s="29"/>
      <c r="F5091" s="29"/>
      <c r="G5091" s="29"/>
      <c r="H5091" s="29"/>
      <c r="I5091" s="29"/>
      <c r="J5091" s="29"/>
      <c r="K5091" s="29"/>
      <c r="L5091" s="29"/>
      <c r="M5091" s="29"/>
      <c r="N5091" s="29"/>
      <c r="O5091" s="29"/>
      <c r="P5091" s="29"/>
      <c r="Q5091" s="19"/>
      <c r="R5091" s="11"/>
    </row>
    <row r="5092" s="1" customFormat="1" ht="9.95" customHeight="1" spans="1:18">
      <c r="A5092" s="7"/>
      <c r="B5092" s="12"/>
      <c r="C5092" s="30"/>
      <c r="D5092" s="31"/>
      <c r="E5092" s="31"/>
      <c r="F5092" s="31"/>
      <c r="G5092" s="31"/>
      <c r="H5092" s="31"/>
      <c r="I5092" s="31"/>
      <c r="J5092" s="31"/>
      <c r="K5092" s="31"/>
      <c r="L5092" s="31"/>
      <c r="M5092" s="31"/>
      <c r="N5092" s="31"/>
      <c r="O5092" s="31"/>
      <c r="P5092" s="32"/>
      <c r="Q5092" s="19"/>
      <c r="R5092" s="11"/>
    </row>
    <row r="5093" s="1" customFormat="1" ht="21.95" customHeight="1" spans="1:18">
      <c r="A5093" s="7"/>
      <c r="B5093" s="12"/>
      <c r="C5093" s="33"/>
      <c r="D5093" s="35"/>
      <c r="E5093" s="24"/>
      <c r="F5093" s="42" t="s">
        <v>717</v>
      </c>
      <c r="G5093" s="42"/>
      <c r="H5093" s="42"/>
      <c r="I5093" s="42"/>
      <c r="J5093" s="42"/>
      <c r="K5093" s="42"/>
      <c r="L5093" s="43"/>
      <c r="M5093" s="44"/>
      <c r="N5093" s="29"/>
      <c r="O5093" s="29"/>
      <c r="P5093" s="19"/>
      <c r="Q5093" s="19"/>
      <c r="R5093" s="11"/>
    </row>
    <row r="5094" s="1" customFormat="1" ht="21.95" customHeight="1" spans="1:18">
      <c r="A5094" s="7"/>
      <c r="B5094" s="12"/>
      <c r="C5094" s="33"/>
      <c r="D5094" s="45"/>
      <c r="E5094" s="46"/>
      <c r="F5094" s="47" t="s">
        <v>541</v>
      </c>
      <c r="G5094" s="47" t="s">
        <v>542</v>
      </c>
      <c r="H5094" s="47" t="s">
        <v>543</v>
      </c>
      <c r="I5094" s="47" t="s">
        <v>544</v>
      </c>
      <c r="J5094" s="47" t="s">
        <v>561</v>
      </c>
      <c r="K5094" s="48" t="s">
        <v>750</v>
      </c>
      <c r="L5094" s="47" t="s">
        <v>382</v>
      </c>
      <c r="M5094" s="49" t="s">
        <v>546</v>
      </c>
      <c r="N5094" s="29"/>
      <c r="O5094" s="29"/>
      <c r="P5094" s="19"/>
      <c r="Q5094" s="19"/>
      <c r="R5094" s="11"/>
    </row>
    <row r="5095" s="1" customFormat="1" ht="21.95" customHeight="1" spans="1:18">
      <c r="A5095" s="7"/>
      <c r="B5095" s="12"/>
      <c r="C5095" s="33"/>
      <c r="D5095" s="45" t="s">
        <v>652</v>
      </c>
      <c r="E5095" s="46"/>
      <c r="F5095" s="50">
        <v>10</v>
      </c>
      <c r="G5095" s="50">
        <v>10</v>
      </c>
      <c r="H5095" s="50">
        <v>10</v>
      </c>
      <c r="I5095" s="50">
        <v>10</v>
      </c>
      <c r="J5095" s="50">
        <v>60</v>
      </c>
      <c r="K5095" s="51"/>
      <c r="L5095" s="50">
        <v>100</v>
      </c>
      <c r="M5095" s="49"/>
      <c r="N5095" s="29"/>
      <c r="O5095" s="29"/>
      <c r="P5095" s="19"/>
      <c r="Q5095" s="19"/>
      <c r="R5095" s="11"/>
    </row>
    <row r="5096" s="1" customFormat="1" ht="21.95" customHeight="1" spans="1:18">
      <c r="A5096" s="7"/>
      <c r="B5096" s="12"/>
      <c r="C5096" s="33"/>
      <c r="D5096" s="52" t="s">
        <v>751</v>
      </c>
      <c r="E5096" s="53"/>
      <c r="F5096" s="54" t="str">
        <f ca="1">IFERROR(VLOOKUP(F5079,'RR-3.1-5TH'!$A$12:'RR-3.1-5TH'!$BN$111,9,0),"")</f>
        <v/>
      </c>
      <c r="G5096" s="54" t="str">
        <f ca="1">IFERROR(VLOOKUP(F5079,'RR-3.1-5TH'!$A$12:'RR-3.1-5TH'!$BN$111,10,0),"")</f>
        <v/>
      </c>
      <c r="H5096" s="54" t="str">
        <f ca="1">IFERROR(VLOOKUP(F5079,'RR-3.1-5TH'!$A$12:'RR-3.1-5TH'!$BN$111,11,0),"")</f>
        <v/>
      </c>
      <c r="I5096" s="54" t="str">
        <f ca="1">IFERROR(VLOOKUP(F5079,'RR-3.1-5TH'!$A$12:'RR-3.1-5TH'!$BN$111,12,0),"")</f>
        <v/>
      </c>
      <c r="J5096" s="54" t="str">
        <f ca="1">IFERROR(VLOOKUP(F5079,'RR-3.1-5TH'!$A$12:'RR-3.1-5TH'!$BN$111,13,0),"")</f>
        <v/>
      </c>
      <c r="K5096" s="54" t="str">
        <f ca="1">IFERROR(VLOOKUP(F5079,'RR-3.1-5TH'!$A$12:'RR-3.1-5TH'!$BN$111,14,0),"")</f>
        <v/>
      </c>
      <c r="L5096" s="55">
        <f ca="1" t="shared" ref="L5096:L5101" si="267">SUM(F5096,G5096,H5096,I5096,J5096,K5096)</f>
        <v>0</v>
      </c>
      <c r="M5096" s="56" t="str">
        <f ca="1">IF(F5079&gt;ENTRY!$D$24,"",IF(L5096=0,"Ab",IF(L5096&gt;80,"A",IF(L5096&gt;60,"B",IF(L5096&gt;44,"C",IF(L5096&gt;=33,"D",IF(L5096&lt;=32,"E","")))))))</f>
        <v/>
      </c>
      <c r="N5096" s="57" t="s">
        <v>729</v>
      </c>
      <c r="O5096" s="58"/>
      <c r="P5096" s="59"/>
      <c r="Q5096" s="19"/>
      <c r="R5096" s="11"/>
    </row>
    <row r="5097" s="1" customFormat="1" ht="21.95" customHeight="1" spans="1:18">
      <c r="A5097" s="7"/>
      <c r="B5097" s="12"/>
      <c r="C5097" s="33"/>
      <c r="D5097" s="52" t="s">
        <v>513</v>
      </c>
      <c r="E5097" s="53"/>
      <c r="F5097" s="54" t="str">
        <f ca="1">IFERROR(VLOOKUP(F5079,'RR-3.1-5TH'!$A$12:'RR-3.1-5TH'!$BN$111,17,0),"")</f>
        <v/>
      </c>
      <c r="G5097" s="54" t="str">
        <f ca="1">IFERROR(VLOOKUP(F5079,'RR-3.1-5TH'!$A$12:'RR-3.1-5TH'!$BN$111,18,0),"")</f>
        <v/>
      </c>
      <c r="H5097" s="54" t="str">
        <f ca="1">IFERROR(VLOOKUP(F5079,'RR-3.1-5TH'!$A$12:'RR-3.1-5TH'!$BN$111,19,0),"")</f>
        <v/>
      </c>
      <c r="I5097" s="54" t="str">
        <f ca="1">IFERROR(VLOOKUP(F5079,'RR-3.1-5TH'!$A$12:'RR-3.1-5TH'!$BN$111,20,0),"")</f>
        <v/>
      </c>
      <c r="J5097" s="54" t="str">
        <f ca="1">IFERROR(VLOOKUP(F5079,'RR-3.1-5TH'!$A$12:'RR-3.1-5TH'!$BN$111,21,0),"")</f>
        <v/>
      </c>
      <c r="K5097" s="54" t="str">
        <f ca="1">IFERROR(VLOOKUP(F5079,'RR-3.1-5TH'!$A$12:'RR-3.1-5TH'!$BN$111,22,0),"")</f>
        <v/>
      </c>
      <c r="L5097" s="55">
        <f ca="1" t="shared" si="267"/>
        <v>0</v>
      </c>
      <c r="M5097" s="56" t="str">
        <f ca="1">IF(F5079&gt;ENTRY!$D$24,"",IF(L5097=0,"Ab",IF(L5097&gt;80,"A",IF(L5097&gt;60,"B",IF(L5097&gt;44,"C",IF(L5097&gt;=33,"D",IF(L5097&lt;=32,"E","")))))))</f>
        <v/>
      </c>
      <c r="N5097" s="58"/>
      <c r="O5097" s="58"/>
      <c r="P5097" s="59"/>
      <c r="Q5097" s="19"/>
      <c r="R5097" s="11"/>
    </row>
    <row r="5098" s="1" customFormat="1" ht="21.95" customHeight="1" spans="1:18">
      <c r="A5098" s="7"/>
      <c r="B5098" s="12"/>
      <c r="C5098" s="33"/>
      <c r="D5098" s="52" t="s">
        <v>718</v>
      </c>
      <c r="E5098" s="53"/>
      <c r="F5098" s="54" t="str">
        <f ca="1">IFERROR(VLOOKUP(F5079,'RR-3.1-5TH'!$A$12:'RR-3.1-5TH'!$BN$111,25,0),"")</f>
        <v/>
      </c>
      <c r="G5098" s="54" t="str">
        <f ca="1">IFERROR(VLOOKUP(F5079,'RR-3.1-5TH'!$A$12:'RR-3.1-5TH'!$BN$111,26,0),"")</f>
        <v/>
      </c>
      <c r="H5098" s="54" t="str">
        <f ca="1">IFERROR(VLOOKUP(F5079,'RR-3.1-5TH'!$A$12:'RR-3.1-5TH'!$BN$111,27,0),"")</f>
        <v/>
      </c>
      <c r="I5098" s="54" t="str">
        <f ca="1">IFERROR(VLOOKUP(F5079,'RR-3.1-5TH'!$A$12:'RR-3.1-5TH'!$BN$111,28,0),"")</f>
        <v/>
      </c>
      <c r="J5098" s="54" t="str">
        <f ca="1">IFERROR(VLOOKUP(F5079,'RR-3.1-5TH'!$A$12:'RR-3.1-5TH'!$BN$111,29,0),"")</f>
        <v/>
      </c>
      <c r="K5098" s="54" t="str">
        <f ca="1">IFERROR(VLOOKUP(F5079,'RR-3.1-5TH'!$A$12:'RR-3.1-5TH'!$BN$111,30,0),"")</f>
        <v/>
      </c>
      <c r="L5098" s="55">
        <f ca="1" t="shared" si="267"/>
        <v>0</v>
      </c>
      <c r="M5098" s="56" t="str">
        <f ca="1">IF(F5079&gt;ENTRY!$D$24,"",IF(L5098=0,"Ab",IF(L5098&gt;80,"A",IF(L5098&gt;60,"B",IF(L5098&gt;44,"C",IF(L5098&gt;=33,"D",IF(L5098&lt;=32,"E","")))))))</f>
        <v/>
      </c>
      <c r="N5098" s="29"/>
      <c r="O5098" s="29"/>
      <c r="P5098" s="19"/>
      <c r="Q5098" s="19"/>
      <c r="R5098" s="11"/>
    </row>
    <row r="5099" s="1" customFormat="1" ht="21.95" customHeight="1" spans="1:18">
      <c r="A5099" s="7"/>
      <c r="B5099" s="12"/>
      <c r="C5099" s="33"/>
      <c r="D5099" s="52" t="s">
        <v>719</v>
      </c>
      <c r="E5099" s="53"/>
      <c r="F5099" s="54" t="str">
        <f ca="1">IFERROR(VLOOKUP(F5079,'RR-3.1-5TH'!$A$12:'RR-3.1-5TH'!$BN$111,33,0),"")</f>
        <v/>
      </c>
      <c r="G5099" s="54" t="str">
        <f ca="1">IFERROR(VLOOKUP(F5079,'RR-3.1-5TH'!$A$12:'RR-3.1-5TH'!$BN$111,34,0),"")</f>
        <v/>
      </c>
      <c r="H5099" s="54" t="str">
        <f ca="1">IFERROR(VLOOKUP(F5079,'RR-3.1-5TH'!$A$12:'RR-3.1-5TH'!$BN$111,35,0),"")</f>
        <v/>
      </c>
      <c r="I5099" s="54" t="str">
        <f ca="1">IFERROR(VLOOKUP(F5079,'RR-3.1-5TH'!$A$12:'RR-3.1-5TH'!$BN$111,36,0),"")</f>
        <v/>
      </c>
      <c r="J5099" s="54" t="str">
        <f ca="1">IFERROR(VLOOKUP(F5079,'RR-3.1-5TH'!$A$12:'RR-3.1-5TH'!$BN$111,37,0),"")</f>
        <v/>
      </c>
      <c r="K5099" s="54" t="str">
        <f ca="1">IFERROR(VLOOKUP(F5079,'RR-3.1-5TH'!$A$12:'RR-3.1-5TH'!$BN$111,38,0),"")</f>
        <v/>
      </c>
      <c r="L5099" s="55">
        <f ca="1" t="shared" si="267"/>
        <v>0</v>
      </c>
      <c r="M5099" s="56" t="str">
        <f ca="1">IF(F5079&gt;ENTRY!$D$24,"",IF(L5099=0,"Ab",IF(L5099&gt;80,"A",IF(L5099&gt;60,"B",IF(L5099&gt;44,"C",IF(L5099&gt;=33,"D",IF(L5099&lt;=32,"E","")))))))</f>
        <v/>
      </c>
      <c r="N5099" s="29"/>
      <c r="O5099" s="29"/>
      <c r="P5099" s="19"/>
      <c r="Q5099" s="19"/>
      <c r="R5099" s="11"/>
    </row>
    <row r="5100" s="1" customFormat="1" ht="21.95" customHeight="1" spans="1:18">
      <c r="A5100" s="7"/>
      <c r="B5100" s="12"/>
      <c r="C5100" s="33"/>
      <c r="D5100" s="52" t="s">
        <v>548</v>
      </c>
      <c r="E5100" s="53"/>
      <c r="F5100" s="54" t="str">
        <f ca="1">IFERROR(VLOOKUP(F5079,'RR-3.1-5TH'!$A$12:'RR-3.1-5TH'!$BN$111,41,0),"")</f>
        <v/>
      </c>
      <c r="G5100" s="54" t="str">
        <f ca="1">IFERROR(VLOOKUP(F5079,'RR-3.1-5TH'!$A$12:'RR-3.1-5TH'!$BN$111,42,0),"")</f>
        <v/>
      </c>
      <c r="H5100" s="54" t="str">
        <f ca="1">IFERROR(VLOOKUP(F5079,'RR-3.1-5TH'!$A$12:'RR-3.1-5TH'!$BN$111,43,0),"")</f>
        <v/>
      </c>
      <c r="I5100" s="54" t="str">
        <f ca="1">IFERROR(VLOOKUP(F5079,'RR-3.1-5TH'!$A$12:'RR-3.1-5TH'!$BN$111,44,0),"")</f>
        <v/>
      </c>
      <c r="J5100" s="54" t="str">
        <f ca="1">IFERROR(VLOOKUP(F5079,'RR-3.1-5TH'!$A$12:'RR-3.1-5TH'!$BN$111,45,0),"")</f>
        <v/>
      </c>
      <c r="K5100" s="54" t="str">
        <f ca="1">IFERROR(VLOOKUP(F5079,'RR-3.1-5TH'!$A$12:'RR-3.1-5TH'!$BN$111,46,0),"")</f>
        <v/>
      </c>
      <c r="L5100" s="55">
        <f ca="1" t="shared" si="267"/>
        <v>0</v>
      </c>
      <c r="M5100" s="56" t="str">
        <f ca="1">IF(F5079&gt;ENTRY!$D$24,"",IF(L5100=0,"Ab",IF(L5100&gt;80,"A",IF(L5100&gt;60,"B",IF(L5100&gt;44,"C",IF(L5100&gt;=33,"D",IF(L5100&lt;=32,"E","")))))))</f>
        <v/>
      </c>
      <c r="N5100" s="29"/>
      <c r="O5100" s="29"/>
      <c r="P5100" s="19"/>
      <c r="Q5100" s="19"/>
      <c r="R5100" s="11"/>
    </row>
    <row r="5101" s="1" customFormat="1" ht="21.95" customHeight="1" spans="1:18">
      <c r="A5101" s="7"/>
      <c r="B5101" s="12"/>
      <c r="C5101" s="33"/>
      <c r="D5101" s="52" t="s">
        <v>549</v>
      </c>
      <c r="E5101" s="53"/>
      <c r="F5101" s="54" t="str">
        <f ca="1">IFERROR(VLOOKUP(F5079,'RR-3.1-5TH'!$A$12:'RR-3.1-5TH'!$BN$111,49,0),"")</f>
        <v/>
      </c>
      <c r="G5101" s="54" t="str">
        <f ca="1">IFERROR(VLOOKUP(F5079,'RR-3.1-5TH'!$A$12:'RR-3.1-5TH'!$BN$111,50,0),"")</f>
        <v/>
      </c>
      <c r="H5101" s="54" t="str">
        <f ca="1">IFERROR(VLOOKUP(F5079,'RR-3.1-5TH'!$A$12:'RR-3.1-5TH'!$BN$111,51,0),"")</f>
        <v/>
      </c>
      <c r="I5101" s="54" t="str">
        <f ca="1">IFERROR(VLOOKUP(F5079,'RR-3.1-5TH'!$A$12:'RR-3.1-5TH'!$BN$111,52,0),"")</f>
        <v/>
      </c>
      <c r="J5101" s="54" t="str">
        <f ca="1">IFERROR(VLOOKUP(F5079,'RR-3.1-5TH'!$A$12:'RR-3.1-5TH'!$BN$111,53,0),"")</f>
        <v/>
      </c>
      <c r="K5101" s="54" t="str">
        <f ca="1">IFERROR(VLOOKUP(F5079,'RR-3.1-5TH'!$A$12:'RR-3.1-5TH'!$BN$111,54,0),"")</f>
        <v/>
      </c>
      <c r="L5101" s="55">
        <f ca="1" t="shared" si="267"/>
        <v>0</v>
      </c>
      <c r="M5101" s="56" t="str">
        <f ca="1">IF(F5079&gt;ENTRY!$D$24,"",IF(L5101=0,"Ab",IF(L5101&gt;80,"A",IF(L5101&gt;60,"B",IF(L5101&gt;44,"C",IF(L5101&gt;=33,"D",IF(L5101&lt;=32,"E","")))))))</f>
        <v/>
      </c>
      <c r="N5101" s="57" t="s">
        <v>752</v>
      </c>
      <c r="O5101" s="58"/>
      <c r="P5101" s="59"/>
      <c r="Q5101" s="19"/>
      <c r="R5101" s="11"/>
    </row>
    <row r="5102" s="1" customFormat="1" ht="21.95" customHeight="1" spans="1:18">
      <c r="A5102" s="7"/>
      <c r="B5102" s="12"/>
      <c r="C5102" s="33"/>
      <c r="D5102" s="52" t="s">
        <v>753</v>
      </c>
      <c r="E5102" s="53"/>
      <c r="F5102" s="60"/>
      <c r="G5102" s="54"/>
      <c r="H5102" s="54"/>
      <c r="I5102" s="54"/>
      <c r="J5102" s="54"/>
      <c r="K5102" s="54"/>
      <c r="L5102" s="55">
        <f t="shared" ref="L5102" si="268">SUM(G5102:K5102)</f>
        <v>0</v>
      </c>
      <c r="M5102" s="56" t="str">
        <f>IF(F5079&gt;ENTRY!$D$24,"",IF(L5102=0,"",IF(L5102&gt;79,"A",IF(L5102&gt;59,"B",IF(L5102&gt;44,"C",IF(L5102&gt;=33,"D",IF(L5102&lt;=32,"E","")))))))</f>
        <v/>
      </c>
      <c r="N5102" s="58"/>
      <c r="O5102" s="58"/>
      <c r="P5102" s="59"/>
      <c r="Q5102" s="19"/>
      <c r="R5102" s="11"/>
    </row>
    <row r="5103" s="1" customFormat="1" ht="21.95" customHeight="1" spans="1:18">
      <c r="A5103" s="7"/>
      <c r="B5103" s="12"/>
      <c r="C5103" s="33"/>
      <c r="D5103" s="45" t="s">
        <v>382</v>
      </c>
      <c r="E5103" s="46"/>
      <c r="F5103" s="54">
        <f ca="1" t="shared" ref="F5103:L5103" si="269">IFERROR(SUM(F5096:F5102),"")</f>
        <v>0</v>
      </c>
      <c r="G5103" s="54">
        <f ca="1" t="shared" si="269"/>
        <v>0</v>
      </c>
      <c r="H5103" s="54">
        <f ca="1" t="shared" si="269"/>
        <v>0</v>
      </c>
      <c r="I5103" s="54">
        <f ca="1" t="shared" si="269"/>
        <v>0</v>
      </c>
      <c r="J5103" s="54">
        <f ca="1" t="shared" si="269"/>
        <v>0</v>
      </c>
      <c r="K5103" s="54">
        <f ca="1" t="shared" si="269"/>
        <v>0</v>
      </c>
      <c r="L5103" s="55">
        <f ca="1" t="shared" si="269"/>
        <v>0</v>
      </c>
      <c r="M5103" s="61" t="str">
        <f ca="1">IF(F5079&gt;ENTRY!$D$24,"",IF(N5104="Ab","Ab",IF(N5104&gt;79.5,"A",IF(N5104&gt;59.5,"B",IF(N5104&gt;44.5,"C",IF(N5104&gt;=33,"D",IF(N5104&lt;33,"E","")))))))</f>
        <v/>
      </c>
      <c r="N5103" s="62"/>
      <c r="O5103" s="58"/>
      <c r="P5103" s="59"/>
      <c r="Q5103" s="19"/>
      <c r="R5103" s="11"/>
    </row>
    <row r="5104" s="1" customFormat="1" ht="21.95" customHeight="1" spans="1:18">
      <c r="A5104" s="7"/>
      <c r="B5104" s="12"/>
      <c r="C5104" s="33"/>
      <c r="D5104" s="63" t="s">
        <v>721</v>
      </c>
      <c r="E5104" s="63"/>
      <c r="F5104" s="63"/>
      <c r="G5104" s="63"/>
      <c r="H5104" s="63"/>
      <c r="I5104" s="63"/>
      <c r="J5104" s="63"/>
      <c r="K5104" s="63"/>
      <c r="L5104" s="63"/>
      <c r="M5104" s="63"/>
      <c r="N5104" s="64">
        <f ca="1">IF(L5103="Ab","Ab",L5103/6)</f>
        <v>0</v>
      </c>
      <c r="O5104" s="65"/>
      <c r="P5104" s="19"/>
      <c r="Q5104" s="19"/>
      <c r="R5104" s="11"/>
    </row>
    <row r="5105" s="1" customFormat="1" ht="21.95" customHeight="1" spans="1:19">
      <c r="A5105" s="7"/>
      <c r="B5105" s="12"/>
      <c r="C5105" s="33"/>
      <c r="D5105" s="29" t="s">
        <v>716</v>
      </c>
      <c r="E5105" s="18" t="str">
        <f>IFERROR(VLOOKUP(F5079,'1to4-2.1-RR'!$A$12:$BG$111,57,0),"")</f>
        <v/>
      </c>
      <c r="F5105" s="18"/>
      <c r="G5105" s="18"/>
      <c r="H5105" s="18"/>
      <c r="I5105" s="18"/>
      <c r="J5105" s="18"/>
      <c r="K5105" s="18"/>
      <c r="L5105" s="18"/>
      <c r="M5105" s="18"/>
      <c r="N5105" s="29"/>
      <c r="O5105" s="29"/>
      <c r="P5105" s="19"/>
      <c r="Q5105" s="19"/>
      <c r="R5105" s="11"/>
    </row>
    <row r="5106" s="1" customFormat="1" ht="9.95" customHeight="1" spans="1:19">
      <c r="A5106" s="7"/>
      <c r="B5106" s="12"/>
      <c r="C5106" s="33"/>
      <c r="D5106" s="29"/>
      <c r="E5106" s="29"/>
      <c r="F5106" s="29"/>
      <c r="G5106" s="29"/>
      <c r="H5106" s="29"/>
      <c r="I5106" s="29"/>
      <c r="J5106" s="29"/>
      <c r="K5106" s="29"/>
      <c r="L5106" s="29"/>
      <c r="M5106" s="29"/>
      <c r="N5106" s="29"/>
      <c r="O5106" s="29"/>
      <c r="P5106" s="19"/>
      <c r="Q5106" s="19"/>
      <c r="R5106" s="11"/>
    </row>
    <row r="5107" s="1" customFormat="1" ht="36" spans="1:19">
      <c r="A5107" s="7"/>
      <c r="B5107" s="12"/>
      <c r="C5107" s="33"/>
      <c r="D5107" s="66" t="s">
        <v>576</v>
      </c>
      <c r="E5107" s="67" t="s">
        <v>754</v>
      </c>
      <c r="F5107" s="47" t="str">
        <f>IF(F5079&gt;ENTRY!$D$24,"",IFERROR(VLOOKUP(F5079,PASHEET!$A$4:$CJ$103,88,0),""))</f>
        <v/>
      </c>
      <c r="G5107" s="67" t="s">
        <v>755</v>
      </c>
      <c r="H5107" s="47" t="str">
        <f>IF(F5079&gt;ENTRY!$D$24,"",IFERROR(VLOOKUP(F5079,PASHEET!$A$4:$CJ$103,87,0),""))</f>
        <v/>
      </c>
      <c r="I5107" s="68" t="s">
        <v>756</v>
      </c>
      <c r="J5107" s="69" t="str">
        <f>IF(F5079&gt;ENTRY!$D$24,"",IFERROR(IF(F5079&gt;0,H5107/F5107*100),""))</f>
        <v/>
      </c>
      <c r="K5107" s="60" t="s">
        <v>757</v>
      </c>
      <c r="L5107" s="70" t="str">
        <f ca="1">IF(F5079&gt;ENTRY!$D$24,"",IFERROR(L5103/600*100,""))</f>
        <v/>
      </c>
      <c r="M5107" s="47" t="str">
        <f ca="1">IF(F5079&gt;ENTRY!$D$24,"",IFERROR(L5103&amp;" / "&amp;"600",""))</f>
        <v/>
      </c>
      <c r="N5107" s="29"/>
      <c r="O5107" s="29"/>
      <c r="P5107" s="19"/>
      <c r="Q5107" s="19"/>
      <c r="R5107" s="11"/>
    </row>
    <row r="5108" s="1" customFormat="1" ht="9.95" customHeight="1" spans="1:19">
      <c r="A5108" s="7"/>
      <c r="B5108" s="12"/>
      <c r="C5108" s="39"/>
      <c r="D5108" s="40"/>
      <c r="E5108" s="40"/>
      <c r="F5108" s="40"/>
      <c r="G5108" s="40"/>
      <c r="H5108" s="40"/>
      <c r="I5108" s="40"/>
      <c r="J5108" s="40"/>
      <c r="K5108" s="40"/>
      <c r="L5108" s="40"/>
      <c r="M5108" s="40"/>
      <c r="N5108" s="40"/>
      <c r="O5108" s="40"/>
      <c r="P5108" s="41"/>
      <c r="Q5108" s="19"/>
      <c r="R5108" s="11"/>
    </row>
    <row r="5109" s="1" customFormat="1" ht="9.95" customHeight="1" spans="1:19">
      <c r="A5109" s="7"/>
      <c r="B5109" s="12"/>
      <c r="C5109" s="71"/>
      <c r="D5109" s="71"/>
      <c r="E5109" s="71"/>
      <c r="F5109" s="29"/>
      <c r="G5109" s="71"/>
      <c r="H5109" s="71"/>
      <c r="I5109" s="71"/>
      <c r="J5109" s="71"/>
      <c r="K5109" s="71"/>
      <c r="L5109" s="71"/>
      <c r="M5109" s="71"/>
      <c r="N5109" s="71"/>
      <c r="O5109" s="71"/>
      <c r="P5109" s="71"/>
      <c r="Q5109" s="19"/>
      <c r="R5109" s="11"/>
    </row>
    <row r="5110" s="1" customFormat="1" ht="9.95" customHeight="1" spans="1:19">
      <c r="A5110" s="7"/>
      <c r="B5110" s="12"/>
      <c r="C5110" s="29"/>
      <c r="D5110" s="29"/>
      <c r="E5110" s="29"/>
      <c r="F5110" s="72"/>
      <c r="G5110" s="29"/>
      <c r="H5110" s="29"/>
      <c r="I5110" s="29"/>
      <c r="J5110" s="29"/>
      <c r="K5110" s="29"/>
      <c r="L5110" s="29"/>
      <c r="M5110" s="29"/>
      <c r="N5110" s="29"/>
      <c r="O5110" s="29"/>
      <c r="P5110" s="29"/>
      <c r="Q5110" s="19"/>
      <c r="R5110" s="11"/>
    </row>
    <row r="5111" s="1" customFormat="1" ht="9.95" customHeight="1" spans="1:19">
      <c r="A5111" s="7"/>
      <c r="B5111" s="12"/>
      <c r="C5111" s="30"/>
      <c r="D5111" s="31"/>
      <c r="E5111" s="31"/>
      <c r="F5111" s="31"/>
      <c r="G5111" s="31"/>
      <c r="H5111" s="31"/>
      <c r="I5111" s="31"/>
      <c r="J5111" s="31"/>
      <c r="K5111" s="31"/>
      <c r="L5111" s="31"/>
      <c r="M5111" s="31"/>
      <c r="N5111" s="31"/>
      <c r="O5111" s="31"/>
      <c r="P5111" s="32"/>
      <c r="Q5111" s="19"/>
      <c r="R5111" s="11"/>
    </row>
    <row r="5112" s="1" customFormat="1" ht="21.95" customHeight="1" spans="1:19">
      <c r="A5112" s="7"/>
      <c r="B5112" s="12"/>
      <c r="C5112" s="73" t="s">
        <v>7</v>
      </c>
      <c r="D5112" s="13"/>
      <c r="E5112" s="13"/>
      <c r="F5112" s="13"/>
      <c r="G5112" s="13"/>
      <c r="H5112" s="13"/>
      <c r="I5112" s="13"/>
      <c r="J5112" s="13"/>
      <c r="K5112" s="13"/>
      <c r="L5112" s="13"/>
      <c r="M5112" s="13"/>
      <c r="N5112" s="13"/>
      <c r="O5112" s="13"/>
      <c r="P5112" s="74"/>
      <c r="Q5112" s="19"/>
      <c r="R5112" s="11"/>
      <c r="S5112" s="2"/>
    </row>
    <row r="5113" s="1" customFormat="1" ht="21.95" customHeight="1" spans="1:19">
      <c r="A5113" s="7"/>
      <c r="B5113" s="12"/>
      <c r="C5113" s="33"/>
      <c r="D5113" s="29"/>
      <c r="E5113" s="29"/>
      <c r="F5113" s="29"/>
      <c r="G5113" s="29"/>
      <c r="H5113" s="29"/>
      <c r="I5113" s="29"/>
      <c r="J5113" s="29"/>
      <c r="K5113" s="29"/>
      <c r="L5113" s="29"/>
      <c r="M5113" s="29"/>
      <c r="N5113" s="29"/>
      <c r="O5113" s="29"/>
      <c r="P5113" s="19"/>
      <c r="Q5113" s="19"/>
      <c r="R5113" s="11"/>
    </row>
    <row r="5114" s="1" customFormat="1" ht="21.95" customHeight="1" spans="1:19">
      <c r="A5114" s="7"/>
      <c r="B5114" s="12"/>
      <c r="C5114" s="75" t="str">
        <f>"SESSION-"&amp;ENTRY!$D$11</f>
        <v>SESSION-2026-27</v>
      </c>
      <c r="D5114" s="15"/>
      <c r="E5114" s="15"/>
      <c r="F5114" s="15"/>
      <c r="G5114" s="15"/>
      <c r="H5114" s="15"/>
      <c r="I5114" s="15"/>
      <c r="J5114" s="15"/>
      <c r="K5114" s="15"/>
      <c r="L5114" s="15"/>
      <c r="M5114" s="15"/>
      <c r="N5114" s="15"/>
      <c r="O5114" s="15"/>
      <c r="P5114" s="76"/>
      <c r="Q5114" s="19"/>
      <c r="R5114" s="11"/>
    </row>
    <row r="5115" s="1" customFormat="1" ht="18" customHeight="1" spans="1:19">
      <c r="A5115" s="7"/>
      <c r="B5115" s="12"/>
      <c r="C5115" s="33"/>
      <c r="D5115" s="29"/>
      <c r="E5115" s="29"/>
      <c r="F5115" s="29"/>
      <c r="G5115" s="29"/>
      <c r="H5115" s="29"/>
      <c r="I5115" s="29"/>
      <c r="J5115" s="29"/>
      <c r="K5115" s="29"/>
      <c r="L5115" s="29"/>
      <c r="M5115" s="29"/>
      <c r="N5115" s="29"/>
      <c r="O5115" s="29"/>
      <c r="P5115" s="19"/>
      <c r="Q5115" s="19"/>
      <c r="R5115" s="11"/>
    </row>
    <row r="5116" s="1" customFormat="1" ht="21.95" customHeight="1" spans="1:19">
      <c r="A5116" s="7"/>
      <c r="B5116" s="12"/>
      <c r="C5116" s="33"/>
      <c r="D5116" s="77" t="s">
        <v>758</v>
      </c>
      <c r="E5116" s="77"/>
      <c r="F5116" s="78" t="str">
        <f>IFERROR(PROPER(VLOOKUP(F5079,STUDENT!$A$2:$BP$101,5,0)),"")</f>
        <v/>
      </c>
      <c r="G5116" s="78"/>
      <c r="H5116" s="78"/>
      <c r="I5116" s="78"/>
      <c r="J5116" s="78"/>
      <c r="K5116" s="78"/>
      <c r="L5116" s="78"/>
      <c r="M5116" s="78"/>
      <c r="N5116" s="79" t="s">
        <v>759</v>
      </c>
      <c r="O5116" s="79"/>
      <c r="P5116" s="19"/>
      <c r="Q5116" s="19"/>
      <c r="R5116" s="11"/>
    </row>
    <row r="5117" s="1" customFormat="1" ht="21.95" customHeight="1" spans="1:19">
      <c r="A5117" s="7"/>
      <c r="B5117" s="12"/>
      <c r="C5117" s="33"/>
      <c r="D5117" s="80" t="s">
        <v>760</v>
      </c>
      <c r="E5117" s="81" t="str">
        <f>IFERROR(PROPER(VLOOKUP(F5079,STUDENT!$A$2:$BP$101,9,0)),"")</f>
        <v/>
      </c>
      <c r="F5117" s="81"/>
      <c r="G5117" s="81"/>
      <c r="H5117" s="80" t="s">
        <v>761</v>
      </c>
      <c r="I5117" s="82" t="str">
        <f>IFERROR(PROPER(VLOOKUP(F5079,STUDENT!$A$2:$BP$101,8,0)),"")</f>
        <v/>
      </c>
      <c r="J5117" s="82"/>
      <c r="K5117" s="82"/>
      <c r="L5117" s="82"/>
      <c r="M5117" s="80" t="s">
        <v>762</v>
      </c>
      <c r="N5117" s="83" t="str">
        <f>IFERROR(VLOOKUP(F5079,STUDENT!$A$2:$BP$101,59,0),"")</f>
        <v/>
      </c>
      <c r="O5117" s="83"/>
      <c r="P5117" s="19"/>
      <c r="Q5117" s="19"/>
      <c r="R5117" s="11"/>
    </row>
    <row r="5118" s="1" customFormat="1" ht="21.95" customHeight="1" spans="1:19">
      <c r="A5118" s="7"/>
      <c r="B5118" s="12"/>
      <c r="C5118" s="33"/>
      <c r="D5118" s="77" t="str">
        <f>"has    completed     his  /  her     primary     level     education    in    the    year    "&amp;RIGHT(ENTRY!$D5084,4)&amp;"    from    ( School    Name )"</f>
        <v>has    completed     his  /  her     primary     level     education    in    the    year        from    ( School    Name )</v>
      </c>
      <c r="E5118" s="77"/>
      <c r="F5118" s="77"/>
      <c r="G5118" s="77"/>
      <c r="H5118" s="77"/>
      <c r="I5118" s="77"/>
      <c r="J5118" s="77"/>
      <c r="K5118" s="77"/>
      <c r="L5118" s="77"/>
      <c r="M5118" s="77"/>
      <c r="N5118" s="77"/>
      <c r="O5118" s="77"/>
      <c r="P5118" s="19"/>
      <c r="Q5118" s="19"/>
      <c r="R5118" s="11"/>
    </row>
    <row r="5119" s="1" customFormat="1" ht="21.95" customHeight="1" spans="1:19">
      <c r="A5119" s="7"/>
      <c r="B5119" s="12"/>
      <c r="C5119" s="33"/>
      <c r="D5119" s="81" t="str">
        <f>IF(F5079&gt;0,ENTRY!$D$6,"")</f>
        <v>MCP NITHARI NO 1 BOYS</v>
      </c>
      <c r="E5119" s="81"/>
      <c r="F5119" s="81"/>
      <c r="G5119" s="81"/>
      <c r="H5119" s="81"/>
      <c r="I5119" s="81"/>
      <c r="J5119" s="81"/>
      <c r="K5119" s="81"/>
      <c r="L5119" s="81"/>
      <c r="M5119" s="80" t="s">
        <v>763</v>
      </c>
      <c r="N5119" s="84">
        <f>IF(F5079&gt;0,ENTRY!$D$7,"")</f>
        <v>0</v>
      </c>
      <c r="O5119" s="84"/>
      <c r="P5119" s="85" t="s">
        <v>727</v>
      </c>
      <c r="Q5119" s="19"/>
      <c r="R5119" s="11"/>
    </row>
    <row r="5120" s="1" customFormat="1" ht="21.95" customHeight="1" spans="1:19">
      <c r="A5120" s="7"/>
      <c r="B5120" s="12"/>
      <c r="C5120" s="33"/>
      <c r="D5120" s="29"/>
      <c r="E5120" s="29"/>
      <c r="F5120" s="29"/>
      <c r="G5120" s="29"/>
      <c r="H5120" s="29"/>
      <c r="I5120" s="29"/>
      <c r="J5120" s="29"/>
      <c r="K5120" s="29"/>
      <c r="L5120" s="29"/>
      <c r="M5120" s="29"/>
      <c r="N5120" s="29"/>
      <c r="O5120" s="29"/>
      <c r="P5120" s="19"/>
      <c r="Q5120" s="19"/>
      <c r="R5120" s="11"/>
    </row>
    <row r="5121" s="1" customFormat="1" ht="21.95" customHeight="1" spans="1:18">
      <c r="A5121" s="7"/>
      <c r="B5121" s="12"/>
      <c r="C5121" s="33"/>
      <c r="D5121" s="29"/>
      <c r="E5121" s="29"/>
      <c r="F5121" s="29"/>
      <c r="G5121" s="29"/>
      <c r="H5121" s="29"/>
      <c r="I5121" s="29"/>
      <c r="J5121" s="29"/>
      <c r="K5121" s="29"/>
      <c r="L5121" s="29"/>
      <c r="M5121" s="29"/>
      <c r="N5121" s="29"/>
      <c r="O5121" s="29"/>
      <c r="P5121" s="19"/>
      <c r="Q5121" s="19"/>
      <c r="R5121" s="11"/>
    </row>
    <row r="5122" s="1" customFormat="1" ht="21.95" customHeight="1" spans="1:18">
      <c r="A5122" s="7"/>
      <c r="B5122" s="12"/>
      <c r="C5122" s="33"/>
      <c r="D5122" s="29"/>
      <c r="E5122" s="29"/>
      <c r="F5122" s="29"/>
      <c r="G5122" s="29"/>
      <c r="H5122" s="29"/>
      <c r="I5122" s="29"/>
      <c r="J5122" s="29"/>
      <c r="K5122" s="29"/>
      <c r="L5122" s="29"/>
      <c r="M5122" s="29"/>
      <c r="N5122" s="29"/>
      <c r="O5122" s="29"/>
      <c r="P5122" s="19"/>
      <c r="Q5122" s="19"/>
      <c r="R5122" s="11"/>
    </row>
    <row r="5123" s="1" customFormat="1" ht="21.95" customHeight="1" spans="1:18">
      <c r="A5123" s="7"/>
      <c r="B5123" s="12"/>
      <c r="C5123" s="33"/>
      <c r="D5123" s="29"/>
      <c r="E5123" s="29"/>
      <c r="F5123" s="29"/>
      <c r="G5123" s="29"/>
      <c r="H5123" s="29"/>
      <c r="I5123" s="29"/>
      <c r="J5123" s="29"/>
      <c r="K5123" s="29"/>
      <c r="L5123" s="29"/>
      <c r="M5123" s="29"/>
      <c r="N5123" s="29"/>
      <c r="O5123" s="29"/>
      <c r="P5123" s="19"/>
      <c r="Q5123" s="19"/>
      <c r="R5123" s="11"/>
    </row>
    <row r="5124" s="1" customFormat="1" ht="21.95" customHeight="1" spans="1:18">
      <c r="A5124" s="7"/>
      <c r="B5124" s="12"/>
      <c r="C5124" s="33"/>
      <c r="D5124" s="29"/>
      <c r="E5124" s="29"/>
      <c r="F5124" s="29"/>
      <c r="G5124" s="29"/>
      <c r="H5124" s="29"/>
      <c r="I5124" s="29"/>
      <c r="J5124" s="29"/>
      <c r="K5124" s="29"/>
      <c r="L5124" s="29"/>
      <c r="M5124" s="29"/>
      <c r="N5124" s="29"/>
      <c r="O5124" s="29"/>
      <c r="P5124" s="19"/>
      <c r="Q5124" s="19"/>
      <c r="R5124" s="11"/>
    </row>
    <row r="5125" s="1" customFormat="1" ht="21.95" customHeight="1" spans="1:18">
      <c r="A5125" s="7"/>
      <c r="B5125" s="12"/>
      <c r="C5125" s="33"/>
      <c r="D5125" s="80" t="s">
        <v>728</v>
      </c>
      <c r="E5125" s="86">
        <f>ENTRY!$D$27</f>
        <v>46102</v>
      </c>
      <c r="F5125" s="86"/>
      <c r="G5125" s="29"/>
      <c r="H5125" s="29"/>
      <c r="I5125" s="29"/>
      <c r="J5125" s="29"/>
      <c r="K5125" s="29"/>
      <c r="L5125" s="29"/>
      <c r="M5125" s="87" t="s">
        <v>730</v>
      </c>
      <c r="N5125" s="87"/>
      <c r="O5125" s="87"/>
      <c r="P5125" s="19"/>
      <c r="Q5125" s="19"/>
      <c r="R5125" s="11"/>
    </row>
    <row r="5126" s="1" customFormat="1" ht="21.95" customHeight="1" spans="1:18">
      <c r="A5126" s="7"/>
      <c r="B5126" s="12"/>
      <c r="C5126" s="33"/>
      <c r="D5126" s="80" t="s">
        <v>731</v>
      </c>
      <c r="E5126" s="88" t="str">
        <f>PROPER(ENTRY!$D$28)</f>
        <v>New Delhi</v>
      </c>
      <c r="F5126" s="88"/>
      <c r="G5126" s="29"/>
      <c r="H5126" s="29"/>
      <c r="I5126" s="29"/>
      <c r="J5126" s="29"/>
      <c r="K5126" s="29"/>
      <c r="L5126" s="29"/>
      <c r="M5126" s="89" t="s">
        <v>732</v>
      </c>
      <c r="N5126" s="89"/>
      <c r="O5126" s="89"/>
      <c r="P5126" s="19"/>
      <c r="Q5126" s="19"/>
      <c r="R5126" s="11"/>
    </row>
    <row r="5127" s="1" customFormat="1" ht="21.95" customHeight="1" spans="1:18">
      <c r="A5127" s="7"/>
      <c r="B5127" s="12"/>
      <c r="C5127" s="90"/>
      <c r="D5127" s="91"/>
      <c r="E5127" s="91"/>
      <c r="F5127" s="91"/>
      <c r="G5127" s="91"/>
      <c r="H5127" s="91"/>
      <c r="I5127" s="91"/>
      <c r="J5127" s="91"/>
      <c r="K5127" s="91"/>
      <c r="L5127" s="91"/>
      <c r="M5127" s="91"/>
      <c r="N5127" s="91"/>
      <c r="O5127" s="91"/>
      <c r="P5127" s="92"/>
      <c r="Q5127" s="14"/>
      <c r="R5127" s="11"/>
    </row>
    <row r="5128" s="1" customFormat="1" ht="5.1" customHeight="1" spans="1:18">
      <c r="A5128" s="7"/>
      <c r="B5128" s="90"/>
      <c r="C5128" s="91"/>
      <c r="D5128" s="91"/>
      <c r="E5128" s="91"/>
      <c r="F5128" s="91"/>
      <c r="G5128" s="91"/>
      <c r="H5128" s="91"/>
      <c r="I5128" s="91"/>
      <c r="J5128" s="91"/>
      <c r="K5128" s="91"/>
      <c r="L5128" s="91"/>
      <c r="M5128" s="91"/>
      <c r="N5128" s="91"/>
      <c r="O5128" s="91"/>
      <c r="P5128" s="91"/>
      <c r="Q5128" s="92"/>
      <c r="R5128" s="11"/>
    </row>
    <row r="5129" s="1" customFormat="1" ht="5.1" customHeight="1" spans="1:18">
      <c r="A5129" s="93"/>
      <c r="B5129" s="94"/>
      <c r="C5129" s="94"/>
      <c r="D5129" s="94"/>
      <c r="E5129" s="94"/>
      <c r="F5129" s="94"/>
      <c r="G5129" s="94"/>
      <c r="H5129" s="94"/>
      <c r="I5129" s="94"/>
      <c r="J5129" s="94"/>
      <c r="K5129" s="94"/>
      <c r="L5129" s="94"/>
      <c r="M5129" s="94"/>
      <c r="N5129" s="94"/>
      <c r="O5129" s="94"/>
      <c r="P5129" s="94"/>
      <c r="Q5129" s="94"/>
      <c r="R5129" s="95"/>
    </row>
    <row r="5130" s="2" customFormat="1" ht="9.95" customHeight="1"/>
    <row r="5131" s="1" customFormat="1" ht="5.1" customHeight="1" spans="1:18">
      <c r="A5131" s="4"/>
      <c r="B5131" s="5"/>
      <c r="C5131" s="5"/>
      <c r="D5131" s="5"/>
      <c r="E5131" s="5"/>
      <c r="F5131" s="5"/>
      <c r="G5131" s="5"/>
      <c r="H5131" s="5"/>
      <c r="I5131" s="5"/>
      <c r="J5131" s="5"/>
      <c r="K5131" s="5"/>
      <c r="L5131" s="5"/>
      <c r="M5131" s="5"/>
      <c r="N5131" s="5"/>
      <c r="O5131" s="5"/>
      <c r="P5131" s="5"/>
      <c r="Q5131" s="5"/>
      <c r="R5131" s="6"/>
    </row>
    <row r="5132" s="1" customFormat="1" ht="15" customHeight="1" spans="1:18">
      <c r="A5132" s="7"/>
      <c r="B5132" s="8"/>
      <c r="C5132" s="9"/>
      <c r="D5132" s="9"/>
      <c r="E5132" s="9"/>
      <c r="F5132" s="9"/>
      <c r="G5132" s="9"/>
      <c r="H5132" s="9"/>
      <c r="I5132" s="9"/>
      <c r="J5132" s="9"/>
      <c r="K5132" s="9"/>
      <c r="L5132" s="9"/>
      <c r="M5132" s="9"/>
      <c r="N5132" s="9"/>
      <c r="O5132" s="9"/>
      <c r="P5132" s="9"/>
      <c r="Q5132" s="10"/>
      <c r="R5132" s="11"/>
    </row>
    <row r="5133" s="1" customFormat="1" ht="21.95" customHeight="1" spans="1:18">
      <c r="A5133" s="7"/>
      <c r="B5133" s="12"/>
      <c r="C5133" s="13" t="s">
        <v>7</v>
      </c>
      <c r="D5133" s="13"/>
      <c r="E5133" s="13"/>
      <c r="F5133" s="13"/>
      <c r="G5133" s="13"/>
      <c r="H5133" s="13"/>
      <c r="I5133" s="13"/>
      <c r="J5133" s="13"/>
      <c r="K5133" s="13"/>
      <c r="L5133" s="13"/>
      <c r="M5133" s="13"/>
      <c r="N5133" s="13"/>
      <c r="O5133" s="13"/>
      <c r="P5133" s="13"/>
      <c r="Q5133" s="14"/>
      <c r="R5133" s="11"/>
    </row>
    <row r="5134" s="1" customFormat="1" ht="21.95" customHeight="1" spans="1:18">
      <c r="A5134" s="7"/>
      <c r="B5134" s="1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14"/>
      <c r="R5134" s="11"/>
    </row>
    <row r="5135" s="1" customFormat="1" ht="21.95" customHeight="1" spans="1:18">
      <c r="A5135" s="7"/>
      <c r="B5135" s="12"/>
      <c r="C5135" s="15" t="str">
        <f>"SESSION-"&amp;ENTRY!$D$11</f>
        <v>SESSION-2026-27</v>
      </c>
      <c r="D5135" s="15"/>
      <c r="E5135" s="15"/>
      <c r="F5135" s="15"/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  <c r="Q5135" s="14"/>
      <c r="R5135" s="11"/>
    </row>
    <row r="5136" s="1" customFormat="1" ht="21.95" customHeight="1" spans="1:18">
      <c r="A5136" s="7"/>
      <c r="B5136" s="12"/>
      <c r="C5136" s="2"/>
      <c r="D5136" s="2"/>
      <c r="E5136" s="2"/>
      <c r="F5136" s="16">
        <f>F5079+1</f>
        <v>91</v>
      </c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14"/>
      <c r="R5136" s="11"/>
    </row>
    <row r="5137" s="1" customFormat="1" ht="21.95" customHeight="1" spans="1:18">
      <c r="A5137" s="7"/>
      <c r="B5137" s="12"/>
      <c r="C5137" s="17" t="s">
        <v>392</v>
      </c>
      <c r="D5137" s="17"/>
      <c r="E5137" s="17"/>
      <c r="F5137" s="18" t="str">
        <f>IF(F5136&gt;0,ENTRY!$D$6,"")</f>
        <v>MCP NITHARI NO 1 BOYS</v>
      </c>
      <c r="G5137" s="18"/>
      <c r="H5137" s="18"/>
      <c r="I5137" s="18"/>
      <c r="J5137" s="18"/>
      <c r="K5137" s="18"/>
      <c r="L5137" s="18"/>
      <c r="M5137" s="18"/>
      <c r="N5137" s="18"/>
      <c r="O5137" s="18"/>
      <c r="P5137" s="18"/>
      <c r="Q5137" s="19"/>
      <c r="R5137" s="11"/>
    </row>
    <row r="5138" s="1" customFormat="1" ht="21.95" customHeight="1" spans="1:18">
      <c r="A5138" s="7"/>
      <c r="B5138" s="12"/>
      <c r="C5138" s="17" t="s">
        <v>393</v>
      </c>
      <c r="D5138" s="17"/>
      <c r="E5138" s="17"/>
      <c r="F5138" s="18">
        <f>IF(F5136&gt;0,ENTRY!$D$7,"")</f>
        <v>0</v>
      </c>
      <c r="G5138" s="18"/>
      <c r="H5138" s="20" t="s">
        <v>702</v>
      </c>
      <c r="I5138" s="20"/>
      <c r="J5138" s="21">
        <f>IF(F5136&gt;0,ENTRY!$D$10,"")</f>
        <v>40</v>
      </c>
      <c r="K5138" s="20" t="s">
        <v>703</v>
      </c>
      <c r="L5138" s="22" t="str">
        <f>IF(F5136&gt;0,ENTRY!$D$5,"")</f>
        <v>ROHINI ZONE</v>
      </c>
      <c r="M5138" s="22"/>
      <c r="N5138" s="22"/>
      <c r="O5138" s="22"/>
      <c r="P5138" s="22"/>
      <c r="Q5138" s="19"/>
      <c r="R5138" s="11"/>
    </row>
    <row r="5139" s="1" customFormat="1" ht="21.95" customHeight="1" spans="1:18">
      <c r="A5139" s="7"/>
      <c r="B5139" s="12"/>
      <c r="C5139" s="17" t="s">
        <v>706</v>
      </c>
      <c r="D5139" s="17"/>
      <c r="E5139" s="17"/>
      <c r="F5139" s="23">
        <f>IFERROR(VLOOKUP(F5136,STUDENT!$A$2:$BP$101,5,0),"")</f>
        <v>0</v>
      </c>
      <c r="G5139" s="23"/>
      <c r="H5139" s="23"/>
      <c r="I5139" s="23"/>
      <c r="J5139" s="23"/>
      <c r="K5139" s="23"/>
      <c r="L5139" s="20" t="s">
        <v>707</v>
      </c>
      <c r="M5139" s="20"/>
      <c r="N5139" s="24" t="str">
        <f>IF(F5136&gt;0,ENTRY!$D$20&amp;"-"&amp;ENTRY!$D$21,"")</f>
        <v>III-A</v>
      </c>
      <c r="O5139" s="24"/>
      <c r="P5139" s="24"/>
      <c r="Q5139" s="19"/>
      <c r="R5139" s="11"/>
    </row>
    <row r="5140" s="1" customFormat="1" ht="21.95" customHeight="1" spans="1:18">
      <c r="A5140" s="7"/>
      <c r="B5140" s="12"/>
      <c r="C5140" s="17" t="s">
        <v>708</v>
      </c>
      <c r="D5140" s="17"/>
      <c r="E5140" s="17"/>
      <c r="F5140" s="25">
        <f>IFERROR(VLOOKUP(F5136,STUDENT!$A$2:$BP$101,6,0),"")</f>
        <v>0</v>
      </c>
      <c r="G5140" s="25"/>
      <c r="H5140" s="26" t="s">
        <v>709</v>
      </c>
      <c r="I5140" s="27" t="str">
        <f>IFERROR(VLOOKUP(F5136,STUDENT!$A$2:$BP$101,59,0),"")</f>
        <v/>
      </c>
      <c r="J5140" s="27"/>
      <c r="K5140" s="20" t="s">
        <v>710</v>
      </c>
      <c r="L5140" s="20"/>
      <c r="M5140" s="28">
        <f>IFERROR(VLOOKUP(F5136,STUDENT!$A$2:$BP$101,20,0),"")</f>
        <v>0</v>
      </c>
      <c r="N5140" s="28"/>
      <c r="O5140" s="28"/>
      <c r="P5140" s="28"/>
      <c r="Q5140" s="19"/>
      <c r="R5140" s="11"/>
    </row>
    <row r="5141" s="1" customFormat="1" ht="21.95" customHeight="1" spans="1:18">
      <c r="A5141" s="7"/>
      <c r="B5141" s="12"/>
      <c r="C5141" s="17" t="s">
        <v>711</v>
      </c>
      <c r="D5141" s="17"/>
      <c r="E5141" s="17"/>
      <c r="F5141" s="23">
        <f>IFERROR(VLOOKUP(F5136,STUDENT!$A$2:$BP$101,9,0),"")</f>
        <v>0</v>
      </c>
      <c r="G5141" s="23"/>
      <c r="H5141" s="23"/>
      <c r="I5141" s="23"/>
      <c r="J5141" s="17" t="s">
        <v>620</v>
      </c>
      <c r="K5141" s="17"/>
      <c r="L5141" s="23">
        <f>IFERROR(VLOOKUP(F5136,STUDENT!$A$2:$BP$101,8,0),"")</f>
        <v>0</v>
      </c>
      <c r="M5141" s="23"/>
      <c r="N5141" s="23"/>
      <c r="O5141" s="23"/>
      <c r="P5141" s="23"/>
      <c r="Q5141" s="19"/>
      <c r="R5141" s="11"/>
    </row>
    <row r="5142" s="1" customFormat="1" ht="21.95" customHeight="1" spans="1:18">
      <c r="A5142" s="7"/>
      <c r="B5142" s="12"/>
      <c r="C5142" s="17" t="s">
        <v>712</v>
      </c>
      <c r="D5142" s="17"/>
      <c r="E5142" s="17"/>
      <c r="F5142" s="23">
        <f>IFERROR(VLOOKUP(F5136,STUDENT!$A$2:$BP$101,22,0),"")</f>
        <v>0</v>
      </c>
      <c r="G5142" s="23"/>
      <c r="H5142" s="23"/>
      <c r="I5142" s="23"/>
      <c r="J5142" s="23"/>
      <c r="K5142" s="23"/>
      <c r="L5142" s="23"/>
      <c r="M5142" s="23"/>
      <c r="N5142" s="23"/>
      <c r="O5142" s="23"/>
      <c r="P5142" s="23"/>
      <c r="Q5142" s="19"/>
      <c r="R5142" s="11"/>
    </row>
    <row r="5143" s="1" customFormat="1" ht="9.95" customHeight="1" spans="1:18">
      <c r="A5143" s="7"/>
      <c r="B5143" s="12"/>
      <c r="C5143" s="29"/>
      <c r="D5143" s="29"/>
      <c r="E5143" s="29"/>
      <c r="F5143" s="29"/>
      <c r="G5143" s="29"/>
      <c r="H5143" s="29"/>
      <c r="I5143" s="29"/>
      <c r="J5143" s="29"/>
      <c r="K5143" s="29"/>
      <c r="L5143" s="29"/>
      <c r="M5143" s="29"/>
      <c r="N5143" s="29"/>
      <c r="O5143" s="29"/>
      <c r="P5143" s="29"/>
      <c r="Q5143" s="19"/>
      <c r="R5143" s="11"/>
    </row>
    <row r="5144" s="1" customFormat="1" ht="9.95" customHeight="1" spans="1:18">
      <c r="A5144" s="7"/>
      <c r="B5144" s="12"/>
      <c r="C5144" s="30"/>
      <c r="D5144" s="31"/>
      <c r="E5144" s="31"/>
      <c r="F5144" s="31"/>
      <c r="G5144" s="31"/>
      <c r="H5144" s="31"/>
      <c r="I5144" s="31"/>
      <c r="J5144" s="31"/>
      <c r="K5144" s="31"/>
      <c r="L5144" s="31"/>
      <c r="M5144" s="31"/>
      <c r="N5144" s="31"/>
      <c r="O5144" s="31"/>
      <c r="P5144" s="32"/>
      <c r="Q5144" s="19"/>
      <c r="R5144" s="11"/>
    </row>
    <row r="5145" s="1" customFormat="1" ht="21.95" customHeight="1" spans="1:18">
      <c r="A5145" s="7"/>
      <c r="B5145" s="12"/>
      <c r="C5145" s="33"/>
      <c r="D5145" s="34" t="s">
        <v>713</v>
      </c>
      <c r="E5145" s="20" t="s">
        <v>714</v>
      </c>
      <c r="F5145" s="35" t="str">
        <f>"Level - "&amp;IFERROR(VLOOKUP(F5136,FLN!$A$4:$K$103,9,0),"")</f>
        <v>Level - </v>
      </c>
      <c r="G5145" s="36"/>
      <c r="H5145" s="37" t="s">
        <v>715</v>
      </c>
      <c r="I5145" s="20"/>
      <c r="J5145" s="35" t="str">
        <f>"Level - "&amp;IFERROR(VLOOKUP(F5136,FLN!$A$4:$K$103,11,0),"")</f>
        <v>Level - </v>
      </c>
      <c r="K5145" s="36"/>
      <c r="L5145" s="37" t="s">
        <v>408</v>
      </c>
      <c r="M5145" s="20"/>
      <c r="N5145" s="35" t="str">
        <f>"Level - "&amp;IFERROR(VLOOKUP(F5136,FLN!$A$4:$K$103,10,0),"")</f>
        <v>Level - </v>
      </c>
      <c r="O5145" s="36"/>
      <c r="P5145" s="19"/>
      <c r="Q5145" s="19"/>
      <c r="R5145" s="11"/>
    </row>
    <row r="5146" s="1" customFormat="1" ht="21.95" customHeight="1" spans="1:18">
      <c r="A5146" s="7"/>
      <c r="B5146" s="12"/>
      <c r="C5146" s="33"/>
      <c r="D5146" s="38"/>
      <c r="E5146" s="20" t="s">
        <v>716</v>
      </c>
      <c r="F5146" s="18" t="str">
        <f ca="1">IF(L5160&gt;197,"PERFORMED WELL","")</f>
        <v/>
      </c>
      <c r="G5146" s="18"/>
      <c r="H5146" s="18"/>
      <c r="I5146" s="18"/>
      <c r="J5146" s="18"/>
      <c r="K5146" s="18"/>
      <c r="L5146" s="18"/>
      <c r="M5146" s="18"/>
      <c r="N5146" s="18"/>
      <c r="O5146" s="18"/>
      <c r="P5146" s="19"/>
      <c r="Q5146" s="19"/>
      <c r="R5146" s="11"/>
    </row>
    <row r="5147" s="1" customFormat="1" ht="9.95" customHeight="1" spans="1:18">
      <c r="A5147" s="7"/>
      <c r="B5147" s="12"/>
      <c r="C5147" s="39"/>
      <c r="D5147" s="40"/>
      <c r="E5147" s="40"/>
      <c r="F5147" s="40"/>
      <c r="G5147" s="40"/>
      <c r="H5147" s="40"/>
      <c r="I5147" s="40"/>
      <c r="J5147" s="40"/>
      <c r="K5147" s="40"/>
      <c r="L5147" s="40"/>
      <c r="M5147" s="40"/>
      <c r="N5147" s="40"/>
      <c r="O5147" s="40"/>
      <c r="P5147" s="41"/>
      <c r="Q5147" s="19"/>
      <c r="R5147" s="11"/>
    </row>
    <row r="5148" s="1" customFormat="1" ht="9.95" customHeight="1" spans="1:18">
      <c r="A5148" s="7"/>
      <c r="B5148" s="12"/>
      <c r="C5148" s="29"/>
      <c r="D5148" s="29"/>
      <c r="E5148" s="29"/>
      <c r="F5148" s="29"/>
      <c r="G5148" s="29"/>
      <c r="H5148" s="29"/>
      <c r="I5148" s="29"/>
      <c r="J5148" s="29"/>
      <c r="K5148" s="29"/>
      <c r="L5148" s="29"/>
      <c r="M5148" s="29"/>
      <c r="N5148" s="29"/>
      <c r="O5148" s="29"/>
      <c r="P5148" s="29"/>
      <c r="Q5148" s="19"/>
      <c r="R5148" s="11"/>
    </row>
    <row r="5149" s="1" customFormat="1" ht="9.95" customHeight="1" spans="1:18">
      <c r="A5149" s="7"/>
      <c r="B5149" s="12"/>
      <c r="C5149" s="30"/>
      <c r="D5149" s="31"/>
      <c r="E5149" s="31"/>
      <c r="F5149" s="31"/>
      <c r="G5149" s="31"/>
      <c r="H5149" s="31"/>
      <c r="I5149" s="31"/>
      <c r="J5149" s="31"/>
      <c r="K5149" s="31"/>
      <c r="L5149" s="31"/>
      <c r="M5149" s="31"/>
      <c r="N5149" s="31"/>
      <c r="O5149" s="31"/>
      <c r="P5149" s="32"/>
      <c r="Q5149" s="19"/>
      <c r="R5149" s="11"/>
    </row>
    <row r="5150" s="1" customFormat="1" ht="21.95" customHeight="1" spans="1:18">
      <c r="A5150" s="7"/>
      <c r="B5150" s="12"/>
      <c r="C5150" s="33"/>
      <c r="D5150" s="35"/>
      <c r="E5150" s="24"/>
      <c r="F5150" s="42" t="s">
        <v>717</v>
      </c>
      <c r="G5150" s="42"/>
      <c r="H5150" s="42"/>
      <c r="I5150" s="42"/>
      <c r="J5150" s="42"/>
      <c r="K5150" s="42"/>
      <c r="L5150" s="43"/>
      <c r="M5150" s="44"/>
      <c r="N5150" s="29"/>
      <c r="O5150" s="29"/>
      <c r="P5150" s="19"/>
      <c r="Q5150" s="19"/>
      <c r="R5150" s="11"/>
    </row>
    <row r="5151" s="1" customFormat="1" ht="21.95" customHeight="1" spans="1:18">
      <c r="A5151" s="7"/>
      <c r="B5151" s="12"/>
      <c r="C5151" s="33"/>
      <c r="D5151" s="45"/>
      <c r="E5151" s="46"/>
      <c r="F5151" s="47" t="s">
        <v>541</v>
      </c>
      <c r="G5151" s="47" t="s">
        <v>542</v>
      </c>
      <c r="H5151" s="47" t="s">
        <v>543</v>
      </c>
      <c r="I5151" s="47" t="s">
        <v>544</v>
      </c>
      <c r="J5151" s="47" t="s">
        <v>561</v>
      </c>
      <c r="K5151" s="48" t="s">
        <v>750</v>
      </c>
      <c r="L5151" s="47" t="s">
        <v>382</v>
      </c>
      <c r="M5151" s="49" t="s">
        <v>546</v>
      </c>
      <c r="N5151" s="29"/>
      <c r="O5151" s="29"/>
      <c r="P5151" s="19"/>
      <c r="Q5151" s="19"/>
      <c r="R5151" s="11"/>
    </row>
    <row r="5152" s="1" customFormat="1" ht="21.95" customHeight="1" spans="1:18">
      <c r="A5152" s="7"/>
      <c r="B5152" s="12"/>
      <c r="C5152" s="33"/>
      <c r="D5152" s="45" t="s">
        <v>652</v>
      </c>
      <c r="E5152" s="46"/>
      <c r="F5152" s="50">
        <v>10</v>
      </c>
      <c r="G5152" s="50">
        <v>10</v>
      </c>
      <c r="H5152" s="50">
        <v>10</v>
      </c>
      <c r="I5152" s="50">
        <v>10</v>
      </c>
      <c r="J5152" s="50">
        <v>60</v>
      </c>
      <c r="K5152" s="51"/>
      <c r="L5152" s="50">
        <v>100</v>
      </c>
      <c r="M5152" s="49"/>
      <c r="N5152" s="29"/>
      <c r="O5152" s="29"/>
      <c r="P5152" s="19"/>
      <c r="Q5152" s="19"/>
      <c r="R5152" s="11"/>
    </row>
    <row r="5153" s="1" customFormat="1" ht="21.95" customHeight="1" spans="1:18">
      <c r="A5153" s="7"/>
      <c r="B5153" s="12"/>
      <c r="C5153" s="33"/>
      <c r="D5153" s="52" t="s">
        <v>751</v>
      </c>
      <c r="E5153" s="53"/>
      <c r="F5153" s="54" t="str">
        <f ca="1">IFERROR(VLOOKUP(F5136,'RR-3.1-5TH'!$A$12:'RR-3.1-5TH'!$BN$111,9,0),"")</f>
        <v/>
      </c>
      <c r="G5153" s="54" t="str">
        <f ca="1">IFERROR(VLOOKUP(F5136,'RR-3.1-5TH'!$A$12:'RR-3.1-5TH'!$BN$111,10,0),"")</f>
        <v/>
      </c>
      <c r="H5153" s="54" t="str">
        <f ca="1">IFERROR(VLOOKUP(F5136,'RR-3.1-5TH'!$A$12:'RR-3.1-5TH'!$BN$111,11,0),"")</f>
        <v/>
      </c>
      <c r="I5153" s="54" t="str">
        <f ca="1">IFERROR(VLOOKUP(F5136,'RR-3.1-5TH'!$A$12:'RR-3.1-5TH'!$BN$111,12,0),"")</f>
        <v/>
      </c>
      <c r="J5153" s="54" t="str">
        <f ca="1">IFERROR(VLOOKUP(F5136,'RR-3.1-5TH'!$A$12:'RR-3.1-5TH'!$BN$111,13,0),"")</f>
        <v/>
      </c>
      <c r="K5153" s="54" t="str">
        <f ca="1">IFERROR(VLOOKUP(F5136,'RR-3.1-5TH'!$A$12:'RR-3.1-5TH'!$BN$111,14,0),"")</f>
        <v/>
      </c>
      <c r="L5153" s="55">
        <f ca="1" t="shared" ref="L5153:L5158" si="270">SUM(F5153,G5153,H5153,I5153,J5153,K5153)</f>
        <v>0</v>
      </c>
      <c r="M5153" s="56" t="str">
        <f ca="1">IF(F5136&gt;ENTRY!$D$24,"",IF(L5153=0,"Ab",IF(L5153&gt;80,"A",IF(L5153&gt;60,"B",IF(L5153&gt;44,"C",IF(L5153&gt;=33,"D",IF(L5153&lt;=32,"E","")))))))</f>
        <v/>
      </c>
      <c r="N5153" s="57" t="s">
        <v>729</v>
      </c>
      <c r="O5153" s="58"/>
      <c r="P5153" s="59"/>
      <c r="Q5153" s="19"/>
      <c r="R5153" s="11"/>
    </row>
    <row r="5154" s="1" customFormat="1" ht="21.95" customHeight="1" spans="1:18">
      <c r="A5154" s="7"/>
      <c r="B5154" s="12"/>
      <c r="C5154" s="33"/>
      <c r="D5154" s="52" t="s">
        <v>513</v>
      </c>
      <c r="E5154" s="53"/>
      <c r="F5154" s="54" t="str">
        <f ca="1">IFERROR(VLOOKUP(F5136,'RR-3.1-5TH'!$A$12:'RR-3.1-5TH'!$BN$111,17,0),"")</f>
        <v/>
      </c>
      <c r="G5154" s="54" t="str">
        <f ca="1">IFERROR(VLOOKUP(F5136,'RR-3.1-5TH'!$A$12:'RR-3.1-5TH'!$BN$111,18,0),"")</f>
        <v/>
      </c>
      <c r="H5154" s="54" t="str">
        <f ca="1">IFERROR(VLOOKUP(F5136,'RR-3.1-5TH'!$A$12:'RR-3.1-5TH'!$BN$111,19,0),"")</f>
        <v/>
      </c>
      <c r="I5154" s="54" t="str">
        <f ca="1">IFERROR(VLOOKUP(F5136,'RR-3.1-5TH'!$A$12:'RR-3.1-5TH'!$BN$111,20,0),"")</f>
        <v/>
      </c>
      <c r="J5154" s="54" t="str">
        <f ca="1">IFERROR(VLOOKUP(F5136,'RR-3.1-5TH'!$A$12:'RR-3.1-5TH'!$BN$111,21,0),"")</f>
        <v/>
      </c>
      <c r="K5154" s="54" t="str">
        <f ca="1">IFERROR(VLOOKUP(F5136,'RR-3.1-5TH'!$A$12:'RR-3.1-5TH'!$BN$111,22,0),"")</f>
        <v/>
      </c>
      <c r="L5154" s="55">
        <f ca="1" t="shared" si="270"/>
        <v>0</v>
      </c>
      <c r="M5154" s="56" t="str">
        <f ca="1">IF(F5136&gt;ENTRY!$D$24,"",IF(L5154=0,"Ab",IF(L5154&gt;80,"A",IF(L5154&gt;60,"B",IF(L5154&gt;44,"C",IF(L5154&gt;=33,"D",IF(L5154&lt;=32,"E","")))))))</f>
        <v/>
      </c>
      <c r="N5154" s="58"/>
      <c r="O5154" s="58"/>
      <c r="P5154" s="59"/>
      <c r="Q5154" s="19"/>
      <c r="R5154" s="11"/>
    </row>
    <row r="5155" s="1" customFormat="1" ht="21.95" customHeight="1" spans="1:18">
      <c r="A5155" s="7"/>
      <c r="B5155" s="12"/>
      <c r="C5155" s="33"/>
      <c r="D5155" s="52" t="s">
        <v>718</v>
      </c>
      <c r="E5155" s="53"/>
      <c r="F5155" s="54" t="str">
        <f ca="1">IFERROR(VLOOKUP(F5136,'RR-3.1-5TH'!$A$12:'RR-3.1-5TH'!$BN$111,25,0),"")</f>
        <v/>
      </c>
      <c r="G5155" s="54" t="str">
        <f ca="1">IFERROR(VLOOKUP(F5136,'RR-3.1-5TH'!$A$12:'RR-3.1-5TH'!$BN$111,26,0),"")</f>
        <v/>
      </c>
      <c r="H5155" s="54" t="str">
        <f ca="1">IFERROR(VLOOKUP(F5136,'RR-3.1-5TH'!$A$12:'RR-3.1-5TH'!$BN$111,27,0),"")</f>
        <v/>
      </c>
      <c r="I5155" s="54" t="str">
        <f ca="1">IFERROR(VLOOKUP(F5136,'RR-3.1-5TH'!$A$12:'RR-3.1-5TH'!$BN$111,28,0),"")</f>
        <v/>
      </c>
      <c r="J5155" s="54" t="str">
        <f ca="1">IFERROR(VLOOKUP(F5136,'RR-3.1-5TH'!$A$12:'RR-3.1-5TH'!$BN$111,29,0),"")</f>
        <v/>
      </c>
      <c r="K5155" s="54" t="str">
        <f ca="1">IFERROR(VLOOKUP(F5136,'RR-3.1-5TH'!$A$12:'RR-3.1-5TH'!$BN$111,30,0),"")</f>
        <v/>
      </c>
      <c r="L5155" s="55">
        <f ca="1" t="shared" si="270"/>
        <v>0</v>
      </c>
      <c r="M5155" s="56" t="str">
        <f ca="1">IF(F5136&gt;ENTRY!$D$24,"",IF(L5155=0,"Ab",IF(L5155&gt;80,"A",IF(L5155&gt;60,"B",IF(L5155&gt;44,"C",IF(L5155&gt;=33,"D",IF(L5155&lt;=32,"E","")))))))</f>
        <v/>
      </c>
      <c r="N5155" s="29"/>
      <c r="O5155" s="29"/>
      <c r="P5155" s="19"/>
      <c r="Q5155" s="19"/>
      <c r="R5155" s="11"/>
    </row>
    <row r="5156" s="1" customFormat="1" ht="21.95" customHeight="1" spans="1:18">
      <c r="A5156" s="7"/>
      <c r="B5156" s="12"/>
      <c r="C5156" s="33"/>
      <c r="D5156" s="52" t="s">
        <v>719</v>
      </c>
      <c r="E5156" s="53"/>
      <c r="F5156" s="54" t="str">
        <f ca="1">IFERROR(VLOOKUP(F5136,'RR-3.1-5TH'!$A$12:'RR-3.1-5TH'!$BN$111,33,0),"")</f>
        <v/>
      </c>
      <c r="G5156" s="54" t="str">
        <f ca="1">IFERROR(VLOOKUP(F5136,'RR-3.1-5TH'!$A$12:'RR-3.1-5TH'!$BN$111,34,0),"")</f>
        <v/>
      </c>
      <c r="H5156" s="54" t="str">
        <f ca="1">IFERROR(VLOOKUP(F5136,'RR-3.1-5TH'!$A$12:'RR-3.1-5TH'!$BN$111,35,0),"")</f>
        <v/>
      </c>
      <c r="I5156" s="54" t="str">
        <f ca="1">IFERROR(VLOOKUP(F5136,'RR-3.1-5TH'!$A$12:'RR-3.1-5TH'!$BN$111,36,0),"")</f>
        <v/>
      </c>
      <c r="J5156" s="54" t="str">
        <f ca="1">IFERROR(VLOOKUP(F5136,'RR-3.1-5TH'!$A$12:'RR-3.1-5TH'!$BN$111,37,0),"")</f>
        <v/>
      </c>
      <c r="K5156" s="54" t="str">
        <f ca="1">IFERROR(VLOOKUP(F5136,'RR-3.1-5TH'!$A$12:'RR-3.1-5TH'!$BN$111,38,0),"")</f>
        <v/>
      </c>
      <c r="L5156" s="55">
        <f ca="1" t="shared" si="270"/>
        <v>0</v>
      </c>
      <c r="M5156" s="56" t="str">
        <f ca="1">IF(F5136&gt;ENTRY!$D$24,"",IF(L5156=0,"Ab",IF(L5156&gt;80,"A",IF(L5156&gt;60,"B",IF(L5156&gt;44,"C",IF(L5156&gt;=33,"D",IF(L5156&lt;=32,"E","")))))))</f>
        <v/>
      </c>
      <c r="N5156" s="29"/>
      <c r="O5156" s="29"/>
      <c r="P5156" s="19"/>
      <c r="Q5156" s="19"/>
      <c r="R5156" s="11"/>
    </row>
    <row r="5157" s="1" customFormat="1" ht="21.95" customHeight="1" spans="1:18">
      <c r="A5157" s="7"/>
      <c r="B5157" s="12"/>
      <c r="C5157" s="33"/>
      <c r="D5157" s="52" t="s">
        <v>548</v>
      </c>
      <c r="E5157" s="53"/>
      <c r="F5157" s="54" t="str">
        <f ca="1">IFERROR(VLOOKUP(F5136,'RR-3.1-5TH'!$A$12:'RR-3.1-5TH'!$BN$111,41,0),"")</f>
        <v/>
      </c>
      <c r="G5157" s="54" t="str">
        <f ca="1">IFERROR(VLOOKUP(F5136,'RR-3.1-5TH'!$A$12:'RR-3.1-5TH'!$BN$111,42,0),"")</f>
        <v/>
      </c>
      <c r="H5157" s="54" t="str">
        <f ca="1">IFERROR(VLOOKUP(F5136,'RR-3.1-5TH'!$A$12:'RR-3.1-5TH'!$BN$111,43,0),"")</f>
        <v/>
      </c>
      <c r="I5157" s="54" t="str">
        <f ca="1">IFERROR(VLOOKUP(F5136,'RR-3.1-5TH'!$A$12:'RR-3.1-5TH'!$BN$111,44,0),"")</f>
        <v/>
      </c>
      <c r="J5157" s="54" t="str">
        <f ca="1">IFERROR(VLOOKUP(F5136,'RR-3.1-5TH'!$A$12:'RR-3.1-5TH'!$BN$111,45,0),"")</f>
        <v/>
      </c>
      <c r="K5157" s="54" t="str">
        <f ca="1">IFERROR(VLOOKUP(F5136,'RR-3.1-5TH'!$A$12:'RR-3.1-5TH'!$BN$111,46,0),"")</f>
        <v/>
      </c>
      <c r="L5157" s="55">
        <f ca="1" t="shared" si="270"/>
        <v>0</v>
      </c>
      <c r="M5157" s="56" t="str">
        <f ca="1">IF(F5136&gt;ENTRY!$D$24,"",IF(L5157=0,"Ab",IF(L5157&gt;80,"A",IF(L5157&gt;60,"B",IF(L5157&gt;44,"C",IF(L5157&gt;=33,"D",IF(L5157&lt;=32,"E","")))))))</f>
        <v/>
      </c>
      <c r="N5157" s="29"/>
      <c r="O5157" s="29"/>
      <c r="P5157" s="19"/>
      <c r="Q5157" s="19"/>
      <c r="R5157" s="11"/>
    </row>
    <row r="5158" s="1" customFormat="1" ht="21.95" customHeight="1" spans="1:18">
      <c r="A5158" s="7"/>
      <c r="B5158" s="12"/>
      <c r="C5158" s="33"/>
      <c r="D5158" s="52" t="s">
        <v>549</v>
      </c>
      <c r="E5158" s="53"/>
      <c r="F5158" s="54" t="str">
        <f ca="1">IFERROR(VLOOKUP(F5136,'RR-3.1-5TH'!$A$12:'RR-3.1-5TH'!$BN$111,49,0),"")</f>
        <v/>
      </c>
      <c r="G5158" s="54" t="str">
        <f ca="1">IFERROR(VLOOKUP(F5136,'RR-3.1-5TH'!$A$12:'RR-3.1-5TH'!$BN$111,50,0),"")</f>
        <v/>
      </c>
      <c r="H5158" s="54" t="str">
        <f ca="1">IFERROR(VLOOKUP(F5136,'RR-3.1-5TH'!$A$12:'RR-3.1-5TH'!$BN$111,51,0),"")</f>
        <v/>
      </c>
      <c r="I5158" s="54" t="str">
        <f ca="1">IFERROR(VLOOKUP(F5136,'RR-3.1-5TH'!$A$12:'RR-3.1-5TH'!$BN$111,52,0),"")</f>
        <v/>
      </c>
      <c r="J5158" s="54" t="str">
        <f ca="1">IFERROR(VLOOKUP(F5136,'RR-3.1-5TH'!$A$12:'RR-3.1-5TH'!$BN$111,53,0),"")</f>
        <v/>
      </c>
      <c r="K5158" s="54" t="str">
        <f ca="1">IFERROR(VLOOKUP(F5136,'RR-3.1-5TH'!$A$12:'RR-3.1-5TH'!$BN$111,54,0),"")</f>
        <v/>
      </c>
      <c r="L5158" s="55">
        <f ca="1" t="shared" si="270"/>
        <v>0</v>
      </c>
      <c r="M5158" s="56" t="str">
        <f ca="1">IF(F5136&gt;ENTRY!$D$24,"",IF(L5158=0,"Ab",IF(L5158&gt;80,"A",IF(L5158&gt;60,"B",IF(L5158&gt;44,"C",IF(L5158&gt;=33,"D",IF(L5158&lt;=32,"E","")))))))</f>
        <v/>
      </c>
      <c r="N5158" s="57" t="s">
        <v>752</v>
      </c>
      <c r="O5158" s="58"/>
      <c r="P5158" s="59"/>
      <c r="Q5158" s="19"/>
      <c r="R5158" s="11"/>
    </row>
    <row r="5159" s="1" customFormat="1" ht="21.95" customHeight="1" spans="1:18">
      <c r="A5159" s="7"/>
      <c r="B5159" s="12"/>
      <c r="C5159" s="33"/>
      <c r="D5159" s="52" t="s">
        <v>753</v>
      </c>
      <c r="E5159" s="53"/>
      <c r="F5159" s="60"/>
      <c r="G5159" s="54"/>
      <c r="H5159" s="54"/>
      <c r="I5159" s="54"/>
      <c r="J5159" s="54"/>
      <c r="K5159" s="54"/>
      <c r="L5159" s="55">
        <f t="shared" ref="L5159" si="271">SUM(G5159:K5159)</f>
        <v>0</v>
      </c>
      <c r="M5159" s="56" t="str">
        <f>IF(F5136&gt;ENTRY!$D$24,"",IF(L5159=0,"",IF(L5159&gt;79,"A",IF(L5159&gt;59,"B",IF(L5159&gt;44,"C",IF(L5159&gt;=33,"D",IF(L5159&lt;=32,"E","")))))))</f>
        <v/>
      </c>
      <c r="N5159" s="58"/>
      <c r="O5159" s="58"/>
      <c r="P5159" s="59"/>
      <c r="Q5159" s="19"/>
      <c r="R5159" s="11"/>
    </row>
    <row r="5160" s="1" customFormat="1" ht="21.95" customHeight="1" spans="1:18">
      <c r="A5160" s="7"/>
      <c r="B5160" s="12"/>
      <c r="C5160" s="33"/>
      <c r="D5160" s="45" t="s">
        <v>382</v>
      </c>
      <c r="E5160" s="46"/>
      <c r="F5160" s="54">
        <f ca="1" t="shared" ref="F5160:L5160" si="272">IFERROR(SUM(F5153:F5159),"")</f>
        <v>0</v>
      </c>
      <c r="G5160" s="54">
        <f ca="1" t="shared" si="272"/>
        <v>0</v>
      </c>
      <c r="H5160" s="54">
        <f ca="1" t="shared" si="272"/>
        <v>0</v>
      </c>
      <c r="I5160" s="54">
        <f ca="1" t="shared" si="272"/>
        <v>0</v>
      </c>
      <c r="J5160" s="54">
        <f ca="1" t="shared" si="272"/>
        <v>0</v>
      </c>
      <c r="K5160" s="54">
        <f ca="1" t="shared" si="272"/>
        <v>0</v>
      </c>
      <c r="L5160" s="55">
        <f ca="1" t="shared" si="272"/>
        <v>0</v>
      </c>
      <c r="M5160" s="61" t="str">
        <f ca="1">IF(F5136&gt;ENTRY!$D$24,"",IF(N5161="Ab","Ab",IF(N5161&gt;79.5,"A",IF(N5161&gt;59.5,"B",IF(N5161&gt;44.5,"C",IF(N5161&gt;=33,"D",IF(N5161&lt;33,"E","")))))))</f>
        <v/>
      </c>
      <c r="N5160" s="62"/>
      <c r="O5160" s="58"/>
      <c r="P5160" s="59"/>
      <c r="Q5160" s="19"/>
      <c r="R5160" s="11"/>
    </row>
    <row r="5161" s="1" customFormat="1" ht="21.95" customHeight="1" spans="1:18">
      <c r="A5161" s="7"/>
      <c r="B5161" s="12"/>
      <c r="C5161" s="33"/>
      <c r="D5161" s="63" t="s">
        <v>721</v>
      </c>
      <c r="E5161" s="63"/>
      <c r="F5161" s="63"/>
      <c r="G5161" s="63"/>
      <c r="H5161" s="63"/>
      <c r="I5161" s="63"/>
      <c r="J5161" s="63"/>
      <c r="K5161" s="63"/>
      <c r="L5161" s="63"/>
      <c r="M5161" s="63"/>
      <c r="N5161" s="64">
        <f ca="1">IF(L5160="Ab","Ab",L5160/6)</f>
        <v>0</v>
      </c>
      <c r="O5161" s="65"/>
      <c r="P5161" s="19"/>
      <c r="Q5161" s="19"/>
      <c r="R5161" s="11"/>
    </row>
    <row r="5162" s="1" customFormat="1" ht="21.95" customHeight="1" spans="1:18">
      <c r="A5162" s="7"/>
      <c r="B5162" s="12"/>
      <c r="C5162" s="33"/>
      <c r="D5162" s="29" t="s">
        <v>716</v>
      </c>
      <c r="E5162" s="18" t="str">
        <f>IFERROR(VLOOKUP(F5136,'1to4-2.1-RR'!$A$12:$BG$111,57,0),"")</f>
        <v/>
      </c>
      <c r="F5162" s="18"/>
      <c r="G5162" s="18"/>
      <c r="H5162" s="18"/>
      <c r="I5162" s="18"/>
      <c r="J5162" s="18"/>
      <c r="K5162" s="18"/>
      <c r="L5162" s="18"/>
      <c r="M5162" s="18"/>
      <c r="N5162" s="29"/>
      <c r="O5162" s="29"/>
      <c r="P5162" s="19"/>
      <c r="Q5162" s="19"/>
      <c r="R5162" s="11"/>
    </row>
    <row r="5163" s="1" customFormat="1" ht="9.95" customHeight="1" spans="1:18">
      <c r="A5163" s="7"/>
      <c r="B5163" s="12"/>
      <c r="C5163" s="33"/>
      <c r="D5163" s="29"/>
      <c r="E5163" s="29"/>
      <c r="F5163" s="29"/>
      <c r="G5163" s="29"/>
      <c r="H5163" s="29"/>
      <c r="I5163" s="29"/>
      <c r="J5163" s="29"/>
      <c r="K5163" s="29"/>
      <c r="L5163" s="29"/>
      <c r="M5163" s="29"/>
      <c r="N5163" s="29"/>
      <c r="O5163" s="29"/>
      <c r="P5163" s="19"/>
      <c r="Q5163" s="19"/>
      <c r="R5163" s="11"/>
    </row>
    <row r="5164" s="1" customFormat="1" ht="36" spans="1:18">
      <c r="A5164" s="7"/>
      <c r="B5164" s="12"/>
      <c r="C5164" s="33"/>
      <c r="D5164" s="66" t="s">
        <v>576</v>
      </c>
      <c r="E5164" s="67" t="s">
        <v>754</v>
      </c>
      <c r="F5164" s="47" t="str">
        <f>IF(F5136&gt;ENTRY!$D$24,"",IFERROR(VLOOKUP(F5136,PASHEET!$A$4:$CJ$103,88,0),""))</f>
        <v/>
      </c>
      <c r="G5164" s="67" t="s">
        <v>755</v>
      </c>
      <c r="H5164" s="47" t="str">
        <f>IF(F5136&gt;ENTRY!$D$24,"",IFERROR(VLOOKUP(F5136,PASHEET!$A$4:$CJ$103,87,0),""))</f>
        <v/>
      </c>
      <c r="I5164" s="68" t="s">
        <v>756</v>
      </c>
      <c r="J5164" s="69" t="str">
        <f>IF(F5136&gt;ENTRY!$D$24,"",IFERROR(IF(F5136&gt;0,H5164/F5164*100),""))</f>
        <v/>
      </c>
      <c r="K5164" s="60" t="s">
        <v>757</v>
      </c>
      <c r="L5164" s="70" t="str">
        <f ca="1">IF(F5136&gt;ENTRY!$D$24,"",IFERROR(L5160/600*100,""))</f>
        <v/>
      </c>
      <c r="M5164" s="47" t="str">
        <f ca="1">IF(F5136&gt;ENTRY!$D$24,"",IFERROR(L5160&amp;" / "&amp;"600",""))</f>
        <v/>
      </c>
      <c r="N5164" s="29"/>
      <c r="O5164" s="29"/>
      <c r="P5164" s="19"/>
      <c r="Q5164" s="19"/>
      <c r="R5164" s="11"/>
    </row>
    <row r="5165" s="1" customFormat="1" ht="9.95" customHeight="1" spans="1:18">
      <c r="A5165" s="7"/>
      <c r="B5165" s="12"/>
      <c r="C5165" s="39"/>
      <c r="D5165" s="40"/>
      <c r="E5165" s="40"/>
      <c r="F5165" s="40"/>
      <c r="G5165" s="40"/>
      <c r="H5165" s="40"/>
      <c r="I5165" s="40"/>
      <c r="J5165" s="40"/>
      <c r="K5165" s="40"/>
      <c r="L5165" s="40"/>
      <c r="M5165" s="40"/>
      <c r="N5165" s="40"/>
      <c r="O5165" s="40"/>
      <c r="P5165" s="41"/>
      <c r="Q5165" s="19"/>
      <c r="R5165" s="11"/>
    </row>
    <row r="5166" s="1" customFormat="1" ht="9.95" customHeight="1" spans="1:18">
      <c r="A5166" s="7"/>
      <c r="B5166" s="12"/>
      <c r="C5166" s="71"/>
      <c r="D5166" s="71"/>
      <c r="E5166" s="71"/>
      <c r="F5166" s="29"/>
      <c r="G5166" s="71"/>
      <c r="H5166" s="71"/>
      <c r="I5166" s="71"/>
      <c r="J5166" s="71"/>
      <c r="K5166" s="71"/>
      <c r="L5166" s="71"/>
      <c r="M5166" s="71"/>
      <c r="N5166" s="71"/>
      <c r="O5166" s="71"/>
      <c r="P5166" s="71"/>
      <c r="Q5166" s="19"/>
      <c r="R5166" s="11"/>
    </row>
    <row r="5167" s="1" customFormat="1" ht="9.95" customHeight="1" spans="1:18">
      <c r="A5167" s="7"/>
      <c r="B5167" s="12"/>
      <c r="C5167" s="29"/>
      <c r="D5167" s="29"/>
      <c r="E5167" s="29"/>
      <c r="F5167" s="72"/>
      <c r="G5167" s="29"/>
      <c r="H5167" s="29"/>
      <c r="I5167" s="29"/>
      <c r="J5167" s="29"/>
      <c r="K5167" s="29"/>
      <c r="L5167" s="29"/>
      <c r="M5167" s="29"/>
      <c r="N5167" s="29"/>
      <c r="O5167" s="29"/>
      <c r="P5167" s="29"/>
      <c r="Q5167" s="19"/>
      <c r="R5167" s="11"/>
    </row>
    <row r="5168" s="1" customFormat="1" ht="9.95" customHeight="1" spans="1:18">
      <c r="A5168" s="7"/>
      <c r="B5168" s="12"/>
      <c r="C5168" s="30"/>
      <c r="D5168" s="31"/>
      <c r="E5168" s="31"/>
      <c r="F5168" s="31"/>
      <c r="G5168" s="31"/>
      <c r="H5168" s="31"/>
      <c r="I5168" s="31"/>
      <c r="J5168" s="31"/>
      <c r="K5168" s="31"/>
      <c r="L5168" s="31"/>
      <c r="M5168" s="31"/>
      <c r="N5168" s="31"/>
      <c r="O5168" s="31"/>
      <c r="P5168" s="32"/>
      <c r="Q5168" s="19"/>
      <c r="R5168" s="11"/>
    </row>
    <row r="5169" s="1" customFormat="1" ht="21.95" customHeight="1" spans="1:19">
      <c r="A5169" s="7"/>
      <c r="B5169" s="12"/>
      <c r="C5169" s="73" t="s">
        <v>7</v>
      </c>
      <c r="D5169" s="13"/>
      <c r="E5169" s="13"/>
      <c r="F5169" s="13"/>
      <c r="G5169" s="13"/>
      <c r="H5169" s="13"/>
      <c r="I5169" s="13"/>
      <c r="J5169" s="13"/>
      <c r="K5169" s="13"/>
      <c r="L5169" s="13"/>
      <c r="M5169" s="13"/>
      <c r="N5169" s="13"/>
      <c r="O5169" s="13"/>
      <c r="P5169" s="74"/>
      <c r="Q5169" s="19"/>
      <c r="R5169" s="11"/>
      <c r="S5169" s="2"/>
    </row>
    <row r="5170" s="1" customFormat="1" ht="21.95" customHeight="1" spans="1:19">
      <c r="A5170" s="7"/>
      <c r="B5170" s="12"/>
      <c r="C5170" s="33"/>
      <c r="D5170" s="29"/>
      <c r="E5170" s="29"/>
      <c r="F5170" s="29"/>
      <c r="G5170" s="29"/>
      <c r="H5170" s="29"/>
      <c r="I5170" s="29"/>
      <c r="J5170" s="29"/>
      <c r="K5170" s="29"/>
      <c r="L5170" s="29"/>
      <c r="M5170" s="29"/>
      <c r="N5170" s="29"/>
      <c r="O5170" s="29"/>
      <c r="P5170" s="19"/>
      <c r="Q5170" s="19"/>
      <c r="R5170" s="11"/>
    </row>
    <row r="5171" s="1" customFormat="1" ht="21.95" customHeight="1" spans="1:19">
      <c r="A5171" s="7"/>
      <c r="B5171" s="12"/>
      <c r="C5171" s="75" t="str">
        <f>"SESSION-"&amp;ENTRY!$D$11</f>
        <v>SESSION-2026-27</v>
      </c>
      <c r="D5171" s="15"/>
      <c r="E5171" s="15"/>
      <c r="F5171" s="15"/>
      <c r="G5171" s="15"/>
      <c r="H5171" s="15"/>
      <c r="I5171" s="15"/>
      <c r="J5171" s="15"/>
      <c r="K5171" s="15"/>
      <c r="L5171" s="15"/>
      <c r="M5171" s="15"/>
      <c r="N5171" s="15"/>
      <c r="O5171" s="15"/>
      <c r="P5171" s="76"/>
      <c r="Q5171" s="19"/>
      <c r="R5171" s="11"/>
    </row>
    <row r="5172" s="1" customFormat="1" ht="18" customHeight="1" spans="1:19">
      <c r="A5172" s="7"/>
      <c r="B5172" s="12"/>
      <c r="C5172" s="33"/>
      <c r="D5172" s="29"/>
      <c r="E5172" s="29"/>
      <c r="F5172" s="29"/>
      <c r="G5172" s="29"/>
      <c r="H5172" s="29"/>
      <c r="I5172" s="29"/>
      <c r="J5172" s="29"/>
      <c r="K5172" s="29"/>
      <c r="L5172" s="29"/>
      <c r="M5172" s="29"/>
      <c r="N5172" s="29"/>
      <c r="O5172" s="29"/>
      <c r="P5172" s="19"/>
      <c r="Q5172" s="19"/>
      <c r="R5172" s="11"/>
    </row>
    <row r="5173" s="1" customFormat="1" ht="21.95" customHeight="1" spans="1:19">
      <c r="A5173" s="7"/>
      <c r="B5173" s="12"/>
      <c r="C5173" s="33"/>
      <c r="D5173" s="77" t="s">
        <v>758</v>
      </c>
      <c r="E5173" s="77"/>
      <c r="F5173" s="78" t="str">
        <f>IFERROR(PROPER(VLOOKUP(F5136,STUDENT!$A$2:$BP$101,5,0)),"")</f>
        <v/>
      </c>
      <c r="G5173" s="78"/>
      <c r="H5173" s="78"/>
      <c r="I5173" s="78"/>
      <c r="J5173" s="78"/>
      <c r="K5173" s="78"/>
      <c r="L5173" s="78"/>
      <c r="M5173" s="78"/>
      <c r="N5173" s="79" t="s">
        <v>759</v>
      </c>
      <c r="O5173" s="79"/>
      <c r="P5173" s="19"/>
      <c r="Q5173" s="19"/>
      <c r="R5173" s="11"/>
    </row>
    <row r="5174" s="1" customFormat="1" ht="21.95" customHeight="1" spans="1:19">
      <c r="A5174" s="7"/>
      <c r="B5174" s="12"/>
      <c r="C5174" s="33"/>
      <c r="D5174" s="80" t="s">
        <v>760</v>
      </c>
      <c r="E5174" s="81" t="str">
        <f>IFERROR(PROPER(VLOOKUP(F5136,STUDENT!$A$2:$BP$101,9,0)),"")</f>
        <v/>
      </c>
      <c r="F5174" s="81"/>
      <c r="G5174" s="81"/>
      <c r="H5174" s="80" t="s">
        <v>761</v>
      </c>
      <c r="I5174" s="82" t="str">
        <f>IFERROR(PROPER(VLOOKUP(F5136,STUDENT!$A$2:$BP$101,8,0)),"")</f>
        <v/>
      </c>
      <c r="J5174" s="82"/>
      <c r="K5174" s="82"/>
      <c r="L5174" s="82"/>
      <c r="M5174" s="80" t="s">
        <v>762</v>
      </c>
      <c r="N5174" s="83" t="str">
        <f>IFERROR(VLOOKUP(F5136,STUDENT!$A$2:$BP$101,59,0),"")</f>
        <v/>
      </c>
      <c r="O5174" s="83"/>
      <c r="P5174" s="19"/>
      <c r="Q5174" s="19"/>
      <c r="R5174" s="11"/>
    </row>
    <row r="5175" s="1" customFormat="1" ht="21.95" customHeight="1" spans="1:19">
      <c r="A5175" s="7"/>
      <c r="B5175" s="12"/>
      <c r="C5175" s="33"/>
      <c r="D5175" s="77" t="str">
        <f>"has    completed     his  /  her     primary     level     education    in    the    year    "&amp;RIGHT(ENTRY!$D5141,4)&amp;"    from    ( School    Name )"</f>
        <v>has    completed     his  /  her     primary     level     education    in    the    year        from    ( School    Name )</v>
      </c>
      <c r="E5175" s="77"/>
      <c r="F5175" s="77"/>
      <c r="G5175" s="77"/>
      <c r="H5175" s="77"/>
      <c r="I5175" s="77"/>
      <c r="J5175" s="77"/>
      <c r="K5175" s="77"/>
      <c r="L5175" s="77"/>
      <c r="M5175" s="77"/>
      <c r="N5175" s="77"/>
      <c r="O5175" s="77"/>
      <c r="P5175" s="19"/>
      <c r="Q5175" s="19"/>
      <c r="R5175" s="11"/>
    </row>
    <row r="5176" s="1" customFormat="1" ht="21.95" customHeight="1" spans="1:19">
      <c r="A5176" s="7"/>
      <c r="B5176" s="12"/>
      <c r="C5176" s="33"/>
      <c r="D5176" s="81" t="str">
        <f>IF(F5136&gt;0,ENTRY!$D$6,"")</f>
        <v>MCP NITHARI NO 1 BOYS</v>
      </c>
      <c r="E5176" s="81"/>
      <c r="F5176" s="81"/>
      <c r="G5176" s="81"/>
      <c r="H5176" s="81"/>
      <c r="I5176" s="81"/>
      <c r="J5176" s="81"/>
      <c r="K5176" s="81"/>
      <c r="L5176" s="81"/>
      <c r="M5176" s="80" t="s">
        <v>763</v>
      </c>
      <c r="N5176" s="84">
        <f>IF(F5136&gt;0,ENTRY!$D$7,"")</f>
        <v>0</v>
      </c>
      <c r="O5176" s="84"/>
      <c r="P5176" s="85" t="s">
        <v>727</v>
      </c>
      <c r="Q5176" s="19"/>
      <c r="R5176" s="11"/>
    </row>
    <row r="5177" s="1" customFormat="1" ht="21.95" customHeight="1" spans="1:19">
      <c r="A5177" s="7"/>
      <c r="B5177" s="12"/>
      <c r="C5177" s="33"/>
      <c r="D5177" s="29"/>
      <c r="E5177" s="29"/>
      <c r="F5177" s="29"/>
      <c r="G5177" s="29"/>
      <c r="H5177" s="29"/>
      <c r="I5177" s="29"/>
      <c r="J5177" s="29"/>
      <c r="K5177" s="29"/>
      <c r="L5177" s="29"/>
      <c r="M5177" s="29"/>
      <c r="N5177" s="29"/>
      <c r="O5177" s="29"/>
      <c r="P5177" s="19"/>
      <c r="Q5177" s="19"/>
      <c r="R5177" s="11"/>
    </row>
    <row r="5178" s="1" customFormat="1" ht="21.95" customHeight="1" spans="1:19">
      <c r="A5178" s="7"/>
      <c r="B5178" s="12"/>
      <c r="C5178" s="33"/>
      <c r="D5178" s="29"/>
      <c r="E5178" s="29"/>
      <c r="F5178" s="29"/>
      <c r="G5178" s="29"/>
      <c r="H5178" s="29"/>
      <c r="I5178" s="29"/>
      <c r="J5178" s="29"/>
      <c r="K5178" s="29"/>
      <c r="L5178" s="29"/>
      <c r="M5178" s="29"/>
      <c r="N5178" s="29"/>
      <c r="O5178" s="29"/>
      <c r="P5178" s="19"/>
      <c r="Q5178" s="19"/>
      <c r="R5178" s="11"/>
    </row>
    <row r="5179" s="1" customFormat="1" ht="21.95" customHeight="1" spans="1:19">
      <c r="A5179" s="7"/>
      <c r="B5179" s="12"/>
      <c r="C5179" s="33"/>
      <c r="D5179" s="29"/>
      <c r="E5179" s="29"/>
      <c r="F5179" s="29"/>
      <c r="G5179" s="29"/>
      <c r="H5179" s="29"/>
      <c r="I5179" s="29"/>
      <c r="J5179" s="29"/>
      <c r="K5179" s="29"/>
      <c r="L5179" s="29"/>
      <c r="M5179" s="29"/>
      <c r="N5179" s="29"/>
      <c r="O5179" s="29"/>
      <c r="P5179" s="19"/>
      <c r="Q5179" s="19"/>
      <c r="R5179" s="11"/>
    </row>
    <row r="5180" s="1" customFormat="1" ht="21.95" customHeight="1" spans="1:19">
      <c r="A5180" s="7"/>
      <c r="B5180" s="12"/>
      <c r="C5180" s="33"/>
      <c r="D5180" s="29"/>
      <c r="E5180" s="29"/>
      <c r="F5180" s="29"/>
      <c r="G5180" s="29"/>
      <c r="H5180" s="29"/>
      <c r="I5180" s="29"/>
      <c r="J5180" s="29"/>
      <c r="K5180" s="29"/>
      <c r="L5180" s="29"/>
      <c r="M5180" s="29"/>
      <c r="N5180" s="29"/>
      <c r="O5180" s="29"/>
      <c r="P5180" s="19"/>
      <c r="Q5180" s="19"/>
      <c r="R5180" s="11"/>
    </row>
    <row r="5181" s="1" customFormat="1" ht="21.95" customHeight="1" spans="1:19">
      <c r="A5181" s="7"/>
      <c r="B5181" s="12"/>
      <c r="C5181" s="33"/>
      <c r="D5181" s="29"/>
      <c r="E5181" s="29"/>
      <c r="F5181" s="29"/>
      <c r="G5181" s="29"/>
      <c r="H5181" s="29"/>
      <c r="I5181" s="29"/>
      <c r="J5181" s="29"/>
      <c r="K5181" s="29"/>
      <c r="L5181" s="29"/>
      <c r="M5181" s="29"/>
      <c r="N5181" s="29"/>
      <c r="O5181" s="29"/>
      <c r="P5181" s="19"/>
      <c r="Q5181" s="19"/>
      <c r="R5181" s="11"/>
    </row>
    <row r="5182" s="1" customFormat="1" ht="21.95" customHeight="1" spans="1:19">
      <c r="A5182" s="7"/>
      <c r="B5182" s="12"/>
      <c r="C5182" s="33"/>
      <c r="D5182" s="80" t="s">
        <v>728</v>
      </c>
      <c r="E5182" s="86">
        <f>ENTRY!$D$27</f>
        <v>46102</v>
      </c>
      <c r="F5182" s="86"/>
      <c r="G5182" s="29"/>
      <c r="H5182" s="29"/>
      <c r="I5182" s="29"/>
      <c r="J5182" s="29"/>
      <c r="K5182" s="29"/>
      <c r="L5182" s="29"/>
      <c r="M5182" s="87" t="s">
        <v>730</v>
      </c>
      <c r="N5182" s="87"/>
      <c r="O5182" s="87"/>
      <c r="P5182" s="19"/>
      <c r="Q5182" s="19"/>
      <c r="R5182" s="11"/>
    </row>
    <row r="5183" s="1" customFormat="1" ht="21.95" customHeight="1" spans="1:19">
      <c r="A5183" s="7"/>
      <c r="B5183" s="12"/>
      <c r="C5183" s="33"/>
      <c r="D5183" s="80" t="s">
        <v>731</v>
      </c>
      <c r="E5183" s="88" t="str">
        <f>PROPER(ENTRY!$D$28)</f>
        <v>New Delhi</v>
      </c>
      <c r="F5183" s="88"/>
      <c r="G5183" s="29"/>
      <c r="H5183" s="29"/>
      <c r="I5183" s="29"/>
      <c r="J5183" s="29"/>
      <c r="K5183" s="29"/>
      <c r="L5183" s="29"/>
      <c r="M5183" s="89" t="s">
        <v>732</v>
      </c>
      <c r="N5183" s="89"/>
      <c r="O5183" s="89"/>
      <c r="P5183" s="19"/>
      <c r="Q5183" s="19"/>
      <c r="R5183" s="11"/>
    </row>
    <row r="5184" s="1" customFormat="1" ht="21.95" customHeight="1" spans="1:19">
      <c r="A5184" s="7"/>
      <c r="B5184" s="12"/>
      <c r="C5184" s="90"/>
      <c r="D5184" s="91"/>
      <c r="E5184" s="91"/>
      <c r="F5184" s="91"/>
      <c r="G5184" s="91"/>
      <c r="H5184" s="91"/>
      <c r="I5184" s="91"/>
      <c r="J5184" s="91"/>
      <c r="K5184" s="91"/>
      <c r="L5184" s="91"/>
      <c r="M5184" s="91"/>
      <c r="N5184" s="91"/>
      <c r="O5184" s="91"/>
      <c r="P5184" s="92"/>
      <c r="Q5184" s="14"/>
      <c r="R5184" s="11"/>
    </row>
    <row r="5185" s="1" customFormat="1" ht="5.1" customHeight="1" spans="1:18">
      <c r="A5185" s="7"/>
      <c r="B5185" s="90"/>
      <c r="C5185" s="91"/>
      <c r="D5185" s="91"/>
      <c r="E5185" s="91"/>
      <c r="F5185" s="91"/>
      <c r="G5185" s="91"/>
      <c r="H5185" s="91"/>
      <c r="I5185" s="91"/>
      <c r="J5185" s="91"/>
      <c r="K5185" s="91"/>
      <c r="L5185" s="91"/>
      <c r="M5185" s="91"/>
      <c r="N5185" s="91"/>
      <c r="O5185" s="91"/>
      <c r="P5185" s="91"/>
      <c r="Q5185" s="92"/>
      <c r="R5185" s="11"/>
    </row>
    <row r="5186" s="1" customFormat="1" ht="5.1" customHeight="1" spans="1:18">
      <c r="A5186" s="93"/>
      <c r="B5186" s="94"/>
      <c r="C5186" s="94"/>
      <c r="D5186" s="94"/>
      <c r="E5186" s="94"/>
      <c r="F5186" s="94"/>
      <c r="G5186" s="94"/>
      <c r="H5186" s="94"/>
      <c r="I5186" s="94"/>
      <c r="J5186" s="94"/>
      <c r="K5186" s="94"/>
      <c r="L5186" s="94"/>
      <c r="M5186" s="94"/>
      <c r="N5186" s="94"/>
      <c r="O5186" s="94"/>
      <c r="P5186" s="94"/>
      <c r="Q5186" s="94"/>
      <c r="R5186" s="95"/>
    </row>
    <row r="5187" s="2" customFormat="1" ht="9.95" customHeight="1"/>
    <row r="5188" s="1" customFormat="1" ht="5.1" customHeight="1" spans="1:18">
      <c r="A5188" s="4"/>
      <c r="B5188" s="5"/>
      <c r="C5188" s="5"/>
      <c r="D5188" s="5"/>
      <c r="E5188" s="5"/>
      <c r="F5188" s="5"/>
      <c r="G5188" s="5"/>
      <c r="H5188" s="5"/>
      <c r="I5188" s="5"/>
      <c r="J5188" s="5"/>
      <c r="K5188" s="5"/>
      <c r="L5188" s="5"/>
      <c r="M5188" s="5"/>
      <c r="N5188" s="5"/>
      <c r="O5188" s="5"/>
      <c r="P5188" s="5"/>
      <c r="Q5188" s="5"/>
      <c r="R5188" s="6"/>
    </row>
    <row r="5189" s="1" customFormat="1" ht="15" customHeight="1" spans="1:18">
      <c r="A5189" s="7"/>
      <c r="B5189" s="8"/>
      <c r="C5189" s="9"/>
      <c r="D5189" s="9"/>
      <c r="E5189" s="9"/>
      <c r="F5189" s="9"/>
      <c r="G5189" s="9"/>
      <c r="H5189" s="9"/>
      <c r="I5189" s="9"/>
      <c r="J5189" s="9"/>
      <c r="K5189" s="9"/>
      <c r="L5189" s="9"/>
      <c r="M5189" s="9"/>
      <c r="N5189" s="9"/>
      <c r="O5189" s="9"/>
      <c r="P5189" s="9"/>
      <c r="Q5189" s="10"/>
      <c r="R5189" s="11"/>
    </row>
    <row r="5190" s="1" customFormat="1" ht="21.95" customHeight="1" spans="1:18">
      <c r="A5190" s="7"/>
      <c r="B5190" s="12"/>
      <c r="C5190" s="13" t="s">
        <v>7</v>
      </c>
      <c r="D5190" s="13"/>
      <c r="E5190" s="13"/>
      <c r="F5190" s="13"/>
      <c r="G5190" s="13"/>
      <c r="H5190" s="13"/>
      <c r="I5190" s="13"/>
      <c r="J5190" s="13"/>
      <c r="K5190" s="13"/>
      <c r="L5190" s="13"/>
      <c r="M5190" s="13"/>
      <c r="N5190" s="13"/>
      <c r="O5190" s="13"/>
      <c r="P5190" s="13"/>
      <c r="Q5190" s="14"/>
      <c r="R5190" s="11"/>
    </row>
    <row r="5191" s="1" customFormat="1" ht="21.95" customHeight="1" spans="1:18">
      <c r="A5191" s="7"/>
      <c r="B5191" s="1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14"/>
      <c r="R5191" s="11"/>
    </row>
    <row r="5192" s="1" customFormat="1" ht="21.95" customHeight="1" spans="1:18">
      <c r="A5192" s="7"/>
      <c r="B5192" s="12"/>
      <c r="C5192" s="15" t="str">
        <f>"SESSION-"&amp;ENTRY!$D$11</f>
        <v>SESSION-2026-27</v>
      </c>
      <c r="D5192" s="15"/>
      <c r="E5192" s="15"/>
      <c r="F5192" s="15"/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  <c r="Q5192" s="14"/>
      <c r="R5192" s="11"/>
    </row>
    <row r="5193" s="1" customFormat="1" ht="21.95" customHeight="1" spans="1:18">
      <c r="A5193" s="7"/>
      <c r="B5193" s="12"/>
      <c r="C5193" s="2"/>
      <c r="D5193" s="2"/>
      <c r="E5193" s="2"/>
      <c r="F5193" s="16">
        <f>F5136+1</f>
        <v>92</v>
      </c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14"/>
      <c r="R5193" s="11"/>
    </row>
    <row r="5194" s="1" customFormat="1" ht="21.95" customHeight="1" spans="1:18">
      <c r="A5194" s="7"/>
      <c r="B5194" s="12"/>
      <c r="C5194" s="17" t="s">
        <v>392</v>
      </c>
      <c r="D5194" s="17"/>
      <c r="E5194" s="17"/>
      <c r="F5194" s="18" t="str">
        <f>IF(F5193&gt;0,ENTRY!$D$6,"")</f>
        <v>MCP NITHARI NO 1 BOYS</v>
      </c>
      <c r="G5194" s="18"/>
      <c r="H5194" s="18"/>
      <c r="I5194" s="18"/>
      <c r="J5194" s="18"/>
      <c r="K5194" s="18"/>
      <c r="L5194" s="18"/>
      <c r="M5194" s="18"/>
      <c r="N5194" s="18"/>
      <c r="O5194" s="18"/>
      <c r="P5194" s="18"/>
      <c r="Q5194" s="19"/>
      <c r="R5194" s="11"/>
    </row>
    <row r="5195" s="1" customFormat="1" ht="21.95" customHeight="1" spans="1:18">
      <c r="A5195" s="7"/>
      <c r="B5195" s="12"/>
      <c r="C5195" s="17" t="s">
        <v>393</v>
      </c>
      <c r="D5195" s="17"/>
      <c r="E5195" s="17"/>
      <c r="F5195" s="18">
        <f>IF(F5193&gt;0,ENTRY!$D$7,"")</f>
        <v>0</v>
      </c>
      <c r="G5195" s="18"/>
      <c r="H5195" s="20" t="s">
        <v>702</v>
      </c>
      <c r="I5195" s="20"/>
      <c r="J5195" s="21">
        <f>IF(F5193&gt;0,ENTRY!$D$10,"")</f>
        <v>40</v>
      </c>
      <c r="K5195" s="20" t="s">
        <v>703</v>
      </c>
      <c r="L5195" s="22" t="str">
        <f>IF(F5193&gt;0,ENTRY!$D$5,"")</f>
        <v>ROHINI ZONE</v>
      </c>
      <c r="M5195" s="22"/>
      <c r="N5195" s="22"/>
      <c r="O5195" s="22"/>
      <c r="P5195" s="22"/>
      <c r="Q5195" s="19"/>
      <c r="R5195" s="11"/>
    </row>
    <row r="5196" s="1" customFormat="1" ht="21.95" customHeight="1" spans="1:18">
      <c r="A5196" s="7"/>
      <c r="B5196" s="12"/>
      <c r="C5196" s="17" t="s">
        <v>706</v>
      </c>
      <c r="D5196" s="17"/>
      <c r="E5196" s="17"/>
      <c r="F5196" s="23">
        <f>IFERROR(VLOOKUP(F5193,STUDENT!$A$2:$BP$101,5,0),"")</f>
        <v>0</v>
      </c>
      <c r="G5196" s="23"/>
      <c r="H5196" s="23"/>
      <c r="I5196" s="23"/>
      <c r="J5196" s="23"/>
      <c r="K5196" s="23"/>
      <c r="L5196" s="20" t="s">
        <v>707</v>
      </c>
      <c r="M5196" s="20"/>
      <c r="N5196" s="24" t="str">
        <f>IF(F5193&gt;0,ENTRY!$D$20&amp;"-"&amp;ENTRY!$D$21,"")</f>
        <v>III-A</v>
      </c>
      <c r="O5196" s="24"/>
      <c r="P5196" s="24"/>
      <c r="Q5196" s="19"/>
      <c r="R5196" s="11"/>
    </row>
    <row r="5197" s="1" customFormat="1" ht="21.95" customHeight="1" spans="1:18">
      <c r="A5197" s="7"/>
      <c r="B5197" s="12"/>
      <c r="C5197" s="17" t="s">
        <v>708</v>
      </c>
      <c r="D5197" s="17"/>
      <c r="E5197" s="17"/>
      <c r="F5197" s="25">
        <f>IFERROR(VLOOKUP(F5193,STUDENT!$A$2:$BP$101,6,0),"")</f>
        <v>0</v>
      </c>
      <c r="G5197" s="25"/>
      <c r="H5197" s="26" t="s">
        <v>709</v>
      </c>
      <c r="I5197" s="27" t="str">
        <f>IFERROR(VLOOKUP(F5193,STUDENT!$A$2:$BP$101,59,0),"")</f>
        <v/>
      </c>
      <c r="J5197" s="27"/>
      <c r="K5197" s="20" t="s">
        <v>710</v>
      </c>
      <c r="L5197" s="20"/>
      <c r="M5197" s="28">
        <f>IFERROR(VLOOKUP(F5193,STUDENT!$A$2:$BP$101,20,0),"")</f>
        <v>0</v>
      </c>
      <c r="N5197" s="28"/>
      <c r="O5197" s="28"/>
      <c r="P5197" s="28"/>
      <c r="Q5197" s="19"/>
      <c r="R5197" s="11"/>
    </row>
    <row r="5198" s="1" customFormat="1" ht="21.95" customHeight="1" spans="1:18">
      <c r="A5198" s="7"/>
      <c r="B5198" s="12"/>
      <c r="C5198" s="17" t="s">
        <v>711</v>
      </c>
      <c r="D5198" s="17"/>
      <c r="E5198" s="17"/>
      <c r="F5198" s="23">
        <f>IFERROR(VLOOKUP(F5193,STUDENT!$A$2:$BP$101,9,0),"")</f>
        <v>0</v>
      </c>
      <c r="G5198" s="23"/>
      <c r="H5198" s="23"/>
      <c r="I5198" s="23"/>
      <c r="J5198" s="17" t="s">
        <v>620</v>
      </c>
      <c r="K5198" s="17"/>
      <c r="L5198" s="23">
        <f>IFERROR(VLOOKUP(F5193,STUDENT!$A$2:$BP$101,8,0),"")</f>
        <v>0</v>
      </c>
      <c r="M5198" s="23"/>
      <c r="N5198" s="23"/>
      <c r="O5198" s="23"/>
      <c r="P5198" s="23"/>
      <c r="Q5198" s="19"/>
      <c r="R5198" s="11"/>
    </row>
    <row r="5199" s="1" customFormat="1" ht="21.95" customHeight="1" spans="1:18">
      <c r="A5199" s="7"/>
      <c r="B5199" s="12"/>
      <c r="C5199" s="17" t="s">
        <v>712</v>
      </c>
      <c r="D5199" s="17"/>
      <c r="E5199" s="17"/>
      <c r="F5199" s="23">
        <f>IFERROR(VLOOKUP(F5193,STUDENT!$A$2:$BP$101,22,0),"")</f>
        <v>0</v>
      </c>
      <c r="G5199" s="23"/>
      <c r="H5199" s="23"/>
      <c r="I5199" s="23"/>
      <c r="J5199" s="23"/>
      <c r="K5199" s="23"/>
      <c r="L5199" s="23"/>
      <c r="M5199" s="23"/>
      <c r="N5199" s="23"/>
      <c r="O5199" s="23"/>
      <c r="P5199" s="23"/>
      <c r="Q5199" s="19"/>
      <c r="R5199" s="11"/>
    </row>
    <row r="5200" s="1" customFormat="1" ht="9.95" customHeight="1" spans="1:18">
      <c r="A5200" s="7"/>
      <c r="B5200" s="12"/>
      <c r="C5200" s="29"/>
      <c r="D5200" s="29"/>
      <c r="E5200" s="29"/>
      <c r="F5200" s="29"/>
      <c r="G5200" s="29"/>
      <c r="H5200" s="29"/>
      <c r="I5200" s="29"/>
      <c r="J5200" s="29"/>
      <c r="K5200" s="29"/>
      <c r="L5200" s="29"/>
      <c r="M5200" s="29"/>
      <c r="N5200" s="29"/>
      <c r="O5200" s="29"/>
      <c r="P5200" s="29"/>
      <c r="Q5200" s="19"/>
      <c r="R5200" s="11"/>
    </row>
    <row r="5201" s="1" customFormat="1" ht="9.95" customHeight="1" spans="1:18">
      <c r="A5201" s="7"/>
      <c r="B5201" s="12"/>
      <c r="C5201" s="30"/>
      <c r="D5201" s="31"/>
      <c r="E5201" s="31"/>
      <c r="F5201" s="31"/>
      <c r="G5201" s="31"/>
      <c r="H5201" s="31"/>
      <c r="I5201" s="31"/>
      <c r="J5201" s="31"/>
      <c r="K5201" s="31"/>
      <c r="L5201" s="31"/>
      <c r="M5201" s="31"/>
      <c r="N5201" s="31"/>
      <c r="O5201" s="31"/>
      <c r="P5201" s="32"/>
      <c r="Q5201" s="19"/>
      <c r="R5201" s="11"/>
    </row>
    <row r="5202" s="1" customFormat="1" ht="21.95" customHeight="1" spans="1:18">
      <c r="A5202" s="7"/>
      <c r="B5202" s="12"/>
      <c r="C5202" s="33"/>
      <c r="D5202" s="34" t="s">
        <v>713</v>
      </c>
      <c r="E5202" s="20" t="s">
        <v>714</v>
      </c>
      <c r="F5202" s="35" t="str">
        <f>"Level - "&amp;IFERROR(VLOOKUP(F5193,FLN!$A$4:$K$103,9,0),"")</f>
        <v>Level - </v>
      </c>
      <c r="G5202" s="36"/>
      <c r="H5202" s="37" t="s">
        <v>715</v>
      </c>
      <c r="I5202" s="20"/>
      <c r="J5202" s="35" t="str">
        <f>"Level - "&amp;IFERROR(VLOOKUP(F5193,FLN!$A$4:$K$103,11,0),"")</f>
        <v>Level - </v>
      </c>
      <c r="K5202" s="36"/>
      <c r="L5202" s="37" t="s">
        <v>408</v>
      </c>
      <c r="M5202" s="20"/>
      <c r="N5202" s="35" t="str">
        <f>"Level - "&amp;IFERROR(VLOOKUP(F5193,FLN!$A$4:$K$103,10,0),"")</f>
        <v>Level - </v>
      </c>
      <c r="O5202" s="36"/>
      <c r="P5202" s="19"/>
      <c r="Q5202" s="19"/>
      <c r="R5202" s="11"/>
    </row>
    <row r="5203" s="1" customFormat="1" ht="21.95" customHeight="1" spans="1:18">
      <c r="A5203" s="7"/>
      <c r="B5203" s="12"/>
      <c r="C5203" s="33"/>
      <c r="D5203" s="38"/>
      <c r="E5203" s="20" t="s">
        <v>716</v>
      </c>
      <c r="F5203" s="18" t="str">
        <f ca="1">IF(L5217&gt;197,"PERFORMED WELL","")</f>
        <v/>
      </c>
      <c r="G5203" s="18"/>
      <c r="H5203" s="18"/>
      <c r="I5203" s="18"/>
      <c r="J5203" s="18"/>
      <c r="K5203" s="18"/>
      <c r="L5203" s="18"/>
      <c r="M5203" s="18"/>
      <c r="N5203" s="18"/>
      <c r="O5203" s="18"/>
      <c r="P5203" s="19"/>
      <c r="Q5203" s="19"/>
      <c r="R5203" s="11"/>
    </row>
    <row r="5204" s="1" customFormat="1" ht="9.95" customHeight="1" spans="1:18">
      <c r="A5204" s="7"/>
      <c r="B5204" s="12"/>
      <c r="C5204" s="39"/>
      <c r="D5204" s="40"/>
      <c r="E5204" s="40"/>
      <c r="F5204" s="40"/>
      <c r="G5204" s="40"/>
      <c r="H5204" s="40"/>
      <c r="I5204" s="40"/>
      <c r="J5204" s="40"/>
      <c r="K5204" s="40"/>
      <c r="L5204" s="40"/>
      <c r="M5204" s="40"/>
      <c r="N5204" s="40"/>
      <c r="O5204" s="40"/>
      <c r="P5204" s="41"/>
      <c r="Q5204" s="19"/>
      <c r="R5204" s="11"/>
    </row>
    <row r="5205" s="1" customFormat="1" ht="9.95" customHeight="1" spans="1:18">
      <c r="A5205" s="7"/>
      <c r="B5205" s="12"/>
      <c r="C5205" s="29"/>
      <c r="D5205" s="29"/>
      <c r="E5205" s="29"/>
      <c r="F5205" s="29"/>
      <c r="G5205" s="29"/>
      <c r="H5205" s="29"/>
      <c r="I5205" s="29"/>
      <c r="J5205" s="29"/>
      <c r="K5205" s="29"/>
      <c r="L5205" s="29"/>
      <c r="M5205" s="29"/>
      <c r="N5205" s="29"/>
      <c r="O5205" s="29"/>
      <c r="P5205" s="29"/>
      <c r="Q5205" s="19"/>
      <c r="R5205" s="11"/>
    </row>
    <row r="5206" s="1" customFormat="1" ht="9.95" customHeight="1" spans="1:18">
      <c r="A5206" s="7"/>
      <c r="B5206" s="12"/>
      <c r="C5206" s="30"/>
      <c r="D5206" s="31"/>
      <c r="E5206" s="31"/>
      <c r="F5206" s="31"/>
      <c r="G5206" s="31"/>
      <c r="H5206" s="31"/>
      <c r="I5206" s="31"/>
      <c r="J5206" s="31"/>
      <c r="K5206" s="31"/>
      <c r="L5206" s="31"/>
      <c r="M5206" s="31"/>
      <c r="N5206" s="31"/>
      <c r="O5206" s="31"/>
      <c r="P5206" s="32"/>
      <c r="Q5206" s="19"/>
      <c r="R5206" s="11"/>
    </row>
    <row r="5207" s="1" customFormat="1" ht="21.95" customHeight="1" spans="1:18">
      <c r="A5207" s="7"/>
      <c r="B5207" s="12"/>
      <c r="C5207" s="33"/>
      <c r="D5207" s="35"/>
      <c r="E5207" s="24"/>
      <c r="F5207" s="42" t="s">
        <v>717</v>
      </c>
      <c r="G5207" s="42"/>
      <c r="H5207" s="42"/>
      <c r="I5207" s="42"/>
      <c r="J5207" s="42"/>
      <c r="K5207" s="42"/>
      <c r="L5207" s="43"/>
      <c r="M5207" s="44"/>
      <c r="N5207" s="29"/>
      <c r="O5207" s="29"/>
      <c r="P5207" s="19"/>
      <c r="Q5207" s="19"/>
      <c r="R5207" s="11"/>
    </row>
    <row r="5208" s="1" customFormat="1" ht="21.95" customHeight="1" spans="1:18">
      <c r="A5208" s="7"/>
      <c r="B5208" s="12"/>
      <c r="C5208" s="33"/>
      <c r="D5208" s="45"/>
      <c r="E5208" s="46"/>
      <c r="F5208" s="47" t="s">
        <v>541</v>
      </c>
      <c r="G5208" s="47" t="s">
        <v>542</v>
      </c>
      <c r="H5208" s="47" t="s">
        <v>543</v>
      </c>
      <c r="I5208" s="47" t="s">
        <v>544</v>
      </c>
      <c r="J5208" s="47" t="s">
        <v>561</v>
      </c>
      <c r="K5208" s="48" t="s">
        <v>750</v>
      </c>
      <c r="L5208" s="47" t="s">
        <v>382</v>
      </c>
      <c r="M5208" s="49" t="s">
        <v>546</v>
      </c>
      <c r="N5208" s="29"/>
      <c r="O5208" s="29"/>
      <c r="P5208" s="19"/>
      <c r="Q5208" s="19"/>
      <c r="R5208" s="11"/>
    </row>
    <row r="5209" s="1" customFormat="1" ht="21.95" customHeight="1" spans="1:18">
      <c r="A5209" s="7"/>
      <c r="B5209" s="12"/>
      <c r="C5209" s="33"/>
      <c r="D5209" s="45" t="s">
        <v>652</v>
      </c>
      <c r="E5209" s="46"/>
      <c r="F5209" s="50">
        <v>10</v>
      </c>
      <c r="G5209" s="50">
        <v>10</v>
      </c>
      <c r="H5209" s="50">
        <v>10</v>
      </c>
      <c r="I5209" s="50">
        <v>10</v>
      </c>
      <c r="J5209" s="50">
        <v>60</v>
      </c>
      <c r="K5209" s="51"/>
      <c r="L5209" s="50">
        <v>100</v>
      </c>
      <c r="M5209" s="49"/>
      <c r="N5209" s="29"/>
      <c r="O5209" s="29"/>
      <c r="P5209" s="19"/>
      <c r="Q5209" s="19"/>
      <c r="R5209" s="11"/>
    </row>
    <row r="5210" s="1" customFormat="1" ht="21.95" customHeight="1" spans="1:18">
      <c r="A5210" s="7"/>
      <c r="B5210" s="12"/>
      <c r="C5210" s="33"/>
      <c r="D5210" s="52" t="s">
        <v>751</v>
      </c>
      <c r="E5210" s="53"/>
      <c r="F5210" s="54" t="str">
        <f ca="1">IFERROR(VLOOKUP(F5193,'RR-3.1-5TH'!$A$12:'RR-3.1-5TH'!$BN$111,9,0),"")</f>
        <v/>
      </c>
      <c r="G5210" s="54" t="str">
        <f ca="1">IFERROR(VLOOKUP(F5193,'RR-3.1-5TH'!$A$12:'RR-3.1-5TH'!$BN$111,10,0),"")</f>
        <v/>
      </c>
      <c r="H5210" s="54" t="str">
        <f ca="1">IFERROR(VLOOKUP(F5193,'RR-3.1-5TH'!$A$12:'RR-3.1-5TH'!$BN$111,11,0),"")</f>
        <v/>
      </c>
      <c r="I5210" s="54" t="str">
        <f ca="1">IFERROR(VLOOKUP(F5193,'RR-3.1-5TH'!$A$12:'RR-3.1-5TH'!$BN$111,12,0),"")</f>
        <v/>
      </c>
      <c r="J5210" s="54" t="str">
        <f ca="1">IFERROR(VLOOKUP(F5193,'RR-3.1-5TH'!$A$12:'RR-3.1-5TH'!$BN$111,13,0),"")</f>
        <v/>
      </c>
      <c r="K5210" s="54" t="str">
        <f ca="1">IFERROR(VLOOKUP(F5193,'RR-3.1-5TH'!$A$12:'RR-3.1-5TH'!$BN$111,14,0),"")</f>
        <v/>
      </c>
      <c r="L5210" s="55">
        <f ca="1" t="shared" ref="L5210:L5215" si="273">SUM(F5210,G5210,H5210,I5210,J5210,K5210)</f>
        <v>0</v>
      </c>
      <c r="M5210" s="56" t="str">
        <f ca="1">IF(F5193&gt;ENTRY!$D$24,"",IF(L5210=0,"Ab",IF(L5210&gt;80,"A",IF(L5210&gt;60,"B",IF(L5210&gt;44,"C",IF(L5210&gt;=33,"D",IF(L5210&lt;=32,"E","")))))))</f>
        <v/>
      </c>
      <c r="N5210" s="57" t="s">
        <v>729</v>
      </c>
      <c r="O5210" s="58"/>
      <c r="P5210" s="59"/>
      <c r="Q5210" s="19"/>
      <c r="R5210" s="11"/>
    </row>
    <row r="5211" s="1" customFormat="1" ht="21.95" customHeight="1" spans="1:18">
      <c r="A5211" s="7"/>
      <c r="B5211" s="12"/>
      <c r="C5211" s="33"/>
      <c r="D5211" s="52" t="s">
        <v>513</v>
      </c>
      <c r="E5211" s="53"/>
      <c r="F5211" s="54" t="str">
        <f ca="1">IFERROR(VLOOKUP(F5193,'RR-3.1-5TH'!$A$12:'RR-3.1-5TH'!$BN$111,17,0),"")</f>
        <v/>
      </c>
      <c r="G5211" s="54" t="str">
        <f ca="1">IFERROR(VLOOKUP(F5193,'RR-3.1-5TH'!$A$12:'RR-3.1-5TH'!$BN$111,18,0),"")</f>
        <v/>
      </c>
      <c r="H5211" s="54" t="str">
        <f ca="1">IFERROR(VLOOKUP(F5193,'RR-3.1-5TH'!$A$12:'RR-3.1-5TH'!$BN$111,19,0),"")</f>
        <v/>
      </c>
      <c r="I5211" s="54" t="str">
        <f ca="1">IFERROR(VLOOKUP(F5193,'RR-3.1-5TH'!$A$12:'RR-3.1-5TH'!$BN$111,20,0),"")</f>
        <v/>
      </c>
      <c r="J5211" s="54" t="str">
        <f ca="1">IFERROR(VLOOKUP(F5193,'RR-3.1-5TH'!$A$12:'RR-3.1-5TH'!$BN$111,21,0),"")</f>
        <v/>
      </c>
      <c r="K5211" s="54" t="str">
        <f ca="1">IFERROR(VLOOKUP(F5193,'RR-3.1-5TH'!$A$12:'RR-3.1-5TH'!$BN$111,22,0),"")</f>
        <v/>
      </c>
      <c r="L5211" s="55">
        <f ca="1" t="shared" si="273"/>
        <v>0</v>
      </c>
      <c r="M5211" s="56" t="str">
        <f ca="1">IF(F5193&gt;ENTRY!$D$24,"",IF(L5211=0,"Ab",IF(L5211&gt;80,"A",IF(L5211&gt;60,"B",IF(L5211&gt;44,"C",IF(L5211&gt;=33,"D",IF(L5211&lt;=32,"E","")))))))</f>
        <v/>
      </c>
      <c r="N5211" s="58"/>
      <c r="O5211" s="58"/>
      <c r="P5211" s="59"/>
      <c r="Q5211" s="19"/>
      <c r="R5211" s="11"/>
    </row>
    <row r="5212" s="1" customFormat="1" ht="21.95" customHeight="1" spans="1:18">
      <c r="A5212" s="7"/>
      <c r="B5212" s="12"/>
      <c r="C5212" s="33"/>
      <c r="D5212" s="52" t="s">
        <v>718</v>
      </c>
      <c r="E5212" s="53"/>
      <c r="F5212" s="54" t="str">
        <f ca="1">IFERROR(VLOOKUP(F5193,'RR-3.1-5TH'!$A$12:'RR-3.1-5TH'!$BN$111,25,0),"")</f>
        <v/>
      </c>
      <c r="G5212" s="54" t="str">
        <f ca="1">IFERROR(VLOOKUP(F5193,'RR-3.1-5TH'!$A$12:'RR-3.1-5TH'!$BN$111,26,0),"")</f>
        <v/>
      </c>
      <c r="H5212" s="54" t="str">
        <f ca="1">IFERROR(VLOOKUP(F5193,'RR-3.1-5TH'!$A$12:'RR-3.1-5TH'!$BN$111,27,0),"")</f>
        <v/>
      </c>
      <c r="I5212" s="54" t="str">
        <f ca="1">IFERROR(VLOOKUP(F5193,'RR-3.1-5TH'!$A$12:'RR-3.1-5TH'!$BN$111,28,0),"")</f>
        <v/>
      </c>
      <c r="J5212" s="54" t="str">
        <f ca="1">IFERROR(VLOOKUP(F5193,'RR-3.1-5TH'!$A$12:'RR-3.1-5TH'!$BN$111,29,0),"")</f>
        <v/>
      </c>
      <c r="K5212" s="54" t="str">
        <f ca="1">IFERROR(VLOOKUP(F5193,'RR-3.1-5TH'!$A$12:'RR-3.1-5TH'!$BN$111,30,0),"")</f>
        <v/>
      </c>
      <c r="L5212" s="55">
        <f ca="1" t="shared" si="273"/>
        <v>0</v>
      </c>
      <c r="M5212" s="56" t="str">
        <f ca="1">IF(F5193&gt;ENTRY!$D$24,"",IF(L5212=0,"Ab",IF(L5212&gt;80,"A",IF(L5212&gt;60,"B",IF(L5212&gt;44,"C",IF(L5212&gt;=33,"D",IF(L5212&lt;=32,"E","")))))))</f>
        <v/>
      </c>
      <c r="N5212" s="29"/>
      <c r="O5212" s="29"/>
      <c r="P5212" s="19"/>
      <c r="Q5212" s="19"/>
      <c r="R5212" s="11"/>
    </row>
    <row r="5213" s="1" customFormat="1" ht="21.95" customHeight="1" spans="1:18">
      <c r="A5213" s="7"/>
      <c r="B5213" s="12"/>
      <c r="C5213" s="33"/>
      <c r="D5213" s="52" t="s">
        <v>719</v>
      </c>
      <c r="E5213" s="53"/>
      <c r="F5213" s="54" t="str">
        <f ca="1">IFERROR(VLOOKUP(F5193,'RR-3.1-5TH'!$A$12:'RR-3.1-5TH'!$BN$111,33,0),"")</f>
        <v/>
      </c>
      <c r="G5213" s="54" t="str">
        <f ca="1">IFERROR(VLOOKUP(F5193,'RR-3.1-5TH'!$A$12:'RR-3.1-5TH'!$BN$111,34,0),"")</f>
        <v/>
      </c>
      <c r="H5213" s="54" t="str">
        <f ca="1">IFERROR(VLOOKUP(F5193,'RR-3.1-5TH'!$A$12:'RR-3.1-5TH'!$BN$111,35,0),"")</f>
        <v/>
      </c>
      <c r="I5213" s="54" t="str">
        <f ca="1">IFERROR(VLOOKUP(F5193,'RR-3.1-5TH'!$A$12:'RR-3.1-5TH'!$BN$111,36,0),"")</f>
        <v/>
      </c>
      <c r="J5213" s="54" t="str">
        <f ca="1">IFERROR(VLOOKUP(F5193,'RR-3.1-5TH'!$A$12:'RR-3.1-5TH'!$BN$111,37,0),"")</f>
        <v/>
      </c>
      <c r="K5213" s="54" t="str">
        <f ca="1">IFERROR(VLOOKUP(F5193,'RR-3.1-5TH'!$A$12:'RR-3.1-5TH'!$BN$111,38,0),"")</f>
        <v/>
      </c>
      <c r="L5213" s="55">
        <f ca="1" t="shared" si="273"/>
        <v>0</v>
      </c>
      <c r="M5213" s="56" t="str">
        <f ca="1">IF(F5193&gt;ENTRY!$D$24,"",IF(L5213=0,"Ab",IF(L5213&gt;80,"A",IF(L5213&gt;60,"B",IF(L5213&gt;44,"C",IF(L5213&gt;=33,"D",IF(L5213&lt;=32,"E","")))))))</f>
        <v/>
      </c>
      <c r="N5213" s="29"/>
      <c r="O5213" s="29"/>
      <c r="P5213" s="19"/>
      <c r="Q5213" s="19"/>
      <c r="R5213" s="11"/>
    </row>
    <row r="5214" s="1" customFormat="1" ht="21.95" customHeight="1" spans="1:18">
      <c r="A5214" s="7"/>
      <c r="B5214" s="12"/>
      <c r="C5214" s="33"/>
      <c r="D5214" s="52" t="s">
        <v>548</v>
      </c>
      <c r="E5214" s="53"/>
      <c r="F5214" s="54" t="str">
        <f ca="1">IFERROR(VLOOKUP(F5193,'RR-3.1-5TH'!$A$12:'RR-3.1-5TH'!$BN$111,41,0),"")</f>
        <v/>
      </c>
      <c r="G5214" s="54" t="str">
        <f ca="1">IFERROR(VLOOKUP(F5193,'RR-3.1-5TH'!$A$12:'RR-3.1-5TH'!$BN$111,42,0),"")</f>
        <v/>
      </c>
      <c r="H5214" s="54" t="str">
        <f ca="1">IFERROR(VLOOKUP(F5193,'RR-3.1-5TH'!$A$12:'RR-3.1-5TH'!$BN$111,43,0),"")</f>
        <v/>
      </c>
      <c r="I5214" s="54" t="str">
        <f ca="1">IFERROR(VLOOKUP(F5193,'RR-3.1-5TH'!$A$12:'RR-3.1-5TH'!$BN$111,44,0),"")</f>
        <v/>
      </c>
      <c r="J5214" s="54" t="str">
        <f ca="1">IFERROR(VLOOKUP(F5193,'RR-3.1-5TH'!$A$12:'RR-3.1-5TH'!$BN$111,45,0),"")</f>
        <v/>
      </c>
      <c r="K5214" s="54" t="str">
        <f ca="1">IFERROR(VLOOKUP(F5193,'RR-3.1-5TH'!$A$12:'RR-3.1-5TH'!$BN$111,46,0),"")</f>
        <v/>
      </c>
      <c r="L5214" s="55">
        <f ca="1" t="shared" si="273"/>
        <v>0</v>
      </c>
      <c r="M5214" s="56" t="str">
        <f ca="1">IF(F5193&gt;ENTRY!$D$24,"",IF(L5214=0,"Ab",IF(L5214&gt;80,"A",IF(L5214&gt;60,"B",IF(L5214&gt;44,"C",IF(L5214&gt;=33,"D",IF(L5214&lt;=32,"E","")))))))</f>
        <v/>
      </c>
      <c r="N5214" s="29"/>
      <c r="O5214" s="29"/>
      <c r="P5214" s="19"/>
      <c r="Q5214" s="19"/>
      <c r="R5214" s="11"/>
    </row>
    <row r="5215" s="1" customFormat="1" ht="21.95" customHeight="1" spans="1:18">
      <c r="A5215" s="7"/>
      <c r="B5215" s="12"/>
      <c r="C5215" s="33"/>
      <c r="D5215" s="52" t="s">
        <v>549</v>
      </c>
      <c r="E5215" s="53"/>
      <c r="F5215" s="54" t="str">
        <f ca="1">IFERROR(VLOOKUP(F5193,'RR-3.1-5TH'!$A$12:'RR-3.1-5TH'!$BN$111,49,0),"")</f>
        <v/>
      </c>
      <c r="G5215" s="54" t="str">
        <f ca="1">IFERROR(VLOOKUP(F5193,'RR-3.1-5TH'!$A$12:'RR-3.1-5TH'!$BN$111,50,0),"")</f>
        <v/>
      </c>
      <c r="H5215" s="54" t="str">
        <f ca="1">IFERROR(VLOOKUP(F5193,'RR-3.1-5TH'!$A$12:'RR-3.1-5TH'!$BN$111,51,0),"")</f>
        <v/>
      </c>
      <c r="I5215" s="54" t="str">
        <f ca="1">IFERROR(VLOOKUP(F5193,'RR-3.1-5TH'!$A$12:'RR-3.1-5TH'!$BN$111,52,0),"")</f>
        <v/>
      </c>
      <c r="J5215" s="54" t="str">
        <f ca="1">IFERROR(VLOOKUP(F5193,'RR-3.1-5TH'!$A$12:'RR-3.1-5TH'!$BN$111,53,0),"")</f>
        <v/>
      </c>
      <c r="K5215" s="54" t="str">
        <f ca="1">IFERROR(VLOOKUP(F5193,'RR-3.1-5TH'!$A$12:'RR-3.1-5TH'!$BN$111,54,0),"")</f>
        <v/>
      </c>
      <c r="L5215" s="55">
        <f ca="1" t="shared" si="273"/>
        <v>0</v>
      </c>
      <c r="M5215" s="56" t="str">
        <f ca="1">IF(F5193&gt;ENTRY!$D$24,"",IF(L5215=0,"Ab",IF(L5215&gt;80,"A",IF(L5215&gt;60,"B",IF(L5215&gt;44,"C",IF(L5215&gt;=33,"D",IF(L5215&lt;=32,"E","")))))))</f>
        <v/>
      </c>
      <c r="N5215" s="57" t="s">
        <v>752</v>
      </c>
      <c r="O5215" s="58"/>
      <c r="P5215" s="59"/>
      <c r="Q5215" s="19"/>
      <c r="R5215" s="11"/>
    </row>
    <row r="5216" s="1" customFormat="1" ht="21.95" customHeight="1" spans="1:18">
      <c r="A5216" s="7"/>
      <c r="B5216" s="12"/>
      <c r="C5216" s="33"/>
      <c r="D5216" s="52" t="s">
        <v>753</v>
      </c>
      <c r="E5216" s="53"/>
      <c r="F5216" s="60"/>
      <c r="G5216" s="54"/>
      <c r="H5216" s="54"/>
      <c r="I5216" s="54"/>
      <c r="J5216" s="54"/>
      <c r="K5216" s="54"/>
      <c r="L5216" s="55">
        <f t="shared" ref="L5216" si="274">SUM(G5216:K5216)</f>
        <v>0</v>
      </c>
      <c r="M5216" s="56" t="str">
        <f>IF(F5193&gt;ENTRY!$D$24,"",IF(L5216=0,"",IF(L5216&gt;79,"A",IF(L5216&gt;59,"B",IF(L5216&gt;44,"C",IF(L5216&gt;=33,"D",IF(L5216&lt;=32,"E","")))))))</f>
        <v/>
      </c>
      <c r="N5216" s="58"/>
      <c r="O5216" s="58"/>
      <c r="P5216" s="59"/>
      <c r="Q5216" s="19"/>
      <c r="R5216" s="11"/>
    </row>
    <row r="5217" s="1" customFormat="1" ht="21.95" customHeight="1" spans="1:19">
      <c r="A5217" s="7"/>
      <c r="B5217" s="12"/>
      <c r="C5217" s="33"/>
      <c r="D5217" s="45" t="s">
        <v>382</v>
      </c>
      <c r="E5217" s="46"/>
      <c r="F5217" s="54">
        <f ca="1" t="shared" ref="F5217:L5217" si="275">IFERROR(SUM(F5210:F5216),"")</f>
        <v>0</v>
      </c>
      <c r="G5217" s="54">
        <f ca="1" t="shared" si="275"/>
        <v>0</v>
      </c>
      <c r="H5217" s="54">
        <f ca="1" t="shared" si="275"/>
        <v>0</v>
      </c>
      <c r="I5217" s="54">
        <f ca="1" t="shared" si="275"/>
        <v>0</v>
      </c>
      <c r="J5217" s="54">
        <f ca="1" t="shared" si="275"/>
        <v>0</v>
      </c>
      <c r="K5217" s="54">
        <f ca="1" t="shared" si="275"/>
        <v>0</v>
      </c>
      <c r="L5217" s="55">
        <f ca="1" t="shared" si="275"/>
        <v>0</v>
      </c>
      <c r="M5217" s="61" t="str">
        <f ca="1">IF(F5193&gt;ENTRY!$D$24,"",IF(N5218="Ab","Ab",IF(N5218&gt;79.5,"A",IF(N5218&gt;59.5,"B",IF(N5218&gt;44.5,"C",IF(N5218&gt;=33,"D",IF(N5218&lt;33,"E","")))))))</f>
        <v/>
      </c>
      <c r="N5217" s="62"/>
      <c r="O5217" s="58"/>
      <c r="P5217" s="59"/>
      <c r="Q5217" s="19"/>
      <c r="R5217" s="11"/>
    </row>
    <row r="5218" s="1" customFormat="1" ht="21.95" customHeight="1" spans="1:19">
      <c r="A5218" s="7"/>
      <c r="B5218" s="12"/>
      <c r="C5218" s="33"/>
      <c r="D5218" s="63" t="s">
        <v>721</v>
      </c>
      <c r="E5218" s="63"/>
      <c r="F5218" s="63"/>
      <c r="G5218" s="63"/>
      <c r="H5218" s="63"/>
      <c r="I5218" s="63"/>
      <c r="J5218" s="63"/>
      <c r="K5218" s="63"/>
      <c r="L5218" s="63"/>
      <c r="M5218" s="63"/>
      <c r="N5218" s="64">
        <f ca="1">IF(L5217="Ab","Ab",L5217/6)</f>
        <v>0</v>
      </c>
      <c r="O5218" s="65"/>
      <c r="P5218" s="19"/>
      <c r="Q5218" s="19"/>
      <c r="R5218" s="11"/>
    </row>
    <row r="5219" s="1" customFormat="1" ht="21.95" customHeight="1" spans="1:19">
      <c r="A5219" s="7"/>
      <c r="B5219" s="12"/>
      <c r="C5219" s="33"/>
      <c r="D5219" s="29" t="s">
        <v>716</v>
      </c>
      <c r="E5219" s="18" t="str">
        <f>IFERROR(VLOOKUP(F5193,'1to4-2.1-RR'!$A$12:$BG$111,57,0),"")</f>
        <v/>
      </c>
      <c r="F5219" s="18"/>
      <c r="G5219" s="18"/>
      <c r="H5219" s="18"/>
      <c r="I5219" s="18"/>
      <c r="J5219" s="18"/>
      <c r="K5219" s="18"/>
      <c r="L5219" s="18"/>
      <c r="M5219" s="18"/>
      <c r="N5219" s="29"/>
      <c r="O5219" s="29"/>
      <c r="P5219" s="19"/>
      <c r="Q5219" s="19"/>
      <c r="R5219" s="11"/>
    </row>
    <row r="5220" s="1" customFormat="1" ht="9.95" customHeight="1" spans="1:19">
      <c r="A5220" s="7"/>
      <c r="B5220" s="12"/>
      <c r="C5220" s="33"/>
      <c r="D5220" s="29"/>
      <c r="E5220" s="29"/>
      <c r="F5220" s="29"/>
      <c r="G5220" s="29"/>
      <c r="H5220" s="29"/>
      <c r="I5220" s="29"/>
      <c r="J5220" s="29"/>
      <c r="K5220" s="29"/>
      <c r="L5220" s="29"/>
      <c r="M5220" s="29"/>
      <c r="N5220" s="29"/>
      <c r="O5220" s="29"/>
      <c r="P5220" s="19"/>
      <c r="Q5220" s="19"/>
      <c r="R5220" s="11"/>
    </row>
    <row r="5221" s="1" customFormat="1" ht="36" spans="1:19">
      <c r="A5221" s="7"/>
      <c r="B5221" s="12"/>
      <c r="C5221" s="33"/>
      <c r="D5221" s="66" t="s">
        <v>576</v>
      </c>
      <c r="E5221" s="67" t="s">
        <v>754</v>
      </c>
      <c r="F5221" s="47" t="str">
        <f>IF(F5193&gt;ENTRY!$D$24,"",IFERROR(VLOOKUP(F5193,PASHEET!$A$4:$CJ$103,88,0),""))</f>
        <v/>
      </c>
      <c r="G5221" s="67" t="s">
        <v>755</v>
      </c>
      <c r="H5221" s="47" t="str">
        <f>IF(F5193&gt;ENTRY!$D$24,"",IFERROR(VLOOKUP(F5193,PASHEET!$A$4:$CJ$103,87,0),""))</f>
        <v/>
      </c>
      <c r="I5221" s="68" t="s">
        <v>756</v>
      </c>
      <c r="J5221" s="69" t="str">
        <f>IF(F5193&gt;ENTRY!$D$24,"",IFERROR(IF(F5193&gt;0,H5221/F5221*100),""))</f>
        <v/>
      </c>
      <c r="K5221" s="60" t="s">
        <v>757</v>
      </c>
      <c r="L5221" s="70" t="str">
        <f ca="1">IF(F5193&gt;ENTRY!$D$24,"",IFERROR(L5217/600*100,""))</f>
        <v/>
      </c>
      <c r="M5221" s="47" t="str">
        <f ca="1">IF(F5193&gt;ENTRY!$D$24,"",IFERROR(L5217&amp;" / "&amp;"600",""))</f>
        <v/>
      </c>
      <c r="N5221" s="29"/>
      <c r="O5221" s="29"/>
      <c r="P5221" s="19"/>
      <c r="Q5221" s="19"/>
      <c r="R5221" s="11"/>
    </row>
    <row r="5222" s="1" customFormat="1" ht="9.95" customHeight="1" spans="1:19">
      <c r="A5222" s="7"/>
      <c r="B5222" s="12"/>
      <c r="C5222" s="39"/>
      <c r="D5222" s="40"/>
      <c r="E5222" s="40"/>
      <c r="F5222" s="40"/>
      <c r="G5222" s="40"/>
      <c r="H5222" s="40"/>
      <c r="I5222" s="40"/>
      <c r="J5222" s="40"/>
      <c r="K5222" s="40"/>
      <c r="L5222" s="40"/>
      <c r="M5222" s="40"/>
      <c r="N5222" s="40"/>
      <c r="O5222" s="40"/>
      <c r="P5222" s="41"/>
      <c r="Q5222" s="19"/>
      <c r="R5222" s="11"/>
    </row>
    <row r="5223" s="1" customFormat="1" ht="9.95" customHeight="1" spans="1:19">
      <c r="A5223" s="7"/>
      <c r="B5223" s="12"/>
      <c r="C5223" s="71"/>
      <c r="D5223" s="71"/>
      <c r="E5223" s="71"/>
      <c r="F5223" s="29"/>
      <c r="G5223" s="71"/>
      <c r="H5223" s="71"/>
      <c r="I5223" s="71"/>
      <c r="J5223" s="71"/>
      <c r="K5223" s="71"/>
      <c r="L5223" s="71"/>
      <c r="M5223" s="71"/>
      <c r="N5223" s="71"/>
      <c r="O5223" s="71"/>
      <c r="P5223" s="71"/>
      <c r="Q5223" s="19"/>
      <c r="R5223" s="11"/>
    </row>
    <row r="5224" s="1" customFormat="1" ht="9.95" customHeight="1" spans="1:19">
      <c r="A5224" s="7"/>
      <c r="B5224" s="12"/>
      <c r="C5224" s="29"/>
      <c r="D5224" s="29"/>
      <c r="E5224" s="29"/>
      <c r="F5224" s="72"/>
      <c r="G5224" s="29"/>
      <c r="H5224" s="29"/>
      <c r="I5224" s="29"/>
      <c r="J5224" s="29"/>
      <c r="K5224" s="29"/>
      <c r="L5224" s="29"/>
      <c r="M5224" s="29"/>
      <c r="N5224" s="29"/>
      <c r="O5224" s="29"/>
      <c r="P5224" s="29"/>
      <c r="Q5224" s="19"/>
      <c r="R5224" s="11"/>
    </row>
    <row r="5225" s="1" customFormat="1" ht="9.95" customHeight="1" spans="1:19">
      <c r="A5225" s="7"/>
      <c r="B5225" s="12"/>
      <c r="C5225" s="30"/>
      <c r="D5225" s="31"/>
      <c r="E5225" s="31"/>
      <c r="F5225" s="31"/>
      <c r="G5225" s="31"/>
      <c r="H5225" s="31"/>
      <c r="I5225" s="31"/>
      <c r="J5225" s="31"/>
      <c r="K5225" s="31"/>
      <c r="L5225" s="31"/>
      <c r="M5225" s="31"/>
      <c r="N5225" s="31"/>
      <c r="O5225" s="31"/>
      <c r="P5225" s="32"/>
      <c r="Q5225" s="19"/>
      <c r="R5225" s="11"/>
    </row>
    <row r="5226" s="1" customFormat="1" ht="21.95" customHeight="1" spans="1:19">
      <c r="A5226" s="7"/>
      <c r="B5226" s="12"/>
      <c r="C5226" s="73" t="s">
        <v>7</v>
      </c>
      <c r="D5226" s="13"/>
      <c r="E5226" s="13"/>
      <c r="F5226" s="13"/>
      <c r="G5226" s="13"/>
      <c r="H5226" s="13"/>
      <c r="I5226" s="13"/>
      <c r="J5226" s="13"/>
      <c r="K5226" s="13"/>
      <c r="L5226" s="13"/>
      <c r="M5226" s="13"/>
      <c r="N5226" s="13"/>
      <c r="O5226" s="13"/>
      <c r="P5226" s="74"/>
      <c r="Q5226" s="19"/>
      <c r="R5226" s="11"/>
      <c r="S5226" s="2"/>
    </row>
    <row r="5227" s="1" customFormat="1" ht="21.95" customHeight="1" spans="1:19">
      <c r="A5227" s="7"/>
      <c r="B5227" s="12"/>
      <c r="C5227" s="33"/>
      <c r="D5227" s="29"/>
      <c r="E5227" s="29"/>
      <c r="F5227" s="29"/>
      <c r="G5227" s="29"/>
      <c r="H5227" s="29"/>
      <c r="I5227" s="29"/>
      <c r="J5227" s="29"/>
      <c r="K5227" s="29"/>
      <c r="L5227" s="29"/>
      <c r="M5227" s="29"/>
      <c r="N5227" s="29"/>
      <c r="O5227" s="29"/>
      <c r="P5227" s="19"/>
      <c r="Q5227" s="19"/>
      <c r="R5227" s="11"/>
    </row>
    <row r="5228" s="1" customFormat="1" ht="21.95" customHeight="1" spans="1:19">
      <c r="A5228" s="7"/>
      <c r="B5228" s="12"/>
      <c r="C5228" s="75" t="str">
        <f>"SESSION-"&amp;ENTRY!$D$11</f>
        <v>SESSION-2026-27</v>
      </c>
      <c r="D5228" s="15"/>
      <c r="E5228" s="15"/>
      <c r="F5228" s="15"/>
      <c r="G5228" s="15"/>
      <c r="H5228" s="15"/>
      <c r="I5228" s="15"/>
      <c r="J5228" s="15"/>
      <c r="K5228" s="15"/>
      <c r="L5228" s="15"/>
      <c r="M5228" s="15"/>
      <c r="N5228" s="15"/>
      <c r="O5228" s="15"/>
      <c r="P5228" s="76"/>
      <c r="Q5228" s="19"/>
      <c r="R5228" s="11"/>
    </row>
    <row r="5229" s="1" customFormat="1" ht="18" customHeight="1" spans="1:19">
      <c r="A5229" s="7"/>
      <c r="B5229" s="12"/>
      <c r="C5229" s="33"/>
      <c r="D5229" s="29"/>
      <c r="E5229" s="29"/>
      <c r="F5229" s="29"/>
      <c r="G5229" s="29"/>
      <c r="H5229" s="29"/>
      <c r="I5229" s="29"/>
      <c r="J5229" s="29"/>
      <c r="K5229" s="29"/>
      <c r="L5229" s="29"/>
      <c r="M5229" s="29"/>
      <c r="N5229" s="29"/>
      <c r="O5229" s="29"/>
      <c r="P5229" s="19"/>
      <c r="Q5229" s="19"/>
      <c r="R5229" s="11"/>
    </row>
    <row r="5230" s="1" customFormat="1" ht="21.95" customHeight="1" spans="1:19">
      <c r="A5230" s="7"/>
      <c r="B5230" s="12"/>
      <c r="C5230" s="33"/>
      <c r="D5230" s="77" t="s">
        <v>758</v>
      </c>
      <c r="E5230" s="77"/>
      <c r="F5230" s="78" t="str">
        <f>IFERROR(PROPER(VLOOKUP(F5193,STUDENT!$A$2:$BP$101,5,0)),"")</f>
        <v/>
      </c>
      <c r="G5230" s="78"/>
      <c r="H5230" s="78"/>
      <c r="I5230" s="78"/>
      <c r="J5230" s="78"/>
      <c r="K5230" s="78"/>
      <c r="L5230" s="78"/>
      <c r="M5230" s="78"/>
      <c r="N5230" s="79" t="s">
        <v>759</v>
      </c>
      <c r="O5230" s="79"/>
      <c r="P5230" s="19"/>
      <c r="Q5230" s="19"/>
      <c r="R5230" s="11"/>
    </row>
    <row r="5231" s="1" customFormat="1" ht="21.95" customHeight="1" spans="1:19">
      <c r="A5231" s="7"/>
      <c r="B5231" s="12"/>
      <c r="C5231" s="33"/>
      <c r="D5231" s="80" t="s">
        <v>760</v>
      </c>
      <c r="E5231" s="81" t="str">
        <f>IFERROR(PROPER(VLOOKUP(F5193,STUDENT!$A$2:$BP$101,9,0)),"")</f>
        <v/>
      </c>
      <c r="F5231" s="81"/>
      <c r="G5231" s="81"/>
      <c r="H5231" s="80" t="s">
        <v>761</v>
      </c>
      <c r="I5231" s="82" t="str">
        <f>IFERROR(PROPER(VLOOKUP(F5193,STUDENT!$A$2:$BP$101,8,0)),"")</f>
        <v/>
      </c>
      <c r="J5231" s="82"/>
      <c r="K5231" s="82"/>
      <c r="L5231" s="82"/>
      <c r="M5231" s="80" t="s">
        <v>762</v>
      </c>
      <c r="N5231" s="83" t="str">
        <f>IFERROR(VLOOKUP(F5193,STUDENT!$A$2:$BP$101,59,0),"")</f>
        <v/>
      </c>
      <c r="O5231" s="83"/>
      <c r="P5231" s="19"/>
      <c r="Q5231" s="19"/>
      <c r="R5231" s="11"/>
    </row>
    <row r="5232" s="1" customFormat="1" ht="21.95" customHeight="1" spans="1:19">
      <c r="A5232" s="7"/>
      <c r="B5232" s="12"/>
      <c r="C5232" s="33"/>
      <c r="D5232" s="77" t="str">
        <f>"has    completed     his  /  her     primary     level     education    in    the    year    "&amp;RIGHT(ENTRY!$D5198,4)&amp;"    from    ( School    Name )"</f>
        <v>has    completed     his  /  her     primary     level     education    in    the    year        from    ( School    Name )</v>
      </c>
      <c r="E5232" s="77"/>
      <c r="F5232" s="77"/>
      <c r="G5232" s="77"/>
      <c r="H5232" s="77"/>
      <c r="I5232" s="77"/>
      <c r="J5232" s="77"/>
      <c r="K5232" s="77"/>
      <c r="L5232" s="77"/>
      <c r="M5232" s="77"/>
      <c r="N5232" s="77"/>
      <c r="O5232" s="77"/>
      <c r="P5232" s="19"/>
      <c r="Q5232" s="19"/>
      <c r="R5232" s="11"/>
    </row>
    <row r="5233" s="1" customFormat="1" ht="21.95" customHeight="1" spans="1:18">
      <c r="A5233" s="7"/>
      <c r="B5233" s="12"/>
      <c r="C5233" s="33"/>
      <c r="D5233" s="81" t="str">
        <f>IF(F5193&gt;0,ENTRY!$D$6,"")</f>
        <v>MCP NITHARI NO 1 BOYS</v>
      </c>
      <c r="E5233" s="81"/>
      <c r="F5233" s="81"/>
      <c r="G5233" s="81"/>
      <c r="H5233" s="81"/>
      <c r="I5233" s="81"/>
      <c r="J5233" s="81"/>
      <c r="K5233" s="81"/>
      <c r="L5233" s="81"/>
      <c r="M5233" s="80" t="s">
        <v>763</v>
      </c>
      <c r="N5233" s="84">
        <f>IF(F5193&gt;0,ENTRY!$D$7,"")</f>
        <v>0</v>
      </c>
      <c r="O5233" s="84"/>
      <c r="P5233" s="85" t="s">
        <v>727</v>
      </c>
      <c r="Q5233" s="19"/>
      <c r="R5233" s="11"/>
    </row>
    <row r="5234" s="1" customFormat="1" ht="21.95" customHeight="1" spans="1:18">
      <c r="A5234" s="7"/>
      <c r="B5234" s="12"/>
      <c r="C5234" s="33"/>
      <c r="D5234" s="29"/>
      <c r="E5234" s="29"/>
      <c r="F5234" s="29"/>
      <c r="G5234" s="29"/>
      <c r="H5234" s="29"/>
      <c r="I5234" s="29"/>
      <c r="J5234" s="29"/>
      <c r="K5234" s="29"/>
      <c r="L5234" s="29"/>
      <c r="M5234" s="29"/>
      <c r="N5234" s="29"/>
      <c r="O5234" s="29"/>
      <c r="P5234" s="19"/>
      <c r="Q5234" s="19"/>
      <c r="R5234" s="11"/>
    </row>
    <row r="5235" s="1" customFormat="1" ht="21.95" customHeight="1" spans="1:18">
      <c r="A5235" s="7"/>
      <c r="B5235" s="12"/>
      <c r="C5235" s="33"/>
      <c r="D5235" s="29"/>
      <c r="E5235" s="29"/>
      <c r="F5235" s="29"/>
      <c r="G5235" s="29"/>
      <c r="H5235" s="29"/>
      <c r="I5235" s="29"/>
      <c r="J5235" s="29"/>
      <c r="K5235" s="29"/>
      <c r="L5235" s="29"/>
      <c r="M5235" s="29"/>
      <c r="N5235" s="29"/>
      <c r="O5235" s="29"/>
      <c r="P5235" s="19"/>
      <c r="Q5235" s="19"/>
      <c r="R5235" s="11"/>
    </row>
    <row r="5236" s="1" customFormat="1" ht="21.95" customHeight="1" spans="1:18">
      <c r="A5236" s="7"/>
      <c r="B5236" s="12"/>
      <c r="C5236" s="33"/>
      <c r="D5236" s="29"/>
      <c r="E5236" s="29"/>
      <c r="F5236" s="29"/>
      <c r="G5236" s="29"/>
      <c r="H5236" s="29"/>
      <c r="I5236" s="29"/>
      <c r="J5236" s="29"/>
      <c r="K5236" s="29"/>
      <c r="L5236" s="29"/>
      <c r="M5236" s="29"/>
      <c r="N5236" s="29"/>
      <c r="O5236" s="29"/>
      <c r="P5236" s="19"/>
      <c r="Q5236" s="19"/>
      <c r="R5236" s="11"/>
    </row>
    <row r="5237" s="1" customFormat="1" ht="21.95" customHeight="1" spans="1:18">
      <c r="A5237" s="7"/>
      <c r="B5237" s="12"/>
      <c r="C5237" s="33"/>
      <c r="D5237" s="29"/>
      <c r="E5237" s="29"/>
      <c r="F5237" s="29"/>
      <c r="G5237" s="29"/>
      <c r="H5237" s="29"/>
      <c r="I5237" s="29"/>
      <c r="J5237" s="29"/>
      <c r="K5237" s="29"/>
      <c r="L5237" s="29"/>
      <c r="M5237" s="29"/>
      <c r="N5237" s="29"/>
      <c r="O5237" s="29"/>
      <c r="P5237" s="19"/>
      <c r="Q5237" s="19"/>
      <c r="R5237" s="11"/>
    </row>
    <row r="5238" s="1" customFormat="1" ht="21.95" customHeight="1" spans="1:18">
      <c r="A5238" s="7"/>
      <c r="B5238" s="12"/>
      <c r="C5238" s="33"/>
      <c r="D5238" s="29"/>
      <c r="E5238" s="29"/>
      <c r="F5238" s="29"/>
      <c r="G5238" s="29"/>
      <c r="H5238" s="29"/>
      <c r="I5238" s="29"/>
      <c r="J5238" s="29"/>
      <c r="K5238" s="29"/>
      <c r="L5238" s="29"/>
      <c r="M5238" s="29"/>
      <c r="N5238" s="29"/>
      <c r="O5238" s="29"/>
      <c r="P5238" s="19"/>
      <c r="Q5238" s="19"/>
      <c r="R5238" s="11"/>
    </row>
    <row r="5239" s="1" customFormat="1" ht="21.95" customHeight="1" spans="1:18">
      <c r="A5239" s="7"/>
      <c r="B5239" s="12"/>
      <c r="C5239" s="33"/>
      <c r="D5239" s="80" t="s">
        <v>728</v>
      </c>
      <c r="E5239" s="86">
        <f>ENTRY!$D$27</f>
        <v>46102</v>
      </c>
      <c r="F5239" s="86"/>
      <c r="G5239" s="29"/>
      <c r="H5239" s="29"/>
      <c r="I5239" s="29"/>
      <c r="J5239" s="29"/>
      <c r="K5239" s="29"/>
      <c r="L5239" s="29"/>
      <c r="M5239" s="87" t="s">
        <v>730</v>
      </c>
      <c r="N5239" s="87"/>
      <c r="O5239" s="87"/>
      <c r="P5239" s="19"/>
      <c r="Q5239" s="19"/>
      <c r="R5239" s="11"/>
    </row>
    <row r="5240" s="1" customFormat="1" ht="21.95" customHeight="1" spans="1:18">
      <c r="A5240" s="7"/>
      <c r="B5240" s="12"/>
      <c r="C5240" s="33"/>
      <c r="D5240" s="80" t="s">
        <v>731</v>
      </c>
      <c r="E5240" s="88" t="str">
        <f>PROPER(ENTRY!$D$28)</f>
        <v>New Delhi</v>
      </c>
      <c r="F5240" s="88"/>
      <c r="G5240" s="29"/>
      <c r="H5240" s="29"/>
      <c r="I5240" s="29"/>
      <c r="J5240" s="29"/>
      <c r="K5240" s="29"/>
      <c r="L5240" s="29"/>
      <c r="M5240" s="89" t="s">
        <v>732</v>
      </c>
      <c r="N5240" s="89"/>
      <c r="O5240" s="89"/>
      <c r="P5240" s="19"/>
      <c r="Q5240" s="19"/>
      <c r="R5240" s="11"/>
    </row>
    <row r="5241" s="1" customFormat="1" ht="21.95" customHeight="1" spans="1:18">
      <c r="A5241" s="7"/>
      <c r="B5241" s="12"/>
      <c r="C5241" s="90"/>
      <c r="D5241" s="91"/>
      <c r="E5241" s="91"/>
      <c r="F5241" s="91"/>
      <c r="G5241" s="91"/>
      <c r="H5241" s="91"/>
      <c r="I5241" s="91"/>
      <c r="J5241" s="91"/>
      <c r="K5241" s="91"/>
      <c r="L5241" s="91"/>
      <c r="M5241" s="91"/>
      <c r="N5241" s="91"/>
      <c r="O5241" s="91"/>
      <c r="P5241" s="92"/>
      <c r="Q5241" s="14"/>
      <c r="R5241" s="11"/>
    </row>
    <row r="5242" s="1" customFormat="1" ht="5.1" customHeight="1" spans="1:18">
      <c r="A5242" s="7"/>
      <c r="B5242" s="90"/>
      <c r="C5242" s="91"/>
      <c r="D5242" s="91"/>
      <c r="E5242" s="91"/>
      <c r="F5242" s="91"/>
      <c r="G5242" s="91"/>
      <c r="H5242" s="91"/>
      <c r="I5242" s="91"/>
      <c r="J5242" s="91"/>
      <c r="K5242" s="91"/>
      <c r="L5242" s="91"/>
      <c r="M5242" s="91"/>
      <c r="N5242" s="91"/>
      <c r="O5242" s="91"/>
      <c r="P5242" s="91"/>
      <c r="Q5242" s="92"/>
      <c r="R5242" s="11"/>
    </row>
    <row r="5243" s="1" customFormat="1" ht="5.1" customHeight="1" spans="1:18">
      <c r="A5243" s="93"/>
      <c r="B5243" s="94"/>
      <c r="C5243" s="94"/>
      <c r="D5243" s="94"/>
      <c r="E5243" s="94"/>
      <c r="F5243" s="94"/>
      <c r="G5243" s="94"/>
      <c r="H5243" s="94"/>
      <c r="I5243" s="94"/>
      <c r="J5243" s="94"/>
      <c r="K5243" s="94"/>
      <c r="L5243" s="94"/>
      <c r="M5243" s="94"/>
      <c r="N5243" s="94"/>
      <c r="O5243" s="94"/>
      <c r="P5243" s="94"/>
      <c r="Q5243" s="94"/>
      <c r="R5243" s="95"/>
    </row>
    <row r="5244" s="2" customFormat="1" ht="9.95" customHeight="1"/>
    <row r="5245" s="1" customFormat="1" ht="5.1" customHeight="1" spans="1:18">
      <c r="A5245" s="4"/>
      <c r="B5245" s="5"/>
      <c r="C5245" s="5"/>
      <c r="D5245" s="5"/>
      <c r="E5245" s="5"/>
      <c r="F5245" s="5"/>
      <c r="G5245" s="5"/>
      <c r="H5245" s="5"/>
      <c r="I5245" s="5"/>
      <c r="J5245" s="5"/>
      <c r="K5245" s="5"/>
      <c r="L5245" s="5"/>
      <c r="M5245" s="5"/>
      <c r="N5245" s="5"/>
      <c r="O5245" s="5"/>
      <c r="P5245" s="5"/>
      <c r="Q5245" s="5"/>
      <c r="R5245" s="6"/>
    </row>
    <row r="5246" s="1" customFormat="1" ht="15" customHeight="1" spans="1:18">
      <c r="A5246" s="7"/>
      <c r="B5246" s="8"/>
      <c r="C5246" s="9"/>
      <c r="D5246" s="9"/>
      <c r="E5246" s="9"/>
      <c r="F5246" s="9"/>
      <c r="G5246" s="9"/>
      <c r="H5246" s="9"/>
      <c r="I5246" s="9"/>
      <c r="J5246" s="9"/>
      <c r="K5246" s="9"/>
      <c r="L5246" s="9"/>
      <c r="M5246" s="9"/>
      <c r="N5246" s="9"/>
      <c r="O5246" s="9"/>
      <c r="P5246" s="9"/>
      <c r="Q5246" s="10"/>
      <c r="R5246" s="11"/>
    </row>
    <row r="5247" s="1" customFormat="1" ht="21.95" customHeight="1" spans="1:18">
      <c r="A5247" s="7"/>
      <c r="B5247" s="12"/>
      <c r="C5247" s="13" t="s">
        <v>7</v>
      </c>
      <c r="D5247" s="13"/>
      <c r="E5247" s="13"/>
      <c r="F5247" s="13"/>
      <c r="G5247" s="13"/>
      <c r="H5247" s="13"/>
      <c r="I5247" s="13"/>
      <c r="J5247" s="13"/>
      <c r="K5247" s="13"/>
      <c r="L5247" s="13"/>
      <c r="M5247" s="13"/>
      <c r="N5247" s="13"/>
      <c r="O5247" s="13"/>
      <c r="P5247" s="13"/>
      <c r="Q5247" s="14"/>
      <c r="R5247" s="11"/>
    </row>
    <row r="5248" s="1" customFormat="1" ht="21.95" customHeight="1" spans="1:18">
      <c r="A5248" s="7"/>
      <c r="B5248" s="1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14"/>
      <c r="R5248" s="11"/>
    </row>
    <row r="5249" s="1" customFormat="1" ht="21.95" customHeight="1" spans="1:18">
      <c r="A5249" s="7"/>
      <c r="B5249" s="12"/>
      <c r="C5249" s="15" t="str">
        <f>"SESSION-"&amp;ENTRY!$D$11</f>
        <v>SESSION-2026-27</v>
      </c>
      <c r="D5249" s="15"/>
      <c r="E5249" s="15"/>
      <c r="F5249" s="15"/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  <c r="Q5249" s="14"/>
      <c r="R5249" s="11"/>
    </row>
    <row r="5250" s="1" customFormat="1" ht="21.95" customHeight="1" spans="1:18">
      <c r="A5250" s="7"/>
      <c r="B5250" s="12"/>
      <c r="C5250" s="2"/>
      <c r="D5250" s="2"/>
      <c r="E5250" s="2"/>
      <c r="F5250" s="16">
        <f>F5193+1</f>
        <v>93</v>
      </c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14"/>
      <c r="R5250" s="11"/>
    </row>
    <row r="5251" s="1" customFormat="1" ht="21.95" customHeight="1" spans="1:18">
      <c r="A5251" s="7"/>
      <c r="B5251" s="12"/>
      <c r="C5251" s="17" t="s">
        <v>392</v>
      </c>
      <c r="D5251" s="17"/>
      <c r="E5251" s="17"/>
      <c r="F5251" s="18" t="str">
        <f>IF(F5250&gt;0,ENTRY!$D$6,"")</f>
        <v>MCP NITHARI NO 1 BOYS</v>
      </c>
      <c r="G5251" s="18"/>
      <c r="H5251" s="18"/>
      <c r="I5251" s="18"/>
      <c r="J5251" s="18"/>
      <c r="K5251" s="18"/>
      <c r="L5251" s="18"/>
      <c r="M5251" s="18"/>
      <c r="N5251" s="18"/>
      <c r="O5251" s="18"/>
      <c r="P5251" s="18"/>
      <c r="Q5251" s="19"/>
      <c r="R5251" s="11"/>
    </row>
    <row r="5252" s="1" customFormat="1" ht="21.95" customHeight="1" spans="1:18">
      <c r="A5252" s="7"/>
      <c r="B5252" s="12"/>
      <c r="C5252" s="17" t="s">
        <v>393</v>
      </c>
      <c r="D5252" s="17"/>
      <c r="E5252" s="17"/>
      <c r="F5252" s="18">
        <f>IF(F5250&gt;0,ENTRY!$D$7,"")</f>
        <v>0</v>
      </c>
      <c r="G5252" s="18"/>
      <c r="H5252" s="20" t="s">
        <v>702</v>
      </c>
      <c r="I5252" s="20"/>
      <c r="J5252" s="21">
        <f>IF(F5250&gt;0,ENTRY!$D$10,"")</f>
        <v>40</v>
      </c>
      <c r="K5252" s="20" t="s">
        <v>703</v>
      </c>
      <c r="L5252" s="22" t="str">
        <f>IF(F5250&gt;0,ENTRY!$D$5,"")</f>
        <v>ROHINI ZONE</v>
      </c>
      <c r="M5252" s="22"/>
      <c r="N5252" s="22"/>
      <c r="O5252" s="22"/>
      <c r="P5252" s="22"/>
      <c r="Q5252" s="19"/>
      <c r="R5252" s="11"/>
    </row>
    <row r="5253" s="1" customFormat="1" ht="21.95" customHeight="1" spans="1:18">
      <c r="A5253" s="7"/>
      <c r="B5253" s="12"/>
      <c r="C5253" s="17" t="s">
        <v>706</v>
      </c>
      <c r="D5253" s="17"/>
      <c r="E5253" s="17"/>
      <c r="F5253" s="23">
        <f>IFERROR(VLOOKUP(F5250,STUDENT!$A$2:$BP$101,5,0),"")</f>
        <v>0</v>
      </c>
      <c r="G5253" s="23"/>
      <c r="H5253" s="23"/>
      <c r="I5253" s="23"/>
      <c r="J5253" s="23"/>
      <c r="K5253" s="23"/>
      <c r="L5253" s="20" t="s">
        <v>707</v>
      </c>
      <c r="M5253" s="20"/>
      <c r="N5253" s="24" t="str">
        <f>IF(F5250&gt;0,ENTRY!$D$20&amp;"-"&amp;ENTRY!$D$21,"")</f>
        <v>III-A</v>
      </c>
      <c r="O5253" s="24"/>
      <c r="P5253" s="24"/>
      <c r="Q5253" s="19"/>
      <c r="R5253" s="11"/>
    </row>
    <row r="5254" s="1" customFormat="1" ht="21.95" customHeight="1" spans="1:18">
      <c r="A5254" s="7"/>
      <c r="B5254" s="12"/>
      <c r="C5254" s="17" t="s">
        <v>708</v>
      </c>
      <c r="D5254" s="17"/>
      <c r="E5254" s="17"/>
      <c r="F5254" s="25">
        <f>IFERROR(VLOOKUP(F5250,STUDENT!$A$2:$BP$101,6,0),"")</f>
        <v>0</v>
      </c>
      <c r="G5254" s="25"/>
      <c r="H5254" s="26" t="s">
        <v>709</v>
      </c>
      <c r="I5254" s="27" t="str">
        <f>IFERROR(VLOOKUP(F5250,STUDENT!$A$2:$BP$101,59,0),"")</f>
        <v/>
      </c>
      <c r="J5254" s="27"/>
      <c r="K5254" s="20" t="s">
        <v>710</v>
      </c>
      <c r="L5254" s="20"/>
      <c r="M5254" s="28">
        <f>IFERROR(VLOOKUP(F5250,STUDENT!$A$2:$BP$101,20,0),"")</f>
        <v>0</v>
      </c>
      <c r="N5254" s="28"/>
      <c r="O5254" s="28"/>
      <c r="P5254" s="28"/>
      <c r="Q5254" s="19"/>
      <c r="R5254" s="11"/>
    </row>
    <row r="5255" s="1" customFormat="1" ht="21.95" customHeight="1" spans="1:18">
      <c r="A5255" s="7"/>
      <c r="B5255" s="12"/>
      <c r="C5255" s="17" t="s">
        <v>711</v>
      </c>
      <c r="D5255" s="17"/>
      <c r="E5255" s="17"/>
      <c r="F5255" s="23">
        <f>IFERROR(VLOOKUP(F5250,STUDENT!$A$2:$BP$101,9,0),"")</f>
        <v>0</v>
      </c>
      <c r="G5255" s="23"/>
      <c r="H5255" s="23"/>
      <c r="I5255" s="23"/>
      <c r="J5255" s="17" t="s">
        <v>620</v>
      </c>
      <c r="K5255" s="17"/>
      <c r="L5255" s="23">
        <f>IFERROR(VLOOKUP(F5250,STUDENT!$A$2:$BP$101,8,0),"")</f>
        <v>0</v>
      </c>
      <c r="M5255" s="23"/>
      <c r="N5255" s="23"/>
      <c r="O5255" s="23"/>
      <c r="P5255" s="23"/>
      <c r="Q5255" s="19"/>
      <c r="R5255" s="11"/>
    </row>
    <row r="5256" s="1" customFormat="1" ht="21.95" customHeight="1" spans="1:18">
      <c r="A5256" s="7"/>
      <c r="B5256" s="12"/>
      <c r="C5256" s="17" t="s">
        <v>712</v>
      </c>
      <c r="D5256" s="17"/>
      <c r="E5256" s="17"/>
      <c r="F5256" s="23">
        <f>IFERROR(VLOOKUP(F5250,STUDENT!$A$2:$BP$101,22,0),"")</f>
        <v>0</v>
      </c>
      <c r="G5256" s="23"/>
      <c r="H5256" s="23"/>
      <c r="I5256" s="23"/>
      <c r="J5256" s="23"/>
      <c r="K5256" s="23"/>
      <c r="L5256" s="23"/>
      <c r="M5256" s="23"/>
      <c r="N5256" s="23"/>
      <c r="O5256" s="23"/>
      <c r="P5256" s="23"/>
      <c r="Q5256" s="19"/>
      <c r="R5256" s="11"/>
    </row>
    <row r="5257" s="1" customFormat="1" ht="9.95" customHeight="1" spans="1:18">
      <c r="A5257" s="7"/>
      <c r="B5257" s="12"/>
      <c r="C5257" s="29"/>
      <c r="D5257" s="29"/>
      <c r="E5257" s="29"/>
      <c r="F5257" s="29"/>
      <c r="G5257" s="29"/>
      <c r="H5257" s="29"/>
      <c r="I5257" s="29"/>
      <c r="J5257" s="29"/>
      <c r="K5257" s="29"/>
      <c r="L5257" s="29"/>
      <c r="M5257" s="29"/>
      <c r="N5257" s="29"/>
      <c r="O5257" s="29"/>
      <c r="P5257" s="29"/>
      <c r="Q5257" s="19"/>
      <c r="R5257" s="11"/>
    </row>
    <row r="5258" s="1" customFormat="1" ht="9.95" customHeight="1" spans="1:18">
      <c r="A5258" s="7"/>
      <c r="B5258" s="12"/>
      <c r="C5258" s="30"/>
      <c r="D5258" s="31"/>
      <c r="E5258" s="31"/>
      <c r="F5258" s="31"/>
      <c r="G5258" s="31"/>
      <c r="H5258" s="31"/>
      <c r="I5258" s="31"/>
      <c r="J5258" s="31"/>
      <c r="K5258" s="31"/>
      <c r="L5258" s="31"/>
      <c r="M5258" s="31"/>
      <c r="N5258" s="31"/>
      <c r="O5258" s="31"/>
      <c r="P5258" s="32"/>
      <c r="Q5258" s="19"/>
      <c r="R5258" s="11"/>
    </row>
    <row r="5259" s="1" customFormat="1" ht="21.95" customHeight="1" spans="1:18">
      <c r="A5259" s="7"/>
      <c r="B5259" s="12"/>
      <c r="C5259" s="33"/>
      <c r="D5259" s="34" t="s">
        <v>713</v>
      </c>
      <c r="E5259" s="20" t="s">
        <v>714</v>
      </c>
      <c r="F5259" s="35" t="str">
        <f>"Level - "&amp;IFERROR(VLOOKUP(F5250,FLN!$A$4:$K$103,9,0),"")</f>
        <v>Level - </v>
      </c>
      <c r="G5259" s="36"/>
      <c r="H5259" s="37" t="s">
        <v>715</v>
      </c>
      <c r="I5259" s="20"/>
      <c r="J5259" s="35" t="str">
        <f>"Level - "&amp;IFERROR(VLOOKUP(F5250,FLN!$A$4:$K$103,11,0),"")</f>
        <v>Level - </v>
      </c>
      <c r="K5259" s="36"/>
      <c r="L5259" s="37" t="s">
        <v>408</v>
      </c>
      <c r="M5259" s="20"/>
      <c r="N5259" s="35" t="str">
        <f>"Level - "&amp;IFERROR(VLOOKUP(F5250,FLN!$A$4:$K$103,10,0),"")</f>
        <v>Level - </v>
      </c>
      <c r="O5259" s="36"/>
      <c r="P5259" s="19"/>
      <c r="Q5259" s="19"/>
      <c r="R5259" s="11"/>
    </row>
    <row r="5260" s="1" customFormat="1" ht="21.95" customHeight="1" spans="1:18">
      <c r="A5260" s="7"/>
      <c r="B5260" s="12"/>
      <c r="C5260" s="33"/>
      <c r="D5260" s="38"/>
      <c r="E5260" s="20" t="s">
        <v>716</v>
      </c>
      <c r="F5260" s="18" t="str">
        <f ca="1">IF(L5274&gt;197,"PERFORMED WELL","")</f>
        <v/>
      </c>
      <c r="G5260" s="18"/>
      <c r="H5260" s="18"/>
      <c r="I5260" s="18"/>
      <c r="J5260" s="18"/>
      <c r="K5260" s="18"/>
      <c r="L5260" s="18"/>
      <c r="M5260" s="18"/>
      <c r="N5260" s="18"/>
      <c r="O5260" s="18"/>
      <c r="P5260" s="19"/>
      <c r="Q5260" s="19"/>
      <c r="R5260" s="11"/>
    </row>
    <row r="5261" s="1" customFormat="1" ht="9.95" customHeight="1" spans="1:18">
      <c r="A5261" s="7"/>
      <c r="B5261" s="12"/>
      <c r="C5261" s="39"/>
      <c r="D5261" s="40"/>
      <c r="E5261" s="40"/>
      <c r="F5261" s="40"/>
      <c r="G5261" s="40"/>
      <c r="H5261" s="40"/>
      <c r="I5261" s="40"/>
      <c r="J5261" s="40"/>
      <c r="K5261" s="40"/>
      <c r="L5261" s="40"/>
      <c r="M5261" s="40"/>
      <c r="N5261" s="40"/>
      <c r="O5261" s="40"/>
      <c r="P5261" s="41"/>
      <c r="Q5261" s="19"/>
      <c r="R5261" s="11"/>
    </row>
    <row r="5262" s="1" customFormat="1" ht="9.95" customHeight="1" spans="1:18">
      <c r="A5262" s="7"/>
      <c r="B5262" s="12"/>
      <c r="C5262" s="29"/>
      <c r="D5262" s="29"/>
      <c r="E5262" s="29"/>
      <c r="F5262" s="29"/>
      <c r="G5262" s="29"/>
      <c r="H5262" s="29"/>
      <c r="I5262" s="29"/>
      <c r="J5262" s="29"/>
      <c r="K5262" s="29"/>
      <c r="L5262" s="29"/>
      <c r="M5262" s="29"/>
      <c r="N5262" s="29"/>
      <c r="O5262" s="29"/>
      <c r="P5262" s="29"/>
      <c r="Q5262" s="19"/>
      <c r="R5262" s="11"/>
    </row>
    <row r="5263" s="1" customFormat="1" ht="9.95" customHeight="1" spans="1:18">
      <c r="A5263" s="7"/>
      <c r="B5263" s="12"/>
      <c r="C5263" s="30"/>
      <c r="D5263" s="31"/>
      <c r="E5263" s="31"/>
      <c r="F5263" s="31"/>
      <c r="G5263" s="31"/>
      <c r="H5263" s="31"/>
      <c r="I5263" s="31"/>
      <c r="J5263" s="31"/>
      <c r="K5263" s="31"/>
      <c r="L5263" s="31"/>
      <c r="M5263" s="31"/>
      <c r="N5263" s="31"/>
      <c r="O5263" s="31"/>
      <c r="P5263" s="32"/>
      <c r="Q5263" s="19"/>
      <c r="R5263" s="11"/>
    </row>
    <row r="5264" s="1" customFormat="1" ht="21.95" customHeight="1" spans="1:18">
      <c r="A5264" s="7"/>
      <c r="B5264" s="12"/>
      <c r="C5264" s="33"/>
      <c r="D5264" s="35"/>
      <c r="E5264" s="24"/>
      <c r="F5264" s="42" t="s">
        <v>717</v>
      </c>
      <c r="G5264" s="42"/>
      <c r="H5264" s="42"/>
      <c r="I5264" s="42"/>
      <c r="J5264" s="42"/>
      <c r="K5264" s="42"/>
      <c r="L5264" s="43"/>
      <c r="M5264" s="44"/>
      <c r="N5264" s="29"/>
      <c r="O5264" s="29"/>
      <c r="P5264" s="19"/>
      <c r="Q5264" s="19"/>
      <c r="R5264" s="11"/>
    </row>
    <row r="5265" s="1" customFormat="1" ht="21.95" customHeight="1" spans="1:18">
      <c r="A5265" s="7"/>
      <c r="B5265" s="12"/>
      <c r="C5265" s="33"/>
      <c r="D5265" s="45"/>
      <c r="E5265" s="46"/>
      <c r="F5265" s="47" t="s">
        <v>541</v>
      </c>
      <c r="G5265" s="47" t="s">
        <v>542</v>
      </c>
      <c r="H5265" s="47" t="s">
        <v>543</v>
      </c>
      <c r="I5265" s="47" t="s">
        <v>544</v>
      </c>
      <c r="J5265" s="47" t="s">
        <v>561</v>
      </c>
      <c r="K5265" s="48" t="s">
        <v>750</v>
      </c>
      <c r="L5265" s="47" t="s">
        <v>382</v>
      </c>
      <c r="M5265" s="49" t="s">
        <v>546</v>
      </c>
      <c r="N5265" s="29"/>
      <c r="O5265" s="29"/>
      <c r="P5265" s="19"/>
      <c r="Q5265" s="19"/>
      <c r="R5265" s="11"/>
    </row>
    <row r="5266" s="1" customFormat="1" ht="21.95" customHeight="1" spans="1:18">
      <c r="A5266" s="7"/>
      <c r="B5266" s="12"/>
      <c r="C5266" s="33"/>
      <c r="D5266" s="45" t="s">
        <v>652</v>
      </c>
      <c r="E5266" s="46"/>
      <c r="F5266" s="50">
        <v>10</v>
      </c>
      <c r="G5266" s="50">
        <v>10</v>
      </c>
      <c r="H5266" s="50">
        <v>10</v>
      </c>
      <c r="I5266" s="50">
        <v>10</v>
      </c>
      <c r="J5266" s="50">
        <v>60</v>
      </c>
      <c r="K5266" s="51"/>
      <c r="L5266" s="50">
        <v>100</v>
      </c>
      <c r="M5266" s="49"/>
      <c r="N5266" s="29"/>
      <c r="O5266" s="29"/>
      <c r="P5266" s="19"/>
      <c r="Q5266" s="19"/>
      <c r="R5266" s="11"/>
    </row>
    <row r="5267" s="1" customFormat="1" ht="21.95" customHeight="1" spans="1:18">
      <c r="A5267" s="7"/>
      <c r="B5267" s="12"/>
      <c r="C5267" s="33"/>
      <c r="D5267" s="52" t="s">
        <v>751</v>
      </c>
      <c r="E5267" s="53"/>
      <c r="F5267" s="54" t="str">
        <f ca="1">IFERROR(VLOOKUP(F5250,'RR-3.1-5TH'!$A$12:'RR-3.1-5TH'!$BN$111,9,0),"")</f>
        <v/>
      </c>
      <c r="G5267" s="54" t="str">
        <f ca="1">IFERROR(VLOOKUP(F5250,'RR-3.1-5TH'!$A$12:'RR-3.1-5TH'!$BN$111,10,0),"")</f>
        <v/>
      </c>
      <c r="H5267" s="54" t="str">
        <f ca="1">IFERROR(VLOOKUP(F5250,'RR-3.1-5TH'!$A$12:'RR-3.1-5TH'!$BN$111,11,0),"")</f>
        <v/>
      </c>
      <c r="I5267" s="54" t="str">
        <f ca="1">IFERROR(VLOOKUP(F5250,'RR-3.1-5TH'!$A$12:'RR-3.1-5TH'!$BN$111,12,0),"")</f>
        <v/>
      </c>
      <c r="J5267" s="54" t="str">
        <f ca="1">IFERROR(VLOOKUP(F5250,'RR-3.1-5TH'!$A$12:'RR-3.1-5TH'!$BN$111,13,0),"")</f>
        <v/>
      </c>
      <c r="K5267" s="54" t="str">
        <f ca="1">IFERROR(VLOOKUP(F5250,'RR-3.1-5TH'!$A$12:'RR-3.1-5TH'!$BN$111,14,0),"")</f>
        <v/>
      </c>
      <c r="L5267" s="55">
        <f ca="1" t="shared" ref="L5267:L5272" si="276">SUM(F5267,G5267,H5267,I5267,J5267,K5267)</f>
        <v>0</v>
      </c>
      <c r="M5267" s="56" t="str">
        <f ca="1">IF(F5250&gt;ENTRY!$D$24,"",IF(L5267=0,"Ab",IF(L5267&gt;80,"A",IF(L5267&gt;60,"B",IF(L5267&gt;44,"C",IF(L5267&gt;=33,"D",IF(L5267&lt;=32,"E","")))))))</f>
        <v/>
      </c>
      <c r="N5267" s="57" t="s">
        <v>729</v>
      </c>
      <c r="O5267" s="58"/>
      <c r="P5267" s="59"/>
      <c r="Q5267" s="19"/>
      <c r="R5267" s="11"/>
    </row>
    <row r="5268" s="1" customFormat="1" ht="21.95" customHeight="1" spans="1:18">
      <c r="A5268" s="7"/>
      <c r="B5268" s="12"/>
      <c r="C5268" s="33"/>
      <c r="D5268" s="52" t="s">
        <v>513</v>
      </c>
      <c r="E5268" s="53"/>
      <c r="F5268" s="54" t="str">
        <f ca="1">IFERROR(VLOOKUP(F5250,'RR-3.1-5TH'!$A$12:'RR-3.1-5TH'!$BN$111,17,0),"")</f>
        <v/>
      </c>
      <c r="G5268" s="54" t="str">
        <f ca="1">IFERROR(VLOOKUP(F5250,'RR-3.1-5TH'!$A$12:'RR-3.1-5TH'!$BN$111,18,0),"")</f>
        <v/>
      </c>
      <c r="H5268" s="54" t="str">
        <f ca="1">IFERROR(VLOOKUP(F5250,'RR-3.1-5TH'!$A$12:'RR-3.1-5TH'!$BN$111,19,0),"")</f>
        <v/>
      </c>
      <c r="I5268" s="54" t="str">
        <f ca="1">IFERROR(VLOOKUP(F5250,'RR-3.1-5TH'!$A$12:'RR-3.1-5TH'!$BN$111,20,0),"")</f>
        <v/>
      </c>
      <c r="J5268" s="54" t="str">
        <f ca="1">IFERROR(VLOOKUP(F5250,'RR-3.1-5TH'!$A$12:'RR-3.1-5TH'!$BN$111,21,0),"")</f>
        <v/>
      </c>
      <c r="K5268" s="54" t="str">
        <f ca="1">IFERROR(VLOOKUP(F5250,'RR-3.1-5TH'!$A$12:'RR-3.1-5TH'!$BN$111,22,0),"")</f>
        <v/>
      </c>
      <c r="L5268" s="55">
        <f ca="1" t="shared" si="276"/>
        <v>0</v>
      </c>
      <c r="M5268" s="56" t="str">
        <f ca="1">IF(F5250&gt;ENTRY!$D$24,"",IF(L5268=0,"Ab",IF(L5268&gt;80,"A",IF(L5268&gt;60,"B",IF(L5268&gt;44,"C",IF(L5268&gt;=33,"D",IF(L5268&lt;=32,"E","")))))))</f>
        <v/>
      </c>
      <c r="N5268" s="58"/>
      <c r="O5268" s="58"/>
      <c r="P5268" s="59"/>
      <c r="Q5268" s="19"/>
      <c r="R5268" s="11"/>
    </row>
    <row r="5269" s="1" customFormat="1" ht="21.95" customHeight="1" spans="1:18">
      <c r="A5269" s="7"/>
      <c r="B5269" s="12"/>
      <c r="C5269" s="33"/>
      <c r="D5269" s="52" t="s">
        <v>718</v>
      </c>
      <c r="E5269" s="53"/>
      <c r="F5269" s="54" t="str">
        <f ca="1">IFERROR(VLOOKUP(F5250,'RR-3.1-5TH'!$A$12:'RR-3.1-5TH'!$BN$111,25,0),"")</f>
        <v/>
      </c>
      <c r="G5269" s="54" t="str">
        <f ca="1">IFERROR(VLOOKUP(F5250,'RR-3.1-5TH'!$A$12:'RR-3.1-5TH'!$BN$111,26,0),"")</f>
        <v/>
      </c>
      <c r="H5269" s="54" t="str">
        <f ca="1">IFERROR(VLOOKUP(F5250,'RR-3.1-5TH'!$A$12:'RR-3.1-5TH'!$BN$111,27,0),"")</f>
        <v/>
      </c>
      <c r="I5269" s="54" t="str">
        <f ca="1">IFERROR(VLOOKUP(F5250,'RR-3.1-5TH'!$A$12:'RR-3.1-5TH'!$BN$111,28,0),"")</f>
        <v/>
      </c>
      <c r="J5269" s="54" t="str">
        <f ca="1">IFERROR(VLOOKUP(F5250,'RR-3.1-5TH'!$A$12:'RR-3.1-5TH'!$BN$111,29,0),"")</f>
        <v/>
      </c>
      <c r="K5269" s="54" t="str">
        <f ca="1">IFERROR(VLOOKUP(F5250,'RR-3.1-5TH'!$A$12:'RR-3.1-5TH'!$BN$111,30,0),"")</f>
        <v/>
      </c>
      <c r="L5269" s="55">
        <f ca="1" t="shared" si="276"/>
        <v>0</v>
      </c>
      <c r="M5269" s="56" t="str">
        <f ca="1">IF(F5250&gt;ENTRY!$D$24,"",IF(L5269=0,"Ab",IF(L5269&gt;80,"A",IF(L5269&gt;60,"B",IF(L5269&gt;44,"C",IF(L5269&gt;=33,"D",IF(L5269&lt;=32,"E","")))))))</f>
        <v/>
      </c>
      <c r="N5269" s="29"/>
      <c r="O5269" s="29"/>
      <c r="P5269" s="19"/>
      <c r="Q5269" s="19"/>
      <c r="R5269" s="11"/>
    </row>
    <row r="5270" s="1" customFormat="1" ht="21.95" customHeight="1" spans="1:18">
      <c r="A5270" s="7"/>
      <c r="B5270" s="12"/>
      <c r="C5270" s="33"/>
      <c r="D5270" s="52" t="s">
        <v>719</v>
      </c>
      <c r="E5270" s="53"/>
      <c r="F5270" s="54" t="str">
        <f ca="1">IFERROR(VLOOKUP(F5250,'RR-3.1-5TH'!$A$12:'RR-3.1-5TH'!$BN$111,33,0),"")</f>
        <v/>
      </c>
      <c r="G5270" s="54" t="str">
        <f ca="1">IFERROR(VLOOKUP(F5250,'RR-3.1-5TH'!$A$12:'RR-3.1-5TH'!$BN$111,34,0),"")</f>
        <v/>
      </c>
      <c r="H5270" s="54" t="str">
        <f ca="1">IFERROR(VLOOKUP(F5250,'RR-3.1-5TH'!$A$12:'RR-3.1-5TH'!$BN$111,35,0),"")</f>
        <v/>
      </c>
      <c r="I5270" s="54" t="str">
        <f ca="1">IFERROR(VLOOKUP(F5250,'RR-3.1-5TH'!$A$12:'RR-3.1-5TH'!$BN$111,36,0),"")</f>
        <v/>
      </c>
      <c r="J5270" s="54" t="str">
        <f ca="1">IFERROR(VLOOKUP(F5250,'RR-3.1-5TH'!$A$12:'RR-3.1-5TH'!$BN$111,37,0),"")</f>
        <v/>
      </c>
      <c r="K5270" s="54" t="str">
        <f ca="1">IFERROR(VLOOKUP(F5250,'RR-3.1-5TH'!$A$12:'RR-3.1-5TH'!$BN$111,38,0),"")</f>
        <v/>
      </c>
      <c r="L5270" s="55">
        <f ca="1" t="shared" si="276"/>
        <v>0</v>
      </c>
      <c r="M5270" s="56" t="str">
        <f ca="1">IF(F5250&gt;ENTRY!$D$24,"",IF(L5270=0,"Ab",IF(L5270&gt;80,"A",IF(L5270&gt;60,"B",IF(L5270&gt;44,"C",IF(L5270&gt;=33,"D",IF(L5270&lt;=32,"E","")))))))</f>
        <v/>
      </c>
      <c r="N5270" s="29"/>
      <c r="O5270" s="29"/>
      <c r="P5270" s="19"/>
      <c r="Q5270" s="19"/>
      <c r="R5270" s="11"/>
    </row>
    <row r="5271" s="1" customFormat="1" ht="21.95" customHeight="1" spans="1:18">
      <c r="A5271" s="7"/>
      <c r="B5271" s="12"/>
      <c r="C5271" s="33"/>
      <c r="D5271" s="52" t="s">
        <v>548</v>
      </c>
      <c r="E5271" s="53"/>
      <c r="F5271" s="54" t="str">
        <f ca="1">IFERROR(VLOOKUP(F5250,'RR-3.1-5TH'!$A$12:'RR-3.1-5TH'!$BN$111,41,0),"")</f>
        <v/>
      </c>
      <c r="G5271" s="54" t="str">
        <f ca="1">IFERROR(VLOOKUP(F5250,'RR-3.1-5TH'!$A$12:'RR-3.1-5TH'!$BN$111,42,0),"")</f>
        <v/>
      </c>
      <c r="H5271" s="54" t="str">
        <f ca="1">IFERROR(VLOOKUP(F5250,'RR-3.1-5TH'!$A$12:'RR-3.1-5TH'!$BN$111,43,0),"")</f>
        <v/>
      </c>
      <c r="I5271" s="54" t="str">
        <f ca="1">IFERROR(VLOOKUP(F5250,'RR-3.1-5TH'!$A$12:'RR-3.1-5TH'!$BN$111,44,0),"")</f>
        <v/>
      </c>
      <c r="J5271" s="54" t="str">
        <f ca="1">IFERROR(VLOOKUP(F5250,'RR-3.1-5TH'!$A$12:'RR-3.1-5TH'!$BN$111,45,0),"")</f>
        <v/>
      </c>
      <c r="K5271" s="54" t="str">
        <f ca="1">IFERROR(VLOOKUP(F5250,'RR-3.1-5TH'!$A$12:'RR-3.1-5TH'!$BN$111,46,0),"")</f>
        <v/>
      </c>
      <c r="L5271" s="55">
        <f ca="1" t="shared" si="276"/>
        <v>0</v>
      </c>
      <c r="M5271" s="56" t="str">
        <f ca="1">IF(F5250&gt;ENTRY!$D$24,"",IF(L5271=0,"Ab",IF(L5271&gt;80,"A",IF(L5271&gt;60,"B",IF(L5271&gt;44,"C",IF(L5271&gt;=33,"D",IF(L5271&lt;=32,"E","")))))))</f>
        <v/>
      </c>
      <c r="N5271" s="29"/>
      <c r="O5271" s="29"/>
      <c r="P5271" s="19"/>
      <c r="Q5271" s="19"/>
      <c r="R5271" s="11"/>
    </row>
    <row r="5272" s="1" customFormat="1" ht="21.95" customHeight="1" spans="1:18">
      <c r="A5272" s="7"/>
      <c r="B5272" s="12"/>
      <c r="C5272" s="33"/>
      <c r="D5272" s="52" t="s">
        <v>549</v>
      </c>
      <c r="E5272" s="53"/>
      <c r="F5272" s="54" t="str">
        <f ca="1">IFERROR(VLOOKUP(F5250,'RR-3.1-5TH'!$A$12:'RR-3.1-5TH'!$BN$111,49,0),"")</f>
        <v/>
      </c>
      <c r="G5272" s="54" t="str">
        <f ca="1">IFERROR(VLOOKUP(F5250,'RR-3.1-5TH'!$A$12:'RR-3.1-5TH'!$BN$111,50,0),"")</f>
        <v/>
      </c>
      <c r="H5272" s="54" t="str">
        <f ca="1">IFERROR(VLOOKUP(F5250,'RR-3.1-5TH'!$A$12:'RR-3.1-5TH'!$BN$111,51,0),"")</f>
        <v/>
      </c>
      <c r="I5272" s="54" t="str">
        <f ca="1">IFERROR(VLOOKUP(F5250,'RR-3.1-5TH'!$A$12:'RR-3.1-5TH'!$BN$111,52,0),"")</f>
        <v/>
      </c>
      <c r="J5272" s="54" t="str">
        <f ca="1">IFERROR(VLOOKUP(F5250,'RR-3.1-5TH'!$A$12:'RR-3.1-5TH'!$BN$111,53,0),"")</f>
        <v/>
      </c>
      <c r="K5272" s="54" t="str">
        <f ca="1">IFERROR(VLOOKUP(F5250,'RR-3.1-5TH'!$A$12:'RR-3.1-5TH'!$BN$111,54,0),"")</f>
        <v/>
      </c>
      <c r="L5272" s="55">
        <f ca="1" t="shared" si="276"/>
        <v>0</v>
      </c>
      <c r="M5272" s="56" t="str">
        <f ca="1">IF(F5250&gt;ENTRY!$D$24,"",IF(L5272=0,"Ab",IF(L5272&gt;80,"A",IF(L5272&gt;60,"B",IF(L5272&gt;44,"C",IF(L5272&gt;=33,"D",IF(L5272&lt;=32,"E","")))))))</f>
        <v/>
      </c>
      <c r="N5272" s="57" t="s">
        <v>752</v>
      </c>
      <c r="O5272" s="58"/>
      <c r="P5272" s="59"/>
      <c r="Q5272" s="19"/>
      <c r="R5272" s="11"/>
    </row>
    <row r="5273" s="1" customFormat="1" ht="21.95" customHeight="1" spans="1:18">
      <c r="A5273" s="7"/>
      <c r="B5273" s="12"/>
      <c r="C5273" s="33"/>
      <c r="D5273" s="52" t="s">
        <v>753</v>
      </c>
      <c r="E5273" s="53"/>
      <c r="F5273" s="60"/>
      <c r="G5273" s="54"/>
      <c r="H5273" s="54"/>
      <c r="I5273" s="54"/>
      <c r="J5273" s="54"/>
      <c r="K5273" s="54"/>
      <c r="L5273" s="55">
        <f t="shared" ref="L5273" si="277">SUM(G5273:K5273)</f>
        <v>0</v>
      </c>
      <c r="M5273" s="56" t="str">
        <f>IF(F5250&gt;ENTRY!$D$24,"",IF(L5273=0,"",IF(L5273&gt;79,"A",IF(L5273&gt;59,"B",IF(L5273&gt;44,"C",IF(L5273&gt;=33,"D",IF(L5273&lt;=32,"E","")))))))</f>
        <v/>
      </c>
      <c r="N5273" s="58"/>
      <c r="O5273" s="58"/>
      <c r="P5273" s="59"/>
      <c r="Q5273" s="19"/>
      <c r="R5273" s="11"/>
    </row>
    <row r="5274" s="1" customFormat="1" ht="21.95" customHeight="1" spans="1:18">
      <c r="A5274" s="7"/>
      <c r="B5274" s="12"/>
      <c r="C5274" s="33"/>
      <c r="D5274" s="45" t="s">
        <v>382</v>
      </c>
      <c r="E5274" s="46"/>
      <c r="F5274" s="54">
        <f ca="1" t="shared" ref="F5274:L5274" si="278">IFERROR(SUM(F5267:F5273),"")</f>
        <v>0</v>
      </c>
      <c r="G5274" s="54">
        <f ca="1" t="shared" si="278"/>
        <v>0</v>
      </c>
      <c r="H5274" s="54">
        <f ca="1" t="shared" si="278"/>
        <v>0</v>
      </c>
      <c r="I5274" s="54">
        <f ca="1" t="shared" si="278"/>
        <v>0</v>
      </c>
      <c r="J5274" s="54">
        <f ca="1" t="shared" si="278"/>
        <v>0</v>
      </c>
      <c r="K5274" s="54">
        <f ca="1" t="shared" si="278"/>
        <v>0</v>
      </c>
      <c r="L5274" s="55">
        <f ca="1" t="shared" si="278"/>
        <v>0</v>
      </c>
      <c r="M5274" s="61" t="str">
        <f ca="1">IF(F5250&gt;ENTRY!$D$24,"",IF(N5275="Ab","Ab",IF(N5275&gt;79.5,"A",IF(N5275&gt;59.5,"B",IF(N5275&gt;44.5,"C",IF(N5275&gt;=33,"D",IF(N5275&lt;33,"E","")))))))</f>
        <v/>
      </c>
      <c r="N5274" s="62"/>
      <c r="O5274" s="58"/>
      <c r="P5274" s="59"/>
      <c r="Q5274" s="19"/>
      <c r="R5274" s="11"/>
    </row>
    <row r="5275" s="1" customFormat="1" ht="21.95" customHeight="1" spans="1:18">
      <c r="A5275" s="7"/>
      <c r="B5275" s="12"/>
      <c r="C5275" s="33"/>
      <c r="D5275" s="63" t="s">
        <v>721</v>
      </c>
      <c r="E5275" s="63"/>
      <c r="F5275" s="63"/>
      <c r="G5275" s="63"/>
      <c r="H5275" s="63"/>
      <c r="I5275" s="63"/>
      <c r="J5275" s="63"/>
      <c r="K5275" s="63"/>
      <c r="L5275" s="63"/>
      <c r="M5275" s="63"/>
      <c r="N5275" s="64">
        <f ca="1">IF(L5274="Ab","Ab",L5274/6)</f>
        <v>0</v>
      </c>
      <c r="O5275" s="65"/>
      <c r="P5275" s="19"/>
      <c r="Q5275" s="19"/>
      <c r="R5275" s="11"/>
    </row>
    <row r="5276" s="1" customFormat="1" ht="21.95" customHeight="1" spans="1:18">
      <c r="A5276" s="7"/>
      <c r="B5276" s="12"/>
      <c r="C5276" s="33"/>
      <c r="D5276" s="29" t="s">
        <v>716</v>
      </c>
      <c r="E5276" s="18" t="str">
        <f>IFERROR(VLOOKUP(F5250,'1to4-2.1-RR'!$A$12:$BG$111,57,0),"")</f>
        <v/>
      </c>
      <c r="F5276" s="18"/>
      <c r="G5276" s="18"/>
      <c r="H5276" s="18"/>
      <c r="I5276" s="18"/>
      <c r="J5276" s="18"/>
      <c r="K5276" s="18"/>
      <c r="L5276" s="18"/>
      <c r="M5276" s="18"/>
      <c r="N5276" s="29"/>
      <c r="O5276" s="29"/>
      <c r="P5276" s="19"/>
      <c r="Q5276" s="19"/>
      <c r="R5276" s="11"/>
    </row>
    <row r="5277" s="1" customFormat="1" ht="9.95" customHeight="1" spans="1:18">
      <c r="A5277" s="7"/>
      <c r="B5277" s="12"/>
      <c r="C5277" s="33"/>
      <c r="D5277" s="29"/>
      <c r="E5277" s="29"/>
      <c r="F5277" s="29"/>
      <c r="G5277" s="29"/>
      <c r="H5277" s="29"/>
      <c r="I5277" s="29"/>
      <c r="J5277" s="29"/>
      <c r="K5277" s="29"/>
      <c r="L5277" s="29"/>
      <c r="M5277" s="29"/>
      <c r="N5277" s="29"/>
      <c r="O5277" s="29"/>
      <c r="P5277" s="19"/>
      <c r="Q5277" s="19"/>
      <c r="R5277" s="11"/>
    </row>
    <row r="5278" s="1" customFormat="1" ht="36" spans="1:18">
      <c r="A5278" s="7"/>
      <c r="B5278" s="12"/>
      <c r="C5278" s="33"/>
      <c r="D5278" s="66" t="s">
        <v>576</v>
      </c>
      <c r="E5278" s="67" t="s">
        <v>754</v>
      </c>
      <c r="F5278" s="47" t="str">
        <f>IF(F5250&gt;ENTRY!$D$24,"",IFERROR(VLOOKUP(F5250,PASHEET!$A$4:$CJ$103,88,0),""))</f>
        <v/>
      </c>
      <c r="G5278" s="67" t="s">
        <v>755</v>
      </c>
      <c r="H5278" s="47" t="str">
        <f>IF(F5250&gt;ENTRY!$D$24,"",IFERROR(VLOOKUP(F5250,PASHEET!$A$4:$CJ$103,87,0),""))</f>
        <v/>
      </c>
      <c r="I5278" s="68" t="s">
        <v>756</v>
      </c>
      <c r="J5278" s="69" t="str">
        <f>IF(F5250&gt;ENTRY!$D$24,"",IFERROR(IF(F5250&gt;0,H5278/F5278*100),""))</f>
        <v/>
      </c>
      <c r="K5278" s="60" t="s">
        <v>757</v>
      </c>
      <c r="L5278" s="70" t="str">
        <f ca="1">IF(F5250&gt;ENTRY!$D$24,"",IFERROR(L5274/600*100,""))</f>
        <v/>
      </c>
      <c r="M5278" s="47" t="str">
        <f ca="1">IF(F5250&gt;ENTRY!$D$24,"",IFERROR(L5274&amp;" / "&amp;"600",""))</f>
        <v/>
      </c>
      <c r="N5278" s="29"/>
      <c r="O5278" s="29"/>
      <c r="P5278" s="19"/>
      <c r="Q5278" s="19"/>
      <c r="R5278" s="11"/>
    </row>
    <row r="5279" s="1" customFormat="1" ht="9.95" customHeight="1" spans="1:18">
      <c r="A5279" s="7"/>
      <c r="B5279" s="12"/>
      <c r="C5279" s="39"/>
      <c r="D5279" s="40"/>
      <c r="E5279" s="40"/>
      <c r="F5279" s="40"/>
      <c r="G5279" s="40"/>
      <c r="H5279" s="40"/>
      <c r="I5279" s="40"/>
      <c r="J5279" s="40"/>
      <c r="K5279" s="40"/>
      <c r="L5279" s="40"/>
      <c r="M5279" s="40"/>
      <c r="N5279" s="40"/>
      <c r="O5279" s="40"/>
      <c r="P5279" s="41"/>
      <c r="Q5279" s="19"/>
      <c r="R5279" s="11"/>
    </row>
    <row r="5280" s="1" customFormat="1" ht="9.95" customHeight="1" spans="1:18">
      <c r="A5280" s="7"/>
      <c r="B5280" s="12"/>
      <c r="C5280" s="71"/>
      <c r="D5280" s="71"/>
      <c r="E5280" s="71"/>
      <c r="F5280" s="29"/>
      <c r="G5280" s="71"/>
      <c r="H5280" s="71"/>
      <c r="I5280" s="71"/>
      <c r="J5280" s="71"/>
      <c r="K5280" s="71"/>
      <c r="L5280" s="71"/>
      <c r="M5280" s="71"/>
      <c r="N5280" s="71"/>
      <c r="O5280" s="71"/>
      <c r="P5280" s="71"/>
      <c r="Q5280" s="19"/>
      <c r="R5280" s="11"/>
    </row>
    <row r="5281" s="1" customFormat="1" ht="9.95" customHeight="1" spans="1:19">
      <c r="A5281" s="7"/>
      <c r="B5281" s="12"/>
      <c r="C5281" s="29"/>
      <c r="D5281" s="29"/>
      <c r="E5281" s="29"/>
      <c r="F5281" s="72"/>
      <c r="G5281" s="29"/>
      <c r="H5281" s="29"/>
      <c r="I5281" s="29"/>
      <c r="J5281" s="29"/>
      <c r="K5281" s="29"/>
      <c r="L5281" s="29"/>
      <c r="M5281" s="29"/>
      <c r="N5281" s="29"/>
      <c r="O5281" s="29"/>
      <c r="P5281" s="29"/>
      <c r="Q5281" s="19"/>
      <c r="R5281" s="11"/>
    </row>
    <row r="5282" s="1" customFormat="1" ht="9.95" customHeight="1" spans="1:19">
      <c r="A5282" s="7"/>
      <c r="B5282" s="12"/>
      <c r="C5282" s="30"/>
      <c r="D5282" s="31"/>
      <c r="E5282" s="31"/>
      <c r="F5282" s="31"/>
      <c r="G5282" s="31"/>
      <c r="H5282" s="31"/>
      <c r="I5282" s="31"/>
      <c r="J5282" s="31"/>
      <c r="K5282" s="31"/>
      <c r="L5282" s="31"/>
      <c r="M5282" s="31"/>
      <c r="N5282" s="31"/>
      <c r="O5282" s="31"/>
      <c r="P5282" s="32"/>
      <c r="Q5282" s="19"/>
      <c r="R5282" s="11"/>
    </row>
    <row r="5283" s="1" customFormat="1" ht="21.95" customHeight="1" spans="1:19">
      <c r="A5283" s="7"/>
      <c r="B5283" s="12"/>
      <c r="C5283" s="73" t="s">
        <v>7</v>
      </c>
      <c r="D5283" s="13"/>
      <c r="E5283" s="13"/>
      <c r="F5283" s="13"/>
      <c r="G5283" s="13"/>
      <c r="H5283" s="13"/>
      <c r="I5283" s="13"/>
      <c r="J5283" s="13"/>
      <c r="K5283" s="13"/>
      <c r="L5283" s="13"/>
      <c r="M5283" s="13"/>
      <c r="N5283" s="13"/>
      <c r="O5283" s="13"/>
      <c r="P5283" s="74"/>
      <c r="Q5283" s="19"/>
      <c r="R5283" s="11"/>
      <c r="S5283" s="2"/>
    </row>
    <row r="5284" s="1" customFormat="1" ht="21.95" customHeight="1" spans="1:19">
      <c r="A5284" s="7"/>
      <c r="B5284" s="12"/>
      <c r="C5284" s="33"/>
      <c r="D5284" s="29"/>
      <c r="E5284" s="29"/>
      <c r="F5284" s="29"/>
      <c r="G5284" s="29"/>
      <c r="H5284" s="29"/>
      <c r="I5284" s="29"/>
      <c r="J5284" s="29"/>
      <c r="K5284" s="29"/>
      <c r="L5284" s="29"/>
      <c r="M5284" s="29"/>
      <c r="N5284" s="29"/>
      <c r="O5284" s="29"/>
      <c r="P5284" s="19"/>
      <c r="Q5284" s="19"/>
      <c r="R5284" s="11"/>
    </row>
    <row r="5285" s="1" customFormat="1" ht="21.95" customHeight="1" spans="1:19">
      <c r="A5285" s="7"/>
      <c r="B5285" s="12"/>
      <c r="C5285" s="75" t="str">
        <f>"SESSION-"&amp;ENTRY!$D$11</f>
        <v>SESSION-2026-27</v>
      </c>
      <c r="D5285" s="15"/>
      <c r="E5285" s="15"/>
      <c r="F5285" s="15"/>
      <c r="G5285" s="15"/>
      <c r="H5285" s="15"/>
      <c r="I5285" s="15"/>
      <c r="J5285" s="15"/>
      <c r="K5285" s="15"/>
      <c r="L5285" s="15"/>
      <c r="M5285" s="15"/>
      <c r="N5285" s="15"/>
      <c r="O5285" s="15"/>
      <c r="P5285" s="76"/>
      <c r="Q5285" s="19"/>
      <c r="R5285" s="11"/>
    </row>
    <row r="5286" s="1" customFormat="1" ht="18" customHeight="1" spans="1:19">
      <c r="A5286" s="7"/>
      <c r="B5286" s="12"/>
      <c r="C5286" s="33"/>
      <c r="D5286" s="29"/>
      <c r="E5286" s="29"/>
      <c r="F5286" s="29"/>
      <c r="G5286" s="29"/>
      <c r="H5286" s="29"/>
      <c r="I5286" s="29"/>
      <c r="J5286" s="29"/>
      <c r="K5286" s="29"/>
      <c r="L5286" s="29"/>
      <c r="M5286" s="29"/>
      <c r="N5286" s="29"/>
      <c r="O5286" s="29"/>
      <c r="P5286" s="19"/>
      <c r="Q5286" s="19"/>
      <c r="R5286" s="11"/>
    </row>
    <row r="5287" s="1" customFormat="1" ht="21.95" customHeight="1" spans="1:19">
      <c r="A5287" s="7"/>
      <c r="B5287" s="12"/>
      <c r="C5287" s="33"/>
      <c r="D5287" s="77" t="s">
        <v>758</v>
      </c>
      <c r="E5287" s="77"/>
      <c r="F5287" s="78" t="str">
        <f>IFERROR(PROPER(VLOOKUP(F5250,STUDENT!$A$2:$BP$101,5,0)),"")</f>
        <v/>
      </c>
      <c r="G5287" s="78"/>
      <c r="H5287" s="78"/>
      <c r="I5287" s="78"/>
      <c r="J5287" s="78"/>
      <c r="K5287" s="78"/>
      <c r="L5287" s="78"/>
      <c r="M5287" s="78"/>
      <c r="N5287" s="79" t="s">
        <v>759</v>
      </c>
      <c r="O5287" s="79"/>
      <c r="P5287" s="19"/>
      <c r="Q5287" s="19"/>
      <c r="R5287" s="11"/>
    </row>
    <row r="5288" s="1" customFormat="1" ht="21.95" customHeight="1" spans="1:19">
      <c r="A5288" s="7"/>
      <c r="B5288" s="12"/>
      <c r="C5288" s="33"/>
      <c r="D5288" s="80" t="s">
        <v>760</v>
      </c>
      <c r="E5288" s="81" t="str">
        <f>IFERROR(PROPER(VLOOKUP(F5250,STUDENT!$A$2:$BP$101,9,0)),"")</f>
        <v/>
      </c>
      <c r="F5288" s="81"/>
      <c r="G5288" s="81"/>
      <c r="H5288" s="80" t="s">
        <v>761</v>
      </c>
      <c r="I5288" s="82" t="str">
        <f>IFERROR(PROPER(VLOOKUP(F5250,STUDENT!$A$2:$BP$101,8,0)),"")</f>
        <v/>
      </c>
      <c r="J5288" s="82"/>
      <c r="K5288" s="82"/>
      <c r="L5288" s="82"/>
      <c r="M5288" s="80" t="s">
        <v>762</v>
      </c>
      <c r="N5288" s="83" t="str">
        <f>IFERROR(VLOOKUP(F5250,STUDENT!$A$2:$BP$101,59,0),"")</f>
        <v/>
      </c>
      <c r="O5288" s="83"/>
      <c r="P5288" s="19"/>
      <c r="Q5288" s="19"/>
      <c r="R5288" s="11"/>
    </row>
    <row r="5289" s="1" customFormat="1" ht="21.95" customHeight="1" spans="1:19">
      <c r="A5289" s="7"/>
      <c r="B5289" s="12"/>
      <c r="C5289" s="33"/>
      <c r="D5289" s="77" t="str">
        <f>"has    completed     his  /  her     primary     level     education    in    the    year    "&amp;RIGHT(ENTRY!$D5255,4)&amp;"    from    ( School    Name )"</f>
        <v>has    completed     his  /  her     primary     level     education    in    the    year        from    ( School    Name )</v>
      </c>
      <c r="E5289" s="77"/>
      <c r="F5289" s="77"/>
      <c r="G5289" s="77"/>
      <c r="H5289" s="77"/>
      <c r="I5289" s="77"/>
      <c r="J5289" s="77"/>
      <c r="K5289" s="77"/>
      <c r="L5289" s="77"/>
      <c r="M5289" s="77"/>
      <c r="N5289" s="77"/>
      <c r="O5289" s="77"/>
      <c r="P5289" s="19"/>
      <c r="Q5289" s="19"/>
      <c r="R5289" s="11"/>
    </row>
    <row r="5290" s="1" customFormat="1" ht="21.95" customHeight="1" spans="1:19">
      <c r="A5290" s="7"/>
      <c r="B5290" s="12"/>
      <c r="C5290" s="33"/>
      <c r="D5290" s="81" t="str">
        <f>IF(F5250&gt;0,ENTRY!$D$6,"")</f>
        <v>MCP NITHARI NO 1 BOYS</v>
      </c>
      <c r="E5290" s="81"/>
      <c r="F5290" s="81"/>
      <c r="G5290" s="81"/>
      <c r="H5290" s="81"/>
      <c r="I5290" s="81"/>
      <c r="J5290" s="81"/>
      <c r="K5290" s="81"/>
      <c r="L5290" s="81"/>
      <c r="M5290" s="80" t="s">
        <v>763</v>
      </c>
      <c r="N5290" s="84">
        <f>IF(F5250&gt;0,ENTRY!$D$7,"")</f>
        <v>0</v>
      </c>
      <c r="O5290" s="84"/>
      <c r="P5290" s="85" t="s">
        <v>727</v>
      </c>
      <c r="Q5290" s="19"/>
      <c r="R5290" s="11"/>
    </row>
    <row r="5291" s="1" customFormat="1" ht="21.95" customHeight="1" spans="1:19">
      <c r="A5291" s="7"/>
      <c r="B5291" s="12"/>
      <c r="C5291" s="33"/>
      <c r="D5291" s="29"/>
      <c r="E5291" s="29"/>
      <c r="F5291" s="29"/>
      <c r="G5291" s="29"/>
      <c r="H5291" s="29"/>
      <c r="I5291" s="29"/>
      <c r="J5291" s="29"/>
      <c r="K5291" s="29"/>
      <c r="L5291" s="29"/>
      <c r="M5291" s="29"/>
      <c r="N5291" s="29"/>
      <c r="O5291" s="29"/>
      <c r="P5291" s="19"/>
      <c r="Q5291" s="19"/>
      <c r="R5291" s="11"/>
    </row>
    <row r="5292" s="1" customFormat="1" ht="21.95" customHeight="1" spans="1:19">
      <c r="A5292" s="7"/>
      <c r="B5292" s="12"/>
      <c r="C5292" s="33"/>
      <c r="D5292" s="29"/>
      <c r="E5292" s="29"/>
      <c r="F5292" s="29"/>
      <c r="G5292" s="29"/>
      <c r="H5292" s="29"/>
      <c r="I5292" s="29"/>
      <c r="J5292" s="29"/>
      <c r="K5292" s="29"/>
      <c r="L5292" s="29"/>
      <c r="M5292" s="29"/>
      <c r="N5292" s="29"/>
      <c r="O5292" s="29"/>
      <c r="P5292" s="19"/>
      <c r="Q5292" s="19"/>
      <c r="R5292" s="11"/>
    </row>
    <row r="5293" s="1" customFormat="1" ht="21.95" customHeight="1" spans="1:19">
      <c r="A5293" s="7"/>
      <c r="B5293" s="12"/>
      <c r="C5293" s="33"/>
      <c r="D5293" s="29"/>
      <c r="E5293" s="29"/>
      <c r="F5293" s="29"/>
      <c r="G5293" s="29"/>
      <c r="H5293" s="29"/>
      <c r="I5293" s="29"/>
      <c r="J5293" s="29"/>
      <c r="K5293" s="29"/>
      <c r="L5293" s="29"/>
      <c r="M5293" s="29"/>
      <c r="N5293" s="29"/>
      <c r="O5293" s="29"/>
      <c r="P5293" s="19"/>
      <c r="Q5293" s="19"/>
      <c r="R5293" s="11"/>
    </row>
    <row r="5294" s="1" customFormat="1" ht="21.95" customHeight="1" spans="1:19">
      <c r="A5294" s="7"/>
      <c r="B5294" s="12"/>
      <c r="C5294" s="33"/>
      <c r="D5294" s="29"/>
      <c r="E5294" s="29"/>
      <c r="F5294" s="29"/>
      <c r="G5294" s="29"/>
      <c r="H5294" s="29"/>
      <c r="I5294" s="29"/>
      <c r="J5294" s="29"/>
      <c r="K5294" s="29"/>
      <c r="L5294" s="29"/>
      <c r="M5294" s="29"/>
      <c r="N5294" s="29"/>
      <c r="O5294" s="29"/>
      <c r="P5294" s="19"/>
      <c r="Q5294" s="19"/>
      <c r="R5294" s="11"/>
    </row>
    <row r="5295" s="1" customFormat="1" ht="21.95" customHeight="1" spans="1:19">
      <c r="A5295" s="7"/>
      <c r="B5295" s="12"/>
      <c r="C5295" s="33"/>
      <c r="D5295" s="29"/>
      <c r="E5295" s="29"/>
      <c r="F5295" s="29"/>
      <c r="G5295" s="29"/>
      <c r="H5295" s="29"/>
      <c r="I5295" s="29"/>
      <c r="J5295" s="29"/>
      <c r="K5295" s="29"/>
      <c r="L5295" s="29"/>
      <c r="M5295" s="29"/>
      <c r="N5295" s="29"/>
      <c r="O5295" s="29"/>
      <c r="P5295" s="19"/>
      <c r="Q5295" s="19"/>
      <c r="R5295" s="11"/>
    </row>
    <row r="5296" s="1" customFormat="1" ht="21.95" customHeight="1" spans="1:19">
      <c r="A5296" s="7"/>
      <c r="B5296" s="12"/>
      <c r="C5296" s="33"/>
      <c r="D5296" s="80" t="s">
        <v>728</v>
      </c>
      <c r="E5296" s="86">
        <f>ENTRY!$D$27</f>
        <v>46102</v>
      </c>
      <c r="F5296" s="86"/>
      <c r="G5296" s="29"/>
      <c r="H5296" s="29"/>
      <c r="I5296" s="29"/>
      <c r="J5296" s="29"/>
      <c r="K5296" s="29"/>
      <c r="L5296" s="29"/>
      <c r="M5296" s="87" t="s">
        <v>730</v>
      </c>
      <c r="N5296" s="87"/>
      <c r="O5296" s="87"/>
      <c r="P5296" s="19"/>
      <c r="Q5296" s="19"/>
      <c r="R5296" s="11"/>
    </row>
    <row r="5297" s="1" customFormat="1" ht="21.95" customHeight="1" spans="1:18">
      <c r="A5297" s="7"/>
      <c r="B5297" s="12"/>
      <c r="C5297" s="33"/>
      <c r="D5297" s="80" t="s">
        <v>731</v>
      </c>
      <c r="E5297" s="88" t="str">
        <f>PROPER(ENTRY!$D$28)</f>
        <v>New Delhi</v>
      </c>
      <c r="F5297" s="88"/>
      <c r="G5297" s="29"/>
      <c r="H5297" s="29"/>
      <c r="I5297" s="29"/>
      <c r="J5297" s="29"/>
      <c r="K5297" s="29"/>
      <c r="L5297" s="29"/>
      <c r="M5297" s="89" t="s">
        <v>732</v>
      </c>
      <c r="N5297" s="89"/>
      <c r="O5297" s="89"/>
      <c r="P5297" s="19"/>
      <c r="Q5297" s="19"/>
      <c r="R5297" s="11"/>
    </row>
    <row r="5298" s="1" customFormat="1" ht="21.95" customHeight="1" spans="1:18">
      <c r="A5298" s="7"/>
      <c r="B5298" s="12"/>
      <c r="C5298" s="90"/>
      <c r="D5298" s="91"/>
      <c r="E5298" s="91"/>
      <c r="F5298" s="91"/>
      <c r="G5298" s="91"/>
      <c r="H5298" s="91"/>
      <c r="I5298" s="91"/>
      <c r="J5298" s="91"/>
      <c r="K5298" s="91"/>
      <c r="L5298" s="91"/>
      <c r="M5298" s="91"/>
      <c r="N5298" s="91"/>
      <c r="O5298" s="91"/>
      <c r="P5298" s="92"/>
      <c r="Q5298" s="14"/>
      <c r="R5298" s="11"/>
    </row>
    <row r="5299" s="1" customFormat="1" ht="5.1" customHeight="1" spans="1:18">
      <c r="A5299" s="7"/>
      <c r="B5299" s="90"/>
      <c r="C5299" s="91"/>
      <c r="D5299" s="91"/>
      <c r="E5299" s="91"/>
      <c r="F5299" s="91"/>
      <c r="G5299" s="91"/>
      <c r="H5299" s="91"/>
      <c r="I5299" s="91"/>
      <c r="J5299" s="91"/>
      <c r="K5299" s="91"/>
      <c r="L5299" s="91"/>
      <c r="M5299" s="91"/>
      <c r="N5299" s="91"/>
      <c r="O5299" s="91"/>
      <c r="P5299" s="91"/>
      <c r="Q5299" s="92"/>
      <c r="R5299" s="11"/>
    </row>
    <row r="5300" s="1" customFormat="1" ht="5.1" customHeight="1" spans="1:18">
      <c r="A5300" s="93"/>
      <c r="B5300" s="94"/>
      <c r="C5300" s="94"/>
      <c r="D5300" s="94"/>
      <c r="E5300" s="94"/>
      <c r="F5300" s="94"/>
      <c r="G5300" s="94"/>
      <c r="H5300" s="94"/>
      <c r="I5300" s="94"/>
      <c r="J5300" s="94"/>
      <c r="K5300" s="94"/>
      <c r="L5300" s="94"/>
      <c r="M5300" s="94"/>
      <c r="N5300" s="94"/>
      <c r="O5300" s="94"/>
      <c r="P5300" s="94"/>
      <c r="Q5300" s="94"/>
      <c r="R5300" s="95"/>
    </row>
    <row r="5301" s="2" customFormat="1" ht="9.95" customHeight="1"/>
    <row r="5302" s="1" customFormat="1" ht="5.1" customHeight="1" spans="1:18">
      <c r="A5302" s="4"/>
      <c r="B5302" s="5"/>
      <c r="C5302" s="5"/>
      <c r="D5302" s="5"/>
      <c r="E5302" s="5"/>
      <c r="F5302" s="5"/>
      <c r="G5302" s="5"/>
      <c r="H5302" s="5"/>
      <c r="I5302" s="5"/>
      <c r="J5302" s="5"/>
      <c r="K5302" s="5"/>
      <c r="L5302" s="5"/>
      <c r="M5302" s="5"/>
      <c r="N5302" s="5"/>
      <c r="O5302" s="5"/>
      <c r="P5302" s="5"/>
      <c r="Q5302" s="5"/>
      <c r="R5302" s="6"/>
    </row>
    <row r="5303" s="1" customFormat="1" ht="15" customHeight="1" spans="1:18">
      <c r="A5303" s="7"/>
      <c r="B5303" s="8"/>
      <c r="C5303" s="9"/>
      <c r="D5303" s="9"/>
      <c r="E5303" s="9"/>
      <c r="F5303" s="9"/>
      <c r="G5303" s="9"/>
      <c r="H5303" s="9"/>
      <c r="I5303" s="9"/>
      <c r="J5303" s="9"/>
      <c r="K5303" s="9"/>
      <c r="L5303" s="9"/>
      <c r="M5303" s="9"/>
      <c r="N5303" s="9"/>
      <c r="O5303" s="9"/>
      <c r="P5303" s="9"/>
      <c r="Q5303" s="10"/>
      <c r="R5303" s="11"/>
    </row>
    <row r="5304" s="1" customFormat="1" ht="21.95" customHeight="1" spans="1:18">
      <c r="A5304" s="7"/>
      <c r="B5304" s="12"/>
      <c r="C5304" s="13" t="s">
        <v>7</v>
      </c>
      <c r="D5304" s="13"/>
      <c r="E5304" s="13"/>
      <c r="F5304" s="13"/>
      <c r="G5304" s="13"/>
      <c r="H5304" s="13"/>
      <c r="I5304" s="13"/>
      <c r="J5304" s="13"/>
      <c r="K5304" s="13"/>
      <c r="L5304" s="13"/>
      <c r="M5304" s="13"/>
      <c r="N5304" s="13"/>
      <c r="O5304" s="13"/>
      <c r="P5304" s="13"/>
      <c r="Q5304" s="14"/>
      <c r="R5304" s="11"/>
    </row>
    <row r="5305" s="1" customFormat="1" ht="21.95" customHeight="1" spans="1:18">
      <c r="A5305" s="7"/>
      <c r="B5305" s="1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14"/>
      <c r="R5305" s="11"/>
    </row>
    <row r="5306" s="1" customFormat="1" ht="21.95" customHeight="1" spans="1:18">
      <c r="A5306" s="7"/>
      <c r="B5306" s="12"/>
      <c r="C5306" s="15" t="str">
        <f>"SESSION-"&amp;ENTRY!$D$11</f>
        <v>SESSION-2026-27</v>
      </c>
      <c r="D5306" s="15"/>
      <c r="E5306" s="15"/>
      <c r="F5306" s="15"/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  <c r="Q5306" s="14"/>
      <c r="R5306" s="11"/>
    </row>
    <row r="5307" s="1" customFormat="1" ht="21.95" customHeight="1" spans="1:18">
      <c r="A5307" s="7"/>
      <c r="B5307" s="12"/>
      <c r="C5307" s="2"/>
      <c r="D5307" s="2"/>
      <c r="E5307" s="2"/>
      <c r="F5307" s="16">
        <f>F5250+1</f>
        <v>94</v>
      </c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14"/>
      <c r="R5307" s="11"/>
    </row>
    <row r="5308" s="1" customFormat="1" ht="21.95" customHeight="1" spans="1:18">
      <c r="A5308" s="7"/>
      <c r="B5308" s="12"/>
      <c r="C5308" s="17" t="s">
        <v>392</v>
      </c>
      <c r="D5308" s="17"/>
      <c r="E5308" s="17"/>
      <c r="F5308" s="18" t="str">
        <f>IF(F5307&gt;0,ENTRY!$D$6,"")</f>
        <v>MCP NITHARI NO 1 BOYS</v>
      </c>
      <c r="G5308" s="18"/>
      <c r="H5308" s="18"/>
      <c r="I5308" s="18"/>
      <c r="J5308" s="18"/>
      <c r="K5308" s="18"/>
      <c r="L5308" s="18"/>
      <c r="M5308" s="18"/>
      <c r="N5308" s="18"/>
      <c r="O5308" s="18"/>
      <c r="P5308" s="18"/>
      <c r="Q5308" s="19"/>
      <c r="R5308" s="11"/>
    </row>
    <row r="5309" s="1" customFormat="1" ht="21.95" customHeight="1" spans="1:18">
      <c r="A5309" s="7"/>
      <c r="B5309" s="12"/>
      <c r="C5309" s="17" t="s">
        <v>393</v>
      </c>
      <c r="D5309" s="17"/>
      <c r="E5309" s="17"/>
      <c r="F5309" s="18">
        <f>IF(F5307&gt;0,ENTRY!$D$7,"")</f>
        <v>0</v>
      </c>
      <c r="G5309" s="18"/>
      <c r="H5309" s="20" t="s">
        <v>702</v>
      </c>
      <c r="I5309" s="20"/>
      <c r="J5309" s="21">
        <f>IF(F5307&gt;0,ENTRY!$D$10,"")</f>
        <v>40</v>
      </c>
      <c r="K5309" s="20" t="s">
        <v>703</v>
      </c>
      <c r="L5309" s="22" t="str">
        <f>IF(F5307&gt;0,ENTRY!$D$5,"")</f>
        <v>ROHINI ZONE</v>
      </c>
      <c r="M5309" s="22"/>
      <c r="N5309" s="22"/>
      <c r="O5309" s="22"/>
      <c r="P5309" s="22"/>
      <c r="Q5309" s="19"/>
      <c r="R5309" s="11"/>
    </row>
    <row r="5310" s="1" customFormat="1" ht="21.95" customHeight="1" spans="1:18">
      <c r="A5310" s="7"/>
      <c r="B5310" s="12"/>
      <c r="C5310" s="17" t="s">
        <v>706</v>
      </c>
      <c r="D5310" s="17"/>
      <c r="E5310" s="17"/>
      <c r="F5310" s="23">
        <f>IFERROR(VLOOKUP(F5307,STUDENT!$A$2:$BP$101,5,0),"")</f>
        <v>0</v>
      </c>
      <c r="G5310" s="23"/>
      <c r="H5310" s="23"/>
      <c r="I5310" s="23"/>
      <c r="J5310" s="23"/>
      <c r="K5310" s="23"/>
      <c r="L5310" s="20" t="s">
        <v>707</v>
      </c>
      <c r="M5310" s="20"/>
      <c r="N5310" s="24" t="str">
        <f>IF(F5307&gt;0,ENTRY!$D$20&amp;"-"&amp;ENTRY!$D$21,"")</f>
        <v>III-A</v>
      </c>
      <c r="O5310" s="24"/>
      <c r="P5310" s="24"/>
      <c r="Q5310" s="19"/>
      <c r="R5310" s="11"/>
    </row>
    <row r="5311" s="1" customFormat="1" ht="21.95" customHeight="1" spans="1:18">
      <c r="A5311" s="7"/>
      <c r="B5311" s="12"/>
      <c r="C5311" s="17" t="s">
        <v>708</v>
      </c>
      <c r="D5311" s="17"/>
      <c r="E5311" s="17"/>
      <c r="F5311" s="25">
        <f>IFERROR(VLOOKUP(F5307,STUDENT!$A$2:$BP$101,6,0),"")</f>
        <v>0</v>
      </c>
      <c r="G5311" s="25"/>
      <c r="H5311" s="26" t="s">
        <v>709</v>
      </c>
      <c r="I5311" s="27" t="str">
        <f>IFERROR(VLOOKUP(F5307,STUDENT!$A$2:$BP$101,59,0),"")</f>
        <v/>
      </c>
      <c r="J5311" s="27"/>
      <c r="K5311" s="20" t="s">
        <v>710</v>
      </c>
      <c r="L5311" s="20"/>
      <c r="M5311" s="28">
        <f>IFERROR(VLOOKUP(F5307,STUDENT!$A$2:$BP$101,20,0),"")</f>
        <v>0</v>
      </c>
      <c r="N5311" s="28"/>
      <c r="O5311" s="28"/>
      <c r="P5311" s="28"/>
      <c r="Q5311" s="19"/>
      <c r="R5311" s="11"/>
    </row>
    <row r="5312" s="1" customFormat="1" ht="21.95" customHeight="1" spans="1:18">
      <c r="A5312" s="7"/>
      <c r="B5312" s="12"/>
      <c r="C5312" s="17" t="s">
        <v>711</v>
      </c>
      <c r="D5312" s="17"/>
      <c r="E5312" s="17"/>
      <c r="F5312" s="23">
        <f>IFERROR(VLOOKUP(F5307,STUDENT!$A$2:$BP$101,9,0),"")</f>
        <v>0</v>
      </c>
      <c r="G5312" s="23"/>
      <c r="H5312" s="23"/>
      <c r="I5312" s="23"/>
      <c r="J5312" s="17" t="s">
        <v>620</v>
      </c>
      <c r="K5312" s="17"/>
      <c r="L5312" s="23">
        <f>IFERROR(VLOOKUP(F5307,STUDENT!$A$2:$BP$101,8,0),"")</f>
        <v>0</v>
      </c>
      <c r="M5312" s="23"/>
      <c r="N5312" s="23"/>
      <c r="O5312" s="23"/>
      <c r="P5312" s="23"/>
      <c r="Q5312" s="19"/>
      <c r="R5312" s="11"/>
    </row>
    <row r="5313" s="1" customFormat="1" ht="21.95" customHeight="1" spans="1:18">
      <c r="A5313" s="7"/>
      <c r="B5313" s="12"/>
      <c r="C5313" s="17" t="s">
        <v>712</v>
      </c>
      <c r="D5313" s="17"/>
      <c r="E5313" s="17"/>
      <c r="F5313" s="23">
        <f>IFERROR(VLOOKUP(F5307,STUDENT!$A$2:$BP$101,22,0),"")</f>
        <v>0</v>
      </c>
      <c r="G5313" s="23"/>
      <c r="H5313" s="23"/>
      <c r="I5313" s="23"/>
      <c r="J5313" s="23"/>
      <c r="K5313" s="23"/>
      <c r="L5313" s="23"/>
      <c r="M5313" s="23"/>
      <c r="N5313" s="23"/>
      <c r="O5313" s="23"/>
      <c r="P5313" s="23"/>
      <c r="Q5313" s="19"/>
      <c r="R5313" s="11"/>
    </row>
    <row r="5314" s="1" customFormat="1" ht="9.95" customHeight="1" spans="1:18">
      <c r="A5314" s="7"/>
      <c r="B5314" s="12"/>
      <c r="C5314" s="29"/>
      <c r="D5314" s="29"/>
      <c r="E5314" s="29"/>
      <c r="F5314" s="29"/>
      <c r="G5314" s="29"/>
      <c r="H5314" s="29"/>
      <c r="I5314" s="29"/>
      <c r="J5314" s="29"/>
      <c r="K5314" s="29"/>
      <c r="L5314" s="29"/>
      <c r="M5314" s="29"/>
      <c r="N5314" s="29"/>
      <c r="O5314" s="29"/>
      <c r="P5314" s="29"/>
      <c r="Q5314" s="19"/>
      <c r="R5314" s="11"/>
    </row>
    <row r="5315" s="1" customFormat="1" ht="9.95" customHeight="1" spans="1:18">
      <c r="A5315" s="7"/>
      <c r="B5315" s="12"/>
      <c r="C5315" s="30"/>
      <c r="D5315" s="31"/>
      <c r="E5315" s="31"/>
      <c r="F5315" s="31"/>
      <c r="G5315" s="31"/>
      <c r="H5315" s="31"/>
      <c r="I5315" s="31"/>
      <c r="J5315" s="31"/>
      <c r="K5315" s="31"/>
      <c r="L5315" s="31"/>
      <c r="M5315" s="31"/>
      <c r="N5315" s="31"/>
      <c r="O5315" s="31"/>
      <c r="P5315" s="32"/>
      <c r="Q5315" s="19"/>
      <c r="R5315" s="11"/>
    </row>
    <row r="5316" s="1" customFormat="1" ht="21.95" customHeight="1" spans="1:18">
      <c r="A5316" s="7"/>
      <c r="B5316" s="12"/>
      <c r="C5316" s="33"/>
      <c r="D5316" s="34" t="s">
        <v>713</v>
      </c>
      <c r="E5316" s="20" t="s">
        <v>714</v>
      </c>
      <c r="F5316" s="35" t="str">
        <f>"Level - "&amp;IFERROR(VLOOKUP(F5307,FLN!$A$4:$K$103,9,0),"")</f>
        <v>Level - </v>
      </c>
      <c r="G5316" s="36"/>
      <c r="H5316" s="37" t="s">
        <v>715</v>
      </c>
      <c r="I5316" s="20"/>
      <c r="J5316" s="35" t="str">
        <f>"Level - "&amp;IFERROR(VLOOKUP(F5307,FLN!$A$4:$K$103,11,0),"")</f>
        <v>Level - </v>
      </c>
      <c r="K5316" s="36"/>
      <c r="L5316" s="37" t="s">
        <v>408</v>
      </c>
      <c r="M5316" s="20"/>
      <c r="N5316" s="35" t="str">
        <f>"Level - "&amp;IFERROR(VLOOKUP(F5307,FLN!$A$4:$K$103,10,0),"")</f>
        <v>Level - </v>
      </c>
      <c r="O5316" s="36"/>
      <c r="P5316" s="19"/>
      <c r="Q5316" s="19"/>
      <c r="R5316" s="11"/>
    </row>
    <row r="5317" s="1" customFormat="1" ht="21.95" customHeight="1" spans="1:18">
      <c r="A5317" s="7"/>
      <c r="B5317" s="12"/>
      <c r="C5317" s="33"/>
      <c r="D5317" s="38"/>
      <c r="E5317" s="20" t="s">
        <v>716</v>
      </c>
      <c r="F5317" s="18" t="str">
        <f ca="1">IF(L5331&gt;197,"PERFORMED WELL","")</f>
        <v/>
      </c>
      <c r="G5317" s="18"/>
      <c r="H5317" s="18"/>
      <c r="I5317" s="18"/>
      <c r="J5317" s="18"/>
      <c r="K5317" s="18"/>
      <c r="L5317" s="18"/>
      <c r="M5317" s="18"/>
      <c r="N5317" s="18"/>
      <c r="O5317" s="18"/>
      <c r="P5317" s="19"/>
      <c r="Q5317" s="19"/>
      <c r="R5317" s="11"/>
    </row>
    <row r="5318" s="1" customFormat="1" ht="9.95" customHeight="1" spans="1:18">
      <c r="A5318" s="7"/>
      <c r="B5318" s="12"/>
      <c r="C5318" s="39"/>
      <c r="D5318" s="40"/>
      <c r="E5318" s="40"/>
      <c r="F5318" s="40"/>
      <c r="G5318" s="40"/>
      <c r="H5318" s="40"/>
      <c r="I5318" s="40"/>
      <c r="J5318" s="40"/>
      <c r="K5318" s="40"/>
      <c r="L5318" s="40"/>
      <c r="M5318" s="40"/>
      <c r="N5318" s="40"/>
      <c r="O5318" s="40"/>
      <c r="P5318" s="41"/>
      <c r="Q5318" s="19"/>
      <c r="R5318" s="11"/>
    </row>
    <row r="5319" s="1" customFormat="1" ht="9.95" customHeight="1" spans="1:18">
      <c r="A5319" s="7"/>
      <c r="B5319" s="12"/>
      <c r="C5319" s="29"/>
      <c r="D5319" s="29"/>
      <c r="E5319" s="29"/>
      <c r="F5319" s="29"/>
      <c r="G5319" s="29"/>
      <c r="H5319" s="29"/>
      <c r="I5319" s="29"/>
      <c r="J5319" s="29"/>
      <c r="K5319" s="29"/>
      <c r="L5319" s="29"/>
      <c r="M5319" s="29"/>
      <c r="N5319" s="29"/>
      <c r="O5319" s="29"/>
      <c r="P5319" s="29"/>
      <c r="Q5319" s="19"/>
      <c r="R5319" s="11"/>
    </row>
    <row r="5320" s="1" customFormat="1" ht="9.95" customHeight="1" spans="1:18">
      <c r="A5320" s="7"/>
      <c r="B5320" s="12"/>
      <c r="C5320" s="30"/>
      <c r="D5320" s="31"/>
      <c r="E5320" s="31"/>
      <c r="F5320" s="31"/>
      <c r="G5320" s="31"/>
      <c r="H5320" s="31"/>
      <c r="I5320" s="31"/>
      <c r="J5320" s="31"/>
      <c r="K5320" s="31"/>
      <c r="L5320" s="31"/>
      <c r="M5320" s="31"/>
      <c r="N5320" s="31"/>
      <c r="O5320" s="31"/>
      <c r="P5320" s="32"/>
      <c r="Q5320" s="19"/>
      <c r="R5320" s="11"/>
    </row>
    <row r="5321" s="1" customFormat="1" ht="21.95" customHeight="1" spans="1:18">
      <c r="A5321" s="7"/>
      <c r="B5321" s="12"/>
      <c r="C5321" s="33"/>
      <c r="D5321" s="35"/>
      <c r="E5321" s="24"/>
      <c r="F5321" s="42" t="s">
        <v>717</v>
      </c>
      <c r="G5321" s="42"/>
      <c r="H5321" s="42"/>
      <c r="I5321" s="42"/>
      <c r="J5321" s="42"/>
      <c r="K5321" s="42"/>
      <c r="L5321" s="43"/>
      <c r="M5321" s="44"/>
      <c r="N5321" s="29"/>
      <c r="O5321" s="29"/>
      <c r="P5321" s="19"/>
      <c r="Q5321" s="19"/>
      <c r="R5321" s="11"/>
    </row>
    <row r="5322" s="1" customFormat="1" ht="21.95" customHeight="1" spans="1:18">
      <c r="A5322" s="7"/>
      <c r="B5322" s="12"/>
      <c r="C5322" s="33"/>
      <c r="D5322" s="45"/>
      <c r="E5322" s="46"/>
      <c r="F5322" s="47" t="s">
        <v>541</v>
      </c>
      <c r="G5322" s="47" t="s">
        <v>542</v>
      </c>
      <c r="H5322" s="47" t="s">
        <v>543</v>
      </c>
      <c r="I5322" s="47" t="s">
        <v>544</v>
      </c>
      <c r="J5322" s="47" t="s">
        <v>561</v>
      </c>
      <c r="K5322" s="48" t="s">
        <v>750</v>
      </c>
      <c r="L5322" s="47" t="s">
        <v>382</v>
      </c>
      <c r="M5322" s="49" t="s">
        <v>546</v>
      </c>
      <c r="N5322" s="29"/>
      <c r="O5322" s="29"/>
      <c r="P5322" s="19"/>
      <c r="Q5322" s="19"/>
      <c r="R5322" s="11"/>
    </row>
    <row r="5323" s="1" customFormat="1" ht="21.95" customHeight="1" spans="1:18">
      <c r="A5323" s="7"/>
      <c r="B5323" s="12"/>
      <c r="C5323" s="33"/>
      <c r="D5323" s="45" t="s">
        <v>652</v>
      </c>
      <c r="E5323" s="46"/>
      <c r="F5323" s="50">
        <v>10</v>
      </c>
      <c r="G5323" s="50">
        <v>10</v>
      </c>
      <c r="H5323" s="50">
        <v>10</v>
      </c>
      <c r="I5323" s="50">
        <v>10</v>
      </c>
      <c r="J5323" s="50">
        <v>60</v>
      </c>
      <c r="K5323" s="51"/>
      <c r="L5323" s="50">
        <v>100</v>
      </c>
      <c r="M5323" s="49"/>
      <c r="N5323" s="29"/>
      <c r="O5323" s="29"/>
      <c r="P5323" s="19"/>
      <c r="Q5323" s="19"/>
      <c r="R5323" s="11"/>
    </row>
    <row r="5324" s="1" customFormat="1" ht="21.95" customHeight="1" spans="1:18">
      <c r="A5324" s="7"/>
      <c r="B5324" s="12"/>
      <c r="C5324" s="33"/>
      <c r="D5324" s="52" t="s">
        <v>751</v>
      </c>
      <c r="E5324" s="53"/>
      <c r="F5324" s="54" t="str">
        <f ca="1">IFERROR(VLOOKUP(F5307,'RR-3.1-5TH'!$A$12:'RR-3.1-5TH'!$BN$111,9,0),"")</f>
        <v/>
      </c>
      <c r="G5324" s="54" t="str">
        <f ca="1">IFERROR(VLOOKUP(F5307,'RR-3.1-5TH'!$A$12:'RR-3.1-5TH'!$BN$111,10,0),"")</f>
        <v/>
      </c>
      <c r="H5324" s="54" t="str">
        <f ca="1">IFERROR(VLOOKUP(F5307,'RR-3.1-5TH'!$A$12:'RR-3.1-5TH'!$BN$111,11,0),"")</f>
        <v/>
      </c>
      <c r="I5324" s="54" t="str">
        <f ca="1">IFERROR(VLOOKUP(F5307,'RR-3.1-5TH'!$A$12:'RR-3.1-5TH'!$BN$111,12,0),"")</f>
        <v/>
      </c>
      <c r="J5324" s="54" t="str">
        <f ca="1">IFERROR(VLOOKUP(F5307,'RR-3.1-5TH'!$A$12:'RR-3.1-5TH'!$BN$111,13,0),"")</f>
        <v/>
      </c>
      <c r="K5324" s="54" t="str">
        <f ca="1">IFERROR(VLOOKUP(F5307,'RR-3.1-5TH'!$A$12:'RR-3.1-5TH'!$BN$111,14,0),"")</f>
        <v/>
      </c>
      <c r="L5324" s="55">
        <f ca="1" t="shared" ref="L5324:L5329" si="279">SUM(F5324,G5324,H5324,I5324,J5324,K5324)</f>
        <v>0</v>
      </c>
      <c r="M5324" s="56" t="str">
        <f ca="1">IF(F5307&gt;ENTRY!$D$24,"",IF(L5324=0,"Ab",IF(L5324&gt;80,"A",IF(L5324&gt;60,"B",IF(L5324&gt;44,"C",IF(L5324&gt;=33,"D",IF(L5324&lt;=32,"E","")))))))</f>
        <v/>
      </c>
      <c r="N5324" s="57" t="s">
        <v>729</v>
      </c>
      <c r="O5324" s="58"/>
      <c r="P5324" s="59"/>
      <c r="Q5324" s="19"/>
      <c r="R5324" s="11"/>
    </row>
    <row r="5325" s="1" customFormat="1" ht="21.95" customHeight="1" spans="1:18">
      <c r="A5325" s="7"/>
      <c r="B5325" s="12"/>
      <c r="C5325" s="33"/>
      <c r="D5325" s="52" t="s">
        <v>513</v>
      </c>
      <c r="E5325" s="53"/>
      <c r="F5325" s="54" t="str">
        <f ca="1">IFERROR(VLOOKUP(F5307,'RR-3.1-5TH'!$A$12:'RR-3.1-5TH'!$BN$111,17,0),"")</f>
        <v/>
      </c>
      <c r="G5325" s="54" t="str">
        <f ca="1">IFERROR(VLOOKUP(F5307,'RR-3.1-5TH'!$A$12:'RR-3.1-5TH'!$BN$111,18,0),"")</f>
        <v/>
      </c>
      <c r="H5325" s="54" t="str">
        <f ca="1">IFERROR(VLOOKUP(F5307,'RR-3.1-5TH'!$A$12:'RR-3.1-5TH'!$BN$111,19,0),"")</f>
        <v/>
      </c>
      <c r="I5325" s="54" t="str">
        <f ca="1">IFERROR(VLOOKUP(F5307,'RR-3.1-5TH'!$A$12:'RR-3.1-5TH'!$BN$111,20,0),"")</f>
        <v/>
      </c>
      <c r="J5325" s="54" t="str">
        <f ca="1">IFERROR(VLOOKUP(F5307,'RR-3.1-5TH'!$A$12:'RR-3.1-5TH'!$BN$111,21,0),"")</f>
        <v/>
      </c>
      <c r="K5325" s="54" t="str">
        <f ca="1">IFERROR(VLOOKUP(F5307,'RR-3.1-5TH'!$A$12:'RR-3.1-5TH'!$BN$111,22,0),"")</f>
        <v/>
      </c>
      <c r="L5325" s="55">
        <f ca="1" t="shared" si="279"/>
        <v>0</v>
      </c>
      <c r="M5325" s="56" t="str">
        <f ca="1">IF(F5307&gt;ENTRY!$D$24,"",IF(L5325=0,"Ab",IF(L5325&gt;80,"A",IF(L5325&gt;60,"B",IF(L5325&gt;44,"C",IF(L5325&gt;=33,"D",IF(L5325&lt;=32,"E","")))))))</f>
        <v/>
      </c>
      <c r="N5325" s="58"/>
      <c r="O5325" s="58"/>
      <c r="P5325" s="59"/>
      <c r="Q5325" s="19"/>
      <c r="R5325" s="11"/>
    </row>
    <row r="5326" s="1" customFormat="1" ht="21.95" customHeight="1" spans="1:18">
      <c r="A5326" s="7"/>
      <c r="B5326" s="12"/>
      <c r="C5326" s="33"/>
      <c r="D5326" s="52" t="s">
        <v>718</v>
      </c>
      <c r="E5326" s="53"/>
      <c r="F5326" s="54" t="str">
        <f ca="1">IFERROR(VLOOKUP(F5307,'RR-3.1-5TH'!$A$12:'RR-3.1-5TH'!$BN$111,25,0),"")</f>
        <v/>
      </c>
      <c r="G5326" s="54" t="str">
        <f ca="1">IFERROR(VLOOKUP(F5307,'RR-3.1-5TH'!$A$12:'RR-3.1-5TH'!$BN$111,26,0),"")</f>
        <v/>
      </c>
      <c r="H5326" s="54" t="str">
        <f ca="1">IFERROR(VLOOKUP(F5307,'RR-3.1-5TH'!$A$12:'RR-3.1-5TH'!$BN$111,27,0),"")</f>
        <v/>
      </c>
      <c r="I5326" s="54" t="str">
        <f ca="1">IFERROR(VLOOKUP(F5307,'RR-3.1-5TH'!$A$12:'RR-3.1-5TH'!$BN$111,28,0),"")</f>
        <v/>
      </c>
      <c r="J5326" s="54" t="str">
        <f ca="1">IFERROR(VLOOKUP(F5307,'RR-3.1-5TH'!$A$12:'RR-3.1-5TH'!$BN$111,29,0),"")</f>
        <v/>
      </c>
      <c r="K5326" s="54" t="str">
        <f ca="1">IFERROR(VLOOKUP(F5307,'RR-3.1-5TH'!$A$12:'RR-3.1-5TH'!$BN$111,30,0),"")</f>
        <v/>
      </c>
      <c r="L5326" s="55">
        <f ca="1" t="shared" si="279"/>
        <v>0</v>
      </c>
      <c r="M5326" s="56" t="str">
        <f ca="1">IF(F5307&gt;ENTRY!$D$24,"",IF(L5326=0,"Ab",IF(L5326&gt;80,"A",IF(L5326&gt;60,"B",IF(L5326&gt;44,"C",IF(L5326&gt;=33,"D",IF(L5326&lt;=32,"E","")))))))</f>
        <v/>
      </c>
      <c r="N5326" s="29"/>
      <c r="O5326" s="29"/>
      <c r="P5326" s="19"/>
      <c r="Q5326" s="19"/>
      <c r="R5326" s="11"/>
    </row>
    <row r="5327" s="1" customFormat="1" ht="21.95" customHeight="1" spans="1:18">
      <c r="A5327" s="7"/>
      <c r="B5327" s="12"/>
      <c r="C5327" s="33"/>
      <c r="D5327" s="52" t="s">
        <v>719</v>
      </c>
      <c r="E5327" s="53"/>
      <c r="F5327" s="54" t="str">
        <f ca="1">IFERROR(VLOOKUP(F5307,'RR-3.1-5TH'!$A$12:'RR-3.1-5TH'!$BN$111,33,0),"")</f>
        <v/>
      </c>
      <c r="G5327" s="54" t="str">
        <f ca="1">IFERROR(VLOOKUP(F5307,'RR-3.1-5TH'!$A$12:'RR-3.1-5TH'!$BN$111,34,0),"")</f>
        <v/>
      </c>
      <c r="H5327" s="54" t="str">
        <f ca="1">IFERROR(VLOOKUP(F5307,'RR-3.1-5TH'!$A$12:'RR-3.1-5TH'!$BN$111,35,0),"")</f>
        <v/>
      </c>
      <c r="I5327" s="54" t="str">
        <f ca="1">IFERROR(VLOOKUP(F5307,'RR-3.1-5TH'!$A$12:'RR-3.1-5TH'!$BN$111,36,0),"")</f>
        <v/>
      </c>
      <c r="J5327" s="54" t="str">
        <f ca="1">IFERROR(VLOOKUP(F5307,'RR-3.1-5TH'!$A$12:'RR-3.1-5TH'!$BN$111,37,0),"")</f>
        <v/>
      </c>
      <c r="K5327" s="54" t="str">
        <f ca="1">IFERROR(VLOOKUP(F5307,'RR-3.1-5TH'!$A$12:'RR-3.1-5TH'!$BN$111,38,0),"")</f>
        <v/>
      </c>
      <c r="L5327" s="55">
        <f ca="1" t="shared" si="279"/>
        <v>0</v>
      </c>
      <c r="M5327" s="56" t="str">
        <f ca="1">IF(F5307&gt;ENTRY!$D$24,"",IF(L5327=0,"Ab",IF(L5327&gt;80,"A",IF(L5327&gt;60,"B",IF(L5327&gt;44,"C",IF(L5327&gt;=33,"D",IF(L5327&lt;=32,"E","")))))))</f>
        <v/>
      </c>
      <c r="N5327" s="29"/>
      <c r="O5327" s="29"/>
      <c r="P5327" s="19"/>
      <c r="Q5327" s="19"/>
      <c r="R5327" s="11"/>
    </row>
    <row r="5328" s="1" customFormat="1" ht="21.95" customHeight="1" spans="1:18">
      <c r="A5328" s="7"/>
      <c r="B5328" s="12"/>
      <c r="C5328" s="33"/>
      <c r="D5328" s="52" t="s">
        <v>548</v>
      </c>
      <c r="E5328" s="53"/>
      <c r="F5328" s="54" t="str">
        <f ca="1">IFERROR(VLOOKUP(F5307,'RR-3.1-5TH'!$A$12:'RR-3.1-5TH'!$BN$111,41,0),"")</f>
        <v/>
      </c>
      <c r="G5328" s="54" t="str">
        <f ca="1">IFERROR(VLOOKUP(F5307,'RR-3.1-5TH'!$A$12:'RR-3.1-5TH'!$BN$111,42,0),"")</f>
        <v/>
      </c>
      <c r="H5328" s="54" t="str">
        <f ca="1">IFERROR(VLOOKUP(F5307,'RR-3.1-5TH'!$A$12:'RR-3.1-5TH'!$BN$111,43,0),"")</f>
        <v/>
      </c>
      <c r="I5328" s="54" t="str">
        <f ca="1">IFERROR(VLOOKUP(F5307,'RR-3.1-5TH'!$A$12:'RR-3.1-5TH'!$BN$111,44,0),"")</f>
        <v/>
      </c>
      <c r="J5328" s="54" t="str">
        <f ca="1">IFERROR(VLOOKUP(F5307,'RR-3.1-5TH'!$A$12:'RR-3.1-5TH'!$BN$111,45,0),"")</f>
        <v/>
      </c>
      <c r="K5328" s="54" t="str">
        <f ca="1">IFERROR(VLOOKUP(F5307,'RR-3.1-5TH'!$A$12:'RR-3.1-5TH'!$BN$111,46,0),"")</f>
        <v/>
      </c>
      <c r="L5328" s="55">
        <f ca="1" t="shared" si="279"/>
        <v>0</v>
      </c>
      <c r="M5328" s="56" t="str">
        <f ca="1">IF(F5307&gt;ENTRY!$D$24,"",IF(L5328=0,"Ab",IF(L5328&gt;80,"A",IF(L5328&gt;60,"B",IF(L5328&gt;44,"C",IF(L5328&gt;=33,"D",IF(L5328&lt;=32,"E","")))))))</f>
        <v/>
      </c>
      <c r="N5328" s="29"/>
      <c r="O5328" s="29"/>
      <c r="P5328" s="19"/>
      <c r="Q5328" s="19"/>
      <c r="R5328" s="11"/>
    </row>
    <row r="5329" s="1" customFormat="1" ht="21.95" customHeight="1" spans="1:19">
      <c r="A5329" s="7"/>
      <c r="B5329" s="12"/>
      <c r="C5329" s="33"/>
      <c r="D5329" s="52" t="s">
        <v>549</v>
      </c>
      <c r="E5329" s="53"/>
      <c r="F5329" s="54" t="str">
        <f ca="1">IFERROR(VLOOKUP(F5307,'RR-3.1-5TH'!$A$12:'RR-3.1-5TH'!$BN$111,49,0),"")</f>
        <v/>
      </c>
      <c r="G5329" s="54" t="str">
        <f ca="1">IFERROR(VLOOKUP(F5307,'RR-3.1-5TH'!$A$12:'RR-3.1-5TH'!$BN$111,50,0),"")</f>
        <v/>
      </c>
      <c r="H5329" s="54" t="str">
        <f ca="1">IFERROR(VLOOKUP(F5307,'RR-3.1-5TH'!$A$12:'RR-3.1-5TH'!$BN$111,51,0),"")</f>
        <v/>
      </c>
      <c r="I5329" s="54" t="str">
        <f ca="1">IFERROR(VLOOKUP(F5307,'RR-3.1-5TH'!$A$12:'RR-3.1-5TH'!$BN$111,52,0),"")</f>
        <v/>
      </c>
      <c r="J5329" s="54" t="str">
        <f ca="1">IFERROR(VLOOKUP(F5307,'RR-3.1-5TH'!$A$12:'RR-3.1-5TH'!$BN$111,53,0),"")</f>
        <v/>
      </c>
      <c r="K5329" s="54" t="str">
        <f ca="1">IFERROR(VLOOKUP(F5307,'RR-3.1-5TH'!$A$12:'RR-3.1-5TH'!$BN$111,54,0),"")</f>
        <v/>
      </c>
      <c r="L5329" s="55">
        <f ca="1" t="shared" si="279"/>
        <v>0</v>
      </c>
      <c r="M5329" s="56" t="str">
        <f ca="1">IF(F5307&gt;ENTRY!$D$24,"",IF(L5329=0,"Ab",IF(L5329&gt;80,"A",IF(L5329&gt;60,"B",IF(L5329&gt;44,"C",IF(L5329&gt;=33,"D",IF(L5329&lt;=32,"E","")))))))</f>
        <v/>
      </c>
      <c r="N5329" s="57" t="s">
        <v>752</v>
      </c>
      <c r="O5329" s="58"/>
      <c r="P5329" s="59"/>
      <c r="Q5329" s="19"/>
      <c r="R5329" s="11"/>
    </row>
    <row r="5330" s="1" customFormat="1" ht="21.95" customHeight="1" spans="1:19">
      <c r="A5330" s="7"/>
      <c r="B5330" s="12"/>
      <c r="C5330" s="33"/>
      <c r="D5330" s="52" t="s">
        <v>753</v>
      </c>
      <c r="E5330" s="53"/>
      <c r="F5330" s="60"/>
      <c r="G5330" s="54"/>
      <c r="H5330" s="54"/>
      <c r="I5330" s="54"/>
      <c r="J5330" s="54"/>
      <c r="K5330" s="54"/>
      <c r="L5330" s="55">
        <f t="shared" ref="L5330" si="280">SUM(G5330:K5330)</f>
        <v>0</v>
      </c>
      <c r="M5330" s="56" t="str">
        <f>IF(F5307&gt;ENTRY!$D$24,"",IF(L5330=0,"",IF(L5330&gt;79,"A",IF(L5330&gt;59,"B",IF(L5330&gt;44,"C",IF(L5330&gt;=33,"D",IF(L5330&lt;=32,"E","")))))))</f>
        <v/>
      </c>
      <c r="N5330" s="58"/>
      <c r="O5330" s="58"/>
      <c r="P5330" s="59"/>
      <c r="Q5330" s="19"/>
      <c r="R5330" s="11"/>
    </row>
    <row r="5331" s="1" customFormat="1" ht="21.95" customHeight="1" spans="1:19">
      <c r="A5331" s="7"/>
      <c r="B5331" s="12"/>
      <c r="C5331" s="33"/>
      <c r="D5331" s="45" t="s">
        <v>382</v>
      </c>
      <c r="E5331" s="46"/>
      <c r="F5331" s="54">
        <f ca="1" t="shared" ref="F5331:L5331" si="281">IFERROR(SUM(F5324:F5330),"")</f>
        <v>0</v>
      </c>
      <c r="G5331" s="54">
        <f ca="1" t="shared" si="281"/>
        <v>0</v>
      </c>
      <c r="H5331" s="54">
        <f ca="1" t="shared" si="281"/>
        <v>0</v>
      </c>
      <c r="I5331" s="54">
        <f ca="1" t="shared" si="281"/>
        <v>0</v>
      </c>
      <c r="J5331" s="54">
        <f ca="1" t="shared" si="281"/>
        <v>0</v>
      </c>
      <c r="K5331" s="54">
        <f ca="1" t="shared" si="281"/>
        <v>0</v>
      </c>
      <c r="L5331" s="55">
        <f ca="1" t="shared" si="281"/>
        <v>0</v>
      </c>
      <c r="M5331" s="61" t="str">
        <f ca="1">IF(F5307&gt;ENTRY!$D$24,"",IF(N5332="Ab","Ab",IF(N5332&gt;79.5,"A",IF(N5332&gt;59.5,"B",IF(N5332&gt;44.5,"C",IF(N5332&gt;=33,"D",IF(N5332&lt;33,"E","")))))))</f>
        <v/>
      </c>
      <c r="N5331" s="62"/>
      <c r="O5331" s="58"/>
      <c r="P5331" s="59"/>
      <c r="Q5331" s="19"/>
      <c r="R5331" s="11"/>
    </row>
    <row r="5332" s="1" customFormat="1" ht="21.95" customHeight="1" spans="1:19">
      <c r="A5332" s="7"/>
      <c r="B5332" s="12"/>
      <c r="C5332" s="33"/>
      <c r="D5332" s="63" t="s">
        <v>721</v>
      </c>
      <c r="E5332" s="63"/>
      <c r="F5332" s="63"/>
      <c r="G5332" s="63"/>
      <c r="H5332" s="63"/>
      <c r="I5332" s="63"/>
      <c r="J5332" s="63"/>
      <c r="K5332" s="63"/>
      <c r="L5332" s="63"/>
      <c r="M5332" s="63"/>
      <c r="N5332" s="64">
        <f ca="1">IF(L5331="Ab","Ab",L5331/6)</f>
        <v>0</v>
      </c>
      <c r="O5332" s="65"/>
      <c r="P5332" s="19"/>
      <c r="Q5332" s="19"/>
      <c r="R5332" s="11"/>
    </row>
    <row r="5333" s="1" customFormat="1" ht="21.95" customHeight="1" spans="1:19">
      <c r="A5333" s="7"/>
      <c r="B5333" s="12"/>
      <c r="C5333" s="33"/>
      <c r="D5333" s="29" t="s">
        <v>716</v>
      </c>
      <c r="E5333" s="18" t="str">
        <f>IFERROR(VLOOKUP(F5307,'1to4-2.1-RR'!$A$12:$BG$111,57,0),"")</f>
        <v/>
      </c>
      <c r="F5333" s="18"/>
      <c r="G5333" s="18"/>
      <c r="H5333" s="18"/>
      <c r="I5333" s="18"/>
      <c r="J5333" s="18"/>
      <c r="K5333" s="18"/>
      <c r="L5333" s="18"/>
      <c r="M5333" s="18"/>
      <c r="N5333" s="29"/>
      <c r="O5333" s="29"/>
      <c r="P5333" s="19"/>
      <c r="Q5333" s="19"/>
      <c r="R5333" s="11"/>
    </row>
    <row r="5334" s="1" customFormat="1" ht="9.95" customHeight="1" spans="1:19">
      <c r="A5334" s="7"/>
      <c r="B5334" s="12"/>
      <c r="C5334" s="33"/>
      <c r="D5334" s="29"/>
      <c r="E5334" s="29"/>
      <c r="F5334" s="29"/>
      <c r="G5334" s="29"/>
      <c r="H5334" s="29"/>
      <c r="I5334" s="29"/>
      <c r="J5334" s="29"/>
      <c r="K5334" s="29"/>
      <c r="L5334" s="29"/>
      <c r="M5334" s="29"/>
      <c r="N5334" s="29"/>
      <c r="O5334" s="29"/>
      <c r="P5334" s="19"/>
      <c r="Q5334" s="19"/>
      <c r="R5334" s="11"/>
    </row>
    <row r="5335" s="1" customFormat="1" ht="36" spans="1:19">
      <c r="A5335" s="7"/>
      <c r="B5335" s="12"/>
      <c r="C5335" s="33"/>
      <c r="D5335" s="66" t="s">
        <v>576</v>
      </c>
      <c r="E5335" s="67" t="s">
        <v>754</v>
      </c>
      <c r="F5335" s="47" t="str">
        <f>IF(F5307&gt;ENTRY!$D$24,"",IFERROR(VLOOKUP(F5307,PASHEET!$A$4:$CJ$103,88,0),""))</f>
        <v/>
      </c>
      <c r="G5335" s="67" t="s">
        <v>755</v>
      </c>
      <c r="H5335" s="47" t="str">
        <f>IF(F5307&gt;ENTRY!$D$24,"",IFERROR(VLOOKUP(F5307,PASHEET!$A$4:$CJ$103,87,0),""))</f>
        <v/>
      </c>
      <c r="I5335" s="68" t="s">
        <v>756</v>
      </c>
      <c r="J5335" s="69" t="str">
        <f>IF(F5307&gt;ENTRY!$D$24,"",IFERROR(IF(F5307&gt;0,H5335/F5335*100),""))</f>
        <v/>
      </c>
      <c r="K5335" s="60" t="s">
        <v>757</v>
      </c>
      <c r="L5335" s="70" t="str">
        <f ca="1">IF(F5307&gt;ENTRY!$D$24,"",IFERROR(L5331/600*100,""))</f>
        <v/>
      </c>
      <c r="M5335" s="47" t="str">
        <f ca="1">IF(F5307&gt;ENTRY!$D$24,"",IFERROR(L5331&amp;" / "&amp;"600",""))</f>
        <v/>
      </c>
      <c r="N5335" s="29"/>
      <c r="O5335" s="29"/>
      <c r="P5335" s="19"/>
      <c r="Q5335" s="19"/>
      <c r="R5335" s="11"/>
    </row>
    <row r="5336" s="1" customFormat="1" ht="9.95" customHeight="1" spans="1:19">
      <c r="A5336" s="7"/>
      <c r="B5336" s="12"/>
      <c r="C5336" s="39"/>
      <c r="D5336" s="40"/>
      <c r="E5336" s="40"/>
      <c r="F5336" s="40"/>
      <c r="G5336" s="40"/>
      <c r="H5336" s="40"/>
      <c r="I5336" s="40"/>
      <c r="J5336" s="40"/>
      <c r="K5336" s="40"/>
      <c r="L5336" s="40"/>
      <c r="M5336" s="40"/>
      <c r="N5336" s="40"/>
      <c r="O5336" s="40"/>
      <c r="P5336" s="41"/>
      <c r="Q5336" s="19"/>
      <c r="R5336" s="11"/>
    </row>
    <row r="5337" s="1" customFormat="1" ht="9.95" customHeight="1" spans="1:19">
      <c r="A5337" s="7"/>
      <c r="B5337" s="12"/>
      <c r="C5337" s="71"/>
      <c r="D5337" s="71"/>
      <c r="E5337" s="71"/>
      <c r="F5337" s="29"/>
      <c r="G5337" s="71"/>
      <c r="H5337" s="71"/>
      <c r="I5337" s="71"/>
      <c r="J5337" s="71"/>
      <c r="K5337" s="71"/>
      <c r="L5337" s="71"/>
      <c r="M5337" s="71"/>
      <c r="N5337" s="71"/>
      <c r="O5337" s="71"/>
      <c r="P5337" s="71"/>
      <c r="Q5337" s="19"/>
      <c r="R5337" s="11"/>
    </row>
    <row r="5338" s="1" customFormat="1" ht="9.95" customHeight="1" spans="1:19">
      <c r="A5338" s="7"/>
      <c r="B5338" s="12"/>
      <c r="C5338" s="29"/>
      <c r="D5338" s="29"/>
      <c r="E5338" s="29"/>
      <c r="F5338" s="72"/>
      <c r="G5338" s="29"/>
      <c r="H5338" s="29"/>
      <c r="I5338" s="29"/>
      <c r="J5338" s="29"/>
      <c r="K5338" s="29"/>
      <c r="L5338" s="29"/>
      <c r="M5338" s="29"/>
      <c r="N5338" s="29"/>
      <c r="O5338" s="29"/>
      <c r="P5338" s="29"/>
      <c r="Q5338" s="19"/>
      <c r="R5338" s="11"/>
    </row>
    <row r="5339" s="1" customFormat="1" ht="9.95" customHeight="1" spans="1:19">
      <c r="A5339" s="7"/>
      <c r="B5339" s="12"/>
      <c r="C5339" s="30"/>
      <c r="D5339" s="31"/>
      <c r="E5339" s="31"/>
      <c r="F5339" s="31"/>
      <c r="G5339" s="31"/>
      <c r="H5339" s="31"/>
      <c r="I5339" s="31"/>
      <c r="J5339" s="31"/>
      <c r="K5339" s="31"/>
      <c r="L5339" s="31"/>
      <c r="M5339" s="31"/>
      <c r="N5339" s="31"/>
      <c r="O5339" s="31"/>
      <c r="P5339" s="32"/>
      <c r="Q5339" s="19"/>
      <c r="R5339" s="11"/>
    </row>
    <row r="5340" s="1" customFormat="1" ht="21.95" customHeight="1" spans="1:19">
      <c r="A5340" s="7"/>
      <c r="B5340" s="12"/>
      <c r="C5340" s="73" t="s">
        <v>7</v>
      </c>
      <c r="D5340" s="13"/>
      <c r="E5340" s="13"/>
      <c r="F5340" s="13"/>
      <c r="G5340" s="13"/>
      <c r="H5340" s="13"/>
      <c r="I5340" s="13"/>
      <c r="J5340" s="13"/>
      <c r="K5340" s="13"/>
      <c r="L5340" s="13"/>
      <c r="M5340" s="13"/>
      <c r="N5340" s="13"/>
      <c r="O5340" s="13"/>
      <c r="P5340" s="74"/>
      <c r="Q5340" s="19"/>
      <c r="R5340" s="11"/>
      <c r="S5340" s="2"/>
    </row>
    <row r="5341" s="1" customFormat="1" ht="21.95" customHeight="1" spans="1:19">
      <c r="A5341" s="7"/>
      <c r="B5341" s="12"/>
      <c r="C5341" s="33"/>
      <c r="D5341" s="29"/>
      <c r="E5341" s="29"/>
      <c r="F5341" s="29"/>
      <c r="G5341" s="29"/>
      <c r="H5341" s="29"/>
      <c r="I5341" s="29"/>
      <c r="J5341" s="29"/>
      <c r="K5341" s="29"/>
      <c r="L5341" s="29"/>
      <c r="M5341" s="29"/>
      <c r="N5341" s="29"/>
      <c r="O5341" s="29"/>
      <c r="P5341" s="19"/>
      <c r="Q5341" s="19"/>
      <c r="R5341" s="11"/>
    </row>
    <row r="5342" s="1" customFormat="1" ht="21.95" customHeight="1" spans="1:19">
      <c r="A5342" s="7"/>
      <c r="B5342" s="12"/>
      <c r="C5342" s="75" t="str">
        <f>"SESSION-"&amp;ENTRY!$D$11</f>
        <v>SESSION-2026-27</v>
      </c>
      <c r="D5342" s="15"/>
      <c r="E5342" s="15"/>
      <c r="F5342" s="15"/>
      <c r="G5342" s="15"/>
      <c r="H5342" s="15"/>
      <c r="I5342" s="15"/>
      <c r="J5342" s="15"/>
      <c r="K5342" s="15"/>
      <c r="L5342" s="15"/>
      <c r="M5342" s="15"/>
      <c r="N5342" s="15"/>
      <c r="O5342" s="15"/>
      <c r="P5342" s="76"/>
      <c r="Q5342" s="19"/>
      <c r="R5342" s="11"/>
    </row>
    <row r="5343" s="1" customFormat="1" ht="18" customHeight="1" spans="1:19">
      <c r="A5343" s="7"/>
      <c r="B5343" s="12"/>
      <c r="C5343" s="33"/>
      <c r="D5343" s="29"/>
      <c r="E5343" s="29"/>
      <c r="F5343" s="29"/>
      <c r="G5343" s="29"/>
      <c r="H5343" s="29"/>
      <c r="I5343" s="29"/>
      <c r="J5343" s="29"/>
      <c r="K5343" s="29"/>
      <c r="L5343" s="29"/>
      <c r="M5343" s="29"/>
      <c r="N5343" s="29"/>
      <c r="O5343" s="29"/>
      <c r="P5343" s="19"/>
      <c r="Q5343" s="19"/>
      <c r="R5343" s="11"/>
    </row>
    <row r="5344" s="1" customFormat="1" ht="21.95" customHeight="1" spans="1:19">
      <c r="A5344" s="7"/>
      <c r="B5344" s="12"/>
      <c r="C5344" s="33"/>
      <c r="D5344" s="77" t="s">
        <v>758</v>
      </c>
      <c r="E5344" s="77"/>
      <c r="F5344" s="78" t="str">
        <f>IFERROR(PROPER(VLOOKUP(F5307,STUDENT!$A$2:$BP$101,5,0)),"")</f>
        <v/>
      </c>
      <c r="G5344" s="78"/>
      <c r="H5344" s="78"/>
      <c r="I5344" s="78"/>
      <c r="J5344" s="78"/>
      <c r="K5344" s="78"/>
      <c r="L5344" s="78"/>
      <c r="M5344" s="78"/>
      <c r="N5344" s="79" t="s">
        <v>759</v>
      </c>
      <c r="O5344" s="79"/>
      <c r="P5344" s="19"/>
      <c r="Q5344" s="19"/>
      <c r="R5344" s="11"/>
    </row>
    <row r="5345" s="1" customFormat="1" ht="21.95" customHeight="1" spans="1:18">
      <c r="A5345" s="7"/>
      <c r="B5345" s="12"/>
      <c r="C5345" s="33"/>
      <c r="D5345" s="80" t="s">
        <v>760</v>
      </c>
      <c r="E5345" s="81" t="str">
        <f>IFERROR(PROPER(VLOOKUP(F5307,STUDENT!$A$2:$BP$101,9,0)),"")</f>
        <v/>
      </c>
      <c r="F5345" s="81"/>
      <c r="G5345" s="81"/>
      <c r="H5345" s="80" t="s">
        <v>761</v>
      </c>
      <c r="I5345" s="82" t="str">
        <f>IFERROR(PROPER(VLOOKUP(F5307,STUDENT!$A$2:$BP$101,8,0)),"")</f>
        <v/>
      </c>
      <c r="J5345" s="82"/>
      <c r="K5345" s="82"/>
      <c r="L5345" s="82"/>
      <c r="M5345" s="80" t="s">
        <v>762</v>
      </c>
      <c r="N5345" s="83" t="str">
        <f>IFERROR(VLOOKUP(F5307,STUDENT!$A$2:$BP$101,59,0),"")</f>
        <v/>
      </c>
      <c r="O5345" s="83"/>
      <c r="P5345" s="19"/>
      <c r="Q5345" s="19"/>
      <c r="R5345" s="11"/>
    </row>
    <row r="5346" s="1" customFormat="1" ht="21.95" customHeight="1" spans="1:18">
      <c r="A5346" s="7"/>
      <c r="B5346" s="12"/>
      <c r="C5346" s="33"/>
      <c r="D5346" s="77" t="str">
        <f>"has    completed     his  /  her     primary     level     education    in    the    year    "&amp;RIGHT(ENTRY!$D5312,4)&amp;"    from    ( School    Name )"</f>
        <v>has    completed     his  /  her     primary     level     education    in    the    year        from    ( School    Name )</v>
      </c>
      <c r="E5346" s="77"/>
      <c r="F5346" s="77"/>
      <c r="G5346" s="77"/>
      <c r="H5346" s="77"/>
      <c r="I5346" s="77"/>
      <c r="J5346" s="77"/>
      <c r="K5346" s="77"/>
      <c r="L5346" s="77"/>
      <c r="M5346" s="77"/>
      <c r="N5346" s="77"/>
      <c r="O5346" s="77"/>
      <c r="P5346" s="19"/>
      <c r="Q5346" s="19"/>
      <c r="R5346" s="11"/>
    </row>
    <row r="5347" s="1" customFormat="1" ht="21.95" customHeight="1" spans="1:18">
      <c r="A5347" s="7"/>
      <c r="B5347" s="12"/>
      <c r="C5347" s="33"/>
      <c r="D5347" s="81" t="str">
        <f>IF(F5307&gt;0,ENTRY!$D$6,"")</f>
        <v>MCP NITHARI NO 1 BOYS</v>
      </c>
      <c r="E5347" s="81"/>
      <c r="F5347" s="81"/>
      <c r="G5347" s="81"/>
      <c r="H5347" s="81"/>
      <c r="I5347" s="81"/>
      <c r="J5347" s="81"/>
      <c r="K5347" s="81"/>
      <c r="L5347" s="81"/>
      <c r="M5347" s="80" t="s">
        <v>763</v>
      </c>
      <c r="N5347" s="84">
        <f>IF(F5307&gt;0,ENTRY!$D$7,"")</f>
        <v>0</v>
      </c>
      <c r="O5347" s="84"/>
      <c r="P5347" s="85" t="s">
        <v>727</v>
      </c>
      <c r="Q5347" s="19"/>
      <c r="R5347" s="11"/>
    </row>
    <row r="5348" s="1" customFormat="1" ht="21.95" customHeight="1" spans="1:18">
      <c r="A5348" s="7"/>
      <c r="B5348" s="12"/>
      <c r="C5348" s="33"/>
      <c r="D5348" s="29"/>
      <c r="E5348" s="29"/>
      <c r="F5348" s="29"/>
      <c r="G5348" s="29"/>
      <c r="H5348" s="29"/>
      <c r="I5348" s="29"/>
      <c r="J5348" s="29"/>
      <c r="K5348" s="29"/>
      <c r="L5348" s="29"/>
      <c r="M5348" s="29"/>
      <c r="N5348" s="29"/>
      <c r="O5348" s="29"/>
      <c r="P5348" s="19"/>
      <c r="Q5348" s="19"/>
      <c r="R5348" s="11"/>
    </row>
    <row r="5349" s="1" customFormat="1" ht="21.95" customHeight="1" spans="1:18">
      <c r="A5349" s="7"/>
      <c r="B5349" s="12"/>
      <c r="C5349" s="33"/>
      <c r="D5349" s="29"/>
      <c r="E5349" s="29"/>
      <c r="F5349" s="29"/>
      <c r="G5349" s="29"/>
      <c r="H5349" s="29"/>
      <c r="I5349" s="29"/>
      <c r="J5349" s="29"/>
      <c r="K5349" s="29"/>
      <c r="L5349" s="29"/>
      <c r="M5349" s="29"/>
      <c r="N5349" s="29"/>
      <c r="O5349" s="29"/>
      <c r="P5349" s="19"/>
      <c r="Q5349" s="19"/>
      <c r="R5349" s="11"/>
    </row>
    <row r="5350" s="1" customFormat="1" ht="21.95" customHeight="1" spans="1:18">
      <c r="A5350" s="7"/>
      <c r="B5350" s="12"/>
      <c r="C5350" s="33"/>
      <c r="D5350" s="29"/>
      <c r="E5350" s="29"/>
      <c r="F5350" s="29"/>
      <c r="G5350" s="29"/>
      <c r="H5350" s="29"/>
      <c r="I5350" s="29"/>
      <c r="J5350" s="29"/>
      <c r="K5350" s="29"/>
      <c r="L5350" s="29"/>
      <c r="M5350" s="29"/>
      <c r="N5350" s="29"/>
      <c r="O5350" s="29"/>
      <c r="P5350" s="19"/>
      <c r="Q5350" s="19"/>
      <c r="R5350" s="11"/>
    </row>
    <row r="5351" s="1" customFormat="1" ht="21.95" customHeight="1" spans="1:18">
      <c r="A5351" s="7"/>
      <c r="B5351" s="12"/>
      <c r="C5351" s="33"/>
      <c r="D5351" s="29"/>
      <c r="E5351" s="29"/>
      <c r="F5351" s="29"/>
      <c r="G5351" s="29"/>
      <c r="H5351" s="29"/>
      <c r="I5351" s="29"/>
      <c r="J5351" s="29"/>
      <c r="K5351" s="29"/>
      <c r="L5351" s="29"/>
      <c r="M5351" s="29"/>
      <c r="N5351" s="29"/>
      <c r="O5351" s="29"/>
      <c r="P5351" s="19"/>
      <c r="Q5351" s="19"/>
      <c r="R5351" s="11"/>
    </row>
    <row r="5352" s="1" customFormat="1" ht="21.95" customHeight="1" spans="1:18">
      <c r="A5352" s="7"/>
      <c r="B5352" s="12"/>
      <c r="C5352" s="33"/>
      <c r="D5352" s="29"/>
      <c r="E5352" s="29"/>
      <c r="F5352" s="29"/>
      <c r="G5352" s="29"/>
      <c r="H5352" s="29"/>
      <c r="I5352" s="29"/>
      <c r="J5352" s="29"/>
      <c r="K5352" s="29"/>
      <c r="L5352" s="29"/>
      <c r="M5352" s="29"/>
      <c r="N5352" s="29"/>
      <c r="O5352" s="29"/>
      <c r="P5352" s="19"/>
      <c r="Q5352" s="19"/>
      <c r="R5352" s="11"/>
    </row>
    <row r="5353" s="1" customFormat="1" ht="21.95" customHeight="1" spans="1:18">
      <c r="A5353" s="7"/>
      <c r="B5353" s="12"/>
      <c r="C5353" s="33"/>
      <c r="D5353" s="80" t="s">
        <v>728</v>
      </c>
      <c r="E5353" s="86">
        <f>ENTRY!$D$27</f>
        <v>46102</v>
      </c>
      <c r="F5353" s="86"/>
      <c r="G5353" s="29"/>
      <c r="H5353" s="29"/>
      <c r="I5353" s="29"/>
      <c r="J5353" s="29"/>
      <c r="K5353" s="29"/>
      <c r="L5353" s="29"/>
      <c r="M5353" s="87" t="s">
        <v>730</v>
      </c>
      <c r="N5353" s="87"/>
      <c r="O5353" s="87"/>
      <c r="P5353" s="19"/>
      <c r="Q5353" s="19"/>
      <c r="R5353" s="11"/>
    </row>
    <row r="5354" s="1" customFormat="1" ht="21.95" customHeight="1" spans="1:18">
      <c r="A5354" s="7"/>
      <c r="B5354" s="12"/>
      <c r="C5354" s="33"/>
      <c r="D5354" s="80" t="s">
        <v>731</v>
      </c>
      <c r="E5354" s="88" t="str">
        <f>PROPER(ENTRY!$D$28)</f>
        <v>New Delhi</v>
      </c>
      <c r="F5354" s="88"/>
      <c r="G5354" s="29"/>
      <c r="H5354" s="29"/>
      <c r="I5354" s="29"/>
      <c r="J5354" s="29"/>
      <c r="K5354" s="29"/>
      <c r="L5354" s="29"/>
      <c r="M5354" s="89" t="s">
        <v>732</v>
      </c>
      <c r="N5354" s="89"/>
      <c r="O5354" s="89"/>
      <c r="P5354" s="19"/>
      <c r="Q5354" s="19"/>
      <c r="R5354" s="11"/>
    </row>
    <row r="5355" s="1" customFormat="1" ht="21.95" customHeight="1" spans="1:18">
      <c r="A5355" s="7"/>
      <c r="B5355" s="12"/>
      <c r="C5355" s="90"/>
      <c r="D5355" s="91"/>
      <c r="E5355" s="91"/>
      <c r="F5355" s="91"/>
      <c r="G5355" s="91"/>
      <c r="H5355" s="91"/>
      <c r="I5355" s="91"/>
      <c r="J5355" s="91"/>
      <c r="K5355" s="91"/>
      <c r="L5355" s="91"/>
      <c r="M5355" s="91"/>
      <c r="N5355" s="91"/>
      <c r="O5355" s="91"/>
      <c r="P5355" s="92"/>
      <c r="Q5355" s="14"/>
      <c r="R5355" s="11"/>
    </row>
    <row r="5356" s="1" customFormat="1" ht="5.1" customHeight="1" spans="1:18">
      <c r="A5356" s="7"/>
      <c r="B5356" s="90"/>
      <c r="C5356" s="91"/>
      <c r="D5356" s="91"/>
      <c r="E5356" s="91"/>
      <c r="F5356" s="91"/>
      <c r="G5356" s="91"/>
      <c r="H5356" s="91"/>
      <c r="I5356" s="91"/>
      <c r="J5356" s="91"/>
      <c r="K5356" s="91"/>
      <c r="L5356" s="91"/>
      <c r="M5356" s="91"/>
      <c r="N5356" s="91"/>
      <c r="O5356" s="91"/>
      <c r="P5356" s="91"/>
      <c r="Q5356" s="92"/>
      <c r="R5356" s="11"/>
    </row>
    <row r="5357" s="1" customFormat="1" ht="5.1" customHeight="1" spans="1:18">
      <c r="A5357" s="93"/>
      <c r="B5357" s="94"/>
      <c r="C5357" s="94"/>
      <c r="D5357" s="94"/>
      <c r="E5357" s="94"/>
      <c r="F5357" s="94"/>
      <c r="G5357" s="94"/>
      <c r="H5357" s="94"/>
      <c r="I5357" s="94"/>
      <c r="J5357" s="94"/>
      <c r="K5357" s="94"/>
      <c r="L5357" s="94"/>
      <c r="M5357" s="94"/>
      <c r="N5357" s="94"/>
      <c r="O5357" s="94"/>
      <c r="P5357" s="94"/>
      <c r="Q5357" s="94"/>
      <c r="R5357" s="95"/>
    </row>
    <row r="5358" s="2" customFormat="1" ht="9.95" customHeight="1"/>
    <row r="5359" s="1" customFormat="1" ht="5.1" customHeight="1" spans="1:18">
      <c r="A5359" s="4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6"/>
    </row>
    <row r="5360" s="1" customFormat="1" ht="15" customHeight="1" spans="1:18">
      <c r="A5360" s="7"/>
      <c r="B5360" s="8"/>
      <c r="C5360" s="9"/>
      <c r="D5360" s="9"/>
      <c r="E5360" s="9"/>
      <c r="F5360" s="9"/>
      <c r="G5360" s="9"/>
      <c r="H5360" s="9"/>
      <c r="I5360" s="9"/>
      <c r="J5360" s="9"/>
      <c r="K5360" s="9"/>
      <c r="L5360" s="9"/>
      <c r="M5360" s="9"/>
      <c r="N5360" s="9"/>
      <c r="O5360" s="9"/>
      <c r="P5360" s="9"/>
      <c r="Q5360" s="10"/>
      <c r="R5360" s="11"/>
    </row>
    <row r="5361" s="1" customFormat="1" ht="21.95" customHeight="1" spans="1:18">
      <c r="A5361" s="7"/>
      <c r="B5361" s="12"/>
      <c r="C5361" s="13" t="s">
        <v>7</v>
      </c>
      <c r="D5361" s="13"/>
      <c r="E5361" s="13"/>
      <c r="F5361" s="13"/>
      <c r="G5361" s="13"/>
      <c r="H5361" s="13"/>
      <c r="I5361" s="13"/>
      <c r="J5361" s="13"/>
      <c r="K5361" s="13"/>
      <c r="L5361" s="13"/>
      <c r="M5361" s="13"/>
      <c r="N5361" s="13"/>
      <c r="O5361" s="13"/>
      <c r="P5361" s="13"/>
      <c r="Q5361" s="14"/>
      <c r="R5361" s="11"/>
    </row>
    <row r="5362" s="1" customFormat="1" ht="21.95" customHeight="1" spans="1:18">
      <c r="A5362" s="7"/>
      <c r="B5362" s="1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14"/>
      <c r="R5362" s="11"/>
    </row>
    <row r="5363" s="1" customFormat="1" ht="21.95" customHeight="1" spans="1:18">
      <c r="A5363" s="7"/>
      <c r="B5363" s="12"/>
      <c r="C5363" s="15" t="str">
        <f>"SESSION-"&amp;ENTRY!$D$11</f>
        <v>SESSION-2026-27</v>
      </c>
      <c r="D5363" s="15"/>
      <c r="E5363" s="15"/>
      <c r="F5363" s="15"/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  <c r="Q5363" s="14"/>
      <c r="R5363" s="11"/>
    </row>
    <row r="5364" s="1" customFormat="1" ht="21.95" customHeight="1" spans="1:18">
      <c r="A5364" s="7"/>
      <c r="B5364" s="12"/>
      <c r="C5364" s="2"/>
      <c r="D5364" s="2"/>
      <c r="E5364" s="2"/>
      <c r="F5364" s="16">
        <f>F5307+1</f>
        <v>95</v>
      </c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14"/>
      <c r="R5364" s="11"/>
    </row>
    <row r="5365" s="1" customFormat="1" ht="21.95" customHeight="1" spans="1:18">
      <c r="A5365" s="7"/>
      <c r="B5365" s="12"/>
      <c r="C5365" s="17" t="s">
        <v>392</v>
      </c>
      <c r="D5365" s="17"/>
      <c r="E5365" s="17"/>
      <c r="F5365" s="18" t="str">
        <f>IF(F5364&gt;0,ENTRY!$D$6,"")</f>
        <v>MCP NITHARI NO 1 BOYS</v>
      </c>
      <c r="G5365" s="18"/>
      <c r="H5365" s="18"/>
      <c r="I5365" s="18"/>
      <c r="J5365" s="18"/>
      <c r="K5365" s="18"/>
      <c r="L5365" s="18"/>
      <c r="M5365" s="18"/>
      <c r="N5365" s="18"/>
      <c r="O5365" s="18"/>
      <c r="P5365" s="18"/>
      <c r="Q5365" s="19"/>
      <c r="R5365" s="11"/>
    </row>
    <row r="5366" s="1" customFormat="1" ht="21.95" customHeight="1" spans="1:18">
      <c r="A5366" s="7"/>
      <c r="B5366" s="12"/>
      <c r="C5366" s="17" t="s">
        <v>393</v>
      </c>
      <c r="D5366" s="17"/>
      <c r="E5366" s="17"/>
      <c r="F5366" s="18">
        <f>IF(F5364&gt;0,ENTRY!$D$7,"")</f>
        <v>0</v>
      </c>
      <c r="G5366" s="18"/>
      <c r="H5366" s="20" t="s">
        <v>702</v>
      </c>
      <c r="I5366" s="20"/>
      <c r="J5366" s="21">
        <f>IF(F5364&gt;0,ENTRY!$D$10,"")</f>
        <v>40</v>
      </c>
      <c r="K5366" s="20" t="s">
        <v>703</v>
      </c>
      <c r="L5366" s="22" t="str">
        <f>IF(F5364&gt;0,ENTRY!$D$5,"")</f>
        <v>ROHINI ZONE</v>
      </c>
      <c r="M5366" s="22"/>
      <c r="N5366" s="22"/>
      <c r="O5366" s="22"/>
      <c r="P5366" s="22"/>
      <c r="Q5366" s="19"/>
      <c r="R5366" s="11"/>
    </row>
    <row r="5367" s="1" customFormat="1" ht="21.95" customHeight="1" spans="1:18">
      <c r="A5367" s="7"/>
      <c r="B5367" s="12"/>
      <c r="C5367" s="17" t="s">
        <v>706</v>
      </c>
      <c r="D5367" s="17"/>
      <c r="E5367" s="17"/>
      <c r="F5367" s="23">
        <f>IFERROR(VLOOKUP(F5364,STUDENT!$A$2:$BP$101,5,0),"")</f>
        <v>0</v>
      </c>
      <c r="G5367" s="23"/>
      <c r="H5367" s="23"/>
      <c r="I5367" s="23"/>
      <c r="J5367" s="23"/>
      <c r="K5367" s="23"/>
      <c r="L5367" s="20" t="s">
        <v>707</v>
      </c>
      <c r="M5367" s="20"/>
      <c r="N5367" s="24" t="str">
        <f>IF(F5364&gt;0,ENTRY!$D$20&amp;"-"&amp;ENTRY!$D$21,"")</f>
        <v>III-A</v>
      </c>
      <c r="O5367" s="24"/>
      <c r="P5367" s="24"/>
      <c r="Q5367" s="19"/>
      <c r="R5367" s="11"/>
    </row>
    <row r="5368" s="1" customFormat="1" ht="21.95" customHeight="1" spans="1:18">
      <c r="A5368" s="7"/>
      <c r="B5368" s="12"/>
      <c r="C5368" s="17" t="s">
        <v>708</v>
      </c>
      <c r="D5368" s="17"/>
      <c r="E5368" s="17"/>
      <c r="F5368" s="25">
        <f>IFERROR(VLOOKUP(F5364,STUDENT!$A$2:$BP$101,6,0),"")</f>
        <v>0</v>
      </c>
      <c r="G5368" s="25"/>
      <c r="H5368" s="26" t="s">
        <v>709</v>
      </c>
      <c r="I5368" s="27" t="str">
        <f>IFERROR(VLOOKUP(F5364,STUDENT!$A$2:$BP$101,59,0),"")</f>
        <v/>
      </c>
      <c r="J5368" s="27"/>
      <c r="K5368" s="20" t="s">
        <v>710</v>
      </c>
      <c r="L5368" s="20"/>
      <c r="M5368" s="28">
        <f>IFERROR(VLOOKUP(F5364,STUDENT!$A$2:$BP$101,20,0),"")</f>
        <v>0</v>
      </c>
      <c r="N5368" s="28"/>
      <c r="O5368" s="28"/>
      <c r="P5368" s="28"/>
      <c r="Q5368" s="19"/>
      <c r="R5368" s="11"/>
    </row>
    <row r="5369" s="1" customFormat="1" ht="21.95" customHeight="1" spans="1:18">
      <c r="A5369" s="7"/>
      <c r="B5369" s="12"/>
      <c r="C5369" s="17" t="s">
        <v>711</v>
      </c>
      <c r="D5369" s="17"/>
      <c r="E5369" s="17"/>
      <c r="F5369" s="23">
        <f>IFERROR(VLOOKUP(F5364,STUDENT!$A$2:$BP$101,9,0),"")</f>
        <v>0</v>
      </c>
      <c r="G5369" s="23"/>
      <c r="H5369" s="23"/>
      <c r="I5369" s="23"/>
      <c r="J5369" s="17" t="s">
        <v>620</v>
      </c>
      <c r="K5369" s="17"/>
      <c r="L5369" s="23">
        <f>IFERROR(VLOOKUP(F5364,STUDENT!$A$2:$BP$101,8,0),"")</f>
        <v>0</v>
      </c>
      <c r="M5369" s="23"/>
      <c r="N5369" s="23"/>
      <c r="O5369" s="23"/>
      <c r="P5369" s="23"/>
      <c r="Q5369" s="19"/>
      <c r="R5369" s="11"/>
    </row>
    <row r="5370" s="1" customFormat="1" ht="21.95" customHeight="1" spans="1:18">
      <c r="A5370" s="7"/>
      <c r="B5370" s="12"/>
      <c r="C5370" s="17" t="s">
        <v>712</v>
      </c>
      <c r="D5370" s="17"/>
      <c r="E5370" s="17"/>
      <c r="F5370" s="23">
        <f>IFERROR(VLOOKUP(F5364,STUDENT!$A$2:$BP$101,22,0),"")</f>
        <v>0</v>
      </c>
      <c r="G5370" s="23"/>
      <c r="H5370" s="23"/>
      <c r="I5370" s="23"/>
      <c r="J5370" s="23"/>
      <c r="K5370" s="23"/>
      <c r="L5370" s="23"/>
      <c r="M5370" s="23"/>
      <c r="N5370" s="23"/>
      <c r="O5370" s="23"/>
      <c r="P5370" s="23"/>
      <c r="Q5370" s="19"/>
      <c r="R5370" s="11"/>
    </row>
    <row r="5371" s="1" customFormat="1" ht="9.95" customHeight="1" spans="1:18">
      <c r="A5371" s="7"/>
      <c r="B5371" s="12"/>
      <c r="C5371" s="29"/>
      <c r="D5371" s="29"/>
      <c r="E5371" s="29"/>
      <c r="F5371" s="29"/>
      <c r="G5371" s="29"/>
      <c r="H5371" s="29"/>
      <c r="I5371" s="29"/>
      <c r="J5371" s="29"/>
      <c r="K5371" s="29"/>
      <c r="L5371" s="29"/>
      <c r="M5371" s="29"/>
      <c r="N5371" s="29"/>
      <c r="O5371" s="29"/>
      <c r="P5371" s="29"/>
      <c r="Q5371" s="19"/>
      <c r="R5371" s="11"/>
    </row>
    <row r="5372" s="1" customFormat="1" ht="9.95" customHeight="1" spans="1:18">
      <c r="A5372" s="7"/>
      <c r="B5372" s="12"/>
      <c r="C5372" s="30"/>
      <c r="D5372" s="31"/>
      <c r="E5372" s="31"/>
      <c r="F5372" s="31"/>
      <c r="G5372" s="31"/>
      <c r="H5372" s="31"/>
      <c r="I5372" s="31"/>
      <c r="J5372" s="31"/>
      <c r="K5372" s="31"/>
      <c r="L5372" s="31"/>
      <c r="M5372" s="31"/>
      <c r="N5372" s="31"/>
      <c r="O5372" s="31"/>
      <c r="P5372" s="32"/>
      <c r="Q5372" s="19"/>
      <c r="R5372" s="11"/>
    </row>
    <row r="5373" s="1" customFormat="1" ht="21.95" customHeight="1" spans="1:18">
      <c r="A5373" s="7"/>
      <c r="B5373" s="12"/>
      <c r="C5373" s="33"/>
      <c r="D5373" s="34" t="s">
        <v>713</v>
      </c>
      <c r="E5373" s="20" t="s">
        <v>714</v>
      </c>
      <c r="F5373" s="35" t="str">
        <f>"Level - "&amp;IFERROR(VLOOKUP(F5364,FLN!$A$4:$K$103,9,0),"")</f>
        <v>Level - </v>
      </c>
      <c r="G5373" s="36"/>
      <c r="H5373" s="37" t="s">
        <v>715</v>
      </c>
      <c r="I5373" s="20"/>
      <c r="J5373" s="35" t="str">
        <f>"Level - "&amp;IFERROR(VLOOKUP(F5364,FLN!$A$4:$K$103,11,0),"")</f>
        <v>Level - </v>
      </c>
      <c r="K5373" s="36"/>
      <c r="L5373" s="37" t="s">
        <v>408</v>
      </c>
      <c r="M5373" s="20"/>
      <c r="N5373" s="35" t="str">
        <f>"Level - "&amp;IFERROR(VLOOKUP(F5364,FLN!$A$4:$K$103,10,0),"")</f>
        <v>Level - </v>
      </c>
      <c r="O5373" s="36"/>
      <c r="P5373" s="19"/>
      <c r="Q5373" s="19"/>
      <c r="R5373" s="11"/>
    </row>
    <row r="5374" s="1" customFormat="1" ht="21.95" customHeight="1" spans="1:18">
      <c r="A5374" s="7"/>
      <c r="B5374" s="12"/>
      <c r="C5374" s="33"/>
      <c r="D5374" s="38"/>
      <c r="E5374" s="20" t="s">
        <v>716</v>
      </c>
      <c r="F5374" s="18" t="str">
        <f ca="1">IF(L5388&gt;197,"PERFORMED WELL","")</f>
        <v/>
      </c>
      <c r="G5374" s="18"/>
      <c r="H5374" s="18"/>
      <c r="I5374" s="18"/>
      <c r="J5374" s="18"/>
      <c r="K5374" s="18"/>
      <c r="L5374" s="18"/>
      <c r="M5374" s="18"/>
      <c r="N5374" s="18"/>
      <c r="O5374" s="18"/>
      <c r="P5374" s="19"/>
      <c r="Q5374" s="19"/>
      <c r="R5374" s="11"/>
    </row>
    <row r="5375" s="1" customFormat="1" ht="9.95" customHeight="1" spans="1:18">
      <c r="A5375" s="7"/>
      <c r="B5375" s="12"/>
      <c r="C5375" s="39"/>
      <c r="D5375" s="40"/>
      <c r="E5375" s="40"/>
      <c r="F5375" s="40"/>
      <c r="G5375" s="40"/>
      <c r="H5375" s="40"/>
      <c r="I5375" s="40"/>
      <c r="J5375" s="40"/>
      <c r="K5375" s="40"/>
      <c r="L5375" s="40"/>
      <c r="M5375" s="40"/>
      <c r="N5375" s="40"/>
      <c r="O5375" s="40"/>
      <c r="P5375" s="41"/>
      <c r="Q5375" s="19"/>
      <c r="R5375" s="11"/>
    </row>
    <row r="5376" s="1" customFormat="1" ht="9.95" customHeight="1" spans="1:18">
      <c r="A5376" s="7"/>
      <c r="B5376" s="12"/>
      <c r="C5376" s="29"/>
      <c r="D5376" s="29"/>
      <c r="E5376" s="29"/>
      <c r="F5376" s="29"/>
      <c r="G5376" s="29"/>
      <c r="H5376" s="29"/>
      <c r="I5376" s="29"/>
      <c r="J5376" s="29"/>
      <c r="K5376" s="29"/>
      <c r="L5376" s="29"/>
      <c r="M5376" s="29"/>
      <c r="N5376" s="29"/>
      <c r="O5376" s="29"/>
      <c r="P5376" s="29"/>
      <c r="Q5376" s="19"/>
      <c r="R5376" s="11"/>
    </row>
    <row r="5377" s="1" customFormat="1" ht="9.95" customHeight="1" spans="1:18">
      <c r="A5377" s="7"/>
      <c r="B5377" s="12"/>
      <c r="C5377" s="30"/>
      <c r="D5377" s="31"/>
      <c r="E5377" s="31"/>
      <c r="F5377" s="31"/>
      <c r="G5377" s="31"/>
      <c r="H5377" s="31"/>
      <c r="I5377" s="31"/>
      <c r="J5377" s="31"/>
      <c r="K5377" s="31"/>
      <c r="L5377" s="31"/>
      <c r="M5377" s="31"/>
      <c r="N5377" s="31"/>
      <c r="O5377" s="31"/>
      <c r="P5377" s="32"/>
      <c r="Q5377" s="19"/>
      <c r="R5377" s="11"/>
    </row>
    <row r="5378" s="1" customFormat="1" ht="21.95" customHeight="1" spans="1:18">
      <c r="A5378" s="7"/>
      <c r="B5378" s="12"/>
      <c r="C5378" s="33"/>
      <c r="D5378" s="35"/>
      <c r="E5378" s="24"/>
      <c r="F5378" s="42" t="s">
        <v>717</v>
      </c>
      <c r="G5378" s="42"/>
      <c r="H5378" s="42"/>
      <c r="I5378" s="42"/>
      <c r="J5378" s="42"/>
      <c r="K5378" s="42"/>
      <c r="L5378" s="43"/>
      <c r="M5378" s="44"/>
      <c r="N5378" s="29"/>
      <c r="O5378" s="29"/>
      <c r="P5378" s="19"/>
      <c r="Q5378" s="19"/>
      <c r="R5378" s="11"/>
    </row>
    <row r="5379" s="1" customFormat="1" ht="21.95" customHeight="1" spans="1:18">
      <c r="A5379" s="7"/>
      <c r="B5379" s="12"/>
      <c r="C5379" s="33"/>
      <c r="D5379" s="45"/>
      <c r="E5379" s="46"/>
      <c r="F5379" s="47" t="s">
        <v>541</v>
      </c>
      <c r="G5379" s="47" t="s">
        <v>542</v>
      </c>
      <c r="H5379" s="47" t="s">
        <v>543</v>
      </c>
      <c r="I5379" s="47" t="s">
        <v>544</v>
      </c>
      <c r="J5379" s="47" t="s">
        <v>561</v>
      </c>
      <c r="K5379" s="48" t="s">
        <v>750</v>
      </c>
      <c r="L5379" s="47" t="s">
        <v>382</v>
      </c>
      <c r="M5379" s="49" t="s">
        <v>546</v>
      </c>
      <c r="N5379" s="29"/>
      <c r="O5379" s="29"/>
      <c r="P5379" s="19"/>
      <c r="Q5379" s="19"/>
      <c r="R5379" s="11"/>
    </row>
    <row r="5380" s="1" customFormat="1" ht="21.95" customHeight="1" spans="1:18">
      <c r="A5380" s="7"/>
      <c r="B5380" s="12"/>
      <c r="C5380" s="33"/>
      <c r="D5380" s="45" t="s">
        <v>652</v>
      </c>
      <c r="E5380" s="46"/>
      <c r="F5380" s="50">
        <v>10</v>
      </c>
      <c r="G5380" s="50">
        <v>10</v>
      </c>
      <c r="H5380" s="50">
        <v>10</v>
      </c>
      <c r="I5380" s="50">
        <v>10</v>
      </c>
      <c r="J5380" s="50">
        <v>60</v>
      </c>
      <c r="K5380" s="51"/>
      <c r="L5380" s="50">
        <v>100</v>
      </c>
      <c r="M5380" s="49"/>
      <c r="N5380" s="29"/>
      <c r="O5380" s="29"/>
      <c r="P5380" s="19"/>
      <c r="Q5380" s="19"/>
      <c r="R5380" s="11"/>
    </row>
    <row r="5381" s="1" customFormat="1" ht="21.95" customHeight="1" spans="1:18">
      <c r="A5381" s="7"/>
      <c r="B5381" s="12"/>
      <c r="C5381" s="33"/>
      <c r="D5381" s="52" t="s">
        <v>751</v>
      </c>
      <c r="E5381" s="53"/>
      <c r="F5381" s="54" t="str">
        <f ca="1">IFERROR(VLOOKUP(F5364,'RR-3.1-5TH'!$A$12:'RR-3.1-5TH'!$BN$111,9,0),"")</f>
        <v/>
      </c>
      <c r="G5381" s="54" t="str">
        <f ca="1">IFERROR(VLOOKUP(F5364,'RR-3.1-5TH'!$A$12:'RR-3.1-5TH'!$BN$111,10,0),"")</f>
        <v/>
      </c>
      <c r="H5381" s="54" t="str">
        <f ca="1">IFERROR(VLOOKUP(F5364,'RR-3.1-5TH'!$A$12:'RR-3.1-5TH'!$BN$111,11,0),"")</f>
        <v/>
      </c>
      <c r="I5381" s="54" t="str">
        <f ca="1">IFERROR(VLOOKUP(F5364,'RR-3.1-5TH'!$A$12:'RR-3.1-5TH'!$BN$111,12,0),"")</f>
        <v/>
      </c>
      <c r="J5381" s="54" t="str">
        <f ca="1">IFERROR(VLOOKUP(F5364,'RR-3.1-5TH'!$A$12:'RR-3.1-5TH'!$BN$111,13,0),"")</f>
        <v/>
      </c>
      <c r="K5381" s="54" t="str">
        <f ca="1">IFERROR(VLOOKUP(F5364,'RR-3.1-5TH'!$A$12:'RR-3.1-5TH'!$BN$111,14,0),"")</f>
        <v/>
      </c>
      <c r="L5381" s="55">
        <f ca="1" t="shared" ref="L5381:L5386" si="282">SUM(F5381,G5381,H5381,I5381,J5381,K5381)</f>
        <v>0</v>
      </c>
      <c r="M5381" s="56" t="str">
        <f ca="1">IF(F5364&gt;ENTRY!$D$24,"",IF(L5381=0,"Ab",IF(L5381&gt;80,"A",IF(L5381&gt;60,"B",IF(L5381&gt;44,"C",IF(L5381&gt;=33,"D",IF(L5381&lt;=32,"E","")))))))</f>
        <v/>
      </c>
      <c r="N5381" s="57" t="s">
        <v>729</v>
      </c>
      <c r="O5381" s="58"/>
      <c r="P5381" s="59"/>
      <c r="Q5381" s="19"/>
      <c r="R5381" s="11"/>
    </row>
    <row r="5382" s="1" customFormat="1" ht="21.95" customHeight="1" spans="1:18">
      <c r="A5382" s="7"/>
      <c r="B5382" s="12"/>
      <c r="C5382" s="33"/>
      <c r="D5382" s="52" t="s">
        <v>513</v>
      </c>
      <c r="E5382" s="53"/>
      <c r="F5382" s="54" t="str">
        <f ca="1">IFERROR(VLOOKUP(F5364,'RR-3.1-5TH'!$A$12:'RR-3.1-5TH'!$BN$111,17,0),"")</f>
        <v/>
      </c>
      <c r="G5382" s="54" t="str">
        <f ca="1">IFERROR(VLOOKUP(F5364,'RR-3.1-5TH'!$A$12:'RR-3.1-5TH'!$BN$111,18,0),"")</f>
        <v/>
      </c>
      <c r="H5382" s="54" t="str">
        <f ca="1">IFERROR(VLOOKUP(F5364,'RR-3.1-5TH'!$A$12:'RR-3.1-5TH'!$BN$111,19,0),"")</f>
        <v/>
      </c>
      <c r="I5382" s="54" t="str">
        <f ca="1">IFERROR(VLOOKUP(F5364,'RR-3.1-5TH'!$A$12:'RR-3.1-5TH'!$BN$111,20,0),"")</f>
        <v/>
      </c>
      <c r="J5382" s="54" t="str">
        <f ca="1">IFERROR(VLOOKUP(F5364,'RR-3.1-5TH'!$A$12:'RR-3.1-5TH'!$BN$111,21,0),"")</f>
        <v/>
      </c>
      <c r="K5382" s="54" t="str">
        <f ca="1">IFERROR(VLOOKUP(F5364,'RR-3.1-5TH'!$A$12:'RR-3.1-5TH'!$BN$111,22,0),"")</f>
        <v/>
      </c>
      <c r="L5382" s="55">
        <f ca="1" t="shared" si="282"/>
        <v>0</v>
      </c>
      <c r="M5382" s="56" t="str">
        <f ca="1">IF(F5364&gt;ENTRY!$D$24,"",IF(L5382=0,"Ab",IF(L5382&gt;80,"A",IF(L5382&gt;60,"B",IF(L5382&gt;44,"C",IF(L5382&gt;=33,"D",IF(L5382&lt;=32,"E","")))))))</f>
        <v/>
      </c>
      <c r="N5382" s="58"/>
      <c r="O5382" s="58"/>
      <c r="P5382" s="59"/>
      <c r="Q5382" s="19"/>
      <c r="R5382" s="11"/>
    </row>
    <row r="5383" s="1" customFormat="1" ht="21.95" customHeight="1" spans="1:18">
      <c r="A5383" s="7"/>
      <c r="B5383" s="12"/>
      <c r="C5383" s="33"/>
      <c r="D5383" s="52" t="s">
        <v>718</v>
      </c>
      <c r="E5383" s="53"/>
      <c r="F5383" s="54" t="str">
        <f ca="1">IFERROR(VLOOKUP(F5364,'RR-3.1-5TH'!$A$12:'RR-3.1-5TH'!$BN$111,25,0),"")</f>
        <v/>
      </c>
      <c r="G5383" s="54" t="str">
        <f ca="1">IFERROR(VLOOKUP(F5364,'RR-3.1-5TH'!$A$12:'RR-3.1-5TH'!$BN$111,26,0),"")</f>
        <v/>
      </c>
      <c r="H5383" s="54" t="str">
        <f ca="1">IFERROR(VLOOKUP(F5364,'RR-3.1-5TH'!$A$12:'RR-3.1-5TH'!$BN$111,27,0),"")</f>
        <v/>
      </c>
      <c r="I5383" s="54" t="str">
        <f ca="1">IFERROR(VLOOKUP(F5364,'RR-3.1-5TH'!$A$12:'RR-3.1-5TH'!$BN$111,28,0),"")</f>
        <v/>
      </c>
      <c r="J5383" s="54" t="str">
        <f ca="1">IFERROR(VLOOKUP(F5364,'RR-3.1-5TH'!$A$12:'RR-3.1-5TH'!$BN$111,29,0),"")</f>
        <v/>
      </c>
      <c r="K5383" s="54" t="str">
        <f ca="1">IFERROR(VLOOKUP(F5364,'RR-3.1-5TH'!$A$12:'RR-3.1-5TH'!$BN$111,30,0),"")</f>
        <v/>
      </c>
      <c r="L5383" s="55">
        <f ca="1" t="shared" si="282"/>
        <v>0</v>
      </c>
      <c r="M5383" s="56" t="str">
        <f ca="1">IF(F5364&gt;ENTRY!$D$24,"",IF(L5383=0,"Ab",IF(L5383&gt;80,"A",IF(L5383&gt;60,"B",IF(L5383&gt;44,"C",IF(L5383&gt;=33,"D",IF(L5383&lt;=32,"E","")))))))</f>
        <v/>
      </c>
      <c r="N5383" s="29"/>
      <c r="O5383" s="29"/>
      <c r="P5383" s="19"/>
      <c r="Q5383" s="19"/>
      <c r="R5383" s="11"/>
    </row>
    <row r="5384" s="1" customFormat="1" ht="21.95" customHeight="1" spans="1:18">
      <c r="A5384" s="7"/>
      <c r="B5384" s="12"/>
      <c r="C5384" s="33"/>
      <c r="D5384" s="52" t="s">
        <v>719</v>
      </c>
      <c r="E5384" s="53"/>
      <c r="F5384" s="54" t="str">
        <f ca="1">IFERROR(VLOOKUP(F5364,'RR-3.1-5TH'!$A$12:'RR-3.1-5TH'!$BN$111,33,0),"")</f>
        <v/>
      </c>
      <c r="G5384" s="54" t="str">
        <f ca="1">IFERROR(VLOOKUP(F5364,'RR-3.1-5TH'!$A$12:'RR-3.1-5TH'!$BN$111,34,0),"")</f>
        <v/>
      </c>
      <c r="H5384" s="54" t="str">
        <f ca="1">IFERROR(VLOOKUP(F5364,'RR-3.1-5TH'!$A$12:'RR-3.1-5TH'!$BN$111,35,0),"")</f>
        <v/>
      </c>
      <c r="I5384" s="54" t="str">
        <f ca="1">IFERROR(VLOOKUP(F5364,'RR-3.1-5TH'!$A$12:'RR-3.1-5TH'!$BN$111,36,0),"")</f>
        <v/>
      </c>
      <c r="J5384" s="54" t="str">
        <f ca="1">IFERROR(VLOOKUP(F5364,'RR-3.1-5TH'!$A$12:'RR-3.1-5TH'!$BN$111,37,0),"")</f>
        <v/>
      </c>
      <c r="K5384" s="54" t="str">
        <f ca="1">IFERROR(VLOOKUP(F5364,'RR-3.1-5TH'!$A$12:'RR-3.1-5TH'!$BN$111,38,0),"")</f>
        <v/>
      </c>
      <c r="L5384" s="55">
        <f ca="1" t="shared" si="282"/>
        <v>0</v>
      </c>
      <c r="M5384" s="56" t="str">
        <f ca="1">IF(F5364&gt;ENTRY!$D$24,"",IF(L5384=0,"Ab",IF(L5384&gt;80,"A",IF(L5384&gt;60,"B",IF(L5384&gt;44,"C",IF(L5384&gt;=33,"D",IF(L5384&lt;=32,"E","")))))))</f>
        <v/>
      </c>
      <c r="N5384" s="29"/>
      <c r="O5384" s="29"/>
      <c r="P5384" s="19"/>
      <c r="Q5384" s="19"/>
      <c r="R5384" s="11"/>
    </row>
    <row r="5385" s="1" customFormat="1" ht="21.95" customHeight="1" spans="1:18">
      <c r="A5385" s="7"/>
      <c r="B5385" s="12"/>
      <c r="C5385" s="33"/>
      <c r="D5385" s="52" t="s">
        <v>548</v>
      </c>
      <c r="E5385" s="53"/>
      <c r="F5385" s="54" t="str">
        <f ca="1">IFERROR(VLOOKUP(F5364,'RR-3.1-5TH'!$A$12:'RR-3.1-5TH'!$BN$111,41,0),"")</f>
        <v/>
      </c>
      <c r="G5385" s="54" t="str">
        <f ca="1">IFERROR(VLOOKUP(F5364,'RR-3.1-5TH'!$A$12:'RR-3.1-5TH'!$BN$111,42,0),"")</f>
        <v/>
      </c>
      <c r="H5385" s="54" t="str">
        <f ca="1">IFERROR(VLOOKUP(F5364,'RR-3.1-5TH'!$A$12:'RR-3.1-5TH'!$BN$111,43,0),"")</f>
        <v/>
      </c>
      <c r="I5385" s="54" t="str">
        <f ca="1">IFERROR(VLOOKUP(F5364,'RR-3.1-5TH'!$A$12:'RR-3.1-5TH'!$BN$111,44,0),"")</f>
        <v/>
      </c>
      <c r="J5385" s="54" t="str">
        <f ca="1">IFERROR(VLOOKUP(F5364,'RR-3.1-5TH'!$A$12:'RR-3.1-5TH'!$BN$111,45,0),"")</f>
        <v/>
      </c>
      <c r="K5385" s="54" t="str">
        <f ca="1">IFERROR(VLOOKUP(F5364,'RR-3.1-5TH'!$A$12:'RR-3.1-5TH'!$BN$111,46,0),"")</f>
        <v/>
      </c>
      <c r="L5385" s="55">
        <f ca="1" t="shared" si="282"/>
        <v>0</v>
      </c>
      <c r="M5385" s="56" t="str">
        <f ca="1">IF(F5364&gt;ENTRY!$D$24,"",IF(L5385=0,"Ab",IF(L5385&gt;80,"A",IF(L5385&gt;60,"B",IF(L5385&gt;44,"C",IF(L5385&gt;=33,"D",IF(L5385&lt;=32,"E","")))))))</f>
        <v/>
      </c>
      <c r="N5385" s="29"/>
      <c r="O5385" s="29"/>
      <c r="P5385" s="19"/>
      <c r="Q5385" s="19"/>
      <c r="R5385" s="11"/>
    </row>
    <row r="5386" s="1" customFormat="1" ht="21.95" customHeight="1" spans="1:18">
      <c r="A5386" s="7"/>
      <c r="B5386" s="12"/>
      <c r="C5386" s="33"/>
      <c r="D5386" s="52" t="s">
        <v>549</v>
      </c>
      <c r="E5386" s="53"/>
      <c r="F5386" s="54" t="str">
        <f ca="1">IFERROR(VLOOKUP(F5364,'RR-3.1-5TH'!$A$12:'RR-3.1-5TH'!$BN$111,49,0),"")</f>
        <v/>
      </c>
      <c r="G5386" s="54" t="str">
        <f ca="1">IFERROR(VLOOKUP(F5364,'RR-3.1-5TH'!$A$12:'RR-3.1-5TH'!$BN$111,50,0),"")</f>
        <v/>
      </c>
      <c r="H5386" s="54" t="str">
        <f ca="1">IFERROR(VLOOKUP(F5364,'RR-3.1-5TH'!$A$12:'RR-3.1-5TH'!$BN$111,51,0),"")</f>
        <v/>
      </c>
      <c r="I5386" s="54" t="str">
        <f ca="1">IFERROR(VLOOKUP(F5364,'RR-3.1-5TH'!$A$12:'RR-3.1-5TH'!$BN$111,52,0),"")</f>
        <v/>
      </c>
      <c r="J5386" s="54" t="str">
        <f ca="1">IFERROR(VLOOKUP(F5364,'RR-3.1-5TH'!$A$12:'RR-3.1-5TH'!$BN$111,53,0),"")</f>
        <v/>
      </c>
      <c r="K5386" s="54" t="str">
        <f ca="1">IFERROR(VLOOKUP(F5364,'RR-3.1-5TH'!$A$12:'RR-3.1-5TH'!$BN$111,54,0),"")</f>
        <v/>
      </c>
      <c r="L5386" s="55">
        <f ca="1" t="shared" si="282"/>
        <v>0</v>
      </c>
      <c r="M5386" s="56" t="str">
        <f ca="1">IF(F5364&gt;ENTRY!$D$24,"",IF(L5386=0,"Ab",IF(L5386&gt;80,"A",IF(L5386&gt;60,"B",IF(L5386&gt;44,"C",IF(L5386&gt;=33,"D",IF(L5386&lt;=32,"E","")))))))</f>
        <v/>
      </c>
      <c r="N5386" s="57" t="s">
        <v>752</v>
      </c>
      <c r="O5386" s="58"/>
      <c r="P5386" s="59"/>
      <c r="Q5386" s="19"/>
      <c r="R5386" s="11"/>
    </row>
    <row r="5387" s="1" customFormat="1" ht="21.95" customHeight="1" spans="1:18">
      <c r="A5387" s="7"/>
      <c r="B5387" s="12"/>
      <c r="C5387" s="33"/>
      <c r="D5387" s="52" t="s">
        <v>753</v>
      </c>
      <c r="E5387" s="53"/>
      <c r="F5387" s="60"/>
      <c r="G5387" s="54"/>
      <c r="H5387" s="54"/>
      <c r="I5387" s="54"/>
      <c r="J5387" s="54"/>
      <c r="K5387" s="54"/>
      <c r="L5387" s="55">
        <f t="shared" ref="L5387" si="283">SUM(G5387:K5387)</f>
        <v>0</v>
      </c>
      <c r="M5387" s="56" t="str">
        <f>IF(F5364&gt;ENTRY!$D$24,"",IF(L5387=0,"",IF(L5387&gt;79,"A",IF(L5387&gt;59,"B",IF(L5387&gt;44,"C",IF(L5387&gt;=33,"D",IF(L5387&lt;=32,"E","")))))))</f>
        <v/>
      </c>
      <c r="N5387" s="58"/>
      <c r="O5387" s="58"/>
      <c r="P5387" s="59"/>
      <c r="Q5387" s="19"/>
      <c r="R5387" s="11"/>
    </row>
    <row r="5388" s="1" customFormat="1" ht="21.95" customHeight="1" spans="1:18">
      <c r="A5388" s="7"/>
      <c r="B5388" s="12"/>
      <c r="C5388" s="33"/>
      <c r="D5388" s="45" t="s">
        <v>382</v>
      </c>
      <c r="E5388" s="46"/>
      <c r="F5388" s="54">
        <f ca="1" t="shared" ref="F5388:L5388" si="284">IFERROR(SUM(F5381:F5387),"")</f>
        <v>0</v>
      </c>
      <c r="G5388" s="54">
        <f ca="1" t="shared" si="284"/>
        <v>0</v>
      </c>
      <c r="H5388" s="54">
        <f ca="1" t="shared" si="284"/>
        <v>0</v>
      </c>
      <c r="I5388" s="54">
        <f ca="1" t="shared" si="284"/>
        <v>0</v>
      </c>
      <c r="J5388" s="54">
        <f ca="1" t="shared" si="284"/>
        <v>0</v>
      </c>
      <c r="K5388" s="54">
        <f ca="1" t="shared" si="284"/>
        <v>0</v>
      </c>
      <c r="L5388" s="55">
        <f ca="1" t="shared" si="284"/>
        <v>0</v>
      </c>
      <c r="M5388" s="61" t="str">
        <f ca="1">IF(F5364&gt;ENTRY!$D$24,"",IF(N5389="Ab","Ab",IF(N5389&gt;79.5,"A",IF(N5389&gt;59.5,"B",IF(N5389&gt;44.5,"C",IF(N5389&gt;=33,"D",IF(N5389&lt;33,"E","")))))))</f>
        <v/>
      </c>
      <c r="N5388" s="62"/>
      <c r="O5388" s="58"/>
      <c r="P5388" s="59"/>
      <c r="Q5388" s="19"/>
      <c r="R5388" s="11"/>
    </row>
    <row r="5389" s="1" customFormat="1" ht="21.95" customHeight="1" spans="1:18">
      <c r="A5389" s="7"/>
      <c r="B5389" s="12"/>
      <c r="C5389" s="33"/>
      <c r="D5389" s="63" t="s">
        <v>721</v>
      </c>
      <c r="E5389" s="63"/>
      <c r="F5389" s="63"/>
      <c r="G5389" s="63"/>
      <c r="H5389" s="63"/>
      <c r="I5389" s="63"/>
      <c r="J5389" s="63"/>
      <c r="K5389" s="63"/>
      <c r="L5389" s="63"/>
      <c r="M5389" s="63"/>
      <c r="N5389" s="64">
        <f ca="1">IF(L5388="Ab","Ab",L5388/6)</f>
        <v>0</v>
      </c>
      <c r="O5389" s="65"/>
      <c r="P5389" s="19"/>
      <c r="Q5389" s="19"/>
      <c r="R5389" s="11"/>
    </row>
    <row r="5390" s="1" customFormat="1" ht="21.95" customHeight="1" spans="1:18">
      <c r="A5390" s="7"/>
      <c r="B5390" s="12"/>
      <c r="C5390" s="33"/>
      <c r="D5390" s="29" t="s">
        <v>716</v>
      </c>
      <c r="E5390" s="18" t="str">
        <f>IFERROR(VLOOKUP(F5364,'1to4-2.1-RR'!$A$12:$BG$111,57,0),"")</f>
        <v/>
      </c>
      <c r="F5390" s="18"/>
      <c r="G5390" s="18"/>
      <c r="H5390" s="18"/>
      <c r="I5390" s="18"/>
      <c r="J5390" s="18"/>
      <c r="K5390" s="18"/>
      <c r="L5390" s="18"/>
      <c r="M5390" s="18"/>
      <c r="N5390" s="29"/>
      <c r="O5390" s="29"/>
      <c r="P5390" s="19"/>
      <c r="Q5390" s="19"/>
      <c r="R5390" s="11"/>
    </row>
    <row r="5391" s="1" customFormat="1" ht="9.95" customHeight="1" spans="1:18">
      <c r="A5391" s="7"/>
      <c r="B5391" s="12"/>
      <c r="C5391" s="33"/>
      <c r="D5391" s="29"/>
      <c r="E5391" s="29"/>
      <c r="F5391" s="29"/>
      <c r="G5391" s="29"/>
      <c r="H5391" s="29"/>
      <c r="I5391" s="29"/>
      <c r="J5391" s="29"/>
      <c r="K5391" s="29"/>
      <c r="L5391" s="29"/>
      <c r="M5391" s="29"/>
      <c r="N5391" s="29"/>
      <c r="O5391" s="29"/>
      <c r="P5391" s="19"/>
      <c r="Q5391" s="19"/>
      <c r="R5391" s="11"/>
    </row>
    <row r="5392" s="1" customFormat="1" ht="36" spans="1:18">
      <c r="A5392" s="7"/>
      <c r="B5392" s="12"/>
      <c r="C5392" s="33"/>
      <c r="D5392" s="66" t="s">
        <v>576</v>
      </c>
      <c r="E5392" s="67" t="s">
        <v>754</v>
      </c>
      <c r="F5392" s="47" t="str">
        <f>IF(F5364&gt;ENTRY!$D$24,"",IFERROR(VLOOKUP(F5364,PASHEET!$A$4:$CJ$103,88,0),""))</f>
        <v/>
      </c>
      <c r="G5392" s="67" t="s">
        <v>755</v>
      </c>
      <c r="H5392" s="47" t="str">
        <f>IF(F5364&gt;ENTRY!$D$24,"",IFERROR(VLOOKUP(F5364,PASHEET!$A$4:$CJ$103,87,0),""))</f>
        <v/>
      </c>
      <c r="I5392" s="68" t="s">
        <v>756</v>
      </c>
      <c r="J5392" s="69" t="str">
        <f>IF(F5364&gt;ENTRY!$D$24,"",IFERROR(IF(F5364&gt;0,H5392/F5392*100),""))</f>
        <v/>
      </c>
      <c r="K5392" s="60" t="s">
        <v>757</v>
      </c>
      <c r="L5392" s="70" t="str">
        <f ca="1">IF(F5364&gt;ENTRY!$D$24,"",IFERROR(L5388/600*100,""))</f>
        <v/>
      </c>
      <c r="M5392" s="47" t="str">
        <f ca="1">IF(F5364&gt;ENTRY!$D$24,"",IFERROR(L5388&amp;" / "&amp;"600",""))</f>
        <v/>
      </c>
      <c r="N5392" s="29"/>
      <c r="O5392" s="29"/>
      <c r="P5392" s="19"/>
      <c r="Q5392" s="19"/>
      <c r="R5392" s="11"/>
    </row>
    <row r="5393" s="1" customFormat="1" ht="9.95" customHeight="1" spans="1:19">
      <c r="A5393" s="7"/>
      <c r="B5393" s="12"/>
      <c r="C5393" s="39"/>
      <c r="D5393" s="40"/>
      <c r="E5393" s="40"/>
      <c r="F5393" s="40"/>
      <c r="G5393" s="40"/>
      <c r="H5393" s="40"/>
      <c r="I5393" s="40"/>
      <c r="J5393" s="40"/>
      <c r="K5393" s="40"/>
      <c r="L5393" s="40"/>
      <c r="M5393" s="40"/>
      <c r="N5393" s="40"/>
      <c r="O5393" s="40"/>
      <c r="P5393" s="41"/>
      <c r="Q5393" s="19"/>
      <c r="R5393" s="11"/>
    </row>
    <row r="5394" s="1" customFormat="1" ht="9.95" customHeight="1" spans="1:19">
      <c r="A5394" s="7"/>
      <c r="B5394" s="12"/>
      <c r="C5394" s="71"/>
      <c r="D5394" s="71"/>
      <c r="E5394" s="71"/>
      <c r="F5394" s="29"/>
      <c r="G5394" s="71"/>
      <c r="H5394" s="71"/>
      <c r="I5394" s="71"/>
      <c r="J5394" s="71"/>
      <c r="K5394" s="71"/>
      <c r="L5394" s="71"/>
      <c r="M5394" s="71"/>
      <c r="N5394" s="71"/>
      <c r="O5394" s="71"/>
      <c r="P5394" s="71"/>
      <c r="Q5394" s="19"/>
      <c r="R5394" s="11"/>
    </row>
    <row r="5395" s="1" customFormat="1" ht="9.95" customHeight="1" spans="1:19">
      <c r="A5395" s="7"/>
      <c r="B5395" s="12"/>
      <c r="C5395" s="29"/>
      <c r="D5395" s="29"/>
      <c r="E5395" s="29"/>
      <c r="F5395" s="72"/>
      <c r="G5395" s="29"/>
      <c r="H5395" s="29"/>
      <c r="I5395" s="29"/>
      <c r="J5395" s="29"/>
      <c r="K5395" s="29"/>
      <c r="L5395" s="29"/>
      <c r="M5395" s="29"/>
      <c r="N5395" s="29"/>
      <c r="O5395" s="29"/>
      <c r="P5395" s="29"/>
      <c r="Q5395" s="19"/>
      <c r="R5395" s="11"/>
    </row>
    <row r="5396" s="1" customFormat="1" ht="9.95" customHeight="1" spans="1:19">
      <c r="A5396" s="7"/>
      <c r="B5396" s="12"/>
      <c r="C5396" s="30"/>
      <c r="D5396" s="31"/>
      <c r="E5396" s="31"/>
      <c r="F5396" s="31"/>
      <c r="G5396" s="31"/>
      <c r="H5396" s="31"/>
      <c r="I5396" s="31"/>
      <c r="J5396" s="31"/>
      <c r="K5396" s="31"/>
      <c r="L5396" s="31"/>
      <c r="M5396" s="31"/>
      <c r="N5396" s="31"/>
      <c r="O5396" s="31"/>
      <c r="P5396" s="32"/>
      <c r="Q5396" s="19"/>
      <c r="R5396" s="11"/>
    </row>
    <row r="5397" s="1" customFormat="1" ht="21.95" customHeight="1" spans="1:19">
      <c r="A5397" s="7"/>
      <c r="B5397" s="12"/>
      <c r="C5397" s="73" t="s">
        <v>7</v>
      </c>
      <c r="D5397" s="13"/>
      <c r="E5397" s="13"/>
      <c r="F5397" s="13"/>
      <c r="G5397" s="13"/>
      <c r="H5397" s="13"/>
      <c r="I5397" s="13"/>
      <c r="J5397" s="13"/>
      <c r="K5397" s="13"/>
      <c r="L5397" s="13"/>
      <c r="M5397" s="13"/>
      <c r="N5397" s="13"/>
      <c r="O5397" s="13"/>
      <c r="P5397" s="74"/>
      <c r="Q5397" s="19"/>
      <c r="R5397" s="11"/>
      <c r="S5397" s="2"/>
    </row>
    <row r="5398" s="1" customFormat="1" ht="21.95" customHeight="1" spans="1:19">
      <c r="A5398" s="7"/>
      <c r="B5398" s="12"/>
      <c r="C5398" s="33"/>
      <c r="D5398" s="29"/>
      <c r="E5398" s="29"/>
      <c r="F5398" s="29"/>
      <c r="G5398" s="29"/>
      <c r="H5398" s="29"/>
      <c r="I5398" s="29"/>
      <c r="J5398" s="29"/>
      <c r="K5398" s="29"/>
      <c r="L5398" s="29"/>
      <c r="M5398" s="29"/>
      <c r="N5398" s="29"/>
      <c r="O5398" s="29"/>
      <c r="P5398" s="19"/>
      <c r="Q5398" s="19"/>
      <c r="R5398" s="11"/>
    </row>
    <row r="5399" s="1" customFormat="1" ht="21.95" customHeight="1" spans="1:19">
      <c r="A5399" s="7"/>
      <c r="B5399" s="12"/>
      <c r="C5399" s="75" t="str">
        <f>"SESSION-"&amp;ENTRY!$D$11</f>
        <v>SESSION-2026-27</v>
      </c>
      <c r="D5399" s="15"/>
      <c r="E5399" s="15"/>
      <c r="F5399" s="15"/>
      <c r="G5399" s="15"/>
      <c r="H5399" s="15"/>
      <c r="I5399" s="15"/>
      <c r="J5399" s="15"/>
      <c r="K5399" s="15"/>
      <c r="L5399" s="15"/>
      <c r="M5399" s="15"/>
      <c r="N5399" s="15"/>
      <c r="O5399" s="15"/>
      <c r="P5399" s="76"/>
      <c r="Q5399" s="19"/>
      <c r="R5399" s="11"/>
    </row>
    <row r="5400" s="1" customFormat="1" ht="18" customHeight="1" spans="1:19">
      <c r="A5400" s="7"/>
      <c r="B5400" s="12"/>
      <c r="C5400" s="33"/>
      <c r="D5400" s="29"/>
      <c r="E5400" s="29"/>
      <c r="F5400" s="29"/>
      <c r="G5400" s="29"/>
      <c r="H5400" s="29"/>
      <c r="I5400" s="29"/>
      <c r="J5400" s="29"/>
      <c r="K5400" s="29"/>
      <c r="L5400" s="29"/>
      <c r="M5400" s="29"/>
      <c r="N5400" s="29"/>
      <c r="O5400" s="29"/>
      <c r="P5400" s="19"/>
      <c r="Q5400" s="19"/>
      <c r="R5400" s="11"/>
    </row>
    <row r="5401" s="1" customFormat="1" ht="21.95" customHeight="1" spans="1:19">
      <c r="A5401" s="7"/>
      <c r="B5401" s="12"/>
      <c r="C5401" s="33"/>
      <c r="D5401" s="77" t="s">
        <v>758</v>
      </c>
      <c r="E5401" s="77"/>
      <c r="F5401" s="78" t="str">
        <f>IFERROR(PROPER(VLOOKUP(F5364,STUDENT!$A$2:$BP$101,5,0)),"")</f>
        <v/>
      </c>
      <c r="G5401" s="78"/>
      <c r="H5401" s="78"/>
      <c r="I5401" s="78"/>
      <c r="J5401" s="78"/>
      <c r="K5401" s="78"/>
      <c r="L5401" s="78"/>
      <c r="M5401" s="78"/>
      <c r="N5401" s="79" t="s">
        <v>759</v>
      </c>
      <c r="O5401" s="79"/>
      <c r="P5401" s="19"/>
      <c r="Q5401" s="19"/>
      <c r="R5401" s="11"/>
    </row>
    <row r="5402" s="1" customFormat="1" ht="21.95" customHeight="1" spans="1:19">
      <c r="A5402" s="7"/>
      <c r="B5402" s="12"/>
      <c r="C5402" s="33"/>
      <c r="D5402" s="80" t="s">
        <v>760</v>
      </c>
      <c r="E5402" s="81" t="str">
        <f>IFERROR(PROPER(VLOOKUP(F5364,STUDENT!$A$2:$BP$101,9,0)),"")</f>
        <v/>
      </c>
      <c r="F5402" s="81"/>
      <c r="G5402" s="81"/>
      <c r="H5402" s="80" t="s">
        <v>761</v>
      </c>
      <c r="I5402" s="82" t="str">
        <f>IFERROR(PROPER(VLOOKUP(F5364,STUDENT!$A$2:$BP$101,8,0)),"")</f>
        <v/>
      </c>
      <c r="J5402" s="82"/>
      <c r="K5402" s="82"/>
      <c r="L5402" s="82"/>
      <c r="M5402" s="80" t="s">
        <v>762</v>
      </c>
      <c r="N5402" s="83" t="str">
        <f>IFERROR(VLOOKUP(F5364,STUDENT!$A$2:$BP$101,59,0),"")</f>
        <v/>
      </c>
      <c r="O5402" s="83"/>
      <c r="P5402" s="19"/>
      <c r="Q5402" s="19"/>
      <c r="R5402" s="11"/>
    </row>
    <row r="5403" s="1" customFormat="1" ht="21.95" customHeight="1" spans="1:19">
      <c r="A5403" s="7"/>
      <c r="B5403" s="12"/>
      <c r="C5403" s="33"/>
      <c r="D5403" s="77" t="str">
        <f>"has    completed     his  /  her     primary     level     education    in    the    year    "&amp;RIGHT(ENTRY!$D5369,4)&amp;"    from    ( School    Name )"</f>
        <v>has    completed     his  /  her     primary     level     education    in    the    year        from    ( School    Name )</v>
      </c>
      <c r="E5403" s="77"/>
      <c r="F5403" s="77"/>
      <c r="G5403" s="77"/>
      <c r="H5403" s="77"/>
      <c r="I5403" s="77"/>
      <c r="J5403" s="77"/>
      <c r="K5403" s="77"/>
      <c r="L5403" s="77"/>
      <c r="M5403" s="77"/>
      <c r="N5403" s="77"/>
      <c r="O5403" s="77"/>
      <c r="P5403" s="19"/>
      <c r="Q5403" s="19"/>
      <c r="R5403" s="11"/>
    </row>
    <row r="5404" s="1" customFormat="1" ht="21.95" customHeight="1" spans="1:19">
      <c r="A5404" s="7"/>
      <c r="B5404" s="12"/>
      <c r="C5404" s="33"/>
      <c r="D5404" s="81" t="str">
        <f>IF(F5364&gt;0,ENTRY!$D$6,"")</f>
        <v>MCP NITHARI NO 1 BOYS</v>
      </c>
      <c r="E5404" s="81"/>
      <c r="F5404" s="81"/>
      <c r="G5404" s="81"/>
      <c r="H5404" s="81"/>
      <c r="I5404" s="81"/>
      <c r="J5404" s="81"/>
      <c r="K5404" s="81"/>
      <c r="L5404" s="81"/>
      <c r="M5404" s="80" t="s">
        <v>763</v>
      </c>
      <c r="N5404" s="84">
        <f>IF(F5364&gt;0,ENTRY!$D$7,"")</f>
        <v>0</v>
      </c>
      <c r="O5404" s="84"/>
      <c r="P5404" s="85" t="s">
        <v>727</v>
      </c>
      <c r="Q5404" s="19"/>
      <c r="R5404" s="11"/>
    </row>
    <row r="5405" s="1" customFormat="1" ht="21.95" customHeight="1" spans="1:19">
      <c r="A5405" s="7"/>
      <c r="B5405" s="12"/>
      <c r="C5405" s="33"/>
      <c r="D5405" s="29"/>
      <c r="E5405" s="29"/>
      <c r="F5405" s="29"/>
      <c r="G5405" s="29"/>
      <c r="H5405" s="29"/>
      <c r="I5405" s="29"/>
      <c r="J5405" s="29"/>
      <c r="K5405" s="29"/>
      <c r="L5405" s="29"/>
      <c r="M5405" s="29"/>
      <c r="N5405" s="29"/>
      <c r="O5405" s="29"/>
      <c r="P5405" s="19"/>
      <c r="Q5405" s="19"/>
      <c r="R5405" s="11"/>
    </row>
    <row r="5406" s="1" customFormat="1" ht="21.95" customHeight="1" spans="1:19">
      <c r="A5406" s="7"/>
      <c r="B5406" s="12"/>
      <c r="C5406" s="33"/>
      <c r="D5406" s="29"/>
      <c r="E5406" s="29"/>
      <c r="F5406" s="29"/>
      <c r="G5406" s="29"/>
      <c r="H5406" s="29"/>
      <c r="I5406" s="29"/>
      <c r="J5406" s="29"/>
      <c r="K5406" s="29"/>
      <c r="L5406" s="29"/>
      <c r="M5406" s="29"/>
      <c r="N5406" s="29"/>
      <c r="O5406" s="29"/>
      <c r="P5406" s="19"/>
      <c r="Q5406" s="19"/>
      <c r="R5406" s="11"/>
    </row>
    <row r="5407" s="1" customFormat="1" ht="21.95" customHeight="1" spans="1:19">
      <c r="A5407" s="7"/>
      <c r="B5407" s="12"/>
      <c r="C5407" s="33"/>
      <c r="D5407" s="29"/>
      <c r="E5407" s="29"/>
      <c r="F5407" s="29"/>
      <c r="G5407" s="29"/>
      <c r="H5407" s="29"/>
      <c r="I5407" s="29"/>
      <c r="J5407" s="29"/>
      <c r="K5407" s="29"/>
      <c r="L5407" s="29"/>
      <c r="M5407" s="29"/>
      <c r="N5407" s="29"/>
      <c r="O5407" s="29"/>
      <c r="P5407" s="19"/>
      <c r="Q5407" s="19"/>
      <c r="R5407" s="11"/>
    </row>
    <row r="5408" s="1" customFormat="1" ht="21.95" customHeight="1" spans="1:19">
      <c r="A5408" s="7"/>
      <c r="B5408" s="12"/>
      <c r="C5408" s="33"/>
      <c r="D5408" s="29"/>
      <c r="E5408" s="29"/>
      <c r="F5408" s="29"/>
      <c r="G5408" s="29"/>
      <c r="H5408" s="29"/>
      <c r="I5408" s="29"/>
      <c r="J5408" s="29"/>
      <c r="K5408" s="29"/>
      <c r="L5408" s="29"/>
      <c r="M5408" s="29"/>
      <c r="N5408" s="29"/>
      <c r="O5408" s="29"/>
      <c r="P5408" s="19"/>
      <c r="Q5408" s="19"/>
      <c r="R5408" s="11"/>
    </row>
    <row r="5409" s="1" customFormat="1" ht="21.95" customHeight="1" spans="1:18">
      <c r="A5409" s="7"/>
      <c r="B5409" s="12"/>
      <c r="C5409" s="33"/>
      <c r="D5409" s="29"/>
      <c r="E5409" s="29"/>
      <c r="F5409" s="29"/>
      <c r="G5409" s="29"/>
      <c r="H5409" s="29"/>
      <c r="I5409" s="29"/>
      <c r="J5409" s="29"/>
      <c r="K5409" s="29"/>
      <c r="L5409" s="29"/>
      <c r="M5409" s="29"/>
      <c r="N5409" s="29"/>
      <c r="O5409" s="29"/>
      <c r="P5409" s="19"/>
      <c r="Q5409" s="19"/>
      <c r="R5409" s="11"/>
    </row>
    <row r="5410" s="1" customFormat="1" ht="21.95" customHeight="1" spans="1:18">
      <c r="A5410" s="7"/>
      <c r="B5410" s="12"/>
      <c r="C5410" s="33"/>
      <c r="D5410" s="80" t="s">
        <v>728</v>
      </c>
      <c r="E5410" s="86">
        <f>ENTRY!$D$27</f>
        <v>46102</v>
      </c>
      <c r="F5410" s="86"/>
      <c r="G5410" s="29"/>
      <c r="H5410" s="29"/>
      <c r="I5410" s="29"/>
      <c r="J5410" s="29"/>
      <c r="K5410" s="29"/>
      <c r="L5410" s="29"/>
      <c r="M5410" s="87" t="s">
        <v>730</v>
      </c>
      <c r="N5410" s="87"/>
      <c r="O5410" s="87"/>
      <c r="P5410" s="19"/>
      <c r="Q5410" s="19"/>
      <c r="R5410" s="11"/>
    </row>
    <row r="5411" s="1" customFormat="1" ht="21.95" customHeight="1" spans="1:18">
      <c r="A5411" s="7"/>
      <c r="B5411" s="12"/>
      <c r="C5411" s="33"/>
      <c r="D5411" s="80" t="s">
        <v>731</v>
      </c>
      <c r="E5411" s="88" t="str">
        <f>PROPER(ENTRY!$D$28)</f>
        <v>New Delhi</v>
      </c>
      <c r="F5411" s="88"/>
      <c r="G5411" s="29"/>
      <c r="H5411" s="29"/>
      <c r="I5411" s="29"/>
      <c r="J5411" s="29"/>
      <c r="K5411" s="29"/>
      <c r="L5411" s="29"/>
      <c r="M5411" s="89" t="s">
        <v>732</v>
      </c>
      <c r="N5411" s="89"/>
      <c r="O5411" s="89"/>
      <c r="P5411" s="19"/>
      <c r="Q5411" s="19"/>
      <c r="R5411" s="11"/>
    </row>
    <row r="5412" s="1" customFormat="1" ht="21.95" customHeight="1" spans="1:18">
      <c r="A5412" s="7"/>
      <c r="B5412" s="12"/>
      <c r="C5412" s="90"/>
      <c r="D5412" s="91"/>
      <c r="E5412" s="91"/>
      <c r="F5412" s="91"/>
      <c r="G5412" s="91"/>
      <c r="H5412" s="91"/>
      <c r="I5412" s="91"/>
      <c r="J5412" s="91"/>
      <c r="K5412" s="91"/>
      <c r="L5412" s="91"/>
      <c r="M5412" s="91"/>
      <c r="N5412" s="91"/>
      <c r="O5412" s="91"/>
      <c r="P5412" s="92"/>
      <c r="Q5412" s="14"/>
      <c r="R5412" s="11"/>
    </row>
    <row r="5413" s="1" customFormat="1" ht="5.1" customHeight="1" spans="1:18">
      <c r="A5413" s="7"/>
      <c r="B5413" s="90"/>
      <c r="C5413" s="91"/>
      <c r="D5413" s="91"/>
      <c r="E5413" s="91"/>
      <c r="F5413" s="91"/>
      <c r="G5413" s="91"/>
      <c r="H5413" s="91"/>
      <c r="I5413" s="91"/>
      <c r="J5413" s="91"/>
      <c r="K5413" s="91"/>
      <c r="L5413" s="91"/>
      <c r="M5413" s="91"/>
      <c r="N5413" s="91"/>
      <c r="O5413" s="91"/>
      <c r="P5413" s="91"/>
      <c r="Q5413" s="92"/>
      <c r="R5413" s="11"/>
    </row>
    <row r="5414" s="1" customFormat="1" ht="5.1" customHeight="1" spans="1:18">
      <c r="A5414" s="93"/>
      <c r="B5414" s="94"/>
      <c r="C5414" s="94"/>
      <c r="D5414" s="94"/>
      <c r="E5414" s="94"/>
      <c r="F5414" s="94"/>
      <c r="G5414" s="94"/>
      <c r="H5414" s="94"/>
      <c r="I5414" s="94"/>
      <c r="J5414" s="94"/>
      <c r="K5414" s="94"/>
      <c r="L5414" s="94"/>
      <c r="M5414" s="94"/>
      <c r="N5414" s="94"/>
      <c r="O5414" s="94"/>
      <c r="P5414" s="94"/>
      <c r="Q5414" s="94"/>
      <c r="R5414" s="95"/>
    </row>
    <row r="5415" s="2" customFormat="1" ht="9.95" customHeight="1"/>
    <row r="5416" s="1" customFormat="1" ht="5.1" customHeight="1" spans="1:18">
      <c r="A5416" s="4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6"/>
    </row>
    <row r="5417" s="1" customFormat="1" ht="15" customHeight="1" spans="1:18">
      <c r="A5417" s="7"/>
      <c r="B5417" s="8"/>
      <c r="C5417" s="9"/>
      <c r="D5417" s="9"/>
      <c r="E5417" s="9"/>
      <c r="F5417" s="9"/>
      <c r="G5417" s="9"/>
      <c r="H5417" s="9"/>
      <c r="I5417" s="9"/>
      <c r="J5417" s="9"/>
      <c r="K5417" s="9"/>
      <c r="L5417" s="9"/>
      <c r="M5417" s="9"/>
      <c r="N5417" s="9"/>
      <c r="O5417" s="9"/>
      <c r="P5417" s="9"/>
      <c r="Q5417" s="10"/>
      <c r="R5417" s="11"/>
    </row>
    <row r="5418" s="1" customFormat="1" ht="21.95" customHeight="1" spans="1:18">
      <c r="A5418" s="7"/>
      <c r="B5418" s="12"/>
      <c r="C5418" s="13" t="s">
        <v>7</v>
      </c>
      <c r="D5418" s="13"/>
      <c r="E5418" s="13"/>
      <c r="F5418" s="13"/>
      <c r="G5418" s="13"/>
      <c r="H5418" s="13"/>
      <c r="I5418" s="13"/>
      <c r="J5418" s="13"/>
      <c r="K5418" s="13"/>
      <c r="L5418" s="13"/>
      <c r="M5418" s="13"/>
      <c r="N5418" s="13"/>
      <c r="O5418" s="13"/>
      <c r="P5418" s="13"/>
      <c r="Q5418" s="14"/>
      <c r="R5418" s="11"/>
    </row>
    <row r="5419" s="1" customFormat="1" ht="21.95" customHeight="1" spans="1:18">
      <c r="A5419" s="7"/>
      <c r="B5419" s="1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14"/>
      <c r="R5419" s="11"/>
    </row>
    <row r="5420" s="1" customFormat="1" ht="21.95" customHeight="1" spans="1:18">
      <c r="A5420" s="7"/>
      <c r="B5420" s="12"/>
      <c r="C5420" s="15" t="str">
        <f>"SESSION-"&amp;ENTRY!$D$11</f>
        <v>SESSION-2026-27</v>
      </c>
      <c r="D5420" s="15"/>
      <c r="E5420" s="15"/>
      <c r="F5420" s="15"/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  <c r="Q5420" s="14"/>
      <c r="R5420" s="11"/>
    </row>
    <row r="5421" s="1" customFormat="1" ht="21.95" customHeight="1" spans="1:18">
      <c r="A5421" s="7"/>
      <c r="B5421" s="12"/>
      <c r="C5421" s="2"/>
      <c r="D5421" s="2"/>
      <c r="E5421" s="2"/>
      <c r="F5421" s="16">
        <f>F5364+1</f>
        <v>96</v>
      </c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14"/>
      <c r="R5421" s="11"/>
    </row>
    <row r="5422" s="1" customFormat="1" ht="21.95" customHeight="1" spans="1:18">
      <c r="A5422" s="7"/>
      <c r="B5422" s="12"/>
      <c r="C5422" s="17" t="s">
        <v>392</v>
      </c>
      <c r="D5422" s="17"/>
      <c r="E5422" s="17"/>
      <c r="F5422" s="18" t="str">
        <f>IF(F5421&gt;0,ENTRY!$D$6,"")</f>
        <v>MCP NITHARI NO 1 BOYS</v>
      </c>
      <c r="G5422" s="18"/>
      <c r="H5422" s="18"/>
      <c r="I5422" s="18"/>
      <c r="J5422" s="18"/>
      <c r="K5422" s="18"/>
      <c r="L5422" s="18"/>
      <c r="M5422" s="18"/>
      <c r="N5422" s="18"/>
      <c r="O5422" s="18"/>
      <c r="P5422" s="18"/>
      <c r="Q5422" s="19"/>
      <c r="R5422" s="11"/>
    </row>
    <row r="5423" s="1" customFormat="1" ht="21.95" customHeight="1" spans="1:18">
      <c r="A5423" s="7"/>
      <c r="B5423" s="12"/>
      <c r="C5423" s="17" t="s">
        <v>393</v>
      </c>
      <c r="D5423" s="17"/>
      <c r="E5423" s="17"/>
      <c r="F5423" s="18">
        <f>IF(F5421&gt;0,ENTRY!$D$7,"")</f>
        <v>0</v>
      </c>
      <c r="G5423" s="18"/>
      <c r="H5423" s="20" t="s">
        <v>702</v>
      </c>
      <c r="I5423" s="20"/>
      <c r="J5423" s="21">
        <f>IF(F5421&gt;0,ENTRY!$D$10,"")</f>
        <v>40</v>
      </c>
      <c r="K5423" s="20" t="s">
        <v>703</v>
      </c>
      <c r="L5423" s="22" t="str">
        <f>IF(F5421&gt;0,ENTRY!$D$5,"")</f>
        <v>ROHINI ZONE</v>
      </c>
      <c r="M5423" s="22"/>
      <c r="N5423" s="22"/>
      <c r="O5423" s="22"/>
      <c r="P5423" s="22"/>
      <c r="Q5423" s="19"/>
      <c r="R5423" s="11"/>
    </row>
    <row r="5424" s="1" customFormat="1" ht="21.95" customHeight="1" spans="1:18">
      <c r="A5424" s="7"/>
      <c r="B5424" s="12"/>
      <c r="C5424" s="17" t="s">
        <v>706</v>
      </c>
      <c r="D5424" s="17"/>
      <c r="E5424" s="17"/>
      <c r="F5424" s="23">
        <f>IFERROR(VLOOKUP(F5421,STUDENT!$A$2:$BP$101,5,0),"")</f>
        <v>0</v>
      </c>
      <c r="G5424" s="23"/>
      <c r="H5424" s="23"/>
      <c r="I5424" s="23"/>
      <c r="J5424" s="23"/>
      <c r="K5424" s="23"/>
      <c r="L5424" s="20" t="s">
        <v>707</v>
      </c>
      <c r="M5424" s="20"/>
      <c r="N5424" s="24" t="str">
        <f>IF(F5421&gt;0,ENTRY!$D$20&amp;"-"&amp;ENTRY!$D$21,"")</f>
        <v>III-A</v>
      </c>
      <c r="O5424" s="24"/>
      <c r="P5424" s="24"/>
      <c r="Q5424" s="19"/>
      <c r="R5424" s="11"/>
    </row>
    <row r="5425" s="1" customFormat="1" ht="21.95" customHeight="1" spans="1:18">
      <c r="A5425" s="7"/>
      <c r="B5425" s="12"/>
      <c r="C5425" s="17" t="s">
        <v>708</v>
      </c>
      <c r="D5425" s="17"/>
      <c r="E5425" s="17"/>
      <c r="F5425" s="25">
        <f>IFERROR(VLOOKUP(F5421,STUDENT!$A$2:$BP$101,6,0),"")</f>
        <v>0</v>
      </c>
      <c r="G5425" s="25"/>
      <c r="H5425" s="26" t="s">
        <v>709</v>
      </c>
      <c r="I5425" s="27" t="str">
        <f>IFERROR(VLOOKUP(F5421,STUDENT!$A$2:$BP$101,59,0),"")</f>
        <v/>
      </c>
      <c r="J5425" s="27"/>
      <c r="K5425" s="20" t="s">
        <v>710</v>
      </c>
      <c r="L5425" s="20"/>
      <c r="M5425" s="28">
        <f>IFERROR(VLOOKUP(F5421,STUDENT!$A$2:$BP$101,20,0),"")</f>
        <v>0</v>
      </c>
      <c r="N5425" s="28"/>
      <c r="O5425" s="28"/>
      <c r="P5425" s="28"/>
      <c r="Q5425" s="19"/>
      <c r="R5425" s="11"/>
    </row>
    <row r="5426" s="1" customFormat="1" ht="21.95" customHeight="1" spans="1:18">
      <c r="A5426" s="7"/>
      <c r="B5426" s="12"/>
      <c r="C5426" s="17" t="s">
        <v>711</v>
      </c>
      <c r="D5426" s="17"/>
      <c r="E5426" s="17"/>
      <c r="F5426" s="23">
        <f>IFERROR(VLOOKUP(F5421,STUDENT!$A$2:$BP$101,9,0),"")</f>
        <v>0</v>
      </c>
      <c r="G5426" s="23"/>
      <c r="H5426" s="23"/>
      <c r="I5426" s="23"/>
      <c r="J5426" s="17" t="s">
        <v>620</v>
      </c>
      <c r="K5426" s="17"/>
      <c r="L5426" s="23">
        <f>IFERROR(VLOOKUP(F5421,STUDENT!$A$2:$BP$101,8,0),"")</f>
        <v>0</v>
      </c>
      <c r="M5426" s="23"/>
      <c r="N5426" s="23"/>
      <c r="O5426" s="23"/>
      <c r="P5426" s="23"/>
      <c r="Q5426" s="19"/>
      <c r="R5426" s="11"/>
    </row>
    <row r="5427" s="1" customFormat="1" ht="21.95" customHeight="1" spans="1:18">
      <c r="A5427" s="7"/>
      <c r="B5427" s="12"/>
      <c r="C5427" s="17" t="s">
        <v>712</v>
      </c>
      <c r="D5427" s="17"/>
      <c r="E5427" s="17"/>
      <c r="F5427" s="23">
        <f>IFERROR(VLOOKUP(F5421,STUDENT!$A$2:$BP$101,22,0),"")</f>
        <v>0</v>
      </c>
      <c r="G5427" s="23"/>
      <c r="H5427" s="23"/>
      <c r="I5427" s="23"/>
      <c r="J5427" s="23"/>
      <c r="K5427" s="23"/>
      <c r="L5427" s="23"/>
      <c r="M5427" s="23"/>
      <c r="N5427" s="23"/>
      <c r="O5427" s="23"/>
      <c r="P5427" s="23"/>
      <c r="Q5427" s="19"/>
      <c r="R5427" s="11"/>
    </row>
    <row r="5428" s="1" customFormat="1" ht="9.95" customHeight="1" spans="1:18">
      <c r="A5428" s="7"/>
      <c r="B5428" s="12"/>
      <c r="C5428" s="29"/>
      <c r="D5428" s="29"/>
      <c r="E5428" s="29"/>
      <c r="F5428" s="29"/>
      <c r="G5428" s="29"/>
      <c r="H5428" s="29"/>
      <c r="I5428" s="29"/>
      <c r="J5428" s="29"/>
      <c r="K5428" s="29"/>
      <c r="L5428" s="29"/>
      <c r="M5428" s="29"/>
      <c r="N5428" s="29"/>
      <c r="O5428" s="29"/>
      <c r="P5428" s="29"/>
      <c r="Q5428" s="19"/>
      <c r="R5428" s="11"/>
    </row>
    <row r="5429" s="1" customFormat="1" ht="9.95" customHeight="1" spans="1:18">
      <c r="A5429" s="7"/>
      <c r="B5429" s="12"/>
      <c r="C5429" s="30"/>
      <c r="D5429" s="31"/>
      <c r="E5429" s="31"/>
      <c r="F5429" s="31"/>
      <c r="G5429" s="31"/>
      <c r="H5429" s="31"/>
      <c r="I5429" s="31"/>
      <c r="J5429" s="31"/>
      <c r="K5429" s="31"/>
      <c r="L5429" s="31"/>
      <c r="M5429" s="31"/>
      <c r="N5429" s="31"/>
      <c r="O5429" s="31"/>
      <c r="P5429" s="32"/>
      <c r="Q5429" s="19"/>
      <c r="R5429" s="11"/>
    </row>
    <row r="5430" s="1" customFormat="1" ht="21.95" customHeight="1" spans="1:18">
      <c r="A5430" s="7"/>
      <c r="B5430" s="12"/>
      <c r="C5430" s="33"/>
      <c r="D5430" s="34" t="s">
        <v>713</v>
      </c>
      <c r="E5430" s="20" t="s">
        <v>714</v>
      </c>
      <c r="F5430" s="35" t="str">
        <f>"Level - "&amp;IFERROR(VLOOKUP(F5421,FLN!$A$4:$K$103,9,0),"")</f>
        <v>Level - </v>
      </c>
      <c r="G5430" s="36"/>
      <c r="H5430" s="37" t="s">
        <v>715</v>
      </c>
      <c r="I5430" s="20"/>
      <c r="J5430" s="35" t="str">
        <f>"Level - "&amp;IFERROR(VLOOKUP(F5421,FLN!$A$4:$K$103,11,0),"")</f>
        <v>Level - </v>
      </c>
      <c r="K5430" s="36"/>
      <c r="L5430" s="37" t="s">
        <v>408</v>
      </c>
      <c r="M5430" s="20"/>
      <c r="N5430" s="35" t="str">
        <f>"Level - "&amp;IFERROR(VLOOKUP(F5421,FLN!$A$4:$K$103,10,0),"")</f>
        <v>Level - </v>
      </c>
      <c r="O5430" s="36"/>
      <c r="P5430" s="19"/>
      <c r="Q5430" s="19"/>
      <c r="R5430" s="11"/>
    </row>
    <row r="5431" s="1" customFormat="1" ht="21.95" customHeight="1" spans="1:18">
      <c r="A5431" s="7"/>
      <c r="B5431" s="12"/>
      <c r="C5431" s="33"/>
      <c r="D5431" s="38"/>
      <c r="E5431" s="20" t="s">
        <v>716</v>
      </c>
      <c r="F5431" s="18" t="str">
        <f ca="1">IF(L5445&gt;197,"PERFORMED WELL","")</f>
        <v/>
      </c>
      <c r="G5431" s="18"/>
      <c r="H5431" s="18"/>
      <c r="I5431" s="18"/>
      <c r="J5431" s="18"/>
      <c r="K5431" s="18"/>
      <c r="L5431" s="18"/>
      <c r="M5431" s="18"/>
      <c r="N5431" s="18"/>
      <c r="O5431" s="18"/>
      <c r="P5431" s="19"/>
      <c r="Q5431" s="19"/>
      <c r="R5431" s="11"/>
    </row>
    <row r="5432" s="1" customFormat="1" ht="9.95" customHeight="1" spans="1:18">
      <c r="A5432" s="7"/>
      <c r="B5432" s="12"/>
      <c r="C5432" s="39"/>
      <c r="D5432" s="40"/>
      <c r="E5432" s="40"/>
      <c r="F5432" s="40"/>
      <c r="G5432" s="40"/>
      <c r="H5432" s="40"/>
      <c r="I5432" s="40"/>
      <c r="J5432" s="40"/>
      <c r="K5432" s="40"/>
      <c r="L5432" s="40"/>
      <c r="M5432" s="40"/>
      <c r="N5432" s="40"/>
      <c r="O5432" s="40"/>
      <c r="P5432" s="41"/>
      <c r="Q5432" s="19"/>
      <c r="R5432" s="11"/>
    </row>
    <row r="5433" s="1" customFormat="1" ht="9.95" customHeight="1" spans="1:18">
      <c r="A5433" s="7"/>
      <c r="B5433" s="12"/>
      <c r="C5433" s="29"/>
      <c r="D5433" s="29"/>
      <c r="E5433" s="29"/>
      <c r="F5433" s="29"/>
      <c r="G5433" s="29"/>
      <c r="H5433" s="29"/>
      <c r="I5433" s="29"/>
      <c r="J5433" s="29"/>
      <c r="K5433" s="29"/>
      <c r="L5433" s="29"/>
      <c r="M5433" s="29"/>
      <c r="N5433" s="29"/>
      <c r="O5433" s="29"/>
      <c r="P5433" s="29"/>
      <c r="Q5433" s="19"/>
      <c r="R5433" s="11"/>
    </row>
    <row r="5434" s="1" customFormat="1" ht="9.95" customHeight="1" spans="1:18">
      <c r="A5434" s="7"/>
      <c r="B5434" s="12"/>
      <c r="C5434" s="30"/>
      <c r="D5434" s="31"/>
      <c r="E5434" s="31"/>
      <c r="F5434" s="31"/>
      <c r="G5434" s="31"/>
      <c r="H5434" s="31"/>
      <c r="I5434" s="31"/>
      <c r="J5434" s="31"/>
      <c r="K5434" s="31"/>
      <c r="L5434" s="31"/>
      <c r="M5434" s="31"/>
      <c r="N5434" s="31"/>
      <c r="O5434" s="31"/>
      <c r="P5434" s="32"/>
      <c r="Q5434" s="19"/>
      <c r="R5434" s="11"/>
    </row>
    <row r="5435" s="1" customFormat="1" ht="21.95" customHeight="1" spans="1:18">
      <c r="A5435" s="7"/>
      <c r="B5435" s="12"/>
      <c r="C5435" s="33"/>
      <c r="D5435" s="35"/>
      <c r="E5435" s="24"/>
      <c r="F5435" s="42" t="s">
        <v>717</v>
      </c>
      <c r="G5435" s="42"/>
      <c r="H5435" s="42"/>
      <c r="I5435" s="42"/>
      <c r="J5435" s="42"/>
      <c r="K5435" s="42"/>
      <c r="L5435" s="43"/>
      <c r="M5435" s="44"/>
      <c r="N5435" s="29"/>
      <c r="O5435" s="29"/>
      <c r="P5435" s="19"/>
      <c r="Q5435" s="19"/>
      <c r="R5435" s="11"/>
    </row>
    <row r="5436" s="1" customFormat="1" ht="21.95" customHeight="1" spans="1:18">
      <c r="A5436" s="7"/>
      <c r="B5436" s="12"/>
      <c r="C5436" s="33"/>
      <c r="D5436" s="45"/>
      <c r="E5436" s="46"/>
      <c r="F5436" s="47" t="s">
        <v>541</v>
      </c>
      <c r="G5436" s="47" t="s">
        <v>542</v>
      </c>
      <c r="H5436" s="47" t="s">
        <v>543</v>
      </c>
      <c r="I5436" s="47" t="s">
        <v>544</v>
      </c>
      <c r="J5436" s="47" t="s">
        <v>561</v>
      </c>
      <c r="K5436" s="48" t="s">
        <v>750</v>
      </c>
      <c r="L5436" s="47" t="s">
        <v>382</v>
      </c>
      <c r="M5436" s="49" t="s">
        <v>546</v>
      </c>
      <c r="N5436" s="29"/>
      <c r="O5436" s="29"/>
      <c r="P5436" s="19"/>
      <c r="Q5436" s="19"/>
      <c r="R5436" s="11"/>
    </row>
    <row r="5437" s="1" customFormat="1" ht="21.95" customHeight="1" spans="1:18">
      <c r="A5437" s="7"/>
      <c r="B5437" s="12"/>
      <c r="C5437" s="33"/>
      <c r="D5437" s="45" t="s">
        <v>652</v>
      </c>
      <c r="E5437" s="46"/>
      <c r="F5437" s="50">
        <v>10</v>
      </c>
      <c r="G5437" s="50">
        <v>10</v>
      </c>
      <c r="H5437" s="50">
        <v>10</v>
      </c>
      <c r="I5437" s="50">
        <v>10</v>
      </c>
      <c r="J5437" s="50">
        <v>60</v>
      </c>
      <c r="K5437" s="51"/>
      <c r="L5437" s="50">
        <v>100</v>
      </c>
      <c r="M5437" s="49"/>
      <c r="N5437" s="29"/>
      <c r="O5437" s="29"/>
      <c r="P5437" s="19"/>
      <c r="Q5437" s="19"/>
      <c r="R5437" s="11"/>
    </row>
    <row r="5438" s="1" customFormat="1" ht="21.95" customHeight="1" spans="1:18">
      <c r="A5438" s="7"/>
      <c r="B5438" s="12"/>
      <c r="C5438" s="33"/>
      <c r="D5438" s="52" t="s">
        <v>751</v>
      </c>
      <c r="E5438" s="53"/>
      <c r="F5438" s="54" t="str">
        <f ca="1">IFERROR(VLOOKUP(F5421,'RR-3.1-5TH'!$A$12:'RR-3.1-5TH'!$BN$111,9,0),"")</f>
        <v/>
      </c>
      <c r="G5438" s="54" t="str">
        <f ca="1">IFERROR(VLOOKUP(F5421,'RR-3.1-5TH'!$A$12:'RR-3.1-5TH'!$BN$111,10,0),"")</f>
        <v/>
      </c>
      <c r="H5438" s="54" t="str">
        <f ca="1">IFERROR(VLOOKUP(F5421,'RR-3.1-5TH'!$A$12:'RR-3.1-5TH'!$BN$111,11,0),"")</f>
        <v/>
      </c>
      <c r="I5438" s="54" t="str">
        <f ca="1">IFERROR(VLOOKUP(F5421,'RR-3.1-5TH'!$A$12:'RR-3.1-5TH'!$BN$111,12,0),"")</f>
        <v/>
      </c>
      <c r="J5438" s="54" t="str">
        <f ca="1">IFERROR(VLOOKUP(F5421,'RR-3.1-5TH'!$A$12:'RR-3.1-5TH'!$BN$111,13,0),"")</f>
        <v/>
      </c>
      <c r="K5438" s="54" t="str">
        <f ca="1">IFERROR(VLOOKUP(F5421,'RR-3.1-5TH'!$A$12:'RR-3.1-5TH'!$BN$111,14,0),"")</f>
        <v/>
      </c>
      <c r="L5438" s="55">
        <f ca="1" t="shared" ref="L5438:L5443" si="285">SUM(F5438,G5438,H5438,I5438,J5438,K5438)</f>
        <v>0</v>
      </c>
      <c r="M5438" s="56" t="str">
        <f ca="1">IF(F5421&gt;ENTRY!$D$24,"",IF(L5438=0,"Ab",IF(L5438&gt;80,"A",IF(L5438&gt;60,"B",IF(L5438&gt;44,"C",IF(L5438&gt;=33,"D",IF(L5438&lt;=32,"E","")))))))</f>
        <v/>
      </c>
      <c r="N5438" s="57" t="s">
        <v>729</v>
      </c>
      <c r="O5438" s="58"/>
      <c r="P5438" s="59"/>
      <c r="Q5438" s="19"/>
      <c r="R5438" s="11"/>
    </row>
    <row r="5439" s="1" customFormat="1" ht="21.95" customHeight="1" spans="1:18">
      <c r="A5439" s="7"/>
      <c r="B5439" s="12"/>
      <c r="C5439" s="33"/>
      <c r="D5439" s="52" t="s">
        <v>513</v>
      </c>
      <c r="E5439" s="53"/>
      <c r="F5439" s="54" t="str">
        <f ca="1">IFERROR(VLOOKUP(F5421,'RR-3.1-5TH'!$A$12:'RR-3.1-5TH'!$BN$111,17,0),"")</f>
        <v/>
      </c>
      <c r="G5439" s="54" t="str">
        <f ca="1">IFERROR(VLOOKUP(F5421,'RR-3.1-5TH'!$A$12:'RR-3.1-5TH'!$BN$111,18,0),"")</f>
        <v/>
      </c>
      <c r="H5439" s="54" t="str">
        <f ca="1">IFERROR(VLOOKUP(F5421,'RR-3.1-5TH'!$A$12:'RR-3.1-5TH'!$BN$111,19,0),"")</f>
        <v/>
      </c>
      <c r="I5439" s="54" t="str">
        <f ca="1">IFERROR(VLOOKUP(F5421,'RR-3.1-5TH'!$A$12:'RR-3.1-5TH'!$BN$111,20,0),"")</f>
        <v/>
      </c>
      <c r="J5439" s="54" t="str">
        <f ca="1">IFERROR(VLOOKUP(F5421,'RR-3.1-5TH'!$A$12:'RR-3.1-5TH'!$BN$111,21,0),"")</f>
        <v/>
      </c>
      <c r="K5439" s="54" t="str">
        <f ca="1">IFERROR(VLOOKUP(F5421,'RR-3.1-5TH'!$A$12:'RR-3.1-5TH'!$BN$111,22,0),"")</f>
        <v/>
      </c>
      <c r="L5439" s="55">
        <f ca="1" t="shared" si="285"/>
        <v>0</v>
      </c>
      <c r="M5439" s="56" t="str">
        <f ca="1">IF(F5421&gt;ENTRY!$D$24,"",IF(L5439=0,"Ab",IF(L5439&gt;80,"A",IF(L5439&gt;60,"B",IF(L5439&gt;44,"C",IF(L5439&gt;=33,"D",IF(L5439&lt;=32,"E","")))))))</f>
        <v/>
      </c>
      <c r="N5439" s="58"/>
      <c r="O5439" s="58"/>
      <c r="P5439" s="59"/>
      <c r="Q5439" s="19"/>
      <c r="R5439" s="11"/>
    </row>
    <row r="5440" s="1" customFormat="1" ht="21.95" customHeight="1" spans="1:18">
      <c r="A5440" s="7"/>
      <c r="B5440" s="12"/>
      <c r="C5440" s="33"/>
      <c r="D5440" s="52" t="s">
        <v>718</v>
      </c>
      <c r="E5440" s="53"/>
      <c r="F5440" s="54" t="str">
        <f ca="1">IFERROR(VLOOKUP(F5421,'RR-3.1-5TH'!$A$12:'RR-3.1-5TH'!$BN$111,25,0),"")</f>
        <v/>
      </c>
      <c r="G5440" s="54" t="str">
        <f ca="1">IFERROR(VLOOKUP(F5421,'RR-3.1-5TH'!$A$12:'RR-3.1-5TH'!$BN$111,26,0),"")</f>
        <v/>
      </c>
      <c r="H5440" s="54" t="str">
        <f ca="1">IFERROR(VLOOKUP(F5421,'RR-3.1-5TH'!$A$12:'RR-3.1-5TH'!$BN$111,27,0),"")</f>
        <v/>
      </c>
      <c r="I5440" s="54" t="str">
        <f ca="1">IFERROR(VLOOKUP(F5421,'RR-3.1-5TH'!$A$12:'RR-3.1-5TH'!$BN$111,28,0),"")</f>
        <v/>
      </c>
      <c r="J5440" s="54" t="str">
        <f ca="1">IFERROR(VLOOKUP(F5421,'RR-3.1-5TH'!$A$12:'RR-3.1-5TH'!$BN$111,29,0),"")</f>
        <v/>
      </c>
      <c r="K5440" s="54" t="str">
        <f ca="1">IFERROR(VLOOKUP(F5421,'RR-3.1-5TH'!$A$12:'RR-3.1-5TH'!$BN$111,30,0),"")</f>
        <v/>
      </c>
      <c r="L5440" s="55">
        <f ca="1" t="shared" si="285"/>
        <v>0</v>
      </c>
      <c r="M5440" s="56" t="str">
        <f ca="1">IF(F5421&gt;ENTRY!$D$24,"",IF(L5440=0,"Ab",IF(L5440&gt;80,"A",IF(L5440&gt;60,"B",IF(L5440&gt;44,"C",IF(L5440&gt;=33,"D",IF(L5440&lt;=32,"E","")))))))</f>
        <v/>
      </c>
      <c r="N5440" s="29"/>
      <c r="O5440" s="29"/>
      <c r="P5440" s="19"/>
      <c r="Q5440" s="19"/>
      <c r="R5440" s="11"/>
    </row>
    <row r="5441" s="1" customFormat="1" ht="21.95" customHeight="1" spans="1:19">
      <c r="A5441" s="7"/>
      <c r="B5441" s="12"/>
      <c r="C5441" s="33"/>
      <c r="D5441" s="52" t="s">
        <v>719</v>
      </c>
      <c r="E5441" s="53"/>
      <c r="F5441" s="54" t="str">
        <f ca="1">IFERROR(VLOOKUP(F5421,'RR-3.1-5TH'!$A$12:'RR-3.1-5TH'!$BN$111,33,0),"")</f>
        <v/>
      </c>
      <c r="G5441" s="54" t="str">
        <f ca="1">IFERROR(VLOOKUP(F5421,'RR-3.1-5TH'!$A$12:'RR-3.1-5TH'!$BN$111,34,0),"")</f>
        <v/>
      </c>
      <c r="H5441" s="54" t="str">
        <f ca="1">IFERROR(VLOOKUP(F5421,'RR-3.1-5TH'!$A$12:'RR-3.1-5TH'!$BN$111,35,0),"")</f>
        <v/>
      </c>
      <c r="I5441" s="54" t="str">
        <f ca="1">IFERROR(VLOOKUP(F5421,'RR-3.1-5TH'!$A$12:'RR-3.1-5TH'!$BN$111,36,0),"")</f>
        <v/>
      </c>
      <c r="J5441" s="54" t="str">
        <f ca="1">IFERROR(VLOOKUP(F5421,'RR-3.1-5TH'!$A$12:'RR-3.1-5TH'!$BN$111,37,0),"")</f>
        <v/>
      </c>
      <c r="K5441" s="54" t="str">
        <f ca="1">IFERROR(VLOOKUP(F5421,'RR-3.1-5TH'!$A$12:'RR-3.1-5TH'!$BN$111,38,0),"")</f>
        <v/>
      </c>
      <c r="L5441" s="55">
        <f ca="1" t="shared" si="285"/>
        <v>0</v>
      </c>
      <c r="M5441" s="56" t="str">
        <f ca="1">IF(F5421&gt;ENTRY!$D$24,"",IF(L5441=0,"Ab",IF(L5441&gt;80,"A",IF(L5441&gt;60,"B",IF(L5441&gt;44,"C",IF(L5441&gt;=33,"D",IF(L5441&lt;=32,"E","")))))))</f>
        <v/>
      </c>
      <c r="N5441" s="29"/>
      <c r="O5441" s="29"/>
      <c r="P5441" s="19"/>
      <c r="Q5441" s="19"/>
      <c r="R5441" s="11"/>
    </row>
    <row r="5442" s="1" customFormat="1" ht="21.95" customHeight="1" spans="1:19">
      <c r="A5442" s="7"/>
      <c r="B5442" s="12"/>
      <c r="C5442" s="33"/>
      <c r="D5442" s="52" t="s">
        <v>548</v>
      </c>
      <c r="E5442" s="53"/>
      <c r="F5442" s="54" t="str">
        <f ca="1">IFERROR(VLOOKUP(F5421,'RR-3.1-5TH'!$A$12:'RR-3.1-5TH'!$BN$111,41,0),"")</f>
        <v/>
      </c>
      <c r="G5442" s="54" t="str">
        <f ca="1">IFERROR(VLOOKUP(F5421,'RR-3.1-5TH'!$A$12:'RR-3.1-5TH'!$BN$111,42,0),"")</f>
        <v/>
      </c>
      <c r="H5442" s="54" t="str">
        <f ca="1">IFERROR(VLOOKUP(F5421,'RR-3.1-5TH'!$A$12:'RR-3.1-5TH'!$BN$111,43,0),"")</f>
        <v/>
      </c>
      <c r="I5442" s="54" t="str">
        <f ca="1">IFERROR(VLOOKUP(F5421,'RR-3.1-5TH'!$A$12:'RR-3.1-5TH'!$BN$111,44,0),"")</f>
        <v/>
      </c>
      <c r="J5442" s="54" t="str">
        <f ca="1">IFERROR(VLOOKUP(F5421,'RR-3.1-5TH'!$A$12:'RR-3.1-5TH'!$BN$111,45,0),"")</f>
        <v/>
      </c>
      <c r="K5442" s="54" t="str">
        <f ca="1">IFERROR(VLOOKUP(F5421,'RR-3.1-5TH'!$A$12:'RR-3.1-5TH'!$BN$111,46,0),"")</f>
        <v/>
      </c>
      <c r="L5442" s="55">
        <f ca="1" t="shared" si="285"/>
        <v>0</v>
      </c>
      <c r="M5442" s="56" t="str">
        <f ca="1">IF(F5421&gt;ENTRY!$D$24,"",IF(L5442=0,"Ab",IF(L5442&gt;80,"A",IF(L5442&gt;60,"B",IF(L5442&gt;44,"C",IF(L5442&gt;=33,"D",IF(L5442&lt;=32,"E","")))))))</f>
        <v/>
      </c>
      <c r="N5442" s="29"/>
      <c r="O5442" s="29"/>
      <c r="P5442" s="19"/>
      <c r="Q5442" s="19"/>
      <c r="R5442" s="11"/>
    </row>
    <row r="5443" s="1" customFormat="1" ht="21.95" customHeight="1" spans="1:19">
      <c r="A5443" s="7"/>
      <c r="B5443" s="12"/>
      <c r="C5443" s="33"/>
      <c r="D5443" s="52" t="s">
        <v>549</v>
      </c>
      <c r="E5443" s="53"/>
      <c r="F5443" s="54" t="str">
        <f ca="1">IFERROR(VLOOKUP(F5421,'RR-3.1-5TH'!$A$12:'RR-3.1-5TH'!$BN$111,49,0),"")</f>
        <v/>
      </c>
      <c r="G5443" s="54" t="str">
        <f ca="1">IFERROR(VLOOKUP(F5421,'RR-3.1-5TH'!$A$12:'RR-3.1-5TH'!$BN$111,50,0),"")</f>
        <v/>
      </c>
      <c r="H5443" s="54" t="str">
        <f ca="1">IFERROR(VLOOKUP(F5421,'RR-3.1-5TH'!$A$12:'RR-3.1-5TH'!$BN$111,51,0),"")</f>
        <v/>
      </c>
      <c r="I5443" s="54" t="str">
        <f ca="1">IFERROR(VLOOKUP(F5421,'RR-3.1-5TH'!$A$12:'RR-3.1-5TH'!$BN$111,52,0),"")</f>
        <v/>
      </c>
      <c r="J5443" s="54" t="str">
        <f ca="1">IFERROR(VLOOKUP(F5421,'RR-3.1-5TH'!$A$12:'RR-3.1-5TH'!$BN$111,53,0),"")</f>
        <v/>
      </c>
      <c r="K5443" s="54" t="str">
        <f ca="1">IFERROR(VLOOKUP(F5421,'RR-3.1-5TH'!$A$12:'RR-3.1-5TH'!$BN$111,54,0),"")</f>
        <v/>
      </c>
      <c r="L5443" s="55">
        <f ca="1" t="shared" si="285"/>
        <v>0</v>
      </c>
      <c r="M5443" s="56" t="str">
        <f ca="1">IF(F5421&gt;ENTRY!$D$24,"",IF(L5443=0,"Ab",IF(L5443&gt;80,"A",IF(L5443&gt;60,"B",IF(L5443&gt;44,"C",IF(L5443&gt;=33,"D",IF(L5443&lt;=32,"E","")))))))</f>
        <v/>
      </c>
      <c r="N5443" s="57" t="s">
        <v>752</v>
      </c>
      <c r="O5443" s="58"/>
      <c r="P5443" s="59"/>
      <c r="Q5443" s="19"/>
      <c r="R5443" s="11"/>
    </row>
    <row r="5444" s="1" customFormat="1" ht="21.95" customHeight="1" spans="1:19">
      <c r="A5444" s="7"/>
      <c r="B5444" s="12"/>
      <c r="C5444" s="33"/>
      <c r="D5444" s="52" t="s">
        <v>753</v>
      </c>
      <c r="E5444" s="53"/>
      <c r="F5444" s="60"/>
      <c r="G5444" s="54"/>
      <c r="H5444" s="54"/>
      <c r="I5444" s="54"/>
      <c r="J5444" s="54"/>
      <c r="K5444" s="54"/>
      <c r="L5444" s="55">
        <f t="shared" ref="L5444" si="286">SUM(G5444:K5444)</f>
        <v>0</v>
      </c>
      <c r="M5444" s="56" t="str">
        <f>IF(F5421&gt;ENTRY!$D$24,"",IF(L5444=0,"",IF(L5444&gt;79,"A",IF(L5444&gt;59,"B",IF(L5444&gt;44,"C",IF(L5444&gt;=33,"D",IF(L5444&lt;=32,"E","")))))))</f>
        <v/>
      </c>
      <c r="N5444" s="58"/>
      <c r="O5444" s="58"/>
      <c r="P5444" s="59"/>
      <c r="Q5444" s="19"/>
      <c r="R5444" s="11"/>
    </row>
    <row r="5445" s="1" customFormat="1" ht="21.95" customHeight="1" spans="1:19">
      <c r="A5445" s="7"/>
      <c r="B5445" s="12"/>
      <c r="C5445" s="33"/>
      <c r="D5445" s="45" t="s">
        <v>382</v>
      </c>
      <c r="E5445" s="46"/>
      <c r="F5445" s="54">
        <f ca="1" t="shared" ref="F5445:L5445" si="287">IFERROR(SUM(F5438:F5444),"")</f>
        <v>0</v>
      </c>
      <c r="G5445" s="54">
        <f ca="1" t="shared" si="287"/>
        <v>0</v>
      </c>
      <c r="H5445" s="54">
        <f ca="1" t="shared" si="287"/>
        <v>0</v>
      </c>
      <c r="I5445" s="54">
        <f ca="1" t="shared" si="287"/>
        <v>0</v>
      </c>
      <c r="J5445" s="54">
        <f ca="1" t="shared" si="287"/>
        <v>0</v>
      </c>
      <c r="K5445" s="54">
        <f ca="1" t="shared" si="287"/>
        <v>0</v>
      </c>
      <c r="L5445" s="55">
        <f ca="1" t="shared" si="287"/>
        <v>0</v>
      </c>
      <c r="M5445" s="61" t="str">
        <f ca="1">IF(F5421&gt;ENTRY!$D$24,"",IF(N5446="Ab","Ab",IF(N5446&gt;79.5,"A",IF(N5446&gt;59.5,"B",IF(N5446&gt;44.5,"C",IF(N5446&gt;=33,"D",IF(N5446&lt;33,"E","")))))))</f>
        <v/>
      </c>
      <c r="N5445" s="62"/>
      <c r="O5445" s="58"/>
      <c r="P5445" s="59"/>
      <c r="Q5445" s="19"/>
      <c r="R5445" s="11"/>
    </row>
    <row r="5446" s="1" customFormat="1" ht="21.95" customHeight="1" spans="1:19">
      <c r="A5446" s="7"/>
      <c r="B5446" s="12"/>
      <c r="C5446" s="33"/>
      <c r="D5446" s="63" t="s">
        <v>721</v>
      </c>
      <c r="E5446" s="63"/>
      <c r="F5446" s="63"/>
      <c r="G5446" s="63"/>
      <c r="H5446" s="63"/>
      <c r="I5446" s="63"/>
      <c r="J5446" s="63"/>
      <c r="K5446" s="63"/>
      <c r="L5446" s="63"/>
      <c r="M5446" s="63"/>
      <c r="N5446" s="64">
        <f ca="1">IF(L5445="Ab","Ab",L5445/6)</f>
        <v>0</v>
      </c>
      <c r="O5446" s="65"/>
      <c r="P5446" s="19"/>
      <c r="Q5446" s="19"/>
      <c r="R5446" s="11"/>
    </row>
    <row r="5447" s="1" customFormat="1" ht="21.95" customHeight="1" spans="1:19">
      <c r="A5447" s="7"/>
      <c r="B5447" s="12"/>
      <c r="C5447" s="33"/>
      <c r="D5447" s="29" t="s">
        <v>716</v>
      </c>
      <c r="E5447" s="18" t="str">
        <f>IFERROR(VLOOKUP(F5421,'1to4-2.1-RR'!$A$12:$BG$111,57,0),"")</f>
        <v/>
      </c>
      <c r="F5447" s="18"/>
      <c r="G5447" s="18"/>
      <c r="H5447" s="18"/>
      <c r="I5447" s="18"/>
      <c r="J5447" s="18"/>
      <c r="K5447" s="18"/>
      <c r="L5447" s="18"/>
      <c r="M5447" s="18"/>
      <c r="N5447" s="29"/>
      <c r="O5447" s="29"/>
      <c r="P5447" s="19"/>
      <c r="Q5447" s="19"/>
      <c r="R5447" s="11"/>
    </row>
    <row r="5448" s="1" customFormat="1" ht="9.95" customHeight="1" spans="1:19">
      <c r="A5448" s="7"/>
      <c r="B5448" s="12"/>
      <c r="C5448" s="33"/>
      <c r="D5448" s="29"/>
      <c r="E5448" s="29"/>
      <c r="F5448" s="29"/>
      <c r="G5448" s="29"/>
      <c r="H5448" s="29"/>
      <c r="I5448" s="29"/>
      <c r="J5448" s="29"/>
      <c r="K5448" s="29"/>
      <c r="L5448" s="29"/>
      <c r="M5448" s="29"/>
      <c r="N5448" s="29"/>
      <c r="O5448" s="29"/>
      <c r="P5448" s="19"/>
      <c r="Q5448" s="19"/>
      <c r="R5448" s="11"/>
    </row>
    <row r="5449" s="1" customFormat="1" ht="36" spans="1:19">
      <c r="A5449" s="7"/>
      <c r="B5449" s="12"/>
      <c r="C5449" s="33"/>
      <c r="D5449" s="66" t="s">
        <v>576</v>
      </c>
      <c r="E5449" s="67" t="s">
        <v>754</v>
      </c>
      <c r="F5449" s="47" t="str">
        <f>IF(F5421&gt;ENTRY!$D$24,"",IFERROR(VLOOKUP(F5421,PASHEET!$A$4:$CJ$103,88,0),""))</f>
        <v/>
      </c>
      <c r="G5449" s="67" t="s">
        <v>755</v>
      </c>
      <c r="H5449" s="47" t="str">
        <f>IF(F5421&gt;ENTRY!$D$24,"",IFERROR(VLOOKUP(F5421,PASHEET!$A$4:$CJ$103,87,0),""))</f>
        <v/>
      </c>
      <c r="I5449" s="68" t="s">
        <v>756</v>
      </c>
      <c r="J5449" s="69" t="str">
        <f>IF(F5421&gt;ENTRY!$D$24,"",IFERROR(IF(F5421&gt;0,H5449/F5449*100),""))</f>
        <v/>
      </c>
      <c r="K5449" s="60" t="s">
        <v>757</v>
      </c>
      <c r="L5449" s="70" t="str">
        <f ca="1">IF(F5421&gt;ENTRY!$D$24,"",IFERROR(L5445/600*100,""))</f>
        <v/>
      </c>
      <c r="M5449" s="47" t="str">
        <f ca="1">IF(F5421&gt;ENTRY!$D$24,"",IFERROR(L5445&amp;" / "&amp;"600",""))</f>
        <v/>
      </c>
      <c r="N5449" s="29"/>
      <c r="O5449" s="29"/>
      <c r="P5449" s="19"/>
      <c r="Q5449" s="19"/>
      <c r="R5449" s="11"/>
    </row>
    <row r="5450" s="1" customFormat="1" ht="9.95" customHeight="1" spans="1:19">
      <c r="A5450" s="7"/>
      <c r="B5450" s="12"/>
      <c r="C5450" s="39"/>
      <c r="D5450" s="40"/>
      <c r="E5450" s="40"/>
      <c r="F5450" s="40"/>
      <c r="G5450" s="40"/>
      <c r="H5450" s="40"/>
      <c r="I5450" s="40"/>
      <c r="J5450" s="40"/>
      <c r="K5450" s="40"/>
      <c r="L5450" s="40"/>
      <c r="M5450" s="40"/>
      <c r="N5450" s="40"/>
      <c r="O5450" s="40"/>
      <c r="P5450" s="41"/>
      <c r="Q5450" s="19"/>
      <c r="R5450" s="11"/>
    </row>
    <row r="5451" s="1" customFormat="1" ht="9.95" customHeight="1" spans="1:19">
      <c r="A5451" s="7"/>
      <c r="B5451" s="12"/>
      <c r="C5451" s="71"/>
      <c r="D5451" s="71"/>
      <c r="E5451" s="71"/>
      <c r="F5451" s="29"/>
      <c r="G5451" s="71"/>
      <c r="H5451" s="71"/>
      <c r="I5451" s="71"/>
      <c r="J5451" s="71"/>
      <c r="K5451" s="71"/>
      <c r="L5451" s="71"/>
      <c r="M5451" s="71"/>
      <c r="N5451" s="71"/>
      <c r="O5451" s="71"/>
      <c r="P5451" s="71"/>
      <c r="Q5451" s="19"/>
      <c r="R5451" s="11"/>
    </row>
    <row r="5452" s="1" customFormat="1" ht="9.95" customHeight="1" spans="1:19">
      <c r="A5452" s="7"/>
      <c r="B5452" s="12"/>
      <c r="C5452" s="29"/>
      <c r="D5452" s="29"/>
      <c r="E5452" s="29"/>
      <c r="F5452" s="72"/>
      <c r="G5452" s="29"/>
      <c r="H5452" s="29"/>
      <c r="I5452" s="29"/>
      <c r="J5452" s="29"/>
      <c r="K5452" s="29"/>
      <c r="L5452" s="29"/>
      <c r="M5452" s="29"/>
      <c r="N5452" s="29"/>
      <c r="O5452" s="29"/>
      <c r="P5452" s="29"/>
      <c r="Q5452" s="19"/>
      <c r="R5452" s="11"/>
    </row>
    <row r="5453" s="1" customFormat="1" ht="9.95" customHeight="1" spans="1:19">
      <c r="A5453" s="7"/>
      <c r="B5453" s="12"/>
      <c r="C5453" s="30"/>
      <c r="D5453" s="31"/>
      <c r="E5453" s="31"/>
      <c r="F5453" s="31"/>
      <c r="G5453" s="31"/>
      <c r="H5453" s="31"/>
      <c r="I5453" s="31"/>
      <c r="J5453" s="31"/>
      <c r="K5453" s="31"/>
      <c r="L5453" s="31"/>
      <c r="M5453" s="31"/>
      <c r="N5453" s="31"/>
      <c r="O5453" s="31"/>
      <c r="P5453" s="32"/>
      <c r="Q5453" s="19"/>
      <c r="R5453" s="11"/>
    </row>
    <row r="5454" s="1" customFormat="1" ht="21.95" customHeight="1" spans="1:19">
      <c r="A5454" s="7"/>
      <c r="B5454" s="12"/>
      <c r="C5454" s="73" t="s">
        <v>7</v>
      </c>
      <c r="D5454" s="13"/>
      <c r="E5454" s="13"/>
      <c r="F5454" s="13"/>
      <c r="G5454" s="13"/>
      <c r="H5454" s="13"/>
      <c r="I5454" s="13"/>
      <c r="J5454" s="13"/>
      <c r="K5454" s="13"/>
      <c r="L5454" s="13"/>
      <c r="M5454" s="13"/>
      <c r="N5454" s="13"/>
      <c r="O5454" s="13"/>
      <c r="P5454" s="74"/>
      <c r="Q5454" s="19"/>
      <c r="R5454" s="11"/>
      <c r="S5454" s="2"/>
    </row>
    <row r="5455" s="1" customFormat="1" ht="21.95" customHeight="1" spans="1:19">
      <c r="A5455" s="7"/>
      <c r="B5455" s="12"/>
      <c r="C5455" s="33"/>
      <c r="D5455" s="29"/>
      <c r="E5455" s="29"/>
      <c r="F5455" s="29"/>
      <c r="G5455" s="29"/>
      <c r="H5455" s="29"/>
      <c r="I5455" s="29"/>
      <c r="J5455" s="29"/>
      <c r="K5455" s="29"/>
      <c r="L5455" s="29"/>
      <c r="M5455" s="29"/>
      <c r="N5455" s="29"/>
      <c r="O5455" s="29"/>
      <c r="P5455" s="19"/>
      <c r="Q5455" s="19"/>
      <c r="R5455" s="11"/>
    </row>
    <row r="5456" s="1" customFormat="1" ht="21.95" customHeight="1" spans="1:19">
      <c r="A5456" s="7"/>
      <c r="B5456" s="12"/>
      <c r="C5456" s="75" t="str">
        <f>"SESSION-"&amp;ENTRY!$D$11</f>
        <v>SESSION-2026-27</v>
      </c>
      <c r="D5456" s="15"/>
      <c r="E5456" s="15"/>
      <c r="F5456" s="15"/>
      <c r="G5456" s="15"/>
      <c r="H5456" s="15"/>
      <c r="I5456" s="15"/>
      <c r="J5456" s="15"/>
      <c r="K5456" s="15"/>
      <c r="L5456" s="15"/>
      <c r="M5456" s="15"/>
      <c r="N5456" s="15"/>
      <c r="O5456" s="15"/>
      <c r="P5456" s="76"/>
      <c r="Q5456" s="19"/>
      <c r="R5456" s="11"/>
    </row>
    <row r="5457" s="1" customFormat="1" ht="18" customHeight="1" spans="1:18">
      <c r="A5457" s="7"/>
      <c r="B5457" s="12"/>
      <c r="C5457" s="33"/>
      <c r="D5457" s="29"/>
      <c r="E5457" s="29"/>
      <c r="F5457" s="29"/>
      <c r="G5457" s="29"/>
      <c r="H5457" s="29"/>
      <c r="I5457" s="29"/>
      <c r="J5457" s="29"/>
      <c r="K5457" s="29"/>
      <c r="L5457" s="29"/>
      <c r="M5457" s="29"/>
      <c r="N5457" s="29"/>
      <c r="O5457" s="29"/>
      <c r="P5457" s="19"/>
      <c r="Q5457" s="19"/>
      <c r="R5457" s="11"/>
    </row>
    <row r="5458" s="1" customFormat="1" ht="21.95" customHeight="1" spans="1:18">
      <c r="A5458" s="7"/>
      <c r="B5458" s="12"/>
      <c r="C5458" s="33"/>
      <c r="D5458" s="77" t="s">
        <v>758</v>
      </c>
      <c r="E5458" s="77"/>
      <c r="F5458" s="78" t="str">
        <f>IFERROR(PROPER(VLOOKUP(F5421,STUDENT!$A$2:$BP$101,5,0)),"")</f>
        <v/>
      </c>
      <c r="G5458" s="78"/>
      <c r="H5458" s="78"/>
      <c r="I5458" s="78"/>
      <c r="J5458" s="78"/>
      <c r="K5458" s="78"/>
      <c r="L5458" s="78"/>
      <c r="M5458" s="78"/>
      <c r="N5458" s="79" t="s">
        <v>759</v>
      </c>
      <c r="O5458" s="79"/>
      <c r="P5458" s="19"/>
      <c r="Q5458" s="19"/>
      <c r="R5458" s="11"/>
    </row>
    <row r="5459" s="1" customFormat="1" ht="21.95" customHeight="1" spans="1:18">
      <c r="A5459" s="7"/>
      <c r="B5459" s="12"/>
      <c r="C5459" s="33"/>
      <c r="D5459" s="80" t="s">
        <v>760</v>
      </c>
      <c r="E5459" s="81" t="str">
        <f>IFERROR(PROPER(VLOOKUP(F5421,STUDENT!$A$2:$BP$101,9,0)),"")</f>
        <v/>
      </c>
      <c r="F5459" s="81"/>
      <c r="G5459" s="81"/>
      <c r="H5459" s="80" t="s">
        <v>761</v>
      </c>
      <c r="I5459" s="82" t="str">
        <f>IFERROR(PROPER(VLOOKUP(F5421,STUDENT!$A$2:$BP$101,8,0)),"")</f>
        <v/>
      </c>
      <c r="J5459" s="82"/>
      <c r="K5459" s="82"/>
      <c r="L5459" s="82"/>
      <c r="M5459" s="80" t="s">
        <v>762</v>
      </c>
      <c r="N5459" s="83" t="str">
        <f>IFERROR(VLOOKUP(F5421,STUDENT!$A$2:$BP$101,59,0),"")</f>
        <v/>
      </c>
      <c r="O5459" s="83"/>
      <c r="P5459" s="19"/>
      <c r="Q5459" s="19"/>
      <c r="R5459" s="11"/>
    </row>
    <row r="5460" s="1" customFormat="1" ht="21.95" customHeight="1" spans="1:18">
      <c r="A5460" s="7"/>
      <c r="B5460" s="12"/>
      <c r="C5460" s="33"/>
      <c r="D5460" s="77" t="str">
        <f>"has    completed     his  /  her     primary     level     education    in    the    year    "&amp;RIGHT(ENTRY!$D5426,4)&amp;"    from    ( School    Name )"</f>
        <v>has    completed     his  /  her     primary     level     education    in    the    year        from    ( School    Name )</v>
      </c>
      <c r="E5460" s="77"/>
      <c r="F5460" s="77"/>
      <c r="G5460" s="77"/>
      <c r="H5460" s="77"/>
      <c r="I5460" s="77"/>
      <c r="J5460" s="77"/>
      <c r="K5460" s="77"/>
      <c r="L5460" s="77"/>
      <c r="M5460" s="77"/>
      <c r="N5460" s="77"/>
      <c r="O5460" s="77"/>
      <c r="P5460" s="19"/>
      <c r="Q5460" s="19"/>
      <c r="R5460" s="11"/>
    </row>
    <row r="5461" s="1" customFormat="1" ht="21.95" customHeight="1" spans="1:18">
      <c r="A5461" s="7"/>
      <c r="B5461" s="12"/>
      <c r="C5461" s="33"/>
      <c r="D5461" s="81" t="str">
        <f>IF(F5421&gt;0,ENTRY!$D$6,"")</f>
        <v>MCP NITHARI NO 1 BOYS</v>
      </c>
      <c r="E5461" s="81"/>
      <c r="F5461" s="81"/>
      <c r="G5461" s="81"/>
      <c r="H5461" s="81"/>
      <c r="I5461" s="81"/>
      <c r="J5461" s="81"/>
      <c r="K5461" s="81"/>
      <c r="L5461" s="81"/>
      <c r="M5461" s="80" t="s">
        <v>763</v>
      </c>
      <c r="N5461" s="84">
        <f>IF(F5421&gt;0,ENTRY!$D$7,"")</f>
        <v>0</v>
      </c>
      <c r="O5461" s="84"/>
      <c r="P5461" s="85" t="s">
        <v>727</v>
      </c>
      <c r="Q5461" s="19"/>
      <c r="R5461" s="11"/>
    </row>
    <row r="5462" s="1" customFormat="1" ht="21.95" customHeight="1" spans="1:18">
      <c r="A5462" s="7"/>
      <c r="B5462" s="12"/>
      <c r="C5462" s="33"/>
      <c r="D5462" s="29"/>
      <c r="E5462" s="29"/>
      <c r="F5462" s="29"/>
      <c r="G5462" s="29"/>
      <c r="H5462" s="29"/>
      <c r="I5462" s="29"/>
      <c r="J5462" s="29"/>
      <c r="K5462" s="29"/>
      <c r="L5462" s="29"/>
      <c r="M5462" s="29"/>
      <c r="N5462" s="29"/>
      <c r="O5462" s="29"/>
      <c r="P5462" s="19"/>
      <c r="Q5462" s="19"/>
      <c r="R5462" s="11"/>
    </row>
    <row r="5463" s="1" customFormat="1" ht="21.95" customHeight="1" spans="1:18">
      <c r="A5463" s="7"/>
      <c r="B5463" s="12"/>
      <c r="C5463" s="33"/>
      <c r="D5463" s="29"/>
      <c r="E5463" s="29"/>
      <c r="F5463" s="29"/>
      <c r="G5463" s="29"/>
      <c r="H5463" s="29"/>
      <c r="I5463" s="29"/>
      <c r="J5463" s="29"/>
      <c r="K5463" s="29"/>
      <c r="L5463" s="29"/>
      <c r="M5463" s="29"/>
      <c r="N5463" s="29"/>
      <c r="O5463" s="29"/>
      <c r="P5463" s="19"/>
      <c r="Q5463" s="19"/>
      <c r="R5463" s="11"/>
    </row>
    <row r="5464" s="1" customFormat="1" ht="21.95" customHeight="1" spans="1:18">
      <c r="A5464" s="7"/>
      <c r="B5464" s="12"/>
      <c r="C5464" s="33"/>
      <c r="D5464" s="29"/>
      <c r="E5464" s="29"/>
      <c r="F5464" s="29"/>
      <c r="G5464" s="29"/>
      <c r="H5464" s="29"/>
      <c r="I5464" s="29"/>
      <c r="J5464" s="29"/>
      <c r="K5464" s="29"/>
      <c r="L5464" s="29"/>
      <c r="M5464" s="29"/>
      <c r="N5464" s="29"/>
      <c r="O5464" s="29"/>
      <c r="P5464" s="19"/>
      <c r="Q5464" s="19"/>
      <c r="R5464" s="11"/>
    </row>
    <row r="5465" s="1" customFormat="1" ht="21.95" customHeight="1" spans="1:18">
      <c r="A5465" s="7"/>
      <c r="B5465" s="12"/>
      <c r="C5465" s="33"/>
      <c r="D5465" s="29"/>
      <c r="E5465" s="29"/>
      <c r="F5465" s="29"/>
      <c r="G5465" s="29"/>
      <c r="H5465" s="29"/>
      <c r="I5465" s="29"/>
      <c r="J5465" s="29"/>
      <c r="K5465" s="29"/>
      <c r="L5465" s="29"/>
      <c r="M5465" s="29"/>
      <c r="N5465" s="29"/>
      <c r="O5465" s="29"/>
      <c r="P5465" s="19"/>
      <c r="Q5465" s="19"/>
      <c r="R5465" s="11"/>
    </row>
    <row r="5466" s="1" customFormat="1" ht="21.95" customHeight="1" spans="1:18">
      <c r="A5466" s="7"/>
      <c r="B5466" s="12"/>
      <c r="C5466" s="33"/>
      <c r="D5466" s="29"/>
      <c r="E5466" s="29"/>
      <c r="F5466" s="29"/>
      <c r="G5466" s="29"/>
      <c r="H5466" s="29"/>
      <c r="I5466" s="29"/>
      <c r="J5466" s="29"/>
      <c r="K5466" s="29"/>
      <c r="L5466" s="29"/>
      <c r="M5466" s="29"/>
      <c r="N5466" s="29"/>
      <c r="O5466" s="29"/>
      <c r="P5466" s="19"/>
      <c r="Q5466" s="19"/>
      <c r="R5466" s="11"/>
    </row>
    <row r="5467" s="1" customFormat="1" ht="21.95" customHeight="1" spans="1:18">
      <c r="A5467" s="7"/>
      <c r="B5467" s="12"/>
      <c r="C5467" s="33"/>
      <c r="D5467" s="80" t="s">
        <v>728</v>
      </c>
      <c r="E5467" s="86">
        <f>ENTRY!$D$27</f>
        <v>46102</v>
      </c>
      <c r="F5467" s="86"/>
      <c r="G5467" s="29"/>
      <c r="H5467" s="29"/>
      <c r="I5467" s="29"/>
      <c r="J5467" s="29"/>
      <c r="K5467" s="29"/>
      <c r="L5467" s="29"/>
      <c r="M5467" s="87" t="s">
        <v>730</v>
      </c>
      <c r="N5467" s="87"/>
      <c r="O5467" s="87"/>
      <c r="P5467" s="19"/>
      <c r="Q5467" s="19"/>
      <c r="R5467" s="11"/>
    </row>
    <row r="5468" s="1" customFormat="1" ht="21.95" customHeight="1" spans="1:18">
      <c r="A5468" s="7"/>
      <c r="B5468" s="12"/>
      <c r="C5468" s="33"/>
      <c r="D5468" s="80" t="s">
        <v>731</v>
      </c>
      <c r="E5468" s="88" t="str">
        <f>PROPER(ENTRY!$D$28)</f>
        <v>New Delhi</v>
      </c>
      <c r="F5468" s="88"/>
      <c r="G5468" s="29"/>
      <c r="H5468" s="29"/>
      <c r="I5468" s="29"/>
      <c r="J5468" s="29"/>
      <c r="K5468" s="29"/>
      <c r="L5468" s="29"/>
      <c r="M5468" s="89" t="s">
        <v>732</v>
      </c>
      <c r="N5468" s="89"/>
      <c r="O5468" s="89"/>
      <c r="P5468" s="19"/>
      <c r="Q5468" s="19"/>
      <c r="R5468" s="11"/>
    </row>
    <row r="5469" s="1" customFormat="1" ht="21.95" customHeight="1" spans="1:18">
      <c r="A5469" s="7"/>
      <c r="B5469" s="12"/>
      <c r="C5469" s="90"/>
      <c r="D5469" s="91"/>
      <c r="E5469" s="91"/>
      <c r="F5469" s="91"/>
      <c r="G5469" s="91"/>
      <c r="H5469" s="91"/>
      <c r="I5469" s="91"/>
      <c r="J5469" s="91"/>
      <c r="K5469" s="91"/>
      <c r="L5469" s="91"/>
      <c r="M5469" s="91"/>
      <c r="N5469" s="91"/>
      <c r="O5469" s="91"/>
      <c r="P5469" s="92"/>
      <c r="Q5469" s="14"/>
      <c r="R5469" s="11"/>
    </row>
    <row r="5470" s="1" customFormat="1" ht="5.1" customHeight="1" spans="1:18">
      <c r="A5470" s="7"/>
      <c r="B5470" s="90"/>
      <c r="C5470" s="91"/>
      <c r="D5470" s="91"/>
      <c r="E5470" s="91"/>
      <c r="F5470" s="91"/>
      <c r="G5470" s="91"/>
      <c r="H5470" s="91"/>
      <c r="I5470" s="91"/>
      <c r="J5470" s="91"/>
      <c r="K5470" s="91"/>
      <c r="L5470" s="91"/>
      <c r="M5470" s="91"/>
      <c r="N5470" s="91"/>
      <c r="O5470" s="91"/>
      <c r="P5470" s="91"/>
      <c r="Q5470" s="92"/>
      <c r="R5470" s="11"/>
    </row>
    <row r="5471" s="1" customFormat="1" ht="5.1" customHeight="1" spans="1:18">
      <c r="A5471" s="93"/>
      <c r="B5471" s="94"/>
      <c r="C5471" s="94"/>
      <c r="D5471" s="94"/>
      <c r="E5471" s="94"/>
      <c r="F5471" s="94"/>
      <c r="G5471" s="94"/>
      <c r="H5471" s="94"/>
      <c r="I5471" s="94"/>
      <c r="J5471" s="94"/>
      <c r="K5471" s="94"/>
      <c r="L5471" s="94"/>
      <c r="M5471" s="94"/>
      <c r="N5471" s="94"/>
      <c r="O5471" s="94"/>
      <c r="P5471" s="94"/>
      <c r="Q5471" s="94"/>
      <c r="R5471" s="95"/>
    </row>
    <row r="5472" s="2" customFormat="1" ht="9.95" customHeight="1"/>
    <row r="5473" s="1" customFormat="1" ht="5.1" customHeight="1" spans="1:18">
      <c r="A5473" s="4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6"/>
    </row>
    <row r="5474" s="1" customFormat="1" ht="15" customHeight="1" spans="1:18">
      <c r="A5474" s="7"/>
      <c r="B5474" s="8"/>
      <c r="C5474" s="9"/>
      <c r="D5474" s="9"/>
      <c r="E5474" s="9"/>
      <c r="F5474" s="9"/>
      <c r="G5474" s="9"/>
      <c r="H5474" s="9"/>
      <c r="I5474" s="9"/>
      <c r="J5474" s="9"/>
      <c r="K5474" s="9"/>
      <c r="L5474" s="9"/>
      <c r="M5474" s="9"/>
      <c r="N5474" s="9"/>
      <c r="O5474" s="9"/>
      <c r="P5474" s="9"/>
      <c r="Q5474" s="10"/>
      <c r="R5474" s="11"/>
    </row>
    <row r="5475" s="1" customFormat="1" ht="21.95" customHeight="1" spans="1:18">
      <c r="A5475" s="7"/>
      <c r="B5475" s="12"/>
      <c r="C5475" s="13" t="s">
        <v>7</v>
      </c>
      <c r="D5475" s="13"/>
      <c r="E5475" s="13"/>
      <c r="F5475" s="13"/>
      <c r="G5475" s="13"/>
      <c r="H5475" s="13"/>
      <c r="I5475" s="13"/>
      <c r="J5475" s="13"/>
      <c r="K5475" s="13"/>
      <c r="L5475" s="13"/>
      <c r="M5475" s="13"/>
      <c r="N5475" s="13"/>
      <c r="O5475" s="13"/>
      <c r="P5475" s="13"/>
      <c r="Q5475" s="14"/>
      <c r="R5475" s="11"/>
    </row>
    <row r="5476" s="1" customFormat="1" ht="21.95" customHeight="1" spans="1:18">
      <c r="A5476" s="7"/>
      <c r="B5476" s="1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14"/>
      <c r="R5476" s="11"/>
    </row>
    <row r="5477" s="1" customFormat="1" ht="21.95" customHeight="1" spans="1:18">
      <c r="A5477" s="7"/>
      <c r="B5477" s="12"/>
      <c r="C5477" s="15" t="str">
        <f>"SESSION-"&amp;ENTRY!$D$11</f>
        <v>SESSION-2026-27</v>
      </c>
      <c r="D5477" s="15"/>
      <c r="E5477" s="15"/>
      <c r="F5477" s="15"/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  <c r="Q5477" s="14"/>
      <c r="R5477" s="11"/>
    </row>
    <row r="5478" s="1" customFormat="1" ht="21.95" customHeight="1" spans="1:18">
      <c r="A5478" s="7"/>
      <c r="B5478" s="12"/>
      <c r="C5478" s="2"/>
      <c r="D5478" s="2"/>
      <c r="E5478" s="2"/>
      <c r="F5478" s="16">
        <f>F5421+1</f>
        <v>97</v>
      </c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14"/>
      <c r="R5478" s="11"/>
    </row>
    <row r="5479" s="1" customFormat="1" ht="21.95" customHeight="1" spans="1:18">
      <c r="A5479" s="7"/>
      <c r="B5479" s="12"/>
      <c r="C5479" s="17" t="s">
        <v>392</v>
      </c>
      <c r="D5479" s="17"/>
      <c r="E5479" s="17"/>
      <c r="F5479" s="18" t="str">
        <f>IF(F5478&gt;0,ENTRY!$D$6,"")</f>
        <v>MCP NITHARI NO 1 BOYS</v>
      </c>
      <c r="G5479" s="18"/>
      <c r="H5479" s="18"/>
      <c r="I5479" s="18"/>
      <c r="J5479" s="18"/>
      <c r="K5479" s="18"/>
      <c r="L5479" s="18"/>
      <c r="M5479" s="18"/>
      <c r="N5479" s="18"/>
      <c r="O5479" s="18"/>
      <c r="P5479" s="18"/>
      <c r="Q5479" s="19"/>
      <c r="R5479" s="11"/>
    </row>
    <row r="5480" s="1" customFormat="1" ht="21.95" customHeight="1" spans="1:18">
      <c r="A5480" s="7"/>
      <c r="B5480" s="12"/>
      <c r="C5480" s="17" t="s">
        <v>393</v>
      </c>
      <c r="D5480" s="17"/>
      <c r="E5480" s="17"/>
      <c r="F5480" s="18">
        <f>IF(F5478&gt;0,ENTRY!$D$7,"")</f>
        <v>0</v>
      </c>
      <c r="G5480" s="18"/>
      <c r="H5480" s="20" t="s">
        <v>702</v>
      </c>
      <c r="I5480" s="20"/>
      <c r="J5480" s="21">
        <f>IF(F5478&gt;0,ENTRY!$D$10,"")</f>
        <v>40</v>
      </c>
      <c r="K5480" s="20" t="s">
        <v>703</v>
      </c>
      <c r="L5480" s="22" t="str">
        <f>IF(F5478&gt;0,ENTRY!$D$5,"")</f>
        <v>ROHINI ZONE</v>
      </c>
      <c r="M5480" s="22"/>
      <c r="N5480" s="22"/>
      <c r="O5480" s="22"/>
      <c r="P5480" s="22"/>
      <c r="Q5480" s="19"/>
      <c r="R5480" s="11"/>
    </row>
    <row r="5481" s="1" customFormat="1" ht="21.95" customHeight="1" spans="1:18">
      <c r="A5481" s="7"/>
      <c r="B5481" s="12"/>
      <c r="C5481" s="17" t="s">
        <v>706</v>
      </c>
      <c r="D5481" s="17"/>
      <c r="E5481" s="17"/>
      <c r="F5481" s="23">
        <f>IFERROR(VLOOKUP(F5478,STUDENT!$A$2:$BP$101,5,0),"")</f>
        <v>0</v>
      </c>
      <c r="G5481" s="23"/>
      <c r="H5481" s="23"/>
      <c r="I5481" s="23"/>
      <c r="J5481" s="23"/>
      <c r="K5481" s="23"/>
      <c r="L5481" s="20" t="s">
        <v>707</v>
      </c>
      <c r="M5481" s="20"/>
      <c r="N5481" s="24" t="str">
        <f>IF(F5478&gt;0,ENTRY!$D$20&amp;"-"&amp;ENTRY!$D$21,"")</f>
        <v>III-A</v>
      </c>
      <c r="O5481" s="24"/>
      <c r="P5481" s="24"/>
      <c r="Q5481" s="19"/>
      <c r="R5481" s="11"/>
    </row>
    <row r="5482" s="1" customFormat="1" ht="21.95" customHeight="1" spans="1:18">
      <c r="A5482" s="7"/>
      <c r="B5482" s="12"/>
      <c r="C5482" s="17" t="s">
        <v>708</v>
      </c>
      <c r="D5482" s="17"/>
      <c r="E5482" s="17"/>
      <c r="F5482" s="25">
        <f>IFERROR(VLOOKUP(F5478,STUDENT!$A$2:$BP$101,6,0),"")</f>
        <v>0</v>
      </c>
      <c r="G5482" s="25"/>
      <c r="H5482" s="26" t="s">
        <v>709</v>
      </c>
      <c r="I5482" s="27" t="str">
        <f>IFERROR(VLOOKUP(F5478,STUDENT!$A$2:$BP$101,59,0),"")</f>
        <v/>
      </c>
      <c r="J5482" s="27"/>
      <c r="K5482" s="20" t="s">
        <v>710</v>
      </c>
      <c r="L5482" s="20"/>
      <c r="M5482" s="28">
        <f>IFERROR(VLOOKUP(F5478,STUDENT!$A$2:$BP$101,20,0),"")</f>
        <v>0</v>
      </c>
      <c r="N5482" s="28"/>
      <c r="O5482" s="28"/>
      <c r="P5482" s="28"/>
      <c r="Q5482" s="19"/>
      <c r="R5482" s="11"/>
    </row>
    <row r="5483" s="1" customFormat="1" ht="21.95" customHeight="1" spans="1:18">
      <c r="A5483" s="7"/>
      <c r="B5483" s="12"/>
      <c r="C5483" s="17" t="s">
        <v>711</v>
      </c>
      <c r="D5483" s="17"/>
      <c r="E5483" s="17"/>
      <c r="F5483" s="23">
        <f>IFERROR(VLOOKUP(F5478,STUDENT!$A$2:$BP$101,9,0),"")</f>
        <v>0</v>
      </c>
      <c r="G5483" s="23"/>
      <c r="H5483" s="23"/>
      <c r="I5483" s="23"/>
      <c r="J5483" s="17" t="s">
        <v>620</v>
      </c>
      <c r="K5483" s="17"/>
      <c r="L5483" s="23">
        <f>IFERROR(VLOOKUP(F5478,STUDENT!$A$2:$BP$101,8,0),"")</f>
        <v>0</v>
      </c>
      <c r="M5483" s="23"/>
      <c r="N5483" s="23"/>
      <c r="O5483" s="23"/>
      <c r="P5483" s="23"/>
      <c r="Q5483" s="19"/>
      <c r="R5483" s="11"/>
    </row>
    <row r="5484" s="1" customFormat="1" ht="21.95" customHeight="1" spans="1:18">
      <c r="A5484" s="7"/>
      <c r="B5484" s="12"/>
      <c r="C5484" s="17" t="s">
        <v>712</v>
      </c>
      <c r="D5484" s="17"/>
      <c r="E5484" s="17"/>
      <c r="F5484" s="23">
        <f>IFERROR(VLOOKUP(F5478,STUDENT!$A$2:$BP$101,22,0),"")</f>
        <v>0</v>
      </c>
      <c r="G5484" s="23"/>
      <c r="H5484" s="23"/>
      <c r="I5484" s="23"/>
      <c r="J5484" s="23"/>
      <c r="K5484" s="23"/>
      <c r="L5484" s="23"/>
      <c r="M5484" s="23"/>
      <c r="N5484" s="23"/>
      <c r="O5484" s="23"/>
      <c r="P5484" s="23"/>
      <c r="Q5484" s="19"/>
      <c r="R5484" s="11"/>
    </row>
    <row r="5485" s="1" customFormat="1" ht="9.95" customHeight="1" spans="1:18">
      <c r="A5485" s="7"/>
      <c r="B5485" s="12"/>
      <c r="C5485" s="29"/>
      <c r="D5485" s="29"/>
      <c r="E5485" s="29"/>
      <c r="F5485" s="29"/>
      <c r="G5485" s="29"/>
      <c r="H5485" s="29"/>
      <c r="I5485" s="29"/>
      <c r="J5485" s="29"/>
      <c r="K5485" s="29"/>
      <c r="L5485" s="29"/>
      <c r="M5485" s="29"/>
      <c r="N5485" s="29"/>
      <c r="O5485" s="29"/>
      <c r="P5485" s="29"/>
      <c r="Q5485" s="19"/>
      <c r="R5485" s="11"/>
    </row>
    <row r="5486" s="1" customFormat="1" ht="9.95" customHeight="1" spans="1:18">
      <c r="A5486" s="7"/>
      <c r="B5486" s="12"/>
      <c r="C5486" s="30"/>
      <c r="D5486" s="31"/>
      <c r="E5486" s="31"/>
      <c r="F5486" s="31"/>
      <c r="G5486" s="31"/>
      <c r="H5486" s="31"/>
      <c r="I5486" s="31"/>
      <c r="J5486" s="31"/>
      <c r="K5486" s="31"/>
      <c r="L5486" s="31"/>
      <c r="M5486" s="31"/>
      <c r="N5486" s="31"/>
      <c r="O5486" s="31"/>
      <c r="P5486" s="32"/>
      <c r="Q5486" s="19"/>
      <c r="R5486" s="11"/>
    </row>
    <row r="5487" s="1" customFormat="1" ht="21.95" customHeight="1" spans="1:18">
      <c r="A5487" s="7"/>
      <c r="B5487" s="12"/>
      <c r="C5487" s="33"/>
      <c r="D5487" s="34" t="s">
        <v>713</v>
      </c>
      <c r="E5487" s="20" t="s">
        <v>714</v>
      </c>
      <c r="F5487" s="35" t="str">
        <f>"Level - "&amp;IFERROR(VLOOKUP(F5478,FLN!$A$4:$K$103,9,0),"")</f>
        <v>Level - </v>
      </c>
      <c r="G5487" s="36"/>
      <c r="H5487" s="37" t="s">
        <v>715</v>
      </c>
      <c r="I5487" s="20"/>
      <c r="J5487" s="35" t="str">
        <f>"Level - "&amp;IFERROR(VLOOKUP(F5478,FLN!$A$4:$K$103,11,0),"")</f>
        <v>Level - </v>
      </c>
      <c r="K5487" s="36"/>
      <c r="L5487" s="37" t="s">
        <v>408</v>
      </c>
      <c r="M5487" s="20"/>
      <c r="N5487" s="35" t="str">
        <f>"Level - "&amp;IFERROR(VLOOKUP(F5478,FLN!$A$4:$K$103,10,0),"")</f>
        <v>Level - </v>
      </c>
      <c r="O5487" s="36"/>
      <c r="P5487" s="19"/>
      <c r="Q5487" s="19"/>
      <c r="R5487" s="11"/>
    </row>
    <row r="5488" s="1" customFormat="1" ht="21.95" customHeight="1" spans="1:18">
      <c r="A5488" s="7"/>
      <c r="B5488" s="12"/>
      <c r="C5488" s="33"/>
      <c r="D5488" s="38"/>
      <c r="E5488" s="20" t="s">
        <v>716</v>
      </c>
      <c r="F5488" s="18" t="str">
        <f ca="1">IF(L5502&gt;197,"PERFORMED WELL","")</f>
        <v/>
      </c>
      <c r="G5488" s="18"/>
      <c r="H5488" s="18"/>
      <c r="I5488" s="18"/>
      <c r="J5488" s="18"/>
      <c r="K5488" s="18"/>
      <c r="L5488" s="18"/>
      <c r="M5488" s="18"/>
      <c r="N5488" s="18"/>
      <c r="O5488" s="18"/>
      <c r="P5488" s="19"/>
      <c r="Q5488" s="19"/>
      <c r="R5488" s="11"/>
    </row>
    <row r="5489" s="1" customFormat="1" ht="9.95" customHeight="1" spans="1:18">
      <c r="A5489" s="7"/>
      <c r="B5489" s="12"/>
      <c r="C5489" s="39"/>
      <c r="D5489" s="40"/>
      <c r="E5489" s="40"/>
      <c r="F5489" s="40"/>
      <c r="G5489" s="40"/>
      <c r="H5489" s="40"/>
      <c r="I5489" s="40"/>
      <c r="J5489" s="40"/>
      <c r="K5489" s="40"/>
      <c r="L5489" s="40"/>
      <c r="M5489" s="40"/>
      <c r="N5489" s="40"/>
      <c r="O5489" s="40"/>
      <c r="P5489" s="41"/>
      <c r="Q5489" s="19"/>
      <c r="R5489" s="11"/>
    </row>
    <row r="5490" s="1" customFormat="1" ht="9.95" customHeight="1" spans="1:18">
      <c r="A5490" s="7"/>
      <c r="B5490" s="12"/>
      <c r="C5490" s="29"/>
      <c r="D5490" s="29"/>
      <c r="E5490" s="29"/>
      <c r="F5490" s="29"/>
      <c r="G5490" s="29"/>
      <c r="H5490" s="29"/>
      <c r="I5490" s="29"/>
      <c r="J5490" s="29"/>
      <c r="K5490" s="29"/>
      <c r="L5490" s="29"/>
      <c r="M5490" s="29"/>
      <c r="N5490" s="29"/>
      <c r="O5490" s="29"/>
      <c r="P5490" s="29"/>
      <c r="Q5490" s="19"/>
      <c r="R5490" s="11"/>
    </row>
    <row r="5491" s="1" customFormat="1" ht="9.95" customHeight="1" spans="1:18">
      <c r="A5491" s="7"/>
      <c r="B5491" s="12"/>
      <c r="C5491" s="30"/>
      <c r="D5491" s="31"/>
      <c r="E5491" s="31"/>
      <c r="F5491" s="31"/>
      <c r="G5491" s="31"/>
      <c r="H5491" s="31"/>
      <c r="I5491" s="31"/>
      <c r="J5491" s="31"/>
      <c r="K5491" s="31"/>
      <c r="L5491" s="31"/>
      <c r="M5491" s="31"/>
      <c r="N5491" s="31"/>
      <c r="O5491" s="31"/>
      <c r="P5491" s="32"/>
      <c r="Q5491" s="19"/>
      <c r="R5491" s="11"/>
    </row>
    <row r="5492" s="1" customFormat="1" ht="21.95" customHeight="1" spans="1:18">
      <c r="A5492" s="7"/>
      <c r="B5492" s="12"/>
      <c r="C5492" s="33"/>
      <c r="D5492" s="35"/>
      <c r="E5492" s="24"/>
      <c r="F5492" s="42" t="s">
        <v>717</v>
      </c>
      <c r="G5492" s="42"/>
      <c r="H5492" s="42"/>
      <c r="I5492" s="42"/>
      <c r="J5492" s="42"/>
      <c r="K5492" s="42"/>
      <c r="L5492" s="43"/>
      <c r="M5492" s="44"/>
      <c r="N5492" s="29"/>
      <c r="O5492" s="29"/>
      <c r="P5492" s="19"/>
      <c r="Q5492" s="19"/>
      <c r="R5492" s="11"/>
    </row>
    <row r="5493" s="1" customFormat="1" ht="21.95" customHeight="1" spans="1:18">
      <c r="A5493" s="7"/>
      <c r="B5493" s="12"/>
      <c r="C5493" s="33"/>
      <c r="D5493" s="45"/>
      <c r="E5493" s="46"/>
      <c r="F5493" s="47" t="s">
        <v>541</v>
      </c>
      <c r="G5493" s="47" t="s">
        <v>542</v>
      </c>
      <c r="H5493" s="47" t="s">
        <v>543</v>
      </c>
      <c r="I5493" s="47" t="s">
        <v>544</v>
      </c>
      <c r="J5493" s="47" t="s">
        <v>561</v>
      </c>
      <c r="K5493" s="48" t="s">
        <v>750</v>
      </c>
      <c r="L5493" s="47" t="s">
        <v>382</v>
      </c>
      <c r="M5493" s="49" t="s">
        <v>546</v>
      </c>
      <c r="N5493" s="29"/>
      <c r="O5493" s="29"/>
      <c r="P5493" s="19"/>
      <c r="Q5493" s="19"/>
      <c r="R5493" s="11"/>
    </row>
    <row r="5494" s="1" customFormat="1" ht="21.95" customHeight="1" spans="1:18">
      <c r="A5494" s="7"/>
      <c r="B5494" s="12"/>
      <c r="C5494" s="33"/>
      <c r="D5494" s="45" t="s">
        <v>652</v>
      </c>
      <c r="E5494" s="46"/>
      <c r="F5494" s="50">
        <v>10</v>
      </c>
      <c r="G5494" s="50">
        <v>10</v>
      </c>
      <c r="H5494" s="50">
        <v>10</v>
      </c>
      <c r="I5494" s="50">
        <v>10</v>
      </c>
      <c r="J5494" s="50">
        <v>60</v>
      </c>
      <c r="K5494" s="51"/>
      <c r="L5494" s="50">
        <v>100</v>
      </c>
      <c r="M5494" s="49"/>
      <c r="N5494" s="29"/>
      <c r="O5494" s="29"/>
      <c r="P5494" s="19"/>
      <c r="Q5494" s="19"/>
      <c r="R5494" s="11"/>
    </row>
    <row r="5495" s="1" customFormat="1" ht="21.95" customHeight="1" spans="1:18">
      <c r="A5495" s="7"/>
      <c r="B5495" s="12"/>
      <c r="C5495" s="33"/>
      <c r="D5495" s="52" t="s">
        <v>751</v>
      </c>
      <c r="E5495" s="53"/>
      <c r="F5495" s="54" t="str">
        <f ca="1">IFERROR(VLOOKUP(F5478,'RR-3.1-5TH'!$A$12:'RR-3.1-5TH'!$BN$111,9,0),"")</f>
        <v/>
      </c>
      <c r="G5495" s="54" t="str">
        <f ca="1">IFERROR(VLOOKUP(F5478,'RR-3.1-5TH'!$A$12:'RR-3.1-5TH'!$BN$111,10,0),"")</f>
        <v/>
      </c>
      <c r="H5495" s="54" t="str">
        <f ca="1">IFERROR(VLOOKUP(F5478,'RR-3.1-5TH'!$A$12:'RR-3.1-5TH'!$BN$111,11,0),"")</f>
        <v/>
      </c>
      <c r="I5495" s="54" t="str">
        <f ca="1">IFERROR(VLOOKUP(F5478,'RR-3.1-5TH'!$A$12:'RR-3.1-5TH'!$BN$111,12,0),"")</f>
        <v/>
      </c>
      <c r="J5495" s="54" t="str">
        <f ca="1">IFERROR(VLOOKUP(F5478,'RR-3.1-5TH'!$A$12:'RR-3.1-5TH'!$BN$111,13,0),"")</f>
        <v/>
      </c>
      <c r="K5495" s="54" t="str">
        <f ca="1">IFERROR(VLOOKUP(F5478,'RR-3.1-5TH'!$A$12:'RR-3.1-5TH'!$BN$111,14,0),"")</f>
        <v/>
      </c>
      <c r="L5495" s="55">
        <f ca="1" t="shared" ref="L5495:L5500" si="288">SUM(F5495,G5495,H5495,I5495,J5495,K5495)</f>
        <v>0</v>
      </c>
      <c r="M5495" s="56" t="str">
        <f ca="1">IF(F5478&gt;ENTRY!$D$24,"",IF(L5495=0,"Ab",IF(L5495&gt;80,"A",IF(L5495&gt;60,"B",IF(L5495&gt;44,"C",IF(L5495&gt;=33,"D",IF(L5495&lt;=32,"E","")))))))</f>
        <v/>
      </c>
      <c r="N5495" s="57" t="s">
        <v>729</v>
      </c>
      <c r="O5495" s="58"/>
      <c r="P5495" s="59"/>
      <c r="Q5495" s="19"/>
      <c r="R5495" s="11"/>
    </row>
    <row r="5496" s="1" customFormat="1" ht="21.95" customHeight="1" spans="1:18">
      <c r="A5496" s="7"/>
      <c r="B5496" s="12"/>
      <c r="C5496" s="33"/>
      <c r="D5496" s="52" t="s">
        <v>513</v>
      </c>
      <c r="E5496" s="53"/>
      <c r="F5496" s="54" t="str">
        <f ca="1">IFERROR(VLOOKUP(F5478,'RR-3.1-5TH'!$A$12:'RR-3.1-5TH'!$BN$111,17,0),"")</f>
        <v/>
      </c>
      <c r="G5496" s="54" t="str">
        <f ca="1">IFERROR(VLOOKUP(F5478,'RR-3.1-5TH'!$A$12:'RR-3.1-5TH'!$BN$111,18,0),"")</f>
        <v/>
      </c>
      <c r="H5496" s="54" t="str">
        <f ca="1">IFERROR(VLOOKUP(F5478,'RR-3.1-5TH'!$A$12:'RR-3.1-5TH'!$BN$111,19,0),"")</f>
        <v/>
      </c>
      <c r="I5496" s="54" t="str">
        <f ca="1">IFERROR(VLOOKUP(F5478,'RR-3.1-5TH'!$A$12:'RR-3.1-5TH'!$BN$111,20,0),"")</f>
        <v/>
      </c>
      <c r="J5496" s="54" t="str">
        <f ca="1">IFERROR(VLOOKUP(F5478,'RR-3.1-5TH'!$A$12:'RR-3.1-5TH'!$BN$111,21,0),"")</f>
        <v/>
      </c>
      <c r="K5496" s="54" t="str">
        <f ca="1">IFERROR(VLOOKUP(F5478,'RR-3.1-5TH'!$A$12:'RR-3.1-5TH'!$BN$111,22,0),"")</f>
        <v/>
      </c>
      <c r="L5496" s="55">
        <f ca="1" t="shared" si="288"/>
        <v>0</v>
      </c>
      <c r="M5496" s="56" t="str">
        <f ca="1">IF(F5478&gt;ENTRY!$D$24,"",IF(L5496=0,"Ab",IF(L5496&gt;80,"A",IF(L5496&gt;60,"B",IF(L5496&gt;44,"C",IF(L5496&gt;=33,"D",IF(L5496&lt;=32,"E","")))))))</f>
        <v/>
      </c>
      <c r="N5496" s="58"/>
      <c r="O5496" s="58"/>
      <c r="P5496" s="59"/>
      <c r="Q5496" s="19"/>
      <c r="R5496" s="11"/>
    </row>
    <row r="5497" s="1" customFormat="1" ht="21.95" customHeight="1" spans="1:18">
      <c r="A5497" s="7"/>
      <c r="B5497" s="12"/>
      <c r="C5497" s="33"/>
      <c r="D5497" s="52" t="s">
        <v>718</v>
      </c>
      <c r="E5497" s="53"/>
      <c r="F5497" s="54" t="str">
        <f ca="1">IFERROR(VLOOKUP(F5478,'RR-3.1-5TH'!$A$12:'RR-3.1-5TH'!$BN$111,25,0),"")</f>
        <v/>
      </c>
      <c r="G5497" s="54" t="str">
        <f ca="1">IFERROR(VLOOKUP(F5478,'RR-3.1-5TH'!$A$12:'RR-3.1-5TH'!$BN$111,26,0),"")</f>
        <v/>
      </c>
      <c r="H5497" s="54" t="str">
        <f ca="1">IFERROR(VLOOKUP(F5478,'RR-3.1-5TH'!$A$12:'RR-3.1-5TH'!$BN$111,27,0),"")</f>
        <v/>
      </c>
      <c r="I5497" s="54" t="str">
        <f ca="1">IFERROR(VLOOKUP(F5478,'RR-3.1-5TH'!$A$12:'RR-3.1-5TH'!$BN$111,28,0),"")</f>
        <v/>
      </c>
      <c r="J5497" s="54" t="str">
        <f ca="1">IFERROR(VLOOKUP(F5478,'RR-3.1-5TH'!$A$12:'RR-3.1-5TH'!$BN$111,29,0),"")</f>
        <v/>
      </c>
      <c r="K5497" s="54" t="str">
        <f ca="1">IFERROR(VLOOKUP(F5478,'RR-3.1-5TH'!$A$12:'RR-3.1-5TH'!$BN$111,30,0),"")</f>
        <v/>
      </c>
      <c r="L5497" s="55">
        <f ca="1" t="shared" si="288"/>
        <v>0</v>
      </c>
      <c r="M5497" s="56" t="str">
        <f ca="1">IF(F5478&gt;ENTRY!$D$24,"",IF(L5497=0,"Ab",IF(L5497&gt;80,"A",IF(L5497&gt;60,"B",IF(L5497&gt;44,"C",IF(L5497&gt;=33,"D",IF(L5497&lt;=32,"E","")))))))</f>
        <v/>
      </c>
      <c r="N5497" s="29"/>
      <c r="O5497" s="29"/>
      <c r="P5497" s="19"/>
      <c r="Q5497" s="19"/>
      <c r="R5497" s="11"/>
    </row>
    <row r="5498" s="1" customFormat="1" ht="21.95" customHeight="1" spans="1:18">
      <c r="A5498" s="7"/>
      <c r="B5498" s="12"/>
      <c r="C5498" s="33"/>
      <c r="D5498" s="52" t="s">
        <v>719</v>
      </c>
      <c r="E5498" s="53"/>
      <c r="F5498" s="54" t="str">
        <f ca="1">IFERROR(VLOOKUP(F5478,'RR-3.1-5TH'!$A$12:'RR-3.1-5TH'!$BN$111,33,0),"")</f>
        <v/>
      </c>
      <c r="G5498" s="54" t="str">
        <f ca="1">IFERROR(VLOOKUP(F5478,'RR-3.1-5TH'!$A$12:'RR-3.1-5TH'!$BN$111,34,0),"")</f>
        <v/>
      </c>
      <c r="H5498" s="54" t="str">
        <f ca="1">IFERROR(VLOOKUP(F5478,'RR-3.1-5TH'!$A$12:'RR-3.1-5TH'!$BN$111,35,0),"")</f>
        <v/>
      </c>
      <c r="I5498" s="54" t="str">
        <f ca="1">IFERROR(VLOOKUP(F5478,'RR-3.1-5TH'!$A$12:'RR-3.1-5TH'!$BN$111,36,0),"")</f>
        <v/>
      </c>
      <c r="J5498" s="54" t="str">
        <f ca="1">IFERROR(VLOOKUP(F5478,'RR-3.1-5TH'!$A$12:'RR-3.1-5TH'!$BN$111,37,0),"")</f>
        <v/>
      </c>
      <c r="K5498" s="54" t="str">
        <f ca="1">IFERROR(VLOOKUP(F5478,'RR-3.1-5TH'!$A$12:'RR-3.1-5TH'!$BN$111,38,0),"")</f>
        <v/>
      </c>
      <c r="L5498" s="55">
        <f ca="1" t="shared" si="288"/>
        <v>0</v>
      </c>
      <c r="M5498" s="56" t="str">
        <f ca="1">IF(F5478&gt;ENTRY!$D$24,"",IF(L5498=0,"Ab",IF(L5498&gt;80,"A",IF(L5498&gt;60,"B",IF(L5498&gt;44,"C",IF(L5498&gt;=33,"D",IF(L5498&lt;=32,"E","")))))))</f>
        <v/>
      </c>
      <c r="N5498" s="29"/>
      <c r="O5498" s="29"/>
      <c r="P5498" s="19"/>
      <c r="Q5498" s="19"/>
      <c r="R5498" s="11"/>
    </row>
    <row r="5499" s="1" customFormat="1" ht="21.95" customHeight="1" spans="1:18">
      <c r="A5499" s="7"/>
      <c r="B5499" s="12"/>
      <c r="C5499" s="33"/>
      <c r="D5499" s="52" t="s">
        <v>548</v>
      </c>
      <c r="E5499" s="53"/>
      <c r="F5499" s="54" t="str">
        <f ca="1">IFERROR(VLOOKUP(F5478,'RR-3.1-5TH'!$A$12:'RR-3.1-5TH'!$BN$111,41,0),"")</f>
        <v/>
      </c>
      <c r="G5499" s="54" t="str">
        <f ca="1">IFERROR(VLOOKUP(F5478,'RR-3.1-5TH'!$A$12:'RR-3.1-5TH'!$BN$111,42,0),"")</f>
        <v/>
      </c>
      <c r="H5499" s="54" t="str">
        <f ca="1">IFERROR(VLOOKUP(F5478,'RR-3.1-5TH'!$A$12:'RR-3.1-5TH'!$BN$111,43,0),"")</f>
        <v/>
      </c>
      <c r="I5499" s="54" t="str">
        <f ca="1">IFERROR(VLOOKUP(F5478,'RR-3.1-5TH'!$A$12:'RR-3.1-5TH'!$BN$111,44,0),"")</f>
        <v/>
      </c>
      <c r="J5499" s="54" t="str">
        <f ca="1">IFERROR(VLOOKUP(F5478,'RR-3.1-5TH'!$A$12:'RR-3.1-5TH'!$BN$111,45,0),"")</f>
        <v/>
      </c>
      <c r="K5499" s="54" t="str">
        <f ca="1">IFERROR(VLOOKUP(F5478,'RR-3.1-5TH'!$A$12:'RR-3.1-5TH'!$BN$111,46,0),"")</f>
        <v/>
      </c>
      <c r="L5499" s="55">
        <f ca="1" t="shared" si="288"/>
        <v>0</v>
      </c>
      <c r="M5499" s="56" t="str">
        <f ca="1">IF(F5478&gt;ENTRY!$D$24,"",IF(L5499=0,"Ab",IF(L5499&gt;80,"A",IF(L5499&gt;60,"B",IF(L5499&gt;44,"C",IF(L5499&gt;=33,"D",IF(L5499&lt;=32,"E","")))))))</f>
        <v/>
      </c>
      <c r="N5499" s="29"/>
      <c r="O5499" s="29"/>
      <c r="P5499" s="19"/>
      <c r="Q5499" s="19"/>
      <c r="R5499" s="11"/>
    </row>
    <row r="5500" s="1" customFormat="1" ht="21.95" customHeight="1" spans="1:18">
      <c r="A5500" s="7"/>
      <c r="B5500" s="12"/>
      <c r="C5500" s="33"/>
      <c r="D5500" s="52" t="s">
        <v>549</v>
      </c>
      <c r="E5500" s="53"/>
      <c r="F5500" s="54" t="str">
        <f ca="1">IFERROR(VLOOKUP(F5478,'RR-3.1-5TH'!$A$12:'RR-3.1-5TH'!$BN$111,49,0),"")</f>
        <v/>
      </c>
      <c r="G5500" s="54" t="str">
        <f ca="1">IFERROR(VLOOKUP(F5478,'RR-3.1-5TH'!$A$12:'RR-3.1-5TH'!$BN$111,50,0),"")</f>
        <v/>
      </c>
      <c r="H5500" s="54" t="str">
        <f ca="1">IFERROR(VLOOKUP(F5478,'RR-3.1-5TH'!$A$12:'RR-3.1-5TH'!$BN$111,51,0),"")</f>
        <v/>
      </c>
      <c r="I5500" s="54" t="str">
        <f ca="1">IFERROR(VLOOKUP(F5478,'RR-3.1-5TH'!$A$12:'RR-3.1-5TH'!$BN$111,52,0),"")</f>
        <v/>
      </c>
      <c r="J5500" s="54" t="str">
        <f ca="1">IFERROR(VLOOKUP(F5478,'RR-3.1-5TH'!$A$12:'RR-3.1-5TH'!$BN$111,53,0),"")</f>
        <v/>
      </c>
      <c r="K5500" s="54" t="str">
        <f ca="1">IFERROR(VLOOKUP(F5478,'RR-3.1-5TH'!$A$12:'RR-3.1-5TH'!$BN$111,54,0),"")</f>
        <v/>
      </c>
      <c r="L5500" s="55">
        <f ca="1" t="shared" si="288"/>
        <v>0</v>
      </c>
      <c r="M5500" s="56" t="str">
        <f ca="1">IF(F5478&gt;ENTRY!$D$24,"",IF(L5500=0,"Ab",IF(L5500&gt;80,"A",IF(L5500&gt;60,"B",IF(L5500&gt;44,"C",IF(L5500&gt;=33,"D",IF(L5500&lt;=32,"E","")))))))</f>
        <v/>
      </c>
      <c r="N5500" s="57" t="s">
        <v>752</v>
      </c>
      <c r="O5500" s="58"/>
      <c r="P5500" s="59"/>
      <c r="Q5500" s="19"/>
      <c r="R5500" s="11"/>
    </row>
    <row r="5501" s="1" customFormat="1" ht="21.95" customHeight="1" spans="1:18">
      <c r="A5501" s="7"/>
      <c r="B5501" s="12"/>
      <c r="C5501" s="33"/>
      <c r="D5501" s="52" t="s">
        <v>753</v>
      </c>
      <c r="E5501" s="53"/>
      <c r="F5501" s="60"/>
      <c r="G5501" s="54"/>
      <c r="H5501" s="54"/>
      <c r="I5501" s="54"/>
      <c r="J5501" s="54"/>
      <c r="K5501" s="54"/>
      <c r="L5501" s="55">
        <f t="shared" ref="L5501" si="289">SUM(G5501:K5501)</f>
        <v>0</v>
      </c>
      <c r="M5501" s="56" t="str">
        <f>IF(F5478&gt;ENTRY!$D$24,"",IF(L5501=0,"",IF(L5501&gt;79,"A",IF(L5501&gt;59,"B",IF(L5501&gt;44,"C",IF(L5501&gt;=33,"D",IF(L5501&lt;=32,"E","")))))))</f>
        <v/>
      </c>
      <c r="N5501" s="58"/>
      <c r="O5501" s="58"/>
      <c r="P5501" s="59"/>
      <c r="Q5501" s="19"/>
      <c r="R5501" s="11"/>
    </row>
    <row r="5502" s="1" customFormat="1" ht="21.95" customHeight="1" spans="1:18">
      <c r="A5502" s="7"/>
      <c r="B5502" s="12"/>
      <c r="C5502" s="33"/>
      <c r="D5502" s="45" t="s">
        <v>382</v>
      </c>
      <c r="E5502" s="46"/>
      <c r="F5502" s="54">
        <f ca="1" t="shared" ref="F5502:L5502" si="290">IFERROR(SUM(F5495:F5501),"")</f>
        <v>0</v>
      </c>
      <c r="G5502" s="54">
        <f ca="1" t="shared" si="290"/>
        <v>0</v>
      </c>
      <c r="H5502" s="54">
        <f ca="1" t="shared" si="290"/>
        <v>0</v>
      </c>
      <c r="I5502" s="54">
        <f ca="1" t="shared" si="290"/>
        <v>0</v>
      </c>
      <c r="J5502" s="54">
        <f ca="1" t="shared" si="290"/>
        <v>0</v>
      </c>
      <c r="K5502" s="54">
        <f ca="1" t="shared" si="290"/>
        <v>0</v>
      </c>
      <c r="L5502" s="55">
        <f ca="1" t="shared" si="290"/>
        <v>0</v>
      </c>
      <c r="M5502" s="61" t="str">
        <f ca="1">IF(F5478&gt;ENTRY!$D$24,"",IF(N5503="Ab","Ab",IF(N5503&gt;79.5,"A",IF(N5503&gt;59.5,"B",IF(N5503&gt;44.5,"C",IF(N5503&gt;=33,"D",IF(N5503&lt;33,"E","")))))))</f>
        <v/>
      </c>
      <c r="N5502" s="62"/>
      <c r="O5502" s="58"/>
      <c r="P5502" s="59"/>
      <c r="Q5502" s="19"/>
      <c r="R5502" s="11"/>
    </row>
    <row r="5503" s="1" customFormat="1" ht="21.95" customHeight="1" spans="1:18">
      <c r="A5503" s="7"/>
      <c r="B5503" s="12"/>
      <c r="C5503" s="33"/>
      <c r="D5503" s="63" t="s">
        <v>721</v>
      </c>
      <c r="E5503" s="63"/>
      <c r="F5503" s="63"/>
      <c r="G5503" s="63"/>
      <c r="H5503" s="63"/>
      <c r="I5503" s="63"/>
      <c r="J5503" s="63"/>
      <c r="K5503" s="63"/>
      <c r="L5503" s="63"/>
      <c r="M5503" s="63"/>
      <c r="N5503" s="64">
        <f ca="1">IF(L5502="Ab","Ab",L5502/6)</f>
        <v>0</v>
      </c>
      <c r="O5503" s="65"/>
      <c r="P5503" s="19"/>
      <c r="Q5503" s="19"/>
      <c r="R5503" s="11"/>
    </row>
    <row r="5504" s="1" customFormat="1" ht="21.95" customHeight="1" spans="1:18">
      <c r="A5504" s="7"/>
      <c r="B5504" s="12"/>
      <c r="C5504" s="33"/>
      <c r="D5504" s="29" t="s">
        <v>716</v>
      </c>
      <c r="E5504" s="18" t="str">
        <f>IFERROR(VLOOKUP(F5478,'1to4-2.1-RR'!$A$12:$BG$111,57,0),"")</f>
        <v/>
      </c>
      <c r="F5504" s="18"/>
      <c r="G5504" s="18"/>
      <c r="H5504" s="18"/>
      <c r="I5504" s="18"/>
      <c r="J5504" s="18"/>
      <c r="K5504" s="18"/>
      <c r="L5504" s="18"/>
      <c r="M5504" s="18"/>
      <c r="N5504" s="29"/>
      <c r="O5504" s="29"/>
      <c r="P5504" s="19"/>
      <c r="Q5504" s="19"/>
      <c r="R5504" s="11"/>
    </row>
    <row r="5505" s="1" customFormat="1" ht="9.95" customHeight="1" spans="1:19">
      <c r="A5505" s="7"/>
      <c r="B5505" s="12"/>
      <c r="C5505" s="33"/>
      <c r="D5505" s="29"/>
      <c r="E5505" s="29"/>
      <c r="F5505" s="29"/>
      <c r="G5505" s="29"/>
      <c r="H5505" s="29"/>
      <c r="I5505" s="29"/>
      <c r="J5505" s="29"/>
      <c r="K5505" s="29"/>
      <c r="L5505" s="29"/>
      <c r="M5505" s="29"/>
      <c r="N5505" s="29"/>
      <c r="O5505" s="29"/>
      <c r="P5505" s="19"/>
      <c r="Q5505" s="19"/>
      <c r="R5505" s="11"/>
    </row>
    <row r="5506" s="1" customFormat="1" ht="36" spans="1:19">
      <c r="A5506" s="7"/>
      <c r="B5506" s="12"/>
      <c r="C5506" s="33"/>
      <c r="D5506" s="66" t="s">
        <v>576</v>
      </c>
      <c r="E5506" s="67" t="s">
        <v>754</v>
      </c>
      <c r="F5506" s="47" t="str">
        <f>IF(F5478&gt;ENTRY!$D$24,"",IFERROR(VLOOKUP(F5478,PASHEET!$A$4:$CJ$103,88,0),""))</f>
        <v/>
      </c>
      <c r="G5506" s="67" t="s">
        <v>755</v>
      </c>
      <c r="H5506" s="47" t="str">
        <f>IF(F5478&gt;ENTRY!$D$24,"",IFERROR(VLOOKUP(F5478,PASHEET!$A$4:$CJ$103,87,0),""))</f>
        <v/>
      </c>
      <c r="I5506" s="68" t="s">
        <v>756</v>
      </c>
      <c r="J5506" s="69" t="str">
        <f>IF(F5478&gt;ENTRY!$D$24,"",IFERROR(IF(F5478&gt;0,H5506/F5506*100),""))</f>
        <v/>
      </c>
      <c r="K5506" s="60" t="s">
        <v>757</v>
      </c>
      <c r="L5506" s="70" t="str">
        <f ca="1">IF(F5478&gt;ENTRY!$D$24,"",IFERROR(L5502/600*100,""))</f>
        <v/>
      </c>
      <c r="M5506" s="47" t="str">
        <f ca="1">IF(F5478&gt;ENTRY!$D$24,"",IFERROR(L5502&amp;" / "&amp;"600",""))</f>
        <v/>
      </c>
      <c r="N5506" s="29"/>
      <c r="O5506" s="29"/>
      <c r="P5506" s="19"/>
      <c r="Q5506" s="19"/>
      <c r="R5506" s="11"/>
    </row>
    <row r="5507" s="1" customFormat="1" ht="9.95" customHeight="1" spans="1:19">
      <c r="A5507" s="7"/>
      <c r="B5507" s="12"/>
      <c r="C5507" s="39"/>
      <c r="D5507" s="40"/>
      <c r="E5507" s="40"/>
      <c r="F5507" s="40"/>
      <c r="G5507" s="40"/>
      <c r="H5507" s="40"/>
      <c r="I5507" s="40"/>
      <c r="J5507" s="40"/>
      <c r="K5507" s="40"/>
      <c r="L5507" s="40"/>
      <c r="M5507" s="40"/>
      <c r="N5507" s="40"/>
      <c r="O5507" s="40"/>
      <c r="P5507" s="41"/>
      <c r="Q5507" s="19"/>
      <c r="R5507" s="11"/>
    </row>
    <row r="5508" s="1" customFormat="1" ht="9.95" customHeight="1" spans="1:19">
      <c r="A5508" s="7"/>
      <c r="B5508" s="12"/>
      <c r="C5508" s="71"/>
      <c r="D5508" s="71"/>
      <c r="E5508" s="71"/>
      <c r="F5508" s="29"/>
      <c r="G5508" s="71"/>
      <c r="H5508" s="71"/>
      <c r="I5508" s="71"/>
      <c r="J5508" s="71"/>
      <c r="K5508" s="71"/>
      <c r="L5508" s="71"/>
      <c r="M5508" s="71"/>
      <c r="N5508" s="71"/>
      <c r="O5508" s="71"/>
      <c r="P5508" s="71"/>
      <c r="Q5508" s="19"/>
      <c r="R5508" s="11"/>
    </row>
    <row r="5509" s="1" customFormat="1" ht="9.95" customHeight="1" spans="1:19">
      <c r="A5509" s="7"/>
      <c r="B5509" s="12"/>
      <c r="C5509" s="29"/>
      <c r="D5509" s="29"/>
      <c r="E5509" s="29"/>
      <c r="F5509" s="72"/>
      <c r="G5509" s="29"/>
      <c r="H5509" s="29"/>
      <c r="I5509" s="29"/>
      <c r="J5509" s="29"/>
      <c r="K5509" s="29"/>
      <c r="L5509" s="29"/>
      <c r="M5509" s="29"/>
      <c r="N5509" s="29"/>
      <c r="O5509" s="29"/>
      <c r="P5509" s="29"/>
      <c r="Q5509" s="19"/>
      <c r="R5509" s="11"/>
    </row>
    <row r="5510" s="1" customFormat="1" ht="9.95" customHeight="1" spans="1:19">
      <c r="A5510" s="7"/>
      <c r="B5510" s="12"/>
      <c r="C5510" s="30"/>
      <c r="D5510" s="31"/>
      <c r="E5510" s="31"/>
      <c r="F5510" s="31"/>
      <c r="G5510" s="31"/>
      <c r="H5510" s="31"/>
      <c r="I5510" s="31"/>
      <c r="J5510" s="31"/>
      <c r="K5510" s="31"/>
      <c r="L5510" s="31"/>
      <c r="M5510" s="31"/>
      <c r="N5510" s="31"/>
      <c r="O5510" s="31"/>
      <c r="P5510" s="32"/>
      <c r="Q5510" s="19"/>
      <c r="R5510" s="11"/>
    </row>
    <row r="5511" s="1" customFormat="1" ht="21.95" customHeight="1" spans="1:19">
      <c r="A5511" s="7"/>
      <c r="B5511" s="12"/>
      <c r="C5511" s="73" t="s">
        <v>7</v>
      </c>
      <c r="D5511" s="13"/>
      <c r="E5511" s="13"/>
      <c r="F5511" s="13"/>
      <c r="G5511" s="13"/>
      <c r="H5511" s="13"/>
      <c r="I5511" s="13"/>
      <c r="J5511" s="13"/>
      <c r="K5511" s="13"/>
      <c r="L5511" s="13"/>
      <c r="M5511" s="13"/>
      <c r="N5511" s="13"/>
      <c r="O5511" s="13"/>
      <c r="P5511" s="74"/>
      <c r="Q5511" s="19"/>
      <c r="R5511" s="11"/>
      <c r="S5511" s="2"/>
    </row>
    <row r="5512" s="1" customFormat="1" ht="21.95" customHeight="1" spans="1:19">
      <c r="A5512" s="7"/>
      <c r="B5512" s="12"/>
      <c r="C5512" s="33"/>
      <c r="D5512" s="29"/>
      <c r="E5512" s="29"/>
      <c r="F5512" s="29"/>
      <c r="G5512" s="29"/>
      <c r="H5512" s="29"/>
      <c r="I5512" s="29"/>
      <c r="J5512" s="29"/>
      <c r="K5512" s="29"/>
      <c r="L5512" s="29"/>
      <c r="M5512" s="29"/>
      <c r="N5512" s="29"/>
      <c r="O5512" s="29"/>
      <c r="P5512" s="19"/>
      <c r="Q5512" s="19"/>
      <c r="R5512" s="11"/>
    </row>
    <row r="5513" s="1" customFormat="1" ht="21.95" customHeight="1" spans="1:19">
      <c r="A5513" s="7"/>
      <c r="B5513" s="12"/>
      <c r="C5513" s="75" t="str">
        <f>"SESSION-"&amp;ENTRY!$D$11</f>
        <v>SESSION-2026-27</v>
      </c>
      <c r="D5513" s="15"/>
      <c r="E5513" s="15"/>
      <c r="F5513" s="15"/>
      <c r="G5513" s="15"/>
      <c r="H5513" s="15"/>
      <c r="I5513" s="15"/>
      <c r="J5513" s="15"/>
      <c r="K5513" s="15"/>
      <c r="L5513" s="15"/>
      <c r="M5513" s="15"/>
      <c r="N5513" s="15"/>
      <c r="O5513" s="15"/>
      <c r="P5513" s="76"/>
      <c r="Q5513" s="19"/>
      <c r="R5513" s="11"/>
    </row>
    <row r="5514" s="1" customFormat="1" ht="18" customHeight="1" spans="1:19">
      <c r="A5514" s="7"/>
      <c r="B5514" s="12"/>
      <c r="C5514" s="33"/>
      <c r="D5514" s="29"/>
      <c r="E5514" s="29"/>
      <c r="F5514" s="29"/>
      <c r="G5514" s="29"/>
      <c r="H5514" s="29"/>
      <c r="I5514" s="29"/>
      <c r="J5514" s="29"/>
      <c r="K5514" s="29"/>
      <c r="L5514" s="29"/>
      <c r="M5514" s="29"/>
      <c r="N5514" s="29"/>
      <c r="O5514" s="29"/>
      <c r="P5514" s="19"/>
      <c r="Q5514" s="19"/>
      <c r="R5514" s="11"/>
    </row>
    <row r="5515" s="1" customFormat="1" ht="21.95" customHeight="1" spans="1:19">
      <c r="A5515" s="7"/>
      <c r="B5515" s="12"/>
      <c r="C5515" s="33"/>
      <c r="D5515" s="77" t="s">
        <v>758</v>
      </c>
      <c r="E5515" s="77"/>
      <c r="F5515" s="78" t="str">
        <f>IFERROR(PROPER(VLOOKUP(F5478,STUDENT!$A$2:$BP$101,5,0)),"")</f>
        <v/>
      </c>
      <c r="G5515" s="78"/>
      <c r="H5515" s="78"/>
      <c r="I5515" s="78"/>
      <c r="J5515" s="78"/>
      <c r="K5515" s="78"/>
      <c r="L5515" s="78"/>
      <c r="M5515" s="78"/>
      <c r="N5515" s="79" t="s">
        <v>759</v>
      </c>
      <c r="O5515" s="79"/>
      <c r="P5515" s="19"/>
      <c r="Q5515" s="19"/>
      <c r="R5515" s="11"/>
    </row>
    <row r="5516" s="1" customFormat="1" ht="21.95" customHeight="1" spans="1:19">
      <c r="A5516" s="7"/>
      <c r="B5516" s="12"/>
      <c r="C5516" s="33"/>
      <c r="D5516" s="80" t="s">
        <v>760</v>
      </c>
      <c r="E5516" s="81" t="str">
        <f>IFERROR(PROPER(VLOOKUP(F5478,STUDENT!$A$2:$BP$101,9,0)),"")</f>
        <v/>
      </c>
      <c r="F5516" s="81"/>
      <c r="G5516" s="81"/>
      <c r="H5516" s="80" t="s">
        <v>761</v>
      </c>
      <c r="I5516" s="82" t="str">
        <f>IFERROR(PROPER(VLOOKUP(F5478,STUDENT!$A$2:$BP$101,8,0)),"")</f>
        <v/>
      </c>
      <c r="J5516" s="82"/>
      <c r="K5516" s="82"/>
      <c r="L5516" s="82"/>
      <c r="M5516" s="80" t="s">
        <v>762</v>
      </c>
      <c r="N5516" s="83" t="str">
        <f>IFERROR(VLOOKUP(F5478,STUDENT!$A$2:$BP$101,59,0),"")</f>
        <v/>
      </c>
      <c r="O5516" s="83"/>
      <c r="P5516" s="19"/>
      <c r="Q5516" s="19"/>
      <c r="R5516" s="11"/>
    </row>
    <row r="5517" s="1" customFormat="1" ht="21.95" customHeight="1" spans="1:19">
      <c r="A5517" s="7"/>
      <c r="B5517" s="12"/>
      <c r="C5517" s="33"/>
      <c r="D5517" s="77" t="str">
        <f>"has    completed     his  /  her     primary     level     education    in    the    year    "&amp;RIGHT(ENTRY!$D5483,4)&amp;"    from    ( School    Name )"</f>
        <v>has    completed     his  /  her     primary     level     education    in    the    year        from    ( School    Name )</v>
      </c>
      <c r="E5517" s="77"/>
      <c r="F5517" s="77"/>
      <c r="G5517" s="77"/>
      <c r="H5517" s="77"/>
      <c r="I5517" s="77"/>
      <c r="J5517" s="77"/>
      <c r="K5517" s="77"/>
      <c r="L5517" s="77"/>
      <c r="M5517" s="77"/>
      <c r="N5517" s="77"/>
      <c r="O5517" s="77"/>
      <c r="P5517" s="19"/>
      <c r="Q5517" s="19"/>
      <c r="R5517" s="11"/>
    </row>
    <row r="5518" s="1" customFormat="1" ht="21.95" customHeight="1" spans="1:19">
      <c r="A5518" s="7"/>
      <c r="B5518" s="12"/>
      <c r="C5518" s="33"/>
      <c r="D5518" s="81" t="str">
        <f>IF(F5478&gt;0,ENTRY!$D$6,"")</f>
        <v>MCP NITHARI NO 1 BOYS</v>
      </c>
      <c r="E5518" s="81"/>
      <c r="F5518" s="81"/>
      <c r="G5518" s="81"/>
      <c r="H5518" s="81"/>
      <c r="I5518" s="81"/>
      <c r="J5518" s="81"/>
      <c r="K5518" s="81"/>
      <c r="L5518" s="81"/>
      <c r="M5518" s="80" t="s">
        <v>763</v>
      </c>
      <c r="N5518" s="84">
        <f>IF(F5478&gt;0,ENTRY!$D$7,"")</f>
        <v>0</v>
      </c>
      <c r="O5518" s="84"/>
      <c r="P5518" s="85" t="s">
        <v>727</v>
      </c>
      <c r="Q5518" s="19"/>
      <c r="R5518" s="11"/>
    </row>
    <row r="5519" s="1" customFormat="1" ht="21.95" customHeight="1" spans="1:19">
      <c r="A5519" s="7"/>
      <c r="B5519" s="12"/>
      <c r="C5519" s="33"/>
      <c r="D5519" s="29"/>
      <c r="E5519" s="29"/>
      <c r="F5519" s="29"/>
      <c r="G5519" s="29"/>
      <c r="H5519" s="29"/>
      <c r="I5519" s="29"/>
      <c r="J5519" s="29"/>
      <c r="K5519" s="29"/>
      <c r="L5519" s="29"/>
      <c r="M5519" s="29"/>
      <c r="N5519" s="29"/>
      <c r="O5519" s="29"/>
      <c r="P5519" s="19"/>
      <c r="Q5519" s="19"/>
      <c r="R5519" s="11"/>
    </row>
    <row r="5520" s="1" customFormat="1" ht="21.95" customHeight="1" spans="1:19">
      <c r="A5520" s="7"/>
      <c r="B5520" s="12"/>
      <c r="C5520" s="33"/>
      <c r="D5520" s="29"/>
      <c r="E5520" s="29"/>
      <c r="F5520" s="29"/>
      <c r="G5520" s="29"/>
      <c r="H5520" s="29"/>
      <c r="I5520" s="29"/>
      <c r="J5520" s="29"/>
      <c r="K5520" s="29"/>
      <c r="L5520" s="29"/>
      <c r="M5520" s="29"/>
      <c r="N5520" s="29"/>
      <c r="O5520" s="29"/>
      <c r="P5520" s="19"/>
      <c r="Q5520" s="19"/>
      <c r="R5520" s="11"/>
    </row>
    <row r="5521" s="1" customFormat="1" ht="21.95" customHeight="1" spans="1:18">
      <c r="A5521" s="7"/>
      <c r="B5521" s="12"/>
      <c r="C5521" s="33"/>
      <c r="D5521" s="29"/>
      <c r="E5521" s="29"/>
      <c r="F5521" s="29"/>
      <c r="G5521" s="29"/>
      <c r="H5521" s="29"/>
      <c r="I5521" s="29"/>
      <c r="J5521" s="29"/>
      <c r="K5521" s="29"/>
      <c r="L5521" s="29"/>
      <c r="M5521" s="29"/>
      <c r="N5521" s="29"/>
      <c r="O5521" s="29"/>
      <c r="P5521" s="19"/>
      <c r="Q5521" s="19"/>
      <c r="R5521" s="11"/>
    </row>
    <row r="5522" s="1" customFormat="1" ht="21.95" customHeight="1" spans="1:18">
      <c r="A5522" s="7"/>
      <c r="B5522" s="12"/>
      <c r="C5522" s="33"/>
      <c r="D5522" s="29"/>
      <c r="E5522" s="29"/>
      <c r="F5522" s="29"/>
      <c r="G5522" s="29"/>
      <c r="H5522" s="29"/>
      <c r="I5522" s="29"/>
      <c r="J5522" s="29"/>
      <c r="K5522" s="29"/>
      <c r="L5522" s="29"/>
      <c r="M5522" s="29"/>
      <c r="N5522" s="29"/>
      <c r="O5522" s="29"/>
      <c r="P5522" s="19"/>
      <c r="Q5522" s="19"/>
      <c r="R5522" s="11"/>
    </row>
    <row r="5523" s="1" customFormat="1" ht="21.95" customHeight="1" spans="1:18">
      <c r="A5523" s="7"/>
      <c r="B5523" s="12"/>
      <c r="C5523" s="33"/>
      <c r="D5523" s="29"/>
      <c r="E5523" s="29"/>
      <c r="F5523" s="29"/>
      <c r="G5523" s="29"/>
      <c r="H5523" s="29"/>
      <c r="I5523" s="29"/>
      <c r="J5523" s="29"/>
      <c r="K5523" s="29"/>
      <c r="L5523" s="29"/>
      <c r="M5523" s="29"/>
      <c r="N5523" s="29"/>
      <c r="O5523" s="29"/>
      <c r="P5523" s="19"/>
      <c r="Q5523" s="19"/>
      <c r="R5523" s="11"/>
    </row>
    <row r="5524" s="1" customFormat="1" ht="21.95" customHeight="1" spans="1:18">
      <c r="A5524" s="7"/>
      <c r="B5524" s="12"/>
      <c r="C5524" s="33"/>
      <c r="D5524" s="80" t="s">
        <v>728</v>
      </c>
      <c r="E5524" s="86">
        <f>ENTRY!$D$27</f>
        <v>46102</v>
      </c>
      <c r="F5524" s="86"/>
      <c r="G5524" s="29"/>
      <c r="H5524" s="29"/>
      <c r="I5524" s="29"/>
      <c r="J5524" s="29"/>
      <c r="K5524" s="29"/>
      <c r="L5524" s="29"/>
      <c r="M5524" s="87" t="s">
        <v>730</v>
      </c>
      <c r="N5524" s="87"/>
      <c r="O5524" s="87"/>
      <c r="P5524" s="19"/>
      <c r="Q5524" s="19"/>
      <c r="R5524" s="11"/>
    </row>
    <row r="5525" s="1" customFormat="1" ht="21.95" customHeight="1" spans="1:18">
      <c r="A5525" s="7"/>
      <c r="B5525" s="12"/>
      <c r="C5525" s="33"/>
      <c r="D5525" s="80" t="s">
        <v>731</v>
      </c>
      <c r="E5525" s="88" t="str">
        <f>PROPER(ENTRY!$D$28)</f>
        <v>New Delhi</v>
      </c>
      <c r="F5525" s="88"/>
      <c r="G5525" s="29"/>
      <c r="H5525" s="29"/>
      <c r="I5525" s="29"/>
      <c r="J5525" s="29"/>
      <c r="K5525" s="29"/>
      <c r="L5525" s="29"/>
      <c r="M5525" s="89" t="s">
        <v>732</v>
      </c>
      <c r="N5525" s="89"/>
      <c r="O5525" s="89"/>
      <c r="P5525" s="19"/>
      <c r="Q5525" s="19"/>
      <c r="R5525" s="11"/>
    </row>
    <row r="5526" s="1" customFormat="1" ht="21.95" customHeight="1" spans="1:18">
      <c r="A5526" s="7"/>
      <c r="B5526" s="12"/>
      <c r="C5526" s="90"/>
      <c r="D5526" s="91"/>
      <c r="E5526" s="91"/>
      <c r="F5526" s="91"/>
      <c r="G5526" s="91"/>
      <c r="H5526" s="91"/>
      <c r="I5526" s="91"/>
      <c r="J5526" s="91"/>
      <c r="K5526" s="91"/>
      <c r="L5526" s="91"/>
      <c r="M5526" s="91"/>
      <c r="N5526" s="91"/>
      <c r="O5526" s="91"/>
      <c r="P5526" s="92"/>
      <c r="Q5526" s="14"/>
      <c r="R5526" s="11"/>
    </row>
    <row r="5527" s="1" customFormat="1" ht="5.1" customHeight="1" spans="1:18">
      <c r="A5527" s="7"/>
      <c r="B5527" s="90"/>
      <c r="C5527" s="91"/>
      <c r="D5527" s="91"/>
      <c r="E5527" s="91"/>
      <c r="F5527" s="91"/>
      <c r="G5527" s="91"/>
      <c r="H5527" s="91"/>
      <c r="I5527" s="91"/>
      <c r="J5527" s="91"/>
      <c r="K5527" s="91"/>
      <c r="L5527" s="91"/>
      <c r="M5527" s="91"/>
      <c r="N5527" s="91"/>
      <c r="O5527" s="91"/>
      <c r="P5527" s="91"/>
      <c r="Q5527" s="92"/>
      <c r="R5527" s="11"/>
    </row>
    <row r="5528" s="1" customFormat="1" ht="5.1" customHeight="1" spans="1:18">
      <c r="A5528" s="93"/>
      <c r="B5528" s="94"/>
      <c r="C5528" s="94"/>
      <c r="D5528" s="94"/>
      <c r="E5528" s="94"/>
      <c r="F5528" s="94"/>
      <c r="G5528" s="94"/>
      <c r="H5528" s="94"/>
      <c r="I5528" s="94"/>
      <c r="J5528" s="94"/>
      <c r="K5528" s="94"/>
      <c r="L5528" s="94"/>
      <c r="M5528" s="94"/>
      <c r="N5528" s="94"/>
      <c r="O5528" s="94"/>
      <c r="P5528" s="94"/>
      <c r="Q5528" s="94"/>
      <c r="R5528" s="95"/>
    </row>
    <row r="5529" s="2" customFormat="1" ht="9.95" customHeight="1"/>
    <row r="5530" s="1" customFormat="1" ht="5.1" customHeight="1" spans="1:18">
      <c r="A5530" s="4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6"/>
    </row>
    <row r="5531" s="1" customFormat="1" ht="15" customHeight="1" spans="1:18">
      <c r="A5531" s="7"/>
      <c r="B5531" s="8"/>
      <c r="C5531" s="9"/>
      <c r="D5531" s="9"/>
      <c r="E5531" s="9"/>
      <c r="F5531" s="9"/>
      <c r="G5531" s="9"/>
      <c r="H5531" s="9"/>
      <c r="I5531" s="9"/>
      <c r="J5531" s="9"/>
      <c r="K5531" s="9"/>
      <c r="L5531" s="9"/>
      <c r="M5531" s="9"/>
      <c r="N5531" s="9"/>
      <c r="O5531" s="9"/>
      <c r="P5531" s="9"/>
      <c r="Q5531" s="10"/>
      <c r="R5531" s="11"/>
    </row>
    <row r="5532" s="1" customFormat="1" ht="21.95" customHeight="1" spans="1:18">
      <c r="A5532" s="7"/>
      <c r="B5532" s="12"/>
      <c r="C5532" s="13" t="s">
        <v>7</v>
      </c>
      <c r="D5532" s="13"/>
      <c r="E5532" s="13"/>
      <c r="F5532" s="13"/>
      <c r="G5532" s="13"/>
      <c r="H5532" s="13"/>
      <c r="I5532" s="13"/>
      <c r="J5532" s="13"/>
      <c r="K5532" s="13"/>
      <c r="L5532" s="13"/>
      <c r="M5532" s="13"/>
      <c r="N5532" s="13"/>
      <c r="O5532" s="13"/>
      <c r="P5532" s="13"/>
      <c r="Q5532" s="14"/>
      <c r="R5532" s="11"/>
    </row>
    <row r="5533" s="1" customFormat="1" ht="21.95" customHeight="1" spans="1:18">
      <c r="A5533" s="7"/>
      <c r="B5533" s="1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14"/>
      <c r="R5533" s="11"/>
    </row>
    <row r="5534" s="1" customFormat="1" ht="21.95" customHeight="1" spans="1:18">
      <c r="A5534" s="7"/>
      <c r="B5534" s="12"/>
      <c r="C5534" s="15" t="str">
        <f>"SESSION-"&amp;ENTRY!$D$11</f>
        <v>SESSION-2026-27</v>
      </c>
      <c r="D5534" s="15"/>
      <c r="E5534" s="15"/>
      <c r="F5534" s="15"/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  <c r="Q5534" s="14"/>
      <c r="R5534" s="11"/>
    </row>
    <row r="5535" s="1" customFormat="1" ht="21.95" customHeight="1" spans="1:18">
      <c r="A5535" s="7"/>
      <c r="B5535" s="12"/>
      <c r="C5535" s="2"/>
      <c r="D5535" s="2"/>
      <c r="E5535" s="2"/>
      <c r="F5535" s="16">
        <f>F5478+1</f>
        <v>98</v>
      </c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14"/>
      <c r="R5535" s="11"/>
    </row>
    <row r="5536" s="1" customFormat="1" ht="21.95" customHeight="1" spans="1:18">
      <c r="A5536" s="7"/>
      <c r="B5536" s="12"/>
      <c r="C5536" s="17" t="s">
        <v>392</v>
      </c>
      <c r="D5536" s="17"/>
      <c r="E5536" s="17"/>
      <c r="F5536" s="18" t="str">
        <f>IF(F5535&gt;0,ENTRY!$D$6,"")</f>
        <v>MCP NITHARI NO 1 BOYS</v>
      </c>
      <c r="G5536" s="18"/>
      <c r="H5536" s="18"/>
      <c r="I5536" s="18"/>
      <c r="J5536" s="18"/>
      <c r="K5536" s="18"/>
      <c r="L5536" s="18"/>
      <c r="M5536" s="18"/>
      <c r="N5536" s="18"/>
      <c r="O5536" s="18"/>
      <c r="P5536" s="18"/>
      <c r="Q5536" s="19"/>
      <c r="R5536" s="11"/>
    </row>
    <row r="5537" s="1" customFormat="1" ht="21.95" customHeight="1" spans="1:18">
      <c r="A5537" s="7"/>
      <c r="B5537" s="12"/>
      <c r="C5537" s="17" t="s">
        <v>393</v>
      </c>
      <c r="D5537" s="17"/>
      <c r="E5537" s="17"/>
      <c r="F5537" s="18">
        <f>IF(F5535&gt;0,ENTRY!$D$7,"")</f>
        <v>0</v>
      </c>
      <c r="G5537" s="18"/>
      <c r="H5537" s="20" t="s">
        <v>702</v>
      </c>
      <c r="I5537" s="20"/>
      <c r="J5537" s="21">
        <f>IF(F5535&gt;0,ENTRY!$D$10,"")</f>
        <v>40</v>
      </c>
      <c r="K5537" s="20" t="s">
        <v>703</v>
      </c>
      <c r="L5537" s="22" t="str">
        <f>IF(F5535&gt;0,ENTRY!$D$5,"")</f>
        <v>ROHINI ZONE</v>
      </c>
      <c r="M5537" s="22"/>
      <c r="N5537" s="22"/>
      <c r="O5537" s="22"/>
      <c r="P5537" s="22"/>
      <c r="Q5537" s="19"/>
      <c r="R5537" s="11"/>
    </row>
    <row r="5538" s="1" customFormat="1" ht="21.95" customHeight="1" spans="1:18">
      <c r="A5538" s="7"/>
      <c r="B5538" s="12"/>
      <c r="C5538" s="17" t="s">
        <v>706</v>
      </c>
      <c r="D5538" s="17"/>
      <c r="E5538" s="17"/>
      <c r="F5538" s="23">
        <f>IFERROR(VLOOKUP(F5535,STUDENT!$A$2:$BP$101,5,0),"")</f>
        <v>0</v>
      </c>
      <c r="G5538" s="23"/>
      <c r="H5538" s="23"/>
      <c r="I5538" s="23"/>
      <c r="J5538" s="23"/>
      <c r="K5538" s="23"/>
      <c r="L5538" s="20" t="s">
        <v>707</v>
      </c>
      <c r="M5538" s="20"/>
      <c r="N5538" s="24" t="str">
        <f>IF(F5535&gt;0,ENTRY!$D$20&amp;"-"&amp;ENTRY!$D$21,"")</f>
        <v>III-A</v>
      </c>
      <c r="O5538" s="24"/>
      <c r="P5538" s="24"/>
      <c r="Q5538" s="19"/>
      <c r="R5538" s="11"/>
    </row>
    <row r="5539" s="1" customFormat="1" ht="21.95" customHeight="1" spans="1:18">
      <c r="A5539" s="7"/>
      <c r="B5539" s="12"/>
      <c r="C5539" s="17" t="s">
        <v>708</v>
      </c>
      <c r="D5539" s="17"/>
      <c r="E5539" s="17"/>
      <c r="F5539" s="25">
        <f>IFERROR(VLOOKUP(F5535,STUDENT!$A$2:$BP$101,6,0),"")</f>
        <v>0</v>
      </c>
      <c r="G5539" s="25"/>
      <c r="H5539" s="26" t="s">
        <v>709</v>
      </c>
      <c r="I5539" s="27" t="str">
        <f>IFERROR(VLOOKUP(F5535,STUDENT!$A$2:$BP$101,59,0),"")</f>
        <v/>
      </c>
      <c r="J5539" s="27"/>
      <c r="K5539" s="20" t="s">
        <v>710</v>
      </c>
      <c r="L5539" s="20"/>
      <c r="M5539" s="28">
        <f>IFERROR(VLOOKUP(F5535,STUDENT!$A$2:$BP$101,20,0),"")</f>
        <v>0</v>
      </c>
      <c r="N5539" s="28"/>
      <c r="O5539" s="28"/>
      <c r="P5539" s="28"/>
      <c r="Q5539" s="19"/>
      <c r="R5539" s="11"/>
    </row>
    <row r="5540" s="1" customFormat="1" ht="21.95" customHeight="1" spans="1:18">
      <c r="A5540" s="7"/>
      <c r="B5540" s="12"/>
      <c r="C5540" s="17" t="s">
        <v>711</v>
      </c>
      <c r="D5540" s="17"/>
      <c r="E5540" s="17"/>
      <c r="F5540" s="23">
        <f>IFERROR(VLOOKUP(F5535,STUDENT!$A$2:$BP$101,9,0),"")</f>
        <v>0</v>
      </c>
      <c r="G5540" s="23"/>
      <c r="H5540" s="23"/>
      <c r="I5540" s="23"/>
      <c r="J5540" s="17" t="s">
        <v>620</v>
      </c>
      <c r="K5540" s="17"/>
      <c r="L5540" s="23">
        <f>IFERROR(VLOOKUP(F5535,STUDENT!$A$2:$BP$101,8,0),"")</f>
        <v>0</v>
      </c>
      <c r="M5540" s="23"/>
      <c r="N5540" s="23"/>
      <c r="O5540" s="23"/>
      <c r="P5540" s="23"/>
      <c r="Q5540" s="19"/>
      <c r="R5540" s="11"/>
    </row>
    <row r="5541" s="1" customFormat="1" ht="21.95" customHeight="1" spans="1:18">
      <c r="A5541" s="7"/>
      <c r="B5541" s="12"/>
      <c r="C5541" s="17" t="s">
        <v>712</v>
      </c>
      <c r="D5541" s="17"/>
      <c r="E5541" s="17"/>
      <c r="F5541" s="23">
        <f>IFERROR(VLOOKUP(F5535,STUDENT!$A$2:$BP$101,22,0),"")</f>
        <v>0</v>
      </c>
      <c r="G5541" s="23"/>
      <c r="H5541" s="23"/>
      <c r="I5541" s="23"/>
      <c r="J5541" s="23"/>
      <c r="K5541" s="23"/>
      <c r="L5541" s="23"/>
      <c r="M5541" s="23"/>
      <c r="N5541" s="23"/>
      <c r="O5541" s="23"/>
      <c r="P5541" s="23"/>
      <c r="Q5541" s="19"/>
      <c r="R5541" s="11"/>
    </row>
    <row r="5542" s="1" customFormat="1" ht="9.95" customHeight="1" spans="1:18">
      <c r="A5542" s="7"/>
      <c r="B5542" s="12"/>
      <c r="C5542" s="29"/>
      <c r="D5542" s="29"/>
      <c r="E5542" s="29"/>
      <c r="F5542" s="29"/>
      <c r="G5542" s="29"/>
      <c r="H5542" s="29"/>
      <c r="I5542" s="29"/>
      <c r="J5542" s="29"/>
      <c r="K5542" s="29"/>
      <c r="L5542" s="29"/>
      <c r="M5542" s="29"/>
      <c r="N5542" s="29"/>
      <c r="O5542" s="29"/>
      <c r="P5542" s="29"/>
      <c r="Q5542" s="19"/>
      <c r="R5542" s="11"/>
    </row>
    <row r="5543" s="1" customFormat="1" ht="9.95" customHeight="1" spans="1:18">
      <c r="A5543" s="7"/>
      <c r="B5543" s="12"/>
      <c r="C5543" s="30"/>
      <c r="D5543" s="31"/>
      <c r="E5543" s="31"/>
      <c r="F5543" s="31"/>
      <c r="G5543" s="31"/>
      <c r="H5543" s="31"/>
      <c r="I5543" s="31"/>
      <c r="J5543" s="31"/>
      <c r="K5543" s="31"/>
      <c r="L5543" s="31"/>
      <c r="M5543" s="31"/>
      <c r="N5543" s="31"/>
      <c r="O5543" s="31"/>
      <c r="P5543" s="32"/>
      <c r="Q5543" s="19"/>
      <c r="R5543" s="11"/>
    </row>
    <row r="5544" s="1" customFormat="1" ht="21.95" customHeight="1" spans="1:18">
      <c r="A5544" s="7"/>
      <c r="B5544" s="12"/>
      <c r="C5544" s="33"/>
      <c r="D5544" s="34" t="s">
        <v>713</v>
      </c>
      <c r="E5544" s="20" t="s">
        <v>714</v>
      </c>
      <c r="F5544" s="35" t="str">
        <f>"Level - "&amp;IFERROR(VLOOKUP(F5535,FLN!$A$4:$K$103,9,0),"")</f>
        <v>Level - </v>
      </c>
      <c r="G5544" s="36"/>
      <c r="H5544" s="37" t="s">
        <v>715</v>
      </c>
      <c r="I5544" s="20"/>
      <c r="J5544" s="35" t="str">
        <f>"Level - "&amp;IFERROR(VLOOKUP(F5535,FLN!$A$4:$K$103,11,0),"")</f>
        <v>Level - </v>
      </c>
      <c r="K5544" s="36"/>
      <c r="L5544" s="37" t="s">
        <v>408</v>
      </c>
      <c r="M5544" s="20"/>
      <c r="N5544" s="35" t="str">
        <f>"Level - "&amp;IFERROR(VLOOKUP(F5535,FLN!$A$4:$K$103,10,0),"")</f>
        <v>Level - </v>
      </c>
      <c r="O5544" s="36"/>
      <c r="P5544" s="19"/>
      <c r="Q5544" s="19"/>
      <c r="R5544" s="11"/>
    </row>
    <row r="5545" s="1" customFormat="1" ht="21.95" customHeight="1" spans="1:18">
      <c r="A5545" s="7"/>
      <c r="B5545" s="12"/>
      <c r="C5545" s="33"/>
      <c r="D5545" s="38"/>
      <c r="E5545" s="20" t="s">
        <v>716</v>
      </c>
      <c r="F5545" s="18" t="str">
        <f ca="1">IF(L5559&gt;197,"PERFORMED WELL","")</f>
        <v/>
      </c>
      <c r="G5545" s="18"/>
      <c r="H5545" s="18"/>
      <c r="I5545" s="18"/>
      <c r="J5545" s="18"/>
      <c r="K5545" s="18"/>
      <c r="L5545" s="18"/>
      <c r="M5545" s="18"/>
      <c r="N5545" s="18"/>
      <c r="O5545" s="18"/>
      <c r="P5545" s="19"/>
      <c r="Q5545" s="19"/>
      <c r="R5545" s="11"/>
    </row>
    <row r="5546" s="1" customFormat="1" ht="9.95" customHeight="1" spans="1:18">
      <c r="A5546" s="7"/>
      <c r="B5546" s="12"/>
      <c r="C5546" s="39"/>
      <c r="D5546" s="40"/>
      <c r="E5546" s="40"/>
      <c r="F5546" s="40"/>
      <c r="G5546" s="40"/>
      <c r="H5546" s="40"/>
      <c r="I5546" s="40"/>
      <c r="J5546" s="40"/>
      <c r="K5546" s="40"/>
      <c r="L5546" s="40"/>
      <c r="M5546" s="40"/>
      <c r="N5546" s="40"/>
      <c r="O5546" s="40"/>
      <c r="P5546" s="41"/>
      <c r="Q5546" s="19"/>
      <c r="R5546" s="11"/>
    </row>
    <row r="5547" s="1" customFormat="1" ht="9.95" customHeight="1" spans="1:18">
      <c r="A5547" s="7"/>
      <c r="B5547" s="12"/>
      <c r="C5547" s="29"/>
      <c r="D5547" s="29"/>
      <c r="E5547" s="29"/>
      <c r="F5547" s="29"/>
      <c r="G5547" s="29"/>
      <c r="H5547" s="29"/>
      <c r="I5547" s="29"/>
      <c r="J5547" s="29"/>
      <c r="K5547" s="29"/>
      <c r="L5547" s="29"/>
      <c r="M5547" s="29"/>
      <c r="N5547" s="29"/>
      <c r="O5547" s="29"/>
      <c r="P5547" s="29"/>
      <c r="Q5547" s="19"/>
      <c r="R5547" s="11"/>
    </row>
    <row r="5548" s="1" customFormat="1" ht="9.95" customHeight="1" spans="1:18">
      <c r="A5548" s="7"/>
      <c r="B5548" s="12"/>
      <c r="C5548" s="30"/>
      <c r="D5548" s="31"/>
      <c r="E5548" s="31"/>
      <c r="F5548" s="31"/>
      <c r="G5548" s="31"/>
      <c r="H5548" s="31"/>
      <c r="I5548" s="31"/>
      <c r="J5548" s="31"/>
      <c r="K5548" s="31"/>
      <c r="L5548" s="31"/>
      <c r="M5548" s="31"/>
      <c r="N5548" s="31"/>
      <c r="O5548" s="31"/>
      <c r="P5548" s="32"/>
      <c r="Q5548" s="19"/>
      <c r="R5548" s="11"/>
    </row>
    <row r="5549" s="1" customFormat="1" ht="21.95" customHeight="1" spans="1:18">
      <c r="A5549" s="7"/>
      <c r="B5549" s="12"/>
      <c r="C5549" s="33"/>
      <c r="D5549" s="35"/>
      <c r="E5549" s="24"/>
      <c r="F5549" s="42" t="s">
        <v>717</v>
      </c>
      <c r="G5549" s="42"/>
      <c r="H5549" s="42"/>
      <c r="I5549" s="42"/>
      <c r="J5549" s="42"/>
      <c r="K5549" s="42"/>
      <c r="L5549" s="43"/>
      <c r="M5549" s="44"/>
      <c r="N5549" s="29"/>
      <c r="O5549" s="29"/>
      <c r="P5549" s="19"/>
      <c r="Q5549" s="19"/>
      <c r="R5549" s="11"/>
    </row>
    <row r="5550" s="1" customFormat="1" ht="21.95" customHeight="1" spans="1:18">
      <c r="A5550" s="7"/>
      <c r="B5550" s="12"/>
      <c r="C5550" s="33"/>
      <c r="D5550" s="45"/>
      <c r="E5550" s="46"/>
      <c r="F5550" s="47" t="s">
        <v>541</v>
      </c>
      <c r="G5550" s="47" t="s">
        <v>542</v>
      </c>
      <c r="H5550" s="47" t="s">
        <v>543</v>
      </c>
      <c r="I5550" s="47" t="s">
        <v>544</v>
      </c>
      <c r="J5550" s="47" t="s">
        <v>561</v>
      </c>
      <c r="K5550" s="48" t="s">
        <v>750</v>
      </c>
      <c r="L5550" s="47" t="s">
        <v>382</v>
      </c>
      <c r="M5550" s="49" t="s">
        <v>546</v>
      </c>
      <c r="N5550" s="29"/>
      <c r="O5550" s="29"/>
      <c r="P5550" s="19"/>
      <c r="Q5550" s="19"/>
      <c r="R5550" s="11"/>
    </row>
    <row r="5551" s="1" customFormat="1" ht="21.95" customHeight="1" spans="1:18">
      <c r="A5551" s="7"/>
      <c r="B5551" s="12"/>
      <c r="C5551" s="33"/>
      <c r="D5551" s="45" t="s">
        <v>652</v>
      </c>
      <c r="E5551" s="46"/>
      <c r="F5551" s="50">
        <v>10</v>
      </c>
      <c r="G5551" s="50">
        <v>10</v>
      </c>
      <c r="H5551" s="50">
        <v>10</v>
      </c>
      <c r="I5551" s="50">
        <v>10</v>
      </c>
      <c r="J5551" s="50">
        <v>60</v>
      </c>
      <c r="K5551" s="51"/>
      <c r="L5551" s="50">
        <v>100</v>
      </c>
      <c r="M5551" s="49"/>
      <c r="N5551" s="29"/>
      <c r="O5551" s="29"/>
      <c r="P5551" s="19"/>
      <c r="Q5551" s="19"/>
      <c r="R5551" s="11"/>
    </row>
    <row r="5552" s="1" customFormat="1" ht="21.95" customHeight="1" spans="1:18">
      <c r="A5552" s="7"/>
      <c r="B5552" s="12"/>
      <c r="C5552" s="33"/>
      <c r="D5552" s="52" t="s">
        <v>751</v>
      </c>
      <c r="E5552" s="53"/>
      <c r="F5552" s="54" t="str">
        <f ca="1">IFERROR(VLOOKUP(F5535,'RR-3.1-5TH'!$A$12:'RR-3.1-5TH'!$BN$111,9,0),"")</f>
        <v/>
      </c>
      <c r="G5552" s="54" t="str">
        <f ca="1">IFERROR(VLOOKUP(F5535,'RR-3.1-5TH'!$A$12:'RR-3.1-5TH'!$BN$111,10,0),"")</f>
        <v/>
      </c>
      <c r="H5552" s="54" t="str">
        <f ca="1">IFERROR(VLOOKUP(F5535,'RR-3.1-5TH'!$A$12:'RR-3.1-5TH'!$BN$111,11,0),"")</f>
        <v/>
      </c>
      <c r="I5552" s="54" t="str">
        <f ca="1">IFERROR(VLOOKUP(F5535,'RR-3.1-5TH'!$A$12:'RR-3.1-5TH'!$BN$111,12,0),"")</f>
        <v/>
      </c>
      <c r="J5552" s="54" t="str">
        <f ca="1">IFERROR(VLOOKUP(F5535,'RR-3.1-5TH'!$A$12:'RR-3.1-5TH'!$BN$111,13,0),"")</f>
        <v/>
      </c>
      <c r="K5552" s="54" t="str">
        <f ca="1">IFERROR(VLOOKUP(F5535,'RR-3.1-5TH'!$A$12:'RR-3.1-5TH'!$BN$111,14,0),"")</f>
        <v/>
      </c>
      <c r="L5552" s="55">
        <f ca="1" t="shared" ref="L5552:L5557" si="291">SUM(F5552,G5552,H5552,I5552,J5552,K5552)</f>
        <v>0</v>
      </c>
      <c r="M5552" s="56" t="str">
        <f ca="1">IF(F5535&gt;ENTRY!$D$24,"",IF(L5552=0,"Ab",IF(L5552&gt;80,"A",IF(L5552&gt;60,"B",IF(L5552&gt;44,"C",IF(L5552&gt;=33,"D",IF(L5552&lt;=32,"E","")))))))</f>
        <v/>
      </c>
      <c r="N5552" s="57" t="s">
        <v>729</v>
      </c>
      <c r="O5552" s="58"/>
      <c r="P5552" s="59"/>
      <c r="Q5552" s="19"/>
      <c r="R5552" s="11"/>
    </row>
    <row r="5553" s="1" customFormat="1" ht="21.95" customHeight="1" spans="1:19">
      <c r="A5553" s="7"/>
      <c r="B5553" s="12"/>
      <c r="C5553" s="33"/>
      <c r="D5553" s="52" t="s">
        <v>513</v>
      </c>
      <c r="E5553" s="53"/>
      <c r="F5553" s="54" t="str">
        <f ca="1">IFERROR(VLOOKUP(F5535,'RR-3.1-5TH'!$A$12:'RR-3.1-5TH'!$BN$111,17,0),"")</f>
        <v/>
      </c>
      <c r="G5553" s="54" t="str">
        <f ca="1">IFERROR(VLOOKUP(F5535,'RR-3.1-5TH'!$A$12:'RR-3.1-5TH'!$BN$111,18,0),"")</f>
        <v/>
      </c>
      <c r="H5553" s="54" t="str">
        <f ca="1">IFERROR(VLOOKUP(F5535,'RR-3.1-5TH'!$A$12:'RR-3.1-5TH'!$BN$111,19,0),"")</f>
        <v/>
      </c>
      <c r="I5553" s="54" t="str">
        <f ca="1">IFERROR(VLOOKUP(F5535,'RR-3.1-5TH'!$A$12:'RR-3.1-5TH'!$BN$111,20,0),"")</f>
        <v/>
      </c>
      <c r="J5553" s="54" t="str">
        <f ca="1">IFERROR(VLOOKUP(F5535,'RR-3.1-5TH'!$A$12:'RR-3.1-5TH'!$BN$111,21,0),"")</f>
        <v/>
      </c>
      <c r="K5553" s="54" t="str">
        <f ca="1">IFERROR(VLOOKUP(F5535,'RR-3.1-5TH'!$A$12:'RR-3.1-5TH'!$BN$111,22,0),"")</f>
        <v/>
      </c>
      <c r="L5553" s="55">
        <f ca="1" t="shared" si="291"/>
        <v>0</v>
      </c>
      <c r="M5553" s="56" t="str">
        <f ca="1">IF(F5535&gt;ENTRY!$D$24,"",IF(L5553=0,"Ab",IF(L5553&gt;80,"A",IF(L5553&gt;60,"B",IF(L5553&gt;44,"C",IF(L5553&gt;=33,"D",IF(L5553&lt;=32,"E","")))))))</f>
        <v/>
      </c>
      <c r="N5553" s="58"/>
      <c r="O5553" s="58"/>
      <c r="P5553" s="59"/>
      <c r="Q5553" s="19"/>
      <c r="R5553" s="11"/>
    </row>
    <row r="5554" s="1" customFormat="1" ht="21.95" customHeight="1" spans="1:19">
      <c r="A5554" s="7"/>
      <c r="B5554" s="12"/>
      <c r="C5554" s="33"/>
      <c r="D5554" s="52" t="s">
        <v>718</v>
      </c>
      <c r="E5554" s="53"/>
      <c r="F5554" s="54" t="str">
        <f ca="1">IFERROR(VLOOKUP(F5535,'RR-3.1-5TH'!$A$12:'RR-3.1-5TH'!$BN$111,25,0),"")</f>
        <v/>
      </c>
      <c r="G5554" s="54" t="str">
        <f ca="1">IFERROR(VLOOKUP(F5535,'RR-3.1-5TH'!$A$12:'RR-3.1-5TH'!$BN$111,26,0),"")</f>
        <v/>
      </c>
      <c r="H5554" s="54" t="str">
        <f ca="1">IFERROR(VLOOKUP(F5535,'RR-3.1-5TH'!$A$12:'RR-3.1-5TH'!$BN$111,27,0),"")</f>
        <v/>
      </c>
      <c r="I5554" s="54" t="str">
        <f ca="1">IFERROR(VLOOKUP(F5535,'RR-3.1-5TH'!$A$12:'RR-3.1-5TH'!$BN$111,28,0),"")</f>
        <v/>
      </c>
      <c r="J5554" s="54" t="str">
        <f ca="1">IFERROR(VLOOKUP(F5535,'RR-3.1-5TH'!$A$12:'RR-3.1-5TH'!$BN$111,29,0),"")</f>
        <v/>
      </c>
      <c r="K5554" s="54" t="str">
        <f ca="1">IFERROR(VLOOKUP(F5535,'RR-3.1-5TH'!$A$12:'RR-3.1-5TH'!$BN$111,30,0),"")</f>
        <v/>
      </c>
      <c r="L5554" s="55">
        <f ca="1" t="shared" si="291"/>
        <v>0</v>
      </c>
      <c r="M5554" s="56" t="str">
        <f ca="1">IF(F5535&gt;ENTRY!$D$24,"",IF(L5554=0,"Ab",IF(L5554&gt;80,"A",IF(L5554&gt;60,"B",IF(L5554&gt;44,"C",IF(L5554&gt;=33,"D",IF(L5554&lt;=32,"E","")))))))</f>
        <v/>
      </c>
      <c r="N5554" s="29"/>
      <c r="O5554" s="29"/>
      <c r="P5554" s="19"/>
      <c r="Q5554" s="19"/>
      <c r="R5554" s="11"/>
    </row>
    <row r="5555" s="1" customFormat="1" ht="21.95" customHeight="1" spans="1:19">
      <c r="A5555" s="7"/>
      <c r="B5555" s="12"/>
      <c r="C5555" s="33"/>
      <c r="D5555" s="52" t="s">
        <v>719</v>
      </c>
      <c r="E5555" s="53"/>
      <c r="F5555" s="54" t="str">
        <f ca="1">IFERROR(VLOOKUP(F5535,'RR-3.1-5TH'!$A$12:'RR-3.1-5TH'!$BN$111,33,0),"")</f>
        <v/>
      </c>
      <c r="G5555" s="54" t="str">
        <f ca="1">IFERROR(VLOOKUP(F5535,'RR-3.1-5TH'!$A$12:'RR-3.1-5TH'!$BN$111,34,0),"")</f>
        <v/>
      </c>
      <c r="H5555" s="54" t="str">
        <f ca="1">IFERROR(VLOOKUP(F5535,'RR-3.1-5TH'!$A$12:'RR-3.1-5TH'!$BN$111,35,0),"")</f>
        <v/>
      </c>
      <c r="I5555" s="54" t="str">
        <f ca="1">IFERROR(VLOOKUP(F5535,'RR-3.1-5TH'!$A$12:'RR-3.1-5TH'!$BN$111,36,0),"")</f>
        <v/>
      </c>
      <c r="J5555" s="54" t="str">
        <f ca="1">IFERROR(VLOOKUP(F5535,'RR-3.1-5TH'!$A$12:'RR-3.1-5TH'!$BN$111,37,0),"")</f>
        <v/>
      </c>
      <c r="K5555" s="54" t="str">
        <f ca="1">IFERROR(VLOOKUP(F5535,'RR-3.1-5TH'!$A$12:'RR-3.1-5TH'!$BN$111,38,0),"")</f>
        <v/>
      </c>
      <c r="L5555" s="55">
        <f ca="1" t="shared" si="291"/>
        <v>0</v>
      </c>
      <c r="M5555" s="56" t="str">
        <f ca="1">IF(F5535&gt;ENTRY!$D$24,"",IF(L5555=0,"Ab",IF(L5555&gt;80,"A",IF(L5555&gt;60,"B",IF(L5555&gt;44,"C",IF(L5555&gt;=33,"D",IF(L5555&lt;=32,"E","")))))))</f>
        <v/>
      </c>
      <c r="N5555" s="29"/>
      <c r="O5555" s="29"/>
      <c r="P5555" s="19"/>
      <c r="Q5555" s="19"/>
      <c r="R5555" s="11"/>
    </row>
    <row r="5556" s="1" customFormat="1" ht="21.95" customHeight="1" spans="1:19">
      <c r="A5556" s="7"/>
      <c r="B5556" s="12"/>
      <c r="C5556" s="33"/>
      <c r="D5556" s="52" t="s">
        <v>548</v>
      </c>
      <c r="E5556" s="53"/>
      <c r="F5556" s="54" t="str">
        <f ca="1">IFERROR(VLOOKUP(F5535,'RR-3.1-5TH'!$A$12:'RR-3.1-5TH'!$BN$111,41,0),"")</f>
        <v/>
      </c>
      <c r="G5556" s="54" t="str">
        <f ca="1">IFERROR(VLOOKUP(F5535,'RR-3.1-5TH'!$A$12:'RR-3.1-5TH'!$BN$111,42,0),"")</f>
        <v/>
      </c>
      <c r="H5556" s="54" t="str">
        <f ca="1">IFERROR(VLOOKUP(F5535,'RR-3.1-5TH'!$A$12:'RR-3.1-5TH'!$BN$111,43,0),"")</f>
        <v/>
      </c>
      <c r="I5556" s="54" t="str">
        <f ca="1">IFERROR(VLOOKUP(F5535,'RR-3.1-5TH'!$A$12:'RR-3.1-5TH'!$BN$111,44,0),"")</f>
        <v/>
      </c>
      <c r="J5556" s="54" t="str">
        <f ca="1">IFERROR(VLOOKUP(F5535,'RR-3.1-5TH'!$A$12:'RR-3.1-5TH'!$BN$111,45,0),"")</f>
        <v/>
      </c>
      <c r="K5556" s="54" t="str">
        <f ca="1">IFERROR(VLOOKUP(F5535,'RR-3.1-5TH'!$A$12:'RR-3.1-5TH'!$BN$111,46,0),"")</f>
        <v/>
      </c>
      <c r="L5556" s="55">
        <f ca="1" t="shared" si="291"/>
        <v>0</v>
      </c>
      <c r="M5556" s="56" t="str">
        <f ca="1">IF(F5535&gt;ENTRY!$D$24,"",IF(L5556=0,"Ab",IF(L5556&gt;80,"A",IF(L5556&gt;60,"B",IF(L5556&gt;44,"C",IF(L5556&gt;=33,"D",IF(L5556&lt;=32,"E","")))))))</f>
        <v/>
      </c>
      <c r="N5556" s="29"/>
      <c r="O5556" s="29"/>
      <c r="P5556" s="19"/>
      <c r="Q5556" s="19"/>
      <c r="R5556" s="11"/>
    </row>
    <row r="5557" s="1" customFormat="1" ht="21.95" customHeight="1" spans="1:19">
      <c r="A5557" s="7"/>
      <c r="B5557" s="12"/>
      <c r="C5557" s="33"/>
      <c r="D5557" s="52" t="s">
        <v>549</v>
      </c>
      <c r="E5557" s="53"/>
      <c r="F5557" s="54" t="str">
        <f ca="1">IFERROR(VLOOKUP(F5535,'RR-3.1-5TH'!$A$12:'RR-3.1-5TH'!$BN$111,49,0),"")</f>
        <v/>
      </c>
      <c r="G5557" s="54" t="str">
        <f ca="1">IFERROR(VLOOKUP(F5535,'RR-3.1-5TH'!$A$12:'RR-3.1-5TH'!$BN$111,50,0),"")</f>
        <v/>
      </c>
      <c r="H5557" s="54" t="str">
        <f ca="1">IFERROR(VLOOKUP(F5535,'RR-3.1-5TH'!$A$12:'RR-3.1-5TH'!$BN$111,51,0),"")</f>
        <v/>
      </c>
      <c r="I5557" s="54" t="str">
        <f ca="1">IFERROR(VLOOKUP(F5535,'RR-3.1-5TH'!$A$12:'RR-3.1-5TH'!$BN$111,52,0),"")</f>
        <v/>
      </c>
      <c r="J5557" s="54" t="str">
        <f ca="1">IFERROR(VLOOKUP(F5535,'RR-3.1-5TH'!$A$12:'RR-3.1-5TH'!$BN$111,53,0),"")</f>
        <v/>
      </c>
      <c r="K5557" s="54" t="str">
        <f ca="1">IFERROR(VLOOKUP(F5535,'RR-3.1-5TH'!$A$12:'RR-3.1-5TH'!$BN$111,54,0),"")</f>
        <v/>
      </c>
      <c r="L5557" s="55">
        <f ca="1" t="shared" si="291"/>
        <v>0</v>
      </c>
      <c r="M5557" s="56" t="str">
        <f ca="1">IF(F5535&gt;ENTRY!$D$24,"",IF(L5557=0,"Ab",IF(L5557&gt;80,"A",IF(L5557&gt;60,"B",IF(L5557&gt;44,"C",IF(L5557&gt;=33,"D",IF(L5557&lt;=32,"E","")))))))</f>
        <v/>
      </c>
      <c r="N5557" s="57" t="s">
        <v>752</v>
      </c>
      <c r="O5557" s="58"/>
      <c r="P5557" s="59"/>
      <c r="Q5557" s="19"/>
      <c r="R5557" s="11"/>
    </row>
    <row r="5558" s="1" customFormat="1" ht="21.95" customHeight="1" spans="1:19">
      <c r="A5558" s="7"/>
      <c r="B5558" s="12"/>
      <c r="C5558" s="33"/>
      <c r="D5558" s="52" t="s">
        <v>753</v>
      </c>
      <c r="E5558" s="53"/>
      <c r="F5558" s="60"/>
      <c r="G5558" s="54"/>
      <c r="H5558" s="54"/>
      <c r="I5558" s="54"/>
      <c r="J5558" s="54"/>
      <c r="K5558" s="54"/>
      <c r="L5558" s="55">
        <f t="shared" ref="L5558" si="292">SUM(G5558:K5558)</f>
        <v>0</v>
      </c>
      <c r="M5558" s="56" t="str">
        <f>IF(F5535&gt;ENTRY!$D$24,"",IF(L5558=0,"",IF(L5558&gt;79,"A",IF(L5558&gt;59,"B",IF(L5558&gt;44,"C",IF(L5558&gt;=33,"D",IF(L5558&lt;=32,"E","")))))))</f>
        <v/>
      </c>
      <c r="N5558" s="58"/>
      <c r="O5558" s="58"/>
      <c r="P5558" s="59"/>
      <c r="Q5558" s="19"/>
      <c r="R5558" s="11"/>
    </row>
    <row r="5559" s="1" customFormat="1" ht="21.95" customHeight="1" spans="1:19">
      <c r="A5559" s="7"/>
      <c r="B5559" s="12"/>
      <c r="C5559" s="33"/>
      <c r="D5559" s="45" t="s">
        <v>382</v>
      </c>
      <c r="E5559" s="46"/>
      <c r="F5559" s="54">
        <f ca="1" t="shared" ref="F5559:L5559" si="293">IFERROR(SUM(F5552:F5558),"")</f>
        <v>0</v>
      </c>
      <c r="G5559" s="54">
        <f ca="1" t="shared" si="293"/>
        <v>0</v>
      </c>
      <c r="H5559" s="54">
        <f ca="1" t="shared" si="293"/>
        <v>0</v>
      </c>
      <c r="I5559" s="54">
        <f ca="1" t="shared" si="293"/>
        <v>0</v>
      </c>
      <c r="J5559" s="54">
        <f ca="1" t="shared" si="293"/>
        <v>0</v>
      </c>
      <c r="K5559" s="54">
        <f ca="1" t="shared" si="293"/>
        <v>0</v>
      </c>
      <c r="L5559" s="55">
        <f ca="1" t="shared" si="293"/>
        <v>0</v>
      </c>
      <c r="M5559" s="61" t="str">
        <f ca="1">IF(F5535&gt;ENTRY!$D$24,"",IF(N5560="Ab","Ab",IF(N5560&gt;79.5,"A",IF(N5560&gt;59.5,"B",IF(N5560&gt;44.5,"C",IF(N5560&gt;=33,"D",IF(N5560&lt;33,"E","")))))))</f>
        <v/>
      </c>
      <c r="N5559" s="62"/>
      <c r="O5559" s="58"/>
      <c r="P5559" s="59"/>
      <c r="Q5559" s="19"/>
      <c r="R5559" s="11"/>
    </row>
    <row r="5560" s="1" customFormat="1" ht="21.95" customHeight="1" spans="1:19">
      <c r="A5560" s="7"/>
      <c r="B5560" s="12"/>
      <c r="C5560" s="33"/>
      <c r="D5560" s="63" t="s">
        <v>721</v>
      </c>
      <c r="E5560" s="63"/>
      <c r="F5560" s="63"/>
      <c r="G5560" s="63"/>
      <c r="H5560" s="63"/>
      <c r="I5560" s="63"/>
      <c r="J5560" s="63"/>
      <c r="K5560" s="63"/>
      <c r="L5560" s="63"/>
      <c r="M5560" s="63"/>
      <c r="N5560" s="64">
        <f ca="1">IF(L5559="Ab","Ab",L5559/6)</f>
        <v>0</v>
      </c>
      <c r="O5560" s="65"/>
      <c r="P5560" s="19"/>
      <c r="Q5560" s="19"/>
      <c r="R5560" s="11"/>
    </row>
    <row r="5561" s="1" customFormat="1" ht="21.95" customHeight="1" spans="1:19">
      <c r="A5561" s="7"/>
      <c r="B5561" s="12"/>
      <c r="C5561" s="33"/>
      <c r="D5561" s="29" t="s">
        <v>716</v>
      </c>
      <c r="E5561" s="18" t="str">
        <f>IFERROR(VLOOKUP(F5535,'1to4-2.1-RR'!$A$12:$BG$111,57,0),"")</f>
        <v/>
      </c>
      <c r="F5561" s="18"/>
      <c r="G5561" s="18"/>
      <c r="H5561" s="18"/>
      <c r="I5561" s="18"/>
      <c r="J5561" s="18"/>
      <c r="K5561" s="18"/>
      <c r="L5561" s="18"/>
      <c r="M5561" s="18"/>
      <c r="N5561" s="29"/>
      <c r="O5561" s="29"/>
      <c r="P5561" s="19"/>
      <c r="Q5561" s="19"/>
      <c r="R5561" s="11"/>
    </row>
    <row r="5562" s="1" customFormat="1" ht="9.95" customHeight="1" spans="1:19">
      <c r="A5562" s="7"/>
      <c r="B5562" s="12"/>
      <c r="C5562" s="33"/>
      <c r="D5562" s="29"/>
      <c r="E5562" s="29"/>
      <c r="F5562" s="29"/>
      <c r="G5562" s="29"/>
      <c r="H5562" s="29"/>
      <c r="I5562" s="29"/>
      <c r="J5562" s="29"/>
      <c r="K5562" s="29"/>
      <c r="L5562" s="29"/>
      <c r="M5562" s="29"/>
      <c r="N5562" s="29"/>
      <c r="O5562" s="29"/>
      <c r="P5562" s="19"/>
      <c r="Q5562" s="19"/>
      <c r="R5562" s="11"/>
    </row>
    <row r="5563" s="1" customFormat="1" ht="36" spans="1:19">
      <c r="A5563" s="7"/>
      <c r="B5563" s="12"/>
      <c r="C5563" s="33"/>
      <c r="D5563" s="66" t="s">
        <v>576</v>
      </c>
      <c r="E5563" s="67" t="s">
        <v>754</v>
      </c>
      <c r="F5563" s="47" t="str">
        <f>IF(F5535&gt;ENTRY!$D$24,"",IFERROR(VLOOKUP(F5535,PASHEET!$A$4:$CJ$103,88,0),""))</f>
        <v/>
      </c>
      <c r="G5563" s="67" t="s">
        <v>755</v>
      </c>
      <c r="H5563" s="47" t="str">
        <f>IF(F5535&gt;ENTRY!$D$24,"",IFERROR(VLOOKUP(F5535,PASHEET!$A$4:$CJ$103,87,0),""))</f>
        <v/>
      </c>
      <c r="I5563" s="68" t="s">
        <v>756</v>
      </c>
      <c r="J5563" s="69" t="str">
        <f>IF(F5535&gt;ENTRY!$D$24,"",IFERROR(IF(F5535&gt;0,H5563/F5563*100),""))</f>
        <v/>
      </c>
      <c r="K5563" s="60" t="s">
        <v>757</v>
      </c>
      <c r="L5563" s="70" t="str">
        <f ca="1">IF(F5535&gt;ENTRY!$D$24,"",IFERROR(L5559/600*100,""))</f>
        <v/>
      </c>
      <c r="M5563" s="47" t="str">
        <f ca="1">IF(F5535&gt;ENTRY!$D$24,"",IFERROR(L5559&amp;" / "&amp;"600",""))</f>
        <v/>
      </c>
      <c r="N5563" s="29"/>
      <c r="O5563" s="29"/>
      <c r="P5563" s="19"/>
      <c r="Q5563" s="19"/>
      <c r="R5563" s="11"/>
    </row>
    <row r="5564" s="1" customFormat="1" ht="9.95" customHeight="1" spans="1:19">
      <c r="A5564" s="7"/>
      <c r="B5564" s="12"/>
      <c r="C5564" s="39"/>
      <c r="D5564" s="40"/>
      <c r="E5564" s="40"/>
      <c r="F5564" s="40"/>
      <c r="G5564" s="40"/>
      <c r="H5564" s="40"/>
      <c r="I5564" s="40"/>
      <c r="J5564" s="40"/>
      <c r="K5564" s="40"/>
      <c r="L5564" s="40"/>
      <c r="M5564" s="40"/>
      <c r="N5564" s="40"/>
      <c r="O5564" s="40"/>
      <c r="P5564" s="41"/>
      <c r="Q5564" s="19"/>
      <c r="R5564" s="11"/>
    </row>
    <row r="5565" s="1" customFormat="1" ht="9.95" customHeight="1" spans="1:19">
      <c r="A5565" s="7"/>
      <c r="B5565" s="12"/>
      <c r="C5565" s="71"/>
      <c r="D5565" s="71"/>
      <c r="E5565" s="71"/>
      <c r="F5565" s="29"/>
      <c r="G5565" s="71"/>
      <c r="H5565" s="71"/>
      <c r="I5565" s="71"/>
      <c r="J5565" s="71"/>
      <c r="K5565" s="71"/>
      <c r="L5565" s="71"/>
      <c r="M5565" s="71"/>
      <c r="N5565" s="71"/>
      <c r="O5565" s="71"/>
      <c r="P5565" s="71"/>
      <c r="Q5565" s="19"/>
      <c r="R5565" s="11"/>
    </row>
    <row r="5566" s="1" customFormat="1" ht="9.95" customHeight="1" spans="1:19">
      <c r="A5566" s="7"/>
      <c r="B5566" s="12"/>
      <c r="C5566" s="29"/>
      <c r="D5566" s="29"/>
      <c r="E5566" s="29"/>
      <c r="F5566" s="72"/>
      <c r="G5566" s="29"/>
      <c r="H5566" s="29"/>
      <c r="I5566" s="29"/>
      <c r="J5566" s="29"/>
      <c r="K5566" s="29"/>
      <c r="L5566" s="29"/>
      <c r="M5566" s="29"/>
      <c r="N5566" s="29"/>
      <c r="O5566" s="29"/>
      <c r="P5566" s="29"/>
      <c r="Q5566" s="19"/>
      <c r="R5566" s="11"/>
    </row>
    <row r="5567" s="1" customFormat="1" ht="9.95" customHeight="1" spans="1:19">
      <c r="A5567" s="7"/>
      <c r="B5567" s="12"/>
      <c r="C5567" s="30"/>
      <c r="D5567" s="31"/>
      <c r="E5567" s="31"/>
      <c r="F5567" s="31"/>
      <c r="G5567" s="31"/>
      <c r="H5567" s="31"/>
      <c r="I5567" s="31"/>
      <c r="J5567" s="31"/>
      <c r="K5567" s="31"/>
      <c r="L5567" s="31"/>
      <c r="M5567" s="31"/>
      <c r="N5567" s="31"/>
      <c r="O5567" s="31"/>
      <c r="P5567" s="32"/>
      <c r="Q5567" s="19"/>
      <c r="R5567" s="11"/>
    </row>
    <row r="5568" s="1" customFormat="1" ht="21.95" customHeight="1" spans="1:19">
      <c r="A5568" s="7"/>
      <c r="B5568" s="12"/>
      <c r="C5568" s="73" t="s">
        <v>7</v>
      </c>
      <c r="D5568" s="13"/>
      <c r="E5568" s="13"/>
      <c r="F5568" s="13"/>
      <c r="G5568" s="13"/>
      <c r="H5568" s="13"/>
      <c r="I5568" s="13"/>
      <c r="J5568" s="13"/>
      <c r="K5568" s="13"/>
      <c r="L5568" s="13"/>
      <c r="M5568" s="13"/>
      <c r="N5568" s="13"/>
      <c r="O5568" s="13"/>
      <c r="P5568" s="74"/>
      <c r="Q5568" s="19"/>
      <c r="R5568" s="11"/>
      <c r="S5568" s="2"/>
    </row>
    <row r="5569" s="1" customFormat="1" ht="21.95" customHeight="1" spans="1:18">
      <c r="A5569" s="7"/>
      <c r="B5569" s="12"/>
      <c r="C5569" s="33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19"/>
      <c r="Q5569" s="19"/>
      <c r="R5569" s="11"/>
    </row>
    <row r="5570" s="1" customFormat="1" ht="21.95" customHeight="1" spans="1:18">
      <c r="A5570" s="7"/>
      <c r="B5570" s="12"/>
      <c r="C5570" s="75" t="str">
        <f>"SESSION-"&amp;ENTRY!$D$11</f>
        <v>SESSION-2026-27</v>
      </c>
      <c r="D5570" s="15"/>
      <c r="E5570" s="15"/>
      <c r="F5570" s="15"/>
      <c r="G5570" s="15"/>
      <c r="H5570" s="15"/>
      <c r="I5570" s="15"/>
      <c r="J5570" s="15"/>
      <c r="K5570" s="15"/>
      <c r="L5570" s="15"/>
      <c r="M5570" s="15"/>
      <c r="N5570" s="15"/>
      <c r="O5570" s="15"/>
      <c r="P5570" s="76"/>
      <c r="Q5570" s="19"/>
      <c r="R5570" s="11"/>
    </row>
    <row r="5571" s="1" customFormat="1" ht="18" customHeight="1" spans="1:18">
      <c r="A5571" s="7"/>
      <c r="B5571" s="12"/>
      <c r="C5571" s="33"/>
      <c r="D5571" s="29"/>
      <c r="E5571" s="29"/>
      <c r="F5571" s="29"/>
      <c r="G5571" s="29"/>
      <c r="H5571" s="29"/>
      <c r="I5571" s="29"/>
      <c r="J5571" s="29"/>
      <c r="K5571" s="29"/>
      <c r="L5571" s="29"/>
      <c r="M5571" s="29"/>
      <c r="N5571" s="29"/>
      <c r="O5571" s="29"/>
      <c r="P5571" s="19"/>
      <c r="Q5571" s="19"/>
      <c r="R5571" s="11"/>
    </row>
    <row r="5572" s="1" customFormat="1" ht="21.95" customHeight="1" spans="1:18">
      <c r="A5572" s="7"/>
      <c r="B5572" s="12"/>
      <c r="C5572" s="33"/>
      <c r="D5572" s="77" t="s">
        <v>758</v>
      </c>
      <c r="E5572" s="77"/>
      <c r="F5572" s="78" t="str">
        <f>IFERROR(PROPER(VLOOKUP(F5535,STUDENT!$A$2:$BP$101,5,0)),"")</f>
        <v/>
      </c>
      <c r="G5572" s="78"/>
      <c r="H5572" s="78"/>
      <c r="I5572" s="78"/>
      <c r="J5572" s="78"/>
      <c r="K5572" s="78"/>
      <c r="L5572" s="78"/>
      <c r="M5572" s="78"/>
      <c r="N5572" s="79" t="s">
        <v>759</v>
      </c>
      <c r="O5572" s="79"/>
      <c r="P5572" s="19"/>
      <c r="Q5572" s="19"/>
      <c r="R5572" s="11"/>
    </row>
    <row r="5573" s="1" customFormat="1" ht="21.95" customHeight="1" spans="1:18">
      <c r="A5573" s="7"/>
      <c r="B5573" s="12"/>
      <c r="C5573" s="33"/>
      <c r="D5573" s="80" t="s">
        <v>760</v>
      </c>
      <c r="E5573" s="81" t="str">
        <f>IFERROR(PROPER(VLOOKUP(F5535,STUDENT!$A$2:$BP$101,9,0)),"")</f>
        <v/>
      </c>
      <c r="F5573" s="81"/>
      <c r="G5573" s="81"/>
      <c r="H5573" s="80" t="s">
        <v>761</v>
      </c>
      <c r="I5573" s="82" t="str">
        <f>IFERROR(PROPER(VLOOKUP(F5535,STUDENT!$A$2:$BP$101,8,0)),"")</f>
        <v/>
      </c>
      <c r="J5573" s="82"/>
      <c r="K5573" s="82"/>
      <c r="L5573" s="82"/>
      <c r="M5573" s="80" t="s">
        <v>762</v>
      </c>
      <c r="N5573" s="83" t="str">
        <f>IFERROR(VLOOKUP(F5535,STUDENT!$A$2:$BP$101,59,0),"")</f>
        <v/>
      </c>
      <c r="O5573" s="83"/>
      <c r="P5573" s="19"/>
      <c r="Q5573" s="19"/>
      <c r="R5573" s="11"/>
    </row>
    <row r="5574" s="1" customFormat="1" ht="21.95" customHeight="1" spans="1:18">
      <c r="A5574" s="7"/>
      <c r="B5574" s="12"/>
      <c r="C5574" s="33"/>
      <c r="D5574" s="77" t="str">
        <f>"has    completed     his  /  her     primary     level     education    in    the    year    "&amp;RIGHT(ENTRY!$D5540,4)&amp;"    from    ( School    Name )"</f>
        <v>has    completed     his  /  her     primary     level     education    in    the    year        from    ( School    Name )</v>
      </c>
      <c r="E5574" s="77"/>
      <c r="F5574" s="77"/>
      <c r="G5574" s="77"/>
      <c r="H5574" s="77"/>
      <c r="I5574" s="77"/>
      <c r="J5574" s="77"/>
      <c r="K5574" s="77"/>
      <c r="L5574" s="77"/>
      <c r="M5574" s="77"/>
      <c r="N5574" s="77"/>
      <c r="O5574" s="77"/>
      <c r="P5574" s="19"/>
      <c r="Q5574" s="19"/>
      <c r="R5574" s="11"/>
    </row>
    <row r="5575" s="1" customFormat="1" ht="21.95" customHeight="1" spans="1:18">
      <c r="A5575" s="7"/>
      <c r="B5575" s="12"/>
      <c r="C5575" s="33"/>
      <c r="D5575" s="81" t="str">
        <f>IF(F5535&gt;0,ENTRY!$D$6,"")</f>
        <v>MCP NITHARI NO 1 BOYS</v>
      </c>
      <c r="E5575" s="81"/>
      <c r="F5575" s="81"/>
      <c r="G5575" s="81"/>
      <c r="H5575" s="81"/>
      <c r="I5575" s="81"/>
      <c r="J5575" s="81"/>
      <c r="K5575" s="81"/>
      <c r="L5575" s="81"/>
      <c r="M5575" s="80" t="s">
        <v>763</v>
      </c>
      <c r="N5575" s="84">
        <f>IF(F5535&gt;0,ENTRY!$D$7,"")</f>
        <v>0</v>
      </c>
      <c r="O5575" s="84"/>
      <c r="P5575" s="85" t="s">
        <v>727</v>
      </c>
      <c r="Q5575" s="19"/>
      <c r="R5575" s="11"/>
    </row>
    <row r="5576" s="1" customFormat="1" ht="21.95" customHeight="1" spans="1:18">
      <c r="A5576" s="7"/>
      <c r="B5576" s="12"/>
      <c r="C5576" s="33"/>
      <c r="D5576" s="29"/>
      <c r="E5576" s="29"/>
      <c r="F5576" s="29"/>
      <c r="G5576" s="29"/>
      <c r="H5576" s="29"/>
      <c r="I5576" s="29"/>
      <c r="J5576" s="29"/>
      <c r="K5576" s="29"/>
      <c r="L5576" s="29"/>
      <c r="M5576" s="29"/>
      <c r="N5576" s="29"/>
      <c r="O5576" s="29"/>
      <c r="P5576" s="19"/>
      <c r="Q5576" s="19"/>
      <c r="R5576" s="11"/>
    </row>
    <row r="5577" s="1" customFormat="1" ht="21.95" customHeight="1" spans="1:18">
      <c r="A5577" s="7"/>
      <c r="B5577" s="12"/>
      <c r="C5577" s="33"/>
      <c r="D5577" s="29"/>
      <c r="E5577" s="29"/>
      <c r="F5577" s="29"/>
      <c r="G5577" s="29"/>
      <c r="H5577" s="29"/>
      <c r="I5577" s="29"/>
      <c r="J5577" s="29"/>
      <c r="K5577" s="29"/>
      <c r="L5577" s="29"/>
      <c r="M5577" s="29"/>
      <c r="N5577" s="29"/>
      <c r="O5577" s="29"/>
      <c r="P5577" s="19"/>
      <c r="Q5577" s="19"/>
      <c r="R5577" s="11"/>
    </row>
    <row r="5578" s="1" customFormat="1" ht="21.95" customHeight="1" spans="1:18">
      <c r="A5578" s="7"/>
      <c r="B5578" s="12"/>
      <c r="C5578" s="33"/>
      <c r="D5578" s="29"/>
      <c r="E5578" s="29"/>
      <c r="F5578" s="29"/>
      <c r="G5578" s="29"/>
      <c r="H5578" s="29"/>
      <c r="I5578" s="29"/>
      <c r="J5578" s="29"/>
      <c r="K5578" s="29"/>
      <c r="L5578" s="29"/>
      <c r="M5578" s="29"/>
      <c r="N5578" s="29"/>
      <c r="O5578" s="29"/>
      <c r="P5578" s="19"/>
      <c r="Q5578" s="19"/>
      <c r="R5578" s="11"/>
    </row>
    <row r="5579" s="1" customFormat="1" ht="21.95" customHeight="1" spans="1:18">
      <c r="A5579" s="7"/>
      <c r="B5579" s="12"/>
      <c r="C5579" s="33"/>
      <c r="D5579" s="29"/>
      <c r="E5579" s="29"/>
      <c r="F5579" s="29"/>
      <c r="G5579" s="29"/>
      <c r="H5579" s="29"/>
      <c r="I5579" s="29"/>
      <c r="J5579" s="29"/>
      <c r="K5579" s="29"/>
      <c r="L5579" s="29"/>
      <c r="M5579" s="29"/>
      <c r="N5579" s="29"/>
      <c r="O5579" s="29"/>
      <c r="P5579" s="19"/>
      <c r="Q5579" s="19"/>
      <c r="R5579" s="11"/>
    </row>
    <row r="5580" s="1" customFormat="1" ht="21.95" customHeight="1" spans="1:18">
      <c r="A5580" s="7"/>
      <c r="B5580" s="12"/>
      <c r="C5580" s="33"/>
      <c r="D5580" s="29"/>
      <c r="E5580" s="29"/>
      <c r="F5580" s="29"/>
      <c r="G5580" s="29"/>
      <c r="H5580" s="29"/>
      <c r="I5580" s="29"/>
      <c r="J5580" s="29"/>
      <c r="K5580" s="29"/>
      <c r="L5580" s="29"/>
      <c r="M5580" s="29"/>
      <c r="N5580" s="29"/>
      <c r="O5580" s="29"/>
      <c r="P5580" s="19"/>
      <c r="Q5580" s="19"/>
      <c r="R5580" s="11"/>
    </row>
    <row r="5581" s="1" customFormat="1" ht="21.95" customHeight="1" spans="1:18">
      <c r="A5581" s="7"/>
      <c r="B5581" s="12"/>
      <c r="C5581" s="33"/>
      <c r="D5581" s="80" t="s">
        <v>728</v>
      </c>
      <c r="E5581" s="86">
        <f>ENTRY!$D$27</f>
        <v>46102</v>
      </c>
      <c r="F5581" s="86"/>
      <c r="G5581" s="29"/>
      <c r="H5581" s="29"/>
      <c r="I5581" s="29"/>
      <c r="J5581" s="29"/>
      <c r="K5581" s="29"/>
      <c r="L5581" s="29"/>
      <c r="M5581" s="87" t="s">
        <v>730</v>
      </c>
      <c r="N5581" s="87"/>
      <c r="O5581" s="87"/>
      <c r="P5581" s="19"/>
      <c r="Q5581" s="19"/>
      <c r="R5581" s="11"/>
    </row>
    <row r="5582" s="1" customFormat="1" ht="21.95" customHeight="1" spans="1:18">
      <c r="A5582" s="7"/>
      <c r="B5582" s="12"/>
      <c r="C5582" s="33"/>
      <c r="D5582" s="80" t="s">
        <v>731</v>
      </c>
      <c r="E5582" s="88" t="str">
        <f>PROPER(ENTRY!$D$28)</f>
        <v>New Delhi</v>
      </c>
      <c r="F5582" s="88"/>
      <c r="G5582" s="29"/>
      <c r="H5582" s="29"/>
      <c r="I5582" s="29"/>
      <c r="J5582" s="29"/>
      <c r="K5582" s="29"/>
      <c r="L5582" s="29"/>
      <c r="M5582" s="89" t="s">
        <v>732</v>
      </c>
      <c r="N5582" s="89"/>
      <c r="O5582" s="89"/>
      <c r="P5582" s="19"/>
      <c r="Q5582" s="19"/>
      <c r="R5582" s="11"/>
    </row>
    <row r="5583" s="1" customFormat="1" ht="21.95" customHeight="1" spans="1:18">
      <c r="A5583" s="7"/>
      <c r="B5583" s="12"/>
      <c r="C5583" s="90"/>
      <c r="D5583" s="91"/>
      <c r="E5583" s="91"/>
      <c r="F5583" s="91"/>
      <c r="G5583" s="91"/>
      <c r="H5583" s="91"/>
      <c r="I5583" s="91"/>
      <c r="J5583" s="91"/>
      <c r="K5583" s="91"/>
      <c r="L5583" s="91"/>
      <c r="M5583" s="91"/>
      <c r="N5583" s="91"/>
      <c r="O5583" s="91"/>
      <c r="P5583" s="92"/>
      <c r="Q5583" s="14"/>
      <c r="R5583" s="11"/>
    </row>
    <row r="5584" s="1" customFormat="1" ht="5.1" customHeight="1" spans="1:18">
      <c r="A5584" s="7"/>
      <c r="B5584" s="90"/>
      <c r="C5584" s="91"/>
      <c r="D5584" s="91"/>
      <c r="E5584" s="91"/>
      <c r="F5584" s="91"/>
      <c r="G5584" s="91"/>
      <c r="H5584" s="91"/>
      <c r="I5584" s="91"/>
      <c r="J5584" s="91"/>
      <c r="K5584" s="91"/>
      <c r="L5584" s="91"/>
      <c r="M5584" s="91"/>
      <c r="N5584" s="91"/>
      <c r="O5584" s="91"/>
      <c r="P5584" s="91"/>
      <c r="Q5584" s="92"/>
      <c r="R5584" s="11"/>
    </row>
    <row r="5585" s="1" customFormat="1" ht="5.1" customHeight="1" spans="1:18">
      <c r="A5585" s="93"/>
      <c r="B5585" s="94"/>
      <c r="C5585" s="94"/>
      <c r="D5585" s="94"/>
      <c r="E5585" s="94"/>
      <c r="F5585" s="94"/>
      <c r="G5585" s="94"/>
      <c r="H5585" s="94"/>
      <c r="I5585" s="94"/>
      <c r="J5585" s="94"/>
      <c r="K5585" s="94"/>
      <c r="L5585" s="94"/>
      <c r="M5585" s="94"/>
      <c r="N5585" s="94"/>
      <c r="O5585" s="94"/>
      <c r="P5585" s="94"/>
      <c r="Q5585" s="94"/>
      <c r="R5585" s="95"/>
    </row>
    <row r="5586" s="2" customFormat="1" ht="9.95" customHeight="1"/>
    <row r="5587" s="1" customFormat="1" ht="5.1" customHeight="1" spans="1:18">
      <c r="A5587" s="4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6"/>
    </row>
    <row r="5588" s="1" customFormat="1" ht="15" customHeight="1" spans="1:18">
      <c r="A5588" s="7"/>
      <c r="B5588" s="8"/>
      <c r="C5588" s="9"/>
      <c r="D5588" s="9"/>
      <c r="E5588" s="9"/>
      <c r="F5588" s="9"/>
      <c r="G5588" s="9"/>
      <c r="H5588" s="9"/>
      <c r="I5588" s="9"/>
      <c r="J5588" s="9"/>
      <c r="K5588" s="9"/>
      <c r="L5588" s="9"/>
      <c r="M5588" s="9"/>
      <c r="N5588" s="9"/>
      <c r="O5588" s="9"/>
      <c r="P5588" s="9"/>
      <c r="Q5588" s="10"/>
      <c r="R5588" s="11"/>
    </row>
    <row r="5589" s="1" customFormat="1" ht="21.95" customHeight="1" spans="1:18">
      <c r="A5589" s="7"/>
      <c r="B5589" s="12"/>
      <c r="C5589" s="13" t="s">
        <v>7</v>
      </c>
      <c r="D5589" s="13"/>
      <c r="E5589" s="13"/>
      <c r="F5589" s="13"/>
      <c r="G5589" s="13"/>
      <c r="H5589" s="13"/>
      <c r="I5589" s="13"/>
      <c r="J5589" s="13"/>
      <c r="K5589" s="13"/>
      <c r="L5589" s="13"/>
      <c r="M5589" s="13"/>
      <c r="N5589" s="13"/>
      <c r="O5589" s="13"/>
      <c r="P5589" s="13"/>
      <c r="Q5589" s="14"/>
      <c r="R5589" s="11"/>
    </row>
    <row r="5590" s="1" customFormat="1" ht="21.95" customHeight="1" spans="1:18">
      <c r="A5590" s="7"/>
      <c r="B5590" s="1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14"/>
      <c r="R5590" s="11"/>
    </row>
    <row r="5591" s="1" customFormat="1" ht="21.95" customHeight="1" spans="1:18">
      <c r="A5591" s="7"/>
      <c r="B5591" s="12"/>
      <c r="C5591" s="15" t="str">
        <f>"SESSION-"&amp;ENTRY!$D$11</f>
        <v>SESSION-2026-27</v>
      </c>
      <c r="D5591" s="15"/>
      <c r="E5591" s="15"/>
      <c r="F5591" s="15"/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  <c r="Q5591" s="14"/>
      <c r="R5591" s="11"/>
    </row>
    <row r="5592" s="1" customFormat="1" ht="21.95" customHeight="1" spans="1:18">
      <c r="A5592" s="7"/>
      <c r="B5592" s="12"/>
      <c r="C5592" s="2"/>
      <c r="D5592" s="2"/>
      <c r="E5592" s="2"/>
      <c r="F5592" s="16">
        <f>F5535+1</f>
        <v>99</v>
      </c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14"/>
      <c r="R5592" s="11"/>
    </row>
    <row r="5593" s="1" customFormat="1" ht="21.95" customHeight="1" spans="1:18">
      <c r="A5593" s="7"/>
      <c r="B5593" s="12"/>
      <c r="C5593" s="17" t="s">
        <v>392</v>
      </c>
      <c r="D5593" s="17"/>
      <c r="E5593" s="17"/>
      <c r="F5593" s="18" t="str">
        <f>IF(F5592&gt;0,ENTRY!$D$6,"")</f>
        <v>MCP NITHARI NO 1 BOYS</v>
      </c>
      <c r="G5593" s="18"/>
      <c r="H5593" s="18"/>
      <c r="I5593" s="18"/>
      <c r="J5593" s="18"/>
      <c r="K5593" s="18"/>
      <c r="L5593" s="18"/>
      <c r="M5593" s="18"/>
      <c r="N5593" s="18"/>
      <c r="O5593" s="18"/>
      <c r="P5593" s="18"/>
      <c r="Q5593" s="19"/>
      <c r="R5593" s="11"/>
    </row>
    <row r="5594" s="1" customFormat="1" ht="21.95" customHeight="1" spans="1:18">
      <c r="A5594" s="7"/>
      <c r="B5594" s="12"/>
      <c r="C5594" s="17" t="s">
        <v>393</v>
      </c>
      <c r="D5594" s="17"/>
      <c r="E5594" s="17"/>
      <c r="F5594" s="18">
        <f>IF(F5592&gt;0,ENTRY!$D$7,"")</f>
        <v>0</v>
      </c>
      <c r="G5594" s="18"/>
      <c r="H5594" s="20" t="s">
        <v>702</v>
      </c>
      <c r="I5594" s="20"/>
      <c r="J5594" s="21">
        <f>IF(F5592&gt;0,ENTRY!$D$10,"")</f>
        <v>40</v>
      </c>
      <c r="K5594" s="20" t="s">
        <v>703</v>
      </c>
      <c r="L5594" s="22" t="str">
        <f>IF(F5592&gt;0,ENTRY!$D$5,"")</f>
        <v>ROHINI ZONE</v>
      </c>
      <c r="M5594" s="22"/>
      <c r="N5594" s="22"/>
      <c r="O5594" s="22"/>
      <c r="P5594" s="22"/>
      <c r="Q5594" s="19"/>
      <c r="R5594" s="11"/>
    </row>
    <row r="5595" s="1" customFormat="1" ht="21.95" customHeight="1" spans="1:18">
      <c r="A5595" s="7"/>
      <c r="B5595" s="12"/>
      <c r="C5595" s="17" t="s">
        <v>706</v>
      </c>
      <c r="D5595" s="17"/>
      <c r="E5595" s="17"/>
      <c r="F5595" s="23">
        <f>IFERROR(VLOOKUP(F5592,STUDENT!$A$2:$BP$101,5,0),"")</f>
        <v>0</v>
      </c>
      <c r="G5595" s="23"/>
      <c r="H5595" s="23"/>
      <c r="I5595" s="23"/>
      <c r="J5595" s="23"/>
      <c r="K5595" s="23"/>
      <c r="L5595" s="20" t="s">
        <v>707</v>
      </c>
      <c r="M5595" s="20"/>
      <c r="N5595" s="24" t="str">
        <f>IF(F5592&gt;0,ENTRY!$D$20&amp;"-"&amp;ENTRY!$D$21,"")</f>
        <v>III-A</v>
      </c>
      <c r="O5595" s="24"/>
      <c r="P5595" s="24"/>
      <c r="Q5595" s="19"/>
      <c r="R5595" s="11"/>
    </row>
    <row r="5596" s="1" customFormat="1" ht="21.95" customHeight="1" spans="1:18">
      <c r="A5596" s="7"/>
      <c r="B5596" s="12"/>
      <c r="C5596" s="17" t="s">
        <v>708</v>
      </c>
      <c r="D5596" s="17"/>
      <c r="E5596" s="17"/>
      <c r="F5596" s="25">
        <f>IFERROR(VLOOKUP(F5592,STUDENT!$A$2:$BP$101,6,0),"")</f>
        <v>0</v>
      </c>
      <c r="G5596" s="25"/>
      <c r="H5596" s="26" t="s">
        <v>709</v>
      </c>
      <c r="I5596" s="27" t="str">
        <f>IFERROR(VLOOKUP(F5592,STUDENT!$A$2:$BP$101,59,0),"")</f>
        <v/>
      </c>
      <c r="J5596" s="27"/>
      <c r="K5596" s="20" t="s">
        <v>710</v>
      </c>
      <c r="L5596" s="20"/>
      <c r="M5596" s="28">
        <f>IFERROR(VLOOKUP(F5592,STUDENT!$A$2:$BP$101,20,0),"")</f>
        <v>0</v>
      </c>
      <c r="N5596" s="28"/>
      <c r="O5596" s="28"/>
      <c r="P5596" s="28"/>
      <c r="Q5596" s="19"/>
      <c r="R5596" s="11"/>
    </row>
    <row r="5597" s="1" customFormat="1" ht="21.95" customHeight="1" spans="1:18">
      <c r="A5597" s="7"/>
      <c r="B5597" s="12"/>
      <c r="C5597" s="17" t="s">
        <v>711</v>
      </c>
      <c r="D5597" s="17"/>
      <c r="E5597" s="17"/>
      <c r="F5597" s="23">
        <f>IFERROR(VLOOKUP(F5592,STUDENT!$A$2:$BP$101,9,0),"")</f>
        <v>0</v>
      </c>
      <c r="G5597" s="23"/>
      <c r="H5597" s="23"/>
      <c r="I5597" s="23"/>
      <c r="J5597" s="17" t="s">
        <v>620</v>
      </c>
      <c r="K5597" s="17"/>
      <c r="L5597" s="23">
        <f>IFERROR(VLOOKUP(F5592,STUDENT!$A$2:$BP$101,8,0),"")</f>
        <v>0</v>
      </c>
      <c r="M5597" s="23"/>
      <c r="N5597" s="23"/>
      <c r="O5597" s="23"/>
      <c r="P5597" s="23"/>
      <c r="Q5597" s="19"/>
      <c r="R5597" s="11"/>
    </row>
    <row r="5598" s="1" customFormat="1" ht="21.95" customHeight="1" spans="1:18">
      <c r="A5598" s="7"/>
      <c r="B5598" s="12"/>
      <c r="C5598" s="17" t="s">
        <v>712</v>
      </c>
      <c r="D5598" s="17"/>
      <c r="E5598" s="17"/>
      <c r="F5598" s="23">
        <f>IFERROR(VLOOKUP(F5592,STUDENT!$A$2:$BP$101,22,0),"")</f>
        <v>0</v>
      </c>
      <c r="G5598" s="23"/>
      <c r="H5598" s="23"/>
      <c r="I5598" s="23"/>
      <c r="J5598" s="23"/>
      <c r="K5598" s="23"/>
      <c r="L5598" s="23"/>
      <c r="M5598" s="23"/>
      <c r="N5598" s="23"/>
      <c r="O5598" s="23"/>
      <c r="P5598" s="23"/>
      <c r="Q5598" s="19"/>
      <c r="R5598" s="11"/>
    </row>
    <row r="5599" s="1" customFormat="1" ht="9.95" customHeight="1" spans="1:18">
      <c r="A5599" s="7"/>
      <c r="B5599" s="12"/>
      <c r="C5599" s="29"/>
      <c r="D5599" s="29"/>
      <c r="E5599" s="29"/>
      <c r="F5599" s="29"/>
      <c r="G5599" s="29"/>
      <c r="H5599" s="29"/>
      <c r="I5599" s="29"/>
      <c r="J5599" s="29"/>
      <c r="K5599" s="29"/>
      <c r="L5599" s="29"/>
      <c r="M5599" s="29"/>
      <c r="N5599" s="29"/>
      <c r="O5599" s="29"/>
      <c r="P5599" s="29"/>
      <c r="Q5599" s="19"/>
      <c r="R5599" s="11"/>
    </row>
    <row r="5600" s="1" customFormat="1" ht="9.95" customHeight="1" spans="1:18">
      <c r="A5600" s="7"/>
      <c r="B5600" s="12"/>
      <c r="C5600" s="30"/>
      <c r="D5600" s="31"/>
      <c r="E5600" s="31"/>
      <c r="F5600" s="31"/>
      <c r="G5600" s="31"/>
      <c r="H5600" s="31"/>
      <c r="I5600" s="31"/>
      <c r="J5600" s="31"/>
      <c r="K5600" s="31"/>
      <c r="L5600" s="31"/>
      <c r="M5600" s="31"/>
      <c r="N5600" s="31"/>
      <c r="O5600" s="31"/>
      <c r="P5600" s="32"/>
      <c r="Q5600" s="19"/>
      <c r="R5600" s="11"/>
    </row>
    <row r="5601" s="1" customFormat="1" ht="21.95" customHeight="1" spans="1:18">
      <c r="A5601" s="7"/>
      <c r="B5601" s="12"/>
      <c r="C5601" s="33"/>
      <c r="D5601" s="34" t="s">
        <v>713</v>
      </c>
      <c r="E5601" s="20" t="s">
        <v>714</v>
      </c>
      <c r="F5601" s="35" t="str">
        <f>"Level - "&amp;IFERROR(VLOOKUP(F5592,FLN!$A$4:$K$103,9,0),"")</f>
        <v>Level - </v>
      </c>
      <c r="G5601" s="36"/>
      <c r="H5601" s="37" t="s">
        <v>715</v>
      </c>
      <c r="I5601" s="20"/>
      <c r="J5601" s="35" t="str">
        <f>"Level - "&amp;IFERROR(VLOOKUP(F5592,FLN!$A$4:$K$103,11,0),"")</f>
        <v>Level - </v>
      </c>
      <c r="K5601" s="36"/>
      <c r="L5601" s="37" t="s">
        <v>408</v>
      </c>
      <c r="M5601" s="20"/>
      <c r="N5601" s="35" t="str">
        <f>"Level - "&amp;IFERROR(VLOOKUP(F5592,FLN!$A$4:$K$103,10,0),"")</f>
        <v>Level - </v>
      </c>
      <c r="O5601" s="36"/>
      <c r="P5601" s="19"/>
      <c r="Q5601" s="19"/>
      <c r="R5601" s="11"/>
    </row>
    <row r="5602" s="1" customFormat="1" ht="21.95" customHeight="1" spans="1:18">
      <c r="A5602" s="7"/>
      <c r="B5602" s="12"/>
      <c r="C5602" s="33"/>
      <c r="D5602" s="38"/>
      <c r="E5602" s="20" t="s">
        <v>716</v>
      </c>
      <c r="F5602" s="18" t="str">
        <f ca="1">IF(L5616&gt;197,"PERFORMED WELL","")</f>
        <v/>
      </c>
      <c r="G5602" s="18"/>
      <c r="H5602" s="18"/>
      <c r="I5602" s="18"/>
      <c r="J5602" s="18"/>
      <c r="K5602" s="18"/>
      <c r="L5602" s="18"/>
      <c r="M5602" s="18"/>
      <c r="N5602" s="18"/>
      <c r="O5602" s="18"/>
      <c r="P5602" s="19"/>
      <c r="Q5602" s="19"/>
      <c r="R5602" s="11"/>
    </row>
    <row r="5603" s="1" customFormat="1" ht="9.95" customHeight="1" spans="1:18">
      <c r="A5603" s="7"/>
      <c r="B5603" s="12"/>
      <c r="C5603" s="39"/>
      <c r="D5603" s="40"/>
      <c r="E5603" s="40"/>
      <c r="F5603" s="40"/>
      <c r="G5603" s="40"/>
      <c r="H5603" s="40"/>
      <c r="I5603" s="40"/>
      <c r="J5603" s="40"/>
      <c r="K5603" s="40"/>
      <c r="L5603" s="40"/>
      <c r="M5603" s="40"/>
      <c r="N5603" s="40"/>
      <c r="O5603" s="40"/>
      <c r="P5603" s="41"/>
      <c r="Q5603" s="19"/>
      <c r="R5603" s="11"/>
    </row>
    <row r="5604" s="1" customFormat="1" ht="9.95" customHeight="1" spans="1:18">
      <c r="A5604" s="7"/>
      <c r="B5604" s="12"/>
      <c r="C5604" s="29"/>
      <c r="D5604" s="29"/>
      <c r="E5604" s="29"/>
      <c r="F5604" s="29"/>
      <c r="G5604" s="29"/>
      <c r="H5604" s="29"/>
      <c r="I5604" s="29"/>
      <c r="J5604" s="29"/>
      <c r="K5604" s="29"/>
      <c r="L5604" s="29"/>
      <c r="M5604" s="29"/>
      <c r="N5604" s="29"/>
      <c r="O5604" s="29"/>
      <c r="P5604" s="29"/>
      <c r="Q5604" s="19"/>
      <c r="R5604" s="11"/>
    </row>
    <row r="5605" s="1" customFormat="1" ht="9.95" customHeight="1" spans="1:18">
      <c r="A5605" s="7"/>
      <c r="B5605" s="12"/>
      <c r="C5605" s="30"/>
      <c r="D5605" s="31"/>
      <c r="E5605" s="31"/>
      <c r="F5605" s="31"/>
      <c r="G5605" s="31"/>
      <c r="H5605" s="31"/>
      <c r="I5605" s="31"/>
      <c r="J5605" s="31"/>
      <c r="K5605" s="31"/>
      <c r="L5605" s="31"/>
      <c r="M5605" s="31"/>
      <c r="N5605" s="31"/>
      <c r="O5605" s="31"/>
      <c r="P5605" s="32"/>
      <c r="Q5605" s="19"/>
      <c r="R5605" s="11"/>
    </row>
    <row r="5606" s="1" customFormat="1" ht="21.95" customHeight="1" spans="1:18">
      <c r="A5606" s="7"/>
      <c r="B5606" s="12"/>
      <c r="C5606" s="33"/>
      <c r="D5606" s="35"/>
      <c r="E5606" s="24"/>
      <c r="F5606" s="42" t="s">
        <v>717</v>
      </c>
      <c r="G5606" s="42"/>
      <c r="H5606" s="42"/>
      <c r="I5606" s="42"/>
      <c r="J5606" s="42"/>
      <c r="K5606" s="42"/>
      <c r="L5606" s="43"/>
      <c r="M5606" s="44"/>
      <c r="N5606" s="29"/>
      <c r="O5606" s="29"/>
      <c r="P5606" s="19"/>
      <c r="Q5606" s="19"/>
      <c r="R5606" s="11"/>
    </row>
    <row r="5607" s="1" customFormat="1" ht="21.95" customHeight="1" spans="1:18">
      <c r="A5607" s="7"/>
      <c r="B5607" s="12"/>
      <c r="C5607" s="33"/>
      <c r="D5607" s="45"/>
      <c r="E5607" s="46"/>
      <c r="F5607" s="47" t="s">
        <v>541</v>
      </c>
      <c r="G5607" s="47" t="s">
        <v>542</v>
      </c>
      <c r="H5607" s="47" t="s">
        <v>543</v>
      </c>
      <c r="I5607" s="47" t="s">
        <v>544</v>
      </c>
      <c r="J5607" s="47" t="s">
        <v>561</v>
      </c>
      <c r="K5607" s="48" t="s">
        <v>750</v>
      </c>
      <c r="L5607" s="47" t="s">
        <v>382</v>
      </c>
      <c r="M5607" s="49" t="s">
        <v>546</v>
      </c>
      <c r="N5607" s="29"/>
      <c r="O5607" s="29"/>
      <c r="P5607" s="19"/>
      <c r="Q5607" s="19"/>
      <c r="R5607" s="11"/>
    </row>
    <row r="5608" s="1" customFormat="1" ht="21.95" customHeight="1" spans="1:18">
      <c r="A5608" s="7"/>
      <c r="B5608" s="12"/>
      <c r="C5608" s="33"/>
      <c r="D5608" s="45" t="s">
        <v>652</v>
      </c>
      <c r="E5608" s="46"/>
      <c r="F5608" s="50">
        <v>10</v>
      </c>
      <c r="G5608" s="50">
        <v>10</v>
      </c>
      <c r="H5608" s="50">
        <v>10</v>
      </c>
      <c r="I5608" s="50">
        <v>10</v>
      </c>
      <c r="J5608" s="50">
        <v>60</v>
      </c>
      <c r="K5608" s="51"/>
      <c r="L5608" s="50">
        <v>100</v>
      </c>
      <c r="M5608" s="49"/>
      <c r="N5608" s="29"/>
      <c r="O5608" s="29"/>
      <c r="P5608" s="19"/>
      <c r="Q5608" s="19"/>
      <c r="R5608" s="11"/>
    </row>
    <row r="5609" s="1" customFormat="1" ht="21.95" customHeight="1" spans="1:18">
      <c r="A5609" s="7"/>
      <c r="B5609" s="12"/>
      <c r="C5609" s="33"/>
      <c r="D5609" s="52" t="s">
        <v>751</v>
      </c>
      <c r="E5609" s="53"/>
      <c r="F5609" s="54" t="str">
        <f ca="1">IFERROR(VLOOKUP(F5592,'RR-3.1-5TH'!$A$12:'RR-3.1-5TH'!$BN$111,9,0),"")</f>
        <v/>
      </c>
      <c r="G5609" s="54" t="str">
        <f ca="1">IFERROR(VLOOKUP(F5592,'RR-3.1-5TH'!$A$12:'RR-3.1-5TH'!$BN$111,10,0),"")</f>
        <v/>
      </c>
      <c r="H5609" s="54" t="str">
        <f ca="1">IFERROR(VLOOKUP(F5592,'RR-3.1-5TH'!$A$12:'RR-3.1-5TH'!$BN$111,11,0),"")</f>
        <v/>
      </c>
      <c r="I5609" s="54" t="str">
        <f ca="1">IFERROR(VLOOKUP(F5592,'RR-3.1-5TH'!$A$12:'RR-3.1-5TH'!$BN$111,12,0),"")</f>
        <v/>
      </c>
      <c r="J5609" s="54" t="str">
        <f ca="1">IFERROR(VLOOKUP(F5592,'RR-3.1-5TH'!$A$12:'RR-3.1-5TH'!$BN$111,13,0),"")</f>
        <v/>
      </c>
      <c r="K5609" s="54" t="str">
        <f ca="1">IFERROR(VLOOKUP(F5592,'RR-3.1-5TH'!$A$12:'RR-3.1-5TH'!$BN$111,14,0),"")</f>
        <v/>
      </c>
      <c r="L5609" s="55">
        <f ca="1" t="shared" ref="L5609:L5614" si="294">SUM(F5609,G5609,H5609,I5609,J5609,K5609)</f>
        <v>0</v>
      </c>
      <c r="M5609" s="56" t="str">
        <f ca="1">IF(F5592&gt;ENTRY!$D$24,"",IF(L5609=0,"Ab",IF(L5609&gt;80,"A",IF(L5609&gt;60,"B",IF(L5609&gt;44,"C",IF(L5609&gt;=33,"D",IF(L5609&lt;=32,"E","")))))))</f>
        <v/>
      </c>
      <c r="N5609" s="57" t="s">
        <v>729</v>
      </c>
      <c r="O5609" s="58"/>
      <c r="P5609" s="59"/>
      <c r="Q5609" s="19"/>
      <c r="R5609" s="11"/>
    </row>
    <row r="5610" s="1" customFormat="1" ht="21.95" customHeight="1" spans="1:18">
      <c r="A5610" s="7"/>
      <c r="B5610" s="12"/>
      <c r="C5610" s="33"/>
      <c r="D5610" s="52" t="s">
        <v>513</v>
      </c>
      <c r="E5610" s="53"/>
      <c r="F5610" s="54" t="str">
        <f ca="1">IFERROR(VLOOKUP(F5592,'RR-3.1-5TH'!$A$12:'RR-3.1-5TH'!$BN$111,17,0),"")</f>
        <v/>
      </c>
      <c r="G5610" s="54" t="str">
        <f ca="1">IFERROR(VLOOKUP(F5592,'RR-3.1-5TH'!$A$12:'RR-3.1-5TH'!$BN$111,18,0),"")</f>
        <v/>
      </c>
      <c r="H5610" s="54" t="str">
        <f ca="1">IFERROR(VLOOKUP(F5592,'RR-3.1-5TH'!$A$12:'RR-3.1-5TH'!$BN$111,19,0),"")</f>
        <v/>
      </c>
      <c r="I5610" s="54" t="str">
        <f ca="1">IFERROR(VLOOKUP(F5592,'RR-3.1-5TH'!$A$12:'RR-3.1-5TH'!$BN$111,20,0),"")</f>
        <v/>
      </c>
      <c r="J5610" s="54" t="str">
        <f ca="1">IFERROR(VLOOKUP(F5592,'RR-3.1-5TH'!$A$12:'RR-3.1-5TH'!$BN$111,21,0),"")</f>
        <v/>
      </c>
      <c r="K5610" s="54" t="str">
        <f ca="1">IFERROR(VLOOKUP(F5592,'RR-3.1-5TH'!$A$12:'RR-3.1-5TH'!$BN$111,22,0),"")</f>
        <v/>
      </c>
      <c r="L5610" s="55">
        <f ca="1" t="shared" si="294"/>
        <v>0</v>
      </c>
      <c r="M5610" s="56" t="str">
        <f ca="1">IF(F5592&gt;ENTRY!$D$24,"",IF(L5610=0,"Ab",IF(L5610&gt;80,"A",IF(L5610&gt;60,"B",IF(L5610&gt;44,"C",IF(L5610&gt;=33,"D",IF(L5610&lt;=32,"E","")))))))</f>
        <v/>
      </c>
      <c r="N5610" s="58"/>
      <c r="O5610" s="58"/>
      <c r="P5610" s="59"/>
      <c r="Q5610" s="19"/>
      <c r="R5610" s="11"/>
    </row>
    <row r="5611" s="1" customFormat="1" ht="21.95" customHeight="1" spans="1:18">
      <c r="A5611" s="7"/>
      <c r="B5611" s="12"/>
      <c r="C5611" s="33"/>
      <c r="D5611" s="52" t="s">
        <v>718</v>
      </c>
      <c r="E5611" s="53"/>
      <c r="F5611" s="54" t="str">
        <f ca="1">IFERROR(VLOOKUP(F5592,'RR-3.1-5TH'!$A$12:'RR-3.1-5TH'!$BN$111,25,0),"")</f>
        <v/>
      </c>
      <c r="G5611" s="54" t="str">
        <f ca="1">IFERROR(VLOOKUP(F5592,'RR-3.1-5TH'!$A$12:'RR-3.1-5TH'!$BN$111,26,0),"")</f>
        <v/>
      </c>
      <c r="H5611" s="54" t="str">
        <f ca="1">IFERROR(VLOOKUP(F5592,'RR-3.1-5TH'!$A$12:'RR-3.1-5TH'!$BN$111,27,0),"")</f>
        <v/>
      </c>
      <c r="I5611" s="54" t="str">
        <f ca="1">IFERROR(VLOOKUP(F5592,'RR-3.1-5TH'!$A$12:'RR-3.1-5TH'!$BN$111,28,0),"")</f>
        <v/>
      </c>
      <c r="J5611" s="54" t="str">
        <f ca="1">IFERROR(VLOOKUP(F5592,'RR-3.1-5TH'!$A$12:'RR-3.1-5TH'!$BN$111,29,0),"")</f>
        <v/>
      </c>
      <c r="K5611" s="54" t="str">
        <f ca="1">IFERROR(VLOOKUP(F5592,'RR-3.1-5TH'!$A$12:'RR-3.1-5TH'!$BN$111,30,0),"")</f>
        <v/>
      </c>
      <c r="L5611" s="55">
        <f ca="1" t="shared" si="294"/>
        <v>0</v>
      </c>
      <c r="M5611" s="56" t="str">
        <f ca="1">IF(F5592&gt;ENTRY!$D$24,"",IF(L5611=0,"Ab",IF(L5611&gt;80,"A",IF(L5611&gt;60,"B",IF(L5611&gt;44,"C",IF(L5611&gt;=33,"D",IF(L5611&lt;=32,"E","")))))))</f>
        <v/>
      </c>
      <c r="N5611" s="29"/>
      <c r="O5611" s="29"/>
      <c r="P5611" s="19"/>
      <c r="Q5611" s="19"/>
      <c r="R5611" s="11"/>
    </row>
    <row r="5612" s="1" customFormat="1" ht="21.95" customHeight="1" spans="1:18">
      <c r="A5612" s="7"/>
      <c r="B5612" s="12"/>
      <c r="C5612" s="33"/>
      <c r="D5612" s="52" t="s">
        <v>719</v>
      </c>
      <c r="E5612" s="53"/>
      <c r="F5612" s="54" t="str">
        <f ca="1">IFERROR(VLOOKUP(F5592,'RR-3.1-5TH'!$A$12:'RR-3.1-5TH'!$BN$111,33,0),"")</f>
        <v/>
      </c>
      <c r="G5612" s="54" t="str">
        <f ca="1">IFERROR(VLOOKUP(F5592,'RR-3.1-5TH'!$A$12:'RR-3.1-5TH'!$BN$111,34,0),"")</f>
        <v/>
      </c>
      <c r="H5612" s="54" t="str">
        <f ca="1">IFERROR(VLOOKUP(F5592,'RR-3.1-5TH'!$A$12:'RR-3.1-5TH'!$BN$111,35,0),"")</f>
        <v/>
      </c>
      <c r="I5612" s="54" t="str">
        <f ca="1">IFERROR(VLOOKUP(F5592,'RR-3.1-5TH'!$A$12:'RR-3.1-5TH'!$BN$111,36,0),"")</f>
        <v/>
      </c>
      <c r="J5612" s="54" t="str">
        <f ca="1">IFERROR(VLOOKUP(F5592,'RR-3.1-5TH'!$A$12:'RR-3.1-5TH'!$BN$111,37,0),"")</f>
        <v/>
      </c>
      <c r="K5612" s="54" t="str">
        <f ca="1">IFERROR(VLOOKUP(F5592,'RR-3.1-5TH'!$A$12:'RR-3.1-5TH'!$BN$111,38,0),"")</f>
        <v/>
      </c>
      <c r="L5612" s="55">
        <f ca="1" t="shared" si="294"/>
        <v>0</v>
      </c>
      <c r="M5612" s="56" t="str">
        <f ca="1">IF(F5592&gt;ENTRY!$D$24,"",IF(L5612=0,"Ab",IF(L5612&gt;80,"A",IF(L5612&gt;60,"B",IF(L5612&gt;44,"C",IF(L5612&gt;=33,"D",IF(L5612&lt;=32,"E","")))))))</f>
        <v/>
      </c>
      <c r="N5612" s="29"/>
      <c r="O5612" s="29"/>
      <c r="P5612" s="19"/>
      <c r="Q5612" s="19"/>
      <c r="R5612" s="11"/>
    </row>
    <row r="5613" s="1" customFormat="1" ht="21.95" customHeight="1" spans="1:18">
      <c r="A5613" s="7"/>
      <c r="B5613" s="12"/>
      <c r="C5613" s="33"/>
      <c r="D5613" s="52" t="s">
        <v>548</v>
      </c>
      <c r="E5613" s="53"/>
      <c r="F5613" s="54" t="str">
        <f ca="1">IFERROR(VLOOKUP(F5592,'RR-3.1-5TH'!$A$12:'RR-3.1-5TH'!$BN$111,41,0),"")</f>
        <v/>
      </c>
      <c r="G5613" s="54" t="str">
        <f ca="1">IFERROR(VLOOKUP(F5592,'RR-3.1-5TH'!$A$12:'RR-3.1-5TH'!$BN$111,42,0),"")</f>
        <v/>
      </c>
      <c r="H5613" s="54" t="str">
        <f ca="1">IFERROR(VLOOKUP(F5592,'RR-3.1-5TH'!$A$12:'RR-3.1-5TH'!$BN$111,43,0),"")</f>
        <v/>
      </c>
      <c r="I5613" s="54" t="str">
        <f ca="1">IFERROR(VLOOKUP(F5592,'RR-3.1-5TH'!$A$12:'RR-3.1-5TH'!$BN$111,44,0),"")</f>
        <v/>
      </c>
      <c r="J5613" s="54" t="str">
        <f ca="1">IFERROR(VLOOKUP(F5592,'RR-3.1-5TH'!$A$12:'RR-3.1-5TH'!$BN$111,45,0),"")</f>
        <v/>
      </c>
      <c r="K5613" s="54" t="str">
        <f ca="1">IFERROR(VLOOKUP(F5592,'RR-3.1-5TH'!$A$12:'RR-3.1-5TH'!$BN$111,46,0),"")</f>
        <v/>
      </c>
      <c r="L5613" s="55">
        <f ca="1" t="shared" si="294"/>
        <v>0</v>
      </c>
      <c r="M5613" s="56" t="str">
        <f ca="1">IF(F5592&gt;ENTRY!$D$24,"",IF(L5613=0,"Ab",IF(L5613&gt;80,"A",IF(L5613&gt;60,"B",IF(L5613&gt;44,"C",IF(L5613&gt;=33,"D",IF(L5613&lt;=32,"E","")))))))</f>
        <v/>
      </c>
      <c r="N5613" s="29"/>
      <c r="O5613" s="29"/>
      <c r="P5613" s="19"/>
      <c r="Q5613" s="19"/>
      <c r="R5613" s="11"/>
    </row>
    <row r="5614" s="1" customFormat="1" ht="21.95" customHeight="1" spans="1:18">
      <c r="A5614" s="7"/>
      <c r="B5614" s="12"/>
      <c r="C5614" s="33"/>
      <c r="D5614" s="52" t="s">
        <v>549</v>
      </c>
      <c r="E5614" s="53"/>
      <c r="F5614" s="54" t="str">
        <f ca="1">IFERROR(VLOOKUP(F5592,'RR-3.1-5TH'!$A$12:'RR-3.1-5TH'!$BN$111,49,0),"")</f>
        <v/>
      </c>
      <c r="G5614" s="54" t="str">
        <f ca="1">IFERROR(VLOOKUP(F5592,'RR-3.1-5TH'!$A$12:'RR-3.1-5TH'!$BN$111,50,0),"")</f>
        <v/>
      </c>
      <c r="H5614" s="54" t="str">
        <f ca="1">IFERROR(VLOOKUP(F5592,'RR-3.1-5TH'!$A$12:'RR-3.1-5TH'!$BN$111,51,0),"")</f>
        <v/>
      </c>
      <c r="I5614" s="54" t="str">
        <f ca="1">IFERROR(VLOOKUP(F5592,'RR-3.1-5TH'!$A$12:'RR-3.1-5TH'!$BN$111,52,0),"")</f>
        <v/>
      </c>
      <c r="J5614" s="54" t="str">
        <f ca="1">IFERROR(VLOOKUP(F5592,'RR-3.1-5TH'!$A$12:'RR-3.1-5TH'!$BN$111,53,0),"")</f>
        <v/>
      </c>
      <c r="K5614" s="54" t="str">
        <f ca="1">IFERROR(VLOOKUP(F5592,'RR-3.1-5TH'!$A$12:'RR-3.1-5TH'!$BN$111,54,0),"")</f>
        <v/>
      </c>
      <c r="L5614" s="55">
        <f ca="1" t="shared" si="294"/>
        <v>0</v>
      </c>
      <c r="M5614" s="56" t="str">
        <f ca="1">IF(F5592&gt;ENTRY!$D$24,"",IF(L5614=0,"Ab",IF(L5614&gt;80,"A",IF(L5614&gt;60,"B",IF(L5614&gt;44,"C",IF(L5614&gt;=33,"D",IF(L5614&lt;=32,"E","")))))))</f>
        <v/>
      </c>
      <c r="N5614" s="57" t="s">
        <v>752</v>
      </c>
      <c r="O5614" s="58"/>
      <c r="P5614" s="59"/>
      <c r="Q5614" s="19"/>
      <c r="R5614" s="11"/>
    </row>
    <row r="5615" s="1" customFormat="1" ht="21.95" customHeight="1" spans="1:18">
      <c r="A5615" s="7"/>
      <c r="B5615" s="12"/>
      <c r="C5615" s="33"/>
      <c r="D5615" s="52" t="s">
        <v>753</v>
      </c>
      <c r="E5615" s="53"/>
      <c r="F5615" s="60"/>
      <c r="G5615" s="54"/>
      <c r="H5615" s="54"/>
      <c r="I5615" s="54"/>
      <c r="J5615" s="54"/>
      <c r="K5615" s="54"/>
      <c r="L5615" s="55">
        <f t="shared" ref="L5615" si="295">SUM(G5615:K5615)</f>
        <v>0</v>
      </c>
      <c r="M5615" s="56" t="str">
        <f>IF(F5592&gt;ENTRY!$D$24,"",IF(L5615=0,"",IF(L5615&gt;79,"A",IF(L5615&gt;59,"B",IF(L5615&gt;44,"C",IF(L5615&gt;=33,"D",IF(L5615&lt;=32,"E","")))))))</f>
        <v/>
      </c>
      <c r="N5615" s="58"/>
      <c r="O5615" s="58"/>
      <c r="P5615" s="59"/>
      <c r="Q5615" s="19"/>
      <c r="R5615" s="11"/>
    </row>
    <row r="5616" s="1" customFormat="1" ht="21.95" customHeight="1" spans="1:18">
      <c r="A5616" s="7"/>
      <c r="B5616" s="12"/>
      <c r="C5616" s="33"/>
      <c r="D5616" s="45" t="s">
        <v>382</v>
      </c>
      <c r="E5616" s="46"/>
      <c r="F5616" s="54">
        <f ca="1" t="shared" ref="F5616:L5616" si="296">IFERROR(SUM(F5609:F5615),"")</f>
        <v>0</v>
      </c>
      <c r="G5616" s="54">
        <f ca="1" t="shared" si="296"/>
        <v>0</v>
      </c>
      <c r="H5616" s="54">
        <f ca="1" t="shared" si="296"/>
        <v>0</v>
      </c>
      <c r="I5616" s="54">
        <f ca="1" t="shared" si="296"/>
        <v>0</v>
      </c>
      <c r="J5616" s="54">
        <f ca="1" t="shared" si="296"/>
        <v>0</v>
      </c>
      <c r="K5616" s="54">
        <f ca="1" t="shared" si="296"/>
        <v>0</v>
      </c>
      <c r="L5616" s="55">
        <f ca="1" t="shared" si="296"/>
        <v>0</v>
      </c>
      <c r="M5616" s="61" t="str">
        <f ca="1">IF(F5592&gt;ENTRY!$D$24,"",IF(N5617="Ab","Ab",IF(N5617&gt;79.5,"A",IF(N5617&gt;59.5,"B",IF(N5617&gt;44.5,"C",IF(N5617&gt;=33,"D",IF(N5617&lt;33,"E","")))))))</f>
        <v/>
      </c>
      <c r="N5616" s="62"/>
      <c r="O5616" s="58"/>
      <c r="P5616" s="59"/>
      <c r="Q5616" s="19"/>
      <c r="R5616" s="11"/>
    </row>
    <row r="5617" s="1" customFormat="1" ht="21.95" customHeight="1" spans="1:19">
      <c r="A5617" s="7"/>
      <c r="B5617" s="12"/>
      <c r="C5617" s="33"/>
      <c r="D5617" s="63" t="s">
        <v>721</v>
      </c>
      <c r="E5617" s="63"/>
      <c r="F5617" s="63"/>
      <c r="G5617" s="63"/>
      <c r="H5617" s="63"/>
      <c r="I5617" s="63"/>
      <c r="J5617" s="63"/>
      <c r="K5617" s="63"/>
      <c r="L5617" s="63"/>
      <c r="M5617" s="63"/>
      <c r="N5617" s="64">
        <f ca="1">IF(L5616="Ab","Ab",L5616/6)</f>
        <v>0</v>
      </c>
      <c r="O5617" s="65"/>
      <c r="P5617" s="19"/>
      <c r="Q5617" s="19"/>
      <c r="R5617" s="11"/>
    </row>
    <row r="5618" s="1" customFormat="1" ht="21.95" customHeight="1" spans="1:19">
      <c r="A5618" s="7"/>
      <c r="B5618" s="12"/>
      <c r="C5618" s="33"/>
      <c r="D5618" s="29" t="s">
        <v>716</v>
      </c>
      <c r="E5618" s="18" t="str">
        <f>IFERROR(VLOOKUP(F5592,'1to4-2.1-RR'!$A$12:$BG$111,57,0),"")</f>
        <v/>
      </c>
      <c r="F5618" s="18"/>
      <c r="G5618" s="18"/>
      <c r="H5618" s="18"/>
      <c r="I5618" s="18"/>
      <c r="J5618" s="18"/>
      <c r="K5618" s="18"/>
      <c r="L5618" s="18"/>
      <c r="M5618" s="18"/>
      <c r="N5618" s="29"/>
      <c r="O5618" s="29"/>
      <c r="P5618" s="19"/>
      <c r="Q5618" s="19"/>
      <c r="R5618" s="11"/>
    </row>
    <row r="5619" s="1" customFormat="1" ht="9.95" customHeight="1" spans="1:19">
      <c r="A5619" s="7"/>
      <c r="B5619" s="12"/>
      <c r="C5619" s="33"/>
      <c r="D5619" s="29"/>
      <c r="E5619" s="29"/>
      <c r="F5619" s="29"/>
      <c r="G5619" s="29"/>
      <c r="H5619" s="29"/>
      <c r="I5619" s="29"/>
      <c r="J5619" s="29"/>
      <c r="K5619" s="29"/>
      <c r="L5619" s="29"/>
      <c r="M5619" s="29"/>
      <c r="N5619" s="29"/>
      <c r="O5619" s="29"/>
      <c r="P5619" s="19"/>
      <c r="Q5619" s="19"/>
      <c r="R5619" s="11"/>
    </row>
    <row r="5620" s="1" customFormat="1" ht="36" spans="1:19">
      <c r="A5620" s="7"/>
      <c r="B5620" s="12"/>
      <c r="C5620" s="33"/>
      <c r="D5620" s="66" t="s">
        <v>576</v>
      </c>
      <c r="E5620" s="67" t="s">
        <v>754</v>
      </c>
      <c r="F5620" s="47" t="str">
        <f>IF(F5592&gt;ENTRY!$D$24,"",IFERROR(VLOOKUP(F5592,PASHEET!$A$4:$CJ$103,88,0),""))</f>
        <v/>
      </c>
      <c r="G5620" s="67" t="s">
        <v>755</v>
      </c>
      <c r="H5620" s="47" t="str">
        <f>IF(F5592&gt;ENTRY!$D$24,"",IFERROR(VLOOKUP(F5592,PASHEET!$A$4:$CJ$103,87,0),""))</f>
        <v/>
      </c>
      <c r="I5620" s="68" t="s">
        <v>756</v>
      </c>
      <c r="J5620" s="69" t="str">
        <f>IF(F5592&gt;ENTRY!$D$24,"",IFERROR(IF(F5592&gt;0,H5620/F5620*100),""))</f>
        <v/>
      </c>
      <c r="K5620" s="60" t="s">
        <v>757</v>
      </c>
      <c r="L5620" s="70" t="str">
        <f ca="1">IF(F5592&gt;ENTRY!$D$24,"",IFERROR(L5616/600*100,""))</f>
        <v/>
      </c>
      <c r="M5620" s="47" t="str">
        <f ca="1">IF(F5592&gt;ENTRY!$D$24,"",IFERROR(L5616&amp;" / "&amp;"600",""))</f>
        <v/>
      </c>
      <c r="N5620" s="29"/>
      <c r="O5620" s="29"/>
      <c r="P5620" s="19"/>
      <c r="Q5620" s="19"/>
      <c r="R5620" s="11"/>
    </row>
    <row r="5621" s="1" customFormat="1" ht="9.95" customHeight="1" spans="1:19">
      <c r="A5621" s="7"/>
      <c r="B5621" s="12"/>
      <c r="C5621" s="39"/>
      <c r="D5621" s="40"/>
      <c r="E5621" s="40"/>
      <c r="F5621" s="40"/>
      <c r="G5621" s="40"/>
      <c r="H5621" s="40"/>
      <c r="I5621" s="40"/>
      <c r="J5621" s="40"/>
      <c r="K5621" s="40"/>
      <c r="L5621" s="40"/>
      <c r="M5621" s="40"/>
      <c r="N5621" s="40"/>
      <c r="O5621" s="40"/>
      <c r="P5621" s="41"/>
      <c r="Q5621" s="19"/>
      <c r="R5621" s="11"/>
    </row>
    <row r="5622" s="1" customFormat="1" ht="9.95" customHeight="1" spans="1:19">
      <c r="A5622" s="7"/>
      <c r="B5622" s="12"/>
      <c r="C5622" s="71"/>
      <c r="D5622" s="71"/>
      <c r="E5622" s="71"/>
      <c r="F5622" s="29"/>
      <c r="G5622" s="71"/>
      <c r="H5622" s="71"/>
      <c r="I5622" s="71"/>
      <c r="J5622" s="71"/>
      <c r="K5622" s="71"/>
      <c r="L5622" s="71"/>
      <c r="M5622" s="71"/>
      <c r="N5622" s="71"/>
      <c r="O5622" s="71"/>
      <c r="P5622" s="71"/>
      <c r="Q5622" s="19"/>
      <c r="R5622" s="11"/>
    </row>
    <row r="5623" s="1" customFormat="1" ht="9.95" customHeight="1" spans="1:19">
      <c r="A5623" s="7"/>
      <c r="B5623" s="12"/>
      <c r="C5623" s="29"/>
      <c r="D5623" s="29"/>
      <c r="E5623" s="29"/>
      <c r="F5623" s="72"/>
      <c r="G5623" s="29"/>
      <c r="H5623" s="29"/>
      <c r="I5623" s="29"/>
      <c r="J5623" s="29"/>
      <c r="K5623" s="29"/>
      <c r="L5623" s="29"/>
      <c r="M5623" s="29"/>
      <c r="N5623" s="29"/>
      <c r="O5623" s="29"/>
      <c r="P5623" s="29"/>
      <c r="Q5623" s="19"/>
      <c r="R5623" s="11"/>
    </row>
    <row r="5624" s="1" customFormat="1" ht="9.95" customHeight="1" spans="1:19">
      <c r="A5624" s="7"/>
      <c r="B5624" s="12"/>
      <c r="C5624" s="30"/>
      <c r="D5624" s="31"/>
      <c r="E5624" s="31"/>
      <c r="F5624" s="31"/>
      <c r="G5624" s="31"/>
      <c r="H5624" s="31"/>
      <c r="I5624" s="31"/>
      <c r="J5624" s="31"/>
      <c r="K5624" s="31"/>
      <c r="L5624" s="31"/>
      <c r="M5624" s="31"/>
      <c r="N5624" s="31"/>
      <c r="O5624" s="31"/>
      <c r="P5624" s="32"/>
      <c r="Q5624" s="19"/>
      <c r="R5624" s="11"/>
    </row>
    <row r="5625" s="1" customFormat="1" ht="21.95" customHeight="1" spans="1:19">
      <c r="A5625" s="7"/>
      <c r="B5625" s="12"/>
      <c r="C5625" s="73" t="s">
        <v>7</v>
      </c>
      <c r="D5625" s="13"/>
      <c r="E5625" s="13"/>
      <c r="F5625" s="13"/>
      <c r="G5625" s="13"/>
      <c r="H5625" s="13"/>
      <c r="I5625" s="13"/>
      <c r="J5625" s="13"/>
      <c r="K5625" s="13"/>
      <c r="L5625" s="13"/>
      <c r="M5625" s="13"/>
      <c r="N5625" s="13"/>
      <c r="O5625" s="13"/>
      <c r="P5625" s="74"/>
      <c r="Q5625" s="19"/>
      <c r="R5625" s="11"/>
      <c r="S5625" s="2"/>
    </row>
    <row r="5626" s="1" customFormat="1" ht="21.95" customHeight="1" spans="1:19">
      <c r="A5626" s="7"/>
      <c r="B5626" s="12"/>
      <c r="C5626" s="33"/>
      <c r="D5626" s="29"/>
      <c r="E5626" s="29"/>
      <c r="F5626" s="29"/>
      <c r="G5626" s="29"/>
      <c r="H5626" s="29"/>
      <c r="I5626" s="29"/>
      <c r="J5626" s="29"/>
      <c r="K5626" s="29"/>
      <c r="L5626" s="29"/>
      <c r="M5626" s="29"/>
      <c r="N5626" s="29"/>
      <c r="O5626" s="29"/>
      <c r="P5626" s="19"/>
      <c r="Q5626" s="19"/>
      <c r="R5626" s="11"/>
    </row>
    <row r="5627" s="1" customFormat="1" ht="21.95" customHeight="1" spans="1:19">
      <c r="A5627" s="7"/>
      <c r="B5627" s="12"/>
      <c r="C5627" s="75" t="str">
        <f>"SESSION-"&amp;ENTRY!$D$11</f>
        <v>SESSION-2026-27</v>
      </c>
      <c r="D5627" s="15"/>
      <c r="E5627" s="15"/>
      <c r="F5627" s="15"/>
      <c r="G5627" s="15"/>
      <c r="H5627" s="15"/>
      <c r="I5627" s="15"/>
      <c r="J5627" s="15"/>
      <c r="K5627" s="15"/>
      <c r="L5627" s="15"/>
      <c r="M5627" s="15"/>
      <c r="N5627" s="15"/>
      <c r="O5627" s="15"/>
      <c r="P5627" s="76"/>
      <c r="Q5627" s="19"/>
      <c r="R5627" s="11"/>
    </row>
    <row r="5628" s="1" customFormat="1" ht="18" customHeight="1" spans="1:19">
      <c r="A5628" s="7"/>
      <c r="B5628" s="12"/>
      <c r="C5628" s="33"/>
      <c r="D5628" s="29"/>
      <c r="E5628" s="29"/>
      <c r="F5628" s="29"/>
      <c r="G5628" s="29"/>
      <c r="H5628" s="29"/>
      <c r="I5628" s="29"/>
      <c r="J5628" s="29"/>
      <c r="K5628" s="29"/>
      <c r="L5628" s="29"/>
      <c r="M5628" s="29"/>
      <c r="N5628" s="29"/>
      <c r="O5628" s="29"/>
      <c r="P5628" s="19"/>
      <c r="Q5628" s="19"/>
      <c r="R5628" s="11"/>
    </row>
    <row r="5629" s="1" customFormat="1" ht="21.95" customHeight="1" spans="1:19">
      <c r="A5629" s="7"/>
      <c r="B5629" s="12"/>
      <c r="C5629" s="33"/>
      <c r="D5629" s="77" t="s">
        <v>758</v>
      </c>
      <c r="E5629" s="77"/>
      <c r="F5629" s="78" t="str">
        <f>IFERROR(PROPER(VLOOKUP(F5592,STUDENT!$A$2:$BP$101,5,0)),"")</f>
        <v/>
      </c>
      <c r="G5629" s="78"/>
      <c r="H5629" s="78"/>
      <c r="I5629" s="78"/>
      <c r="J5629" s="78"/>
      <c r="K5629" s="78"/>
      <c r="L5629" s="78"/>
      <c r="M5629" s="78"/>
      <c r="N5629" s="79" t="s">
        <v>759</v>
      </c>
      <c r="O5629" s="79"/>
      <c r="P5629" s="19"/>
      <c r="Q5629" s="19"/>
      <c r="R5629" s="11"/>
    </row>
    <row r="5630" s="1" customFormat="1" ht="21.95" customHeight="1" spans="1:19">
      <c r="A5630" s="7"/>
      <c r="B5630" s="12"/>
      <c r="C5630" s="33"/>
      <c r="D5630" s="80" t="s">
        <v>760</v>
      </c>
      <c r="E5630" s="81" t="str">
        <f>IFERROR(PROPER(VLOOKUP(F5592,STUDENT!$A$2:$BP$101,9,0)),"")</f>
        <v/>
      </c>
      <c r="F5630" s="81"/>
      <c r="G5630" s="81"/>
      <c r="H5630" s="80" t="s">
        <v>761</v>
      </c>
      <c r="I5630" s="82" t="str">
        <f>IFERROR(PROPER(VLOOKUP(F5592,STUDENT!$A$2:$BP$101,8,0)),"")</f>
        <v/>
      </c>
      <c r="J5630" s="82"/>
      <c r="K5630" s="82"/>
      <c r="L5630" s="82"/>
      <c r="M5630" s="80" t="s">
        <v>762</v>
      </c>
      <c r="N5630" s="83" t="str">
        <f>IFERROR(VLOOKUP(F5592,STUDENT!$A$2:$BP$101,59,0),"")</f>
        <v/>
      </c>
      <c r="O5630" s="83"/>
      <c r="P5630" s="19"/>
      <c r="Q5630" s="19"/>
      <c r="R5630" s="11"/>
    </row>
    <row r="5631" s="1" customFormat="1" ht="21.95" customHeight="1" spans="1:19">
      <c r="A5631" s="7"/>
      <c r="B5631" s="12"/>
      <c r="C5631" s="33"/>
      <c r="D5631" s="77" t="str">
        <f>"has    completed     his  /  her     primary     level     education    in    the    year    "&amp;RIGHT(ENTRY!$D5597,4)&amp;"    from    ( School    Name )"</f>
        <v>has    completed     his  /  her     primary     level     education    in    the    year        from    ( School    Name )</v>
      </c>
      <c r="E5631" s="77"/>
      <c r="F5631" s="77"/>
      <c r="G5631" s="77"/>
      <c r="H5631" s="77"/>
      <c r="I5631" s="77"/>
      <c r="J5631" s="77"/>
      <c r="K5631" s="77"/>
      <c r="L5631" s="77"/>
      <c r="M5631" s="77"/>
      <c r="N5631" s="77"/>
      <c r="O5631" s="77"/>
      <c r="P5631" s="19"/>
      <c r="Q5631" s="19"/>
      <c r="R5631" s="11"/>
    </row>
    <row r="5632" s="1" customFormat="1" ht="21.95" customHeight="1" spans="1:19">
      <c r="A5632" s="7"/>
      <c r="B5632" s="12"/>
      <c r="C5632" s="33"/>
      <c r="D5632" s="81" t="str">
        <f>IF(F5592&gt;0,ENTRY!$D$6,"")</f>
        <v>MCP NITHARI NO 1 BOYS</v>
      </c>
      <c r="E5632" s="81"/>
      <c r="F5632" s="81"/>
      <c r="G5632" s="81"/>
      <c r="H5632" s="81"/>
      <c r="I5632" s="81"/>
      <c r="J5632" s="81"/>
      <c r="K5632" s="81"/>
      <c r="L5632" s="81"/>
      <c r="M5632" s="80" t="s">
        <v>763</v>
      </c>
      <c r="N5632" s="84">
        <f>IF(F5592&gt;0,ENTRY!$D$7,"")</f>
        <v>0</v>
      </c>
      <c r="O5632" s="84"/>
      <c r="P5632" s="85" t="s">
        <v>727</v>
      </c>
      <c r="Q5632" s="19"/>
      <c r="R5632" s="11"/>
    </row>
    <row r="5633" s="1" customFormat="1" ht="21.95" customHeight="1" spans="1:18">
      <c r="A5633" s="7"/>
      <c r="B5633" s="12"/>
      <c r="C5633" s="33"/>
      <c r="D5633" s="29"/>
      <c r="E5633" s="29"/>
      <c r="F5633" s="29"/>
      <c r="G5633" s="29"/>
      <c r="H5633" s="29"/>
      <c r="I5633" s="29"/>
      <c r="J5633" s="29"/>
      <c r="K5633" s="29"/>
      <c r="L5633" s="29"/>
      <c r="M5633" s="29"/>
      <c r="N5633" s="29"/>
      <c r="O5633" s="29"/>
      <c r="P5633" s="19"/>
      <c r="Q5633" s="19"/>
      <c r="R5633" s="11"/>
    </row>
    <row r="5634" s="1" customFormat="1" ht="21.95" customHeight="1" spans="1:18">
      <c r="A5634" s="7"/>
      <c r="B5634" s="12"/>
      <c r="C5634" s="33"/>
      <c r="D5634" s="29"/>
      <c r="E5634" s="29"/>
      <c r="F5634" s="29"/>
      <c r="G5634" s="29"/>
      <c r="H5634" s="29"/>
      <c r="I5634" s="29"/>
      <c r="J5634" s="29"/>
      <c r="K5634" s="29"/>
      <c r="L5634" s="29"/>
      <c r="M5634" s="29"/>
      <c r="N5634" s="29"/>
      <c r="O5634" s="29"/>
      <c r="P5634" s="19"/>
      <c r="Q5634" s="19"/>
      <c r="R5634" s="11"/>
    </row>
    <row r="5635" s="1" customFormat="1" ht="21.95" customHeight="1" spans="1:18">
      <c r="A5635" s="7"/>
      <c r="B5635" s="12"/>
      <c r="C5635" s="33"/>
      <c r="D5635" s="29"/>
      <c r="E5635" s="29"/>
      <c r="F5635" s="29"/>
      <c r="G5635" s="29"/>
      <c r="H5635" s="29"/>
      <c r="I5635" s="29"/>
      <c r="J5635" s="29"/>
      <c r="K5635" s="29"/>
      <c r="L5635" s="29"/>
      <c r="M5635" s="29"/>
      <c r="N5635" s="29"/>
      <c r="O5635" s="29"/>
      <c r="P5635" s="19"/>
      <c r="Q5635" s="19"/>
      <c r="R5635" s="11"/>
    </row>
    <row r="5636" s="1" customFormat="1" ht="21.95" customHeight="1" spans="1:18">
      <c r="A5636" s="7"/>
      <c r="B5636" s="12"/>
      <c r="C5636" s="33"/>
      <c r="D5636" s="29"/>
      <c r="E5636" s="29"/>
      <c r="F5636" s="29"/>
      <c r="G5636" s="29"/>
      <c r="H5636" s="29"/>
      <c r="I5636" s="29"/>
      <c r="J5636" s="29"/>
      <c r="K5636" s="29"/>
      <c r="L5636" s="29"/>
      <c r="M5636" s="29"/>
      <c r="N5636" s="29"/>
      <c r="O5636" s="29"/>
      <c r="P5636" s="19"/>
      <c r="Q5636" s="19"/>
      <c r="R5636" s="11"/>
    </row>
    <row r="5637" s="1" customFormat="1" ht="21.95" customHeight="1" spans="1:18">
      <c r="A5637" s="7"/>
      <c r="B5637" s="12"/>
      <c r="C5637" s="33"/>
      <c r="D5637" s="29"/>
      <c r="E5637" s="29"/>
      <c r="F5637" s="29"/>
      <c r="G5637" s="29"/>
      <c r="H5637" s="29"/>
      <c r="I5637" s="29"/>
      <c r="J5637" s="29"/>
      <c r="K5637" s="29"/>
      <c r="L5637" s="29"/>
      <c r="M5637" s="29"/>
      <c r="N5637" s="29"/>
      <c r="O5637" s="29"/>
      <c r="P5637" s="19"/>
      <c r="Q5637" s="19"/>
      <c r="R5637" s="11"/>
    </row>
    <row r="5638" s="1" customFormat="1" ht="21.95" customHeight="1" spans="1:18">
      <c r="A5638" s="7"/>
      <c r="B5638" s="12"/>
      <c r="C5638" s="33"/>
      <c r="D5638" s="80" t="s">
        <v>728</v>
      </c>
      <c r="E5638" s="86">
        <f>ENTRY!$D$27</f>
        <v>46102</v>
      </c>
      <c r="F5638" s="86"/>
      <c r="G5638" s="29"/>
      <c r="H5638" s="29"/>
      <c r="I5638" s="29"/>
      <c r="J5638" s="29"/>
      <c r="K5638" s="29"/>
      <c r="L5638" s="29"/>
      <c r="M5638" s="87" t="s">
        <v>730</v>
      </c>
      <c r="N5638" s="87"/>
      <c r="O5638" s="87"/>
      <c r="P5638" s="19"/>
      <c r="Q5638" s="19"/>
      <c r="R5638" s="11"/>
    </row>
    <row r="5639" s="1" customFormat="1" ht="21.95" customHeight="1" spans="1:18">
      <c r="A5639" s="7"/>
      <c r="B5639" s="12"/>
      <c r="C5639" s="33"/>
      <c r="D5639" s="80" t="s">
        <v>731</v>
      </c>
      <c r="E5639" s="88" t="str">
        <f>PROPER(ENTRY!$D$28)</f>
        <v>New Delhi</v>
      </c>
      <c r="F5639" s="88"/>
      <c r="G5639" s="29"/>
      <c r="H5639" s="29"/>
      <c r="I5639" s="29"/>
      <c r="J5639" s="29"/>
      <c r="K5639" s="29"/>
      <c r="L5639" s="29"/>
      <c r="M5639" s="89" t="s">
        <v>732</v>
      </c>
      <c r="N5639" s="89"/>
      <c r="O5639" s="89"/>
      <c r="P5639" s="19"/>
      <c r="Q5639" s="19"/>
      <c r="R5639" s="11"/>
    </row>
    <row r="5640" s="1" customFormat="1" ht="21.95" customHeight="1" spans="1:18">
      <c r="A5640" s="7"/>
      <c r="B5640" s="12"/>
      <c r="C5640" s="90"/>
      <c r="D5640" s="91"/>
      <c r="E5640" s="91"/>
      <c r="F5640" s="91"/>
      <c r="G5640" s="91"/>
      <c r="H5640" s="91"/>
      <c r="I5640" s="91"/>
      <c r="J5640" s="91"/>
      <c r="K5640" s="91"/>
      <c r="L5640" s="91"/>
      <c r="M5640" s="91"/>
      <c r="N5640" s="91"/>
      <c r="O5640" s="91"/>
      <c r="P5640" s="92"/>
      <c r="Q5640" s="14"/>
      <c r="R5640" s="11"/>
    </row>
    <row r="5641" s="1" customFormat="1" ht="5.1" customHeight="1" spans="1:18">
      <c r="A5641" s="7"/>
      <c r="B5641" s="90"/>
      <c r="C5641" s="91"/>
      <c r="D5641" s="91"/>
      <c r="E5641" s="91"/>
      <c r="F5641" s="91"/>
      <c r="G5641" s="91"/>
      <c r="H5641" s="91"/>
      <c r="I5641" s="91"/>
      <c r="J5641" s="91"/>
      <c r="K5641" s="91"/>
      <c r="L5641" s="91"/>
      <c r="M5641" s="91"/>
      <c r="N5641" s="91"/>
      <c r="O5641" s="91"/>
      <c r="P5641" s="91"/>
      <c r="Q5641" s="92"/>
      <c r="R5641" s="11"/>
    </row>
    <row r="5642" s="1" customFormat="1" ht="5.1" customHeight="1" spans="1:18">
      <c r="A5642" s="93"/>
      <c r="B5642" s="94"/>
      <c r="C5642" s="94"/>
      <c r="D5642" s="94"/>
      <c r="E5642" s="94"/>
      <c r="F5642" s="94"/>
      <c r="G5642" s="94"/>
      <c r="H5642" s="94"/>
      <c r="I5642" s="94"/>
      <c r="J5642" s="94"/>
      <c r="K5642" s="94"/>
      <c r="L5642" s="94"/>
      <c r="M5642" s="94"/>
      <c r="N5642" s="94"/>
      <c r="O5642" s="94"/>
      <c r="P5642" s="94"/>
      <c r="Q5642" s="94"/>
      <c r="R5642" s="95"/>
    </row>
    <row r="5643" s="2" customFormat="1" ht="9.95" customHeight="1"/>
    <row r="5644" s="1" customFormat="1" ht="5.1" customHeight="1" spans="1:18">
      <c r="A5644" s="4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6"/>
    </row>
    <row r="5645" s="1" customFormat="1" ht="15" customHeight="1" spans="1:18">
      <c r="A5645" s="7"/>
      <c r="B5645" s="8"/>
      <c r="C5645" s="9"/>
      <c r="D5645" s="9"/>
      <c r="E5645" s="9"/>
      <c r="F5645" s="9"/>
      <c r="G5645" s="9"/>
      <c r="H5645" s="9"/>
      <c r="I5645" s="9"/>
      <c r="J5645" s="9"/>
      <c r="K5645" s="9"/>
      <c r="L5645" s="9"/>
      <c r="M5645" s="9"/>
      <c r="N5645" s="9"/>
      <c r="O5645" s="9"/>
      <c r="P5645" s="9"/>
      <c r="Q5645" s="10"/>
      <c r="R5645" s="11"/>
    </row>
    <row r="5646" s="1" customFormat="1" ht="21.95" customHeight="1" spans="1:18">
      <c r="A5646" s="7"/>
      <c r="B5646" s="12"/>
      <c r="C5646" s="13" t="s">
        <v>7</v>
      </c>
      <c r="D5646" s="13"/>
      <c r="E5646" s="13"/>
      <c r="F5646" s="13"/>
      <c r="G5646" s="13"/>
      <c r="H5646" s="13"/>
      <c r="I5646" s="13"/>
      <c r="J5646" s="13"/>
      <c r="K5646" s="13"/>
      <c r="L5646" s="13"/>
      <c r="M5646" s="13"/>
      <c r="N5646" s="13"/>
      <c r="O5646" s="13"/>
      <c r="P5646" s="13"/>
      <c r="Q5646" s="14"/>
      <c r="R5646" s="11"/>
    </row>
    <row r="5647" s="1" customFormat="1" ht="21.95" customHeight="1" spans="1:18">
      <c r="A5647" s="7"/>
      <c r="B5647" s="1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14"/>
      <c r="R5647" s="11"/>
    </row>
    <row r="5648" s="1" customFormat="1" ht="21.95" customHeight="1" spans="1:18">
      <c r="A5648" s="7"/>
      <c r="B5648" s="12"/>
      <c r="C5648" s="15" t="str">
        <f>"SESSION-"&amp;ENTRY!$D$11</f>
        <v>SESSION-2026-27</v>
      </c>
      <c r="D5648" s="15"/>
      <c r="E5648" s="15"/>
      <c r="F5648" s="15"/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  <c r="Q5648" s="14"/>
      <c r="R5648" s="11"/>
    </row>
    <row r="5649" s="1" customFormat="1" ht="21.95" customHeight="1" spans="1:18">
      <c r="A5649" s="7"/>
      <c r="B5649" s="12"/>
      <c r="C5649" s="2"/>
      <c r="D5649" s="2"/>
      <c r="E5649" s="2"/>
      <c r="F5649" s="16">
        <f>F5592+1</f>
        <v>100</v>
      </c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14"/>
      <c r="R5649" s="11"/>
    </row>
    <row r="5650" s="1" customFormat="1" ht="21.95" customHeight="1" spans="1:18">
      <c r="A5650" s="7"/>
      <c r="B5650" s="12"/>
      <c r="C5650" s="17" t="s">
        <v>392</v>
      </c>
      <c r="D5650" s="17"/>
      <c r="E5650" s="17"/>
      <c r="F5650" s="18" t="str">
        <f>IF(F5649&gt;0,ENTRY!$D$6,"")</f>
        <v>MCP NITHARI NO 1 BOYS</v>
      </c>
      <c r="G5650" s="18"/>
      <c r="H5650" s="18"/>
      <c r="I5650" s="18"/>
      <c r="J5650" s="18"/>
      <c r="K5650" s="18"/>
      <c r="L5650" s="18"/>
      <c r="M5650" s="18"/>
      <c r="N5650" s="18"/>
      <c r="O5650" s="18"/>
      <c r="P5650" s="18"/>
      <c r="Q5650" s="19"/>
      <c r="R5650" s="11"/>
    </row>
    <row r="5651" s="1" customFormat="1" ht="21.95" customHeight="1" spans="1:18">
      <c r="A5651" s="7"/>
      <c r="B5651" s="12"/>
      <c r="C5651" s="17" t="s">
        <v>393</v>
      </c>
      <c r="D5651" s="17"/>
      <c r="E5651" s="17"/>
      <c r="F5651" s="18">
        <f>IF(F5649&gt;0,ENTRY!$D$7,"")</f>
        <v>0</v>
      </c>
      <c r="G5651" s="18"/>
      <c r="H5651" s="20" t="s">
        <v>702</v>
      </c>
      <c r="I5651" s="20"/>
      <c r="J5651" s="21">
        <f>IF(F5649&gt;0,ENTRY!$D$10,"")</f>
        <v>40</v>
      </c>
      <c r="K5651" s="20" t="s">
        <v>703</v>
      </c>
      <c r="L5651" s="22" t="str">
        <f>IF(F5649&gt;0,ENTRY!$D$5,"")</f>
        <v>ROHINI ZONE</v>
      </c>
      <c r="M5651" s="22"/>
      <c r="N5651" s="22"/>
      <c r="O5651" s="22"/>
      <c r="P5651" s="22"/>
      <c r="Q5651" s="19"/>
      <c r="R5651" s="11"/>
    </row>
    <row r="5652" s="1" customFormat="1" ht="21.95" customHeight="1" spans="1:18">
      <c r="A5652" s="7"/>
      <c r="B5652" s="12"/>
      <c r="C5652" s="17" t="s">
        <v>706</v>
      </c>
      <c r="D5652" s="17"/>
      <c r="E5652" s="17"/>
      <c r="F5652" s="23">
        <f>IFERROR(VLOOKUP(F5649,STUDENT!$A$2:$BP$101,5,0),"")</f>
        <v>0</v>
      </c>
      <c r="G5652" s="23"/>
      <c r="H5652" s="23"/>
      <c r="I5652" s="23"/>
      <c r="J5652" s="23"/>
      <c r="K5652" s="23"/>
      <c r="L5652" s="20" t="s">
        <v>707</v>
      </c>
      <c r="M5652" s="20"/>
      <c r="N5652" s="24" t="str">
        <f>IF(F5649&gt;0,ENTRY!$D$20&amp;"-"&amp;ENTRY!$D$21,"")</f>
        <v>III-A</v>
      </c>
      <c r="O5652" s="24"/>
      <c r="P5652" s="24"/>
      <c r="Q5652" s="19"/>
      <c r="R5652" s="11"/>
    </row>
    <row r="5653" s="1" customFormat="1" ht="21.95" customHeight="1" spans="1:18">
      <c r="A5653" s="7"/>
      <c r="B5653" s="12"/>
      <c r="C5653" s="17" t="s">
        <v>708</v>
      </c>
      <c r="D5653" s="17"/>
      <c r="E5653" s="17"/>
      <c r="F5653" s="25">
        <f>IFERROR(VLOOKUP(F5649,STUDENT!$A$2:$BP$101,6,0),"")</f>
        <v>0</v>
      </c>
      <c r="G5653" s="25"/>
      <c r="H5653" s="26" t="s">
        <v>709</v>
      </c>
      <c r="I5653" s="27" t="str">
        <f>IFERROR(VLOOKUP(F5649,STUDENT!$A$2:$BP$101,59,0),"")</f>
        <v/>
      </c>
      <c r="J5653" s="27"/>
      <c r="K5653" s="20" t="s">
        <v>710</v>
      </c>
      <c r="L5653" s="20"/>
      <c r="M5653" s="28">
        <f>IFERROR(VLOOKUP(F5649,STUDENT!$A$2:$BP$101,20,0),"")</f>
        <v>0</v>
      </c>
      <c r="N5653" s="28"/>
      <c r="O5653" s="28"/>
      <c r="P5653" s="28"/>
      <c r="Q5653" s="19"/>
      <c r="R5653" s="11"/>
    </row>
    <row r="5654" s="1" customFormat="1" ht="21.95" customHeight="1" spans="1:18">
      <c r="A5654" s="7"/>
      <c r="B5654" s="12"/>
      <c r="C5654" s="17" t="s">
        <v>711</v>
      </c>
      <c r="D5654" s="17"/>
      <c r="E5654" s="17"/>
      <c r="F5654" s="23">
        <f>IFERROR(VLOOKUP(F5649,STUDENT!$A$2:$BP$101,9,0),"")</f>
        <v>0</v>
      </c>
      <c r="G5654" s="23"/>
      <c r="H5654" s="23"/>
      <c r="I5654" s="23"/>
      <c r="J5654" s="17" t="s">
        <v>620</v>
      </c>
      <c r="K5654" s="17"/>
      <c r="L5654" s="23">
        <f>IFERROR(VLOOKUP(F5649,STUDENT!$A$2:$BP$101,8,0),"")</f>
        <v>0</v>
      </c>
      <c r="M5654" s="23"/>
      <c r="N5654" s="23"/>
      <c r="O5654" s="23"/>
      <c r="P5654" s="23"/>
      <c r="Q5654" s="19"/>
      <c r="R5654" s="11"/>
    </row>
    <row r="5655" s="1" customFormat="1" ht="21.95" customHeight="1" spans="1:18">
      <c r="A5655" s="7"/>
      <c r="B5655" s="12"/>
      <c r="C5655" s="17" t="s">
        <v>712</v>
      </c>
      <c r="D5655" s="17"/>
      <c r="E5655" s="17"/>
      <c r="F5655" s="23">
        <f>IFERROR(VLOOKUP(F5649,STUDENT!$A$2:$BP$101,22,0),"")</f>
        <v>0</v>
      </c>
      <c r="G5655" s="23"/>
      <c r="H5655" s="23"/>
      <c r="I5655" s="23"/>
      <c r="J5655" s="23"/>
      <c r="K5655" s="23"/>
      <c r="L5655" s="23"/>
      <c r="M5655" s="23"/>
      <c r="N5655" s="23"/>
      <c r="O5655" s="23"/>
      <c r="P5655" s="23"/>
      <c r="Q5655" s="19"/>
      <c r="R5655" s="11"/>
    </row>
    <row r="5656" s="1" customFormat="1" ht="9.95" customHeight="1" spans="1:18">
      <c r="A5656" s="7"/>
      <c r="B5656" s="12"/>
      <c r="C5656" s="29"/>
      <c r="D5656" s="29"/>
      <c r="E5656" s="29"/>
      <c r="F5656" s="29"/>
      <c r="G5656" s="29"/>
      <c r="H5656" s="29"/>
      <c r="I5656" s="29"/>
      <c r="J5656" s="29"/>
      <c r="K5656" s="29"/>
      <c r="L5656" s="29"/>
      <c r="M5656" s="29"/>
      <c r="N5656" s="29"/>
      <c r="O5656" s="29"/>
      <c r="P5656" s="29"/>
      <c r="Q5656" s="19"/>
      <c r="R5656" s="11"/>
    </row>
    <row r="5657" s="1" customFormat="1" ht="9.95" customHeight="1" spans="1:18">
      <c r="A5657" s="7"/>
      <c r="B5657" s="12"/>
      <c r="C5657" s="30"/>
      <c r="D5657" s="31"/>
      <c r="E5657" s="31"/>
      <c r="F5657" s="31"/>
      <c r="G5657" s="31"/>
      <c r="H5657" s="31"/>
      <c r="I5657" s="31"/>
      <c r="J5657" s="31"/>
      <c r="K5657" s="31"/>
      <c r="L5657" s="31"/>
      <c r="M5657" s="31"/>
      <c r="N5657" s="31"/>
      <c r="O5657" s="31"/>
      <c r="P5657" s="32"/>
      <c r="Q5657" s="19"/>
      <c r="R5657" s="11"/>
    </row>
    <row r="5658" s="1" customFormat="1" ht="21.95" customHeight="1" spans="1:18">
      <c r="A5658" s="7"/>
      <c r="B5658" s="12"/>
      <c r="C5658" s="33"/>
      <c r="D5658" s="34" t="s">
        <v>713</v>
      </c>
      <c r="E5658" s="20" t="s">
        <v>714</v>
      </c>
      <c r="F5658" s="35" t="str">
        <f>"Level - "&amp;IFERROR(VLOOKUP(F5649,FLN!$A$4:$K$103,9,0),"")</f>
        <v>Level - </v>
      </c>
      <c r="G5658" s="36"/>
      <c r="H5658" s="37" t="s">
        <v>715</v>
      </c>
      <c r="I5658" s="20"/>
      <c r="J5658" s="35" t="str">
        <f>"Level - "&amp;IFERROR(VLOOKUP(F5649,FLN!$A$4:$K$103,11,0),"")</f>
        <v>Level - </v>
      </c>
      <c r="K5658" s="36"/>
      <c r="L5658" s="37" t="s">
        <v>408</v>
      </c>
      <c r="M5658" s="20"/>
      <c r="N5658" s="35" t="str">
        <f>"Level - "&amp;IFERROR(VLOOKUP(F5649,FLN!$A$4:$K$103,10,0),"")</f>
        <v>Level - </v>
      </c>
      <c r="O5658" s="36"/>
      <c r="P5658" s="19"/>
      <c r="Q5658" s="19"/>
      <c r="R5658" s="11"/>
    </row>
    <row r="5659" s="1" customFormat="1" ht="21.95" customHeight="1" spans="1:18">
      <c r="A5659" s="7"/>
      <c r="B5659" s="12"/>
      <c r="C5659" s="33"/>
      <c r="D5659" s="38"/>
      <c r="E5659" s="20" t="s">
        <v>716</v>
      </c>
      <c r="F5659" s="18" t="str">
        <f ca="1">IF(L5673&gt;197,"PERFORMED WELL","")</f>
        <v/>
      </c>
      <c r="G5659" s="18"/>
      <c r="H5659" s="18"/>
      <c r="I5659" s="18"/>
      <c r="J5659" s="18"/>
      <c r="K5659" s="18"/>
      <c r="L5659" s="18"/>
      <c r="M5659" s="18"/>
      <c r="N5659" s="18"/>
      <c r="O5659" s="18"/>
      <c r="P5659" s="19"/>
      <c r="Q5659" s="19"/>
      <c r="R5659" s="11"/>
    </row>
    <row r="5660" s="1" customFormat="1" ht="9.95" customHeight="1" spans="1:18">
      <c r="A5660" s="7"/>
      <c r="B5660" s="12"/>
      <c r="C5660" s="39"/>
      <c r="D5660" s="40"/>
      <c r="E5660" s="40"/>
      <c r="F5660" s="40"/>
      <c r="G5660" s="40"/>
      <c r="H5660" s="40"/>
      <c r="I5660" s="40"/>
      <c r="J5660" s="40"/>
      <c r="K5660" s="40"/>
      <c r="L5660" s="40"/>
      <c r="M5660" s="40"/>
      <c r="N5660" s="40"/>
      <c r="O5660" s="40"/>
      <c r="P5660" s="41"/>
      <c r="Q5660" s="19"/>
      <c r="R5660" s="11"/>
    </row>
    <row r="5661" s="1" customFormat="1" ht="9.95" customHeight="1" spans="1:18">
      <c r="A5661" s="7"/>
      <c r="B5661" s="12"/>
      <c r="C5661" s="29"/>
      <c r="D5661" s="29"/>
      <c r="E5661" s="29"/>
      <c r="F5661" s="29"/>
      <c r="G5661" s="29"/>
      <c r="H5661" s="29"/>
      <c r="I5661" s="29"/>
      <c r="J5661" s="29"/>
      <c r="K5661" s="29"/>
      <c r="L5661" s="29"/>
      <c r="M5661" s="29"/>
      <c r="N5661" s="29"/>
      <c r="O5661" s="29"/>
      <c r="P5661" s="29"/>
      <c r="Q5661" s="19"/>
      <c r="R5661" s="11"/>
    </row>
    <row r="5662" s="1" customFormat="1" ht="9.95" customHeight="1" spans="1:18">
      <c r="A5662" s="7"/>
      <c r="B5662" s="12"/>
      <c r="C5662" s="30"/>
      <c r="D5662" s="31"/>
      <c r="E5662" s="31"/>
      <c r="F5662" s="31"/>
      <c r="G5662" s="31"/>
      <c r="H5662" s="31"/>
      <c r="I5662" s="31"/>
      <c r="J5662" s="31"/>
      <c r="K5662" s="31"/>
      <c r="L5662" s="31"/>
      <c r="M5662" s="31"/>
      <c r="N5662" s="31"/>
      <c r="O5662" s="31"/>
      <c r="P5662" s="32"/>
      <c r="Q5662" s="19"/>
      <c r="R5662" s="11"/>
    </row>
    <row r="5663" s="1" customFormat="1" ht="21.95" customHeight="1" spans="1:18">
      <c r="A5663" s="7"/>
      <c r="B5663" s="12"/>
      <c r="C5663" s="33"/>
      <c r="D5663" s="35"/>
      <c r="E5663" s="24"/>
      <c r="F5663" s="42" t="s">
        <v>717</v>
      </c>
      <c r="G5663" s="42"/>
      <c r="H5663" s="42"/>
      <c r="I5663" s="42"/>
      <c r="J5663" s="42"/>
      <c r="K5663" s="42"/>
      <c r="L5663" s="43"/>
      <c r="M5663" s="44"/>
      <c r="N5663" s="29"/>
      <c r="O5663" s="29"/>
      <c r="P5663" s="19"/>
      <c r="Q5663" s="19"/>
      <c r="R5663" s="11"/>
    </row>
    <row r="5664" s="1" customFormat="1" ht="21.95" customHeight="1" spans="1:18">
      <c r="A5664" s="7"/>
      <c r="B5664" s="12"/>
      <c r="C5664" s="33"/>
      <c r="D5664" s="45"/>
      <c r="E5664" s="46"/>
      <c r="F5664" s="47" t="s">
        <v>541</v>
      </c>
      <c r="G5664" s="47" t="s">
        <v>542</v>
      </c>
      <c r="H5664" s="47" t="s">
        <v>543</v>
      </c>
      <c r="I5664" s="47" t="s">
        <v>544</v>
      </c>
      <c r="J5664" s="47" t="s">
        <v>561</v>
      </c>
      <c r="K5664" s="48" t="s">
        <v>750</v>
      </c>
      <c r="L5664" s="47" t="s">
        <v>382</v>
      </c>
      <c r="M5664" s="49" t="s">
        <v>546</v>
      </c>
      <c r="N5664" s="29"/>
      <c r="O5664" s="29"/>
      <c r="P5664" s="19"/>
      <c r="Q5664" s="19"/>
      <c r="R5664" s="11"/>
    </row>
    <row r="5665" s="1" customFormat="1" ht="21.95" customHeight="1" spans="1:18">
      <c r="A5665" s="7"/>
      <c r="B5665" s="12"/>
      <c r="C5665" s="33"/>
      <c r="D5665" s="45" t="s">
        <v>652</v>
      </c>
      <c r="E5665" s="46"/>
      <c r="F5665" s="50">
        <v>10</v>
      </c>
      <c r="G5665" s="50">
        <v>10</v>
      </c>
      <c r="H5665" s="50">
        <v>10</v>
      </c>
      <c r="I5665" s="50">
        <v>10</v>
      </c>
      <c r="J5665" s="50">
        <v>60</v>
      </c>
      <c r="K5665" s="51"/>
      <c r="L5665" s="50">
        <v>100</v>
      </c>
      <c r="M5665" s="49"/>
      <c r="N5665" s="29"/>
      <c r="O5665" s="29"/>
      <c r="P5665" s="19"/>
      <c r="Q5665" s="19"/>
      <c r="R5665" s="11"/>
    </row>
    <row r="5666" s="1" customFormat="1" ht="21.95" customHeight="1" spans="1:18">
      <c r="A5666" s="7"/>
      <c r="B5666" s="12"/>
      <c r="C5666" s="33"/>
      <c r="D5666" s="52" t="s">
        <v>751</v>
      </c>
      <c r="E5666" s="53"/>
      <c r="F5666" s="54" t="str">
        <f ca="1">IFERROR(VLOOKUP(F5649,'RR-3.1-5TH'!$A$12:'RR-3.1-5TH'!$BN$111,9,0),"")</f>
        <v/>
      </c>
      <c r="G5666" s="54" t="str">
        <f ca="1">IFERROR(VLOOKUP(F5649,'RR-3.1-5TH'!$A$12:'RR-3.1-5TH'!$BN$111,10,0),"")</f>
        <v/>
      </c>
      <c r="H5666" s="54" t="str">
        <f ca="1">IFERROR(VLOOKUP(F5649,'RR-3.1-5TH'!$A$12:'RR-3.1-5TH'!$BN$111,11,0),"")</f>
        <v/>
      </c>
      <c r="I5666" s="54" t="str">
        <f ca="1">IFERROR(VLOOKUP(F5649,'RR-3.1-5TH'!$A$12:'RR-3.1-5TH'!$BN$111,12,0),"")</f>
        <v/>
      </c>
      <c r="J5666" s="54" t="str">
        <f ca="1">IFERROR(VLOOKUP(F5649,'RR-3.1-5TH'!$A$12:'RR-3.1-5TH'!$BN$111,13,0),"")</f>
        <v/>
      </c>
      <c r="K5666" s="54" t="str">
        <f ca="1">IFERROR(VLOOKUP(F5649,'RR-3.1-5TH'!$A$12:'RR-3.1-5TH'!$BN$111,14,0),"")</f>
        <v/>
      </c>
      <c r="L5666" s="55">
        <f ca="1" t="shared" ref="L5666:L5671" si="297">SUM(F5666,G5666,H5666,I5666,J5666,K5666)</f>
        <v>0</v>
      </c>
      <c r="M5666" s="56" t="str">
        <f ca="1">IF(F5649&gt;ENTRY!$D$24,"",IF(L5666=0,"Ab",IF(L5666&gt;80,"A",IF(L5666&gt;60,"B",IF(L5666&gt;44,"C",IF(L5666&gt;=33,"D",IF(L5666&lt;=32,"E","")))))))</f>
        <v/>
      </c>
      <c r="N5666" s="57" t="s">
        <v>729</v>
      </c>
      <c r="O5666" s="58"/>
      <c r="P5666" s="59"/>
      <c r="Q5666" s="19"/>
      <c r="R5666" s="11"/>
    </row>
    <row r="5667" s="1" customFormat="1" ht="21.95" customHeight="1" spans="1:18">
      <c r="A5667" s="7"/>
      <c r="B5667" s="12"/>
      <c r="C5667" s="33"/>
      <c r="D5667" s="52" t="s">
        <v>513</v>
      </c>
      <c r="E5667" s="53"/>
      <c r="F5667" s="54" t="str">
        <f ca="1">IFERROR(VLOOKUP(F5649,'RR-3.1-5TH'!$A$12:'RR-3.1-5TH'!$BN$111,17,0),"")</f>
        <v/>
      </c>
      <c r="G5667" s="54" t="str">
        <f ca="1">IFERROR(VLOOKUP(F5649,'RR-3.1-5TH'!$A$12:'RR-3.1-5TH'!$BN$111,18,0),"")</f>
        <v/>
      </c>
      <c r="H5667" s="54" t="str">
        <f ca="1">IFERROR(VLOOKUP(F5649,'RR-3.1-5TH'!$A$12:'RR-3.1-5TH'!$BN$111,19,0),"")</f>
        <v/>
      </c>
      <c r="I5667" s="54" t="str">
        <f ca="1">IFERROR(VLOOKUP(F5649,'RR-3.1-5TH'!$A$12:'RR-3.1-5TH'!$BN$111,20,0),"")</f>
        <v/>
      </c>
      <c r="J5667" s="54" t="str">
        <f ca="1">IFERROR(VLOOKUP(F5649,'RR-3.1-5TH'!$A$12:'RR-3.1-5TH'!$BN$111,21,0),"")</f>
        <v/>
      </c>
      <c r="K5667" s="54" t="str">
        <f ca="1">IFERROR(VLOOKUP(F5649,'RR-3.1-5TH'!$A$12:'RR-3.1-5TH'!$BN$111,22,0),"")</f>
        <v/>
      </c>
      <c r="L5667" s="55">
        <f ca="1" t="shared" si="297"/>
        <v>0</v>
      </c>
      <c r="M5667" s="56" t="str">
        <f ca="1">IF(F5649&gt;ENTRY!$D$24,"",IF(L5667=0,"Ab",IF(L5667&gt;80,"A",IF(L5667&gt;60,"B",IF(L5667&gt;44,"C",IF(L5667&gt;=33,"D",IF(L5667&lt;=32,"E","")))))))</f>
        <v/>
      </c>
      <c r="N5667" s="58"/>
      <c r="O5667" s="58"/>
      <c r="P5667" s="59"/>
      <c r="Q5667" s="19"/>
      <c r="R5667" s="11"/>
    </row>
    <row r="5668" s="1" customFormat="1" ht="21.95" customHeight="1" spans="1:18">
      <c r="A5668" s="7"/>
      <c r="B5668" s="12"/>
      <c r="C5668" s="33"/>
      <c r="D5668" s="52" t="s">
        <v>718</v>
      </c>
      <c r="E5668" s="53"/>
      <c r="F5668" s="54" t="str">
        <f ca="1">IFERROR(VLOOKUP(F5649,'RR-3.1-5TH'!$A$12:'RR-3.1-5TH'!$BN$111,25,0),"")</f>
        <v/>
      </c>
      <c r="G5668" s="54" t="str">
        <f ca="1">IFERROR(VLOOKUP(F5649,'RR-3.1-5TH'!$A$12:'RR-3.1-5TH'!$BN$111,26,0),"")</f>
        <v/>
      </c>
      <c r="H5668" s="54" t="str">
        <f ca="1">IFERROR(VLOOKUP(F5649,'RR-3.1-5TH'!$A$12:'RR-3.1-5TH'!$BN$111,27,0),"")</f>
        <v/>
      </c>
      <c r="I5668" s="54" t="str">
        <f ca="1">IFERROR(VLOOKUP(F5649,'RR-3.1-5TH'!$A$12:'RR-3.1-5TH'!$BN$111,28,0),"")</f>
        <v/>
      </c>
      <c r="J5668" s="54" t="str">
        <f ca="1">IFERROR(VLOOKUP(F5649,'RR-3.1-5TH'!$A$12:'RR-3.1-5TH'!$BN$111,29,0),"")</f>
        <v/>
      </c>
      <c r="K5668" s="54" t="str">
        <f ca="1">IFERROR(VLOOKUP(F5649,'RR-3.1-5TH'!$A$12:'RR-3.1-5TH'!$BN$111,30,0),"")</f>
        <v/>
      </c>
      <c r="L5668" s="55">
        <f ca="1" t="shared" si="297"/>
        <v>0</v>
      </c>
      <c r="M5668" s="56" t="str">
        <f ca="1">IF(F5649&gt;ENTRY!$D$24,"",IF(L5668=0,"Ab",IF(L5668&gt;80,"A",IF(L5668&gt;60,"B",IF(L5668&gt;44,"C",IF(L5668&gt;=33,"D",IF(L5668&lt;=32,"E","")))))))</f>
        <v/>
      </c>
      <c r="N5668" s="29"/>
      <c r="O5668" s="29"/>
      <c r="P5668" s="19"/>
      <c r="Q5668" s="19"/>
      <c r="R5668" s="11"/>
    </row>
    <row r="5669" s="1" customFormat="1" ht="21.95" customHeight="1" spans="1:18">
      <c r="A5669" s="7"/>
      <c r="B5669" s="12"/>
      <c r="C5669" s="33"/>
      <c r="D5669" s="52" t="s">
        <v>719</v>
      </c>
      <c r="E5669" s="53"/>
      <c r="F5669" s="54" t="str">
        <f ca="1">IFERROR(VLOOKUP(F5649,'RR-3.1-5TH'!$A$12:'RR-3.1-5TH'!$BN$111,33,0),"")</f>
        <v/>
      </c>
      <c r="G5669" s="54" t="str">
        <f ca="1">IFERROR(VLOOKUP(F5649,'RR-3.1-5TH'!$A$12:'RR-3.1-5TH'!$BN$111,34,0),"")</f>
        <v/>
      </c>
      <c r="H5669" s="54" t="str">
        <f ca="1">IFERROR(VLOOKUP(F5649,'RR-3.1-5TH'!$A$12:'RR-3.1-5TH'!$BN$111,35,0),"")</f>
        <v/>
      </c>
      <c r="I5669" s="54" t="str">
        <f ca="1">IFERROR(VLOOKUP(F5649,'RR-3.1-5TH'!$A$12:'RR-3.1-5TH'!$BN$111,36,0),"")</f>
        <v/>
      </c>
      <c r="J5669" s="54" t="str">
        <f ca="1">IFERROR(VLOOKUP(F5649,'RR-3.1-5TH'!$A$12:'RR-3.1-5TH'!$BN$111,37,0),"")</f>
        <v/>
      </c>
      <c r="K5669" s="54" t="str">
        <f ca="1">IFERROR(VLOOKUP(F5649,'RR-3.1-5TH'!$A$12:'RR-3.1-5TH'!$BN$111,38,0),"")</f>
        <v/>
      </c>
      <c r="L5669" s="55">
        <f ca="1" t="shared" si="297"/>
        <v>0</v>
      </c>
      <c r="M5669" s="56" t="str">
        <f ca="1">IF(F5649&gt;ENTRY!$D$24,"",IF(L5669=0,"Ab",IF(L5669&gt;80,"A",IF(L5669&gt;60,"B",IF(L5669&gt;44,"C",IF(L5669&gt;=33,"D",IF(L5669&lt;=32,"E","")))))))</f>
        <v/>
      </c>
      <c r="N5669" s="29"/>
      <c r="O5669" s="29"/>
      <c r="P5669" s="19"/>
      <c r="Q5669" s="19"/>
      <c r="R5669" s="11"/>
    </row>
    <row r="5670" s="1" customFormat="1" ht="21.95" customHeight="1" spans="1:18">
      <c r="A5670" s="7"/>
      <c r="B5670" s="12"/>
      <c r="C5670" s="33"/>
      <c r="D5670" s="52" t="s">
        <v>548</v>
      </c>
      <c r="E5670" s="53"/>
      <c r="F5670" s="54" t="str">
        <f ca="1">IFERROR(VLOOKUP(F5649,'RR-3.1-5TH'!$A$12:'RR-3.1-5TH'!$BN$111,41,0),"")</f>
        <v/>
      </c>
      <c r="G5670" s="54" t="str">
        <f ca="1">IFERROR(VLOOKUP(F5649,'RR-3.1-5TH'!$A$12:'RR-3.1-5TH'!$BN$111,42,0),"")</f>
        <v/>
      </c>
      <c r="H5670" s="54" t="str">
        <f ca="1">IFERROR(VLOOKUP(F5649,'RR-3.1-5TH'!$A$12:'RR-3.1-5TH'!$BN$111,43,0),"")</f>
        <v/>
      </c>
      <c r="I5670" s="54" t="str">
        <f ca="1">IFERROR(VLOOKUP(F5649,'RR-3.1-5TH'!$A$12:'RR-3.1-5TH'!$BN$111,44,0),"")</f>
        <v/>
      </c>
      <c r="J5670" s="54" t="str">
        <f ca="1">IFERROR(VLOOKUP(F5649,'RR-3.1-5TH'!$A$12:'RR-3.1-5TH'!$BN$111,45,0),"")</f>
        <v/>
      </c>
      <c r="K5670" s="54" t="str">
        <f ca="1">IFERROR(VLOOKUP(F5649,'RR-3.1-5TH'!$A$12:'RR-3.1-5TH'!$BN$111,46,0),"")</f>
        <v/>
      </c>
      <c r="L5670" s="55">
        <f ca="1" t="shared" si="297"/>
        <v>0</v>
      </c>
      <c r="M5670" s="56" t="str">
        <f ca="1">IF(F5649&gt;ENTRY!$D$24,"",IF(L5670=0,"Ab",IF(L5670&gt;80,"A",IF(L5670&gt;60,"B",IF(L5670&gt;44,"C",IF(L5670&gt;=33,"D",IF(L5670&lt;=32,"E","")))))))</f>
        <v/>
      </c>
      <c r="N5670" s="29"/>
      <c r="O5670" s="29"/>
      <c r="P5670" s="19"/>
      <c r="Q5670" s="19"/>
      <c r="R5670" s="11"/>
    </row>
    <row r="5671" s="1" customFormat="1" ht="21.95" customHeight="1" spans="1:18">
      <c r="A5671" s="7"/>
      <c r="B5671" s="12"/>
      <c r="C5671" s="33"/>
      <c r="D5671" s="52" t="s">
        <v>549</v>
      </c>
      <c r="E5671" s="53"/>
      <c r="F5671" s="54" t="str">
        <f ca="1">IFERROR(VLOOKUP(F5649,'RR-3.1-5TH'!$A$12:'RR-3.1-5TH'!$BN$111,49,0),"")</f>
        <v/>
      </c>
      <c r="G5671" s="54" t="str">
        <f ca="1">IFERROR(VLOOKUP(F5649,'RR-3.1-5TH'!$A$12:'RR-3.1-5TH'!$BN$111,50,0),"")</f>
        <v/>
      </c>
      <c r="H5671" s="54" t="str">
        <f ca="1">IFERROR(VLOOKUP(F5649,'RR-3.1-5TH'!$A$12:'RR-3.1-5TH'!$BN$111,51,0),"")</f>
        <v/>
      </c>
      <c r="I5671" s="54" t="str">
        <f ca="1">IFERROR(VLOOKUP(F5649,'RR-3.1-5TH'!$A$12:'RR-3.1-5TH'!$BN$111,52,0),"")</f>
        <v/>
      </c>
      <c r="J5671" s="54" t="str">
        <f ca="1">IFERROR(VLOOKUP(F5649,'RR-3.1-5TH'!$A$12:'RR-3.1-5TH'!$BN$111,53,0),"")</f>
        <v/>
      </c>
      <c r="K5671" s="54" t="str">
        <f ca="1">IFERROR(VLOOKUP(F5649,'RR-3.1-5TH'!$A$12:'RR-3.1-5TH'!$BN$111,54,0),"")</f>
        <v/>
      </c>
      <c r="L5671" s="55">
        <f ca="1" t="shared" si="297"/>
        <v>0</v>
      </c>
      <c r="M5671" s="56" t="str">
        <f ca="1">IF(F5649&gt;ENTRY!$D$24,"",IF(L5671=0,"Ab",IF(L5671&gt;80,"A",IF(L5671&gt;60,"B",IF(L5671&gt;44,"C",IF(L5671&gt;=33,"D",IF(L5671&lt;=32,"E","")))))))</f>
        <v/>
      </c>
      <c r="N5671" s="57" t="s">
        <v>752</v>
      </c>
      <c r="O5671" s="58"/>
      <c r="P5671" s="59"/>
      <c r="Q5671" s="19"/>
      <c r="R5671" s="11"/>
    </row>
    <row r="5672" s="1" customFormat="1" ht="21.95" customHeight="1" spans="1:18">
      <c r="A5672" s="7"/>
      <c r="B5672" s="12"/>
      <c r="C5672" s="33"/>
      <c r="D5672" s="52" t="s">
        <v>753</v>
      </c>
      <c r="E5672" s="53"/>
      <c r="F5672" s="60"/>
      <c r="G5672" s="54"/>
      <c r="H5672" s="54"/>
      <c r="I5672" s="54"/>
      <c r="J5672" s="54"/>
      <c r="K5672" s="54"/>
      <c r="L5672" s="55">
        <f t="shared" ref="L5672" si="298">SUM(G5672:K5672)</f>
        <v>0</v>
      </c>
      <c r="M5672" s="56" t="str">
        <f>IF(F5649&gt;ENTRY!$D$24,"",IF(L5672=0,"",IF(L5672&gt;79,"A",IF(L5672&gt;59,"B",IF(L5672&gt;44,"C",IF(L5672&gt;=33,"D",IF(L5672&lt;=32,"E","")))))))</f>
        <v/>
      </c>
      <c r="N5672" s="58"/>
      <c r="O5672" s="58"/>
      <c r="P5672" s="59"/>
      <c r="Q5672" s="19"/>
      <c r="R5672" s="11"/>
    </row>
    <row r="5673" s="1" customFormat="1" ht="21.95" customHeight="1" spans="1:18">
      <c r="A5673" s="7"/>
      <c r="B5673" s="12"/>
      <c r="C5673" s="33"/>
      <c r="D5673" s="45" t="s">
        <v>382</v>
      </c>
      <c r="E5673" s="46"/>
      <c r="F5673" s="54">
        <f ca="1" t="shared" ref="F5673:L5673" si="299">IFERROR(SUM(F5666:F5672),"")</f>
        <v>0</v>
      </c>
      <c r="G5673" s="54">
        <f ca="1" t="shared" si="299"/>
        <v>0</v>
      </c>
      <c r="H5673" s="54">
        <f ca="1" t="shared" si="299"/>
        <v>0</v>
      </c>
      <c r="I5673" s="54">
        <f ca="1" t="shared" si="299"/>
        <v>0</v>
      </c>
      <c r="J5673" s="54">
        <f ca="1" t="shared" si="299"/>
        <v>0</v>
      </c>
      <c r="K5673" s="54">
        <f ca="1" t="shared" si="299"/>
        <v>0</v>
      </c>
      <c r="L5673" s="55">
        <f ca="1" t="shared" si="299"/>
        <v>0</v>
      </c>
      <c r="M5673" s="61" t="str">
        <f ca="1">IF(F5649&gt;ENTRY!$D$24,"",IF(N5674="Ab","Ab",IF(N5674&gt;79.5,"A",IF(N5674&gt;59.5,"B",IF(N5674&gt;44.5,"C",IF(N5674&gt;=33,"D",IF(N5674&lt;33,"E","")))))))</f>
        <v/>
      </c>
      <c r="N5673" s="62"/>
      <c r="O5673" s="58"/>
      <c r="P5673" s="59"/>
      <c r="Q5673" s="19"/>
      <c r="R5673" s="11"/>
    </row>
    <row r="5674" s="1" customFormat="1" ht="21.95" customHeight="1" spans="1:18">
      <c r="A5674" s="7"/>
      <c r="B5674" s="12"/>
      <c r="C5674" s="33"/>
      <c r="D5674" s="63" t="s">
        <v>721</v>
      </c>
      <c r="E5674" s="63"/>
      <c r="F5674" s="63"/>
      <c r="G5674" s="63"/>
      <c r="H5674" s="63"/>
      <c r="I5674" s="63"/>
      <c r="J5674" s="63"/>
      <c r="K5674" s="63"/>
      <c r="L5674" s="63"/>
      <c r="M5674" s="63"/>
      <c r="N5674" s="64">
        <f ca="1">IF(L5673="Ab","Ab",L5673/6)</f>
        <v>0</v>
      </c>
      <c r="O5674" s="65"/>
      <c r="P5674" s="19"/>
      <c r="Q5674" s="19"/>
      <c r="R5674" s="11"/>
    </row>
    <row r="5675" s="1" customFormat="1" ht="21.95" customHeight="1" spans="1:18">
      <c r="A5675" s="7"/>
      <c r="B5675" s="12"/>
      <c r="C5675" s="33"/>
      <c r="D5675" s="29" t="s">
        <v>716</v>
      </c>
      <c r="E5675" s="18" t="str">
        <f>IFERROR(VLOOKUP(F5649,'1to4-2.1-RR'!$A$12:$BG$111,57,0),"")</f>
        <v/>
      </c>
      <c r="F5675" s="18"/>
      <c r="G5675" s="18"/>
      <c r="H5675" s="18"/>
      <c r="I5675" s="18"/>
      <c r="J5675" s="18"/>
      <c r="K5675" s="18"/>
      <c r="L5675" s="18"/>
      <c r="M5675" s="18"/>
      <c r="N5675" s="29"/>
      <c r="O5675" s="29"/>
      <c r="P5675" s="19"/>
      <c r="Q5675" s="19"/>
      <c r="R5675" s="11"/>
    </row>
    <row r="5676" s="1" customFormat="1" ht="9.95" customHeight="1" spans="1:18">
      <c r="A5676" s="7"/>
      <c r="B5676" s="12"/>
      <c r="C5676" s="33"/>
      <c r="D5676" s="29"/>
      <c r="E5676" s="29"/>
      <c r="F5676" s="29"/>
      <c r="G5676" s="29"/>
      <c r="H5676" s="29"/>
      <c r="I5676" s="29"/>
      <c r="J5676" s="29"/>
      <c r="K5676" s="29"/>
      <c r="L5676" s="29"/>
      <c r="M5676" s="29"/>
      <c r="N5676" s="29"/>
      <c r="O5676" s="29"/>
      <c r="P5676" s="19"/>
      <c r="Q5676" s="19"/>
      <c r="R5676" s="11"/>
    </row>
    <row r="5677" s="1" customFormat="1" ht="36" spans="1:18">
      <c r="A5677" s="7"/>
      <c r="B5677" s="12"/>
      <c r="C5677" s="33"/>
      <c r="D5677" s="66" t="s">
        <v>576</v>
      </c>
      <c r="E5677" s="67" t="s">
        <v>754</v>
      </c>
      <c r="F5677" s="47" t="str">
        <f>IF(F5649&gt;ENTRY!$D$24,"",IFERROR(VLOOKUP(F5649,PASHEET!$A$4:$CJ$103,88,0),""))</f>
        <v/>
      </c>
      <c r="G5677" s="67" t="s">
        <v>755</v>
      </c>
      <c r="H5677" s="47" t="str">
        <f>IF(F5649&gt;ENTRY!$D$24,"",IFERROR(VLOOKUP(F5649,PASHEET!$A$4:$CJ$103,87,0),""))</f>
        <v/>
      </c>
      <c r="I5677" s="68" t="s">
        <v>756</v>
      </c>
      <c r="J5677" s="69" t="str">
        <f>IF(F5649&gt;ENTRY!$D$24,"",IFERROR(IF(F5649&gt;0,H5677/F5677*100),""))</f>
        <v/>
      </c>
      <c r="K5677" s="60" t="s">
        <v>757</v>
      </c>
      <c r="L5677" s="70" t="str">
        <f ca="1">IF(F5649&gt;ENTRY!$D$24,"",IFERROR(L5673/600*100,""))</f>
        <v/>
      </c>
      <c r="M5677" s="47" t="str">
        <f ca="1">IF(F5649&gt;ENTRY!$D$24,"",IFERROR(L5673&amp;" / "&amp;"600",""))</f>
        <v/>
      </c>
      <c r="N5677" s="29"/>
      <c r="O5677" s="29"/>
      <c r="P5677" s="19"/>
      <c r="Q5677" s="19"/>
      <c r="R5677" s="11"/>
    </row>
    <row r="5678" s="1" customFormat="1" ht="9.95" customHeight="1" spans="1:18">
      <c r="A5678" s="7"/>
      <c r="B5678" s="12"/>
      <c r="C5678" s="39"/>
      <c r="D5678" s="40"/>
      <c r="E5678" s="40"/>
      <c r="F5678" s="40"/>
      <c r="G5678" s="40"/>
      <c r="H5678" s="40"/>
      <c r="I5678" s="40"/>
      <c r="J5678" s="40"/>
      <c r="K5678" s="40"/>
      <c r="L5678" s="40"/>
      <c r="M5678" s="40"/>
      <c r="N5678" s="40"/>
      <c r="O5678" s="40"/>
      <c r="P5678" s="41"/>
      <c r="Q5678" s="19"/>
      <c r="R5678" s="11"/>
    </row>
    <row r="5679" s="1" customFormat="1" ht="9.95" customHeight="1" spans="1:18">
      <c r="A5679" s="7"/>
      <c r="B5679" s="12"/>
      <c r="C5679" s="71"/>
      <c r="D5679" s="71"/>
      <c r="E5679" s="71"/>
      <c r="F5679" s="29"/>
      <c r="G5679" s="71"/>
      <c r="H5679" s="71"/>
      <c r="I5679" s="71"/>
      <c r="J5679" s="71"/>
      <c r="K5679" s="71"/>
      <c r="L5679" s="71"/>
      <c r="M5679" s="71"/>
      <c r="N5679" s="71"/>
      <c r="O5679" s="71"/>
      <c r="P5679" s="71"/>
      <c r="Q5679" s="19"/>
      <c r="R5679" s="11"/>
    </row>
    <row r="5680" s="1" customFormat="1" ht="9.95" customHeight="1" spans="1:18">
      <c r="A5680" s="7"/>
      <c r="B5680" s="12"/>
      <c r="C5680" s="29"/>
      <c r="D5680" s="29"/>
      <c r="E5680" s="29"/>
      <c r="F5680" s="72"/>
      <c r="G5680" s="29"/>
      <c r="H5680" s="29"/>
      <c r="I5680" s="29"/>
      <c r="J5680" s="29"/>
      <c r="K5680" s="29"/>
      <c r="L5680" s="29"/>
      <c r="M5680" s="29"/>
      <c r="N5680" s="29"/>
      <c r="O5680" s="29"/>
      <c r="P5680" s="29"/>
      <c r="Q5680" s="19"/>
      <c r="R5680" s="11"/>
    </row>
    <row r="5681" s="1" customFormat="1" ht="9.95" customHeight="1" spans="1:19">
      <c r="A5681" s="7"/>
      <c r="B5681" s="12"/>
      <c r="C5681" s="30"/>
      <c r="D5681" s="31"/>
      <c r="E5681" s="31"/>
      <c r="F5681" s="31"/>
      <c r="G5681" s="31"/>
      <c r="H5681" s="31"/>
      <c r="I5681" s="31"/>
      <c r="J5681" s="31"/>
      <c r="K5681" s="31"/>
      <c r="L5681" s="31"/>
      <c r="M5681" s="31"/>
      <c r="N5681" s="31"/>
      <c r="O5681" s="31"/>
      <c r="P5681" s="32"/>
      <c r="Q5681" s="19"/>
      <c r="R5681" s="11"/>
    </row>
    <row r="5682" s="1" customFormat="1" ht="21.95" customHeight="1" spans="1:19">
      <c r="A5682" s="7"/>
      <c r="B5682" s="12"/>
      <c r="C5682" s="73" t="s">
        <v>7</v>
      </c>
      <c r="D5682" s="13"/>
      <c r="E5682" s="13"/>
      <c r="F5682" s="13"/>
      <c r="G5682" s="13"/>
      <c r="H5682" s="13"/>
      <c r="I5682" s="13"/>
      <c r="J5682" s="13"/>
      <c r="K5682" s="13"/>
      <c r="L5682" s="13"/>
      <c r="M5682" s="13"/>
      <c r="N5682" s="13"/>
      <c r="O5682" s="13"/>
      <c r="P5682" s="74"/>
      <c r="Q5682" s="19"/>
      <c r="R5682" s="11"/>
      <c r="S5682" s="2"/>
    </row>
    <row r="5683" s="1" customFormat="1" ht="21.95" customHeight="1" spans="1:19">
      <c r="A5683" s="7"/>
      <c r="B5683" s="12"/>
      <c r="C5683" s="33"/>
      <c r="D5683" s="29"/>
      <c r="E5683" s="29"/>
      <c r="F5683" s="29"/>
      <c r="G5683" s="29"/>
      <c r="H5683" s="29"/>
      <c r="I5683" s="29"/>
      <c r="J5683" s="29"/>
      <c r="K5683" s="29"/>
      <c r="L5683" s="29"/>
      <c r="M5683" s="29"/>
      <c r="N5683" s="29"/>
      <c r="O5683" s="29"/>
      <c r="P5683" s="19"/>
      <c r="Q5683" s="19"/>
      <c r="R5683" s="11"/>
    </row>
    <row r="5684" s="1" customFormat="1" ht="21.95" customHeight="1" spans="1:19">
      <c r="A5684" s="7"/>
      <c r="B5684" s="12"/>
      <c r="C5684" s="75" t="str">
        <f>"SESSION-"&amp;ENTRY!$D$11</f>
        <v>SESSION-2026-27</v>
      </c>
      <c r="D5684" s="15"/>
      <c r="E5684" s="15"/>
      <c r="F5684" s="15"/>
      <c r="G5684" s="15"/>
      <c r="H5684" s="15"/>
      <c r="I5684" s="15"/>
      <c r="J5684" s="15"/>
      <c r="K5684" s="15"/>
      <c r="L5684" s="15"/>
      <c r="M5684" s="15"/>
      <c r="N5684" s="15"/>
      <c r="O5684" s="15"/>
      <c r="P5684" s="76"/>
      <c r="Q5684" s="19"/>
      <c r="R5684" s="11"/>
    </row>
    <row r="5685" s="1" customFormat="1" ht="18" customHeight="1" spans="1:19">
      <c r="A5685" s="7"/>
      <c r="B5685" s="12"/>
      <c r="C5685" s="33"/>
      <c r="D5685" s="29"/>
      <c r="E5685" s="29"/>
      <c r="F5685" s="29"/>
      <c r="G5685" s="29"/>
      <c r="H5685" s="29"/>
      <c r="I5685" s="29"/>
      <c r="J5685" s="29"/>
      <c r="K5685" s="29"/>
      <c r="L5685" s="29"/>
      <c r="M5685" s="29"/>
      <c r="N5685" s="29"/>
      <c r="O5685" s="29"/>
      <c r="P5685" s="19"/>
      <c r="Q5685" s="19"/>
      <c r="R5685" s="11"/>
    </row>
    <row r="5686" s="1" customFormat="1" ht="21.95" customHeight="1" spans="1:19">
      <c r="A5686" s="7"/>
      <c r="B5686" s="12"/>
      <c r="C5686" s="33"/>
      <c r="D5686" s="77" t="s">
        <v>758</v>
      </c>
      <c r="E5686" s="77"/>
      <c r="F5686" s="78" t="str">
        <f>IFERROR(PROPER(VLOOKUP(F5649,STUDENT!$A$2:$BP$101,5,0)),"")</f>
        <v/>
      </c>
      <c r="G5686" s="78"/>
      <c r="H5686" s="78"/>
      <c r="I5686" s="78"/>
      <c r="J5686" s="78"/>
      <c r="K5686" s="78"/>
      <c r="L5686" s="78"/>
      <c r="M5686" s="78"/>
      <c r="N5686" s="79" t="s">
        <v>759</v>
      </c>
      <c r="O5686" s="79"/>
      <c r="P5686" s="19"/>
      <c r="Q5686" s="19"/>
      <c r="R5686" s="11"/>
    </row>
    <row r="5687" s="1" customFormat="1" ht="21.95" customHeight="1" spans="1:19">
      <c r="A5687" s="7"/>
      <c r="B5687" s="12"/>
      <c r="C5687" s="33"/>
      <c r="D5687" s="80" t="s">
        <v>760</v>
      </c>
      <c r="E5687" s="81" t="str">
        <f>IFERROR(PROPER(VLOOKUP(F5649,STUDENT!$A$2:$BP$101,9,0)),"")</f>
        <v/>
      </c>
      <c r="F5687" s="81"/>
      <c r="G5687" s="81"/>
      <c r="H5687" s="80" t="s">
        <v>761</v>
      </c>
      <c r="I5687" s="82" t="str">
        <f>IFERROR(PROPER(VLOOKUP(F5649,STUDENT!$A$2:$BP$101,8,0)),"")</f>
        <v/>
      </c>
      <c r="J5687" s="82"/>
      <c r="K5687" s="82"/>
      <c r="L5687" s="82"/>
      <c r="M5687" s="80" t="s">
        <v>762</v>
      </c>
      <c r="N5687" s="83" t="str">
        <f>IFERROR(VLOOKUP(F5649,STUDENT!$A$2:$BP$101,59,0),"")</f>
        <v/>
      </c>
      <c r="O5687" s="83"/>
      <c r="P5687" s="19"/>
      <c r="Q5687" s="19"/>
      <c r="R5687" s="11"/>
    </row>
    <row r="5688" s="1" customFormat="1" ht="21.95" customHeight="1" spans="1:19">
      <c r="A5688" s="7"/>
      <c r="B5688" s="12"/>
      <c r="C5688" s="33"/>
      <c r="D5688" s="77" t="str">
        <f>"has    completed     his  /  her     primary     level     education    in    the    year    "&amp;RIGHT(ENTRY!$D5654,4)&amp;"    from    ( School    Name )"</f>
        <v>has    completed     his  /  her     primary     level     education    in    the    year        from    ( School    Name )</v>
      </c>
      <c r="E5688" s="77"/>
      <c r="F5688" s="77"/>
      <c r="G5688" s="77"/>
      <c r="H5688" s="77"/>
      <c r="I5688" s="77"/>
      <c r="J5688" s="77"/>
      <c r="K5688" s="77"/>
      <c r="L5688" s="77"/>
      <c r="M5688" s="77"/>
      <c r="N5688" s="77"/>
      <c r="O5688" s="77"/>
      <c r="P5688" s="19"/>
      <c r="Q5688" s="19"/>
      <c r="R5688" s="11"/>
    </row>
    <row r="5689" s="1" customFormat="1" ht="21.95" customHeight="1" spans="1:19">
      <c r="A5689" s="7"/>
      <c r="B5689" s="12"/>
      <c r="C5689" s="33"/>
      <c r="D5689" s="81" t="str">
        <f>IF(F5649&gt;0,ENTRY!$D$6,"")</f>
        <v>MCP NITHARI NO 1 BOYS</v>
      </c>
      <c r="E5689" s="81"/>
      <c r="F5689" s="81"/>
      <c r="G5689" s="81"/>
      <c r="H5689" s="81"/>
      <c r="I5689" s="81"/>
      <c r="J5689" s="81"/>
      <c r="K5689" s="81"/>
      <c r="L5689" s="81"/>
      <c r="M5689" s="80" t="s">
        <v>763</v>
      </c>
      <c r="N5689" s="84">
        <f>IF(F5649&gt;0,ENTRY!$D$7,"")</f>
        <v>0</v>
      </c>
      <c r="O5689" s="84"/>
      <c r="P5689" s="85" t="s">
        <v>727</v>
      </c>
      <c r="Q5689" s="19"/>
      <c r="R5689" s="11"/>
    </row>
    <row r="5690" s="1" customFormat="1" ht="21.95" customHeight="1" spans="1:19">
      <c r="A5690" s="7"/>
      <c r="B5690" s="12"/>
      <c r="C5690" s="33"/>
      <c r="D5690" s="29"/>
      <c r="E5690" s="29"/>
      <c r="F5690" s="29"/>
      <c r="G5690" s="29"/>
      <c r="H5690" s="29"/>
      <c r="I5690" s="29"/>
      <c r="J5690" s="29"/>
      <c r="K5690" s="29"/>
      <c r="L5690" s="29"/>
      <c r="M5690" s="29"/>
      <c r="N5690" s="29"/>
      <c r="O5690" s="29"/>
      <c r="P5690" s="19"/>
      <c r="Q5690" s="19"/>
      <c r="R5690" s="11"/>
    </row>
    <row r="5691" s="1" customFormat="1" ht="21.95" customHeight="1" spans="1:19">
      <c r="A5691" s="7"/>
      <c r="B5691" s="12"/>
      <c r="C5691" s="33"/>
      <c r="D5691" s="29"/>
      <c r="E5691" s="29"/>
      <c r="F5691" s="29"/>
      <c r="G5691" s="29"/>
      <c r="H5691" s="29"/>
      <c r="I5691" s="29"/>
      <c r="J5691" s="29"/>
      <c r="K5691" s="29"/>
      <c r="L5691" s="29"/>
      <c r="M5691" s="29"/>
      <c r="N5691" s="29"/>
      <c r="O5691" s="29"/>
      <c r="P5691" s="19"/>
      <c r="Q5691" s="19"/>
      <c r="R5691" s="11"/>
    </row>
    <row r="5692" s="1" customFormat="1" ht="21.95" customHeight="1" spans="1:19">
      <c r="A5692" s="7"/>
      <c r="B5692" s="12"/>
      <c r="C5692" s="33"/>
      <c r="D5692" s="29"/>
      <c r="E5692" s="29"/>
      <c r="F5692" s="29"/>
      <c r="G5692" s="29"/>
      <c r="H5692" s="29"/>
      <c r="I5692" s="29"/>
      <c r="J5692" s="29"/>
      <c r="K5692" s="29"/>
      <c r="L5692" s="29"/>
      <c r="M5692" s="29"/>
      <c r="N5692" s="29"/>
      <c r="O5692" s="29"/>
      <c r="P5692" s="19"/>
      <c r="Q5692" s="19"/>
      <c r="R5692" s="11"/>
    </row>
    <row r="5693" s="1" customFormat="1" ht="21.95" customHeight="1" spans="1:19">
      <c r="A5693" s="7"/>
      <c r="B5693" s="12"/>
      <c r="C5693" s="33"/>
      <c r="D5693" s="29"/>
      <c r="E5693" s="29"/>
      <c r="F5693" s="29"/>
      <c r="G5693" s="29"/>
      <c r="H5693" s="29"/>
      <c r="I5693" s="29"/>
      <c r="J5693" s="29"/>
      <c r="K5693" s="29"/>
      <c r="L5693" s="29"/>
      <c r="M5693" s="29"/>
      <c r="N5693" s="29"/>
      <c r="O5693" s="29"/>
      <c r="P5693" s="19"/>
      <c r="Q5693" s="19"/>
      <c r="R5693" s="11"/>
    </row>
    <row r="5694" s="1" customFormat="1" ht="21.95" customHeight="1" spans="1:19">
      <c r="A5694" s="7"/>
      <c r="B5694" s="12"/>
      <c r="C5694" s="33"/>
      <c r="D5694" s="29"/>
      <c r="E5694" s="29"/>
      <c r="F5694" s="29"/>
      <c r="G5694" s="29"/>
      <c r="H5694" s="29"/>
      <c r="I5694" s="29"/>
      <c r="J5694" s="29"/>
      <c r="K5694" s="29"/>
      <c r="L5694" s="29"/>
      <c r="M5694" s="29"/>
      <c r="N5694" s="29"/>
      <c r="O5694" s="29"/>
      <c r="P5694" s="19"/>
      <c r="Q5694" s="19"/>
      <c r="R5694" s="11"/>
    </row>
    <row r="5695" s="1" customFormat="1" ht="21.95" customHeight="1" spans="1:19">
      <c r="A5695" s="7"/>
      <c r="B5695" s="12"/>
      <c r="C5695" s="33"/>
      <c r="D5695" s="80" t="s">
        <v>728</v>
      </c>
      <c r="E5695" s="86">
        <f>ENTRY!$D$27</f>
        <v>46102</v>
      </c>
      <c r="F5695" s="86"/>
      <c r="G5695" s="29"/>
      <c r="H5695" s="29"/>
      <c r="I5695" s="29"/>
      <c r="J5695" s="29"/>
      <c r="K5695" s="29"/>
      <c r="L5695" s="29"/>
      <c r="M5695" s="87" t="s">
        <v>730</v>
      </c>
      <c r="N5695" s="87"/>
      <c r="O5695" s="87"/>
      <c r="P5695" s="19"/>
      <c r="Q5695" s="19"/>
      <c r="R5695" s="11"/>
    </row>
    <row r="5696" s="1" customFormat="1" ht="21.95" customHeight="1" spans="1:19">
      <c r="A5696" s="7"/>
      <c r="B5696" s="12"/>
      <c r="C5696" s="33"/>
      <c r="D5696" s="80" t="s">
        <v>731</v>
      </c>
      <c r="E5696" s="88" t="str">
        <f>PROPER(ENTRY!$D$28)</f>
        <v>New Delhi</v>
      </c>
      <c r="F5696" s="88"/>
      <c r="G5696" s="29"/>
      <c r="H5696" s="29"/>
      <c r="I5696" s="29"/>
      <c r="J5696" s="29"/>
      <c r="K5696" s="29"/>
      <c r="L5696" s="29"/>
      <c r="M5696" s="89" t="s">
        <v>732</v>
      </c>
      <c r="N5696" s="89"/>
      <c r="O5696" s="89"/>
      <c r="P5696" s="19"/>
      <c r="Q5696" s="19"/>
      <c r="R5696" s="11"/>
    </row>
    <row r="5697" s="1" customFormat="1" ht="21.95" customHeight="1" spans="1:18">
      <c r="A5697" s="7"/>
      <c r="B5697" s="12"/>
      <c r="C5697" s="90"/>
      <c r="D5697" s="91"/>
      <c r="E5697" s="91"/>
      <c r="F5697" s="91"/>
      <c r="G5697" s="91"/>
      <c r="H5697" s="91"/>
      <c r="I5697" s="91"/>
      <c r="J5697" s="91"/>
      <c r="K5697" s="91"/>
      <c r="L5697" s="91"/>
      <c r="M5697" s="91"/>
      <c r="N5697" s="91"/>
      <c r="O5697" s="91"/>
      <c r="P5697" s="92"/>
      <c r="Q5697" s="14"/>
      <c r="R5697" s="11"/>
    </row>
    <row r="5698" s="1" customFormat="1" ht="5.1" customHeight="1" spans="1:18">
      <c r="A5698" s="7"/>
      <c r="B5698" s="90"/>
      <c r="C5698" s="91"/>
      <c r="D5698" s="91"/>
      <c r="E5698" s="91"/>
      <c r="F5698" s="91"/>
      <c r="G5698" s="91"/>
      <c r="H5698" s="91"/>
      <c r="I5698" s="91"/>
      <c r="J5698" s="91"/>
      <c r="K5698" s="91"/>
      <c r="L5698" s="91"/>
      <c r="M5698" s="91"/>
      <c r="N5698" s="91"/>
      <c r="O5698" s="91"/>
      <c r="P5698" s="91"/>
      <c r="Q5698" s="92"/>
      <c r="R5698" s="11"/>
    </row>
    <row r="5699" s="1" customFormat="1" ht="5.1" customHeight="1" spans="1:18">
      <c r="A5699" s="93"/>
      <c r="B5699" s="94"/>
      <c r="C5699" s="94"/>
      <c r="D5699" s="94"/>
      <c r="E5699" s="94"/>
      <c r="F5699" s="94"/>
      <c r="G5699" s="94"/>
      <c r="H5699" s="94"/>
      <c r="I5699" s="94"/>
      <c r="J5699" s="94"/>
      <c r="K5699" s="94"/>
      <c r="L5699" s="94"/>
      <c r="M5699" s="94"/>
      <c r="N5699" s="94"/>
      <c r="O5699" s="94"/>
      <c r="P5699" s="94"/>
      <c r="Q5699" s="94"/>
      <c r="R5699" s="95"/>
    </row>
    <row r="5700" s="2" customFormat="1" ht="9.95" customHeight="1"/>
  </sheetData>
  <sheetProtection password="BF6F" sheet="1" formatCells="0" formatColumns="0" formatRows="0" objects="1" scenarios="1"/>
  <mergeCells count="6300">
    <mergeCell ref="C3:P3"/>
    <mergeCell ref="C5:P5"/>
    <mergeCell ref="C7:E7"/>
    <mergeCell ref="F7:P7"/>
    <mergeCell ref="C8:E8"/>
    <mergeCell ref="F8:G8"/>
    <mergeCell ref="H8:I8"/>
    <mergeCell ref="L8:P8"/>
    <mergeCell ref="C9:E9"/>
    <mergeCell ref="F9:K9"/>
    <mergeCell ref="L9:M9"/>
    <mergeCell ref="N9:P9"/>
    <mergeCell ref="C10:E10"/>
    <mergeCell ref="F10:G10"/>
    <mergeCell ref="I10:J10"/>
    <mergeCell ref="K10:L10"/>
    <mergeCell ref="M10:P10"/>
    <mergeCell ref="C11:E11"/>
    <mergeCell ref="F11:I11"/>
    <mergeCell ref="J11:K11"/>
    <mergeCell ref="L11:P11"/>
    <mergeCell ref="C12:E12"/>
    <mergeCell ref="F12:P12"/>
    <mergeCell ref="F15:G15"/>
    <mergeCell ref="H15:I15"/>
    <mergeCell ref="J15:K15"/>
    <mergeCell ref="L15:M15"/>
    <mergeCell ref="N15:O15"/>
    <mergeCell ref="F16:O16"/>
    <mergeCell ref="D20:E20"/>
    <mergeCell ref="F20:K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M31"/>
    <mergeCell ref="E32:M32"/>
    <mergeCell ref="C39:P39"/>
    <mergeCell ref="C41:P41"/>
    <mergeCell ref="D43:E43"/>
    <mergeCell ref="F43:M43"/>
    <mergeCell ref="N43:O43"/>
    <mergeCell ref="E44:G44"/>
    <mergeCell ref="I44:L44"/>
    <mergeCell ref="N44:O44"/>
    <mergeCell ref="D45:O45"/>
    <mergeCell ref="D46:L46"/>
    <mergeCell ref="N46:O46"/>
    <mergeCell ref="E52:F52"/>
    <mergeCell ref="M52:O52"/>
    <mergeCell ref="E53:F53"/>
    <mergeCell ref="M53:O53"/>
    <mergeCell ref="C60:P60"/>
    <mergeCell ref="C62:P62"/>
    <mergeCell ref="C64:E64"/>
    <mergeCell ref="F64:P64"/>
    <mergeCell ref="C65:E65"/>
    <mergeCell ref="F65:G65"/>
    <mergeCell ref="H65:I65"/>
    <mergeCell ref="L65:P65"/>
    <mergeCell ref="C66:E66"/>
    <mergeCell ref="F66:K66"/>
    <mergeCell ref="L66:M66"/>
    <mergeCell ref="N66:P66"/>
    <mergeCell ref="C67:E67"/>
    <mergeCell ref="F67:G67"/>
    <mergeCell ref="I67:J67"/>
    <mergeCell ref="K67:L67"/>
    <mergeCell ref="M67:P67"/>
    <mergeCell ref="C68:E68"/>
    <mergeCell ref="F68:I68"/>
    <mergeCell ref="J68:K68"/>
    <mergeCell ref="L68:P68"/>
    <mergeCell ref="C69:E69"/>
    <mergeCell ref="F69:P69"/>
    <mergeCell ref="F72:G72"/>
    <mergeCell ref="H72:I72"/>
    <mergeCell ref="J72:K72"/>
    <mergeCell ref="L72:M72"/>
    <mergeCell ref="N72:O72"/>
    <mergeCell ref="F73:O73"/>
    <mergeCell ref="D77:E77"/>
    <mergeCell ref="F77:K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M88"/>
    <mergeCell ref="E89:M89"/>
    <mergeCell ref="C96:P96"/>
    <mergeCell ref="C98:P98"/>
    <mergeCell ref="D100:E100"/>
    <mergeCell ref="F100:M100"/>
    <mergeCell ref="N100:O100"/>
    <mergeCell ref="E101:G101"/>
    <mergeCell ref="I101:L101"/>
    <mergeCell ref="N101:O101"/>
    <mergeCell ref="D102:O102"/>
    <mergeCell ref="D103:L103"/>
    <mergeCell ref="N103:O103"/>
    <mergeCell ref="E109:F109"/>
    <mergeCell ref="M109:O109"/>
    <mergeCell ref="E110:F110"/>
    <mergeCell ref="M110:O110"/>
    <mergeCell ref="C117:P117"/>
    <mergeCell ref="C119:P119"/>
    <mergeCell ref="C121:E121"/>
    <mergeCell ref="F121:P121"/>
    <mergeCell ref="C122:E122"/>
    <mergeCell ref="F122:G122"/>
    <mergeCell ref="H122:I122"/>
    <mergeCell ref="L122:P122"/>
    <mergeCell ref="C123:E123"/>
    <mergeCell ref="F123:K123"/>
    <mergeCell ref="L123:M123"/>
    <mergeCell ref="N123:P123"/>
    <mergeCell ref="C124:E124"/>
    <mergeCell ref="F124:G124"/>
    <mergeCell ref="I124:J124"/>
    <mergeCell ref="K124:L124"/>
    <mergeCell ref="M124:P124"/>
    <mergeCell ref="C125:E125"/>
    <mergeCell ref="F125:I125"/>
    <mergeCell ref="J125:K125"/>
    <mergeCell ref="L125:P125"/>
    <mergeCell ref="C126:E126"/>
    <mergeCell ref="F126:P126"/>
    <mergeCell ref="F129:G129"/>
    <mergeCell ref="H129:I129"/>
    <mergeCell ref="J129:K129"/>
    <mergeCell ref="L129:M129"/>
    <mergeCell ref="N129:O129"/>
    <mergeCell ref="F130:O130"/>
    <mergeCell ref="D134:E134"/>
    <mergeCell ref="F134:K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M145"/>
    <mergeCell ref="E146:M146"/>
    <mergeCell ref="C153:P153"/>
    <mergeCell ref="C155:P155"/>
    <mergeCell ref="D157:E157"/>
    <mergeCell ref="F157:M157"/>
    <mergeCell ref="N157:O157"/>
    <mergeCell ref="E158:G158"/>
    <mergeCell ref="I158:L158"/>
    <mergeCell ref="N158:O158"/>
    <mergeCell ref="D159:O159"/>
    <mergeCell ref="D160:L160"/>
    <mergeCell ref="N160:O160"/>
    <mergeCell ref="E166:F166"/>
    <mergeCell ref="M166:O166"/>
    <mergeCell ref="E167:F167"/>
    <mergeCell ref="M167:O167"/>
    <mergeCell ref="C174:P174"/>
    <mergeCell ref="C176:P176"/>
    <mergeCell ref="C178:E178"/>
    <mergeCell ref="F178:P178"/>
    <mergeCell ref="C179:E179"/>
    <mergeCell ref="F179:G179"/>
    <mergeCell ref="H179:I179"/>
    <mergeCell ref="L179:P179"/>
    <mergeCell ref="C180:E180"/>
    <mergeCell ref="F180:K180"/>
    <mergeCell ref="L180:M180"/>
    <mergeCell ref="N180:P180"/>
    <mergeCell ref="C181:E181"/>
    <mergeCell ref="F181:G181"/>
    <mergeCell ref="I181:J181"/>
    <mergeCell ref="K181:L181"/>
    <mergeCell ref="M181:P181"/>
    <mergeCell ref="C182:E182"/>
    <mergeCell ref="F182:I182"/>
    <mergeCell ref="J182:K182"/>
    <mergeCell ref="L182:P182"/>
    <mergeCell ref="C183:E183"/>
    <mergeCell ref="F183:P183"/>
    <mergeCell ref="F186:G186"/>
    <mergeCell ref="H186:I186"/>
    <mergeCell ref="J186:K186"/>
    <mergeCell ref="L186:M186"/>
    <mergeCell ref="N186:O186"/>
    <mergeCell ref="F187:O187"/>
    <mergeCell ref="D191:E191"/>
    <mergeCell ref="F191:K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M202"/>
    <mergeCell ref="E203:M203"/>
    <mergeCell ref="C210:P210"/>
    <mergeCell ref="C212:P212"/>
    <mergeCell ref="D214:E214"/>
    <mergeCell ref="F214:M214"/>
    <mergeCell ref="N214:O214"/>
    <mergeCell ref="E215:G215"/>
    <mergeCell ref="I215:L215"/>
    <mergeCell ref="N215:O215"/>
    <mergeCell ref="D216:O216"/>
    <mergeCell ref="D217:L217"/>
    <mergeCell ref="N217:O217"/>
    <mergeCell ref="E223:F223"/>
    <mergeCell ref="M223:O223"/>
    <mergeCell ref="E224:F224"/>
    <mergeCell ref="M224:O224"/>
    <mergeCell ref="C231:P231"/>
    <mergeCell ref="C233:P233"/>
    <mergeCell ref="C235:E235"/>
    <mergeCell ref="F235:P235"/>
    <mergeCell ref="C236:E236"/>
    <mergeCell ref="F236:G236"/>
    <mergeCell ref="H236:I236"/>
    <mergeCell ref="L236:P236"/>
    <mergeCell ref="C237:E237"/>
    <mergeCell ref="F237:K237"/>
    <mergeCell ref="L237:M237"/>
    <mergeCell ref="N237:P237"/>
    <mergeCell ref="C238:E238"/>
    <mergeCell ref="F238:G238"/>
    <mergeCell ref="I238:J238"/>
    <mergeCell ref="K238:L238"/>
    <mergeCell ref="M238:P238"/>
    <mergeCell ref="C239:E239"/>
    <mergeCell ref="F239:I239"/>
    <mergeCell ref="J239:K239"/>
    <mergeCell ref="L239:P239"/>
    <mergeCell ref="C240:E240"/>
    <mergeCell ref="F240:P240"/>
    <mergeCell ref="F243:G243"/>
    <mergeCell ref="H243:I243"/>
    <mergeCell ref="J243:K243"/>
    <mergeCell ref="L243:M243"/>
    <mergeCell ref="N243:O243"/>
    <mergeCell ref="F244:O244"/>
    <mergeCell ref="D248:E248"/>
    <mergeCell ref="F248:K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M259"/>
    <mergeCell ref="E260:M260"/>
    <mergeCell ref="C267:P267"/>
    <mergeCell ref="C269:P269"/>
    <mergeCell ref="D271:E271"/>
    <mergeCell ref="F271:M271"/>
    <mergeCell ref="N271:O271"/>
    <mergeCell ref="E272:G272"/>
    <mergeCell ref="I272:L272"/>
    <mergeCell ref="N272:O272"/>
    <mergeCell ref="D273:O273"/>
    <mergeCell ref="D274:L274"/>
    <mergeCell ref="N274:O274"/>
    <mergeCell ref="E280:F280"/>
    <mergeCell ref="M280:O280"/>
    <mergeCell ref="E281:F281"/>
    <mergeCell ref="M281:O281"/>
    <mergeCell ref="C288:P288"/>
    <mergeCell ref="C290:P290"/>
    <mergeCell ref="C292:E292"/>
    <mergeCell ref="F292:P292"/>
    <mergeCell ref="C293:E293"/>
    <mergeCell ref="F293:G293"/>
    <mergeCell ref="H293:I293"/>
    <mergeCell ref="L293:P293"/>
    <mergeCell ref="C294:E294"/>
    <mergeCell ref="F294:K294"/>
    <mergeCell ref="L294:M294"/>
    <mergeCell ref="N294:P294"/>
    <mergeCell ref="C295:E295"/>
    <mergeCell ref="F295:G295"/>
    <mergeCell ref="I295:J295"/>
    <mergeCell ref="K295:L295"/>
    <mergeCell ref="M295:P295"/>
    <mergeCell ref="C296:E296"/>
    <mergeCell ref="F296:I296"/>
    <mergeCell ref="J296:K296"/>
    <mergeCell ref="L296:P296"/>
    <mergeCell ref="C297:E297"/>
    <mergeCell ref="F297:P297"/>
    <mergeCell ref="F300:G300"/>
    <mergeCell ref="H300:I300"/>
    <mergeCell ref="J300:K300"/>
    <mergeCell ref="L300:M300"/>
    <mergeCell ref="N300:O300"/>
    <mergeCell ref="F301:O301"/>
    <mergeCell ref="D305:E305"/>
    <mergeCell ref="F305:K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M316"/>
    <mergeCell ref="E317:M317"/>
    <mergeCell ref="C324:P324"/>
    <mergeCell ref="C326:P326"/>
    <mergeCell ref="D328:E328"/>
    <mergeCell ref="F328:M328"/>
    <mergeCell ref="N328:O328"/>
    <mergeCell ref="E329:G329"/>
    <mergeCell ref="I329:L329"/>
    <mergeCell ref="N329:O329"/>
    <mergeCell ref="D330:O330"/>
    <mergeCell ref="D331:L331"/>
    <mergeCell ref="N331:O331"/>
    <mergeCell ref="E337:F337"/>
    <mergeCell ref="M337:O337"/>
    <mergeCell ref="E338:F338"/>
    <mergeCell ref="M338:O338"/>
    <mergeCell ref="C345:P345"/>
    <mergeCell ref="C347:P347"/>
    <mergeCell ref="C349:E349"/>
    <mergeCell ref="F349:P349"/>
    <mergeCell ref="C350:E350"/>
    <mergeCell ref="F350:G350"/>
    <mergeCell ref="H350:I350"/>
    <mergeCell ref="L350:P350"/>
    <mergeCell ref="C351:E351"/>
    <mergeCell ref="F351:K351"/>
    <mergeCell ref="L351:M351"/>
    <mergeCell ref="N351:P351"/>
    <mergeCell ref="C352:E352"/>
    <mergeCell ref="F352:G352"/>
    <mergeCell ref="I352:J352"/>
    <mergeCell ref="K352:L352"/>
    <mergeCell ref="M352:P352"/>
    <mergeCell ref="C353:E353"/>
    <mergeCell ref="F353:I353"/>
    <mergeCell ref="J353:K353"/>
    <mergeCell ref="L353:P353"/>
    <mergeCell ref="C354:E354"/>
    <mergeCell ref="F354:P354"/>
    <mergeCell ref="F357:G357"/>
    <mergeCell ref="H357:I357"/>
    <mergeCell ref="J357:K357"/>
    <mergeCell ref="L357:M357"/>
    <mergeCell ref="N357:O357"/>
    <mergeCell ref="F358:O358"/>
    <mergeCell ref="D362:E362"/>
    <mergeCell ref="F362:K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M373"/>
    <mergeCell ref="E374:M374"/>
    <mergeCell ref="C381:P381"/>
    <mergeCell ref="C383:P383"/>
    <mergeCell ref="D385:E385"/>
    <mergeCell ref="F385:M385"/>
    <mergeCell ref="N385:O385"/>
    <mergeCell ref="E386:G386"/>
    <mergeCell ref="I386:L386"/>
    <mergeCell ref="N386:O386"/>
    <mergeCell ref="D387:O387"/>
    <mergeCell ref="D388:L388"/>
    <mergeCell ref="N388:O388"/>
    <mergeCell ref="E394:F394"/>
    <mergeCell ref="M394:O394"/>
    <mergeCell ref="E395:F395"/>
    <mergeCell ref="M395:O395"/>
    <mergeCell ref="C402:P402"/>
    <mergeCell ref="C404:P404"/>
    <mergeCell ref="C406:E406"/>
    <mergeCell ref="F406:P406"/>
    <mergeCell ref="C407:E407"/>
    <mergeCell ref="F407:G407"/>
    <mergeCell ref="H407:I407"/>
    <mergeCell ref="L407:P407"/>
    <mergeCell ref="C408:E408"/>
    <mergeCell ref="F408:K408"/>
    <mergeCell ref="L408:M408"/>
    <mergeCell ref="N408:P408"/>
    <mergeCell ref="C409:E409"/>
    <mergeCell ref="F409:G409"/>
    <mergeCell ref="I409:J409"/>
    <mergeCell ref="K409:L409"/>
    <mergeCell ref="M409:P409"/>
    <mergeCell ref="C410:E410"/>
    <mergeCell ref="F410:I410"/>
    <mergeCell ref="J410:K410"/>
    <mergeCell ref="L410:P410"/>
    <mergeCell ref="C411:E411"/>
    <mergeCell ref="F411:P411"/>
    <mergeCell ref="F414:G414"/>
    <mergeCell ref="H414:I414"/>
    <mergeCell ref="J414:K414"/>
    <mergeCell ref="L414:M414"/>
    <mergeCell ref="N414:O414"/>
    <mergeCell ref="F415:O415"/>
    <mergeCell ref="D419:E419"/>
    <mergeCell ref="F419:K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M430"/>
    <mergeCell ref="E431:M431"/>
    <mergeCell ref="C438:P438"/>
    <mergeCell ref="C440:P440"/>
    <mergeCell ref="D442:E442"/>
    <mergeCell ref="F442:M442"/>
    <mergeCell ref="N442:O442"/>
    <mergeCell ref="E443:G443"/>
    <mergeCell ref="I443:L443"/>
    <mergeCell ref="N443:O443"/>
    <mergeCell ref="D444:O444"/>
    <mergeCell ref="D445:L445"/>
    <mergeCell ref="N445:O445"/>
    <mergeCell ref="E451:F451"/>
    <mergeCell ref="M451:O451"/>
    <mergeCell ref="E452:F452"/>
    <mergeCell ref="M452:O452"/>
    <mergeCell ref="C459:P459"/>
    <mergeCell ref="C461:P461"/>
    <mergeCell ref="C463:E463"/>
    <mergeCell ref="F463:P463"/>
    <mergeCell ref="C464:E464"/>
    <mergeCell ref="F464:G464"/>
    <mergeCell ref="H464:I464"/>
    <mergeCell ref="L464:P464"/>
    <mergeCell ref="C465:E465"/>
    <mergeCell ref="F465:K465"/>
    <mergeCell ref="L465:M465"/>
    <mergeCell ref="N465:P465"/>
    <mergeCell ref="C466:E466"/>
    <mergeCell ref="F466:G466"/>
    <mergeCell ref="I466:J466"/>
    <mergeCell ref="K466:L466"/>
    <mergeCell ref="M466:P466"/>
    <mergeCell ref="C467:E467"/>
    <mergeCell ref="F467:I467"/>
    <mergeCell ref="J467:K467"/>
    <mergeCell ref="L467:P467"/>
    <mergeCell ref="C468:E468"/>
    <mergeCell ref="F468:P468"/>
    <mergeCell ref="F471:G471"/>
    <mergeCell ref="H471:I471"/>
    <mergeCell ref="J471:K471"/>
    <mergeCell ref="L471:M471"/>
    <mergeCell ref="N471:O471"/>
    <mergeCell ref="F472:O472"/>
    <mergeCell ref="D476:E476"/>
    <mergeCell ref="F476:K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M487"/>
    <mergeCell ref="E488:M488"/>
    <mergeCell ref="C495:P495"/>
    <mergeCell ref="C497:P497"/>
    <mergeCell ref="D499:E499"/>
    <mergeCell ref="F499:M499"/>
    <mergeCell ref="N499:O499"/>
    <mergeCell ref="E500:G500"/>
    <mergeCell ref="I500:L500"/>
    <mergeCell ref="N500:O500"/>
    <mergeCell ref="D501:O501"/>
    <mergeCell ref="D502:L502"/>
    <mergeCell ref="N502:O502"/>
    <mergeCell ref="E508:F508"/>
    <mergeCell ref="M508:O508"/>
    <mergeCell ref="E509:F509"/>
    <mergeCell ref="M509:O509"/>
    <mergeCell ref="C516:P516"/>
    <mergeCell ref="C518:P518"/>
    <mergeCell ref="C520:E520"/>
    <mergeCell ref="F520:P520"/>
    <mergeCell ref="C521:E521"/>
    <mergeCell ref="F521:G521"/>
    <mergeCell ref="H521:I521"/>
    <mergeCell ref="L521:P521"/>
    <mergeCell ref="C522:E522"/>
    <mergeCell ref="F522:K522"/>
    <mergeCell ref="L522:M522"/>
    <mergeCell ref="N522:P522"/>
    <mergeCell ref="C523:E523"/>
    <mergeCell ref="F523:G523"/>
    <mergeCell ref="I523:J523"/>
    <mergeCell ref="K523:L523"/>
    <mergeCell ref="M523:P523"/>
    <mergeCell ref="C524:E524"/>
    <mergeCell ref="F524:I524"/>
    <mergeCell ref="J524:K524"/>
    <mergeCell ref="L524:P524"/>
    <mergeCell ref="C525:E525"/>
    <mergeCell ref="F525:P525"/>
    <mergeCell ref="F528:G528"/>
    <mergeCell ref="H528:I528"/>
    <mergeCell ref="J528:K528"/>
    <mergeCell ref="L528:M528"/>
    <mergeCell ref="N528:O528"/>
    <mergeCell ref="F529:O529"/>
    <mergeCell ref="D533:E533"/>
    <mergeCell ref="F533:K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M544"/>
    <mergeCell ref="E545:M545"/>
    <mergeCell ref="C552:P552"/>
    <mergeCell ref="C554:P554"/>
    <mergeCell ref="D556:E556"/>
    <mergeCell ref="F556:M556"/>
    <mergeCell ref="N556:O556"/>
    <mergeCell ref="E557:G557"/>
    <mergeCell ref="I557:L557"/>
    <mergeCell ref="N557:O557"/>
    <mergeCell ref="D558:O558"/>
    <mergeCell ref="D559:L559"/>
    <mergeCell ref="N559:O559"/>
    <mergeCell ref="E565:F565"/>
    <mergeCell ref="M565:O565"/>
    <mergeCell ref="E566:F566"/>
    <mergeCell ref="M566:O566"/>
    <mergeCell ref="C573:P573"/>
    <mergeCell ref="C575:P575"/>
    <mergeCell ref="C577:E577"/>
    <mergeCell ref="F577:P577"/>
    <mergeCell ref="C578:E578"/>
    <mergeCell ref="F578:G578"/>
    <mergeCell ref="H578:I578"/>
    <mergeCell ref="L578:P578"/>
    <mergeCell ref="C579:E579"/>
    <mergeCell ref="F579:K579"/>
    <mergeCell ref="L579:M579"/>
    <mergeCell ref="N579:P579"/>
    <mergeCell ref="C580:E580"/>
    <mergeCell ref="F580:G580"/>
    <mergeCell ref="I580:J580"/>
    <mergeCell ref="K580:L580"/>
    <mergeCell ref="M580:P580"/>
    <mergeCell ref="C581:E581"/>
    <mergeCell ref="F581:I581"/>
    <mergeCell ref="J581:K581"/>
    <mergeCell ref="L581:P581"/>
    <mergeCell ref="C582:E582"/>
    <mergeCell ref="F582:P582"/>
    <mergeCell ref="F585:G585"/>
    <mergeCell ref="H585:I585"/>
    <mergeCell ref="J585:K585"/>
    <mergeCell ref="L585:M585"/>
    <mergeCell ref="N585:O585"/>
    <mergeCell ref="F586:O586"/>
    <mergeCell ref="D590:E590"/>
    <mergeCell ref="F590:K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0:E600"/>
    <mergeCell ref="D601:M601"/>
    <mergeCell ref="E602:M602"/>
    <mergeCell ref="C609:P609"/>
    <mergeCell ref="C611:P611"/>
    <mergeCell ref="D613:E613"/>
    <mergeCell ref="F613:M613"/>
    <mergeCell ref="N613:O613"/>
    <mergeCell ref="E614:G614"/>
    <mergeCell ref="I614:L614"/>
    <mergeCell ref="N614:O614"/>
    <mergeCell ref="D615:O615"/>
    <mergeCell ref="D616:L616"/>
    <mergeCell ref="N616:O616"/>
    <mergeCell ref="E622:F622"/>
    <mergeCell ref="M622:O622"/>
    <mergeCell ref="E623:F623"/>
    <mergeCell ref="M623:O623"/>
    <mergeCell ref="C630:P630"/>
    <mergeCell ref="C632:P632"/>
    <mergeCell ref="C634:E634"/>
    <mergeCell ref="F634:P634"/>
    <mergeCell ref="C635:E635"/>
    <mergeCell ref="F635:G635"/>
    <mergeCell ref="H635:I635"/>
    <mergeCell ref="L635:P635"/>
    <mergeCell ref="C636:E636"/>
    <mergeCell ref="F636:K636"/>
    <mergeCell ref="L636:M636"/>
    <mergeCell ref="N636:P636"/>
    <mergeCell ref="C637:E637"/>
    <mergeCell ref="F637:G637"/>
    <mergeCell ref="I637:J637"/>
    <mergeCell ref="K637:L637"/>
    <mergeCell ref="M637:P637"/>
    <mergeCell ref="C638:E638"/>
    <mergeCell ref="F638:I638"/>
    <mergeCell ref="J638:K638"/>
    <mergeCell ref="L638:P638"/>
    <mergeCell ref="C639:E639"/>
    <mergeCell ref="F639:P639"/>
    <mergeCell ref="F642:G642"/>
    <mergeCell ref="H642:I642"/>
    <mergeCell ref="J642:K642"/>
    <mergeCell ref="L642:M642"/>
    <mergeCell ref="N642:O642"/>
    <mergeCell ref="F643:O643"/>
    <mergeCell ref="D647:E647"/>
    <mergeCell ref="F647:K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M658"/>
    <mergeCell ref="E659:M659"/>
    <mergeCell ref="C666:P666"/>
    <mergeCell ref="C668:P668"/>
    <mergeCell ref="D670:E670"/>
    <mergeCell ref="F670:M670"/>
    <mergeCell ref="N670:O670"/>
    <mergeCell ref="E671:G671"/>
    <mergeCell ref="I671:L671"/>
    <mergeCell ref="N671:O671"/>
    <mergeCell ref="D672:O672"/>
    <mergeCell ref="D673:L673"/>
    <mergeCell ref="N673:O673"/>
    <mergeCell ref="E679:F679"/>
    <mergeCell ref="M679:O679"/>
    <mergeCell ref="E680:F680"/>
    <mergeCell ref="M680:O680"/>
    <mergeCell ref="C687:P687"/>
    <mergeCell ref="C689:P689"/>
    <mergeCell ref="C691:E691"/>
    <mergeCell ref="F691:P691"/>
    <mergeCell ref="C692:E692"/>
    <mergeCell ref="F692:G692"/>
    <mergeCell ref="H692:I692"/>
    <mergeCell ref="L692:P692"/>
    <mergeCell ref="C693:E693"/>
    <mergeCell ref="F693:K693"/>
    <mergeCell ref="L693:M693"/>
    <mergeCell ref="N693:P693"/>
    <mergeCell ref="C694:E694"/>
    <mergeCell ref="F694:G694"/>
    <mergeCell ref="I694:J694"/>
    <mergeCell ref="K694:L694"/>
    <mergeCell ref="M694:P694"/>
    <mergeCell ref="C695:E695"/>
    <mergeCell ref="F695:I695"/>
    <mergeCell ref="J695:K695"/>
    <mergeCell ref="L695:P695"/>
    <mergeCell ref="C696:E696"/>
    <mergeCell ref="F696:P696"/>
    <mergeCell ref="F699:G699"/>
    <mergeCell ref="H699:I699"/>
    <mergeCell ref="J699:K699"/>
    <mergeCell ref="L699:M699"/>
    <mergeCell ref="N699:O699"/>
    <mergeCell ref="F700:O700"/>
    <mergeCell ref="D704:E704"/>
    <mergeCell ref="F704:K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M715"/>
    <mergeCell ref="E716:M716"/>
    <mergeCell ref="C723:P723"/>
    <mergeCell ref="C725:P725"/>
    <mergeCell ref="D727:E727"/>
    <mergeCell ref="F727:M727"/>
    <mergeCell ref="N727:O727"/>
    <mergeCell ref="E728:G728"/>
    <mergeCell ref="I728:L728"/>
    <mergeCell ref="N728:O728"/>
    <mergeCell ref="D729:O729"/>
    <mergeCell ref="D730:L730"/>
    <mergeCell ref="N730:O730"/>
    <mergeCell ref="E736:F736"/>
    <mergeCell ref="M736:O736"/>
    <mergeCell ref="E737:F737"/>
    <mergeCell ref="M737:O737"/>
    <mergeCell ref="C744:P744"/>
    <mergeCell ref="C746:P746"/>
    <mergeCell ref="C748:E748"/>
    <mergeCell ref="F748:P748"/>
    <mergeCell ref="C749:E749"/>
    <mergeCell ref="F749:G749"/>
    <mergeCell ref="H749:I749"/>
    <mergeCell ref="L749:P749"/>
    <mergeCell ref="C750:E750"/>
    <mergeCell ref="F750:K750"/>
    <mergeCell ref="L750:M750"/>
    <mergeCell ref="N750:P750"/>
    <mergeCell ref="C751:E751"/>
    <mergeCell ref="F751:G751"/>
    <mergeCell ref="I751:J751"/>
    <mergeCell ref="K751:L751"/>
    <mergeCell ref="M751:P751"/>
    <mergeCell ref="C752:E752"/>
    <mergeCell ref="F752:I752"/>
    <mergeCell ref="J752:K752"/>
    <mergeCell ref="L752:P752"/>
    <mergeCell ref="C753:E753"/>
    <mergeCell ref="F753:P753"/>
    <mergeCell ref="F756:G756"/>
    <mergeCell ref="H756:I756"/>
    <mergeCell ref="J756:K756"/>
    <mergeCell ref="L756:M756"/>
    <mergeCell ref="N756:O756"/>
    <mergeCell ref="F757:O757"/>
    <mergeCell ref="D761:E761"/>
    <mergeCell ref="F761:K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M772"/>
    <mergeCell ref="E773:M773"/>
    <mergeCell ref="C780:P780"/>
    <mergeCell ref="C782:P782"/>
    <mergeCell ref="D784:E784"/>
    <mergeCell ref="F784:M784"/>
    <mergeCell ref="N784:O784"/>
    <mergeCell ref="E785:G785"/>
    <mergeCell ref="I785:L785"/>
    <mergeCell ref="N785:O785"/>
    <mergeCell ref="D786:O786"/>
    <mergeCell ref="D787:L787"/>
    <mergeCell ref="N787:O787"/>
    <mergeCell ref="E793:F793"/>
    <mergeCell ref="M793:O793"/>
    <mergeCell ref="E794:F794"/>
    <mergeCell ref="M794:O794"/>
    <mergeCell ref="C801:P801"/>
    <mergeCell ref="C803:P803"/>
    <mergeCell ref="C805:E805"/>
    <mergeCell ref="F805:P805"/>
    <mergeCell ref="C806:E806"/>
    <mergeCell ref="F806:G806"/>
    <mergeCell ref="H806:I806"/>
    <mergeCell ref="L806:P806"/>
    <mergeCell ref="C807:E807"/>
    <mergeCell ref="F807:K807"/>
    <mergeCell ref="L807:M807"/>
    <mergeCell ref="N807:P807"/>
    <mergeCell ref="C808:E808"/>
    <mergeCell ref="F808:G808"/>
    <mergeCell ref="I808:J808"/>
    <mergeCell ref="K808:L808"/>
    <mergeCell ref="M808:P808"/>
    <mergeCell ref="C809:E809"/>
    <mergeCell ref="F809:I809"/>
    <mergeCell ref="J809:K809"/>
    <mergeCell ref="L809:P809"/>
    <mergeCell ref="C810:E810"/>
    <mergeCell ref="F810:P810"/>
    <mergeCell ref="F813:G813"/>
    <mergeCell ref="H813:I813"/>
    <mergeCell ref="J813:K813"/>
    <mergeCell ref="L813:M813"/>
    <mergeCell ref="N813:O813"/>
    <mergeCell ref="F814:O814"/>
    <mergeCell ref="D818:E818"/>
    <mergeCell ref="F818:K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M829"/>
    <mergeCell ref="E830:M830"/>
    <mergeCell ref="C837:P837"/>
    <mergeCell ref="C839:P839"/>
    <mergeCell ref="D841:E841"/>
    <mergeCell ref="F841:M841"/>
    <mergeCell ref="N841:O841"/>
    <mergeCell ref="E842:G842"/>
    <mergeCell ref="I842:L842"/>
    <mergeCell ref="N842:O842"/>
    <mergeCell ref="D843:O843"/>
    <mergeCell ref="D844:L844"/>
    <mergeCell ref="N844:O844"/>
    <mergeCell ref="E850:F850"/>
    <mergeCell ref="M850:O850"/>
    <mergeCell ref="E851:F851"/>
    <mergeCell ref="M851:O851"/>
    <mergeCell ref="C858:P858"/>
    <mergeCell ref="C860:P860"/>
    <mergeCell ref="C862:E862"/>
    <mergeCell ref="F862:P862"/>
    <mergeCell ref="C863:E863"/>
    <mergeCell ref="F863:G863"/>
    <mergeCell ref="H863:I863"/>
    <mergeCell ref="L863:P863"/>
    <mergeCell ref="C864:E864"/>
    <mergeCell ref="F864:K864"/>
    <mergeCell ref="L864:M864"/>
    <mergeCell ref="N864:P864"/>
    <mergeCell ref="C865:E865"/>
    <mergeCell ref="F865:G865"/>
    <mergeCell ref="I865:J865"/>
    <mergeCell ref="K865:L865"/>
    <mergeCell ref="M865:P865"/>
    <mergeCell ref="C866:E866"/>
    <mergeCell ref="F866:I866"/>
    <mergeCell ref="J866:K866"/>
    <mergeCell ref="L866:P866"/>
    <mergeCell ref="C867:E867"/>
    <mergeCell ref="F867:P867"/>
    <mergeCell ref="F870:G870"/>
    <mergeCell ref="H870:I870"/>
    <mergeCell ref="J870:K870"/>
    <mergeCell ref="L870:M870"/>
    <mergeCell ref="N870:O870"/>
    <mergeCell ref="F871:O871"/>
    <mergeCell ref="D875:E875"/>
    <mergeCell ref="F875:K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M886"/>
    <mergeCell ref="E887:M887"/>
    <mergeCell ref="C894:P894"/>
    <mergeCell ref="C896:P896"/>
    <mergeCell ref="D898:E898"/>
    <mergeCell ref="F898:M898"/>
    <mergeCell ref="N898:O898"/>
    <mergeCell ref="E899:G899"/>
    <mergeCell ref="I899:L899"/>
    <mergeCell ref="N899:O899"/>
    <mergeCell ref="D900:O900"/>
    <mergeCell ref="D901:L901"/>
    <mergeCell ref="N901:O901"/>
    <mergeCell ref="E907:F907"/>
    <mergeCell ref="M907:O907"/>
    <mergeCell ref="E908:F908"/>
    <mergeCell ref="M908:O908"/>
    <mergeCell ref="C915:P915"/>
    <mergeCell ref="C917:P917"/>
    <mergeCell ref="C919:E919"/>
    <mergeCell ref="F919:P919"/>
    <mergeCell ref="C920:E920"/>
    <mergeCell ref="F920:G920"/>
    <mergeCell ref="H920:I920"/>
    <mergeCell ref="L920:P920"/>
    <mergeCell ref="C921:E921"/>
    <mergeCell ref="F921:K921"/>
    <mergeCell ref="L921:M921"/>
    <mergeCell ref="N921:P921"/>
    <mergeCell ref="C922:E922"/>
    <mergeCell ref="F922:G922"/>
    <mergeCell ref="I922:J922"/>
    <mergeCell ref="K922:L922"/>
    <mergeCell ref="M922:P922"/>
    <mergeCell ref="C923:E923"/>
    <mergeCell ref="F923:I923"/>
    <mergeCell ref="J923:K923"/>
    <mergeCell ref="L923:P923"/>
    <mergeCell ref="C924:E924"/>
    <mergeCell ref="F924:P924"/>
    <mergeCell ref="F927:G927"/>
    <mergeCell ref="H927:I927"/>
    <mergeCell ref="J927:K927"/>
    <mergeCell ref="L927:M927"/>
    <mergeCell ref="N927:O927"/>
    <mergeCell ref="F928:O928"/>
    <mergeCell ref="D932:E932"/>
    <mergeCell ref="F932:K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M943"/>
    <mergeCell ref="E944:M944"/>
    <mergeCell ref="C951:P951"/>
    <mergeCell ref="C953:P953"/>
    <mergeCell ref="D955:E955"/>
    <mergeCell ref="F955:M955"/>
    <mergeCell ref="N955:O955"/>
    <mergeCell ref="E956:G956"/>
    <mergeCell ref="I956:L956"/>
    <mergeCell ref="N956:O956"/>
    <mergeCell ref="D957:O957"/>
    <mergeCell ref="D958:L958"/>
    <mergeCell ref="N958:O958"/>
    <mergeCell ref="E964:F964"/>
    <mergeCell ref="M964:O964"/>
    <mergeCell ref="E965:F965"/>
    <mergeCell ref="M965:O965"/>
    <mergeCell ref="C972:P972"/>
    <mergeCell ref="C974:P974"/>
    <mergeCell ref="C976:E976"/>
    <mergeCell ref="F976:P976"/>
    <mergeCell ref="C977:E977"/>
    <mergeCell ref="F977:G977"/>
    <mergeCell ref="H977:I977"/>
    <mergeCell ref="L977:P977"/>
    <mergeCell ref="C978:E978"/>
    <mergeCell ref="F978:K978"/>
    <mergeCell ref="L978:M978"/>
    <mergeCell ref="N978:P978"/>
    <mergeCell ref="C979:E979"/>
    <mergeCell ref="F979:G979"/>
    <mergeCell ref="I979:J979"/>
    <mergeCell ref="K979:L979"/>
    <mergeCell ref="M979:P979"/>
    <mergeCell ref="C980:E980"/>
    <mergeCell ref="F980:I980"/>
    <mergeCell ref="J980:K980"/>
    <mergeCell ref="L980:P980"/>
    <mergeCell ref="C981:E981"/>
    <mergeCell ref="F981:P981"/>
    <mergeCell ref="F984:G984"/>
    <mergeCell ref="H984:I984"/>
    <mergeCell ref="J984:K984"/>
    <mergeCell ref="L984:M984"/>
    <mergeCell ref="N984:O984"/>
    <mergeCell ref="F985:O985"/>
    <mergeCell ref="D989:E989"/>
    <mergeCell ref="F989:K989"/>
    <mergeCell ref="D990:E990"/>
    <mergeCell ref="D991:E991"/>
    <mergeCell ref="D992:E992"/>
    <mergeCell ref="D993:E993"/>
    <mergeCell ref="D994:E994"/>
    <mergeCell ref="D995:E995"/>
    <mergeCell ref="D996:E996"/>
    <mergeCell ref="D997:E997"/>
    <mergeCell ref="D998:E998"/>
    <mergeCell ref="D999:E999"/>
    <mergeCell ref="D1000:M1000"/>
    <mergeCell ref="E1001:M1001"/>
    <mergeCell ref="C1008:P1008"/>
    <mergeCell ref="C1010:P1010"/>
    <mergeCell ref="D1012:E1012"/>
    <mergeCell ref="F1012:M1012"/>
    <mergeCell ref="N1012:O1012"/>
    <mergeCell ref="E1013:G1013"/>
    <mergeCell ref="I1013:L1013"/>
    <mergeCell ref="N1013:O1013"/>
    <mergeCell ref="D1014:O1014"/>
    <mergeCell ref="D1015:L1015"/>
    <mergeCell ref="N1015:O1015"/>
    <mergeCell ref="E1021:F1021"/>
    <mergeCell ref="M1021:O1021"/>
    <mergeCell ref="E1022:F1022"/>
    <mergeCell ref="M1022:O1022"/>
    <mergeCell ref="C1029:P1029"/>
    <mergeCell ref="C1031:P1031"/>
    <mergeCell ref="C1033:E1033"/>
    <mergeCell ref="F1033:P1033"/>
    <mergeCell ref="C1034:E1034"/>
    <mergeCell ref="F1034:G1034"/>
    <mergeCell ref="H1034:I1034"/>
    <mergeCell ref="L1034:P1034"/>
    <mergeCell ref="C1035:E1035"/>
    <mergeCell ref="F1035:K1035"/>
    <mergeCell ref="L1035:M1035"/>
    <mergeCell ref="N1035:P1035"/>
    <mergeCell ref="C1036:E1036"/>
    <mergeCell ref="F1036:G1036"/>
    <mergeCell ref="I1036:J1036"/>
    <mergeCell ref="K1036:L1036"/>
    <mergeCell ref="M1036:P1036"/>
    <mergeCell ref="C1037:E1037"/>
    <mergeCell ref="F1037:I1037"/>
    <mergeCell ref="J1037:K1037"/>
    <mergeCell ref="L1037:P1037"/>
    <mergeCell ref="C1038:E1038"/>
    <mergeCell ref="F1038:P1038"/>
    <mergeCell ref="F1041:G1041"/>
    <mergeCell ref="H1041:I1041"/>
    <mergeCell ref="J1041:K1041"/>
    <mergeCell ref="L1041:M1041"/>
    <mergeCell ref="N1041:O1041"/>
    <mergeCell ref="F1042:O1042"/>
    <mergeCell ref="D1046:E1046"/>
    <mergeCell ref="F1046:K1046"/>
    <mergeCell ref="D1047:E1047"/>
    <mergeCell ref="D1048:E1048"/>
    <mergeCell ref="D1049:E1049"/>
    <mergeCell ref="D1050:E1050"/>
    <mergeCell ref="D1051:E1051"/>
    <mergeCell ref="D1052:E1052"/>
    <mergeCell ref="D1053:E1053"/>
    <mergeCell ref="D1054:E1054"/>
    <mergeCell ref="D1055:E1055"/>
    <mergeCell ref="D1056:E1056"/>
    <mergeCell ref="D1057:M1057"/>
    <mergeCell ref="E1058:M1058"/>
    <mergeCell ref="C1065:P1065"/>
    <mergeCell ref="C1067:P1067"/>
    <mergeCell ref="D1069:E1069"/>
    <mergeCell ref="F1069:M1069"/>
    <mergeCell ref="N1069:O1069"/>
    <mergeCell ref="E1070:G1070"/>
    <mergeCell ref="I1070:L1070"/>
    <mergeCell ref="N1070:O1070"/>
    <mergeCell ref="D1071:O1071"/>
    <mergeCell ref="D1072:L1072"/>
    <mergeCell ref="N1072:O1072"/>
    <mergeCell ref="E1078:F1078"/>
    <mergeCell ref="M1078:O1078"/>
    <mergeCell ref="E1079:F1079"/>
    <mergeCell ref="M1079:O1079"/>
    <mergeCell ref="C1086:P1086"/>
    <mergeCell ref="C1088:P1088"/>
    <mergeCell ref="C1090:E1090"/>
    <mergeCell ref="F1090:P1090"/>
    <mergeCell ref="C1091:E1091"/>
    <mergeCell ref="F1091:G1091"/>
    <mergeCell ref="H1091:I1091"/>
    <mergeCell ref="L1091:P1091"/>
    <mergeCell ref="C1092:E1092"/>
    <mergeCell ref="F1092:K1092"/>
    <mergeCell ref="L1092:M1092"/>
    <mergeCell ref="N1092:P1092"/>
    <mergeCell ref="C1093:E1093"/>
    <mergeCell ref="F1093:G1093"/>
    <mergeCell ref="I1093:J1093"/>
    <mergeCell ref="K1093:L1093"/>
    <mergeCell ref="M1093:P1093"/>
    <mergeCell ref="C1094:E1094"/>
    <mergeCell ref="F1094:I1094"/>
    <mergeCell ref="J1094:K1094"/>
    <mergeCell ref="L1094:P1094"/>
    <mergeCell ref="C1095:E1095"/>
    <mergeCell ref="F1095:P1095"/>
    <mergeCell ref="F1098:G1098"/>
    <mergeCell ref="H1098:I1098"/>
    <mergeCell ref="J1098:K1098"/>
    <mergeCell ref="L1098:M1098"/>
    <mergeCell ref="N1098:O1098"/>
    <mergeCell ref="F1099:O1099"/>
    <mergeCell ref="D1103:E1103"/>
    <mergeCell ref="F1103:K1103"/>
    <mergeCell ref="D1104:E1104"/>
    <mergeCell ref="D1105:E1105"/>
    <mergeCell ref="D1106:E1106"/>
    <mergeCell ref="D1107:E1107"/>
    <mergeCell ref="D1108:E1108"/>
    <mergeCell ref="D1109:E1109"/>
    <mergeCell ref="D1110:E1110"/>
    <mergeCell ref="D1111:E1111"/>
    <mergeCell ref="D1112:E1112"/>
    <mergeCell ref="D1113:E1113"/>
    <mergeCell ref="D1114:M1114"/>
    <mergeCell ref="E1115:M1115"/>
    <mergeCell ref="C1122:P1122"/>
    <mergeCell ref="C1124:P1124"/>
    <mergeCell ref="D1126:E1126"/>
    <mergeCell ref="F1126:M1126"/>
    <mergeCell ref="N1126:O1126"/>
    <mergeCell ref="E1127:G1127"/>
    <mergeCell ref="I1127:L1127"/>
    <mergeCell ref="N1127:O1127"/>
    <mergeCell ref="D1128:O1128"/>
    <mergeCell ref="D1129:L1129"/>
    <mergeCell ref="N1129:O1129"/>
    <mergeCell ref="E1135:F1135"/>
    <mergeCell ref="M1135:O1135"/>
    <mergeCell ref="E1136:F1136"/>
    <mergeCell ref="M1136:O1136"/>
    <mergeCell ref="C1143:P1143"/>
    <mergeCell ref="C1145:P1145"/>
    <mergeCell ref="C1147:E1147"/>
    <mergeCell ref="F1147:P1147"/>
    <mergeCell ref="C1148:E1148"/>
    <mergeCell ref="F1148:G1148"/>
    <mergeCell ref="H1148:I1148"/>
    <mergeCell ref="L1148:P1148"/>
    <mergeCell ref="C1149:E1149"/>
    <mergeCell ref="F1149:K1149"/>
    <mergeCell ref="L1149:M1149"/>
    <mergeCell ref="N1149:P1149"/>
    <mergeCell ref="C1150:E1150"/>
    <mergeCell ref="F1150:G1150"/>
    <mergeCell ref="I1150:J1150"/>
    <mergeCell ref="K1150:L1150"/>
    <mergeCell ref="M1150:P1150"/>
    <mergeCell ref="C1151:E1151"/>
    <mergeCell ref="F1151:I1151"/>
    <mergeCell ref="J1151:K1151"/>
    <mergeCell ref="L1151:P1151"/>
    <mergeCell ref="C1152:E1152"/>
    <mergeCell ref="F1152:P1152"/>
    <mergeCell ref="F1155:G1155"/>
    <mergeCell ref="H1155:I1155"/>
    <mergeCell ref="J1155:K1155"/>
    <mergeCell ref="L1155:M1155"/>
    <mergeCell ref="N1155:O1155"/>
    <mergeCell ref="F1156:O1156"/>
    <mergeCell ref="D1160:E1160"/>
    <mergeCell ref="F1160:K1160"/>
    <mergeCell ref="D1161:E1161"/>
    <mergeCell ref="D1162:E1162"/>
    <mergeCell ref="D1163:E1163"/>
    <mergeCell ref="D1164:E1164"/>
    <mergeCell ref="D1165:E1165"/>
    <mergeCell ref="D1166:E1166"/>
    <mergeCell ref="D1167:E1167"/>
    <mergeCell ref="D1168:E1168"/>
    <mergeCell ref="D1169:E1169"/>
    <mergeCell ref="D1170:E1170"/>
    <mergeCell ref="D1171:M1171"/>
    <mergeCell ref="E1172:M1172"/>
    <mergeCell ref="C1179:P1179"/>
    <mergeCell ref="C1181:P1181"/>
    <mergeCell ref="D1183:E1183"/>
    <mergeCell ref="F1183:M1183"/>
    <mergeCell ref="N1183:O1183"/>
    <mergeCell ref="E1184:G1184"/>
    <mergeCell ref="I1184:L1184"/>
    <mergeCell ref="N1184:O1184"/>
    <mergeCell ref="D1185:O1185"/>
    <mergeCell ref="D1186:L1186"/>
    <mergeCell ref="N1186:O1186"/>
    <mergeCell ref="E1192:F1192"/>
    <mergeCell ref="M1192:O1192"/>
    <mergeCell ref="E1193:F1193"/>
    <mergeCell ref="M1193:O1193"/>
    <mergeCell ref="C1200:P1200"/>
    <mergeCell ref="C1202:P1202"/>
    <mergeCell ref="C1204:E1204"/>
    <mergeCell ref="F1204:P1204"/>
    <mergeCell ref="C1205:E1205"/>
    <mergeCell ref="F1205:G1205"/>
    <mergeCell ref="H1205:I1205"/>
    <mergeCell ref="L1205:P1205"/>
    <mergeCell ref="C1206:E1206"/>
    <mergeCell ref="F1206:K1206"/>
    <mergeCell ref="L1206:M1206"/>
    <mergeCell ref="N1206:P1206"/>
    <mergeCell ref="C1207:E1207"/>
    <mergeCell ref="F1207:G1207"/>
    <mergeCell ref="I1207:J1207"/>
    <mergeCell ref="K1207:L1207"/>
    <mergeCell ref="M1207:P1207"/>
    <mergeCell ref="C1208:E1208"/>
    <mergeCell ref="F1208:I1208"/>
    <mergeCell ref="J1208:K1208"/>
    <mergeCell ref="L1208:P1208"/>
    <mergeCell ref="C1209:E1209"/>
    <mergeCell ref="F1209:P1209"/>
    <mergeCell ref="F1212:G1212"/>
    <mergeCell ref="H1212:I1212"/>
    <mergeCell ref="J1212:K1212"/>
    <mergeCell ref="L1212:M1212"/>
    <mergeCell ref="N1212:O1212"/>
    <mergeCell ref="F1213:O1213"/>
    <mergeCell ref="D1217:E1217"/>
    <mergeCell ref="F1217:K1217"/>
    <mergeCell ref="D1218:E1218"/>
    <mergeCell ref="D1219:E1219"/>
    <mergeCell ref="D1220:E1220"/>
    <mergeCell ref="D1221:E1221"/>
    <mergeCell ref="D1222:E1222"/>
    <mergeCell ref="D1223:E1223"/>
    <mergeCell ref="D1224:E1224"/>
    <mergeCell ref="D1225:E1225"/>
    <mergeCell ref="D1226:E1226"/>
    <mergeCell ref="D1227:E1227"/>
    <mergeCell ref="D1228:M1228"/>
    <mergeCell ref="E1229:M1229"/>
    <mergeCell ref="C1236:P1236"/>
    <mergeCell ref="C1238:P1238"/>
    <mergeCell ref="D1240:E1240"/>
    <mergeCell ref="F1240:M1240"/>
    <mergeCell ref="N1240:O1240"/>
    <mergeCell ref="E1241:G1241"/>
    <mergeCell ref="I1241:L1241"/>
    <mergeCell ref="N1241:O1241"/>
    <mergeCell ref="D1242:O1242"/>
    <mergeCell ref="D1243:L1243"/>
    <mergeCell ref="N1243:O1243"/>
    <mergeCell ref="E1249:F1249"/>
    <mergeCell ref="M1249:O1249"/>
    <mergeCell ref="E1250:F1250"/>
    <mergeCell ref="M1250:O1250"/>
    <mergeCell ref="C1257:P1257"/>
    <mergeCell ref="C1259:P1259"/>
    <mergeCell ref="C1261:E1261"/>
    <mergeCell ref="F1261:P1261"/>
    <mergeCell ref="C1262:E1262"/>
    <mergeCell ref="F1262:G1262"/>
    <mergeCell ref="H1262:I1262"/>
    <mergeCell ref="L1262:P1262"/>
    <mergeCell ref="C1263:E1263"/>
    <mergeCell ref="F1263:K1263"/>
    <mergeCell ref="L1263:M1263"/>
    <mergeCell ref="N1263:P1263"/>
    <mergeCell ref="C1264:E1264"/>
    <mergeCell ref="F1264:G1264"/>
    <mergeCell ref="I1264:J1264"/>
    <mergeCell ref="K1264:L1264"/>
    <mergeCell ref="M1264:P1264"/>
    <mergeCell ref="C1265:E1265"/>
    <mergeCell ref="F1265:I1265"/>
    <mergeCell ref="J1265:K1265"/>
    <mergeCell ref="L1265:P1265"/>
    <mergeCell ref="C1266:E1266"/>
    <mergeCell ref="F1266:P1266"/>
    <mergeCell ref="F1269:G1269"/>
    <mergeCell ref="H1269:I1269"/>
    <mergeCell ref="J1269:K1269"/>
    <mergeCell ref="L1269:M1269"/>
    <mergeCell ref="N1269:O1269"/>
    <mergeCell ref="F1270:O1270"/>
    <mergeCell ref="D1274:E1274"/>
    <mergeCell ref="F1274:K1274"/>
    <mergeCell ref="D1275:E1275"/>
    <mergeCell ref="D1276:E1276"/>
    <mergeCell ref="D1277:E1277"/>
    <mergeCell ref="D1278:E1278"/>
    <mergeCell ref="D1279:E1279"/>
    <mergeCell ref="D1280:E1280"/>
    <mergeCell ref="D1281:E1281"/>
    <mergeCell ref="D1282:E1282"/>
    <mergeCell ref="D1283:E1283"/>
    <mergeCell ref="D1284:E1284"/>
    <mergeCell ref="D1285:M1285"/>
    <mergeCell ref="E1286:M1286"/>
    <mergeCell ref="C1293:P1293"/>
    <mergeCell ref="C1295:P1295"/>
    <mergeCell ref="D1297:E1297"/>
    <mergeCell ref="F1297:M1297"/>
    <mergeCell ref="N1297:O1297"/>
    <mergeCell ref="E1298:G1298"/>
    <mergeCell ref="I1298:L1298"/>
    <mergeCell ref="N1298:O1298"/>
    <mergeCell ref="D1299:O1299"/>
    <mergeCell ref="D1300:L1300"/>
    <mergeCell ref="N1300:O1300"/>
    <mergeCell ref="E1306:F1306"/>
    <mergeCell ref="M1306:O1306"/>
    <mergeCell ref="E1307:F1307"/>
    <mergeCell ref="M1307:O1307"/>
    <mergeCell ref="C1314:P1314"/>
    <mergeCell ref="C1316:P1316"/>
    <mergeCell ref="C1318:E1318"/>
    <mergeCell ref="F1318:P1318"/>
    <mergeCell ref="C1319:E1319"/>
    <mergeCell ref="F1319:G1319"/>
    <mergeCell ref="H1319:I1319"/>
    <mergeCell ref="L1319:P1319"/>
    <mergeCell ref="C1320:E1320"/>
    <mergeCell ref="F1320:K1320"/>
    <mergeCell ref="L1320:M1320"/>
    <mergeCell ref="N1320:P1320"/>
    <mergeCell ref="C1321:E1321"/>
    <mergeCell ref="F1321:G1321"/>
    <mergeCell ref="I1321:J1321"/>
    <mergeCell ref="K1321:L1321"/>
    <mergeCell ref="M1321:P1321"/>
    <mergeCell ref="C1322:E1322"/>
    <mergeCell ref="F1322:I1322"/>
    <mergeCell ref="J1322:K1322"/>
    <mergeCell ref="L1322:P1322"/>
    <mergeCell ref="C1323:E1323"/>
    <mergeCell ref="F1323:P1323"/>
    <mergeCell ref="F1326:G1326"/>
    <mergeCell ref="H1326:I1326"/>
    <mergeCell ref="J1326:K1326"/>
    <mergeCell ref="L1326:M1326"/>
    <mergeCell ref="N1326:O1326"/>
    <mergeCell ref="F1327:O1327"/>
    <mergeCell ref="D1331:E1331"/>
    <mergeCell ref="F1331:K1331"/>
    <mergeCell ref="D1332:E1332"/>
    <mergeCell ref="D1333:E1333"/>
    <mergeCell ref="D1334:E1334"/>
    <mergeCell ref="D1335:E1335"/>
    <mergeCell ref="D1336:E1336"/>
    <mergeCell ref="D1337:E1337"/>
    <mergeCell ref="D1338:E1338"/>
    <mergeCell ref="D1339:E1339"/>
    <mergeCell ref="D1340:E1340"/>
    <mergeCell ref="D1341:E1341"/>
    <mergeCell ref="D1342:M1342"/>
    <mergeCell ref="E1343:M1343"/>
    <mergeCell ref="C1350:P1350"/>
    <mergeCell ref="C1352:P1352"/>
    <mergeCell ref="D1354:E1354"/>
    <mergeCell ref="F1354:M1354"/>
    <mergeCell ref="N1354:O1354"/>
    <mergeCell ref="E1355:G1355"/>
    <mergeCell ref="I1355:L1355"/>
    <mergeCell ref="N1355:O1355"/>
    <mergeCell ref="D1356:O1356"/>
    <mergeCell ref="D1357:L1357"/>
    <mergeCell ref="N1357:O1357"/>
    <mergeCell ref="E1363:F1363"/>
    <mergeCell ref="M1363:O1363"/>
    <mergeCell ref="E1364:F1364"/>
    <mergeCell ref="M1364:O1364"/>
    <mergeCell ref="C1371:P1371"/>
    <mergeCell ref="C1373:P1373"/>
    <mergeCell ref="C1375:E1375"/>
    <mergeCell ref="F1375:P1375"/>
    <mergeCell ref="C1376:E1376"/>
    <mergeCell ref="F1376:G1376"/>
    <mergeCell ref="H1376:I1376"/>
    <mergeCell ref="L1376:P1376"/>
    <mergeCell ref="C1377:E1377"/>
    <mergeCell ref="F1377:K1377"/>
    <mergeCell ref="L1377:M1377"/>
    <mergeCell ref="N1377:P1377"/>
    <mergeCell ref="C1378:E1378"/>
    <mergeCell ref="F1378:G1378"/>
    <mergeCell ref="I1378:J1378"/>
    <mergeCell ref="K1378:L1378"/>
    <mergeCell ref="M1378:P1378"/>
    <mergeCell ref="C1379:E1379"/>
    <mergeCell ref="F1379:I1379"/>
    <mergeCell ref="J1379:K1379"/>
    <mergeCell ref="L1379:P1379"/>
    <mergeCell ref="C1380:E1380"/>
    <mergeCell ref="F1380:P1380"/>
    <mergeCell ref="F1383:G1383"/>
    <mergeCell ref="H1383:I1383"/>
    <mergeCell ref="J1383:K1383"/>
    <mergeCell ref="L1383:M1383"/>
    <mergeCell ref="N1383:O1383"/>
    <mergeCell ref="F1384:O1384"/>
    <mergeCell ref="D1388:E1388"/>
    <mergeCell ref="F1388:K1388"/>
    <mergeCell ref="D1389:E1389"/>
    <mergeCell ref="D1390:E1390"/>
    <mergeCell ref="D1391:E1391"/>
    <mergeCell ref="D1392:E1392"/>
    <mergeCell ref="D1393:E1393"/>
    <mergeCell ref="D1394:E1394"/>
    <mergeCell ref="D1395:E1395"/>
    <mergeCell ref="D1396:E1396"/>
    <mergeCell ref="D1397:E1397"/>
    <mergeCell ref="D1398:E1398"/>
    <mergeCell ref="D1399:M1399"/>
    <mergeCell ref="E1400:M1400"/>
    <mergeCell ref="C1407:P1407"/>
    <mergeCell ref="C1409:P1409"/>
    <mergeCell ref="D1411:E1411"/>
    <mergeCell ref="F1411:M1411"/>
    <mergeCell ref="N1411:O1411"/>
    <mergeCell ref="E1412:G1412"/>
    <mergeCell ref="I1412:L1412"/>
    <mergeCell ref="N1412:O1412"/>
    <mergeCell ref="D1413:O1413"/>
    <mergeCell ref="D1414:L1414"/>
    <mergeCell ref="N1414:O1414"/>
    <mergeCell ref="E1420:F1420"/>
    <mergeCell ref="M1420:O1420"/>
    <mergeCell ref="E1421:F1421"/>
    <mergeCell ref="M1421:O1421"/>
    <mergeCell ref="C1428:P1428"/>
    <mergeCell ref="C1430:P1430"/>
    <mergeCell ref="C1432:E1432"/>
    <mergeCell ref="F1432:P1432"/>
    <mergeCell ref="C1433:E1433"/>
    <mergeCell ref="F1433:G1433"/>
    <mergeCell ref="H1433:I1433"/>
    <mergeCell ref="L1433:P1433"/>
    <mergeCell ref="C1434:E1434"/>
    <mergeCell ref="F1434:K1434"/>
    <mergeCell ref="L1434:M1434"/>
    <mergeCell ref="N1434:P1434"/>
    <mergeCell ref="C1435:E1435"/>
    <mergeCell ref="F1435:G1435"/>
    <mergeCell ref="I1435:J1435"/>
    <mergeCell ref="K1435:L1435"/>
    <mergeCell ref="M1435:P1435"/>
    <mergeCell ref="C1436:E1436"/>
    <mergeCell ref="F1436:I1436"/>
    <mergeCell ref="J1436:K1436"/>
    <mergeCell ref="L1436:P1436"/>
    <mergeCell ref="C1437:E1437"/>
    <mergeCell ref="F1437:P1437"/>
    <mergeCell ref="F1440:G1440"/>
    <mergeCell ref="H1440:I1440"/>
    <mergeCell ref="J1440:K1440"/>
    <mergeCell ref="L1440:M1440"/>
    <mergeCell ref="N1440:O1440"/>
    <mergeCell ref="F1441:O1441"/>
    <mergeCell ref="D1445:E1445"/>
    <mergeCell ref="F1445:K1445"/>
    <mergeCell ref="D1446:E1446"/>
    <mergeCell ref="D1447:E1447"/>
    <mergeCell ref="D1448:E1448"/>
    <mergeCell ref="D1449:E1449"/>
    <mergeCell ref="D1450:E1450"/>
    <mergeCell ref="D1451:E1451"/>
    <mergeCell ref="D1452:E1452"/>
    <mergeCell ref="D1453:E1453"/>
    <mergeCell ref="D1454:E1454"/>
    <mergeCell ref="D1455:E1455"/>
    <mergeCell ref="D1456:M1456"/>
    <mergeCell ref="E1457:M1457"/>
    <mergeCell ref="C1464:P1464"/>
    <mergeCell ref="C1466:P1466"/>
    <mergeCell ref="D1468:E1468"/>
    <mergeCell ref="F1468:M1468"/>
    <mergeCell ref="N1468:O1468"/>
    <mergeCell ref="E1469:G1469"/>
    <mergeCell ref="I1469:L1469"/>
    <mergeCell ref="N1469:O1469"/>
    <mergeCell ref="D1470:O1470"/>
    <mergeCell ref="D1471:L1471"/>
    <mergeCell ref="N1471:O1471"/>
    <mergeCell ref="E1477:F1477"/>
    <mergeCell ref="M1477:O1477"/>
    <mergeCell ref="E1478:F1478"/>
    <mergeCell ref="M1478:O1478"/>
    <mergeCell ref="C1485:P1485"/>
    <mergeCell ref="C1487:P1487"/>
    <mergeCell ref="C1489:E1489"/>
    <mergeCell ref="F1489:P1489"/>
    <mergeCell ref="C1490:E1490"/>
    <mergeCell ref="F1490:G1490"/>
    <mergeCell ref="H1490:I1490"/>
    <mergeCell ref="L1490:P1490"/>
    <mergeCell ref="C1491:E1491"/>
    <mergeCell ref="F1491:K1491"/>
    <mergeCell ref="L1491:M1491"/>
    <mergeCell ref="N1491:P1491"/>
    <mergeCell ref="C1492:E1492"/>
    <mergeCell ref="F1492:G1492"/>
    <mergeCell ref="I1492:J1492"/>
    <mergeCell ref="K1492:L1492"/>
    <mergeCell ref="M1492:P1492"/>
    <mergeCell ref="C1493:E1493"/>
    <mergeCell ref="F1493:I1493"/>
    <mergeCell ref="J1493:K1493"/>
    <mergeCell ref="L1493:P1493"/>
    <mergeCell ref="C1494:E1494"/>
    <mergeCell ref="F1494:P1494"/>
    <mergeCell ref="F1497:G1497"/>
    <mergeCell ref="H1497:I1497"/>
    <mergeCell ref="J1497:K1497"/>
    <mergeCell ref="L1497:M1497"/>
    <mergeCell ref="N1497:O1497"/>
    <mergeCell ref="F1498:O1498"/>
    <mergeCell ref="D1502:E1502"/>
    <mergeCell ref="F1502:K1502"/>
    <mergeCell ref="D1503:E1503"/>
    <mergeCell ref="D1504:E1504"/>
    <mergeCell ref="D1505:E1505"/>
    <mergeCell ref="D1506:E1506"/>
    <mergeCell ref="D1507:E1507"/>
    <mergeCell ref="D1508:E1508"/>
    <mergeCell ref="D1509:E1509"/>
    <mergeCell ref="D1510:E1510"/>
    <mergeCell ref="D1511:E1511"/>
    <mergeCell ref="D1512:E1512"/>
    <mergeCell ref="D1513:M1513"/>
    <mergeCell ref="E1514:M1514"/>
    <mergeCell ref="C1521:P1521"/>
    <mergeCell ref="C1523:P1523"/>
    <mergeCell ref="D1525:E1525"/>
    <mergeCell ref="F1525:M1525"/>
    <mergeCell ref="N1525:O1525"/>
    <mergeCell ref="E1526:G1526"/>
    <mergeCell ref="I1526:L1526"/>
    <mergeCell ref="N1526:O1526"/>
    <mergeCell ref="D1527:O1527"/>
    <mergeCell ref="D1528:L1528"/>
    <mergeCell ref="N1528:O1528"/>
    <mergeCell ref="E1534:F1534"/>
    <mergeCell ref="M1534:O1534"/>
    <mergeCell ref="E1535:F1535"/>
    <mergeCell ref="M1535:O1535"/>
    <mergeCell ref="C1542:P1542"/>
    <mergeCell ref="C1544:P1544"/>
    <mergeCell ref="C1546:E1546"/>
    <mergeCell ref="F1546:P1546"/>
    <mergeCell ref="C1547:E1547"/>
    <mergeCell ref="F1547:G1547"/>
    <mergeCell ref="H1547:I1547"/>
    <mergeCell ref="L1547:P1547"/>
    <mergeCell ref="C1548:E1548"/>
    <mergeCell ref="F1548:K1548"/>
    <mergeCell ref="L1548:M1548"/>
    <mergeCell ref="N1548:P1548"/>
    <mergeCell ref="C1549:E1549"/>
    <mergeCell ref="F1549:G1549"/>
    <mergeCell ref="I1549:J1549"/>
    <mergeCell ref="K1549:L1549"/>
    <mergeCell ref="M1549:P1549"/>
    <mergeCell ref="C1550:E1550"/>
    <mergeCell ref="F1550:I1550"/>
    <mergeCell ref="J1550:K1550"/>
    <mergeCell ref="L1550:P1550"/>
    <mergeCell ref="C1551:E1551"/>
    <mergeCell ref="F1551:P1551"/>
    <mergeCell ref="F1554:G1554"/>
    <mergeCell ref="H1554:I1554"/>
    <mergeCell ref="J1554:K1554"/>
    <mergeCell ref="L1554:M1554"/>
    <mergeCell ref="N1554:O1554"/>
    <mergeCell ref="F1555:O1555"/>
    <mergeCell ref="D1559:E1559"/>
    <mergeCell ref="F1559:K1559"/>
    <mergeCell ref="D1560:E1560"/>
    <mergeCell ref="D1561:E1561"/>
    <mergeCell ref="D1562:E1562"/>
    <mergeCell ref="D1563:E1563"/>
    <mergeCell ref="D1564:E1564"/>
    <mergeCell ref="D1565:E1565"/>
    <mergeCell ref="D1566:E1566"/>
    <mergeCell ref="D1567:E1567"/>
    <mergeCell ref="D1568:E1568"/>
    <mergeCell ref="D1569:E1569"/>
    <mergeCell ref="D1570:M1570"/>
    <mergeCell ref="E1571:M1571"/>
    <mergeCell ref="C1578:P1578"/>
    <mergeCell ref="C1580:P1580"/>
    <mergeCell ref="D1582:E1582"/>
    <mergeCell ref="F1582:M1582"/>
    <mergeCell ref="N1582:O1582"/>
    <mergeCell ref="E1583:G1583"/>
    <mergeCell ref="I1583:L1583"/>
    <mergeCell ref="N1583:O1583"/>
    <mergeCell ref="D1584:O1584"/>
    <mergeCell ref="D1585:L1585"/>
    <mergeCell ref="N1585:O1585"/>
    <mergeCell ref="E1591:F1591"/>
    <mergeCell ref="M1591:O1591"/>
    <mergeCell ref="E1592:F1592"/>
    <mergeCell ref="M1592:O1592"/>
    <mergeCell ref="C1599:P1599"/>
    <mergeCell ref="C1601:P1601"/>
    <mergeCell ref="C1603:E1603"/>
    <mergeCell ref="F1603:P1603"/>
    <mergeCell ref="C1604:E1604"/>
    <mergeCell ref="F1604:G1604"/>
    <mergeCell ref="H1604:I1604"/>
    <mergeCell ref="L1604:P1604"/>
    <mergeCell ref="C1605:E1605"/>
    <mergeCell ref="F1605:K1605"/>
    <mergeCell ref="L1605:M1605"/>
    <mergeCell ref="N1605:P1605"/>
    <mergeCell ref="C1606:E1606"/>
    <mergeCell ref="F1606:G1606"/>
    <mergeCell ref="I1606:J1606"/>
    <mergeCell ref="K1606:L1606"/>
    <mergeCell ref="M1606:P1606"/>
    <mergeCell ref="C1607:E1607"/>
    <mergeCell ref="F1607:I1607"/>
    <mergeCell ref="J1607:K1607"/>
    <mergeCell ref="L1607:P1607"/>
    <mergeCell ref="C1608:E1608"/>
    <mergeCell ref="F1608:P1608"/>
    <mergeCell ref="F1611:G1611"/>
    <mergeCell ref="H1611:I1611"/>
    <mergeCell ref="J1611:K1611"/>
    <mergeCell ref="L1611:M1611"/>
    <mergeCell ref="N1611:O1611"/>
    <mergeCell ref="F1612:O1612"/>
    <mergeCell ref="D1616:E1616"/>
    <mergeCell ref="F1616:K1616"/>
    <mergeCell ref="D1617:E1617"/>
    <mergeCell ref="D1618:E1618"/>
    <mergeCell ref="D1619:E1619"/>
    <mergeCell ref="D1620:E1620"/>
    <mergeCell ref="D1621:E1621"/>
    <mergeCell ref="D1622:E1622"/>
    <mergeCell ref="D1623:E1623"/>
    <mergeCell ref="D1624:E1624"/>
    <mergeCell ref="D1625:E1625"/>
    <mergeCell ref="D1626:E1626"/>
    <mergeCell ref="D1627:M1627"/>
    <mergeCell ref="E1628:M1628"/>
    <mergeCell ref="C1635:P1635"/>
    <mergeCell ref="C1637:P1637"/>
    <mergeCell ref="D1639:E1639"/>
    <mergeCell ref="F1639:M1639"/>
    <mergeCell ref="N1639:O1639"/>
    <mergeCell ref="E1640:G1640"/>
    <mergeCell ref="I1640:L1640"/>
    <mergeCell ref="N1640:O1640"/>
    <mergeCell ref="D1641:O1641"/>
    <mergeCell ref="D1642:L1642"/>
    <mergeCell ref="N1642:O1642"/>
    <mergeCell ref="E1648:F1648"/>
    <mergeCell ref="M1648:O1648"/>
    <mergeCell ref="E1649:F1649"/>
    <mergeCell ref="M1649:O1649"/>
    <mergeCell ref="C1656:P1656"/>
    <mergeCell ref="C1658:P1658"/>
    <mergeCell ref="C1660:E1660"/>
    <mergeCell ref="F1660:P1660"/>
    <mergeCell ref="C1661:E1661"/>
    <mergeCell ref="F1661:G1661"/>
    <mergeCell ref="H1661:I1661"/>
    <mergeCell ref="L1661:P1661"/>
    <mergeCell ref="C1662:E1662"/>
    <mergeCell ref="F1662:K1662"/>
    <mergeCell ref="L1662:M1662"/>
    <mergeCell ref="N1662:P1662"/>
    <mergeCell ref="C1663:E1663"/>
    <mergeCell ref="F1663:G1663"/>
    <mergeCell ref="I1663:J1663"/>
    <mergeCell ref="K1663:L1663"/>
    <mergeCell ref="M1663:P1663"/>
    <mergeCell ref="C1664:E1664"/>
    <mergeCell ref="F1664:I1664"/>
    <mergeCell ref="J1664:K1664"/>
    <mergeCell ref="L1664:P1664"/>
    <mergeCell ref="C1665:E1665"/>
    <mergeCell ref="F1665:P1665"/>
    <mergeCell ref="F1668:G1668"/>
    <mergeCell ref="H1668:I1668"/>
    <mergeCell ref="J1668:K1668"/>
    <mergeCell ref="L1668:M1668"/>
    <mergeCell ref="N1668:O1668"/>
    <mergeCell ref="F1669:O1669"/>
    <mergeCell ref="D1673:E1673"/>
    <mergeCell ref="F1673:K1673"/>
    <mergeCell ref="D1674:E1674"/>
    <mergeCell ref="D1675:E1675"/>
    <mergeCell ref="D1676:E1676"/>
    <mergeCell ref="D1677:E1677"/>
    <mergeCell ref="D1678:E1678"/>
    <mergeCell ref="D1679:E1679"/>
    <mergeCell ref="D1680:E1680"/>
    <mergeCell ref="D1681:E1681"/>
    <mergeCell ref="D1682:E1682"/>
    <mergeCell ref="D1683:E1683"/>
    <mergeCell ref="D1684:M1684"/>
    <mergeCell ref="E1685:M1685"/>
    <mergeCell ref="C1692:P1692"/>
    <mergeCell ref="C1694:P1694"/>
    <mergeCell ref="D1696:E1696"/>
    <mergeCell ref="F1696:M1696"/>
    <mergeCell ref="N1696:O1696"/>
    <mergeCell ref="E1697:G1697"/>
    <mergeCell ref="I1697:L1697"/>
    <mergeCell ref="N1697:O1697"/>
    <mergeCell ref="D1698:O1698"/>
    <mergeCell ref="D1699:L1699"/>
    <mergeCell ref="N1699:O1699"/>
    <mergeCell ref="E1705:F1705"/>
    <mergeCell ref="M1705:O1705"/>
    <mergeCell ref="E1706:F1706"/>
    <mergeCell ref="M1706:O1706"/>
    <mergeCell ref="C1713:P1713"/>
    <mergeCell ref="C1715:P1715"/>
    <mergeCell ref="C1717:E1717"/>
    <mergeCell ref="F1717:P1717"/>
    <mergeCell ref="C1718:E1718"/>
    <mergeCell ref="F1718:G1718"/>
    <mergeCell ref="H1718:I1718"/>
    <mergeCell ref="L1718:P1718"/>
    <mergeCell ref="C1719:E1719"/>
    <mergeCell ref="F1719:K1719"/>
    <mergeCell ref="L1719:M1719"/>
    <mergeCell ref="N1719:P1719"/>
    <mergeCell ref="C1720:E1720"/>
    <mergeCell ref="F1720:G1720"/>
    <mergeCell ref="I1720:J1720"/>
    <mergeCell ref="K1720:L1720"/>
    <mergeCell ref="M1720:P1720"/>
    <mergeCell ref="C1721:E1721"/>
    <mergeCell ref="F1721:I1721"/>
    <mergeCell ref="J1721:K1721"/>
    <mergeCell ref="L1721:P1721"/>
    <mergeCell ref="C1722:E1722"/>
    <mergeCell ref="F1722:P1722"/>
    <mergeCell ref="F1725:G1725"/>
    <mergeCell ref="H1725:I1725"/>
    <mergeCell ref="J1725:K1725"/>
    <mergeCell ref="L1725:M1725"/>
    <mergeCell ref="N1725:O1725"/>
    <mergeCell ref="F1726:O1726"/>
    <mergeCell ref="D1730:E1730"/>
    <mergeCell ref="F1730:K1730"/>
    <mergeCell ref="D1731:E1731"/>
    <mergeCell ref="D1732:E1732"/>
    <mergeCell ref="D1733:E1733"/>
    <mergeCell ref="D1734:E1734"/>
    <mergeCell ref="D1735:E1735"/>
    <mergeCell ref="D1736:E1736"/>
    <mergeCell ref="D1737:E1737"/>
    <mergeCell ref="D1738:E1738"/>
    <mergeCell ref="D1739:E1739"/>
    <mergeCell ref="D1740:E1740"/>
    <mergeCell ref="D1741:M1741"/>
    <mergeCell ref="E1742:M1742"/>
    <mergeCell ref="C1749:P1749"/>
    <mergeCell ref="C1751:P1751"/>
    <mergeCell ref="D1753:E1753"/>
    <mergeCell ref="F1753:M1753"/>
    <mergeCell ref="N1753:O1753"/>
    <mergeCell ref="E1754:G1754"/>
    <mergeCell ref="I1754:L1754"/>
    <mergeCell ref="N1754:O1754"/>
    <mergeCell ref="D1755:O1755"/>
    <mergeCell ref="D1756:L1756"/>
    <mergeCell ref="N1756:O1756"/>
    <mergeCell ref="E1762:F1762"/>
    <mergeCell ref="M1762:O1762"/>
    <mergeCell ref="E1763:F1763"/>
    <mergeCell ref="M1763:O1763"/>
    <mergeCell ref="C1770:P1770"/>
    <mergeCell ref="C1772:P1772"/>
    <mergeCell ref="C1774:E1774"/>
    <mergeCell ref="F1774:P1774"/>
    <mergeCell ref="C1775:E1775"/>
    <mergeCell ref="F1775:G1775"/>
    <mergeCell ref="H1775:I1775"/>
    <mergeCell ref="L1775:P1775"/>
    <mergeCell ref="C1776:E1776"/>
    <mergeCell ref="F1776:K1776"/>
    <mergeCell ref="L1776:M1776"/>
    <mergeCell ref="N1776:P1776"/>
    <mergeCell ref="C1777:E1777"/>
    <mergeCell ref="F1777:G1777"/>
    <mergeCell ref="I1777:J1777"/>
    <mergeCell ref="K1777:L1777"/>
    <mergeCell ref="M1777:P1777"/>
    <mergeCell ref="C1778:E1778"/>
    <mergeCell ref="F1778:I1778"/>
    <mergeCell ref="J1778:K1778"/>
    <mergeCell ref="L1778:P1778"/>
    <mergeCell ref="C1779:E1779"/>
    <mergeCell ref="F1779:P1779"/>
    <mergeCell ref="F1782:G1782"/>
    <mergeCell ref="H1782:I1782"/>
    <mergeCell ref="J1782:K1782"/>
    <mergeCell ref="L1782:M1782"/>
    <mergeCell ref="N1782:O1782"/>
    <mergeCell ref="F1783:O1783"/>
    <mergeCell ref="D1787:E1787"/>
    <mergeCell ref="F1787:K1787"/>
    <mergeCell ref="D1788:E1788"/>
    <mergeCell ref="D1789:E1789"/>
    <mergeCell ref="D1790:E1790"/>
    <mergeCell ref="D1791:E1791"/>
    <mergeCell ref="D1792:E1792"/>
    <mergeCell ref="D1793:E1793"/>
    <mergeCell ref="D1794:E1794"/>
    <mergeCell ref="D1795:E1795"/>
    <mergeCell ref="D1796:E1796"/>
    <mergeCell ref="D1797:E1797"/>
    <mergeCell ref="D1798:M1798"/>
    <mergeCell ref="E1799:M1799"/>
    <mergeCell ref="C1806:P1806"/>
    <mergeCell ref="C1808:P1808"/>
    <mergeCell ref="D1810:E1810"/>
    <mergeCell ref="F1810:M1810"/>
    <mergeCell ref="N1810:O1810"/>
    <mergeCell ref="E1811:G1811"/>
    <mergeCell ref="I1811:L1811"/>
    <mergeCell ref="N1811:O1811"/>
    <mergeCell ref="D1812:O1812"/>
    <mergeCell ref="D1813:L1813"/>
    <mergeCell ref="N1813:O1813"/>
    <mergeCell ref="E1819:F1819"/>
    <mergeCell ref="M1819:O1819"/>
    <mergeCell ref="E1820:F1820"/>
    <mergeCell ref="M1820:O1820"/>
    <mergeCell ref="C1827:P1827"/>
    <mergeCell ref="C1829:P1829"/>
    <mergeCell ref="C1831:E1831"/>
    <mergeCell ref="F1831:P1831"/>
    <mergeCell ref="C1832:E1832"/>
    <mergeCell ref="F1832:G1832"/>
    <mergeCell ref="H1832:I1832"/>
    <mergeCell ref="L1832:P1832"/>
    <mergeCell ref="C1833:E1833"/>
    <mergeCell ref="F1833:K1833"/>
    <mergeCell ref="L1833:M1833"/>
    <mergeCell ref="N1833:P1833"/>
    <mergeCell ref="C1834:E1834"/>
    <mergeCell ref="F1834:G1834"/>
    <mergeCell ref="I1834:J1834"/>
    <mergeCell ref="K1834:L1834"/>
    <mergeCell ref="M1834:P1834"/>
    <mergeCell ref="C1835:E1835"/>
    <mergeCell ref="F1835:I1835"/>
    <mergeCell ref="J1835:K1835"/>
    <mergeCell ref="L1835:P1835"/>
    <mergeCell ref="C1836:E1836"/>
    <mergeCell ref="F1836:P1836"/>
    <mergeCell ref="F1839:G1839"/>
    <mergeCell ref="H1839:I1839"/>
    <mergeCell ref="J1839:K1839"/>
    <mergeCell ref="L1839:M1839"/>
    <mergeCell ref="N1839:O1839"/>
    <mergeCell ref="F1840:O1840"/>
    <mergeCell ref="D1844:E1844"/>
    <mergeCell ref="F1844:K1844"/>
    <mergeCell ref="D1845:E1845"/>
    <mergeCell ref="D1846:E1846"/>
    <mergeCell ref="D1847:E1847"/>
    <mergeCell ref="D1848:E1848"/>
    <mergeCell ref="D1849:E1849"/>
    <mergeCell ref="D1850:E1850"/>
    <mergeCell ref="D1851:E1851"/>
    <mergeCell ref="D1852:E1852"/>
    <mergeCell ref="D1853:E1853"/>
    <mergeCell ref="D1854:E1854"/>
    <mergeCell ref="D1855:M1855"/>
    <mergeCell ref="E1856:M1856"/>
    <mergeCell ref="C1863:P1863"/>
    <mergeCell ref="C1865:P1865"/>
    <mergeCell ref="D1867:E1867"/>
    <mergeCell ref="F1867:M1867"/>
    <mergeCell ref="N1867:O1867"/>
    <mergeCell ref="E1868:G1868"/>
    <mergeCell ref="I1868:L1868"/>
    <mergeCell ref="N1868:O1868"/>
    <mergeCell ref="D1869:O1869"/>
    <mergeCell ref="D1870:L1870"/>
    <mergeCell ref="N1870:O1870"/>
    <mergeCell ref="E1876:F1876"/>
    <mergeCell ref="M1876:O1876"/>
    <mergeCell ref="E1877:F1877"/>
    <mergeCell ref="M1877:O1877"/>
    <mergeCell ref="C1884:P1884"/>
    <mergeCell ref="C1886:P1886"/>
    <mergeCell ref="C1888:E1888"/>
    <mergeCell ref="F1888:P1888"/>
    <mergeCell ref="C1889:E1889"/>
    <mergeCell ref="F1889:G1889"/>
    <mergeCell ref="H1889:I1889"/>
    <mergeCell ref="L1889:P1889"/>
    <mergeCell ref="C1890:E1890"/>
    <mergeCell ref="F1890:K1890"/>
    <mergeCell ref="L1890:M1890"/>
    <mergeCell ref="N1890:P1890"/>
    <mergeCell ref="C1891:E1891"/>
    <mergeCell ref="F1891:G1891"/>
    <mergeCell ref="I1891:J1891"/>
    <mergeCell ref="K1891:L1891"/>
    <mergeCell ref="M1891:P1891"/>
    <mergeCell ref="C1892:E1892"/>
    <mergeCell ref="F1892:I1892"/>
    <mergeCell ref="J1892:K1892"/>
    <mergeCell ref="L1892:P1892"/>
    <mergeCell ref="C1893:E1893"/>
    <mergeCell ref="F1893:P1893"/>
    <mergeCell ref="F1896:G1896"/>
    <mergeCell ref="H1896:I1896"/>
    <mergeCell ref="J1896:K1896"/>
    <mergeCell ref="L1896:M1896"/>
    <mergeCell ref="N1896:O1896"/>
    <mergeCell ref="F1897:O1897"/>
    <mergeCell ref="D1901:E1901"/>
    <mergeCell ref="F1901:K1901"/>
    <mergeCell ref="D1902:E1902"/>
    <mergeCell ref="D1903:E1903"/>
    <mergeCell ref="D1904:E1904"/>
    <mergeCell ref="D1905:E1905"/>
    <mergeCell ref="D1906:E1906"/>
    <mergeCell ref="D1907:E1907"/>
    <mergeCell ref="D1908:E1908"/>
    <mergeCell ref="D1909:E1909"/>
    <mergeCell ref="D1910:E1910"/>
    <mergeCell ref="D1911:E1911"/>
    <mergeCell ref="D1912:M1912"/>
    <mergeCell ref="E1913:M1913"/>
    <mergeCell ref="C1920:P1920"/>
    <mergeCell ref="C1922:P1922"/>
    <mergeCell ref="D1924:E1924"/>
    <mergeCell ref="F1924:M1924"/>
    <mergeCell ref="N1924:O1924"/>
    <mergeCell ref="E1925:G1925"/>
    <mergeCell ref="I1925:L1925"/>
    <mergeCell ref="N1925:O1925"/>
    <mergeCell ref="D1926:O1926"/>
    <mergeCell ref="D1927:L1927"/>
    <mergeCell ref="N1927:O1927"/>
    <mergeCell ref="E1933:F1933"/>
    <mergeCell ref="M1933:O1933"/>
    <mergeCell ref="E1934:F1934"/>
    <mergeCell ref="M1934:O1934"/>
    <mergeCell ref="C1941:P1941"/>
    <mergeCell ref="C1943:P1943"/>
    <mergeCell ref="C1945:E1945"/>
    <mergeCell ref="F1945:P1945"/>
    <mergeCell ref="C1946:E1946"/>
    <mergeCell ref="F1946:G1946"/>
    <mergeCell ref="H1946:I1946"/>
    <mergeCell ref="L1946:P1946"/>
    <mergeCell ref="C1947:E1947"/>
    <mergeCell ref="F1947:K1947"/>
    <mergeCell ref="L1947:M1947"/>
    <mergeCell ref="N1947:P1947"/>
    <mergeCell ref="C1948:E1948"/>
    <mergeCell ref="F1948:G1948"/>
    <mergeCell ref="I1948:J1948"/>
    <mergeCell ref="K1948:L1948"/>
    <mergeCell ref="M1948:P1948"/>
    <mergeCell ref="C1949:E1949"/>
    <mergeCell ref="F1949:I1949"/>
    <mergeCell ref="J1949:K1949"/>
    <mergeCell ref="L1949:P1949"/>
    <mergeCell ref="C1950:E1950"/>
    <mergeCell ref="F1950:P1950"/>
    <mergeCell ref="F1953:G1953"/>
    <mergeCell ref="H1953:I1953"/>
    <mergeCell ref="J1953:K1953"/>
    <mergeCell ref="L1953:M1953"/>
    <mergeCell ref="N1953:O1953"/>
    <mergeCell ref="F1954:O1954"/>
    <mergeCell ref="D1958:E1958"/>
    <mergeCell ref="F1958:K1958"/>
    <mergeCell ref="D1959:E1959"/>
    <mergeCell ref="D1960:E1960"/>
    <mergeCell ref="D1961:E1961"/>
    <mergeCell ref="D1962:E1962"/>
    <mergeCell ref="D1963:E1963"/>
    <mergeCell ref="D1964:E1964"/>
    <mergeCell ref="D1965:E1965"/>
    <mergeCell ref="D1966:E1966"/>
    <mergeCell ref="D1967:E1967"/>
    <mergeCell ref="D1968:E1968"/>
    <mergeCell ref="D1969:M1969"/>
    <mergeCell ref="E1970:M1970"/>
    <mergeCell ref="C1977:P1977"/>
    <mergeCell ref="C1979:P1979"/>
    <mergeCell ref="D1981:E1981"/>
    <mergeCell ref="F1981:M1981"/>
    <mergeCell ref="N1981:O1981"/>
    <mergeCell ref="E1982:G1982"/>
    <mergeCell ref="I1982:L1982"/>
    <mergeCell ref="N1982:O1982"/>
    <mergeCell ref="D1983:O1983"/>
    <mergeCell ref="D1984:L1984"/>
    <mergeCell ref="N1984:O1984"/>
    <mergeCell ref="E1990:F1990"/>
    <mergeCell ref="M1990:O1990"/>
    <mergeCell ref="E1991:F1991"/>
    <mergeCell ref="M1991:O1991"/>
    <mergeCell ref="C1998:P1998"/>
    <mergeCell ref="C2000:P2000"/>
    <mergeCell ref="C2002:E2002"/>
    <mergeCell ref="F2002:P2002"/>
    <mergeCell ref="C2003:E2003"/>
    <mergeCell ref="F2003:G2003"/>
    <mergeCell ref="H2003:I2003"/>
    <mergeCell ref="L2003:P2003"/>
    <mergeCell ref="C2004:E2004"/>
    <mergeCell ref="F2004:K2004"/>
    <mergeCell ref="L2004:M2004"/>
    <mergeCell ref="N2004:P2004"/>
    <mergeCell ref="C2005:E2005"/>
    <mergeCell ref="F2005:G2005"/>
    <mergeCell ref="I2005:J2005"/>
    <mergeCell ref="K2005:L2005"/>
    <mergeCell ref="M2005:P2005"/>
    <mergeCell ref="C2006:E2006"/>
    <mergeCell ref="F2006:I2006"/>
    <mergeCell ref="J2006:K2006"/>
    <mergeCell ref="L2006:P2006"/>
    <mergeCell ref="C2007:E2007"/>
    <mergeCell ref="F2007:P2007"/>
    <mergeCell ref="F2010:G2010"/>
    <mergeCell ref="H2010:I2010"/>
    <mergeCell ref="J2010:K2010"/>
    <mergeCell ref="L2010:M2010"/>
    <mergeCell ref="N2010:O2010"/>
    <mergeCell ref="F2011:O2011"/>
    <mergeCell ref="D2015:E2015"/>
    <mergeCell ref="F2015:K2015"/>
    <mergeCell ref="D2016:E2016"/>
    <mergeCell ref="D2017:E2017"/>
    <mergeCell ref="D2018:E2018"/>
    <mergeCell ref="D2019:E2019"/>
    <mergeCell ref="D2020:E2020"/>
    <mergeCell ref="D2021:E2021"/>
    <mergeCell ref="D2022:E2022"/>
    <mergeCell ref="D2023:E2023"/>
    <mergeCell ref="D2024:E2024"/>
    <mergeCell ref="D2025:E2025"/>
    <mergeCell ref="D2026:M2026"/>
    <mergeCell ref="E2027:M2027"/>
    <mergeCell ref="C2034:P2034"/>
    <mergeCell ref="C2036:P2036"/>
    <mergeCell ref="D2038:E2038"/>
    <mergeCell ref="F2038:M2038"/>
    <mergeCell ref="N2038:O2038"/>
    <mergeCell ref="E2039:G2039"/>
    <mergeCell ref="I2039:L2039"/>
    <mergeCell ref="N2039:O2039"/>
    <mergeCell ref="D2040:O2040"/>
    <mergeCell ref="D2041:L2041"/>
    <mergeCell ref="N2041:O2041"/>
    <mergeCell ref="E2047:F2047"/>
    <mergeCell ref="M2047:O2047"/>
    <mergeCell ref="E2048:F2048"/>
    <mergeCell ref="M2048:O2048"/>
    <mergeCell ref="C2055:P2055"/>
    <mergeCell ref="C2057:P2057"/>
    <mergeCell ref="C2059:E2059"/>
    <mergeCell ref="F2059:P2059"/>
    <mergeCell ref="C2060:E2060"/>
    <mergeCell ref="F2060:G2060"/>
    <mergeCell ref="H2060:I2060"/>
    <mergeCell ref="L2060:P2060"/>
    <mergeCell ref="C2061:E2061"/>
    <mergeCell ref="F2061:K2061"/>
    <mergeCell ref="L2061:M2061"/>
    <mergeCell ref="N2061:P2061"/>
    <mergeCell ref="C2062:E2062"/>
    <mergeCell ref="F2062:G2062"/>
    <mergeCell ref="I2062:J2062"/>
    <mergeCell ref="K2062:L2062"/>
    <mergeCell ref="M2062:P2062"/>
    <mergeCell ref="C2063:E2063"/>
    <mergeCell ref="F2063:I2063"/>
    <mergeCell ref="J2063:K2063"/>
    <mergeCell ref="L2063:P2063"/>
    <mergeCell ref="C2064:E2064"/>
    <mergeCell ref="F2064:P2064"/>
    <mergeCell ref="F2067:G2067"/>
    <mergeCell ref="H2067:I2067"/>
    <mergeCell ref="J2067:K2067"/>
    <mergeCell ref="L2067:M2067"/>
    <mergeCell ref="N2067:O2067"/>
    <mergeCell ref="F2068:O2068"/>
    <mergeCell ref="D2072:E2072"/>
    <mergeCell ref="F2072:K2072"/>
    <mergeCell ref="D2073:E2073"/>
    <mergeCell ref="D2074:E2074"/>
    <mergeCell ref="D2075:E2075"/>
    <mergeCell ref="D2076:E2076"/>
    <mergeCell ref="D2077:E2077"/>
    <mergeCell ref="D2078:E2078"/>
    <mergeCell ref="D2079:E2079"/>
    <mergeCell ref="D2080:E2080"/>
    <mergeCell ref="D2081:E2081"/>
    <mergeCell ref="D2082:E2082"/>
    <mergeCell ref="D2083:M2083"/>
    <mergeCell ref="E2084:M2084"/>
    <mergeCell ref="C2091:P2091"/>
    <mergeCell ref="C2093:P2093"/>
    <mergeCell ref="D2095:E2095"/>
    <mergeCell ref="F2095:M2095"/>
    <mergeCell ref="N2095:O2095"/>
    <mergeCell ref="E2096:G2096"/>
    <mergeCell ref="I2096:L2096"/>
    <mergeCell ref="N2096:O2096"/>
    <mergeCell ref="D2097:O2097"/>
    <mergeCell ref="D2098:L2098"/>
    <mergeCell ref="N2098:O2098"/>
    <mergeCell ref="E2104:F2104"/>
    <mergeCell ref="M2104:O2104"/>
    <mergeCell ref="E2105:F2105"/>
    <mergeCell ref="M2105:O2105"/>
    <mergeCell ref="C2112:P2112"/>
    <mergeCell ref="C2114:P2114"/>
    <mergeCell ref="C2116:E2116"/>
    <mergeCell ref="F2116:P2116"/>
    <mergeCell ref="C2117:E2117"/>
    <mergeCell ref="F2117:G2117"/>
    <mergeCell ref="H2117:I2117"/>
    <mergeCell ref="L2117:P2117"/>
    <mergeCell ref="C2118:E2118"/>
    <mergeCell ref="F2118:K2118"/>
    <mergeCell ref="L2118:M2118"/>
    <mergeCell ref="N2118:P2118"/>
    <mergeCell ref="C2119:E2119"/>
    <mergeCell ref="F2119:G2119"/>
    <mergeCell ref="I2119:J2119"/>
    <mergeCell ref="K2119:L2119"/>
    <mergeCell ref="M2119:P2119"/>
    <mergeCell ref="C2120:E2120"/>
    <mergeCell ref="F2120:I2120"/>
    <mergeCell ref="J2120:K2120"/>
    <mergeCell ref="L2120:P2120"/>
    <mergeCell ref="C2121:E2121"/>
    <mergeCell ref="F2121:P2121"/>
    <mergeCell ref="F2124:G2124"/>
    <mergeCell ref="H2124:I2124"/>
    <mergeCell ref="J2124:K2124"/>
    <mergeCell ref="L2124:M2124"/>
    <mergeCell ref="N2124:O2124"/>
    <mergeCell ref="F2125:O2125"/>
    <mergeCell ref="D2129:E2129"/>
    <mergeCell ref="F2129:K2129"/>
    <mergeCell ref="D2130:E2130"/>
    <mergeCell ref="D2131:E2131"/>
    <mergeCell ref="D2132:E2132"/>
    <mergeCell ref="D2133:E2133"/>
    <mergeCell ref="D2134:E2134"/>
    <mergeCell ref="D2135:E2135"/>
    <mergeCell ref="D2136:E2136"/>
    <mergeCell ref="D2137:E2137"/>
    <mergeCell ref="D2138:E2138"/>
    <mergeCell ref="D2139:E2139"/>
    <mergeCell ref="D2140:M2140"/>
    <mergeCell ref="E2141:M2141"/>
    <mergeCell ref="C2148:P2148"/>
    <mergeCell ref="C2150:P2150"/>
    <mergeCell ref="D2152:E2152"/>
    <mergeCell ref="F2152:M2152"/>
    <mergeCell ref="N2152:O2152"/>
    <mergeCell ref="E2153:G2153"/>
    <mergeCell ref="I2153:L2153"/>
    <mergeCell ref="N2153:O2153"/>
    <mergeCell ref="D2154:O2154"/>
    <mergeCell ref="D2155:L2155"/>
    <mergeCell ref="N2155:O2155"/>
    <mergeCell ref="E2161:F2161"/>
    <mergeCell ref="M2161:O2161"/>
    <mergeCell ref="E2162:F2162"/>
    <mergeCell ref="M2162:O2162"/>
    <mergeCell ref="C2169:P2169"/>
    <mergeCell ref="C2171:P2171"/>
    <mergeCell ref="C2173:E2173"/>
    <mergeCell ref="F2173:P2173"/>
    <mergeCell ref="C2174:E2174"/>
    <mergeCell ref="F2174:G2174"/>
    <mergeCell ref="H2174:I2174"/>
    <mergeCell ref="L2174:P2174"/>
    <mergeCell ref="C2175:E2175"/>
    <mergeCell ref="F2175:K2175"/>
    <mergeCell ref="L2175:M2175"/>
    <mergeCell ref="N2175:P2175"/>
    <mergeCell ref="C2176:E2176"/>
    <mergeCell ref="F2176:G2176"/>
    <mergeCell ref="I2176:J2176"/>
    <mergeCell ref="K2176:L2176"/>
    <mergeCell ref="M2176:P2176"/>
    <mergeCell ref="C2177:E2177"/>
    <mergeCell ref="F2177:I2177"/>
    <mergeCell ref="J2177:K2177"/>
    <mergeCell ref="L2177:P2177"/>
    <mergeCell ref="C2178:E2178"/>
    <mergeCell ref="F2178:P2178"/>
    <mergeCell ref="F2181:G2181"/>
    <mergeCell ref="H2181:I2181"/>
    <mergeCell ref="J2181:K2181"/>
    <mergeCell ref="L2181:M2181"/>
    <mergeCell ref="N2181:O2181"/>
    <mergeCell ref="F2182:O2182"/>
    <mergeCell ref="D2186:E2186"/>
    <mergeCell ref="F2186:K2186"/>
    <mergeCell ref="D2187:E2187"/>
    <mergeCell ref="D2188:E2188"/>
    <mergeCell ref="D2189:E2189"/>
    <mergeCell ref="D2190:E2190"/>
    <mergeCell ref="D2191:E2191"/>
    <mergeCell ref="D2192:E2192"/>
    <mergeCell ref="D2193:E2193"/>
    <mergeCell ref="D2194:E2194"/>
    <mergeCell ref="D2195:E2195"/>
    <mergeCell ref="D2196:E2196"/>
    <mergeCell ref="D2197:M2197"/>
    <mergeCell ref="E2198:M2198"/>
    <mergeCell ref="C2205:P2205"/>
    <mergeCell ref="C2207:P2207"/>
    <mergeCell ref="D2209:E2209"/>
    <mergeCell ref="F2209:M2209"/>
    <mergeCell ref="N2209:O2209"/>
    <mergeCell ref="E2210:G2210"/>
    <mergeCell ref="I2210:L2210"/>
    <mergeCell ref="N2210:O2210"/>
    <mergeCell ref="D2211:O2211"/>
    <mergeCell ref="D2212:L2212"/>
    <mergeCell ref="N2212:O2212"/>
    <mergeCell ref="E2218:F2218"/>
    <mergeCell ref="M2218:O2218"/>
    <mergeCell ref="E2219:F2219"/>
    <mergeCell ref="M2219:O2219"/>
    <mergeCell ref="C2226:P2226"/>
    <mergeCell ref="C2228:P2228"/>
    <mergeCell ref="C2230:E2230"/>
    <mergeCell ref="F2230:P2230"/>
    <mergeCell ref="C2231:E2231"/>
    <mergeCell ref="F2231:G2231"/>
    <mergeCell ref="H2231:I2231"/>
    <mergeCell ref="L2231:P2231"/>
    <mergeCell ref="C2232:E2232"/>
    <mergeCell ref="F2232:K2232"/>
    <mergeCell ref="L2232:M2232"/>
    <mergeCell ref="N2232:P2232"/>
    <mergeCell ref="C2233:E2233"/>
    <mergeCell ref="F2233:G2233"/>
    <mergeCell ref="I2233:J2233"/>
    <mergeCell ref="K2233:L2233"/>
    <mergeCell ref="M2233:P2233"/>
    <mergeCell ref="C2234:E2234"/>
    <mergeCell ref="F2234:I2234"/>
    <mergeCell ref="J2234:K2234"/>
    <mergeCell ref="L2234:P2234"/>
    <mergeCell ref="C2235:E2235"/>
    <mergeCell ref="F2235:P2235"/>
    <mergeCell ref="F2238:G2238"/>
    <mergeCell ref="H2238:I2238"/>
    <mergeCell ref="J2238:K2238"/>
    <mergeCell ref="L2238:M2238"/>
    <mergeCell ref="N2238:O2238"/>
    <mergeCell ref="F2239:O2239"/>
    <mergeCell ref="D2243:E2243"/>
    <mergeCell ref="F2243:K2243"/>
    <mergeCell ref="D2244:E2244"/>
    <mergeCell ref="D2245:E2245"/>
    <mergeCell ref="D2246:E2246"/>
    <mergeCell ref="D2247:E2247"/>
    <mergeCell ref="D2248:E2248"/>
    <mergeCell ref="D2249:E2249"/>
    <mergeCell ref="D2250:E2250"/>
    <mergeCell ref="D2251:E2251"/>
    <mergeCell ref="D2252:E2252"/>
    <mergeCell ref="D2253:E2253"/>
    <mergeCell ref="D2254:M2254"/>
    <mergeCell ref="E2255:M2255"/>
    <mergeCell ref="C2262:P2262"/>
    <mergeCell ref="C2264:P2264"/>
    <mergeCell ref="D2266:E2266"/>
    <mergeCell ref="F2266:M2266"/>
    <mergeCell ref="N2266:O2266"/>
    <mergeCell ref="E2267:G2267"/>
    <mergeCell ref="I2267:L2267"/>
    <mergeCell ref="N2267:O2267"/>
    <mergeCell ref="D2268:O2268"/>
    <mergeCell ref="D2269:L2269"/>
    <mergeCell ref="N2269:O2269"/>
    <mergeCell ref="E2275:F2275"/>
    <mergeCell ref="M2275:O2275"/>
    <mergeCell ref="E2276:F2276"/>
    <mergeCell ref="M2276:O2276"/>
    <mergeCell ref="C2283:P2283"/>
    <mergeCell ref="C2285:P2285"/>
    <mergeCell ref="C2287:E2287"/>
    <mergeCell ref="F2287:P2287"/>
    <mergeCell ref="C2288:E2288"/>
    <mergeCell ref="F2288:G2288"/>
    <mergeCell ref="H2288:I2288"/>
    <mergeCell ref="L2288:P2288"/>
    <mergeCell ref="C2289:E2289"/>
    <mergeCell ref="F2289:K2289"/>
    <mergeCell ref="L2289:M2289"/>
    <mergeCell ref="N2289:P2289"/>
    <mergeCell ref="C2290:E2290"/>
    <mergeCell ref="F2290:G2290"/>
    <mergeCell ref="I2290:J2290"/>
    <mergeCell ref="K2290:L2290"/>
    <mergeCell ref="M2290:P2290"/>
    <mergeCell ref="C2291:E2291"/>
    <mergeCell ref="F2291:I2291"/>
    <mergeCell ref="J2291:K2291"/>
    <mergeCell ref="L2291:P2291"/>
    <mergeCell ref="C2292:E2292"/>
    <mergeCell ref="F2292:P2292"/>
    <mergeCell ref="F2295:G2295"/>
    <mergeCell ref="H2295:I2295"/>
    <mergeCell ref="J2295:K2295"/>
    <mergeCell ref="L2295:M2295"/>
    <mergeCell ref="N2295:O2295"/>
    <mergeCell ref="F2296:O2296"/>
    <mergeCell ref="D2300:E2300"/>
    <mergeCell ref="F2300:K2300"/>
    <mergeCell ref="D2301:E2301"/>
    <mergeCell ref="D2302:E2302"/>
    <mergeCell ref="D2303:E2303"/>
    <mergeCell ref="D2304:E2304"/>
    <mergeCell ref="D2305:E2305"/>
    <mergeCell ref="D2306:E2306"/>
    <mergeCell ref="D2307:E2307"/>
    <mergeCell ref="D2308:E2308"/>
    <mergeCell ref="D2309:E2309"/>
    <mergeCell ref="D2310:E2310"/>
    <mergeCell ref="D2311:M2311"/>
    <mergeCell ref="E2312:M2312"/>
    <mergeCell ref="C2319:P2319"/>
    <mergeCell ref="C2321:P2321"/>
    <mergeCell ref="D2323:E2323"/>
    <mergeCell ref="F2323:M2323"/>
    <mergeCell ref="N2323:O2323"/>
    <mergeCell ref="E2324:G2324"/>
    <mergeCell ref="I2324:L2324"/>
    <mergeCell ref="N2324:O2324"/>
    <mergeCell ref="D2325:O2325"/>
    <mergeCell ref="D2326:L2326"/>
    <mergeCell ref="N2326:O2326"/>
    <mergeCell ref="E2332:F2332"/>
    <mergeCell ref="M2332:O2332"/>
    <mergeCell ref="E2333:F2333"/>
    <mergeCell ref="M2333:O2333"/>
    <mergeCell ref="C2340:P2340"/>
    <mergeCell ref="C2342:P2342"/>
    <mergeCell ref="C2344:E2344"/>
    <mergeCell ref="F2344:P2344"/>
    <mergeCell ref="C2345:E2345"/>
    <mergeCell ref="F2345:G2345"/>
    <mergeCell ref="H2345:I2345"/>
    <mergeCell ref="L2345:P2345"/>
    <mergeCell ref="C2346:E2346"/>
    <mergeCell ref="F2346:K2346"/>
    <mergeCell ref="L2346:M2346"/>
    <mergeCell ref="N2346:P2346"/>
    <mergeCell ref="C2347:E2347"/>
    <mergeCell ref="F2347:G2347"/>
    <mergeCell ref="I2347:J2347"/>
    <mergeCell ref="K2347:L2347"/>
    <mergeCell ref="M2347:P2347"/>
    <mergeCell ref="C2348:E2348"/>
    <mergeCell ref="F2348:I2348"/>
    <mergeCell ref="J2348:K2348"/>
    <mergeCell ref="L2348:P2348"/>
    <mergeCell ref="C2349:E2349"/>
    <mergeCell ref="F2349:P2349"/>
    <mergeCell ref="F2352:G2352"/>
    <mergeCell ref="H2352:I2352"/>
    <mergeCell ref="J2352:K2352"/>
    <mergeCell ref="L2352:M2352"/>
    <mergeCell ref="N2352:O2352"/>
    <mergeCell ref="F2353:O2353"/>
    <mergeCell ref="D2357:E2357"/>
    <mergeCell ref="F2357:K2357"/>
    <mergeCell ref="D2358:E2358"/>
    <mergeCell ref="D2359:E2359"/>
    <mergeCell ref="D2360:E2360"/>
    <mergeCell ref="D2361:E2361"/>
    <mergeCell ref="D2362:E2362"/>
    <mergeCell ref="D2363:E2363"/>
    <mergeCell ref="D2364:E2364"/>
    <mergeCell ref="D2365:E2365"/>
    <mergeCell ref="D2366:E2366"/>
    <mergeCell ref="D2367:E2367"/>
    <mergeCell ref="D2368:M2368"/>
    <mergeCell ref="E2369:M2369"/>
    <mergeCell ref="C2376:P2376"/>
    <mergeCell ref="C2378:P2378"/>
    <mergeCell ref="D2380:E2380"/>
    <mergeCell ref="F2380:M2380"/>
    <mergeCell ref="N2380:O2380"/>
    <mergeCell ref="E2381:G2381"/>
    <mergeCell ref="I2381:L2381"/>
    <mergeCell ref="N2381:O2381"/>
    <mergeCell ref="D2382:O2382"/>
    <mergeCell ref="D2383:L2383"/>
    <mergeCell ref="N2383:O2383"/>
    <mergeCell ref="E2389:F2389"/>
    <mergeCell ref="M2389:O2389"/>
    <mergeCell ref="E2390:F2390"/>
    <mergeCell ref="M2390:O2390"/>
    <mergeCell ref="C2397:P2397"/>
    <mergeCell ref="C2399:P2399"/>
    <mergeCell ref="C2401:E2401"/>
    <mergeCell ref="F2401:P2401"/>
    <mergeCell ref="C2402:E2402"/>
    <mergeCell ref="F2402:G2402"/>
    <mergeCell ref="H2402:I2402"/>
    <mergeCell ref="L2402:P2402"/>
    <mergeCell ref="C2403:E2403"/>
    <mergeCell ref="F2403:K2403"/>
    <mergeCell ref="L2403:M2403"/>
    <mergeCell ref="N2403:P2403"/>
    <mergeCell ref="C2404:E2404"/>
    <mergeCell ref="F2404:G2404"/>
    <mergeCell ref="I2404:J2404"/>
    <mergeCell ref="K2404:L2404"/>
    <mergeCell ref="M2404:P2404"/>
    <mergeCell ref="C2405:E2405"/>
    <mergeCell ref="F2405:I2405"/>
    <mergeCell ref="J2405:K2405"/>
    <mergeCell ref="L2405:P2405"/>
    <mergeCell ref="C2406:E2406"/>
    <mergeCell ref="F2406:P2406"/>
    <mergeCell ref="F2409:G2409"/>
    <mergeCell ref="H2409:I2409"/>
    <mergeCell ref="J2409:K2409"/>
    <mergeCell ref="L2409:M2409"/>
    <mergeCell ref="N2409:O2409"/>
    <mergeCell ref="F2410:O2410"/>
    <mergeCell ref="D2414:E2414"/>
    <mergeCell ref="F2414:K2414"/>
    <mergeCell ref="D2415:E2415"/>
    <mergeCell ref="D2416:E2416"/>
    <mergeCell ref="D2417:E2417"/>
    <mergeCell ref="D2418:E2418"/>
    <mergeCell ref="D2419:E2419"/>
    <mergeCell ref="D2420:E2420"/>
    <mergeCell ref="D2421:E2421"/>
    <mergeCell ref="D2422:E2422"/>
    <mergeCell ref="D2423:E2423"/>
    <mergeCell ref="D2424:E2424"/>
    <mergeCell ref="D2425:M2425"/>
    <mergeCell ref="E2426:M2426"/>
    <mergeCell ref="C2433:P2433"/>
    <mergeCell ref="C2435:P2435"/>
    <mergeCell ref="D2437:E2437"/>
    <mergeCell ref="F2437:M2437"/>
    <mergeCell ref="N2437:O2437"/>
    <mergeCell ref="E2438:G2438"/>
    <mergeCell ref="I2438:L2438"/>
    <mergeCell ref="N2438:O2438"/>
    <mergeCell ref="D2439:O2439"/>
    <mergeCell ref="D2440:L2440"/>
    <mergeCell ref="N2440:O2440"/>
    <mergeCell ref="E2446:F2446"/>
    <mergeCell ref="M2446:O2446"/>
    <mergeCell ref="E2447:F2447"/>
    <mergeCell ref="M2447:O2447"/>
    <mergeCell ref="C2454:P2454"/>
    <mergeCell ref="C2456:P2456"/>
    <mergeCell ref="C2458:E2458"/>
    <mergeCell ref="F2458:P2458"/>
    <mergeCell ref="C2459:E2459"/>
    <mergeCell ref="F2459:G2459"/>
    <mergeCell ref="H2459:I2459"/>
    <mergeCell ref="L2459:P2459"/>
    <mergeCell ref="C2460:E2460"/>
    <mergeCell ref="F2460:K2460"/>
    <mergeCell ref="L2460:M2460"/>
    <mergeCell ref="N2460:P2460"/>
    <mergeCell ref="C2461:E2461"/>
    <mergeCell ref="F2461:G2461"/>
    <mergeCell ref="I2461:J2461"/>
    <mergeCell ref="K2461:L2461"/>
    <mergeCell ref="M2461:P2461"/>
    <mergeCell ref="C2462:E2462"/>
    <mergeCell ref="F2462:I2462"/>
    <mergeCell ref="J2462:K2462"/>
    <mergeCell ref="L2462:P2462"/>
    <mergeCell ref="C2463:E2463"/>
    <mergeCell ref="F2463:P2463"/>
    <mergeCell ref="F2466:G2466"/>
    <mergeCell ref="H2466:I2466"/>
    <mergeCell ref="J2466:K2466"/>
    <mergeCell ref="L2466:M2466"/>
    <mergeCell ref="N2466:O2466"/>
    <mergeCell ref="F2467:O2467"/>
    <mergeCell ref="D2471:E2471"/>
    <mergeCell ref="F2471:K2471"/>
    <mergeCell ref="D2472:E2472"/>
    <mergeCell ref="D2473:E2473"/>
    <mergeCell ref="D2474:E2474"/>
    <mergeCell ref="D2475:E2475"/>
    <mergeCell ref="D2476:E2476"/>
    <mergeCell ref="D2477:E2477"/>
    <mergeCell ref="D2478:E2478"/>
    <mergeCell ref="D2479:E2479"/>
    <mergeCell ref="D2480:E2480"/>
    <mergeCell ref="D2481:E2481"/>
    <mergeCell ref="D2482:M2482"/>
    <mergeCell ref="E2483:M2483"/>
    <mergeCell ref="C2490:P2490"/>
    <mergeCell ref="C2492:P2492"/>
    <mergeCell ref="D2494:E2494"/>
    <mergeCell ref="F2494:M2494"/>
    <mergeCell ref="N2494:O2494"/>
    <mergeCell ref="E2495:G2495"/>
    <mergeCell ref="I2495:L2495"/>
    <mergeCell ref="N2495:O2495"/>
    <mergeCell ref="D2496:O2496"/>
    <mergeCell ref="D2497:L2497"/>
    <mergeCell ref="N2497:O2497"/>
    <mergeCell ref="E2503:F2503"/>
    <mergeCell ref="M2503:O2503"/>
    <mergeCell ref="E2504:F2504"/>
    <mergeCell ref="M2504:O2504"/>
    <mergeCell ref="C2511:P2511"/>
    <mergeCell ref="C2513:P2513"/>
    <mergeCell ref="C2515:E2515"/>
    <mergeCell ref="F2515:P2515"/>
    <mergeCell ref="C2516:E2516"/>
    <mergeCell ref="F2516:G2516"/>
    <mergeCell ref="H2516:I2516"/>
    <mergeCell ref="L2516:P2516"/>
    <mergeCell ref="C2517:E2517"/>
    <mergeCell ref="F2517:K2517"/>
    <mergeCell ref="L2517:M2517"/>
    <mergeCell ref="N2517:P2517"/>
    <mergeCell ref="C2518:E2518"/>
    <mergeCell ref="F2518:G2518"/>
    <mergeCell ref="I2518:J2518"/>
    <mergeCell ref="K2518:L2518"/>
    <mergeCell ref="M2518:P2518"/>
    <mergeCell ref="C2519:E2519"/>
    <mergeCell ref="F2519:I2519"/>
    <mergeCell ref="J2519:K2519"/>
    <mergeCell ref="L2519:P2519"/>
    <mergeCell ref="C2520:E2520"/>
    <mergeCell ref="F2520:P2520"/>
    <mergeCell ref="F2523:G2523"/>
    <mergeCell ref="H2523:I2523"/>
    <mergeCell ref="J2523:K2523"/>
    <mergeCell ref="L2523:M2523"/>
    <mergeCell ref="N2523:O2523"/>
    <mergeCell ref="F2524:O2524"/>
    <mergeCell ref="D2528:E2528"/>
    <mergeCell ref="F2528:K2528"/>
    <mergeCell ref="D2529:E2529"/>
    <mergeCell ref="D2530:E2530"/>
    <mergeCell ref="D2531:E2531"/>
    <mergeCell ref="D2532:E2532"/>
    <mergeCell ref="D2533:E2533"/>
    <mergeCell ref="D2534:E2534"/>
    <mergeCell ref="D2535:E2535"/>
    <mergeCell ref="D2536:E2536"/>
    <mergeCell ref="D2537:E2537"/>
    <mergeCell ref="D2538:E2538"/>
    <mergeCell ref="D2539:M2539"/>
    <mergeCell ref="E2540:M2540"/>
    <mergeCell ref="C2547:P2547"/>
    <mergeCell ref="C2549:P2549"/>
    <mergeCell ref="D2551:E2551"/>
    <mergeCell ref="F2551:M2551"/>
    <mergeCell ref="N2551:O2551"/>
    <mergeCell ref="E2552:G2552"/>
    <mergeCell ref="I2552:L2552"/>
    <mergeCell ref="N2552:O2552"/>
    <mergeCell ref="D2553:O2553"/>
    <mergeCell ref="D2554:L2554"/>
    <mergeCell ref="N2554:O2554"/>
    <mergeCell ref="E2560:F2560"/>
    <mergeCell ref="M2560:O2560"/>
    <mergeCell ref="E2561:F2561"/>
    <mergeCell ref="M2561:O2561"/>
    <mergeCell ref="C2568:P2568"/>
    <mergeCell ref="C2570:P2570"/>
    <mergeCell ref="C2572:E2572"/>
    <mergeCell ref="F2572:P2572"/>
    <mergeCell ref="C2573:E2573"/>
    <mergeCell ref="F2573:G2573"/>
    <mergeCell ref="H2573:I2573"/>
    <mergeCell ref="L2573:P2573"/>
    <mergeCell ref="C2574:E2574"/>
    <mergeCell ref="F2574:K2574"/>
    <mergeCell ref="L2574:M2574"/>
    <mergeCell ref="N2574:P2574"/>
    <mergeCell ref="C2575:E2575"/>
    <mergeCell ref="F2575:G2575"/>
    <mergeCell ref="I2575:J2575"/>
    <mergeCell ref="K2575:L2575"/>
    <mergeCell ref="M2575:P2575"/>
    <mergeCell ref="C2576:E2576"/>
    <mergeCell ref="F2576:I2576"/>
    <mergeCell ref="J2576:K2576"/>
    <mergeCell ref="L2576:P2576"/>
    <mergeCell ref="C2577:E2577"/>
    <mergeCell ref="F2577:P2577"/>
    <mergeCell ref="F2580:G2580"/>
    <mergeCell ref="H2580:I2580"/>
    <mergeCell ref="J2580:K2580"/>
    <mergeCell ref="L2580:M2580"/>
    <mergeCell ref="N2580:O2580"/>
    <mergeCell ref="F2581:O2581"/>
    <mergeCell ref="D2585:E2585"/>
    <mergeCell ref="F2585:K2585"/>
    <mergeCell ref="D2586:E2586"/>
    <mergeCell ref="D2587:E2587"/>
    <mergeCell ref="D2588:E2588"/>
    <mergeCell ref="D2589:E2589"/>
    <mergeCell ref="D2590:E2590"/>
    <mergeCell ref="D2591:E2591"/>
    <mergeCell ref="D2592:E2592"/>
    <mergeCell ref="D2593:E2593"/>
    <mergeCell ref="D2594:E2594"/>
    <mergeCell ref="D2595:E2595"/>
    <mergeCell ref="D2596:M2596"/>
    <mergeCell ref="E2597:M2597"/>
    <mergeCell ref="C2604:P2604"/>
    <mergeCell ref="C2606:P2606"/>
    <mergeCell ref="D2608:E2608"/>
    <mergeCell ref="F2608:M2608"/>
    <mergeCell ref="N2608:O2608"/>
    <mergeCell ref="E2609:G2609"/>
    <mergeCell ref="I2609:L2609"/>
    <mergeCell ref="N2609:O2609"/>
    <mergeCell ref="D2610:O2610"/>
    <mergeCell ref="D2611:L2611"/>
    <mergeCell ref="N2611:O2611"/>
    <mergeCell ref="E2617:F2617"/>
    <mergeCell ref="M2617:O2617"/>
    <mergeCell ref="E2618:F2618"/>
    <mergeCell ref="M2618:O2618"/>
    <mergeCell ref="C2625:P2625"/>
    <mergeCell ref="C2627:P2627"/>
    <mergeCell ref="C2629:E2629"/>
    <mergeCell ref="F2629:P2629"/>
    <mergeCell ref="C2630:E2630"/>
    <mergeCell ref="F2630:G2630"/>
    <mergeCell ref="H2630:I2630"/>
    <mergeCell ref="L2630:P2630"/>
    <mergeCell ref="C2631:E2631"/>
    <mergeCell ref="F2631:K2631"/>
    <mergeCell ref="L2631:M2631"/>
    <mergeCell ref="N2631:P2631"/>
    <mergeCell ref="C2632:E2632"/>
    <mergeCell ref="F2632:G2632"/>
    <mergeCell ref="I2632:J2632"/>
    <mergeCell ref="K2632:L2632"/>
    <mergeCell ref="M2632:P2632"/>
    <mergeCell ref="C2633:E2633"/>
    <mergeCell ref="F2633:I2633"/>
    <mergeCell ref="J2633:K2633"/>
    <mergeCell ref="L2633:P2633"/>
    <mergeCell ref="C2634:E2634"/>
    <mergeCell ref="F2634:P2634"/>
    <mergeCell ref="F2637:G2637"/>
    <mergeCell ref="H2637:I2637"/>
    <mergeCell ref="J2637:K2637"/>
    <mergeCell ref="L2637:M2637"/>
    <mergeCell ref="N2637:O2637"/>
    <mergeCell ref="F2638:O2638"/>
    <mergeCell ref="D2642:E2642"/>
    <mergeCell ref="F2642:K2642"/>
    <mergeCell ref="D2643:E2643"/>
    <mergeCell ref="D2644:E2644"/>
    <mergeCell ref="D2645:E2645"/>
    <mergeCell ref="D2646:E2646"/>
    <mergeCell ref="D2647:E2647"/>
    <mergeCell ref="D2648:E2648"/>
    <mergeCell ref="D2649:E2649"/>
    <mergeCell ref="D2650:E2650"/>
    <mergeCell ref="D2651:E2651"/>
    <mergeCell ref="D2652:E2652"/>
    <mergeCell ref="D2653:M2653"/>
    <mergeCell ref="E2654:M2654"/>
    <mergeCell ref="C2661:P2661"/>
    <mergeCell ref="C2663:P2663"/>
    <mergeCell ref="D2665:E2665"/>
    <mergeCell ref="F2665:M2665"/>
    <mergeCell ref="N2665:O2665"/>
    <mergeCell ref="E2666:G2666"/>
    <mergeCell ref="I2666:L2666"/>
    <mergeCell ref="N2666:O2666"/>
    <mergeCell ref="D2667:O2667"/>
    <mergeCell ref="D2668:L2668"/>
    <mergeCell ref="N2668:O2668"/>
    <mergeCell ref="E2674:F2674"/>
    <mergeCell ref="M2674:O2674"/>
    <mergeCell ref="E2675:F2675"/>
    <mergeCell ref="M2675:O2675"/>
    <mergeCell ref="C2682:P2682"/>
    <mergeCell ref="C2684:P2684"/>
    <mergeCell ref="C2686:E2686"/>
    <mergeCell ref="F2686:P2686"/>
    <mergeCell ref="C2687:E2687"/>
    <mergeCell ref="F2687:G2687"/>
    <mergeCell ref="H2687:I2687"/>
    <mergeCell ref="L2687:P2687"/>
    <mergeCell ref="C2688:E2688"/>
    <mergeCell ref="F2688:K2688"/>
    <mergeCell ref="L2688:M2688"/>
    <mergeCell ref="N2688:P2688"/>
    <mergeCell ref="C2689:E2689"/>
    <mergeCell ref="F2689:G2689"/>
    <mergeCell ref="I2689:J2689"/>
    <mergeCell ref="K2689:L2689"/>
    <mergeCell ref="M2689:P2689"/>
    <mergeCell ref="C2690:E2690"/>
    <mergeCell ref="F2690:I2690"/>
    <mergeCell ref="J2690:K2690"/>
    <mergeCell ref="L2690:P2690"/>
    <mergeCell ref="C2691:E2691"/>
    <mergeCell ref="F2691:P2691"/>
    <mergeCell ref="F2694:G2694"/>
    <mergeCell ref="H2694:I2694"/>
    <mergeCell ref="J2694:K2694"/>
    <mergeCell ref="L2694:M2694"/>
    <mergeCell ref="N2694:O2694"/>
    <mergeCell ref="F2695:O2695"/>
    <mergeCell ref="D2699:E2699"/>
    <mergeCell ref="F2699:K2699"/>
    <mergeCell ref="D2700:E2700"/>
    <mergeCell ref="D2701:E2701"/>
    <mergeCell ref="D2702:E2702"/>
    <mergeCell ref="D2703:E2703"/>
    <mergeCell ref="D2704:E2704"/>
    <mergeCell ref="D2705:E2705"/>
    <mergeCell ref="D2706:E2706"/>
    <mergeCell ref="D2707:E2707"/>
    <mergeCell ref="D2708:E2708"/>
    <mergeCell ref="D2709:E2709"/>
    <mergeCell ref="D2710:M2710"/>
    <mergeCell ref="E2711:M2711"/>
    <mergeCell ref="C2718:P2718"/>
    <mergeCell ref="C2720:P2720"/>
    <mergeCell ref="D2722:E2722"/>
    <mergeCell ref="F2722:M2722"/>
    <mergeCell ref="N2722:O2722"/>
    <mergeCell ref="E2723:G2723"/>
    <mergeCell ref="I2723:L2723"/>
    <mergeCell ref="N2723:O2723"/>
    <mergeCell ref="D2724:O2724"/>
    <mergeCell ref="D2725:L2725"/>
    <mergeCell ref="N2725:O2725"/>
    <mergeCell ref="E2731:F2731"/>
    <mergeCell ref="M2731:O2731"/>
    <mergeCell ref="E2732:F2732"/>
    <mergeCell ref="M2732:O2732"/>
    <mergeCell ref="C2739:P2739"/>
    <mergeCell ref="C2741:P2741"/>
    <mergeCell ref="C2743:E2743"/>
    <mergeCell ref="F2743:P2743"/>
    <mergeCell ref="C2744:E2744"/>
    <mergeCell ref="F2744:G2744"/>
    <mergeCell ref="H2744:I2744"/>
    <mergeCell ref="L2744:P2744"/>
    <mergeCell ref="C2745:E2745"/>
    <mergeCell ref="F2745:K2745"/>
    <mergeCell ref="L2745:M2745"/>
    <mergeCell ref="N2745:P2745"/>
    <mergeCell ref="C2746:E2746"/>
    <mergeCell ref="F2746:G2746"/>
    <mergeCell ref="I2746:J2746"/>
    <mergeCell ref="K2746:L2746"/>
    <mergeCell ref="M2746:P2746"/>
    <mergeCell ref="C2747:E2747"/>
    <mergeCell ref="F2747:I2747"/>
    <mergeCell ref="J2747:K2747"/>
    <mergeCell ref="L2747:P2747"/>
    <mergeCell ref="C2748:E2748"/>
    <mergeCell ref="F2748:P2748"/>
    <mergeCell ref="F2751:G2751"/>
    <mergeCell ref="H2751:I2751"/>
    <mergeCell ref="J2751:K2751"/>
    <mergeCell ref="L2751:M2751"/>
    <mergeCell ref="N2751:O2751"/>
    <mergeCell ref="F2752:O2752"/>
    <mergeCell ref="D2756:E2756"/>
    <mergeCell ref="F2756:K2756"/>
    <mergeCell ref="D2757:E2757"/>
    <mergeCell ref="D2758:E2758"/>
    <mergeCell ref="D2759:E2759"/>
    <mergeCell ref="D2760:E2760"/>
    <mergeCell ref="D2761:E2761"/>
    <mergeCell ref="D2762:E2762"/>
    <mergeCell ref="D2763:E2763"/>
    <mergeCell ref="D2764:E2764"/>
    <mergeCell ref="D2765:E2765"/>
    <mergeCell ref="D2766:E2766"/>
    <mergeCell ref="D2767:M2767"/>
    <mergeCell ref="E2768:M2768"/>
    <mergeCell ref="C2775:P2775"/>
    <mergeCell ref="C2777:P2777"/>
    <mergeCell ref="D2779:E2779"/>
    <mergeCell ref="F2779:M2779"/>
    <mergeCell ref="N2779:O2779"/>
    <mergeCell ref="E2780:G2780"/>
    <mergeCell ref="I2780:L2780"/>
    <mergeCell ref="N2780:O2780"/>
    <mergeCell ref="D2781:O2781"/>
    <mergeCell ref="D2782:L2782"/>
    <mergeCell ref="N2782:O2782"/>
    <mergeCell ref="E2788:F2788"/>
    <mergeCell ref="M2788:O2788"/>
    <mergeCell ref="E2789:F2789"/>
    <mergeCell ref="M2789:O2789"/>
    <mergeCell ref="C2796:P2796"/>
    <mergeCell ref="C2798:P2798"/>
    <mergeCell ref="C2800:E2800"/>
    <mergeCell ref="F2800:P2800"/>
    <mergeCell ref="C2801:E2801"/>
    <mergeCell ref="F2801:G2801"/>
    <mergeCell ref="H2801:I2801"/>
    <mergeCell ref="L2801:P2801"/>
    <mergeCell ref="C2802:E2802"/>
    <mergeCell ref="F2802:K2802"/>
    <mergeCell ref="L2802:M2802"/>
    <mergeCell ref="N2802:P2802"/>
    <mergeCell ref="C2803:E2803"/>
    <mergeCell ref="F2803:G2803"/>
    <mergeCell ref="I2803:J2803"/>
    <mergeCell ref="K2803:L2803"/>
    <mergeCell ref="M2803:P2803"/>
    <mergeCell ref="C2804:E2804"/>
    <mergeCell ref="F2804:I2804"/>
    <mergeCell ref="J2804:K2804"/>
    <mergeCell ref="L2804:P2804"/>
    <mergeCell ref="C2805:E2805"/>
    <mergeCell ref="F2805:P2805"/>
    <mergeCell ref="F2808:G2808"/>
    <mergeCell ref="H2808:I2808"/>
    <mergeCell ref="J2808:K2808"/>
    <mergeCell ref="L2808:M2808"/>
    <mergeCell ref="N2808:O2808"/>
    <mergeCell ref="F2809:O2809"/>
    <mergeCell ref="D2813:E2813"/>
    <mergeCell ref="F2813:K2813"/>
    <mergeCell ref="D2814:E2814"/>
    <mergeCell ref="D2815:E2815"/>
    <mergeCell ref="D2816:E2816"/>
    <mergeCell ref="D2817:E2817"/>
    <mergeCell ref="D2818:E2818"/>
    <mergeCell ref="D2819:E2819"/>
    <mergeCell ref="D2820:E2820"/>
    <mergeCell ref="D2821:E2821"/>
    <mergeCell ref="D2822:E2822"/>
    <mergeCell ref="D2823:E2823"/>
    <mergeCell ref="D2824:M2824"/>
    <mergeCell ref="E2825:M2825"/>
    <mergeCell ref="C2832:P2832"/>
    <mergeCell ref="C2834:P2834"/>
    <mergeCell ref="D2836:E2836"/>
    <mergeCell ref="F2836:M2836"/>
    <mergeCell ref="N2836:O2836"/>
    <mergeCell ref="E2837:G2837"/>
    <mergeCell ref="I2837:L2837"/>
    <mergeCell ref="N2837:O2837"/>
    <mergeCell ref="D2838:O2838"/>
    <mergeCell ref="D2839:L2839"/>
    <mergeCell ref="N2839:O2839"/>
    <mergeCell ref="E2845:F2845"/>
    <mergeCell ref="M2845:O2845"/>
    <mergeCell ref="E2846:F2846"/>
    <mergeCell ref="M2846:O2846"/>
    <mergeCell ref="C2853:P2853"/>
    <mergeCell ref="C2855:P2855"/>
    <mergeCell ref="C2857:E2857"/>
    <mergeCell ref="F2857:P2857"/>
    <mergeCell ref="C2858:E2858"/>
    <mergeCell ref="F2858:G2858"/>
    <mergeCell ref="H2858:I2858"/>
    <mergeCell ref="L2858:P2858"/>
    <mergeCell ref="C2859:E2859"/>
    <mergeCell ref="F2859:K2859"/>
    <mergeCell ref="L2859:M2859"/>
    <mergeCell ref="N2859:P2859"/>
    <mergeCell ref="C2860:E2860"/>
    <mergeCell ref="F2860:G2860"/>
    <mergeCell ref="I2860:J2860"/>
    <mergeCell ref="K2860:L2860"/>
    <mergeCell ref="M2860:P2860"/>
    <mergeCell ref="C2861:E2861"/>
    <mergeCell ref="F2861:I2861"/>
    <mergeCell ref="J2861:K2861"/>
    <mergeCell ref="L2861:P2861"/>
    <mergeCell ref="C2862:E2862"/>
    <mergeCell ref="F2862:P2862"/>
    <mergeCell ref="F2865:G2865"/>
    <mergeCell ref="H2865:I2865"/>
    <mergeCell ref="J2865:K2865"/>
    <mergeCell ref="L2865:M2865"/>
    <mergeCell ref="N2865:O2865"/>
    <mergeCell ref="F2866:O2866"/>
    <mergeCell ref="D2870:E2870"/>
    <mergeCell ref="F2870:K2870"/>
    <mergeCell ref="D2871:E2871"/>
    <mergeCell ref="D2872:E2872"/>
    <mergeCell ref="D2873:E2873"/>
    <mergeCell ref="D2874:E2874"/>
    <mergeCell ref="D2875:E2875"/>
    <mergeCell ref="D2876:E2876"/>
    <mergeCell ref="D2877:E2877"/>
    <mergeCell ref="D2878:E2878"/>
    <mergeCell ref="D2879:E2879"/>
    <mergeCell ref="D2880:E2880"/>
    <mergeCell ref="D2881:M2881"/>
    <mergeCell ref="E2882:M2882"/>
    <mergeCell ref="C2889:P2889"/>
    <mergeCell ref="C2891:P2891"/>
    <mergeCell ref="D2893:E2893"/>
    <mergeCell ref="F2893:M2893"/>
    <mergeCell ref="N2893:O2893"/>
    <mergeCell ref="E2894:G2894"/>
    <mergeCell ref="I2894:L2894"/>
    <mergeCell ref="N2894:O2894"/>
    <mergeCell ref="D2895:O2895"/>
    <mergeCell ref="D2896:L2896"/>
    <mergeCell ref="N2896:O2896"/>
    <mergeCell ref="E2902:F2902"/>
    <mergeCell ref="M2902:O2902"/>
    <mergeCell ref="E2903:F2903"/>
    <mergeCell ref="M2903:O2903"/>
    <mergeCell ref="C2910:P2910"/>
    <mergeCell ref="C2912:P2912"/>
    <mergeCell ref="C2914:E2914"/>
    <mergeCell ref="F2914:P2914"/>
    <mergeCell ref="C2915:E2915"/>
    <mergeCell ref="F2915:G2915"/>
    <mergeCell ref="H2915:I2915"/>
    <mergeCell ref="L2915:P2915"/>
    <mergeCell ref="C2916:E2916"/>
    <mergeCell ref="F2916:K2916"/>
    <mergeCell ref="L2916:M2916"/>
    <mergeCell ref="N2916:P2916"/>
    <mergeCell ref="C2917:E2917"/>
    <mergeCell ref="F2917:G2917"/>
    <mergeCell ref="I2917:J2917"/>
    <mergeCell ref="K2917:L2917"/>
    <mergeCell ref="M2917:P2917"/>
    <mergeCell ref="C2918:E2918"/>
    <mergeCell ref="F2918:I2918"/>
    <mergeCell ref="J2918:K2918"/>
    <mergeCell ref="L2918:P2918"/>
    <mergeCell ref="C2919:E2919"/>
    <mergeCell ref="F2919:P2919"/>
    <mergeCell ref="F2922:G2922"/>
    <mergeCell ref="H2922:I2922"/>
    <mergeCell ref="J2922:K2922"/>
    <mergeCell ref="L2922:M2922"/>
    <mergeCell ref="N2922:O2922"/>
    <mergeCell ref="F2923:O2923"/>
    <mergeCell ref="D2927:E2927"/>
    <mergeCell ref="F2927:K2927"/>
    <mergeCell ref="D2928:E2928"/>
    <mergeCell ref="D2929:E2929"/>
    <mergeCell ref="D2930:E2930"/>
    <mergeCell ref="D2931:E2931"/>
    <mergeCell ref="D2932:E2932"/>
    <mergeCell ref="D2933:E2933"/>
    <mergeCell ref="D2934:E2934"/>
    <mergeCell ref="D2935:E2935"/>
    <mergeCell ref="D2936:E2936"/>
    <mergeCell ref="D2937:E2937"/>
    <mergeCell ref="D2938:M2938"/>
    <mergeCell ref="E2939:M2939"/>
    <mergeCell ref="C2946:P2946"/>
    <mergeCell ref="C2948:P2948"/>
    <mergeCell ref="D2950:E2950"/>
    <mergeCell ref="F2950:M2950"/>
    <mergeCell ref="N2950:O2950"/>
    <mergeCell ref="E2951:G2951"/>
    <mergeCell ref="I2951:L2951"/>
    <mergeCell ref="N2951:O2951"/>
    <mergeCell ref="D2952:O2952"/>
    <mergeCell ref="D2953:L2953"/>
    <mergeCell ref="N2953:O2953"/>
    <mergeCell ref="E2959:F2959"/>
    <mergeCell ref="M2959:O2959"/>
    <mergeCell ref="E2960:F2960"/>
    <mergeCell ref="M2960:O2960"/>
    <mergeCell ref="C2967:P2967"/>
    <mergeCell ref="C2969:P2969"/>
    <mergeCell ref="C2971:E2971"/>
    <mergeCell ref="F2971:P2971"/>
    <mergeCell ref="C2972:E2972"/>
    <mergeCell ref="F2972:G2972"/>
    <mergeCell ref="H2972:I2972"/>
    <mergeCell ref="L2972:P2972"/>
    <mergeCell ref="C2973:E2973"/>
    <mergeCell ref="F2973:K2973"/>
    <mergeCell ref="L2973:M2973"/>
    <mergeCell ref="N2973:P2973"/>
    <mergeCell ref="C2974:E2974"/>
    <mergeCell ref="F2974:G2974"/>
    <mergeCell ref="I2974:J2974"/>
    <mergeCell ref="K2974:L2974"/>
    <mergeCell ref="M2974:P2974"/>
    <mergeCell ref="C2975:E2975"/>
    <mergeCell ref="F2975:I2975"/>
    <mergeCell ref="J2975:K2975"/>
    <mergeCell ref="L2975:P2975"/>
    <mergeCell ref="C2976:E2976"/>
    <mergeCell ref="F2976:P2976"/>
    <mergeCell ref="F2979:G2979"/>
    <mergeCell ref="H2979:I2979"/>
    <mergeCell ref="J2979:K2979"/>
    <mergeCell ref="L2979:M2979"/>
    <mergeCell ref="N2979:O2979"/>
    <mergeCell ref="F2980:O2980"/>
    <mergeCell ref="D2984:E2984"/>
    <mergeCell ref="F2984:K2984"/>
    <mergeCell ref="D2985:E2985"/>
    <mergeCell ref="D2986:E2986"/>
    <mergeCell ref="D2987:E2987"/>
    <mergeCell ref="D2988:E2988"/>
    <mergeCell ref="D2989:E2989"/>
    <mergeCell ref="D2990:E2990"/>
    <mergeCell ref="D2991:E2991"/>
    <mergeCell ref="D2992:E2992"/>
    <mergeCell ref="D2993:E2993"/>
    <mergeCell ref="D2994:E2994"/>
    <mergeCell ref="D2995:M2995"/>
    <mergeCell ref="E2996:M2996"/>
    <mergeCell ref="C3003:P3003"/>
    <mergeCell ref="C3005:P3005"/>
    <mergeCell ref="D3007:E3007"/>
    <mergeCell ref="F3007:M3007"/>
    <mergeCell ref="N3007:O3007"/>
    <mergeCell ref="E3008:G3008"/>
    <mergeCell ref="I3008:L3008"/>
    <mergeCell ref="N3008:O3008"/>
    <mergeCell ref="D3009:O3009"/>
    <mergeCell ref="D3010:L3010"/>
    <mergeCell ref="N3010:O3010"/>
    <mergeCell ref="E3016:F3016"/>
    <mergeCell ref="M3016:O3016"/>
    <mergeCell ref="E3017:F3017"/>
    <mergeCell ref="M3017:O3017"/>
    <mergeCell ref="C3024:P3024"/>
    <mergeCell ref="C3026:P3026"/>
    <mergeCell ref="C3028:E3028"/>
    <mergeCell ref="F3028:P3028"/>
    <mergeCell ref="C3029:E3029"/>
    <mergeCell ref="F3029:G3029"/>
    <mergeCell ref="H3029:I3029"/>
    <mergeCell ref="L3029:P3029"/>
    <mergeCell ref="C3030:E3030"/>
    <mergeCell ref="F3030:K3030"/>
    <mergeCell ref="L3030:M3030"/>
    <mergeCell ref="N3030:P3030"/>
    <mergeCell ref="C3031:E3031"/>
    <mergeCell ref="F3031:G3031"/>
    <mergeCell ref="I3031:J3031"/>
    <mergeCell ref="K3031:L3031"/>
    <mergeCell ref="M3031:P3031"/>
    <mergeCell ref="C3032:E3032"/>
    <mergeCell ref="F3032:I3032"/>
    <mergeCell ref="J3032:K3032"/>
    <mergeCell ref="L3032:P3032"/>
    <mergeCell ref="C3033:E3033"/>
    <mergeCell ref="F3033:P3033"/>
    <mergeCell ref="F3036:G3036"/>
    <mergeCell ref="H3036:I3036"/>
    <mergeCell ref="J3036:K3036"/>
    <mergeCell ref="L3036:M3036"/>
    <mergeCell ref="N3036:O3036"/>
    <mergeCell ref="F3037:O3037"/>
    <mergeCell ref="D3041:E3041"/>
    <mergeCell ref="F3041:K3041"/>
    <mergeCell ref="D3042:E3042"/>
    <mergeCell ref="D3043:E3043"/>
    <mergeCell ref="D3044:E3044"/>
    <mergeCell ref="D3045:E3045"/>
    <mergeCell ref="D3046:E3046"/>
    <mergeCell ref="D3047:E3047"/>
    <mergeCell ref="D3048:E3048"/>
    <mergeCell ref="D3049:E3049"/>
    <mergeCell ref="D3050:E3050"/>
    <mergeCell ref="D3051:E3051"/>
    <mergeCell ref="D3052:M3052"/>
    <mergeCell ref="E3053:M3053"/>
    <mergeCell ref="C3060:P3060"/>
    <mergeCell ref="C3062:P3062"/>
    <mergeCell ref="D3064:E3064"/>
    <mergeCell ref="F3064:M3064"/>
    <mergeCell ref="N3064:O3064"/>
    <mergeCell ref="E3065:G3065"/>
    <mergeCell ref="I3065:L3065"/>
    <mergeCell ref="N3065:O3065"/>
    <mergeCell ref="D3066:O3066"/>
    <mergeCell ref="D3067:L3067"/>
    <mergeCell ref="N3067:O3067"/>
    <mergeCell ref="E3073:F3073"/>
    <mergeCell ref="M3073:O3073"/>
    <mergeCell ref="E3074:F3074"/>
    <mergeCell ref="M3074:O3074"/>
    <mergeCell ref="C3081:P3081"/>
    <mergeCell ref="C3083:P3083"/>
    <mergeCell ref="C3085:E3085"/>
    <mergeCell ref="F3085:P3085"/>
    <mergeCell ref="C3086:E3086"/>
    <mergeCell ref="F3086:G3086"/>
    <mergeCell ref="H3086:I3086"/>
    <mergeCell ref="L3086:P3086"/>
    <mergeCell ref="C3087:E3087"/>
    <mergeCell ref="F3087:K3087"/>
    <mergeCell ref="L3087:M3087"/>
    <mergeCell ref="N3087:P3087"/>
    <mergeCell ref="C3088:E3088"/>
    <mergeCell ref="F3088:G3088"/>
    <mergeCell ref="I3088:J3088"/>
    <mergeCell ref="K3088:L3088"/>
    <mergeCell ref="M3088:P3088"/>
    <mergeCell ref="C3089:E3089"/>
    <mergeCell ref="F3089:I3089"/>
    <mergeCell ref="J3089:K3089"/>
    <mergeCell ref="L3089:P3089"/>
    <mergeCell ref="C3090:E3090"/>
    <mergeCell ref="F3090:P3090"/>
    <mergeCell ref="F3093:G3093"/>
    <mergeCell ref="H3093:I3093"/>
    <mergeCell ref="J3093:K3093"/>
    <mergeCell ref="L3093:M3093"/>
    <mergeCell ref="N3093:O3093"/>
    <mergeCell ref="F3094:O3094"/>
    <mergeCell ref="D3098:E3098"/>
    <mergeCell ref="F3098:K3098"/>
    <mergeCell ref="D3099:E3099"/>
    <mergeCell ref="D3100:E3100"/>
    <mergeCell ref="D3101:E3101"/>
    <mergeCell ref="D3102:E3102"/>
    <mergeCell ref="D3103:E3103"/>
    <mergeCell ref="D3104:E3104"/>
    <mergeCell ref="D3105:E3105"/>
    <mergeCell ref="D3106:E3106"/>
    <mergeCell ref="D3107:E3107"/>
    <mergeCell ref="D3108:E3108"/>
    <mergeCell ref="D3109:M3109"/>
    <mergeCell ref="E3110:M3110"/>
    <mergeCell ref="C3117:P3117"/>
    <mergeCell ref="C3119:P3119"/>
    <mergeCell ref="D3121:E3121"/>
    <mergeCell ref="F3121:M3121"/>
    <mergeCell ref="N3121:O3121"/>
    <mergeCell ref="E3122:G3122"/>
    <mergeCell ref="I3122:L3122"/>
    <mergeCell ref="N3122:O3122"/>
    <mergeCell ref="D3123:O3123"/>
    <mergeCell ref="D3124:L3124"/>
    <mergeCell ref="N3124:O3124"/>
    <mergeCell ref="E3130:F3130"/>
    <mergeCell ref="M3130:O3130"/>
    <mergeCell ref="E3131:F3131"/>
    <mergeCell ref="M3131:O3131"/>
    <mergeCell ref="C3138:P3138"/>
    <mergeCell ref="C3140:P3140"/>
    <mergeCell ref="C3142:E3142"/>
    <mergeCell ref="F3142:P3142"/>
    <mergeCell ref="C3143:E3143"/>
    <mergeCell ref="F3143:G3143"/>
    <mergeCell ref="H3143:I3143"/>
    <mergeCell ref="L3143:P3143"/>
    <mergeCell ref="C3144:E3144"/>
    <mergeCell ref="F3144:K3144"/>
    <mergeCell ref="L3144:M3144"/>
    <mergeCell ref="N3144:P3144"/>
    <mergeCell ref="C3145:E3145"/>
    <mergeCell ref="F3145:G3145"/>
    <mergeCell ref="I3145:J3145"/>
    <mergeCell ref="K3145:L3145"/>
    <mergeCell ref="M3145:P3145"/>
    <mergeCell ref="C3146:E3146"/>
    <mergeCell ref="F3146:I3146"/>
    <mergeCell ref="J3146:K3146"/>
    <mergeCell ref="L3146:P3146"/>
    <mergeCell ref="C3147:E3147"/>
    <mergeCell ref="F3147:P3147"/>
    <mergeCell ref="F3150:G3150"/>
    <mergeCell ref="H3150:I3150"/>
    <mergeCell ref="J3150:K3150"/>
    <mergeCell ref="L3150:M3150"/>
    <mergeCell ref="N3150:O3150"/>
    <mergeCell ref="F3151:O3151"/>
    <mergeCell ref="D3155:E3155"/>
    <mergeCell ref="F3155:K3155"/>
    <mergeCell ref="D3156:E3156"/>
    <mergeCell ref="D3157:E3157"/>
    <mergeCell ref="D3158:E3158"/>
    <mergeCell ref="D3159:E3159"/>
    <mergeCell ref="D3160:E3160"/>
    <mergeCell ref="D3161:E3161"/>
    <mergeCell ref="D3162:E3162"/>
    <mergeCell ref="D3163:E3163"/>
    <mergeCell ref="D3164:E3164"/>
    <mergeCell ref="D3165:E3165"/>
    <mergeCell ref="D3166:M3166"/>
    <mergeCell ref="E3167:M3167"/>
    <mergeCell ref="C3174:P3174"/>
    <mergeCell ref="C3176:P3176"/>
    <mergeCell ref="D3178:E3178"/>
    <mergeCell ref="F3178:M3178"/>
    <mergeCell ref="N3178:O3178"/>
    <mergeCell ref="E3179:G3179"/>
    <mergeCell ref="I3179:L3179"/>
    <mergeCell ref="N3179:O3179"/>
    <mergeCell ref="D3180:O3180"/>
    <mergeCell ref="D3181:L3181"/>
    <mergeCell ref="N3181:O3181"/>
    <mergeCell ref="E3187:F3187"/>
    <mergeCell ref="M3187:O3187"/>
    <mergeCell ref="E3188:F3188"/>
    <mergeCell ref="M3188:O3188"/>
    <mergeCell ref="C3195:P3195"/>
    <mergeCell ref="C3197:P3197"/>
    <mergeCell ref="C3199:E3199"/>
    <mergeCell ref="F3199:P3199"/>
    <mergeCell ref="C3200:E3200"/>
    <mergeCell ref="F3200:G3200"/>
    <mergeCell ref="H3200:I3200"/>
    <mergeCell ref="L3200:P3200"/>
    <mergeCell ref="C3201:E3201"/>
    <mergeCell ref="F3201:K3201"/>
    <mergeCell ref="L3201:M3201"/>
    <mergeCell ref="N3201:P3201"/>
    <mergeCell ref="C3202:E3202"/>
    <mergeCell ref="F3202:G3202"/>
    <mergeCell ref="I3202:J3202"/>
    <mergeCell ref="K3202:L3202"/>
    <mergeCell ref="M3202:P3202"/>
    <mergeCell ref="C3203:E3203"/>
    <mergeCell ref="F3203:I3203"/>
    <mergeCell ref="J3203:K3203"/>
    <mergeCell ref="L3203:P3203"/>
    <mergeCell ref="C3204:E3204"/>
    <mergeCell ref="F3204:P3204"/>
    <mergeCell ref="F3207:G3207"/>
    <mergeCell ref="H3207:I3207"/>
    <mergeCell ref="J3207:K3207"/>
    <mergeCell ref="L3207:M3207"/>
    <mergeCell ref="N3207:O3207"/>
    <mergeCell ref="F3208:O3208"/>
    <mergeCell ref="D3212:E3212"/>
    <mergeCell ref="F3212:K3212"/>
    <mergeCell ref="D3213:E3213"/>
    <mergeCell ref="D3214:E3214"/>
    <mergeCell ref="D3215:E3215"/>
    <mergeCell ref="D3216:E3216"/>
    <mergeCell ref="D3217:E3217"/>
    <mergeCell ref="D3218:E3218"/>
    <mergeCell ref="D3219:E3219"/>
    <mergeCell ref="D3220:E3220"/>
    <mergeCell ref="D3221:E3221"/>
    <mergeCell ref="D3222:E3222"/>
    <mergeCell ref="D3223:M3223"/>
    <mergeCell ref="E3224:M3224"/>
    <mergeCell ref="C3231:P3231"/>
    <mergeCell ref="C3233:P3233"/>
    <mergeCell ref="D3235:E3235"/>
    <mergeCell ref="F3235:M3235"/>
    <mergeCell ref="N3235:O3235"/>
    <mergeCell ref="E3236:G3236"/>
    <mergeCell ref="I3236:L3236"/>
    <mergeCell ref="N3236:O3236"/>
    <mergeCell ref="D3237:O3237"/>
    <mergeCell ref="D3238:L3238"/>
    <mergeCell ref="N3238:O3238"/>
    <mergeCell ref="E3244:F3244"/>
    <mergeCell ref="M3244:O3244"/>
    <mergeCell ref="E3245:F3245"/>
    <mergeCell ref="M3245:O3245"/>
    <mergeCell ref="C3252:P3252"/>
    <mergeCell ref="C3254:P3254"/>
    <mergeCell ref="C3256:E3256"/>
    <mergeCell ref="F3256:P3256"/>
    <mergeCell ref="C3257:E3257"/>
    <mergeCell ref="F3257:G3257"/>
    <mergeCell ref="H3257:I3257"/>
    <mergeCell ref="L3257:P3257"/>
    <mergeCell ref="C3258:E3258"/>
    <mergeCell ref="F3258:K3258"/>
    <mergeCell ref="L3258:M3258"/>
    <mergeCell ref="N3258:P3258"/>
    <mergeCell ref="C3259:E3259"/>
    <mergeCell ref="F3259:G3259"/>
    <mergeCell ref="I3259:J3259"/>
    <mergeCell ref="K3259:L3259"/>
    <mergeCell ref="M3259:P3259"/>
    <mergeCell ref="C3260:E3260"/>
    <mergeCell ref="F3260:I3260"/>
    <mergeCell ref="J3260:K3260"/>
    <mergeCell ref="L3260:P3260"/>
    <mergeCell ref="C3261:E3261"/>
    <mergeCell ref="F3261:P3261"/>
    <mergeCell ref="F3264:G3264"/>
    <mergeCell ref="H3264:I3264"/>
    <mergeCell ref="J3264:K3264"/>
    <mergeCell ref="L3264:M3264"/>
    <mergeCell ref="N3264:O3264"/>
    <mergeCell ref="F3265:O3265"/>
    <mergeCell ref="D3269:E3269"/>
    <mergeCell ref="F3269:K3269"/>
    <mergeCell ref="D3270:E3270"/>
    <mergeCell ref="D3271:E3271"/>
    <mergeCell ref="D3272:E3272"/>
    <mergeCell ref="D3273:E3273"/>
    <mergeCell ref="D3274:E3274"/>
    <mergeCell ref="D3275:E3275"/>
    <mergeCell ref="D3276:E3276"/>
    <mergeCell ref="D3277:E3277"/>
    <mergeCell ref="D3278:E3278"/>
    <mergeCell ref="D3279:E3279"/>
    <mergeCell ref="D3280:M3280"/>
    <mergeCell ref="E3281:M3281"/>
    <mergeCell ref="C3288:P3288"/>
    <mergeCell ref="C3290:P3290"/>
    <mergeCell ref="D3292:E3292"/>
    <mergeCell ref="F3292:M3292"/>
    <mergeCell ref="N3292:O3292"/>
    <mergeCell ref="E3293:G3293"/>
    <mergeCell ref="I3293:L3293"/>
    <mergeCell ref="N3293:O3293"/>
    <mergeCell ref="D3294:O3294"/>
    <mergeCell ref="D3295:L3295"/>
    <mergeCell ref="N3295:O3295"/>
    <mergeCell ref="E3301:F3301"/>
    <mergeCell ref="M3301:O3301"/>
    <mergeCell ref="E3302:F3302"/>
    <mergeCell ref="M3302:O3302"/>
    <mergeCell ref="C3309:P3309"/>
    <mergeCell ref="C3311:P3311"/>
    <mergeCell ref="C3313:E3313"/>
    <mergeCell ref="F3313:P3313"/>
    <mergeCell ref="C3314:E3314"/>
    <mergeCell ref="F3314:G3314"/>
    <mergeCell ref="H3314:I3314"/>
    <mergeCell ref="L3314:P3314"/>
    <mergeCell ref="C3315:E3315"/>
    <mergeCell ref="F3315:K3315"/>
    <mergeCell ref="L3315:M3315"/>
    <mergeCell ref="N3315:P3315"/>
    <mergeCell ref="C3316:E3316"/>
    <mergeCell ref="F3316:G3316"/>
    <mergeCell ref="I3316:J3316"/>
    <mergeCell ref="K3316:L3316"/>
    <mergeCell ref="M3316:P3316"/>
    <mergeCell ref="C3317:E3317"/>
    <mergeCell ref="F3317:I3317"/>
    <mergeCell ref="J3317:K3317"/>
    <mergeCell ref="L3317:P3317"/>
    <mergeCell ref="C3318:E3318"/>
    <mergeCell ref="F3318:P3318"/>
    <mergeCell ref="F3321:G3321"/>
    <mergeCell ref="H3321:I3321"/>
    <mergeCell ref="J3321:K3321"/>
    <mergeCell ref="L3321:M3321"/>
    <mergeCell ref="N3321:O3321"/>
    <mergeCell ref="F3322:O3322"/>
    <mergeCell ref="D3326:E3326"/>
    <mergeCell ref="F3326:K3326"/>
    <mergeCell ref="D3327:E3327"/>
    <mergeCell ref="D3328:E3328"/>
    <mergeCell ref="D3329:E3329"/>
    <mergeCell ref="D3330:E3330"/>
    <mergeCell ref="D3331:E3331"/>
    <mergeCell ref="D3332:E3332"/>
    <mergeCell ref="D3333:E3333"/>
    <mergeCell ref="D3334:E3334"/>
    <mergeCell ref="D3335:E3335"/>
    <mergeCell ref="D3336:E3336"/>
    <mergeCell ref="D3337:M3337"/>
    <mergeCell ref="E3338:M3338"/>
    <mergeCell ref="C3345:P3345"/>
    <mergeCell ref="C3347:P3347"/>
    <mergeCell ref="D3349:E3349"/>
    <mergeCell ref="F3349:M3349"/>
    <mergeCell ref="N3349:O3349"/>
    <mergeCell ref="E3350:G3350"/>
    <mergeCell ref="I3350:L3350"/>
    <mergeCell ref="N3350:O3350"/>
    <mergeCell ref="D3351:O3351"/>
    <mergeCell ref="D3352:L3352"/>
    <mergeCell ref="N3352:O3352"/>
    <mergeCell ref="E3358:F3358"/>
    <mergeCell ref="M3358:O3358"/>
    <mergeCell ref="E3359:F3359"/>
    <mergeCell ref="M3359:O3359"/>
    <mergeCell ref="C3366:P3366"/>
    <mergeCell ref="C3368:P3368"/>
    <mergeCell ref="C3370:E3370"/>
    <mergeCell ref="F3370:P3370"/>
    <mergeCell ref="C3371:E3371"/>
    <mergeCell ref="F3371:G3371"/>
    <mergeCell ref="H3371:I3371"/>
    <mergeCell ref="L3371:P3371"/>
    <mergeCell ref="C3372:E3372"/>
    <mergeCell ref="F3372:K3372"/>
    <mergeCell ref="L3372:M3372"/>
    <mergeCell ref="N3372:P3372"/>
    <mergeCell ref="C3373:E3373"/>
    <mergeCell ref="F3373:G3373"/>
    <mergeCell ref="I3373:J3373"/>
    <mergeCell ref="K3373:L3373"/>
    <mergeCell ref="M3373:P3373"/>
    <mergeCell ref="C3374:E3374"/>
    <mergeCell ref="F3374:I3374"/>
    <mergeCell ref="J3374:K3374"/>
    <mergeCell ref="L3374:P3374"/>
    <mergeCell ref="C3375:E3375"/>
    <mergeCell ref="F3375:P3375"/>
    <mergeCell ref="F3378:G3378"/>
    <mergeCell ref="H3378:I3378"/>
    <mergeCell ref="J3378:K3378"/>
    <mergeCell ref="L3378:M3378"/>
    <mergeCell ref="N3378:O3378"/>
    <mergeCell ref="F3379:O3379"/>
    <mergeCell ref="D3383:E3383"/>
    <mergeCell ref="F3383:K3383"/>
    <mergeCell ref="D3384:E3384"/>
    <mergeCell ref="D3385:E3385"/>
    <mergeCell ref="D3386:E3386"/>
    <mergeCell ref="D3387:E3387"/>
    <mergeCell ref="D3388:E3388"/>
    <mergeCell ref="D3389:E3389"/>
    <mergeCell ref="D3390:E3390"/>
    <mergeCell ref="D3391:E3391"/>
    <mergeCell ref="D3392:E3392"/>
    <mergeCell ref="D3393:E3393"/>
    <mergeCell ref="D3394:M3394"/>
    <mergeCell ref="E3395:M3395"/>
    <mergeCell ref="C3402:P3402"/>
    <mergeCell ref="C3404:P3404"/>
    <mergeCell ref="D3406:E3406"/>
    <mergeCell ref="F3406:M3406"/>
    <mergeCell ref="N3406:O3406"/>
    <mergeCell ref="E3407:G3407"/>
    <mergeCell ref="I3407:L3407"/>
    <mergeCell ref="N3407:O3407"/>
    <mergeCell ref="D3408:O3408"/>
    <mergeCell ref="D3409:L3409"/>
    <mergeCell ref="N3409:O3409"/>
    <mergeCell ref="E3415:F3415"/>
    <mergeCell ref="M3415:O3415"/>
    <mergeCell ref="E3416:F3416"/>
    <mergeCell ref="M3416:O3416"/>
    <mergeCell ref="C3423:P3423"/>
    <mergeCell ref="C3425:P3425"/>
    <mergeCell ref="C3427:E3427"/>
    <mergeCell ref="F3427:P3427"/>
    <mergeCell ref="C3428:E3428"/>
    <mergeCell ref="F3428:G3428"/>
    <mergeCell ref="H3428:I3428"/>
    <mergeCell ref="L3428:P3428"/>
    <mergeCell ref="C3429:E3429"/>
    <mergeCell ref="F3429:K3429"/>
    <mergeCell ref="L3429:M3429"/>
    <mergeCell ref="N3429:P3429"/>
    <mergeCell ref="C3430:E3430"/>
    <mergeCell ref="F3430:G3430"/>
    <mergeCell ref="I3430:J3430"/>
    <mergeCell ref="K3430:L3430"/>
    <mergeCell ref="M3430:P3430"/>
    <mergeCell ref="C3431:E3431"/>
    <mergeCell ref="F3431:I3431"/>
    <mergeCell ref="J3431:K3431"/>
    <mergeCell ref="L3431:P3431"/>
    <mergeCell ref="C3432:E3432"/>
    <mergeCell ref="F3432:P3432"/>
    <mergeCell ref="F3435:G3435"/>
    <mergeCell ref="H3435:I3435"/>
    <mergeCell ref="J3435:K3435"/>
    <mergeCell ref="L3435:M3435"/>
    <mergeCell ref="N3435:O3435"/>
    <mergeCell ref="F3436:O3436"/>
    <mergeCell ref="D3440:E3440"/>
    <mergeCell ref="F3440:K3440"/>
    <mergeCell ref="D3441:E3441"/>
    <mergeCell ref="D3442:E3442"/>
    <mergeCell ref="D3443:E3443"/>
    <mergeCell ref="D3444:E3444"/>
    <mergeCell ref="D3445:E3445"/>
    <mergeCell ref="D3446:E3446"/>
    <mergeCell ref="D3447:E3447"/>
    <mergeCell ref="D3448:E3448"/>
    <mergeCell ref="D3449:E3449"/>
    <mergeCell ref="D3450:E3450"/>
    <mergeCell ref="D3451:M3451"/>
    <mergeCell ref="E3452:M3452"/>
    <mergeCell ref="C3459:P3459"/>
    <mergeCell ref="C3461:P3461"/>
    <mergeCell ref="D3463:E3463"/>
    <mergeCell ref="F3463:M3463"/>
    <mergeCell ref="N3463:O3463"/>
    <mergeCell ref="E3464:G3464"/>
    <mergeCell ref="I3464:L3464"/>
    <mergeCell ref="N3464:O3464"/>
    <mergeCell ref="D3465:O3465"/>
    <mergeCell ref="D3466:L3466"/>
    <mergeCell ref="N3466:O3466"/>
    <mergeCell ref="E3472:F3472"/>
    <mergeCell ref="M3472:O3472"/>
    <mergeCell ref="E3473:F3473"/>
    <mergeCell ref="M3473:O3473"/>
    <mergeCell ref="C3480:P3480"/>
    <mergeCell ref="C3482:P3482"/>
    <mergeCell ref="C3484:E3484"/>
    <mergeCell ref="F3484:P3484"/>
    <mergeCell ref="C3485:E3485"/>
    <mergeCell ref="F3485:G3485"/>
    <mergeCell ref="H3485:I3485"/>
    <mergeCell ref="L3485:P3485"/>
    <mergeCell ref="C3486:E3486"/>
    <mergeCell ref="F3486:K3486"/>
    <mergeCell ref="L3486:M3486"/>
    <mergeCell ref="N3486:P3486"/>
    <mergeCell ref="C3487:E3487"/>
    <mergeCell ref="F3487:G3487"/>
    <mergeCell ref="I3487:J3487"/>
    <mergeCell ref="K3487:L3487"/>
    <mergeCell ref="M3487:P3487"/>
    <mergeCell ref="C3488:E3488"/>
    <mergeCell ref="F3488:I3488"/>
    <mergeCell ref="J3488:K3488"/>
    <mergeCell ref="L3488:P3488"/>
    <mergeCell ref="C3489:E3489"/>
    <mergeCell ref="F3489:P3489"/>
    <mergeCell ref="F3492:G3492"/>
    <mergeCell ref="H3492:I3492"/>
    <mergeCell ref="J3492:K3492"/>
    <mergeCell ref="L3492:M3492"/>
    <mergeCell ref="N3492:O3492"/>
    <mergeCell ref="F3493:O3493"/>
    <mergeCell ref="D3497:E3497"/>
    <mergeCell ref="F3497:K3497"/>
    <mergeCell ref="D3498:E3498"/>
    <mergeCell ref="D3499:E3499"/>
    <mergeCell ref="D3500:E3500"/>
    <mergeCell ref="D3501:E3501"/>
    <mergeCell ref="D3502:E3502"/>
    <mergeCell ref="D3503:E3503"/>
    <mergeCell ref="D3504:E3504"/>
    <mergeCell ref="D3505:E3505"/>
    <mergeCell ref="D3506:E3506"/>
    <mergeCell ref="D3507:E3507"/>
    <mergeCell ref="D3508:M3508"/>
    <mergeCell ref="E3509:M3509"/>
    <mergeCell ref="C3516:P3516"/>
    <mergeCell ref="C3518:P3518"/>
    <mergeCell ref="D3520:E3520"/>
    <mergeCell ref="F3520:M3520"/>
    <mergeCell ref="N3520:O3520"/>
    <mergeCell ref="E3521:G3521"/>
    <mergeCell ref="I3521:L3521"/>
    <mergeCell ref="N3521:O3521"/>
    <mergeCell ref="D3522:O3522"/>
    <mergeCell ref="D3523:L3523"/>
    <mergeCell ref="N3523:O3523"/>
    <mergeCell ref="E3529:F3529"/>
    <mergeCell ref="M3529:O3529"/>
    <mergeCell ref="E3530:F3530"/>
    <mergeCell ref="M3530:O3530"/>
    <mergeCell ref="C3537:P3537"/>
    <mergeCell ref="C3539:P3539"/>
    <mergeCell ref="C3541:E3541"/>
    <mergeCell ref="F3541:P3541"/>
    <mergeCell ref="C3542:E3542"/>
    <mergeCell ref="F3542:G3542"/>
    <mergeCell ref="H3542:I3542"/>
    <mergeCell ref="L3542:P3542"/>
    <mergeCell ref="C3543:E3543"/>
    <mergeCell ref="F3543:K3543"/>
    <mergeCell ref="L3543:M3543"/>
    <mergeCell ref="N3543:P3543"/>
    <mergeCell ref="C3544:E3544"/>
    <mergeCell ref="F3544:G3544"/>
    <mergeCell ref="I3544:J3544"/>
    <mergeCell ref="K3544:L3544"/>
    <mergeCell ref="M3544:P3544"/>
    <mergeCell ref="C3545:E3545"/>
    <mergeCell ref="F3545:I3545"/>
    <mergeCell ref="J3545:K3545"/>
    <mergeCell ref="L3545:P3545"/>
    <mergeCell ref="C3546:E3546"/>
    <mergeCell ref="F3546:P3546"/>
    <mergeCell ref="F3549:G3549"/>
    <mergeCell ref="H3549:I3549"/>
    <mergeCell ref="J3549:K3549"/>
    <mergeCell ref="L3549:M3549"/>
    <mergeCell ref="N3549:O3549"/>
    <mergeCell ref="F3550:O3550"/>
    <mergeCell ref="D3554:E3554"/>
    <mergeCell ref="F3554:K3554"/>
    <mergeCell ref="D3555:E3555"/>
    <mergeCell ref="D3556:E3556"/>
    <mergeCell ref="D3557:E3557"/>
    <mergeCell ref="D3558:E3558"/>
    <mergeCell ref="D3559:E3559"/>
    <mergeCell ref="D3560:E3560"/>
    <mergeCell ref="D3561:E3561"/>
    <mergeCell ref="D3562:E3562"/>
    <mergeCell ref="D3563:E3563"/>
    <mergeCell ref="D3564:E3564"/>
    <mergeCell ref="D3565:M3565"/>
    <mergeCell ref="E3566:M3566"/>
    <mergeCell ref="C3573:P3573"/>
    <mergeCell ref="C3575:P3575"/>
    <mergeCell ref="D3577:E3577"/>
    <mergeCell ref="F3577:M3577"/>
    <mergeCell ref="N3577:O3577"/>
    <mergeCell ref="E3578:G3578"/>
    <mergeCell ref="I3578:L3578"/>
    <mergeCell ref="N3578:O3578"/>
    <mergeCell ref="D3579:O3579"/>
    <mergeCell ref="D3580:L3580"/>
    <mergeCell ref="N3580:O3580"/>
    <mergeCell ref="E3586:F3586"/>
    <mergeCell ref="M3586:O3586"/>
    <mergeCell ref="E3587:F3587"/>
    <mergeCell ref="M3587:O3587"/>
    <mergeCell ref="C3594:P3594"/>
    <mergeCell ref="C3596:P3596"/>
    <mergeCell ref="C3598:E3598"/>
    <mergeCell ref="F3598:P3598"/>
    <mergeCell ref="C3599:E3599"/>
    <mergeCell ref="F3599:G3599"/>
    <mergeCell ref="H3599:I3599"/>
    <mergeCell ref="L3599:P3599"/>
    <mergeCell ref="C3600:E3600"/>
    <mergeCell ref="F3600:K3600"/>
    <mergeCell ref="L3600:M3600"/>
    <mergeCell ref="N3600:P3600"/>
    <mergeCell ref="C3601:E3601"/>
    <mergeCell ref="F3601:G3601"/>
    <mergeCell ref="I3601:J3601"/>
    <mergeCell ref="K3601:L3601"/>
    <mergeCell ref="M3601:P3601"/>
    <mergeCell ref="C3602:E3602"/>
    <mergeCell ref="F3602:I3602"/>
    <mergeCell ref="J3602:K3602"/>
    <mergeCell ref="L3602:P3602"/>
    <mergeCell ref="C3603:E3603"/>
    <mergeCell ref="F3603:P3603"/>
    <mergeCell ref="F3606:G3606"/>
    <mergeCell ref="H3606:I3606"/>
    <mergeCell ref="J3606:K3606"/>
    <mergeCell ref="L3606:M3606"/>
    <mergeCell ref="N3606:O3606"/>
    <mergeCell ref="F3607:O3607"/>
    <mergeCell ref="D3611:E3611"/>
    <mergeCell ref="F3611:K3611"/>
    <mergeCell ref="D3612:E3612"/>
    <mergeCell ref="D3613:E3613"/>
    <mergeCell ref="D3614:E3614"/>
    <mergeCell ref="D3615:E3615"/>
    <mergeCell ref="D3616:E3616"/>
    <mergeCell ref="D3617:E3617"/>
    <mergeCell ref="D3618:E3618"/>
    <mergeCell ref="D3619:E3619"/>
    <mergeCell ref="D3620:E3620"/>
    <mergeCell ref="D3621:E3621"/>
    <mergeCell ref="D3622:M3622"/>
    <mergeCell ref="E3623:M3623"/>
    <mergeCell ref="C3630:P3630"/>
    <mergeCell ref="C3632:P3632"/>
    <mergeCell ref="D3634:E3634"/>
    <mergeCell ref="F3634:M3634"/>
    <mergeCell ref="N3634:O3634"/>
    <mergeCell ref="E3635:G3635"/>
    <mergeCell ref="I3635:L3635"/>
    <mergeCell ref="N3635:O3635"/>
    <mergeCell ref="D3636:O3636"/>
    <mergeCell ref="D3637:L3637"/>
    <mergeCell ref="N3637:O3637"/>
    <mergeCell ref="E3643:F3643"/>
    <mergeCell ref="M3643:O3643"/>
    <mergeCell ref="E3644:F3644"/>
    <mergeCell ref="M3644:O3644"/>
    <mergeCell ref="C3651:P3651"/>
    <mergeCell ref="C3653:P3653"/>
    <mergeCell ref="C3655:E3655"/>
    <mergeCell ref="F3655:P3655"/>
    <mergeCell ref="C3656:E3656"/>
    <mergeCell ref="F3656:G3656"/>
    <mergeCell ref="H3656:I3656"/>
    <mergeCell ref="L3656:P3656"/>
    <mergeCell ref="C3657:E3657"/>
    <mergeCell ref="F3657:K3657"/>
    <mergeCell ref="L3657:M3657"/>
    <mergeCell ref="N3657:P3657"/>
    <mergeCell ref="C3658:E3658"/>
    <mergeCell ref="F3658:G3658"/>
    <mergeCell ref="I3658:J3658"/>
    <mergeCell ref="K3658:L3658"/>
    <mergeCell ref="M3658:P3658"/>
    <mergeCell ref="C3659:E3659"/>
    <mergeCell ref="F3659:I3659"/>
    <mergeCell ref="J3659:K3659"/>
    <mergeCell ref="L3659:P3659"/>
    <mergeCell ref="C3660:E3660"/>
    <mergeCell ref="F3660:P3660"/>
    <mergeCell ref="F3663:G3663"/>
    <mergeCell ref="H3663:I3663"/>
    <mergeCell ref="J3663:K3663"/>
    <mergeCell ref="L3663:M3663"/>
    <mergeCell ref="N3663:O3663"/>
    <mergeCell ref="F3664:O3664"/>
    <mergeCell ref="D3668:E3668"/>
    <mergeCell ref="F3668:K3668"/>
    <mergeCell ref="D3669:E3669"/>
    <mergeCell ref="D3670:E3670"/>
    <mergeCell ref="D3671:E3671"/>
    <mergeCell ref="D3672:E3672"/>
    <mergeCell ref="D3673:E3673"/>
    <mergeCell ref="D3674:E3674"/>
    <mergeCell ref="D3675:E3675"/>
    <mergeCell ref="D3676:E3676"/>
    <mergeCell ref="D3677:E3677"/>
    <mergeCell ref="D3678:E3678"/>
    <mergeCell ref="D3679:M3679"/>
    <mergeCell ref="E3680:M3680"/>
    <mergeCell ref="C3687:P3687"/>
    <mergeCell ref="C3689:P3689"/>
    <mergeCell ref="D3691:E3691"/>
    <mergeCell ref="F3691:M3691"/>
    <mergeCell ref="N3691:O3691"/>
    <mergeCell ref="E3692:G3692"/>
    <mergeCell ref="I3692:L3692"/>
    <mergeCell ref="N3692:O3692"/>
    <mergeCell ref="D3693:O3693"/>
    <mergeCell ref="D3694:L3694"/>
    <mergeCell ref="N3694:O3694"/>
    <mergeCell ref="E3700:F3700"/>
    <mergeCell ref="M3700:O3700"/>
    <mergeCell ref="E3701:F3701"/>
    <mergeCell ref="M3701:O3701"/>
    <mergeCell ref="C3708:P3708"/>
    <mergeCell ref="C3710:P3710"/>
    <mergeCell ref="C3712:E3712"/>
    <mergeCell ref="F3712:P3712"/>
    <mergeCell ref="C3713:E3713"/>
    <mergeCell ref="F3713:G3713"/>
    <mergeCell ref="H3713:I3713"/>
    <mergeCell ref="L3713:P3713"/>
    <mergeCell ref="C3714:E3714"/>
    <mergeCell ref="F3714:K3714"/>
    <mergeCell ref="L3714:M3714"/>
    <mergeCell ref="N3714:P3714"/>
    <mergeCell ref="C3715:E3715"/>
    <mergeCell ref="F3715:G3715"/>
    <mergeCell ref="I3715:J3715"/>
    <mergeCell ref="K3715:L3715"/>
    <mergeCell ref="M3715:P3715"/>
    <mergeCell ref="C3716:E3716"/>
    <mergeCell ref="F3716:I3716"/>
    <mergeCell ref="J3716:K3716"/>
    <mergeCell ref="L3716:P3716"/>
    <mergeCell ref="C3717:E3717"/>
    <mergeCell ref="F3717:P3717"/>
    <mergeCell ref="F3720:G3720"/>
    <mergeCell ref="H3720:I3720"/>
    <mergeCell ref="J3720:K3720"/>
    <mergeCell ref="L3720:M3720"/>
    <mergeCell ref="N3720:O3720"/>
    <mergeCell ref="F3721:O3721"/>
    <mergeCell ref="D3725:E3725"/>
    <mergeCell ref="F3725:K3725"/>
    <mergeCell ref="D3726:E3726"/>
    <mergeCell ref="D3727:E3727"/>
    <mergeCell ref="D3728:E3728"/>
    <mergeCell ref="D3729:E3729"/>
    <mergeCell ref="D3730:E3730"/>
    <mergeCell ref="D3731:E3731"/>
    <mergeCell ref="D3732:E3732"/>
    <mergeCell ref="D3733:E3733"/>
    <mergeCell ref="D3734:E3734"/>
    <mergeCell ref="D3735:E3735"/>
    <mergeCell ref="D3736:M3736"/>
    <mergeCell ref="E3737:M3737"/>
    <mergeCell ref="C3744:P3744"/>
    <mergeCell ref="C3746:P3746"/>
    <mergeCell ref="D3748:E3748"/>
    <mergeCell ref="F3748:M3748"/>
    <mergeCell ref="N3748:O3748"/>
    <mergeCell ref="E3749:G3749"/>
    <mergeCell ref="I3749:L3749"/>
    <mergeCell ref="N3749:O3749"/>
    <mergeCell ref="D3750:O3750"/>
    <mergeCell ref="D3751:L3751"/>
    <mergeCell ref="N3751:O3751"/>
    <mergeCell ref="E3757:F3757"/>
    <mergeCell ref="M3757:O3757"/>
    <mergeCell ref="E3758:F3758"/>
    <mergeCell ref="M3758:O3758"/>
    <mergeCell ref="C3765:P3765"/>
    <mergeCell ref="C3767:P3767"/>
    <mergeCell ref="C3769:E3769"/>
    <mergeCell ref="F3769:P3769"/>
    <mergeCell ref="C3770:E3770"/>
    <mergeCell ref="F3770:G3770"/>
    <mergeCell ref="H3770:I3770"/>
    <mergeCell ref="L3770:P3770"/>
    <mergeCell ref="C3771:E3771"/>
    <mergeCell ref="F3771:K3771"/>
    <mergeCell ref="L3771:M3771"/>
    <mergeCell ref="N3771:P3771"/>
    <mergeCell ref="C3772:E3772"/>
    <mergeCell ref="F3772:G3772"/>
    <mergeCell ref="I3772:J3772"/>
    <mergeCell ref="K3772:L3772"/>
    <mergeCell ref="M3772:P3772"/>
    <mergeCell ref="C3773:E3773"/>
    <mergeCell ref="F3773:I3773"/>
    <mergeCell ref="J3773:K3773"/>
    <mergeCell ref="L3773:P3773"/>
    <mergeCell ref="C3774:E3774"/>
    <mergeCell ref="F3774:P3774"/>
    <mergeCell ref="F3777:G3777"/>
    <mergeCell ref="H3777:I3777"/>
    <mergeCell ref="J3777:K3777"/>
    <mergeCell ref="L3777:M3777"/>
    <mergeCell ref="N3777:O3777"/>
    <mergeCell ref="F3778:O3778"/>
    <mergeCell ref="D3782:E3782"/>
    <mergeCell ref="F3782:K3782"/>
    <mergeCell ref="D3783:E3783"/>
    <mergeCell ref="D3784:E3784"/>
    <mergeCell ref="D3785:E3785"/>
    <mergeCell ref="D3786:E3786"/>
    <mergeCell ref="D3787:E3787"/>
    <mergeCell ref="D3788:E3788"/>
    <mergeCell ref="D3789:E3789"/>
    <mergeCell ref="D3790:E3790"/>
    <mergeCell ref="D3791:E3791"/>
    <mergeCell ref="D3792:E3792"/>
    <mergeCell ref="D3793:M3793"/>
    <mergeCell ref="E3794:M3794"/>
    <mergeCell ref="C3801:P3801"/>
    <mergeCell ref="C3803:P3803"/>
    <mergeCell ref="D3805:E3805"/>
    <mergeCell ref="F3805:M3805"/>
    <mergeCell ref="N3805:O3805"/>
    <mergeCell ref="E3806:G3806"/>
    <mergeCell ref="I3806:L3806"/>
    <mergeCell ref="N3806:O3806"/>
    <mergeCell ref="D3807:O3807"/>
    <mergeCell ref="D3808:L3808"/>
    <mergeCell ref="N3808:O3808"/>
    <mergeCell ref="E3814:F3814"/>
    <mergeCell ref="M3814:O3814"/>
    <mergeCell ref="E3815:F3815"/>
    <mergeCell ref="M3815:O3815"/>
    <mergeCell ref="C3822:P3822"/>
    <mergeCell ref="C3824:P3824"/>
    <mergeCell ref="C3826:E3826"/>
    <mergeCell ref="F3826:P3826"/>
    <mergeCell ref="C3827:E3827"/>
    <mergeCell ref="F3827:G3827"/>
    <mergeCell ref="H3827:I3827"/>
    <mergeCell ref="L3827:P3827"/>
    <mergeCell ref="C3828:E3828"/>
    <mergeCell ref="F3828:K3828"/>
    <mergeCell ref="L3828:M3828"/>
    <mergeCell ref="N3828:P3828"/>
    <mergeCell ref="C3829:E3829"/>
    <mergeCell ref="F3829:G3829"/>
    <mergeCell ref="I3829:J3829"/>
    <mergeCell ref="K3829:L3829"/>
    <mergeCell ref="M3829:P3829"/>
    <mergeCell ref="C3830:E3830"/>
    <mergeCell ref="F3830:I3830"/>
    <mergeCell ref="J3830:K3830"/>
    <mergeCell ref="L3830:P3830"/>
    <mergeCell ref="C3831:E3831"/>
    <mergeCell ref="F3831:P3831"/>
    <mergeCell ref="F3834:G3834"/>
    <mergeCell ref="H3834:I3834"/>
    <mergeCell ref="J3834:K3834"/>
    <mergeCell ref="L3834:M3834"/>
    <mergeCell ref="N3834:O3834"/>
    <mergeCell ref="F3835:O3835"/>
    <mergeCell ref="D3839:E3839"/>
    <mergeCell ref="F3839:K3839"/>
    <mergeCell ref="D3840:E3840"/>
    <mergeCell ref="D3841:E3841"/>
    <mergeCell ref="D3842:E3842"/>
    <mergeCell ref="D3843:E3843"/>
    <mergeCell ref="D3844:E3844"/>
    <mergeCell ref="D3845:E3845"/>
    <mergeCell ref="D3846:E3846"/>
    <mergeCell ref="D3847:E3847"/>
    <mergeCell ref="D3848:E3848"/>
    <mergeCell ref="D3849:E3849"/>
    <mergeCell ref="D3850:M3850"/>
    <mergeCell ref="E3851:M3851"/>
    <mergeCell ref="C3858:P3858"/>
    <mergeCell ref="C3860:P3860"/>
    <mergeCell ref="D3862:E3862"/>
    <mergeCell ref="F3862:M3862"/>
    <mergeCell ref="N3862:O3862"/>
    <mergeCell ref="E3863:G3863"/>
    <mergeCell ref="I3863:L3863"/>
    <mergeCell ref="N3863:O3863"/>
    <mergeCell ref="D3864:O3864"/>
    <mergeCell ref="D3865:L3865"/>
    <mergeCell ref="N3865:O3865"/>
    <mergeCell ref="E3871:F3871"/>
    <mergeCell ref="M3871:O3871"/>
    <mergeCell ref="E3872:F3872"/>
    <mergeCell ref="M3872:O3872"/>
    <mergeCell ref="C3879:P3879"/>
    <mergeCell ref="C3881:P3881"/>
    <mergeCell ref="C3883:E3883"/>
    <mergeCell ref="F3883:P3883"/>
    <mergeCell ref="C3884:E3884"/>
    <mergeCell ref="F3884:G3884"/>
    <mergeCell ref="H3884:I3884"/>
    <mergeCell ref="L3884:P3884"/>
    <mergeCell ref="C3885:E3885"/>
    <mergeCell ref="F3885:K3885"/>
    <mergeCell ref="L3885:M3885"/>
    <mergeCell ref="N3885:P3885"/>
    <mergeCell ref="C3886:E3886"/>
    <mergeCell ref="F3886:G3886"/>
    <mergeCell ref="I3886:J3886"/>
    <mergeCell ref="K3886:L3886"/>
    <mergeCell ref="M3886:P3886"/>
    <mergeCell ref="C3887:E3887"/>
    <mergeCell ref="F3887:I3887"/>
    <mergeCell ref="J3887:K3887"/>
    <mergeCell ref="L3887:P3887"/>
    <mergeCell ref="C3888:E3888"/>
    <mergeCell ref="F3888:P3888"/>
    <mergeCell ref="F3891:G3891"/>
    <mergeCell ref="H3891:I3891"/>
    <mergeCell ref="J3891:K3891"/>
    <mergeCell ref="L3891:M3891"/>
    <mergeCell ref="N3891:O3891"/>
    <mergeCell ref="F3892:O3892"/>
    <mergeCell ref="D3896:E3896"/>
    <mergeCell ref="F3896:K3896"/>
    <mergeCell ref="D3897:E3897"/>
    <mergeCell ref="D3898:E3898"/>
    <mergeCell ref="D3899:E3899"/>
    <mergeCell ref="D3900:E3900"/>
    <mergeCell ref="D3901:E3901"/>
    <mergeCell ref="D3902:E3902"/>
    <mergeCell ref="D3903:E3903"/>
    <mergeCell ref="D3904:E3904"/>
    <mergeCell ref="D3905:E3905"/>
    <mergeCell ref="D3906:E3906"/>
    <mergeCell ref="D3907:M3907"/>
    <mergeCell ref="E3908:M3908"/>
    <mergeCell ref="C3915:P3915"/>
    <mergeCell ref="C3917:P3917"/>
    <mergeCell ref="D3919:E3919"/>
    <mergeCell ref="F3919:M3919"/>
    <mergeCell ref="N3919:O3919"/>
    <mergeCell ref="E3920:G3920"/>
    <mergeCell ref="I3920:L3920"/>
    <mergeCell ref="N3920:O3920"/>
    <mergeCell ref="D3921:O3921"/>
    <mergeCell ref="D3922:L3922"/>
    <mergeCell ref="N3922:O3922"/>
    <mergeCell ref="E3928:F3928"/>
    <mergeCell ref="M3928:O3928"/>
    <mergeCell ref="E3929:F3929"/>
    <mergeCell ref="M3929:O3929"/>
    <mergeCell ref="C3936:P3936"/>
    <mergeCell ref="C3938:P3938"/>
    <mergeCell ref="C3940:E3940"/>
    <mergeCell ref="F3940:P3940"/>
    <mergeCell ref="C3941:E3941"/>
    <mergeCell ref="F3941:G3941"/>
    <mergeCell ref="H3941:I3941"/>
    <mergeCell ref="L3941:P3941"/>
    <mergeCell ref="C3942:E3942"/>
    <mergeCell ref="F3942:K3942"/>
    <mergeCell ref="L3942:M3942"/>
    <mergeCell ref="N3942:P3942"/>
    <mergeCell ref="C3943:E3943"/>
    <mergeCell ref="F3943:G3943"/>
    <mergeCell ref="I3943:J3943"/>
    <mergeCell ref="K3943:L3943"/>
    <mergeCell ref="M3943:P3943"/>
    <mergeCell ref="C3944:E3944"/>
    <mergeCell ref="F3944:I3944"/>
    <mergeCell ref="J3944:K3944"/>
    <mergeCell ref="L3944:P3944"/>
    <mergeCell ref="C3945:E3945"/>
    <mergeCell ref="F3945:P3945"/>
    <mergeCell ref="F3948:G3948"/>
    <mergeCell ref="H3948:I3948"/>
    <mergeCell ref="J3948:K3948"/>
    <mergeCell ref="L3948:M3948"/>
    <mergeCell ref="N3948:O3948"/>
    <mergeCell ref="F3949:O3949"/>
    <mergeCell ref="D3953:E3953"/>
    <mergeCell ref="F3953:K3953"/>
    <mergeCell ref="D3954:E3954"/>
    <mergeCell ref="D3955:E3955"/>
    <mergeCell ref="D3956:E3956"/>
    <mergeCell ref="D3957:E3957"/>
    <mergeCell ref="D3958:E3958"/>
    <mergeCell ref="D3959:E3959"/>
    <mergeCell ref="D3960:E3960"/>
    <mergeCell ref="D3961:E3961"/>
    <mergeCell ref="D3962:E3962"/>
    <mergeCell ref="D3963:E3963"/>
    <mergeCell ref="D3964:M3964"/>
    <mergeCell ref="E3965:M3965"/>
    <mergeCell ref="C3972:P3972"/>
    <mergeCell ref="C3974:P3974"/>
    <mergeCell ref="D3976:E3976"/>
    <mergeCell ref="F3976:M3976"/>
    <mergeCell ref="N3976:O3976"/>
    <mergeCell ref="E3977:G3977"/>
    <mergeCell ref="I3977:L3977"/>
    <mergeCell ref="N3977:O3977"/>
    <mergeCell ref="D3978:O3978"/>
    <mergeCell ref="D3979:L3979"/>
    <mergeCell ref="N3979:O3979"/>
    <mergeCell ref="E3985:F3985"/>
    <mergeCell ref="M3985:O3985"/>
    <mergeCell ref="E3986:F3986"/>
    <mergeCell ref="M3986:O3986"/>
    <mergeCell ref="C3993:P3993"/>
    <mergeCell ref="C3995:P3995"/>
    <mergeCell ref="C3997:E3997"/>
    <mergeCell ref="F3997:P3997"/>
    <mergeCell ref="C3998:E3998"/>
    <mergeCell ref="F3998:G3998"/>
    <mergeCell ref="H3998:I3998"/>
    <mergeCell ref="L3998:P3998"/>
    <mergeCell ref="C3999:E3999"/>
    <mergeCell ref="F3999:K3999"/>
    <mergeCell ref="L3999:M3999"/>
    <mergeCell ref="N3999:P3999"/>
    <mergeCell ref="C4000:E4000"/>
    <mergeCell ref="F4000:G4000"/>
    <mergeCell ref="I4000:J4000"/>
    <mergeCell ref="K4000:L4000"/>
    <mergeCell ref="M4000:P4000"/>
    <mergeCell ref="C4001:E4001"/>
    <mergeCell ref="F4001:I4001"/>
    <mergeCell ref="J4001:K4001"/>
    <mergeCell ref="L4001:P4001"/>
    <mergeCell ref="C4002:E4002"/>
    <mergeCell ref="F4002:P4002"/>
    <mergeCell ref="F4005:G4005"/>
    <mergeCell ref="H4005:I4005"/>
    <mergeCell ref="J4005:K4005"/>
    <mergeCell ref="L4005:M4005"/>
    <mergeCell ref="N4005:O4005"/>
    <mergeCell ref="F4006:O4006"/>
    <mergeCell ref="D4010:E4010"/>
    <mergeCell ref="F4010:K4010"/>
    <mergeCell ref="D4011:E4011"/>
    <mergeCell ref="D4012:E4012"/>
    <mergeCell ref="D4013:E4013"/>
    <mergeCell ref="D4014:E4014"/>
    <mergeCell ref="D4015:E4015"/>
    <mergeCell ref="D4016:E4016"/>
    <mergeCell ref="D4017:E4017"/>
    <mergeCell ref="D4018:E4018"/>
    <mergeCell ref="D4019:E4019"/>
    <mergeCell ref="D4020:E4020"/>
    <mergeCell ref="D4021:M4021"/>
    <mergeCell ref="E4022:M4022"/>
    <mergeCell ref="C4029:P4029"/>
    <mergeCell ref="C4031:P4031"/>
    <mergeCell ref="D4033:E4033"/>
    <mergeCell ref="F4033:M4033"/>
    <mergeCell ref="N4033:O4033"/>
    <mergeCell ref="E4034:G4034"/>
    <mergeCell ref="I4034:L4034"/>
    <mergeCell ref="N4034:O4034"/>
    <mergeCell ref="D4035:O4035"/>
    <mergeCell ref="D4036:L4036"/>
    <mergeCell ref="N4036:O4036"/>
    <mergeCell ref="E4042:F4042"/>
    <mergeCell ref="M4042:O4042"/>
    <mergeCell ref="E4043:F4043"/>
    <mergeCell ref="M4043:O4043"/>
    <mergeCell ref="C4050:P4050"/>
    <mergeCell ref="C4052:P4052"/>
    <mergeCell ref="C4054:E4054"/>
    <mergeCell ref="F4054:P4054"/>
    <mergeCell ref="C4055:E4055"/>
    <mergeCell ref="F4055:G4055"/>
    <mergeCell ref="H4055:I4055"/>
    <mergeCell ref="L4055:P4055"/>
    <mergeCell ref="C4056:E4056"/>
    <mergeCell ref="F4056:K4056"/>
    <mergeCell ref="L4056:M4056"/>
    <mergeCell ref="N4056:P4056"/>
    <mergeCell ref="C4057:E4057"/>
    <mergeCell ref="F4057:G4057"/>
    <mergeCell ref="I4057:J4057"/>
    <mergeCell ref="K4057:L4057"/>
    <mergeCell ref="M4057:P4057"/>
    <mergeCell ref="C4058:E4058"/>
    <mergeCell ref="F4058:I4058"/>
    <mergeCell ref="J4058:K4058"/>
    <mergeCell ref="L4058:P4058"/>
    <mergeCell ref="C4059:E4059"/>
    <mergeCell ref="F4059:P4059"/>
    <mergeCell ref="F4062:G4062"/>
    <mergeCell ref="H4062:I4062"/>
    <mergeCell ref="J4062:K4062"/>
    <mergeCell ref="L4062:M4062"/>
    <mergeCell ref="N4062:O4062"/>
    <mergeCell ref="F4063:O4063"/>
    <mergeCell ref="D4067:E4067"/>
    <mergeCell ref="F4067:K4067"/>
    <mergeCell ref="D4068:E4068"/>
    <mergeCell ref="D4069:E4069"/>
    <mergeCell ref="D4070:E4070"/>
    <mergeCell ref="D4071:E4071"/>
    <mergeCell ref="D4072:E4072"/>
    <mergeCell ref="D4073:E4073"/>
    <mergeCell ref="D4074:E4074"/>
    <mergeCell ref="D4075:E4075"/>
    <mergeCell ref="D4076:E4076"/>
    <mergeCell ref="D4077:E4077"/>
    <mergeCell ref="D4078:M4078"/>
    <mergeCell ref="E4079:M4079"/>
    <mergeCell ref="C4086:P4086"/>
    <mergeCell ref="C4088:P4088"/>
    <mergeCell ref="D4090:E4090"/>
    <mergeCell ref="F4090:M4090"/>
    <mergeCell ref="N4090:O4090"/>
    <mergeCell ref="E4091:G4091"/>
    <mergeCell ref="I4091:L4091"/>
    <mergeCell ref="N4091:O4091"/>
    <mergeCell ref="D4092:O4092"/>
    <mergeCell ref="D4093:L4093"/>
    <mergeCell ref="N4093:O4093"/>
    <mergeCell ref="E4099:F4099"/>
    <mergeCell ref="M4099:O4099"/>
    <mergeCell ref="E4100:F4100"/>
    <mergeCell ref="M4100:O4100"/>
    <mergeCell ref="C4107:P4107"/>
    <mergeCell ref="C4109:P4109"/>
    <mergeCell ref="C4111:E4111"/>
    <mergeCell ref="F4111:P4111"/>
    <mergeCell ref="C4112:E4112"/>
    <mergeCell ref="F4112:G4112"/>
    <mergeCell ref="H4112:I4112"/>
    <mergeCell ref="L4112:P4112"/>
    <mergeCell ref="C4113:E4113"/>
    <mergeCell ref="F4113:K4113"/>
    <mergeCell ref="L4113:M4113"/>
    <mergeCell ref="N4113:P4113"/>
    <mergeCell ref="C4114:E4114"/>
    <mergeCell ref="F4114:G4114"/>
    <mergeCell ref="I4114:J4114"/>
    <mergeCell ref="K4114:L4114"/>
    <mergeCell ref="M4114:P4114"/>
    <mergeCell ref="C4115:E4115"/>
    <mergeCell ref="F4115:I4115"/>
    <mergeCell ref="J4115:K4115"/>
    <mergeCell ref="L4115:P4115"/>
    <mergeCell ref="C4116:E4116"/>
    <mergeCell ref="F4116:P4116"/>
    <mergeCell ref="F4119:G4119"/>
    <mergeCell ref="H4119:I4119"/>
    <mergeCell ref="J4119:K4119"/>
    <mergeCell ref="L4119:M4119"/>
    <mergeCell ref="N4119:O4119"/>
    <mergeCell ref="F4120:O4120"/>
    <mergeCell ref="D4124:E4124"/>
    <mergeCell ref="F4124:K4124"/>
    <mergeCell ref="D4125:E4125"/>
    <mergeCell ref="D4126:E4126"/>
    <mergeCell ref="D4127:E4127"/>
    <mergeCell ref="D4128:E4128"/>
    <mergeCell ref="D4129:E4129"/>
    <mergeCell ref="D4130:E4130"/>
    <mergeCell ref="D4131:E4131"/>
    <mergeCell ref="D4132:E4132"/>
    <mergeCell ref="D4133:E4133"/>
    <mergeCell ref="D4134:E4134"/>
    <mergeCell ref="D4135:M4135"/>
    <mergeCell ref="E4136:M4136"/>
    <mergeCell ref="C4143:P4143"/>
    <mergeCell ref="C4145:P4145"/>
    <mergeCell ref="D4147:E4147"/>
    <mergeCell ref="F4147:M4147"/>
    <mergeCell ref="N4147:O4147"/>
    <mergeCell ref="E4148:G4148"/>
    <mergeCell ref="I4148:L4148"/>
    <mergeCell ref="N4148:O4148"/>
    <mergeCell ref="D4149:O4149"/>
    <mergeCell ref="D4150:L4150"/>
    <mergeCell ref="N4150:O4150"/>
    <mergeCell ref="E4156:F4156"/>
    <mergeCell ref="M4156:O4156"/>
    <mergeCell ref="E4157:F4157"/>
    <mergeCell ref="M4157:O4157"/>
    <mergeCell ref="C4164:P4164"/>
    <mergeCell ref="C4166:P4166"/>
    <mergeCell ref="C4168:E4168"/>
    <mergeCell ref="F4168:P4168"/>
    <mergeCell ref="C4169:E4169"/>
    <mergeCell ref="F4169:G4169"/>
    <mergeCell ref="H4169:I4169"/>
    <mergeCell ref="L4169:P4169"/>
    <mergeCell ref="C4170:E4170"/>
    <mergeCell ref="F4170:K4170"/>
    <mergeCell ref="L4170:M4170"/>
    <mergeCell ref="N4170:P4170"/>
    <mergeCell ref="C4171:E4171"/>
    <mergeCell ref="F4171:G4171"/>
    <mergeCell ref="I4171:J4171"/>
    <mergeCell ref="K4171:L4171"/>
    <mergeCell ref="M4171:P4171"/>
    <mergeCell ref="C4172:E4172"/>
    <mergeCell ref="F4172:I4172"/>
    <mergeCell ref="J4172:K4172"/>
    <mergeCell ref="L4172:P4172"/>
    <mergeCell ref="C4173:E4173"/>
    <mergeCell ref="F4173:P4173"/>
    <mergeCell ref="F4176:G4176"/>
    <mergeCell ref="H4176:I4176"/>
    <mergeCell ref="J4176:K4176"/>
    <mergeCell ref="L4176:M4176"/>
    <mergeCell ref="N4176:O4176"/>
    <mergeCell ref="F4177:O4177"/>
    <mergeCell ref="D4181:E4181"/>
    <mergeCell ref="F4181:K4181"/>
    <mergeCell ref="D4182:E4182"/>
    <mergeCell ref="D4183:E4183"/>
    <mergeCell ref="D4184:E4184"/>
    <mergeCell ref="D4185:E4185"/>
    <mergeCell ref="D4186:E4186"/>
    <mergeCell ref="D4187:E4187"/>
    <mergeCell ref="D4188:E4188"/>
    <mergeCell ref="D4189:E4189"/>
    <mergeCell ref="D4190:E4190"/>
    <mergeCell ref="D4191:E4191"/>
    <mergeCell ref="D4192:M4192"/>
    <mergeCell ref="E4193:M4193"/>
    <mergeCell ref="C4200:P4200"/>
    <mergeCell ref="C4202:P4202"/>
    <mergeCell ref="D4204:E4204"/>
    <mergeCell ref="F4204:M4204"/>
    <mergeCell ref="N4204:O4204"/>
    <mergeCell ref="E4205:G4205"/>
    <mergeCell ref="I4205:L4205"/>
    <mergeCell ref="N4205:O4205"/>
    <mergeCell ref="D4206:O4206"/>
    <mergeCell ref="D4207:L4207"/>
    <mergeCell ref="N4207:O4207"/>
    <mergeCell ref="E4213:F4213"/>
    <mergeCell ref="M4213:O4213"/>
    <mergeCell ref="E4214:F4214"/>
    <mergeCell ref="M4214:O4214"/>
    <mergeCell ref="C4221:P4221"/>
    <mergeCell ref="C4223:P4223"/>
    <mergeCell ref="C4225:E4225"/>
    <mergeCell ref="F4225:P4225"/>
    <mergeCell ref="C4226:E4226"/>
    <mergeCell ref="F4226:G4226"/>
    <mergeCell ref="H4226:I4226"/>
    <mergeCell ref="L4226:P4226"/>
    <mergeCell ref="C4227:E4227"/>
    <mergeCell ref="F4227:K4227"/>
    <mergeCell ref="L4227:M4227"/>
    <mergeCell ref="N4227:P4227"/>
    <mergeCell ref="C4228:E4228"/>
    <mergeCell ref="F4228:G4228"/>
    <mergeCell ref="I4228:J4228"/>
    <mergeCell ref="K4228:L4228"/>
    <mergeCell ref="M4228:P4228"/>
    <mergeCell ref="C4229:E4229"/>
    <mergeCell ref="F4229:I4229"/>
    <mergeCell ref="J4229:K4229"/>
    <mergeCell ref="L4229:P4229"/>
    <mergeCell ref="C4230:E4230"/>
    <mergeCell ref="F4230:P4230"/>
    <mergeCell ref="F4233:G4233"/>
    <mergeCell ref="H4233:I4233"/>
    <mergeCell ref="J4233:K4233"/>
    <mergeCell ref="L4233:M4233"/>
    <mergeCell ref="N4233:O4233"/>
    <mergeCell ref="F4234:O4234"/>
    <mergeCell ref="D4238:E4238"/>
    <mergeCell ref="F4238:K4238"/>
    <mergeCell ref="D4239:E4239"/>
    <mergeCell ref="D4240:E4240"/>
    <mergeCell ref="D4241:E4241"/>
    <mergeCell ref="D4242:E4242"/>
    <mergeCell ref="D4243:E4243"/>
    <mergeCell ref="D4244:E4244"/>
    <mergeCell ref="D4245:E4245"/>
    <mergeCell ref="D4246:E4246"/>
    <mergeCell ref="D4247:E4247"/>
    <mergeCell ref="D4248:E4248"/>
    <mergeCell ref="D4249:M4249"/>
    <mergeCell ref="E4250:M4250"/>
    <mergeCell ref="C4257:P4257"/>
    <mergeCell ref="C4259:P4259"/>
    <mergeCell ref="D4261:E4261"/>
    <mergeCell ref="F4261:M4261"/>
    <mergeCell ref="N4261:O4261"/>
    <mergeCell ref="E4262:G4262"/>
    <mergeCell ref="I4262:L4262"/>
    <mergeCell ref="N4262:O4262"/>
    <mergeCell ref="D4263:O4263"/>
    <mergeCell ref="D4264:L4264"/>
    <mergeCell ref="N4264:O4264"/>
    <mergeCell ref="E4270:F4270"/>
    <mergeCell ref="M4270:O4270"/>
    <mergeCell ref="E4271:F4271"/>
    <mergeCell ref="M4271:O4271"/>
    <mergeCell ref="C4278:P4278"/>
    <mergeCell ref="C4280:P4280"/>
    <mergeCell ref="C4282:E4282"/>
    <mergeCell ref="F4282:P4282"/>
    <mergeCell ref="C4283:E4283"/>
    <mergeCell ref="F4283:G4283"/>
    <mergeCell ref="H4283:I4283"/>
    <mergeCell ref="L4283:P4283"/>
    <mergeCell ref="C4284:E4284"/>
    <mergeCell ref="F4284:K4284"/>
    <mergeCell ref="L4284:M4284"/>
    <mergeCell ref="N4284:P4284"/>
    <mergeCell ref="C4285:E4285"/>
    <mergeCell ref="F4285:G4285"/>
    <mergeCell ref="I4285:J4285"/>
    <mergeCell ref="K4285:L4285"/>
    <mergeCell ref="M4285:P4285"/>
    <mergeCell ref="C4286:E4286"/>
    <mergeCell ref="F4286:I4286"/>
    <mergeCell ref="J4286:K4286"/>
    <mergeCell ref="L4286:P4286"/>
    <mergeCell ref="C4287:E4287"/>
    <mergeCell ref="F4287:P4287"/>
    <mergeCell ref="F4290:G4290"/>
    <mergeCell ref="H4290:I4290"/>
    <mergeCell ref="J4290:K4290"/>
    <mergeCell ref="L4290:M4290"/>
    <mergeCell ref="N4290:O4290"/>
    <mergeCell ref="F4291:O4291"/>
    <mergeCell ref="D4295:E4295"/>
    <mergeCell ref="F4295:K4295"/>
    <mergeCell ref="D4296:E4296"/>
    <mergeCell ref="D4297:E4297"/>
    <mergeCell ref="D4298:E4298"/>
    <mergeCell ref="D4299:E4299"/>
    <mergeCell ref="D4300:E4300"/>
    <mergeCell ref="D4301:E4301"/>
    <mergeCell ref="D4302:E4302"/>
    <mergeCell ref="D4303:E4303"/>
    <mergeCell ref="D4304:E4304"/>
    <mergeCell ref="D4305:E4305"/>
    <mergeCell ref="D4306:M4306"/>
    <mergeCell ref="E4307:M4307"/>
    <mergeCell ref="C4314:P4314"/>
    <mergeCell ref="C4316:P4316"/>
    <mergeCell ref="D4318:E4318"/>
    <mergeCell ref="F4318:M4318"/>
    <mergeCell ref="N4318:O4318"/>
    <mergeCell ref="E4319:G4319"/>
    <mergeCell ref="I4319:L4319"/>
    <mergeCell ref="N4319:O4319"/>
    <mergeCell ref="D4320:O4320"/>
    <mergeCell ref="D4321:L4321"/>
    <mergeCell ref="N4321:O4321"/>
    <mergeCell ref="E4327:F4327"/>
    <mergeCell ref="M4327:O4327"/>
    <mergeCell ref="E4328:F4328"/>
    <mergeCell ref="M4328:O4328"/>
    <mergeCell ref="C4335:P4335"/>
    <mergeCell ref="C4337:P4337"/>
    <mergeCell ref="C4339:E4339"/>
    <mergeCell ref="F4339:P4339"/>
    <mergeCell ref="C4340:E4340"/>
    <mergeCell ref="F4340:G4340"/>
    <mergeCell ref="H4340:I4340"/>
    <mergeCell ref="L4340:P4340"/>
    <mergeCell ref="C4341:E4341"/>
    <mergeCell ref="F4341:K4341"/>
    <mergeCell ref="L4341:M4341"/>
    <mergeCell ref="N4341:P4341"/>
    <mergeCell ref="C4342:E4342"/>
    <mergeCell ref="F4342:G4342"/>
    <mergeCell ref="I4342:J4342"/>
    <mergeCell ref="K4342:L4342"/>
    <mergeCell ref="M4342:P4342"/>
    <mergeCell ref="C4343:E4343"/>
    <mergeCell ref="F4343:I4343"/>
    <mergeCell ref="J4343:K4343"/>
    <mergeCell ref="L4343:P4343"/>
    <mergeCell ref="C4344:E4344"/>
    <mergeCell ref="F4344:P4344"/>
    <mergeCell ref="F4347:G4347"/>
    <mergeCell ref="H4347:I4347"/>
    <mergeCell ref="J4347:K4347"/>
    <mergeCell ref="L4347:M4347"/>
    <mergeCell ref="N4347:O4347"/>
    <mergeCell ref="F4348:O4348"/>
    <mergeCell ref="D4352:E4352"/>
    <mergeCell ref="F4352:K4352"/>
    <mergeCell ref="D4353:E4353"/>
    <mergeCell ref="D4354:E4354"/>
    <mergeCell ref="D4355:E4355"/>
    <mergeCell ref="D4356:E4356"/>
    <mergeCell ref="D4357:E4357"/>
    <mergeCell ref="D4358:E4358"/>
    <mergeCell ref="D4359:E4359"/>
    <mergeCell ref="D4360:E4360"/>
    <mergeCell ref="D4361:E4361"/>
    <mergeCell ref="D4362:E4362"/>
    <mergeCell ref="D4363:M4363"/>
    <mergeCell ref="E4364:M4364"/>
    <mergeCell ref="C4371:P4371"/>
    <mergeCell ref="C4373:P4373"/>
    <mergeCell ref="D4375:E4375"/>
    <mergeCell ref="F4375:M4375"/>
    <mergeCell ref="N4375:O4375"/>
    <mergeCell ref="E4376:G4376"/>
    <mergeCell ref="I4376:L4376"/>
    <mergeCell ref="N4376:O4376"/>
    <mergeCell ref="D4377:O4377"/>
    <mergeCell ref="D4378:L4378"/>
    <mergeCell ref="N4378:O4378"/>
    <mergeCell ref="E4384:F4384"/>
    <mergeCell ref="M4384:O4384"/>
    <mergeCell ref="E4385:F4385"/>
    <mergeCell ref="M4385:O4385"/>
    <mergeCell ref="C4392:P4392"/>
    <mergeCell ref="C4394:P4394"/>
    <mergeCell ref="C4396:E4396"/>
    <mergeCell ref="F4396:P4396"/>
    <mergeCell ref="C4397:E4397"/>
    <mergeCell ref="F4397:G4397"/>
    <mergeCell ref="H4397:I4397"/>
    <mergeCell ref="L4397:P4397"/>
    <mergeCell ref="C4398:E4398"/>
    <mergeCell ref="F4398:K4398"/>
    <mergeCell ref="L4398:M4398"/>
    <mergeCell ref="N4398:P4398"/>
    <mergeCell ref="C4399:E4399"/>
    <mergeCell ref="F4399:G4399"/>
    <mergeCell ref="I4399:J4399"/>
    <mergeCell ref="K4399:L4399"/>
    <mergeCell ref="M4399:P4399"/>
    <mergeCell ref="C4400:E4400"/>
    <mergeCell ref="F4400:I4400"/>
    <mergeCell ref="J4400:K4400"/>
    <mergeCell ref="L4400:P4400"/>
    <mergeCell ref="C4401:E4401"/>
    <mergeCell ref="F4401:P4401"/>
    <mergeCell ref="F4404:G4404"/>
    <mergeCell ref="H4404:I4404"/>
    <mergeCell ref="J4404:K4404"/>
    <mergeCell ref="L4404:M4404"/>
    <mergeCell ref="N4404:O4404"/>
    <mergeCell ref="F4405:O4405"/>
    <mergeCell ref="D4409:E4409"/>
    <mergeCell ref="F4409:K4409"/>
    <mergeCell ref="D4410:E4410"/>
    <mergeCell ref="D4411:E4411"/>
    <mergeCell ref="D4412:E4412"/>
    <mergeCell ref="D4413:E4413"/>
    <mergeCell ref="D4414:E4414"/>
    <mergeCell ref="D4415:E4415"/>
    <mergeCell ref="D4416:E4416"/>
    <mergeCell ref="D4417:E4417"/>
    <mergeCell ref="D4418:E4418"/>
    <mergeCell ref="D4419:E4419"/>
    <mergeCell ref="D4420:M4420"/>
    <mergeCell ref="E4421:M4421"/>
    <mergeCell ref="C4428:P4428"/>
    <mergeCell ref="C4430:P4430"/>
    <mergeCell ref="D4432:E4432"/>
    <mergeCell ref="F4432:M4432"/>
    <mergeCell ref="N4432:O4432"/>
    <mergeCell ref="E4433:G4433"/>
    <mergeCell ref="I4433:L4433"/>
    <mergeCell ref="N4433:O4433"/>
    <mergeCell ref="D4434:O4434"/>
    <mergeCell ref="D4435:L4435"/>
    <mergeCell ref="N4435:O4435"/>
    <mergeCell ref="E4441:F4441"/>
    <mergeCell ref="M4441:O4441"/>
    <mergeCell ref="E4442:F4442"/>
    <mergeCell ref="M4442:O4442"/>
    <mergeCell ref="C4449:P4449"/>
    <mergeCell ref="C4451:P4451"/>
    <mergeCell ref="C4453:E4453"/>
    <mergeCell ref="F4453:P4453"/>
    <mergeCell ref="C4454:E4454"/>
    <mergeCell ref="F4454:G4454"/>
    <mergeCell ref="H4454:I4454"/>
    <mergeCell ref="L4454:P4454"/>
    <mergeCell ref="C4455:E4455"/>
    <mergeCell ref="F4455:K4455"/>
    <mergeCell ref="L4455:M4455"/>
    <mergeCell ref="N4455:P4455"/>
    <mergeCell ref="C4456:E4456"/>
    <mergeCell ref="F4456:G4456"/>
    <mergeCell ref="I4456:J4456"/>
    <mergeCell ref="K4456:L4456"/>
    <mergeCell ref="M4456:P4456"/>
    <mergeCell ref="C4457:E4457"/>
    <mergeCell ref="F4457:I4457"/>
    <mergeCell ref="J4457:K4457"/>
    <mergeCell ref="L4457:P4457"/>
    <mergeCell ref="C4458:E4458"/>
    <mergeCell ref="F4458:P4458"/>
    <mergeCell ref="F4461:G4461"/>
    <mergeCell ref="H4461:I4461"/>
    <mergeCell ref="J4461:K4461"/>
    <mergeCell ref="L4461:M4461"/>
    <mergeCell ref="N4461:O4461"/>
    <mergeCell ref="F4462:O4462"/>
    <mergeCell ref="D4466:E4466"/>
    <mergeCell ref="F4466:K4466"/>
    <mergeCell ref="D4467:E4467"/>
    <mergeCell ref="D4468:E4468"/>
    <mergeCell ref="D4469:E4469"/>
    <mergeCell ref="D4470:E4470"/>
    <mergeCell ref="D4471:E4471"/>
    <mergeCell ref="D4472:E4472"/>
    <mergeCell ref="D4473:E4473"/>
    <mergeCell ref="D4474:E4474"/>
    <mergeCell ref="D4475:E4475"/>
    <mergeCell ref="D4476:E4476"/>
    <mergeCell ref="D4477:M4477"/>
    <mergeCell ref="E4478:M4478"/>
    <mergeCell ref="C4485:P4485"/>
    <mergeCell ref="C4487:P4487"/>
    <mergeCell ref="D4489:E4489"/>
    <mergeCell ref="F4489:M4489"/>
    <mergeCell ref="N4489:O4489"/>
    <mergeCell ref="E4490:G4490"/>
    <mergeCell ref="I4490:L4490"/>
    <mergeCell ref="N4490:O4490"/>
    <mergeCell ref="D4491:O4491"/>
    <mergeCell ref="D4492:L4492"/>
    <mergeCell ref="N4492:O4492"/>
    <mergeCell ref="E4498:F4498"/>
    <mergeCell ref="M4498:O4498"/>
    <mergeCell ref="E4499:F4499"/>
    <mergeCell ref="M4499:O4499"/>
    <mergeCell ref="C4506:P4506"/>
    <mergeCell ref="C4508:P4508"/>
    <mergeCell ref="C4510:E4510"/>
    <mergeCell ref="F4510:P4510"/>
    <mergeCell ref="C4511:E4511"/>
    <mergeCell ref="F4511:G4511"/>
    <mergeCell ref="H4511:I4511"/>
    <mergeCell ref="L4511:P4511"/>
    <mergeCell ref="C4512:E4512"/>
    <mergeCell ref="F4512:K4512"/>
    <mergeCell ref="L4512:M4512"/>
    <mergeCell ref="N4512:P4512"/>
    <mergeCell ref="C4513:E4513"/>
    <mergeCell ref="F4513:G4513"/>
    <mergeCell ref="I4513:J4513"/>
    <mergeCell ref="K4513:L4513"/>
    <mergeCell ref="M4513:P4513"/>
    <mergeCell ref="C4514:E4514"/>
    <mergeCell ref="F4514:I4514"/>
    <mergeCell ref="J4514:K4514"/>
    <mergeCell ref="L4514:P4514"/>
    <mergeCell ref="C4515:E4515"/>
    <mergeCell ref="F4515:P4515"/>
    <mergeCell ref="F4518:G4518"/>
    <mergeCell ref="H4518:I4518"/>
    <mergeCell ref="J4518:K4518"/>
    <mergeCell ref="L4518:M4518"/>
    <mergeCell ref="N4518:O4518"/>
    <mergeCell ref="F4519:O4519"/>
    <mergeCell ref="D4523:E4523"/>
    <mergeCell ref="F4523:K4523"/>
    <mergeCell ref="D4524:E4524"/>
    <mergeCell ref="D4525:E4525"/>
    <mergeCell ref="D4526:E4526"/>
    <mergeCell ref="D4527:E4527"/>
    <mergeCell ref="D4528:E4528"/>
    <mergeCell ref="D4529:E4529"/>
    <mergeCell ref="D4530:E4530"/>
    <mergeCell ref="D4531:E4531"/>
    <mergeCell ref="D4532:E4532"/>
    <mergeCell ref="D4533:E4533"/>
    <mergeCell ref="D4534:M4534"/>
    <mergeCell ref="E4535:M4535"/>
    <mergeCell ref="C4542:P4542"/>
    <mergeCell ref="C4544:P4544"/>
    <mergeCell ref="D4546:E4546"/>
    <mergeCell ref="F4546:M4546"/>
    <mergeCell ref="N4546:O4546"/>
    <mergeCell ref="E4547:G4547"/>
    <mergeCell ref="I4547:L4547"/>
    <mergeCell ref="N4547:O4547"/>
    <mergeCell ref="D4548:O4548"/>
    <mergeCell ref="D4549:L4549"/>
    <mergeCell ref="N4549:O4549"/>
    <mergeCell ref="E4555:F4555"/>
    <mergeCell ref="M4555:O4555"/>
    <mergeCell ref="E4556:F4556"/>
    <mergeCell ref="M4556:O4556"/>
    <mergeCell ref="C4563:P4563"/>
    <mergeCell ref="C4565:P4565"/>
    <mergeCell ref="C4567:E4567"/>
    <mergeCell ref="F4567:P4567"/>
    <mergeCell ref="C4568:E4568"/>
    <mergeCell ref="F4568:G4568"/>
    <mergeCell ref="H4568:I4568"/>
    <mergeCell ref="L4568:P4568"/>
    <mergeCell ref="C4569:E4569"/>
    <mergeCell ref="F4569:K4569"/>
    <mergeCell ref="L4569:M4569"/>
    <mergeCell ref="N4569:P4569"/>
    <mergeCell ref="C4570:E4570"/>
    <mergeCell ref="F4570:G4570"/>
    <mergeCell ref="I4570:J4570"/>
    <mergeCell ref="K4570:L4570"/>
    <mergeCell ref="M4570:P4570"/>
    <mergeCell ref="C4571:E4571"/>
    <mergeCell ref="F4571:I4571"/>
    <mergeCell ref="J4571:K4571"/>
    <mergeCell ref="L4571:P4571"/>
    <mergeCell ref="C4572:E4572"/>
    <mergeCell ref="F4572:P4572"/>
    <mergeCell ref="F4575:G4575"/>
    <mergeCell ref="H4575:I4575"/>
    <mergeCell ref="J4575:K4575"/>
    <mergeCell ref="L4575:M4575"/>
    <mergeCell ref="N4575:O4575"/>
    <mergeCell ref="F4576:O4576"/>
    <mergeCell ref="D4580:E4580"/>
    <mergeCell ref="F4580:K4580"/>
    <mergeCell ref="D4581:E4581"/>
    <mergeCell ref="D4582:E4582"/>
    <mergeCell ref="D4583:E4583"/>
    <mergeCell ref="D4584:E4584"/>
    <mergeCell ref="D4585:E4585"/>
    <mergeCell ref="D4586:E4586"/>
    <mergeCell ref="D4587:E4587"/>
    <mergeCell ref="D4588:E4588"/>
    <mergeCell ref="D4589:E4589"/>
    <mergeCell ref="D4590:E4590"/>
    <mergeCell ref="D4591:M4591"/>
    <mergeCell ref="E4592:M4592"/>
    <mergeCell ref="C4599:P4599"/>
    <mergeCell ref="C4601:P4601"/>
    <mergeCell ref="D4603:E4603"/>
    <mergeCell ref="F4603:M4603"/>
    <mergeCell ref="N4603:O4603"/>
    <mergeCell ref="E4604:G4604"/>
    <mergeCell ref="I4604:L4604"/>
    <mergeCell ref="N4604:O4604"/>
    <mergeCell ref="D4605:O4605"/>
    <mergeCell ref="D4606:L4606"/>
    <mergeCell ref="N4606:O4606"/>
    <mergeCell ref="E4612:F4612"/>
    <mergeCell ref="M4612:O4612"/>
    <mergeCell ref="E4613:F4613"/>
    <mergeCell ref="M4613:O4613"/>
    <mergeCell ref="C4620:P4620"/>
    <mergeCell ref="C4622:P4622"/>
    <mergeCell ref="C4624:E4624"/>
    <mergeCell ref="F4624:P4624"/>
    <mergeCell ref="C4625:E4625"/>
    <mergeCell ref="F4625:G4625"/>
    <mergeCell ref="H4625:I4625"/>
    <mergeCell ref="L4625:P4625"/>
    <mergeCell ref="C4626:E4626"/>
    <mergeCell ref="F4626:K4626"/>
    <mergeCell ref="L4626:M4626"/>
    <mergeCell ref="N4626:P4626"/>
    <mergeCell ref="C4627:E4627"/>
    <mergeCell ref="F4627:G4627"/>
    <mergeCell ref="I4627:J4627"/>
    <mergeCell ref="K4627:L4627"/>
    <mergeCell ref="M4627:P4627"/>
    <mergeCell ref="C4628:E4628"/>
    <mergeCell ref="F4628:I4628"/>
    <mergeCell ref="J4628:K4628"/>
    <mergeCell ref="L4628:P4628"/>
    <mergeCell ref="C4629:E4629"/>
    <mergeCell ref="F4629:P4629"/>
    <mergeCell ref="F4632:G4632"/>
    <mergeCell ref="H4632:I4632"/>
    <mergeCell ref="J4632:K4632"/>
    <mergeCell ref="L4632:M4632"/>
    <mergeCell ref="N4632:O4632"/>
    <mergeCell ref="F4633:O4633"/>
    <mergeCell ref="D4637:E4637"/>
    <mergeCell ref="F4637:K4637"/>
    <mergeCell ref="D4638:E4638"/>
    <mergeCell ref="D4639:E4639"/>
    <mergeCell ref="D4640:E4640"/>
    <mergeCell ref="D4641:E4641"/>
    <mergeCell ref="D4642:E4642"/>
    <mergeCell ref="D4643:E4643"/>
    <mergeCell ref="D4644:E4644"/>
    <mergeCell ref="D4645:E4645"/>
    <mergeCell ref="D4646:E4646"/>
    <mergeCell ref="D4647:E4647"/>
    <mergeCell ref="D4648:M4648"/>
    <mergeCell ref="E4649:M4649"/>
    <mergeCell ref="C4656:P4656"/>
    <mergeCell ref="C4658:P4658"/>
    <mergeCell ref="D4660:E4660"/>
    <mergeCell ref="F4660:M4660"/>
    <mergeCell ref="N4660:O4660"/>
    <mergeCell ref="E4661:G4661"/>
    <mergeCell ref="I4661:L4661"/>
    <mergeCell ref="N4661:O4661"/>
    <mergeCell ref="D4662:O4662"/>
    <mergeCell ref="D4663:L4663"/>
    <mergeCell ref="N4663:O4663"/>
    <mergeCell ref="E4669:F4669"/>
    <mergeCell ref="M4669:O4669"/>
    <mergeCell ref="E4670:F4670"/>
    <mergeCell ref="M4670:O4670"/>
    <mergeCell ref="C4677:P4677"/>
    <mergeCell ref="C4679:P4679"/>
    <mergeCell ref="C4681:E4681"/>
    <mergeCell ref="F4681:P4681"/>
    <mergeCell ref="C4682:E4682"/>
    <mergeCell ref="F4682:G4682"/>
    <mergeCell ref="H4682:I4682"/>
    <mergeCell ref="L4682:P4682"/>
    <mergeCell ref="C4683:E4683"/>
    <mergeCell ref="F4683:K4683"/>
    <mergeCell ref="L4683:M4683"/>
    <mergeCell ref="N4683:P4683"/>
    <mergeCell ref="C4684:E4684"/>
    <mergeCell ref="F4684:G4684"/>
    <mergeCell ref="I4684:J4684"/>
    <mergeCell ref="K4684:L4684"/>
    <mergeCell ref="M4684:P4684"/>
    <mergeCell ref="C4685:E4685"/>
    <mergeCell ref="F4685:I4685"/>
    <mergeCell ref="J4685:K4685"/>
    <mergeCell ref="L4685:P4685"/>
    <mergeCell ref="C4686:E4686"/>
    <mergeCell ref="F4686:P4686"/>
    <mergeCell ref="F4689:G4689"/>
    <mergeCell ref="H4689:I4689"/>
    <mergeCell ref="J4689:K4689"/>
    <mergeCell ref="L4689:M4689"/>
    <mergeCell ref="N4689:O4689"/>
    <mergeCell ref="F4690:O4690"/>
    <mergeCell ref="D4694:E4694"/>
    <mergeCell ref="F4694:K4694"/>
    <mergeCell ref="D4695:E4695"/>
    <mergeCell ref="D4696:E4696"/>
    <mergeCell ref="D4697:E4697"/>
    <mergeCell ref="D4698:E4698"/>
    <mergeCell ref="D4699:E4699"/>
    <mergeCell ref="D4700:E4700"/>
    <mergeCell ref="D4701:E4701"/>
    <mergeCell ref="D4702:E4702"/>
    <mergeCell ref="D4703:E4703"/>
    <mergeCell ref="D4704:E4704"/>
    <mergeCell ref="D4705:M4705"/>
    <mergeCell ref="E4706:M4706"/>
    <mergeCell ref="C4713:P4713"/>
    <mergeCell ref="C4715:P4715"/>
    <mergeCell ref="D4717:E4717"/>
    <mergeCell ref="F4717:M4717"/>
    <mergeCell ref="N4717:O4717"/>
    <mergeCell ref="E4718:G4718"/>
    <mergeCell ref="I4718:L4718"/>
    <mergeCell ref="N4718:O4718"/>
    <mergeCell ref="D4719:O4719"/>
    <mergeCell ref="D4720:L4720"/>
    <mergeCell ref="N4720:O4720"/>
    <mergeCell ref="E4726:F4726"/>
    <mergeCell ref="M4726:O4726"/>
    <mergeCell ref="E4727:F4727"/>
    <mergeCell ref="M4727:O4727"/>
    <mergeCell ref="C4734:P4734"/>
    <mergeCell ref="C4736:P4736"/>
    <mergeCell ref="C4738:E4738"/>
    <mergeCell ref="F4738:P4738"/>
    <mergeCell ref="C4739:E4739"/>
    <mergeCell ref="F4739:G4739"/>
    <mergeCell ref="H4739:I4739"/>
    <mergeCell ref="L4739:P4739"/>
    <mergeCell ref="C4740:E4740"/>
    <mergeCell ref="F4740:K4740"/>
    <mergeCell ref="L4740:M4740"/>
    <mergeCell ref="N4740:P4740"/>
    <mergeCell ref="C4741:E4741"/>
    <mergeCell ref="F4741:G4741"/>
    <mergeCell ref="I4741:J4741"/>
    <mergeCell ref="K4741:L4741"/>
    <mergeCell ref="M4741:P4741"/>
    <mergeCell ref="C4742:E4742"/>
    <mergeCell ref="F4742:I4742"/>
    <mergeCell ref="J4742:K4742"/>
    <mergeCell ref="L4742:P4742"/>
    <mergeCell ref="C4743:E4743"/>
    <mergeCell ref="F4743:P4743"/>
    <mergeCell ref="F4746:G4746"/>
    <mergeCell ref="H4746:I4746"/>
    <mergeCell ref="J4746:K4746"/>
    <mergeCell ref="L4746:M4746"/>
    <mergeCell ref="N4746:O4746"/>
    <mergeCell ref="F4747:O4747"/>
    <mergeCell ref="D4751:E4751"/>
    <mergeCell ref="F4751:K4751"/>
    <mergeCell ref="D4752:E4752"/>
    <mergeCell ref="D4753:E4753"/>
    <mergeCell ref="D4754:E4754"/>
    <mergeCell ref="D4755:E4755"/>
    <mergeCell ref="D4756:E4756"/>
    <mergeCell ref="D4757:E4757"/>
    <mergeCell ref="D4758:E4758"/>
    <mergeCell ref="D4759:E4759"/>
    <mergeCell ref="D4760:E4760"/>
    <mergeCell ref="D4761:E4761"/>
    <mergeCell ref="D4762:M4762"/>
    <mergeCell ref="E4763:M4763"/>
    <mergeCell ref="C4770:P4770"/>
    <mergeCell ref="C4772:P4772"/>
    <mergeCell ref="D4774:E4774"/>
    <mergeCell ref="F4774:M4774"/>
    <mergeCell ref="N4774:O4774"/>
    <mergeCell ref="E4775:G4775"/>
    <mergeCell ref="I4775:L4775"/>
    <mergeCell ref="N4775:O4775"/>
    <mergeCell ref="D4776:O4776"/>
    <mergeCell ref="D4777:L4777"/>
    <mergeCell ref="N4777:O4777"/>
    <mergeCell ref="E4783:F4783"/>
    <mergeCell ref="M4783:O4783"/>
    <mergeCell ref="E4784:F4784"/>
    <mergeCell ref="M4784:O4784"/>
    <mergeCell ref="C4791:P4791"/>
    <mergeCell ref="C4793:P4793"/>
    <mergeCell ref="C4795:E4795"/>
    <mergeCell ref="F4795:P4795"/>
    <mergeCell ref="C4796:E4796"/>
    <mergeCell ref="F4796:G4796"/>
    <mergeCell ref="H4796:I4796"/>
    <mergeCell ref="L4796:P4796"/>
    <mergeCell ref="C4797:E4797"/>
    <mergeCell ref="F4797:K4797"/>
    <mergeCell ref="L4797:M4797"/>
    <mergeCell ref="N4797:P4797"/>
    <mergeCell ref="C4798:E4798"/>
    <mergeCell ref="F4798:G4798"/>
    <mergeCell ref="I4798:J4798"/>
    <mergeCell ref="K4798:L4798"/>
    <mergeCell ref="M4798:P4798"/>
    <mergeCell ref="C4799:E4799"/>
    <mergeCell ref="F4799:I4799"/>
    <mergeCell ref="J4799:K4799"/>
    <mergeCell ref="L4799:P4799"/>
    <mergeCell ref="C4800:E4800"/>
    <mergeCell ref="F4800:P4800"/>
    <mergeCell ref="F4803:G4803"/>
    <mergeCell ref="H4803:I4803"/>
    <mergeCell ref="J4803:K4803"/>
    <mergeCell ref="L4803:M4803"/>
    <mergeCell ref="N4803:O4803"/>
    <mergeCell ref="F4804:O4804"/>
    <mergeCell ref="D4808:E4808"/>
    <mergeCell ref="F4808:K4808"/>
    <mergeCell ref="D4809:E4809"/>
    <mergeCell ref="D4810:E4810"/>
    <mergeCell ref="D4811:E4811"/>
    <mergeCell ref="D4812:E4812"/>
    <mergeCell ref="D4813:E4813"/>
    <mergeCell ref="D4814:E4814"/>
    <mergeCell ref="D4815:E4815"/>
    <mergeCell ref="D4816:E4816"/>
    <mergeCell ref="D4817:E4817"/>
    <mergeCell ref="D4818:E4818"/>
    <mergeCell ref="D4819:M4819"/>
    <mergeCell ref="E4820:M4820"/>
    <mergeCell ref="C4827:P4827"/>
    <mergeCell ref="C4829:P4829"/>
    <mergeCell ref="D4831:E4831"/>
    <mergeCell ref="F4831:M4831"/>
    <mergeCell ref="N4831:O4831"/>
    <mergeCell ref="E4832:G4832"/>
    <mergeCell ref="I4832:L4832"/>
    <mergeCell ref="N4832:O4832"/>
    <mergeCell ref="D4833:O4833"/>
    <mergeCell ref="D4834:L4834"/>
    <mergeCell ref="N4834:O4834"/>
    <mergeCell ref="E4840:F4840"/>
    <mergeCell ref="M4840:O4840"/>
    <mergeCell ref="E4841:F4841"/>
    <mergeCell ref="M4841:O4841"/>
    <mergeCell ref="C4848:P4848"/>
    <mergeCell ref="C4850:P4850"/>
    <mergeCell ref="C4852:E4852"/>
    <mergeCell ref="F4852:P4852"/>
    <mergeCell ref="C4853:E4853"/>
    <mergeCell ref="F4853:G4853"/>
    <mergeCell ref="H4853:I4853"/>
    <mergeCell ref="L4853:P4853"/>
    <mergeCell ref="C4854:E4854"/>
    <mergeCell ref="F4854:K4854"/>
    <mergeCell ref="L4854:M4854"/>
    <mergeCell ref="N4854:P4854"/>
    <mergeCell ref="C4855:E4855"/>
    <mergeCell ref="F4855:G4855"/>
    <mergeCell ref="I4855:J4855"/>
    <mergeCell ref="K4855:L4855"/>
    <mergeCell ref="M4855:P4855"/>
    <mergeCell ref="C4856:E4856"/>
    <mergeCell ref="F4856:I4856"/>
    <mergeCell ref="J4856:K4856"/>
    <mergeCell ref="L4856:P4856"/>
    <mergeCell ref="C4857:E4857"/>
    <mergeCell ref="F4857:P4857"/>
    <mergeCell ref="F4860:G4860"/>
    <mergeCell ref="H4860:I4860"/>
    <mergeCell ref="J4860:K4860"/>
    <mergeCell ref="L4860:M4860"/>
    <mergeCell ref="N4860:O4860"/>
    <mergeCell ref="F4861:O4861"/>
    <mergeCell ref="D4865:E4865"/>
    <mergeCell ref="F4865:K4865"/>
    <mergeCell ref="D4866:E4866"/>
    <mergeCell ref="D4867:E4867"/>
    <mergeCell ref="D4868:E4868"/>
    <mergeCell ref="D4869:E4869"/>
    <mergeCell ref="D4870:E4870"/>
    <mergeCell ref="D4871:E4871"/>
    <mergeCell ref="D4872:E4872"/>
    <mergeCell ref="D4873:E4873"/>
    <mergeCell ref="D4874:E4874"/>
    <mergeCell ref="D4875:E4875"/>
    <mergeCell ref="D4876:M4876"/>
    <mergeCell ref="E4877:M4877"/>
    <mergeCell ref="C4884:P4884"/>
    <mergeCell ref="C4886:P4886"/>
    <mergeCell ref="D4888:E4888"/>
    <mergeCell ref="F4888:M4888"/>
    <mergeCell ref="N4888:O4888"/>
    <mergeCell ref="E4889:G4889"/>
    <mergeCell ref="I4889:L4889"/>
    <mergeCell ref="N4889:O4889"/>
    <mergeCell ref="D4890:O4890"/>
    <mergeCell ref="D4891:L4891"/>
    <mergeCell ref="N4891:O4891"/>
    <mergeCell ref="E4897:F4897"/>
    <mergeCell ref="M4897:O4897"/>
    <mergeCell ref="E4898:F4898"/>
    <mergeCell ref="M4898:O4898"/>
    <mergeCell ref="C4905:P4905"/>
    <mergeCell ref="C4907:P4907"/>
    <mergeCell ref="C4909:E4909"/>
    <mergeCell ref="F4909:P4909"/>
    <mergeCell ref="C4910:E4910"/>
    <mergeCell ref="F4910:G4910"/>
    <mergeCell ref="H4910:I4910"/>
    <mergeCell ref="L4910:P4910"/>
    <mergeCell ref="C4911:E4911"/>
    <mergeCell ref="F4911:K4911"/>
    <mergeCell ref="L4911:M4911"/>
    <mergeCell ref="N4911:P4911"/>
    <mergeCell ref="C4912:E4912"/>
    <mergeCell ref="F4912:G4912"/>
    <mergeCell ref="I4912:J4912"/>
    <mergeCell ref="K4912:L4912"/>
    <mergeCell ref="M4912:P4912"/>
    <mergeCell ref="C4913:E4913"/>
    <mergeCell ref="F4913:I4913"/>
    <mergeCell ref="J4913:K4913"/>
    <mergeCell ref="L4913:P4913"/>
    <mergeCell ref="C4914:E4914"/>
    <mergeCell ref="F4914:P4914"/>
    <mergeCell ref="F4917:G4917"/>
    <mergeCell ref="H4917:I4917"/>
    <mergeCell ref="J4917:K4917"/>
    <mergeCell ref="L4917:M4917"/>
    <mergeCell ref="N4917:O4917"/>
    <mergeCell ref="F4918:O4918"/>
    <mergeCell ref="D4922:E4922"/>
    <mergeCell ref="F4922:K4922"/>
    <mergeCell ref="D4923:E4923"/>
    <mergeCell ref="D4924:E4924"/>
    <mergeCell ref="D4925:E4925"/>
    <mergeCell ref="D4926:E4926"/>
    <mergeCell ref="D4927:E4927"/>
    <mergeCell ref="D4928:E4928"/>
    <mergeCell ref="D4929:E4929"/>
    <mergeCell ref="D4930:E4930"/>
    <mergeCell ref="D4931:E4931"/>
    <mergeCell ref="D4932:E4932"/>
    <mergeCell ref="D4933:M4933"/>
    <mergeCell ref="E4934:M4934"/>
    <mergeCell ref="C4941:P4941"/>
    <mergeCell ref="C4943:P4943"/>
    <mergeCell ref="D4945:E4945"/>
    <mergeCell ref="F4945:M4945"/>
    <mergeCell ref="N4945:O4945"/>
    <mergeCell ref="E4946:G4946"/>
    <mergeCell ref="I4946:L4946"/>
    <mergeCell ref="N4946:O4946"/>
    <mergeCell ref="D4947:O4947"/>
    <mergeCell ref="D4948:L4948"/>
    <mergeCell ref="N4948:O4948"/>
    <mergeCell ref="E4954:F4954"/>
    <mergeCell ref="M4954:O4954"/>
    <mergeCell ref="E4955:F4955"/>
    <mergeCell ref="M4955:O4955"/>
    <mergeCell ref="C4962:P4962"/>
    <mergeCell ref="C4964:P4964"/>
    <mergeCell ref="C4966:E4966"/>
    <mergeCell ref="F4966:P4966"/>
    <mergeCell ref="C4967:E4967"/>
    <mergeCell ref="F4967:G4967"/>
    <mergeCell ref="H4967:I4967"/>
    <mergeCell ref="L4967:P4967"/>
    <mergeCell ref="C4968:E4968"/>
    <mergeCell ref="F4968:K4968"/>
    <mergeCell ref="L4968:M4968"/>
    <mergeCell ref="N4968:P4968"/>
    <mergeCell ref="C4969:E4969"/>
    <mergeCell ref="F4969:G4969"/>
    <mergeCell ref="I4969:J4969"/>
    <mergeCell ref="K4969:L4969"/>
    <mergeCell ref="M4969:P4969"/>
    <mergeCell ref="C4970:E4970"/>
    <mergeCell ref="F4970:I4970"/>
    <mergeCell ref="J4970:K4970"/>
    <mergeCell ref="L4970:P4970"/>
    <mergeCell ref="C4971:E4971"/>
    <mergeCell ref="F4971:P4971"/>
    <mergeCell ref="F4974:G4974"/>
    <mergeCell ref="H4974:I4974"/>
    <mergeCell ref="J4974:K4974"/>
    <mergeCell ref="L4974:M4974"/>
    <mergeCell ref="N4974:O4974"/>
    <mergeCell ref="F4975:O4975"/>
    <mergeCell ref="D4979:E4979"/>
    <mergeCell ref="F4979:K4979"/>
    <mergeCell ref="D4980:E4980"/>
    <mergeCell ref="D4981:E4981"/>
    <mergeCell ref="D4982:E4982"/>
    <mergeCell ref="D4983:E4983"/>
    <mergeCell ref="D4984:E4984"/>
    <mergeCell ref="D4985:E4985"/>
    <mergeCell ref="D4986:E4986"/>
    <mergeCell ref="D4987:E4987"/>
    <mergeCell ref="D4988:E4988"/>
    <mergeCell ref="D4989:E4989"/>
    <mergeCell ref="D4990:M4990"/>
    <mergeCell ref="E4991:M4991"/>
    <mergeCell ref="C4998:P4998"/>
    <mergeCell ref="C5000:P5000"/>
    <mergeCell ref="D5002:E5002"/>
    <mergeCell ref="F5002:M5002"/>
    <mergeCell ref="N5002:O5002"/>
    <mergeCell ref="E5003:G5003"/>
    <mergeCell ref="I5003:L5003"/>
    <mergeCell ref="N5003:O5003"/>
    <mergeCell ref="D5004:O5004"/>
    <mergeCell ref="D5005:L5005"/>
    <mergeCell ref="N5005:O5005"/>
    <mergeCell ref="E5011:F5011"/>
    <mergeCell ref="M5011:O5011"/>
    <mergeCell ref="E5012:F5012"/>
    <mergeCell ref="M5012:O5012"/>
    <mergeCell ref="C5019:P5019"/>
    <mergeCell ref="C5021:P5021"/>
    <mergeCell ref="C5023:E5023"/>
    <mergeCell ref="F5023:P5023"/>
    <mergeCell ref="C5024:E5024"/>
    <mergeCell ref="F5024:G5024"/>
    <mergeCell ref="H5024:I5024"/>
    <mergeCell ref="L5024:P5024"/>
    <mergeCell ref="C5025:E5025"/>
    <mergeCell ref="F5025:K5025"/>
    <mergeCell ref="L5025:M5025"/>
    <mergeCell ref="N5025:P5025"/>
    <mergeCell ref="C5026:E5026"/>
    <mergeCell ref="F5026:G5026"/>
    <mergeCell ref="I5026:J5026"/>
    <mergeCell ref="K5026:L5026"/>
    <mergeCell ref="M5026:P5026"/>
    <mergeCell ref="C5027:E5027"/>
    <mergeCell ref="F5027:I5027"/>
    <mergeCell ref="J5027:K5027"/>
    <mergeCell ref="L5027:P5027"/>
    <mergeCell ref="C5028:E5028"/>
    <mergeCell ref="F5028:P5028"/>
    <mergeCell ref="F5031:G5031"/>
    <mergeCell ref="H5031:I5031"/>
    <mergeCell ref="J5031:K5031"/>
    <mergeCell ref="L5031:M5031"/>
    <mergeCell ref="N5031:O5031"/>
    <mergeCell ref="F5032:O5032"/>
    <mergeCell ref="D5036:E5036"/>
    <mergeCell ref="F5036:K5036"/>
    <mergeCell ref="D5037:E5037"/>
    <mergeCell ref="D5038:E5038"/>
    <mergeCell ref="D5039:E5039"/>
    <mergeCell ref="D5040:E5040"/>
    <mergeCell ref="D5041:E5041"/>
    <mergeCell ref="D5042:E5042"/>
    <mergeCell ref="D5043:E5043"/>
    <mergeCell ref="D5044:E5044"/>
    <mergeCell ref="D5045:E5045"/>
    <mergeCell ref="D5046:E5046"/>
    <mergeCell ref="D5047:M5047"/>
    <mergeCell ref="E5048:M5048"/>
    <mergeCell ref="C5055:P5055"/>
    <mergeCell ref="C5057:P5057"/>
    <mergeCell ref="D5059:E5059"/>
    <mergeCell ref="F5059:M5059"/>
    <mergeCell ref="N5059:O5059"/>
    <mergeCell ref="E5060:G5060"/>
    <mergeCell ref="I5060:L5060"/>
    <mergeCell ref="N5060:O5060"/>
    <mergeCell ref="D5061:O5061"/>
    <mergeCell ref="D5062:L5062"/>
    <mergeCell ref="N5062:O5062"/>
    <mergeCell ref="E5068:F5068"/>
    <mergeCell ref="M5068:O5068"/>
    <mergeCell ref="E5069:F5069"/>
    <mergeCell ref="M5069:O5069"/>
    <mergeCell ref="C5076:P5076"/>
    <mergeCell ref="C5078:P5078"/>
    <mergeCell ref="C5080:E5080"/>
    <mergeCell ref="F5080:P5080"/>
    <mergeCell ref="C5081:E5081"/>
    <mergeCell ref="F5081:G5081"/>
    <mergeCell ref="H5081:I5081"/>
    <mergeCell ref="L5081:P5081"/>
    <mergeCell ref="C5082:E5082"/>
    <mergeCell ref="F5082:K5082"/>
    <mergeCell ref="L5082:M5082"/>
    <mergeCell ref="N5082:P5082"/>
    <mergeCell ref="C5083:E5083"/>
    <mergeCell ref="F5083:G5083"/>
    <mergeCell ref="I5083:J5083"/>
    <mergeCell ref="K5083:L5083"/>
    <mergeCell ref="M5083:P5083"/>
    <mergeCell ref="C5084:E5084"/>
    <mergeCell ref="F5084:I5084"/>
    <mergeCell ref="J5084:K5084"/>
    <mergeCell ref="L5084:P5084"/>
    <mergeCell ref="C5085:E5085"/>
    <mergeCell ref="F5085:P5085"/>
    <mergeCell ref="F5088:G5088"/>
    <mergeCell ref="H5088:I5088"/>
    <mergeCell ref="J5088:K5088"/>
    <mergeCell ref="L5088:M5088"/>
    <mergeCell ref="N5088:O5088"/>
    <mergeCell ref="F5089:O5089"/>
    <mergeCell ref="D5093:E5093"/>
    <mergeCell ref="F5093:K5093"/>
    <mergeCell ref="D5094:E5094"/>
    <mergeCell ref="D5095:E5095"/>
    <mergeCell ref="D5096:E5096"/>
    <mergeCell ref="D5097:E5097"/>
    <mergeCell ref="D5098:E5098"/>
    <mergeCell ref="D5099:E5099"/>
    <mergeCell ref="D5100:E5100"/>
    <mergeCell ref="D5101:E5101"/>
    <mergeCell ref="D5102:E5102"/>
    <mergeCell ref="D5103:E5103"/>
    <mergeCell ref="D5104:M5104"/>
    <mergeCell ref="E5105:M5105"/>
    <mergeCell ref="C5112:P5112"/>
    <mergeCell ref="C5114:P5114"/>
    <mergeCell ref="D5116:E5116"/>
    <mergeCell ref="F5116:M5116"/>
    <mergeCell ref="N5116:O5116"/>
    <mergeCell ref="E5117:G5117"/>
    <mergeCell ref="I5117:L5117"/>
    <mergeCell ref="N5117:O5117"/>
    <mergeCell ref="D5118:O5118"/>
    <mergeCell ref="D5119:L5119"/>
    <mergeCell ref="N5119:O5119"/>
    <mergeCell ref="E5125:F5125"/>
    <mergeCell ref="M5125:O5125"/>
    <mergeCell ref="E5126:F5126"/>
    <mergeCell ref="M5126:O5126"/>
    <mergeCell ref="C5133:P5133"/>
    <mergeCell ref="C5135:P5135"/>
    <mergeCell ref="C5137:E5137"/>
    <mergeCell ref="F5137:P5137"/>
    <mergeCell ref="C5138:E5138"/>
    <mergeCell ref="F5138:G5138"/>
    <mergeCell ref="H5138:I5138"/>
    <mergeCell ref="L5138:P5138"/>
    <mergeCell ref="C5139:E5139"/>
    <mergeCell ref="F5139:K5139"/>
    <mergeCell ref="L5139:M5139"/>
    <mergeCell ref="N5139:P5139"/>
    <mergeCell ref="C5140:E5140"/>
    <mergeCell ref="F5140:G5140"/>
    <mergeCell ref="I5140:J5140"/>
    <mergeCell ref="K5140:L5140"/>
    <mergeCell ref="M5140:P5140"/>
    <mergeCell ref="C5141:E5141"/>
    <mergeCell ref="F5141:I5141"/>
    <mergeCell ref="J5141:K5141"/>
    <mergeCell ref="L5141:P5141"/>
    <mergeCell ref="C5142:E5142"/>
    <mergeCell ref="F5142:P5142"/>
    <mergeCell ref="F5145:G5145"/>
    <mergeCell ref="H5145:I5145"/>
    <mergeCell ref="J5145:K5145"/>
    <mergeCell ref="L5145:M5145"/>
    <mergeCell ref="N5145:O5145"/>
    <mergeCell ref="F5146:O5146"/>
    <mergeCell ref="D5150:E5150"/>
    <mergeCell ref="F5150:K5150"/>
    <mergeCell ref="D5151:E5151"/>
    <mergeCell ref="D5152:E5152"/>
    <mergeCell ref="D5153:E5153"/>
    <mergeCell ref="D5154:E5154"/>
    <mergeCell ref="D5155:E5155"/>
    <mergeCell ref="D5156:E5156"/>
    <mergeCell ref="D5157:E5157"/>
    <mergeCell ref="D5158:E5158"/>
    <mergeCell ref="D5159:E5159"/>
    <mergeCell ref="D5160:E5160"/>
    <mergeCell ref="D5161:M5161"/>
    <mergeCell ref="E5162:M5162"/>
    <mergeCell ref="C5169:P5169"/>
    <mergeCell ref="C5171:P5171"/>
    <mergeCell ref="D5173:E5173"/>
    <mergeCell ref="F5173:M5173"/>
    <mergeCell ref="N5173:O5173"/>
    <mergeCell ref="E5174:G5174"/>
    <mergeCell ref="I5174:L5174"/>
    <mergeCell ref="N5174:O5174"/>
    <mergeCell ref="D5175:O5175"/>
    <mergeCell ref="D5176:L5176"/>
    <mergeCell ref="N5176:O5176"/>
    <mergeCell ref="E5182:F5182"/>
    <mergeCell ref="M5182:O5182"/>
    <mergeCell ref="E5183:F5183"/>
    <mergeCell ref="M5183:O5183"/>
    <mergeCell ref="C5190:P5190"/>
    <mergeCell ref="C5192:P5192"/>
    <mergeCell ref="C5194:E5194"/>
    <mergeCell ref="F5194:P5194"/>
    <mergeCell ref="C5195:E5195"/>
    <mergeCell ref="F5195:G5195"/>
    <mergeCell ref="H5195:I5195"/>
    <mergeCell ref="L5195:P5195"/>
    <mergeCell ref="C5196:E5196"/>
    <mergeCell ref="F5196:K5196"/>
    <mergeCell ref="L5196:M5196"/>
    <mergeCell ref="N5196:P5196"/>
    <mergeCell ref="C5197:E5197"/>
    <mergeCell ref="F5197:G5197"/>
    <mergeCell ref="I5197:J5197"/>
    <mergeCell ref="K5197:L5197"/>
    <mergeCell ref="M5197:P5197"/>
    <mergeCell ref="C5198:E5198"/>
    <mergeCell ref="F5198:I5198"/>
    <mergeCell ref="J5198:K5198"/>
    <mergeCell ref="L5198:P5198"/>
    <mergeCell ref="C5199:E5199"/>
    <mergeCell ref="F5199:P5199"/>
    <mergeCell ref="F5202:G5202"/>
    <mergeCell ref="H5202:I5202"/>
    <mergeCell ref="J5202:K5202"/>
    <mergeCell ref="L5202:M5202"/>
    <mergeCell ref="N5202:O5202"/>
    <mergeCell ref="F5203:O5203"/>
    <mergeCell ref="D5207:E5207"/>
    <mergeCell ref="F5207:K5207"/>
    <mergeCell ref="D5208:E5208"/>
    <mergeCell ref="D5209:E5209"/>
    <mergeCell ref="D5210:E5210"/>
    <mergeCell ref="D5211:E5211"/>
    <mergeCell ref="D5212:E5212"/>
    <mergeCell ref="D5213:E5213"/>
    <mergeCell ref="D5214:E5214"/>
    <mergeCell ref="D5215:E5215"/>
    <mergeCell ref="D5216:E5216"/>
    <mergeCell ref="D5217:E5217"/>
    <mergeCell ref="D5218:M5218"/>
    <mergeCell ref="E5219:M5219"/>
    <mergeCell ref="C5226:P5226"/>
    <mergeCell ref="C5228:P5228"/>
    <mergeCell ref="D5230:E5230"/>
    <mergeCell ref="F5230:M5230"/>
    <mergeCell ref="N5230:O5230"/>
    <mergeCell ref="E5231:G5231"/>
    <mergeCell ref="I5231:L5231"/>
    <mergeCell ref="N5231:O5231"/>
    <mergeCell ref="D5232:O5232"/>
    <mergeCell ref="D5233:L5233"/>
    <mergeCell ref="N5233:O5233"/>
    <mergeCell ref="E5239:F5239"/>
    <mergeCell ref="M5239:O5239"/>
    <mergeCell ref="E5240:F5240"/>
    <mergeCell ref="M5240:O5240"/>
    <mergeCell ref="C5247:P5247"/>
    <mergeCell ref="C5249:P5249"/>
    <mergeCell ref="C5251:E5251"/>
    <mergeCell ref="F5251:P5251"/>
    <mergeCell ref="C5252:E5252"/>
    <mergeCell ref="F5252:G5252"/>
    <mergeCell ref="H5252:I5252"/>
    <mergeCell ref="L5252:P5252"/>
    <mergeCell ref="C5253:E5253"/>
    <mergeCell ref="F5253:K5253"/>
    <mergeCell ref="L5253:M5253"/>
    <mergeCell ref="N5253:P5253"/>
    <mergeCell ref="C5254:E5254"/>
    <mergeCell ref="F5254:G5254"/>
    <mergeCell ref="I5254:J5254"/>
    <mergeCell ref="K5254:L5254"/>
    <mergeCell ref="M5254:P5254"/>
    <mergeCell ref="C5255:E5255"/>
    <mergeCell ref="F5255:I5255"/>
    <mergeCell ref="J5255:K5255"/>
    <mergeCell ref="L5255:P5255"/>
    <mergeCell ref="C5256:E5256"/>
    <mergeCell ref="F5256:P5256"/>
    <mergeCell ref="F5259:G5259"/>
    <mergeCell ref="H5259:I5259"/>
    <mergeCell ref="J5259:K5259"/>
    <mergeCell ref="L5259:M5259"/>
    <mergeCell ref="N5259:O5259"/>
    <mergeCell ref="F5260:O5260"/>
    <mergeCell ref="D5264:E5264"/>
    <mergeCell ref="F5264:K5264"/>
    <mergeCell ref="D5265:E5265"/>
    <mergeCell ref="D5266:E5266"/>
    <mergeCell ref="D5267:E5267"/>
    <mergeCell ref="D5268:E5268"/>
    <mergeCell ref="D5269:E5269"/>
    <mergeCell ref="D5270:E5270"/>
    <mergeCell ref="D5271:E5271"/>
    <mergeCell ref="D5272:E5272"/>
    <mergeCell ref="D5273:E5273"/>
    <mergeCell ref="D5274:E5274"/>
    <mergeCell ref="D5275:M5275"/>
    <mergeCell ref="E5276:M5276"/>
    <mergeCell ref="C5283:P5283"/>
    <mergeCell ref="C5285:P5285"/>
    <mergeCell ref="D5287:E5287"/>
    <mergeCell ref="F5287:M5287"/>
    <mergeCell ref="N5287:O5287"/>
    <mergeCell ref="E5288:G5288"/>
    <mergeCell ref="I5288:L5288"/>
    <mergeCell ref="N5288:O5288"/>
    <mergeCell ref="D5289:O5289"/>
    <mergeCell ref="D5290:L5290"/>
    <mergeCell ref="N5290:O5290"/>
    <mergeCell ref="E5296:F5296"/>
    <mergeCell ref="M5296:O5296"/>
    <mergeCell ref="E5297:F5297"/>
    <mergeCell ref="M5297:O5297"/>
    <mergeCell ref="C5304:P5304"/>
    <mergeCell ref="C5306:P5306"/>
    <mergeCell ref="C5308:E5308"/>
    <mergeCell ref="F5308:P5308"/>
    <mergeCell ref="C5309:E5309"/>
    <mergeCell ref="F5309:G5309"/>
    <mergeCell ref="H5309:I5309"/>
    <mergeCell ref="L5309:P5309"/>
    <mergeCell ref="C5310:E5310"/>
    <mergeCell ref="F5310:K5310"/>
    <mergeCell ref="L5310:M5310"/>
    <mergeCell ref="N5310:P5310"/>
    <mergeCell ref="C5311:E5311"/>
    <mergeCell ref="F5311:G5311"/>
    <mergeCell ref="I5311:J5311"/>
    <mergeCell ref="K5311:L5311"/>
    <mergeCell ref="M5311:P5311"/>
    <mergeCell ref="C5312:E5312"/>
    <mergeCell ref="F5312:I5312"/>
    <mergeCell ref="J5312:K5312"/>
    <mergeCell ref="L5312:P5312"/>
    <mergeCell ref="C5313:E5313"/>
    <mergeCell ref="F5313:P5313"/>
    <mergeCell ref="F5316:G5316"/>
    <mergeCell ref="H5316:I5316"/>
    <mergeCell ref="J5316:K5316"/>
    <mergeCell ref="L5316:M5316"/>
    <mergeCell ref="N5316:O5316"/>
    <mergeCell ref="F5317:O5317"/>
    <mergeCell ref="D5321:E5321"/>
    <mergeCell ref="F5321:K5321"/>
    <mergeCell ref="D5322:E5322"/>
    <mergeCell ref="D5323:E5323"/>
    <mergeCell ref="D5324:E5324"/>
    <mergeCell ref="D5325:E5325"/>
    <mergeCell ref="D5326:E5326"/>
    <mergeCell ref="D5327:E5327"/>
    <mergeCell ref="D5328:E5328"/>
    <mergeCell ref="D5329:E5329"/>
    <mergeCell ref="D5330:E5330"/>
    <mergeCell ref="D5331:E5331"/>
    <mergeCell ref="D5332:M5332"/>
    <mergeCell ref="E5333:M5333"/>
    <mergeCell ref="C5340:P5340"/>
    <mergeCell ref="C5342:P5342"/>
    <mergeCell ref="D5344:E5344"/>
    <mergeCell ref="F5344:M5344"/>
    <mergeCell ref="N5344:O5344"/>
    <mergeCell ref="E5345:G5345"/>
    <mergeCell ref="I5345:L5345"/>
    <mergeCell ref="N5345:O5345"/>
    <mergeCell ref="D5346:O5346"/>
    <mergeCell ref="D5347:L5347"/>
    <mergeCell ref="N5347:O5347"/>
    <mergeCell ref="E5353:F5353"/>
    <mergeCell ref="M5353:O5353"/>
    <mergeCell ref="E5354:F5354"/>
    <mergeCell ref="M5354:O5354"/>
    <mergeCell ref="C5361:P5361"/>
    <mergeCell ref="C5363:P5363"/>
    <mergeCell ref="C5365:E5365"/>
    <mergeCell ref="F5365:P5365"/>
    <mergeCell ref="C5366:E5366"/>
    <mergeCell ref="F5366:G5366"/>
    <mergeCell ref="H5366:I5366"/>
    <mergeCell ref="L5366:P5366"/>
    <mergeCell ref="C5367:E5367"/>
    <mergeCell ref="F5367:K5367"/>
    <mergeCell ref="L5367:M5367"/>
    <mergeCell ref="N5367:P5367"/>
    <mergeCell ref="C5368:E5368"/>
    <mergeCell ref="F5368:G5368"/>
    <mergeCell ref="I5368:J5368"/>
    <mergeCell ref="K5368:L5368"/>
    <mergeCell ref="M5368:P5368"/>
    <mergeCell ref="C5369:E5369"/>
    <mergeCell ref="F5369:I5369"/>
    <mergeCell ref="J5369:K5369"/>
    <mergeCell ref="L5369:P5369"/>
    <mergeCell ref="C5370:E5370"/>
    <mergeCell ref="F5370:P5370"/>
    <mergeCell ref="F5373:G5373"/>
    <mergeCell ref="H5373:I5373"/>
    <mergeCell ref="J5373:K5373"/>
    <mergeCell ref="L5373:M5373"/>
    <mergeCell ref="N5373:O5373"/>
    <mergeCell ref="F5374:O5374"/>
    <mergeCell ref="D5378:E5378"/>
    <mergeCell ref="F5378:K5378"/>
    <mergeCell ref="D5379:E5379"/>
    <mergeCell ref="D5380:E5380"/>
    <mergeCell ref="D5381:E5381"/>
    <mergeCell ref="D5382:E5382"/>
    <mergeCell ref="D5383:E5383"/>
    <mergeCell ref="D5384:E5384"/>
    <mergeCell ref="D5385:E5385"/>
    <mergeCell ref="D5386:E5386"/>
    <mergeCell ref="D5387:E5387"/>
    <mergeCell ref="D5388:E5388"/>
    <mergeCell ref="D5389:M5389"/>
    <mergeCell ref="E5390:M5390"/>
    <mergeCell ref="C5397:P5397"/>
    <mergeCell ref="C5399:P5399"/>
    <mergeCell ref="D5401:E5401"/>
    <mergeCell ref="F5401:M5401"/>
    <mergeCell ref="N5401:O5401"/>
    <mergeCell ref="E5402:G5402"/>
    <mergeCell ref="I5402:L5402"/>
    <mergeCell ref="N5402:O5402"/>
    <mergeCell ref="D5403:O5403"/>
    <mergeCell ref="D5404:L5404"/>
    <mergeCell ref="N5404:O5404"/>
    <mergeCell ref="E5410:F5410"/>
    <mergeCell ref="M5410:O5410"/>
    <mergeCell ref="E5411:F5411"/>
    <mergeCell ref="M5411:O5411"/>
    <mergeCell ref="C5418:P5418"/>
    <mergeCell ref="C5420:P5420"/>
    <mergeCell ref="C5422:E5422"/>
    <mergeCell ref="F5422:P5422"/>
    <mergeCell ref="C5423:E5423"/>
    <mergeCell ref="F5423:G5423"/>
    <mergeCell ref="H5423:I5423"/>
    <mergeCell ref="L5423:P5423"/>
    <mergeCell ref="C5424:E5424"/>
    <mergeCell ref="F5424:K5424"/>
    <mergeCell ref="L5424:M5424"/>
    <mergeCell ref="N5424:P5424"/>
    <mergeCell ref="C5425:E5425"/>
    <mergeCell ref="F5425:G5425"/>
    <mergeCell ref="I5425:J5425"/>
    <mergeCell ref="K5425:L5425"/>
    <mergeCell ref="M5425:P5425"/>
    <mergeCell ref="C5426:E5426"/>
    <mergeCell ref="F5426:I5426"/>
    <mergeCell ref="J5426:K5426"/>
    <mergeCell ref="L5426:P5426"/>
    <mergeCell ref="C5427:E5427"/>
    <mergeCell ref="F5427:P5427"/>
    <mergeCell ref="F5430:G5430"/>
    <mergeCell ref="H5430:I5430"/>
    <mergeCell ref="J5430:K5430"/>
    <mergeCell ref="L5430:M5430"/>
    <mergeCell ref="N5430:O5430"/>
    <mergeCell ref="F5431:O5431"/>
    <mergeCell ref="D5435:E5435"/>
    <mergeCell ref="F5435:K5435"/>
    <mergeCell ref="D5436:E5436"/>
    <mergeCell ref="D5437:E5437"/>
    <mergeCell ref="D5438:E5438"/>
    <mergeCell ref="D5439:E5439"/>
    <mergeCell ref="D5440:E5440"/>
    <mergeCell ref="D5441:E5441"/>
    <mergeCell ref="D5442:E5442"/>
    <mergeCell ref="D5443:E5443"/>
    <mergeCell ref="D5444:E5444"/>
    <mergeCell ref="D5445:E5445"/>
    <mergeCell ref="D5446:M5446"/>
    <mergeCell ref="E5447:M5447"/>
    <mergeCell ref="C5454:P5454"/>
    <mergeCell ref="C5456:P5456"/>
    <mergeCell ref="D5458:E5458"/>
    <mergeCell ref="F5458:M5458"/>
    <mergeCell ref="N5458:O5458"/>
    <mergeCell ref="E5459:G5459"/>
    <mergeCell ref="I5459:L5459"/>
    <mergeCell ref="N5459:O5459"/>
    <mergeCell ref="D5460:O5460"/>
    <mergeCell ref="D5461:L5461"/>
    <mergeCell ref="N5461:O5461"/>
    <mergeCell ref="E5467:F5467"/>
    <mergeCell ref="M5467:O5467"/>
    <mergeCell ref="E5468:F5468"/>
    <mergeCell ref="M5468:O5468"/>
    <mergeCell ref="C5475:P5475"/>
    <mergeCell ref="C5477:P5477"/>
    <mergeCell ref="C5479:E5479"/>
    <mergeCell ref="F5479:P5479"/>
    <mergeCell ref="C5480:E5480"/>
    <mergeCell ref="F5480:G5480"/>
    <mergeCell ref="H5480:I5480"/>
    <mergeCell ref="L5480:P5480"/>
    <mergeCell ref="C5481:E5481"/>
    <mergeCell ref="F5481:K5481"/>
    <mergeCell ref="L5481:M5481"/>
    <mergeCell ref="N5481:P5481"/>
    <mergeCell ref="C5482:E5482"/>
    <mergeCell ref="F5482:G5482"/>
    <mergeCell ref="I5482:J5482"/>
    <mergeCell ref="K5482:L5482"/>
    <mergeCell ref="M5482:P5482"/>
    <mergeCell ref="C5483:E5483"/>
    <mergeCell ref="F5483:I5483"/>
    <mergeCell ref="J5483:K5483"/>
    <mergeCell ref="L5483:P5483"/>
    <mergeCell ref="C5484:E5484"/>
    <mergeCell ref="F5484:P5484"/>
    <mergeCell ref="F5487:G5487"/>
    <mergeCell ref="H5487:I5487"/>
    <mergeCell ref="J5487:K5487"/>
    <mergeCell ref="L5487:M5487"/>
    <mergeCell ref="N5487:O5487"/>
    <mergeCell ref="F5488:O5488"/>
    <mergeCell ref="D5492:E5492"/>
    <mergeCell ref="F5492:K5492"/>
    <mergeCell ref="D5493:E5493"/>
    <mergeCell ref="D5494:E5494"/>
    <mergeCell ref="D5495:E5495"/>
    <mergeCell ref="D5496:E5496"/>
    <mergeCell ref="D5497:E5497"/>
    <mergeCell ref="D5498:E5498"/>
    <mergeCell ref="D5499:E5499"/>
    <mergeCell ref="D5500:E5500"/>
    <mergeCell ref="D5501:E5501"/>
    <mergeCell ref="D5502:E5502"/>
    <mergeCell ref="D5503:M5503"/>
    <mergeCell ref="E5504:M5504"/>
    <mergeCell ref="C5511:P5511"/>
    <mergeCell ref="C5513:P5513"/>
    <mergeCell ref="D5515:E5515"/>
    <mergeCell ref="F5515:M5515"/>
    <mergeCell ref="N5515:O5515"/>
    <mergeCell ref="E5516:G5516"/>
    <mergeCell ref="I5516:L5516"/>
    <mergeCell ref="N5516:O5516"/>
    <mergeCell ref="D5517:O5517"/>
    <mergeCell ref="D5518:L5518"/>
    <mergeCell ref="N5518:O5518"/>
    <mergeCell ref="E5524:F5524"/>
    <mergeCell ref="M5524:O5524"/>
    <mergeCell ref="E5525:F5525"/>
    <mergeCell ref="M5525:O5525"/>
    <mergeCell ref="C5532:P5532"/>
    <mergeCell ref="C5534:P5534"/>
    <mergeCell ref="C5536:E5536"/>
    <mergeCell ref="F5536:P5536"/>
    <mergeCell ref="C5537:E5537"/>
    <mergeCell ref="F5537:G5537"/>
    <mergeCell ref="H5537:I5537"/>
    <mergeCell ref="L5537:P5537"/>
    <mergeCell ref="C5538:E5538"/>
    <mergeCell ref="F5538:K5538"/>
    <mergeCell ref="L5538:M5538"/>
    <mergeCell ref="N5538:P5538"/>
    <mergeCell ref="C5539:E5539"/>
    <mergeCell ref="F5539:G5539"/>
    <mergeCell ref="I5539:J5539"/>
    <mergeCell ref="K5539:L5539"/>
    <mergeCell ref="M5539:P5539"/>
    <mergeCell ref="C5540:E5540"/>
    <mergeCell ref="F5540:I5540"/>
    <mergeCell ref="J5540:K5540"/>
    <mergeCell ref="L5540:P5540"/>
    <mergeCell ref="C5541:E5541"/>
    <mergeCell ref="F5541:P5541"/>
    <mergeCell ref="F5544:G5544"/>
    <mergeCell ref="H5544:I5544"/>
    <mergeCell ref="J5544:K5544"/>
    <mergeCell ref="L5544:M5544"/>
    <mergeCell ref="N5544:O5544"/>
    <mergeCell ref="F5545:O5545"/>
    <mergeCell ref="D5549:E5549"/>
    <mergeCell ref="F5549:K5549"/>
    <mergeCell ref="D5550:E5550"/>
    <mergeCell ref="D5551:E5551"/>
    <mergeCell ref="D5552:E5552"/>
    <mergeCell ref="D5553:E5553"/>
    <mergeCell ref="D5554:E5554"/>
    <mergeCell ref="D5555:E5555"/>
    <mergeCell ref="D5556:E5556"/>
    <mergeCell ref="D5557:E5557"/>
    <mergeCell ref="D5558:E5558"/>
    <mergeCell ref="D5559:E5559"/>
    <mergeCell ref="D5560:M5560"/>
    <mergeCell ref="E5561:M5561"/>
    <mergeCell ref="C5568:P5568"/>
    <mergeCell ref="C5570:P5570"/>
    <mergeCell ref="D5572:E5572"/>
    <mergeCell ref="F5572:M5572"/>
    <mergeCell ref="N5572:O5572"/>
    <mergeCell ref="E5573:G5573"/>
    <mergeCell ref="I5573:L5573"/>
    <mergeCell ref="N5573:O5573"/>
    <mergeCell ref="D5574:O5574"/>
    <mergeCell ref="D5575:L5575"/>
    <mergeCell ref="N5575:O5575"/>
    <mergeCell ref="E5581:F5581"/>
    <mergeCell ref="M5581:O5581"/>
    <mergeCell ref="E5582:F5582"/>
    <mergeCell ref="M5582:O5582"/>
    <mergeCell ref="C5589:P5589"/>
    <mergeCell ref="C5591:P5591"/>
    <mergeCell ref="C5593:E5593"/>
    <mergeCell ref="F5593:P5593"/>
    <mergeCell ref="C5594:E5594"/>
    <mergeCell ref="F5594:G5594"/>
    <mergeCell ref="H5594:I5594"/>
    <mergeCell ref="L5594:P5594"/>
    <mergeCell ref="C5595:E5595"/>
    <mergeCell ref="F5595:K5595"/>
    <mergeCell ref="L5595:M5595"/>
    <mergeCell ref="N5595:P5595"/>
    <mergeCell ref="C5596:E5596"/>
    <mergeCell ref="F5596:G5596"/>
    <mergeCell ref="I5596:J5596"/>
    <mergeCell ref="K5596:L5596"/>
    <mergeCell ref="M5596:P5596"/>
    <mergeCell ref="C5597:E5597"/>
    <mergeCell ref="F5597:I5597"/>
    <mergeCell ref="J5597:K5597"/>
    <mergeCell ref="L5597:P5597"/>
    <mergeCell ref="C5598:E5598"/>
    <mergeCell ref="F5598:P5598"/>
    <mergeCell ref="F5601:G5601"/>
    <mergeCell ref="H5601:I5601"/>
    <mergeCell ref="J5601:K5601"/>
    <mergeCell ref="L5601:M5601"/>
    <mergeCell ref="N5601:O5601"/>
    <mergeCell ref="F5602:O5602"/>
    <mergeCell ref="D5606:E5606"/>
    <mergeCell ref="F5606:K5606"/>
    <mergeCell ref="D5607:E5607"/>
    <mergeCell ref="D5608:E5608"/>
    <mergeCell ref="D5609:E5609"/>
    <mergeCell ref="D5610:E5610"/>
    <mergeCell ref="D5611:E5611"/>
    <mergeCell ref="D5612:E5612"/>
    <mergeCell ref="D5613:E5613"/>
    <mergeCell ref="D5614:E5614"/>
    <mergeCell ref="D5615:E5615"/>
    <mergeCell ref="D5616:E5616"/>
    <mergeCell ref="D5617:M5617"/>
    <mergeCell ref="E5618:M5618"/>
    <mergeCell ref="C5625:P5625"/>
    <mergeCell ref="C5627:P5627"/>
    <mergeCell ref="D5629:E5629"/>
    <mergeCell ref="F5629:M5629"/>
    <mergeCell ref="N5629:O5629"/>
    <mergeCell ref="E5630:G5630"/>
    <mergeCell ref="I5630:L5630"/>
    <mergeCell ref="N5630:O5630"/>
    <mergeCell ref="D5631:O5631"/>
    <mergeCell ref="D5632:L5632"/>
    <mergeCell ref="N5632:O5632"/>
    <mergeCell ref="E5638:F5638"/>
    <mergeCell ref="M5638:O5638"/>
    <mergeCell ref="E5639:F5639"/>
    <mergeCell ref="M5639:O5639"/>
    <mergeCell ref="C5646:P5646"/>
    <mergeCell ref="C5648:P5648"/>
    <mergeCell ref="C5650:E5650"/>
    <mergeCell ref="F5650:P5650"/>
    <mergeCell ref="C5651:E5651"/>
    <mergeCell ref="F5651:G5651"/>
    <mergeCell ref="H5651:I5651"/>
    <mergeCell ref="L5651:P5651"/>
    <mergeCell ref="C5652:E5652"/>
    <mergeCell ref="F5652:K5652"/>
    <mergeCell ref="L5652:M5652"/>
    <mergeCell ref="N5652:P5652"/>
    <mergeCell ref="C5653:E5653"/>
    <mergeCell ref="F5653:G5653"/>
    <mergeCell ref="I5653:J5653"/>
    <mergeCell ref="K5653:L5653"/>
    <mergeCell ref="M5653:P5653"/>
    <mergeCell ref="C5654:E5654"/>
    <mergeCell ref="F5654:I5654"/>
    <mergeCell ref="J5654:K5654"/>
    <mergeCell ref="L5654:P5654"/>
    <mergeCell ref="C5655:E5655"/>
    <mergeCell ref="F5655:P5655"/>
    <mergeCell ref="F5658:G5658"/>
    <mergeCell ref="H5658:I5658"/>
    <mergeCell ref="J5658:K5658"/>
    <mergeCell ref="L5658:M5658"/>
    <mergeCell ref="N5658:O5658"/>
    <mergeCell ref="F5659:O5659"/>
    <mergeCell ref="D5663:E5663"/>
    <mergeCell ref="F5663:K5663"/>
    <mergeCell ref="D5664:E5664"/>
    <mergeCell ref="D5665:E5665"/>
    <mergeCell ref="D5666:E5666"/>
    <mergeCell ref="D5667:E5667"/>
    <mergeCell ref="D5668:E5668"/>
    <mergeCell ref="D5669:E5669"/>
    <mergeCell ref="D5670:E5670"/>
    <mergeCell ref="D5671:E5671"/>
    <mergeCell ref="D5672:E5672"/>
    <mergeCell ref="D5673:E5673"/>
    <mergeCell ref="D5674:M5674"/>
    <mergeCell ref="E5675:M5675"/>
    <mergeCell ref="C5682:P5682"/>
    <mergeCell ref="C5684:P5684"/>
    <mergeCell ref="D5686:E5686"/>
    <mergeCell ref="F5686:M5686"/>
    <mergeCell ref="N5686:O5686"/>
    <mergeCell ref="E5687:G5687"/>
    <mergeCell ref="I5687:L5687"/>
    <mergeCell ref="N5687:O5687"/>
    <mergeCell ref="D5688:O5688"/>
    <mergeCell ref="D5689:L5689"/>
    <mergeCell ref="N5689:O5689"/>
    <mergeCell ref="E5695:F5695"/>
    <mergeCell ref="M5695:O5695"/>
    <mergeCell ref="E5696:F5696"/>
    <mergeCell ref="M5696:O5696"/>
    <mergeCell ref="D15:D16"/>
    <mergeCell ref="D72:D73"/>
    <mergeCell ref="D129:D130"/>
    <mergeCell ref="D186:D187"/>
    <mergeCell ref="D243:D244"/>
    <mergeCell ref="D300:D301"/>
    <mergeCell ref="D357:D358"/>
    <mergeCell ref="D414:D415"/>
    <mergeCell ref="D471:D472"/>
    <mergeCell ref="D528:D529"/>
    <mergeCell ref="D585:D586"/>
    <mergeCell ref="D642:D643"/>
    <mergeCell ref="D699:D700"/>
    <mergeCell ref="D756:D757"/>
    <mergeCell ref="D813:D814"/>
    <mergeCell ref="D870:D871"/>
    <mergeCell ref="D927:D928"/>
    <mergeCell ref="D984:D985"/>
    <mergeCell ref="D1041:D1042"/>
    <mergeCell ref="D1098:D1099"/>
    <mergeCell ref="D1155:D1156"/>
    <mergeCell ref="D1212:D1213"/>
    <mergeCell ref="D1269:D1270"/>
    <mergeCell ref="D1326:D1327"/>
    <mergeCell ref="D1383:D1384"/>
    <mergeCell ref="D1440:D1441"/>
    <mergeCell ref="D1497:D1498"/>
    <mergeCell ref="D1554:D1555"/>
    <mergeCell ref="D1611:D1612"/>
    <mergeCell ref="D1668:D1669"/>
    <mergeCell ref="D1725:D1726"/>
    <mergeCell ref="D1782:D1783"/>
    <mergeCell ref="D1839:D1840"/>
    <mergeCell ref="D1896:D1897"/>
    <mergeCell ref="D1953:D1954"/>
    <mergeCell ref="D2010:D2011"/>
    <mergeCell ref="D2067:D2068"/>
    <mergeCell ref="D2124:D2125"/>
    <mergeCell ref="D2181:D2182"/>
    <mergeCell ref="D2238:D2239"/>
    <mergeCell ref="D2295:D2296"/>
    <mergeCell ref="D2352:D2353"/>
    <mergeCell ref="D2409:D2410"/>
    <mergeCell ref="D2466:D2467"/>
    <mergeCell ref="D2523:D2524"/>
    <mergeCell ref="D2580:D2581"/>
    <mergeCell ref="D2637:D2638"/>
    <mergeCell ref="D2694:D2695"/>
    <mergeCell ref="D2751:D2752"/>
    <mergeCell ref="D2808:D2809"/>
    <mergeCell ref="D2865:D2866"/>
    <mergeCell ref="D2922:D2923"/>
    <mergeCell ref="D2979:D2980"/>
    <mergeCell ref="D3036:D3037"/>
    <mergeCell ref="D3093:D3094"/>
    <mergeCell ref="D3150:D3151"/>
    <mergeCell ref="D3207:D3208"/>
    <mergeCell ref="D3264:D3265"/>
    <mergeCell ref="D3321:D3322"/>
    <mergeCell ref="D3378:D3379"/>
    <mergeCell ref="D3435:D3436"/>
    <mergeCell ref="D3492:D3493"/>
    <mergeCell ref="D3549:D3550"/>
    <mergeCell ref="D3606:D3607"/>
    <mergeCell ref="D3663:D3664"/>
    <mergeCell ref="D3720:D3721"/>
    <mergeCell ref="D3777:D3778"/>
    <mergeCell ref="D3834:D3835"/>
    <mergeCell ref="D3891:D3892"/>
    <mergeCell ref="D3948:D3949"/>
    <mergeCell ref="D4005:D4006"/>
    <mergeCell ref="D4062:D4063"/>
    <mergeCell ref="D4119:D4120"/>
    <mergeCell ref="D4176:D4177"/>
    <mergeCell ref="D4233:D4234"/>
    <mergeCell ref="D4290:D4291"/>
    <mergeCell ref="D4347:D4348"/>
    <mergeCell ref="D4404:D4405"/>
    <mergeCell ref="D4461:D4462"/>
    <mergeCell ref="D4518:D4519"/>
    <mergeCell ref="D4575:D4576"/>
    <mergeCell ref="D4632:D4633"/>
    <mergeCell ref="D4689:D4690"/>
    <mergeCell ref="D4746:D4747"/>
    <mergeCell ref="D4803:D4804"/>
    <mergeCell ref="D4860:D4861"/>
    <mergeCell ref="D4917:D4918"/>
    <mergeCell ref="D4974:D4975"/>
    <mergeCell ref="D5031:D5032"/>
    <mergeCell ref="D5088:D5089"/>
    <mergeCell ref="D5145:D5146"/>
    <mergeCell ref="D5202:D5203"/>
    <mergeCell ref="D5259:D5260"/>
    <mergeCell ref="D5316:D5317"/>
    <mergeCell ref="D5373:D5374"/>
    <mergeCell ref="D5430:D5431"/>
    <mergeCell ref="D5487:D5488"/>
    <mergeCell ref="D5544:D5545"/>
    <mergeCell ref="D5601:D5602"/>
    <mergeCell ref="D5658:D5659"/>
    <mergeCell ref="K21:K22"/>
    <mergeCell ref="K78:K79"/>
    <mergeCell ref="K135:K136"/>
    <mergeCell ref="K192:K193"/>
    <mergeCell ref="K249:K250"/>
    <mergeCell ref="K306:K307"/>
    <mergeCell ref="K363:K364"/>
    <mergeCell ref="K420:K421"/>
    <mergeCell ref="K477:K478"/>
    <mergeCell ref="K534:K535"/>
    <mergeCell ref="K591:K592"/>
    <mergeCell ref="K648:K649"/>
    <mergeCell ref="K705:K706"/>
    <mergeCell ref="K762:K763"/>
    <mergeCell ref="K819:K820"/>
    <mergeCell ref="K876:K877"/>
    <mergeCell ref="K933:K934"/>
    <mergeCell ref="K990:K991"/>
    <mergeCell ref="K1047:K1048"/>
    <mergeCell ref="K1104:K1105"/>
    <mergeCell ref="K1161:K1162"/>
    <mergeCell ref="K1218:K1219"/>
    <mergeCell ref="K1275:K1276"/>
    <mergeCell ref="K1332:K1333"/>
    <mergeCell ref="K1389:K1390"/>
    <mergeCell ref="K1446:K1447"/>
    <mergeCell ref="K1503:K1504"/>
    <mergeCell ref="K1560:K1561"/>
    <mergeCell ref="K1617:K1618"/>
    <mergeCell ref="K1674:K1675"/>
    <mergeCell ref="K1731:K1732"/>
    <mergeCell ref="K1788:K1789"/>
    <mergeCell ref="K1845:K1846"/>
    <mergeCell ref="K1902:K1903"/>
    <mergeCell ref="K1959:K1960"/>
    <mergeCell ref="K2016:K2017"/>
    <mergeCell ref="K2073:K2074"/>
    <mergeCell ref="K2130:K2131"/>
    <mergeCell ref="K2187:K2188"/>
    <mergeCell ref="K2244:K2245"/>
    <mergeCell ref="K2301:K2302"/>
    <mergeCell ref="K2358:K2359"/>
    <mergeCell ref="K2415:K2416"/>
    <mergeCell ref="K2472:K2473"/>
    <mergeCell ref="K2529:K2530"/>
    <mergeCell ref="K2586:K2587"/>
    <mergeCell ref="K2643:K2644"/>
    <mergeCell ref="K2700:K2701"/>
    <mergeCell ref="K2757:K2758"/>
    <mergeCell ref="K2814:K2815"/>
    <mergeCell ref="K2871:K2872"/>
    <mergeCell ref="K2928:K2929"/>
    <mergeCell ref="K2985:K2986"/>
    <mergeCell ref="K3042:K3043"/>
    <mergeCell ref="K3099:K3100"/>
    <mergeCell ref="K3156:K3157"/>
    <mergeCell ref="K3213:K3214"/>
    <mergeCell ref="K3270:K3271"/>
    <mergeCell ref="K3327:K3328"/>
    <mergeCell ref="K3384:K3385"/>
    <mergeCell ref="K3441:K3442"/>
    <mergeCell ref="K3498:K3499"/>
    <mergeCell ref="K3555:K3556"/>
    <mergeCell ref="K3612:K3613"/>
    <mergeCell ref="K3669:K3670"/>
    <mergeCell ref="K3726:K3727"/>
    <mergeCell ref="K3783:K3784"/>
    <mergeCell ref="K3840:K3841"/>
    <mergeCell ref="K3897:K3898"/>
    <mergeCell ref="K3954:K3955"/>
    <mergeCell ref="K4011:K4012"/>
    <mergeCell ref="K4068:K4069"/>
    <mergeCell ref="K4125:K4126"/>
    <mergeCell ref="K4182:K4183"/>
    <mergeCell ref="K4239:K4240"/>
    <mergeCell ref="K4296:K4297"/>
    <mergeCell ref="K4353:K4354"/>
    <mergeCell ref="K4410:K4411"/>
    <mergeCell ref="K4467:K4468"/>
    <mergeCell ref="K4524:K4525"/>
    <mergeCell ref="K4581:K4582"/>
    <mergeCell ref="K4638:K4639"/>
    <mergeCell ref="K4695:K4696"/>
    <mergeCell ref="K4752:K4753"/>
    <mergeCell ref="K4809:K4810"/>
    <mergeCell ref="K4866:K4867"/>
    <mergeCell ref="K4923:K4924"/>
    <mergeCell ref="K4980:K4981"/>
    <mergeCell ref="K5037:K5038"/>
    <mergeCell ref="K5094:K5095"/>
    <mergeCell ref="K5151:K5152"/>
    <mergeCell ref="K5208:K5209"/>
    <mergeCell ref="K5265:K5266"/>
    <mergeCell ref="K5322:K5323"/>
    <mergeCell ref="K5379:K5380"/>
    <mergeCell ref="K5436:K5437"/>
    <mergeCell ref="K5493:K5494"/>
    <mergeCell ref="K5550:K5551"/>
    <mergeCell ref="K5607:K5608"/>
    <mergeCell ref="K5664:K5665"/>
    <mergeCell ref="M21:M22"/>
    <mergeCell ref="M78:M79"/>
    <mergeCell ref="M135:M136"/>
    <mergeCell ref="M192:M193"/>
    <mergeCell ref="M249:M250"/>
    <mergeCell ref="M306:M307"/>
    <mergeCell ref="M363:M364"/>
    <mergeCell ref="M420:M421"/>
    <mergeCell ref="M477:M478"/>
    <mergeCell ref="M534:M535"/>
    <mergeCell ref="M591:M592"/>
    <mergeCell ref="M648:M649"/>
    <mergeCell ref="M705:M706"/>
    <mergeCell ref="M762:M763"/>
    <mergeCell ref="M819:M820"/>
    <mergeCell ref="M876:M877"/>
    <mergeCell ref="M933:M934"/>
    <mergeCell ref="M990:M991"/>
    <mergeCell ref="M1047:M1048"/>
    <mergeCell ref="M1104:M1105"/>
    <mergeCell ref="M1161:M1162"/>
    <mergeCell ref="M1218:M1219"/>
    <mergeCell ref="M1275:M1276"/>
    <mergeCell ref="M1332:M1333"/>
    <mergeCell ref="M1389:M1390"/>
    <mergeCell ref="M1446:M1447"/>
    <mergeCell ref="M1503:M1504"/>
    <mergeCell ref="M1560:M1561"/>
    <mergeCell ref="M1617:M1618"/>
    <mergeCell ref="M1674:M1675"/>
    <mergeCell ref="M1731:M1732"/>
    <mergeCell ref="M1788:M1789"/>
    <mergeCell ref="M1845:M1846"/>
    <mergeCell ref="M1902:M1903"/>
    <mergeCell ref="M1959:M1960"/>
    <mergeCell ref="M2016:M2017"/>
    <mergeCell ref="M2073:M2074"/>
    <mergeCell ref="M2130:M2131"/>
    <mergeCell ref="M2187:M2188"/>
    <mergeCell ref="M2244:M2245"/>
    <mergeCell ref="M2301:M2302"/>
    <mergeCell ref="M2358:M2359"/>
    <mergeCell ref="M2415:M2416"/>
    <mergeCell ref="M2472:M2473"/>
    <mergeCell ref="M2529:M2530"/>
    <mergeCell ref="M2586:M2587"/>
    <mergeCell ref="M2643:M2644"/>
    <mergeCell ref="M2700:M2701"/>
    <mergeCell ref="M2757:M2758"/>
    <mergeCell ref="M2814:M2815"/>
    <mergeCell ref="M2871:M2872"/>
    <mergeCell ref="M2928:M2929"/>
    <mergeCell ref="M2985:M2986"/>
    <mergeCell ref="M3042:M3043"/>
    <mergeCell ref="M3099:M3100"/>
    <mergeCell ref="M3156:M3157"/>
    <mergeCell ref="M3213:M3214"/>
    <mergeCell ref="M3270:M3271"/>
    <mergeCell ref="M3327:M3328"/>
    <mergeCell ref="M3384:M3385"/>
    <mergeCell ref="M3441:M3442"/>
    <mergeCell ref="M3498:M3499"/>
    <mergeCell ref="M3555:M3556"/>
    <mergeCell ref="M3612:M3613"/>
    <mergeCell ref="M3669:M3670"/>
    <mergeCell ref="M3726:M3727"/>
    <mergeCell ref="M3783:M3784"/>
    <mergeCell ref="M3840:M3841"/>
    <mergeCell ref="M3897:M3898"/>
    <mergeCell ref="M3954:M3955"/>
    <mergeCell ref="M4011:M4012"/>
    <mergeCell ref="M4068:M4069"/>
    <mergeCell ref="M4125:M4126"/>
    <mergeCell ref="M4182:M4183"/>
    <mergeCell ref="M4239:M4240"/>
    <mergeCell ref="M4296:M4297"/>
    <mergeCell ref="M4353:M4354"/>
    <mergeCell ref="M4410:M4411"/>
    <mergeCell ref="M4467:M4468"/>
    <mergeCell ref="M4524:M4525"/>
    <mergeCell ref="M4581:M4582"/>
    <mergeCell ref="M4638:M4639"/>
    <mergeCell ref="M4695:M4696"/>
    <mergeCell ref="M4752:M4753"/>
    <mergeCell ref="M4809:M4810"/>
    <mergeCell ref="M4866:M4867"/>
    <mergeCell ref="M4923:M4924"/>
    <mergeCell ref="M4980:M4981"/>
    <mergeCell ref="M5037:M5038"/>
    <mergeCell ref="M5094:M5095"/>
    <mergeCell ref="M5151:M5152"/>
    <mergeCell ref="M5208:M5209"/>
    <mergeCell ref="M5265:M5266"/>
    <mergeCell ref="M5322:M5323"/>
    <mergeCell ref="M5379:M5380"/>
    <mergeCell ref="M5436:M5437"/>
    <mergeCell ref="M5493:M5494"/>
    <mergeCell ref="M5550:M5551"/>
    <mergeCell ref="M5607:M5608"/>
    <mergeCell ref="M5664:M5665"/>
    <mergeCell ref="N5671:P5673"/>
    <mergeCell ref="N5666:P5667"/>
    <mergeCell ref="N5614:P5616"/>
    <mergeCell ref="N5609:P5610"/>
    <mergeCell ref="N5557:P5559"/>
    <mergeCell ref="N5552:P5553"/>
    <mergeCell ref="N5500:P5502"/>
    <mergeCell ref="N5495:P5496"/>
    <mergeCell ref="N5443:P5445"/>
    <mergeCell ref="N5438:P5439"/>
    <mergeCell ref="N5386:P5388"/>
    <mergeCell ref="N5381:P5382"/>
    <mergeCell ref="N5329:P5331"/>
    <mergeCell ref="N5324:P5325"/>
    <mergeCell ref="N5272:P5274"/>
    <mergeCell ref="N5267:P5268"/>
    <mergeCell ref="N5215:P5217"/>
    <mergeCell ref="N5210:P5211"/>
    <mergeCell ref="N5158:P5160"/>
    <mergeCell ref="N5153:P5154"/>
    <mergeCell ref="N5101:P5103"/>
    <mergeCell ref="N5096:P5097"/>
    <mergeCell ref="N5044:P5046"/>
    <mergeCell ref="N5039:P5040"/>
    <mergeCell ref="N4987:P4989"/>
    <mergeCell ref="N4982:P4983"/>
    <mergeCell ref="N4930:P4932"/>
    <mergeCell ref="N4925:P4926"/>
    <mergeCell ref="N4873:P4875"/>
    <mergeCell ref="N4868:P4869"/>
    <mergeCell ref="N4816:P4818"/>
    <mergeCell ref="N4811:P4812"/>
    <mergeCell ref="N4759:P4761"/>
    <mergeCell ref="N4754:P4755"/>
    <mergeCell ref="N4702:P4704"/>
    <mergeCell ref="N4697:P4698"/>
    <mergeCell ref="N4645:P4647"/>
    <mergeCell ref="N4640:P4641"/>
    <mergeCell ref="N4588:P4590"/>
    <mergeCell ref="N4583:P4584"/>
    <mergeCell ref="N4531:P4533"/>
    <mergeCell ref="N4526:P4527"/>
    <mergeCell ref="N4474:P4476"/>
    <mergeCell ref="N4469:P4470"/>
    <mergeCell ref="N4417:P4419"/>
    <mergeCell ref="N4412:P4413"/>
    <mergeCell ref="N4360:P4362"/>
    <mergeCell ref="N4355:P4356"/>
    <mergeCell ref="N4303:P4305"/>
    <mergeCell ref="N4298:P4299"/>
    <mergeCell ref="N4246:P4248"/>
    <mergeCell ref="N4241:P4242"/>
    <mergeCell ref="N4189:P4191"/>
    <mergeCell ref="N4184:P4185"/>
    <mergeCell ref="N4132:P4134"/>
    <mergeCell ref="N4127:P4128"/>
    <mergeCell ref="N4075:P4077"/>
    <mergeCell ref="N4070:P4071"/>
    <mergeCell ref="N4018:P4020"/>
    <mergeCell ref="N4013:P4014"/>
    <mergeCell ref="N3961:P3963"/>
    <mergeCell ref="N3956:P3957"/>
    <mergeCell ref="N3904:P3906"/>
    <mergeCell ref="N3899:P3900"/>
    <mergeCell ref="N3847:P3849"/>
    <mergeCell ref="N3842:P3843"/>
    <mergeCell ref="N3790:P3792"/>
    <mergeCell ref="N3785:P3786"/>
    <mergeCell ref="N3733:P3735"/>
    <mergeCell ref="N3728:P3729"/>
    <mergeCell ref="N3676:P3678"/>
    <mergeCell ref="N3671:P3672"/>
    <mergeCell ref="N3619:P3621"/>
    <mergeCell ref="N3614:P3615"/>
    <mergeCell ref="N3562:P3564"/>
    <mergeCell ref="N3557:P3558"/>
    <mergeCell ref="N3505:P3507"/>
    <mergeCell ref="N3500:P3501"/>
    <mergeCell ref="N3448:P3450"/>
    <mergeCell ref="N3443:P3444"/>
    <mergeCell ref="N3391:P3393"/>
    <mergeCell ref="N3386:P3387"/>
    <mergeCell ref="N3334:P3336"/>
    <mergeCell ref="N3329:P3330"/>
    <mergeCell ref="N3277:P3279"/>
    <mergeCell ref="N3272:P3273"/>
    <mergeCell ref="N3220:P3222"/>
    <mergeCell ref="N3215:P3216"/>
    <mergeCell ref="N3163:P3165"/>
    <mergeCell ref="N3158:P3159"/>
    <mergeCell ref="N3106:P3108"/>
    <mergeCell ref="N3101:P3102"/>
    <mergeCell ref="N3049:P3051"/>
    <mergeCell ref="N3044:P3045"/>
    <mergeCell ref="N2992:P2994"/>
    <mergeCell ref="N2987:P2988"/>
    <mergeCell ref="N2935:P2937"/>
    <mergeCell ref="N2930:P2931"/>
    <mergeCell ref="N2878:P2880"/>
    <mergeCell ref="N2873:P2874"/>
    <mergeCell ref="N2821:P2823"/>
    <mergeCell ref="N2816:P2817"/>
    <mergeCell ref="N2764:P2766"/>
    <mergeCell ref="N2759:P2760"/>
    <mergeCell ref="N2707:P2709"/>
    <mergeCell ref="N2702:P2703"/>
    <mergeCell ref="N2650:P2652"/>
    <mergeCell ref="N2645:P2646"/>
    <mergeCell ref="N2593:P2595"/>
    <mergeCell ref="N2588:P2589"/>
    <mergeCell ref="N2536:P2538"/>
    <mergeCell ref="N2531:P2532"/>
    <mergeCell ref="N2479:P2481"/>
    <mergeCell ref="N2474:P2475"/>
    <mergeCell ref="N2422:P2424"/>
    <mergeCell ref="N2417:P2418"/>
    <mergeCell ref="N2365:P2367"/>
    <mergeCell ref="N2360:P2361"/>
    <mergeCell ref="N2308:P2310"/>
    <mergeCell ref="N2303:P2304"/>
    <mergeCell ref="N2251:P2253"/>
    <mergeCell ref="N2246:P2247"/>
    <mergeCell ref="N2194:P2196"/>
    <mergeCell ref="N2189:P2190"/>
    <mergeCell ref="N2137:P2139"/>
    <mergeCell ref="N2132:P2133"/>
    <mergeCell ref="N2080:P2082"/>
    <mergeCell ref="N2075:P2076"/>
    <mergeCell ref="N2023:P2025"/>
    <mergeCell ref="N2018:P2019"/>
    <mergeCell ref="N1966:P1968"/>
    <mergeCell ref="N1961:P1962"/>
    <mergeCell ref="N1909:P1911"/>
    <mergeCell ref="N1904:P1905"/>
    <mergeCell ref="N1852:P1854"/>
    <mergeCell ref="N1847:P1848"/>
    <mergeCell ref="N1795:P1797"/>
    <mergeCell ref="N1790:P1791"/>
    <mergeCell ref="N1738:P1740"/>
    <mergeCell ref="N1733:P1734"/>
    <mergeCell ref="N1681:P1683"/>
    <mergeCell ref="N1676:P1677"/>
    <mergeCell ref="N1624:P1626"/>
    <mergeCell ref="N1619:P1620"/>
    <mergeCell ref="N1567:P1569"/>
    <mergeCell ref="N1562:P1563"/>
    <mergeCell ref="N1510:P1512"/>
    <mergeCell ref="N1505:P1506"/>
    <mergeCell ref="N1453:P1455"/>
    <mergeCell ref="N1448:P1449"/>
    <mergeCell ref="N1396:P1398"/>
    <mergeCell ref="N1391:P1392"/>
    <mergeCell ref="N1339:P1341"/>
    <mergeCell ref="N1334:P1335"/>
    <mergeCell ref="N1282:P1284"/>
    <mergeCell ref="N1277:P1278"/>
    <mergeCell ref="N1225:P1227"/>
    <mergeCell ref="N1220:P1221"/>
    <mergeCell ref="N1168:P1170"/>
    <mergeCell ref="N1163:P1164"/>
    <mergeCell ref="N1111:P1113"/>
    <mergeCell ref="N1106:P1107"/>
    <mergeCell ref="N1054:P1056"/>
    <mergeCell ref="N1049:P1050"/>
    <mergeCell ref="N997:P999"/>
    <mergeCell ref="N992:P993"/>
    <mergeCell ref="N940:P942"/>
    <mergeCell ref="N935:P936"/>
    <mergeCell ref="N883:P885"/>
    <mergeCell ref="N878:P879"/>
    <mergeCell ref="N826:P828"/>
    <mergeCell ref="N821:P822"/>
    <mergeCell ref="N769:P771"/>
    <mergeCell ref="N764:P765"/>
    <mergeCell ref="N712:P714"/>
    <mergeCell ref="N707:P708"/>
    <mergeCell ref="N655:P657"/>
    <mergeCell ref="N650:P651"/>
    <mergeCell ref="N598:P600"/>
    <mergeCell ref="N593:P594"/>
    <mergeCell ref="N541:P543"/>
    <mergeCell ref="N536:P537"/>
    <mergeCell ref="N484:P486"/>
    <mergeCell ref="N479:P480"/>
    <mergeCell ref="N427:P429"/>
    <mergeCell ref="N422:P423"/>
    <mergeCell ref="N370:P372"/>
    <mergeCell ref="N365:P366"/>
    <mergeCell ref="N313:P315"/>
    <mergeCell ref="N308:P309"/>
    <mergeCell ref="N256:P258"/>
    <mergeCell ref="N251:P252"/>
    <mergeCell ref="N199:P201"/>
    <mergeCell ref="N194:P195"/>
    <mergeCell ref="N142:P144"/>
    <mergeCell ref="N137:P138"/>
    <mergeCell ref="N80:P81"/>
    <mergeCell ref="N85:P87"/>
    <mergeCell ref="N28:P30"/>
    <mergeCell ref="N23:P24"/>
  </mergeCells>
  <pageMargins left="0.26" right="0.28" top="0.54" bottom="0.57" header="0.3" footer="0.3"/>
  <pageSetup paperSize="9" scale="75" orientation="portrait" horizontalDpi="300" verticalDpi="3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53" master="" otherUserPermission="visible"/>
  <rangeList sheetStid="3" master="" otherUserPermission="visible"/>
  <rangeList sheetStid="27" master="" otherUserPermission="visible"/>
  <rangeList sheetStid="4" master="" otherUserPermission="visible"/>
  <rangeList sheetStid="12" master="" otherUserPermission="visible"/>
  <rangeList sheetStid="22" master="" otherUserPermission="visible"/>
  <rangeList sheetStid="2" master="" otherUserPermission="visible"/>
  <rangeList sheetStid="5" master="" otherUserPermission="visible"/>
  <rangeList sheetStid="6" master="" otherUserPermission="visible"/>
  <rangeList sheetStid="7" master="" otherUserPermission="visible"/>
  <rangeList sheetStid="59" master="" otherUserPermission="visible"/>
  <rangeList sheetStid="65" master="" otherUserPermission="visible"/>
  <rangeList sheetStid="54" master="" otherUserPermission="visible"/>
  <rangeList sheetStid="9" master="" otherUserPermission="visible"/>
  <rangeList sheetStid="10" master="" otherUserPermission="visible"/>
  <rangeList sheetStid="58" master="" otherUserPermission="visible"/>
  <rangeList sheetStid="64" master="" otherUserPermission="visible"/>
  <rangeList sheetStid="60" master="" otherUserPermission="visible"/>
  <rangeList sheetStid="62" master="" otherUserPermission="visible"/>
  <rangeList sheetStid="63" master="" otherUserPermission="visible"/>
  <rangeList sheetStid="21" master="" otherUserPermission="visible"/>
  <rangeList sheetStid="26" master="" otherUserPermission="visible"/>
  <rangeList sheetStid="13" master="" otherUserPermission="visible"/>
  <rangeList sheetStid="23" master="" otherUserPermission="visible"/>
  <rangeList sheetStid="25" master="" otherUserPermission="visible"/>
  <rangeList sheetStid="24" master="" otherUserPermission="visible"/>
  <rangeList sheetStid="29" master="" otherUserPermission="visible"/>
  <rangeList sheetStid="30" master="" otherUserPermission="visible"/>
  <rangeList sheetStid="47" master="" otherUserPermission="visible"/>
  <rangeList sheetStid="32" master="" otherUserPermission="visible"/>
  <rangeList sheetStid="50" master="" otherUserPermission="visible"/>
  <rangeList sheetStid="51" master="" otherUserPermission="visible"/>
  <rangeList sheetStid="52" master="" otherUserPermission="visible"/>
  <rangeList sheetStid="4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35</vt:i4>
      </vt:variant>
    </vt:vector>
  </HeadingPairs>
  <TitlesOfParts>
    <vt:vector size="35" baseType="lpstr">
      <vt:lpstr>ENTRY</vt:lpstr>
      <vt:lpstr>DATEWISE</vt:lpstr>
      <vt:lpstr>STUDENT</vt:lpstr>
      <vt:lpstr>PHOTO</vt:lpstr>
      <vt:lpstr>FLN</vt:lpstr>
      <vt:lpstr>PASHEET</vt:lpstr>
      <vt:lpstr>MARKS</vt:lpstr>
      <vt:lpstr>SCHOOL</vt:lpstr>
      <vt:lpstr>FLNFIX</vt:lpstr>
      <vt:lpstr>FLNTRANSPOSE</vt:lpstr>
      <vt:lpstr>FLNASSESSMENT</vt:lpstr>
      <vt:lpstr>BAR-F1</vt:lpstr>
      <vt:lpstr>ALL-F1</vt:lpstr>
      <vt:lpstr>F1</vt:lpstr>
      <vt:lpstr>F2</vt:lpstr>
      <vt:lpstr>F3.1</vt:lpstr>
      <vt:lpstr>F3.2</vt:lpstr>
      <vt:lpstr>ATTENDANCEINFO</vt:lpstr>
      <vt:lpstr>INFODESK-1</vt:lpstr>
      <vt:lpstr>INFODESK-5</vt:lpstr>
      <vt:lpstr>GRADEINFO</vt:lpstr>
      <vt:lpstr>SUM1</vt:lpstr>
      <vt:lpstr>PASUMMARY</vt:lpstr>
      <vt:lpstr>AB1</vt:lpstr>
      <vt:lpstr>CASESTUDY</vt:lpstr>
      <vt:lpstr>SUCCESS</vt:lpstr>
      <vt:lpstr>PTM</vt:lpstr>
      <vt:lpstr>1to4-2.1-RR</vt:lpstr>
      <vt:lpstr>1to4-2.2-CS</vt:lpstr>
      <vt:lpstr>1to4-2.3-SS</vt:lpstr>
      <vt:lpstr>1to4-2.4-RC</vt:lpstr>
      <vt:lpstr>RR-3.1-5TH</vt:lpstr>
      <vt:lpstr>CS-3.2-5TH</vt:lpstr>
      <vt:lpstr>SS-3.3-5TH</vt:lpstr>
      <vt:lpstr>RC-3.4-5TH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MAHAWAR</dc:creator>
  <cp:lastModifiedBy>User</cp:lastModifiedBy>
  <dcterms:created xsi:type="dcterms:W3CDTF">2023-05-13T00:06:00Z</dcterms:created>
  <cp:lastPrinted>2024-05-28T08:49:00Z</cp:lastPrinted>
  <dcterms:modified xsi:type="dcterms:W3CDTF">2026-08-31T10:23:40Z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85CF05C10DDB480C80FA5495A6B674AA_13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